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06"/>
  <workbookPr defaultThemeVersion="166925"/>
  <mc:AlternateContent xmlns:mc="http://schemas.openxmlformats.org/markup-compatibility/2006">
    <mc:Choice Requires="x15">
      <x15ac:absPath xmlns:x15ac="http://schemas.microsoft.com/office/spreadsheetml/2010/11/ac" url="https://npcaweb.sharepoint.com/sites/TeamPlannedGiving/Shared Documents/"/>
    </mc:Choice>
  </mc:AlternateContent>
  <xr:revisionPtr revIDLastSave="10553" documentId="13_ncr:1_{B34F7D42-B95F-4F20-873B-594F54CB3A80}" xr6:coauthVersionLast="47" xr6:coauthVersionMax="47" xr10:uidLastSave="{C6CCEBB8-53C5-42F0-863C-260A41672C3F}"/>
  <bookViews>
    <workbookView minimized="1" xWindow="2616" yWindow="2616" windowWidth="17280" windowHeight="8880" xr2:uid="{00000000-000D-0000-FFFF-FFFF00000000}"/>
  </bookViews>
  <sheets>
    <sheet name="OVERVIEW" sheetId="1" r:id="rId1"/>
    <sheet name="ESTATES" sheetId="2" r:id="rId2"/>
    <sheet name="ANNUITIES" sheetId="11" r:id="rId3"/>
    <sheet name="MOVES" sheetId="6" r:id="rId4"/>
    <sheet name="FY24" sheetId="26" r:id="rId5"/>
    <sheet name="FY23" sheetId="25" r:id="rId6"/>
    <sheet name="PIPELINE" sheetId="19" r:id="rId7"/>
    <sheet name="BOARD" sheetId="23" r:id="rId8"/>
    <sheet name="TRAVEL" sheetId="20" r:id="rId9"/>
    <sheet name="TOTAL" sheetId="21" r:id="rId10"/>
    <sheet name="MARKETING" sheetId="12" r:id="rId11"/>
    <sheet name="STATES" sheetId="7" r:id="rId12"/>
    <sheet name="FY22" sheetId="24" r:id="rId13"/>
    <sheet name="FY21" sheetId="22" r:id="rId14"/>
    <sheet name="FY20" sheetId="16" r:id="rId15"/>
    <sheet name="FY19" sheetId="9" r:id="rId16"/>
  </sheets>
  <definedNames>
    <definedName name="_xlnm._FilterDatabase" localSheetId="9" hidden="1">TOTAL!$B$1:$B$1652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129" i="2" l="1"/>
  <c r="AA29" i="2"/>
  <c r="AA19" i="2"/>
  <c r="AI50" i="2"/>
  <c r="Z50" i="2"/>
  <c r="H50" i="2"/>
  <c r="AA34" i="2"/>
  <c r="H125" i="2"/>
  <c r="AA20" i="2"/>
  <c r="AI33" i="2"/>
  <c r="AI46" i="2"/>
  <c r="AI68" i="2"/>
  <c r="AI89" i="2"/>
  <c r="AI93" i="2"/>
  <c r="AI124" i="2"/>
  <c r="AI112" i="2"/>
  <c r="AI136" i="2"/>
  <c r="H14" i="26"/>
  <c r="A12" i="26" s="1"/>
  <c r="I23" i="26"/>
  <c r="I80" i="26"/>
  <c r="I69" i="26"/>
  <c r="I68" i="26"/>
  <c r="I66" i="26"/>
  <c r="I65" i="26"/>
  <c r="I64" i="26"/>
  <c r="I63" i="26"/>
  <c r="I62" i="26"/>
  <c r="I61" i="26"/>
  <c r="I60" i="26"/>
  <c r="I59" i="26"/>
  <c r="I58" i="26"/>
  <c r="I57" i="26"/>
  <c r="I54" i="26"/>
  <c r="I53" i="26"/>
  <c r="I52" i="26"/>
  <c r="I51" i="26"/>
  <c r="I50" i="26"/>
  <c r="I49" i="26"/>
  <c r="I48" i="26"/>
  <c r="I47" i="26"/>
  <c r="I46" i="26"/>
  <c r="I42" i="26"/>
  <c r="I41" i="26"/>
  <c r="I40" i="26"/>
  <c r="I38" i="26"/>
  <c r="I37" i="26"/>
  <c r="I36" i="26"/>
  <c r="I35" i="26"/>
  <c r="I34" i="26"/>
  <c r="I32" i="26"/>
  <c r="I29" i="26"/>
  <c r="I26" i="26"/>
  <c r="I15" i="26"/>
  <c r="G14" i="26"/>
  <c r="I12" i="26"/>
  <c r="A6" i="26"/>
  <c r="I5" i="26"/>
  <c r="I4" i="26"/>
  <c r="A4" i="26"/>
  <c r="W3" i="26"/>
  <c r="V3" i="26"/>
  <c r="U3" i="26"/>
  <c r="T3" i="26"/>
  <c r="S3" i="26"/>
  <c r="R3" i="26"/>
  <c r="Q3" i="26"/>
  <c r="P3" i="26"/>
  <c r="O3" i="26"/>
  <c r="N3" i="26"/>
  <c r="M3" i="26"/>
  <c r="L3" i="26"/>
  <c r="I3" i="26"/>
  <c r="G3" i="26"/>
  <c r="I14" i="26" l="1"/>
  <c r="A10" i="26"/>
  <c r="AI47" i="2"/>
  <c r="AI45" i="2"/>
  <c r="A90" i="2"/>
  <c r="A88" i="2"/>
  <c r="A86" i="2"/>
  <c r="H134" i="2"/>
  <c r="H27" i="2"/>
  <c r="H28" i="2"/>
  <c r="H29" i="2"/>
  <c r="H30" i="2"/>
  <c r="H31" i="2"/>
  <c r="H33" i="2"/>
  <c r="H34" i="2"/>
  <c r="H35" i="2"/>
  <c r="H37" i="2"/>
  <c r="H38" i="2"/>
  <c r="H40" i="2"/>
  <c r="H41" i="2"/>
  <c r="H42" i="2"/>
  <c r="H43" i="2"/>
  <c r="H44" i="2"/>
  <c r="H46" i="2"/>
  <c r="H47" i="2"/>
  <c r="H51" i="2"/>
  <c r="H54" i="2"/>
  <c r="H57" i="2"/>
  <c r="H58" i="2"/>
  <c r="H60" i="2"/>
  <c r="H61" i="2"/>
  <c r="H62" i="2"/>
  <c r="H63" i="2"/>
  <c r="H64" i="2"/>
  <c r="H65" i="2"/>
  <c r="H66" i="2"/>
  <c r="H67" i="2"/>
  <c r="H68" i="2"/>
  <c r="H69" i="2"/>
  <c r="H70" i="2"/>
  <c r="H71" i="2"/>
  <c r="H72" i="2"/>
  <c r="H73" i="2"/>
  <c r="H74" i="2"/>
  <c r="H75" i="2"/>
  <c r="H76" i="2"/>
  <c r="H77" i="2"/>
  <c r="H79" i="2"/>
  <c r="H80" i="2"/>
  <c r="H81" i="2"/>
  <c r="H83" i="2"/>
  <c r="H85" i="2"/>
  <c r="H86" i="2"/>
  <c r="H87" i="2"/>
  <c r="H88" i="2"/>
  <c r="H89" i="2"/>
  <c r="H90" i="2"/>
  <c r="H91" i="2"/>
  <c r="H92" i="2"/>
  <c r="H93" i="2"/>
  <c r="H94" i="2"/>
  <c r="H95" i="2"/>
  <c r="H96" i="2"/>
  <c r="H97" i="2"/>
  <c r="H99" i="2"/>
  <c r="H100" i="2"/>
  <c r="H101" i="2"/>
  <c r="H102" i="2"/>
  <c r="H103" i="2"/>
  <c r="H108" i="2"/>
  <c r="H111" i="2"/>
  <c r="H112" i="2"/>
  <c r="H113" i="2"/>
  <c r="H114" i="2"/>
  <c r="H115" i="2"/>
  <c r="H116" i="2"/>
  <c r="H117" i="2"/>
  <c r="H118" i="2"/>
  <c r="H119" i="2"/>
  <c r="H120" i="2"/>
  <c r="H121" i="2"/>
  <c r="H122" i="2"/>
  <c r="H124" i="2"/>
  <c r="H126" i="2"/>
  <c r="H128" i="2"/>
  <c r="H131" i="2"/>
  <c r="H135" i="2"/>
  <c r="H137" i="2"/>
  <c r="H139" i="2"/>
  <c r="H142" i="2"/>
  <c r="H145" i="2"/>
  <c r="H146" i="2"/>
  <c r="H147" i="2"/>
  <c r="H148" i="2"/>
  <c r="H149" i="2"/>
  <c r="H150" i="2"/>
  <c r="H151" i="2"/>
  <c r="H152" i="2"/>
  <c r="H154" i="2"/>
  <c r="H156" i="2"/>
  <c r="H157" i="2"/>
  <c r="H158" i="2"/>
  <c r="H159" i="2"/>
  <c r="H160" i="2"/>
  <c r="H161" i="2"/>
  <c r="H163" i="2"/>
  <c r="H164" i="2"/>
  <c r="H165" i="2"/>
  <c r="H26" i="2"/>
  <c r="H23" i="2"/>
  <c r="H22" i="2"/>
  <c r="H21" i="2"/>
  <c r="H18" i="2"/>
  <c r="H17" i="2"/>
  <c r="H16" i="2"/>
  <c r="H15" i="2"/>
  <c r="H14" i="2"/>
  <c r="H13" i="2"/>
  <c r="H12" i="2"/>
  <c r="H9" i="2"/>
  <c r="H8" i="2"/>
  <c r="H7" i="2"/>
  <c r="H6" i="2"/>
  <c r="H3" i="2"/>
  <c r="C5" i="1"/>
  <c r="D5" i="1"/>
  <c r="E5" i="1"/>
  <c r="G28" i="1"/>
  <c r="AA113" i="2"/>
  <c r="A84" i="2" l="1"/>
  <c r="A6" i="2"/>
  <c r="A8" i="2"/>
  <c r="C15" i="1" s="1"/>
  <c r="A56" i="11"/>
  <c r="C7" i="1" s="1"/>
  <c r="C6" i="1"/>
  <c r="C2" i="1"/>
  <c r="C14" i="1"/>
  <c r="D14" i="1"/>
  <c r="C13" i="1"/>
  <c r="D13" i="1"/>
  <c r="D6" i="1"/>
  <c r="D2" i="1"/>
  <c r="C3" i="1"/>
  <c r="D3" i="1"/>
  <c r="Z20" i="2" l="1"/>
  <c r="Z110" i="2"/>
  <c r="H110" i="2" s="1"/>
  <c r="A82" i="2"/>
  <c r="A13" i="2" l="1"/>
  <c r="Z109" i="2"/>
  <c r="H109" i="2" s="1"/>
  <c r="AI156" i="2"/>
  <c r="Z144" i="2"/>
  <c r="H144" i="2" s="1"/>
  <c r="AI144" i="2"/>
  <c r="AI141" i="2" l="1"/>
  <c r="Z155" i="2"/>
  <c r="H155" i="2" s="1"/>
  <c r="AI155" i="2"/>
  <c r="AI157" i="2"/>
  <c r="Z140" i="2"/>
  <c r="H140" i="2" s="1"/>
  <c r="H42" i="25"/>
  <c r="H16" i="25"/>
  <c r="Z136" i="2"/>
  <c r="H136" i="2" s="1"/>
  <c r="Z19" i="2"/>
  <c r="Z162" i="2"/>
  <c r="H162" i="2" s="1"/>
  <c r="Z138" i="2" l="1"/>
  <c r="H138" i="2" s="1"/>
  <c r="G15" i="25"/>
  <c r="AI148" i="2"/>
  <c r="Z78" i="2"/>
  <c r="H78" i="2" s="1"/>
  <c r="H67" i="25"/>
  <c r="H65" i="25"/>
  <c r="H64" i="25"/>
  <c r="H63" i="25"/>
  <c r="H62" i="25"/>
  <c r="H61" i="25"/>
  <c r="H60" i="25"/>
  <c r="E15" i="25"/>
  <c r="F15" i="25"/>
  <c r="Z5" i="2" l="1"/>
  <c r="Z143" i="2" l="1"/>
  <c r="H143" i="2" s="1"/>
  <c r="AI201" i="2"/>
  <c r="AI194" i="2"/>
  <c r="AI189" i="2"/>
  <c r="AI182" i="2"/>
  <c r="AI178" i="2"/>
  <c r="AI180" i="2"/>
  <c r="AI173" i="2"/>
  <c r="AI161" i="2"/>
  <c r="AI163" i="2"/>
  <c r="AI147" i="2"/>
  <c r="AI143" i="2"/>
  <c r="AI140" i="2"/>
  <c r="AI139" i="2"/>
  <c r="Z153" i="2" l="1"/>
  <c r="H153" i="2" s="1"/>
  <c r="Y19" i="2" l="1"/>
  <c r="Z39" i="2" l="1"/>
  <c r="H39" i="2" s="1"/>
  <c r="A54" i="11"/>
  <c r="A80" i="2" l="1"/>
  <c r="D15" i="1" s="1"/>
  <c r="E14" i="1"/>
  <c r="E13" i="1"/>
  <c r="D7" i="1"/>
  <c r="A8" i="11"/>
  <c r="A4" i="11"/>
  <c r="E6" i="1"/>
  <c r="E3" i="1"/>
  <c r="E2" i="1"/>
  <c r="G3" i="25"/>
  <c r="Y182" i="2" l="1"/>
  <c r="G34" i="24"/>
  <c r="Y20" i="2" l="1"/>
  <c r="Y25" i="2"/>
  <c r="H25" i="2" s="1"/>
  <c r="Y11" i="2" l="1"/>
  <c r="Y10" i="2"/>
  <c r="G15" i="24"/>
  <c r="H42" i="24"/>
  <c r="AI177" i="2"/>
  <c r="X177" i="2"/>
  <c r="H177" i="2" s="1"/>
  <c r="H70" i="25" l="1"/>
  <c r="H69" i="25"/>
  <c r="H66" i="25"/>
  <c r="H59" i="25"/>
  <c r="H58" i="25"/>
  <c r="H55" i="25"/>
  <c r="H54" i="25"/>
  <c r="H53" i="25"/>
  <c r="H52" i="25"/>
  <c r="H51" i="25"/>
  <c r="H50" i="25"/>
  <c r="H49" i="25"/>
  <c r="H48" i="25"/>
  <c r="H47" i="25"/>
  <c r="H43" i="25"/>
  <c r="H41" i="25"/>
  <c r="H39" i="25"/>
  <c r="H38" i="25"/>
  <c r="H37" i="25"/>
  <c r="H36" i="25"/>
  <c r="H35" i="25"/>
  <c r="H34" i="25"/>
  <c r="H33" i="25"/>
  <c r="H30" i="25"/>
  <c r="H27" i="25"/>
  <c r="H25" i="25"/>
  <c r="H24" i="25"/>
  <c r="H19" i="25"/>
  <c r="H15" i="25"/>
  <c r="A12" i="25" s="1"/>
  <c r="A10" i="25"/>
  <c r="F8" i="25"/>
  <c r="H7" i="25"/>
  <c r="H6" i="25"/>
  <c r="V4" i="25"/>
  <c r="V3" i="25" s="1"/>
  <c r="P4" i="25"/>
  <c r="U3" i="25"/>
  <c r="T3" i="25"/>
  <c r="S3" i="25"/>
  <c r="R3" i="25"/>
  <c r="Q3" i="25"/>
  <c r="P3" i="25"/>
  <c r="O3" i="25"/>
  <c r="N3" i="25"/>
  <c r="M3" i="25"/>
  <c r="L3" i="25"/>
  <c r="K3" i="25"/>
  <c r="E3" i="25"/>
  <c r="Y45" i="2"/>
  <c r="H45" i="2" s="1"/>
  <c r="H178" i="2"/>
  <c r="H196" i="2"/>
  <c r="E19" i="1"/>
  <c r="F19" i="1"/>
  <c r="F3" i="25" l="1"/>
  <c r="H3" i="25" s="1"/>
  <c r="H4" i="25" l="1"/>
  <c r="AI191" i="2"/>
  <c r="AI181" i="2"/>
  <c r="AI190" i="2"/>
  <c r="AI186" i="2"/>
  <c r="AI198" i="2"/>
  <c r="AI249" i="2"/>
  <c r="AI211" i="2"/>
  <c r="AI230" i="2"/>
  <c r="AI229" i="2"/>
  <c r="AI125" i="2"/>
  <c r="AI195" i="2"/>
  <c r="AI184" i="2" l="1"/>
  <c r="H253" i="2"/>
  <c r="H254" i="2"/>
  <c r="H249" i="2"/>
  <c r="H250" i="2"/>
  <c r="H251" i="2"/>
  <c r="H232" i="2"/>
  <c r="H227" i="2"/>
  <c r="H217" i="2"/>
  <c r="H218" i="2"/>
  <c r="H219" i="2"/>
  <c r="H211" i="2"/>
  <c r="H206" i="2"/>
  <c r="H204" i="2"/>
  <c r="H195" i="2"/>
  <c r="H197" i="2"/>
  <c r="H193" i="2"/>
  <c r="H190" i="2"/>
  <c r="H186" i="2"/>
  <c r="H175" i="2"/>
  <c r="H176" i="2"/>
  <c r="H179" i="2"/>
  <c r="H167" i="2"/>
  <c r="H173" i="2"/>
  <c r="A52" i="11"/>
  <c r="E7" i="1" s="1"/>
  <c r="AI197" i="2"/>
  <c r="AI185" i="2"/>
  <c r="Y184" i="2"/>
  <c r="V184" i="2"/>
  <c r="H184" i="2" s="1"/>
  <c r="G33" i="24"/>
  <c r="F14" i="1"/>
  <c r="H248" i="2"/>
  <c r="H247" i="2"/>
  <c r="H246" i="2"/>
  <c r="H245" i="2"/>
  <c r="H244" i="2"/>
  <c r="H239" i="2"/>
  <c r="H237" i="2"/>
  <c r="H234" i="2"/>
  <c r="H231" i="2"/>
  <c r="H230" i="2"/>
  <c r="H229" i="2"/>
  <c r="H228" i="2"/>
  <c r="H226" i="2"/>
  <c r="H225" i="2"/>
  <c r="H224" i="2"/>
  <c r="H223" i="2"/>
  <c r="H221" i="2"/>
  <c r="H220" i="2"/>
  <c r="H215" i="2"/>
  <c r="H214" i="2"/>
  <c r="H212" i="2"/>
  <c r="H210" i="2"/>
  <c r="H209" i="2"/>
  <c r="H208" i="2"/>
  <c r="H201" i="2"/>
  <c r="H198" i="2"/>
  <c r="H194" i="2"/>
  <c r="H191" i="2"/>
  <c r="H185" i="2"/>
  <c r="H183" i="2"/>
  <c r="H182" i="2"/>
  <c r="H181" i="2"/>
  <c r="H180" i="2"/>
  <c r="H170" i="2"/>
  <c r="H168" i="2"/>
  <c r="H192" i="2"/>
  <c r="AI200" i="2"/>
  <c r="H200" i="2"/>
  <c r="Y174" i="2"/>
  <c r="A78" i="2" l="1"/>
  <c r="E15" i="1" s="1"/>
  <c r="H174" i="2"/>
  <c r="A6" i="25"/>
  <c r="A17" i="2"/>
  <c r="A31" i="2"/>
  <c r="G33" i="22"/>
  <c r="X238" i="2" l="1"/>
  <c r="H13" i="1" l="1"/>
  <c r="G13" i="1"/>
  <c r="F13" i="1"/>
  <c r="E9" i="1"/>
  <c r="F9" i="1"/>
  <c r="G19" i="22"/>
  <c r="B29" i="1"/>
  <c r="G36" i="22"/>
  <c r="G39" i="22"/>
  <c r="G42" i="22"/>
  <c r="X20" i="2"/>
  <c r="X11" i="2"/>
  <c r="F21" i="1"/>
  <c r="G38" i="22" l="1"/>
  <c r="AI244" i="2" l="1"/>
  <c r="AI227" i="2"/>
  <c r="AI214" i="2"/>
  <c r="AI224" i="2"/>
  <c r="AI337" i="2"/>
  <c r="H337" i="2"/>
  <c r="H338" i="2"/>
  <c r="AI234" i="2"/>
  <c r="AI237" i="2"/>
  <c r="AI238" i="2"/>
  <c r="AI246" i="2"/>
  <c r="T328" i="2"/>
  <c r="H328" i="2" s="1"/>
  <c r="X233" i="2"/>
  <c r="H233" i="2" s="1"/>
  <c r="X216" i="2"/>
  <c r="H216" i="2" s="1"/>
  <c r="AI253" i="2"/>
  <c r="AI254" i="2"/>
  <c r="AI255" i="2"/>
  <c r="AI256" i="2"/>
  <c r="AI219" i="2"/>
  <c r="AI220" i="2"/>
  <c r="F20" i="1"/>
  <c r="AD2" i="1"/>
  <c r="AC2" i="1"/>
  <c r="AB2" i="1"/>
  <c r="AA2" i="1"/>
  <c r="Z2" i="1"/>
  <c r="Y2" i="1"/>
  <c r="X2" i="1"/>
  <c r="W2" i="1"/>
  <c r="V2" i="1"/>
  <c r="U2" i="1"/>
  <c r="T2" i="1"/>
  <c r="S2" i="1"/>
  <c r="R2" i="1"/>
  <c r="Q2" i="1"/>
  <c r="P2" i="1"/>
  <c r="O2" i="1"/>
  <c r="N2" i="1"/>
  <c r="M2" i="1"/>
  <c r="L2" i="1"/>
  <c r="K2" i="1"/>
  <c r="J2" i="1"/>
  <c r="F2" i="1"/>
  <c r="G2" i="1"/>
  <c r="H2" i="1"/>
  <c r="I2" i="1"/>
  <c r="F3" i="1"/>
  <c r="F5" i="1"/>
  <c r="F6" i="1"/>
  <c r="AI233" i="2"/>
  <c r="AI231" i="2"/>
  <c r="AI228" i="2"/>
  <c r="D38" i="1"/>
  <c r="X4" i="2"/>
  <c r="H4" i="2" s="1"/>
  <c r="AI216" i="2" l="1"/>
  <c r="AI217" i="2"/>
  <c r="AI241" i="2"/>
  <c r="X19" i="2" l="1"/>
  <c r="X213" i="2"/>
  <c r="H213" i="2" s="1"/>
  <c r="X243" i="2"/>
  <c r="A76" i="2" l="1"/>
  <c r="AI221" i="2"/>
  <c r="F15" i="24"/>
  <c r="H48" i="24"/>
  <c r="H51" i="24"/>
  <c r="H53" i="24"/>
  <c r="N238" i="11" l="1"/>
  <c r="AI218" i="2" l="1"/>
  <c r="H235" i="2" l="1"/>
  <c r="H64" i="24" l="1"/>
  <c r="H63" i="24"/>
  <c r="H60" i="24"/>
  <c r="H59" i="24"/>
  <c r="H58" i="24"/>
  <c r="H55" i="24"/>
  <c r="H54" i="24"/>
  <c r="H52" i="24"/>
  <c r="H50" i="24"/>
  <c r="H49" i="24"/>
  <c r="H47" i="24"/>
  <c r="H43" i="24"/>
  <c r="H41" i="24"/>
  <c r="H39" i="24"/>
  <c r="H38" i="24"/>
  <c r="H37" i="24"/>
  <c r="H36" i="24"/>
  <c r="H35" i="24"/>
  <c r="H34" i="24"/>
  <c r="H33" i="24"/>
  <c r="H30" i="24"/>
  <c r="H27" i="24"/>
  <c r="H25" i="24"/>
  <c r="H24" i="24"/>
  <c r="H19" i="24"/>
  <c r="H18" i="24"/>
  <c r="H16" i="24"/>
  <c r="H15" i="24"/>
  <c r="A12" i="24" s="1"/>
  <c r="F13" i="24"/>
  <c r="A10" i="24"/>
  <c r="F8" i="24"/>
  <c r="H7" i="24"/>
  <c r="F6" i="24"/>
  <c r="H6" i="24" s="1"/>
  <c r="V4" i="24"/>
  <c r="V3" i="24" s="1"/>
  <c r="P4" i="24"/>
  <c r="F4" i="24" s="1"/>
  <c r="U3" i="24"/>
  <c r="T3" i="24"/>
  <c r="S3" i="24"/>
  <c r="R3" i="24"/>
  <c r="Q3" i="24"/>
  <c r="P3" i="24"/>
  <c r="O3" i="24"/>
  <c r="N3" i="24"/>
  <c r="M3" i="24"/>
  <c r="L3" i="24"/>
  <c r="K3" i="24"/>
  <c r="E3" i="24"/>
  <c r="G30" i="22"/>
  <c r="AI247" i="2"/>
  <c r="AI212" i="2"/>
  <c r="AI213" i="2"/>
  <c r="H4" i="24" l="1"/>
  <c r="F3" i="24"/>
  <c r="H3" i="24" s="1"/>
  <c r="H18" i="22"/>
  <c r="I38" i="1" l="1"/>
  <c r="N299" i="11" l="1"/>
  <c r="N298" i="11"/>
  <c r="N296" i="11"/>
  <c r="N295" i="11"/>
  <c r="N292" i="11"/>
  <c r="N291" i="11"/>
  <c r="N289" i="11"/>
  <c r="N284" i="11"/>
  <c r="N278" i="11"/>
  <c r="N277" i="11"/>
  <c r="N273" i="11"/>
  <c r="N272" i="11"/>
  <c r="N269" i="11"/>
  <c r="N268" i="11"/>
  <c r="N256" i="11"/>
  <c r="N254" i="11"/>
  <c r="N253" i="11"/>
  <c r="N250" i="11"/>
  <c r="N249" i="11"/>
  <c r="N246" i="11"/>
  <c r="N245" i="11"/>
  <c r="N244" i="11"/>
  <c r="N243" i="11"/>
  <c r="N242" i="11"/>
  <c r="N241" i="11"/>
  <c r="N237" i="11"/>
  <c r="N235" i="11"/>
  <c r="N234" i="11"/>
  <c r="N232" i="11"/>
  <c r="N231" i="11"/>
  <c r="N230" i="11"/>
  <c r="N228" i="11"/>
  <c r="N226" i="11"/>
  <c r="N224" i="11"/>
  <c r="N222" i="11"/>
  <c r="N221" i="11"/>
  <c r="N219" i="11"/>
  <c r="N216" i="11"/>
  <c r="N215" i="11"/>
  <c r="N214" i="11"/>
  <c r="N213" i="11"/>
  <c r="N212" i="11"/>
  <c r="N211" i="11"/>
  <c r="N208" i="11"/>
  <c r="N206" i="11"/>
  <c r="N203" i="11"/>
  <c r="N202" i="11"/>
  <c r="N199" i="11"/>
  <c r="N196" i="11"/>
  <c r="N194" i="11"/>
  <c r="N192" i="11"/>
  <c r="N191" i="11"/>
  <c r="N190" i="11"/>
  <c r="N189" i="11"/>
  <c r="N188" i="11"/>
  <c r="N187" i="11"/>
  <c r="N186" i="11"/>
  <c r="N185" i="11"/>
  <c r="N183" i="11"/>
  <c r="N182" i="11"/>
  <c r="N180" i="11"/>
  <c r="N179" i="11"/>
  <c r="N178" i="11"/>
  <c r="N177" i="11"/>
  <c r="N175" i="11"/>
  <c r="N174" i="11"/>
  <c r="N173" i="11"/>
  <c r="N172" i="11"/>
  <c r="N171" i="11"/>
  <c r="N170" i="11"/>
  <c r="N169" i="11"/>
  <c r="N167" i="11"/>
  <c r="N166" i="11"/>
  <c r="N165" i="11"/>
  <c r="N164" i="11"/>
  <c r="N163" i="11"/>
  <c r="N162" i="11"/>
  <c r="N161" i="11"/>
  <c r="N160" i="11"/>
  <c r="N159" i="11"/>
  <c r="N158" i="11"/>
  <c r="N157" i="11"/>
  <c r="N155" i="11"/>
  <c r="N154" i="11"/>
  <c r="N153" i="11"/>
  <c r="N151" i="11"/>
  <c r="N150" i="11"/>
  <c r="N149" i="11"/>
  <c r="N147" i="11"/>
  <c r="N146" i="11"/>
  <c r="N145" i="11"/>
  <c r="N144" i="11"/>
  <c r="N143" i="11"/>
  <c r="N142" i="11"/>
  <c r="N141" i="11"/>
  <c r="N140" i="11"/>
  <c r="N138" i="11"/>
  <c r="N137" i="11"/>
  <c r="N136" i="11"/>
  <c r="N133" i="11"/>
  <c r="N132" i="11"/>
  <c r="N131" i="11"/>
  <c r="N130" i="11"/>
  <c r="N129" i="11"/>
  <c r="N128" i="11"/>
  <c r="N127" i="11"/>
  <c r="N126" i="11"/>
  <c r="N125" i="11"/>
  <c r="N124" i="11"/>
  <c r="N123" i="11"/>
  <c r="N121" i="11"/>
  <c r="N120" i="11"/>
  <c r="N119" i="11"/>
  <c r="N118" i="11"/>
  <c r="N115" i="11"/>
  <c r="N114" i="11"/>
  <c r="N113" i="11"/>
  <c r="N112" i="11"/>
  <c r="N111" i="11"/>
  <c r="N110" i="11"/>
  <c r="N109" i="11"/>
  <c r="N108" i="11"/>
  <c r="N107" i="11"/>
  <c r="N106" i="11"/>
  <c r="N105" i="11"/>
  <c r="N104" i="11"/>
  <c r="N103" i="11"/>
  <c r="N102" i="11"/>
  <c r="N101" i="11"/>
  <c r="N100" i="11"/>
  <c r="N99" i="11"/>
  <c r="N98" i="11"/>
  <c r="N97" i="11"/>
  <c r="N96" i="11"/>
  <c r="N95" i="11"/>
  <c r="N94" i="11"/>
  <c r="N93" i="11"/>
  <c r="N92" i="11"/>
  <c r="N91" i="11"/>
  <c r="N90" i="11"/>
  <c r="N89" i="11"/>
  <c r="N87" i="11"/>
  <c r="N84" i="11"/>
  <c r="N82" i="11"/>
  <c r="N81" i="11"/>
  <c r="N80" i="11"/>
  <c r="N79" i="11"/>
  <c r="N77" i="11"/>
  <c r="N76" i="11"/>
  <c r="N75" i="11"/>
  <c r="N74" i="11"/>
  <c r="N73" i="11"/>
  <c r="N72" i="11"/>
  <c r="N71" i="11"/>
  <c r="N70" i="11"/>
  <c r="N69" i="11"/>
  <c r="N68" i="11"/>
  <c r="N67" i="11"/>
  <c r="N66" i="11"/>
  <c r="N65" i="11"/>
  <c r="N64" i="11"/>
  <c r="N63" i="11"/>
  <c r="N62" i="11"/>
  <c r="N61" i="11"/>
  <c r="N60" i="11"/>
  <c r="N59" i="11"/>
  <c r="N58" i="11"/>
  <c r="N57" i="11"/>
  <c r="N54" i="11"/>
  <c r="N53" i="11"/>
  <c r="N52" i="11"/>
  <c r="A50" i="11"/>
  <c r="F7" i="1" s="1"/>
  <c r="N51" i="11"/>
  <c r="N50" i="11"/>
  <c r="A48" i="11"/>
  <c r="N49" i="11"/>
  <c r="N48" i="11"/>
  <c r="A46" i="11"/>
  <c r="N47" i="11"/>
  <c r="N46" i="11"/>
  <c r="A44" i="11"/>
  <c r="N45" i="11"/>
  <c r="N44" i="11"/>
  <c r="A42" i="11"/>
  <c r="N43" i="11"/>
  <c r="A40" i="11"/>
  <c r="N40" i="11"/>
  <c r="A38" i="11"/>
  <c r="N39" i="11"/>
  <c r="N38" i="11"/>
  <c r="N37" i="11"/>
  <c r="N36" i="11"/>
  <c r="N35" i="11"/>
  <c r="N33" i="11"/>
  <c r="N32" i="11"/>
  <c r="N31" i="11"/>
  <c r="N30" i="11"/>
  <c r="N29" i="11"/>
  <c r="N27" i="11"/>
  <c r="N26" i="11"/>
  <c r="N25" i="11"/>
  <c r="N24" i="11"/>
  <c r="N23" i="11"/>
  <c r="N22" i="11"/>
  <c r="N21" i="11"/>
  <c r="N20" i="11"/>
  <c r="N18" i="11"/>
  <c r="N15" i="11"/>
  <c r="N14" i="11"/>
  <c r="N12" i="11"/>
  <c r="N11" i="11"/>
  <c r="N9" i="11"/>
  <c r="N8" i="11"/>
  <c r="N7" i="11"/>
  <c r="N6" i="11"/>
  <c r="N5" i="11"/>
  <c r="N4" i="11"/>
  <c r="N3" i="11"/>
  <c r="C39" i="1"/>
  <c r="B39" i="1"/>
  <c r="AD9" i="1"/>
  <c r="AC9" i="1"/>
  <c r="AB9" i="1"/>
  <c r="AA9" i="1"/>
  <c r="Z9" i="1"/>
  <c r="Y9" i="1"/>
  <c r="X9" i="1"/>
  <c r="W9" i="1"/>
  <c r="V9" i="1"/>
  <c r="U9" i="1"/>
  <c r="T9" i="1"/>
  <c r="S9" i="1"/>
  <c r="R9" i="1"/>
  <c r="Q9" i="1"/>
  <c r="P9" i="1"/>
  <c r="O9" i="1"/>
  <c r="N9" i="1"/>
  <c r="M9" i="1"/>
  <c r="L9" i="1"/>
  <c r="K9" i="1"/>
  <c r="J9" i="1"/>
  <c r="I9" i="1"/>
  <c r="H9" i="1"/>
  <c r="G9" i="1"/>
  <c r="AD7" i="1"/>
  <c r="AC7" i="1"/>
  <c r="AB7" i="1"/>
  <c r="AA7" i="1"/>
  <c r="Z7" i="1"/>
  <c r="Y7" i="1"/>
  <c r="X7" i="1"/>
  <c r="W7" i="1"/>
  <c r="V7" i="1"/>
  <c r="U7" i="1"/>
  <c r="T7" i="1"/>
  <c r="S7" i="1"/>
  <c r="R7" i="1"/>
  <c r="Q7" i="1"/>
  <c r="P7" i="1"/>
  <c r="AD6" i="1"/>
  <c r="AC6" i="1"/>
  <c r="AB6" i="1"/>
  <c r="AA6" i="1"/>
  <c r="Z6" i="1"/>
  <c r="Y6" i="1"/>
  <c r="X6" i="1"/>
  <c r="W6" i="1"/>
  <c r="V6" i="1"/>
  <c r="U6" i="1"/>
  <c r="T6" i="1"/>
  <c r="S6" i="1"/>
  <c r="R6" i="1"/>
  <c r="Q6" i="1"/>
  <c r="P6" i="1"/>
  <c r="O6" i="1"/>
  <c r="N6" i="1"/>
  <c r="M6" i="1"/>
  <c r="L6" i="1"/>
  <c r="K6" i="1"/>
  <c r="J6" i="1"/>
  <c r="I6" i="1"/>
  <c r="H6" i="1"/>
  <c r="G6" i="1"/>
  <c r="AI243" i="2" l="1"/>
  <c r="AI226" i="2"/>
  <c r="AI223" i="2"/>
  <c r="W262" i="2" l="1"/>
  <c r="AI208" i="2" l="1"/>
  <c r="AI209" i="2"/>
  <c r="G63" i="22" l="1"/>
  <c r="H20" i="1" l="1"/>
  <c r="G20" i="1"/>
  <c r="AI239" i="2" l="1"/>
  <c r="V4" i="22" l="1"/>
  <c r="P4" i="22"/>
  <c r="H16" i="22" l="1"/>
  <c r="H19" i="22"/>
  <c r="H25" i="22"/>
  <c r="H24" i="22"/>
  <c r="H27" i="22"/>
  <c r="H30" i="22"/>
  <c r="H35" i="22"/>
  <c r="H36" i="22"/>
  <c r="H37" i="22"/>
  <c r="H38" i="22"/>
  <c r="H39" i="22"/>
  <c r="H33" i="22"/>
  <c r="H41" i="22"/>
  <c r="H43" i="22"/>
  <c r="H47" i="22"/>
  <c r="H49" i="22"/>
  <c r="H50" i="22"/>
  <c r="H52" i="22"/>
  <c r="H54" i="22"/>
  <c r="H55" i="22"/>
  <c r="H59" i="22"/>
  <c r="H58" i="22"/>
  <c r="H63" i="22"/>
  <c r="H60" i="22"/>
  <c r="H64" i="22"/>
  <c r="AI215" i="2" l="1"/>
  <c r="AI210" i="2"/>
  <c r="L3" i="22"/>
  <c r="M3" i="22"/>
  <c r="N3" i="22"/>
  <c r="O3" i="22"/>
  <c r="P3" i="22"/>
  <c r="Q3" i="22"/>
  <c r="R3" i="22"/>
  <c r="S3" i="22"/>
  <c r="T3" i="22"/>
  <c r="U3" i="22"/>
  <c r="V3" i="22"/>
  <c r="K3" i="22"/>
  <c r="D29" i="1" l="1" a="1"/>
  <c r="D29" i="1" s="1"/>
  <c r="AI245" i="2" l="1"/>
  <c r="G15" i="22" l="1"/>
  <c r="A6" i="24" l="1"/>
  <c r="AD3" i="1" l="1"/>
  <c r="AC3" i="1"/>
  <c r="AB3" i="1"/>
  <c r="AA3" i="1"/>
  <c r="Z3" i="1"/>
  <c r="Y3" i="1"/>
  <c r="X3" i="1"/>
  <c r="W3" i="1"/>
  <c r="V3" i="1"/>
  <c r="U3" i="1"/>
  <c r="T3" i="1"/>
  <c r="S3" i="1"/>
  <c r="R3" i="1"/>
  <c r="Q3" i="1"/>
  <c r="P3" i="1"/>
  <c r="O3" i="1"/>
  <c r="N3" i="1"/>
  <c r="M3" i="1"/>
  <c r="L3" i="1"/>
  <c r="K3" i="1"/>
  <c r="J3" i="1"/>
  <c r="I3" i="1"/>
  <c r="H3" i="1"/>
  <c r="G3" i="1"/>
  <c r="G38" i="16" l="1"/>
  <c r="G15" i="16"/>
  <c r="G62" i="16" l="1"/>
  <c r="F18" i="1" l="1"/>
  <c r="F29" i="1" l="1"/>
  <c r="F28" i="1"/>
  <c r="W11" i="2" l="1"/>
  <c r="H11" i="2" s="1"/>
  <c r="W20" i="2"/>
  <c r="W238" i="2" l="1"/>
  <c r="H238" i="2" s="1"/>
  <c r="H203" i="2" l="1"/>
  <c r="AI266" i="2"/>
  <c r="G14" i="1"/>
  <c r="F15" i="1"/>
  <c r="W19" i="2" l="1"/>
  <c r="F4" i="22" l="1"/>
  <c r="H4" i="22" s="1"/>
  <c r="I35" i="1" l="1"/>
  <c r="I34" i="1"/>
  <c r="H35" i="1"/>
  <c r="H34" i="1"/>
  <c r="G35" i="1"/>
  <c r="G34" i="1"/>
  <c r="F35" i="1"/>
  <c r="F34" i="1" a="1"/>
  <c r="F34" i="1" s="1"/>
  <c r="E35" i="1"/>
  <c r="E34" i="1"/>
  <c r="D35" i="1" a="1"/>
  <c r="D35" i="1" s="1"/>
  <c r="D34" i="1" a="1"/>
  <c r="D34" i="1" s="1"/>
  <c r="B35" i="1"/>
  <c r="B34" i="1"/>
  <c r="F38" i="1"/>
  <c r="D33" i="1" l="1" a="1"/>
  <c r="D33" i="1" s="1"/>
  <c r="D32" i="1" s="1"/>
  <c r="D31" i="1" a="1"/>
  <c r="D31" i="1" s="1"/>
  <c r="D30" i="1" a="1"/>
  <c r="D30" i="1" s="1"/>
  <c r="D28" i="1" s="1"/>
  <c r="W141" i="2" l="1"/>
  <c r="H141" i="2" s="1"/>
  <c r="W258" i="2" l="1"/>
  <c r="W269" i="2" l="1"/>
  <c r="AI258" i="2" l="1"/>
  <c r="AI257" i="2"/>
  <c r="AI278" i="2" l="1"/>
  <c r="H278" i="2"/>
  <c r="A29" i="2" l="1"/>
  <c r="G5" i="1" l="1"/>
  <c r="F6" i="22" l="1"/>
  <c r="F8" i="22"/>
  <c r="F13" i="22"/>
  <c r="H301" i="2" l="1"/>
  <c r="B28" i="1" l="1"/>
  <c r="G52" i="16" l="1"/>
  <c r="G53" i="16"/>
  <c r="H48" i="22" l="1"/>
  <c r="H51" i="22"/>
  <c r="H53" i="22"/>
  <c r="H6" i="22"/>
  <c r="F3" i="22"/>
  <c r="H263" i="2" l="1"/>
  <c r="AI263" i="2" l="1"/>
  <c r="F15" i="22" l="1"/>
  <c r="H15" i="22" s="1"/>
  <c r="E15" i="22" l="1"/>
  <c r="H7" i="22"/>
  <c r="A12" i="22" l="1"/>
  <c r="A10" i="22"/>
  <c r="E3" i="22"/>
  <c r="H3" i="22" s="1"/>
  <c r="AI282" i="2" l="1"/>
  <c r="AI283" i="2"/>
  <c r="AI276" i="2" l="1"/>
  <c r="H276" i="2"/>
  <c r="AI265" i="2" l="1"/>
  <c r="H265" i="2"/>
  <c r="AD5" i="1" l="1"/>
  <c r="AC5" i="1"/>
  <c r="AB5" i="1"/>
  <c r="AA5" i="1"/>
  <c r="Z5" i="1"/>
  <c r="Y5" i="1"/>
  <c r="X5" i="1"/>
  <c r="W5" i="1"/>
  <c r="V5" i="1"/>
  <c r="U5" i="1"/>
  <c r="T5" i="1"/>
  <c r="S5" i="1"/>
  <c r="R5" i="1"/>
  <c r="Q5" i="1"/>
  <c r="P5" i="1"/>
  <c r="O5" i="1"/>
  <c r="N5" i="1"/>
  <c r="M5" i="1"/>
  <c r="L5" i="1"/>
  <c r="K5" i="1"/>
  <c r="J5" i="1"/>
  <c r="I5" i="1"/>
  <c r="H5" i="1"/>
  <c r="AI270" i="2" l="1"/>
  <c r="H270" i="2"/>
  <c r="AI281" i="2" l="1"/>
  <c r="H255" i="2" l="1"/>
  <c r="H256" i="2"/>
  <c r="H257" i="2"/>
  <c r="H258" i="2"/>
  <c r="H259" i="2"/>
  <c r="H260" i="2"/>
  <c r="H264" i="2"/>
  <c r="H266" i="2"/>
  <c r="H268" i="2"/>
  <c r="H269" i="2"/>
  <c r="H271" i="2"/>
  <c r="H272" i="2"/>
  <c r="H273" i="2"/>
  <c r="H274" i="2"/>
  <c r="H275" i="2"/>
  <c r="H277" i="2"/>
  <c r="H279" i="2"/>
  <c r="H280" i="2"/>
  <c r="H281" i="2"/>
  <c r="H282" i="2"/>
  <c r="H283" i="2"/>
  <c r="W10" i="2" l="1"/>
  <c r="H10" i="2" s="1"/>
  <c r="A74" i="2" l="1"/>
  <c r="AI275" i="2"/>
  <c r="E33" i="1"/>
  <c r="AI272" i="2" l="1"/>
  <c r="AI273" i="2"/>
  <c r="AI274" i="2"/>
  <c r="AI277" i="2"/>
  <c r="AI279" i="2"/>
  <c r="AI280" i="2"/>
  <c r="AI271" i="2"/>
  <c r="AI267" i="2"/>
  <c r="AI299" i="2"/>
  <c r="H299" i="2"/>
  <c r="A26" i="11" l="1"/>
  <c r="A24" i="11"/>
  <c r="D4" i="7"/>
  <c r="D3"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2" i="7"/>
  <c r="C3" i="7"/>
  <c r="C4" i="7"/>
  <c r="C5" i="7"/>
  <c r="C6" i="7"/>
  <c r="C7" i="7"/>
  <c r="C8" i="7"/>
  <c r="C9" i="7"/>
  <c r="C10" i="7"/>
  <c r="C11" i="7"/>
  <c r="C12" i="7"/>
  <c r="C13" i="7"/>
  <c r="C14" i="7"/>
  <c r="C15" i="7"/>
  <c r="C16" i="7"/>
  <c r="C17" i="7"/>
  <c r="C18" i="7"/>
  <c r="C19" i="7"/>
  <c r="C20" i="7"/>
  <c r="C21" i="7"/>
  <c r="C22" i="7"/>
  <c r="C23" i="7"/>
  <c r="C24" i="7"/>
  <c r="C25" i="7"/>
  <c r="C26" i="7"/>
  <c r="C27" i="7"/>
  <c r="C28" i="7"/>
  <c r="C29" i="7"/>
  <c r="C30" i="7"/>
  <c r="C31" i="7"/>
  <c r="C32" i="7"/>
  <c r="C33" i="7"/>
  <c r="C34" i="7"/>
  <c r="C35" i="7"/>
  <c r="C36" i="7"/>
  <c r="C37" i="7"/>
  <c r="C38" i="7"/>
  <c r="C39" i="7"/>
  <c r="C40" i="7"/>
  <c r="C41" i="7"/>
  <c r="C42" i="7"/>
  <c r="C43" i="7"/>
  <c r="C44" i="7"/>
  <c r="C45" i="7"/>
  <c r="C46" i="7"/>
  <c r="C47" i="7"/>
  <c r="C48" i="7"/>
  <c r="C49" i="7"/>
  <c r="C50" i="7"/>
  <c r="C51" i="7"/>
  <c r="C52" i="7"/>
  <c r="C53" i="7"/>
  <c r="C54" i="7"/>
  <c r="C55" i="7"/>
  <c r="C56" i="7"/>
  <c r="B3" i="7"/>
  <c r="B4" i="7"/>
  <c r="C2"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2" i="7"/>
  <c r="B33" i="1"/>
  <c r="B32" i="1" s="1"/>
  <c r="A22" i="11"/>
  <c r="E28" i="1"/>
  <c r="E31" i="1"/>
  <c r="E30" i="1"/>
  <c r="E29" i="1"/>
  <c r="B31" i="1"/>
  <c r="B30" i="1"/>
  <c r="F33" i="1"/>
  <c r="F31" i="1"/>
  <c r="F30" i="1"/>
  <c r="H28" i="1"/>
  <c r="H33" i="1"/>
  <c r="G33" i="1"/>
  <c r="H31" i="1"/>
  <c r="G31" i="1"/>
  <c r="H30" i="1"/>
  <c r="G30" i="1"/>
  <c r="H29" i="1"/>
  <c r="G29" i="1"/>
  <c r="I29" i="1"/>
  <c r="I30" i="1"/>
  <c r="I31" i="1"/>
  <c r="I33" i="1"/>
  <c r="I28" i="1"/>
  <c r="B42" i="1" l="1"/>
  <c r="G32" i="1"/>
  <c r="F32" i="1"/>
  <c r="E32" i="1"/>
  <c r="H32" i="1"/>
  <c r="I32" i="1"/>
  <c r="AI262" i="2"/>
  <c r="AI260" i="2"/>
  <c r="AI259" i="2"/>
  <c r="AI264" i="2"/>
  <c r="H262" i="2" l="1"/>
  <c r="V267" i="2"/>
  <c r="H267" i="2" s="1"/>
  <c r="A6" i="16" l="1"/>
  <c r="A6" i="22"/>
  <c r="H15" i="16"/>
  <c r="F14" i="16" l="1"/>
  <c r="I58" i="16"/>
  <c r="H53" i="16"/>
  <c r="I53" i="16" s="1"/>
  <c r="H54" i="16"/>
  <c r="I54" i="16" s="1"/>
  <c r="H55" i="16"/>
  <c r="I55" i="16" s="1"/>
  <c r="H56" i="16"/>
  <c r="I56" i="16" s="1"/>
  <c r="H57" i="16"/>
  <c r="I57" i="16" s="1"/>
  <c r="H47" i="16" l="1"/>
  <c r="H48" i="16"/>
  <c r="H49" i="16"/>
  <c r="H50" i="16"/>
  <c r="H51" i="16"/>
  <c r="H52" i="16"/>
  <c r="H60" i="16"/>
  <c r="H61" i="16"/>
  <c r="H62" i="16"/>
  <c r="H63" i="16"/>
  <c r="I63" i="16" s="1"/>
  <c r="H64" i="16"/>
  <c r="H65" i="16"/>
  <c r="H66" i="16"/>
  <c r="H67" i="16"/>
  <c r="H68" i="16"/>
  <c r="H69" i="16"/>
  <c r="H70" i="16"/>
  <c r="H71" i="16"/>
  <c r="H72" i="16"/>
  <c r="H73" i="16"/>
  <c r="H74" i="16"/>
  <c r="H59" i="16"/>
  <c r="I59" i="16" s="1"/>
  <c r="H16" i="16"/>
  <c r="H17" i="16"/>
  <c r="H18" i="16"/>
  <c r="H19" i="16"/>
  <c r="H20" i="16"/>
  <c r="H21" i="16"/>
  <c r="H22" i="16"/>
  <c r="H23" i="16"/>
  <c r="I23" i="16" s="1"/>
  <c r="H24" i="16"/>
  <c r="I24" i="16" s="1"/>
  <c r="H25" i="16"/>
  <c r="H26" i="16"/>
  <c r="I26" i="16" s="1"/>
  <c r="H27" i="16"/>
  <c r="H28" i="16"/>
  <c r="H29" i="16"/>
  <c r="I29" i="16" s="1"/>
  <c r="H30" i="16"/>
  <c r="H31" i="16"/>
  <c r="H32" i="16"/>
  <c r="I32" i="16" s="1"/>
  <c r="H33" i="16"/>
  <c r="H34" i="16"/>
  <c r="H35" i="16"/>
  <c r="I35" i="16" s="1"/>
  <c r="H36" i="16"/>
  <c r="H37" i="16"/>
  <c r="H38" i="16"/>
  <c r="I38" i="16" s="1"/>
  <c r="H39" i="16"/>
  <c r="H40" i="16"/>
  <c r="I40" i="16" s="1"/>
  <c r="H41" i="16"/>
  <c r="H42" i="16"/>
  <c r="I42" i="16" s="1"/>
  <c r="H43" i="16"/>
  <c r="H44" i="16"/>
  <c r="H45" i="16"/>
  <c r="H46" i="16"/>
  <c r="I46" i="16" s="1"/>
  <c r="I15" i="16"/>
  <c r="AI307" i="2"/>
  <c r="H307" i="2"/>
  <c r="AI306" i="2"/>
  <c r="H306" i="2"/>
  <c r="AI305" i="2"/>
  <c r="H305" i="2"/>
  <c r="AI304" i="2"/>
  <c r="H304" i="2"/>
  <c r="AI303" i="2"/>
  <c r="H303" i="2"/>
  <c r="AI302" i="2"/>
  <c r="H302" i="2"/>
  <c r="AI301" i="2"/>
  <c r="AI300" i="2"/>
  <c r="H300" i="2"/>
  <c r="H298" i="2"/>
  <c r="AI297" i="2"/>
  <c r="H297" i="2"/>
  <c r="V296" i="2"/>
  <c r="H296" i="2" s="1"/>
  <c r="AI295" i="2"/>
  <c r="V295" i="2"/>
  <c r="H295" i="2" s="1"/>
  <c r="AI294" i="2"/>
  <c r="H294" i="2"/>
  <c r="H293" i="2"/>
  <c r="H292" i="2"/>
  <c r="AI291" i="2"/>
  <c r="H291" i="2"/>
  <c r="AI290" i="2"/>
  <c r="AI289" i="2"/>
  <c r="H289" i="2"/>
  <c r="H288" i="2"/>
  <c r="AI286" i="2"/>
  <c r="H286" i="2"/>
  <c r="AI285" i="2"/>
  <c r="H285" i="2"/>
  <c r="H24" i="1"/>
  <c r="G14" i="16"/>
  <c r="C7" i="20"/>
  <c r="A10" i="16"/>
  <c r="F7" i="16"/>
  <c r="H7" i="16" s="1"/>
  <c r="F8" i="16"/>
  <c r="H8" i="16" s="1"/>
  <c r="F9" i="16"/>
  <c r="H9" i="16" s="1"/>
  <c r="F10" i="16"/>
  <c r="H10" i="16" s="1"/>
  <c r="F11" i="16"/>
  <c r="H11" i="16" s="1"/>
  <c r="F12" i="16"/>
  <c r="H12" i="16" s="1"/>
  <c r="F6" i="16"/>
  <c r="H6" i="16" s="1"/>
  <c r="F4" i="16"/>
  <c r="H4" i="16" s="1"/>
  <c r="L7" i="20"/>
  <c r="I7" i="20"/>
  <c r="F7" i="20"/>
  <c r="V19" i="2"/>
  <c r="H19" i="2" s="1"/>
  <c r="V20" i="2"/>
  <c r="H20" i="2" s="1"/>
  <c r="H7" i="1"/>
  <c r="G7" i="1"/>
  <c r="H14" i="1"/>
  <c r="E14" i="16"/>
  <c r="I48" i="9"/>
  <c r="F8" i="9"/>
  <c r="A28" i="11"/>
  <c r="AI511" i="2"/>
  <c r="AI484" i="2"/>
  <c r="AI371" i="2"/>
  <c r="AI378" i="2"/>
  <c r="AI380" i="2"/>
  <c r="AI382" i="2"/>
  <c r="AI387" i="2"/>
  <c r="AI388" i="2"/>
  <c r="AI394" i="2"/>
  <c r="AI395" i="2"/>
  <c r="AI396" i="2"/>
  <c r="AI398" i="2"/>
  <c r="AI399" i="2"/>
  <c r="AI402" i="2"/>
  <c r="AI403" i="2"/>
  <c r="AI404" i="2"/>
  <c r="AI406" i="2"/>
  <c r="AI407" i="2"/>
  <c r="AI408" i="2"/>
  <c r="AI409" i="2"/>
  <c r="AI416" i="2"/>
  <c r="AI418" i="2"/>
  <c r="AI420" i="2"/>
  <c r="AI422" i="2"/>
  <c r="AI423" i="2"/>
  <c r="AI426" i="2"/>
  <c r="AI428" i="2"/>
  <c r="AI429" i="2"/>
  <c r="AI430" i="2"/>
  <c r="AI431" i="2"/>
  <c r="AI432" i="2"/>
  <c r="AI435" i="2"/>
  <c r="AI436" i="2"/>
  <c r="AI439" i="2"/>
  <c r="AI443" i="2"/>
  <c r="AI444" i="2"/>
  <c r="AI446" i="2"/>
  <c r="AI447" i="2"/>
  <c r="AI449" i="2"/>
  <c r="AI454" i="2"/>
  <c r="AI459" i="2"/>
  <c r="AI460" i="2"/>
  <c r="AI461" i="2"/>
  <c r="AI462" i="2"/>
  <c r="AI464" i="2"/>
  <c r="AI465" i="2"/>
  <c r="AI466" i="2"/>
  <c r="AI467" i="2"/>
  <c r="AI468" i="2"/>
  <c r="AI470" i="2"/>
  <c r="AI474" i="2"/>
  <c r="AI477" i="2"/>
  <c r="AI478" i="2"/>
  <c r="AI479" i="2"/>
  <c r="AI482" i="2"/>
  <c r="AI483" i="2"/>
  <c r="AI486" i="2"/>
  <c r="AI488" i="2"/>
  <c r="AI489" i="2"/>
  <c r="AI490" i="2"/>
  <c r="AI491" i="2"/>
  <c r="AI492" i="2"/>
  <c r="AI493" i="2"/>
  <c r="AI496" i="2"/>
  <c r="AI497" i="2"/>
  <c r="AI498" i="2"/>
  <c r="AI499" i="2"/>
  <c r="AI500" i="2"/>
  <c r="AI501" i="2"/>
  <c r="AI502" i="2"/>
  <c r="AI503" i="2"/>
  <c r="AI506" i="2"/>
  <c r="AI507" i="2"/>
  <c r="AI508" i="2"/>
  <c r="AI509" i="2"/>
  <c r="AI512" i="2"/>
  <c r="AI516" i="2"/>
  <c r="AI517" i="2"/>
  <c r="AI518" i="2"/>
  <c r="AI520" i="2"/>
  <c r="AI521" i="2"/>
  <c r="AI522" i="2"/>
  <c r="AI524" i="2"/>
  <c r="AI525" i="2"/>
  <c r="AI526" i="2"/>
  <c r="AI527" i="2"/>
  <c r="AI528" i="2"/>
  <c r="AI529" i="2"/>
  <c r="AI530" i="2"/>
  <c r="AI531" i="2"/>
  <c r="AI536" i="2"/>
  <c r="AI537" i="2"/>
  <c r="AI539" i="2"/>
  <c r="AI541" i="2"/>
  <c r="AI543" i="2"/>
  <c r="AI547" i="2"/>
  <c r="AI548" i="2"/>
  <c r="AI549" i="2"/>
  <c r="AI550" i="2"/>
  <c r="AI552" i="2"/>
  <c r="AI553" i="2"/>
  <c r="AI555" i="2"/>
  <c r="AI558" i="2"/>
  <c r="AI559" i="2"/>
  <c r="AI563" i="2"/>
  <c r="AI564" i="2"/>
  <c r="AI566" i="2"/>
  <c r="AI568" i="2"/>
  <c r="AI570" i="2"/>
  <c r="AI571" i="2"/>
  <c r="AI573" i="2"/>
  <c r="AI574" i="2"/>
  <c r="AI577" i="2"/>
  <c r="AI579" i="2"/>
  <c r="AI583" i="2"/>
  <c r="AI587" i="2"/>
  <c r="AI588" i="2"/>
  <c r="AI589" i="2"/>
  <c r="AI595" i="2"/>
  <c r="AI597" i="2"/>
  <c r="AI598" i="2"/>
  <c r="AI600" i="2"/>
  <c r="AI601" i="2"/>
  <c r="AI602" i="2"/>
  <c r="AI603" i="2"/>
  <c r="AI604" i="2"/>
  <c r="AI683" i="2"/>
  <c r="AI365" i="2"/>
  <c r="AI352" i="2"/>
  <c r="AI342" i="2"/>
  <c r="AI310" i="2"/>
  <c r="AI351" i="2"/>
  <c r="AI343" i="2"/>
  <c r="AI336" i="2"/>
  <c r="AI335" i="2"/>
  <c r="AI331" i="2"/>
  <c r="AI327" i="2"/>
  <c r="AI322" i="2"/>
  <c r="AI321" i="2"/>
  <c r="AI319" i="2"/>
  <c r="H703" i="2"/>
  <c r="H706" i="2"/>
  <c r="H707" i="2"/>
  <c r="H708" i="2"/>
  <c r="H710" i="2"/>
  <c r="H712" i="2"/>
  <c r="H714" i="2"/>
  <c r="H715" i="2"/>
  <c r="H716" i="2"/>
  <c r="H717" i="2"/>
  <c r="H718" i="2"/>
  <c r="H719" i="2"/>
  <c r="H720" i="2"/>
  <c r="H722" i="2"/>
  <c r="H723" i="2"/>
  <c r="H724" i="2"/>
  <c r="H725" i="2"/>
  <c r="H726" i="2"/>
  <c r="H727" i="2"/>
  <c r="H728" i="2"/>
  <c r="H309" i="2"/>
  <c r="H310" i="2"/>
  <c r="H312" i="2"/>
  <c r="H313" i="2"/>
  <c r="H314" i="2"/>
  <c r="H316" i="2"/>
  <c r="H317" i="2"/>
  <c r="H318" i="2"/>
  <c r="H319" i="2"/>
  <c r="H322" i="2"/>
  <c r="H323" i="2"/>
  <c r="H324" i="2"/>
  <c r="H325" i="2"/>
  <c r="H326" i="2"/>
  <c r="H330" i="2"/>
  <c r="H331" i="2"/>
  <c r="H332" i="2"/>
  <c r="H333" i="2"/>
  <c r="H334" i="2"/>
  <c r="H335" i="2"/>
  <c r="H336" i="2"/>
  <c r="H339" i="2"/>
  <c r="H340" i="2"/>
  <c r="H341" i="2"/>
  <c r="H344" i="2"/>
  <c r="H345" i="2"/>
  <c r="H349" i="2"/>
  <c r="H350" i="2"/>
  <c r="H351" i="2"/>
  <c r="H352" i="2"/>
  <c r="H353" i="2"/>
  <c r="H354" i="2"/>
  <c r="H356" i="2"/>
  <c r="H357" i="2"/>
  <c r="H360" i="2"/>
  <c r="H361" i="2"/>
  <c r="H362" i="2"/>
  <c r="H363" i="2"/>
  <c r="H364" i="2"/>
  <c r="H365" i="2"/>
  <c r="H366" i="2"/>
  <c r="H367" i="2"/>
  <c r="H368" i="2"/>
  <c r="H369" i="2"/>
  <c r="H370" i="2"/>
  <c r="H371" i="2"/>
  <c r="H373" i="2"/>
  <c r="H374" i="2"/>
  <c r="H375" i="2"/>
  <c r="H377" i="2"/>
  <c r="H378" i="2"/>
  <c r="H379" i="2"/>
  <c r="H381" i="2"/>
  <c r="H383" i="2"/>
  <c r="H385" i="2"/>
  <c r="H386" i="2"/>
  <c r="H387" i="2"/>
  <c r="H388" i="2"/>
  <c r="H389" i="2"/>
  <c r="H391" i="2"/>
  <c r="H392" i="2"/>
  <c r="H393" i="2"/>
  <c r="H394" i="2"/>
  <c r="H395" i="2"/>
  <c r="H396" i="2"/>
  <c r="H397" i="2"/>
  <c r="H398" i="2"/>
  <c r="H399" i="2"/>
  <c r="H400" i="2"/>
  <c r="H401" i="2"/>
  <c r="H402" i="2"/>
  <c r="H405" i="2"/>
  <c r="H408" i="2"/>
  <c r="H409" i="2"/>
  <c r="H410" i="2"/>
  <c r="H411" i="2"/>
  <c r="H412" i="2"/>
  <c r="H415"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50" i="2"/>
  <c r="H452" i="2"/>
  <c r="H453" i="2"/>
  <c r="H454" i="2"/>
  <c r="H455" i="2"/>
  <c r="H456" i="2"/>
  <c r="H457" i="2"/>
  <c r="H458" i="2"/>
  <c r="H459" i="2"/>
  <c r="H460" i="2"/>
  <c r="H461" i="2"/>
  <c r="H462" i="2"/>
  <c r="H463" i="2"/>
  <c r="H464" i="2"/>
  <c r="H466" i="2"/>
  <c r="H467" i="2"/>
  <c r="H468" i="2"/>
  <c r="H469" i="2"/>
  <c r="H470" i="2"/>
  <c r="H471" i="2"/>
  <c r="H472" i="2"/>
  <c r="H473" i="2"/>
  <c r="H475" i="2"/>
  <c r="H477" i="2"/>
  <c r="H479" i="2"/>
  <c r="H480" i="2"/>
  <c r="H481" i="2"/>
  <c r="H482" i="2"/>
  <c r="H483" i="2"/>
  <c r="H484" i="2"/>
  <c r="H485" i="2"/>
  <c r="H486" i="2"/>
  <c r="H487" i="2"/>
  <c r="H488" i="2"/>
  <c r="H489" i="2"/>
  <c r="H490" i="2"/>
  <c r="H491" i="2"/>
  <c r="H492" i="2"/>
  <c r="H493" i="2"/>
  <c r="H494" i="2"/>
  <c r="H495" i="2"/>
  <c r="H496" i="2"/>
  <c r="H498" i="2"/>
  <c r="H499" i="2"/>
  <c r="H501" i="2"/>
  <c r="H504" i="2"/>
  <c r="H505" i="2"/>
  <c r="H506" i="2"/>
  <c r="H507" i="2"/>
  <c r="H508" i="2"/>
  <c r="H510" i="2"/>
  <c r="H512" i="2"/>
  <c r="H513" i="2"/>
  <c r="H515" i="2"/>
  <c r="H516" i="2"/>
  <c r="H518" i="2"/>
  <c r="H519" i="2"/>
  <c r="H521" i="2"/>
  <c r="H522" i="2"/>
  <c r="H523" i="2"/>
  <c r="H524" i="2"/>
  <c r="H525" i="2"/>
  <c r="H526" i="2"/>
  <c r="H527" i="2"/>
  <c r="H528" i="2"/>
  <c r="H529" i="2"/>
  <c r="H530" i="2"/>
  <c r="H531" i="2"/>
  <c r="H532" i="2"/>
  <c r="H533" i="2"/>
  <c r="H534" i="2"/>
  <c r="H535" i="2"/>
  <c r="H536" i="2"/>
  <c r="H537" i="2"/>
  <c r="H538" i="2"/>
  <c r="H539" i="2"/>
  <c r="H540" i="2"/>
  <c r="H541" i="2"/>
  <c r="H542" i="2"/>
  <c r="H543" i="2"/>
  <c r="H547" i="2"/>
  <c r="H548" i="2"/>
  <c r="H549" i="2"/>
  <c r="H552" i="2"/>
  <c r="H554" i="2"/>
  <c r="H555" i="2"/>
  <c r="H556" i="2"/>
  <c r="H559" i="2"/>
  <c r="H560" i="2"/>
  <c r="H561" i="2"/>
  <c r="H562" i="2"/>
  <c r="H563" i="2"/>
  <c r="H564" i="2"/>
  <c r="H565" i="2"/>
  <c r="H566" i="2"/>
  <c r="H567" i="2"/>
  <c r="H568" i="2"/>
  <c r="H571" i="2"/>
  <c r="H574" i="2"/>
  <c r="H575" i="2"/>
  <c r="H576" i="2"/>
  <c r="H577" i="2"/>
  <c r="H578" i="2"/>
  <c r="H582" i="2"/>
  <c r="H584" i="2"/>
  <c r="H585" i="2"/>
  <c r="H586" i="2"/>
  <c r="H587" i="2"/>
  <c r="H588" i="2"/>
  <c r="H590" i="2"/>
  <c r="H591" i="2"/>
  <c r="H592" i="2"/>
  <c r="H593" i="2"/>
  <c r="H594" i="2"/>
  <c r="H595" i="2"/>
  <c r="H596" i="2"/>
  <c r="H597" i="2"/>
  <c r="H599" i="2"/>
  <c r="H600" i="2"/>
  <c r="H603" i="2"/>
  <c r="H604" i="2"/>
  <c r="H606" i="2"/>
  <c r="H607" i="2"/>
  <c r="H610" i="2"/>
  <c r="H611" i="2"/>
  <c r="H612" i="2"/>
  <c r="H613" i="2"/>
  <c r="H614" i="2"/>
  <c r="H616" i="2"/>
  <c r="H617" i="2"/>
  <c r="H618" i="2"/>
  <c r="H621" i="2"/>
  <c r="H625" i="2"/>
  <c r="H626" i="2"/>
  <c r="H628" i="2"/>
  <c r="H631" i="2"/>
  <c r="H632" i="2"/>
  <c r="H634" i="2"/>
  <c r="H635" i="2"/>
  <c r="H637" i="2"/>
  <c r="H638" i="2"/>
  <c r="H640" i="2"/>
  <c r="H641" i="2"/>
  <c r="H643" i="2"/>
  <c r="H644" i="2"/>
  <c r="H645" i="2"/>
  <c r="H646" i="2"/>
  <c r="H647" i="2"/>
  <c r="H648" i="2"/>
  <c r="H649" i="2"/>
  <c r="H650" i="2"/>
  <c r="H651" i="2"/>
  <c r="H652" i="2"/>
  <c r="H653" i="2"/>
  <c r="H654" i="2"/>
  <c r="H655" i="2"/>
  <c r="H658" i="2"/>
  <c r="H659" i="2"/>
  <c r="H660" i="2"/>
  <c r="H662" i="2"/>
  <c r="H664" i="2"/>
  <c r="H665" i="2"/>
  <c r="H666" i="2"/>
  <c r="H667" i="2"/>
  <c r="H668" i="2"/>
  <c r="H669" i="2"/>
  <c r="H670" i="2"/>
  <c r="H671" i="2"/>
  <c r="H672" i="2"/>
  <c r="H673" i="2"/>
  <c r="H676" i="2"/>
  <c r="H677" i="2"/>
  <c r="H678" i="2"/>
  <c r="H680" i="2"/>
  <c r="H682" i="2"/>
  <c r="H683" i="2"/>
  <c r="H685" i="2"/>
  <c r="H686" i="2"/>
  <c r="H687" i="2"/>
  <c r="H688" i="2"/>
  <c r="H689" i="2"/>
  <c r="H690" i="2"/>
  <c r="H691" i="2"/>
  <c r="H692" i="2"/>
  <c r="H694" i="2"/>
  <c r="H695" i="2"/>
  <c r="H697" i="2"/>
  <c r="H698" i="2"/>
  <c r="H699" i="2"/>
  <c r="H700" i="2"/>
  <c r="R380" i="2"/>
  <c r="H380" i="2" s="1"/>
  <c r="Q320" i="2"/>
  <c r="U320" i="2"/>
  <c r="T315" i="2"/>
  <c r="U315" i="2"/>
  <c r="U327" i="2"/>
  <c r="H327" i="2" s="1"/>
  <c r="U329" i="2"/>
  <c r="H329" i="2" s="1"/>
  <c r="R372" i="2"/>
  <c r="T372" i="2"/>
  <c r="S404" i="2"/>
  <c r="H404" i="2" s="1"/>
  <c r="R406" i="2"/>
  <c r="S406" i="2"/>
  <c r="S403" i="2"/>
  <c r="H403" i="2" s="1"/>
  <c r="I729" i="2"/>
  <c r="H729" i="2" s="1"/>
  <c r="I684" i="2"/>
  <c r="I679" i="2"/>
  <c r="H679" i="2" s="1"/>
  <c r="I609" i="2"/>
  <c r="I713" i="2"/>
  <c r="H713" i="2" s="1"/>
  <c r="I674" i="2"/>
  <c r="H674" i="2" s="1"/>
  <c r="I721" i="2"/>
  <c r="H721" i="2" s="1"/>
  <c r="I709" i="2"/>
  <c r="H709" i="2" s="1"/>
  <c r="I711" i="2"/>
  <c r="H711" i="2" s="1"/>
  <c r="I693" i="2"/>
  <c r="H693" i="2" s="1"/>
  <c r="I704" i="2"/>
  <c r="H704" i="2" s="1"/>
  <c r="I705" i="2"/>
  <c r="H705" i="2" s="1"/>
  <c r="J609" i="2"/>
  <c r="J663" i="2"/>
  <c r="H663" i="2" s="1"/>
  <c r="J696" i="2"/>
  <c r="H696" i="2" s="1"/>
  <c r="J681" i="2"/>
  <c r="H681" i="2" s="1"/>
  <c r="J684" i="2"/>
  <c r="J701" i="2"/>
  <c r="H701" i="2" s="1"/>
  <c r="K609" i="2"/>
  <c r="K656" i="2"/>
  <c r="H656" i="2" s="1"/>
  <c r="K624" i="2"/>
  <c r="H624" i="2" s="1"/>
  <c r="K557" i="2"/>
  <c r="K639" i="2"/>
  <c r="K661" i="2"/>
  <c r="H661" i="2" s="1"/>
  <c r="K657" i="2"/>
  <c r="H657" i="2" s="1"/>
  <c r="K627" i="2"/>
  <c r="H627" i="2" s="1"/>
  <c r="K320" i="2"/>
  <c r="K608" i="2"/>
  <c r="H608" i="2" s="1"/>
  <c r="K615" i="2"/>
  <c r="H615" i="2" s="1"/>
  <c r="L609" i="2"/>
  <c r="L633" i="2"/>
  <c r="H633" i="2" s="1"/>
  <c r="L629" i="2"/>
  <c r="H629" i="2" s="1"/>
  <c r="L636" i="2"/>
  <c r="H636" i="2" s="1"/>
  <c r="L623" i="2"/>
  <c r="H623" i="2" s="1"/>
  <c r="L546" i="2"/>
  <c r="L570" i="2"/>
  <c r="L639" i="2"/>
  <c r="L619" i="2"/>
  <c r="H619" i="2" s="1"/>
  <c r="M601" i="2"/>
  <c r="H601" i="2" s="1"/>
  <c r="L622" i="2"/>
  <c r="H622" i="2" s="1"/>
  <c r="L630" i="2"/>
  <c r="H630" i="2" s="1"/>
  <c r="L320" i="2"/>
  <c r="L620" i="2"/>
  <c r="H620" i="2" s="1"/>
  <c r="M572" i="2"/>
  <c r="M558" i="2"/>
  <c r="H558" i="2" s="1"/>
  <c r="M589" i="2"/>
  <c r="H589" i="2" s="1"/>
  <c r="M320" i="2"/>
  <c r="M583" i="2"/>
  <c r="H583" i="2" s="1"/>
  <c r="M570" i="2"/>
  <c r="M546" i="2"/>
  <c r="M557" i="2"/>
  <c r="M602" i="2"/>
  <c r="H602" i="2" s="1"/>
  <c r="M581" i="2"/>
  <c r="H581" i="2" s="1"/>
  <c r="M598" i="2"/>
  <c r="H598" i="2" s="1"/>
  <c r="N551" i="2"/>
  <c r="H551" i="2" s="1"/>
  <c r="N520" i="2"/>
  <c r="H520" i="2" s="1"/>
  <c r="N320" i="2"/>
  <c r="N550" i="2"/>
  <c r="H550" i="2" s="1"/>
  <c r="N579" i="2"/>
  <c r="H579" i="2" s="1"/>
  <c r="N546" i="2"/>
  <c r="N569" i="2"/>
  <c r="H569" i="2" s="1"/>
  <c r="N545" i="2"/>
  <c r="H545" i="2" s="1"/>
  <c r="N553" i="2"/>
  <c r="H553" i="2" s="1"/>
  <c r="N572" i="2"/>
  <c r="N573" i="2"/>
  <c r="H573" i="2" s="1"/>
  <c r="N342" i="2"/>
  <c r="H342" i="2" s="1"/>
  <c r="I14" i="9"/>
  <c r="I63" i="9"/>
  <c r="I29" i="9"/>
  <c r="I18" i="9"/>
  <c r="G8" i="9"/>
  <c r="A12" i="9" s="1"/>
  <c r="I12" i="9"/>
  <c r="I17" i="9"/>
  <c r="I20" i="9"/>
  <c r="I23" i="9"/>
  <c r="I25" i="9"/>
  <c r="I26" i="9"/>
  <c r="I28" i="9"/>
  <c r="I31" i="9"/>
  <c r="I32" i="9"/>
  <c r="I34" i="9"/>
  <c r="I35" i="9"/>
  <c r="I36" i="9"/>
  <c r="I40" i="9"/>
  <c r="I41" i="9"/>
  <c r="I43" i="9"/>
  <c r="I44" i="9"/>
  <c r="I45" i="9"/>
  <c r="I46" i="9"/>
  <c r="I47" i="9"/>
  <c r="I51" i="9"/>
  <c r="I52" i="9"/>
  <c r="I10" i="9"/>
  <c r="I9" i="9"/>
  <c r="Z15" i="1"/>
  <c r="Y15" i="1"/>
  <c r="X15" i="1"/>
  <c r="W15" i="1"/>
  <c r="V15" i="1"/>
  <c r="U15" i="1"/>
  <c r="T15" i="1"/>
  <c r="S15" i="1"/>
  <c r="R15" i="1"/>
  <c r="Q15" i="1"/>
  <c r="P15" i="1"/>
  <c r="O511" i="2"/>
  <c r="H511" i="2" s="1"/>
  <c r="O509" i="2"/>
  <c r="H509" i="2" s="1"/>
  <c r="O474" i="2"/>
  <c r="O320" i="2"/>
  <c r="O517" i="2"/>
  <c r="H517" i="2" s="1"/>
  <c r="Q474" i="2"/>
  <c r="P497" i="2"/>
  <c r="H497" i="2" s="1"/>
  <c r="Q465" i="2"/>
  <c r="H465" i="2" s="1"/>
  <c r="P500" i="2"/>
  <c r="H500" i="2" s="1"/>
  <c r="P478" i="2"/>
  <c r="H478" i="2" s="1"/>
  <c r="P502" i="2"/>
  <c r="H502" i="2" s="1"/>
  <c r="P503" i="2"/>
  <c r="H503" i="2" s="1"/>
  <c r="T382" i="2"/>
  <c r="H382" i="2" s="1"/>
  <c r="R417" i="2"/>
  <c r="H417" i="2" s="1"/>
  <c r="T358" i="2"/>
  <c r="H358" i="2" s="1"/>
  <c r="R416" i="2"/>
  <c r="H416" i="2" s="1"/>
  <c r="R449" i="2"/>
  <c r="H449" i="2" s="1"/>
  <c r="R448" i="2"/>
  <c r="H448" i="2" s="1"/>
  <c r="S407" i="2"/>
  <c r="H407" i="2" s="1"/>
  <c r="S413" i="2"/>
  <c r="H413" i="2" s="1"/>
  <c r="T376" i="2"/>
  <c r="H376" i="2" s="1"/>
  <c r="T359" i="2"/>
  <c r="H359" i="2" s="1"/>
  <c r="T384" i="2"/>
  <c r="H384" i="2" s="1"/>
  <c r="U347" i="2"/>
  <c r="H347" i="2" s="1"/>
  <c r="U343" i="2"/>
  <c r="H343" i="2" s="1"/>
  <c r="U321" i="2"/>
  <c r="H321" i="2" s="1"/>
  <c r="U348" i="2"/>
  <c r="H348" i="2" s="1"/>
  <c r="F5" i="16"/>
  <c r="E3" i="16"/>
  <c r="V5" i="2"/>
  <c r="H5" i="2" s="1"/>
  <c r="B54" i="1"/>
  <c r="K32" i="7"/>
  <c r="B86" i="1"/>
  <c r="B45" i="1"/>
  <c r="B50" i="1"/>
  <c r="K28" i="7"/>
  <c r="B74" i="1"/>
  <c r="B77" i="1"/>
  <c r="B82" i="1"/>
  <c r="B90" i="1"/>
  <c r="E42" i="1"/>
  <c r="K7" i="7"/>
  <c r="K9" i="7"/>
  <c r="E48" i="1"/>
  <c r="K13" i="7"/>
  <c r="K16" i="7"/>
  <c r="K17" i="7"/>
  <c r="E56" i="1"/>
  <c r="E58" i="1"/>
  <c r="K21" i="7"/>
  <c r="E60" i="1"/>
  <c r="E61" i="1"/>
  <c r="E62" i="1"/>
  <c r="K25" i="7"/>
  <c r="K26" i="7"/>
  <c r="E66" i="1"/>
  <c r="K29" i="7"/>
  <c r="K30" i="7"/>
  <c r="E69" i="1"/>
  <c r="E70" i="1"/>
  <c r="E71" i="1"/>
  <c r="E72" i="1"/>
  <c r="E73" i="1"/>
  <c r="E74" i="1"/>
  <c r="E75" i="1"/>
  <c r="K38" i="7"/>
  <c r="K39" i="7"/>
  <c r="E78" i="1"/>
  <c r="E79" i="1"/>
  <c r="K42" i="7"/>
  <c r="K43" i="7"/>
  <c r="E82" i="1"/>
  <c r="K45" i="7"/>
  <c r="K46" i="7"/>
  <c r="K47" i="7"/>
  <c r="E86" i="1"/>
  <c r="K49" i="7"/>
  <c r="E88" i="1"/>
  <c r="K51" i="7"/>
  <c r="K53" i="7"/>
  <c r="K54" i="7"/>
  <c r="K55" i="7"/>
  <c r="E94" i="1"/>
  <c r="B89" i="1"/>
  <c r="B81" i="1"/>
  <c r="B73" i="1"/>
  <c r="B65" i="1"/>
  <c r="B57" i="1"/>
  <c r="B49" i="1"/>
  <c r="B88" i="1"/>
  <c r="B80" i="1"/>
  <c r="B72" i="1"/>
  <c r="B64" i="1"/>
  <c r="B56" i="1"/>
  <c r="B48" i="1"/>
  <c r="B87" i="1"/>
  <c r="B79" i="1"/>
  <c r="B71" i="1"/>
  <c r="B63" i="1"/>
  <c r="B55" i="1"/>
  <c r="B47" i="1"/>
  <c r="B85" i="1"/>
  <c r="B69" i="1"/>
  <c r="B53" i="1"/>
  <c r="B92" i="1"/>
  <c r="B84" i="1"/>
  <c r="B76" i="1"/>
  <c r="B68" i="1"/>
  <c r="B60" i="1"/>
  <c r="B52" i="1"/>
  <c r="B44" i="1"/>
  <c r="B91" i="1"/>
  <c r="B83" i="1"/>
  <c r="B75" i="1"/>
  <c r="B67" i="1"/>
  <c r="B59" i="1"/>
  <c r="B51" i="1"/>
  <c r="B43" i="1"/>
  <c r="I39" i="1"/>
  <c r="C35" i="1" s="1"/>
  <c r="A43" i="1"/>
  <c r="A44" i="1"/>
  <c r="A45" i="1"/>
  <c r="A46" i="1"/>
  <c r="A47" i="1"/>
  <c r="A48" i="1"/>
  <c r="A49" i="1"/>
  <c r="A50" i="1"/>
  <c r="A51" i="1"/>
  <c r="I51" i="1" s="1"/>
  <c r="A52" i="1"/>
  <c r="F52" i="1" s="1"/>
  <c r="A53" i="1"/>
  <c r="I53" i="1" s="1"/>
  <c r="A54" i="1"/>
  <c r="A55" i="1"/>
  <c r="A56" i="1"/>
  <c r="A57" i="1"/>
  <c r="A58" i="1"/>
  <c r="F58" i="1" s="1"/>
  <c r="A59" i="1"/>
  <c r="A60" i="1"/>
  <c r="A61" i="1"/>
  <c r="A62" i="1"/>
  <c r="G62" i="1" s="1"/>
  <c r="A63" i="1"/>
  <c r="A64" i="1"/>
  <c r="A65" i="1"/>
  <c r="A66" i="1"/>
  <c r="A67" i="1"/>
  <c r="A68" i="1"/>
  <c r="A69" i="1"/>
  <c r="A70" i="1"/>
  <c r="A71" i="1"/>
  <c r="G71" i="1" s="1"/>
  <c r="A72" i="1"/>
  <c r="A73" i="1"/>
  <c r="A74" i="1"/>
  <c r="A75" i="1"/>
  <c r="A76" i="1"/>
  <c r="A77" i="1"/>
  <c r="I77" i="1" s="1"/>
  <c r="A78" i="1"/>
  <c r="A79" i="1"/>
  <c r="A80" i="1"/>
  <c r="A81" i="1"/>
  <c r="G81" i="1" s="1"/>
  <c r="A82" i="1"/>
  <c r="A83" i="1"/>
  <c r="A84" i="1"/>
  <c r="A85" i="1"/>
  <c r="A86" i="1"/>
  <c r="A87" i="1"/>
  <c r="I87" i="1" s="1"/>
  <c r="A88" i="1"/>
  <c r="I88" i="1" s="1"/>
  <c r="A89" i="1"/>
  <c r="A90" i="1"/>
  <c r="H90" i="1" s="1"/>
  <c r="A91" i="1"/>
  <c r="G91" i="1" s="1"/>
  <c r="A92" i="1"/>
  <c r="A93" i="1"/>
  <c r="A94" i="1"/>
  <c r="A42" i="1"/>
  <c r="E53" i="1"/>
  <c r="E50" i="1"/>
  <c r="E44" i="1"/>
  <c r="A14" i="11"/>
  <c r="E5" i="9"/>
  <c r="E4" i="9"/>
  <c r="H8" i="9"/>
  <c r="A18" i="11"/>
  <c r="A16" i="11"/>
  <c r="A10" i="11"/>
  <c r="K6" i="7"/>
  <c r="E59" i="1"/>
  <c r="K27" i="7"/>
  <c r="E65" i="1"/>
  <c r="K10" i="7"/>
  <c r="E45" i="1"/>
  <c r="K11" i="7"/>
  <c r="E49" i="1"/>
  <c r="K14" i="7"/>
  <c r="E52" i="1"/>
  <c r="K5" i="7"/>
  <c r="E43" i="1"/>
  <c r="K19" i="7"/>
  <c r="E57" i="1"/>
  <c r="E46" i="1"/>
  <c r="K15" i="7"/>
  <c r="E8" i="9"/>
  <c r="A10" i="9" s="1"/>
  <c r="E64" i="1"/>
  <c r="E51" i="1"/>
  <c r="B61" i="1"/>
  <c r="K4" i="7"/>
  <c r="K33" i="7"/>
  <c r="E55" i="1"/>
  <c r="G5" i="9"/>
  <c r="A21" i="2" l="1"/>
  <c r="A23" i="2"/>
  <c r="A19" i="2"/>
  <c r="C28" i="1"/>
  <c r="C34" i="1"/>
  <c r="I52" i="16"/>
  <c r="K52" i="16"/>
  <c r="L52" i="16"/>
  <c r="N52" i="16"/>
  <c r="O52" i="16"/>
  <c r="R52" i="16"/>
  <c r="S52" i="16"/>
  <c r="U52" i="16"/>
  <c r="Q52" i="16"/>
  <c r="I51" i="16"/>
  <c r="K51" i="16"/>
  <c r="L51" i="16"/>
  <c r="N51" i="16"/>
  <c r="O51" i="16"/>
  <c r="U51" i="16"/>
  <c r="S51" i="16"/>
  <c r="Q51" i="16"/>
  <c r="R51" i="16"/>
  <c r="K50" i="16"/>
  <c r="L50" i="16"/>
  <c r="N50" i="16"/>
  <c r="O50" i="16"/>
  <c r="R50" i="16"/>
  <c r="Q50" i="16"/>
  <c r="S50" i="16"/>
  <c r="U50" i="16"/>
  <c r="I49" i="16"/>
  <c r="K49" i="16"/>
  <c r="L49" i="16"/>
  <c r="O49" i="16"/>
  <c r="N49" i="16"/>
  <c r="S49" i="16"/>
  <c r="U49" i="16"/>
  <c r="Q49" i="16"/>
  <c r="R49" i="16"/>
  <c r="K47" i="16"/>
  <c r="L47" i="16"/>
  <c r="S47" i="16"/>
  <c r="N47" i="16"/>
  <c r="O47" i="16"/>
  <c r="Q47" i="16"/>
  <c r="R47" i="16"/>
  <c r="U47" i="16"/>
  <c r="I48" i="16"/>
  <c r="K48" i="16"/>
  <c r="O48" i="16"/>
  <c r="Q48" i="16"/>
  <c r="S48" i="16"/>
  <c r="U48" i="16"/>
  <c r="L48" i="16"/>
  <c r="R48" i="16"/>
  <c r="N48" i="16"/>
  <c r="I37" i="16"/>
  <c r="K37" i="16"/>
  <c r="S37" i="16"/>
  <c r="L37" i="16"/>
  <c r="T37" i="16"/>
  <c r="M37" i="16"/>
  <c r="U37" i="16"/>
  <c r="V37" i="16"/>
  <c r="Q37" i="16"/>
  <c r="R37" i="16"/>
  <c r="N37" i="16"/>
  <c r="O37" i="16"/>
  <c r="P37" i="16"/>
  <c r="K34" i="16"/>
  <c r="S34" i="16"/>
  <c r="P34" i="16"/>
  <c r="L34" i="16"/>
  <c r="T34" i="16"/>
  <c r="U34" i="16"/>
  <c r="O34" i="16"/>
  <c r="R34" i="16"/>
  <c r="M34" i="16"/>
  <c r="N34" i="16"/>
  <c r="V34" i="16"/>
  <c r="Q34" i="16"/>
  <c r="F62" i="1"/>
  <c r="H14" i="16"/>
  <c r="A12" i="16"/>
  <c r="I91" i="1"/>
  <c r="H52" i="1"/>
  <c r="E3" i="9"/>
  <c r="A4" i="9" s="1"/>
  <c r="G51" i="1"/>
  <c r="A72" i="2"/>
  <c r="F60" i="1"/>
  <c r="D60" i="1"/>
  <c r="I93" i="1"/>
  <c r="D93" i="1"/>
  <c r="F92" i="1"/>
  <c r="D92" i="1"/>
  <c r="F88" i="1"/>
  <c r="D88" i="1"/>
  <c r="F75" i="1"/>
  <c r="D75" i="1"/>
  <c r="G69" i="1"/>
  <c r="D69" i="1"/>
  <c r="H62" i="1"/>
  <c r="D62" i="1"/>
  <c r="I55" i="1"/>
  <c r="D55" i="1"/>
  <c r="H50" i="1"/>
  <c r="D50" i="1"/>
  <c r="F82" i="1"/>
  <c r="D82" i="1"/>
  <c r="F76" i="1"/>
  <c r="D76" i="1"/>
  <c r="I70" i="1"/>
  <c r="D70" i="1"/>
  <c r="H56" i="1"/>
  <c r="D56" i="1"/>
  <c r="F51" i="1"/>
  <c r="D51" i="1"/>
  <c r="I43" i="1"/>
  <c r="D43" i="1"/>
  <c r="G87" i="1"/>
  <c r="D87" i="1"/>
  <c r="H81" i="1"/>
  <c r="D81" i="1"/>
  <c r="H74" i="1"/>
  <c r="D74" i="1"/>
  <c r="H68" i="1"/>
  <c r="D68" i="1"/>
  <c r="G61" i="1"/>
  <c r="D61" i="1"/>
  <c r="I54" i="1"/>
  <c r="D54" i="1"/>
  <c r="I49" i="1"/>
  <c r="D49" i="1"/>
  <c r="F91" i="1"/>
  <c r="D91" i="1"/>
  <c r="I85" i="1"/>
  <c r="D85" i="1"/>
  <c r="F79" i="1"/>
  <c r="D79" i="1"/>
  <c r="G72" i="1"/>
  <c r="D72" i="1"/>
  <c r="F66" i="1"/>
  <c r="D66" i="1"/>
  <c r="G59" i="1"/>
  <c r="D59" i="1"/>
  <c r="F53" i="1"/>
  <c r="D53" i="1"/>
  <c r="G47" i="1"/>
  <c r="D47" i="1"/>
  <c r="F86" i="1"/>
  <c r="D86" i="1"/>
  <c r="F80" i="1"/>
  <c r="D80" i="1"/>
  <c r="F73" i="1"/>
  <c r="D73" i="1"/>
  <c r="F67" i="1"/>
  <c r="D67" i="1"/>
  <c r="G48" i="1"/>
  <c r="D48" i="1"/>
  <c r="I65" i="1"/>
  <c r="D65" i="1"/>
  <c r="F84" i="1"/>
  <c r="D84" i="1"/>
  <c r="F78" i="1"/>
  <c r="D78" i="1"/>
  <c r="F46" i="1"/>
  <c r="D46" i="1"/>
  <c r="H76" i="1"/>
  <c r="G42" i="1"/>
  <c r="D42" i="1"/>
  <c r="F90" i="1"/>
  <c r="D90" i="1"/>
  <c r="H83" i="1"/>
  <c r="D83" i="1"/>
  <c r="I71" i="1"/>
  <c r="D71" i="1"/>
  <c r="F64" i="1"/>
  <c r="D64" i="1"/>
  <c r="H58" i="1"/>
  <c r="D58" i="1"/>
  <c r="G45" i="1"/>
  <c r="D45" i="1"/>
  <c r="F94" i="1"/>
  <c r="D94" i="1"/>
  <c r="I89" i="1"/>
  <c r="D89" i="1"/>
  <c r="H82" i="1"/>
  <c r="F77" i="1"/>
  <c r="D77" i="1"/>
  <c r="F70" i="1"/>
  <c r="F63" i="1"/>
  <c r="D63" i="1"/>
  <c r="F57" i="1"/>
  <c r="D57" i="1"/>
  <c r="G52" i="1"/>
  <c r="D52" i="1"/>
  <c r="H44" i="1"/>
  <c r="D44" i="1"/>
  <c r="H55" i="7"/>
  <c r="H56" i="7"/>
  <c r="H53" i="7"/>
  <c r="H54" i="7"/>
  <c r="H51" i="7"/>
  <c r="H52" i="7"/>
  <c r="H49" i="7"/>
  <c r="H50" i="7"/>
  <c r="H47" i="7"/>
  <c r="H48" i="7"/>
  <c r="H45" i="7"/>
  <c r="H46" i="7"/>
  <c r="H43" i="7"/>
  <c r="H44" i="7"/>
  <c r="H41" i="7"/>
  <c r="H42" i="7"/>
  <c r="H39" i="7"/>
  <c r="H40" i="7"/>
  <c r="H37" i="7"/>
  <c r="H38" i="7"/>
  <c r="H35" i="7"/>
  <c r="H36" i="7"/>
  <c r="H33" i="7"/>
  <c r="H34" i="7"/>
  <c r="H31" i="7"/>
  <c r="H32" i="7"/>
  <c r="H29" i="7"/>
  <c r="H30" i="7"/>
  <c r="H27" i="7"/>
  <c r="H28" i="7"/>
  <c r="H26" i="7"/>
  <c r="H25" i="7"/>
  <c r="H24" i="7"/>
  <c r="H22" i="7"/>
  <c r="H23" i="7"/>
  <c r="H20" i="7"/>
  <c r="H21" i="7"/>
  <c r="H18" i="7"/>
  <c r="H19" i="7"/>
  <c r="H16" i="7"/>
  <c r="H17" i="7"/>
  <c r="H14" i="7"/>
  <c r="H15" i="7"/>
  <c r="H12" i="7"/>
  <c r="H13" i="7"/>
  <c r="H10" i="7"/>
  <c r="H11" i="7"/>
  <c r="H8" i="7"/>
  <c r="H9" i="7"/>
  <c r="H6" i="7"/>
  <c r="H7" i="7"/>
  <c r="H5" i="7"/>
  <c r="H4" i="7"/>
  <c r="G4" i="7"/>
  <c r="H2" i="7"/>
  <c r="G3" i="7"/>
  <c r="H3" i="7"/>
  <c r="F56" i="7"/>
  <c r="G2" i="7"/>
  <c r="F55" i="7"/>
  <c r="F54" i="7"/>
  <c r="F53" i="7"/>
  <c r="F52" i="7"/>
  <c r="F51" i="7"/>
  <c r="F50" i="7"/>
  <c r="F49" i="7"/>
  <c r="F48" i="7"/>
  <c r="F47" i="7"/>
  <c r="F46" i="7"/>
  <c r="F45" i="7"/>
  <c r="F43" i="7"/>
  <c r="F44" i="7"/>
  <c r="F40" i="7"/>
  <c r="F42" i="7"/>
  <c r="F41" i="7"/>
  <c r="F39" i="7"/>
  <c r="F38" i="7"/>
  <c r="F37" i="7"/>
  <c r="F36" i="7"/>
  <c r="F35" i="7"/>
  <c r="F34" i="7"/>
  <c r="F30" i="7"/>
  <c r="F33" i="7"/>
  <c r="F32" i="7"/>
  <c r="F31" i="7"/>
  <c r="F29" i="7"/>
  <c r="F28" i="7"/>
  <c r="F27" i="7"/>
  <c r="F26" i="7"/>
  <c r="F25" i="7"/>
  <c r="F24" i="7"/>
  <c r="F23" i="7"/>
  <c r="F22" i="7"/>
  <c r="F21" i="7"/>
  <c r="F20" i="7"/>
  <c r="F19" i="7"/>
  <c r="F18" i="7"/>
  <c r="F14" i="7"/>
  <c r="F17" i="7"/>
  <c r="F16" i="7"/>
  <c r="F15" i="7"/>
  <c r="F12" i="7"/>
  <c r="F13" i="7"/>
  <c r="F10" i="7"/>
  <c r="F11" i="7"/>
  <c r="F8" i="7"/>
  <c r="F9" i="7"/>
  <c r="F6" i="7"/>
  <c r="F7" i="7"/>
  <c r="F5" i="7"/>
  <c r="G6" i="7"/>
  <c r="F4" i="7"/>
  <c r="G5" i="7"/>
  <c r="F3" i="7"/>
  <c r="F2" i="7"/>
  <c r="G56" i="7"/>
  <c r="G55" i="7"/>
  <c r="G54" i="7"/>
  <c r="G53" i="7"/>
  <c r="G52" i="7"/>
  <c r="G51" i="7"/>
  <c r="G50" i="7"/>
  <c r="G49" i="7"/>
  <c r="G48" i="7"/>
  <c r="G46" i="7"/>
  <c r="G47" i="7"/>
  <c r="G44" i="7"/>
  <c r="G45" i="7"/>
  <c r="G42" i="7"/>
  <c r="G43" i="7"/>
  <c r="G39" i="7"/>
  <c r="G41" i="7"/>
  <c r="G40" i="7"/>
  <c r="G38" i="7"/>
  <c r="G37" i="7"/>
  <c r="G36" i="7"/>
  <c r="G35" i="7"/>
  <c r="G32" i="7"/>
  <c r="G34" i="7"/>
  <c r="G33" i="7"/>
  <c r="G30" i="7"/>
  <c r="G31" i="7"/>
  <c r="G28" i="7"/>
  <c r="G29" i="7"/>
  <c r="G27" i="7"/>
  <c r="G26" i="7"/>
  <c r="G25" i="7"/>
  <c r="G22" i="7"/>
  <c r="G24" i="7"/>
  <c r="G23" i="7"/>
  <c r="G20" i="7"/>
  <c r="G21" i="7"/>
  <c r="G18" i="7"/>
  <c r="G19" i="7"/>
  <c r="G16" i="7"/>
  <c r="G17" i="7"/>
  <c r="G13" i="7"/>
  <c r="G15" i="7"/>
  <c r="G14" i="7"/>
  <c r="G11" i="7"/>
  <c r="G12" i="7"/>
  <c r="G10" i="7"/>
  <c r="G9" i="7"/>
  <c r="G7" i="7"/>
  <c r="G8" i="7"/>
  <c r="C33" i="1"/>
  <c r="C30" i="1"/>
  <c r="C31" i="1"/>
  <c r="C29" i="1"/>
  <c r="K12" i="7"/>
  <c r="B70" i="1"/>
  <c r="G58" i="1"/>
  <c r="E54" i="1"/>
  <c r="H91" i="1"/>
  <c r="G85" i="1"/>
  <c r="F85" i="1"/>
  <c r="H73" i="1"/>
  <c r="F69" i="1"/>
  <c r="B66" i="1"/>
  <c r="K18" i="7"/>
  <c r="B94" i="1"/>
  <c r="B78" i="1"/>
  <c r="B62" i="1"/>
  <c r="B46" i="1"/>
  <c r="B93" i="1"/>
  <c r="E76" i="1"/>
  <c r="E93" i="1"/>
  <c r="G83" i="1"/>
  <c r="H15" i="1"/>
  <c r="I81" i="1"/>
  <c r="I57" i="1"/>
  <c r="I94" i="1"/>
  <c r="G93" i="1"/>
  <c r="F81" i="1"/>
  <c r="I42" i="1"/>
  <c r="H51" i="1"/>
  <c r="I68" i="1"/>
  <c r="H93" i="1"/>
  <c r="F93" i="1"/>
  <c r="H47" i="1"/>
  <c r="E47" i="1"/>
  <c r="B58" i="1"/>
  <c r="E85" i="1"/>
  <c r="K8" i="7"/>
  <c r="I66" i="1"/>
  <c r="K34" i="7"/>
  <c r="K48" i="7"/>
  <c r="G54" i="1"/>
  <c r="E92" i="1"/>
  <c r="E81" i="1"/>
  <c r="H53" i="1"/>
  <c r="K41" i="7"/>
  <c r="I62" i="1"/>
  <c r="H77" i="1"/>
  <c r="I59" i="1"/>
  <c r="E67" i="1"/>
  <c r="K3" i="7"/>
  <c r="K40" i="7"/>
  <c r="G55" i="1"/>
  <c r="K20" i="7"/>
  <c r="F3" i="16"/>
  <c r="H3" i="16" s="1"/>
  <c r="E77" i="1"/>
  <c r="G77" i="1"/>
  <c r="H87" i="1"/>
  <c r="K22" i="7"/>
  <c r="F55" i="1"/>
  <c r="F48" i="1"/>
  <c r="E84" i="1"/>
  <c r="K35" i="7"/>
  <c r="E80" i="1"/>
  <c r="E63" i="1"/>
  <c r="K52" i="7"/>
  <c r="G76" i="1"/>
  <c r="H54" i="1"/>
  <c r="I76" i="1"/>
  <c r="I73" i="1"/>
  <c r="H55" i="1"/>
  <c r="I83" i="1"/>
  <c r="I58" i="1"/>
  <c r="K44" i="7"/>
  <c r="F89" i="1"/>
  <c r="G44" i="1"/>
  <c r="E90" i="1"/>
  <c r="K56" i="7"/>
  <c r="H78" i="1"/>
  <c r="G73" i="1"/>
  <c r="E89" i="1"/>
  <c r="G78" i="1"/>
  <c r="F74" i="1"/>
  <c r="H66" i="1"/>
  <c r="F49" i="1"/>
  <c r="F45" i="1"/>
  <c r="F83" i="1"/>
  <c r="I45" i="1"/>
  <c r="G66" i="1"/>
  <c r="H64" i="1"/>
  <c r="I82" i="1"/>
  <c r="G82" i="1"/>
  <c r="I78" i="1"/>
  <c r="I74" i="1"/>
  <c r="G70" i="1"/>
  <c r="I52" i="1"/>
  <c r="G49" i="1"/>
  <c r="H45" i="1"/>
  <c r="E91" i="1"/>
  <c r="K50" i="7"/>
  <c r="K36" i="7"/>
  <c r="K23" i="7"/>
  <c r="E87" i="1"/>
  <c r="K31" i="7"/>
  <c r="G5" i="16"/>
  <c r="E68" i="1"/>
  <c r="I84" i="1"/>
  <c r="G74" i="1"/>
  <c r="H49" i="1"/>
  <c r="F87" i="1"/>
  <c r="G50" i="1"/>
  <c r="G94" i="1"/>
  <c r="F59" i="1"/>
  <c r="H70" i="1"/>
  <c r="H92" i="1"/>
  <c r="I63" i="1"/>
  <c r="H59" i="1"/>
  <c r="G43" i="1"/>
  <c r="H75" i="1"/>
  <c r="I67" i="1"/>
  <c r="K37" i="7"/>
  <c r="H84" i="1"/>
  <c r="G79" i="1"/>
  <c r="G90" i="1"/>
  <c r="H60" i="1"/>
  <c r="E83" i="1"/>
  <c r="F56" i="1"/>
  <c r="I48" i="1"/>
  <c r="G60" i="1"/>
  <c r="G63" i="1"/>
  <c r="F50" i="1"/>
  <c r="F71" i="1"/>
  <c r="H88" i="1"/>
  <c r="K24" i="7"/>
  <c r="G88" i="1"/>
  <c r="G84" i="1"/>
  <c r="G75" i="1"/>
  <c r="H71" i="1"/>
  <c r="G67" i="1"/>
  <c r="H63" i="1"/>
  <c r="I50" i="1"/>
  <c r="H46" i="1"/>
  <c r="I34" i="16"/>
  <c r="G4" i="16"/>
  <c r="I8" i="9"/>
  <c r="F65" i="1"/>
  <c r="G56" i="1"/>
  <c r="H79" i="1"/>
  <c r="G86" i="1"/>
  <c r="G53" i="1"/>
  <c r="H69" i="1"/>
  <c r="I56" i="1"/>
  <c r="I60" i="1"/>
  <c r="I79" i="1"/>
  <c r="G89" i="1"/>
  <c r="G92" i="1"/>
  <c r="G68" i="1"/>
  <c r="I47" i="1"/>
  <c r="H42" i="1"/>
  <c r="I92" i="1"/>
  <c r="I75" i="1"/>
  <c r="G46" i="1"/>
  <c r="H43" i="1"/>
  <c r="H89" i="1"/>
  <c r="I80" i="1"/>
  <c r="I61" i="1"/>
  <c r="H72" i="1"/>
  <c r="H85" i="1"/>
  <c r="G80" i="1"/>
  <c r="F54" i="1"/>
  <c r="H48" i="1"/>
  <c r="G64" i="1"/>
  <c r="I46" i="1"/>
  <c r="F68" i="1"/>
  <c r="F47" i="1"/>
  <c r="G57" i="1"/>
  <c r="H94" i="1"/>
  <c r="I44" i="1"/>
  <c r="I90" i="1"/>
  <c r="F42" i="1"/>
  <c r="H86" i="1"/>
  <c r="H80" i="1"/>
  <c r="F44" i="1"/>
  <c r="F43" i="1"/>
  <c r="I86" i="1"/>
  <c r="H67" i="1"/>
  <c r="H61" i="1"/>
  <c r="I64" i="1"/>
  <c r="G65" i="1"/>
  <c r="H57" i="1"/>
  <c r="H65" i="1"/>
  <c r="F61" i="1"/>
  <c r="I69" i="1"/>
  <c r="I72" i="1"/>
  <c r="F72" i="1"/>
  <c r="H570" i="2"/>
  <c r="H557" i="2"/>
  <c r="H684" i="2"/>
  <c r="H372" i="2"/>
  <c r="H546" i="2"/>
  <c r="H406" i="2"/>
  <c r="H474" i="2"/>
  <c r="H639" i="2"/>
  <c r="H572" i="2"/>
  <c r="H609" i="2"/>
  <c r="H315" i="2"/>
  <c r="H320" i="2"/>
  <c r="D39" i="1"/>
  <c r="I14" i="16"/>
  <c r="H5" i="16"/>
  <c r="I50" i="16"/>
  <c r="G15" i="1"/>
  <c r="J2" i="7" l="1"/>
  <c r="A25" i="2"/>
  <c r="C48" i="1"/>
  <c r="A15" i="2"/>
  <c r="G19" i="1"/>
  <c r="Q19" i="1"/>
  <c r="P19" i="1"/>
  <c r="O19" i="1"/>
  <c r="K19" i="1"/>
  <c r="J19" i="1"/>
  <c r="I19" i="1"/>
  <c r="N19" i="1"/>
  <c r="H19" i="1"/>
  <c r="M19" i="1"/>
  <c r="L19" i="1"/>
  <c r="J3" i="7"/>
  <c r="C32" i="1"/>
  <c r="C43" i="1"/>
  <c r="C45" i="1"/>
  <c r="C44" i="1"/>
  <c r="C47" i="1"/>
  <c r="C46" i="1"/>
  <c r="C49" i="1"/>
  <c r="C51" i="1"/>
  <c r="C50" i="1"/>
  <c r="C53" i="1"/>
  <c r="C54" i="1"/>
  <c r="C55" i="1"/>
  <c r="C52" i="1"/>
  <c r="C56" i="1"/>
  <c r="C57" i="1"/>
  <c r="C58" i="1"/>
  <c r="C59" i="1"/>
  <c r="C60" i="1"/>
  <c r="C61" i="1"/>
  <c r="C62" i="1"/>
  <c r="C63" i="1"/>
  <c r="C64" i="1"/>
  <c r="C65" i="1"/>
  <c r="C66" i="1"/>
  <c r="C67" i="1"/>
  <c r="C69" i="1"/>
  <c r="C70" i="1"/>
  <c r="C71" i="1"/>
  <c r="C68" i="1"/>
  <c r="C72" i="1"/>
  <c r="C73" i="1"/>
  <c r="C74" i="1"/>
  <c r="C75" i="1"/>
  <c r="C76" i="1"/>
  <c r="C77" i="1"/>
  <c r="C79" i="1"/>
  <c r="C80" i="1"/>
  <c r="C78" i="1"/>
  <c r="C82" i="1"/>
  <c r="C81" i="1"/>
  <c r="C83" i="1"/>
  <c r="C84" i="1"/>
  <c r="C85" i="1"/>
  <c r="C86" i="1"/>
  <c r="C87" i="1"/>
  <c r="C88" i="1"/>
  <c r="C89" i="1"/>
  <c r="C90" i="1"/>
  <c r="C91" i="1"/>
  <c r="C92" i="1"/>
  <c r="C93" i="1"/>
  <c r="C94" i="1"/>
  <c r="J4" i="7"/>
  <c r="C42" i="1"/>
  <c r="J5" i="7"/>
  <c r="J7" i="7"/>
  <c r="J6" i="7"/>
  <c r="J9" i="7"/>
  <c r="J8" i="7"/>
  <c r="J11" i="7"/>
  <c r="J10" i="7"/>
  <c r="J13" i="7"/>
  <c r="J12" i="7"/>
  <c r="J15" i="7"/>
  <c r="J16" i="7"/>
  <c r="J17" i="7"/>
  <c r="J14" i="7"/>
  <c r="J18" i="7"/>
  <c r="J19" i="7"/>
  <c r="J20" i="7"/>
  <c r="J21" i="7"/>
  <c r="J22" i="7"/>
  <c r="J23" i="7"/>
  <c r="J24" i="7"/>
  <c r="J25" i="7"/>
  <c r="J26" i="7"/>
  <c r="J27" i="7"/>
  <c r="J28" i="7"/>
  <c r="J29" i="7"/>
  <c r="J31" i="7"/>
  <c r="J32" i="7"/>
  <c r="J33" i="7"/>
  <c r="J30" i="7"/>
  <c r="J34" i="7"/>
  <c r="J35" i="7"/>
  <c r="J36" i="7"/>
  <c r="J37" i="7"/>
  <c r="J38" i="7"/>
  <c r="J39" i="7"/>
  <c r="J41" i="7"/>
  <c r="J42" i="7"/>
  <c r="J40" i="7"/>
  <c r="J44" i="7"/>
  <c r="J43" i="7"/>
  <c r="J45" i="7"/>
  <c r="J46" i="7"/>
  <c r="J47" i="7"/>
  <c r="J48" i="7"/>
  <c r="J49" i="7"/>
  <c r="J50" i="7"/>
  <c r="J51" i="7"/>
  <c r="J52" i="7"/>
  <c r="J53" i="7"/>
  <c r="J54" i="7"/>
  <c r="J55" i="7"/>
  <c r="J56" i="7"/>
  <c r="K2" i="7"/>
  <c r="G3" i="16"/>
  <c r="A11" i="2"/>
  <c r="G4" i="9"/>
  <c r="G3" i="9" s="1"/>
  <c r="A6" i="9" s="1"/>
  <c r="M13" i="20" l="1"/>
  <c r="M9" i="20"/>
  <c r="D21" i="20"/>
  <c r="D18" i="20"/>
  <c r="D23" i="20"/>
  <c r="D25" i="20"/>
  <c r="G8" i="20"/>
  <c r="J8" i="20"/>
  <c r="J10" i="20"/>
  <c r="D24" i="20"/>
  <c r="J11" i="20"/>
  <c r="D22" i="20"/>
  <c r="G12" i="20"/>
  <c r="G10" i="20"/>
  <c r="D16" i="20"/>
  <c r="G13" i="20"/>
  <c r="D11" i="20"/>
  <c r="D10" i="20"/>
  <c r="D15" i="20"/>
  <c r="G9" i="20"/>
  <c r="G15" i="20"/>
  <c r="D9" i="20"/>
  <c r="M18" i="20"/>
  <c r="M12" i="20"/>
  <c r="M15" i="20"/>
  <c r="M8" i="20"/>
  <c r="D17" i="20"/>
  <c r="M11" i="20"/>
  <c r="J12" i="20"/>
  <c r="G18" i="20"/>
  <c r="J14" i="20"/>
  <c r="D26" i="20"/>
  <c r="G11" i="20"/>
  <c r="M10" i="20"/>
  <c r="J9" i="20"/>
  <c r="G19" i="20"/>
  <c r="M19" i="20"/>
  <c r="D19" i="20"/>
  <c r="D13" i="20"/>
  <c r="M17" i="20"/>
  <c r="G16" i="20"/>
  <c r="J13" i="20"/>
  <c r="G14" i="20"/>
  <c r="M16" i="20"/>
  <c r="D12" i="20"/>
  <c r="G17" i="20"/>
  <c r="D8" i="20"/>
  <c r="D14" i="20"/>
  <c r="M14" i="20"/>
  <c r="D20" i="20"/>
  <c r="M20" i="20"/>
  <c r="AC19" i="1"/>
  <c r="V19" i="1"/>
  <c r="Z19" i="1"/>
  <c r="S19" i="1"/>
  <c r="W19" i="1"/>
  <c r="AA19" i="1"/>
  <c r="T19" i="1"/>
  <c r="X19" i="1"/>
  <c r="U19" i="1"/>
  <c r="AB19" i="1"/>
  <c r="AD19" i="1"/>
  <c r="Y19" i="1"/>
  <c r="R1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tc={3930FF99-9127-412A-8E69-AA9AD1735262}</author>
    <author>West Honeycutt</author>
    <author>tc={9AA8D286-DCE7-4244-A4BC-4262A977F6D3}</author>
    <author>tc={2F5A0638-2A69-44AD-8922-AAF88DB43757}</author>
    <author>tc={E77B6A59-7AE3-49FE-B984-0F47B2ADD3E2}</author>
    <author>Vonda Harrison Arey</author>
    <author>tc={D83E8F9B-E291-4219-B79F-2E842E707A79}</author>
    <author>tc={CCA46CD9-681D-43D3-8C77-1E0809435F84}</author>
    <author>tc={E6C33E2A-D512-4910-8F36-62B4372B14EE}</author>
    <author>tc={849C1517-90D5-4C38-B9F3-A4DEF3E79BF2}</author>
    <author>tc={FA8BE67A-D7F7-4BF3-BB08-6EBB9BD93011}</author>
    <author>tc={2052FD70-4C08-4E06-8D9F-32B94CB668EE}</author>
    <author>tc={F5441336-1E2F-44AF-A904-6E553169D64A}</author>
    <author>tc={6F533520-EBEB-435A-8628-F68C21576753}</author>
    <author>tc={F29B3542-7FA6-403A-BE25-EBB13B876C59}</author>
    <author>tc={7B939E1C-9571-482A-8ACE-CBC141D9163D}</author>
    <author>tc={4C269D62-7935-452B-871E-206E9625AC33}</author>
    <author>tc={B9AB7C58-D52E-404B-9F37-F6CAF42D693A}</author>
    <author>tc={F1C26477-7DA4-4610-8543-9E7C05D24160}</author>
    <author>tc={780D180F-FEC7-43F3-BF77-34F7E5127DC9}</author>
    <author>tc={8E29A12B-7752-457E-A253-1A62C471617A}</author>
    <author>tc={85DCBB53-BB95-48D4-B704-674640B6EE8E}</author>
    <author>tc={0CF2235F-2492-41BA-A824-52E59F40193B}</author>
    <author>tc={8D3B20E6-03C2-445E-8C3D-6B943B12602E}</author>
    <author>tc={149789CD-38C4-41C0-BE49-D29CC095B093}</author>
    <author>tc={6EEBB1E5-1192-4CB7-99BF-A37D9D2E9308}</author>
    <author>tc={49941FE1-1AF2-4692-B379-6160C0B354EA}</author>
    <author>tc={2EBC4051-4026-4819-AEA0-CE9AB2B60D28}</author>
    <author>tc={7E300ECD-F3CC-433E-BFD3-1135172573A8}</author>
    <author>tc={50E5E3BD-2C5E-4A4E-BA7A-E96BC60B9C49}</author>
    <author>tc={633E9D64-690C-42F9-BE9A-39787D699642}</author>
    <author>tc={C5CDBBCB-C996-47AF-A459-57BFDF375E18}</author>
    <author>tc={3C1E861E-0784-48F0-91CB-07C820F9556D}</author>
    <author>tc={5CBDEF54-0D46-4EC5-850E-D6EAE91A6DE7}</author>
    <author>tc={B5AAB438-F0FE-4994-817F-A000AAC631E3}</author>
    <author>tc={87FDB780-3757-4980-B118-A52A2C97C029}</author>
    <author>tc={116661E5-FFC1-41E1-BC5D-75A0EE0C6E0A}</author>
    <author>tc={E263E7A2-89CF-469F-864E-A81338C1EE72}</author>
    <author>tc={887936B4-A5EE-4BE8-A0E4-43C40811C167}</author>
    <author>tc={8E034E6F-836E-481E-91B2-8826CB42CFF6}</author>
    <author>tc={6EADF19D-BC20-45ED-A0D5-AFFA847104DD}</author>
    <author>tc={5DD3CCE8-9F9D-4768-B3CF-966FF1D4D99F}</author>
    <author>tc={E8E0981C-75E4-47F5-A862-76CABB018799}</author>
    <author>tc={8A21FC86-5626-4089-8327-C70EE427B6F9}</author>
    <author>Vonda M. Arey</author>
    <author>tc={7DEF4A95-DD46-4240-9C1B-5C0AD9CBA31B}</author>
    <author>tc={CC7ACDDF-104A-4FC1-8E41-7E397905E79C}</author>
    <author>tc={826B5F60-596C-4B19-9A4F-F0D03883C123}</author>
    <author>tc={B269D495-995A-417E-BA0D-B51215B37DE0}</author>
    <author>tc={D5931302-4B62-4AD7-B880-10D4DFF5B874}</author>
    <author>tc={55281333-12C6-4E60-ABBF-B095C19EA562}</author>
    <author>tc={209B4374-8B93-46E3-A44E-748A8481B195}</author>
    <author>tc={08C75A7E-FC62-4971-A06C-E0599AAD2A3B}</author>
    <author>tc={D3B4BD5C-C666-47C9-AE65-749E594D179F}</author>
    <author>tc={62FBB17B-3297-4045-B12A-ECA4B7AFAC3E}</author>
    <author>tc={B4278AB2-2337-4D4B-8F9A-FF4A9DA1D342}</author>
    <author>tc={5A4BBEB9-AFD3-40D2-8595-9B29AA300410}</author>
    <author>tc={2603F79B-5718-4603-9E59-3FBAE4619A06}</author>
    <author>tc={3FD1618E-A0EC-40E6-B688-4076A61B8443}</author>
    <author>tc={C3FA154D-85A7-4F13-8033-D36A2FFB3B85}</author>
    <author>tc={6639B632-FEF4-45E8-8042-8EA3476A5573}</author>
    <author>tc={1CB4632F-C3E2-4592-B7D6-EAAD717CE859}</author>
    <author>tc={41D1FE9D-A1D7-4EF7-8FF2-274FECAC2143}</author>
    <author>tc={17F0C789-0EFE-4170-8A6A-E4D71E02E592}</author>
    <author>tc={C7216B1E-0003-4B53-AA13-7BECCDBA58BD}</author>
    <author>tc={8AEF2D4A-0F96-4153-B4FB-8A9650975A89}</author>
    <author>tc={2D3BE353-498A-4E0B-B789-4623A38E794A}</author>
    <author>tc={6393F40F-BEA3-422D-90CF-BBF67DFECCBC}</author>
    <author>tc={3AB7E50B-7F8B-4C5D-BA95-BAF1551C50BF}</author>
    <author>Vonda Harrison</author>
    <author>tc={1260EA9C-354F-4B60-BD74-F33B7CED25E6}</author>
    <author>tc={5D3E0E19-F961-49DB-8A14-77E890272DDE}</author>
    <author>tc={C7B2BE9E-7ED0-4E67-A4D2-C421A439B101}</author>
    <author>tc={E1408A7C-3478-4AC7-8EA1-8A489F30CCCF}</author>
    <author>tc={D2C17B4B-8E56-4453-A318-2C4042232325}</author>
    <author>tc={1F639828-DC12-4D97-9330-D75EB8D83B9C}</author>
    <author>tc={4A1806FD-BD77-40D4-9900-0616DDA2C629}</author>
    <author>Bill Clawges</author>
  </authors>
  <commentList>
    <comment ref="E3" authorId="0" shapeId="0" xr:uid="{3930FF99-9127-412A-8E69-AA9AD1735262}">
      <text>
        <t xml:space="preserve">[Threaded comment]
Your version of Excel allows you to read this threaded comment; however, any edits to it will get removed if the file is opened in a newer version of Excel. Learn more: https://go.microsoft.com/fwlink/?linkid=870924
Comment:
    Note to file: a final distribution for approximately $4,000. will be sent in FY24. This will be the last distribution from the trust. 
Reply:
    Update from the estate attorney, Stephen Frank: this year trust distribution will be the final payment as the trust will be closed. A small residual payment will be issued after taxes are filed early 2024.  </t>
      </text>
    </comment>
    <comment ref="AP8" authorId="1" shapeId="0" xr:uid="{D0935634-3898-477C-A0A3-16D9C6861EED}">
      <text>
        <r>
          <rPr>
            <b/>
            <sz val="9"/>
            <color indexed="81"/>
            <rFont val="Tahoma"/>
            <family val="2"/>
          </rPr>
          <t>West Honeycutt:</t>
        </r>
        <r>
          <rPr>
            <sz val="9"/>
            <color indexed="81"/>
            <rFont val="Tahoma"/>
            <family val="2"/>
          </rPr>
          <t xml:space="preserve">
NPCA value on 12/10/18 is approx. $70k</t>
        </r>
      </text>
    </comment>
    <comment ref="E10" authorId="2" shapeId="0" xr:uid="{9AA8D286-DCE7-4244-A4BC-4262A977F6D3}">
      <text>
        <t>[Threaded comment]
Your version of Excel allows you to read this threaded comment; however, any edits to it will get removed if the file is opened in a newer version of Excel. Learn more: https://go.microsoft.com/fwlink/?linkid=870924
Comment:
    Surety Life Insurance</t>
      </text>
    </comment>
    <comment ref="E11" authorId="1" shapeId="0" xr:uid="{2BFD21E9-5484-4D61-8E88-5A6DE67230B8}">
      <text>
        <r>
          <rPr>
            <b/>
            <sz val="9"/>
            <color indexed="81"/>
            <rFont val="Tahoma"/>
            <family val="2"/>
          </rPr>
          <t>West Honeycutt:</t>
        </r>
        <r>
          <rPr>
            <sz val="9"/>
            <color indexed="81"/>
            <rFont val="Tahoma"/>
            <family val="2"/>
          </rPr>
          <t xml:space="preserve">
American General Life Insurance</t>
        </r>
      </text>
    </comment>
    <comment ref="E12" authorId="3" shapeId="0" xr:uid="{2F5A0638-2A69-44AD-8922-AAF88DB43757}">
      <text>
        <t xml:space="preserve">[Threaded comment]
Your version of Excel allows you to read this threaded comment; however, any edits to it will get removed if the file is opened in a newer version of Excel. Learn more: https://go.microsoft.com/fwlink/?linkid=870924
Comment:
    NPCA is a beneficiary of the Kennelly CLT, and have received annual  distributions from BNY Mellon Wealth Mgmt., approx. $15k annually since 2014. Awaiting additional information from BNY Mellon regarding the time frame of future distributions. 
</t>
      </text>
    </comment>
    <comment ref="E19" authorId="4" shapeId="0" xr:uid="{E77B6A59-7AE3-49FE-B984-0F47B2ADD3E2}">
      <text>
        <t xml:space="preserve">[Threaded comment]
Your version of Excel allows you to read this threaded comment; however, any edits to it will get removed if the file is opened in a newer version of Excel. Learn more: https://go.microsoft.com/fwlink/?linkid=870924
Comment:
    We will always receive a letter in January stating what we will receive over the calenday year based on net income of trust. In some years, we will receive additional payment to fulfill private foundation minimum payout law
</t>
      </text>
    </comment>
    <comment ref="E25" authorId="5" shapeId="0" xr:uid="{23906F1E-FF6B-46D7-8F9F-F83409634813}">
      <text>
        <r>
          <rPr>
            <b/>
            <sz val="9"/>
            <color indexed="81"/>
            <rFont val="Tahoma"/>
            <family val="2"/>
          </rPr>
          <t>Vonda Harrison Arey:</t>
        </r>
        <r>
          <rPr>
            <sz val="9"/>
            <color indexed="81"/>
            <rFont val="Tahoma"/>
            <family val="2"/>
          </rPr>
          <t xml:space="preserve">
Please note there are two attorneys handling this estate, Neal Goldstien for co-executor Thea Kerman, and  Lynard Hinoja for Richard Geller, co-executor</t>
        </r>
      </text>
    </comment>
    <comment ref="E26" authorId="6" shapeId="0" xr:uid="{D83E8F9B-E291-4219-B79F-2E842E707A79}">
      <text>
        <t xml:space="preserve">[Threaded comment]
Your version of Excel allows you to read this threaded comment; however, any edits to it will get removed if the file is opened in a newer version of Excel. Learn more: https://go.microsoft.com/fwlink/?linkid=870924
Comment:
    The bequest distribution will come from a family trust in which the husband's death on 2/15/23 has initiated the closing of the trust and disbursements to charitable beneficiaries. NPCA will receive approximately $80k. A small residual will be distributed after taxes and fees are paid from the trust. </t>
      </text>
    </comment>
    <comment ref="E30" authorId="7" shapeId="0" xr:uid="{CCA46CD9-681D-43D3-8C77-1E0809435F84}">
      <text>
        <t>[Threaded comment]
Your version of Excel allows you to read this threaded comment; however, any edits to it will get removed if the file is opened in a newer version of Excel. Learn more: https://go.microsoft.com/fwlink/?linkid=870924
Comment:
    NPCA anticipates receipt of $9,000 as a "preliminary" distribution per Ms. Barr's Trust. Also, Ms. Barr's estate attorney, Sarah Gilson, has indicated there's a judgement of $14.6 million filed in Alameda County Superior Court (Case No. RG17880698) on behalf of Ms. Barr's estate to which the estate trust could receive an excess of $1 million as a net reward. The judgement has been appealed by the defendant. However, if the judgement is sustained, the CRT could potentially be entitled to between $4.4 million and $9.24 million. Therefore, NPCA could potentially receive another gift in the future from this CRT.
Reply:
    Status Update - 5/20/21:
Sasha Collins &lt;Collins@lawofficeinc.com&gt;
Thu 5/20/2021 8:12 AM
Vonda, 
I do not expect that the trustee will make distributions prior to June 30, 2021 due to some unanticipated tax issues relating to the taxation of damages awarded to the Estate of Barbara J. Barr. The Trustee has engaged tax counsel and we are working with the Estate to resolve the issues as quickly as possible. Once we have resolved the tax issues, the Trustee will make distributions from the Charitable Remainder Unitrust.
I am copying my legal assistant, Marisa Glass, on this email. Marisa can schedule a call to discuss any questions you may have. You can reach Marisa at 916-920-5983.
Sasha Oberle Collins, JD, LL.M
Meissner Joseph Palley &amp; Ruggles, Inc.
510 4th Street, Davis, CA 95616 
cell: (530) 601-3311
office: (530) 419-0660
fax: (916) 920-9379
collins@lawofficeinc.com</t>
      </text>
    </comment>
    <comment ref="E33" authorId="8" shapeId="0" xr:uid="{E6C33E2A-D512-4910-8F36-62B4372B14EE}">
      <text>
        <t>[Threaded comment]
Your version of Excel allows you to read this threaded comment; however, any edits to it will get removed if the file is opened in a newer version of Excel. Learn more: https://go.microsoft.com/fwlink/?linkid=870924
Comment:
    Anticipate residual payment in 2023; approximately $10k</t>
      </text>
    </comment>
    <comment ref="E35" authorId="9" shapeId="0" xr:uid="{849C1517-90D5-4C38-B9F3-A4DEF3E79BF2}">
      <text>
        <t xml:space="preserve">[Threaded comment]
Your version of Excel allows you to read this threaded comment; however, any edits to it will get removed if the file is opened in a newer version of Excel. Learn more: https://go.microsoft.com/fwlink/?linkid=870924
Comment:
    UPDATE: Partial distribution received from trust, 7/11/23. Anticipate receipt of small residual after trust is finalized and closed. </t>
      </text>
    </comment>
    <comment ref="E36" authorId="10" shapeId="0" xr:uid="{FA8BE67A-D7F7-4BF3-BB08-6EBB9BD93011}">
      <text>
        <t xml:space="preserve">[Threaded comment]
Your version of Excel allows you to read this threaded comment; however, any edits to it will get removed if the file is opened in a newer version of Excel. Learn more: https://go.microsoft.com/fwlink/?linkid=870924
Comment:
    NPCA received a partial distribution today in the amount of $423,075.11; another distribution is scheduled to be disbursed later this year. </t>
      </text>
    </comment>
    <comment ref="E38" authorId="11" shapeId="0" xr:uid="{2052FD70-4C08-4E06-8D9F-32B94CB668EE}">
      <text>
        <t xml:space="preserve">[Threaded comment]
Your version of Excel allows you to read this threaded comment; however, any edits to it will get removed if the file is opened in a newer version of Excel. Learn more: https://go.microsoft.com/fwlink/?linkid=870924
Comment:
    NPCA received partial distribution; anticipate residual after fed and state taxes are complete. </t>
      </text>
    </comment>
    <comment ref="E39" authorId="12" shapeId="0" xr:uid="{F5441336-1E2F-44AF-A904-6E553169D64A}">
      <text>
        <t xml:space="preserve">[Threaded comment]
Your version of Excel allows you to read this threaded comment; however, any edits to it will get removed if the file is opened in a newer version of Excel. Learn more: https://go.microsoft.com/fwlink/?linkid=870924
Comment:
    NPCA has been named sole beneficiary of two life insurance policies from the Estate of Dallas Brown. The distributions will be come from Allianz Life Insurance of North America in the amount of $1MM, and the other from Lafayette Life Insurance for $200k. NPCA could possibly be the recipient of a third asset, ($200k); this will need to be determined by the estate. Dallas Brown did not solidify in writing his wishes for NPCA to receive the third asset. Therefore, the estate will have to determine, possibly through the courts, who should receive the third asset.   </t>
      </text>
    </comment>
    <comment ref="E40" authorId="13" shapeId="0" xr:uid="{6F533520-EBEB-435A-8628-F68C21576753}">
      <text>
        <t>[Threaded comment]
Your version of Excel allows you to read this threaded comment; however, any edits to it will get removed if the file is opened in a newer version of Excel. Learn more: https://go.microsoft.com/fwlink/?linkid=870924
Comment:
    WAH spoke w/ atty on 5/10. Prev trustee died of covid. New trustee, Tim does not officially represent. Has been pressing trustee. Trustee is accountant and Tim will press again in June after tax season. Should west contact jewish philanthropies (25% bene)?</t>
      </text>
    </comment>
    <comment ref="E41" authorId="14" shapeId="0" xr:uid="{F29B3542-7FA6-403A-BE25-EBB13B876C59}">
      <text>
        <t>[Threaded comment]
Your version of Excel allows you to read this threaded comment; however, any edits to it will get removed if the file is opened in a newer version of Excel. Learn more: https://go.microsoft.com/fwlink/?linkid=870924
Comment:
    NPCA received a partial distribution from the estate. There will be a second and final distribution of a much smaller amount estimated to be ten percent of the enclosed distribution at closing of the estate. </t>
      </text>
    </comment>
    <comment ref="E44" authorId="15" shapeId="0" xr:uid="{7B939E1C-9571-482A-8ACE-CBC141D9163D}">
      <text>
        <t xml:space="preserve">[Threaded comment]
Your version of Excel allows you to read this threaded comment; however, any edits to it will get removed if the file is opened in a newer version of Excel. Learn more: https://go.microsoft.com/fwlink/?linkid=870924
Comment:
    NPCA to receive portion of trust. 
</t>
      </text>
    </comment>
    <comment ref="E47" authorId="16" shapeId="0" xr:uid="{4C269D62-7935-452B-871E-206E9625AC33}">
      <text>
        <t>[Threaded comment]
Your version of Excel allows you to read this threaded comment; however, any edits to it will get removed if the file is opened in a newer version of Excel. Learn more: https://go.microsoft.com/fwlink/?linkid=870924
Comment:
    1/29/21 awaiting timeline and amount
Reply:
    awaiting small final distribution; partial received 6/17/21</t>
      </text>
    </comment>
    <comment ref="E50" authorId="17" shapeId="0" xr:uid="{B9AB7C58-D52E-404B-9F37-F6CAF42D693A}">
      <text>
        <t xml:space="preserve">[Threaded comment]
Your version of Excel allows you to read this threaded comment; however, any edits to it will get removed if the file is opened in a newer version of Excel. Learn more: https://go.microsoft.com/fwlink/?linkid=870924
Comment:
    Rough estimate of current trust value is $3 million, and 3% of that is approximately $40k. The trustee will provide further details as he receives them. Date of distribution TBD.  </t>
      </text>
    </comment>
    <comment ref="E51" authorId="18" shapeId="0" xr:uid="{F1C26477-7DA4-4610-8543-9E7C05D24160}">
      <text>
        <t xml:space="preserve">[Threaded comment]
Your version of Excel allows you to read this threaded comment; however, any edits to it will get removed if the file is opened in a newer version of Excel. Learn more: https://go.microsoft.com/fwlink/?linkid=870924
Comment:
    UPDATE: Richard Buhrman &lt;rwb@buhrmanlaw.com&gt;
Thu 5/20/2021 3:58 PM
"Ms. Arey
Distribution will be prior to May 31. Estimate each of the five charitable beneficiaries will receive $47,000".
"Mr. Buhrman, 
Thank you for your response. I will keep an eye out for the documentation you sent and follow up with any questions. However, I do have a quick question about the distribution timeline. For record keeping purposes, could you kindly provide an approximate date of distribution from the estate as well as the approximate amount NPCA will receive? Thank you for any information you can provide".
"Ms Arey
Met with Executor Tuesday; final court documents, summary of transactions sent to you and other four charitable beneficiaries .
After you review these items, call with questions". 
Richard Buhrman </t>
      </text>
    </comment>
    <comment ref="E60" authorId="19" shapeId="0" xr:uid="{780D180F-FEC7-43F3-BF77-34F7E5127DC9}">
      <text>
        <t xml:space="preserve">[Threaded comment]
Your version of Excel allows you to read this threaded comment; however, any edits to it will get removed if the file is opened in a newer version of Excel. Learn more: https://go.microsoft.com/fwlink/?linkid=870924
Comment:
    Estimated bequest distribution $25k - $30k; anticipated date of distribution end of first quarter of 2021 (March). </t>
      </text>
    </comment>
    <comment ref="E65" authorId="20" shapeId="0" xr:uid="{8E29A12B-7752-457E-A253-1A62C471617A}">
      <text>
        <t xml:space="preserve">[Threaded comment]
Your version of Excel allows you to read this threaded comment; however, any edits to it will get removed if the file is opened in a newer version of Excel. Learn more: https://go.microsoft.com/fwlink/?linkid=870924
Comment:
    NPCA has been named as a beneficiary of the estate, and will receive one-fifth of the estate's liquidated assets. </t>
      </text>
    </comment>
    <comment ref="E68" authorId="21" shapeId="0" xr:uid="{85DCBB53-BB95-48D4-B704-674640B6EE8E}">
      <text>
        <t xml:space="preserve">[Threaded comment]
Your version of Excel allows you to read this threaded comment; however, any edits to it will get removed if the file is opened in a newer version of Excel. Learn more: https://go.microsoft.com/fwlink/?linkid=870924
Comment:
    NPCA will receive a split of 7% of residual of trust amongst other charities. 
Reply:
    FYI:  Maurer, Travis G. &lt;tmaurer@ycst.com&gt;
Thu 10/14/2021 10:56 AM
To: Vonda M. Arey
Hello, Vonda.
Unfortunately, at this time I am not able to give you an estimate of the amount or timing of distributions from the trust. We are still gathering necessary information. Accordingly, I do not anticipate that there will be any distributions prior to the end of the year. If this should change, I will be sure to let you know. Please let me know if you have any additional questions.
 Kind regards,
Travis
</t>
      </text>
    </comment>
    <comment ref="E70" authorId="22" shapeId="0" xr:uid="{0CF2235F-2492-41BA-A824-52E59F40193B}">
      <text>
        <t xml:space="preserve">[Threaded comment]
Your version of Excel allows you to read this threaded comment; however, any edits to it will get removed if the file is opened in a newer version of Excel. Learn more: https://go.microsoft.com/fwlink/?linkid=870924
Comment:
    NPCA to receive a portion of residual from trust. 
Reply:
    11/18/2019 - Valuation of distribution unknown at this time. Some estate assets, (bank deposits and stock), were not intially placed in the trust. Therefore, a petition to the court to determine all assets of the trust was initiated.  
03/02/2020 - Court hearing scheduled 
April 21, 2020, to determine trust administration, after which the value of trust can better be estimated
Reply:
    April 23, 2020 - Update from estate attorney: Court hearing continued through 6/23/20. Approx. value of estate is $289,375. Estimate of distribution to NPCA TBD. 
Reply:
    01/20/2022 - NPCA anticipate another distribution after estate taxes are filed. </t>
      </text>
    </comment>
    <comment ref="E74" authorId="23" shapeId="0" xr:uid="{8D3B20E6-03C2-445E-8C3D-6B943B12602E}">
      <text>
        <t xml:space="preserve">[Threaded comment]
Your version of Excel allows you to read this threaded comment; however, any edits to it will get removed if the file is opened in a newer version of Excel. Learn more: https://go.microsoft.com/fwlink/?linkid=870924
Comment:
    I called Christine Halchak early March to obtain additional information regarding the bequest distribution. Ms. Halchak was not available so I left a voicemail. Followed up again 3/29/22, Ms. Halchak still not available, left voicemail again along with sending an email message requesting additional information regarding NPCA's portion of the estate. </t>
      </text>
    </comment>
    <comment ref="E75" authorId="24" shapeId="0" xr:uid="{149789CD-38C4-41C0-BE49-D29CC095B093}">
      <text>
        <t>[Threaded comment]
Your version of Excel allows you to read this threaded comment; however, any edits to it will get removed if the file is opened in a newer version of Excel. Learn more: https://go.microsoft.com/fwlink/?linkid=870924
Comment:
    NPCA named as a beneficiary of 1/4 of residue split between 6 other charities. Value of estate unknown as of 7/7/2021.
Reply:
    Update from Susan Coombs, 7/29/21: "Hello Vonda,
I am assisting James Jacquette with the administration of Mary E. Jacquette’s estate... 
We are in the process of administering Mary’s estate and will provide you with the estimate of the gift to NPCA in the near future. The PA Inheritance tax return is required to be filed nine (9) months after death or December 30, 2021 and shortly thereafter, the estate will prepare and forward an accounting to all beneficiaries... Thank you and please do not hesitate to contact me with any questions. – Susan Coombs"
Reply:
    Partial distribution received 6/27/2022 in the amount of $71,000.
Reply:
    Update: NPCA anticipate second partial distribution from Estate in the amount of $32,142.85</t>
      </text>
    </comment>
    <comment ref="E79" authorId="25" shapeId="0" xr:uid="{6EEBB1E5-1192-4CB7-99BF-A37D9D2E9308}">
      <text>
        <t>[Threaded comment]
Your version of Excel allows you to read this threaded comment; however, any edits to it will get removed if the file is opened in a newer version of Excel. Learn more: https://go.microsoft.com/fwlink/?linkid=870924
Comment:
    Potential duplicate bequest on spreadsheet. Do research to determine if this bequest is the same as Shirley Anne Kaub's bequest distribution received in FY2021.</t>
      </text>
    </comment>
    <comment ref="AC79" authorId="1" shapeId="0" xr:uid="{B826D029-9448-41C6-9688-E5B970F25D4C}">
      <text>
        <r>
          <rPr>
            <b/>
            <sz val="9"/>
            <color indexed="81"/>
            <rFont val="Tahoma"/>
            <family val="2"/>
          </rPr>
          <t>West Honeycutt:</t>
        </r>
        <r>
          <rPr>
            <sz val="9"/>
            <color indexed="81"/>
            <rFont val="Tahoma"/>
            <family val="2"/>
          </rPr>
          <t xml:space="preserve">
$1.6MM estate, NPCA a 7.5% residuary beneficiary</t>
        </r>
      </text>
    </comment>
    <comment ref="E80" authorId="26" shapeId="0" xr:uid="{49941FE1-1AF2-4692-B379-6160C0B354EA}">
      <text>
        <t xml:space="preserve">[Threaded comment]
Your version of Excel allows you to read this threaded comment; however, any edits to it will get removed if the file is opened in a newer version of Excel. Learn more: https://go.microsoft.com/fwlink/?linkid=870924
Comment:
    Partial distribution received from the trust. NPCA anticipated residual distribution. Date TBD.  
Reply:
    Received confirmation from trust attorney: residual is estimated at $25,000, anticipate receipt before end of 2022. </t>
      </text>
    </comment>
    <comment ref="E84" authorId="27" shapeId="0" xr:uid="{2EBC4051-4026-4819-AEA0-CE9AB2B60D28}">
      <text>
        <t xml:space="preserve">[Threaded comment]
Your version of Excel allows you to read this threaded comment; however, any edits to it will get removed if the file is opened in a newer version of Excel. Learn more: https://go.microsoft.com/fwlink/?linkid=870924
Comment:
     Anticipated bequest distribution being sent via wire transfer in April 2024. </t>
      </text>
    </comment>
    <comment ref="E85" authorId="28" shapeId="0" xr:uid="{7E300ECD-F3CC-433E-BFD3-1135172573A8}">
      <text>
        <t>[Threaded comment]
Your version of Excel allows you to read this threaded comment; however, any edits to it will get removed if the file is opened in a newer version of Excel. Learn more: https://go.microsoft.com/fwlink/?linkid=870924
Comment:
    Anticipated residual to be received after estate taxes are filed. 
Reply:
    12052022 - Note to file: Approved final distribution based on court approval, $15,726.92</t>
      </text>
    </comment>
    <comment ref="E86" authorId="29" shapeId="0" xr:uid="{50E5E3BD-2C5E-4A4E-BA7A-E96BC60B9C49}">
      <text>
        <t xml:space="preserve">[Threaded comment]
Your version of Excel allows you to read this threaded comment; however, any edits to it will get removed if the file is opened in a newer version of Excel. Learn more: https://go.microsoft.com/fwlink/?linkid=870924
Comment:
    9/10/20 - estate valuation to be determined after inventory is complete; inventory should be readily available in 4 - 6 weeks from to-date.  
Reply:
    Received interim distribution check dated 12/13/2022, in the amount of $5,000. Anticipate residual distribution after 2022 taxes have been filed. </t>
      </text>
    </comment>
    <comment ref="E87" authorId="30" shapeId="0" xr:uid="{633E9D64-690C-42F9-BE9A-39787D699642}">
      <text>
        <t xml:space="preserve">[Threaded comment]
Your version of Excel allows you to read this threaded comment; however, any edits to it will get removed if the file is opened in a newer version of Excel. Learn more: https://go.microsoft.com/fwlink/?linkid=870924
Comment:
    8/4/21 - NPCA has been named as a beneficiary amongst two other charities, and will receive approximately $500k from the trust. Administration is in beginning stages and updates will be provided upon receipt from the trust attorney. 
Reply:
    UPDATE : 10/06/2021 - hearing date for account filings could take up to 6 months. Anticipate receipt of gift early 2022.
Reply:
    UPDATE: Rebecca
Weisman &lt;rebecca@fwlawoffices.com&gt; Mon 10/11/2021 6:55 PM
To: Vonda M. Arey
Cc:Jessica M. Britt &lt;jmbritt@live.com&gt;+1 other
 "Hi Vonda, we are working on and need to file accountings, get those approved, clean up clear out and sell a house. It's taking 5 to 6 months to get hearing dates. So, a very optimistic time frame would be at least a year. 
Rebecca"
Reply:
    NPCA received notice of petition to administer estate 6/21/22. Estate still in administration; anticipate receipt of distribution towards calendar year end, 12/31/2022. </t>
      </text>
    </comment>
    <comment ref="E90" authorId="31" shapeId="0" xr:uid="{C5CDBBCB-C996-47AF-A459-57BFDF375E18}">
      <text>
        <t>[Threaded comment]
Your version of Excel allows you to read this threaded comment; however, any edits to it will get removed if the file is opened in a newer version of Excel. Learn more: https://go.microsoft.com/fwlink/?linkid=870924
Comment:
    UPDATE 082223: Spoke with the Capital Group/American Funds Insurance Company today about the bequest distribution from Robert Bartholomew's account. They are requiring us to complete specific claim paperwork in order to create an internal beneficiary account with CG/AF on behalf of NPCA. However, because these forms demand us to submit sensitive information about our executive team, (i.e. SSN, DOB, home address info., etc.), NPCA is reluctant to complete and submit the required forms. Planned Giving will create a letter to CG/AF general counsel requesting distribution of the allotted bequest from Mr. Bartholomew without creating an internal beneficiary account.</t>
      </text>
    </comment>
    <comment ref="E93" authorId="1" shapeId="0" xr:uid="{56BE66B6-94D6-402D-8690-F89A1EC823E6}">
      <text>
        <r>
          <rPr>
            <sz val="11"/>
            <color theme="1"/>
            <rFont val="Calibri"/>
            <family val="2"/>
            <scheme val="minor"/>
          </rPr>
          <t>West Honeycutt:
Trustees will follow up with Vonda in Jan or Feb 2021 on value and process for distribution
VMA-NOTE TO FILE:
NPCA to receive 20% residuary from the family trust; upon the death of Yolanda Oertel,(trustor), the "Oertel Family Trust" became irrevocable and will start the admin. process; the 20% distribution to NPCA "shall be used to support programs dealing with the education of children as future stewards of our National Parks". 
***THIS BEQUEST IS RESTRICTED; TO USED TO SUPPORT PROGRAMS DEALING WITH THE EDUCATION OF CHILDREN AS FUTURE STEWARDS OF OUR NATIONAL PARKS****
UPDATE: 12/01/2022 - Vonda spoke with secondary trustee, Jay Zeck, and he informed me that there was a dispute against the trust by one of the healthcare facility workers which froze the funds and the assets held up the distributions to beneficiaries. There are some settlements against the trust, legal fees and other cost against the trust. The dispute is being concluded and the trust closing process has been reinstated. The trustees will follow-up in 2023 with date of distribution and amount allotted to NPCA. 
UPDATE from Jay Zeck, Trustee, as of 3/15/23: 
Jay Zeck &lt;jay.zeck@gmail.com&gt;
Vonda M. Arey
Hi Vonda,
Thank you kindly for the note and follow up! 
I chatted with Sam, the Co-Trustee for Dr. Oertel’s Trust and whose law firm is helping to manage it.  By way of update, a letter from us as Trustees and/or Sam’s team should be coming by the end of this month.  We just finished the final accounting of the Estate which has now been officially filed with the Fairfax County Probate Court as the Second and final Accounting.  We are generously anticipating the approval order from the Court of that accounting within the next 5 months, give or take.   (Of note, 5 months was how long it took the Court to approve the First Accounting last year; that said, it was likely attributable to pandemic-related back-ups; so hopefully things move faster this time!).  The distribution estimate for NPCA that you mention ($ 1M) remains within a likely range for the association’s budget and planning purposes.  We are reasonably hopeful that distributions can be made by the end of the year.  More to come very soon in the more official letter.
Apologies to you and your team for the drawn out process with this-- but we just want to be sure everything gets done properly with such a complicated Estate/Trust.  
Thanks!
-- jay 
Update 09/27/23: NPCA anticipates receipt of an estimated $1.5 million from the Oertel Trust by end of 2023. The trust is waiting on additional document from other charitable beneficiaries before making distributions. 
EMAIL UPDATE FROM TRUST ATTORNEY - 12/12/2023:
Michael Curtin &lt;MCurtin@curtin-law.com&gt;
Tue 12/12/2023 5:48 PM
​Vonda M. Arey &lt;varey@npca.org&gt;​
"Ms. Arey;
Thanks for your holiday greetings and good wishes. Right back at you with good wishes for a Happy Holiday Season.
Now, to the topic at hand. After quite a bit more cajoling and the passage of another seven+ weeks the Trustees finally received the final one of the needed (executed )Non Judicial Settlement Agreements.
The final account has been prepared. It is the Trustees’ goal to have all distributions out to the beneficiary organizations before the end of the month". 
Mike Curtin
Michael F. Curtin, Esquire
Curtin Law Roberson Dunigan &amp; Salans
Attorneys At Law
Suite 300
1800 Massachusetts Ave., NW, Washington, DC 20036
(202) 530-3333 Main
(202) 530-3320 Direct
(202) 530-3311 Fax
mcurtin@curtin-law.com</t>
        </r>
      </text>
    </comment>
    <comment ref="E95" authorId="32" shapeId="0" xr:uid="{3C1E861E-0784-48F0-91CB-07C820F9556D}">
      <text>
        <t xml:space="preserve">[Threaded comment]
Your version of Excel allows you to read this threaded comment; however, any edits to it will get removed if the file is opened in a newer version of Excel. Learn more: https://go.microsoft.com/fwlink/?linkid=870924
Comment:
    Contacted Kristen Simon to inquire about whether the Ordway Trust is ongoing or if the 2023 distribution is final. </t>
      </text>
    </comment>
    <comment ref="E96" authorId="33" shapeId="0" xr:uid="{5CBDEF54-0D46-4EC5-850E-D6EAE91A6DE7}">
      <text>
        <t>[Threaded comment]
Your version of Excel allows you to read this threaded comment; however, any edits to it will get removed if the file is opened in a newer version of Excel. Learn more: https://go.microsoft.com/fwlink/?linkid=870924
Comment:
    Is this for FY22?</t>
      </text>
    </comment>
    <comment ref="E99" authorId="34" shapeId="0" xr:uid="{B5AAB438-F0FE-4994-817F-A000AAC631E3}">
      <text>
        <t>[Threaded comment]
Your version of Excel allows you to read this threaded comment; however, any edits to it will get removed if the file is opened in a newer version of Excel. Learn more: https://go.microsoft.com/fwlink/?linkid=870924
Comment:
    Have made several attempts to email Walter Bieber regarding the status of the distribution. I haven't received a response to-date. Called and left a voicemail message and awaiting a response; will follow-up by email as well. 
Reply:
    RE: Estate/Trust of Diane Pick
    National Parks
Ms. Arey,
We will not be making a distribution this year (2020). We must first pay taxes and all administrative expenses, which can't be calculated until after the taxes are computed by April 15, 2021, before there are distributions to beneficiaries. So you shouldn't expect to hear from us until May/June, 2021. I hope to distribute all the assets in July/August, 2021.
Wally Bieber
BIEBER &amp; CZECHOWSKI, PLLC
26224 Van Dyke
Center Line MI 48015
586-754-1450
wbieber@bcbestlawfirm.com</t>
      </text>
    </comment>
    <comment ref="E102" authorId="35" shapeId="0" xr:uid="{87FDB780-3757-4980-B118-A52A2C97C029}">
      <text>
        <t xml:space="preserve">[Threaded comment]
Your version of Excel allows you to read this threaded comment; however, any edits to it will get removed if the file is opened in a newer version of Excel. Learn more: https://go.microsoft.com/fwlink/?linkid=870924
Comment:
    NPCA received a partial distribution of $10k and anticipate another $120k. A residual distribution will be sent after estate taxes are filed.  </t>
      </text>
    </comment>
    <comment ref="E108" authorId="36" shapeId="0" xr:uid="{116661E5-FFC1-41E1-BC5D-75A0EE0C6E0A}">
      <text>
        <t xml:space="preserve">[Threaded comment]
Your version of Excel allows you to read this threaded comment; however, any edits to it will get removed if the file is opened in a newer version of Excel. Learn more: https://go.microsoft.com/fwlink/?linkid=870924
Comment:
    Problem estate. Emailed Beth Golden at Docs without borders again on 5/5/21
Reply:
    Update: NPCA received a distribution today for $42k with a residual amount anticipated to be received before 6/30/24. </t>
      </text>
    </comment>
    <comment ref="E111" authorId="37" shapeId="0" xr:uid="{E263E7A2-89CF-469F-864E-A81338C1EE72}">
      <text>
        <t>[Threaded comment]
Your version of Excel allows you to read this threaded comment; however, any edits to it will get removed if the file is opened in a newer version of Excel. Learn more: https://go.microsoft.com/fwlink/?linkid=870924
Comment:
    Problem estate. Emailed with Lori Sullivan and Ciana Phann on 5/4/21. Waiting on Sierra Club outside legal counsel to advise so we can petition for appointing a trustee</t>
      </text>
    </comment>
    <comment ref="E112" authorId="38" shapeId="0" xr:uid="{887936B4-A5EE-4BE8-A0E4-43C40811C167}">
      <text>
        <t xml:space="preserve">[Threaded comment]
Your version of Excel allows you to read this threaded comment; however, any edits to it will get removed if the file is opened in a newer version of Excel. Learn more: https://go.microsoft.com/fwlink/?linkid=870924
Comment:
    Second distribution received today (8/31/23); anticipate receipt of residual distribution from Trust towards year end, 2023. </t>
      </text>
    </comment>
    <comment ref="E113" authorId="39" shapeId="0" xr:uid="{8E034E6F-836E-481E-91B2-8826CB42CFF6}">
      <text>
        <t xml:space="preserve">[Threaded comment]
Your version of Excel allows you to read this threaded comment; however, any edits to it will get removed if the file is opened in a newer version of Excel. Learn more: https://go.microsoft.com/fwlink/?linkid=870924
Comment:
    Last distribution received today from trust on behalf of Robert Shaffer. </t>
      </text>
    </comment>
    <comment ref="E115" authorId="40" shapeId="0" xr:uid="{6EADF19D-BC20-45ED-A0D5-AFFA847104DD}">
      <text>
        <t>[Threaded comment]
Your version of Excel allows you to read this threaded comment; however, any edits to it will get removed if the file is opened in a newer version of Excel. Learn more: https://go.microsoft.com/fwlink/?linkid=870924
Comment:
    Trustee letter 12/21/20 hoped for final distribution in early 2021. Nothing as of 5/5/21</t>
      </text>
    </comment>
    <comment ref="E116" authorId="41" shapeId="0" xr:uid="{5DD3CCE8-9F9D-4768-B3CF-966FF1D4D99F}">
      <text>
        <t>[Threaded comment]
Your version of Excel allows you to read this threaded comment; however, any edits to it will get removed if the file is opened in a newer version of Excel. Learn more: https://go.microsoft.com/fwlink/?linkid=870924
Comment:
    Notified by atty of potential contest to estate; awaiting notice for parties to contest and to see if person actually contests 5/17/23</t>
      </text>
    </comment>
    <comment ref="E120" authorId="42" shapeId="0" xr:uid="{E8E0981C-75E4-47F5-A862-76CABB018799}">
      <text>
        <t xml:space="preserve">[Threaded comment]
Your version of Excel allows you to read this threaded comment; however, any edits to it will get removed if the file is opened in a newer version of Excel. Learn more: https://go.microsoft.com/fwlink/?linkid=870924
Comment:
    NPCA received an unexpected $500k bequest today with an anticipated residual coming from the estate after taxes are filed and administrative fees paid. </t>
      </text>
    </comment>
    <comment ref="E121" authorId="43" shapeId="0" xr:uid="{8A21FC86-5626-4089-8327-C70EE427B6F9}">
      <text>
        <t xml:space="preserve">[Threaded comment]
Your version of Excel allows you to read this threaded comment; however, any edits to it will get removed if the file is opened in a newer version of Excel. Learn more: https://go.microsoft.com/fwlink/?linkid=870924
Comment:
    From: Ten Lin Lee Wyatt &lt;twyatt@wilkauslander.com&gt;
Sent: Wednesday, March 31, 2021 11:26 AM
To: Vonda M. Arey &lt;varey@npca.org&gt;
Cc: 'Anne Donaghy' &lt;annetdonaghy@gmail.com&gt;; Thomas Amlicke &lt;tamlicke@wilkauslander.com&gt;; Bruce C. Johnson &lt;bjohnson@wilkauslander.com&gt;
Subject: RE: NPCA - Following Up on the Estate of Lowell Thomas, Jr.
Dear Ms. Arey, 
Thank you for your email below.  I am doing well and hope you are, too.
This is in response to your inquiry as to the status of the Estate of Lowell Thomas, Jr. Please be advised that we followed-up on numerous occasions with the Internal Revenue Service (“IRS”) after we filed the Estate’s Federal Estate Tax Return (Form 706) on December 27, 2017. During the pandemic, which began more than a year ago, we continued to follow-up with the IRS but were unsuccessful in reaching anyone as the IRS offices were closed. Then, on December 14, 2020, we filed an Amended Form 706. We are waiting to receive the refund requested on the Amended Form 706. We are also waiting to hear whether there will be an audit of the 706 or waiting for a Federal Closing Letter approving the 706 as filed. We were hoping that filing an Amended Form 706 would “shake” the IRS a bit. It is difficult to determine the timeframe as to how much longer we have to wait before we hear from the IRS because the timing is totally in the hands of the IRS. However, we were informed that we could follow-up in connection with the status of the requested refund in mid-June, 2021, which we will do. When we ultimately hear from the IRS and the Federal estate tax issue has been settled, we will prepare a Receipt and Release and Final Accounting. After all of the beneficiaries (and there are many) have signed off on the Receipt and Release and Final Accounting, we will make distributions to the beneficiaries. That being said, I am sorry to say it is very unlikely that the National Parks and Conservation Association will receive its bequest by June 30, 2021. As you stated in the first sentence of your email, these are challenging times. Thus, everything is taking longer, especially since most IRS workers are working remotely. Please feel free to follow-up with me at any time.
Best wishes,
Mrs. Wyatt  
Reply:
    Update - 04/08/2021
NPCA to receive approx. $400k from the trust after taxes and fees are complete. Anticipate receipt of distribution by end of 2021. Will follow up with estate Fall 2021. 
Reply:
    UPDATE : 09/23/2021 - Estate is still awaiting completion of tax return. </t>
      </text>
    </comment>
    <comment ref="E122" authorId="44" shapeId="0" xr:uid="{B3D6CEDB-A1AD-4FA0-B1A7-16E9A441A119}">
      <text>
        <r>
          <rPr>
            <sz val="11"/>
            <color theme="1"/>
            <rFont val="Calibri"/>
            <family val="2"/>
            <scheme val="minor"/>
          </rPr>
          <t xml:space="preserve">Vonda M. Arey:
Wire transfer in the amount of $40,000 was received and a residual will be distributed towards the end of 2023 after estate taxes have been filed and are complete. Anticipated residual amount between $2k - $3k, per Wendy 
Update 11/16/23 - incoming residual of $7,000 before 12/31/23. </t>
        </r>
      </text>
    </comment>
    <comment ref="E124" authorId="45" shapeId="0" xr:uid="{7DEF4A95-DD46-4240-9C1B-5C0AD9CBA31B}">
      <text>
        <t xml:space="preserve">[Threaded comment]
Your version of Excel allows you to read this threaded comment; however, any edits to it will get removed if the file is opened in a newer version of Excel. Learn more: https://go.microsoft.com/fwlink/?linkid=870924
Comment:
    NPCA received a partial distribution in the amount of $50k; residual will be distributed in 2023 after estate taxes have been filed. </t>
      </text>
    </comment>
    <comment ref="E125" authorId="1" shapeId="0" xr:uid="{7D71D273-907B-4466-B354-24E5E45AD6D5}">
      <text>
        <r>
          <rPr>
            <b/>
            <sz val="9"/>
            <color indexed="81"/>
            <rFont val="Tahoma"/>
            <family val="2"/>
          </rPr>
          <t>$1.69MM received 3/14/19
Need to connect with Bill Hays after May 15 re: legacy and story of Andy</t>
        </r>
      </text>
    </comment>
    <comment ref="E126" authorId="46" shapeId="0" xr:uid="{CC7ACDDF-104A-4FC1-8E41-7E397905E79C}">
      <text>
        <t xml:space="preserve">[Threaded comment]
Your version of Excel allows you to read this threaded comment; however, any edits to it will get removed if the file is opened in a newer version of Excel. Learn more: https://go.microsoft.com/fwlink/?linkid=870924
Comment:
    NPCA received a first distribution of $51k. A residual amount will be sent later. </t>
      </text>
    </comment>
    <comment ref="E134" authorId="47" shapeId="0" xr:uid="{826B5F60-596C-4B19-9A4F-F0D03883C123}">
      <text>
        <t xml:space="preserve">[Threaded comment]
Your version of Excel allows you to read this threaded comment; however, any edits to it will get removed if the file is opened in a newer version of Excel. Learn more: https://go.microsoft.com/fwlink/?linkid=870924
Comment:
    No additional residual received. </t>
      </text>
    </comment>
    <comment ref="G135" authorId="48" shapeId="0" xr:uid="{B269D495-995A-417E-BA0D-B51215B37DE0}">
      <text>
        <t xml:space="preserve">[Threaded comment]
Your version of Excel allows you to read this threaded comment; however, any edits to it will get removed if the file is opened in a newer version of Excel. Learn more: https://go.microsoft.com/fwlink/?linkid=870924
Comment:
    NPCA named as a beneficiary to receive 1% of the estate; current estate value $2.5MM. 
Reply:
    Update as of 10/02 - Estate attorney filed notice for final distributions with court and should be approved soon; distributions will be mailed shortly afterwards, within 30 days. </t>
      </text>
    </comment>
    <comment ref="E136" authorId="49" shapeId="0" xr:uid="{D5931302-4B62-4AD7-B880-10D4DFF5B874}">
      <text>
        <t xml:space="preserve">[Threaded comment]
Your version of Excel allows you to read this threaded comment; however, any edits to it will get removed if the file is opened in a newer version of Excel. Learn more: https://go.microsoft.com/fwlink/?linkid=870924
Comment:
    NPCA received partial distribution from estate today. Residual will follow sometime next year after taxes have been filed.  
Reply:
    NPCA anticipate receipt of 2nd partial distribution from the estate and trust in the amount of $396,496.82. Waiting to confirm timeline for this gift. </t>
      </text>
    </comment>
    <comment ref="E140" authorId="50" shapeId="0" xr:uid="{55281333-12C6-4E60-ABBF-B095C19EA562}">
      <text>
        <t xml:space="preserve">[Threaded comment]
Your version of Excel allows you to read this threaded comment; however, any edits to it will get removed if the file is opened in a newer version of Excel. Learn more: https://go.microsoft.com/fwlink/?linkid=870924
Comment:
    Rough estimate of current trust value is $3 million, and 3% of that is approximately $40k. The trustee will provide further details as he receives them. Date of distribution TBD.  </t>
      </text>
    </comment>
    <comment ref="E152" authorId="51" shapeId="0" xr:uid="{209B4374-8B93-46E3-A44E-748A8481B195}">
      <text>
        <t xml:space="preserve">[Threaded comment]
Your version of Excel allows you to read this threaded comment; however, any edits to it will get removed if the file is opened in a newer version of Excel. Learn more: https://go.microsoft.com/fwlink/?linkid=870924
Comment:
    Pamela Valentine, former trustee of the Sallie Moron Trust, died August 8, 2019. Candice Morton has been appointed the sole trustee. Proposed distribution to NPCA is $1,341.18. 
Reply:
    NPCA recently received partial distribution from the Trust in the amount of $1,341.18., dated 4/28/2020, ck#3012. Additional distribution to follow late 2020.
</t>
      </text>
    </comment>
    <comment ref="E157" authorId="52" shapeId="0" xr:uid="{08C75A7E-FC62-4971-A06C-E0599AAD2A3B}">
      <text>
        <t xml:space="preserve">[Threaded comment]
Your version of Excel allows you to read this threaded comment; however, any edits to it will get removed if the file is opened in a newer version of Excel. Learn more: https://go.microsoft.com/fwlink/?linkid=870924
Comment:
    NPCA received bulk of trust distribution. A residual distribution will be received towards the end of 2022. 
Reply:
    Residual and final distribution in the amount of $315.00 was received on 11/22/2022. </t>
      </text>
    </comment>
    <comment ref="E160" authorId="53" shapeId="0" xr:uid="{D3B4BD5C-C666-47C9-AE65-749E594D179F}">
      <text>
        <t xml:space="preserve">[Threaded comment]
Your version of Excel allows you to read this threaded comment; however, any edits to it will get removed if the file is opened in a newer version of Excel. Learn more: https://go.microsoft.com/fwlink/?linkid=870924
Comment:
    Note: this bequest is a final distribution from the trust after a lengthy trust administration due the sale of real estate property. </t>
      </text>
    </comment>
    <comment ref="E161" authorId="1" shapeId="0" xr:uid="{0D86E172-2F65-4C2D-B98D-B1E6314C6A3D}">
      <text>
        <r>
          <rPr>
            <sz val="11"/>
            <color theme="1"/>
            <rFont val="Calibri"/>
            <family val="2"/>
            <scheme val="minor"/>
          </rPr>
          <t xml:space="preserve">West Honeycutt:
final distribution (if any) coming by Oct 31 2022
VMA UPDATE - 5/1/23: wire transfer of $40k received. A residual distribution between $2k - $3k to be received by end of 2023. </t>
        </r>
      </text>
    </comment>
    <comment ref="E168" authorId="5" shapeId="0" xr:uid="{61AB312A-6956-42DB-924F-5DBFA3ADC0BE}">
      <text>
        <r>
          <rPr>
            <b/>
            <sz val="9"/>
            <color indexed="81"/>
            <rFont val="Tahoma"/>
            <family val="2"/>
          </rPr>
          <t>Vonda Harrison Arey:</t>
        </r>
        <r>
          <rPr>
            <sz val="9"/>
            <color indexed="81"/>
            <rFont val="Tahoma"/>
            <family val="2"/>
          </rPr>
          <t xml:space="preserve">
Email update 10/21/19 from Gina Rim, paralegal. "We’re still waiting for the No Objection Letter from the Attorney General’s office.  The AG was backed up so they’re currently reviewing our file.  I’m hoping to receive it within the next few weeks.  I will keep you posted". </t>
        </r>
      </text>
    </comment>
    <comment ref="E170" authorId="5" shapeId="0" xr:uid="{E0B4CDEC-9531-4C89-BB37-DDAA3D7394A8}">
      <text>
        <r>
          <rPr>
            <sz val="11"/>
            <color theme="1"/>
            <rFont val="Calibri"/>
            <family val="2"/>
            <scheme val="minor"/>
          </rPr>
          <t xml:space="preserve">Vonda Harrison Arey:
Court docs have been filed to appoint Diane Koeing (sister) as administrator of the estate; court date scheduled for May 16, 2019; Waiting on response from attorny regarding estimated distribution date and amount; UPDATE 072419 - NPCA anticipates receipt of  bequest end of Sept. or early Oct. 2019.  
</t>
        </r>
      </text>
    </comment>
    <comment ref="E174" authorId="54" shapeId="0" xr:uid="{62FBB17B-3297-4045-B12A-ECA4B7AFAC3E}">
      <text>
        <t xml:space="preserve">[Threaded comment]
Your version of Excel allows you to read this threaded comment; however, any edits to it will get removed if the file is opened in a newer version of Excel. Learn more: https://go.microsoft.com/fwlink/?linkid=870924
Comment:
    Update 8/5/2021 - all assets in IRA account have been liquidated. A distribution check will be sent to NPCA on Mon., 8/9. </t>
      </text>
    </comment>
    <comment ref="E179" authorId="55" shapeId="0" xr:uid="{B4278AB2-2337-4D4B-8F9A-FF4A9DA1D342}">
      <text>
        <t>[Threaded comment]
Your version of Excel allows you to read this threaded comment; however, any edits to it will get removed if the file is opened in a newer version of Excel. Learn more: https://go.microsoft.com/fwlink/?linkid=870924
Comment:
    Anticipated date of distribution 6/30/2021.</t>
      </text>
    </comment>
    <comment ref="E180" authorId="56" shapeId="0" xr:uid="{5A4BBEB9-AFD3-40D2-8595-9B29AA300410}">
      <text>
        <t xml:space="preserve">[Threaded comment]
Your version of Excel allows you to read this threaded comment; however, any edits to it will get removed if the file is opened in a newer version of Excel. Learn more: https://go.microsoft.com/fwlink/?linkid=870924
Comment:
    UPDATE 9/14/21 - anticipate estate distribution end of October or mid Nov. 2021.
Reply:
    Court proceedings for final acctg. continued through Nov. 9, 2021. Anticipate receipt of distribution by 12/31/2021. </t>
      </text>
    </comment>
    <comment ref="E181" authorId="57" shapeId="0" xr:uid="{2603F79B-5718-4603-9E59-3FBAE4619A06}">
      <text>
        <t>[Threaded comment]
Your version of Excel allows you to read this threaded comment; however, any edits to it will get removed if the file is opened in a newer version of Excel. Learn more: https://go.microsoft.com/fwlink/?linkid=870924
Comment:
    Note from West Honeycutt: 
$1.6MM estate, NPCA at 7.5% residuary beneficiary
Reply:
    10/19/2020 estate was dealing with IRS issues with no final distribution timeline (email from Laura Sayler to Vonda)</t>
      </text>
    </comment>
    <comment ref="E182" authorId="58" shapeId="0" xr:uid="{3FD1618E-A0EC-40E6-B688-4076A61B8443}">
      <text>
        <t>[Threaded comment]
Your version of Excel allows you to read this threaded comment; however, any edits to it will get removed if the file is opened in a newer version of Excel. Learn more: https://go.microsoft.com/fwlink/?linkid=870924
Comment:
    UPDATE From Wells Fargo:                      Fri 3/19/2021 1:59 PM
Good morning Ms. Arey,
I am so sorry for my late reply. I had thought I had previously replied to your query. My sincere apologies for the oversight. 
Currently, we are awaiting the 2019 1040 tax clearance from the IRS. Once we have tax clearance, we can move forward with closing the account and making final distributions. Unfortunately, we do not have a time-frame on obtaining the tax clearance from the IRS as it is currently tax season, and the fact that in the last few weeks, the IRS has been gearing up to send stimulus payments to taxpayers. We are not surprised that the IRS pushed tax day to May 15th of this year, instead of the usual April 15th deadline. Our guess is that the IRS is overwhelmed and understaffed. As soon as we obtain the tax clearance, we will be able to close the account and make final distributions.
Thank you for your patience and if you should have further questions, please do not hesitate to reach out to me. 
Sincerely,
Mario Factor, CTFA
Investment and Fiduciary Services Associate
Estate Settlement Services 
Wells Fargo Wealth Management | 420 Montgomery 7th Floor | San Francisco, CA 94104 | 415.396.2820
MAC A0101-075 
mario.factor@wellsfargo.com</t>
      </text>
    </comment>
    <comment ref="V184" authorId="1" shapeId="0" xr:uid="{A0918CDD-96DD-458F-9AEC-09DB639DFBD8}">
      <text>
        <r>
          <rPr>
            <b/>
            <sz val="9"/>
            <color indexed="81"/>
            <rFont val="Tahoma"/>
            <family val="2"/>
          </rPr>
          <t>West Honeycutt:</t>
        </r>
        <r>
          <rPr>
            <sz val="9"/>
            <color indexed="81"/>
            <rFont val="Tahoma"/>
            <family val="2"/>
          </rPr>
          <t xml:space="preserve">
$57,597.77 received on 2/26/19</t>
        </r>
      </text>
    </comment>
    <comment ref="E191" authorId="59" shapeId="0" xr:uid="{C3FA154D-85A7-4F13-8033-D36A2FFB3B85}">
      <text>
        <t>[Threaded comment]
Your version of Excel allows you to read this threaded comment; however, any edits to it will get removed if the file is opened in a newer version of Excel. Learn more: https://go.microsoft.com/fwlink/?linkid=870924
Comment:
    likely full distribution received in July 2020; still waiting on accounting from estate and have not signed receipt and release</t>
      </text>
    </comment>
    <comment ref="E194" authorId="60" shapeId="0" xr:uid="{6639B632-FEF4-45E8-8042-8EA3476A5573}">
      <text>
        <t xml:space="preserve">[Threaded comment]
Your version of Excel allows you to read this threaded comment; however, any edits to it will get removed if the file is opened in a newer version of Excel. Learn more: https://go.microsoft.com/fwlink/?linkid=870924
Comment:
    Update: court granted petition for partial distribution on Mon., 7/27/20. Distribution check to NPCA will be sent in the mail soon. 
Reply:
    Update: received $25,000 check from the Raven trust dated 7/27/20; ck #3150. Anticipate receipt of $25k residual sometime in FY21.  
Reply:
    UPDATE: Fri 3/26/2021 12:33 PM
Ms. Arey, 
We hope to be in a position within the next month or so when we will be filing our petition for approval of the trust administration and final distributions. A copy of that petition will be mailed to all of the beneficiaries once it is filed. At the same time, we will request a hearing, which I presume will be set 4 to 6 weeks out. Assuming the petition is approved at the hearing, we will then make the final distributions.
Reply:
    UPDATE 05/03/21: 
Trish C. Gallegos &lt;tgallegos@pbwslaw.com&gt;
Sun 5/2/2021 11:12 AM
"Hello, attached for your information is a petition for final distribution and request for hearing. Please feel free to contact our office if you have questions". We're closer to receipt of final distribution...could possibly receive by 06/30/21. 
Reply:
    Estate executor has informed NPCA the final distribution check will be sent in the mail week of July 19, 2021. </t>
      </text>
    </comment>
    <comment ref="E195" authorId="61" shapeId="0" xr:uid="{1CB4632F-C3E2-4592-B7D6-EAAD717CE859}">
      <text>
        <t xml:space="preserve">[Threaded comment]
Your version of Excel allows you to read this threaded comment; however, any edits to it will get removed if the file is opened in a newer version of Excel. Learn more: https://go.microsoft.com/fwlink/?linkid=870924
Comment:
    UPDATE: 9/22/21 - NPCA receive notification from Tom Mourar, estate administrator; distribution check in the amount of $22,354 will be sent week of 9/27/21. </t>
      </text>
    </comment>
    <comment ref="E198" authorId="62" shapeId="0" xr:uid="{41D1FE9D-A1D7-4EF7-8FF2-274FECAC2143}">
      <text>
        <t>[Threaded comment]
Your version of Excel allows you to read this threaded comment; however, any edits to it will get removed if the file is opened in a newer version of Excel. Learn more: https://go.microsoft.com/fwlink/?linkid=870924
Comment:
    NPCA received a partial distribution from the estate in the amount of $56k. A residual distribution forthcoming later in 2021; anticipated amount $20k. 
Reply:
    Update 7/26/21 - final distribution received; a small residual will be forwarded to beneficiaries after the estate has been closed.</t>
      </text>
    </comment>
    <comment ref="E201" authorId="63" shapeId="0" xr:uid="{17F0C789-0EFE-4170-8A6A-E4D71E02E592}">
      <text>
        <t xml:space="preserve">[Threaded comment]
Your version of Excel allows you to read this threaded comment; however, any edits to it will get removed if the file is opened in a newer version of Excel. Learn more: https://go.microsoft.com/fwlink/?linkid=870924
Comment:
    NPCA was named beneficiary of the trust to receive 10%. 
Reply:
    Received notification from estate executor; NPCA will receive a partial distribution of $35k before end of Feb. 2021. A residual final distribution will be disbursed after trust taxes have been filed and all fees paid.  
Reply:
    Note: please see the following update from trustee regarding residual distribution. We anticipate receipt of payment in FY22:  "In response to your inquiry, below, we will be sending you an accounting of the Trust in the next couple months. The Trustee should be able to make another distribution once the accounting is approved by all beneficiaries and the 2020 tax returns have been filed and taxes paid. At this time, I do not know the amount of that distribution yet, but will let you know once that is determined".     </t>
      </text>
    </comment>
    <comment ref="E209" authorId="5" shapeId="0" xr:uid="{90722F90-6D12-40CE-AE2C-569C68F55307}">
      <text>
        <r>
          <rPr>
            <b/>
            <sz val="9"/>
            <color indexed="81"/>
            <rFont val="Tahoma"/>
            <family val="2"/>
          </rPr>
          <t>Vonda Harrison Arey:</t>
        </r>
        <r>
          <rPr>
            <sz val="9"/>
            <color indexed="81"/>
            <rFont val="Tahoma"/>
            <family val="2"/>
          </rPr>
          <t xml:space="preserve">
Please note there are two attorneys handling this estate, Neal Goldstien for co-executor Thea Kerman, and  Lynard Hinoja for Richard Geller, co-executor</t>
        </r>
      </text>
    </comment>
    <comment ref="E210" authorId="1" shapeId="0" xr:uid="{53CB86D4-7C2A-4BAC-A186-5079D5FA453B}">
      <text>
        <r>
          <rPr>
            <b/>
            <sz val="9"/>
            <color indexed="81"/>
            <rFont val="Tahoma"/>
            <family val="2"/>
          </rPr>
          <t>West Honeycutt:</t>
        </r>
        <r>
          <rPr>
            <sz val="9"/>
            <color indexed="81"/>
            <rFont val="Tahoma"/>
            <family val="2"/>
          </rPr>
          <t xml:space="preserve">
WAH returned release on 2/21. Waiting on check. </t>
        </r>
      </text>
    </comment>
    <comment ref="E211" authorId="64" shapeId="0" xr:uid="{C7216B1E-0003-4B53-AA13-7BECCDBA58BD}">
      <text>
        <t xml:space="preserve">[Threaded comment]
Your version of Excel allows you to read this threaded comment; however, any edits to it will get removed if the file is opened in a newer version of Excel. Learn more: https://go.microsoft.com/fwlink/?linkid=870924
Comment:
    NPCA will receive 5% of net trust if it exceeds $300k. However, if the net trust is less than $300k, we will receive 10% of net trust.
Reply:
    9/25/2020 - Estimated trust distributions are not available at this time; trust administrators are still compiling trust assets. However, one of the assets in the trust is worth $1M, all other assets are less in value. Sue Bloedorn, Trust Administrator, has informed us there could possibly be a significant partial distribution initiated soon, after 2019 taxes are complete. </t>
      </text>
    </comment>
    <comment ref="E212" authorId="1" shapeId="0" xr:uid="{ECC64999-1980-410D-83A6-2EE99B2C12D2}">
      <text>
        <r>
          <rPr>
            <b/>
            <sz val="9"/>
            <color indexed="81"/>
            <rFont val="Tahoma"/>
            <family val="2"/>
          </rPr>
          <t>West Honeycutt:</t>
        </r>
        <r>
          <rPr>
            <sz val="9"/>
            <color indexed="81"/>
            <rFont val="Tahoma"/>
            <family val="2"/>
          </rPr>
          <t xml:space="preserve">
12/4/18 emailed atty, heard back 12/4. No updates at this time.</t>
        </r>
      </text>
    </comment>
    <comment ref="E213" authorId="1" shapeId="0" xr:uid="{BB7D95F2-5056-4D3F-BA8F-9CF6D805E133}">
      <text>
        <r>
          <rPr>
            <b/>
            <sz val="9"/>
            <color indexed="81"/>
            <rFont val="Tahoma"/>
            <family val="2"/>
          </rPr>
          <t>West Honeycutt:</t>
        </r>
        <r>
          <rPr>
            <sz val="9"/>
            <color indexed="81"/>
            <rFont val="Tahoma"/>
            <family val="2"/>
          </rPr>
          <t xml:space="preserve">
This estate basically closed… waiting on tiny remainder check in 2021 or 2022.</t>
        </r>
      </text>
    </comment>
    <comment ref="E214" authorId="65" shapeId="0" xr:uid="{8AEF2D4A-0F96-4153-B4FB-8A9650975A89}">
      <text>
        <t xml:space="preserve">[Threaded comment]
Your version of Excel allows you to read this threaded comment; however, any edits to it will get removed if the file is opened in a newer version of Excel. Learn more: https://go.microsoft.com/fwlink/?linkid=870924
Comment:
    Lio, Alexandra &lt;alexandra.lio@bofa.com&gt;
Thu 5/20/2021 11:17 AM
Reply all
Forward
Good morning Vonda,
In reviewing the account it looks account was fully distributed. There is a small cash balance currently in the account of $416 which will be distributed to the remainder beneficiaries in accordance with the plan of distribution so it would result in a final distribution in the amount of approximately $2.91. 
Thank you,
Alex 
Reply:
    Email update: 
RE: Nancy B. Crutchfield CRUT From: Shaw, Brendon To: Vonda M. Arey Cc:
Sent: 5/28/2021 1:54:51 PM"Good Afternoon Vonda, 
There will be a final distribution sometime in June. I do not know the final amount, but it will be a relatively small income payment.
Regards, 
Settlement Officer II
 Assistant Vice President
RI1-536-02-07, 100 Westminster Street, Providence, RI 02903
T 401.278.3745 F 800.977.0554 Brendon Shaw
 </t>
      </text>
    </comment>
    <comment ref="E220" authorId="66" shapeId="0" xr:uid="{2D3BE353-498A-4E0B-B789-4623A38E794A}">
      <text>
        <t>[Threaded comment]
Your version of Excel allows you to read this threaded comment; however, any edits to it will get removed if the file is opened in a newer version of Excel. Learn more: https://go.microsoft.com/fwlink/?linkid=870924
Comment:
    Update-080520: Received final notice of hearing and final accounting from David A. Furrow, Commissioner of Accounts for Franklin County. NPCA will receive 10% of estate, $32,889.23</t>
      </text>
    </comment>
    <comment ref="E221" authorId="67" shapeId="0" xr:uid="{6393F40F-BEA3-422D-90CF-BBF67DFECCBC}">
      <text>
        <t xml:space="preserve">[Threaded comment]
Your version of Excel allows you to read this threaded comment; however, any edits to it will get removed if the file is opened in a newer version of Excel. Learn more: https://go.microsoft.com/fwlink/?linkid=870924
Comment:
    NPCA has been named as a beneficiary of the estate to receive approx. $4k from a life insurance distribution.; 
</t>
      </text>
    </comment>
    <comment ref="E228" authorId="1" shapeId="0" xr:uid="{F53C23AF-2FDE-40CA-ABFB-857E74ABA9D7}">
      <text>
        <r>
          <rPr>
            <b/>
            <sz val="9"/>
            <color indexed="81"/>
            <rFont val="Tahoma"/>
            <family val="2"/>
          </rPr>
          <t>West Honeycutt:</t>
        </r>
        <r>
          <rPr>
            <sz val="9"/>
            <color indexed="81"/>
            <rFont val="Tahoma"/>
            <family val="2"/>
          </rPr>
          <t xml:space="preserve">
Real estate valued around $366,500 must be sold. Checking account under $68k (unsure exact amount)</t>
        </r>
      </text>
    </comment>
    <comment ref="E233" authorId="68" shapeId="0" xr:uid="{3AB7E50B-7F8B-4C5D-BA95-BAF1551C50BF}">
      <text>
        <t xml:space="preserve">[Threaded comment]
Your version of Excel allows you to read this threaded comment; however, any edits to it will get removed if the file is opened in a newer version of Excel. Learn more: https://go.microsoft.com/fwlink/?linkid=870924
Comment:
    NPCA sent a letter to Fidelity's general counsel on 12/02/20, requesting a direct distribution of funds in Dr. Oertel's Inherited IRA account to avoid creating an internal IRA account at Fidelity.  The letter was signed by Robin McKenna and Adam Siegel; awaiting a response from Fidelity.  
Reply:
    Update: Fidelity Investment confirmed the IRA distribution should be sent by check on Friday, March 26, 2021. NPCA should receive the check in about 7 - 10 business days.
Reply:
    4/15/2021 - Received residual from IRA account in the amount of $1,492.91. </t>
      </text>
    </comment>
    <comment ref="G237" authorId="69" shapeId="0" xr:uid="{620F5B2E-AD37-4207-861B-4EA95C699DCE}">
      <text>
        <r>
          <rPr>
            <b/>
            <sz val="9"/>
            <color indexed="81"/>
            <rFont val="Tahoma"/>
            <family val="2"/>
          </rPr>
          <t>Vonda Harrison:</t>
        </r>
        <r>
          <rPr>
            <sz val="9"/>
            <color indexed="81"/>
            <rFont val="Tahoma"/>
            <family val="2"/>
          </rPr>
          <t xml:space="preserve">
NPCA will received 3% of donor's estate after expenses. </t>
        </r>
      </text>
    </comment>
    <comment ref="E238" authorId="70" shapeId="0" xr:uid="{1260EA9C-354F-4B60-BD74-F33B7CED25E6}">
      <text>
        <t xml:space="preserve">[Threaded comment]
Your version of Excel allows you to read this threaded comment; however, any edits to it will get removed if the file is opened in a newer version of Excel. Learn more: https://go.microsoft.com/fwlink/?linkid=870924
Comment:
    NPCA to receive a distribution from remainder of estate after expenses; approx. estate value $231,293.09. Update 10/28/19: NPCA received a check today in the amount of $212,500 as an innitial distribution from the estate. A residual check will be distriburted to all beneficiaries after taxes have been filed beginningh of 2020; anticpated residual amount around $10k. 
Reply:
    Final distribution and accounting received 5/29/20. Amount of distribution $15,131.93. 
</t>
      </text>
    </comment>
    <comment ref="E240" authorId="71" shapeId="0" xr:uid="{5D3E0E19-F961-49DB-8A14-77E890272DDE}">
      <text>
        <t xml:space="preserve">[Threaded comment]
Your version of Excel allows you to read this threaded comment; however, any edits to it will get removed if the file is opened in a newer version of Excel. Learn more: https://go.microsoft.com/fwlink/?linkid=870924
Comment:
    Sylvia Scudder, Trustee, is sending a copy of trust and accounting, as it becomes available; bequest amount to be determined. </t>
      </text>
    </comment>
    <comment ref="E243" authorId="72" shapeId="0" xr:uid="{C7B2BE9E-7ED0-4E67-A4D2-C421A439B101}">
      <text>
        <t>[Threaded comment]
Your version of Excel allows you to read this threaded comment; however, any edits to it will get removed if the file is opened in a newer version of Excel. Learn more: https://go.microsoft.com/fwlink/?linkid=870924
Comment:
    Morgan Stanley confirmed today that NPCA will receive an additional residual check from this estate. Anticipated date and amount of residual has not been determined at this time.</t>
      </text>
    </comment>
    <comment ref="E244" authorId="73" shapeId="0" xr:uid="{E1408A7C-3478-4AC7-8EA1-8A489F30CCCF}">
      <text>
        <t>[Threaded comment]
Your version of Excel allows you to read this threaded comment; however, any edits to it will get removed if the file is opened in a newer version of Excel. Learn more: https://go.microsoft.com/fwlink/?linkid=870924
Comment:
    NPCA has been named as a beneficiary to receive $30k from the Soucek Trust; anticipate receipt of distribution March 2021.
Reply:
    UPDATE; From: Csakai, Charles &lt;CCsakai@wintrustwealth.com
Sent: Friday, March 26, 2021 
To: Vonda M. Arey 
Subject: RE: Gladys R. Soucek Declaration of Trust
Dear Ms. Arey:
I think we will be making a full distributions to your organization by the end of April. There are one or two things that I need to resolve, but I am confident they will be taken care of in time to do an April distribution.
 Should there be a delay, I will let you know.
Sincerely,
Charles W. Csakai, J.D., CFP®</t>
      </text>
    </comment>
    <comment ref="E245" authorId="74" shapeId="0" xr:uid="{D2C17B4B-8E56-4453-A318-2C4042232325}">
      <text>
        <t xml:space="preserve">[Threaded comment]
Your version of Excel allows you to read this threaded comment; however, any edits to it will get removed if the file is opened in a newer version of Excel. Learn more: https://go.microsoft.com/fwlink/?linkid=870924
Comment:
    NPCA to receive 0.05 % of estate/trust, approx. $401 bequest distribution. Anticipate receipt early FY21. 
</t>
      </text>
    </comment>
    <comment ref="G253" authorId="69" shapeId="0" xr:uid="{B5A5B091-5098-4A0D-AC36-126270C1441E}">
      <text>
        <r>
          <rPr>
            <b/>
            <sz val="9"/>
            <color indexed="81"/>
            <rFont val="Tahoma"/>
            <family val="2"/>
          </rPr>
          <t>Vonda Harrison:</t>
        </r>
        <r>
          <rPr>
            <sz val="9"/>
            <color indexed="81"/>
            <rFont val="Tahoma"/>
            <family val="2"/>
          </rPr>
          <t xml:space="preserve">
Complicated trust. Properties to be sold, and remaining assets to be liquidated before distributions are made to remaining 18 beneficiaries. Estate attorney is not sure of the valuation at this time. NPCA wiill follow up with attorney in 30 days from 061919.</t>
        </r>
      </text>
    </comment>
    <comment ref="E254" authorId="69" shapeId="0" xr:uid="{C382726C-0E22-4FEE-9BB3-C359378A5492}">
      <text>
        <r>
          <rPr>
            <b/>
            <sz val="9"/>
            <color indexed="81"/>
            <rFont val="Tahoma"/>
            <family val="2"/>
          </rPr>
          <t>Vonda Harrison:</t>
        </r>
        <r>
          <rPr>
            <sz val="9"/>
            <color indexed="81"/>
            <rFont val="Tahoma"/>
            <family val="2"/>
          </rPr>
          <t xml:space="preserve">
NPCA received $16k from estate; awaiting final accounting and copy of willl to determine if this is the final distribution, or could NPCA possibly receive an additional distribution from the estate. </t>
        </r>
      </text>
    </comment>
    <comment ref="E255" authorId="75" shapeId="0" xr:uid="{1F639828-DC12-4D97-9330-D75EB8D83B9C}">
      <text>
        <t xml:space="preserve">[Threaded comment]
Your version of Excel allows you to read this threaded comment; however, any edits to it will get removed if the file is opened in a newer version of Excel. Learn more: https://go.microsoft.com/fwlink/?linkid=870924
Comment:
    Received Donor's Codicil and Application for Independent Administration and Waiver of Notice; requires authorized signature and notary; documentation submitted to Executive office for required signatures; Upadate: Independent Administration and Waiver form was signed and returned to attorney's office; Update 101719 - the estate executors reported the house is currently on the market for sale, and they need to sell the car as well. These are the final two parts of the estate. Not sure of timeline for distribution at this point, the house was just listed on the market.
</t>
      </text>
    </comment>
    <comment ref="E256" authorId="1" shapeId="0" xr:uid="{B99AC5DF-A53C-46DF-9243-96A91FC4CFFA}">
      <text>
        <r>
          <rPr>
            <b/>
            <sz val="9"/>
            <color indexed="81"/>
            <rFont val="Tahoma"/>
            <family val="2"/>
          </rPr>
          <t>West Honeycutt:</t>
        </r>
        <r>
          <rPr>
            <sz val="9"/>
            <color indexed="81"/>
            <rFont val="Tahoma"/>
            <family val="2"/>
          </rPr>
          <t xml:space="preserve">
http://www.legacy.com/obituaries/BostonGlobe/obituary.aspx?page=lifestory&amp;pid=189791758</t>
        </r>
      </text>
    </comment>
    <comment ref="E267" authorId="1" shapeId="0" xr:uid="{B68EE346-5AD2-4D9D-B347-6B191F91DB12}">
      <text>
        <r>
          <rPr>
            <b/>
            <sz val="9"/>
            <color indexed="81"/>
            <rFont val="Tahoma"/>
            <family val="2"/>
          </rPr>
          <t>West Honeycutt:</t>
        </r>
        <r>
          <rPr>
            <sz val="9"/>
            <color indexed="81"/>
            <rFont val="Tahoma"/>
            <family val="2"/>
          </rPr>
          <t xml:space="preserve">
There is still NM property on this estate we need to liquidate</t>
        </r>
      </text>
    </comment>
    <comment ref="E269" authorId="76" shapeId="0" xr:uid="{4A1806FD-BD77-40D4-9900-0616DDA2C629}">
      <text>
        <t xml:space="preserve">[Threaded comment]
Your version of Excel allows you to read this threaded comment; however, any edits to it will get removed if the file is opened in a newer version of Excel. Learn more: https://go.microsoft.com/fwlink/?linkid=870924
Comment:
    Bequest distributions will take place mid to late summer; Update as of 08/14/19 - NPCA received a copy of the first and final accounting report of the trust, and has petitioned the court for it's settlement, along with approval of overall expenses to the trust. NPCA anticipates receipt of $30,054.02A by end of 2019, or shortly thereafter. A hearing is scheduled for 9/3/2019. Possibly a residual disbursement will come in 2020 after taxes are filed. 
Reply:
    Final distribution check received 3/19/20. Estate now closed. 
</t>
      </text>
    </comment>
    <comment ref="E270" authorId="77" shapeId="0" xr:uid="{B906402E-A77E-4D5B-8511-C52730CF1E21}">
      <text>
        <r>
          <rPr>
            <b/>
            <sz val="9"/>
            <color indexed="81"/>
            <rFont val="Tahoma"/>
            <family val="2"/>
          </rPr>
          <t>Bill Clawges:</t>
        </r>
        <r>
          <rPr>
            <sz val="9"/>
            <color indexed="81"/>
            <rFont val="Tahoma"/>
            <family val="2"/>
          </rPr>
          <t xml:space="preserve">
Same as Randles in FY2019? - YES</t>
        </r>
      </text>
    </comment>
    <comment ref="E273" authorId="1" shapeId="0" xr:uid="{19B7DF23-CE2A-4481-82D7-0CB76F54398A}">
      <text>
        <r>
          <rPr>
            <b/>
            <sz val="9"/>
            <color indexed="81"/>
            <rFont val="Tahoma"/>
            <family val="2"/>
          </rPr>
          <t>West Honeycutt:</t>
        </r>
        <r>
          <rPr>
            <sz val="9"/>
            <color indexed="81"/>
            <rFont val="Tahoma"/>
            <family val="2"/>
          </rPr>
          <t xml:space="preserve">
</t>
        </r>
      </text>
    </comment>
    <comment ref="G275" authorId="69" shapeId="0" xr:uid="{05F8A1AC-CF86-42E4-BF99-010831E3839B}">
      <text>
        <r>
          <rPr>
            <b/>
            <sz val="9"/>
            <color indexed="81"/>
            <rFont val="Tahoma"/>
            <family val="2"/>
          </rPr>
          <t>Vonda Harrison:</t>
        </r>
        <r>
          <rPr>
            <sz val="9"/>
            <color indexed="81"/>
            <rFont val="Tahoma"/>
            <family val="2"/>
          </rPr>
          <t xml:space="preserve">
Awaiting additional information from estate attorney Nancy Pine
Update 10/28/19 - NPCA received a bequest distribution check in the amount of $25,416.67. </t>
        </r>
      </text>
    </comment>
    <comment ref="E283" authorId="1" shapeId="0" xr:uid="{954E069B-8C83-4576-948D-FEA20F3AE873}">
      <text>
        <r>
          <rPr>
            <b/>
            <sz val="9"/>
            <color indexed="81"/>
            <rFont val="Tahoma"/>
            <family val="2"/>
          </rPr>
          <t>$1.69MM received 3/14/19
Need to connect with Bill Hays after May 15 re: legacy and story of Andy</t>
        </r>
      </text>
    </comment>
    <comment ref="G294" authorId="69" shapeId="0" xr:uid="{78286710-A3B4-4018-8FFC-663135FD427A}">
      <text>
        <r>
          <rPr>
            <b/>
            <sz val="9"/>
            <color indexed="81"/>
            <rFont val="Tahoma"/>
            <family val="2"/>
          </rPr>
          <t xml:space="preserve">NOTE: FY19 total of distributions from the estate includes two separate checks, $22,45.81 and $406.43. </t>
        </r>
      </text>
    </comment>
    <comment ref="G303" authorId="69" shapeId="0" xr:uid="{B6B4EFA8-3EE4-41F5-B618-BEBBBAF87791}">
      <text>
        <r>
          <rPr>
            <b/>
            <sz val="9"/>
            <color indexed="81"/>
            <rFont val="Tahoma"/>
            <family val="2"/>
          </rPr>
          <t>Vonda Harrison:</t>
        </r>
        <r>
          <rPr>
            <sz val="9"/>
            <color indexed="81"/>
            <rFont val="Tahoma"/>
            <family val="2"/>
          </rPr>
          <t xml:space="preserve">
Confirmed with estate attroney Robert Kessler, NPCA was not included in the will of Charles W. Treat. </t>
        </r>
      </text>
    </comment>
    <comment ref="E320" authorId="77" shapeId="0" xr:uid="{6413A0DD-A7C5-43C3-9D35-3C7EE36A25AA}">
      <text>
        <r>
          <rPr>
            <b/>
            <sz val="9"/>
            <color indexed="81"/>
            <rFont val="Tahoma"/>
            <family val="2"/>
          </rPr>
          <t>Bill Clawges:</t>
        </r>
        <r>
          <rPr>
            <sz val="9"/>
            <color indexed="81"/>
            <rFont val="Tahoma"/>
            <family val="2"/>
          </rPr>
          <t xml:space="preserve">
Goethe? - YES
</t>
        </r>
      </text>
    </comment>
    <comment ref="E353" authorId="77" shapeId="0" xr:uid="{4767FA4C-AE30-4B5A-8B60-5411DF6D212C}">
      <text>
        <r>
          <rPr>
            <b/>
            <sz val="9"/>
            <color indexed="81"/>
            <rFont val="Tahoma"/>
            <family val="2"/>
          </rPr>
          <t>Bill Clawges:</t>
        </r>
        <r>
          <rPr>
            <sz val="9"/>
            <color indexed="81"/>
            <rFont val="Tahoma"/>
            <family val="2"/>
          </rPr>
          <t xml:space="preserve">
Unable to find either name in TA</t>
        </r>
      </text>
    </comment>
    <comment ref="E356" authorId="77" shapeId="0" xr:uid="{AAA85A90-A33E-49A6-8190-29A98B472E96}">
      <text>
        <r>
          <rPr>
            <b/>
            <sz val="9"/>
            <color indexed="81"/>
            <rFont val="Tahoma"/>
            <family val="2"/>
          </rPr>
          <t>Bill Clawges:</t>
        </r>
        <r>
          <rPr>
            <sz val="9"/>
            <color indexed="81"/>
            <rFont val="Tahoma"/>
            <family val="2"/>
          </rPr>
          <t xml:space="preserve">
Which matter?</t>
        </r>
      </text>
    </comment>
    <comment ref="E380" authorId="77" shapeId="0" xr:uid="{8C32AE25-1E39-441A-ABD2-7CCB0C7755D8}">
      <text>
        <r>
          <rPr>
            <b/>
            <sz val="9"/>
            <color indexed="81"/>
            <rFont val="Tahoma"/>
            <family val="2"/>
          </rPr>
          <t>Bill Clawges:</t>
        </r>
        <r>
          <rPr>
            <sz val="9"/>
            <color indexed="81"/>
            <rFont val="Tahoma"/>
            <family val="2"/>
          </rPr>
          <t xml:space="preserve">
Separate matters for payments?</t>
        </r>
      </text>
    </comment>
    <comment ref="E404" authorId="77" shapeId="0" xr:uid="{3941D460-A208-4115-98B9-3559AA8442A5}">
      <text>
        <r>
          <rPr>
            <b/>
            <sz val="9"/>
            <color indexed="81"/>
            <rFont val="Tahoma"/>
            <family val="2"/>
          </rPr>
          <t xml:space="preserve">Bill Clawges: </t>
        </r>
        <r>
          <rPr>
            <sz val="9"/>
            <color indexed="81"/>
            <rFont val="Tahoma"/>
            <family val="2"/>
          </rPr>
          <t>Is this Mendon Schutt? - YES</t>
        </r>
      </text>
    </comment>
    <comment ref="E417" authorId="77" shapeId="0" xr:uid="{17BB338E-5D9A-40A6-A7F0-3A027CAC97E9}">
      <text>
        <r>
          <rPr>
            <b/>
            <sz val="9"/>
            <color indexed="81"/>
            <rFont val="Tahoma"/>
            <family val="2"/>
          </rPr>
          <t>Bill Clawges:</t>
        </r>
        <r>
          <rPr>
            <sz val="9"/>
            <color indexed="81"/>
            <rFont val="Tahoma"/>
            <family val="2"/>
          </rPr>
          <t xml:space="preserve">
Same as in Ongoing? - YES</t>
        </r>
      </text>
    </comment>
    <comment ref="E424" authorId="77" shapeId="0" xr:uid="{FED73715-9E61-4058-9B0E-338006D0F3E1}">
      <text>
        <r>
          <rPr>
            <b/>
            <sz val="9"/>
            <color indexed="81"/>
            <rFont val="Tahoma"/>
            <family val="2"/>
          </rPr>
          <t>Bill Clawges:</t>
        </r>
        <r>
          <rPr>
            <sz val="9"/>
            <color indexed="81"/>
            <rFont val="Tahoma"/>
            <family val="2"/>
          </rPr>
          <t xml:space="preserve">
Which matter?</t>
        </r>
      </text>
    </comment>
    <comment ref="E425" authorId="77" shapeId="0" xr:uid="{59FDAE7A-5F52-4FDA-A46F-F16C2891D6F9}">
      <text>
        <r>
          <rPr>
            <b/>
            <sz val="9"/>
            <color indexed="81"/>
            <rFont val="Tahoma"/>
            <family val="2"/>
          </rPr>
          <t>Bill Clawges:</t>
        </r>
        <r>
          <rPr>
            <sz val="9"/>
            <color indexed="81"/>
            <rFont val="Tahoma"/>
            <family val="2"/>
          </rPr>
          <t xml:space="preserve">
Which matter?</t>
        </r>
      </text>
    </comment>
    <comment ref="E445" authorId="77" shapeId="0" xr:uid="{938E0D52-5045-41D9-A6C4-C5B2532373B0}">
      <text>
        <r>
          <rPr>
            <b/>
            <sz val="9"/>
            <color indexed="81"/>
            <rFont val="Tahoma"/>
            <family val="2"/>
          </rPr>
          <t>Bill Clawges:</t>
        </r>
        <r>
          <rPr>
            <sz val="9"/>
            <color indexed="81"/>
            <rFont val="Tahoma"/>
            <family val="2"/>
          </rPr>
          <t xml:space="preserve">
Same as Alta FY2016?</t>
        </r>
      </text>
    </comment>
    <comment ref="E473" authorId="77" shapeId="0" xr:uid="{AABACED5-C8D1-43B3-BF8A-8C463E35C036}">
      <text>
        <r>
          <rPr>
            <b/>
            <sz val="9"/>
            <color indexed="81"/>
            <rFont val="Tahoma"/>
            <family val="2"/>
          </rPr>
          <t>Bill Clawges:</t>
        </r>
        <r>
          <rPr>
            <sz val="9"/>
            <color indexed="81"/>
            <rFont val="Tahoma"/>
            <family val="2"/>
          </rPr>
          <t xml:space="preserve">
Which matter?</t>
        </r>
      </text>
    </comment>
    <comment ref="E475" authorId="77" shapeId="0" xr:uid="{B67E6C71-6E10-46DD-8BAB-0733943199A2}">
      <text>
        <r>
          <rPr>
            <b/>
            <sz val="9"/>
            <color indexed="81"/>
            <rFont val="Tahoma"/>
            <family val="2"/>
          </rPr>
          <t>Bill Clawges:</t>
        </r>
        <r>
          <rPr>
            <sz val="9"/>
            <color indexed="81"/>
            <rFont val="Tahoma"/>
            <family val="2"/>
          </rPr>
          <t xml:space="preserve">
Correction as next entry?</t>
        </r>
      </text>
    </comment>
    <comment ref="E480" authorId="77" shapeId="0" xr:uid="{9B9F3467-12CE-4CF2-9988-B40085B0A4CE}">
      <text>
        <r>
          <rPr>
            <b/>
            <sz val="9"/>
            <color indexed="81"/>
            <rFont val="Tahoma"/>
            <family val="2"/>
          </rPr>
          <t>Bill Clawges:</t>
        </r>
        <r>
          <rPr>
            <sz val="9"/>
            <color indexed="81"/>
            <rFont val="Tahoma"/>
            <family val="2"/>
          </rPr>
          <t xml:space="preserve">
Which matter?</t>
        </r>
      </text>
    </comment>
    <comment ref="P511" authorId="77" shapeId="0" xr:uid="{A3813B38-3C86-4475-B856-8A23BC5FED23}">
      <text>
        <r>
          <rPr>
            <b/>
            <sz val="9"/>
            <color indexed="81"/>
            <rFont val="Tahoma"/>
            <family val="2"/>
          </rPr>
          <t>Bill Clawges:</t>
        </r>
        <r>
          <rPr>
            <sz val="9"/>
            <color indexed="81"/>
            <rFont val="Tahoma"/>
            <family val="2"/>
          </rPr>
          <t xml:space="preserve">
Refund</t>
        </r>
      </text>
    </comment>
    <comment ref="E519" authorId="77" shapeId="0" xr:uid="{0279BC77-4D17-46E4-9686-9B3EE23A5A41}">
      <text>
        <r>
          <rPr>
            <b/>
            <sz val="9"/>
            <color indexed="81"/>
            <rFont val="Tahoma"/>
            <family val="2"/>
          </rPr>
          <t>Bill Clawges:</t>
        </r>
        <r>
          <rPr>
            <sz val="9"/>
            <color indexed="81"/>
            <rFont val="Tahoma"/>
            <family val="2"/>
          </rPr>
          <t xml:space="preserve">
Which matter?</t>
        </r>
      </text>
    </comment>
    <comment ref="E523" authorId="77" shapeId="0" xr:uid="{0B221DA3-E633-46FC-A95A-5723A5D88BCB}">
      <text>
        <r>
          <rPr>
            <b/>
            <sz val="9"/>
            <color indexed="81"/>
            <rFont val="Tahoma"/>
            <family val="2"/>
          </rPr>
          <t>Bill Clawges:</t>
        </r>
        <r>
          <rPr>
            <sz val="9"/>
            <color indexed="81"/>
            <rFont val="Tahoma"/>
            <family val="2"/>
          </rPr>
          <t xml:space="preserve">
Which matter?
</t>
        </r>
      </text>
    </comment>
    <comment ref="E534" authorId="77" shapeId="0" xr:uid="{0231BCE0-723C-4280-944A-0F9D2855BE07}">
      <text>
        <r>
          <rPr>
            <b/>
            <sz val="9"/>
            <color indexed="81"/>
            <rFont val="Tahoma"/>
            <family val="2"/>
          </rPr>
          <t>Bill Clawges:</t>
        </r>
        <r>
          <rPr>
            <sz val="9"/>
            <color indexed="81"/>
            <rFont val="Tahoma"/>
            <family val="2"/>
          </rPr>
          <t xml:space="preserve">
which matter?</t>
        </r>
      </text>
    </comment>
    <comment ref="E545" authorId="77" shapeId="0" xr:uid="{AB39B9D1-CABE-4AC2-807B-83E925D998BF}">
      <text>
        <r>
          <rPr>
            <b/>
            <sz val="9"/>
            <color indexed="81"/>
            <rFont val="Tahoma"/>
            <family val="2"/>
          </rPr>
          <t xml:space="preserve">Bill Clawges: </t>
        </r>
        <r>
          <rPr>
            <sz val="9"/>
            <color indexed="81"/>
            <rFont val="Tahoma"/>
            <family val="2"/>
          </rPr>
          <t>Which matter?</t>
        </r>
      </text>
    </comment>
    <comment ref="E546" authorId="77" shapeId="0" xr:uid="{1249672D-E864-4920-AC30-FDB0A3CA48E5}">
      <text>
        <r>
          <rPr>
            <b/>
            <sz val="9"/>
            <color indexed="81"/>
            <rFont val="Tahoma"/>
            <family val="2"/>
          </rPr>
          <t>Bill Clawges:</t>
        </r>
        <r>
          <rPr>
            <sz val="9"/>
            <color indexed="81"/>
            <rFont val="Tahoma"/>
            <family val="2"/>
          </rPr>
          <t xml:space="preserve">
Which matter?</t>
        </r>
      </text>
    </comment>
    <comment ref="E567" authorId="77" shapeId="0" xr:uid="{EBA8985E-A4F3-416E-ACF1-334CC3FCD566}">
      <text>
        <r>
          <rPr>
            <b/>
            <sz val="9"/>
            <color indexed="81"/>
            <rFont val="Tahoma"/>
            <family val="2"/>
          </rPr>
          <t>Bill Clawges:</t>
        </r>
        <r>
          <rPr>
            <sz val="9"/>
            <color indexed="81"/>
            <rFont val="Tahoma"/>
            <family val="2"/>
          </rPr>
          <t xml:space="preserve">
Which matter?</t>
        </r>
      </text>
    </comment>
    <comment ref="E572" authorId="77" shapeId="0" xr:uid="{53E87ADB-5EFF-4367-AAC0-C051928C3300}">
      <text>
        <r>
          <rPr>
            <b/>
            <sz val="9"/>
            <color indexed="81"/>
            <rFont val="Tahoma"/>
            <family val="2"/>
          </rPr>
          <t>Bill Clawges:</t>
        </r>
        <r>
          <rPr>
            <sz val="9"/>
            <color indexed="81"/>
            <rFont val="Tahoma"/>
            <family val="2"/>
          </rPr>
          <t xml:space="preserve">
Which matter?</t>
        </r>
      </text>
    </comment>
    <comment ref="E575" authorId="77" shapeId="0" xr:uid="{E14BE1EA-2C57-453A-9E6E-9CB202C4526C}">
      <text>
        <r>
          <rPr>
            <b/>
            <sz val="9"/>
            <color indexed="81"/>
            <rFont val="Tahoma"/>
            <family val="2"/>
          </rPr>
          <t>Bill Clawges:</t>
        </r>
        <r>
          <rPr>
            <sz val="9"/>
            <color indexed="81"/>
            <rFont val="Tahoma"/>
            <family val="2"/>
          </rPr>
          <t xml:space="preserve">
Which matter?</t>
        </r>
      </text>
    </comment>
    <comment ref="E576" authorId="77" shapeId="0" xr:uid="{822CA551-2901-4130-B570-2BBB0A80FFB8}">
      <text>
        <r>
          <rPr>
            <b/>
            <sz val="9"/>
            <color indexed="81"/>
            <rFont val="Tahoma"/>
            <family val="2"/>
          </rPr>
          <t>Bill Clawges:</t>
        </r>
        <r>
          <rPr>
            <sz val="9"/>
            <color indexed="81"/>
            <rFont val="Tahoma"/>
            <family val="2"/>
          </rPr>
          <t xml:space="preserve">
Which matter?</t>
        </r>
      </text>
    </comment>
    <comment ref="E581" authorId="77" shapeId="0" xr:uid="{7F654A29-7126-40AD-B44E-370C1E9AE89C}">
      <text>
        <r>
          <rPr>
            <b/>
            <sz val="9"/>
            <color indexed="81"/>
            <rFont val="Tahoma"/>
            <family val="2"/>
          </rPr>
          <t>Bill Clawges:</t>
        </r>
        <r>
          <rPr>
            <sz val="9"/>
            <color indexed="81"/>
            <rFont val="Tahoma"/>
            <family val="2"/>
          </rPr>
          <t xml:space="preserve">
Which matter?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tc={9EDBFE79-E952-421A-8065-9721064E75C6}</author>
    <author>tc={C2853A1F-ADE3-4DD1-BA7B-929FBC56F1A2}</author>
  </authors>
  <commentList>
    <comment ref="O325" authorId="0" shapeId="0" xr:uid="{9EDBFE79-E952-421A-8065-9721064E75C6}">
      <text>
        <t xml:space="preserve">[Threaded comment]
Your version of Excel allows you to read this threaded comment; however, any edits to it will get removed if the file is opened in a newer version of Excel. Learn more: https://go.microsoft.com/fwlink/?linkid=870924
Comment:
    Jane Lanham is the donor, and Lawrence Lanham is her son/annuitant. </t>
      </text>
    </comment>
    <comment ref="S325" authorId="1" shapeId="0" xr:uid="{C2853A1F-ADE3-4DD1-BA7B-929FBC56F1A2}">
      <text>
        <t xml:space="preserve">[Threaded comment]
Your version of Excel allows you to read this threaded comment; however, any edits to it will get removed if the file is opened in a newer version of Excel. Learn more: https://go.microsoft.com/fwlink/?linkid=870924
Comment:
    Jane Lanham is the mother of Lawrence Lanham and has established this annuity in support of her son who is the beneficiary. This is a single-life annuity, not a two-life annuity.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West Honeycutt</author>
  </authors>
  <commentList>
    <comment ref="F18" authorId="0" shapeId="0" xr:uid="{D6EDAC5F-4155-44E8-ABBE-333016FFF7E0}">
      <text>
        <r>
          <rPr>
            <b/>
            <sz val="9"/>
            <color indexed="81"/>
            <rFont val="Tahoma"/>
            <family val="2"/>
          </rPr>
          <t>West Honeycutt:</t>
        </r>
        <r>
          <rPr>
            <sz val="9"/>
            <color indexed="81"/>
            <rFont val="Tahoma"/>
            <family val="2"/>
          </rPr>
          <t xml:space="preserve">
Merkle data services for surveys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<sst xmlns="http://schemas.openxmlformats.org/spreadsheetml/2006/main" count="134728" uniqueCount="41087">
  <si>
    <t>FY25</t>
  </si>
  <si>
    <t>FY24</t>
  </si>
  <si>
    <t>FY23</t>
  </si>
  <si>
    <t>FY22</t>
  </si>
  <si>
    <t>FY21</t>
  </si>
  <si>
    <t>FY20</t>
  </si>
  <si>
    <t>FY19</t>
  </si>
  <si>
    <t>FY18</t>
  </si>
  <si>
    <t>FY17</t>
  </si>
  <si>
    <t>FY16</t>
  </si>
  <si>
    <t>FY15</t>
  </si>
  <si>
    <t>FY14</t>
  </si>
  <si>
    <t>FY13</t>
  </si>
  <si>
    <t>FY12</t>
  </si>
  <si>
    <t>FY11</t>
  </si>
  <si>
    <t>FY10</t>
  </si>
  <si>
    <t>FY09</t>
  </si>
  <si>
    <t>FY08</t>
  </si>
  <si>
    <t>FY07</t>
  </si>
  <si>
    <t>FY06</t>
  </si>
  <si>
    <t>FY05</t>
  </si>
  <si>
    <t>FY04</t>
  </si>
  <si>
    <t>FY03</t>
  </si>
  <si>
    <t>FY02</t>
  </si>
  <si>
    <t>FY01</t>
  </si>
  <si>
    <t>FY00</t>
  </si>
  <si>
    <t>FY99</t>
  </si>
  <si>
    <t>FY98</t>
  </si>
  <si>
    <t>FY97</t>
  </si>
  <si>
    <t>New MLS</t>
  </si>
  <si>
    <t>/100</t>
  </si>
  <si>
    <t>New Legacy</t>
  </si>
  <si>
    <t>New Life Insurance</t>
  </si>
  <si>
    <t>-</t>
  </si>
  <si>
    <t>Total MLS</t>
  </si>
  <si>
    <t>New CGA</t>
  </si>
  <si>
    <t>/15</t>
  </si>
  <si>
    <t>CGA Amounts</t>
  </si>
  <si>
    <t>CGA Goals</t>
  </si>
  <si>
    <t>CGA Charitable</t>
  </si>
  <si>
    <t>CGA Draw</t>
  </si>
  <si>
    <t xml:space="preserve">DJIA </t>
  </si>
  <si>
    <t>S&amp;P 500</t>
  </si>
  <si>
    <t>New Leads</t>
  </si>
  <si>
    <t>/400</t>
  </si>
  <si>
    <t>Closed Estates</t>
  </si>
  <si>
    <t>/40</t>
  </si>
  <si>
    <t>Bequest Income</t>
  </si>
  <si>
    <t>Bequest Goals</t>
  </si>
  <si>
    <t>Expense Budget</t>
  </si>
  <si>
    <t>Less Overhead</t>
  </si>
  <si>
    <t>Pipeline</t>
  </si>
  <si>
    <t>Moves</t>
  </si>
  <si>
    <t>QCD Income</t>
  </si>
  <si>
    <t>QCD Goals</t>
  </si>
  <si>
    <t>MLS Info</t>
  </si>
  <si>
    <t>170/591</t>
  </si>
  <si>
    <t>Website</t>
  </si>
  <si>
    <t>CPV</t>
  </si>
  <si>
    <t>Living</t>
  </si>
  <si>
    <t>65+</t>
  </si>
  <si>
    <t>Households</t>
  </si>
  <si>
    <t>No Age</t>
  </si>
  <si>
    <t>Deceased</t>
  </si>
  <si>
    <t>TFP</t>
  </si>
  <si>
    <t>MD</t>
  </si>
  <si>
    <t>All</t>
  </si>
  <si>
    <t>MLS</t>
  </si>
  <si>
    <t>BEQ</t>
  </si>
  <si>
    <t>CGA</t>
  </si>
  <si>
    <t>IRA DONOR</t>
  </si>
  <si>
    <t>QUALIFIED LEADS</t>
  </si>
  <si>
    <t>INT</t>
  </si>
  <si>
    <t>CON</t>
  </si>
  <si>
    <t>CGA-Inquiry</t>
  </si>
  <si>
    <t xml:space="preserve">        </t>
  </si>
  <si>
    <t>CA Reserve</t>
  </si>
  <si>
    <t>Mutli-State</t>
  </si>
  <si>
    <t>Overall</t>
  </si>
  <si>
    <t>Balance</t>
  </si>
  <si>
    <t>70+</t>
  </si>
  <si>
    <t>Charitable</t>
  </si>
  <si>
    <t>States</t>
  </si>
  <si>
    <t>Prospects</t>
  </si>
  <si>
    <t>CGAs Living</t>
  </si>
  <si>
    <t>CGA Living $</t>
  </si>
  <si>
    <t>CGAs</t>
  </si>
  <si>
    <t>CGA $</t>
  </si>
  <si>
    <t xml:space="preserve"> </t>
  </si>
  <si>
    <t>Estate</t>
  </si>
  <si>
    <t>Gift Type</t>
  </si>
  <si>
    <t>Designation</t>
  </si>
  <si>
    <t>Total Income</t>
  </si>
  <si>
    <t>Received FY19</t>
  </si>
  <si>
    <t>Received FY20</t>
  </si>
  <si>
    <t>Received FY21</t>
  </si>
  <si>
    <t>Received FY22</t>
  </si>
  <si>
    <t>Received FY23</t>
  </si>
  <si>
    <t>Received FY24 YTD</t>
  </si>
  <si>
    <t>Expected FY24</t>
  </si>
  <si>
    <t>FY26</t>
  </si>
  <si>
    <t>FY27</t>
  </si>
  <si>
    <t>Death Date</t>
  </si>
  <si>
    <t>Open Date</t>
  </si>
  <si>
    <t>Close Date</t>
  </si>
  <si>
    <t>Months-to-Close</t>
  </si>
  <si>
    <t>Estate ID</t>
  </si>
  <si>
    <t>Donor ID</t>
  </si>
  <si>
    <t>Attorney / Trustee</t>
  </si>
  <si>
    <t>Phone</t>
  </si>
  <si>
    <t xml:space="preserve">Email </t>
  </si>
  <si>
    <t>Address</t>
  </si>
  <si>
    <t>Notes</t>
  </si>
  <si>
    <t>Longterm Estate Matters</t>
  </si>
  <si>
    <t>Current FY Budget</t>
  </si>
  <si>
    <t>V</t>
  </si>
  <si>
    <t>Askman, Beatrice</t>
  </si>
  <si>
    <t>CRT</t>
  </si>
  <si>
    <t>last trust dist/resid in 2024</t>
  </si>
  <si>
    <t>Stephen Frank</t>
  </si>
  <si>
    <t>(208 965-0101</t>
  </si>
  <si>
    <t>114 State Street, Suite 271, La Arcada Bldg., Santa Barbara, CA 93101</t>
  </si>
  <si>
    <t xml:space="preserve">NPCA receives principal pymts. from trust annually, approx. $4k thru year 2023; afterwards the residue of trust will be equally divided to all beneficiaries. </t>
  </si>
  <si>
    <t>Baciu, Georgia (Seattle Foundation Fund)</t>
  </si>
  <si>
    <t>Foundation</t>
  </si>
  <si>
    <t>Estate funded fund</t>
  </si>
  <si>
    <t>Bent Ponton-Welty</t>
  </si>
  <si>
    <t>Seattle Foundation, 1601 Fifth Avenue, Suite 1900, Seattle, WA 98101-3615</t>
  </si>
  <si>
    <t>Estate funded perpetual fund at Seattle Foundation</t>
  </si>
  <si>
    <t>Current FY Forecasted</t>
  </si>
  <si>
    <t>Conkey, Elizabeth (Dorothy)</t>
  </si>
  <si>
    <t>Davis, Martha Ann "Marty"</t>
  </si>
  <si>
    <t>5% residual beneficiary after up to 15 year survivor trust-DOD 4/12/2015</t>
  </si>
  <si>
    <t>Current FY YTD Actual</t>
  </si>
  <si>
    <t xml:space="preserve">Duggan, Lillian M. </t>
  </si>
  <si>
    <t>1/6 perpetual 10%</t>
  </si>
  <si>
    <t>Becky Fink</t>
  </si>
  <si>
    <t>rebekah.fink@usbank.com</t>
  </si>
  <si>
    <t>US Bank Wealth Management, PO Box 1678, Helena, MT 59624</t>
  </si>
  <si>
    <t xml:space="preserve">Remainder beneficiary after 6 persons age 50-60 die; </t>
  </si>
  <si>
    <t>Harrison, Renata H.</t>
  </si>
  <si>
    <t>5% remainder</t>
  </si>
  <si>
    <t>David E. Beavers</t>
  </si>
  <si>
    <t>w-ebeavers@comcast.net</t>
  </si>
  <si>
    <t>230 Ridings Way, Ambler, PA 19002-5246</t>
  </si>
  <si>
    <t>5% remainder bene after children are provided for over their lives. 1 of 10 beneficiaries</t>
  </si>
  <si>
    <t xml:space="preserve">Hepp, Theodore W. </t>
  </si>
  <si>
    <t>Current Over/Under</t>
  </si>
  <si>
    <t xml:space="preserve">Justus, Mary Margaret "Meg" </t>
  </si>
  <si>
    <t>Life Ins.</t>
  </si>
  <si>
    <t xml:space="preserve">$226.37 monthly </t>
  </si>
  <si>
    <t>Theresa Parsons, Sr. Insurance Claims Examiner</t>
  </si>
  <si>
    <t>(877) 499-6418</t>
  </si>
  <si>
    <t>P.O. Box 94212, Palatine, IL 60094-4212</t>
  </si>
  <si>
    <t>NPCA receives ongoing distributions from the estate, as beneficiaries of a life insurance annuity; amount of payment will be $226.37 per month thru April 23, 2022.</t>
  </si>
  <si>
    <t>$1,134.63 quarterly</t>
  </si>
  <si>
    <t>Melinda Ackerman, VP of Client Care, American General Life Insurance Co.</t>
  </si>
  <si>
    <t>(1800) 424-4990</t>
  </si>
  <si>
    <t>Open Estate Matters</t>
  </si>
  <si>
    <t>Kennelly, R. Grice CLT</t>
  </si>
  <si>
    <t>CLT</t>
  </si>
  <si>
    <t>Diane Wheeler, Sr. Wealth Mgr.</t>
  </si>
  <si>
    <t>617-248-3223</t>
  </si>
  <si>
    <t>Diane.wheeler@bnymellon.com</t>
  </si>
  <si>
    <t>BNY Mellon Wealth Mgmt., One Boston Place, 9th &amp; 10th Floor, Boston, MA 02108</t>
  </si>
  <si>
    <t xml:space="preserve">Lewis, Betty A. </t>
  </si>
  <si>
    <t>Terrence Chier, Manager Personal Trusts</t>
  </si>
  <si>
    <t>Thrivent, 4321 N. Ballard Rd., Appleton, WI 54919-0001</t>
  </si>
  <si>
    <t>Avg. Gift Size</t>
  </si>
  <si>
    <t>Milligan, Susan S. Trust</t>
  </si>
  <si>
    <t xml:space="preserve">Schutt, Mendon F. </t>
  </si>
  <si>
    <t>Avg. Months to Close FY</t>
  </si>
  <si>
    <t xml:space="preserve">Scottology Trust </t>
  </si>
  <si>
    <t xml:space="preserve">Smith, Edith B. </t>
  </si>
  <si>
    <t>Avg. Months to Close</t>
  </si>
  <si>
    <t>Spainhower, David Fund at San Diego Fnd</t>
  </si>
  <si>
    <t>Mark A. Stuart, President and CEO</t>
  </si>
  <si>
    <t>grants@sdfoundation.org</t>
  </si>
  <si>
    <t>The San Diego Foundation, 2508 Historic Decatur Rd, Suite 200, San Diego, CA 92106</t>
  </si>
  <si>
    <t>Estate funded perpetual community foundation fund</t>
  </si>
  <si>
    <t xml:space="preserve">Sperry, Paul &amp; Hilda </t>
  </si>
  <si>
    <t>Gerald Barclay, AVP, Philanthropic Officer</t>
  </si>
  <si>
    <t>(470) 506-0431</t>
  </si>
  <si>
    <t>gerald.c.barclay@bofa.com</t>
  </si>
  <si>
    <t>BOA Private Bank, 1300 America Blvd., Bldg. 3, NJ2-130-03-27, Pennington, NJ 08534</t>
  </si>
  <si>
    <t xml:space="preserve">NICRUT paying living family members and 10 charities for perpetuity (NPCA 10%) of $~1.5MM  </t>
  </si>
  <si>
    <t>Prior to FY Mos to Close</t>
  </si>
  <si>
    <t>Stebbins, Grace</t>
  </si>
  <si>
    <t>Robyn Peters, Philanthropic Officer, Charitable Trust</t>
  </si>
  <si>
    <t>(860) 244-4878</t>
  </si>
  <si>
    <t>robyn.peters@bofa.com</t>
  </si>
  <si>
    <t xml:space="preserve">  </t>
  </si>
  <si>
    <t>Studebaker, John Gordon</t>
  </si>
  <si>
    <t xml:space="preserve">Jeremy Hearon, Wells Fargo Wealth Mgmt. </t>
  </si>
  <si>
    <t>(916) 440-4191</t>
  </si>
  <si>
    <t>jeremy.hearon@wellsfargo.com</t>
  </si>
  <si>
    <t>P.O. Box 95021, Henderson, NV 89009-5021</t>
  </si>
  <si>
    <t>NPCA receives ongoing distributions from trust; initial distributions made in 2011, received over $42k.</t>
  </si>
  <si>
    <t>Prior to WH Mos to Close</t>
  </si>
  <si>
    <t>Williamson, Oliver</t>
  </si>
  <si>
    <t>Royalties</t>
  </si>
  <si>
    <t>Aden Debord</t>
  </si>
  <si>
    <t>(503) 688-3049</t>
  </si>
  <si>
    <t>adendebord@gmail.com</t>
  </si>
  <si>
    <t>Capital Group/American Funds Company, P.O. Box 6164, Indianapolis, IN 4</t>
  </si>
  <si>
    <t>W</t>
  </si>
  <si>
    <t>Williams, Elliott (CA RESOURCES CORP)</t>
  </si>
  <si>
    <t>CA Resource Corp</t>
  </si>
  <si>
    <t>owner.relations@crc.com</t>
  </si>
  <si>
    <t>ATTN: Interest Owner Relations, 900 Old River Rd, Bakersfield, CA 93311</t>
  </si>
  <si>
    <t>Oil and gas royalty through CA Resources Corporation</t>
  </si>
  <si>
    <t>Cumulative Total</t>
  </si>
  <si>
    <t>FY24 Estate Matters</t>
  </si>
  <si>
    <t>6206-6164</t>
  </si>
  <si>
    <t>Alexander, John S.</t>
  </si>
  <si>
    <t>Bequest</t>
  </si>
  <si>
    <t>1/6 resid bene</t>
  </si>
  <si>
    <t>Michael D. Hellman, Esq.</t>
  </si>
  <si>
    <t>mhellman@fmam.com</t>
  </si>
  <si>
    <t>222 East Carrillo Street, Suite 400, Santa Barabara, CA 93101</t>
  </si>
  <si>
    <t>1/6 of remainder estate (less $1.265MM specific distributions to family)</t>
  </si>
  <si>
    <t xml:space="preserve">Allen, June Stone </t>
  </si>
  <si>
    <t>approx $80k for NPCA</t>
  </si>
  <si>
    <t>Terry Richards, Trust Officer</t>
  </si>
  <si>
    <t>(316) 264-6010</t>
  </si>
  <si>
    <t>trichards@tckansas.com</t>
  </si>
  <si>
    <t>245 N. Waco Street, Ste 120, Wichita, KS 67201</t>
  </si>
  <si>
    <t xml:space="preserve">Appell, Barbara F. </t>
  </si>
  <si>
    <t xml:space="preserve">Taylor Katherman, or John J. Shorb, Esq. </t>
  </si>
  <si>
    <t>7179680967; (717) 846-9800</t>
  </si>
  <si>
    <t xml:space="preserve">tk@stockandleader.com; jshorb@stockand leader.com </t>
  </si>
  <si>
    <t>221 W. Philadelphia Street, Ste. 600, New York, NY 17401</t>
  </si>
  <si>
    <t>West Managing:</t>
  </si>
  <si>
    <t>Arata, Barbara L</t>
  </si>
  <si>
    <t>Hethba Fatnassi, Esq; Gravel and Shea, PC</t>
  </si>
  <si>
    <t>802-658-0220</t>
  </si>
  <si>
    <t>hfatnassi@gravelshea.com</t>
  </si>
  <si>
    <t>76 St. Paul Street, 7th floor, Burlington, VT 05401</t>
  </si>
  <si>
    <t>x</t>
  </si>
  <si>
    <t xml:space="preserve">Arter, Virginia </t>
  </si>
  <si>
    <t>approx $100k for NPCA</t>
  </si>
  <si>
    <t>Alexia Hegy, Claims Representative</t>
  </si>
  <si>
    <t>(303) 776-9839</t>
  </si>
  <si>
    <t>Protective Life Insurance Co., P.O. Box 12486, Birmingham, AL 35202-6687</t>
  </si>
  <si>
    <t>Vonda Managing:</t>
  </si>
  <si>
    <t>Barr, Barbara J. (CRUT)</t>
  </si>
  <si>
    <t>3% of remainder of trust</t>
  </si>
  <si>
    <t>Hannah Shakin, Attorney</t>
  </si>
  <si>
    <t>(916) 444-1000</t>
  </si>
  <si>
    <t>hshakin@downeybrand.com</t>
  </si>
  <si>
    <t>Downey Brand, LLC, 621 Capital Mall, 18th Fl., Sacremento, CA 95814</t>
  </si>
  <si>
    <t>Bartholomew, Robert</t>
  </si>
  <si>
    <t>Tara Johnson for UBS Fin./John Hancock Life Insurance</t>
  </si>
  <si>
    <t>(888) 887-2739</t>
  </si>
  <si>
    <t>tara-za.johnson@ubs.com</t>
  </si>
  <si>
    <t>John Hancock Life Insurance - NY, PO Box 55979, Boston, MA 02205</t>
  </si>
  <si>
    <t>Beyea, Barbara</t>
  </si>
  <si>
    <t>Penny Smith, Trustee</t>
  </si>
  <si>
    <t>(858) 945-5078</t>
  </si>
  <si>
    <t>smithphs00@gmail.com</t>
  </si>
  <si>
    <t>12 Whale Cove Road, Rockport, MA, 01966</t>
  </si>
  <si>
    <t>Bertelson, David Earl TRUST</t>
  </si>
  <si>
    <t>1/2 of 1/6</t>
  </si>
  <si>
    <t>David McLaughlin and Bonnie Andersen, Co-Trustees</t>
  </si>
  <si>
    <t>(801) 722-5863</t>
  </si>
  <si>
    <t>davidpmclaughlin@gmail.com</t>
  </si>
  <si>
    <t>2186 Dakota Ave., Provo, UT 94606</t>
  </si>
  <si>
    <t>Blakewell, Betty Jean</t>
  </si>
  <si>
    <t>Lynn Mattingly, Executor</t>
  </si>
  <si>
    <t>(970) 260-2460</t>
  </si>
  <si>
    <t>ldmquilt@gmail.com</t>
  </si>
  <si>
    <t>BJB Revocable Trust, 14911 Royal Road, Paonia, CO 81428</t>
  </si>
  <si>
    <t>Received FY01</t>
  </si>
  <si>
    <t>Bohman, Isabelle M.</t>
  </si>
  <si>
    <t>5% of trust</t>
  </si>
  <si>
    <t>Janet McClanahan Moody, Attorney at Law</t>
  </si>
  <si>
    <t>(360) 786-5035</t>
  </si>
  <si>
    <t>info@elderlawwithcare.com</t>
  </si>
  <si>
    <t>501 Tyee Drive, SW, Tumwater, WA 98512</t>
  </si>
  <si>
    <t>Brandt, Wayne A., Revocable Trust</t>
  </si>
  <si>
    <t>partial distribution</t>
  </si>
  <si>
    <t>John Stallings, Attorney</t>
  </si>
  <si>
    <t>(928) 445-0122</t>
  </si>
  <si>
    <t>jstallings@bpcws.com</t>
  </si>
  <si>
    <t>125 North Granite Street, Prescott, AZ 86301</t>
  </si>
  <si>
    <t>Received FY02</t>
  </si>
  <si>
    <t>Braverman, Joe</t>
  </si>
  <si>
    <t>Schwab Charitable Fund</t>
  </si>
  <si>
    <t>$20K distribution from Schwab Charitable</t>
  </si>
  <si>
    <t>Brilhart, Lillian C.</t>
  </si>
  <si>
    <t>Gary A. Delafield, Attorney</t>
  </si>
  <si>
    <t>(814) 237-6278</t>
  </si>
  <si>
    <t>gdelafield@dmjklaw.com</t>
  </si>
  <si>
    <t>Delafield, McGee, &amp; Jones, P.C., 916 S. Atherton St., State College, PA 16801</t>
  </si>
  <si>
    <t>Received FY03</t>
  </si>
  <si>
    <t>Brown, Dallas</t>
  </si>
  <si>
    <t>bene of 2 life policies</t>
  </si>
  <si>
    <t>Anjeanette Sausedo, Lafayette Life;  Allianz claims Dept.</t>
  </si>
  <si>
    <t>(509) 924-9123; (800) 950-1962</t>
  </si>
  <si>
    <t>AnjieS@grossmancollegefunding.com</t>
  </si>
  <si>
    <t>Grossman and Associates Financial Services, Inc; 2919 E. Mission Ave., Ste. 202, Spokane, WA 99202</t>
  </si>
  <si>
    <t>Allianz Life Insurance Co. of North America, P.O. Box 59060, Minnapolis, MN 55459-0060</t>
  </si>
  <si>
    <t>Brown, Joel M. TRUST</t>
  </si>
  <si>
    <t>Timothy R. Loff</t>
  </si>
  <si>
    <t>tim@lofflaw.com</t>
  </si>
  <si>
    <t>1087 Beacon Street, Suite 201, Newton Centre, MA 02459-1700</t>
  </si>
  <si>
    <t>Received FY04</t>
  </si>
  <si>
    <t>Brown, Mary Neal</t>
  </si>
  <si>
    <t>Jerome R. Cross, II, Attorney</t>
  </si>
  <si>
    <t>(303) 772-1610</t>
  </si>
  <si>
    <t>office@jrcross.net</t>
  </si>
  <si>
    <t>P.O. Box 6634, Longmont, CO 80501-2103</t>
  </si>
  <si>
    <t>Brundige, Susanne</t>
  </si>
  <si>
    <t>Stacey M. Valentine, Esq; Darlene Lucas (BOA)</t>
  </si>
  <si>
    <t>(908) 273-5730; (561) 347-5682</t>
  </si>
  <si>
    <t>svalentine@avelinolaw.com</t>
  </si>
  <si>
    <t>47 River Road, Summit, NJ 07901-1426</t>
  </si>
  <si>
    <t>Received FY05</t>
  </si>
  <si>
    <t>Burns, Eva S.</t>
  </si>
  <si>
    <t>Jeffrey King, Personal Representative</t>
  </si>
  <si>
    <t>117 Hiawatha Court, East Palatka, FL 32131</t>
  </si>
  <si>
    <t>Bryson, Jill C. TRUST</t>
  </si>
  <si>
    <t>Russell G. Kvanvig</t>
  </si>
  <si>
    <t>208) 733-2721</t>
  </si>
  <si>
    <t>skst@idaho-law.com</t>
  </si>
  <si>
    <t>P.O. Box 83, Twin Falls, Idaho 83303-0083</t>
  </si>
  <si>
    <t>1 of 25 charitable benes and 28 person benes. Will spillover to trust.</t>
  </si>
  <si>
    <t>Received FY06</t>
  </si>
  <si>
    <t>Carlton, Patricia TRUST</t>
  </si>
  <si>
    <t>Binny Nguyen</t>
  </si>
  <si>
    <t>binny.nguyen@clackamasfcu.org</t>
  </si>
  <si>
    <t>Cusco Financial Services, PO Box 2020, Oregon City, OR 97045</t>
  </si>
  <si>
    <t xml:space="preserve">Carroll, Lucy </t>
  </si>
  <si>
    <t xml:space="preserve">15% residual life insurance </t>
  </si>
  <si>
    <t>L. Peter Temple, Larmore Scarlett, LLP</t>
  </si>
  <si>
    <t>(610) 444-3737</t>
  </si>
  <si>
    <t>peter@larmorescarlett.com</t>
  </si>
  <si>
    <t>123 East Linden Street, Kennett Square, PA 19348-0384</t>
  </si>
  <si>
    <t>Received FY07</t>
  </si>
  <si>
    <t>Carroll, Roderick Douglas TRUST</t>
  </si>
  <si>
    <t>5% residuary</t>
  </si>
  <si>
    <t>Johnathan F. Haskell, Attorney</t>
  </si>
  <si>
    <t>sbranigan@wadeash.com</t>
  </si>
  <si>
    <t>4500 Cherry Creek Drive South, Suite 600, Denver, CO 80246</t>
  </si>
  <si>
    <t>Estate valued b/w $500k &amp; $1MM. NPCA 5% bene after $200k in specific bequests</t>
  </si>
  <si>
    <t>Cicurel, Nessium REV TRUST</t>
  </si>
  <si>
    <t>Peter Flores, paralegal</t>
  </si>
  <si>
    <t>(312) 269-5306</t>
  </si>
  <si>
    <t>pflores@nge.com</t>
  </si>
  <si>
    <t>Neal Gerber Eisenberg, Two-Nortth LaSalle Street, Chicago, IL 60602</t>
  </si>
  <si>
    <t>Received FY08</t>
  </si>
  <si>
    <t>Cicurel, Patricia REV TRUST</t>
  </si>
  <si>
    <t>Conrad, Marilyn A. TRUST</t>
  </si>
  <si>
    <t xml:space="preserve">residual </t>
  </si>
  <si>
    <t>Brett D. Mulberg, Wells Fargo Wealth Mgmt.</t>
  </si>
  <si>
    <t>(415) 396-6230</t>
  </si>
  <si>
    <t>Brett.D.Mulberg@wellsfargo.com</t>
  </si>
  <si>
    <t>420 Montgomery St., 7th Fl., San Francisco, CA 94104, MAC: A0101-075</t>
  </si>
  <si>
    <t>Received FY09</t>
  </si>
  <si>
    <t>Coombes, Thomas A.</t>
  </si>
  <si>
    <t>20% of estate</t>
  </si>
  <si>
    <t>Richard W. Buhrman</t>
  </si>
  <si>
    <t>rwb@buhrmanlaw.com</t>
  </si>
  <si>
    <t>345 Frazier Avenue, Suite 210, Chattanooga, TN 37405</t>
  </si>
  <si>
    <t>20% residuary beneficiary, estate less than $130,000 (1 of 5 charitable benes)</t>
  </si>
  <si>
    <t xml:space="preserve">Cromlish, John S. </t>
  </si>
  <si>
    <t>Richard Stanton Cromlish, Executor</t>
  </si>
  <si>
    <t>321 Glen Arbor Street, Belmont, NC 28012</t>
  </si>
  <si>
    <t>Received FY10</t>
  </si>
  <si>
    <t>Davis, Helen Bloxsom</t>
  </si>
  <si>
    <t>China Concepcion, Paralegal</t>
  </si>
  <si>
    <t>(713) 739-7007</t>
  </si>
  <si>
    <t>cconcepcion@cjmhlaw.com</t>
  </si>
  <si>
    <t>Crady, Jewett, McCulley, &amp; Houren, LLP, 2727 Allen Pkwy., Ste. 1700, Houston, TX 77109-2125</t>
  </si>
  <si>
    <t>Davis, Dorothy Elaine and Phil M. TRUST</t>
  </si>
  <si>
    <t>Barbara Anne Wilson, Trustee</t>
  </si>
  <si>
    <t>2442 NW Market Street, #408, Seattle, WA 98107</t>
  </si>
  <si>
    <t xml:space="preserve">Received bequest donation via Merkle on 08/16/19 in the amount of $12,500, check #1588, dated 07/22/19; awaiting copy of trust and final accounting from the trustee. </t>
  </si>
  <si>
    <t>Received FY11</t>
  </si>
  <si>
    <t>Denz, Donald F.</t>
  </si>
  <si>
    <t>Bonnie Rychlik</t>
  </si>
  <si>
    <t>(716) 649-1571</t>
  </si>
  <si>
    <t>bonnie@magavernpc.com</t>
  </si>
  <si>
    <t>Magavern &amp; Scott, PC, Attorneys at Law, 71 Main Street, Hamberg, NY 140755</t>
  </si>
  <si>
    <t>Doering, Marilyn</t>
  </si>
  <si>
    <t>Timothy D. Sheffrey, Attorney</t>
  </si>
  <si>
    <t>(717) 273-3733</t>
  </si>
  <si>
    <t>tsheffrey@barley.com</t>
  </si>
  <si>
    <t>1601 Cornwall Road, Lebanon, PA 17042-7406</t>
  </si>
  <si>
    <t>Received FY12</t>
  </si>
  <si>
    <t>Eisley, June</t>
  </si>
  <si>
    <t>Gina Price, Paralegal</t>
  </si>
  <si>
    <t>(302) 888-6800</t>
  </si>
  <si>
    <t>gprice@morrisjames.com</t>
  </si>
  <si>
    <t>500 Delaware Ave., Ste. 1500, Wilmington, DE 19801-1494</t>
  </si>
  <si>
    <t>English, Elizabeth Stevenson</t>
  </si>
  <si>
    <t>Melissa Goulden, Paralegal</t>
  </si>
  <si>
    <t>(203) 319-7100</t>
  </si>
  <si>
    <t>Brody Wilkinson, PC, Attorneys and Counselors at Law, 2507 Post Road, Southport, CT 06890</t>
  </si>
  <si>
    <t>Received FY13</t>
  </si>
  <si>
    <t>Eustace-Pedlar, Jennifer</t>
  </si>
  <si>
    <t>Stephen P. Heuston, ESQ.</t>
  </si>
  <si>
    <t>(321) 428-2820</t>
  </si>
  <si>
    <t>heuston.legal@heustonlegal.com</t>
  </si>
  <si>
    <t>Heuston Legal, PLLC, 1333 Gateway Dr., Suite 1024, Melbourne, FL 32901</t>
  </si>
  <si>
    <t>Ewing, Barbara Joan</t>
  </si>
  <si>
    <t>1/10 of 20% (1/10 benes)</t>
  </si>
  <si>
    <t>Elena G. Gonzalez, Trustee</t>
  </si>
  <si>
    <t>45522 Sancroft Avenue, Lancaster, CA 93535</t>
  </si>
  <si>
    <t>1 of 10 benes receiving equal split of 20% of trust remainder</t>
  </si>
  <si>
    <t>Received FY14</t>
  </si>
  <si>
    <t>Feder, Helga</t>
  </si>
  <si>
    <t>annuity / pay on death</t>
  </si>
  <si>
    <t>Crystal L. Koch</t>
  </si>
  <si>
    <t>ckoch@atllp.com</t>
  </si>
  <si>
    <t>7700 Forsyth Blvd., Suite 1800, St. Louis, MO 63105-1847</t>
  </si>
  <si>
    <t>Penn Mutual Pay on Death / Annuity benefit</t>
  </si>
  <si>
    <t>10% of residue</t>
  </si>
  <si>
    <t>10% residue of trust</t>
  </si>
  <si>
    <t>Received FY15</t>
  </si>
  <si>
    <t>Forton, Carol</t>
  </si>
  <si>
    <t>Fidelity DAF Bene</t>
  </si>
  <si>
    <t xml:space="preserve">Frisbee, Joan R. </t>
  </si>
  <si>
    <t>J. Craig Phifer, III</t>
  </si>
  <si>
    <t>Received FY16</t>
  </si>
  <si>
    <t>Gardiner, Keith Mattinson</t>
  </si>
  <si>
    <t xml:space="preserve">1/5 of 20% residual </t>
  </si>
  <si>
    <t>Lawrence B. Fox, Attorney</t>
  </si>
  <si>
    <t>(610) 861-9297</t>
  </si>
  <si>
    <t>1834  Pennsylvania Ave., Allentown, PA 18109</t>
  </si>
  <si>
    <t>Gerston, Richard</t>
  </si>
  <si>
    <t>Received FY17</t>
  </si>
  <si>
    <t>George, Carola TRUST</t>
  </si>
  <si>
    <t>10% resid</t>
  </si>
  <si>
    <t>Elizabeth M. Bevenour, Esq</t>
  </si>
  <si>
    <t>(610) 254-0114</t>
  </si>
  <si>
    <t>elizabeth@hpplaw.net</t>
  </si>
  <si>
    <t>Herr, Potts &amp; Potts, LLC, Strafford Bldg. #2, Ste. 106, 200 Eagle Rd., Wayne, PA 19087-3115</t>
  </si>
  <si>
    <t>Gittings, Barbara TRUST</t>
  </si>
  <si>
    <t>Travis G. Maurer, Trust Attorney</t>
  </si>
  <si>
    <t>(302) 576-3596</t>
  </si>
  <si>
    <t>tmaurer@ycst.com</t>
  </si>
  <si>
    <t>Young Conaway Stargatt &amp; Taylor, LLP</t>
  </si>
  <si>
    <t>Received FY18</t>
  </si>
  <si>
    <t>Gleason, Joan W. TRUST</t>
  </si>
  <si>
    <t>Elizabeth T. McCandless, Esq.</t>
  </si>
  <si>
    <t>(207) 523-3434</t>
  </si>
  <si>
    <t>etm@mccandlesslaw.com</t>
  </si>
  <si>
    <t>McCandless, LLC, 14 York Street, Portland, ME 04101</t>
  </si>
  <si>
    <t>Hall, Sarah J. TRUST</t>
  </si>
  <si>
    <t>Michael Bilson</t>
  </si>
  <si>
    <t>818) 980-8393</t>
  </si>
  <si>
    <t>bilsonm@aol.com</t>
  </si>
  <si>
    <t>4640 Lankershim Blvd, Suite 512, North Hollywood, CA 91602-1841</t>
  </si>
  <si>
    <t>Heyman, Judith B.</t>
  </si>
  <si>
    <t>Marc W. Boland, Attorney</t>
  </si>
  <si>
    <t>4419 East West Hwy., Bethesday, MD 20814</t>
  </si>
  <si>
    <t>Holmberg, Doris Claire</t>
  </si>
  <si>
    <t>Mariah L. Heppe, Attorney</t>
  </si>
  <si>
    <t>(508) 751-5010</t>
  </si>
  <si>
    <t>Estate Preservation Law Offices, 71 Elm Street, Suite 100, Worcester, MA 01609</t>
  </si>
  <si>
    <t>Hower, Jim</t>
  </si>
  <si>
    <t>17.5% of 50% residue</t>
  </si>
  <si>
    <t>Steven Cox, Attorney/Shareholder</t>
  </si>
  <si>
    <t>(330) 849-6714</t>
  </si>
  <si>
    <t>scox@ralaw.com</t>
  </si>
  <si>
    <t>Roetzel &amp; Andress, 222 S. Main Street, Akron, Ohio 44308</t>
  </si>
  <si>
    <t>Hyde, Margaret L.</t>
  </si>
  <si>
    <t>Life insurance</t>
  </si>
  <si>
    <t>Christine Halchak / Lincoln Financial Group Bene Claims</t>
  </si>
  <si>
    <t>727-799-9200; 800-487-1485</t>
  </si>
  <si>
    <t>christine@voegefinancial.com</t>
  </si>
  <si>
    <t>Lincoln National Life Insurance Co., PO Box 7880, Fort Wayne IN 46801-7880</t>
  </si>
  <si>
    <t xml:space="preserve">Jacquette, Mary E. </t>
  </si>
  <si>
    <t>partial dist.</t>
  </si>
  <si>
    <t>Susan Coombs, Estate Paralegal</t>
  </si>
  <si>
    <t>(215) 540-2623</t>
  </si>
  <si>
    <t>SCoombs@timoneyknox.com</t>
  </si>
  <si>
    <t>400 Maryland Drive, P.O. Box 7544, Fort Washington, PA 19034</t>
  </si>
  <si>
    <t>Jahnle, Isabel</t>
  </si>
  <si>
    <t xml:space="preserve">IRA distribution </t>
  </si>
  <si>
    <t>Julie Donovan, Branch Office Administrator</t>
  </si>
  <si>
    <t>(941) 743-4121</t>
  </si>
  <si>
    <t>julie.donovan@edwardJones.com</t>
  </si>
  <si>
    <t>21234 Olean Blvd., Suite 2A, Port Charlotte, FL 33952</t>
  </si>
  <si>
    <t>Jenkins, Albert and Nancy (Trust)</t>
  </si>
  <si>
    <t>Claudia Schoemann, Trust Advisor</t>
  </si>
  <si>
    <t xml:space="preserve">(310) 297-2286 </t>
  </si>
  <si>
    <t>crschoemann@comerica.com</t>
  </si>
  <si>
    <t>2321 Rosecrans Ave., Ste. 500, El Gundo, CA 90245</t>
  </si>
  <si>
    <t>Johnson, Barbara L. (Trust)</t>
  </si>
  <si>
    <t>Carlos Rodriguez/Paralegal/Johnson,Kinney&amp;Zulaica, LLP</t>
  </si>
  <si>
    <t>carlos@jkzllp.com</t>
  </si>
  <si>
    <t>101 Montgomery Street, Suite 1600, San Francisco, CA 94101</t>
  </si>
  <si>
    <t>$30,000 specific bequest</t>
  </si>
  <si>
    <t>Kaub, Shirley Jane</t>
  </si>
  <si>
    <t>7.5% resid</t>
  </si>
  <si>
    <t>Johanna J. Allex</t>
  </si>
  <si>
    <t>(608) 259-2664</t>
  </si>
  <si>
    <t>jallex@staffordlaw.com</t>
  </si>
  <si>
    <t>2038 Vermont Drive, Suite 203, Fort Collins, CO 80525</t>
  </si>
  <si>
    <t>7.5% residuary beneficiary with numerous religious orgs named. Single no kids.</t>
  </si>
  <si>
    <t>Kleinenbroich, Willis Martini</t>
  </si>
  <si>
    <t>$31,178.78K resid</t>
  </si>
  <si>
    <t>Erin Hoefer, Trust and Estate Paralegal</t>
  </si>
  <si>
    <t>(206) 757-8558</t>
  </si>
  <si>
    <t>erinhoefer@dwt.com</t>
  </si>
  <si>
    <t>Davis, Wright, Tremaine, LLP, 920 Fith Ave., Ste. 3300, Seattle, WA 98104-1610</t>
  </si>
  <si>
    <t>Received FY24</t>
  </si>
  <si>
    <t xml:space="preserve">Landis, Jean TRUST </t>
  </si>
  <si>
    <t>Carolyn R. Brock, Trust Attorney</t>
  </si>
  <si>
    <t>(858) 564-9395</t>
  </si>
  <si>
    <t>carolyn@crbrocklaw.com</t>
  </si>
  <si>
    <t>9939 Hibert St., Suite 106, San Diego, CA 92131</t>
  </si>
  <si>
    <t>Lewis, Mary K.</t>
  </si>
  <si>
    <t>Daniel T. Quane, Esq.</t>
  </si>
  <si>
    <t>(925) 314-2335</t>
  </si>
  <si>
    <t>dquane@doylequane.com</t>
  </si>
  <si>
    <t>571 Hartz Avenue, Danville, CA 94526</t>
  </si>
  <si>
    <t>Lomax, Ted L. and Gloria A. TRUST</t>
  </si>
  <si>
    <t>Martin, Susan S.</t>
  </si>
  <si>
    <t xml:space="preserve">distrib  thru Comm. Fdtn. </t>
  </si>
  <si>
    <t>Melissa Landon, Trustee</t>
  </si>
  <si>
    <t>(970) 576-2872</t>
  </si>
  <si>
    <t>Emmlandon@gmail.com</t>
  </si>
  <si>
    <t>Community Fdtn. of Northern CO; 4745 Wheaton Dr., Fort Collins, CO 80525</t>
  </si>
  <si>
    <t>Bequest gift from a DAF thru the Comm. Fdtn. of Northern CO</t>
  </si>
  <si>
    <t>Expected FY25</t>
  </si>
  <si>
    <t>Mason, Janet P.</t>
  </si>
  <si>
    <t>L. Phillips Runyon, III</t>
  </si>
  <si>
    <t>mdineen@runyonlawoffice.com</t>
  </si>
  <si>
    <t>45 Main Street, PO Box 674, Peterborough, NH 03458-0674</t>
  </si>
  <si>
    <t>$5mm estate, NPCA share unknown as of 7/26/21</t>
  </si>
  <si>
    <t>McGinty, John F.</t>
  </si>
  <si>
    <t>Timothy H. Wall</t>
  </si>
  <si>
    <t>tim@timwallcpa.com</t>
  </si>
  <si>
    <t>8465 Keystone Crossing Boulevard, Suite 160, Indianapolis, Indiana 46240</t>
  </si>
  <si>
    <t>Expected FY26</t>
  </si>
  <si>
    <t>Miller, Dorris C. TRUST</t>
  </si>
  <si>
    <t>50% split bw 3 charities</t>
  </si>
  <si>
    <t>Kathleen Durrans, Attorney</t>
  </si>
  <si>
    <t>(650) 368-4662</t>
  </si>
  <si>
    <t>kdurrans@arcr.com</t>
  </si>
  <si>
    <t>Aaron, Riechart, Carpol &amp; Riffle, APC, 333 Twin Dolphin Dr., Ste 350, Redwood City, CA 94065</t>
  </si>
  <si>
    <t>Moss, Lois Jean (Gill)</t>
  </si>
  <si>
    <t>William Bruce/Jeannette H. Cowgill</t>
  </si>
  <si>
    <t>(901) 590-0671</t>
  </si>
  <si>
    <t>wrb@707Adams.com</t>
  </si>
  <si>
    <t xml:space="preserve">Law Office of William R. Bruce, PPLC, </t>
  </si>
  <si>
    <t>Expected FY27</t>
  </si>
  <si>
    <t>Navarro, Judith D.</t>
  </si>
  <si>
    <t>2% beneficiary</t>
  </si>
  <si>
    <t>Patricia Bunch</t>
  </si>
  <si>
    <t>pat@patbunchlaw.com</t>
  </si>
  <si>
    <t>5615 Kirby Drive, Suite 830, Houston, TX 77005</t>
  </si>
  <si>
    <t>2% upfront beneficiary</t>
  </si>
  <si>
    <t>Nelson-Deboard, Ann Jill</t>
  </si>
  <si>
    <t>Aden Deboard</t>
  </si>
  <si>
    <t>12711 N. Meridian Street, Carmel, IN 46032-9181</t>
  </si>
  <si>
    <t>Expected FY28</t>
  </si>
  <si>
    <t>Norstrom, Florence C.</t>
  </si>
  <si>
    <t>5% of the residue</t>
  </si>
  <si>
    <t>William Wickersty, Attorney</t>
  </si>
  <si>
    <t>(312) 782-4780</t>
  </si>
  <si>
    <t>wickerstylaw@gmail.com</t>
  </si>
  <si>
    <t>Landon &amp; Wickersty, Attorneys at Law, 77 West Washington Street, Suite 1124, Chicago, IL 60602</t>
  </si>
  <si>
    <t>Obrien, Timothy REV TRUST</t>
  </si>
  <si>
    <t>Julie Fink Fronsee, Attorney</t>
  </si>
  <si>
    <t>(920) 336-4242</t>
  </si>
  <si>
    <t>515 George Street, De Pre, WI 54115</t>
  </si>
  <si>
    <t>Oertel Family Trust</t>
  </si>
  <si>
    <t>20% residual from trust</t>
  </si>
  <si>
    <t>Michael F. Curttin, Attorney - Curtin Law</t>
  </si>
  <si>
    <t>(202) 530-3333</t>
  </si>
  <si>
    <t>mcurtin@curtin-law.com</t>
  </si>
  <si>
    <t>1800 Mass. Ave., NW, Ste. #300, Washington, DC 20036</t>
  </si>
  <si>
    <t xml:space="preserve">20% residuary beneficiary; upon the death of Yolanda Oertel the Oertel Family Trust became irrevocable and will start the admin process; the 20% distribution to NPCA "shall be used to support programs dealing with the education of children as future stewards of our National Parks". </t>
  </si>
  <si>
    <t>Olmstead, Mary Anne</t>
  </si>
  <si>
    <t>Michael Biesheuvel, Attorney</t>
  </si>
  <si>
    <t>(425) 712-0279</t>
  </si>
  <si>
    <t>Law Offices of Kyle G. Ray, P.S., 114 Second Ave., S., Suite 101, Edmonds, WA 98020</t>
  </si>
  <si>
    <t>Ordway, Gilman Charitable Lead Trust</t>
  </si>
  <si>
    <t>Kristin Simon, Senior Trust Officer and VP</t>
  </si>
  <si>
    <t>US Private Wealth Management, 101 E Fifth St., Suite 1400, St. Paul, MN 55101</t>
  </si>
  <si>
    <t>Palma, Madelon L.</t>
  </si>
  <si>
    <t>resid beneficiary of trust</t>
  </si>
  <si>
    <t>Julie Glosson Ishii, Attorney</t>
  </si>
  <si>
    <t>(925) 460-0711</t>
  </si>
  <si>
    <t>juliehlg-llp.com</t>
  </si>
  <si>
    <t>Hall Law Group, LLP, 4733 Chabot Drive, Ste. 203, Pleasanton, CA 94588</t>
  </si>
  <si>
    <t>Peaco, Harmon Elliott</t>
  </si>
  <si>
    <t xml:space="preserve">Marilyn Peaco (executor/wife) </t>
  </si>
  <si>
    <t>(815) 459-0787</t>
  </si>
  <si>
    <t>21 West Paddock Street, Crystal Lake, IL 60014</t>
  </si>
  <si>
    <t xml:space="preserve">Spoke with son of Harmon Peaco (Jim Peaco) regarding his fathers' estate. He informed me his mother Marilyn Peaco is the estate executor and should receive any additional inquiries regarding the estate. Additional details are forthcoming.  </t>
  </si>
  <si>
    <t>X</t>
  </si>
  <si>
    <t>Pearson, Lois B.</t>
  </si>
  <si>
    <t xml:space="preserve">Brenda Comejo, Client Service Representative </t>
  </si>
  <si>
    <t>(952) 258-5003</t>
  </si>
  <si>
    <t>brenda@pfingroup.com</t>
  </si>
  <si>
    <t>Jackson National Life Insurance Co., 1 Campus Way, Lansing, MI 48951</t>
  </si>
  <si>
    <t>Pick, Diane C.</t>
  </si>
  <si>
    <t>50% of account</t>
  </si>
  <si>
    <t>Walter Bieber</t>
  </si>
  <si>
    <t>wbieber@bcbestlawfirm.com</t>
  </si>
  <si>
    <t>26224 Van Dyke Avenue, Center Line, MI 48015-1292</t>
  </si>
  <si>
    <t xml:space="preserve">First distribution coming Dec 2020; 50% of accts at Robert W. Baird; Update from attorney Walter Bieber 12/4/20 - distributions will not be made this year. Taxes and administrative expenses must be paid before distributions can be made to the beneficiaries. NPCA will be notified in May/June 2021 when the trust is ready to release funds. </t>
  </si>
  <si>
    <t>Pliske, Janet S. ACCOUNT ONE</t>
  </si>
  <si>
    <t>Margie Tellinghuisen</t>
  </si>
  <si>
    <t>margie@wealthsolutionsbydesign.com</t>
  </si>
  <si>
    <t>18697 State Highway 305 NE, Poulsbo, WA 98730</t>
  </si>
  <si>
    <t>1 of 2 bene accounts w combined total of ~$45k</t>
  </si>
  <si>
    <t>Pliske, Janet S. ACCOUNT TWO</t>
  </si>
  <si>
    <t>ROTH accoount</t>
  </si>
  <si>
    <t>Pliske, Janet S.</t>
  </si>
  <si>
    <t>Allen Draher</t>
  </si>
  <si>
    <t>allen@draherlaw.com</t>
  </si>
  <si>
    <t>9108 Fauntleroy Way S.W., Seattle, WA 98136-2617</t>
  </si>
  <si>
    <t>main asset is house but in disrepair</t>
  </si>
  <si>
    <t>Pyle, A. Michele - Living Trust</t>
  </si>
  <si>
    <t>partial dist. from REIT</t>
  </si>
  <si>
    <t>Dawn T. Christoffersen, Attorney</t>
  </si>
  <si>
    <t>(314) 2183040</t>
  </si>
  <si>
    <t>dtc@dtcadvisorsllc.com</t>
  </si>
  <si>
    <t>8820 Ladue Road, Suite 202, St. Louis, MO 63124</t>
  </si>
  <si>
    <t>Quackenbush, Joan (Revocable Trust)</t>
  </si>
  <si>
    <t>Heather Aincham, Trust Officer</t>
  </si>
  <si>
    <t>(815) 207-4664</t>
  </si>
  <si>
    <t>haincham@myhtnb.bank</t>
  </si>
  <si>
    <t>Hometown National Bank, 722 Essington Road, Joilet, IL 60435</t>
  </si>
  <si>
    <t>Remy, Cornelia</t>
  </si>
  <si>
    <t>Vaguard securities (2 accts.)</t>
  </si>
  <si>
    <t>Dean Leon, Vanguard Case Manager</t>
  </si>
  <si>
    <t>(800) 379-1727</t>
  </si>
  <si>
    <t>beneficiaryteam@vanguard.com</t>
  </si>
  <si>
    <t>no address available</t>
  </si>
  <si>
    <t>Janice Henderson Mut funds</t>
  </si>
  <si>
    <t xml:space="preserve">Janus Henderson, </t>
  </si>
  <si>
    <t>(800) 525-1093; (800) 241-1838</t>
  </si>
  <si>
    <t>P.O. Box 219109, Kansas City, MO 64141-9109</t>
  </si>
  <si>
    <t>Amer. Century Investments</t>
  </si>
  <si>
    <t>Tim Popplewell, Estate Transfer Specialist</t>
  </si>
  <si>
    <t>(800) 422-3301 x48249</t>
  </si>
  <si>
    <t>P.O. Box 419200, Kansas City, MO 64141-6200</t>
  </si>
  <si>
    <t>Renkel, Aileen Elizabeth</t>
  </si>
  <si>
    <t>1/12 resid</t>
  </si>
  <si>
    <t>Frederick C. Horn</t>
  </si>
  <si>
    <t>fhorn@sternfelslaw.com</t>
  </si>
  <si>
    <t>16803 E. Palisades Blvd., Fountain Hills, AZ 85268</t>
  </si>
  <si>
    <t>1/12 residuary beneficiary after $510k specific bequests and $225k scholarship</t>
  </si>
  <si>
    <t>Rodormer, George W.</t>
  </si>
  <si>
    <t>Helen C. Morgan</t>
  </si>
  <si>
    <t>helen@huntercraiglaw.com</t>
  </si>
  <si>
    <t>2211 E. Sample Road, Suite 203, Lighthouse Point, FL 33064</t>
  </si>
  <si>
    <t xml:space="preserve">Russell, Milton R. </t>
  </si>
  <si>
    <t>Mary Ann Murphy, Associate Trust Administrator</t>
  </si>
  <si>
    <t>(314) 244-5111</t>
  </si>
  <si>
    <t>mary.murphy@tiaa.org</t>
  </si>
  <si>
    <t>TIAA, FSB, One Metropolitan Square, 211 North Broadway, Suite 1000, St. Louis, MO 63102-2733</t>
  </si>
  <si>
    <t>Ruster, Bert E.</t>
  </si>
  <si>
    <t>10% bene (maybe 20%)</t>
  </si>
  <si>
    <t>Schaffer, Jocelyn TRUST</t>
  </si>
  <si>
    <t>Martha Nobunaga, trustee</t>
  </si>
  <si>
    <t>(513) 533-2319</t>
  </si>
  <si>
    <t>msn3121@gmail.com</t>
  </si>
  <si>
    <t>3121 Portsmouth Ave., Cincinnati, OH 45208</t>
  </si>
  <si>
    <t>Schaffer, Robert L. TRUST</t>
  </si>
  <si>
    <t>Schmidt, Diane M. IRA</t>
  </si>
  <si>
    <t>Ray Schmidt, Trustee / Jack R. Soderlund, Fid.</t>
  </si>
  <si>
    <t>marni@compassfinancialplan.com</t>
  </si>
  <si>
    <t>600 Central Avenue, Suite 228, Highland Park, IL 60035</t>
  </si>
  <si>
    <t>5% bene</t>
  </si>
  <si>
    <t>Seiger, Joan M. TRUST</t>
  </si>
  <si>
    <t>1/5th of 1/2</t>
  </si>
  <si>
    <t>Marlan A. Proctor, Jr.</t>
  </si>
  <si>
    <t>proctorlawoffice@aol.com</t>
  </si>
  <si>
    <t>5 Desert Rain, Santa Fe, NM 87506</t>
  </si>
  <si>
    <t>NPCA is 1/15 of 1/2 bene; deceased in 1999 but waited on sister deceased in 2015, not' '20</t>
  </si>
  <si>
    <t>Seneshen, Margaret TRUST</t>
  </si>
  <si>
    <t>1 of 29 resid benes</t>
  </si>
  <si>
    <t>Diane Redding (Kristina Eigohr, Assistant)</t>
  </si>
  <si>
    <t>diana@reddinglaw.com</t>
  </si>
  <si>
    <t>2500 Santa Clara Avenue, Alameda, CA 94501</t>
  </si>
  <si>
    <t>NPA is one of 49 residuary benes, after 10% specific bene and cost of two dogs</t>
  </si>
  <si>
    <t>Slotterback, Grace A.</t>
  </si>
  <si>
    <t>John Urban, Attorney</t>
  </si>
  <si>
    <t>(570) 622-4255</t>
  </si>
  <si>
    <t>aurban@urbanlaw.com</t>
  </si>
  <si>
    <t>474 N. Centre Street, 3rd Floor, Pottsville, PA 17901-0890</t>
  </si>
  <si>
    <t>Smith, Angela TRUST</t>
  </si>
  <si>
    <t>2.95% of residue</t>
  </si>
  <si>
    <t>Cheryl Templeton, Trustee/Mary Caballero (Fiduciary)</t>
  </si>
  <si>
    <t>mcaballero@profidsvcs.com</t>
  </si>
  <si>
    <t>19725 Sherman Way, Suite 140, Winnetka, CA 91306</t>
  </si>
  <si>
    <t>2.94% bene of the residue</t>
  </si>
  <si>
    <t xml:space="preserve">Stanford, Gaye R. </t>
  </si>
  <si>
    <t>Thomas C. Haynes, Esq.</t>
  </si>
  <si>
    <t>(609) 926-9599</t>
  </si>
  <si>
    <t>lawhaynes@comcast. com</t>
  </si>
  <si>
    <t>1230 Shore Road, Linwood NJ 08221</t>
  </si>
  <si>
    <t>Swarzkopf, Constance "Connie" G.</t>
  </si>
  <si>
    <t>Blaine J DeFreitas, Attorney</t>
  </si>
  <si>
    <t>(978) 897-0339</t>
  </si>
  <si>
    <t>Blaine@DeFreitasLaw.com</t>
  </si>
  <si>
    <t>One Pleasant Street, Maynard, MA 07154</t>
  </si>
  <si>
    <t>Thomas, Lowell Jr.</t>
  </si>
  <si>
    <t>approx. $400k</t>
  </si>
  <si>
    <t>Ten Lin Lee Wyatt, Wilk Auslander, LLP</t>
  </si>
  <si>
    <t>twyatt@wilkauslander.com</t>
  </si>
  <si>
    <t>825 Eighth Avenue, Suite 2900, New York, NY 10019</t>
  </si>
  <si>
    <t xml:space="preserve">NPCA is one of 14 charitable beneficiaries and will receive 4.375% of the estate residue. It will be a sizeable estate subject to Federeal estate taxes, so residual distributions will not be able to be made until the IRS complete its review of the estate tax return and certifies that all the taxes have been paid. It is a complex estate, and may take up to two years or more to settle; Lowell Thomas was a former Board member and National Council member, he and his wife Tay Thomas gave NPCA over $1.2 million during their lifetime. </t>
  </si>
  <si>
    <t>Thornton, James</t>
  </si>
  <si>
    <t>partial dist. $40k</t>
  </si>
  <si>
    <t>Wendy Mausolf, Sr. VP/Sr. Corp. Tax Mgr., Northern Trust</t>
  </si>
  <si>
    <t>(312) 630-6072</t>
  </si>
  <si>
    <t>wam1@ntrs.com</t>
  </si>
  <si>
    <t>50 South LaSalle Street, B-8, Chicago, IL 60603</t>
  </si>
  <si>
    <t>Wagner, Mary V.S., CRT</t>
  </si>
  <si>
    <t>Bequest from CRT</t>
  </si>
  <si>
    <t>Karimah Seals, VP, Trust Advisor</t>
  </si>
  <si>
    <t>(214) 890-4323</t>
  </si>
  <si>
    <t>kfseals@comerica.com</t>
  </si>
  <si>
    <t>Comerica Bank, Wealth Management, 8850 Boedekar, MC 6596, Dallas, TTX 75225</t>
  </si>
  <si>
    <t>Wheeler, Rebecca Jane</t>
  </si>
  <si>
    <t>Michael W. Broerman, Attorney</t>
  </si>
  <si>
    <t>(641) 673-8336</t>
  </si>
  <si>
    <t>mbroerman@mahaska.org</t>
  </si>
  <si>
    <t>216 South First Street, Oskaloosa, IA 52577</t>
  </si>
  <si>
    <t>Wilde, Edward Andrew, Jr.</t>
  </si>
  <si>
    <t>Jeff Skerry</t>
  </si>
  <si>
    <t>617-423-5599</t>
  </si>
  <si>
    <t>jeffskerry@hays-skerry.com</t>
  </si>
  <si>
    <t>31 Milk Street, PO Box 96 1920, Boston, MA 02196</t>
  </si>
  <si>
    <t>Wiltse, Richard and Beatrice Living Trust</t>
  </si>
  <si>
    <t>11 % of residual of trust</t>
  </si>
  <si>
    <t>Don Doyle, Attorney</t>
  </si>
  <si>
    <t>(520) 977-9392</t>
  </si>
  <si>
    <t>ddoyle@account4.nett</t>
  </si>
  <si>
    <t>6336 N Oracle Rd., Ste. 326-384, Tucscon, AZ 85704</t>
  </si>
  <si>
    <t>Wilson, John Newhall</t>
  </si>
  <si>
    <t>Samantha Finlayson Day, Esp</t>
  </si>
  <si>
    <t>(505) 843-7303</t>
  </si>
  <si>
    <t>2701 Arizona Street, N.E., Albuqueque, NM 87110</t>
  </si>
  <si>
    <t>Wind, Alicia P.</t>
  </si>
  <si>
    <t>Sean H. Colon</t>
  </si>
  <si>
    <t>sean@colonpaattorney.net</t>
  </si>
  <si>
    <t>PO Box 370, Woodland, CA 95776-0370</t>
  </si>
  <si>
    <t>Witham, Sarah A.</t>
  </si>
  <si>
    <t xml:space="preserve">State retirement acct. </t>
  </si>
  <si>
    <t>Arizona State Retirement System Financial Services</t>
  </si>
  <si>
    <t>(609)240-2000</t>
  </si>
  <si>
    <t>P.O. Box 33910, Phoenix, AZ 85067-3910</t>
  </si>
  <si>
    <t xml:space="preserve">Donor included NPCA as a beneficiary to receive a distribution from her retirement acct with Arizona State. </t>
  </si>
  <si>
    <t>Brokerage/Inherited IRA acct</t>
  </si>
  <si>
    <t>Alexandra Shroufe</t>
  </si>
  <si>
    <t>(928) 773-9000</t>
  </si>
  <si>
    <t>aks@shroufelaw.com</t>
  </si>
  <si>
    <t>Alexandra Shroufe, P.C., 809 West Riordan Road, Suite 201, Flagstaff, AZ 86001</t>
  </si>
  <si>
    <t xml:space="preserve">Donor has included NPCA in her will to receive proceeds from a brokage acct. of stock to be liquidated, and a distribution from an Inherited IRA account. </t>
  </si>
  <si>
    <t>Van Fleet, Christopher TRUST</t>
  </si>
  <si>
    <t>1 of 22 equal benes</t>
  </si>
  <si>
    <t>Tamra Otten</t>
  </si>
  <si>
    <t>tamra@wkdlegal.com</t>
  </si>
  <si>
    <t>130 S Jackson St, Glendale, CA 91205</t>
  </si>
  <si>
    <t>Vinsonhaler, Charles I., III</t>
  </si>
  <si>
    <t>residual dist.</t>
  </si>
  <si>
    <t>Steven F. Sutton, Attorney</t>
  </si>
  <si>
    <t>ssutton@kkc-law.com</t>
  </si>
  <si>
    <t>Kahan Kerensky Capossela, LLP, PO Box 3811, Vernon, CT 06066</t>
  </si>
  <si>
    <t>NPCA receives the lesser of $10k or 1.5% of residuary</t>
  </si>
  <si>
    <t>FY23 Estate Matters</t>
  </si>
  <si>
    <t xml:space="preserve">Bailey, Carol A. </t>
  </si>
  <si>
    <t>John W. Bailey, Executor/Trustee</t>
  </si>
  <si>
    <t>9172 Custar Road, Custar, OH 43511</t>
  </si>
  <si>
    <t>Begansky, Wendy</t>
  </si>
  <si>
    <t>1% of estate</t>
  </si>
  <si>
    <t>Kenneth J. Shea, Anderson, Reynolds &amp; Lynch, PC</t>
  </si>
  <si>
    <t>(860) 767-0882</t>
  </si>
  <si>
    <t>KenShea@arllawyers.com</t>
  </si>
  <si>
    <t>One Liberty Square, Suite 208, New Britain, CT 06051</t>
  </si>
  <si>
    <t xml:space="preserve">NPCA has been named as a bneficiary to receive 1% of the estate; there are 10 other charitable organizations named; Estimated value of soley owned assets, excluding real estate property, is $1MM; As of 11/04/19, a copy of the will has been requested and awaiting attorney's response.  </t>
  </si>
  <si>
    <t xml:space="preserve">Bellows, Ann C. </t>
  </si>
  <si>
    <t>10% of estate and trust</t>
  </si>
  <si>
    <t>Dan Colwell, SVP &amp; Estate Advisory Specialist</t>
  </si>
  <si>
    <t>(561) 362-1052</t>
  </si>
  <si>
    <t>dan.colwell@wellsfargo.com</t>
  </si>
  <si>
    <t>5355 Town Center Rd. 10th fl., Ste. 1002, Boca Raton, FL 33486, (MAC: Z6007-101)</t>
  </si>
  <si>
    <t>Berner, Jean L.</t>
  </si>
  <si>
    <t>David C. Shubel, Esq; Esther Weeks (paralegal)</t>
  </si>
  <si>
    <t xml:space="preserve">(585) 798-0776 or 798- 2250 x 104 </t>
  </si>
  <si>
    <t>esther@wsmelderlaw.com</t>
  </si>
  <si>
    <t>113 West Center Street, Suite 2, PO Box 606, Medina, NY 14103</t>
  </si>
  <si>
    <t xml:space="preserve">Billinghurst, Catharina Louise </t>
  </si>
  <si>
    <t xml:space="preserve">Barbara R. Diehl, Attorney </t>
  </si>
  <si>
    <t>(914) 245-7402</t>
  </si>
  <si>
    <t>barbaradiehllaw@yahoo.com</t>
  </si>
  <si>
    <t>2074 Crompond Road, Yorktown Heights, NY 10598</t>
  </si>
  <si>
    <t>Clark, Skip</t>
  </si>
  <si>
    <t>DAF $5k from friend</t>
  </si>
  <si>
    <t>n/a</t>
  </si>
  <si>
    <t>Skip Coggin (Friend)</t>
  </si>
  <si>
    <t>skipcoggin@gmail.com</t>
  </si>
  <si>
    <t>Friend passed and S. Coggin picked charities for $5k distributions from DAF at Schwab</t>
  </si>
  <si>
    <t>Conrad, Steven L.</t>
  </si>
  <si>
    <t xml:space="preserve">0.61% of 50% of estate </t>
  </si>
  <si>
    <t>Sarah E. Smith, Estate Attorney</t>
  </si>
  <si>
    <t>(203) 789-2511</t>
  </si>
  <si>
    <t>sesmith@ballardlawyers.com</t>
  </si>
  <si>
    <t>2401 NW Sixty-Fifth, P.O. Box 70567, Seattle, WA 98127</t>
  </si>
  <si>
    <t xml:space="preserve">Estate valued at $3,821,141.60, 50% of the total estate is being disbursed across 27 charities by percentages according the donor's discretion. NPCA's share is 0.61% of that 50%. A partial distribution of $1M has been distributed amongst all charities. NPCA received $6,100 on 08/17/2019. Another significant distribution is forthcoming - date and amount TBD. Update as of 04/22/20: NPCA received another partial distribution from the estate in the amount of $2,812.78; executor is still administering the estate, and is unable to provide a final distribution amount and date at this time. </t>
  </si>
  <si>
    <t>Evanoff, Evan</t>
  </si>
  <si>
    <t>Mark Evanoff, Trustee</t>
  </si>
  <si>
    <t>35455 Monterra Cirlce, Union City, CA 94587</t>
  </si>
  <si>
    <t>Fazio, Vic CRUT</t>
  </si>
  <si>
    <t>$500k designation</t>
  </si>
  <si>
    <t>Tameka Gibson, Sr. Associate Trust Officer</t>
  </si>
  <si>
    <t>(702) 839-6318</t>
  </si>
  <si>
    <t>Tameka.Gibson@ampf.com</t>
  </si>
  <si>
    <t>3883 Howard Hughes Parkway, Suite 300, Las Vegas, NV 89169</t>
  </si>
  <si>
    <t>Follis, Clifton Gene</t>
  </si>
  <si>
    <t>Ryan T. Hasbany, Attorney</t>
  </si>
  <si>
    <t>(248) 945-1111</t>
  </si>
  <si>
    <t>24725 W. 12 Mile Road, Suite 110, Southfield, MI 48034</t>
  </si>
  <si>
    <t>Foster, Robert</t>
  </si>
  <si>
    <t>Charles Bombach, Executor</t>
  </si>
  <si>
    <t>(505) 250-7696</t>
  </si>
  <si>
    <t>Goering, Johanna TRUST</t>
  </si>
  <si>
    <t>Craig Johnson, Trustee</t>
  </si>
  <si>
    <t>(402) 339-2906</t>
  </si>
  <si>
    <t>9507 Honey Locust Circle, La Vista, NE 68128</t>
  </si>
  <si>
    <t>Huhnerkoch, Berniece "Bernie" Marie</t>
  </si>
  <si>
    <t>Judith Wilson, Attorney</t>
  </si>
  <si>
    <t>(507) 288-5567</t>
  </si>
  <si>
    <t>judith.wilson@wagnerlaegalmn.com</t>
  </si>
  <si>
    <t>Wagner Oehler, Ltd. 1801 Greenview Dr., SW, Suite 102</t>
  </si>
  <si>
    <t>Hooker, Dorcus J. Living Trust</t>
  </si>
  <si>
    <t>Nicholas Everett</t>
  </si>
  <si>
    <t>neverett@lagerlof.com</t>
  </si>
  <si>
    <t>790 East Colorado Blvd., Suite 300, Pasadena, CA 91101</t>
  </si>
  <si>
    <t xml:space="preserve">   </t>
  </si>
  <si>
    <t>Levitan, Joann</t>
  </si>
  <si>
    <t>John Staniszewski</t>
  </si>
  <si>
    <t>(586) 773-5288</t>
  </si>
  <si>
    <t>jstan@mottstanlaw.com</t>
  </si>
  <si>
    <t xml:space="preserve">23411 Jefferson Avenue, Ste. 105, St. Clair Shores, MI 480 </t>
  </si>
  <si>
    <t>Lystra, Janet P.</t>
  </si>
  <si>
    <t>$5k from CRT</t>
  </si>
  <si>
    <t>Northwell Baptist Foundation</t>
  </si>
  <si>
    <t>PO Box 822712, Vancouver Washington, 98682</t>
  </si>
  <si>
    <t>CRT distribution from Northwell Baptist Foundation</t>
  </si>
  <si>
    <t>Maine, Geraldine E.</t>
  </si>
  <si>
    <t>Daniel Davenport</t>
  </si>
  <si>
    <t>ddavenport@akinslawfirm.com</t>
  </si>
  <si>
    <t>PO Box 923 Blairsville, GA 30514</t>
  </si>
  <si>
    <t>Morton, Sallie TRUST</t>
  </si>
  <si>
    <t>Jennifer F. Scharre, Attorney</t>
  </si>
  <si>
    <t>(408) 998-9500</t>
  </si>
  <si>
    <t>jscharre@tcklawfirm.com</t>
  </si>
  <si>
    <t>Temmerman, Cilley, &amp; Kohlmann LLP, 2502 Stevens Creek Blvd., San Jose, CA 95128</t>
  </si>
  <si>
    <t xml:space="preserve">Ordway, Gilman </t>
  </si>
  <si>
    <t>Jonathan P. Longfield, Private Wealth Mgmt., US Bank</t>
  </si>
  <si>
    <t>(303) 585-4444</t>
  </si>
  <si>
    <t>jonathan.longfield@usbank.com</t>
  </si>
  <si>
    <t>U.S. Bank Center, 101 E Fifth St., Saint Paul, MN 55101</t>
  </si>
  <si>
    <t>Rusch, Jaclyn J.</t>
  </si>
  <si>
    <t>final distribution</t>
  </si>
  <si>
    <t xml:space="preserve">Jessica L. Borland, </t>
  </si>
  <si>
    <t>(408) 286-9800</t>
  </si>
  <si>
    <t>jborland@hopkinscarley.com</t>
  </si>
  <si>
    <t>70 South First Street, San Jose, CA 95113</t>
  </si>
  <si>
    <t>Schieler, Richard P.</t>
  </si>
  <si>
    <t>1.66% residuary</t>
  </si>
  <si>
    <t>Julie F. Gardner</t>
  </si>
  <si>
    <t>jgardner@chuhak.com</t>
  </si>
  <si>
    <t>30 South Wacker Drive, Suite 2600, Chicago, IL 60606</t>
  </si>
  <si>
    <t>1.66% remainder bene</t>
  </si>
  <si>
    <t>Schmidt, Diane M. TRUST</t>
  </si>
  <si>
    <t>Ray Schmidt, Trustee / Suzanne M. Cahalan, Esq.</t>
  </si>
  <si>
    <t>smcahalanlaw@gmail.com</t>
  </si>
  <si>
    <t>909 South Wheaton Avenue, Wheaton, IL 60189</t>
  </si>
  <si>
    <t>Schnell, Constance Joan</t>
  </si>
  <si>
    <t>5% residual of estate</t>
  </si>
  <si>
    <t>Geir Jonsson, Attorney</t>
  </si>
  <si>
    <t>(206) 783-4100</t>
  </si>
  <si>
    <t>Geir@JonssonLaw.com</t>
  </si>
  <si>
    <t>1455 NW Leary Way, Suite 455, Seattle, WA 98107</t>
  </si>
  <si>
    <t>Stone, Michael</t>
  </si>
  <si>
    <t>Heidi Rai Stewart, Estate Attorney</t>
  </si>
  <si>
    <t>(412) 281-5060</t>
  </si>
  <si>
    <t>hstewart@hh-law.com</t>
  </si>
  <si>
    <t>3 Gateway Center - 401 Liberty Ave., 22nd Floor, Pittsburgh, PA 1522-1005</t>
  </si>
  <si>
    <t>Syrko, Kenneth C.</t>
  </si>
  <si>
    <t>Eric Bononi, Attorney</t>
  </si>
  <si>
    <t>724) 832-2499</t>
  </si>
  <si>
    <t>eric@bononilaw.com</t>
  </si>
  <si>
    <t>20 North Pennsylvania Ave., Greenburg, PA 15601</t>
  </si>
  <si>
    <t>Stephenson Living Trust (Marilyn Stephenson)</t>
  </si>
  <si>
    <t>Tom Flory</t>
  </si>
  <si>
    <t>(703) 200-7924</t>
  </si>
  <si>
    <t>319 N. 1st St., Apt. 212, Bridgewater, VA 22812</t>
  </si>
  <si>
    <t>Walker, Mary K.</t>
  </si>
  <si>
    <t>Kyle Brunson, JD, LLM</t>
  </si>
  <si>
    <t>3700 Buffalo Speedway, Suite 1000, Houston, TX 77098</t>
  </si>
  <si>
    <t>NPCA is an equal share remainder bene</t>
  </si>
  <si>
    <t>Widdis, Barbara A.</t>
  </si>
  <si>
    <t>5% life insur. resid</t>
  </si>
  <si>
    <t>Mark L. Feinberg, Executor; Delaware Life Insurance</t>
  </si>
  <si>
    <t>(248) 932-3500</t>
  </si>
  <si>
    <t xml:space="preserve">nosevens@gmail.com; </t>
  </si>
  <si>
    <t>30300 Northwestern Hwy., 3rd fl, Farmington Hills, MI 48334</t>
  </si>
  <si>
    <t xml:space="preserve">NPCA received the resid of CGA in addition to a life insurance dist., valued at $9,551.75 </t>
  </si>
  <si>
    <t xml:space="preserve">Wiggers Badger Legacy Trust </t>
  </si>
  <si>
    <t>Keith Wiggers, Executor</t>
  </si>
  <si>
    <t>(360) 540-3464</t>
  </si>
  <si>
    <t>jkwiggers@gmail.com</t>
  </si>
  <si>
    <t>9033 District Line Road, Burlington, WA 98233</t>
  </si>
  <si>
    <t>Woodill, Alfred</t>
  </si>
  <si>
    <t>Pamela Geller, Executor</t>
  </si>
  <si>
    <t>502 19th Street, Santa Monica, CA 90402</t>
  </si>
  <si>
    <t>lesser $10k or 1.5%</t>
  </si>
  <si>
    <t>FY22 Estate Matters</t>
  </si>
  <si>
    <t>Benning, Merle R. TRUST</t>
  </si>
  <si>
    <t>1/2 % of balance</t>
  </si>
  <si>
    <t>Charles B. Rudolph, Attorney</t>
  </si>
  <si>
    <t>(815) 235-1212</t>
  </si>
  <si>
    <t>pkbrs@plager-law.com</t>
  </si>
  <si>
    <t>Plager, Krug, Bauer, Rudolph &amp; Stodden, LTD; 10 N. Galena Ave., PO Box 839, Freeport, IL 61032</t>
  </si>
  <si>
    <t>Blenninger, John B.</t>
  </si>
  <si>
    <t xml:space="preserve">Gina Rim, estate attorney with McGarry &amp; Simon Law </t>
  </si>
  <si>
    <t>(212) 867-0100</t>
  </si>
  <si>
    <t>wsimon@mcgarrysimon.com</t>
  </si>
  <si>
    <t>2 Grand Central Tower, 140 East 45th St., 44th Floor, New York, NY 10017</t>
  </si>
  <si>
    <t xml:space="preserve">Estate executor, Lalla R. Grimes of McGarry &amp; Simon, is the attorney for the executor; NPCA has requested a revised receipt and release, as the estate would like NPCA  to sign the form stating we have received funding and we have not as of  03/11/2019. UPDATE: 04/22/19 - Sent another request to Gina Rim for an adjustment to the language. Awaiting a response; Update - new receipt and release was received, signed, and returned to estate attorney for further processing. </t>
  </si>
  <si>
    <t>Czechowski, Michael J.</t>
  </si>
  <si>
    <t>2.5% of trust residual</t>
  </si>
  <si>
    <t>Thomas P. Cavanaugh, Attorney</t>
  </si>
  <si>
    <t>(248) 457-7218</t>
  </si>
  <si>
    <t>tps@disinherit-irs.com</t>
  </si>
  <si>
    <t>101 W. Big Beaver Road, 10th Floor, Troy, MI 48084</t>
  </si>
  <si>
    <t>DeBaets, Donna Lee</t>
  </si>
  <si>
    <t>15% of estate</t>
  </si>
  <si>
    <t>Susan E. Barrett, Audrey Gerard</t>
  </si>
  <si>
    <t>(707) 523-0480;(707)321-5100</t>
  </si>
  <si>
    <t>sbarrett@clrob.com</t>
  </si>
  <si>
    <t>829 Sonoma Avenue, Santa Rosa, CA 95404</t>
  </si>
  <si>
    <t xml:space="preserve">Court docs have been filed to appoint Diane Koeing (sister) as administrator of the estate; court date scheduled for May 16, 2019; Waiting on response from attorny regarding estimated distribution date and amount; UPDATE 072419 - NPCA anticipates receipt of  bequest end of Sept. or early Oct. 2019.  </t>
  </si>
  <si>
    <t>Dolberg, Steven P.</t>
  </si>
  <si>
    <t>Chris Siegler, Personal Representative</t>
  </si>
  <si>
    <t>19475 Conifer Drive, Huson, MT 59846</t>
  </si>
  <si>
    <t xml:space="preserve">Dusdall, Arthur </t>
  </si>
  <si>
    <t>Rochell K. Fimmel, Trustee</t>
  </si>
  <si>
    <t xml:space="preserve">13034 N. 98th Drive, Sun City, AZ 85351-3225 </t>
  </si>
  <si>
    <t>Fischer, Nancy B.</t>
  </si>
  <si>
    <t>Inherited IRA approx.</t>
  </si>
  <si>
    <t xml:space="preserve">Olay Phommasene, Operational Services </t>
  </si>
  <si>
    <t>(888) 297-0244</t>
  </si>
  <si>
    <t>Olay.Phommasene@Schwab.com</t>
  </si>
  <si>
    <t>3001 Schwab Way, Westlake, TX 76262</t>
  </si>
  <si>
    <t>Charles Schwab Inherited IRA</t>
  </si>
  <si>
    <t>Fullmer, Sara</t>
  </si>
  <si>
    <t>30% bene</t>
  </si>
  <si>
    <t>Elizabeth Triplett</t>
  </si>
  <si>
    <t>elizabeth.triplett@lumensc.com</t>
  </si>
  <si>
    <t>LUMEN Financial Planning, 1034 Broad Street, Camden, SC 29020</t>
  </si>
  <si>
    <t>30% bene of IRA</t>
  </si>
  <si>
    <t>Honkisz, James</t>
  </si>
  <si>
    <t>Charles Schwab Institutional Service Group</t>
  </si>
  <si>
    <t>P.O. Box 628291, Northbrook, IL 60062</t>
  </si>
  <si>
    <t>Harvey, John H.</t>
  </si>
  <si>
    <t>1/6 bene</t>
  </si>
  <si>
    <t>John H. Harvey</t>
  </si>
  <si>
    <t>165 Thoreau Street, #3, Concord, MA 01742</t>
  </si>
  <si>
    <t>Howett, Evelyn CRT</t>
  </si>
  <si>
    <t>Sharon L. Fisher</t>
  </si>
  <si>
    <t>sharon.fisher@usbank.com</t>
  </si>
  <si>
    <t>425 Walnut St., Cincinnati, OH 45202</t>
  </si>
  <si>
    <t>50% CRT bene</t>
  </si>
  <si>
    <t>Houston, Julia Living Trust</t>
  </si>
  <si>
    <t>Mare Nakisher, Attorney</t>
  </si>
  <si>
    <t>(248) 398-1800</t>
  </si>
  <si>
    <t>Mare@ThinkEstate.com</t>
  </si>
  <si>
    <t>1229 S. Washington Ave., Royal Oak, MI 48067</t>
  </si>
  <si>
    <t>Hull, George R. Trust</t>
  </si>
  <si>
    <t>Paule J. Sulla, attorney; Naomi (assistant)</t>
  </si>
  <si>
    <t>(808) 491-6203</t>
  </si>
  <si>
    <t>psulla@aloha.net</t>
  </si>
  <si>
    <t>106 Kamehameha, Hilo, HI 96720</t>
  </si>
  <si>
    <t>Kahn, Sandra W.</t>
  </si>
  <si>
    <t>$50k or 50% res</t>
  </si>
  <si>
    <t xml:space="preserve">James Higgins - Johnson, Murphy &amp; Johnson, Inc. </t>
  </si>
  <si>
    <t>805-489-4111</t>
  </si>
  <si>
    <t>j@jmjlegal.com</t>
  </si>
  <si>
    <t>PO Box 3, 928 W. Grand Ave., Grover Beach, CA 93433</t>
  </si>
  <si>
    <t xml:space="preserve">$50k outright gift, or 50% of residuary if funds are not available. </t>
  </si>
  <si>
    <t xml:space="preserve">Kano, Adeline K. </t>
  </si>
  <si>
    <t xml:space="preserve">7.5% of estate </t>
  </si>
  <si>
    <t xml:space="preserve">Barb DiPasquale, Advisor, First Nat'l. Bank </t>
  </si>
  <si>
    <t>(970) 494-6306</t>
  </si>
  <si>
    <t>bdipasquale@fnni.com</t>
  </si>
  <si>
    <t>215 West Oak, 4th Fl., PO Box 555, Fort Collins, CO 80522</t>
  </si>
  <si>
    <t xml:space="preserve">NPCA has been named a beneificiary of the estate to receive 7.5 % ; Update - 101819: a follow-up has been made, awaiting response from estate executor. </t>
  </si>
  <si>
    <t>Lawson, Carol Ann</t>
  </si>
  <si>
    <t>4% of trust</t>
  </si>
  <si>
    <t>April C. Ball</t>
  </si>
  <si>
    <t>april.ball@wellsfargo.com</t>
  </si>
  <si>
    <t>April Ball, VP Estate Services, Wealth Mgmt., 420 Montgomery St., 8th Fl., MAC A0101-75, San Francisco, CA 94104</t>
  </si>
  <si>
    <t xml:space="preserve">4% remainder beneficiary of revocable trust; Alternate contact Mario Factor, Trust Associate; Update as of Aug. 14, 2019 - the trust is preparing for a significant partial distribution to beneficiaries within 60-90 days. Anticipated receipt by or before 12/2019. Update as of 11/7/19 - NPCA received a check in the amount of $78,686.02 as a partial distribution from the Carol Lawson Trust. A residual check will be distributed after taxes, expenses, and final accounting of the trust is complete.  </t>
  </si>
  <si>
    <t>Livingston, Colin C. and Beverly Trust</t>
  </si>
  <si>
    <t>Davina C. Chow, Esq.</t>
  </si>
  <si>
    <t>(925) 254-6814</t>
  </si>
  <si>
    <t>dchowesq@aol.com</t>
  </si>
  <si>
    <t>Law Offices of Davina Chow, 92 Davis Rd., Orinda, CA 94563</t>
  </si>
  <si>
    <t>Matyas, Betty (Matyas Family Trust)</t>
  </si>
  <si>
    <t>3.5% resid</t>
  </si>
  <si>
    <t>Wendy Visser</t>
  </si>
  <si>
    <t>P.O. Box 1920, Nipomo, CA 93444</t>
  </si>
  <si>
    <t xml:space="preserve">Amended trust, 3.5% residuary beneficiary to NPCA. Waiting on approval of final accting; a required amount of $50k was withheld by the estate to cover remaining expenses associated with closing the estate. Once the estate is closed, NPCA may receive a residual from the estate.  </t>
  </si>
  <si>
    <t>Munday, Wayne Arthur</t>
  </si>
  <si>
    <t>33.34% of account</t>
  </si>
  <si>
    <t>Maureen Wilkens-Kieren (612) 554-4764</t>
  </si>
  <si>
    <t>(855)422-4965</t>
  </si>
  <si>
    <t>kieren3@msn.com</t>
  </si>
  <si>
    <t>4241 Beard Ave., S, Minneappolis, MN 55420</t>
  </si>
  <si>
    <t xml:space="preserve"> Vanguard contact: Patrick Ryer, (1800) 896-7306 x27266; $226,737 balance as of 8/20/19. NPCA is 33.34% beneficiary. </t>
  </si>
  <si>
    <t>Muzzicato, Anthony J. &amp; Jeanne E. TRUST</t>
  </si>
  <si>
    <t>Kristi S. Gerrior</t>
  </si>
  <si>
    <t>kristi@gerriorlaw.com</t>
  </si>
  <si>
    <t>1901 S. Bascom Avenue, Suite 1240, Campbell, CA 95008</t>
  </si>
  <si>
    <t>Nelson, Regina A. Trust</t>
  </si>
  <si>
    <t>Reynard L. Tanig</t>
  </si>
  <si>
    <t>(312) 753-6132</t>
  </si>
  <si>
    <t>rtanig@harrisonheld.com</t>
  </si>
  <si>
    <t>333 West Wacker Drive, Chicago, IL 60606-1247</t>
  </si>
  <si>
    <t>Niland, Dennis P.</t>
  </si>
  <si>
    <t>Michael F. Armstrong</t>
  </si>
  <si>
    <t>3636 Camino Del Rio North, Suite 180, San Diego, CA 92108</t>
  </si>
  <si>
    <t>Oertel, Richard W.</t>
  </si>
  <si>
    <t xml:space="preserve">3% of residual </t>
  </si>
  <si>
    <t>Geoff Bernhardt, Attorney at Law</t>
  </si>
  <si>
    <t>(503) 548-4000</t>
  </si>
  <si>
    <t>geoff@elderlawpdx.com</t>
  </si>
  <si>
    <t>5603 S. Hood Ave., Portland, OR 97239</t>
  </si>
  <si>
    <t>Owens, Robert J. (IRA)</t>
  </si>
  <si>
    <t>1/3 of IRA accounts</t>
  </si>
  <si>
    <t xml:space="preserve">Michael Kilian, Vanguard Case Manager </t>
  </si>
  <si>
    <t>(800) 379-1727 x27794</t>
  </si>
  <si>
    <t>Vanguard Group, Inc., 100 Vanguard Blvd., Malvern, PA 19355-2331</t>
  </si>
  <si>
    <t>Scott McCasky, Executor/Friend; (817) 320-2453; sm2501@aol.com</t>
  </si>
  <si>
    <t>Pamby, Clifford</t>
  </si>
  <si>
    <t>1/18th residuary</t>
  </si>
  <si>
    <t>(1800) 275-7850</t>
  </si>
  <si>
    <t>tanya.castro@candencebank.com</t>
  </si>
  <si>
    <t>Candence Bank, 2002 Timberloch Pl., Ste. 600, The Woodlands, TX 77380</t>
  </si>
  <si>
    <t>Court to appoint Candence Bank as trustee, after initial trustee (Northen Trust)  declined services; Ruth Lim new contact at Cadence.</t>
  </si>
  <si>
    <t xml:space="preserve">Pasche, Regina B. </t>
  </si>
  <si>
    <t>IRA; longterm</t>
  </si>
  <si>
    <t>Christopher A. Roberts</t>
  </si>
  <si>
    <t>Raffi, Valice J.</t>
  </si>
  <si>
    <t>2% of residual</t>
  </si>
  <si>
    <t>Lisa Raffi, Executor</t>
  </si>
  <si>
    <t>707)758-2448(</t>
  </si>
  <si>
    <t>notarylisa@gmail.com</t>
  </si>
  <si>
    <t>2101 Suitland Drive, Petaluma, CA 94954-3883</t>
  </si>
  <si>
    <t>Raven, Theodora</t>
  </si>
  <si>
    <t>cash dist from trust</t>
  </si>
  <si>
    <t>Daniel J. Monte, Attorney</t>
  </si>
  <si>
    <t>(505) 872-0505</t>
  </si>
  <si>
    <t>dmonte@pbwslaw.com</t>
  </si>
  <si>
    <t>Pregenzer, Baysinger, Wideman, &amp; Sale, PC, 460 St. Michael's Drive, Suite 101, Santa Fe, NM 87505</t>
  </si>
  <si>
    <t>Safford, Naomi Pauline</t>
  </si>
  <si>
    <t>Julie Groves, Esq./ Tom Mourar, Estate Administrator</t>
  </si>
  <si>
    <t>julie@grovesllc.com;mtmourar@yahoo.com</t>
  </si>
  <si>
    <t>Attorney's address - 281 S. Pearl St., Denver, CO 80209</t>
  </si>
  <si>
    <t>Shapiro, Nancy R. CRT</t>
  </si>
  <si>
    <t>1007j98432</t>
  </si>
  <si>
    <t>Lisa Ansty, Director of Charitable Trust Administration</t>
  </si>
  <si>
    <t>(617) 495-4478</t>
  </si>
  <si>
    <t>lisa_ansty@harvard.edu</t>
  </si>
  <si>
    <t>Harvard University, Alumni Affairs &amp; Development, 124 Mt. Auburn Street, Cambridge, MA 02138</t>
  </si>
  <si>
    <t>Schiding, Joan</t>
  </si>
  <si>
    <t>Michelle Goncalves, Paralegal</t>
  </si>
  <si>
    <t>(5068) 751-5010</t>
  </si>
  <si>
    <t>MGoncalves@estatepreservationlaw.com</t>
  </si>
  <si>
    <t xml:space="preserve">Schweitzer, Mary Ann </t>
  </si>
  <si>
    <t>1/5 20% of estate</t>
  </si>
  <si>
    <t>Kenneth Misemer, Attorney</t>
  </si>
  <si>
    <t>727) 848-2593</t>
  </si>
  <si>
    <t>misemerken@gmail.com</t>
  </si>
  <si>
    <t>5645 New Braska Ave., New Port Richey, FL 34652</t>
  </si>
  <si>
    <t>Segal Family Trust</t>
  </si>
  <si>
    <t>1/118 of martial trust; resid</t>
  </si>
  <si>
    <t>Daryl J. Weinroth, Attorney</t>
  </si>
  <si>
    <t>(415)  892-8600</t>
  </si>
  <si>
    <t>daryl@weinroth.com</t>
  </si>
  <si>
    <t>1682 Navato Blvd., Suite 250, Novato, CA 94947-7002</t>
  </si>
  <si>
    <t>Spence, Harry Spence Revocable Trust</t>
  </si>
  <si>
    <t>Wife designates charity</t>
  </si>
  <si>
    <t>Pam Schiller</t>
  </si>
  <si>
    <t>PO Box 1106, Ashland, OR 97520-0037</t>
  </si>
  <si>
    <t>Swanstrom, Eleanor Trust</t>
  </si>
  <si>
    <t>Rita M. Diaz, Attorney, Hahn &amp; Hahn, LLP</t>
  </si>
  <si>
    <t>626-796-9123</t>
  </si>
  <si>
    <t>rdiaz@hahnlawyers.com</t>
  </si>
  <si>
    <t>301 East Colorado Blvd., 9th Floor, Pasadena, CA 91101-1977</t>
  </si>
  <si>
    <t>1% of Schwab account</t>
  </si>
  <si>
    <t>Eric E. Bononi, Attorney</t>
  </si>
  <si>
    <t>20 N. Pennsylvania Avenue, Suite 201, Greensburg, PA 15601</t>
  </si>
  <si>
    <t>Thomas, Richard W.</t>
  </si>
  <si>
    <t>Paul W. Thomas (Son and Trustee)</t>
  </si>
  <si>
    <t>paul.thomas@myfwc.com</t>
  </si>
  <si>
    <t>3108 Forestbrook Drive North, Lakeland, FL 33811</t>
  </si>
  <si>
    <t>Wallace, John C.</t>
  </si>
  <si>
    <t>R. Bruce Williams, Executor</t>
  </si>
  <si>
    <t>(312) 480-9423</t>
  </si>
  <si>
    <t>Bruce@rbrucewilliams.com</t>
  </si>
  <si>
    <t>2515 W. Coyle Avenue, Chicago, IL 60645</t>
  </si>
  <si>
    <t>Williams, Christy A.</t>
  </si>
  <si>
    <t>Ryan Williams, Trustee</t>
  </si>
  <si>
    <t>(712) 339-1495</t>
  </si>
  <si>
    <t>Winter, Katherine S.</t>
  </si>
  <si>
    <t>Edward F. Krazanowski, Esq.</t>
  </si>
  <si>
    <t>(860) 313-5729</t>
  </si>
  <si>
    <t>efkrzanowski@daypitney.com</t>
  </si>
  <si>
    <t>Blue Black Square, 75 Isham Rd., Ste. 300, West Hartford, CT 06107-2237</t>
  </si>
  <si>
    <t>FY21 Estate Matters</t>
  </si>
  <si>
    <t>Althaus, Priscilla</t>
  </si>
  <si>
    <t>Jay Weinheimer</t>
  </si>
  <si>
    <t>jay@jay47.com</t>
  </si>
  <si>
    <t>405 W. Live Oak Street, Fredericksburg, TX 78624</t>
  </si>
  <si>
    <t>$1k specific designation</t>
  </si>
  <si>
    <t>Appel, Wendy</t>
  </si>
  <si>
    <t>Neal Goldstein and Lynared C. Hinoja</t>
  </si>
  <si>
    <t>(310) 8176006 and (310) 473-7000</t>
  </si>
  <si>
    <t>nealmgoldstein@msn.com, bd@hinojosaforer.com</t>
  </si>
  <si>
    <t>Neal Goldstein - 11400 W. Olympic Blvd., Suite 600, Los Angeles, CA 90064, and Lynard Hinoja - 2215 Colby Ave., Los Angeles, CA 90065-1504</t>
  </si>
  <si>
    <t>Please note there are two attorneys handling this estate, Neal Goldstien for co-executor Thea Kerman, and  Lynard Hinoja for Richard Geller, co-executor</t>
  </si>
  <si>
    <t>Baumgardner, Barbara M.</t>
  </si>
  <si>
    <t>Richard J. Passalacqua</t>
  </si>
  <si>
    <t>admin@passalacqualaw.com</t>
  </si>
  <si>
    <t>152 Piper Street, PO Box 903, Healdsburg, CA 95448</t>
  </si>
  <si>
    <t xml:space="preserve">UPDATE 050119 - Check receivid in the amount of $17,000; anticipate a small residual check late 2019. </t>
  </si>
  <si>
    <t>Blumenkamp, Betty TRUST</t>
  </si>
  <si>
    <t xml:space="preserve">5% or 10% of net trust </t>
  </si>
  <si>
    <t>Robin R. Rettke, VP - Senior Fiduciary Officer</t>
  </si>
  <si>
    <t>(920) 727-5215</t>
  </si>
  <si>
    <t>Associated Trust Company, N.A., 100 W. Wisconsin Ave., Neenah, WI 54956</t>
  </si>
  <si>
    <t>Burt, Peter</t>
  </si>
  <si>
    <t>Kurt A. Goering</t>
  </si>
  <si>
    <t>kagoering@gmail.com</t>
  </si>
  <si>
    <t>1118 East Missouri Ave., Suite B1, Phoenix, AZ 85014</t>
  </si>
  <si>
    <t>$50,000 specific bequest to NPCA, 1 of 2 charities included</t>
  </si>
  <si>
    <t>Cargan, Leonard TRUST</t>
  </si>
  <si>
    <t>1/7 bene</t>
  </si>
  <si>
    <t>Tai Schulte</t>
  </si>
  <si>
    <t>tai.schulte@usbank.com</t>
  </si>
  <si>
    <t>425 Walnut Street, 10th Floor, Cincinnati, OH 45202</t>
  </si>
  <si>
    <t>1/7 bene of $1.6MM (valued March 2020)</t>
  </si>
  <si>
    <t>Crutchfield, Nancy B. CRUT</t>
  </si>
  <si>
    <t>0.7% of trust</t>
  </si>
  <si>
    <t>Brendon Shaw, Trust Settlement Officer</t>
  </si>
  <si>
    <t>401) 278-3745</t>
  </si>
  <si>
    <t>brendon.shaw@bofa.com</t>
  </si>
  <si>
    <t>Bank of America, RI1-536-02-07, 100 Westminster Street, Providence, RI 02903-2309</t>
  </si>
  <si>
    <t>0.7% beneficiary of CRUT; approx. $6,900.</t>
  </si>
  <si>
    <t>Dehls, Bette F.</t>
  </si>
  <si>
    <t>Timother M. Struse, Esq.</t>
  </si>
  <si>
    <t>tstruse@tucsontrusts.com</t>
  </si>
  <si>
    <t>6750 North Oracle Road, Tucson, AZ 85704</t>
  </si>
  <si>
    <t>Eger, Marie June</t>
  </si>
  <si>
    <t>5% of estate</t>
  </si>
  <si>
    <t>Caroline M. Bertholf</t>
  </si>
  <si>
    <t>cbertholf@mackenziehughes.com</t>
  </si>
  <si>
    <t>440 S. Warren St., Suite 400, Syracuse NY 13202</t>
  </si>
  <si>
    <t>5% of trust along with other chartiable benes</t>
  </si>
  <si>
    <t>5% of CRAT</t>
  </si>
  <si>
    <t>Fowler, Tana M.</t>
  </si>
  <si>
    <t>Henry J. Geisel, Attoney, Naylor &amp; Geisel, P.C.</t>
  </si>
  <si>
    <t>geisel@ngpueblolaw.com</t>
  </si>
  <si>
    <t>1123 N. Elizabeth Street, Pueblo, CO 81003-2259</t>
  </si>
  <si>
    <t>$5,000 specific bequest</t>
  </si>
  <si>
    <t>Garlinghouse, Barbara (Family Trust)</t>
  </si>
  <si>
    <t>Hal Blanchard</t>
  </si>
  <si>
    <t>halcolo@aol.com</t>
  </si>
  <si>
    <t>400 S. Colorado Blvd, Suite 590, Denver, CO 80246</t>
  </si>
  <si>
    <t>5% residuary bene</t>
  </si>
  <si>
    <t>Hall, Charles Francis Allen Hall, III</t>
  </si>
  <si>
    <t>Yvonne S. Olson, Executor</t>
  </si>
  <si>
    <t>(540) 427-5708</t>
  </si>
  <si>
    <t>203 Saddleback Trail, Hardy, VA 24101</t>
  </si>
  <si>
    <t>Received court notification regarding estate representation; Sent request for copy of will and inventory if available. Awaiting a response from estate executor. Received bequest distribution 9/19/20.</t>
  </si>
  <si>
    <t>Harter, Albert</t>
  </si>
  <si>
    <t>Christine Soska, Vernard Soska Law Offices</t>
  </si>
  <si>
    <t>(614) 855-2292</t>
  </si>
  <si>
    <t>christine@nalawyer.com</t>
  </si>
  <si>
    <t>11230 Johnstown Road, New Albany, OH 43054</t>
  </si>
  <si>
    <t>Hilton, Janet Willoughby</t>
  </si>
  <si>
    <t>$2k</t>
  </si>
  <si>
    <t>John Willoughby, (son of Janet Hilton)</t>
  </si>
  <si>
    <t>(928) 237-8763</t>
  </si>
  <si>
    <t>9201 Maplehurst Trail, Reno, NV 89523</t>
  </si>
  <si>
    <t>Hoffman, William E.</t>
  </si>
  <si>
    <t>1/30th of 85%</t>
  </si>
  <si>
    <t>Cecelia J. Potts</t>
  </si>
  <si>
    <t>PO Box 474, Mt. Orab, OH 45154</t>
  </si>
  <si>
    <t>1 among  30  beneficiaries ("A thru DD") receiving 85% of $633k after atty fees</t>
  </si>
  <si>
    <t>Joyce, Thomas J.</t>
  </si>
  <si>
    <t>5% remainder bene</t>
  </si>
  <si>
    <t>David C. Neumann, Executor; Patrica L. Laubham, Asst.</t>
  </si>
  <si>
    <t>(828) 884-6575</t>
  </si>
  <si>
    <t>plaubham@brevardnclaw.com</t>
  </si>
  <si>
    <t>Park Place West, Suite 102, Brevard, NC 28712</t>
  </si>
  <si>
    <t>Kaub, Shirley Anne</t>
  </si>
  <si>
    <t>2% of trust</t>
  </si>
  <si>
    <t>222 West Washington Ave., Suite 900, PO Box 1784, Madison, WI 53701-1784</t>
  </si>
  <si>
    <t xml:space="preserve">2% of trust approx. $25-$30k; An interim accouting will be sent to all beneficiaries of the Trust, if the trustee makes a partial distribution to the Trust beneficiaries in early 2020. Otherwise a final accounting will be sent out whent the full distributions are made to all beneficiaries after trust tax returns are filed in 2020. </t>
  </si>
  <si>
    <t>Lautner, Edward J.</t>
  </si>
  <si>
    <t>$24,417 deferred annuity</t>
  </si>
  <si>
    <t>Robert B. Cunningham, III, 1st Vice President</t>
  </si>
  <si>
    <t>office@atsaxons.com</t>
  </si>
  <si>
    <t>5393 Pearl Road, Cleveland, OH 44129-1597</t>
  </si>
  <si>
    <t>Tax deferred annuity certificate. Org kept mailing NPCA old address since 2010.</t>
  </si>
  <si>
    <t>Madden, Joyce M. Patrick</t>
  </si>
  <si>
    <t>Laurie A. Hunter</t>
  </si>
  <si>
    <t>lhunter@wadeash.com</t>
  </si>
  <si>
    <t>1/3 residuary beneficiary of trust; sister is trustee; ~$400k total assets</t>
  </si>
  <si>
    <t>Manella, Margaret L.</t>
  </si>
  <si>
    <t>8% of 40%</t>
  </si>
  <si>
    <t>Dennis P. Lager</t>
  </si>
  <si>
    <t>dennis.lager@FaegreBD.com</t>
  </si>
  <si>
    <t>600 East 96th Street, Suite 600, Indianapolis, IN 46240-3789</t>
  </si>
  <si>
    <t>Estate valued ~$2MM. NPCA share is 8% of 40%. (Tstee Charlene England 317-442-0103)</t>
  </si>
  <si>
    <t>Mavrogiannis, Michael</t>
  </si>
  <si>
    <t>TIAA</t>
  </si>
  <si>
    <t>P.O. Box 1028, Charlotte, NC 28201-4835</t>
  </si>
  <si>
    <t>100% bene of Tax Deferred Retirement Annuity // DOB for TIAA: Sept 25, 1922</t>
  </si>
  <si>
    <t>Moser, Nancy J.</t>
  </si>
  <si>
    <t>1/4 real estate</t>
  </si>
  <si>
    <t>Shirley M. Diefenbach</t>
  </si>
  <si>
    <t>SDiefenbach@walkerlambe.com</t>
  </si>
  <si>
    <t>200 Butternut Lane, Suite 100, Clayton, NC 27520</t>
  </si>
  <si>
    <t>NPCA named 25% bene of real estate. There is a tenant. Will says tenant given right to rent property in perpetuity. Atty discussing options with four beneficiaries.</t>
  </si>
  <si>
    <t>Nordenholz, Ilse (in memor of Robert)</t>
  </si>
  <si>
    <t>memorial stock gift</t>
  </si>
  <si>
    <t>Kristen Nordenholz (ROI ID: 4602744)</t>
  </si>
  <si>
    <t>nordenholz.kristen@gmail.com</t>
  </si>
  <si>
    <t>9364 East Atlantic Place, Denver, CO 80231-5739</t>
  </si>
  <si>
    <t>Stock gift from wife Isle, in memory of deceased Robert. Isle passed away, daughter is contact</t>
  </si>
  <si>
    <t>Oertel, Yolanda</t>
  </si>
  <si>
    <t>20% of IRA</t>
  </si>
  <si>
    <t>Christine Potts, Fiduciary</t>
  </si>
  <si>
    <t>(301) 543-38881</t>
  </si>
  <si>
    <t>cpotts@edgemooreinv.com</t>
  </si>
  <si>
    <t>7250 Woodmoore Ave., #315, Bethesda, MD 20814</t>
  </si>
  <si>
    <t>Osborne, Mary Jane</t>
  </si>
  <si>
    <t>3% of CRAT</t>
  </si>
  <si>
    <t>Perenich, Theresa A.</t>
  </si>
  <si>
    <t>Jeff Young, Executor</t>
  </si>
  <si>
    <t>(706) 548-3422</t>
  </si>
  <si>
    <t xml:space="preserve">Jeff.Young@cannonfinancialstrategists.com </t>
  </si>
  <si>
    <t>Cannon Financial Stratestist, Inc., 649-8 S. Milledge Avenue, Athens GA 30605</t>
  </si>
  <si>
    <t>NPCA received bequest check in the amount of $23,181.82; NPCA anticipates receipt of another distribution equal to or slightly lesser value of first distribution received; Update: final bequest distribution received in the amount $53,753.23</t>
  </si>
  <si>
    <t>Robertson, William A.</t>
  </si>
  <si>
    <t>William A. Robertson, Jr., Trustee</t>
  </si>
  <si>
    <t>gotlandforge@verizon.net</t>
  </si>
  <si>
    <t>533 Gregg Ave, Bridgeville, PA 15017-2144</t>
  </si>
  <si>
    <t>CRUT created in 2002</t>
  </si>
  <si>
    <t>Schildbach, Arthur G.</t>
  </si>
  <si>
    <t xml:space="preserve">3% of estate </t>
  </si>
  <si>
    <t>Heather McPherson, Attorney</t>
  </si>
  <si>
    <t xml:space="preserve">hmcpherson@lawmg.com </t>
  </si>
  <si>
    <t>101 W. Ohio Street, Suite 1600, Indianapolis, IN 46204</t>
  </si>
  <si>
    <t xml:space="preserve">NPCA will receive 3% of donors's estate after expenses and administrative cost; home is the greatest asset and is currently valued at $250k; inventory is not available at this time . Heather McPherson will forward copy of will and inventory once it's complete. </t>
  </si>
  <si>
    <t xml:space="preserve">Schmitt, Michael J. </t>
  </si>
  <si>
    <t>Joan K. Parke</t>
  </si>
  <si>
    <t>jparke@bosshardparkelaw.com</t>
  </si>
  <si>
    <t>P.O. Box 966, 750 3rd Street N, Ste. A, La Crosse, WI 54602</t>
  </si>
  <si>
    <t xml:space="preserve">NPCA to receive a distribution from remainder of estate after expenses; approx. estate value $231,293.09. Update 10/28/19: NPCA received a check today in the amount of $212,500 as an initial distribution from the estate. A residual check will be distriburted to all beneficiaries after taxes have been filed beginning of 2020; anticipated residual will be around $10k. </t>
  </si>
  <si>
    <t>Schneider, Joachim R.</t>
  </si>
  <si>
    <t>1/9th of 3%</t>
  </si>
  <si>
    <t>Elizabeth F. Jennings</t>
  </si>
  <si>
    <t>2150 N. 2017th Street, Suite 501, Seattle, WA 98133</t>
  </si>
  <si>
    <t>NPCA is a 1/9 of 3% remainder beneficiary</t>
  </si>
  <si>
    <t>Scudder, Irma TRUST</t>
  </si>
  <si>
    <t>Sylvia Scudder, Trustee</t>
  </si>
  <si>
    <t>sjscudder@bellsouth.net</t>
  </si>
  <si>
    <t>1919 SW 63rd Avenue, Gainesville, FL 32608</t>
  </si>
  <si>
    <t>Daughter is trustee</t>
  </si>
  <si>
    <t>Shafer, Arnold L.</t>
  </si>
  <si>
    <t>Karen Thompson</t>
  </si>
  <si>
    <t>kthompson@pedersenhoupt.com</t>
  </si>
  <si>
    <t>161 North Clark Street, Suite 2700, Chicago, IL 60601-3242</t>
  </si>
  <si>
    <t>NPCA is $10k bene</t>
  </si>
  <si>
    <t>Shinn, Ruth Elizabeth TRUST</t>
  </si>
  <si>
    <t>Sandy Shinn, Trustee</t>
  </si>
  <si>
    <t>511 Kibler Circle, SW, Vienna, VA 22180</t>
  </si>
  <si>
    <t>Snow, Dell S.</t>
  </si>
  <si>
    <t xml:space="preserve">Joanne Allessi, Asst. VP, Morgan Stanley Wealth Mgmt. </t>
  </si>
  <si>
    <t>630) 203-6141</t>
  </si>
  <si>
    <t>Joanne.Allessi@morganstanley.com</t>
  </si>
  <si>
    <t>2211 York Road, Suite 100, Oak Brook, IL 60523</t>
  </si>
  <si>
    <t>Soucek, Gladys R</t>
  </si>
  <si>
    <t>Charles W. Csakai, J.D., Vice President</t>
  </si>
  <si>
    <t>630) 303-5261</t>
  </si>
  <si>
    <t>ccsakai@wintrustwealth.com</t>
  </si>
  <si>
    <t>The Chicago Trust Company, 555 Fort Hill Dr., Napervill, IL 60540</t>
  </si>
  <si>
    <t>$30,000 designation in trust document</t>
  </si>
  <si>
    <t>Stehle, Ann C. TRUST</t>
  </si>
  <si>
    <t>0.05%, appox. $400</t>
  </si>
  <si>
    <t>Barbar R.H. James, Attorney</t>
  </si>
  <si>
    <t>(585) 419-8618</t>
  </si>
  <si>
    <t>Strutze, Alida TRUST</t>
  </si>
  <si>
    <t>Jennifer Rojas, VP and Lisa M. Lalonde, Estate Analyst</t>
  </si>
  <si>
    <t>(561) 61-6644</t>
  </si>
  <si>
    <t>lmlalonde@comerica.com</t>
  </si>
  <si>
    <t>1717 Main Street, Dallas, TX 75201</t>
  </si>
  <si>
    <t>Sperber, Jack</t>
  </si>
  <si>
    <t>Daughter decides?</t>
  </si>
  <si>
    <t>Hilary Sperber (Daughter)</t>
  </si>
  <si>
    <t>hilster06@aol.com</t>
  </si>
  <si>
    <t>22 Abbott Lane, Hicksville NY 11801</t>
  </si>
  <si>
    <t>Daughter says she does not need to probate will and she will decide amount based on assets; $25k received from Hilary Sperber directly</t>
  </si>
  <si>
    <t>Stocksdale, Helen Feneman</t>
  </si>
  <si>
    <t>Thomas M. Jackson, The Jackson Law Groip</t>
  </si>
  <si>
    <t>(276) 728-3737</t>
  </si>
  <si>
    <t>tomjackson@tomjacksonlaw.com</t>
  </si>
  <si>
    <t>227 North Main Street, Hillsville, VA 24343</t>
  </si>
  <si>
    <t>Westervelt, Thomas N. and Janet C.</t>
  </si>
  <si>
    <t>20k specific bene</t>
  </si>
  <si>
    <t>Megan Westervelt</t>
  </si>
  <si>
    <t>meganwestervelt@yahoo.com</t>
  </si>
  <si>
    <t>17644 Bobo Road, Guysville, OH 45735</t>
  </si>
  <si>
    <t>$20k bene; daughter is executor</t>
  </si>
  <si>
    <t>Wheelock, Franklin (memory of Diane W.)</t>
  </si>
  <si>
    <t>Memorial gift</t>
  </si>
  <si>
    <t>Frank Wheelock, Trustee</t>
  </si>
  <si>
    <t>(315) 446-0263</t>
  </si>
  <si>
    <t>fwheelo@verizon.net</t>
  </si>
  <si>
    <t>98 Lynbrook Circle, Syracuse, NY 13214</t>
  </si>
  <si>
    <t>$15k memorial gift from surviving husband in honor of wife Diane</t>
  </si>
  <si>
    <t>$25k specific bene</t>
  </si>
  <si>
    <t xml:space="preserve"> Edward F. Krzanowski, Attorney</t>
  </si>
  <si>
    <t xml:space="preserve">Blue Black Square, 75 Isham Road, Suite 300, West Haven, CT 06107-2237 </t>
  </si>
  <si>
    <t>FY20 Estate Matters</t>
  </si>
  <si>
    <t xml:space="preserve">Aluf, Grace (closed) </t>
  </si>
  <si>
    <t>1/18th bene</t>
  </si>
  <si>
    <t xml:space="preserve">Randall F. Cooper, Copper-Cargill-Chant </t>
  </si>
  <si>
    <t xml:space="preserve">rcooper@coopercargillchant.com </t>
  </si>
  <si>
    <t>2935 White Mt. Hghwy-North Conway, NH 03860</t>
  </si>
  <si>
    <t xml:space="preserve">NPCA to received distribution from trust; distribution amount TBD after sell of properties; as of 06/19/19, estate attorney will be liquidating the remaining real estate in Kingman, AZ Reserving an amount to cover expenses and tax return. Anticipated distribution to beneficiaries, and clsosing of estate to be end of 2019. </t>
  </si>
  <si>
    <t>Armstrong, Patricia A.</t>
  </si>
  <si>
    <t xml:space="preserve">Robert C. Kiggins, Trustee (no phone number or email information available for trustee, only an address). </t>
  </si>
  <si>
    <t>720 Pomolita Way, Ukiah, CA 95482</t>
  </si>
  <si>
    <t xml:space="preserve">NPCA received $16k from estate, awaiting final accounting and copy of willl to determine if this is the final distribution.  UPDATE: ESTATE OVERPAYMENT; received request from Robert Kiggins, to refund the estate due to an error made in the final accounting by Mr. Kiggins. The beneficiaries were overpaid by $2,893.00.         UPDATE: a reimbursement check from NPCA was issued to the Patricia Armstrong Trust due to an overpayment of bequest distribution. </t>
  </si>
  <si>
    <t>Black, Susan Webb</t>
  </si>
  <si>
    <t>R. Lynn Blythe (Paralegal), Tim Ladyman</t>
  </si>
  <si>
    <t>(325) 676-1775</t>
  </si>
  <si>
    <t xml:space="preserve">rlblyth@ladymanlaw.net </t>
  </si>
  <si>
    <t>541 ES 11th St., Ste. 102, Abilene, TX 79602</t>
  </si>
  <si>
    <t xml:space="preserve">Received Donor's Codicil and Application for Independent Administration and Waiver of Notice; requires authorized signature and notary; documentation submitted to Executive office for required signatures; Upadate: Independent Administration and Waiver form was signed and returned to attorney's office;  Update 101719 - the estate executors reported the house is currently on the market for sale, and they need to sell the car as well. These are the final two parts of the estate. Not sure of timeline for distribution at this point, the house was just listed on the market. </t>
  </si>
  <si>
    <t>Brown, Joel M. IRA TRUST</t>
  </si>
  <si>
    <t>Burk, Naomi</t>
  </si>
  <si>
    <t>2% residuary</t>
  </si>
  <si>
    <t> 97975254 </t>
  </si>
  <si>
    <t>Donald Burk, Estate Executor</t>
  </si>
  <si>
    <t>(530) 347-0849</t>
  </si>
  <si>
    <t>donaldmburk@gmail.com</t>
  </si>
  <si>
    <t>19065 Country Hills Drive, Cottonwood, CA 98022</t>
  </si>
  <si>
    <t>Chras, Rodney</t>
  </si>
  <si>
    <t>50% of $980k</t>
  </si>
  <si>
    <t>Joe Holmes</t>
  </si>
  <si>
    <t xml:space="preserve">
holmespa@ziamet.com</t>
  </si>
  <si>
    <t>220 S Water St, Las Cruces, NM 88001</t>
  </si>
  <si>
    <t>Franlkin/Vanguard IRA total value ~$980k on 9/20/19. NPCA 50% bene</t>
  </si>
  <si>
    <t>Halverson, Eileen</t>
  </si>
  <si>
    <t>Terri Nysse</t>
  </si>
  <si>
    <t>terri.nysse@edwardjones.com</t>
  </si>
  <si>
    <t>Edward Jones, 15165 W. National Ave., New Berlin, WI 53151</t>
  </si>
  <si>
    <t>Beneficiary of IRA; additional funds will be disbursed to NPCA from mutual funds sale, $203; NPCA anticipates another tiny residual distribution from the estate, approximately $10, distribution date TBD. Update - no additional distribution will be received. The estate is officially closed as of 08/29/2019.</t>
  </si>
  <si>
    <t>Herron, William E. Trust</t>
  </si>
  <si>
    <t>Gail DeLoach (Trustee)</t>
  </si>
  <si>
    <t>gaildeloach@gmail.com</t>
  </si>
  <si>
    <t>10% CRUT Beneficiary</t>
  </si>
  <si>
    <t xml:space="preserve">Heimkes, John B., Jr. </t>
  </si>
  <si>
    <t>IRA from Trust</t>
  </si>
  <si>
    <t>Edward Jones Financial Investments</t>
  </si>
  <si>
    <t>(1800) 441-2357</t>
  </si>
  <si>
    <t>201 Progress Parkway, Maryland Heights, MO 63043</t>
  </si>
  <si>
    <t xml:space="preserve">NPCA received $10k IRA distribution from trust; restricted gift towards Board Reserve. </t>
  </si>
  <si>
    <t>Jeanie Correa, Neil &amp; Neil Law</t>
  </si>
  <si>
    <t>jeanie.correa@neillaw.com</t>
  </si>
  <si>
    <t>5302 Pacific Ave., Tacoma, WA 98408</t>
  </si>
  <si>
    <t>Kelly, Edna Lee (Revocable Trust)</t>
  </si>
  <si>
    <t>R. James Fisher</t>
  </si>
  <si>
    <t>(707) 584-9200</t>
  </si>
  <si>
    <t>2 Padre Parkway, Suite 300, Rohnert Park, CA 94928</t>
  </si>
  <si>
    <t>Kottler, Rose Anna</t>
  </si>
  <si>
    <t>Chesapeake Bank</t>
  </si>
  <si>
    <t>97 North Main Street Kilmarnock, Virginia 22482</t>
  </si>
  <si>
    <t>Kundratis, Merelice</t>
  </si>
  <si>
    <t>1/18 resid from estate</t>
  </si>
  <si>
    <t>Michelle B. LaPointe</t>
  </si>
  <si>
    <t>lapointe@wadehorowitz.com</t>
  </si>
  <si>
    <t>1309 Beacon Street, 2nd Floor, Brookline, MA 02446</t>
  </si>
  <si>
    <t xml:space="preserve">Bene-IRA; NPCA anticipates receipt of final distribution end of Sept. Update - 10/15/19: Received letter estate regarding final distribution, anticipate receipt by 10/31/19. An additional residual check to be distributed from any escrowed funds that exceed final estate closing costs.  </t>
  </si>
  <si>
    <t>Labedz, Nicholas J.</t>
  </si>
  <si>
    <t>Julie B. Mains</t>
  </si>
  <si>
    <t>julie@mainslawoffice.com</t>
  </si>
  <si>
    <t>2753 Camino Capistrano, Building B, 1st Floor, San Clemente, CA 92672</t>
  </si>
  <si>
    <t>$100k specific bequest</t>
  </si>
  <si>
    <t>Layton, Frank and Lois L.</t>
  </si>
  <si>
    <t>Jacki Camino, AVP&amp; Trust Specialist</t>
  </si>
  <si>
    <t>(307) 672-1498</t>
  </si>
  <si>
    <t>First Interstate Wealth Mgmt.,  16 South Main St., P.O. Box 2007, Sheridan , WY 82801-2007</t>
  </si>
  <si>
    <t>Place, M. Jeanne</t>
  </si>
  <si>
    <t xml:space="preserve">Richard Wickerham </t>
  </si>
  <si>
    <t>(518) 372-5466</t>
  </si>
  <si>
    <t>rdwccb@yahoo.com</t>
  </si>
  <si>
    <t>28 Jay Street, P.O. Box 1167, Schenectady, NY 12301-1167</t>
  </si>
  <si>
    <t>Could possibly receive a small final distribution; awaiting call from attorney to confirm.</t>
  </si>
  <si>
    <t>Philbrook, Ralph A.</t>
  </si>
  <si>
    <t>Vincent Barella, Co-Trustee &amp; Donald Bradley, Co-Trustee</t>
  </si>
  <si>
    <t>(415) 388-8751</t>
  </si>
  <si>
    <t>Vincebarella1@gmail.com</t>
  </si>
  <si>
    <t>269 Ricardo Road, Mill Valley, CA 94941</t>
  </si>
  <si>
    <t xml:space="preserve">Bequest distributions will take place mid to late summer; Update as of 08/14/19 - NPCA received a copy of the first and final accounting report of the trust, and has petitioned the court for it's settlement, along with approval of overall expenses to the trust. NPCA anticipates receipt of $30,054.02A by end of 2019, or shortly thereafter. A hearing is scheduled for 9/3/2019. Possibly a residual disbursement will come in 2020 after taxes are filed. </t>
  </si>
  <si>
    <t>Randles Family (Trust)</t>
  </si>
  <si>
    <t xml:space="preserve">Janet L. Hennig, Hennig, Szeman &amp; Klammer Co. </t>
  </si>
  <si>
    <t>(440) 210-5005; (440) 290-7509</t>
  </si>
  <si>
    <t>jhennig@hsklawyers.com</t>
  </si>
  <si>
    <t>6592 Pear Tree Lane, Mentor, OH 44060</t>
  </si>
  <si>
    <t xml:space="preserve">UPDATE AS OF 03/28/19 - NPCA to receive 769 shares of Alta Properties; final accounting being prepared and distribution should take place soon. The valuation is unknown at this time: estate executor, Janet Hennig,  has informed us we should receive the distribution in form of a check.  </t>
  </si>
  <si>
    <t>Rodormer, Doris</t>
  </si>
  <si>
    <t>$25k</t>
  </si>
  <si>
    <t>$25k now, additional $500k after death of husband</t>
  </si>
  <si>
    <t>Schneider, Carol A.</t>
  </si>
  <si>
    <t>Joe &amp; Paul Schneider</t>
  </si>
  <si>
    <t>1054 NE 103rd Street, Seattle, WA 98125</t>
  </si>
  <si>
    <t>Carol's trust provided primarily for her husband. He passed on April 23rd, so some balance has been gifted to NPCA.</t>
  </si>
  <si>
    <t>Sharp, Arlette Ann</t>
  </si>
  <si>
    <t>1/52 of estate</t>
  </si>
  <si>
    <t>Richard T. Ruth</t>
  </si>
  <si>
    <t>rt@rtruth.net</t>
  </si>
  <si>
    <t>1026 West 26th Street, Erie, PA 16508</t>
  </si>
  <si>
    <t>NPCA will receive 1/2 of 50%, split between 26 other charities.; value of distribution TBD; Update as of April 24, 2019 - NPCA antcipates receipt of $2,539.14</t>
  </si>
  <si>
    <t>Smith, Paul Reynolds</t>
  </si>
  <si>
    <t xml:space="preserve"> 3/28/2019</t>
  </si>
  <si>
    <t>Carrie Woody, Esq., Woody Law Offices, PC</t>
  </si>
  <si>
    <t>carriewoody110@gmail.com</t>
  </si>
  <si>
    <t>110 West Front Stree, Media, PA 19063</t>
  </si>
  <si>
    <t xml:space="preserve">NPCA have been named as a beneficiary to receive $10k from the estate late June or early July;  Received a check in the amount of $10k from the estate 07/17/19. </t>
  </si>
  <si>
    <t>Sprague, Dolores M.</t>
  </si>
  <si>
    <t>Nancy W. Pine</t>
  </si>
  <si>
    <t>inquire@pineandpine.net</t>
  </si>
  <si>
    <t>104 S. Church Street, West Chester, PA 19382</t>
  </si>
  <si>
    <t xml:space="preserve">Awaiting additional information regarding the anticipated amount and date of distribution; Receipt and Release form signed, and returned to estate executor. Anticpated receipt of distribution before 12/31/2019. </t>
  </si>
  <si>
    <t>Stephenson, Marilyn J.</t>
  </si>
  <si>
    <t xml:space="preserve">Michael R. Feranec, VP Advisor, Morgan Stanley Wlth. Mgmt. </t>
  </si>
  <si>
    <t>(410) 494-8090</t>
  </si>
  <si>
    <t xml:space="preserve">michael.feranec@ms.com </t>
  </si>
  <si>
    <t>2330 West Joppa Road, Suite 255</t>
  </si>
  <si>
    <t xml:space="preserve">NPCA to receive distribution from a Trust owned IRA. An additional amount will be sent at a later date at the discretion of the Trustee. </t>
  </si>
  <si>
    <t>Swanson, Dorothy L.</t>
  </si>
  <si>
    <t>Jeffrey H. Marks</t>
  </si>
  <si>
    <t>jhm@jeffmarkslaw.com</t>
  </si>
  <si>
    <t>701 Times Square Building, 45 Exchange Boulevard, Suite 701, Rochester, NY 14614</t>
  </si>
  <si>
    <t>40% residuary bene. Atty is executor. WAH requested copy of will and copy of accounting.</t>
  </si>
  <si>
    <t>Swinney, Charlotte J.</t>
  </si>
  <si>
    <t>Kenneth L. Ross</t>
  </si>
  <si>
    <t>PO Box 699, Hammond, LA 70404</t>
  </si>
  <si>
    <t>NPCA specific bene $7,710.74 court order received verifiying</t>
  </si>
  <si>
    <t>Thompson, Rita-Marie Spaulding</t>
  </si>
  <si>
    <t>LaDonna J. Cody</t>
  </si>
  <si>
    <t>ladonnacody@gskattorneys.com</t>
  </si>
  <si>
    <t>1380 Royal Palm Square Blvd, Fort Myers, FL 33919</t>
  </si>
  <si>
    <t>$5,000 at request of trustee</t>
  </si>
  <si>
    <t>Twomey, Yvonne</t>
  </si>
  <si>
    <t>Von Hofmann, Debra K.</t>
  </si>
  <si>
    <t xml:space="preserve">    </t>
  </si>
  <si>
    <t>Gail Milani</t>
  </si>
  <si>
    <t>gail.milani@equitablebank.net</t>
  </si>
  <si>
    <t>2290 North Mayfair Road, Wauwatosa, WI 53226</t>
  </si>
  <si>
    <t>NPCA was a pay on death beneficiary</t>
  </si>
  <si>
    <t>Walker, Diane T.</t>
  </si>
  <si>
    <t>Ian R. Walker (husband)</t>
  </si>
  <si>
    <t>748 Oceanville Road, Stonington, ME 04681-3028</t>
  </si>
  <si>
    <t>$5k specific bequest among many beneficiaries; check for $5k received 12/09/19. This is the final payment.</t>
  </si>
  <si>
    <t>Zemke, Penny S.</t>
  </si>
  <si>
    <t>Natalie A. Moldovan</t>
  </si>
  <si>
    <t>250 Central Blvd #202, Jupiter, FL 33458</t>
  </si>
  <si>
    <t>10% of estate. 3 Sisters each 25%. Red Cross and another, local charity also included</t>
  </si>
  <si>
    <t>FY19 Estate Matters</t>
  </si>
  <si>
    <t>Avellino, Mona</t>
  </si>
  <si>
    <t>Joan Swaney, Estate Administrator</t>
  </si>
  <si>
    <t>(240) 498-6346</t>
  </si>
  <si>
    <t>j.swaney1108@gmail.com</t>
  </si>
  <si>
    <t>2509 Little Vista Terrace, Olney, MD 20832</t>
  </si>
  <si>
    <t xml:space="preserve">Received bequest distribution 12/22/18. This is the final distribution from the estate. </t>
  </si>
  <si>
    <t>Blau, KerryLynn</t>
  </si>
  <si>
    <t>Colin E. Kelley</t>
  </si>
  <si>
    <t>ckelley@kelleyfarren.com</t>
  </si>
  <si>
    <t>1101 5th Avenue, Suite 160, San Rafael, CA 94901</t>
  </si>
  <si>
    <t>Bown, Linda</t>
  </si>
  <si>
    <t>1 % of estate</t>
  </si>
  <si>
    <t>United States Life Insurance Co. in the City of NY</t>
  </si>
  <si>
    <t>(1800) 445-7862</t>
  </si>
  <si>
    <t>P.O. Box 15570, Armarillo, TX 79105-5570</t>
  </si>
  <si>
    <t xml:space="preserve">Death claimant form completed and mailed; bequest gift received 6/26/19. </t>
  </si>
  <si>
    <t>Christman, Gary J.</t>
  </si>
  <si>
    <t>Residuary</t>
  </si>
  <si>
    <t>William Haywood</t>
  </si>
  <si>
    <t>(931) 270-8669</t>
  </si>
  <si>
    <t>104 Belfast Street, Lewisburg, TN 37091</t>
  </si>
  <si>
    <t xml:space="preserve">Clark, Marion W. </t>
  </si>
  <si>
    <t>Cook, Ernest J.</t>
  </si>
  <si>
    <t>$10k + 1/15 res</t>
  </si>
  <si>
    <t>Dennis S. Voorhees</t>
  </si>
  <si>
    <t>service@idahocounsel.com</t>
  </si>
  <si>
    <t>112 Shoshone Street East, PO Box Z, Twin Falls, ID 83303-0090</t>
  </si>
  <si>
    <t>Complex matter; NPCA added in a way court not yet approved. $10k-$20k hopefully.</t>
  </si>
  <si>
    <t>Fairchild, Bonnie Jean</t>
  </si>
  <si>
    <t>William Hudson</t>
  </si>
  <si>
    <t>bill@williamhudsonattorney.com</t>
  </si>
  <si>
    <t>630 Paseo del Pueblo Sur, #155C, Taos, NM 87511</t>
  </si>
  <si>
    <t>Faletti, Christine</t>
  </si>
  <si>
    <t>Jim Palmisano</t>
  </si>
  <si>
    <t>jpalmo72@gmail.com</t>
  </si>
  <si>
    <t>$8,375.27 from CD</t>
  </si>
  <si>
    <t>Fallon, John</t>
  </si>
  <si>
    <t>Susan A Mielnikowski, Cooley Shrair Law</t>
  </si>
  <si>
    <t>413) 735-8025</t>
  </si>
  <si>
    <t>1380 Main St., Springfield, MA 01103</t>
  </si>
  <si>
    <t>Residual from ongoing  trust; account now closed.</t>
  </si>
  <si>
    <t>Geiss, Anthony</t>
  </si>
  <si>
    <t>Steve Bauman; Kristen Curatolo</t>
  </si>
  <si>
    <t>(212) 906-3471</t>
  </si>
  <si>
    <t>sbauman@sbaumanlaw.com</t>
  </si>
  <si>
    <t>kristen.curatolo@kirkland.com</t>
  </si>
  <si>
    <t xml:space="preserve">Goethe, Charles </t>
  </si>
  <si>
    <t>We sold royalties to Emjayco LP</t>
  </si>
  <si>
    <t>Gramenstetter Marital Trust</t>
  </si>
  <si>
    <t>Jenney, Dorothy Charitable Lead Unitrust</t>
  </si>
  <si>
    <t>David Boit, attorney</t>
  </si>
  <si>
    <t>(617) 523-6531</t>
  </si>
  <si>
    <t>Loring, Wolcott, and Coolidge, 230 Congress St., Boston, MA 02110-2437</t>
  </si>
  <si>
    <t>Johnson, Maxine</t>
  </si>
  <si>
    <t xml:space="preserve">Jard R. Ellis, Attr. to Stephen Oxman </t>
  </si>
  <si>
    <t>(303) 832-1122</t>
  </si>
  <si>
    <t>jellis@jalegal.com</t>
  </si>
  <si>
    <t>600 Grant St., Ste. 505, Denver, CO 80203</t>
  </si>
  <si>
    <t>Stephen Oxman was the personal respresentative for the estate; </t>
  </si>
  <si>
    <t>$20k</t>
  </si>
  <si>
    <t>Specific bequest</t>
  </si>
  <si>
    <t>Paxhia, Marian Elizabeth Piper</t>
  </si>
  <si>
    <t>Elizabeth Holley</t>
  </si>
  <si>
    <t>Spencer, Thomas A.</t>
  </si>
  <si>
    <t>William L. Dismuke</t>
  </si>
  <si>
    <t>2000 E. Lamar Blvd., Suite 500, Arlington, TX 76006</t>
  </si>
  <si>
    <t xml:space="preserve">Distribution from CRUT upon death. </t>
  </si>
  <si>
    <t>Toeppen, David R.</t>
  </si>
  <si>
    <t>5% of 15% bene</t>
  </si>
  <si>
    <t>Bethany R. Prociuk</t>
  </si>
  <si>
    <t>bprociuk@gsb.com</t>
  </si>
  <si>
    <t>800 Waukegan Road, Glenview, IL 60025</t>
  </si>
  <si>
    <t>5% bene of 15% of the trust. David passed in 2011 but wife Rachel passed November '18.</t>
  </si>
  <si>
    <t>Treat, Charles W.</t>
  </si>
  <si>
    <t>Robert W. Kessler</t>
  </si>
  <si>
    <t>rkessler@woodsoviatt.com</t>
  </si>
  <si>
    <t>700 Crossroads Building, 2 State Street, Rochester, NY 14614</t>
  </si>
  <si>
    <t xml:space="preserve">Confirmed with estate attroney Robert Kessler, NPCA was not included in the will of Charles W. Treat. </t>
  </si>
  <si>
    <t>Wauchope, Elizabeth</t>
  </si>
  <si>
    <t>Elizabeth Bainbridge, Executor</t>
  </si>
  <si>
    <t>(504) 473-7985</t>
  </si>
  <si>
    <t>20 Richmond Place, New Orleans, LA 70115</t>
  </si>
  <si>
    <t>Weekley, Elizabeth C.</t>
  </si>
  <si>
    <t>1% residuary</t>
  </si>
  <si>
    <t>Colin N. Gotham</t>
  </si>
  <si>
    <t>cgotham@emlawkc.com</t>
  </si>
  <si>
    <t>7225 Renner Rd., Suite 200, Shawnee, KS 66217</t>
  </si>
  <si>
    <t xml:space="preserve">NPCA received final distribution from the estate in the amount of $1,537.12; The estate held $5,000 in the estate  for 2018 and 2019 tax preparations, and estate expenses. </t>
  </si>
  <si>
    <t>Wood, Beulah C.</t>
  </si>
  <si>
    <t>Mary L. Buckman</t>
  </si>
  <si>
    <t>mbuckman@fordbuckman.com</t>
  </si>
  <si>
    <t>585 Skippack Pike, Suite 100, Blue Bell, PA 19422</t>
  </si>
  <si>
    <t>$10,000 specific bequest among 14 family and friends and 20 charities</t>
  </si>
  <si>
    <t>Zu-Rhein, Gabriele</t>
  </si>
  <si>
    <t xml:space="preserve">Brenda L. Hayko, Paralegal </t>
  </si>
  <si>
    <t>(608) 258-4315, (608) 257-5035</t>
  </si>
  <si>
    <t xml:space="preserve">bhayko@folley.com </t>
  </si>
  <si>
    <t>P.O. Box 1497, 150 East Gilman Street, Suite 1500, Madison, WI 53701-1497</t>
  </si>
  <si>
    <t xml:space="preserve">NPCA received a designated distribution from the trust in the amount of $4,140.06; this is the final distribution. </t>
  </si>
  <si>
    <t>FY18 Estate Matters</t>
  </si>
  <si>
    <t>Anderson, Anne Jones</t>
  </si>
  <si>
    <t>Axelrad, Norma Risa (Estate)</t>
  </si>
  <si>
    <t>Bauer, Doris H.</t>
  </si>
  <si>
    <t xml:space="preserve">John E. Hunt (attorney) </t>
  </si>
  <si>
    <t>johnedwardhunt@johnedwardhunt.com</t>
  </si>
  <si>
    <t>722 Abbott, East Lansing, MI 48823</t>
  </si>
  <si>
    <t xml:space="preserve">Received final accounting from John Hunt; all funds have been distributed, and the estate is closed; no additional distributions will be made. </t>
  </si>
  <si>
    <t>Bingman, Margaret</t>
  </si>
  <si>
    <t>Burke, Kenneth (Estate)</t>
  </si>
  <si>
    <t>Bush, Ashley</t>
  </si>
  <si>
    <t>CA Resources Prod Corp</t>
  </si>
  <si>
    <t>Christ, JR (Remainder)</t>
  </si>
  <si>
    <t>Ciganovic, Renee</t>
  </si>
  <si>
    <t>Daw, Patricia</t>
  </si>
  <si>
    <t>Dyer, Pauline Tomkiel</t>
  </si>
  <si>
    <t>Emjayco LP</t>
  </si>
  <si>
    <t>Furgatch, Harvey</t>
  </si>
  <si>
    <t>Ganley, Joan (Trust)</t>
  </si>
  <si>
    <t>Gleim, Doris</t>
  </si>
  <si>
    <t>Goodwin, Martha</t>
  </si>
  <si>
    <t>Greer Family Trust</t>
  </si>
  <si>
    <t>Griffon, Richard</t>
  </si>
  <si>
    <t>Grillo, James</t>
  </si>
  <si>
    <t>Hauer, James</t>
  </si>
  <si>
    <t>Jenny Hetland, Wells Fargo</t>
  </si>
  <si>
    <t>jenny.hetland@wfadvisors.com</t>
  </si>
  <si>
    <t>8500 Normandale Lake Blvd., Ste. 1710, Bloomington, MN 55437</t>
  </si>
  <si>
    <t>Henson, Jane (Foundation)</t>
  </si>
  <si>
    <t>Hess, Betty S.</t>
  </si>
  <si>
    <t>Johnson, Virginia (Trust)</t>
  </si>
  <si>
    <t>Kimball, Wilfred</t>
  </si>
  <si>
    <t>Kitchell, Jim</t>
  </si>
  <si>
    <t>Klippert, Jean O.</t>
  </si>
  <si>
    <t>Koch, Glade</t>
  </si>
  <si>
    <t>Korinda, Ann Denise</t>
  </si>
  <si>
    <t>Lawrence Korinda</t>
  </si>
  <si>
    <t>karen.korinda@gmail.com</t>
  </si>
  <si>
    <t>Kyle, Jean Edna</t>
  </si>
  <si>
    <t>3% remainder bene</t>
  </si>
  <si>
    <t>Chris Bates</t>
  </si>
  <si>
    <t>chris@hagenlaw.net</t>
  </si>
  <si>
    <t>316 East First Street ,  Aberdeen Washington 98520</t>
  </si>
  <si>
    <t>Lipton, Stanley</t>
  </si>
  <si>
    <t>Meserve, Robert</t>
  </si>
  <si>
    <t>Mills, Harriet (Trust and Estate)</t>
  </si>
  <si>
    <t>Moore, Susan</t>
  </si>
  <si>
    <t>Murdoch, Margaret (Residuary)</t>
  </si>
  <si>
    <t>Newgent, Teresa (Estate)</t>
  </si>
  <si>
    <t>Obuchi, Sono and Eiichi</t>
  </si>
  <si>
    <t>Oniszcuk, Mary E.</t>
  </si>
  <si>
    <t>Ronald G. Cooley</t>
  </si>
  <si>
    <t>rc@cooleylaw.info</t>
  </si>
  <si>
    <t>13810 N. 107th Lane, Sun City, AZ 85351</t>
  </si>
  <si>
    <t>Patterson, Charles W. (Estate)</t>
  </si>
  <si>
    <t>Seeley, Allen &amp; Winnifred</t>
  </si>
  <si>
    <t>Standiford, Betty (Estate)</t>
  </si>
  <si>
    <t>Sturgill, Helga</t>
  </si>
  <si>
    <t>Updegraff, Nancy</t>
  </si>
  <si>
    <t>Wagner, Louis Jr. - Trust</t>
  </si>
  <si>
    <t>Margaret Loftus</t>
  </si>
  <si>
    <t>margaret.loftus@ustrust.com</t>
  </si>
  <si>
    <t>Wreslin, Audrey</t>
  </si>
  <si>
    <t>Wrestin, Audrey</t>
  </si>
  <si>
    <t>FY17 Estate Matters</t>
  </si>
  <si>
    <t>"Prudential"</t>
  </si>
  <si>
    <t>Berger, Robert</t>
  </si>
  <si>
    <t>Berry, Velma</t>
  </si>
  <si>
    <t>Borcherding, Marcella</t>
  </si>
  <si>
    <t>Burns, Selma</t>
  </si>
  <si>
    <t>Chang, Ying-Chien A.</t>
  </si>
  <si>
    <t>Cox, Joan (Trust)</t>
  </si>
  <si>
    <t>Davis Charitable Trust</t>
  </si>
  <si>
    <t>Dempsey Family Living Trust</t>
  </si>
  <si>
    <t>Glasser, Morris (Estate)</t>
  </si>
  <si>
    <t>Hartwig, Helen Joan (Estate)</t>
  </si>
  <si>
    <t>Hermenek, James</t>
  </si>
  <si>
    <t>Herrick, Marjorie</t>
  </si>
  <si>
    <t>Hoffman, Katherine McLane</t>
  </si>
  <si>
    <t>Hollohan, Judith (Trust)</t>
  </si>
  <si>
    <t>Hounsell, Elaine (Trust)</t>
  </si>
  <si>
    <t>Jajuli Administrative Trust</t>
  </si>
  <si>
    <t>Johns, Lillian Brunn</t>
  </si>
  <si>
    <t>Just, Phyllis</t>
  </si>
  <si>
    <t>Kincaid, Dorothy (Estate)</t>
  </si>
  <si>
    <t>Loney, William Robert Ray (Trust)</t>
  </si>
  <si>
    <t>Lowthian, Edwin</t>
  </si>
  <si>
    <t>Maillet, William</t>
  </si>
  <si>
    <t>Munro, Lynn C.</t>
  </si>
  <si>
    <t>O'Rourke, Nancy</t>
  </si>
  <si>
    <t>Schmidt, Mary Bippus</t>
  </si>
  <si>
    <t>Schmidt, Ruth A. (Trust)</t>
  </si>
  <si>
    <t>Schulze, Eric Nolan (Estate)</t>
  </si>
  <si>
    <t>Schwarzer, Rosemary</t>
  </si>
  <si>
    <t>Seyfert, Dorothy</t>
  </si>
  <si>
    <t>Sutton, Jerry</t>
  </si>
  <si>
    <t>Swantz Trust</t>
  </si>
  <si>
    <t>Szekely, Marguerite</t>
  </si>
  <si>
    <t>Wood, Virginia</t>
  </si>
  <si>
    <t>FY16 Estate Matters</t>
  </si>
  <si>
    <t>Blakewell, Betty</t>
  </si>
  <si>
    <t>Boswell, Curtis</t>
  </si>
  <si>
    <t>Corny, Betty</t>
  </si>
  <si>
    <t>Florsheim, Mary</t>
  </si>
  <si>
    <t>Goldstein, Milton</t>
  </si>
  <si>
    <t>Grabo, Cynthia</t>
  </si>
  <si>
    <t>Hill, Barbara White</t>
  </si>
  <si>
    <t>Inskeep, Edward (Estate)</t>
  </si>
  <si>
    <t>Korman, Jeffrey (Trust)</t>
  </si>
  <si>
    <t>Lerch, Carolyn</t>
  </si>
  <si>
    <t>Lowe, Robert</t>
  </si>
  <si>
    <t>McKenzie, Elizabeth (Estate)</t>
  </si>
  <si>
    <t>McWade, Frank (Estate)</t>
  </si>
  <si>
    <t>Minneapolis Foundation</t>
  </si>
  <si>
    <t>Nightingale, Philip &amp; Barbara</t>
  </si>
  <si>
    <t>Pearson, Jeanette (Trust)</t>
  </si>
  <si>
    <t>Pepper, Constance Jean</t>
  </si>
  <si>
    <t>Roberts, Virginia (Estate)</t>
  </si>
  <si>
    <t>Scanlon, David</t>
  </si>
  <si>
    <t>Shott, Margo Ludlow</t>
  </si>
  <si>
    <t>Shoup, Martha</t>
  </si>
  <si>
    <t>Stumpf, Alta</t>
  </si>
  <si>
    <t>TIAA Lina Magruder Berrier</t>
  </si>
  <si>
    <t>FY15 Estate Matters</t>
  </si>
  <si>
    <t>Ahart, Joyce Lee (Eric Larsen)(Estate)</t>
  </si>
  <si>
    <t>Ammon, Mary (Estate)</t>
  </si>
  <si>
    <t>Askman, Beatrice (Charitable Fund)</t>
  </si>
  <si>
    <t>Axe, Charles William (Trust)</t>
  </si>
  <si>
    <t>Baker, Deon</t>
  </si>
  <si>
    <t>Broomas, James Michael</t>
  </si>
  <si>
    <t>Dice, Elizabeth Jane</t>
  </si>
  <si>
    <t>Eichhorn, Ralph</t>
  </si>
  <si>
    <t>Erb, Gwendolyn (Trust)</t>
  </si>
  <si>
    <t>Fidelity Grant Payment</t>
  </si>
  <si>
    <t>Fidelity Payment</t>
  </si>
  <si>
    <t>Finklin, Arnold (Estate)</t>
  </si>
  <si>
    <t>Gottlieb, Irving J.</t>
  </si>
  <si>
    <t>Groff, Jean Edgcumbe (Estate)</t>
  </si>
  <si>
    <t>Johnson, Curtis (Trust)</t>
  </si>
  <si>
    <t>Jordan, Martha "Marti" C. (Estate)</t>
  </si>
  <si>
    <t>Kahrs, Mary V. (Trust)</t>
  </si>
  <si>
    <t>Kauffman, John Michael (Estate)</t>
  </si>
  <si>
    <t>Kennelly Charity Lead Unitrust</t>
  </si>
  <si>
    <t>Long, Lucia</t>
  </si>
  <si>
    <t>McCormack, Betty</t>
  </si>
  <si>
    <t>Patuelli, Dorothy (Estate)</t>
  </si>
  <si>
    <t>Phillips, John Roberts Jr.</t>
  </si>
  <si>
    <t>Putti, Anna Marie (Trust)</t>
  </si>
  <si>
    <t>Reinbold, Carolyn</t>
  </si>
  <si>
    <t>Rosenberg Bequest</t>
  </si>
  <si>
    <t>Rush, Betty</t>
  </si>
  <si>
    <t>Sanger, Randall</t>
  </si>
  <si>
    <t>Shorb, Ronald</t>
  </si>
  <si>
    <t>Simpkins, Nelda (Trust)</t>
  </si>
  <si>
    <t>Stumpf, Herbert</t>
  </si>
  <si>
    <t>Weir, Gerhard J. (Trust)</t>
  </si>
  <si>
    <t>Welke, Margaret</t>
  </si>
  <si>
    <t>Wennersmith, W.</t>
  </si>
  <si>
    <t>Woods, Jean</t>
  </si>
  <si>
    <t>Zia Trust</t>
  </si>
  <si>
    <t>FY14 Estate Matters</t>
  </si>
  <si>
    <t>Alder, Dee Ann</t>
  </si>
  <si>
    <t>Bauman, Stephen</t>
  </si>
  <si>
    <t>Bernath, Gloria</t>
  </si>
  <si>
    <t>Bradshaw, Steele, Cochrane &amp; Berens</t>
  </si>
  <si>
    <t>Campion, Kenneth</t>
  </si>
  <si>
    <t>Clark, Owen T.</t>
  </si>
  <si>
    <t>Dell, Beverly (Trustee)</t>
  </si>
  <si>
    <t>Ferris, Alzada B.</t>
  </si>
  <si>
    <t>Kaspar, Patricia (Trust)</t>
  </si>
  <si>
    <t>Kephart, George (Estate)</t>
  </si>
  <si>
    <t>Kittendorf, Roger</t>
  </si>
  <si>
    <t>Kossuth, Irene (Estate)</t>
  </si>
  <si>
    <t>Lawless, Don Richard (Estate)</t>
  </si>
  <si>
    <t>Medwin Family Trust</t>
  </si>
  <si>
    <t>Douglas, William &amp; Virginia</t>
  </si>
  <si>
    <t>Plumley, Ramona</t>
  </si>
  <si>
    <t>Powell, Patricia Ellis</t>
  </si>
  <si>
    <t>Reynolds, Lee and Vivian (Estate)</t>
  </si>
  <si>
    <t>Stanley, Morgan &amp; Miller, Gerda</t>
  </si>
  <si>
    <t>The Columbus Foundation</t>
  </si>
  <si>
    <t>US Charitable Gift Trust</t>
  </si>
  <si>
    <t>Vintage Productions</t>
  </si>
  <si>
    <t>Walters, Lois</t>
  </si>
  <si>
    <t>FY13 Estate Matters</t>
  </si>
  <si>
    <t>Alber, Elaine</t>
  </si>
  <si>
    <t>Allen, Mary Virginia (Estate)</t>
  </si>
  <si>
    <t>Bane, Mary (Estate)</t>
  </si>
  <si>
    <t>BEQUEST</t>
  </si>
  <si>
    <t>Brown, Thomas O. (Foundation)</t>
  </si>
  <si>
    <t>Busse, Barbara (Estate)</t>
  </si>
  <si>
    <t>Butler, Catherin (Trust)</t>
  </si>
  <si>
    <t>Caines, Grace Elma</t>
  </si>
  <si>
    <t>Case Western Reserve University</t>
  </si>
  <si>
    <t>Christmas, Ercille</t>
  </si>
  <si>
    <t>Claybrook, Cheryl (Trust)</t>
  </si>
  <si>
    <t>Dannebring, Marjorie (Estate)</t>
  </si>
  <si>
    <t>Fellows, Louise (Estate)</t>
  </si>
  <si>
    <t>Fischer, Grace M. (Estate)</t>
  </si>
  <si>
    <t>Fox, Lucile J. (Estate)</t>
  </si>
  <si>
    <t>Gentieu, Elisabeth (Estate)</t>
  </si>
  <si>
    <t>Gibson, Elizabeth (Trust)</t>
  </si>
  <si>
    <t>Gille, Susan V.</t>
  </si>
  <si>
    <t>Gothie, Reese &amp; Doris (Trust)</t>
  </si>
  <si>
    <t>Haugh, Gerald (Estate)</t>
  </si>
  <si>
    <t>Hayes, Patricia (Estate)</t>
  </si>
  <si>
    <t>Heiter, Gerhard D.</t>
  </si>
  <si>
    <t>Ihlenfeld, Violet (Estate)</t>
  </si>
  <si>
    <t>Jacobs, Leona (Trust)</t>
  </si>
  <si>
    <t>Kingston, Allison (Estate)</t>
  </si>
  <si>
    <t>Marshall III, Harry</t>
  </si>
  <si>
    <t>Mayer, Elizabeth (Trust)</t>
  </si>
  <si>
    <t>Pattin, Ellen</t>
  </si>
  <si>
    <t>Penndel, Ellen K. (Estate)</t>
  </si>
  <si>
    <t>Prather, Elizabeth Hunt (Estate)</t>
  </si>
  <si>
    <t>Santic, Eleanor M. (Trust)</t>
  </si>
  <si>
    <t>Schwemm, John B. (Trust)</t>
  </si>
  <si>
    <t>Searle, Faith Ann (Trust)</t>
  </si>
  <si>
    <t>Sperka, Louis &amp; Alice</t>
  </si>
  <si>
    <t>Wightman, Richard James (Estate)</t>
  </si>
  <si>
    <t>Woodger, Norma (Bequest)</t>
  </si>
  <si>
    <t>Woods-Allen, Dana</t>
  </si>
  <si>
    <t>FY12 Estate Matters</t>
  </si>
  <si>
    <t>Annesmith, Amy (Estate)</t>
  </si>
  <si>
    <t>Blair, Roberta (Estate)</t>
  </si>
  <si>
    <t>Bossers, Anna A. (CRUT)</t>
  </si>
  <si>
    <t>Buchman, Wilma A.</t>
  </si>
  <si>
    <t>DEV-BEQUEST</t>
  </si>
  <si>
    <t>Drazy, Mary C. (CRUT)</t>
  </si>
  <si>
    <t>Duff, Martha</t>
  </si>
  <si>
    <t>Engler, Herschel (Estate)</t>
  </si>
  <si>
    <t>Enterprise Trust</t>
  </si>
  <si>
    <t>Erickson, Howard Lee (Trust)</t>
  </si>
  <si>
    <t>Fabfikant, Irene (Trust)</t>
  </si>
  <si>
    <t>Ferguson, Sara M. (CRUT)</t>
  </si>
  <si>
    <t>Gerloff Family Trust</t>
  </si>
  <si>
    <t>Glassing, Patricia J. (Estate)</t>
  </si>
  <si>
    <t>Hathcock, Barbara Bradford</t>
  </si>
  <si>
    <t>Jones, Pearl (Trust)</t>
  </si>
  <si>
    <t>King, Barbara S.</t>
  </si>
  <si>
    <t>Later, Dr. Edward J.</t>
  </si>
  <si>
    <t>Marsh &amp; McClennan Cos Inc</t>
  </si>
  <si>
    <t>Merrill Lynch</t>
  </si>
  <si>
    <t>San Mateo Community College</t>
  </si>
  <si>
    <t>Schreiber, Lynn</t>
  </si>
  <si>
    <t>Schumann, Catherine (Trust)</t>
  </si>
  <si>
    <t>Stubbins, GC (Trust)</t>
  </si>
  <si>
    <t>Tomlinson, Milton</t>
  </si>
  <si>
    <t>Vergara, Midred &amp; Joseph</t>
  </si>
  <si>
    <t>Vorwith, Robert C. (Trust)</t>
  </si>
  <si>
    <t>Weissner, Muriel S. (Trust)</t>
  </si>
  <si>
    <t>Williams, Rosalie J.</t>
  </si>
  <si>
    <t>FY11 Estate Matters</t>
  </si>
  <si>
    <t>America Funds</t>
  </si>
  <si>
    <t>AT&amp;T</t>
  </si>
  <si>
    <t>Blair, M.</t>
  </si>
  <si>
    <t>Brandeis, Martin</t>
  </si>
  <si>
    <t>Bridenstine, Lorna E. (Trust)</t>
  </si>
  <si>
    <t>Butler, Flora</t>
  </si>
  <si>
    <t>CBIZ</t>
  </si>
  <si>
    <t>Durflinger, Kathleen</t>
  </si>
  <si>
    <t>Furrow, Virginia S.</t>
  </si>
  <si>
    <t>Hazel, Roy</t>
  </si>
  <si>
    <t>Hicks, Peggy</t>
  </si>
  <si>
    <t>Horvath (CRAT)</t>
  </si>
  <si>
    <t>Hunnikin, Ellen K.</t>
  </si>
  <si>
    <t>Jacobs, Christine Ellen (Trust)</t>
  </si>
  <si>
    <t>Kirkham, Dorothy M.</t>
  </si>
  <si>
    <t>Klein, Carlyn A. (Estate)</t>
  </si>
  <si>
    <t>Knapple, Richard</t>
  </si>
  <si>
    <t>Lotts, Leonard, W. (Estate)</t>
  </si>
  <si>
    <t>Lueders, Ingeborgf (Trust)</t>
  </si>
  <si>
    <t>Lux, Helen</t>
  </si>
  <si>
    <t>Maury, Suzanne</t>
  </si>
  <si>
    <t>McCann, June V. (Trust)</t>
  </si>
  <si>
    <t>Powell, Barbara</t>
  </si>
  <si>
    <t>Robbins, C.S.</t>
  </si>
  <si>
    <t>Robbins, Eleanor C. (Trust)</t>
  </si>
  <si>
    <t>Schrimpe, Josephine</t>
  </si>
  <si>
    <t>Schwab Operating Account</t>
  </si>
  <si>
    <t>Slotnik, Billie Ray</t>
  </si>
  <si>
    <t>Stewart, Arthur B.</t>
  </si>
  <si>
    <t>Thrivent Financial Bank</t>
  </si>
  <si>
    <t>Winterhalder, Betty</t>
  </si>
  <si>
    <t>Woelfel, Lois A.</t>
  </si>
  <si>
    <t>FY10 Estate Matters</t>
  </si>
  <si>
    <t>Bankers Life Insurance</t>
  </si>
  <si>
    <t>Bingman, Sanford &amp; Karen</t>
  </si>
  <si>
    <t>Butler, Joanne B.</t>
  </si>
  <si>
    <t>Choate, Barbara</t>
  </si>
  <si>
    <t>12/23.2009</t>
  </si>
  <si>
    <t>Custom Direct LLC</t>
  </si>
  <si>
    <t>Dir Appl</t>
  </si>
  <si>
    <t>Fenton, Eleanor S. (Trust)</t>
  </si>
  <si>
    <t>Friberg, Arnold G.</t>
  </si>
  <si>
    <t>Girdler, Barbara</t>
  </si>
  <si>
    <t>Harrison, Lucretia M.</t>
  </si>
  <si>
    <t>IFF Foundation Inc.</t>
  </si>
  <si>
    <t>Millhorn Law Firm LLC</t>
  </si>
  <si>
    <t>Pasternak &amp; Fidis PC</t>
  </si>
  <si>
    <t>Rcl Revenue: Membership to Development</t>
  </si>
  <si>
    <t>Reber, Harry (CRAT)</t>
  </si>
  <si>
    <t>Robert W. Baird &amp; Co. Corporated</t>
  </si>
  <si>
    <t>Schoolcraft, Carlton E. &amp; Virginia</t>
  </si>
  <si>
    <t>Semonian, Roberta</t>
  </si>
  <si>
    <t>Seward, Richard</t>
  </si>
  <si>
    <t>Spengler, Alice L.</t>
  </si>
  <si>
    <t>Stern, Veda</t>
  </si>
  <si>
    <t>Tracy, Evelyn B.</t>
  </si>
  <si>
    <t>Ulrich, Herman &amp; Jean</t>
  </si>
  <si>
    <t>Weems, Betsy Barrell</t>
  </si>
  <si>
    <t>FY09 Estate Matters</t>
  </si>
  <si>
    <t>Babad, Julian M.</t>
  </si>
  <si>
    <t>Bangor Savings Bank</t>
  </si>
  <si>
    <t>Beaver, Kenneth E. (Estate)</t>
  </si>
  <si>
    <t>Bequest-Mather</t>
  </si>
  <si>
    <t>Bowers, Marie (ADA)</t>
  </si>
  <si>
    <t>Cacioppo, Frank A.</t>
  </si>
  <si>
    <t>Celarier, Doris N.</t>
  </si>
  <si>
    <t>Ecl: RDI Royalty-E&amp;C Williams</t>
  </si>
  <si>
    <t>Elliot, William</t>
  </si>
  <si>
    <t>Fee, Dorothea L. (Estate)</t>
  </si>
  <si>
    <t>Fish, Mary Betty (Estate)</t>
  </si>
  <si>
    <t>Hanson, Ethel O. (Trust)</t>
  </si>
  <si>
    <t>Harvey, John (Trust)</t>
  </si>
  <si>
    <t>Hilliker, Erika (Estate)</t>
  </si>
  <si>
    <t>Lukens, Miriam</t>
  </si>
  <si>
    <t>Lumiere Investments</t>
  </si>
  <si>
    <t>Occidental of Elk Hills</t>
  </si>
  <si>
    <t>O'Shaughnessy, Vera M. (Estate)</t>
  </si>
  <si>
    <t>RDI Royalty Distribution</t>
  </si>
  <si>
    <t xml:space="preserve">Rotter, Emanuel N. </t>
  </si>
  <si>
    <t>Royal Distributors, Inc.</t>
  </si>
  <si>
    <t>Sanford, Phil (Trust)</t>
  </si>
  <si>
    <t>Schoefer, Winona M. (Trust)</t>
  </si>
  <si>
    <t>Schoolcraft, Carlton D. (Trust)</t>
  </si>
  <si>
    <t>Searle, Marion</t>
  </si>
  <si>
    <t>Shotluck, James</t>
  </si>
  <si>
    <t>Lay, Elizabeth Stanton (Estate)</t>
  </si>
  <si>
    <t>Stewart, Arthur (Trust)</t>
  </si>
  <si>
    <t>Strucker, Alna H. (Estate)</t>
  </si>
  <si>
    <t>Tauxe, George J.</t>
  </si>
  <si>
    <t>Thomas, Violet E. (Trust)</t>
  </si>
  <si>
    <t>Thornton, George</t>
  </si>
  <si>
    <t>Tyco Intl Ltd/New Com Bermuda</t>
  </si>
  <si>
    <t>Wachovia: METLIFE</t>
  </si>
  <si>
    <t>Williams, Betty M. (Trust)</t>
  </si>
  <si>
    <t>Zimmerman, Ruth (Estate)</t>
  </si>
  <si>
    <t>FY08 Estate Matters</t>
  </si>
  <si>
    <t>Allweiss, Louise F.</t>
  </si>
  <si>
    <t>Ameriprise Certificate Company</t>
  </si>
  <si>
    <t>AXA Equitable</t>
  </si>
  <si>
    <t>Bank of America</t>
  </si>
  <si>
    <t>Baron, Joseph &amp; Sylvia</t>
  </si>
  <si>
    <t>Bearman, Leonard (Estate)</t>
  </si>
  <si>
    <t>Blair, Audrey R. (Estate)</t>
  </si>
  <si>
    <t>Coppinger, Joseph S. (Estate)</t>
  </si>
  <si>
    <t>Cordier, June (Estate)</t>
  </si>
  <si>
    <t>Defandorf, Edward Holmes</t>
  </si>
  <si>
    <t>Domer (Estate)</t>
  </si>
  <si>
    <t>Elling, John M.</t>
  </si>
  <si>
    <t>Gentedell, Josie Von (Estate)</t>
  </si>
  <si>
    <t>Gingerich, Shirley (Estate)</t>
  </si>
  <si>
    <t>Guild, Louise</t>
  </si>
  <si>
    <t>Hill, Marjorie J. (Estate)</t>
  </si>
  <si>
    <t>McCullough, Anita M. (Trust)</t>
  </si>
  <si>
    <t>Mendez, Margaret H.</t>
  </si>
  <si>
    <t>Mikolaizyk, Dorothy (Trust)</t>
  </si>
  <si>
    <t>Moreton, Marion</t>
  </si>
  <si>
    <t>Noe, Mary Ann (Trust)</t>
  </si>
  <si>
    <t>O'Boyle, Johanna (Estate)</t>
  </si>
  <si>
    <t>Palen, Clarence (Trust)</t>
  </si>
  <si>
    <t>Perkins, Thelma Colton</t>
  </si>
  <si>
    <t>Polak, Alys M.</t>
  </si>
  <si>
    <t>Rader, Katherine (Trust)</t>
  </si>
  <si>
    <t>Smith, Jacqueline Conrad (Estate)</t>
  </si>
  <si>
    <t>Thorner, Nancy Lee (Estate)</t>
  </si>
  <si>
    <t>Vesper, Carolyn (Estate)</t>
  </si>
  <si>
    <t>Watson, Aileen (Estate)</t>
  </si>
  <si>
    <t>Willis, Elinore Kennedy</t>
  </si>
  <si>
    <t>Woods, Ida (Estate)</t>
  </si>
  <si>
    <t>FY07 Estate Matters</t>
  </si>
  <si>
    <t>Asche, Elizabeth (Trust)</t>
  </si>
  <si>
    <t>Cadeaux Investments</t>
  </si>
  <si>
    <t>Capper, Ruth (Estate)</t>
  </si>
  <si>
    <t>Carneros Energy</t>
  </si>
  <si>
    <t>Fair, Paul Edward (Trust)</t>
  </si>
  <si>
    <t>Ferguson, Harriet Jeffrey</t>
  </si>
  <si>
    <t>Fimmel, Richard (Estate)</t>
  </si>
  <si>
    <t>Foard, Elizabeth C. (Estate)</t>
  </si>
  <si>
    <t>Gallup, Janet McCarthy</t>
  </si>
  <si>
    <t>Gates, Georgia</t>
  </si>
  <si>
    <t>Geisler, Dorothy</t>
  </si>
  <si>
    <t>Gieger, Teresa (Estate)</t>
  </si>
  <si>
    <t>Giles, Dorothy (Estate)</t>
  </si>
  <si>
    <t>Harken, Jen (Estate)</t>
  </si>
  <si>
    <t>Henley Company</t>
  </si>
  <si>
    <t>Hickman, Ruth (Estate)</t>
  </si>
  <si>
    <t>Hottat, Mildred (Estate)</t>
  </si>
  <si>
    <t>Ilo, Dillon (Estate)</t>
  </si>
  <si>
    <t>Johnson, Judith C.</t>
  </si>
  <si>
    <t>Kathryn, Lewis R.</t>
  </si>
  <si>
    <t>Mershon, Caren (Estate)</t>
  </si>
  <si>
    <t>Mulac, Margaret (Estate)</t>
  </si>
  <si>
    <t>Risser, Jean A. (Estate)</t>
  </si>
  <si>
    <t>Tintera, Judith A. (Estate)</t>
  </si>
  <si>
    <t>Turner, Richard (Estate)</t>
  </si>
  <si>
    <t>White, Anne D.</t>
  </si>
  <si>
    <t>FY06 Estate Matters</t>
  </si>
  <si>
    <t>B., Corinne (Estate)</t>
  </si>
  <si>
    <t>Wright, Julia</t>
  </si>
  <si>
    <t>Cummings, Ruth</t>
  </si>
  <si>
    <t>Wachovia</t>
  </si>
  <si>
    <t>Hill, Anita</t>
  </si>
  <si>
    <t>Osherenko, Joseph</t>
  </si>
  <si>
    <t>McCarthy, Janet</t>
  </si>
  <si>
    <t>Hoenigman, Vincent</t>
  </si>
  <si>
    <t>Levintritt, Frances (Estate)</t>
  </si>
  <si>
    <t>Howell (Estate)</t>
  </si>
  <si>
    <t>Wessels, Pauline (Estate)</t>
  </si>
  <si>
    <t>Schamberg (Estate)</t>
  </si>
  <si>
    <t>Schmitz, Helen (Estate)</t>
  </si>
  <si>
    <t>Gerig, Edith (Estate)</t>
  </si>
  <si>
    <t>Sussex, G&amp;N (Estate)</t>
  </si>
  <si>
    <t>Maxwell, Jean</t>
  </si>
  <si>
    <t>Roti, Nancy (Estate)</t>
  </si>
  <si>
    <t>Oppen, Genevieve L.</t>
  </si>
  <si>
    <t>Tinsley, George</t>
  </si>
  <si>
    <t>Lewis, K. (Estate)</t>
  </si>
  <si>
    <t>Hess, Mary C. (Estate)</t>
  </si>
  <si>
    <t>Palmer, Walter (Estate)</t>
  </si>
  <si>
    <t>McAliley, Phyllis K. (Estate)</t>
  </si>
  <si>
    <t>Vasquez, Catherine Evans (Estate)</t>
  </si>
  <si>
    <t>Knox, Betty (Estate)</t>
  </si>
  <si>
    <t>Chalmers, Virginia (Estate)</t>
  </si>
  <si>
    <t>Strandberg, Jane</t>
  </si>
  <si>
    <t>ROI ID</t>
  </si>
  <si>
    <t>Contract</t>
  </si>
  <si>
    <t>Amount</t>
  </si>
  <si>
    <t>Annuity</t>
  </si>
  <si>
    <t>Est. Date</t>
  </si>
  <si>
    <t>Type</t>
  </si>
  <si>
    <t>Term</t>
  </si>
  <si>
    <t>State</t>
  </si>
  <si>
    <t>Deduction</t>
  </si>
  <si>
    <t>FY-O</t>
  </si>
  <si>
    <t>FY-C</t>
  </si>
  <si>
    <t>First Annuitant</t>
  </si>
  <si>
    <t>DOB F-1</t>
  </si>
  <si>
    <t>DOD F-1</t>
  </si>
  <si>
    <t>Sex-1</t>
  </si>
  <si>
    <t>Second Annuitant</t>
  </si>
  <si>
    <t>DOB F-2</t>
  </si>
  <si>
    <t>DOD F-2</t>
  </si>
  <si>
    <t>Sex-2</t>
  </si>
  <si>
    <t>CGA #</t>
  </si>
  <si>
    <t>FL</t>
  </si>
  <si>
    <t>FY1997</t>
  </si>
  <si>
    <t>Dickerson, William T.</t>
  </si>
  <si>
    <t>M</t>
  </si>
  <si>
    <t>#1</t>
  </si>
  <si>
    <t>Current FY Charitable</t>
  </si>
  <si>
    <t>MA</t>
  </si>
  <si>
    <t>FY1998</t>
  </si>
  <si>
    <t>Warren Jr., Francis W.</t>
  </si>
  <si>
    <t>WA</t>
  </si>
  <si>
    <t>Kittross, John Michael</t>
  </si>
  <si>
    <t>Kittross, Sally S.</t>
  </si>
  <si>
    <t>F</t>
  </si>
  <si>
    <t>OH</t>
  </si>
  <si>
    <t>Axline, Charles</t>
  </si>
  <si>
    <t>FY1999</t>
  </si>
  <si>
    <t>Randles, Joe L.</t>
  </si>
  <si>
    <t>Randles, Alice</t>
  </si>
  <si>
    <t>MO</t>
  </si>
  <si>
    <t>Osborn, Velva Jeanne</t>
  </si>
  <si>
    <t>HI</t>
  </si>
  <si>
    <t>Kraft, Ivor</t>
  </si>
  <si>
    <t>Ruwwe, Celeste A.</t>
  </si>
  <si>
    <t>VA</t>
  </si>
  <si>
    <t>Foster, Peter</t>
  </si>
  <si>
    <t>Foster, Linda</t>
  </si>
  <si>
    <t>MI</t>
  </si>
  <si>
    <t>Thornton, James R.</t>
  </si>
  <si>
    <t>Mausolf, Becky Ann</t>
  </si>
  <si>
    <t>Total Living</t>
  </si>
  <si>
    <t>Thornton, George R.</t>
  </si>
  <si>
    <t>MT</t>
  </si>
  <si>
    <t>Gerloff, Robert K.</t>
  </si>
  <si>
    <t>Gerloff, Rachel P.</t>
  </si>
  <si>
    <t>Total 1 of 2 Term Living</t>
  </si>
  <si>
    <t>CA</t>
  </si>
  <si>
    <t>FY2000</t>
  </si>
  <si>
    <t>MacKenzie, Elizabeth P.</t>
  </si>
  <si>
    <t>Lorenz, Donald N.</t>
  </si>
  <si>
    <t>Total Closed</t>
  </si>
  <si>
    <t>Appleby, Ruth</t>
  </si>
  <si>
    <t>Axline, Gerry</t>
  </si>
  <si>
    <t>Bowers, Ada-Marie</t>
  </si>
  <si>
    <t>AZ</t>
  </si>
  <si>
    <t>Braman, Sally</t>
  </si>
  <si>
    <t>Total CGA Reserve</t>
  </si>
  <si>
    <t xml:space="preserve">CA  </t>
  </si>
  <si>
    <t>Worden, Terry G.</t>
  </si>
  <si>
    <t>CO</t>
  </si>
  <si>
    <t>FY2001</t>
  </si>
  <si>
    <t>Johnson, Darlene T.</t>
  </si>
  <si>
    <t>Multistate Main</t>
  </si>
  <si>
    <t>Morris, Richard G.</t>
  </si>
  <si>
    <t>Sheppe, Walter A.</t>
  </si>
  <si>
    <t>California Reserve</t>
  </si>
  <si>
    <t>Owlett, Stuart R.</t>
  </si>
  <si>
    <t>Owlett, Orchid P.</t>
  </si>
  <si>
    <t>Doyle, Marvyl</t>
  </si>
  <si>
    <t>Herbert, Esther L.</t>
  </si>
  <si>
    <t>Charitable Portions</t>
  </si>
  <si>
    <t>PA</t>
  </si>
  <si>
    <t>Christy, Marcia</t>
  </si>
  <si>
    <t>Garard, Wallace A.</t>
  </si>
  <si>
    <t>Garard, Lela P.</t>
  </si>
  <si>
    <t>Wemmer, Kenneth</t>
  </si>
  <si>
    <t>Wemmer, Muriel</t>
  </si>
  <si>
    <t>NY</t>
  </si>
  <si>
    <t>Benson, Joan</t>
  </si>
  <si>
    <t>Jarrett, Harold M.</t>
  </si>
  <si>
    <t>Jarrett, Evelyn F.</t>
  </si>
  <si>
    <t>Hansen, Arthur H.</t>
  </si>
  <si>
    <t>Hansen, Gerda</t>
  </si>
  <si>
    <t>NE</t>
  </si>
  <si>
    <t>FY2002</t>
  </si>
  <si>
    <t>Godwin, Charles M.</t>
  </si>
  <si>
    <t>Forgey, Elizabeth W.</t>
  </si>
  <si>
    <t>Steele, Fred L.</t>
  </si>
  <si>
    <t>Steele, Ruth B.</t>
  </si>
  <si>
    <t>#2</t>
  </si>
  <si>
    <t>Moore, Charlotte M.</t>
  </si>
  <si>
    <t>Clopine, Robert</t>
  </si>
  <si>
    <t>Clopine, Betsey</t>
  </si>
  <si>
    <t>Armstrong, Orville</t>
  </si>
  <si>
    <t>NJ</t>
  </si>
  <si>
    <t>Cannon, Helen R.</t>
  </si>
  <si>
    <t>Hester, Milda</t>
  </si>
  <si>
    <t>FY2003</t>
  </si>
  <si>
    <t>FY2022</t>
  </si>
  <si>
    <t>Widdis, Barbara Ann</t>
  </si>
  <si>
    <t>Brikates, Karina</t>
  </si>
  <si>
    <t>Bensen, Harriet N.</t>
  </si>
  <si>
    <t>Hale, Robert</t>
  </si>
  <si>
    <t>Hale, Marianne C.</t>
  </si>
  <si>
    <t>KS</t>
  </si>
  <si>
    <t>Cooper, Barbara J.</t>
  </si>
  <si>
    <t>Weiss, Annetta T.</t>
  </si>
  <si>
    <t>Cohen, Lois J.</t>
  </si>
  <si>
    <t>Bitzel, Joseph</t>
  </si>
  <si>
    <t>IN</t>
  </si>
  <si>
    <t>Pringle, Lois</t>
  </si>
  <si>
    <t>5742861*</t>
  </si>
  <si>
    <t>Campbell, Malcolm W.</t>
  </si>
  <si>
    <t>Doyle, Howard J.</t>
  </si>
  <si>
    <t>Mann, Mary Frances</t>
  </si>
  <si>
    <t>27135300*</t>
  </si>
  <si>
    <t>FY2004</t>
  </si>
  <si>
    <t>Van Hook, Harry J.</t>
  </si>
  <si>
    <t>Bisselle, Charles</t>
  </si>
  <si>
    <t xml:space="preserve"> x</t>
  </si>
  <si>
    <t>Simpson, Elizabeth L.</t>
  </si>
  <si>
    <t>Hanahan, Lillian</t>
  </si>
  <si>
    <t>Hanahan, Donald</t>
  </si>
  <si>
    <t>Evans, Richard B.</t>
  </si>
  <si>
    <t>FY2005</t>
  </si>
  <si>
    <t>Bleistein, John R.</t>
  </si>
  <si>
    <t>Bleistein, Dorothy S.</t>
  </si>
  <si>
    <t>IA</t>
  </si>
  <si>
    <t>Neal, Jo Ann</t>
  </si>
  <si>
    <t>y</t>
  </si>
  <si>
    <t>Leeper, Warren S.</t>
  </si>
  <si>
    <t>Leeper, Idalee W.</t>
  </si>
  <si>
    <t>Ringgenberg, Leona</t>
  </si>
  <si>
    <t>Leeper, Adrienne P.</t>
  </si>
  <si>
    <t>Trevethen, Maxine</t>
  </si>
  <si>
    <t>Schnaar, Betty L.</t>
  </si>
  <si>
    <t>Huttinger, Richard C.</t>
  </si>
  <si>
    <t>Huttinger, Eileen L.</t>
  </si>
  <si>
    <t>Trembly, Diane L.</t>
  </si>
  <si>
    <t>TX</t>
  </si>
  <si>
    <t>Myers, Dorothy E.</t>
  </si>
  <si>
    <t>NC</t>
  </si>
  <si>
    <t>Haun, Joseph R.</t>
  </si>
  <si>
    <t>Laing, Laura</t>
  </si>
  <si>
    <t>FY2006</t>
  </si>
  <si>
    <t>Blakewell, Betty J.</t>
  </si>
  <si>
    <t>AK</t>
  </si>
  <si>
    <t>Collins, Florence R.</t>
  </si>
  <si>
    <t>Weismuller, Anna</t>
  </si>
  <si>
    <t>Lanham, Philip</t>
  </si>
  <si>
    <t>MN</t>
  </si>
  <si>
    <t>McCarthy, Ardis E.</t>
  </si>
  <si>
    <t>Ross, Donald G.</t>
  </si>
  <si>
    <t>Baum, Barbara</t>
  </si>
  <si>
    <t>Chifos, Bobbi</t>
  </si>
  <si>
    <t>Fleischner, Warren E.</t>
  </si>
  <si>
    <t>Fleischner, Rose M.</t>
  </si>
  <si>
    <t>Rasmus Jr., Francis H.</t>
  </si>
  <si>
    <t>Mourant, Wanda J.</t>
  </si>
  <si>
    <t>Mourant, Ronald R.</t>
  </si>
  <si>
    <t>FY2007</t>
  </si>
  <si>
    <t>#3</t>
  </si>
  <si>
    <t>Powell, Anne</t>
  </si>
  <si>
    <t>Will, John H.</t>
  </si>
  <si>
    <t>Will, Johanna H.</t>
  </si>
  <si>
    <t>Whelan, Marilyn P.</t>
  </si>
  <si>
    <t>NM</t>
  </si>
  <si>
    <t>Gorsuch, John W.</t>
  </si>
  <si>
    <t>AL</t>
  </si>
  <si>
    <t>Baldwin, Elizabeth H.</t>
  </si>
  <si>
    <t>Lawson, Carol A.</t>
  </si>
  <si>
    <t>RI</t>
  </si>
  <si>
    <t>Cushman, George W.</t>
  </si>
  <si>
    <t>Lanham, Jane</t>
  </si>
  <si>
    <t>FY2008</t>
  </si>
  <si>
    <t>Lundberg, Larry L.</t>
  </si>
  <si>
    <t>Ballinger, Phyllis(DCD)</t>
  </si>
  <si>
    <t>Ballinger, Eugene (DCD)</t>
  </si>
  <si>
    <t>Grace, Barbara</t>
  </si>
  <si>
    <t>Redman, Michael J.</t>
  </si>
  <si>
    <t>Redman, Laila Z.</t>
  </si>
  <si>
    <t>Russell, John Mosby</t>
  </si>
  <si>
    <t>Keiger, Joseph T.</t>
  </si>
  <si>
    <t>Lees, June</t>
  </si>
  <si>
    <t>DE</t>
  </si>
  <si>
    <t>Brownell, Leona W.</t>
  </si>
  <si>
    <t>Nye, William R.</t>
  </si>
  <si>
    <t>Hibbard, Gloria A.</t>
  </si>
  <si>
    <t>Went, Muriel E.</t>
  </si>
  <si>
    <t>Reinking, Donald L.</t>
  </si>
  <si>
    <t>Buchholz, Rogene A.</t>
  </si>
  <si>
    <t>Gallagher, John S.</t>
  </si>
  <si>
    <t>FY2009</t>
  </si>
  <si>
    <t>Skutt, Inamae</t>
  </si>
  <si>
    <t>Morgan, Marilyn</t>
  </si>
  <si>
    <t>Glasser, Robert L.</t>
  </si>
  <si>
    <t>Glasser, Marie</t>
  </si>
  <si>
    <t>Stampes, Bennett H.</t>
  </si>
  <si>
    <t>Stampes, Shirley S.</t>
  </si>
  <si>
    <t>Mack, Lawrence R.</t>
  </si>
  <si>
    <t>Mack, Helen J.</t>
  </si>
  <si>
    <t xml:space="preserve">FY16 </t>
  </si>
  <si>
    <t>Rhodes, George T.</t>
  </si>
  <si>
    <t>Ernst, Joan K.</t>
  </si>
  <si>
    <t>Kirchner, Grace</t>
  </si>
  <si>
    <t>CT</t>
  </si>
  <si>
    <t>FY2010</t>
  </si>
  <si>
    <t xml:space="preserve"> Briel, Elfreide</t>
  </si>
  <si>
    <t xml:space="preserve"> Wemmer, Kenneth</t>
  </si>
  <si>
    <t>#4</t>
  </si>
  <si>
    <t>Tenedine, Joan M.</t>
  </si>
  <si>
    <t>Parsons, Joan</t>
  </si>
  <si>
    <t>See Director of GP</t>
  </si>
  <si>
    <t>Mackey, Laurie</t>
  </si>
  <si>
    <t>Cargan, Leonard</t>
  </si>
  <si>
    <t>Abbott, Danielle</t>
  </si>
  <si>
    <t>Mattingly, Lynn D.</t>
  </si>
  <si>
    <t>Mattingly, Thomas U.</t>
  </si>
  <si>
    <t>FY2011</t>
  </si>
  <si>
    <t>Barnes, Ward</t>
  </si>
  <si>
    <t>VT</t>
  </si>
  <si>
    <t>Wilfong, Cheryl</t>
  </si>
  <si>
    <t>McKim, William</t>
  </si>
  <si>
    <t>Eckert, Eva H.</t>
  </si>
  <si>
    <t>Baker, Dorothy</t>
  </si>
  <si>
    <t>Swanson, John A.</t>
  </si>
  <si>
    <t>Swanson, Janet L.</t>
  </si>
  <si>
    <t>Heid, Walter G.</t>
  </si>
  <si>
    <t>Heid, Barbara A.</t>
  </si>
  <si>
    <t>Falk, Janet</t>
  </si>
  <si>
    <t>Baden, David</t>
  </si>
  <si>
    <t>WV</t>
  </si>
  <si>
    <t>Latterell, Richard L.</t>
  </si>
  <si>
    <t>Daniels, Arthur</t>
  </si>
  <si>
    <t>Daniels, Barbara</t>
  </si>
  <si>
    <t>FT18</t>
  </si>
  <si>
    <t>Cleveland, Davenport</t>
  </si>
  <si>
    <t>Cleveland, Gladys</t>
  </si>
  <si>
    <t>Huppert, Steve</t>
  </si>
  <si>
    <t>WI</t>
  </si>
  <si>
    <t>Schneider, Joyce W.</t>
  </si>
  <si>
    <t>Leu, H.R.</t>
  </si>
  <si>
    <t>Morrow, Mary A.</t>
  </si>
  <si>
    <t>Schneider, Hilda</t>
  </si>
  <si>
    <t>Downing, Robert</t>
  </si>
  <si>
    <t>Gelfand, Donald E.</t>
  </si>
  <si>
    <t>Messenger, Katharine</t>
  </si>
  <si>
    <t>FY2012</t>
  </si>
  <si>
    <t>Hewlett, Roger G.</t>
  </si>
  <si>
    <t>Bone, Carol</t>
  </si>
  <si>
    <t>Brandt, Wayne A.</t>
  </si>
  <si>
    <t>Wilde Jr., E. Andrew</t>
  </si>
  <si>
    <t>Gintell, John W.</t>
  </si>
  <si>
    <t>Coren, Robert S.</t>
  </si>
  <si>
    <t>DeWoody, Charles T.</t>
  </si>
  <si>
    <t>ID</t>
  </si>
  <si>
    <t>Davis, Genevra</t>
  </si>
  <si>
    <t>#5</t>
  </si>
  <si>
    <t xml:space="preserve">VA </t>
  </si>
  <si>
    <t>Hahn, Cora</t>
  </si>
  <si>
    <t>FY2013</t>
  </si>
  <si>
    <t>Felser, Marjorie</t>
  </si>
  <si>
    <t>Anderson, Kathleen N.</t>
  </si>
  <si>
    <t>Anderson, Lawrence S.</t>
  </si>
  <si>
    <t>OR</t>
  </si>
  <si>
    <t>Northrop, Robert H.</t>
  </si>
  <si>
    <t>Northrop, Keena S.</t>
  </si>
  <si>
    <t>Grover, Martin V.</t>
  </si>
  <si>
    <t>Wayrick, Isobel</t>
  </si>
  <si>
    <t>Peters, Bonnie D.</t>
  </si>
  <si>
    <t>Brown, Maggi Butterfield</t>
  </si>
  <si>
    <t>FY2014</t>
  </si>
  <si>
    <t>Smith, Virginia B.</t>
  </si>
  <si>
    <t>I</t>
  </si>
  <si>
    <t>Halpin, Natalie P.</t>
  </si>
  <si>
    <t>Albrecht, Dennis P.</t>
  </si>
  <si>
    <t>Vasquez, Jane C. Atkins</t>
  </si>
  <si>
    <t>#6</t>
  </si>
  <si>
    <t>IL</t>
  </si>
  <si>
    <t xml:space="preserve">Lowry, Ann F. </t>
  </si>
  <si>
    <t>Baden, David J.</t>
  </si>
  <si>
    <t>D</t>
  </si>
  <si>
    <t xml:space="preserve">Fox, Stephen D. </t>
  </si>
  <si>
    <t>DC</t>
  </si>
  <si>
    <t xml:space="preserve">Douglas, Carol A. </t>
  </si>
  <si>
    <t>Lootens, Tricia</t>
  </si>
  <si>
    <t>Wetzel, Fred C.</t>
  </si>
  <si>
    <t>Wetzel, Martha M.</t>
  </si>
  <si>
    <t>Hespenheide, John Erich</t>
  </si>
  <si>
    <t xml:space="preserve">Hespenheide, Barbara W. </t>
  </si>
  <si>
    <t xml:space="preserve">Schriefer, Theodore W. </t>
  </si>
  <si>
    <t>Avery, Richard D</t>
  </si>
  <si>
    <t xml:space="preserve">Avery, Linda S. </t>
  </si>
  <si>
    <t>Vurture, Marion</t>
  </si>
  <si>
    <t>FY2015</t>
  </si>
  <si>
    <t xml:space="preserve">Leu, H. R. </t>
  </si>
  <si>
    <t xml:space="preserve">Washburn, Patricia M. </t>
  </si>
  <si>
    <t xml:space="preserve">Hoover, Edna M. </t>
  </si>
  <si>
    <t>West, Joy R.</t>
  </si>
  <si>
    <t>Rossmiller, Helen</t>
  </si>
  <si>
    <t xml:space="preserve">Bergen, Lee D. </t>
  </si>
  <si>
    <t xml:space="preserve">Russell, John Mosby </t>
  </si>
  <si>
    <t>#7</t>
  </si>
  <si>
    <t>Quinn, Carolyn</t>
  </si>
  <si>
    <t>Warren, James  H.</t>
  </si>
  <si>
    <t xml:space="preserve">Diethelm, Johann P. </t>
  </si>
  <si>
    <t>Johnson, Harlan R.</t>
  </si>
  <si>
    <t>Ridolf, William R.</t>
  </si>
  <si>
    <t xml:space="preserve">Mourant, Ronald R. </t>
  </si>
  <si>
    <t>Healy, Thomas</t>
  </si>
  <si>
    <t>Carter, Barbara A.</t>
  </si>
  <si>
    <t>FY2016</t>
  </si>
  <si>
    <t xml:space="preserve">Kaptain,  David  </t>
  </si>
  <si>
    <t>Kaptain, Sandra</t>
  </si>
  <si>
    <t>Wightman, George</t>
  </si>
  <si>
    <t>Wightman, Cheryl</t>
  </si>
  <si>
    <t xml:space="preserve">Steltzer,Jr.,  Wilbur N. </t>
  </si>
  <si>
    <t>Biehl, Edward</t>
  </si>
  <si>
    <t>Biehl, Julianne</t>
  </si>
  <si>
    <t>Weber, BettyRuth</t>
  </si>
  <si>
    <t>Lapella, Adrienne</t>
  </si>
  <si>
    <t>9493479</t>
  </si>
  <si>
    <t>258</t>
  </si>
  <si>
    <t>11/13/2015</t>
  </si>
  <si>
    <t>Ulmer, Fran</t>
  </si>
  <si>
    <t>Kessel, Barbara</t>
  </si>
  <si>
    <t>Thuebel, Joan M.</t>
  </si>
  <si>
    <t>Magee, Sara S.</t>
  </si>
  <si>
    <t>ME</t>
  </si>
  <si>
    <t xml:space="preserve">Kelley, Blanche E. </t>
  </si>
  <si>
    <t xml:space="preserve">Fuhr, Donald C. </t>
  </si>
  <si>
    <t>Fuhr, Margaret</t>
  </si>
  <si>
    <t>FY2017</t>
  </si>
  <si>
    <t xml:space="preserve">Rubin, Charlotte A. </t>
  </si>
  <si>
    <t>Lobban, Sarah E.</t>
  </si>
  <si>
    <t xml:space="preserve">Zachary, Donald L. </t>
  </si>
  <si>
    <t xml:space="preserve">Shertzer, Nancy A. </t>
  </si>
  <si>
    <t xml:space="preserve">Shertzer, Richard H. </t>
  </si>
  <si>
    <t>Wright, Donald E.</t>
  </si>
  <si>
    <t>Smith, Abby</t>
  </si>
  <si>
    <t>Hudson-Taylor, Diana E.</t>
  </si>
  <si>
    <t>Hudson-Taylor, Norman</t>
  </si>
  <si>
    <t>Armeling, Ethel J.</t>
  </si>
  <si>
    <t xml:space="preserve">Angus, Kathleen J.  </t>
  </si>
  <si>
    <t>Angus, Robert A.</t>
  </si>
  <si>
    <t>#8</t>
  </si>
  <si>
    <t>Farwell, Peter</t>
  </si>
  <si>
    <t>Leu, H. Robert</t>
  </si>
  <si>
    <t>Kowalczyk, Eleanor M.</t>
  </si>
  <si>
    <t>Smolinsky, Gerald</t>
  </si>
  <si>
    <t>Kuennecke, Barbara J.</t>
  </si>
  <si>
    <t>FY2018</t>
  </si>
  <si>
    <t xml:space="preserve">Bornstein, Harold D., Jr., MD </t>
  </si>
  <si>
    <t>Mary Jane Voogt</t>
  </si>
  <si>
    <t>Armoni, Elke</t>
  </si>
  <si>
    <t>35047901</t>
  </si>
  <si>
    <t>301</t>
  </si>
  <si>
    <t>Lieberknectht, John W.</t>
  </si>
  <si>
    <t>Lieberknecht, Terry Ann</t>
  </si>
  <si>
    <t>10/16/1949</t>
  </si>
  <si>
    <t>GA</t>
  </si>
  <si>
    <t>Babu, Sylvia</t>
  </si>
  <si>
    <t>32577702</t>
  </si>
  <si>
    <t>302</t>
  </si>
  <si>
    <t>Bergen, Lee</t>
  </si>
  <si>
    <t xml:space="preserve">Bergen, Catherine P. </t>
  </si>
  <si>
    <t>8/18/1934</t>
  </si>
  <si>
    <t>93434462</t>
  </si>
  <si>
    <t>303</t>
  </si>
  <si>
    <t>Eustace, Jennifer Wendy</t>
  </si>
  <si>
    <t>39528427</t>
  </si>
  <si>
    <t>304</t>
  </si>
  <si>
    <t>Lajoie, Lawrence V., III</t>
  </si>
  <si>
    <t>Lajoie, Barbara P.</t>
  </si>
  <si>
    <t>12/09/1951</t>
  </si>
  <si>
    <t>Castaneda-Mendez, Kicab</t>
  </si>
  <si>
    <t xml:space="preserve">Sclafani, Robert C., Jr. </t>
  </si>
  <si>
    <t xml:space="preserve">McGee, James E. </t>
  </si>
  <si>
    <t>TN</t>
  </si>
  <si>
    <t xml:space="preserve">Keane, Doris R. </t>
  </si>
  <si>
    <t>Schaffran, Christine</t>
  </si>
  <si>
    <t>Bouton, Agners</t>
  </si>
  <si>
    <t>FY2019</t>
  </si>
  <si>
    <t>Garbreski, Robert G.</t>
  </si>
  <si>
    <t>SD</t>
  </si>
  <si>
    <t>Ihnen, Delores</t>
  </si>
  <si>
    <t>Kreipke, Wilma B. Lacy</t>
  </si>
  <si>
    <t xml:space="preserve">May, Gregory S. </t>
  </si>
  <si>
    <t>May, Pamela A.</t>
  </si>
  <si>
    <t xml:space="preserve">Swanson, John A. </t>
  </si>
  <si>
    <t>Theresa Rae Townley</t>
  </si>
  <si>
    <t>Timothy James Burton</t>
  </si>
  <si>
    <t xml:space="preserve">Coren, Robert S. </t>
  </si>
  <si>
    <t>MS</t>
  </si>
  <si>
    <t xml:space="preserve">Parker, William S. </t>
  </si>
  <si>
    <t>Sass, Jerry</t>
  </si>
  <si>
    <t>FY2020</t>
  </si>
  <si>
    <t>Roth, Terry</t>
  </si>
  <si>
    <t>Null, Rose Marie</t>
  </si>
  <si>
    <t>Snyder, Ivan</t>
  </si>
  <si>
    <t>Snyder, Hannah P.</t>
  </si>
  <si>
    <t>Martin, Grover</t>
  </si>
  <si>
    <t xml:space="preserve">Powell, Anne </t>
  </si>
  <si>
    <t>Sclafani, Robert</t>
  </si>
  <si>
    <t>Rock, David F.</t>
  </si>
  <si>
    <t>Riddick, Johanne</t>
  </si>
  <si>
    <t>FY2021</t>
  </si>
  <si>
    <t>Lanham, Lawrence (beneficiary)</t>
  </si>
  <si>
    <t>Jane Lanham (donor)</t>
  </si>
  <si>
    <t>Reddout, Morris J.</t>
  </si>
  <si>
    <t>Fleenor, David</t>
  </si>
  <si>
    <t>SC</t>
  </si>
  <si>
    <t>Glassman, Jerome</t>
  </si>
  <si>
    <t>Sampson, Barbara</t>
  </si>
  <si>
    <t>Parry, William B.K.</t>
  </si>
  <si>
    <t>Parry, Janice M.</t>
  </si>
  <si>
    <t xml:space="preserve">Russell, John M. </t>
  </si>
  <si>
    <t>#9</t>
  </si>
  <si>
    <t>Middlecamp, Catherine H.</t>
  </si>
  <si>
    <t>Middlecamp, Ralph</t>
  </si>
  <si>
    <t>Quinn, Delfa J.</t>
  </si>
  <si>
    <t xml:space="preserve">Rossmiller, Helen V. </t>
  </si>
  <si>
    <t>Frost, Margaret A.</t>
  </si>
  <si>
    <t>Gary W. Sterner</t>
  </si>
  <si>
    <t>Susan M. Sterner</t>
  </si>
  <si>
    <t>John A. Swanson</t>
  </si>
  <si>
    <t>Dale V. Kirkham</t>
  </si>
  <si>
    <t>Claire L. Bowen</t>
  </si>
  <si>
    <t>Chow, Louise T.</t>
  </si>
  <si>
    <t>Carnevale, Martha</t>
  </si>
  <si>
    <t>NH</t>
  </si>
  <si>
    <t>Robert H. Sargent</t>
  </si>
  <si>
    <t>Shelia L. Sargent</t>
  </si>
  <si>
    <t>Robert C. Sclafani, Jr.</t>
  </si>
  <si>
    <t>Ruth McNeill</t>
  </si>
  <si>
    <t>Van Trombetta (beneficiary)</t>
  </si>
  <si>
    <t>Tom Trombetta (donor)</t>
  </si>
  <si>
    <t>David F. Rock</t>
  </si>
  <si>
    <t>Ann D. Hilaman</t>
  </si>
  <si>
    <t>Bobby Bauer</t>
  </si>
  <si>
    <t>03/29/1047</t>
  </si>
  <si>
    <t>Phyllis Ashworth</t>
  </si>
  <si>
    <t>FY2023</t>
  </si>
  <si>
    <t>Theodore G. Wilson</t>
  </si>
  <si>
    <t>Ulrich E. Boesch</t>
  </si>
  <si>
    <t>Michael C. Wolf</t>
  </si>
  <si>
    <t>Fred Mourant</t>
  </si>
  <si>
    <t>Wanda Mourant</t>
  </si>
  <si>
    <t>James H. Massey, Jr.</t>
  </si>
  <si>
    <t>OK</t>
  </si>
  <si>
    <t>Julia R. Barto</t>
  </si>
  <si>
    <t>Jan Marie Lutz</t>
  </si>
  <si>
    <t>Helen V. Rossmiller</t>
  </si>
  <si>
    <t>Susan Haight (Trust is the donor)</t>
  </si>
  <si>
    <t>Mary Lou Zeis</t>
  </si>
  <si>
    <t>FY2024</t>
  </si>
  <si>
    <t>Philip Larry Gray</t>
  </si>
  <si>
    <t>Martha L. Gray</t>
  </si>
  <si>
    <t>***Funded by QCD</t>
  </si>
  <si>
    <t>Gertrude Bourque</t>
  </si>
  <si>
    <t>David A. De Vries</t>
  </si>
  <si>
    <t xml:space="preserve">Nancy H. Berger </t>
  </si>
  <si>
    <t>Edward O. Fisher</t>
  </si>
  <si>
    <t>Marianne Fisher</t>
  </si>
  <si>
    <t>Judy K. Feller</t>
  </si>
  <si>
    <t xml:space="preserve">Robert C. Sclafani, Jr. </t>
  </si>
  <si>
    <t>Staff</t>
  </si>
  <si>
    <t>BIRTH DATE</t>
  </si>
  <si>
    <t>First Name</t>
  </si>
  <si>
    <t>Last Name</t>
  </si>
  <si>
    <t>City</t>
  </si>
  <si>
    <t>Partner Name</t>
  </si>
  <si>
    <t>Move Date</t>
  </si>
  <si>
    <t>Prev</t>
  </si>
  <si>
    <t>Post</t>
  </si>
  <si>
    <t>West</t>
  </si>
  <si>
    <t>John</t>
  </si>
  <si>
    <t>Swanson</t>
  </si>
  <si>
    <t>The Villages</t>
  </si>
  <si>
    <t>Janet Swanson</t>
  </si>
  <si>
    <t>CGA, MLS</t>
  </si>
  <si>
    <t>INT-a</t>
  </si>
  <si>
    <t>Donor emailed and requested annuity illustration for $250k in October 2018. Already has two $250k annuities.</t>
  </si>
  <si>
    <t>Terry</t>
  </si>
  <si>
    <t>Townley</t>
  </si>
  <si>
    <t>Midland</t>
  </si>
  <si>
    <t>Mr. Townley</t>
  </si>
  <si>
    <t>Donor called and requested information to help establish a ~$17k annuity with inherited securities.</t>
  </si>
  <si>
    <t>Janet</t>
  </si>
  <si>
    <t>Hilton</t>
  </si>
  <si>
    <t>Reno</t>
  </si>
  <si>
    <t>NV</t>
  </si>
  <si>
    <t>Donor called to chat. Says she is very close to Morgan. Says she has a $2,000 legacy gift and would be very interested in a visit.</t>
  </si>
  <si>
    <t>Delores</t>
  </si>
  <si>
    <t>Ihnen</t>
  </si>
  <si>
    <t>Parker</t>
  </si>
  <si>
    <t>Connected by phone to discuss CGA. Promised to follow up with CGA illustration and info packet.</t>
  </si>
  <si>
    <t>Hugh</t>
  </si>
  <si>
    <t>Visser</t>
  </si>
  <si>
    <t>San Francisco</t>
  </si>
  <si>
    <t xml:space="preserve">Hugh called to ask about IRA rollover. Inquired about changing previous gift to IRA rollover but told him that was not possible. </t>
  </si>
  <si>
    <t>Greg</t>
  </si>
  <si>
    <t>May</t>
  </si>
  <si>
    <t>Pamela May</t>
  </si>
  <si>
    <t>Provided CGA illustration and connected by email to discuss CGA opportunity. Donor says he will likely pull the trigger in October.</t>
  </si>
  <si>
    <t xml:space="preserve">Donor called to clarify bank paperwork for transfer of assets to establish annuity. We also connected by email. </t>
  </si>
  <si>
    <t>Robert</t>
  </si>
  <si>
    <t>Gabreski</t>
  </si>
  <si>
    <t>Poulsbo</t>
  </si>
  <si>
    <t>Connected by email to find time to speak by phone. Planned for Friday morning 9/21/18</t>
  </si>
  <si>
    <t>Connected by phone to discuss CGA particulars. Robert is fine with capital loss scenario and in no hurry to receive paperwork or payments.</t>
  </si>
  <si>
    <t xml:space="preserve">Emailed back-and-forth about annuity particulars and Greg decided to move forward and asked for me to mail him paperwork. </t>
  </si>
  <si>
    <t>Wilma</t>
  </si>
  <si>
    <t>Kreipke</t>
  </si>
  <si>
    <t>Indio</t>
  </si>
  <si>
    <t>Connected by phone to discuss $10k CGA. She is 93 and single after the passing of late husband Bill. Gets $10k/quarter from inheritance.</t>
  </si>
  <si>
    <t>Charles</t>
  </si>
  <si>
    <t>Cooley</t>
  </si>
  <si>
    <t>Charles requested CGA illustration re: $100k in securities and I emailed asking for cost basis.</t>
  </si>
  <si>
    <t>Artie</t>
  </si>
  <si>
    <t>Mathis</t>
  </si>
  <si>
    <t>Barbara Mathis</t>
  </si>
  <si>
    <t>Artie requested a CGA illustration re: $10k cash, which I emailed to him.</t>
  </si>
  <si>
    <t>Jerry</t>
  </si>
  <si>
    <t>Sass</t>
  </si>
  <si>
    <t>North Anson</t>
  </si>
  <si>
    <t xml:space="preserve">Jerry and I previously spoke about a CGA funded with highly appreciated Netflix stock. I sent him application and agreement. </t>
  </si>
  <si>
    <t>Perin</t>
  </si>
  <si>
    <t>Mawhinney</t>
  </si>
  <si>
    <t>Tucson</t>
  </si>
  <si>
    <t>INT-b</t>
  </si>
  <si>
    <t>Perin called and asked to receive information about "A Will That Works"</t>
  </si>
  <si>
    <t>Steinworth</t>
  </si>
  <si>
    <t>John called and asked to receive information about "A Will That Works"</t>
  </si>
  <si>
    <t>Malcolm</t>
  </si>
  <si>
    <t>Campbell</t>
  </si>
  <si>
    <t>Gilbert</t>
  </si>
  <si>
    <t>Malcolm called to catch up with Morgan and we had a great chat. He turned 90 this year and would love to get together for lunch when I'm in AZ.</t>
  </si>
  <si>
    <t>Bob called requesting update on annuity paperwork and we also chatted about differences between NPF and NPCA.</t>
  </si>
  <si>
    <t>Emory</t>
  </si>
  <si>
    <t>Arden</t>
  </si>
  <si>
    <t>Charles returned magazine ad requesting brochur and indicating he would consider a legacy gift. Mailed brochure to him.</t>
  </si>
  <si>
    <t>Kimberly</t>
  </si>
  <si>
    <t>McCullough</t>
  </si>
  <si>
    <t>Cary Dupuy was working with this donor and looped me in to provide needed info for Kim to add NPCA to her plans.</t>
  </si>
  <si>
    <t>Donna</t>
  </si>
  <si>
    <t>Bing</t>
  </si>
  <si>
    <t>Houston</t>
  </si>
  <si>
    <t xml:space="preserve">Donna called and requested info to make NPCA beneficiary of her IRA, currently valued at $20k. </t>
  </si>
  <si>
    <t xml:space="preserve">Vonda </t>
  </si>
  <si>
    <t>Morrow</t>
  </si>
  <si>
    <t>Mary</t>
  </si>
  <si>
    <t>Mineola</t>
  </si>
  <si>
    <t xml:space="preserve">Received call from Ms. Morrow to initiate distributions from deferred annuities starting 12/31/18; assisting her with drafting a letter to start this process. </t>
  </si>
  <si>
    <t>Eustace</t>
  </si>
  <si>
    <t>Jennifer</t>
  </si>
  <si>
    <t>Lorida</t>
  </si>
  <si>
    <t>Ms. Eustace called to inform us she would like to establish another CGA for $10k before 12/31/18; sent CGA application an information packet today.</t>
  </si>
  <si>
    <t>Helen</t>
  </si>
  <si>
    <t>Wright</t>
  </si>
  <si>
    <t>Vancover</t>
  </si>
  <si>
    <t xml:space="preserve">Ms. Wright called to request CGA information. She's ready to establish a CGA, no sure of the amount. An informtion packet was sent in the mail today. </t>
  </si>
  <si>
    <t>Walter</t>
  </si>
  <si>
    <t>Hunner</t>
  </si>
  <si>
    <t>Electric City</t>
  </si>
  <si>
    <t>Sherry</t>
  </si>
  <si>
    <t xml:space="preserve">Walter emailed and asked for relevant info to include NPCA as a primary beneficiary of his retirement account. </t>
  </si>
  <si>
    <t>Nancy</t>
  </si>
  <si>
    <t>Kurpaitis</t>
  </si>
  <si>
    <t>Pittsfield</t>
  </si>
  <si>
    <t>Nancy emailed and requested various info for her to discuss w/ atty re: creating a legacy gift</t>
  </si>
  <si>
    <t>Matt</t>
  </si>
  <si>
    <t>Kirby</t>
  </si>
  <si>
    <t>Portland</t>
  </si>
  <si>
    <t>Shirley</t>
  </si>
  <si>
    <t>Spoke with Matt by phone regarding IRA rollover and opened door to future interest in CGA, appreciated stock or testamentary gifts</t>
  </si>
  <si>
    <t xml:space="preserve">Franklin G. </t>
  </si>
  <si>
    <t>Allen</t>
  </si>
  <si>
    <t>Mr. Gordon requested information on giving through an IRA, and would like to receipt our booklet, "Your Guide to Effective Giving After Tax Reform"</t>
  </si>
  <si>
    <t>Timothy</t>
  </si>
  <si>
    <t>Burton</t>
  </si>
  <si>
    <t>Alexandria</t>
  </si>
  <si>
    <t>Mr. Burton is establishing a $10k CGA with NPCA; application and payment was sent in the mail 12/9/18, scheduled delivery 12/11/18.</t>
  </si>
  <si>
    <t>Mary Joy</t>
  </si>
  <si>
    <t>Whelpton</t>
  </si>
  <si>
    <t>Lake Placid</t>
  </si>
  <si>
    <t xml:space="preserve">Mary Joy Whelpton called to request CGA information. She's reviewing various charities and will make a decision soon regarding her 2018 donation. </t>
  </si>
  <si>
    <t>Max</t>
  </si>
  <si>
    <t>Guldan</t>
  </si>
  <si>
    <t>Hudson</t>
  </si>
  <si>
    <t xml:space="preserve">Max Guldan called to request CGA information; information packet sent via postal mail 12/12/18. </t>
  </si>
  <si>
    <t>Received $5k check from Matthew and followed up with thank you note</t>
  </si>
  <si>
    <t xml:space="preserve">John </t>
  </si>
  <si>
    <t>Gintell</t>
  </si>
  <si>
    <t>Cambridge</t>
  </si>
  <si>
    <t>Robert S. Cohen</t>
  </si>
  <si>
    <t xml:space="preserve">Received an emai request from Mr. Gintell for CGA information; Interested in establishing CGA #2 with NPCA; plans to fund it with a gift of securities; PG information sent via emial opn 12/17/18.  </t>
  </si>
  <si>
    <t>Vital</t>
  </si>
  <si>
    <t>Georgetown</t>
  </si>
  <si>
    <t>TP added to MLS</t>
  </si>
  <si>
    <t>Bob</t>
  </si>
  <si>
    <t>Keiter</t>
  </si>
  <si>
    <t>Salt Lake City</t>
  </si>
  <si>
    <t>UT</t>
  </si>
  <si>
    <t>Mrs. Keiter</t>
  </si>
  <si>
    <t>Sanee</t>
  </si>
  <si>
    <t>Bonnell</t>
  </si>
  <si>
    <t>Oregon</t>
  </si>
  <si>
    <t>Donor marked they were considering creating a legacy gift. I mailed follow-up packet.</t>
  </si>
  <si>
    <t>Clay</t>
  </si>
  <si>
    <t>Maguire</t>
  </si>
  <si>
    <t>Virginia Beach</t>
  </si>
  <si>
    <t>Linda Maguire</t>
  </si>
  <si>
    <t>Theresa</t>
  </si>
  <si>
    <t>Winter</t>
  </si>
  <si>
    <t>Baltimore</t>
  </si>
  <si>
    <t>Kim</t>
  </si>
  <si>
    <t>Wemer</t>
  </si>
  <si>
    <t>Grinnell</t>
  </si>
  <si>
    <t>Norm</t>
  </si>
  <si>
    <t>Sorenson</t>
  </si>
  <si>
    <t>Germantown</t>
  </si>
  <si>
    <t>Clark</t>
  </si>
  <si>
    <t>Prescott</t>
  </si>
  <si>
    <t xml:space="preserve">Spoke with John Clark regarding his interest in establishing a 2-life immediate CGA, $100k-$200k; Sent to them via email gift illustration and additional information about the program. CGA booklet being sent by postal mail.   </t>
  </si>
  <si>
    <t>Joanne</t>
  </si>
  <si>
    <t>Elliott</t>
  </si>
  <si>
    <t>Princeton</t>
  </si>
  <si>
    <t xml:space="preserve">Spoke with Joanne by phone and worked with her to create a "substantial" beneficiary designation on her brokerage account. </t>
  </si>
  <si>
    <t>Mailed MLS Welcome Packet</t>
  </si>
  <si>
    <t>Mark</t>
  </si>
  <si>
    <t>Kadzielski</t>
  </si>
  <si>
    <t>Simi Valley</t>
  </si>
  <si>
    <t>Mailed MLS Considerer Packet</t>
  </si>
  <si>
    <t>Dorothy</t>
  </si>
  <si>
    <t>Canter</t>
  </si>
  <si>
    <t>Laurel</t>
  </si>
  <si>
    <t>Informed us she has included NPCA in her will. 20%, but split between us and an NGO.</t>
  </si>
  <si>
    <t>Luken</t>
  </si>
  <si>
    <t>Lexington</t>
  </si>
  <si>
    <t>KY</t>
  </si>
  <si>
    <t xml:space="preserve">Worked with Mary to list NPCA as beneficiary of her annuity, should the principal outlive her. </t>
  </si>
  <si>
    <t>Vic</t>
  </si>
  <si>
    <t>Fazio</t>
  </si>
  <si>
    <t>Washington</t>
  </si>
  <si>
    <t>Kathleen Sawyer</t>
  </si>
  <si>
    <t xml:space="preserve">Steven </t>
  </si>
  <si>
    <t>Eisenberg</t>
  </si>
  <si>
    <t>Plantation</t>
  </si>
  <si>
    <t xml:space="preserve">Spoke with Mr. Eisenberg about 1035 Exchange to fund CGA; This method of payment not allowed by IRS. Mr. Eisenberg now considering sending cash to fund Deferred 2 life CGA with NPCA, approx. value $155k; sent information to him along with gift illustration via email.  </t>
  </si>
  <si>
    <t>Mort</t>
  </si>
  <si>
    <t>Fuller</t>
  </si>
  <si>
    <t>Steven</t>
  </si>
  <si>
    <t xml:space="preserve">Mr. Eisenberg not to establish a CGA with NPCA at this time, maybe in the future; a packet of information was sent to him which included various options in our planned givning program. </t>
  </si>
  <si>
    <t>Gillice</t>
  </si>
  <si>
    <t>Arvada</t>
  </si>
  <si>
    <t>Maxyne</t>
  </si>
  <si>
    <t xml:space="preserve">Mr. Gillice emailed a request for information on PG CGA program. Three separate gift illustrations was sent via email; an informtion packet was sent via postal mail. </t>
  </si>
  <si>
    <t>Ivar</t>
  </si>
  <si>
    <t>Iverson</t>
  </si>
  <si>
    <t xml:space="preserve">Stone Mountain </t>
  </si>
  <si>
    <t xml:space="preserve">Ivar Iversaon called to request information on PG's CGA progarm. Called back several times, phone not in service; sent informtion by postal mail. </t>
  </si>
  <si>
    <t>David</t>
  </si>
  <si>
    <t>Woods</t>
  </si>
  <si>
    <t>Greencastle</t>
  </si>
  <si>
    <t xml:space="preserve">Informed Bruce he was planning to include NPCA in estate. WAH mailed MLS welcome packet. </t>
  </si>
  <si>
    <t>Betty Jane</t>
  </si>
  <si>
    <t>Schultz</t>
  </si>
  <si>
    <t>Saint Louis</t>
  </si>
  <si>
    <t xml:space="preserve">BJS told Bruce on phone that she had included NPCA in her will. </t>
  </si>
  <si>
    <t>Lois</t>
  </si>
  <si>
    <t>Smith</t>
  </si>
  <si>
    <t>Pella</t>
  </si>
  <si>
    <t>David Smith</t>
  </si>
  <si>
    <t xml:space="preserve">Lois called requesting information for making a gift from her and Dave's IRAs. Followed up by phone. </t>
  </si>
  <si>
    <t>Hudar</t>
  </si>
  <si>
    <t xml:space="preserve">Marianne </t>
  </si>
  <si>
    <t>Kingstowne</t>
  </si>
  <si>
    <t xml:space="preserve">Received request for legacy information through Memebership services; information packet sent via postal mail. </t>
  </si>
  <si>
    <t>Latiker</t>
  </si>
  <si>
    <t>Saint Francis</t>
  </si>
  <si>
    <t>Case</t>
  </si>
  <si>
    <t>Scottsdale</t>
  </si>
  <si>
    <t>Patricia</t>
  </si>
  <si>
    <t xml:space="preserve">John emailed me in response to my follow up call after his MLS survey. He and Patricia would love to visit when I'm out in Phoenix. </t>
  </si>
  <si>
    <t>Robert C.</t>
  </si>
  <si>
    <t>Sclafani</t>
  </si>
  <si>
    <t>Stamford</t>
  </si>
  <si>
    <t xml:space="preserve">Robert called to notify us of his intentions to establish a second CGA with NPCA for $25k; information packet sent via postal mail. </t>
  </si>
  <si>
    <t>Ronald</t>
  </si>
  <si>
    <t>Wassel</t>
  </si>
  <si>
    <t>Sykesville</t>
  </si>
  <si>
    <t>Returned slip stating NPCA in his will.</t>
  </si>
  <si>
    <t>Owen</t>
  </si>
  <si>
    <t>Robert J.</t>
  </si>
  <si>
    <t>Arlington</t>
  </si>
  <si>
    <t>Replied to Sharpe Group mailing with box checked that he has left a gift to NPCA</t>
  </si>
  <si>
    <t>Russell</t>
  </si>
  <si>
    <t>Linda</t>
  </si>
  <si>
    <t>Winterville</t>
  </si>
  <si>
    <t>Confirmed MLS gift as beneficiary of her brokerage account</t>
  </si>
  <si>
    <t xml:space="preserve">William S. </t>
  </si>
  <si>
    <t>Columbus</t>
  </si>
  <si>
    <t xml:space="preserve">Mr. Parker interested in establishing CGA with NPCA, and becoming an official member; Sent information packet today along with a membership form. </t>
  </si>
  <si>
    <t>Fred</t>
  </si>
  <si>
    <t>Wetzel</t>
  </si>
  <si>
    <t>Burlington</t>
  </si>
  <si>
    <t>Martha</t>
  </si>
  <si>
    <t xml:space="preserve">Fred and Martha Wetzel has established two new CCGA's in the amount of $25k each, for an overall total of $50k.  </t>
  </si>
  <si>
    <t xml:space="preserve">Laura </t>
  </si>
  <si>
    <t>Mazur</t>
  </si>
  <si>
    <t xml:space="preserve">Kent </t>
  </si>
  <si>
    <t xml:space="preserve">Laura called to inform us she is including NPCA in her will; an MLS welcome letter was sent along with a bequest information packet. </t>
  </si>
  <si>
    <t xml:space="preserve">William E. </t>
  </si>
  <si>
    <t>Evans</t>
  </si>
  <si>
    <t>Lititz</t>
  </si>
  <si>
    <t xml:space="preserve">PA </t>
  </si>
  <si>
    <t xml:space="preserve">Mr. Evans interested in establishing CGA with NPCA; sent information packet today.  </t>
  </si>
  <si>
    <t xml:space="preserve">Sharon </t>
  </si>
  <si>
    <t>Buck</t>
  </si>
  <si>
    <t>Farmington Hills</t>
  </si>
  <si>
    <t xml:space="preserve">Called to request information on leaving a legacy; considering including NPCA in her will. An information packet was mailed on 3/20/2019. </t>
  </si>
  <si>
    <t>Justine</t>
  </si>
  <si>
    <t>Scott</t>
  </si>
  <si>
    <t xml:space="preserve">Stuart </t>
  </si>
  <si>
    <t xml:space="preserve">Called to request information on establishing a CGA with NPCA; sent an information packet along with gift illustration. </t>
  </si>
  <si>
    <t>Gertrude</t>
  </si>
  <si>
    <t>Miliken</t>
  </si>
  <si>
    <t>Perksie</t>
  </si>
  <si>
    <t xml:space="preserve">John W. </t>
  </si>
  <si>
    <t>Hatch</t>
  </si>
  <si>
    <t>Durham</t>
  </si>
  <si>
    <t xml:space="preserve">Nina </t>
  </si>
  <si>
    <t>Little</t>
  </si>
  <si>
    <t>Valley</t>
  </si>
  <si>
    <t xml:space="preserve">Email request for information received via Website; sent Planned Giving Quiz, and following up with a BEQ information packet in the mail. </t>
  </si>
  <si>
    <t>Frank</t>
  </si>
  <si>
    <t>Johnson</t>
  </si>
  <si>
    <t>Greenfield</t>
  </si>
  <si>
    <t>Request CGA information by phone; information packet sent via postal mail.</t>
  </si>
  <si>
    <t>Herbert</t>
  </si>
  <si>
    <t>Fieberling</t>
  </si>
  <si>
    <t>Colorado Springs</t>
  </si>
  <si>
    <t>Received call from Mr. Fieberling interested in establishing a CGA; sent information packet along with gift illustration by postal mail.</t>
  </si>
  <si>
    <t>Diana</t>
  </si>
  <si>
    <t>Hawes</t>
  </si>
  <si>
    <t>Chapel Hill</t>
  </si>
  <si>
    <t xml:space="preserve">Request for CGA information received via email; information packet along with gift illustration sent in the mail. </t>
  </si>
  <si>
    <t>Christopher &amp; Lisa</t>
  </si>
  <si>
    <t>Allison</t>
  </si>
  <si>
    <t>Averill Park</t>
  </si>
  <si>
    <t>Bill</t>
  </si>
  <si>
    <t>Huyett</t>
  </si>
  <si>
    <t>Concord</t>
  </si>
  <si>
    <t>Lauren Huyett</t>
  </si>
  <si>
    <t>Sent email per MB re his mention of future consideration of PG</t>
  </si>
  <si>
    <t xml:space="preserve">Johanna </t>
  </si>
  <si>
    <t>Riddick</t>
  </si>
  <si>
    <t>Vadito</t>
  </si>
  <si>
    <t xml:space="preserve">Received request for information on both CGA and BEQ gift options; an information packet was sent by postal mail. </t>
  </si>
  <si>
    <t>Gretchen</t>
  </si>
  <si>
    <t>Whisenand</t>
  </si>
  <si>
    <t>Santa Rosa</t>
  </si>
  <si>
    <t xml:space="preserve">Recived Legacy Insert from Ms. Whisenand, notifying NPCA she has included us in her will. </t>
  </si>
  <si>
    <t xml:space="preserve">Mr. Sass decided to establish a CGA with NPCA valued at $30k; he is funding with stock. 100 shares of Netflix to be transferred end of April 2019. </t>
  </si>
  <si>
    <t>Ana</t>
  </si>
  <si>
    <t>Boza</t>
  </si>
  <si>
    <t>Asheville</t>
  </si>
  <si>
    <t>Ana informed Jeff Hunter plans to include in will. WAH emailed info and added to database.</t>
  </si>
  <si>
    <t>Gloria</t>
  </si>
  <si>
    <t>DeVictoria</t>
  </si>
  <si>
    <t>Salinas</t>
  </si>
  <si>
    <t>Gloria contacted me about making an RMD from her IRA. I gave her info for directing that gift to NPCA.</t>
  </si>
  <si>
    <t>Isobel</t>
  </si>
  <si>
    <t>Wayrick</t>
  </si>
  <si>
    <t>Pompton Plains</t>
  </si>
  <si>
    <t xml:space="preserve">CGA </t>
  </si>
  <si>
    <t xml:space="preserve">Ms. Wayrick called to inform us she would like to establish another $50k CGA with NPCA asap; would like to have everything finalized by next Friday, 4/26. </t>
  </si>
  <si>
    <t>Niaomi</t>
  </si>
  <si>
    <t>Cohen</t>
  </si>
  <si>
    <t>Lewisburg</t>
  </si>
  <si>
    <t xml:space="preserve">Received notification in the mail from Ms. Cohen informing NPCA she has included us in her will. </t>
  </si>
  <si>
    <t>Mailed Ana PG packet</t>
  </si>
  <si>
    <t>Drummy</t>
  </si>
  <si>
    <t>Terre Haute</t>
  </si>
  <si>
    <t>Mailed PG consider packet</t>
  </si>
  <si>
    <t>Dennis</t>
  </si>
  <si>
    <t>Bulcao</t>
  </si>
  <si>
    <t>Spring Valley</t>
  </si>
  <si>
    <t>Donor requested PG info; mailed PG consider packet.</t>
  </si>
  <si>
    <t>Louise</t>
  </si>
  <si>
    <t>Chow</t>
  </si>
  <si>
    <t>Mountain Brook</t>
  </si>
  <si>
    <t>Roger</t>
  </si>
  <si>
    <t>Gillette</t>
  </si>
  <si>
    <t>Minneapolis</t>
  </si>
  <si>
    <t>Received mail insert from donor notifying NPCA that he has included us in his will.</t>
  </si>
  <si>
    <t>James</t>
  </si>
  <si>
    <t>Myers</t>
  </si>
  <si>
    <t>Gwendloyn Myers</t>
  </si>
  <si>
    <t>James called me to share concerns over TP salary. He and wife are considering significant ~$4MM legacy gift for Yosemite. WAH will follow up to address concerns.</t>
  </si>
  <si>
    <t>Burns</t>
  </si>
  <si>
    <t>Lake Wales</t>
  </si>
  <si>
    <t>Mabel</t>
  </si>
  <si>
    <t>Alexander</t>
  </si>
  <si>
    <t>Southold</t>
  </si>
  <si>
    <t>Michele</t>
  </si>
  <si>
    <t>Makrucki</t>
  </si>
  <si>
    <t>Armin</t>
  </si>
  <si>
    <t>Hendersonville</t>
  </si>
  <si>
    <t>Rita</t>
  </si>
  <si>
    <t>Boren</t>
  </si>
  <si>
    <t>Los Gatos</t>
  </si>
  <si>
    <t>Roberta</t>
  </si>
  <si>
    <t>Huttinger</t>
  </si>
  <si>
    <t>Fort Wayne</t>
  </si>
  <si>
    <t>Paul</t>
  </si>
  <si>
    <t>Alaback</t>
  </si>
  <si>
    <t>Missoula</t>
  </si>
  <si>
    <t xml:space="preserve">Joan </t>
  </si>
  <si>
    <t>Tenedine</t>
  </si>
  <si>
    <t>Tequesta</t>
  </si>
  <si>
    <t xml:space="preserve">Request for CGA information received via phone; Donor considering another $10k for CGA; application and W-9 along with gift illustration sent in the mail. </t>
  </si>
  <si>
    <t>Cora</t>
  </si>
  <si>
    <t>Hahn</t>
  </si>
  <si>
    <t>Brooklyn</t>
  </si>
  <si>
    <t xml:space="preserve">MLS </t>
  </si>
  <si>
    <t xml:space="preserve">Request for CGA information received via phone; Donor considering another CGA, $10k; application and W-9 along with gift illustration sent in the mail. </t>
  </si>
  <si>
    <t>William</t>
  </si>
  <si>
    <t>Baird</t>
  </si>
  <si>
    <t>Castle Rock</t>
  </si>
  <si>
    <t>Mailed INT Packet</t>
  </si>
  <si>
    <t>Phillip</t>
  </si>
  <si>
    <t>Kolter</t>
  </si>
  <si>
    <t>Franklin</t>
  </si>
  <si>
    <t>Mailed CON Packet</t>
  </si>
  <si>
    <t>Michael</t>
  </si>
  <si>
    <t>Heymann</t>
  </si>
  <si>
    <t>Fort Collins</t>
  </si>
  <si>
    <t>John P.</t>
  </si>
  <si>
    <t>Bloomingdale</t>
  </si>
  <si>
    <t>Catherine</t>
  </si>
  <si>
    <t>Hamma</t>
  </si>
  <si>
    <t>Arlington Heights</t>
  </si>
  <si>
    <t>Doug</t>
  </si>
  <si>
    <t>Parsons</t>
  </si>
  <si>
    <t>Iowa City</t>
  </si>
  <si>
    <t>Amy</t>
  </si>
  <si>
    <t>Edelman</t>
  </si>
  <si>
    <t>Nesconset</t>
  </si>
  <si>
    <t>Silverman</t>
  </si>
  <si>
    <t>Elkins Park</t>
  </si>
  <si>
    <t>Arlene</t>
  </si>
  <si>
    <t>Madison</t>
  </si>
  <si>
    <t>Norman</t>
  </si>
  <si>
    <t>Diahnka</t>
  </si>
  <si>
    <t>Kingsley</t>
  </si>
  <si>
    <t>Prospect Park</t>
  </si>
  <si>
    <t>Bradley</t>
  </si>
  <si>
    <t>Bernau</t>
  </si>
  <si>
    <t>Kildeer</t>
  </si>
  <si>
    <t>Hoefert</t>
  </si>
  <si>
    <t>Sun City</t>
  </si>
  <si>
    <t>Thomas</t>
  </si>
  <si>
    <t>Farmer</t>
  </si>
  <si>
    <t>Wyoming</t>
  </si>
  <si>
    <t>Ledwith</t>
  </si>
  <si>
    <t>Woolwich</t>
  </si>
  <si>
    <t>Susan</t>
  </si>
  <si>
    <t>Ward</t>
  </si>
  <si>
    <t>Lansing</t>
  </si>
  <si>
    <t>Leaf</t>
  </si>
  <si>
    <t>Woods Cross</t>
  </si>
  <si>
    <t>Joel</t>
  </si>
  <si>
    <t>Merritt</t>
  </si>
  <si>
    <t>Roberts</t>
  </si>
  <si>
    <t>Claudia</t>
  </si>
  <si>
    <t>Steele</t>
  </si>
  <si>
    <t>Oakdale</t>
  </si>
  <si>
    <t>Youngkin</t>
  </si>
  <si>
    <t>Bloomsburg</t>
  </si>
  <si>
    <t>Talbot</t>
  </si>
  <si>
    <t>Falmouth</t>
  </si>
  <si>
    <t>Jean</t>
  </si>
  <si>
    <t>Allured</t>
  </si>
  <si>
    <t>Hampton</t>
  </si>
  <si>
    <t>Donor submitted notification of legacy gift; was already marked MLS. WAH sent handwritten thank you card.</t>
  </si>
  <si>
    <t>Edith</t>
  </si>
  <si>
    <t>Herman Wiener</t>
  </si>
  <si>
    <t>Bethesda</t>
  </si>
  <si>
    <t>Cathleen</t>
  </si>
  <si>
    <t>Hauenstein</t>
  </si>
  <si>
    <t>Emailed requested resources from survey; donor responded not interested in making a planned gift to survey.</t>
  </si>
  <si>
    <t>Harald</t>
  </si>
  <si>
    <t>Pigler</t>
  </si>
  <si>
    <t>Longmont</t>
  </si>
  <si>
    <t xml:space="preserve">Emailed requested CGA gift illustration; sending packet of information by mail. </t>
  </si>
  <si>
    <t>Eileen</t>
  </si>
  <si>
    <t>Reznicek</t>
  </si>
  <si>
    <t>Wheaton</t>
  </si>
  <si>
    <t>Phone call; permission to visit; prelim scheduling of visit.</t>
  </si>
  <si>
    <t>Hart</t>
  </si>
  <si>
    <t>Eagle</t>
  </si>
  <si>
    <t>Laura</t>
  </si>
  <si>
    <t>Powers</t>
  </si>
  <si>
    <t>Stillwater</t>
  </si>
  <si>
    <t>MLS Enrollment Form received</t>
  </si>
  <si>
    <t>Desda</t>
  </si>
  <si>
    <t>Passarella Hutchins</t>
  </si>
  <si>
    <t>Loretto</t>
  </si>
  <si>
    <t>Desda called and we discussed 150 acres in TN for preservation donor. Will follow up after discussion with TM and MB.</t>
  </si>
  <si>
    <t>Clyde</t>
  </si>
  <si>
    <t>Molin</t>
  </si>
  <si>
    <t>Nye</t>
  </si>
  <si>
    <t xml:space="preserve">Margaret </t>
  </si>
  <si>
    <t xml:space="preserve">Received request for CGA information by mail, used 2016 newsletter reply card; Information packet sent in the mail. </t>
  </si>
  <si>
    <t xml:space="preserve">Williams </t>
  </si>
  <si>
    <t xml:space="preserve">Elkgrove </t>
  </si>
  <si>
    <t xml:space="preserve">Spoke with Ms. Williams regarding CGA; she's compiling information for a friend who's looking to support an organization with CGA program; information packet sent in the mail. </t>
  </si>
  <si>
    <t>Kathy</t>
  </si>
  <si>
    <t>Raaf</t>
  </si>
  <si>
    <t xml:space="preserve">Westminster </t>
  </si>
  <si>
    <t xml:space="preserve">Ms. Raaf considering becoming MLS; mailed information packet today. </t>
  </si>
  <si>
    <t>Anne</t>
  </si>
  <si>
    <t>Boyles</t>
  </si>
  <si>
    <t>Myrtle Beach</t>
  </si>
  <si>
    <t>Gregory</t>
  </si>
  <si>
    <t>Miller</t>
  </si>
  <si>
    <t>H.</t>
  </si>
  <si>
    <t>Wood</t>
  </si>
  <si>
    <t>Palisade</t>
  </si>
  <si>
    <t>Levi</t>
  </si>
  <si>
    <t>Kallenbach</t>
  </si>
  <si>
    <t>Estes Park</t>
  </si>
  <si>
    <t>Cheryl</t>
  </si>
  <si>
    <t>Corsi</t>
  </si>
  <si>
    <t>Cheyenne</t>
  </si>
  <si>
    <t>WY</t>
  </si>
  <si>
    <t>Scherdt</t>
  </si>
  <si>
    <t>Plymouth</t>
  </si>
  <si>
    <t>Warner</t>
  </si>
  <si>
    <t>Greeley</t>
  </si>
  <si>
    <t>Brown</t>
  </si>
  <si>
    <t>Waterloo</t>
  </si>
  <si>
    <t>Gary</t>
  </si>
  <si>
    <t>Ebert</t>
  </si>
  <si>
    <t>Watersmeet</t>
  </si>
  <si>
    <t>Peter</t>
  </si>
  <si>
    <t>Rubin</t>
  </si>
  <si>
    <t>Silverthorne</t>
  </si>
  <si>
    <t>Joyce</t>
  </si>
  <si>
    <t>Hawk</t>
  </si>
  <si>
    <t>Pittsburgh</t>
  </si>
  <si>
    <t>Taylor</t>
  </si>
  <si>
    <t>Janice</t>
  </si>
  <si>
    <t>Parry</t>
  </si>
  <si>
    <t>New Hope</t>
  </si>
  <si>
    <t>Carl</t>
  </si>
  <si>
    <t>Labrash</t>
  </si>
  <si>
    <t>Shelby Township</t>
  </si>
  <si>
    <t>Sue</t>
  </si>
  <si>
    <t>Kartman</t>
  </si>
  <si>
    <t>Fifield</t>
  </si>
  <si>
    <t>Cary</t>
  </si>
  <si>
    <t>Anderson</t>
  </si>
  <si>
    <t>Florence</t>
  </si>
  <si>
    <t>Montague</t>
  </si>
  <si>
    <t>Kathryn</t>
  </si>
  <si>
    <t>Graybill</t>
  </si>
  <si>
    <t>New York</t>
  </si>
  <si>
    <t>Christa</t>
  </si>
  <si>
    <t>Siegel</t>
  </si>
  <si>
    <t>Grand Blanc</t>
  </si>
  <si>
    <t>Christine</t>
  </si>
  <si>
    <t>Lowrey</t>
  </si>
  <si>
    <t>Lakewood</t>
  </si>
  <si>
    <t>Diane</t>
  </si>
  <si>
    <t>Jilot</t>
  </si>
  <si>
    <t>De Pere</t>
  </si>
  <si>
    <t>Flinn</t>
  </si>
  <si>
    <t>Cranberry Township</t>
  </si>
  <si>
    <t>Pilkington</t>
  </si>
  <si>
    <t>Prt Jefferson</t>
  </si>
  <si>
    <t>Kruysman</t>
  </si>
  <si>
    <t>Pilesgrove</t>
  </si>
  <si>
    <t>Nollen</t>
  </si>
  <si>
    <t>Runnells</t>
  </si>
  <si>
    <t>Peri</t>
  </si>
  <si>
    <t>Bianchi</t>
  </si>
  <si>
    <t>Perry</t>
  </si>
  <si>
    <t>Ruthmary</t>
  </si>
  <si>
    <t>Deuel</t>
  </si>
  <si>
    <t>Canaan</t>
  </si>
  <si>
    <t>Laurence</t>
  </si>
  <si>
    <t>Urevig</t>
  </si>
  <si>
    <t>Novi</t>
  </si>
  <si>
    <t>Simon</t>
  </si>
  <si>
    <t>Hirschl</t>
  </si>
  <si>
    <t>Belmont</t>
  </si>
  <si>
    <t>Elsenboss</t>
  </si>
  <si>
    <t>Stuart</t>
  </si>
  <si>
    <t>Antsen</t>
  </si>
  <si>
    <t>Leland</t>
  </si>
  <si>
    <t>Schaefer</t>
  </si>
  <si>
    <t>CGA inquiry by phone; mailed information packet</t>
  </si>
  <si>
    <t>Jackson</t>
  </si>
  <si>
    <t>Narberth</t>
  </si>
  <si>
    <t xml:space="preserve">CGA inquiry received via survey; mailed information packet </t>
  </si>
  <si>
    <t>Carol</t>
  </si>
  <si>
    <t>Krumwiede</t>
  </si>
  <si>
    <t>Omaha</t>
  </si>
  <si>
    <t>Piotraschke</t>
  </si>
  <si>
    <t>Karl</t>
  </si>
  <si>
    <t>Frohlich</t>
  </si>
  <si>
    <t>Manhasset</t>
  </si>
  <si>
    <t>Sandra L.</t>
  </si>
  <si>
    <t>Pifer</t>
  </si>
  <si>
    <t>Arlington Hts</t>
  </si>
  <si>
    <t>Anna</t>
  </si>
  <si>
    <t>Arnold</t>
  </si>
  <si>
    <t>Evansville</t>
  </si>
  <si>
    <t xml:space="preserve">M. S. </t>
  </si>
  <si>
    <t>Grosse Pointe</t>
  </si>
  <si>
    <t xml:space="preserve">Robert S. </t>
  </si>
  <si>
    <t>Raner</t>
  </si>
  <si>
    <t>Rochester</t>
  </si>
  <si>
    <t>Warren</t>
  </si>
  <si>
    <t>Osik</t>
  </si>
  <si>
    <t>Billings</t>
  </si>
  <si>
    <t>Croes</t>
  </si>
  <si>
    <t>Litchfield</t>
  </si>
  <si>
    <t>Jacobi</t>
  </si>
  <si>
    <t>Kenosha</t>
  </si>
  <si>
    <t xml:space="preserve">CGA inquiry by phone; mailed information packet </t>
  </si>
  <si>
    <t xml:space="preserve">Gegorey </t>
  </si>
  <si>
    <t>Deul</t>
  </si>
  <si>
    <t>Vonda</t>
  </si>
  <si>
    <t>Gail</t>
  </si>
  <si>
    <t>Burrington</t>
  </si>
  <si>
    <t>Windsor Locks</t>
  </si>
  <si>
    <t>Deborah A.</t>
  </si>
  <si>
    <t>Magennis</t>
  </si>
  <si>
    <t>Kewadin</t>
  </si>
  <si>
    <t>Fleck</t>
  </si>
  <si>
    <t>Reading</t>
  </si>
  <si>
    <t>Stephen</t>
  </si>
  <si>
    <t>Brenner</t>
  </si>
  <si>
    <t>Chicago</t>
  </si>
  <si>
    <t>Zerega</t>
  </si>
  <si>
    <t>Windham</t>
  </si>
  <si>
    <t xml:space="preserve">Barbara H. </t>
  </si>
  <si>
    <t>Judson</t>
  </si>
  <si>
    <t>Suffield</t>
  </si>
  <si>
    <t>Garmendia</t>
  </si>
  <si>
    <t>Pine Bush</t>
  </si>
  <si>
    <t>Dimattio</t>
  </si>
  <si>
    <t>Driggs</t>
  </si>
  <si>
    <t>Murphy</t>
  </si>
  <si>
    <t>Downers Grove</t>
  </si>
  <si>
    <t>Wolfe</t>
  </si>
  <si>
    <t>Ruth</t>
  </si>
  <si>
    <t>Hammiller</t>
  </si>
  <si>
    <t>Fort Atkinson</t>
  </si>
  <si>
    <t>Norma</t>
  </si>
  <si>
    <t>Lehman</t>
  </si>
  <si>
    <t>West Chester</t>
  </si>
  <si>
    <t>Barbara</t>
  </si>
  <si>
    <t>Hughes</t>
  </si>
  <si>
    <t>Richard</t>
  </si>
  <si>
    <t>Bassier</t>
  </si>
  <si>
    <t>Geneseo</t>
  </si>
  <si>
    <t>Larsen</t>
  </si>
  <si>
    <t>Oswego</t>
  </si>
  <si>
    <t>Berchtold</t>
  </si>
  <si>
    <t>San Diego</t>
  </si>
  <si>
    <t>Has named NPCA as beneficiary of IRA. Mailed MLS Welcome packet.</t>
  </si>
  <si>
    <t>Barry</t>
  </si>
  <si>
    <t>Bryant</t>
  </si>
  <si>
    <t>Durango</t>
  </si>
  <si>
    <t>Randy</t>
  </si>
  <si>
    <t>Calaman</t>
  </si>
  <si>
    <t>Enola</t>
  </si>
  <si>
    <t>Kabele</t>
  </si>
  <si>
    <t>Green Bay</t>
  </si>
  <si>
    <t>Verne</t>
  </si>
  <si>
    <t>Hanson</t>
  </si>
  <si>
    <t>Indianapolis</t>
  </si>
  <si>
    <t>Marcia</t>
  </si>
  <si>
    <t>Hedges</t>
  </si>
  <si>
    <t>Manistee</t>
  </si>
  <si>
    <t>Wiebe</t>
  </si>
  <si>
    <t>Kearney</t>
  </si>
  <si>
    <t>Balog</t>
  </si>
  <si>
    <t>Natrona Hts</t>
  </si>
  <si>
    <t>Haslitt</t>
  </si>
  <si>
    <t>Brighton</t>
  </si>
  <si>
    <t>Sharon</t>
  </si>
  <si>
    <t>Bowerman</t>
  </si>
  <si>
    <t>Libertyville</t>
  </si>
  <si>
    <t>Wayne</t>
  </si>
  <si>
    <t>Brevitz</t>
  </si>
  <si>
    <t>Orland Park</t>
  </si>
  <si>
    <t>Roland</t>
  </si>
  <si>
    <t>Flick</t>
  </si>
  <si>
    <t>Molony</t>
  </si>
  <si>
    <t>Edina</t>
  </si>
  <si>
    <t>Bernard</t>
  </si>
  <si>
    <t>Lobel</t>
  </si>
  <si>
    <t>Fader-Smith</t>
  </si>
  <si>
    <t>Commack</t>
  </si>
  <si>
    <t>Lewis</t>
  </si>
  <si>
    <t>Syracuse</t>
  </si>
  <si>
    <t>Deborah</t>
  </si>
  <si>
    <t>Renae</t>
  </si>
  <si>
    <t>Gill</t>
  </si>
  <si>
    <t>Kentwood</t>
  </si>
  <si>
    <t>Medinah</t>
  </si>
  <si>
    <t>Bertoncini</t>
  </si>
  <si>
    <t>Oak Park</t>
  </si>
  <si>
    <t>Twyla</t>
  </si>
  <si>
    <t>Bray</t>
  </si>
  <si>
    <t>Fairbury</t>
  </si>
  <si>
    <t>Seamens</t>
  </si>
  <si>
    <t>Grove City</t>
  </si>
  <si>
    <t>Glenna</t>
  </si>
  <si>
    <t>Hopkins</t>
  </si>
  <si>
    <t>Montrose</t>
  </si>
  <si>
    <t>Lloyd</t>
  </si>
  <si>
    <t>Olson</t>
  </si>
  <si>
    <t>Maple Grove</t>
  </si>
  <si>
    <t>Ralph</t>
  </si>
  <si>
    <t>Pernice</t>
  </si>
  <si>
    <t>Augusta</t>
  </si>
  <si>
    <t>Turnrose</t>
  </si>
  <si>
    <t>Forestville</t>
  </si>
  <si>
    <t>Schulz</t>
  </si>
  <si>
    <t>Lakeville</t>
  </si>
  <si>
    <t>Edmund</t>
  </si>
  <si>
    <t>Kreeger</t>
  </si>
  <si>
    <t>Dearborn</t>
  </si>
  <si>
    <t>Williams</t>
  </si>
  <si>
    <t>Champaign</t>
  </si>
  <si>
    <t>Belter</t>
  </si>
  <si>
    <t>Baraboo</t>
  </si>
  <si>
    <t>Irene</t>
  </si>
  <si>
    <t>Bell</t>
  </si>
  <si>
    <t>Denver</t>
  </si>
  <si>
    <t>Mountan</t>
  </si>
  <si>
    <t>Irwin</t>
  </si>
  <si>
    <t>Jeanne</t>
  </si>
  <si>
    <t>Lehmann</t>
  </si>
  <si>
    <t>Saugerties</t>
  </si>
  <si>
    <t>Renee</t>
  </si>
  <si>
    <t>Fitzpatrick</t>
  </si>
  <si>
    <t>Salt Lake Cty</t>
  </si>
  <si>
    <t>Urbasek</t>
  </si>
  <si>
    <t>Bolingbrook</t>
  </si>
  <si>
    <t>Valerie</t>
  </si>
  <si>
    <t>Langstaff</t>
  </si>
  <si>
    <t>Lansdale</t>
  </si>
  <si>
    <t>Knoch</t>
  </si>
  <si>
    <t>New Freedom</t>
  </si>
  <si>
    <t>Mehanna</t>
  </si>
  <si>
    <t>Hauppauge</t>
  </si>
  <si>
    <t>Moehr</t>
  </si>
  <si>
    <t>Butler</t>
  </si>
  <si>
    <t>Ross</t>
  </si>
  <si>
    <t>Wayson</t>
  </si>
  <si>
    <t>Warsaw</t>
  </si>
  <si>
    <t>Carr</t>
  </si>
  <si>
    <t>Philadelphia</t>
  </si>
  <si>
    <t>Don</t>
  </si>
  <si>
    <t>Kemmann</t>
  </si>
  <si>
    <t>Honesdale</t>
  </si>
  <si>
    <t>Dawn</t>
  </si>
  <si>
    <t>Ishida</t>
  </si>
  <si>
    <t>Plainfield</t>
  </si>
  <si>
    <t>Hassell</t>
  </si>
  <si>
    <t>Grand Jct</t>
  </si>
  <si>
    <t>Kiovsky</t>
  </si>
  <si>
    <t>Bordentown</t>
  </si>
  <si>
    <t>Hite</t>
  </si>
  <si>
    <t>Jay</t>
  </si>
  <si>
    <t>Heyman</t>
  </si>
  <si>
    <t>Watchung</t>
  </si>
  <si>
    <t>Phyllis</t>
  </si>
  <si>
    <t>Nauerth</t>
  </si>
  <si>
    <t>Lakefield</t>
  </si>
  <si>
    <t>Jane</t>
  </si>
  <si>
    <t>Ryan</t>
  </si>
  <si>
    <t>Marquette</t>
  </si>
  <si>
    <t>L.</t>
  </si>
  <si>
    <t>Harman</t>
  </si>
  <si>
    <t>Brian</t>
  </si>
  <si>
    <t>Thornton</t>
  </si>
  <si>
    <t>Kathleen</t>
  </si>
  <si>
    <t>Spritzer</t>
  </si>
  <si>
    <t>Lisa</t>
  </si>
  <si>
    <t>Schmidt</t>
  </si>
  <si>
    <t>Waterford</t>
  </si>
  <si>
    <t>Lynn</t>
  </si>
  <si>
    <t>East Hampton</t>
  </si>
  <si>
    <t>K.</t>
  </si>
  <si>
    <t>Armstrong</t>
  </si>
  <si>
    <t>Pekin</t>
  </si>
  <si>
    <t>Grand Junction</t>
  </si>
  <si>
    <t>Caitlin</t>
  </si>
  <si>
    <t>Ceci</t>
  </si>
  <si>
    <t>Lawrenceville</t>
  </si>
  <si>
    <t>Howe</t>
  </si>
  <si>
    <t>Racine</t>
  </si>
  <si>
    <t>Donald</t>
  </si>
  <si>
    <t>Reed</t>
  </si>
  <si>
    <t>New Berlin</t>
  </si>
  <si>
    <t>June</t>
  </si>
  <si>
    <t>Martin</t>
  </si>
  <si>
    <t>Ontario</t>
  </si>
  <si>
    <t>Romary</t>
  </si>
  <si>
    <t>New Haven</t>
  </si>
  <si>
    <t>Bruce</t>
  </si>
  <si>
    <t>Berger</t>
  </si>
  <si>
    <t>Skillman</t>
  </si>
  <si>
    <t>Price</t>
  </si>
  <si>
    <t>Shippensburg</t>
  </si>
  <si>
    <t>Grant</t>
  </si>
  <si>
    <t>West Bloomfield</t>
  </si>
  <si>
    <t>Gerfin</t>
  </si>
  <si>
    <t>Lancaster</t>
  </si>
  <si>
    <t>Kirchner</t>
  </si>
  <si>
    <t>West St. Paul</t>
  </si>
  <si>
    <t>Mattes</t>
  </si>
  <si>
    <t>Milton</t>
  </si>
  <si>
    <t>Zoch</t>
  </si>
  <si>
    <t>Sheboygan</t>
  </si>
  <si>
    <t>Savoie</t>
  </si>
  <si>
    <t>Perilli</t>
  </si>
  <si>
    <t>Ossining</t>
  </si>
  <si>
    <t>Victoria</t>
  </si>
  <si>
    <t>Hutsonville</t>
  </si>
  <si>
    <t>Nugent</t>
  </si>
  <si>
    <t>Belvidere</t>
  </si>
  <si>
    <t>Jacquelyn</t>
  </si>
  <si>
    <t>Sullivan</t>
  </si>
  <si>
    <t>East Lyme</t>
  </si>
  <si>
    <t>Dolores</t>
  </si>
  <si>
    <t>Budelier</t>
  </si>
  <si>
    <t>Crystal Lake</t>
  </si>
  <si>
    <t>Spielman</t>
  </si>
  <si>
    <t>Joe</t>
  </si>
  <si>
    <t>Lecher</t>
  </si>
  <si>
    <t>Pesotum</t>
  </si>
  <si>
    <t>Wesolowski</t>
  </si>
  <si>
    <t>Garnet Valley</t>
  </si>
  <si>
    <t>Carolyn</t>
  </si>
  <si>
    <t>Twin Falls</t>
  </si>
  <si>
    <t>Esther</t>
  </si>
  <si>
    <t>Lanting</t>
  </si>
  <si>
    <t>Goshen</t>
  </si>
  <si>
    <t>Sandra</t>
  </si>
  <si>
    <t>Alois</t>
  </si>
  <si>
    <t>Slepicka</t>
  </si>
  <si>
    <t>Malvern</t>
  </si>
  <si>
    <t>Surbaugh</t>
  </si>
  <si>
    <t>Sister Bay</t>
  </si>
  <si>
    <t>Dave</t>
  </si>
  <si>
    <t>Rossi</t>
  </si>
  <si>
    <t>Beach Park</t>
  </si>
  <si>
    <t>Katherine</t>
  </si>
  <si>
    <t>Ase</t>
  </si>
  <si>
    <t>Jan</t>
  </si>
  <si>
    <t>Suamico</t>
  </si>
  <si>
    <t>Jeanette</t>
  </si>
  <si>
    <t>Zagorce</t>
  </si>
  <si>
    <t>Aurora</t>
  </si>
  <si>
    <t>Betts</t>
  </si>
  <si>
    <t>Doylestown</t>
  </si>
  <si>
    <t>Jeff</t>
  </si>
  <si>
    <t>Faridy</t>
  </si>
  <si>
    <t>Levittown</t>
  </si>
  <si>
    <t>Atis</t>
  </si>
  <si>
    <t>Makstenieks</t>
  </si>
  <si>
    <t>Woodridge</t>
  </si>
  <si>
    <t>Karen</t>
  </si>
  <si>
    <t>Wilson</t>
  </si>
  <si>
    <t>Grand Rapids</t>
  </si>
  <si>
    <t>Coulter</t>
  </si>
  <si>
    <t>Morris</t>
  </si>
  <si>
    <t>Southard</t>
  </si>
  <si>
    <t>Tipton</t>
  </si>
  <si>
    <t>Virgil</t>
  </si>
  <si>
    <t>Canon City</t>
  </si>
  <si>
    <t>Ray</t>
  </si>
  <si>
    <t>Benner</t>
  </si>
  <si>
    <t>Selinsgrove</t>
  </si>
  <si>
    <t>Hope</t>
  </si>
  <si>
    <t>Sim</t>
  </si>
  <si>
    <t>Westport</t>
  </si>
  <si>
    <t>A.</t>
  </si>
  <si>
    <t>Tracy</t>
  </si>
  <si>
    <t>Fair Lawn</t>
  </si>
  <si>
    <t>Tevonian</t>
  </si>
  <si>
    <t>Robin</t>
  </si>
  <si>
    <t>Dustow</t>
  </si>
  <si>
    <t>Bernardsville</t>
  </si>
  <si>
    <t>Baker</t>
  </si>
  <si>
    <t>Commerce Twp</t>
  </si>
  <si>
    <t>Ed</t>
  </si>
  <si>
    <t>Reibscheid</t>
  </si>
  <si>
    <t>Franklin Park</t>
  </si>
  <si>
    <t>Nycz</t>
  </si>
  <si>
    <t>Milwaukee</t>
  </si>
  <si>
    <t>Koch</t>
  </si>
  <si>
    <t>Monroe</t>
  </si>
  <si>
    <t>Rasmussen</t>
  </si>
  <si>
    <t>Blair</t>
  </si>
  <si>
    <t>Suzanne</t>
  </si>
  <si>
    <t>Cornell</t>
  </si>
  <si>
    <t>Kennett Square</t>
  </si>
  <si>
    <t>Nelson</t>
  </si>
  <si>
    <t>Yardley</t>
  </si>
  <si>
    <t>Benjamin</t>
  </si>
  <si>
    <t>Carol Stream</t>
  </si>
  <si>
    <t>Saint Paul</t>
  </si>
  <si>
    <t>Cathy</t>
  </si>
  <si>
    <t>Challenner</t>
  </si>
  <si>
    <t>Howard</t>
  </si>
  <si>
    <t>Kriebel</t>
  </si>
  <si>
    <t>Collegeville</t>
  </si>
  <si>
    <t>Randall</t>
  </si>
  <si>
    <t>Oliva</t>
  </si>
  <si>
    <t>Park Ridge</t>
  </si>
  <si>
    <t>Vilonen</t>
  </si>
  <si>
    <t>Amherst</t>
  </si>
  <si>
    <t>Hazen</t>
  </si>
  <si>
    <t>Carpenter</t>
  </si>
  <si>
    <t>Springvale</t>
  </si>
  <si>
    <t>Austin</t>
  </si>
  <si>
    <t>Brick</t>
  </si>
  <si>
    <t>George</t>
  </si>
  <si>
    <t>Randolph</t>
  </si>
  <si>
    <t>Street</t>
  </si>
  <si>
    <t>Boulder</t>
  </si>
  <si>
    <t>Dale</t>
  </si>
  <si>
    <t>Burleson</t>
  </si>
  <si>
    <t>Shields</t>
  </si>
  <si>
    <t>Northville</t>
  </si>
  <si>
    <t>Marlene</t>
  </si>
  <si>
    <t>Ruehr</t>
  </si>
  <si>
    <t>Warrenville</t>
  </si>
  <si>
    <t>Jim</t>
  </si>
  <si>
    <t>Schwiebert</t>
  </si>
  <si>
    <t>Candace</t>
  </si>
  <si>
    <t>Nourse-Hatch</t>
  </si>
  <si>
    <t>Boise</t>
  </si>
  <si>
    <t>Cannon</t>
  </si>
  <si>
    <t>Valparaiso</t>
  </si>
  <si>
    <t>Varol</t>
  </si>
  <si>
    <t>Westbury</t>
  </si>
  <si>
    <t>Ken</t>
  </si>
  <si>
    <t>Ikier</t>
  </si>
  <si>
    <t>Butcher</t>
  </si>
  <si>
    <t>Dils</t>
  </si>
  <si>
    <t>Buena Vista</t>
  </si>
  <si>
    <t>Isabelle</t>
  </si>
  <si>
    <t>Wald</t>
  </si>
  <si>
    <t>Elizabeth</t>
  </si>
  <si>
    <t>Ruml</t>
  </si>
  <si>
    <t>Redding</t>
  </si>
  <si>
    <t>Myron</t>
  </si>
  <si>
    <t>Yakely</t>
  </si>
  <si>
    <t>Wyatt</t>
  </si>
  <si>
    <t>Brush</t>
  </si>
  <si>
    <t>Weidner</t>
  </si>
  <si>
    <t>Wilmington</t>
  </si>
  <si>
    <t>Sally</t>
  </si>
  <si>
    <t>Jarvis</t>
  </si>
  <si>
    <t>Tom</t>
  </si>
  <si>
    <t>Verbison</t>
  </si>
  <si>
    <t>Livonia</t>
  </si>
  <si>
    <t>Petersen</t>
  </si>
  <si>
    <t>Loveland</t>
  </si>
  <si>
    <t>Goetzinger</t>
  </si>
  <si>
    <t>Lewiston</t>
  </si>
  <si>
    <t>La Porte</t>
  </si>
  <si>
    <t>Peggy</t>
  </si>
  <si>
    <t>Ivers</t>
  </si>
  <si>
    <t>Perkiomenvlle</t>
  </si>
  <si>
    <t>Roth</t>
  </si>
  <si>
    <t>Holidaysburg</t>
  </si>
  <si>
    <t>Fenton</t>
  </si>
  <si>
    <t>Fredericksburg</t>
  </si>
  <si>
    <t>Hollidaysburg</t>
  </si>
  <si>
    <t>Moore</t>
  </si>
  <si>
    <t>Lincoln</t>
  </si>
  <si>
    <t>Shamong</t>
  </si>
  <si>
    <t xml:space="preserve">CON </t>
  </si>
  <si>
    <t>Marie</t>
  </si>
  <si>
    <t>Gianaca</t>
  </si>
  <si>
    <t>Freeport</t>
  </si>
  <si>
    <t>Fremont</t>
  </si>
  <si>
    <t>Julie</t>
  </si>
  <si>
    <t>Barnes</t>
  </si>
  <si>
    <t>Peoria</t>
  </si>
  <si>
    <t>Badger</t>
  </si>
  <si>
    <t>Binghamton</t>
  </si>
  <si>
    <t>Freels</t>
  </si>
  <si>
    <t>Woodstock</t>
  </si>
  <si>
    <t>Brookshire</t>
  </si>
  <si>
    <t>Erie</t>
  </si>
  <si>
    <t>Margaret</t>
  </si>
  <si>
    <t>North Tonawanda</t>
  </si>
  <si>
    <t>Delmar</t>
  </si>
  <si>
    <t>Funk</t>
  </si>
  <si>
    <t>Homewood</t>
  </si>
  <si>
    <t>Wyderko</t>
  </si>
  <si>
    <t>Maureen</t>
  </si>
  <si>
    <t>Buteyn</t>
  </si>
  <si>
    <t>Fox Lake</t>
  </si>
  <si>
    <t>Evelyn</t>
  </si>
  <si>
    <t>Dymkowski</t>
  </si>
  <si>
    <t>Clinton</t>
  </si>
  <si>
    <t>Snider</t>
  </si>
  <si>
    <t>Donor emailed asking about cgas. WAH sent her an email with general annuity info.</t>
  </si>
  <si>
    <t>Ziegler</t>
  </si>
  <si>
    <t>Walnutport</t>
  </si>
  <si>
    <t>Eugene</t>
  </si>
  <si>
    <t>Finger</t>
  </si>
  <si>
    <t>Brewster</t>
  </si>
  <si>
    <t>Paula</t>
  </si>
  <si>
    <t>Kyburz</t>
  </si>
  <si>
    <t>Des Moines</t>
  </si>
  <si>
    <t>Sibley</t>
  </si>
  <si>
    <t>Newaygo</t>
  </si>
  <si>
    <t>Joan</t>
  </si>
  <si>
    <t>Book</t>
  </si>
  <si>
    <t>Charlotte</t>
  </si>
  <si>
    <t>Holdrege</t>
  </si>
  <si>
    <t>Ivins</t>
  </si>
  <si>
    <t>Waggener</t>
  </si>
  <si>
    <t>Kirk</t>
  </si>
  <si>
    <t>Fowler</t>
  </si>
  <si>
    <t>Shoreview</t>
  </si>
  <si>
    <t>Kalispell</t>
  </si>
  <si>
    <t>Cynthia</t>
  </si>
  <si>
    <t>Truman</t>
  </si>
  <si>
    <t>Cindy</t>
  </si>
  <si>
    <t>Ott-Jones</t>
  </si>
  <si>
    <t>Ridgway</t>
  </si>
  <si>
    <t>Baars</t>
  </si>
  <si>
    <t>Sterling Hts</t>
  </si>
  <si>
    <t>Lyle</t>
  </si>
  <si>
    <t>Stuby</t>
  </si>
  <si>
    <t>Schellsburg</t>
  </si>
  <si>
    <t>Ann Arbor</t>
  </si>
  <si>
    <t>Melvin</t>
  </si>
  <si>
    <t>Leach</t>
  </si>
  <si>
    <t>Inver Grove Heights</t>
  </si>
  <si>
    <t>Shivvers</t>
  </si>
  <si>
    <t>Saratoga Springs</t>
  </si>
  <si>
    <t>Hasler</t>
  </si>
  <si>
    <t>Farmington</t>
  </si>
  <si>
    <t>Gerald</t>
  </si>
  <si>
    <t>Klonglan</t>
  </si>
  <si>
    <t>Ames</t>
  </si>
  <si>
    <t>Shelah</t>
  </si>
  <si>
    <t>Brooks</t>
  </si>
  <si>
    <t>Howell</t>
  </si>
  <si>
    <t>Fritz</t>
  </si>
  <si>
    <t>Kaenzig</t>
  </si>
  <si>
    <t>Connie</t>
  </si>
  <si>
    <t>Wadesville</t>
  </si>
  <si>
    <t>Mildred</t>
  </si>
  <si>
    <t>Angevine</t>
  </si>
  <si>
    <t>Whitesboro</t>
  </si>
  <si>
    <t>Maki</t>
  </si>
  <si>
    <t>Virginia</t>
  </si>
  <si>
    <t>Nels</t>
  </si>
  <si>
    <t>Granholm</t>
  </si>
  <si>
    <t>Brookings</t>
  </si>
  <si>
    <t>Olsen</t>
  </si>
  <si>
    <t>Ephraim</t>
  </si>
  <si>
    <t>Julia</t>
  </si>
  <si>
    <t>Orange</t>
  </si>
  <si>
    <t>Hastings</t>
  </si>
  <si>
    <t>Hadley</t>
  </si>
  <si>
    <t>O'Brien</t>
  </si>
  <si>
    <t>Wdm</t>
  </si>
  <si>
    <t>K</t>
  </si>
  <si>
    <t>Cowley</t>
  </si>
  <si>
    <t>Sioux City</t>
  </si>
  <si>
    <t>Bloomfield</t>
  </si>
  <si>
    <t>Greenville</t>
  </si>
  <si>
    <t>Melanie</t>
  </si>
  <si>
    <t>Low</t>
  </si>
  <si>
    <t>Holland</t>
  </si>
  <si>
    <t>Tuckwell</t>
  </si>
  <si>
    <t>Schoene</t>
  </si>
  <si>
    <t>Benton Harbor</t>
  </si>
  <si>
    <t>Patricia A.</t>
  </si>
  <si>
    <t>Kertz</t>
  </si>
  <si>
    <t>Palos Hills</t>
  </si>
  <si>
    <t>Dean</t>
  </si>
  <si>
    <t>Stensrud</t>
  </si>
  <si>
    <t>Coon Rapids</t>
  </si>
  <si>
    <t>Thompson</t>
  </si>
  <si>
    <t>Golubic</t>
  </si>
  <si>
    <t>Edinboro</t>
  </si>
  <si>
    <t>Therese</t>
  </si>
  <si>
    <t>Woitas</t>
  </si>
  <si>
    <t>Mankato</t>
  </si>
  <si>
    <t>Wendy</t>
  </si>
  <si>
    <t>Hagenback</t>
  </si>
  <si>
    <t>Sylvia</t>
  </si>
  <si>
    <t>Stevens-Buczek</t>
  </si>
  <si>
    <t>Alden</t>
  </si>
  <si>
    <t>Elaine</t>
  </si>
  <si>
    <t>Medford</t>
  </si>
  <si>
    <t>Zozgornik</t>
  </si>
  <si>
    <t>Iron</t>
  </si>
  <si>
    <t>Ellen</t>
  </si>
  <si>
    <t>Zuckerman</t>
  </si>
  <si>
    <t>Huntingtn Sta</t>
  </si>
  <si>
    <t>Corson</t>
  </si>
  <si>
    <t>Wonder Lake</t>
  </si>
  <si>
    <t>Georgette</t>
  </si>
  <si>
    <t>Bardo</t>
  </si>
  <si>
    <t>Driftwood</t>
  </si>
  <si>
    <t>Seth</t>
  </si>
  <si>
    <t>Kane</t>
  </si>
  <si>
    <t>Oradell</t>
  </si>
  <si>
    <t>Beth</t>
  </si>
  <si>
    <t>Munkwitz</t>
  </si>
  <si>
    <t>Hatfield</t>
  </si>
  <si>
    <t>Auciello</t>
  </si>
  <si>
    <t>Meyer</t>
  </si>
  <si>
    <t>Zumbrota</t>
  </si>
  <si>
    <t>Small</t>
  </si>
  <si>
    <t>Dodgeville</t>
  </si>
  <si>
    <t>Kooistra</t>
  </si>
  <si>
    <t>Pat</t>
  </si>
  <si>
    <t>Flaugher</t>
  </si>
  <si>
    <t>Charleston</t>
  </si>
  <si>
    <t>Scotch Plains</t>
  </si>
  <si>
    <t>Bosio</t>
  </si>
  <si>
    <t>Cement City</t>
  </si>
  <si>
    <t>Debra</t>
  </si>
  <si>
    <t>Moyer</t>
  </si>
  <si>
    <t>Rensselaer</t>
  </si>
  <si>
    <t>Bisbing</t>
  </si>
  <si>
    <t>Mary Ann</t>
  </si>
  <si>
    <t>Binkowski</t>
  </si>
  <si>
    <t>Briggs</t>
  </si>
  <si>
    <t>Burgettstown</t>
  </si>
  <si>
    <t>Kurt</t>
  </si>
  <si>
    <t>Kaiser</t>
  </si>
  <si>
    <t>Sandpoint</t>
  </si>
  <si>
    <t>Muirhead</t>
  </si>
  <si>
    <t>Hamden</t>
  </si>
  <si>
    <t>Judy</t>
  </si>
  <si>
    <t>Lemon</t>
  </si>
  <si>
    <t>Galesburg</t>
  </si>
  <si>
    <t>Seamus</t>
  </si>
  <si>
    <t>Cunningham</t>
  </si>
  <si>
    <t>Millicent</t>
  </si>
  <si>
    <t>Mckinley</t>
  </si>
  <si>
    <t>Earle</t>
  </si>
  <si>
    <t>Santa Fe</t>
  </si>
  <si>
    <t>Akers-Mcdowell</t>
  </si>
  <si>
    <t>Keith</t>
  </si>
  <si>
    <t>Sendall</t>
  </si>
  <si>
    <t>Rabetoy</t>
  </si>
  <si>
    <t>Piney Flats</t>
  </si>
  <si>
    <t>Cyburt</t>
  </si>
  <si>
    <t>Union</t>
  </si>
  <si>
    <t xml:space="preserve">Donor emailed WAH asking for sample bequest language to add NPCA to her will. WAH replied with info. </t>
  </si>
  <si>
    <t>Larson</t>
  </si>
  <si>
    <t>Sequim</t>
  </si>
  <si>
    <t xml:space="preserve">Donor mailed MLS enrollment form. WAH emailed asking about NPF vs NPCA named in will. </t>
  </si>
  <si>
    <t xml:space="preserve">Lucia M. </t>
  </si>
  <si>
    <t>Berte</t>
  </si>
  <si>
    <t>Broomfield</t>
  </si>
  <si>
    <t>Stephen Fisher</t>
  </si>
  <si>
    <t>Clifford</t>
  </si>
  <si>
    <t>Hewitt</t>
  </si>
  <si>
    <t xml:space="preserve">Terry Hewitt </t>
  </si>
  <si>
    <t xml:space="preserve"> CON</t>
  </si>
  <si>
    <t>Dickylee</t>
  </si>
  <si>
    <t>Spindler</t>
  </si>
  <si>
    <t>Davenport</t>
  </si>
  <si>
    <t>Jill</t>
  </si>
  <si>
    <t>Jacobs</t>
  </si>
  <si>
    <t>Lutz</t>
  </si>
  <si>
    <t>Stow</t>
  </si>
  <si>
    <t>Penelope</t>
  </si>
  <si>
    <t xml:space="preserve">Donor called with interest in naming NPCA in trust. WAH mailed CON packet. </t>
  </si>
  <si>
    <t>Springman</t>
  </si>
  <si>
    <t>Godfrey</t>
  </si>
  <si>
    <t>Kenneth</t>
  </si>
  <si>
    <t>Dautrich</t>
  </si>
  <si>
    <t>Oneonta</t>
  </si>
  <si>
    <t>Fredda</t>
  </si>
  <si>
    <t>Sarot</t>
  </si>
  <si>
    <t>Forest Hills</t>
  </si>
  <si>
    <t>Dowagiac</t>
  </si>
  <si>
    <t>Young</t>
  </si>
  <si>
    <t>Morrison</t>
  </si>
  <si>
    <t>Wyman</t>
  </si>
  <si>
    <t>Wynantskill</t>
  </si>
  <si>
    <t>Wintner</t>
  </si>
  <si>
    <t>Hastings On Hudson</t>
  </si>
  <si>
    <t>Harrison</t>
  </si>
  <si>
    <t>Mcdowell</t>
  </si>
  <si>
    <t>Hillsboro</t>
  </si>
  <si>
    <t>Rose Marie</t>
  </si>
  <si>
    <t>Null</t>
  </si>
  <si>
    <t xml:space="preserve">Mailed CGA CON Packet; donor considering establishing a $20k CGA with NPCA. </t>
  </si>
  <si>
    <t xml:space="preserve"> 05/27/1940</t>
  </si>
  <si>
    <t>Pam</t>
  </si>
  <si>
    <t>Schiller</t>
  </si>
  <si>
    <t>Ashland</t>
  </si>
  <si>
    <t xml:space="preserve">Donor requested information on NPCA; considering making a restricted bequest gift from deceased partner's estate, per mandates of his will; information packet and gift proposal being created for mailing by 7/26. Gift proposal being submitted to Tim Moyer for review before mailing.  </t>
  </si>
  <si>
    <t>Lukens</t>
  </si>
  <si>
    <t>Crosby</t>
  </si>
  <si>
    <t>Allan</t>
  </si>
  <si>
    <t>Bulemore</t>
  </si>
  <si>
    <t>Owosso</t>
  </si>
  <si>
    <t>Hansen</t>
  </si>
  <si>
    <t>Wheat Ridge</t>
  </si>
  <si>
    <t>Harold</t>
  </si>
  <si>
    <t>Schiel</t>
  </si>
  <si>
    <t>Agnes</t>
  </si>
  <si>
    <t>Watkins</t>
  </si>
  <si>
    <t>Aledo</t>
  </si>
  <si>
    <t>Mary-Sue</t>
  </si>
  <si>
    <t>Ullrich</t>
  </si>
  <si>
    <t>Lucia</t>
  </si>
  <si>
    <t>Donnelly</t>
  </si>
  <si>
    <t>Roxene</t>
  </si>
  <si>
    <t>Roseville</t>
  </si>
  <si>
    <t>eMailed MLS Welcome Packet</t>
  </si>
  <si>
    <t>WAH replied to Carl email info request w/ info on differences between NPCA and nat park trust. Carl currently transferring assets to trust</t>
  </si>
  <si>
    <t>Huebner</t>
  </si>
  <si>
    <t>Stanton</t>
  </si>
  <si>
    <t>WAH emailed William after failed phone call attempt asking to touch base and if he had any questions</t>
  </si>
  <si>
    <t xml:space="preserve">Ms. Schiller has informed us she is including NPCA in her will; MLS packet is not being mailed due to previous mailing of PG informtion, and not to inundate her with too much material. </t>
  </si>
  <si>
    <t>Pam confirmed on phone call with Vonda and WAH she has legacy gift in her plans</t>
  </si>
  <si>
    <t>Parkin</t>
  </si>
  <si>
    <t>Ketchum</t>
  </si>
  <si>
    <t>Bonnie</t>
  </si>
  <si>
    <t>Christensen</t>
  </si>
  <si>
    <t xml:space="preserve">Robert </t>
  </si>
  <si>
    <t>Bartholomew</t>
  </si>
  <si>
    <t>Ivoryton</t>
  </si>
  <si>
    <t>Mailed MLS Packet</t>
  </si>
  <si>
    <t>Edward</t>
  </si>
  <si>
    <t>Bozeman</t>
  </si>
  <si>
    <t>Ed emailed to confirm $25,000 gift in trust; WAH mailed MLS welcome packet</t>
  </si>
  <si>
    <t>Mike</t>
  </si>
  <si>
    <t>Gawlik</t>
  </si>
  <si>
    <t>Addison</t>
  </si>
  <si>
    <t>Robbin</t>
  </si>
  <si>
    <t>Miller Hawk</t>
  </si>
  <si>
    <t>Pennsburg</t>
  </si>
  <si>
    <t xml:space="preserve">New MLS by CGA; Mailed welcome packet  </t>
  </si>
  <si>
    <t>Ridder</t>
  </si>
  <si>
    <t>McLean</t>
  </si>
  <si>
    <t>WAH visited at home; working with TP on longterm cultivation plan.</t>
  </si>
  <si>
    <t>Stanley</t>
  </si>
  <si>
    <t>Keil</t>
  </si>
  <si>
    <t>Muncie</t>
  </si>
  <si>
    <t>Tatem</t>
  </si>
  <si>
    <t>Dillon</t>
  </si>
  <si>
    <t xml:space="preserve">Mailed CGA CON Packet; donor considering establishing a $10k CGA with NPCA. </t>
  </si>
  <si>
    <t>Goodland</t>
  </si>
  <si>
    <t>Dixon</t>
  </si>
  <si>
    <t>Hobbs</t>
  </si>
  <si>
    <t>Grahamsville</t>
  </si>
  <si>
    <t>Mailed INT Packet; expected to complete gift in 3-6 months</t>
  </si>
  <si>
    <t>Pereira</t>
  </si>
  <si>
    <t>New Bedford</t>
  </si>
  <si>
    <t>Hollis</t>
  </si>
  <si>
    <t>Hamilton</t>
  </si>
  <si>
    <t>Avon</t>
  </si>
  <si>
    <t>Mailed Info packet; Jim responded they are busy through Sept but look forward to continuing conversation.</t>
  </si>
  <si>
    <t>Hajimu</t>
  </si>
  <si>
    <t>Fujii</t>
  </si>
  <si>
    <t>Fresno</t>
  </si>
  <si>
    <t>Beatrice</t>
  </si>
  <si>
    <t>DeBuono</t>
  </si>
  <si>
    <t>Penfield</t>
  </si>
  <si>
    <t>Ranaudo</t>
  </si>
  <si>
    <t>Mendon</t>
  </si>
  <si>
    <t>Hatley</t>
  </si>
  <si>
    <t>Edmond</t>
  </si>
  <si>
    <t>eMailed CON Packet</t>
  </si>
  <si>
    <t>Rick</t>
  </si>
  <si>
    <t>Rick emailed WAH re CRT or CGA. WAH sent info back.</t>
  </si>
  <si>
    <t>Marvin</t>
  </si>
  <si>
    <t>Stewart</t>
  </si>
  <si>
    <t>Dandridge</t>
  </si>
  <si>
    <t>WAH emailed Millennials Guide per survey request</t>
  </si>
  <si>
    <t>WAH emailed CON Packet per website request</t>
  </si>
  <si>
    <t>Tod</t>
  </si>
  <si>
    <t>Lemkuhl</t>
  </si>
  <si>
    <t>Eatonville</t>
  </si>
  <si>
    <t>Lee</t>
  </si>
  <si>
    <t>Longenecker</t>
  </si>
  <si>
    <t>Mcallen</t>
  </si>
  <si>
    <t>Tuckerman</t>
  </si>
  <si>
    <t>Debra Tuckerman</t>
  </si>
  <si>
    <t>Marjorie</t>
  </si>
  <si>
    <t>Lange</t>
  </si>
  <si>
    <t>Great Neck</t>
  </si>
  <si>
    <t>Vicki</t>
  </si>
  <si>
    <t>Zarrell</t>
  </si>
  <si>
    <t>Olympia</t>
  </si>
  <si>
    <t>Bent</t>
  </si>
  <si>
    <t>Mailed CGA CON Packet</t>
  </si>
  <si>
    <t>Andrew</t>
  </si>
  <si>
    <t>Zanartu</t>
  </si>
  <si>
    <t xml:space="preserve">Sent CGA information via email; Mr. Zanartu did not provide a mailing address.   </t>
  </si>
  <si>
    <t>Cesar</t>
  </si>
  <si>
    <t>Martine</t>
  </si>
  <si>
    <t>Harlingen</t>
  </si>
  <si>
    <t xml:space="preserve">Mailed CGA CON Packet </t>
  </si>
  <si>
    <t>Witt</t>
  </si>
  <si>
    <t>Dayton</t>
  </si>
  <si>
    <t>Wortham</t>
  </si>
  <si>
    <t>Tulsa</t>
  </si>
  <si>
    <t>Edna</t>
  </si>
  <si>
    <t>Hibbitts</t>
  </si>
  <si>
    <t>Fafrak</t>
  </si>
  <si>
    <t>Granville</t>
  </si>
  <si>
    <t>Tim</t>
  </si>
  <si>
    <t>Reichard</t>
  </si>
  <si>
    <t>Dallas</t>
  </si>
  <si>
    <t>Marrs</t>
  </si>
  <si>
    <t>Junction City</t>
  </si>
  <si>
    <t>Prudence</t>
  </si>
  <si>
    <t>Clendenning</t>
  </si>
  <si>
    <t>Edgewater</t>
  </si>
  <si>
    <t>Frost</t>
  </si>
  <si>
    <t>WAH emailed value and timeline for sale of artwork if friend is still interested</t>
  </si>
  <si>
    <t>Kate</t>
  </si>
  <si>
    <t>Vanskike</t>
  </si>
  <si>
    <t>Spokane</t>
  </si>
  <si>
    <t>WAH eMailed MLS Welcome Packet</t>
  </si>
  <si>
    <t>Francine</t>
  </si>
  <si>
    <t>Lawrence</t>
  </si>
  <si>
    <t>Sylvania</t>
  </si>
  <si>
    <t>Alma</t>
  </si>
  <si>
    <t>Lantz</t>
  </si>
  <si>
    <t>Englewood</t>
  </si>
  <si>
    <t>Spoke w/ Alma by phone about a gift of $1k+ through stock transfer. Provided instructions by email.</t>
  </si>
  <si>
    <t>Adler</t>
  </si>
  <si>
    <t>San Pedro</t>
  </si>
  <si>
    <t xml:space="preserve">Spoke w/ Stanley about NPCA/NPF differences and legacy giving. Following up with more info. </t>
  </si>
  <si>
    <t>Confirmation from Pam that check is forthcoming</t>
  </si>
  <si>
    <t>Ivan</t>
  </si>
  <si>
    <t>Snyder</t>
  </si>
  <si>
    <t>Gwnedd</t>
  </si>
  <si>
    <t>Ivan and Hannah Snyder has established a new $15k CGA with NPCA</t>
  </si>
  <si>
    <t>Tarr</t>
  </si>
  <si>
    <t>Spoke on phone re CGA and CRT</t>
  </si>
  <si>
    <t>Andrascik</t>
  </si>
  <si>
    <t>Karen Andrascik</t>
  </si>
  <si>
    <t>Eleanor</t>
  </si>
  <si>
    <t>Kowalczyk</t>
  </si>
  <si>
    <t>Richfield</t>
  </si>
  <si>
    <t>MLS, CGA</t>
  </si>
  <si>
    <t>Spoke with Eleanor by phone to process a $500 credit card gift. Thanked her for her support.</t>
  </si>
  <si>
    <t>Anne Koch</t>
  </si>
  <si>
    <t xml:space="preserve">Scheduled visit to discuss legacy giving. </t>
  </si>
  <si>
    <t>Boggs</t>
  </si>
  <si>
    <t>Memphis</t>
  </si>
  <si>
    <t>Centralia</t>
  </si>
  <si>
    <t>Bend</t>
  </si>
  <si>
    <t>Graf</t>
  </si>
  <si>
    <t>Prosser</t>
  </si>
  <si>
    <t>Popplewell</t>
  </si>
  <si>
    <t>Cincinnati</t>
  </si>
  <si>
    <t>Frisbie</t>
  </si>
  <si>
    <t>West Springfield</t>
  </si>
  <si>
    <t>Pauline</t>
  </si>
  <si>
    <t>Serkey</t>
  </si>
  <si>
    <t>Donn</t>
  </si>
  <si>
    <t>Charnley</t>
  </si>
  <si>
    <t>Shoreline</t>
  </si>
  <si>
    <t>Surmick</t>
  </si>
  <si>
    <t>Chardon</t>
  </si>
  <si>
    <t>Joseph</t>
  </si>
  <si>
    <t>Tokar</t>
  </si>
  <si>
    <t>Broadview Hts</t>
  </si>
  <si>
    <t>Harris</t>
  </si>
  <si>
    <t>Fort Mill</t>
  </si>
  <si>
    <t>C</t>
  </si>
  <si>
    <t>Reining</t>
  </si>
  <si>
    <t>Lynnwood</t>
  </si>
  <si>
    <t>Elinore</t>
  </si>
  <si>
    <t>Cumings</t>
  </si>
  <si>
    <t>Rosenberg</t>
  </si>
  <si>
    <t>Hornyak</t>
  </si>
  <si>
    <t>Maryville</t>
  </si>
  <si>
    <t>Cindi</t>
  </si>
  <si>
    <t>Miles</t>
  </si>
  <si>
    <t>Guthrie</t>
  </si>
  <si>
    <t>West/Vonda</t>
  </si>
  <si>
    <t>VA created illustrations and WAH emailed to Jeff</t>
  </si>
  <si>
    <t>Anastasia</t>
  </si>
  <si>
    <t>Tie Siding</t>
  </si>
  <si>
    <t>Andrew Grant</t>
  </si>
  <si>
    <t>VA created illustrations and WAH emailed to donors</t>
  </si>
  <si>
    <t>Crooker-White</t>
  </si>
  <si>
    <t>Rcho Santa Fe</t>
  </si>
  <si>
    <t>David White</t>
  </si>
  <si>
    <t>Reding</t>
  </si>
  <si>
    <t>Baytown</t>
  </si>
  <si>
    <t>Davis</t>
  </si>
  <si>
    <t>New Boston</t>
  </si>
  <si>
    <t>Kearsley</t>
  </si>
  <si>
    <t>Seattle</t>
  </si>
  <si>
    <t>Madeline</t>
  </si>
  <si>
    <t>Renkens</t>
  </si>
  <si>
    <t>Snohomish</t>
  </si>
  <si>
    <t>Nauman</t>
  </si>
  <si>
    <t>Orseno</t>
  </si>
  <si>
    <t>Lorain</t>
  </si>
  <si>
    <t>Collins</t>
  </si>
  <si>
    <t>Simsbury</t>
  </si>
  <si>
    <t>Baun</t>
  </si>
  <si>
    <t>Toledo</t>
  </si>
  <si>
    <t>Sawyer</t>
  </si>
  <si>
    <t>Corryton</t>
  </si>
  <si>
    <t>Pamela</t>
  </si>
  <si>
    <t>Joann</t>
  </si>
  <si>
    <t>Wells</t>
  </si>
  <si>
    <t>Leesville</t>
  </si>
  <si>
    <t>Lynne</t>
  </si>
  <si>
    <t>Woodruff</t>
  </si>
  <si>
    <t>Mount Juliet</t>
  </si>
  <si>
    <t>Gayle</t>
  </si>
  <si>
    <t>Kanies</t>
  </si>
  <si>
    <t>Loney</t>
  </si>
  <si>
    <t>Enumclaw</t>
  </si>
  <si>
    <t>Claborne</t>
  </si>
  <si>
    <t>Youngblood</t>
  </si>
  <si>
    <t>Plano</t>
  </si>
  <si>
    <t>Mogford</t>
  </si>
  <si>
    <t>Streetsboro</t>
  </si>
  <si>
    <t>Ballinger</t>
  </si>
  <si>
    <t>Chester</t>
  </si>
  <si>
    <t>Maimon</t>
  </si>
  <si>
    <t>Leavitt</t>
  </si>
  <si>
    <t>Jeffrey Lee</t>
  </si>
  <si>
    <t>Larry</t>
  </si>
  <si>
    <t>Friesen</t>
  </si>
  <si>
    <t>Vancouver</t>
  </si>
  <si>
    <t>Sielke</t>
  </si>
  <si>
    <t>Swanzey</t>
  </si>
  <si>
    <t>Phillbrick</t>
  </si>
  <si>
    <t>Yacko</t>
  </si>
  <si>
    <t>Rod</t>
  </si>
  <si>
    <t>Crowl</t>
  </si>
  <si>
    <t>Rebecca</t>
  </si>
  <si>
    <t>Buell</t>
  </si>
  <si>
    <t>Yakima</t>
  </si>
  <si>
    <t>Marilyn</t>
  </si>
  <si>
    <t>Ellsworth</t>
  </si>
  <si>
    <t>Sudbury</t>
  </si>
  <si>
    <t>Rosenwald</t>
  </si>
  <si>
    <t>Bellevue</t>
  </si>
  <si>
    <t>Witowski</t>
  </si>
  <si>
    <t>Murrells Inlt</t>
  </si>
  <si>
    <t>Eric</t>
  </si>
  <si>
    <t>Tigard</t>
  </si>
  <si>
    <t>Gnabasik</t>
  </si>
  <si>
    <t>Verona</t>
  </si>
  <si>
    <t>Luanne</t>
  </si>
  <si>
    <t>Humphrey</t>
  </si>
  <si>
    <t>Renton</t>
  </si>
  <si>
    <t>Nusbaum</t>
  </si>
  <si>
    <t>Perrysburg</t>
  </si>
  <si>
    <t>Trotter</t>
  </si>
  <si>
    <t>Tacoma</t>
  </si>
  <si>
    <t>Loretta</t>
  </si>
  <si>
    <t>Ekoniak</t>
  </si>
  <si>
    <t>Canfield</t>
  </si>
  <si>
    <t>Jonathan</t>
  </si>
  <si>
    <t>Julius</t>
  </si>
  <si>
    <t>Oak Ridge</t>
  </si>
  <si>
    <t>Kiekhaefer</t>
  </si>
  <si>
    <t>Akron</t>
  </si>
  <si>
    <t>Wier</t>
  </si>
  <si>
    <t>Doran</t>
  </si>
  <si>
    <t>Vandalia</t>
  </si>
  <si>
    <t>Jeannette</t>
  </si>
  <si>
    <t>Goetz</t>
  </si>
  <si>
    <t>Spring</t>
  </si>
  <si>
    <t>Burford-Pentz</t>
  </si>
  <si>
    <t>Lake Milton</t>
  </si>
  <si>
    <t>Milla</t>
  </si>
  <si>
    <t>Findley</t>
  </si>
  <si>
    <t>Cedar Hill</t>
  </si>
  <si>
    <t>Hill</t>
  </si>
  <si>
    <t>Belchertown</t>
  </si>
  <si>
    <t>Meredith</t>
  </si>
  <si>
    <t>Derr</t>
  </si>
  <si>
    <t>Lajoy</t>
  </si>
  <si>
    <t>Wenche</t>
  </si>
  <si>
    <t>Wahl</t>
  </si>
  <si>
    <t>Wende</t>
  </si>
  <si>
    <t>Liberty Lake</t>
  </si>
  <si>
    <t>Bleeke</t>
  </si>
  <si>
    <t>Kettering</t>
  </si>
  <si>
    <t>Sargent</t>
  </si>
  <si>
    <t>Candia</t>
  </si>
  <si>
    <t>B.</t>
  </si>
  <si>
    <t>Amerine</t>
  </si>
  <si>
    <t>Delaware</t>
  </si>
  <si>
    <t>McVay</t>
  </si>
  <si>
    <t>Gaddis</t>
  </si>
  <si>
    <t>San Marcos</t>
  </si>
  <si>
    <t>Call</t>
  </si>
  <si>
    <t>Richland</t>
  </si>
  <si>
    <t>Dishman</t>
  </si>
  <si>
    <t>Nashville</t>
  </si>
  <si>
    <t>Rich</t>
  </si>
  <si>
    <t>Basore</t>
  </si>
  <si>
    <t>Collierville</t>
  </si>
  <si>
    <t>Davide</t>
  </si>
  <si>
    <t>Philippi</t>
  </si>
  <si>
    <t>Cave</t>
  </si>
  <si>
    <t>Kerrville</t>
  </si>
  <si>
    <t>Holly</t>
  </si>
  <si>
    <t>King</t>
  </si>
  <si>
    <t>Chattanooga</t>
  </si>
  <si>
    <t>Stadler</t>
  </si>
  <si>
    <t>Parris</t>
  </si>
  <si>
    <t>Dublin</t>
  </si>
  <si>
    <t>Humble</t>
  </si>
  <si>
    <t>Knoxville</t>
  </si>
  <si>
    <t>Graves</t>
  </si>
  <si>
    <t>West Linn</t>
  </si>
  <si>
    <t>Passmore</t>
  </si>
  <si>
    <t>Sherwood</t>
  </si>
  <si>
    <t>Rogers</t>
  </si>
  <si>
    <t>Chris</t>
  </si>
  <si>
    <t>Grey</t>
  </si>
  <si>
    <t>Stanwood</t>
  </si>
  <si>
    <t>Oldfield</t>
  </si>
  <si>
    <t>Stevenson</t>
  </si>
  <si>
    <t>Todd</t>
  </si>
  <si>
    <t>Elgin</t>
  </si>
  <si>
    <t>Eckenrode</t>
  </si>
  <si>
    <t>Johnson City</t>
  </si>
  <si>
    <t>Janis</t>
  </si>
  <si>
    <t>Herman</t>
  </si>
  <si>
    <t>Fletcher</t>
  </si>
  <si>
    <t>Sevierville</t>
  </si>
  <si>
    <t>Riley</t>
  </si>
  <si>
    <t>Goodman</t>
  </si>
  <si>
    <t>Fort Worth</t>
  </si>
  <si>
    <t>Coppell</t>
  </si>
  <si>
    <t>Drenik</t>
  </si>
  <si>
    <t>Natick</t>
  </si>
  <si>
    <t>Sigrid</t>
  </si>
  <si>
    <t>Elenga</t>
  </si>
  <si>
    <t>Kirkland</t>
  </si>
  <si>
    <t>Turner</t>
  </si>
  <si>
    <t>Rutter</t>
  </si>
  <si>
    <t>Spartanburg</t>
  </si>
  <si>
    <t>San Antonio</t>
  </si>
  <si>
    <t>Leeta</t>
  </si>
  <si>
    <t>Marlinton</t>
  </si>
  <si>
    <t>Merrie</t>
  </si>
  <si>
    <t>Tomlinson</t>
  </si>
  <si>
    <t>Peak</t>
  </si>
  <si>
    <t>El Paso</t>
  </si>
  <si>
    <t>J</t>
  </si>
  <si>
    <t>Crowe</t>
  </si>
  <si>
    <t>Richardson</t>
  </si>
  <si>
    <t>Rao</t>
  </si>
  <si>
    <t>Seneca</t>
  </si>
  <si>
    <t>Twila</t>
  </si>
  <si>
    <t>Gass</t>
  </si>
  <si>
    <t>Frisco</t>
  </si>
  <si>
    <t>Kenmore</t>
  </si>
  <si>
    <t>Kevin</t>
  </si>
  <si>
    <t>Winn</t>
  </si>
  <si>
    <t>Leonard</t>
  </si>
  <si>
    <t>Timmons</t>
  </si>
  <si>
    <t>Auburn</t>
  </si>
  <si>
    <t>Eberhard</t>
  </si>
  <si>
    <t>Aiken</t>
  </si>
  <si>
    <t>Reifler</t>
  </si>
  <si>
    <t>Pyle</t>
  </si>
  <si>
    <t>Cleveland</t>
  </si>
  <si>
    <t>Doris</t>
  </si>
  <si>
    <t>Rosson</t>
  </si>
  <si>
    <t>Brunner</t>
  </si>
  <si>
    <t>Dian</t>
  </si>
  <si>
    <t>Lopez</t>
  </si>
  <si>
    <t>Margo</t>
  </si>
  <si>
    <t>Cooke</t>
  </si>
  <si>
    <t>Marna</t>
  </si>
  <si>
    <t>Magri</t>
  </si>
  <si>
    <t>Watertown</t>
  </si>
  <si>
    <t>Andrea</t>
  </si>
  <si>
    <t>Borowiec</t>
  </si>
  <si>
    <t>Christopher</t>
  </si>
  <si>
    <t>Knoop</t>
  </si>
  <si>
    <t>Herrin</t>
  </si>
  <si>
    <t>Moses Lake</t>
  </si>
  <si>
    <t>Patsy Tarr</t>
  </si>
  <si>
    <t>WAH spoke with Jeff by phone re illustrations. Only interest in CGA. WAH sending new illustration for lower discount rate</t>
  </si>
  <si>
    <t>Bowden</t>
  </si>
  <si>
    <t>De Ruyter</t>
  </si>
  <si>
    <t>Christine Bowden</t>
  </si>
  <si>
    <t>WAH eMailed illustrations for CGA and CRT. VA created illustrations.</t>
  </si>
  <si>
    <t xml:space="preserve">Mailed CGA information packet. </t>
  </si>
  <si>
    <t>Orleans</t>
  </si>
  <si>
    <t>Martinez</t>
  </si>
  <si>
    <t>Sansone</t>
  </si>
  <si>
    <t>Berlin</t>
  </si>
  <si>
    <t>Anne Marie</t>
  </si>
  <si>
    <t>Waterhouse</t>
  </si>
  <si>
    <t>WAH spoke with on phone and gave tax ID to complete bene designation on financial acct</t>
  </si>
  <si>
    <t>David emailed WAH and said consideration is years away, but thanked for sending over the numbers</t>
  </si>
  <si>
    <t>John Mosby</t>
  </si>
  <si>
    <t xml:space="preserve">Spoke with John today about possible establishing another CGA with NPCA; he graciously declined but did ensure me he will be sending in a year-end donation but didn't specifiy the amount. </t>
  </si>
  <si>
    <t>WAH sent info requested on JT and Yellowstone + sample bequest language</t>
  </si>
  <si>
    <t>Alto</t>
  </si>
  <si>
    <t>Bothell</t>
  </si>
  <si>
    <t>Stelling</t>
  </si>
  <si>
    <t>Meosky</t>
  </si>
  <si>
    <t>Cedar Park</t>
  </si>
  <si>
    <t>Porter</t>
  </si>
  <si>
    <t>Federal Way</t>
  </si>
  <si>
    <t>Johnston</t>
  </si>
  <si>
    <t>Leavenworth</t>
  </si>
  <si>
    <t>Overman</t>
  </si>
  <si>
    <t>Lacey</t>
  </si>
  <si>
    <t>Sandler</t>
  </si>
  <si>
    <t>Fairlee</t>
  </si>
  <si>
    <t>Senta</t>
  </si>
  <si>
    <t>Tedi</t>
  </si>
  <si>
    <t>Worn</t>
  </si>
  <si>
    <t>Cheney</t>
  </si>
  <si>
    <t>Erwin</t>
  </si>
  <si>
    <t>Worcester</t>
  </si>
  <si>
    <t>Friday Harbor</t>
  </si>
  <si>
    <t>Margie</t>
  </si>
  <si>
    <t>Stauffer</t>
  </si>
  <si>
    <t>Huntley</t>
  </si>
  <si>
    <t>Edwin</t>
  </si>
  <si>
    <t>Poster</t>
  </si>
  <si>
    <t>Columbia</t>
  </si>
  <si>
    <t>Wieland</t>
  </si>
  <si>
    <t>Philip</t>
  </si>
  <si>
    <t>Wagner</t>
  </si>
  <si>
    <t>Joliet</t>
  </si>
  <si>
    <t>Canice</t>
  </si>
  <si>
    <t>Fogarty</t>
  </si>
  <si>
    <t>Skau</t>
  </si>
  <si>
    <t>Whitley</t>
  </si>
  <si>
    <t>Picco</t>
  </si>
  <si>
    <t>Salem</t>
  </si>
  <si>
    <t>Triplett</t>
  </si>
  <si>
    <t>Driscoll</t>
  </si>
  <si>
    <t>Lebanon</t>
  </si>
  <si>
    <t>Andy</t>
  </si>
  <si>
    <t>O'Keefe</t>
  </si>
  <si>
    <t>Langley</t>
  </si>
  <si>
    <t>Paulette</t>
  </si>
  <si>
    <t>Kindler</t>
  </si>
  <si>
    <t>Dumler</t>
  </si>
  <si>
    <t>Corinne</t>
  </si>
  <si>
    <t>Rovetti</t>
  </si>
  <si>
    <t>Oakes</t>
  </si>
  <si>
    <t>Westford</t>
  </si>
  <si>
    <t>Hestnes</t>
  </si>
  <si>
    <t>Weston</t>
  </si>
  <si>
    <t>Romberg</t>
  </si>
  <si>
    <t>Donohue</t>
  </si>
  <si>
    <t>Quincy</t>
  </si>
  <si>
    <t>Cousins</t>
  </si>
  <si>
    <t>Tallmadge</t>
  </si>
  <si>
    <t>Peacock</t>
  </si>
  <si>
    <t>Summertown</t>
  </si>
  <si>
    <t>Winona</t>
  </si>
  <si>
    <t>Moeller</t>
  </si>
  <si>
    <t>Winchester</t>
  </si>
  <si>
    <t>Heywood</t>
  </si>
  <si>
    <t>Gardner</t>
  </si>
  <si>
    <t>Niccolls</t>
  </si>
  <si>
    <t>Biekert</t>
  </si>
  <si>
    <t>Lucy</t>
  </si>
  <si>
    <t>Scanlon</t>
  </si>
  <si>
    <t>Sale Creek</t>
  </si>
  <si>
    <t>Christina</t>
  </si>
  <si>
    <t>Norwood</t>
  </si>
  <si>
    <t>Grace</t>
  </si>
  <si>
    <t>Oconnor</t>
  </si>
  <si>
    <t>Albany</t>
  </si>
  <si>
    <t>A</t>
  </si>
  <si>
    <t>Caryl</t>
  </si>
  <si>
    <t>Mcvaugh</t>
  </si>
  <si>
    <t>Roger Hart</t>
  </si>
  <si>
    <t>Kramer</t>
  </si>
  <si>
    <t>Roy</t>
  </si>
  <si>
    <t>Goodall</t>
  </si>
  <si>
    <t>Yardena</t>
  </si>
  <si>
    <t>Montague-Rand</t>
  </si>
  <si>
    <t>Cumberland</t>
  </si>
  <si>
    <t>Worrest</t>
  </si>
  <si>
    <t>Bailey</t>
  </si>
  <si>
    <t>Kent</t>
  </si>
  <si>
    <t>J.</t>
  </si>
  <si>
    <t>Ooltewah</t>
  </si>
  <si>
    <t>Wong</t>
  </si>
  <si>
    <t>Juliana</t>
  </si>
  <si>
    <t>Reser</t>
  </si>
  <si>
    <t>Black Hawk</t>
  </si>
  <si>
    <t>Boynton</t>
  </si>
  <si>
    <t>Deer Park</t>
  </si>
  <si>
    <t>Dawne</t>
  </si>
  <si>
    <t>Gardiska</t>
  </si>
  <si>
    <t>Worstell</t>
  </si>
  <si>
    <t>Bixby</t>
  </si>
  <si>
    <t>Received MLS Enrollment Form</t>
  </si>
  <si>
    <t>Rebecca Hornyak</t>
  </si>
  <si>
    <t>Barbara Frisbee</t>
  </si>
  <si>
    <t>Glazer</t>
  </si>
  <si>
    <t>WAH phone call w David re NYC gala and estate items. Scheduled lunch next week in NYC</t>
  </si>
  <si>
    <t>Harry</t>
  </si>
  <si>
    <t>WAH phone call w/ Harry to provide necessary info for annual QCD to NPCA</t>
  </si>
  <si>
    <t>Godfroy</t>
  </si>
  <si>
    <t>Greendale</t>
  </si>
  <si>
    <t>WAH spoke with Jane by phone and confirmed PG consideration. Mailing info about bequest langauge.</t>
  </si>
  <si>
    <t>Mailed CGA Information packet</t>
  </si>
  <si>
    <t>Nina</t>
  </si>
  <si>
    <t>Dobyns</t>
  </si>
  <si>
    <t>Livingston</t>
  </si>
  <si>
    <t xml:space="preserve">Mailed CGA Information packet </t>
  </si>
  <si>
    <t>Andreas</t>
  </si>
  <si>
    <t>Elkeles</t>
  </si>
  <si>
    <t>Foster City</t>
  </si>
  <si>
    <t>Bramel</t>
  </si>
  <si>
    <t>Sierra Vista</t>
  </si>
  <si>
    <t>Jones</t>
  </si>
  <si>
    <t>Mountainair</t>
  </si>
  <si>
    <t>McMillan</t>
  </si>
  <si>
    <t>Orlando</t>
  </si>
  <si>
    <t>Syverson</t>
  </si>
  <si>
    <t>Received portions of trust documents; confirmed NPCA 20% beneficiary</t>
  </si>
  <si>
    <t>Laraine</t>
  </si>
  <si>
    <t>Turk</t>
  </si>
  <si>
    <t>Joshua Tree</t>
  </si>
  <si>
    <t>Grover</t>
  </si>
  <si>
    <t>Donor called for CGA information; mailed CGA documentation to him for a second $10k CGA with NPCA.</t>
  </si>
  <si>
    <t>North Canton</t>
  </si>
  <si>
    <t>Bauer</t>
  </si>
  <si>
    <t>Eagan</t>
  </si>
  <si>
    <t>Syvertsen</t>
  </si>
  <si>
    <t>Auburndale</t>
  </si>
  <si>
    <t>Thelin</t>
  </si>
  <si>
    <t>Ormond Beach</t>
  </si>
  <si>
    <t>Fellabaum</t>
  </si>
  <si>
    <t>Palm Springs</t>
  </si>
  <si>
    <t>Ann Mary</t>
  </si>
  <si>
    <t>Edgar</t>
  </si>
  <si>
    <t>East Lansing</t>
  </si>
  <si>
    <t>Barbara Ann</t>
  </si>
  <si>
    <t>Free</t>
  </si>
  <si>
    <t>Albuquerque</t>
  </si>
  <si>
    <t>Ann</t>
  </si>
  <si>
    <t>Hartnett</t>
  </si>
  <si>
    <t>Rockledge</t>
  </si>
  <si>
    <t>Vero Beach</t>
  </si>
  <si>
    <t>Vandegrift</t>
  </si>
  <si>
    <t>Venice</t>
  </si>
  <si>
    <t>Sienkiewich</t>
  </si>
  <si>
    <t>Pompano Beach</t>
  </si>
  <si>
    <t>Barrs</t>
  </si>
  <si>
    <t>Foley</t>
  </si>
  <si>
    <t>Belen</t>
  </si>
  <si>
    <t>Riverbank</t>
  </si>
  <si>
    <t>Rodriguez</t>
  </si>
  <si>
    <t xml:space="preserve">Survey response, request for CGA information. Information packet mailed today. </t>
  </si>
  <si>
    <t>Pancella</t>
  </si>
  <si>
    <t>Kalamazoo</t>
  </si>
  <si>
    <t>Bergman</t>
  </si>
  <si>
    <t>Cedar Crest</t>
  </si>
  <si>
    <t>Hackett</t>
  </si>
  <si>
    <t>Laguna Woods</t>
  </si>
  <si>
    <t>Swartz</t>
  </si>
  <si>
    <t>Cazadero</t>
  </si>
  <si>
    <t>Meyers</t>
  </si>
  <si>
    <t>Culver City</t>
  </si>
  <si>
    <t>Sheryl</t>
  </si>
  <si>
    <t>Rio Rancho</t>
  </si>
  <si>
    <t>Jeffrey</t>
  </si>
  <si>
    <t>Holstein</t>
  </si>
  <si>
    <t>Clearwater</t>
  </si>
  <si>
    <t>Latimer</t>
  </si>
  <si>
    <t>Lakeland</t>
  </si>
  <si>
    <t>Drae</t>
  </si>
  <si>
    <t>Garbutt</t>
  </si>
  <si>
    <t>Susanville</t>
  </si>
  <si>
    <t>Lefton</t>
  </si>
  <si>
    <t>Sylmar</t>
  </si>
  <si>
    <t>Ginna</t>
  </si>
  <si>
    <t>Denues</t>
  </si>
  <si>
    <t>San Ramon</t>
  </si>
  <si>
    <t>Farquhar</t>
  </si>
  <si>
    <t>Kern</t>
  </si>
  <si>
    <t>Lompoc</t>
  </si>
  <si>
    <t>Harkrider</t>
  </si>
  <si>
    <t>Deltona</t>
  </si>
  <si>
    <t>Raymond</t>
  </si>
  <si>
    <t>Borchardt</t>
  </si>
  <si>
    <t>Winter Haven</t>
  </si>
  <si>
    <t>Cheri</t>
  </si>
  <si>
    <t>Oakland</t>
  </si>
  <si>
    <t>Gillott</t>
  </si>
  <si>
    <t>Stantz</t>
  </si>
  <si>
    <t>Kerwin</t>
  </si>
  <si>
    <t>University Park</t>
  </si>
  <si>
    <t>Tarpon Spgs</t>
  </si>
  <si>
    <t>Manuel</t>
  </si>
  <si>
    <t>Morales</t>
  </si>
  <si>
    <t>Fort Myers</t>
  </si>
  <si>
    <t>Robyn</t>
  </si>
  <si>
    <t>Pasadena</t>
  </si>
  <si>
    <t>Takacs</t>
  </si>
  <si>
    <t>Minden</t>
  </si>
  <si>
    <t>Baldwin</t>
  </si>
  <si>
    <t>San Dimas</t>
  </si>
  <si>
    <t>Bonner</t>
  </si>
  <si>
    <t>Jacksonville Beach</t>
  </si>
  <si>
    <t>Page</t>
  </si>
  <si>
    <t>Lady Lake</t>
  </si>
  <si>
    <t>Thouin</t>
  </si>
  <si>
    <t>Woodland Hls</t>
  </si>
  <si>
    <t>Mary Jo</t>
  </si>
  <si>
    <t>Brennan</t>
  </si>
  <si>
    <t>Dana Point</t>
  </si>
  <si>
    <t>Duane</t>
  </si>
  <si>
    <t>Oelwein</t>
  </si>
  <si>
    <t>WAH spoke w/ Duane by phone and gave NPCA address and tax ID to list us as bene on edward jones acct</t>
  </si>
  <si>
    <t>Eustache</t>
  </si>
  <si>
    <t>Sagamore Hills</t>
  </si>
  <si>
    <t>Donor emailed WAH to say she removed NPCA from her will years ago over NPS decision to ban dogs from certain parks</t>
  </si>
  <si>
    <t>Harriette</t>
  </si>
  <si>
    <t>Treloar</t>
  </si>
  <si>
    <t>Gold River</t>
  </si>
  <si>
    <t>Weber</t>
  </si>
  <si>
    <t>Leesburg</t>
  </si>
  <si>
    <t>Crawfordville</t>
  </si>
  <si>
    <t>Tornga</t>
  </si>
  <si>
    <t>Oro Valley</t>
  </si>
  <si>
    <t>Krasky</t>
  </si>
  <si>
    <t>Las Vegas</t>
  </si>
  <si>
    <t>Clancy</t>
  </si>
  <si>
    <t>Surprise</t>
  </si>
  <si>
    <t>Laurie</t>
  </si>
  <si>
    <t>Risk</t>
  </si>
  <si>
    <t>Santa Monica</t>
  </si>
  <si>
    <t>Jon</t>
  </si>
  <si>
    <t>Achee</t>
  </si>
  <si>
    <t>Mission Viejo</t>
  </si>
  <si>
    <t>Romanelli</t>
  </si>
  <si>
    <t>Lamph</t>
  </si>
  <si>
    <t>Nicholson</t>
  </si>
  <si>
    <t>Gilroy</t>
  </si>
  <si>
    <t>Nevada City</t>
  </si>
  <si>
    <t>Willian</t>
  </si>
  <si>
    <t>Los Angeles</t>
  </si>
  <si>
    <t>Jeter</t>
  </si>
  <si>
    <t>Coronado</t>
  </si>
  <si>
    <t>Brady</t>
  </si>
  <si>
    <t>Chandler</t>
  </si>
  <si>
    <t>Ewald</t>
  </si>
  <si>
    <t>Sebastopol</t>
  </si>
  <si>
    <t>Payne</t>
  </si>
  <si>
    <t>New Prt Rchy</t>
  </si>
  <si>
    <t>Talso</t>
  </si>
  <si>
    <t>Fernandina Beach</t>
  </si>
  <si>
    <t>Pokrywka</t>
  </si>
  <si>
    <t>South San Francisco</t>
  </si>
  <si>
    <t>Cliff</t>
  </si>
  <si>
    <t>Chetwin</t>
  </si>
  <si>
    <t>M.</t>
  </si>
  <si>
    <t>Conklin</t>
  </si>
  <si>
    <t>Honolulu</t>
  </si>
  <si>
    <t>Judith</t>
  </si>
  <si>
    <t>Turlock</t>
  </si>
  <si>
    <t>Kenn</t>
  </si>
  <si>
    <t>Toth</t>
  </si>
  <si>
    <t>North Miami Beach</t>
  </si>
  <si>
    <t>Dowell</t>
  </si>
  <si>
    <t>Rancho Cucamonga</t>
  </si>
  <si>
    <t>Claudette</t>
  </si>
  <si>
    <t>Clunan</t>
  </si>
  <si>
    <t>Marshfield</t>
  </si>
  <si>
    <t>La Puente</t>
  </si>
  <si>
    <t>Gottlied</t>
  </si>
  <si>
    <t>Fullerton</t>
  </si>
  <si>
    <t>Breckenridge</t>
  </si>
  <si>
    <t>Flagstaff</t>
  </si>
  <si>
    <t>Mccartney</t>
  </si>
  <si>
    <t>Rohnert Park</t>
  </si>
  <si>
    <t>Tammy</t>
  </si>
  <si>
    <t>Cognetta</t>
  </si>
  <si>
    <t>Altadena</t>
  </si>
  <si>
    <t>Snavely</t>
  </si>
  <si>
    <t>Gainesville</t>
  </si>
  <si>
    <t>Mattern</t>
  </si>
  <si>
    <t>Kilburn</t>
  </si>
  <si>
    <t>Saratoga</t>
  </si>
  <si>
    <t>Ingwalson</t>
  </si>
  <si>
    <t>Lake Mary</t>
  </si>
  <si>
    <t>Roxie</t>
  </si>
  <si>
    <t>Thoms</t>
  </si>
  <si>
    <t>Jacksonville</t>
  </si>
  <si>
    <t>McDougall</t>
  </si>
  <si>
    <t>Fox</t>
  </si>
  <si>
    <t>Napa</t>
  </si>
  <si>
    <t>Douglas</t>
  </si>
  <si>
    <t>Safety Harbor</t>
  </si>
  <si>
    <t>Alice</t>
  </si>
  <si>
    <t>Flegel</t>
  </si>
  <si>
    <t>Crews</t>
  </si>
  <si>
    <t>Zisner</t>
  </si>
  <si>
    <t>Mesa</t>
  </si>
  <si>
    <t>Casa Grande</t>
  </si>
  <si>
    <t>Kraus</t>
  </si>
  <si>
    <t>Adrian</t>
  </si>
  <si>
    <t>Yves</t>
  </si>
  <si>
    <t>Masson</t>
  </si>
  <si>
    <t>Fort Lauderdale</t>
  </si>
  <si>
    <t>Oliver</t>
  </si>
  <si>
    <t>Stinson</t>
  </si>
  <si>
    <t>Ted</t>
  </si>
  <si>
    <t>Silva</t>
  </si>
  <si>
    <t>Cytron</t>
  </si>
  <si>
    <t>Weeks</t>
  </si>
  <si>
    <t>R.</t>
  </si>
  <si>
    <t>Stegmeir</t>
  </si>
  <si>
    <t>Newport Beach</t>
  </si>
  <si>
    <t>Darcy</t>
  </si>
  <si>
    <t>Dougherty</t>
  </si>
  <si>
    <t>Henderson</t>
  </si>
  <si>
    <t>Hamann</t>
  </si>
  <si>
    <t>Heilbron</t>
  </si>
  <si>
    <t>Bradenton</t>
  </si>
  <si>
    <t>Rob</t>
  </si>
  <si>
    <t>Abromavage</t>
  </si>
  <si>
    <t>Laguna Hills</t>
  </si>
  <si>
    <t>Karolyn</t>
  </si>
  <si>
    <t>Switzer</t>
  </si>
  <si>
    <t>Payson</t>
  </si>
  <si>
    <t>Gaston</t>
  </si>
  <si>
    <t>Stickroth</t>
  </si>
  <si>
    <t>Sheridan</t>
  </si>
  <si>
    <t>Pleasanton</t>
  </si>
  <si>
    <t>Valone</t>
  </si>
  <si>
    <t>Saint Petersburg</t>
  </si>
  <si>
    <t>Nicio</t>
  </si>
  <si>
    <t>Vega</t>
  </si>
  <si>
    <t>Tampa</t>
  </si>
  <si>
    <t>Colfer</t>
  </si>
  <si>
    <t>Terri</t>
  </si>
  <si>
    <t>Castrup</t>
  </si>
  <si>
    <t>Hermosa Beach</t>
  </si>
  <si>
    <t>Lockyer</t>
  </si>
  <si>
    <t>Lentz</t>
  </si>
  <si>
    <t>Britton</t>
  </si>
  <si>
    <t>Moraga</t>
  </si>
  <si>
    <t>Georgie</t>
  </si>
  <si>
    <t>Raulerson</t>
  </si>
  <si>
    <t>Boynton Beach</t>
  </si>
  <si>
    <t>Bodell</t>
  </si>
  <si>
    <t>Letson</t>
  </si>
  <si>
    <t>Los Altos</t>
  </si>
  <si>
    <t>Green Valley</t>
  </si>
  <si>
    <t>Barrick</t>
  </si>
  <si>
    <t>Clayton</t>
  </si>
  <si>
    <t>Nafziger</t>
  </si>
  <si>
    <t>Phoenix</t>
  </si>
  <si>
    <t>Kimberley</t>
  </si>
  <si>
    <t>Weimer</t>
  </si>
  <si>
    <t>Hoth</t>
  </si>
  <si>
    <t>Clovis</t>
  </si>
  <si>
    <t>Heinrich</t>
  </si>
  <si>
    <t>Jeckell</t>
  </si>
  <si>
    <t>Sunnyvale</t>
  </si>
  <si>
    <t>Lucretia</t>
  </si>
  <si>
    <t>Jevne</t>
  </si>
  <si>
    <t>Vacaville</t>
  </si>
  <si>
    <t>Mcminds</t>
  </si>
  <si>
    <t>Jefferson</t>
  </si>
  <si>
    <t>Wiebold</t>
  </si>
  <si>
    <t>Yuma</t>
  </si>
  <si>
    <t>Ocala</t>
  </si>
  <si>
    <t>Battelle</t>
  </si>
  <si>
    <t>House</t>
  </si>
  <si>
    <t>Driver</t>
  </si>
  <si>
    <t>Atascadero</t>
  </si>
  <si>
    <t>Rader</t>
  </si>
  <si>
    <t>Chico</t>
  </si>
  <si>
    <t>La Mesa</t>
  </si>
  <si>
    <t>Kris</t>
  </si>
  <si>
    <t>Rosemarie</t>
  </si>
  <si>
    <t>Buote</t>
  </si>
  <si>
    <t>Dighton</t>
  </si>
  <si>
    <t>Hassemer</t>
  </si>
  <si>
    <t>Mcclure</t>
  </si>
  <si>
    <t>Linden</t>
  </si>
  <si>
    <t>Teears</t>
  </si>
  <si>
    <t>Las Cruces</t>
  </si>
  <si>
    <t>Bowley</t>
  </si>
  <si>
    <t>Pine Grove</t>
  </si>
  <si>
    <t>Jorge</t>
  </si>
  <si>
    <t>Miami Beach</t>
  </si>
  <si>
    <t>Walnut Creek</t>
  </si>
  <si>
    <t>Babula</t>
  </si>
  <si>
    <t>Corrales</t>
  </si>
  <si>
    <t xml:space="preserve">Miami Beach </t>
  </si>
  <si>
    <t xml:space="preserve">John A. </t>
  </si>
  <si>
    <t xml:space="preserve">CGA inquiry; donor intends to establish $250k CGA with NPCA; mailed information packet today.  </t>
  </si>
  <si>
    <t>Morandin</t>
  </si>
  <si>
    <t>El Cerrito</t>
  </si>
  <si>
    <t>Correia</t>
  </si>
  <si>
    <t>Eureka</t>
  </si>
  <si>
    <t>Leong</t>
  </si>
  <si>
    <t>Vallejo</t>
  </si>
  <si>
    <t>Powell</t>
  </si>
  <si>
    <t xml:space="preserve">Tremont </t>
  </si>
  <si>
    <t>WH spoke with Anne Powell on 12/13, and she requested CGA info packet; Information was mailed overnight 12/16/19.</t>
  </si>
  <si>
    <t>Vannette</t>
  </si>
  <si>
    <t>Longwood</t>
  </si>
  <si>
    <t xml:space="preserve">CGA inquiry - donor request gift illustration for $200k; followed up with phone call and left voicemail; emailed information packet today.  </t>
  </si>
  <si>
    <t>Gaffney</t>
  </si>
  <si>
    <t xml:space="preserve">Rochester </t>
  </si>
  <si>
    <t xml:space="preserve">CGA inquiry received by phone; mailed information packet </t>
  </si>
  <si>
    <t>Ware</t>
  </si>
  <si>
    <t>Larue</t>
  </si>
  <si>
    <t xml:space="preserve">Ann M. </t>
  </si>
  <si>
    <t>Megler</t>
  </si>
  <si>
    <t>Clermont</t>
  </si>
  <si>
    <t>Michael Megler</t>
  </si>
  <si>
    <t xml:space="preserve">WH - CGA request for information received by email; mailed letter and packet for a $50k deferred gift annuity </t>
  </si>
  <si>
    <t xml:space="preserve">Jean </t>
  </si>
  <si>
    <t>Pembroke</t>
  </si>
  <si>
    <t xml:space="preserve">Kevin </t>
  </si>
  <si>
    <t>Booth</t>
  </si>
  <si>
    <t>Lake Elsinore</t>
  </si>
  <si>
    <t>Palmer</t>
  </si>
  <si>
    <t>East Wenatchee</t>
  </si>
  <si>
    <t>Janice Parker-Palmer</t>
  </si>
  <si>
    <t>Alleman</t>
  </si>
  <si>
    <t>Springfield</t>
  </si>
  <si>
    <t>Mailied CON Packet</t>
  </si>
  <si>
    <t>Charlie</t>
  </si>
  <si>
    <t>North Easton</t>
  </si>
  <si>
    <t xml:space="preserve">MA </t>
  </si>
  <si>
    <t>Henry</t>
  </si>
  <si>
    <t>Laesniak</t>
  </si>
  <si>
    <t>Acton</t>
  </si>
  <si>
    <t>CGA inquiry received via survey; mailed information packet for Deferred gift annuity</t>
  </si>
  <si>
    <t xml:space="preserve">Sclafani, Jr. </t>
  </si>
  <si>
    <t xml:space="preserve">CGA inquiry - donor called to requested gift illustration for $50k; emailed illustration and information packet mailed today.  </t>
  </si>
  <si>
    <t>Hogan</t>
  </si>
  <si>
    <t xml:space="preserve">CGA inquiry - donor called to requested gift illustration for $10k; information packet being mailed 01/10/2020.  </t>
  </si>
  <si>
    <t>Roti</t>
  </si>
  <si>
    <t>Lafleur</t>
  </si>
  <si>
    <t>LA</t>
  </si>
  <si>
    <t>David F.</t>
  </si>
  <si>
    <t>Rock</t>
  </si>
  <si>
    <t>Atlanta</t>
  </si>
  <si>
    <t xml:space="preserve">CGA inquiry - donor called to requested gift illustration for $25k; emailed illustration and information packet today.  </t>
  </si>
  <si>
    <t>Wendell</t>
  </si>
  <si>
    <t>Stephens</t>
  </si>
  <si>
    <t>Huntersville</t>
  </si>
  <si>
    <t xml:space="preserve">CGA inquiry - donor called to requested gift illustration for $70k; emailed illustration and information packet today.  </t>
  </si>
  <si>
    <t>Friel</t>
  </si>
  <si>
    <t>Haller</t>
  </si>
  <si>
    <t>Frances</t>
  </si>
  <si>
    <t>Crooked River Ranch</t>
  </si>
  <si>
    <t>Cpe Girardeau</t>
  </si>
  <si>
    <t>Maciborka</t>
  </si>
  <si>
    <t>Rust</t>
  </si>
  <si>
    <t>Wichita</t>
  </si>
  <si>
    <t>Seabury</t>
  </si>
  <si>
    <t>Brigham City</t>
  </si>
  <si>
    <t>Spradlin</t>
  </si>
  <si>
    <t>Petercupo</t>
  </si>
  <si>
    <t>Mcginnis</t>
  </si>
  <si>
    <t>Hull</t>
  </si>
  <si>
    <t>Judi</t>
  </si>
  <si>
    <t>Dilks</t>
  </si>
  <si>
    <t>Waldschmidt</t>
  </si>
  <si>
    <t>Eagle Point</t>
  </si>
  <si>
    <t>Hank</t>
  </si>
  <si>
    <t>Gentry</t>
  </si>
  <si>
    <t>Darien</t>
  </si>
  <si>
    <t>Phil</t>
  </si>
  <si>
    <t>Zive</t>
  </si>
  <si>
    <t>Sparks</t>
  </si>
  <si>
    <t>Sheila</t>
  </si>
  <si>
    <t>Siegmund</t>
  </si>
  <si>
    <t>Rockford</t>
  </si>
  <si>
    <t>Klein</t>
  </si>
  <si>
    <t>Bolton Ont L7e 4b9</t>
  </si>
  <si>
    <t>ON</t>
  </si>
  <si>
    <t>Sacramento</t>
  </si>
  <si>
    <t>Hren</t>
  </si>
  <si>
    <t>Dellinger</t>
  </si>
  <si>
    <t>High Point</t>
  </si>
  <si>
    <t>Robertson</t>
  </si>
  <si>
    <t>Orehowsky</t>
  </si>
  <si>
    <t>Martz</t>
  </si>
  <si>
    <t>Detroit</t>
  </si>
  <si>
    <t>Riemer</t>
  </si>
  <si>
    <t>Oak Creek</t>
  </si>
  <si>
    <t>Omer</t>
  </si>
  <si>
    <t>Centerville</t>
  </si>
  <si>
    <t>Henward</t>
  </si>
  <si>
    <t>Hillsdale</t>
  </si>
  <si>
    <t>Simmons</t>
  </si>
  <si>
    <t>Tillin</t>
  </si>
  <si>
    <t>Berkeley</t>
  </si>
  <si>
    <t>Burwell</t>
  </si>
  <si>
    <t>Domenica</t>
  </si>
  <si>
    <t>Altieri</t>
  </si>
  <si>
    <t>Rebekah</t>
  </si>
  <si>
    <t>Caruso</t>
  </si>
  <si>
    <t>Reynolds</t>
  </si>
  <si>
    <t>Jasper</t>
  </si>
  <si>
    <t>Rudolph</t>
  </si>
  <si>
    <t>Esser</t>
  </si>
  <si>
    <t>Pennington</t>
  </si>
  <si>
    <t>Davida</t>
  </si>
  <si>
    <t>Waters</t>
  </si>
  <si>
    <t>Chester Sprgs</t>
  </si>
  <si>
    <t>Gander</t>
  </si>
  <si>
    <t>Mary Lou</t>
  </si>
  <si>
    <t>Bettendorf</t>
  </si>
  <si>
    <t>Myrick</t>
  </si>
  <si>
    <t>St Augustine</t>
  </si>
  <si>
    <t>Weatherholt</t>
  </si>
  <si>
    <t>Steve</t>
  </si>
  <si>
    <t>Mikolajczyk</t>
  </si>
  <si>
    <t>Victor</t>
  </si>
  <si>
    <t>Candor</t>
  </si>
  <si>
    <t>Sanders</t>
  </si>
  <si>
    <t>Sikeston</t>
  </si>
  <si>
    <t>Alameda</t>
  </si>
  <si>
    <t>Orell</t>
  </si>
  <si>
    <t>Phillips</t>
  </si>
  <si>
    <t>Peralta</t>
  </si>
  <si>
    <t>Burnette</t>
  </si>
  <si>
    <t>Kernersville</t>
  </si>
  <si>
    <t>Denise</t>
  </si>
  <si>
    <t>Emmer</t>
  </si>
  <si>
    <t>Metairie</t>
  </si>
  <si>
    <t>Betsy</t>
  </si>
  <si>
    <t>Ferguson</t>
  </si>
  <si>
    <t>Loraine</t>
  </si>
  <si>
    <t>Zagula</t>
  </si>
  <si>
    <t>Shapiro</t>
  </si>
  <si>
    <t>Van Kolken</t>
  </si>
  <si>
    <t>Dee</t>
  </si>
  <si>
    <t>Gricoskie</t>
  </si>
  <si>
    <t>Sunbury</t>
  </si>
  <si>
    <t>Scranton</t>
  </si>
  <si>
    <t>Madras</t>
  </si>
  <si>
    <t>Ron</t>
  </si>
  <si>
    <t>Ratner</t>
  </si>
  <si>
    <t>Sioux Falls</t>
  </si>
  <si>
    <t>Dana</t>
  </si>
  <si>
    <t>Schwartz</t>
  </si>
  <si>
    <t>Roxby</t>
  </si>
  <si>
    <t>Belfast</t>
  </si>
  <si>
    <t>Dugan</t>
  </si>
  <si>
    <t>Teichmann</t>
  </si>
  <si>
    <t>Huntington</t>
  </si>
  <si>
    <t>Mcclain</t>
  </si>
  <si>
    <t>Granbury</t>
  </si>
  <si>
    <t>Singer</t>
  </si>
  <si>
    <t>Fulton</t>
  </si>
  <si>
    <t>Adam</t>
  </si>
  <si>
    <t>Brenchley</t>
  </si>
  <si>
    <t>Pollack</t>
  </si>
  <si>
    <t>Vail</t>
  </si>
  <si>
    <t>Foster</t>
  </si>
  <si>
    <t>Centennial</t>
  </si>
  <si>
    <t>Van Devender</t>
  </si>
  <si>
    <t>Boone</t>
  </si>
  <si>
    <t>Laser</t>
  </si>
  <si>
    <t>Fort Smith</t>
  </si>
  <si>
    <t>AR</t>
  </si>
  <si>
    <t>Smith Baker</t>
  </si>
  <si>
    <t>Elm Grove</t>
  </si>
  <si>
    <t>Prochnio</t>
  </si>
  <si>
    <t>Boyle</t>
  </si>
  <si>
    <t>Menlo Park</t>
  </si>
  <si>
    <t>Kingston Springs</t>
  </si>
  <si>
    <t>Tuttle</t>
  </si>
  <si>
    <t>Woodland</t>
  </si>
  <si>
    <t>Marianne</t>
  </si>
  <si>
    <t>Sandy</t>
  </si>
  <si>
    <t>Falloon</t>
  </si>
  <si>
    <t>Pyter</t>
  </si>
  <si>
    <t>Rolling Meadows</t>
  </si>
  <si>
    <t xml:space="preserve">Paul E. </t>
  </si>
  <si>
    <t>Kubal</t>
  </si>
  <si>
    <t>Buchanan</t>
  </si>
  <si>
    <t>Nancy M. Kubal</t>
  </si>
  <si>
    <t>CGA inquiry received via survey ($250K); mailed information packet</t>
  </si>
  <si>
    <t>Marshall</t>
  </si>
  <si>
    <t>Williamsburg</t>
  </si>
  <si>
    <t>Reissen</t>
  </si>
  <si>
    <t>Rhonda</t>
  </si>
  <si>
    <t>Peters</t>
  </si>
  <si>
    <t>Goldsboro</t>
  </si>
  <si>
    <t>Meunier</t>
  </si>
  <si>
    <t>Sigmund</t>
  </si>
  <si>
    <t>Faith</t>
  </si>
  <si>
    <t>Earll</t>
  </si>
  <si>
    <t>Everett</t>
  </si>
  <si>
    <t>Neher</t>
  </si>
  <si>
    <t>Poquoson</t>
  </si>
  <si>
    <t>Gadilhe</t>
  </si>
  <si>
    <t>Birmingham</t>
  </si>
  <si>
    <t>Kaufman</t>
  </si>
  <si>
    <t>Lewes</t>
  </si>
  <si>
    <t>Comer</t>
  </si>
  <si>
    <t>Meadows</t>
  </si>
  <si>
    <t>Tybee Island</t>
  </si>
  <si>
    <t>Alan</t>
  </si>
  <si>
    <t>Shurts</t>
  </si>
  <si>
    <t>Beloit</t>
  </si>
  <si>
    <t>Sam</t>
  </si>
  <si>
    <t>Heck</t>
  </si>
  <si>
    <t>Eudora</t>
  </si>
  <si>
    <t>Laizure</t>
  </si>
  <si>
    <t>Gaithersburg</t>
  </si>
  <si>
    <t>Neil</t>
  </si>
  <si>
    <t>Hoffman</t>
  </si>
  <si>
    <t>Rockville</t>
  </si>
  <si>
    <t>Puhr</t>
  </si>
  <si>
    <t>Patoka</t>
  </si>
  <si>
    <t>Dardenne Prairie</t>
  </si>
  <si>
    <t>Piening</t>
  </si>
  <si>
    <t>Kirkwood</t>
  </si>
  <si>
    <t>Raleigh</t>
  </si>
  <si>
    <t>Skeels</t>
  </si>
  <si>
    <t>Jamestown</t>
  </si>
  <si>
    <t>Vilas</t>
  </si>
  <si>
    <t>Cornelius</t>
  </si>
  <si>
    <t>Kathie</t>
  </si>
  <si>
    <t>Kalmowitz</t>
  </si>
  <si>
    <t>Krantz</t>
  </si>
  <si>
    <t>Krayer</t>
  </si>
  <si>
    <t>Fairfax Station</t>
  </si>
  <si>
    <t>Talley</t>
  </si>
  <si>
    <t>Viar</t>
  </si>
  <si>
    <t>Christiansbrg</t>
  </si>
  <si>
    <t>Jensen</t>
  </si>
  <si>
    <t>Charlottesville</t>
  </si>
  <si>
    <t>Jutta</t>
  </si>
  <si>
    <t>Sgambelluri</t>
  </si>
  <si>
    <t>Carlsbad</t>
  </si>
  <si>
    <t>Schall</t>
  </si>
  <si>
    <t>Solana Beach</t>
  </si>
  <si>
    <t>Sparesus</t>
  </si>
  <si>
    <t>N Barrington</t>
  </si>
  <si>
    <t>Schroedl</t>
  </si>
  <si>
    <t>Grafton</t>
  </si>
  <si>
    <t>Gilman</t>
  </si>
  <si>
    <t>Modena</t>
  </si>
  <si>
    <t>Poel</t>
  </si>
  <si>
    <t>Whitehall</t>
  </si>
  <si>
    <t>Dianne</t>
  </si>
  <si>
    <t>Vais</t>
  </si>
  <si>
    <t>Fountain Hills</t>
  </si>
  <si>
    <t>Ollila</t>
  </si>
  <si>
    <t>Lora</t>
  </si>
  <si>
    <t>Bryan</t>
  </si>
  <si>
    <t>Oviedo</t>
  </si>
  <si>
    <t>Alison</t>
  </si>
  <si>
    <t>Mitchell</t>
  </si>
  <si>
    <t>Slobin</t>
  </si>
  <si>
    <t>Herschler</t>
  </si>
  <si>
    <t>Charlottesvle</t>
  </si>
  <si>
    <t>Geneva</t>
  </si>
  <si>
    <t>Mcminnville</t>
  </si>
  <si>
    <t>CGA inquiry received by phone ($25k and 50K); mailed information packet.</t>
  </si>
  <si>
    <t>Connors</t>
  </si>
  <si>
    <t>Clinton Corners</t>
  </si>
  <si>
    <t>Muller</t>
  </si>
  <si>
    <t>Richmond</t>
  </si>
  <si>
    <t>Paulson</t>
  </si>
  <si>
    <t>Caledonia</t>
  </si>
  <si>
    <t>Elster</t>
  </si>
  <si>
    <t>Ferndale</t>
  </si>
  <si>
    <t>Clements</t>
  </si>
  <si>
    <t>Leighton</t>
  </si>
  <si>
    <t>Hazelwood</t>
  </si>
  <si>
    <t>Labman</t>
  </si>
  <si>
    <t>Berryville</t>
  </si>
  <si>
    <t>Eklund</t>
  </si>
  <si>
    <t>Crawford</t>
  </si>
  <si>
    <t>South Pasadena</t>
  </si>
  <si>
    <t>Charmaine</t>
  </si>
  <si>
    <t>Hall</t>
  </si>
  <si>
    <t>Edgewood</t>
  </si>
  <si>
    <t>Whitfield</t>
  </si>
  <si>
    <t>Inma</t>
  </si>
  <si>
    <t xml:space="preserve">CGA Inquiry received by phone, $10k; mailed informtion packet  </t>
  </si>
  <si>
    <t>West Jordan</t>
  </si>
  <si>
    <t>Jerald</t>
  </si>
  <si>
    <t>Yatt</t>
  </si>
  <si>
    <t>Schlegel</t>
  </si>
  <si>
    <t>Milbridge</t>
  </si>
  <si>
    <t>Ravesloot</t>
  </si>
  <si>
    <t>Saint John</t>
  </si>
  <si>
    <t>Lowell</t>
  </si>
  <si>
    <t xml:space="preserve">Mailed CON Packet </t>
  </si>
  <si>
    <t xml:space="preserve">Joesl </t>
  </si>
  <si>
    <t>Ossoff</t>
  </si>
  <si>
    <t>Whittier</t>
  </si>
  <si>
    <t>CGA Inquiry packet mailed</t>
  </si>
  <si>
    <t xml:space="preserve">Douglas </t>
  </si>
  <si>
    <t>Keller</t>
  </si>
  <si>
    <t xml:space="preserve">William </t>
  </si>
  <si>
    <t>Schrader</t>
  </si>
  <si>
    <t>Newport</t>
  </si>
  <si>
    <t>Chambers</t>
  </si>
  <si>
    <t>CGA inquiry pakcet mailed</t>
  </si>
  <si>
    <t>Hoover</t>
  </si>
  <si>
    <t>Sn Luis Obisp</t>
  </si>
  <si>
    <t>Nikola</t>
  </si>
  <si>
    <t>Baumann</t>
  </si>
  <si>
    <t>Lanham</t>
  </si>
  <si>
    <t>Thomas "Tom"</t>
  </si>
  <si>
    <t>Beatini</t>
  </si>
  <si>
    <t xml:space="preserve">Hillsdale </t>
  </si>
  <si>
    <t>Dina Scacchetti</t>
  </si>
  <si>
    <t>Landon</t>
  </si>
  <si>
    <t>Kimbrough</t>
  </si>
  <si>
    <t>Port Townsend</t>
  </si>
  <si>
    <t>Sherry Kimbrough</t>
  </si>
  <si>
    <t>CGA Inquiry packet sent by email and postal.</t>
  </si>
  <si>
    <t>Emerson</t>
  </si>
  <si>
    <t>Weiner</t>
  </si>
  <si>
    <t>Highland Park</t>
  </si>
  <si>
    <t>Sahly</t>
  </si>
  <si>
    <t>Garner</t>
  </si>
  <si>
    <t>Weslynne Sahly</t>
  </si>
  <si>
    <t>Salisbury</t>
  </si>
  <si>
    <t>Saurwein</t>
  </si>
  <si>
    <t>Los Osos</t>
  </si>
  <si>
    <t>Lorraine</t>
  </si>
  <si>
    <t>Olszyk</t>
  </si>
  <si>
    <t>Deerfield Beach</t>
  </si>
  <si>
    <t>Snow</t>
  </si>
  <si>
    <t>Reston</t>
  </si>
  <si>
    <t>Faltersack</t>
  </si>
  <si>
    <t>CGA illustration sent by emailed; info packet sent by postal mail.</t>
  </si>
  <si>
    <t>Auralie</t>
  </si>
  <si>
    <t>Ashley-Marx</t>
  </si>
  <si>
    <t>CGA illustration emailed to financial advisor.</t>
  </si>
  <si>
    <t>Leslie Eric</t>
  </si>
  <si>
    <t>Kyser</t>
  </si>
  <si>
    <t>Shaver</t>
  </si>
  <si>
    <t>Cooper</t>
  </si>
  <si>
    <t>Easton</t>
  </si>
  <si>
    <t xml:space="preserve">Ms. Cooper sent email response to express her interest in a visit post COVID-19; will follow-up once restrictions are lifted. </t>
  </si>
  <si>
    <t>Wolf</t>
  </si>
  <si>
    <t>Matlock</t>
  </si>
  <si>
    <t>05//11/1946</t>
  </si>
  <si>
    <t>Marmon</t>
  </si>
  <si>
    <t>CGA Inquiry packet mailed; interested in a $100k annuity</t>
  </si>
  <si>
    <t>Chittenden</t>
  </si>
  <si>
    <t>Mill Valley</t>
  </si>
  <si>
    <t>Cyrus</t>
  </si>
  <si>
    <t>Sheikholeslami</t>
  </si>
  <si>
    <t>CGA inquiry by phone; emailed illustration to donor, and sent info. packet in the mail</t>
  </si>
  <si>
    <t>Priscilla</t>
  </si>
  <si>
    <t>McDougal</t>
  </si>
  <si>
    <t>Received email confirming legacy gift</t>
  </si>
  <si>
    <t>Spoke by phone about Washington Sq Park issues and asking regional staff to investigate and follow up; confirmed PG and discussed further major gift support</t>
  </si>
  <si>
    <t>Kingsville</t>
  </si>
  <si>
    <t>CGA illustration sent by emailed.</t>
  </si>
  <si>
    <t>Ascoli</t>
  </si>
  <si>
    <t>Fort Pierce</t>
  </si>
  <si>
    <t>Rebecca Grant Ascoli</t>
  </si>
  <si>
    <t>Peacefull</t>
  </si>
  <si>
    <t>Kennett</t>
  </si>
  <si>
    <t>Louise T.</t>
  </si>
  <si>
    <t>Thomas R. Broker</t>
  </si>
  <si>
    <t>CGA inquiry by phone; emailed illustration to donor and sent info. packet in the mail</t>
  </si>
  <si>
    <t>Brad</t>
  </si>
  <si>
    <t>Towle</t>
  </si>
  <si>
    <t>Anchorage</t>
  </si>
  <si>
    <t>Spoke by phone and confirmed tax id for inclusion of NPCA on bene designations. Did not want to confirm email or address so created new account</t>
  </si>
  <si>
    <t>Sandra confirmed legacy gift by email</t>
  </si>
  <si>
    <t>Lary</t>
  </si>
  <si>
    <t>CGA inquiry by survey</t>
  </si>
  <si>
    <t>Glenn</t>
  </si>
  <si>
    <t>Vasiloff</t>
  </si>
  <si>
    <t>Avon Lake</t>
  </si>
  <si>
    <t>CGA inquiry by phone; donor has committed to creating another CGA; info packet mailed.</t>
  </si>
  <si>
    <t>Cutter</t>
  </si>
  <si>
    <t>Lake Stevens</t>
  </si>
  <si>
    <t>Melody</t>
  </si>
  <si>
    <t>Engle</t>
  </si>
  <si>
    <t>Goldrich</t>
  </si>
  <si>
    <t>Received matching gift email instructions and referred to Bruce after thanking donor</t>
  </si>
  <si>
    <t>Vince</t>
  </si>
  <si>
    <t>Hoenigman</t>
  </si>
  <si>
    <t>Vince confirmed legacy gift by survey</t>
  </si>
  <si>
    <t>Aldrich</t>
  </si>
  <si>
    <t>Vienna</t>
  </si>
  <si>
    <t>Confirmed CON by survey</t>
  </si>
  <si>
    <t>Katz</t>
  </si>
  <si>
    <t>Palo Alto</t>
  </si>
  <si>
    <t>Fernando</t>
  </si>
  <si>
    <t>Gracia</t>
  </si>
  <si>
    <t>Ayer</t>
  </si>
  <si>
    <t>Bill confirmed legacy gift by survey</t>
  </si>
  <si>
    <t>Hustad</t>
  </si>
  <si>
    <t>Eden Prairie</t>
  </si>
  <si>
    <t>Yoches</t>
  </si>
  <si>
    <t>Dunlap</t>
  </si>
  <si>
    <t>Cleland</t>
  </si>
  <si>
    <t>Milroy</t>
  </si>
  <si>
    <t>Wilcox</t>
  </si>
  <si>
    <t>Berkeley Heights</t>
  </si>
  <si>
    <t>Tangney</t>
  </si>
  <si>
    <t>Happy Valley</t>
  </si>
  <si>
    <t>Gene</t>
  </si>
  <si>
    <t>Woolcock</t>
  </si>
  <si>
    <t>New Britain</t>
  </si>
  <si>
    <t>Adolph</t>
  </si>
  <si>
    <t>Jager</t>
  </si>
  <si>
    <t>Sellersville</t>
  </si>
  <si>
    <t>Belgea</t>
  </si>
  <si>
    <t>Stratford</t>
  </si>
  <si>
    <t>Wlaysewski</t>
  </si>
  <si>
    <t>Flushing</t>
  </si>
  <si>
    <t>Earnest</t>
  </si>
  <si>
    <t>Amabisca</t>
  </si>
  <si>
    <t>Myrtle Creek</t>
  </si>
  <si>
    <t>Geraldine</t>
  </si>
  <si>
    <t>Woodroffe</t>
  </si>
  <si>
    <t>Shirlee</t>
  </si>
  <si>
    <t>Smolin</t>
  </si>
  <si>
    <t>York</t>
  </si>
  <si>
    <t>Gillis</t>
  </si>
  <si>
    <t>Dryden</t>
  </si>
  <si>
    <t>Weixelman</t>
  </si>
  <si>
    <t>Fiscus</t>
  </si>
  <si>
    <t>Costion</t>
  </si>
  <si>
    <t>Burnt Hills</t>
  </si>
  <si>
    <t>Nevlin</t>
  </si>
  <si>
    <t>Thayer</t>
  </si>
  <si>
    <t>Marblehead</t>
  </si>
  <si>
    <t>Semera Baird</t>
  </si>
  <si>
    <t>Gallo</t>
  </si>
  <si>
    <t>Pleasant Hill</t>
  </si>
  <si>
    <t>Speidel</t>
  </si>
  <si>
    <t>San Clemente</t>
  </si>
  <si>
    <t>Burnstad</t>
  </si>
  <si>
    <t>Overland Park</t>
  </si>
  <si>
    <t>Leising</t>
  </si>
  <si>
    <t>Neranza Noel</t>
  </si>
  <si>
    <t>Blount</t>
  </si>
  <si>
    <t>Beverly</t>
  </si>
  <si>
    <t>England</t>
  </si>
  <si>
    <t>Williamson</t>
  </si>
  <si>
    <t>Mount Arlington</t>
  </si>
  <si>
    <t>John James</t>
  </si>
  <si>
    <t>Nathan</t>
  </si>
  <si>
    <t>Schumaker</t>
  </si>
  <si>
    <t>Holmen</t>
  </si>
  <si>
    <t>Cobb</t>
  </si>
  <si>
    <t>Peary</t>
  </si>
  <si>
    <t>Jack</t>
  </si>
  <si>
    <t>Henne</t>
  </si>
  <si>
    <t>Sycamore</t>
  </si>
  <si>
    <t>Deloris</t>
  </si>
  <si>
    <t>Ouren</t>
  </si>
  <si>
    <t>Wineland</t>
  </si>
  <si>
    <t>Plainwell</t>
  </si>
  <si>
    <t>Dacquino</t>
  </si>
  <si>
    <t>Sean</t>
  </si>
  <si>
    <t>Mccaffrey</t>
  </si>
  <si>
    <t>Fleenor</t>
  </si>
  <si>
    <t>Dorsey</t>
  </si>
  <si>
    <t>DeRoo</t>
  </si>
  <si>
    <t>Bartlett</t>
  </si>
  <si>
    <t>Lyghtel</t>
  </si>
  <si>
    <t>Berkenhoff</t>
  </si>
  <si>
    <t>Ephrata</t>
  </si>
  <si>
    <t>Joy</t>
  </si>
  <si>
    <t>Eaton</t>
  </si>
  <si>
    <t>Albanew York</t>
  </si>
  <si>
    <t>Bundock</t>
  </si>
  <si>
    <t>Westwood</t>
  </si>
  <si>
    <t>Emmons</t>
  </si>
  <si>
    <t>Windsor</t>
  </si>
  <si>
    <t>Anita</t>
  </si>
  <si>
    <t>Andersen</t>
  </si>
  <si>
    <t>Shohola</t>
  </si>
  <si>
    <t>Bauer-Scandin</t>
  </si>
  <si>
    <t>Moorestown</t>
  </si>
  <si>
    <t xml:space="preserve">CGA information request received by email; donor would like to set up another $250k in October 2020; info packet sent in the mail.  </t>
  </si>
  <si>
    <t>Hofmann</t>
  </si>
  <si>
    <t>South Milwaukee</t>
  </si>
  <si>
    <t>Carmona</t>
  </si>
  <si>
    <t>Knutson</t>
  </si>
  <si>
    <t>Beaver Dam</t>
  </si>
  <si>
    <t>Guidry</t>
  </si>
  <si>
    <t xml:space="preserve">CGA inquiry by email </t>
  </si>
  <si>
    <t>Hess</t>
  </si>
  <si>
    <t>North Port</t>
  </si>
  <si>
    <t>Bloomington</t>
  </si>
  <si>
    <t>Marietta</t>
  </si>
  <si>
    <t>Stickney</t>
  </si>
  <si>
    <t>Brecksville</t>
  </si>
  <si>
    <t>Trieller</t>
  </si>
  <si>
    <t>Swee</t>
  </si>
  <si>
    <t>Mabry</t>
  </si>
  <si>
    <t>Hing</t>
  </si>
  <si>
    <t>Getz</t>
  </si>
  <si>
    <t>Ertz</t>
  </si>
  <si>
    <t>Violet</t>
  </si>
  <si>
    <t>Abad</t>
  </si>
  <si>
    <t>Bay Village</t>
  </si>
  <si>
    <t>Simonson</t>
  </si>
  <si>
    <t>Cashmere</t>
  </si>
  <si>
    <t>Achtermann</t>
  </si>
  <si>
    <t>Cuyahoga Fls</t>
  </si>
  <si>
    <t xml:space="preserve">CGA inquiry by survey </t>
  </si>
  <si>
    <t>Zachary</t>
  </si>
  <si>
    <t>Louisville</t>
  </si>
  <si>
    <t>Hansford</t>
  </si>
  <si>
    <t>Pepperell</t>
  </si>
  <si>
    <t>Leander</t>
  </si>
  <si>
    <t>Varney</t>
  </si>
  <si>
    <t>Bayer</t>
  </si>
  <si>
    <t>Sanbornton</t>
  </si>
  <si>
    <t>Jespersen</t>
  </si>
  <si>
    <t>Emily</t>
  </si>
  <si>
    <t>Talcott</t>
  </si>
  <si>
    <t>Shawnee</t>
  </si>
  <si>
    <t>Lipkin</t>
  </si>
  <si>
    <t>Mesquite</t>
  </si>
  <si>
    <t>Christel</t>
  </si>
  <si>
    <t>Carlson</t>
  </si>
  <si>
    <t>Krumenaker</t>
  </si>
  <si>
    <t>Big Bend National Park</t>
  </si>
  <si>
    <t>Moon</t>
  </si>
  <si>
    <t>Manchester</t>
  </si>
  <si>
    <t>James William</t>
  </si>
  <si>
    <t>Lieske</t>
  </si>
  <si>
    <t>Oconomowoc</t>
  </si>
  <si>
    <t>E.</t>
  </si>
  <si>
    <t>Lowman</t>
  </si>
  <si>
    <t>Nolan</t>
  </si>
  <si>
    <t>Ocean Park</t>
  </si>
  <si>
    <t>Petcavage</t>
  </si>
  <si>
    <t>Hingham</t>
  </si>
  <si>
    <t>Bevis</t>
  </si>
  <si>
    <t>Tollett</t>
  </si>
  <si>
    <t>Crossville</t>
  </si>
  <si>
    <t>Bentley</t>
  </si>
  <si>
    <t>Brisson</t>
  </si>
  <si>
    <t>Chevalier</t>
  </si>
  <si>
    <t>Waaser</t>
  </si>
  <si>
    <t>Hunt Valley</t>
  </si>
  <si>
    <t>CGA inquiry by phone from magazine response</t>
  </si>
  <si>
    <t>Reddout</t>
  </si>
  <si>
    <t>Bourque</t>
  </si>
  <si>
    <t>Mowrey</t>
  </si>
  <si>
    <t>Orr</t>
  </si>
  <si>
    <t>Kraske</t>
  </si>
  <si>
    <t xml:space="preserve">Anita </t>
  </si>
  <si>
    <t>Dinerstein</t>
  </si>
  <si>
    <t xml:space="preserve">Naples </t>
  </si>
  <si>
    <t>CGA inquiry received by email.</t>
  </si>
  <si>
    <t>Tracye</t>
  </si>
  <si>
    <t>Saint Cloud</t>
  </si>
  <si>
    <t xml:space="preserve">CGA inquiry received by email. </t>
  </si>
  <si>
    <t xml:space="preserve"> Vonda</t>
  </si>
  <si>
    <t>David L.</t>
  </si>
  <si>
    <t>Jerome</t>
  </si>
  <si>
    <t>Glassman</t>
  </si>
  <si>
    <t>Landrum</t>
  </si>
  <si>
    <t>Richall</t>
  </si>
  <si>
    <t>Debary</t>
  </si>
  <si>
    <t>Oshel</t>
  </si>
  <si>
    <t>Placitas</t>
  </si>
  <si>
    <t>MLA</t>
  </si>
  <si>
    <t xml:space="preserve">New MLS; Ms. Oshel called to inform us NPCA is included in her will. A welcome packet is being mailed today. </t>
  </si>
  <si>
    <t>Becht</t>
  </si>
  <si>
    <t>Cumming</t>
  </si>
  <si>
    <t>CGA inquiry received by survey; information packet mailed.</t>
  </si>
  <si>
    <t xml:space="preserve">Michael </t>
  </si>
  <si>
    <t>Pound</t>
  </si>
  <si>
    <t>Kansas City</t>
  </si>
  <si>
    <t>Janice Pound</t>
  </si>
  <si>
    <t>05/25/1040</t>
  </si>
  <si>
    <t>Walter Davis</t>
  </si>
  <si>
    <t>Simone</t>
  </si>
  <si>
    <t>Cormier</t>
  </si>
  <si>
    <t>Morrisville</t>
  </si>
  <si>
    <t>Sampson</t>
  </si>
  <si>
    <t>Daniel</t>
  </si>
  <si>
    <t>Mariani</t>
  </si>
  <si>
    <t>Boulder City</t>
  </si>
  <si>
    <t>CGA inquiry by phone; spoke with Brue Marshal to renew membership and requested info on CGA</t>
  </si>
  <si>
    <t xml:space="preserve"> Croes</t>
  </si>
  <si>
    <t>Dorene</t>
  </si>
  <si>
    <t>Wynkoop</t>
  </si>
  <si>
    <t>Delfa</t>
  </si>
  <si>
    <t>Quinn</t>
  </si>
  <si>
    <t xml:space="preserve">CGA inquiry by phone; information packet sent today. </t>
  </si>
  <si>
    <t>CGA inquiry by phone; donor interested in setting up a second CGA for $25k; information packet sent today by email.</t>
  </si>
  <si>
    <t>Rossmiller</t>
  </si>
  <si>
    <t>Beaver Creek</t>
  </si>
  <si>
    <t xml:space="preserve">CGA inquiry by phone; donor interested in setting up a second CGA for $10k; information packet sent today. </t>
  </si>
  <si>
    <t xml:space="preserve">Kathleen </t>
  </si>
  <si>
    <t>Taveniere</t>
  </si>
  <si>
    <t>Sebring</t>
  </si>
  <si>
    <t>James Taveniere</t>
  </si>
  <si>
    <t>CGA inquiry received and sent information by email.</t>
  </si>
  <si>
    <t>Beers</t>
  </si>
  <si>
    <t xml:space="preserve">Lake George </t>
  </si>
  <si>
    <t>Jalpesh</t>
  </si>
  <si>
    <t>Chitalia</t>
  </si>
  <si>
    <t>Redwood City</t>
  </si>
  <si>
    <t>Yachna Ahuja</t>
  </si>
  <si>
    <t>Nilson</t>
  </si>
  <si>
    <t xml:space="preserve">Coventry </t>
  </si>
  <si>
    <t xml:space="preserve">MLS inquiry by phone from magazine response; information packet sent by postal mail. </t>
  </si>
  <si>
    <t>Darlayn</t>
  </si>
  <si>
    <t>Delboca</t>
  </si>
  <si>
    <t>Bellingham</t>
  </si>
  <si>
    <t>CGA inquiry by phone from magazine response; information packet sent in the mail today; Ms. Delboca is 80, wouldn't provide DOB.</t>
  </si>
  <si>
    <t>Sterner</t>
  </si>
  <si>
    <t>Susan Sterner</t>
  </si>
  <si>
    <t xml:space="preserve">CGA inquiry by phone; donor interested in setting up a CGA for $100k; information packet sent today. </t>
  </si>
  <si>
    <t>O'Neill</t>
  </si>
  <si>
    <t>Vera O'Neill</t>
  </si>
  <si>
    <t xml:space="preserve">CGA inquiry by phone; donor interested in setting up a CGA for $10k; information packet sent today. </t>
  </si>
  <si>
    <t>Benjamin Frost</t>
  </si>
  <si>
    <t>Carnevale</t>
  </si>
  <si>
    <t>Sarasota</t>
  </si>
  <si>
    <t>Pogue</t>
  </si>
  <si>
    <t xml:space="preserve">Orange City </t>
  </si>
  <si>
    <t>Received request for PG information by phone; donor interested in including NPCA in her will toward our work in Acadia Park.</t>
  </si>
  <si>
    <t>Del La Loma</t>
  </si>
  <si>
    <t>Carole</t>
  </si>
  <si>
    <t>Ricketts</t>
  </si>
  <si>
    <t>Bryson City</t>
  </si>
  <si>
    <t>Imber</t>
  </si>
  <si>
    <t>Lake Orion</t>
  </si>
  <si>
    <t xml:space="preserve">CGA inquiry by email; donor interested in setting up a CGA for $10k; information packet sent today. </t>
  </si>
  <si>
    <t xml:space="preserve">Bjarne R. </t>
  </si>
  <si>
    <t>Cynthia Henderson</t>
  </si>
  <si>
    <t xml:space="preserve">New MLS enrollment form received by mail today. </t>
  </si>
  <si>
    <t>Sisko</t>
  </si>
  <si>
    <t>Sugar Grove</t>
  </si>
  <si>
    <t>Gloria Sisko</t>
  </si>
  <si>
    <t>Hawley</t>
  </si>
  <si>
    <t>Random Lake</t>
  </si>
  <si>
    <t>Samuel</t>
  </si>
  <si>
    <t>Hopmeier</t>
  </si>
  <si>
    <t>Chesterfield</t>
  </si>
  <si>
    <t>Pat Hopmeier</t>
  </si>
  <si>
    <t>Reid</t>
  </si>
  <si>
    <t>Lake Charles</t>
  </si>
  <si>
    <t>Bergere</t>
  </si>
  <si>
    <t>Franceschi</t>
  </si>
  <si>
    <t>Renny Franceschi</t>
  </si>
  <si>
    <t>CGA inquiry received by email; information packet mailed.</t>
  </si>
  <si>
    <t xml:space="preserve">CGA inquiry by email; information packet sent by email and postal mail 09/22/21. ($250k) </t>
  </si>
  <si>
    <t>Kirkham</t>
  </si>
  <si>
    <t>Hawborne</t>
  </si>
  <si>
    <t xml:space="preserve">CGA inquiry by phone; information packet being sent by email and postal mail today. ($200k) </t>
  </si>
  <si>
    <t>Fern Park</t>
  </si>
  <si>
    <t xml:space="preserve">CGA inquiry received by email; information packet sent by mail today. </t>
  </si>
  <si>
    <t>Marya</t>
  </si>
  <si>
    <t>Repko</t>
  </si>
  <si>
    <t>Everglades City</t>
  </si>
  <si>
    <t>Hong</t>
  </si>
  <si>
    <t>Son</t>
  </si>
  <si>
    <t>Hiawassee</t>
  </si>
  <si>
    <t>Sunnie Son</t>
  </si>
  <si>
    <t>Rayl</t>
  </si>
  <si>
    <t>Strong City</t>
  </si>
  <si>
    <t>Susan C</t>
  </si>
  <si>
    <t>Degroff</t>
  </si>
  <si>
    <t>Blissfield</t>
  </si>
  <si>
    <t>Claire</t>
  </si>
  <si>
    <t>Bowen</t>
  </si>
  <si>
    <t>Savannah</t>
  </si>
  <si>
    <t>Trombetta</t>
  </si>
  <si>
    <t>Santa Clara</t>
  </si>
  <si>
    <t>Arthur E.</t>
  </si>
  <si>
    <t>Egerton</t>
  </si>
  <si>
    <t xml:space="preserve">CGA inquiry ($350k) received by email; would like to fund with real estate; prospect age 54(too young) info packet mailed for future reference.  </t>
  </si>
  <si>
    <t>Bart</t>
  </si>
  <si>
    <t xml:space="preserve">Franconia </t>
  </si>
  <si>
    <t>CGA inquiry ($100k) received by email; information packet mailed.</t>
  </si>
  <si>
    <t xml:space="preserve">Pyle </t>
  </si>
  <si>
    <t xml:space="preserve">IRA Inquiry received by phone: information packet mailed along with instructions to transfer gift being considered </t>
  </si>
  <si>
    <t>Grimm</t>
  </si>
  <si>
    <t>Wadsworth</t>
  </si>
  <si>
    <t>Sara Grimm</t>
  </si>
  <si>
    <t>J. Barry</t>
  </si>
  <si>
    <t>Gurdin</t>
  </si>
  <si>
    <t>Shue</t>
  </si>
  <si>
    <t>Center Hall</t>
  </si>
  <si>
    <t xml:space="preserve">CGA Inquiry received by phone; information packet mailed. </t>
  </si>
  <si>
    <t>Stampford</t>
  </si>
  <si>
    <t>McNeill</t>
  </si>
  <si>
    <t>Oceanview</t>
  </si>
  <si>
    <t>CGA Inquiry received by phone; donor intends to establish $50k CGA. Anticipate gift before 1/31/2022</t>
  </si>
  <si>
    <t>Cole</t>
  </si>
  <si>
    <t>Windermere</t>
  </si>
  <si>
    <t xml:space="preserve">CGA inquiry received by email; information packet sent by mail. </t>
  </si>
  <si>
    <t>Theodore G.</t>
  </si>
  <si>
    <t xml:space="preserve">CGA Inquiry received by phone requesting illustration for $50k; information packet being mailed asap. </t>
  </si>
  <si>
    <t>Variance</t>
  </si>
  <si>
    <t>%</t>
  </si>
  <si>
    <t>July</t>
  </si>
  <si>
    <t>August</t>
  </si>
  <si>
    <t>September</t>
  </si>
  <si>
    <t>October</t>
  </si>
  <si>
    <t>November</t>
  </si>
  <si>
    <t>December</t>
  </si>
  <si>
    <t>January</t>
  </si>
  <si>
    <t>February</t>
  </si>
  <si>
    <t>March</t>
  </si>
  <si>
    <t>April</t>
  </si>
  <si>
    <t>Revenue and Support</t>
  </si>
  <si>
    <t>Current FY Revenue (Goal)</t>
  </si>
  <si>
    <t>TOTAL:</t>
  </si>
  <si>
    <t>PG-1</t>
  </si>
  <si>
    <t>Bequests (43600)</t>
  </si>
  <si>
    <t>Current FY Revenues (Realized)</t>
  </si>
  <si>
    <t>PG-2</t>
  </si>
  <si>
    <t>Gift Annuities (43400)</t>
  </si>
  <si>
    <t>PG-3</t>
  </si>
  <si>
    <t>Remainder Trusts</t>
  </si>
  <si>
    <t>PG-4</t>
  </si>
  <si>
    <t>Qualified Charitable Distributions</t>
  </si>
  <si>
    <t>PG-5</t>
  </si>
  <si>
    <t>Life Insurance Policies</t>
  </si>
  <si>
    <t>Current FY Expenses (Budget)</t>
  </si>
  <si>
    <t>PG-6</t>
  </si>
  <si>
    <t>Real Estate Transfers</t>
  </si>
  <si>
    <t>PG-7</t>
  </si>
  <si>
    <t>Retained Life Interests</t>
  </si>
  <si>
    <t>Current FY Expenses (Realized)</t>
  </si>
  <si>
    <t>PG-8</t>
  </si>
  <si>
    <t>Lead Trust Income</t>
  </si>
  <si>
    <t>PG-9</t>
  </si>
  <si>
    <t>Earned Interest</t>
  </si>
  <si>
    <t>Direct Expenses</t>
  </si>
  <si>
    <t>Professional Services - Consulting</t>
  </si>
  <si>
    <t>Professional Services - Legal</t>
  </si>
  <si>
    <t>Professional Services - Accounting</t>
  </si>
  <si>
    <t>Professional Services - Other</t>
  </si>
  <si>
    <t>Professional Services - Freelance Writers</t>
  </si>
  <si>
    <t>Professional Services - Telemarketing</t>
  </si>
  <si>
    <t>Professional Services - Polling &amp; Issue testing</t>
  </si>
  <si>
    <t>Personnel / Recruitment</t>
  </si>
  <si>
    <t>Training and Development</t>
  </si>
  <si>
    <t>Temporary Employees</t>
  </si>
  <si>
    <t>Honorarium</t>
  </si>
  <si>
    <t>Gifts</t>
  </si>
  <si>
    <t>Awards</t>
  </si>
  <si>
    <t>Passthrough</t>
  </si>
  <si>
    <t>Supplies</t>
  </si>
  <si>
    <t>Paper</t>
  </si>
  <si>
    <t>Computer supplies/maintenance</t>
  </si>
  <si>
    <t>Software</t>
  </si>
  <si>
    <t>Telephone/Communications</t>
  </si>
  <si>
    <t>Postage Office Meter</t>
  </si>
  <si>
    <t>Postage Outbound</t>
  </si>
  <si>
    <t>Postage - BRE</t>
  </si>
  <si>
    <t>Courier Service/Overnight</t>
  </si>
  <si>
    <t>Printing</t>
  </si>
  <si>
    <t>Comp/Design</t>
  </si>
  <si>
    <t>Advertising</t>
  </si>
  <si>
    <t>Mailing/Shipping Services/Mailshop</t>
  </si>
  <si>
    <t>Outside computer services</t>
  </si>
  <si>
    <t>List rentals</t>
  </si>
  <si>
    <t>Caging</t>
  </si>
  <si>
    <t>Bank Service Charges and Investment Fees</t>
  </si>
  <si>
    <t>Solicitation Fees (State Reg.)</t>
  </si>
  <si>
    <t>Meals and Entertainment</t>
  </si>
  <si>
    <t>Lodging</t>
  </si>
  <si>
    <t>Airfare</t>
  </si>
  <si>
    <t>Train</t>
  </si>
  <si>
    <t>Rental Car</t>
  </si>
  <si>
    <t>Other gas, parking, tolls, etc.</t>
  </si>
  <si>
    <t>Natalie</t>
  </si>
  <si>
    <t>Registrations/Conferences</t>
  </si>
  <si>
    <t>Special Events</t>
  </si>
  <si>
    <t>Miscellaneous</t>
  </si>
  <si>
    <t>Pubs/Subs/Dues</t>
  </si>
  <si>
    <t>Photography services</t>
  </si>
  <si>
    <t>Equipment Purchase</t>
  </si>
  <si>
    <t>Equipment maintenance</t>
  </si>
  <si>
    <t>Office Building Lease</t>
  </si>
  <si>
    <t>Maintenance &amp; Repairs</t>
  </si>
  <si>
    <t>Storage</t>
  </si>
  <si>
    <t>Depreciation</t>
  </si>
  <si>
    <t>Insurance</t>
  </si>
  <si>
    <t>Bad Debt Expense</t>
  </si>
  <si>
    <t>Interest Expense/Equipment</t>
  </si>
  <si>
    <t>Interest/Fees LOC</t>
  </si>
  <si>
    <t>Overhead</t>
  </si>
  <si>
    <t>YTD Actual</t>
  </si>
  <si>
    <t>Finance Projections</t>
  </si>
  <si>
    <t>CGA Realized</t>
  </si>
  <si>
    <t>PGO</t>
  </si>
  <si>
    <t>FAMILY ID</t>
  </si>
  <si>
    <t>FIRST NAME</t>
  </si>
  <si>
    <t>LAST NAME</t>
  </si>
  <si>
    <t>CITY</t>
  </si>
  <si>
    <t>STATE</t>
  </si>
  <si>
    <t>EFFECTIVE DATE</t>
  </si>
  <si>
    <t>DECEASED</t>
  </si>
  <si>
    <t>INFO</t>
  </si>
  <si>
    <t>FORM</t>
  </si>
  <si>
    <t>AMT</t>
  </si>
  <si>
    <t>Will</t>
  </si>
  <si>
    <t>Trust</t>
  </si>
  <si>
    <t>IRA</t>
  </si>
  <si>
    <t>401k</t>
  </si>
  <si>
    <t>Comm. Fund</t>
  </si>
  <si>
    <t>DAF</t>
  </si>
  <si>
    <t>RE</t>
  </si>
  <si>
    <t>Other</t>
  </si>
  <si>
    <t>STATUS</t>
  </si>
  <si>
    <t>Last Visit</t>
  </si>
  <si>
    <t>SPOUSE?</t>
  </si>
  <si>
    <t>NOTES:</t>
  </si>
  <si>
    <t>$200k CRAT + signficant IRA beneficiary as of Oct 2019</t>
  </si>
  <si>
    <t>20% beneficiary along with 4 other nonprofits</t>
  </si>
  <si>
    <t>Crandall</t>
  </si>
  <si>
    <t>Blank</t>
  </si>
  <si>
    <t>404-932-7669</t>
  </si>
  <si>
    <t xml:space="preserve">MLS Form- states she will give $15,000,000 after her "demise" </t>
  </si>
  <si>
    <t xml:space="preserve">E. Andrew </t>
  </si>
  <si>
    <t>Wilde</t>
  </si>
  <si>
    <t>Chelsea</t>
  </si>
  <si>
    <t>Estate donated in January 2020 $1,625,000</t>
  </si>
  <si>
    <t>H. William (Bill)</t>
  </si>
  <si>
    <t>Will give a gift in the form of a will or trust. Contact Bill Walter not Judy.</t>
  </si>
  <si>
    <t>612-963-4101</t>
  </si>
  <si>
    <t xml:space="preserve">Will give a gift in the form of a will or trust </t>
  </si>
  <si>
    <t>Ordway</t>
  </si>
  <si>
    <t>307-733-2737</t>
  </si>
  <si>
    <t>Bennett</t>
  </si>
  <si>
    <t>Kendall</t>
  </si>
  <si>
    <t>763-521-4620</t>
  </si>
  <si>
    <t>Doyle</t>
  </si>
  <si>
    <t>Incline Village</t>
  </si>
  <si>
    <t>(775) 831-1824</t>
  </si>
  <si>
    <t xml:space="preserve">May live in Australia now </t>
  </si>
  <si>
    <t>(423) 322-3430</t>
  </si>
  <si>
    <t>Meg</t>
  </si>
  <si>
    <t>Justus</t>
  </si>
  <si>
    <t>(415) 577-3741</t>
  </si>
  <si>
    <t>NPCA is 50% benificiary of $1.2 million CRT (bequest intent)</t>
  </si>
  <si>
    <t>Amanda</t>
  </si>
  <si>
    <t>C.E.</t>
  </si>
  <si>
    <t>Paradise</t>
  </si>
  <si>
    <t xml:space="preserve">	(415) 258-0299</t>
  </si>
  <si>
    <t xml:space="preserve">NPCA in her will, beneficiary of her estate </t>
  </si>
  <si>
    <t>(352) 454-4741</t>
  </si>
  <si>
    <t>Doria</t>
  </si>
  <si>
    <t>Potomac</t>
  </si>
  <si>
    <t>Dee C.</t>
  </si>
  <si>
    <t>Leggett</t>
  </si>
  <si>
    <t>Great Falls</t>
  </si>
  <si>
    <t xml:space="preserve">	(703) 328-4921</t>
  </si>
  <si>
    <t>Robert N.</t>
  </si>
  <si>
    <t>Woelfel</t>
  </si>
  <si>
    <t>Bethlehem</t>
  </si>
  <si>
    <t xml:space="preserve">Donating part of her estate $100,000 already given, $150,000 or more expected soon </t>
  </si>
  <si>
    <t>Carol Ann</t>
  </si>
  <si>
    <t>Prihoda</t>
  </si>
  <si>
    <t>$300,000 anticipated bequest</t>
  </si>
  <si>
    <t>Dwight C.</t>
  </si>
  <si>
    <t>Minton</t>
  </si>
  <si>
    <t>(609) 658-3097</t>
  </si>
  <si>
    <t>Dillin</t>
  </si>
  <si>
    <t>Ilo</t>
  </si>
  <si>
    <t>The Minier Co-Operative Grain Co is attached to his file</t>
  </si>
  <si>
    <t>The Minier Co-Operative Grain Co</t>
  </si>
  <si>
    <t>Lina</t>
  </si>
  <si>
    <t>Berrier</t>
  </si>
  <si>
    <t>(240) 743-9247</t>
  </si>
  <si>
    <t>$200k CRAT and IRA Beneficiary Designation</t>
  </si>
  <si>
    <t>Providence</t>
  </si>
  <si>
    <t>Rodney</t>
  </si>
  <si>
    <t>Chras</t>
  </si>
  <si>
    <t>(614) 488-4141</t>
  </si>
  <si>
    <t>8 CGAs</t>
  </si>
  <si>
    <t>Lottie</t>
  </si>
  <si>
    <t>Glastonbury</t>
  </si>
  <si>
    <t>Long</t>
  </si>
  <si>
    <t>(307) 699-3744</t>
  </si>
  <si>
    <t>Resor</t>
  </si>
  <si>
    <t>(307) 690-3989</t>
  </si>
  <si>
    <t>Story</t>
  </si>
  <si>
    <t>(307) 690-8164</t>
  </si>
  <si>
    <t>Lake Forest</t>
  </si>
  <si>
    <t>Duke</t>
  </si>
  <si>
    <t>Chinn</t>
  </si>
  <si>
    <t>Panama City</t>
  </si>
  <si>
    <t>Strobel</t>
  </si>
  <si>
    <t>(651) 738-8151</t>
  </si>
  <si>
    <t>Spence</t>
  </si>
  <si>
    <t>(541) 488-1703</t>
  </si>
  <si>
    <t xml:space="preserve">$260k new estate gift coming soon </t>
  </si>
  <si>
    <t>Newtown Sq</t>
  </si>
  <si>
    <t>Gorsuch</t>
  </si>
  <si>
    <t>(505) 301-4121</t>
  </si>
  <si>
    <t xml:space="preserve">	(973) 839-1013</t>
  </si>
  <si>
    <t>McGee</t>
  </si>
  <si>
    <t>04/02/2018 sent in a check in the amount of $100k, to established a charitable gift annuity</t>
  </si>
  <si>
    <t>Sebastian</t>
  </si>
  <si>
    <t>Battle Creek</t>
  </si>
  <si>
    <t>Stephenson</t>
  </si>
  <si>
    <t>Bridgewater</t>
  </si>
  <si>
    <t>Thom</t>
  </si>
  <si>
    <t>Flory</t>
  </si>
  <si>
    <t>Phyllis Woodward and Wendy Bentson</t>
  </si>
  <si>
    <t>Woodward</t>
  </si>
  <si>
    <t>Sonoma</t>
  </si>
  <si>
    <t>(707) 996-5216</t>
  </si>
  <si>
    <t>Rodormer</t>
  </si>
  <si>
    <t>Lighthouse Point</t>
  </si>
  <si>
    <t>Two bequests of $500,000+ from their two separate trusts</t>
  </si>
  <si>
    <t>Grabo</t>
  </si>
  <si>
    <t>4/28/2006 "NPCA is a beneficiary of my will. I can't predict the exact amount but it will be at least $50,000, perhaps as much as $70,000. This is strictly confidential. Do not publish my name or you will lose the bequest."</t>
  </si>
  <si>
    <t>(609) 737-1710</t>
  </si>
  <si>
    <t>Schwemm</t>
  </si>
  <si>
    <t>(941) 383-7368</t>
  </si>
  <si>
    <t>Betty Jean</t>
  </si>
  <si>
    <t>Blakewell</t>
  </si>
  <si>
    <t>(817) 370-0569</t>
  </si>
  <si>
    <t>07/07/2005 $50,000 CGA on its way</t>
  </si>
  <si>
    <t>Betty</t>
  </si>
  <si>
    <t>Matyas</t>
  </si>
  <si>
    <t>Nipomo</t>
  </si>
  <si>
    <t>Curt</t>
  </si>
  <si>
    <t>Maxwell</t>
  </si>
  <si>
    <t>(202) 686-2882</t>
  </si>
  <si>
    <t>Randles</t>
  </si>
  <si>
    <t xml:space="preserve">	09/18/1913</t>
  </si>
  <si>
    <t>Painesville</t>
  </si>
  <si>
    <t>Spencer</t>
  </si>
  <si>
    <t>Gordon</t>
  </si>
  <si>
    <t>Sierra Madre</t>
  </si>
  <si>
    <t>Gerda</t>
  </si>
  <si>
    <t>Vashon</t>
  </si>
  <si>
    <t>Arthur</t>
  </si>
  <si>
    <t>Newark</t>
  </si>
  <si>
    <t>Forest Hill</t>
  </si>
  <si>
    <t>Jilovec</t>
  </si>
  <si>
    <t>Clevland</t>
  </si>
  <si>
    <t>Dela-Volpe</t>
  </si>
  <si>
    <t>River Edge</t>
  </si>
  <si>
    <t>(903) 569-9004</t>
  </si>
  <si>
    <t>(319) 754-7610</t>
  </si>
  <si>
    <t>Furrow</t>
  </si>
  <si>
    <t>Tuscon</t>
  </si>
  <si>
    <t xml:space="preserve">Gladys </t>
  </si>
  <si>
    <t xml:space="preserve">12/23/2010	</t>
  </si>
  <si>
    <t>Bergen</t>
  </si>
  <si>
    <t>Egg Harbor Township</t>
  </si>
  <si>
    <t>(609) 457-3919</t>
  </si>
  <si>
    <t>Merelice</t>
  </si>
  <si>
    <t>Kundratis</t>
  </si>
  <si>
    <t>Heidenreich</t>
  </si>
  <si>
    <t>Shoup</t>
  </si>
  <si>
    <t>(623) 972-3569</t>
  </si>
  <si>
    <t>Tricia</t>
  </si>
  <si>
    <t>Lootens</t>
  </si>
  <si>
    <t xml:space="preserve">12/31/2013	</t>
  </si>
  <si>
    <t>Schriefer</t>
  </si>
  <si>
    <t>El Cajon</t>
  </si>
  <si>
    <t>(619) 579-6112</t>
  </si>
  <si>
    <t>Cargan</t>
  </si>
  <si>
    <t>Yellow Springs</t>
  </si>
  <si>
    <t>Eisner</t>
  </si>
  <si>
    <t>Hoschton</t>
  </si>
  <si>
    <t>(404) 731-2918</t>
  </si>
  <si>
    <t>Adrienne</t>
  </si>
  <si>
    <t>Lloyd-Eisner</t>
  </si>
  <si>
    <t>Hudson- Taylor</t>
  </si>
  <si>
    <t>Glen Echo</t>
  </si>
  <si>
    <t>Tibor</t>
  </si>
  <si>
    <t>Varhelyi</t>
  </si>
  <si>
    <t>Westminster</t>
  </si>
  <si>
    <t>Kiernan</t>
  </si>
  <si>
    <t>(202) 841-9550</t>
  </si>
  <si>
    <t>Hale</t>
  </si>
  <si>
    <t xml:space="preserve">10/21/2002	</t>
  </si>
  <si>
    <t>(858) 487-6715</t>
  </si>
  <si>
    <t>Lawson</t>
  </si>
  <si>
    <t>(801) 581-0391</t>
  </si>
  <si>
    <t>(718) 857-8851</t>
  </si>
  <si>
    <t>Coren</t>
  </si>
  <si>
    <t>Perenich</t>
  </si>
  <si>
    <t>Athens</t>
  </si>
  <si>
    <t>White</t>
  </si>
  <si>
    <t>Wemmer</t>
  </si>
  <si>
    <t>Muriel</t>
  </si>
  <si>
    <t>Council</t>
  </si>
  <si>
    <t>Ulmer</t>
  </si>
  <si>
    <t>(907) 586-6523</t>
  </si>
  <si>
    <t>bequest intention</t>
  </si>
  <si>
    <t>Orchid</t>
  </si>
  <si>
    <t>Owlett</t>
  </si>
  <si>
    <t>Tarpon Springs</t>
  </si>
  <si>
    <t xml:space="preserve">	09/19/2000</t>
  </si>
  <si>
    <t xml:space="preserve">07/14/2016	</t>
  </si>
  <si>
    <t>(503) 227-4207</t>
  </si>
  <si>
    <t>Tootell</t>
  </si>
  <si>
    <t>Gloversville</t>
  </si>
  <si>
    <t xml:space="preserve">12/19/2007	</t>
  </si>
  <si>
    <t>(301) 229-8893</t>
  </si>
  <si>
    <t>Sporn</t>
  </si>
  <si>
    <t xml:space="preserve">(301) 919-9597 </t>
  </si>
  <si>
    <t>Canyon Country</t>
  </si>
  <si>
    <t>(602) 809-1759</t>
  </si>
  <si>
    <t xml:space="preserve">12/09/2011	</t>
  </si>
  <si>
    <t>Bequest intent of 1,000 shares of Exxon Mobil and 1,000 shares of IBM</t>
  </si>
  <si>
    <t>Beaham</t>
  </si>
  <si>
    <t xml:space="preserve">07/01/2002	</t>
  </si>
  <si>
    <t xml:space="preserve">(913) 722-3494 </t>
  </si>
  <si>
    <t>Shertzer</t>
  </si>
  <si>
    <t>Hummelstown</t>
  </si>
  <si>
    <t>Huppert</t>
  </si>
  <si>
    <t>Christiansburg</t>
  </si>
  <si>
    <t>(540) 382-6593</t>
  </si>
  <si>
    <t>Penny</t>
  </si>
  <si>
    <t>Zemke</t>
  </si>
  <si>
    <t>Juno Beach</t>
  </si>
  <si>
    <t>Laing</t>
  </si>
  <si>
    <t xml:space="preserve">	Tenedine</t>
  </si>
  <si>
    <t>(215) 925-3585</t>
  </si>
  <si>
    <t>Leaving $1 mil for NPCA</t>
  </si>
  <si>
    <t>(757) 258-0363</t>
  </si>
  <si>
    <t>Glasser</t>
  </si>
  <si>
    <t xml:space="preserve">	02/26/2009</t>
  </si>
  <si>
    <t>(310) 788-2808</t>
  </si>
  <si>
    <t>Mack</t>
  </si>
  <si>
    <t>(512) 453-0764</t>
  </si>
  <si>
    <t>Brandt</t>
  </si>
  <si>
    <t>Paulden</t>
  </si>
  <si>
    <t xml:space="preserve">(928) 778-6794 </t>
  </si>
  <si>
    <t>Jarrett</t>
  </si>
  <si>
    <t>Bellbrook</t>
  </si>
  <si>
    <t>Leu</t>
  </si>
  <si>
    <t>Keokuk</t>
  </si>
  <si>
    <t>(319) 524-4589</t>
  </si>
  <si>
    <t>Wauchope</t>
  </si>
  <si>
    <t>New Orleans</t>
  </si>
  <si>
    <t>(203) 324-5215</t>
  </si>
  <si>
    <t>Bedford</t>
  </si>
  <si>
    <t>Adelaide</t>
  </si>
  <si>
    <t>Kolvoord</t>
  </si>
  <si>
    <t>Dolph</t>
  </si>
  <si>
    <t>Simons</t>
  </si>
  <si>
    <t>(785) 843-0150</t>
  </si>
  <si>
    <t>Bradulov</t>
  </si>
  <si>
    <t>Long Beach</t>
  </si>
  <si>
    <t>Whelan</t>
  </si>
  <si>
    <t>Grass Valley</t>
  </si>
  <si>
    <t>(530) 205-9402</t>
  </si>
  <si>
    <t>Majorie</t>
  </si>
  <si>
    <t>Studebaker</t>
  </si>
  <si>
    <t>Avery</t>
  </si>
  <si>
    <t xml:space="preserve">	(505) 822-8100</t>
  </si>
  <si>
    <t>League City</t>
  </si>
  <si>
    <t>Shirley Anne</t>
  </si>
  <si>
    <t>(828) 274-1963</t>
  </si>
  <si>
    <t>Johanna</t>
  </si>
  <si>
    <t>(406) 586-1104</t>
  </si>
  <si>
    <t xml:space="preserve">	06/20/1925</t>
  </si>
  <si>
    <t>Idalee</t>
  </si>
  <si>
    <t>Leeper</t>
  </si>
  <si>
    <t>Belle Vernon</t>
  </si>
  <si>
    <t xml:space="preserve">(724) 929-5764 </t>
  </si>
  <si>
    <t>Morgan</t>
  </si>
  <si>
    <t>(626) 797-1810</t>
  </si>
  <si>
    <t>Kicab</t>
  </si>
  <si>
    <t>Castaneda-Mendez</t>
  </si>
  <si>
    <t>Pittsboro</t>
  </si>
  <si>
    <t>Marta</t>
  </si>
  <si>
    <t>Chase</t>
  </si>
  <si>
    <t xml:space="preserve">(919) 967-8782 </t>
  </si>
  <si>
    <t>Steinbrunner</t>
  </si>
  <si>
    <t>(216) 221-6840</t>
  </si>
  <si>
    <t>Merriam</t>
  </si>
  <si>
    <t>Buellton</t>
  </si>
  <si>
    <t>J. Barton</t>
  </si>
  <si>
    <t>Bryn Mawr</t>
  </si>
  <si>
    <t>(610) 525-8730</t>
  </si>
  <si>
    <t>Crinklaw</t>
  </si>
  <si>
    <t>Wayzata</t>
  </si>
  <si>
    <t>(763) 473-0844</t>
  </si>
  <si>
    <t>Wanda</t>
  </si>
  <si>
    <t>Mourant</t>
  </si>
  <si>
    <t>Framingham</t>
  </si>
  <si>
    <t>(508) 875-6098</t>
  </si>
  <si>
    <t>Greensboro</t>
  </si>
  <si>
    <t>Stampes</t>
  </si>
  <si>
    <t>Susanne</t>
  </si>
  <si>
    <t>Brundige</t>
  </si>
  <si>
    <t>West Caldwell</t>
  </si>
  <si>
    <t>(973) 226-0266</t>
  </si>
  <si>
    <t xml:space="preserve">*gift to be used for grand teton NP </t>
  </si>
  <si>
    <t>Hemet</t>
  </si>
  <si>
    <t>Pepper</t>
  </si>
  <si>
    <t>Kokomo</t>
  </si>
  <si>
    <t>Sehy</t>
  </si>
  <si>
    <t>Niles</t>
  </si>
  <si>
    <t>(269) 684-0874</t>
  </si>
  <si>
    <t xml:space="preserve">(847) 433-8874 </t>
  </si>
  <si>
    <t>H. J.</t>
  </si>
  <si>
    <t>Van Hook</t>
  </si>
  <si>
    <t>Aten</t>
  </si>
  <si>
    <t>(202) 363-4491</t>
  </si>
  <si>
    <t>Delano</t>
  </si>
  <si>
    <t>Deerfield</t>
  </si>
  <si>
    <t>Hayes</t>
  </si>
  <si>
    <t>(414) 258-5295</t>
  </si>
  <si>
    <t>(941) 460-3901</t>
  </si>
  <si>
    <t>Goethe</t>
  </si>
  <si>
    <t>*Issue in November 2019 with the estate payment, 3 companies on the account; RDI Royalty Distributors Inc, EMJAYCO, CARNEROS ENERGY, INC</t>
  </si>
  <si>
    <t>Watson</t>
  </si>
  <si>
    <t>Towanda</t>
  </si>
  <si>
    <t>(620) 752-3617</t>
  </si>
  <si>
    <t>Fisher</t>
  </si>
  <si>
    <t>(303) 410-6789</t>
  </si>
  <si>
    <t>Ernst</t>
  </si>
  <si>
    <t>Oberlin</t>
  </si>
  <si>
    <t>Kalina</t>
  </si>
  <si>
    <t xml:space="preserve">(812) 334-7867 </t>
  </si>
  <si>
    <t>Marian</t>
  </si>
  <si>
    <t>Paxhia</t>
  </si>
  <si>
    <t>Emmanuel</t>
  </si>
  <si>
    <t>(513) 874-1291</t>
  </si>
  <si>
    <t>Clopp</t>
  </si>
  <si>
    <t>(410) 956-0207</t>
  </si>
  <si>
    <t>Daniels</t>
  </si>
  <si>
    <t>University Place</t>
  </si>
  <si>
    <t>(253) 564-3434</t>
  </si>
  <si>
    <t>Blanche</t>
  </si>
  <si>
    <t>Kelley</t>
  </si>
  <si>
    <t>Westbrook</t>
  </si>
  <si>
    <t>(207) 797-5283</t>
  </si>
  <si>
    <t>R Stewart</t>
  </si>
  <si>
    <t>Singers</t>
  </si>
  <si>
    <t>Austell</t>
  </si>
  <si>
    <t>(770) 819-7373</t>
  </si>
  <si>
    <t>Hollohan</t>
  </si>
  <si>
    <t>Fayetteville</t>
  </si>
  <si>
    <t>Baden</t>
  </si>
  <si>
    <t>Prior Lake</t>
  </si>
  <si>
    <t>Lushia</t>
  </si>
  <si>
    <t>Kennedy</t>
  </si>
  <si>
    <t>Melissa</t>
  </si>
  <si>
    <t>Garvan</t>
  </si>
  <si>
    <t>Tate</t>
  </si>
  <si>
    <t>(626) 287-8426</t>
  </si>
  <si>
    <t>Halpin</t>
  </si>
  <si>
    <t>Warrensburg</t>
  </si>
  <si>
    <t>Tina</t>
  </si>
  <si>
    <t>McPherson</t>
  </si>
  <si>
    <t>Hobe Sound</t>
  </si>
  <si>
    <t>(772) 545-1181</t>
  </si>
  <si>
    <t>Falk</t>
  </si>
  <si>
    <t>Labelle</t>
  </si>
  <si>
    <t>(814) 723-4511</t>
  </si>
  <si>
    <t>Fehim</t>
  </si>
  <si>
    <t>Sarich</t>
  </si>
  <si>
    <t>Ethel</t>
  </si>
  <si>
    <t xml:space="preserve">	Armeling</t>
  </si>
  <si>
    <t>Kaptain</t>
  </si>
  <si>
    <t>(847) 741-7375</t>
  </si>
  <si>
    <t>Schnaar</t>
  </si>
  <si>
    <t>Northridge</t>
  </si>
  <si>
    <t>(818) 594-5851</t>
  </si>
  <si>
    <t>Holfinger</t>
  </si>
  <si>
    <t>Healy</t>
  </si>
  <si>
    <t>(515) 432-3248</t>
  </si>
  <si>
    <t>Nell</t>
  </si>
  <si>
    <t>Willmann</t>
  </si>
  <si>
    <t>Widdis</t>
  </si>
  <si>
    <t>Bickerstaff</t>
  </si>
  <si>
    <t>Pingle</t>
  </si>
  <si>
    <t>Mountain View</t>
  </si>
  <si>
    <t>Hespenheide</t>
  </si>
  <si>
    <t>Poughkeepsie</t>
  </si>
  <si>
    <t>Erich</t>
  </si>
  <si>
    <t>Karina</t>
  </si>
  <si>
    <t>Brikates</t>
  </si>
  <si>
    <t>Cave Creek</t>
  </si>
  <si>
    <t>(480) 488-2232</t>
  </si>
  <si>
    <t>Barbra</t>
  </si>
  <si>
    <t>Baum</t>
  </si>
  <si>
    <t>Scarsdale</t>
  </si>
  <si>
    <t>Glendale</t>
  </si>
  <si>
    <t>Ridgefield</t>
  </si>
  <si>
    <t>(203) 894-8901</t>
  </si>
  <si>
    <t>Celeste</t>
  </si>
  <si>
    <t>Dewoody</t>
  </si>
  <si>
    <t>MLS date 06/04/2010 CGA date 01/12/2012</t>
  </si>
  <si>
    <t>Mona</t>
  </si>
  <si>
    <t>Avellino</t>
  </si>
  <si>
    <t>Olney</t>
  </si>
  <si>
    <t>(703) 378-9070</t>
  </si>
  <si>
    <t>Bornstein</t>
  </si>
  <si>
    <t>Hunt</t>
  </si>
  <si>
    <t>Bouton</t>
  </si>
  <si>
    <t>Dowling Park</t>
  </si>
  <si>
    <t>Whatley</t>
  </si>
  <si>
    <t xml:space="preserve">Marked as CGA in ROI but there is not a CGA under is name in the Annuities tab, maybe because he is deceased </t>
  </si>
  <si>
    <t>Fairbanks</t>
  </si>
  <si>
    <t>Von Hofmann</t>
  </si>
  <si>
    <t xml:space="preserve">	Milwaukee</t>
  </si>
  <si>
    <t>Bresko</t>
  </si>
  <si>
    <t>Fern Bch</t>
  </si>
  <si>
    <t xml:space="preserve">11/24/2014	</t>
  </si>
  <si>
    <t>(352) 336-3780</t>
  </si>
  <si>
    <t>Dickerson</t>
  </si>
  <si>
    <t>Hawthorne</t>
  </si>
  <si>
    <t xml:space="preserve">12/11/1996	</t>
  </si>
  <si>
    <t>Francis</t>
  </si>
  <si>
    <t xml:space="preserve">08/11/1997	</t>
  </si>
  <si>
    <t>Sara</t>
  </si>
  <si>
    <t>Magee</t>
  </si>
  <si>
    <t>Sartell</t>
  </si>
  <si>
    <t>Schneider</t>
  </si>
  <si>
    <t>Templeton</t>
  </si>
  <si>
    <t>Liechty</t>
  </si>
  <si>
    <t>Belgrade</t>
  </si>
  <si>
    <t>(512) 864-7512</t>
  </si>
  <si>
    <t>Hittner</t>
  </si>
  <si>
    <t>Maxine</t>
  </si>
  <si>
    <t>Trevethen</t>
  </si>
  <si>
    <t>Torrance</t>
  </si>
  <si>
    <t>Scheer</t>
  </si>
  <si>
    <t xml:space="preserve">06/24/2009	</t>
  </si>
  <si>
    <t>(612) 425-6380</t>
  </si>
  <si>
    <t>MLS_BEQ and MLS_CGA</t>
  </si>
  <si>
    <t>Pray</t>
  </si>
  <si>
    <t>Yorba Linda</t>
  </si>
  <si>
    <t xml:space="preserve">Can't find the CGA on the annuities tab </t>
  </si>
  <si>
    <t>Farwell</t>
  </si>
  <si>
    <t>Williamstown</t>
  </si>
  <si>
    <t xml:space="preserve">12/13/2016	</t>
  </si>
  <si>
    <t>(413) 597-3249</t>
  </si>
  <si>
    <t>Mavis</t>
  </si>
  <si>
    <t>Walters</t>
  </si>
  <si>
    <t>(202) 342-9682</t>
  </si>
  <si>
    <t xml:space="preserve"> Joanne</t>
  </si>
  <si>
    <t>Overleese</t>
  </si>
  <si>
    <t>La Jolla</t>
  </si>
  <si>
    <t>Wrin</t>
  </si>
  <si>
    <t>(202) 244-5744</t>
  </si>
  <si>
    <t xml:space="preserve">04/14/2010	</t>
  </si>
  <si>
    <t>Vanguard account</t>
  </si>
  <si>
    <t xml:space="preserve">05/22/2019	</t>
  </si>
  <si>
    <t>Abby</t>
  </si>
  <si>
    <t xml:space="preserve">(608) 848-3455 </t>
  </si>
  <si>
    <t>McWade</t>
  </si>
  <si>
    <t>Rockville Centre</t>
  </si>
  <si>
    <t xml:space="preserve">11/13/2015	</t>
  </si>
  <si>
    <t>Nightingale</t>
  </si>
  <si>
    <t>Harvey</t>
  </si>
  <si>
    <t xml:space="preserve">04/16/2019	</t>
  </si>
  <si>
    <t>(304) 772-3335</t>
  </si>
  <si>
    <t>Naomi</t>
  </si>
  <si>
    <t>No date</t>
  </si>
  <si>
    <t xml:space="preserve">05/06/2011	</t>
  </si>
  <si>
    <t>(703) 528-2731</t>
  </si>
  <si>
    <t>Molly</t>
  </si>
  <si>
    <t>Angus</t>
  </si>
  <si>
    <t xml:space="preserve">12/03/2016	</t>
  </si>
  <si>
    <t>(205) 987-7976</t>
  </si>
  <si>
    <t>Christy</t>
  </si>
  <si>
    <t>Lila</t>
  </si>
  <si>
    <t>Hensley</t>
  </si>
  <si>
    <t>Kelseyville</t>
  </si>
  <si>
    <t>Julian</t>
  </si>
  <si>
    <t>Babad</t>
  </si>
  <si>
    <t xml:space="preserve">06/26/2002	</t>
  </si>
  <si>
    <t>Bequest intent of $150k</t>
  </si>
  <si>
    <t>Locust Grove</t>
  </si>
  <si>
    <t xml:space="preserve">10/04/2016	</t>
  </si>
  <si>
    <t>Bettyruth</t>
  </si>
  <si>
    <t>Urbandale</t>
  </si>
  <si>
    <t>Ruwwe</t>
  </si>
  <si>
    <t>Crestwood</t>
  </si>
  <si>
    <t xml:space="preserve">11/24/1998	</t>
  </si>
  <si>
    <t>Kaspar</t>
  </si>
  <si>
    <t xml:space="preserve">07/05/2010	</t>
  </si>
  <si>
    <t>Lowd</t>
  </si>
  <si>
    <t>Dedham</t>
  </si>
  <si>
    <t>Medalie</t>
  </si>
  <si>
    <t>(617) 244-8283</t>
  </si>
  <si>
    <t>Silver Spring</t>
  </si>
  <si>
    <t xml:space="preserve">07/03/2013	</t>
  </si>
  <si>
    <t>Ardis</t>
  </si>
  <si>
    <t>McCarthy</t>
  </si>
  <si>
    <t>Blanket</t>
  </si>
  <si>
    <t xml:space="preserve">12/21/2005	</t>
  </si>
  <si>
    <t>Bayless</t>
  </si>
  <si>
    <t>(937) 283-2641</t>
  </si>
  <si>
    <t>Patty</t>
  </si>
  <si>
    <t>Hankins</t>
  </si>
  <si>
    <t xml:space="preserve">05/31/2017	</t>
  </si>
  <si>
    <t>Keiger</t>
  </si>
  <si>
    <t>Decorah</t>
  </si>
  <si>
    <t>(563) 277-1092</t>
  </si>
  <si>
    <t>(308) 234-1418</t>
  </si>
  <si>
    <t>Mcwhirter</t>
  </si>
  <si>
    <t>Issaquah</t>
  </si>
  <si>
    <t xml:space="preserve">10/22/2007	</t>
  </si>
  <si>
    <t>(425) 241-3086</t>
  </si>
  <si>
    <t>Bequest pledge to be made after the death of the first spouse</t>
  </si>
  <si>
    <t>Harlan</t>
  </si>
  <si>
    <t>Eva</t>
  </si>
  <si>
    <t>Eckert</t>
  </si>
  <si>
    <t>Mackey</t>
  </si>
  <si>
    <t>Bar Harbor</t>
  </si>
  <si>
    <t>Ione</t>
  </si>
  <si>
    <t xml:space="preserve">07/26/2000	</t>
  </si>
  <si>
    <t>Ernest</t>
  </si>
  <si>
    <t>Cook</t>
  </si>
  <si>
    <t>(208) 736-1894</t>
  </si>
  <si>
    <t xml:space="preserve"> Kreipke</t>
  </si>
  <si>
    <t>(760) 360-3058</t>
  </si>
  <si>
    <t>Johann</t>
  </si>
  <si>
    <t>Diethelm</t>
  </si>
  <si>
    <t>Wallkill</t>
  </si>
  <si>
    <t>(845) 895-3176</t>
  </si>
  <si>
    <t>Bristol</t>
  </si>
  <si>
    <t>(402) 498-0552</t>
  </si>
  <si>
    <t>(480) 988-0554</t>
  </si>
  <si>
    <t xml:space="preserve">10/24/2002	</t>
  </si>
  <si>
    <t>(913) 651-8570</t>
  </si>
  <si>
    <t>Media</t>
  </si>
  <si>
    <t>Cromlish</t>
  </si>
  <si>
    <t>Gastonia</t>
  </si>
  <si>
    <t>(704) 869-0405</t>
  </si>
  <si>
    <t>Adams</t>
  </si>
  <si>
    <t>Chevy Chase</t>
  </si>
  <si>
    <t xml:space="preserve">07/02/2002	</t>
  </si>
  <si>
    <t>(202) 966-1152</t>
  </si>
  <si>
    <t>Albrecht</t>
  </si>
  <si>
    <t xml:space="preserve">10/01/2013	</t>
  </si>
  <si>
    <t>Blackman</t>
  </si>
  <si>
    <t>Wolcott</t>
  </si>
  <si>
    <t>Santa Barbara</t>
  </si>
  <si>
    <t>Lowry</t>
  </si>
  <si>
    <t xml:space="preserve">12/09/2013	</t>
  </si>
  <si>
    <t>(217) 356-5318</t>
  </si>
  <si>
    <t>Minadeo Johnson</t>
  </si>
  <si>
    <t xml:space="preserve">05/03/2010	</t>
  </si>
  <si>
    <t>(713) 504-1981</t>
  </si>
  <si>
    <t>NPCA is a residual beneficiary of their will</t>
  </si>
  <si>
    <t xml:space="preserve">	Latterell</t>
  </si>
  <si>
    <t>(304) 876-6072</t>
  </si>
  <si>
    <t>Marvyl</t>
  </si>
  <si>
    <t>Twentynine Palms</t>
  </si>
  <si>
    <t xml:space="preserve">10/26/2000	</t>
  </si>
  <si>
    <t>(760) 367-6816</t>
  </si>
  <si>
    <t>Kittross</t>
  </si>
  <si>
    <t>John Michael</t>
  </si>
  <si>
    <t>(206) 365-3905</t>
  </si>
  <si>
    <t>CGA 12/11/1997 BEQ 6/24/2002</t>
  </si>
  <si>
    <t>Pierno</t>
  </si>
  <si>
    <t>Annapolis</t>
  </si>
  <si>
    <t xml:space="preserve">10/10/2019	</t>
  </si>
  <si>
    <t>(410) 267-6547</t>
  </si>
  <si>
    <t xml:space="preserve">10/23/2006	</t>
  </si>
  <si>
    <t>CRAT &amp; CRT</t>
  </si>
  <si>
    <t>Kirkpatrick</t>
  </si>
  <si>
    <t>Ira</t>
  </si>
  <si>
    <t>Engeltjes</t>
  </si>
  <si>
    <t>Coopersville</t>
  </si>
  <si>
    <t xml:space="preserve">07/10/2019	</t>
  </si>
  <si>
    <t xml:space="preserve">03/01/2017	</t>
  </si>
  <si>
    <t>(616) 837-8151</t>
  </si>
  <si>
    <t>"Twenty-five percent (25%) to the National Parks Conservation Association, 777 6th Street NW, Suite 700, Washington, DC 20001"</t>
  </si>
  <si>
    <t>Hilda</t>
  </si>
  <si>
    <t>Newcastle</t>
  </si>
  <si>
    <t>Jo Ann</t>
  </si>
  <si>
    <t>Neal</t>
  </si>
  <si>
    <t>Windsor Heights</t>
  </si>
  <si>
    <t>(515) 274-2997</t>
  </si>
  <si>
    <t>Ada</t>
  </si>
  <si>
    <t>Bowers</t>
  </si>
  <si>
    <t xml:space="preserve">	Carpinteria</t>
  </si>
  <si>
    <t>(805) 687-4026</t>
  </si>
  <si>
    <t>Kephart</t>
  </si>
  <si>
    <t xml:space="preserve">03/25/2014	</t>
  </si>
  <si>
    <t>(360) 592-5358</t>
  </si>
  <si>
    <t>Eliza</t>
  </si>
  <si>
    <t>Greene</t>
  </si>
  <si>
    <t>Tiemstra</t>
  </si>
  <si>
    <t>(510) 569-6963</t>
  </si>
  <si>
    <t>Danielle</t>
  </si>
  <si>
    <t>Abbott</t>
  </si>
  <si>
    <t>Cocoa</t>
  </si>
  <si>
    <t>(407) 783-4129</t>
  </si>
  <si>
    <t>Schaffran</t>
  </si>
  <si>
    <t>(718) 783-0689</t>
  </si>
  <si>
    <t>Deb</t>
  </si>
  <si>
    <t>Cirksena</t>
  </si>
  <si>
    <t>(402) 432-0356</t>
  </si>
  <si>
    <t>Holm</t>
  </si>
  <si>
    <t>O'Fallon</t>
  </si>
  <si>
    <t xml:space="preserve">04/18/2013	</t>
  </si>
  <si>
    <t>(636) 625-2373</t>
  </si>
  <si>
    <t>7% of estate assets, Charitable distribution from IRA of $10,000 (not sure if this has occured yet)</t>
  </si>
  <si>
    <t>Reinking</t>
  </si>
  <si>
    <t>(773) 878-1823</t>
  </si>
  <si>
    <t>Fallbrook</t>
  </si>
  <si>
    <t>Kreb</t>
  </si>
  <si>
    <t>(847) 735-8370</t>
  </si>
  <si>
    <t xml:space="preserve">Account is listed as Mr. and Mrs. Keith Kreb but there is no first name for his wife </t>
  </si>
  <si>
    <t>Goldman</t>
  </si>
  <si>
    <t>Northbrook</t>
  </si>
  <si>
    <t xml:space="preserve">03/07/2008	</t>
  </si>
  <si>
    <t>(847) 509-8082</t>
  </si>
  <si>
    <t>Annetta</t>
  </si>
  <si>
    <t>Weiss</t>
  </si>
  <si>
    <t xml:space="preserve">11/04/2002	</t>
  </si>
  <si>
    <t>Mary Ellen</t>
  </si>
  <si>
    <t>Kitchell</t>
  </si>
  <si>
    <t xml:space="preserve">06/28/2002	</t>
  </si>
  <si>
    <t>Carter</t>
  </si>
  <si>
    <t xml:space="preserve">(520) 818-2267 </t>
  </si>
  <si>
    <t>Avril</t>
  </si>
  <si>
    <t>Winks</t>
  </si>
  <si>
    <t>(203) 745-4148</t>
  </si>
  <si>
    <t>(718) 252-8392</t>
  </si>
  <si>
    <t>Walker</t>
  </si>
  <si>
    <t>Stonington</t>
  </si>
  <si>
    <t>Ian</t>
  </si>
  <si>
    <t>Vincent</t>
  </si>
  <si>
    <t>(480) 659-7815</t>
  </si>
  <si>
    <t>Thuebel</t>
  </si>
  <si>
    <t>Chatham</t>
  </si>
  <si>
    <t>Molyneaux</t>
  </si>
  <si>
    <t>(301) 251-0940</t>
  </si>
  <si>
    <t>Grubb</t>
  </si>
  <si>
    <t>Valleyford</t>
  </si>
  <si>
    <t>Silvia</t>
  </si>
  <si>
    <t>Zimnes</t>
  </si>
  <si>
    <t>Millstone Township</t>
  </si>
  <si>
    <t>Marge</t>
  </si>
  <si>
    <t>Oniszcuk</t>
  </si>
  <si>
    <t>Fuhr</t>
  </si>
  <si>
    <t>Sylacauga</t>
  </si>
  <si>
    <t>(256) 245-0124</t>
  </si>
  <si>
    <t>Gramenstetter</t>
  </si>
  <si>
    <t>Moab</t>
  </si>
  <si>
    <t xml:space="preserve">Both husband and wife are marked as desceased in 2011, but they donated in 2019 as well as became MLS members in 2019 so I think this is a mistake </t>
  </si>
  <si>
    <t>Gay</t>
  </si>
  <si>
    <t>Groomes</t>
  </si>
  <si>
    <t>Arroyo Grande</t>
  </si>
  <si>
    <t>(805) 270-4111</t>
  </si>
  <si>
    <t>Olga</t>
  </si>
  <si>
    <t>Melin</t>
  </si>
  <si>
    <t xml:space="preserve">07/03/2019	</t>
  </si>
  <si>
    <t>(305) 944-9994</t>
  </si>
  <si>
    <t>Notes say do not contact us</t>
  </si>
  <si>
    <t>Pringle</t>
  </si>
  <si>
    <t>Katharine</t>
  </si>
  <si>
    <t>Messenger</t>
  </si>
  <si>
    <t>Gelfand</t>
  </si>
  <si>
    <t xml:space="preserve">06/17/2011	</t>
  </si>
  <si>
    <t xml:space="preserve"> (480) 998-1856</t>
  </si>
  <si>
    <t xml:space="preserve">MLS BEQ 03/10/2006	</t>
  </si>
  <si>
    <t>Tauxe</t>
  </si>
  <si>
    <t>(310) 459-9606</t>
  </si>
  <si>
    <t>Chino Hills</t>
  </si>
  <si>
    <t>(909) 593-5189</t>
  </si>
  <si>
    <t>Simpson</t>
  </si>
  <si>
    <t>(415) 851-3173</t>
  </si>
  <si>
    <t>CGA 05/24/2004</t>
  </si>
  <si>
    <t>Wurr</t>
  </si>
  <si>
    <t>Lundberg</t>
  </si>
  <si>
    <t>San Jose</t>
  </si>
  <si>
    <t>(408) 295-5286</t>
  </si>
  <si>
    <t>Inskeep</t>
  </si>
  <si>
    <t xml:space="preserve">	12/17/1934</t>
  </si>
  <si>
    <t xml:space="preserve">01/15/2016	</t>
  </si>
  <si>
    <t>(858) 459-3873</t>
  </si>
  <si>
    <t>Jenney</t>
  </si>
  <si>
    <t>Boston</t>
  </si>
  <si>
    <t xml:space="preserve">03/12/2019	</t>
  </si>
  <si>
    <t>Cushman</t>
  </si>
  <si>
    <t>Portsmouth</t>
  </si>
  <si>
    <t>Bone</t>
  </si>
  <si>
    <t>Saint Clair</t>
  </si>
  <si>
    <t>Hewlett</t>
  </si>
  <si>
    <t>(810) 326-3760</t>
  </si>
  <si>
    <t>CGA 11/28/2011</t>
  </si>
  <si>
    <t>Kessel</t>
  </si>
  <si>
    <t>(310) 699-0809</t>
  </si>
  <si>
    <t>Jordan</t>
  </si>
  <si>
    <t>Rutland</t>
  </si>
  <si>
    <t xml:space="preserve">03/20/2015	</t>
  </si>
  <si>
    <t>Godwin</t>
  </si>
  <si>
    <t xml:space="preserve">11/14/2001	</t>
  </si>
  <si>
    <t>Mann</t>
  </si>
  <si>
    <t xml:space="preserve">06/03/2003	</t>
  </si>
  <si>
    <t>Farley</t>
  </si>
  <si>
    <t>Weriss</t>
  </si>
  <si>
    <t xml:space="preserve">	Sturgis</t>
  </si>
  <si>
    <t xml:space="preserve">11/26/2014	</t>
  </si>
  <si>
    <t xml:space="preserve">(269) 467-4515 </t>
  </si>
  <si>
    <t>Mrs. Rose M. Fleischner</t>
  </si>
  <si>
    <t>Ms. Shizumi Y. Stewart</t>
  </si>
  <si>
    <t>Ms. Frances J. Ryba</t>
  </si>
  <si>
    <t>Ms. Sally D. Braman</t>
  </si>
  <si>
    <t>Ms. Doris R. Keane</t>
  </si>
  <si>
    <t>Ms. Beulah Wood</t>
  </si>
  <si>
    <t>Mrs. Terry A. and Mr. John W. Lieberknecht</t>
  </si>
  <si>
    <t>Mr. Richard C. Huttinger</t>
  </si>
  <si>
    <t>Mrs. Lillian and Mr. Donald Hanahan</t>
  </si>
  <si>
    <t>Mr. Timothy J. Burton</t>
  </si>
  <si>
    <t>Mr. George T. Rhodes</t>
  </si>
  <si>
    <t>Friend</t>
  </si>
  <si>
    <t>Ms. Shirley Budden</t>
  </si>
  <si>
    <t>Mr. Ward Barnes</t>
  </si>
  <si>
    <t>Mr. John D. and Mrs. Helen V. Rossmiller</t>
  </si>
  <si>
    <t>Ms. Barbara J. Kuennecke</t>
  </si>
  <si>
    <t>Mr. Wilbur N. Steltzer Jr.</t>
  </si>
  <si>
    <t>Julianne A. Biehl</t>
  </si>
  <si>
    <t>N. T. Helen Culbertso</t>
  </si>
  <si>
    <t>Mr. Terry G. Worden</t>
  </si>
  <si>
    <t>Roger Brown and Joanna Miller</t>
  </si>
  <si>
    <t>Ms. Bonnie D. Peters</t>
  </si>
  <si>
    <t>Mr. John B. Heimkes</t>
  </si>
  <si>
    <t>Mr. Walter G. Heid Jr.</t>
  </si>
  <si>
    <t>Miss Sarah E. Lobban</t>
  </si>
  <si>
    <t>Mrs. Keena S. Northrop</t>
  </si>
  <si>
    <t>Ms. Nancy J. Moser</t>
  </si>
  <si>
    <t>Dr. Charles A. Bisselle</t>
  </si>
  <si>
    <t>Robert and Miriam Miller</t>
  </si>
  <si>
    <t>Marjorie L. Felser</t>
  </si>
  <si>
    <t>Mrs. Marilyn and Dr. Gerald Smolinsky</t>
  </si>
  <si>
    <t>Ms. Barbara Grace</t>
  </si>
  <si>
    <t>Ms. Grace Aluf</t>
  </si>
  <si>
    <t>Mr. Grover V. Martin</t>
  </si>
  <si>
    <t>Mr. Orville M. Armstrong</t>
  </si>
  <si>
    <t>Mrs. Jane C. and Mr. Edmondo E. Vasquez</t>
  </si>
  <si>
    <t>William McKim and Cheryl Wilfong</t>
  </si>
  <si>
    <t>Mr. Francis H. Rasmus Jr.</t>
  </si>
  <si>
    <t>Ms. Diane L. Trembly</t>
  </si>
  <si>
    <t>C. Munro</t>
  </si>
  <si>
    <t>Mr. William R. Ridolf</t>
  </si>
  <si>
    <t>Ms. Adrienne P. Leeper</t>
  </si>
  <si>
    <t>Miss Bobbi Chifos</t>
  </si>
  <si>
    <t>Lawrence and Kathleen Anderson</t>
  </si>
  <si>
    <t>Ms. Catherine Bitzel</t>
  </si>
  <si>
    <t>Dr. Joseph R. Haun</t>
  </si>
  <si>
    <t>Mrs. Mary Jane J. Voogt</t>
  </si>
  <si>
    <t>Ms. Inamae Skutt</t>
  </si>
  <si>
    <t>Ms. Maggi Butterfield-Brown</t>
  </si>
  <si>
    <t>Ms. Delores Ihnen</t>
  </si>
  <si>
    <t>Ms. Darlene T. Johnson</t>
  </si>
  <si>
    <t>Ms. Jann O. Brown</t>
  </si>
  <si>
    <t>Ms. Jeanette M. Berning</t>
  </si>
  <si>
    <t>Adrianne Lapella</t>
  </si>
  <si>
    <t>Mr. George and Mrs. Cheryl Wightman</t>
  </si>
  <si>
    <t>Miss Elizabeth H. Baldwin</t>
  </si>
  <si>
    <t>Ms. Diane K. Currie</t>
  </si>
  <si>
    <t>Mr. Ivor Kraft</t>
  </si>
  <si>
    <t>Ms. Patricia M. Washburn</t>
  </si>
  <si>
    <t>Mrs. Genevra Davis</t>
  </si>
  <si>
    <t>Ms. Elke G. Armoni</t>
  </si>
  <si>
    <t>Ms. Anna Weismuller</t>
  </si>
  <si>
    <t>Ms. Joan Benson</t>
  </si>
  <si>
    <t>Mr. Donald G. Ross</t>
  </si>
  <si>
    <t>Ms. Elfriede Briel</t>
  </si>
  <si>
    <t>Ms. Leona J. Ringgenberg</t>
  </si>
  <si>
    <t>Mr. James R. Thornton</t>
  </si>
  <si>
    <t>Dr. Walter A. Sheppe</t>
  </si>
  <si>
    <t>Ms. Becky Ann Mausolf</t>
  </si>
  <si>
    <t>Ms. Ruth Rugoff</t>
  </si>
  <si>
    <t>Mr. John S. Gallagher</t>
  </si>
  <si>
    <t>Mr. Peter and Mrs. Harriet Hanauer</t>
  </si>
  <si>
    <t>Dr. Robert L. Kriel</t>
  </si>
  <si>
    <t>Ms. Michele Buster</t>
  </si>
  <si>
    <t>Ms. Isabelle M. Bohman</t>
  </si>
  <si>
    <t>Mr. Don N. and Mrs. Barbara Tornberg</t>
  </si>
  <si>
    <t>Ms. Barbara J. Brown</t>
  </si>
  <si>
    <t>Mr. Sean S. Coleman</t>
  </si>
  <si>
    <t>Mr. Tim Reichard</t>
  </si>
  <si>
    <t>Miss Charlotte J. Swinney</t>
  </si>
  <si>
    <t>Mr. Robert B. Hay</t>
  </si>
  <si>
    <t>Dr. Thomas F. and Mrs. Margaret N. Keller</t>
  </si>
  <si>
    <t>Mr. Rogene A. Buchholz</t>
  </si>
  <si>
    <t>Mrs. Diane Marton</t>
  </si>
  <si>
    <t>Ms. Carol A. Hill</t>
  </si>
  <si>
    <t>Janice Hoffman</t>
  </si>
  <si>
    <t>Miss Christine M. Faletti</t>
  </si>
  <si>
    <t>Dr. Diane E. Albert and Mr. Eric Pinkerton</t>
  </si>
  <si>
    <t>Ms. Alma Lantz</t>
  </si>
  <si>
    <t>Ken and Vicki Sprong</t>
  </si>
  <si>
    <t>David Toeppen</t>
  </si>
  <si>
    <t>Ms. Sue Schuble</t>
  </si>
  <si>
    <t>Mr. Randy Kane</t>
  </si>
  <si>
    <t>Ms. Robin S. Wink</t>
  </si>
  <si>
    <t>Ms. Cynthia M. Jones</t>
  </si>
  <si>
    <t>Mrs. Corrine M. Moulton</t>
  </si>
  <si>
    <t>Dr. Diane C. Pick</t>
  </si>
  <si>
    <t>Ms. Jane W. Robertson</t>
  </si>
  <si>
    <t>Mr. Charles J. Beimers</t>
  </si>
  <si>
    <t>Mr. Keith R. Sendall</t>
  </si>
  <si>
    <t>Mr. Roderick Carroll</t>
  </si>
  <si>
    <t>Mr. Jim E. Devitt</t>
  </si>
  <si>
    <t>Ms. Cynthia Spry</t>
  </si>
  <si>
    <t>Dr. Gabriele M. Zu-Rhein</t>
  </si>
  <si>
    <t>Mr. Robert J. Miller</t>
  </si>
  <si>
    <t>Mrs. Nancy Joan Ray</t>
  </si>
  <si>
    <t>Mr. James E. and Mrs. Leslea Kunz</t>
  </si>
  <si>
    <t>Mr. John Kilyk Jr.</t>
  </si>
  <si>
    <t>Ms. Pat Popplewell</t>
  </si>
  <si>
    <t>Mr. Kenneth H. Burrows</t>
  </si>
  <si>
    <t>Mr. Richard E. Dempsey</t>
  </si>
  <si>
    <t>Dr. Shelley Rosenberg</t>
  </si>
  <si>
    <t>Mrs. Rebecca J. and Mr. Paul S. Wallace</t>
  </si>
  <si>
    <t>Mr. Randall A. Sanger</t>
  </si>
  <si>
    <t>Leona W. Brownell</t>
  </si>
  <si>
    <t>Mr. Joseph Logan</t>
  </si>
  <si>
    <t>Ms. Sandra L. Graf</t>
  </si>
  <si>
    <t>Robert A. Went</t>
  </si>
  <si>
    <t>Mr. Paul W. Halter</t>
  </si>
  <si>
    <t>Ruth Guarino</t>
  </si>
  <si>
    <t>Mr. Peter P. Bradley</t>
  </si>
  <si>
    <t>Mrs. Judith T. Smith</t>
  </si>
  <si>
    <t>Ms. Patricia R. Schettino</t>
  </si>
  <si>
    <t>Mrs. Susan L. Robinson</t>
  </si>
  <si>
    <t>Mr. Paul C. Pritchard</t>
  </si>
  <si>
    <t>Ms. Edith C. Herman Wiener</t>
  </si>
  <si>
    <t>Ms. Sandra W. Kahn</t>
  </si>
  <si>
    <t>Mr. Chris L. Swanson</t>
  </si>
  <si>
    <t>Diane and Steven Powell</t>
  </si>
  <si>
    <t>Mr. Peter D. Packard</t>
  </si>
  <si>
    <t>Mr. Sherwin A. Swartz</t>
  </si>
  <si>
    <t>Mrs. Kathy and Mr. Michael Trier</t>
  </si>
  <si>
    <t>Mrs. Betty Jane Shultz</t>
  </si>
  <si>
    <t>Mrs. Leta C. Fredricks</t>
  </si>
  <si>
    <t>Mrs. Gloria A. Hibbard</t>
  </si>
  <si>
    <t>Ms. Karen Hogg</t>
  </si>
  <si>
    <t>Ms. Linda J. Kacser</t>
  </si>
  <si>
    <t>NJ Jennings</t>
  </si>
  <si>
    <t>Miss Sandy Falloon</t>
  </si>
  <si>
    <t>Ms. Helen Lux</t>
  </si>
  <si>
    <t>Ms. Nancy L. Mills</t>
  </si>
  <si>
    <t>Alfred and Arlene Noreen</t>
  </si>
  <si>
    <t>Robert G. Holloway</t>
  </si>
  <si>
    <t>Dr. Clark B. Archer</t>
  </si>
  <si>
    <t>Mrs. Brenda Hay Tipton</t>
  </si>
  <si>
    <t>Ms. Catherine W. Cooper</t>
  </si>
  <si>
    <t>Ms. Betty Prange</t>
  </si>
  <si>
    <t>Miss Sharon Noffsinger</t>
  </si>
  <si>
    <t>Mr. Clifford G. Leeker</t>
  </si>
  <si>
    <t>Mr. David P. and Mrs. Joanne Skidmore</t>
  </si>
  <si>
    <t>Mr. Roger Gillette</t>
  </si>
  <si>
    <t>Paula F. Kyburz</t>
  </si>
  <si>
    <t>Ruth and R. Sharp</t>
  </si>
  <si>
    <t>Ms. Carolyn J. Smith</t>
  </si>
  <si>
    <t>Chris Corish</t>
  </si>
  <si>
    <t>Dr. Daniel Palm</t>
  </si>
  <si>
    <t>William J. James</t>
  </si>
  <si>
    <t>Ms. Marcia C. Hackett</t>
  </si>
  <si>
    <t>Linda Rancourt and M. Sue Sandmeyer</t>
  </si>
  <si>
    <t>Cliff Goins and Angel Gochee-Goins</t>
  </si>
  <si>
    <t>Jean E. Allured</t>
  </si>
  <si>
    <t>Bonnie and Ronald Hyra</t>
  </si>
  <si>
    <t>Mr. James A. Schroeder</t>
  </si>
  <si>
    <t>L. and Gregory Bartha</t>
  </si>
  <si>
    <t>Mrs. Georgia Baciu and Mr. John Marx</t>
  </si>
  <si>
    <t>Ms. Joy M. Oakes and Mr. Thomas J. Cassidy</t>
  </si>
  <si>
    <t>Mr. Richard E. Roti</t>
  </si>
  <si>
    <t>Martha and David Thompson</t>
  </si>
  <si>
    <t>Ms. Phyllis L. Enright</t>
  </si>
  <si>
    <t>Roy and Sandra Walters</t>
  </si>
  <si>
    <t>Ms. Joanne Elliott</t>
  </si>
  <si>
    <t>Ms. Susette Warynick</t>
  </si>
  <si>
    <t>Ms. Susan M. Porter and Mr. Howard Snyder</t>
  </si>
  <si>
    <t>Mrs. Betty A. Normand</t>
  </si>
  <si>
    <t>Mr. Roger and Mrs. Linda B. Urbaniak</t>
  </si>
  <si>
    <t>Ms. Barbara M. and Mr. James Radabaugh</t>
  </si>
  <si>
    <t>Ms. Linda Cromwell</t>
  </si>
  <si>
    <t>Ms. Mary Lou Hill</t>
  </si>
  <si>
    <t>Mrs. Terry and Mr. Robert Stewart</t>
  </si>
  <si>
    <t>Ms. Eleanor J. Luttrell</t>
  </si>
  <si>
    <t>Randy and Kelley Calaman</t>
  </si>
  <si>
    <t>Mr. Gerald Neff</t>
  </si>
  <si>
    <t>Mr. Lynn I. Terry</t>
  </si>
  <si>
    <t>Bruce and Barbara Frisbie</t>
  </si>
  <si>
    <t>Ms. Elisabeth R. Pink</t>
  </si>
  <si>
    <t>Ms. Pat Lee</t>
  </si>
  <si>
    <t>James Massee and Sydney Nesbitt Massee</t>
  </si>
  <si>
    <t>Dr. Timothy P. and Mrs. Kathleen Anderson</t>
  </si>
  <si>
    <t>Ms. Betty Blumenkamp</t>
  </si>
  <si>
    <t>Ms. Láné S. Moonwalker</t>
  </si>
  <si>
    <t>Ms. Ruth E. Costa</t>
  </si>
  <si>
    <t>Mr. Benjamin C. Payne</t>
  </si>
  <si>
    <t>Mr. Edward and Ms. Sandra Alto</t>
  </si>
  <si>
    <t>Mary Allison and Benjamin Crosby</t>
  </si>
  <si>
    <t>Mrs. Sally M. Bakker</t>
  </si>
  <si>
    <t>Mr. Donald J. and Mrs. Anita Cowan</t>
  </si>
  <si>
    <t>Mr. Brian Pfaltzgraff</t>
  </si>
  <si>
    <t>Bernard and Dorie Greenberg</t>
  </si>
  <si>
    <t>Ms. Helen B. Wolcott</t>
  </si>
  <si>
    <t>Mr. Chris Elliott</t>
  </si>
  <si>
    <t>Ms. Kay E. Webb</t>
  </si>
  <si>
    <t>Mrs. Claude Monnier</t>
  </si>
  <si>
    <t>Mr. Jeffrey S. Aten</t>
  </si>
  <si>
    <t>Mr. Larry J. and Mrs. Gennifer L. Ford</t>
  </si>
  <si>
    <t>Mr. Ralph E. and Mrs. Lynn Locher</t>
  </si>
  <si>
    <t>Dr. Thomas R. Broker and Ms. Louise T. Chow</t>
  </si>
  <si>
    <t>Ivan and Hannah Snyder</t>
  </si>
  <si>
    <t>Ms. Betty L. Merchant</t>
  </si>
  <si>
    <t>Ms. Diane Rand</t>
  </si>
  <si>
    <t>Ms. Eugenia Snyder</t>
  </si>
  <si>
    <t>Ms. Gail F. Reissen</t>
  </si>
  <si>
    <t>Ms. Roberta A. Huttinger</t>
  </si>
  <si>
    <t>Rose A. Kottler</t>
  </si>
  <si>
    <t>Susan and Pat Cassidy</t>
  </si>
  <si>
    <t>Mr. Marc S. Roth</t>
  </si>
  <si>
    <t>Debra A. Clawson</t>
  </si>
  <si>
    <t>Mr. Mark F. and Mrs. Carol Spisak</t>
  </si>
  <si>
    <t>Mr. Thomas G. and Mrs. Patricia Bilski</t>
  </si>
  <si>
    <t>Mr. Charles A. and Mrs. Lindsay L. Coolidge</t>
  </si>
  <si>
    <t>Richard Romanelli</t>
  </si>
  <si>
    <t>Ms. Judith D. Navarro</t>
  </si>
  <si>
    <t>Miss Arline R. Siegel</t>
  </si>
  <si>
    <t>Richard and Debbie Hoverman</t>
  </si>
  <si>
    <t>Ms. Phyllis E. Bergman</t>
  </si>
  <si>
    <t>Ms. Rita Boren</t>
  </si>
  <si>
    <t>Ms. Pauline Serkey</t>
  </si>
  <si>
    <t>Mrs. Maxyne and Mr. Robert Gillice</t>
  </si>
  <si>
    <t>Ronald Molony</t>
  </si>
  <si>
    <t>Mr. David C. Bogardus and Mr. John Adornato</t>
  </si>
  <si>
    <t>Carol and Joseph Omaggio</t>
  </si>
  <si>
    <t>Ms. Nancy D. and Mr. Craig W. Hackett</t>
  </si>
  <si>
    <t>Richard Bryant and Kathy Barth</t>
  </si>
  <si>
    <t>Mr. Paul R. Szymanowski</t>
  </si>
  <si>
    <t>Ms. Mary E. Feidelman</t>
  </si>
  <si>
    <t>Mr. James M. and Mrs. Michele Romeo</t>
  </si>
  <si>
    <t>Mr. and Mrs. Rex G. Hamilton</t>
  </si>
  <si>
    <t>Ms. Juliann E. Pinto</t>
  </si>
  <si>
    <t>Dr. Benjamin W. D'Ooge</t>
  </si>
  <si>
    <t>Mr. Laura A. Elsenboss and Mr. John Trahan</t>
  </si>
  <si>
    <t>Mr. Arthur G. and Mrs. Jean H. Morley</t>
  </si>
  <si>
    <t>Judith Raines and David Kem</t>
  </si>
  <si>
    <t>Clinton and Linda Dobratz</t>
  </si>
  <si>
    <t>Mr. Michael K. Stock</t>
  </si>
  <si>
    <t>Ms. Patricia M. Bartlett</t>
  </si>
  <si>
    <t>Mr. Kenneth T. Walter</t>
  </si>
  <si>
    <t>Joan Lutz and Robert Courdway</t>
  </si>
  <si>
    <t>Mr. Ron Buckland</t>
  </si>
  <si>
    <t>Mr. William J. Weber</t>
  </si>
  <si>
    <t>Dr. Walter R. Pirie</t>
  </si>
  <si>
    <t>Ms. Roxene M. Harrison</t>
  </si>
  <si>
    <t>Ms. Nancy B. Fischer</t>
  </si>
  <si>
    <t>Dr. Terry Phillips</t>
  </si>
  <si>
    <t>David and Joan Cywinski</t>
  </si>
  <si>
    <t>Miss Alida H. Struze</t>
  </si>
  <si>
    <t>Ms. H. A. Wood</t>
  </si>
  <si>
    <t>Gary Christman</t>
  </si>
  <si>
    <t>Dr. Deborah A. Milkowski-California and Mr. Carl California</t>
  </si>
  <si>
    <t>Mr. Robert E. Scott</t>
  </si>
  <si>
    <t>Mrs. Jeannine and Mr. Scot McElveen</t>
  </si>
  <si>
    <t>Karen and Bruce Bowman</t>
  </si>
  <si>
    <t>Cornelia Siegenthaler</t>
  </si>
  <si>
    <t>Linda C. Hansen</t>
  </si>
  <si>
    <t>Ms. Kate Vanskike</t>
  </si>
  <si>
    <t>Ms. Gretchen Whisenand</t>
  </si>
  <si>
    <t>Dr. William G. Spady</t>
  </si>
  <si>
    <t>Ms. Dixie Meadows and Mr. Wayne R. Dressler</t>
  </si>
  <si>
    <t>Ms. Olive B. Guild</t>
  </si>
  <si>
    <t>Miss Marcia Hedges</t>
  </si>
  <si>
    <t>Ms. Margaret L. Gensel</t>
  </si>
  <si>
    <t>Ms. Kimberlee Quatrone</t>
  </si>
  <si>
    <t>Mr. Richard T. and Mrs. Debbie F. Perry</t>
  </si>
  <si>
    <t>Mrs. Rita-Marie Thompson</t>
  </si>
  <si>
    <t>Mr. Nick J. Labedz</t>
  </si>
  <si>
    <t>The Martin H. Wojcik Family</t>
  </si>
  <si>
    <t>Mr. Kenneth Gurney</t>
  </si>
  <si>
    <t>Mr. Greg R. Tucker</t>
  </si>
  <si>
    <t>Joyce Madden</t>
  </si>
  <si>
    <t>Ms. Beverly A. Schneider</t>
  </si>
  <si>
    <t>Ms. Barbara E. Leonard</t>
  </si>
  <si>
    <t>Lynette R. Rexford</t>
  </si>
  <si>
    <t>Mr. Christopher Newbold</t>
  </si>
  <si>
    <t>Ms. Marilyn M. Forbes</t>
  </si>
  <si>
    <t>Rich A. Kedrowski</t>
  </si>
  <si>
    <t>Mrs. Ellen and Mr. Lee Strader</t>
  </si>
  <si>
    <t>Ms. Peggy J. Burmeister</t>
  </si>
  <si>
    <t>Mr. James Boone and Mr. Joseph Bucuzzo</t>
  </si>
  <si>
    <t>Mr. Joachim R. Schneider</t>
  </si>
  <si>
    <t>Mr. David O. Glazer</t>
  </si>
  <si>
    <t>Mr. Walter Hunner</t>
  </si>
  <si>
    <t>Charlotte E. Knapp</t>
  </si>
  <si>
    <t>Ms. Susan A. Frank</t>
  </si>
  <si>
    <t>Mr. H. C. Gravely</t>
  </si>
  <si>
    <t>Janet K. Syverson</t>
  </si>
  <si>
    <t>The Estate of Ruth H. Steidle</t>
  </si>
  <si>
    <t>Mr. Michael Mavrogiannis</t>
  </si>
  <si>
    <t>Ms. Lisa Schall</t>
  </si>
  <si>
    <t>Ms. Myrella Triana and Mr. Ken Gadow</t>
  </si>
  <si>
    <t>Mrs. Roslyn and Mr. IRA g. KAPLAN</t>
  </si>
  <si>
    <t>Richard and Theresa Suetterlin</t>
  </si>
  <si>
    <t>Ms. Susan J. Puder</t>
  </si>
  <si>
    <t>Ms. Susan Wolford and Ms. Delores M. Komar</t>
  </si>
  <si>
    <t>Esther Phillips</t>
  </si>
  <si>
    <t>Donald and Sharla Hamilton</t>
  </si>
  <si>
    <t>Sharon and Sherry Barnette</t>
  </si>
  <si>
    <t>Ms. Myung Raymond</t>
  </si>
  <si>
    <t>Mr. Richard Cole</t>
  </si>
  <si>
    <t>Carol and David Morgan</t>
  </si>
  <si>
    <t>Mr. Paul Reynolds Smith</t>
  </si>
  <si>
    <t>Mr. Albert E. Harter</t>
  </si>
  <si>
    <t>Ms. Nada Pendic</t>
  </si>
  <si>
    <t>Ms. Marsha Taylor</t>
  </si>
  <si>
    <t>Ms. Linda Russell</t>
  </si>
  <si>
    <t>Ms. Pamela J. Davidson</t>
  </si>
  <si>
    <t>Martha and Henry Koukol</t>
  </si>
  <si>
    <t>Ms. Diane Zak</t>
  </si>
  <si>
    <t>Robert and Rebecca Hornyak</t>
  </si>
  <si>
    <t>Mrs. James Allen</t>
  </si>
  <si>
    <t>Mr. Rick Reed</t>
  </si>
  <si>
    <t>Mr. Douglas Bixby</t>
  </si>
  <si>
    <t>Patricia Corry Ph.D.</t>
  </si>
  <si>
    <t>Mr. Charles Hall</t>
  </si>
  <si>
    <t>Mr. Paul Antsen</t>
  </si>
  <si>
    <t>Jane Lamph</t>
  </si>
  <si>
    <t>Mr. James W. Fredlock</t>
  </si>
  <si>
    <t>Mr. Sheldon R. Mendelson</t>
  </si>
  <si>
    <t>Mr. and Mrs. Urban</t>
  </si>
  <si>
    <t>Ms. Helen C. Thomas</t>
  </si>
  <si>
    <t>Dave Kirkwood and Meg Andrews</t>
  </si>
  <si>
    <t>Mr. Thomas D. and Mrs. Pamela Lynady</t>
  </si>
  <si>
    <t>Ms. Mona Anderson</t>
  </si>
  <si>
    <t>Ms. Patricia A. Stevens</t>
  </si>
  <si>
    <t>Mary Brady and Bill Chalmers</t>
  </si>
  <si>
    <t>Ms. Margaret Hodges</t>
  </si>
  <si>
    <t>Mr. Duane W. Roller</t>
  </si>
  <si>
    <t>Mr. and Mrs. Ronald Wassel</t>
  </si>
  <si>
    <t>Mr. R. D. Watson</t>
  </si>
  <si>
    <t>Mrs. Pat Munsterteiger</t>
  </si>
  <si>
    <t>Mr. Timothy Bombar</t>
  </si>
  <si>
    <t>Mr. James R. and Mrs. Denise Burch</t>
  </si>
  <si>
    <t>Mr. Jonathan D. Disbro</t>
  </si>
  <si>
    <t>Mrs. Katherine V. Ross</t>
  </si>
  <si>
    <t>Mr. Denis C. Crockett</t>
  </si>
  <si>
    <t>Ms. Linda L. Swartz</t>
  </si>
  <si>
    <t>Elizabeth C. Weekley Trust</t>
  </si>
  <si>
    <t>Ms. Charlene Tuch</t>
  </si>
  <si>
    <t>Miss Mabel Alexander</t>
  </si>
  <si>
    <t>Mr. Ronald Elling and Ms. Christine Du Sell</t>
  </si>
  <si>
    <t>Saunders and Mary Mason</t>
  </si>
  <si>
    <t>Mrs. Pamela S. Dial</t>
  </si>
  <si>
    <t>Mr. Dennis G. Ziegler</t>
  </si>
  <si>
    <t>Jerry L. Burns</t>
  </si>
  <si>
    <t>Gail Labrecque</t>
  </si>
  <si>
    <t>The Estate of Naomi B. Burk</t>
  </si>
  <si>
    <t>Ms. Heather Steil</t>
  </si>
  <si>
    <t>Mr. Lawrence H. and Mrs. Donna S. Kaufman</t>
  </si>
  <si>
    <t>Marie Johansen</t>
  </si>
  <si>
    <t>Cora N. Jones</t>
  </si>
  <si>
    <t>Arlene Fingerman and Michael Fava</t>
  </si>
  <si>
    <t>Susan L. Griesemer</t>
  </si>
  <si>
    <t>Michele and Brad Makrucki</t>
  </si>
  <si>
    <t>Mr. David F. Rock Esq.</t>
  </si>
  <si>
    <t>Judy C. Olson</t>
  </si>
  <si>
    <t>Mr. Clyde Johnson</t>
  </si>
  <si>
    <t>Dr. Ralph Eichhorn</t>
  </si>
  <si>
    <t>Ms. Mary Ann S. Schweitzer</t>
  </si>
  <si>
    <t>Ms. Jeanne Johnstone</t>
  </si>
  <si>
    <t>Mary Luken and Jeff Tillou</t>
  </si>
  <si>
    <t>Mr. Barry Bryant</t>
  </si>
  <si>
    <t>Ms. Harriet Mills</t>
  </si>
  <si>
    <t>Mr. Eric and Dr. Jayne Rynar</t>
  </si>
  <si>
    <t>Ms. Sue E. Barber</t>
  </si>
  <si>
    <t>Ms. Jocelyn Cox</t>
  </si>
  <si>
    <t>Mrs. Judy Bell</t>
  </si>
  <si>
    <t>Mrs. Gerhild Nydegger</t>
  </si>
  <si>
    <t>Ms. Karen Allen</t>
  </si>
  <si>
    <t>Mrs. Virginia and Mr. David A. Rice</t>
  </si>
  <si>
    <t>Mr. James Bonollo</t>
  </si>
  <si>
    <t>Roger and Donna Jones</t>
  </si>
  <si>
    <t>Mr. and Mrs. John R. Smith</t>
  </si>
  <si>
    <t>Mrs. Dianne G. Batch</t>
  </si>
  <si>
    <t>Mr. Charles F. Ramsay, Jr.</t>
  </si>
  <si>
    <t>Dr. J. William and Dr. Debbie Louda</t>
  </si>
  <si>
    <t>Ms. Jeanne M. Turtzo</t>
  </si>
  <si>
    <t>Mr. Michael J. and Mrs. Laila Redman</t>
  </si>
  <si>
    <t>Bob and Trudy Thompson</t>
  </si>
  <si>
    <t>Ms. Roberta L. Berchtold</t>
  </si>
  <si>
    <t>Ms. Lyn E. Fields</t>
  </si>
  <si>
    <t>Mr. Stanley E. Hayes</t>
  </si>
  <si>
    <t>Mrs. Irene C. Gerhartz</t>
  </si>
  <si>
    <t>Janine Callahan</t>
  </si>
  <si>
    <t>Mr. Jerrold H. Rehmar</t>
  </si>
  <si>
    <t>Mr. Donn A. Hellinger</t>
  </si>
  <si>
    <t>Mr. Allan W. Perry</t>
  </si>
  <si>
    <t>Mrs. Julie and Mr. Rick Hamilton</t>
  </si>
  <si>
    <t>Ms. Pamela Beason</t>
  </si>
  <si>
    <t>Ms. Joan E. Book</t>
  </si>
  <si>
    <t>Ms. Lynne Schreiber</t>
  </si>
  <si>
    <t>Ms. Edna Lee Kelly</t>
  </si>
  <si>
    <t>Mr. Carl H. Degel</t>
  </si>
  <si>
    <t>Mr. David Mason</t>
  </si>
  <si>
    <t>Cheryl and Mark Piper</t>
  </si>
  <si>
    <t>Ms. Jessie Brewer</t>
  </si>
  <si>
    <t>Donna Clark</t>
  </si>
  <si>
    <t>Ms. Sandra L. Law</t>
  </si>
  <si>
    <t>Ms. Mary Anne Freyer</t>
  </si>
  <si>
    <t>Morgan and Lesa Herndon</t>
  </si>
  <si>
    <t>Ms. Joan Madrid</t>
  </si>
  <si>
    <t>Ms. Kathleen Wallace-Greer</t>
  </si>
  <si>
    <t>Joyce and Kenneth McGill</t>
  </si>
  <si>
    <t>Frank and JoAnn Crawford</t>
  </si>
  <si>
    <t>Mr. Joseph Tokar</t>
  </si>
  <si>
    <t>Carol A. Cleary</t>
  </si>
  <si>
    <t>Ms. Deborah L. Cohen</t>
  </si>
  <si>
    <t>Ms. Florence C. Norstrom</t>
  </si>
  <si>
    <t>Mrs. Cindy Acy</t>
  </si>
  <si>
    <t>Ms. Regina A. Nelson</t>
  </si>
  <si>
    <t>Denis Sullivan and Peggy Parke</t>
  </si>
  <si>
    <t>Dr. Stefania Jozwik</t>
  </si>
  <si>
    <t>Dr. Charles E. and Mrs. Susan Niesen</t>
  </si>
  <si>
    <t>Ms. Gloria Devictoria</t>
  </si>
  <si>
    <t>Mrs. Nancy E. Deforge</t>
  </si>
  <si>
    <t>Ms. Debra L. Cyburt</t>
  </si>
  <si>
    <t>Mrs. Ellen N. Poole</t>
  </si>
  <si>
    <t>Ms. Anne M. Boyles</t>
  </si>
  <si>
    <t>Ms. Joanne McCarthy</t>
  </si>
  <si>
    <t>Mrs. Irene Andersen</t>
  </si>
  <si>
    <t>Dr. Ronald Tollison</t>
  </si>
  <si>
    <t>Dorcas J. Hooker</t>
  </si>
  <si>
    <t>John and Sue Wagner</t>
  </si>
  <si>
    <t>Mr. Mark P. Sapiano and Mr. Stuart L. Bonner</t>
  </si>
  <si>
    <t>Ms. Diane Chung</t>
  </si>
  <si>
    <t>Paula A. Giorgio</t>
  </si>
  <si>
    <t>Miss Geraldine E. Maine</t>
  </si>
  <si>
    <t>Mr. Charles R. Webster</t>
  </si>
  <si>
    <t>Mr. Terry Collings</t>
  </si>
  <si>
    <t>Mr. and Mrs. Kenneth R. Mcquiston</t>
  </si>
  <si>
    <t>Ms. Barbara J. Kates</t>
  </si>
  <si>
    <t>Kathleen A. Blake</t>
  </si>
  <si>
    <t>Mr. Wally Murphy</t>
  </si>
  <si>
    <t>Mr. Michael B. Wynn</t>
  </si>
  <si>
    <t>Ms. Eleanor J. Heinz</t>
  </si>
  <si>
    <t>Mrs. Karin and Mr. Alan W. Leistner</t>
  </si>
  <si>
    <t>Wendy Landry</t>
  </si>
  <si>
    <t>Mr. Robert Kurz</t>
  </si>
  <si>
    <t>Ms. Janette Cunningham</t>
  </si>
  <si>
    <t>Ms. Karen S. Labounty</t>
  </si>
  <si>
    <t>Ms. C. Christine Maynard</t>
  </si>
  <si>
    <t>Dr. Timothy J. Wernette and Ms. Carolyn R. Brown</t>
  </si>
  <si>
    <t>Mr. Darrell Cockerill</t>
  </si>
  <si>
    <t>Mr. Dave Packer and Ms. Barbara Hayes</t>
  </si>
  <si>
    <t>Bill and Nancy Heath</t>
  </si>
  <si>
    <t>Suzanne Ruffin</t>
  </si>
  <si>
    <t>Donald and Nancy Kopf</t>
  </si>
  <si>
    <t>Mr. Jeffrey M. Holstein</t>
  </si>
  <si>
    <t>Mrs. Elinore and Mr. Louis W. Cumings</t>
  </si>
  <si>
    <t>Christian P. Reining</t>
  </si>
  <si>
    <t>Mr. Craig W. Simmons</t>
  </si>
  <si>
    <t>Miss Frances L. Parisi</t>
  </si>
  <si>
    <t>Arleen A. Gruber</t>
  </si>
  <si>
    <t>Ms. Sharon Miller</t>
  </si>
  <si>
    <t>James H. Zeigler, Jr.</t>
  </si>
  <si>
    <t>Ms. Ercille I. Christmas</t>
  </si>
  <si>
    <t>Dr. Robert and Dr. Mary Wellman</t>
  </si>
  <si>
    <t>Ms. Dawnita and Mr. Donald Smith</t>
  </si>
  <si>
    <t>John L. Blackford</t>
  </si>
  <si>
    <t>Ms. Dorothy Sibley</t>
  </si>
  <si>
    <t>Ms. Katherine C. Meunier</t>
  </si>
  <si>
    <t>Ms. Helene Gasner</t>
  </si>
  <si>
    <t>Ms. Jacqueline M. Albers</t>
  </si>
  <si>
    <t>Mrs. Judith B. Brereton Stevens</t>
  </si>
  <si>
    <t>Lawrence and Barbara Lajoie</t>
  </si>
  <si>
    <t>Mrs. Greer A. and Mr. Gary A. Mulholland</t>
  </si>
  <si>
    <t>Mr. Brett W. Spengler</t>
  </si>
  <si>
    <t>Ms. Laurie P. Risk</t>
  </si>
  <si>
    <t>Jean Gutschenritter</t>
  </si>
  <si>
    <t>Ms. Eleanor A. Lasky</t>
  </si>
  <si>
    <t>Linda J. Stalvey</t>
  </si>
  <si>
    <t>Beatrice and Ellen DeBuono</t>
  </si>
  <si>
    <t>Mr. James C. Schleter</t>
  </si>
  <si>
    <t>Ms. Shawn E. Cardinal</t>
  </si>
  <si>
    <t>Ms. Dennise Burgess</t>
  </si>
  <si>
    <t>Mr. Arnold I. Miller</t>
  </si>
  <si>
    <t>Dr. Rhonda G. Peters</t>
  </si>
  <si>
    <t>Mr. Don Hosack</t>
  </si>
  <si>
    <t>Ms. Barbara C. Otterson</t>
  </si>
  <si>
    <t>Ms. Barbara J. Ewing</t>
  </si>
  <si>
    <t>Mrs. Pamela C. Hoag</t>
  </si>
  <si>
    <t>Karen Sutton</t>
  </si>
  <si>
    <t>Ronald Franklin Atwood</t>
  </si>
  <si>
    <t>Mr. Philip D. McCormick</t>
  </si>
  <si>
    <t>Ms. Ann S. Meyers</t>
  </si>
  <si>
    <t>Mrs. Mary Johnson</t>
  </si>
  <si>
    <t>Mr. Anthony Donofrio</t>
  </si>
  <si>
    <t>Mr. Peter C. and Mrs. Cynthia Meyer</t>
  </si>
  <si>
    <t>Tom Hallick</t>
  </si>
  <si>
    <t>Ms. Cynthia P. McCarthy</t>
  </si>
  <si>
    <t>Ms. Carol A. Coy</t>
  </si>
  <si>
    <t>Keith Bearden</t>
  </si>
  <si>
    <t>Mary M. Kleba</t>
  </si>
  <si>
    <t>Robert and Betsey Clopine</t>
  </si>
  <si>
    <t>Mr. Paul D. Meddleton</t>
  </si>
  <si>
    <t>Mr. Don E. Schurr</t>
  </si>
  <si>
    <t>Mr. Roy H. and Mrs. Linda M. Costello</t>
  </si>
  <si>
    <t>Mrs. Kathy and Mr. Michael Grazioli</t>
  </si>
  <si>
    <t>Mr. Dirk K. Robinson</t>
  </si>
  <si>
    <t>Mrs. Julia Rapp</t>
  </si>
  <si>
    <t>Mrs. Tamlin L. Fortner</t>
  </si>
  <si>
    <t>Ms. Lynn Mattingly</t>
  </si>
  <si>
    <t>Mr. Steven R. Lafleur</t>
  </si>
  <si>
    <t>Scott and Laura Weakley</t>
  </si>
  <si>
    <t>Mr. Paul F. and Mrs. Jane E. Harnden</t>
  </si>
  <si>
    <t>Mr. Loren L. Clark</t>
  </si>
  <si>
    <t>Mary Jane Osborne</t>
  </si>
  <si>
    <t>Ms. Bonnie M. Orkow</t>
  </si>
  <si>
    <t>Ms. Johanna Woodchild</t>
  </si>
  <si>
    <t>Ms. Deborah Clancy</t>
  </si>
  <si>
    <t>Mr. Mickey Mccartney</t>
  </si>
  <si>
    <t>Mr. Joe Kolibab</t>
  </si>
  <si>
    <t>Mr. Duane J. Miller</t>
  </si>
  <si>
    <t>Mrs. Cheri Goforth</t>
  </si>
  <si>
    <t>Harriette Treloar</t>
  </si>
  <si>
    <t>Mr. Edward M. Davis</t>
  </si>
  <si>
    <t>Mr. Steve Spangler</t>
  </si>
  <si>
    <t>Ms. Linda Headley</t>
  </si>
  <si>
    <t>Thomas and Paula Krasky</t>
  </si>
  <si>
    <t>Ms. Karen L. Hempler</t>
  </si>
  <si>
    <t>Mr. Jerry Sass</t>
  </si>
  <si>
    <t>Mary F. Breitenstein</t>
  </si>
  <si>
    <t>Ronald and Barbara Surmick</t>
  </si>
  <si>
    <t>Dr. Charles and Mrs. Michaelyn Alson</t>
  </si>
  <si>
    <t>Wayne K. Brevitz</t>
  </si>
  <si>
    <t>Ms. Kristina Leone</t>
  </si>
  <si>
    <t>Mary Haslitt</t>
  </si>
  <si>
    <t>Dennis and Onjoo Cater</t>
  </si>
  <si>
    <t>Ms. Marie and Ms. Marie Mathews</t>
  </si>
  <si>
    <t>Ms. Marianne Moore</t>
  </si>
  <si>
    <t>Julie Waggener and Rick Foster</t>
  </si>
  <si>
    <t>Mrs. Geraldine Coulter</t>
  </si>
  <si>
    <t>Ms. Patricia L. Schlechte</t>
  </si>
  <si>
    <t>Mrs. Diane L. Stevens</t>
  </si>
  <si>
    <t>Mrs. Pearl and Mr. Jack Sperber</t>
  </si>
  <si>
    <t>Ms. Sharon K. Bowerman</t>
  </si>
  <si>
    <t>Ms. Susan E. Tornga</t>
  </si>
  <si>
    <t>Linda M. Cajka</t>
  </si>
  <si>
    <t>Ms. Caroline Sevier</t>
  </si>
  <si>
    <t>Mr. Wayne A. Munday</t>
  </si>
  <si>
    <t>Mr. Marc Hester</t>
  </si>
  <si>
    <t>Mr. Stephen W. Englander Ph. D.</t>
  </si>
  <si>
    <t>Ms. Anne Marie Lewis</t>
  </si>
  <si>
    <t>Harold D. McDonald</t>
  </si>
  <si>
    <t>Mr. George David Spainhower</t>
  </si>
  <si>
    <t>Edward L. Meosky</t>
  </si>
  <si>
    <t>Mr. Michael Hempel</t>
  </si>
  <si>
    <t>Mrs. Dora and Mr. Winfred Ritchie</t>
  </si>
  <si>
    <t>Diane Logston</t>
  </si>
  <si>
    <t>Carol and Michael Masters</t>
  </si>
  <si>
    <t>John and Karen Kabele</t>
  </si>
  <si>
    <t>Ms. Betty Wurtz</t>
  </si>
  <si>
    <t>Ms. Donna Tully</t>
  </si>
  <si>
    <t>Douglas and Sheryl Harvey</t>
  </si>
  <si>
    <t>Pat and Dennis Porter</t>
  </si>
  <si>
    <t>Mr. Eugene Finger</t>
  </si>
  <si>
    <t>Lynn E. Bart</t>
  </si>
  <si>
    <t>Mrs. Ruth Babel-Smith</t>
  </si>
  <si>
    <t>Mrs. Janet G. and Mr. C. E. Ebi-Deprey</t>
  </si>
  <si>
    <t>Mr. Gary Wilks</t>
  </si>
  <si>
    <t>Mrs. Kim E. Bridges</t>
  </si>
  <si>
    <t>Dr. John A. and Dr. Marie T. Rau</t>
  </si>
  <si>
    <t>Deborah Buckley</t>
  </si>
  <si>
    <t>Robert Reitz and Jean Reitz</t>
  </si>
  <si>
    <t>Judy Piercy and Keith Miller</t>
  </si>
  <si>
    <t>Ms. Sheryl A. Russell</t>
  </si>
  <si>
    <t>Ms. Lisa Densmore</t>
  </si>
  <si>
    <t>Nancy S. Ross</t>
  </si>
  <si>
    <t>Ms. Jean S. Johnson</t>
  </si>
  <si>
    <t>Sandy O. Scariano</t>
  </si>
  <si>
    <t>Mrs. Elise K. Malinovsky</t>
  </si>
  <si>
    <t>Mr. Mark and Mrs. Linda Pasche</t>
  </si>
  <si>
    <t>Florence Mullins</t>
  </si>
  <si>
    <t>Ms. Linda N. Harris</t>
  </si>
  <si>
    <t>Mr. Arthur Dusdall</t>
  </si>
  <si>
    <t>Kevin Kamradt</t>
  </si>
  <si>
    <t>Mr. Richard Morris</t>
  </si>
  <si>
    <t>Ms. Carol Krumwiede</t>
  </si>
  <si>
    <t>Ms. Barbara Miller</t>
  </si>
  <si>
    <t>Glen and Sylvia McWilliams</t>
  </si>
  <si>
    <t>Ruth N. Lynch</t>
  </si>
  <si>
    <t>Miss Debra L. Carter</t>
  </si>
  <si>
    <t>Edith B. Smith</t>
  </si>
  <si>
    <t>Jan Reetz</t>
  </si>
  <si>
    <t>Dottie Dunbar</t>
  </si>
  <si>
    <t>Scottie Huckabee</t>
  </si>
  <si>
    <t>Ms. Karen Guma</t>
  </si>
  <si>
    <t>Mr. Charles F. Mccown</t>
  </si>
  <si>
    <t>Mr. Kirk Fowler</t>
  </si>
  <si>
    <t>Ms. Leslie A. Hulse</t>
  </si>
  <si>
    <t>Ms. Deborah Lee-Hillman</t>
  </si>
  <si>
    <t>Mr. Stephen Pack</t>
  </si>
  <si>
    <t>Mr. Cecil L. Jones</t>
  </si>
  <si>
    <t>Mr. Herbert H. Plever</t>
  </si>
  <si>
    <t>Ms. Karen Castanis</t>
  </si>
  <si>
    <t>Mrs. Cynthia L. Truman</t>
  </si>
  <si>
    <t>Ms. Melba H. Denison</t>
  </si>
  <si>
    <t>Frederick and Heidi Walter</t>
  </si>
  <si>
    <t>Mr. John and Mrs. Betty Weber</t>
  </si>
  <si>
    <t>Ann and Allen Arnold</t>
  </si>
  <si>
    <t>Mrs. Cathy Greenbaum</t>
  </si>
  <si>
    <t>Miss Sharon R. Sayer</t>
  </si>
  <si>
    <t>Dr. Robin R. Huebner</t>
  </si>
  <si>
    <t>Mrs. Pamela and Mr. Thomas U. Mattingly</t>
  </si>
  <si>
    <t>Allan Nicholson</t>
  </si>
  <si>
    <t>Jerry Hadder and Marie Oakes</t>
  </si>
  <si>
    <t>Ms. Jutta E. Sgambelluri</t>
  </si>
  <si>
    <t>June Lees</t>
  </si>
  <si>
    <t>Mr. Michael U. Donnelly</t>
  </si>
  <si>
    <t>Ms. Kristin Hoffman</t>
  </si>
  <si>
    <t>Doris Snow</t>
  </si>
  <si>
    <t>Nancy Grimes</t>
  </si>
  <si>
    <t>Patricia Evans</t>
  </si>
  <si>
    <t>Ms. Janelle Huston</t>
  </si>
  <si>
    <t>Dr. Charles Beorn</t>
  </si>
  <si>
    <t>Ms. Shirley J. Brainard</t>
  </si>
  <si>
    <t>Bill Hill</t>
  </si>
  <si>
    <t>Susan Balog</t>
  </si>
  <si>
    <t>Michael Schmidt</t>
  </si>
  <si>
    <t>Ms. Janelyn Stasiak</t>
  </si>
  <si>
    <t>Ms. Gale Owings</t>
  </si>
  <si>
    <t>Mrs. Lola J. and Mr. Eric Chaisson</t>
  </si>
  <si>
    <t>Mr. Bernard A. Gredler</t>
  </si>
  <si>
    <t>Jon and Kelly Achee</t>
  </si>
  <si>
    <t>Mr. Thomas M. La Guidice</t>
  </si>
  <si>
    <t>Mr. Robert A. and Mrs. Manuelle Diamond</t>
  </si>
  <si>
    <t>Ms. Adrienne A. Lawler</t>
  </si>
  <si>
    <t>Dr. Dina A. Cleavenger</t>
  </si>
  <si>
    <t>Ms. Christine Quigley</t>
  </si>
  <si>
    <t>Ms. Judith L. Allday</t>
  </si>
  <si>
    <t>Mr. Mark Diehl</t>
  </si>
  <si>
    <t>Mr. Joe B. Murphy</t>
  </si>
  <si>
    <t>Mr. Verne B. Hanson</t>
  </si>
  <si>
    <t>Mr. Albert Rogat</t>
  </si>
  <si>
    <t>Ms. Susan Werlin</t>
  </si>
  <si>
    <t>Mrs. Merry Minder</t>
  </si>
  <si>
    <t>Ms. Jessica R. Souza</t>
  </si>
  <si>
    <t>Ms. Ann Marie M. Waterhouse</t>
  </si>
  <si>
    <t>Sylvia Babu</t>
  </si>
  <si>
    <t>Mrs. Alida N. Bockino</t>
  </si>
  <si>
    <t>Robert Bartholomew</t>
  </si>
  <si>
    <t>Cindi Miles</t>
  </si>
  <si>
    <t>Mr. Norman Hallowell</t>
  </si>
  <si>
    <t>Terry Roth</t>
  </si>
  <si>
    <t>Filbert G. Meseke</t>
  </si>
  <si>
    <t>Mr. Vincent C. Riedman</t>
  </si>
  <si>
    <t>Mrs. Edna S. Seebode</t>
  </si>
  <si>
    <t>Mrs. Elaine N. Alber</t>
  </si>
  <si>
    <t>Ms. Ruth K. Falk</t>
  </si>
  <si>
    <t>Ms. Joan S. Trimble</t>
  </si>
  <si>
    <t>Mrs. Ann Savidge</t>
  </si>
  <si>
    <t>Gary M. Rabetoy</t>
  </si>
  <si>
    <t>Ms. Joan M. Seiger</t>
  </si>
  <si>
    <t>Mrs. Victoria E. Wortham</t>
  </si>
  <si>
    <t>Mr. Duane R. Olsen</t>
  </si>
  <si>
    <t>Margo R. Kaufman</t>
  </si>
  <si>
    <t>Mr. Arnold M. Berke</t>
  </si>
  <si>
    <t>Ms. Carlene Rona</t>
  </si>
  <si>
    <t>Ms. Valerie L. Baker</t>
  </si>
  <si>
    <t>Mr. Herbert Cooley</t>
  </si>
  <si>
    <t>Mr. John Ketten</t>
  </si>
  <si>
    <t>Mrs. Alice A. and Dr. William Calloway</t>
  </si>
  <si>
    <t>Gary Gunderson</t>
  </si>
  <si>
    <t>Nancy M. King</t>
  </si>
  <si>
    <t>Mr. Gordon and Mrs. Kate Bennett</t>
  </si>
  <si>
    <t>Randy and Janelle Stallkamp</t>
  </si>
  <si>
    <t>Richard Gerston</t>
  </si>
  <si>
    <t>Mr. Robert J. Lampeter</t>
  </si>
  <si>
    <t>Mr. Bryan Trent</t>
  </si>
  <si>
    <t>Dianne and Donald Panek</t>
  </si>
  <si>
    <t>Patricia and Kent Hayden</t>
  </si>
  <si>
    <t>Stephanie Singer</t>
  </si>
  <si>
    <t>Barbara J. Lund</t>
  </si>
  <si>
    <t>Katherine L. Bent</t>
  </si>
  <si>
    <t>Ms. Patricia N. Fowler</t>
  </si>
  <si>
    <t>Roland C. Flick</t>
  </si>
  <si>
    <t>Ms. Charlotte E. Boggs</t>
  </si>
  <si>
    <t>Mrs. Pamela and Mr. Scott K. Woodward</t>
  </si>
  <si>
    <t>Maureen and Michael Polikoff</t>
  </si>
  <si>
    <t>Casey and Kristen Ryan</t>
  </si>
  <si>
    <t>Dr. Karen L. Gibson</t>
  </si>
  <si>
    <t>Ms. Margery Dean Webb</t>
  </si>
  <si>
    <t>Mr. Gabriel Vito and Mrs. Mary Brenda Riontino</t>
  </si>
  <si>
    <t>Dr. William S. Parker</t>
  </si>
  <si>
    <t>Mr. Seth Tanner</t>
  </si>
  <si>
    <t>Joyce M. Pies</t>
  </si>
  <si>
    <t>Mr. Mark T. and Mrs. Phyllis Motsko</t>
  </si>
  <si>
    <t>Audrey Holm-Hansen</t>
  </si>
  <si>
    <t>Mr. Ritchie L. Clark</t>
  </si>
  <si>
    <t>Ms. Debbie Hamel</t>
  </si>
  <si>
    <t>Babbette M. Kunkle</t>
  </si>
  <si>
    <t>Donn Charnley</t>
  </si>
  <si>
    <t>Mr. Charles B. Chedsey</t>
  </si>
  <si>
    <t>Ms. Barbara Kilian</t>
  </si>
  <si>
    <t>Dr. B. B. Eshbaugh</t>
  </si>
  <si>
    <t>Ms. Suzanne Steinke and Ms. Barbara Phieffer</t>
  </si>
  <si>
    <t>Ms. Margaret Manella</t>
  </si>
  <si>
    <t>Ms. Barbara I. Garlinghouse</t>
  </si>
  <si>
    <t>Mr. Charles A. Rogers II</t>
  </si>
  <si>
    <t>Mrs. Freda-Wood C. Purvis</t>
  </si>
  <si>
    <t>David Aquilina</t>
  </si>
  <si>
    <t>Mrs. Betty L. Helbock</t>
  </si>
  <si>
    <t>Dennis and Katy Rosolowski</t>
  </si>
  <si>
    <t>Ms. Irene McCoy</t>
  </si>
  <si>
    <t>Marion M. Vurture</t>
  </si>
  <si>
    <t>Ms. Laura L. Mazur</t>
  </si>
  <si>
    <t>Mr. Mike and Mrs. Carolyn Patterson</t>
  </si>
  <si>
    <t>Michael R. Miller</t>
  </si>
  <si>
    <t>Ms. Kay R. Biondo</t>
  </si>
  <si>
    <t>Ms. Jan Anderson</t>
  </si>
  <si>
    <t>Edward Zamborsky</t>
  </si>
  <si>
    <t>David M. Shapiro M.D.</t>
  </si>
  <si>
    <t>Ms. Janet W. Hilton</t>
  </si>
  <si>
    <t>Sharon and Keith Yarborough</t>
  </si>
  <si>
    <t>Mrs. Marie Hoefer</t>
  </si>
  <si>
    <t>Dr. Ellen L. Mitchell</t>
  </si>
  <si>
    <t>Mr. Richard A. Mather</t>
  </si>
  <si>
    <t>Mr. Paul C. Seeman</t>
  </si>
  <si>
    <t>Mr. Brian Kohlman</t>
  </si>
  <si>
    <t>Mr. Tim Schofield</t>
  </si>
  <si>
    <t>Mrs. Carol and Dr. Joseph Waldner</t>
  </si>
  <si>
    <t>Ms. Kiem Nguyen and Mr. Gregory Gregg</t>
  </si>
  <si>
    <t>Mr. Charles W. Treat</t>
  </si>
  <si>
    <t>Mrs. Pamela Nowell</t>
  </si>
  <si>
    <t>Hajimu Fujii</t>
  </si>
  <si>
    <t>Mr. Richard M. Ong</t>
  </si>
  <si>
    <t>Arne and Lynda Jorgensen</t>
  </si>
  <si>
    <t>Miss Mary Ann Gries</t>
  </si>
  <si>
    <t>Ms. Vickie L. Anderson</t>
  </si>
  <si>
    <t>West Honeycutt and Ameya Sapre</t>
  </si>
  <si>
    <t>Ms. Laura Sewell</t>
  </si>
  <si>
    <t>Mr. Earl D. Alexander</t>
  </si>
  <si>
    <t>Ms. Magda Oliosi</t>
  </si>
  <si>
    <t>Ms. Eleanor S. Sullivan</t>
  </si>
  <si>
    <t>Lacy Bearden</t>
  </si>
  <si>
    <t>Ms. Harriet K. Swider</t>
  </si>
  <si>
    <t>Ms. Shirley Iwatani</t>
  </si>
  <si>
    <t>Joan F. Litalien</t>
  </si>
  <si>
    <t>Mr. David L. Woods</t>
  </si>
  <si>
    <t>Mr. Carl Feller</t>
  </si>
  <si>
    <t>Mr. Bruce Raymond</t>
  </si>
  <si>
    <t>Barbara Baum</t>
  </si>
  <si>
    <t>Ms. Monika Mayr</t>
  </si>
  <si>
    <t>Ms. Elly Sullivan</t>
  </si>
  <si>
    <t>Rebecca Hjortshjh</t>
  </si>
  <si>
    <t>Mr. Donny Petersen</t>
  </si>
  <si>
    <t>Miss Jean L. Berner</t>
  </si>
  <si>
    <t>Ms. Laura Sturtz and Mr. Jeff Dillon</t>
  </si>
  <si>
    <t>John Dyczko</t>
  </si>
  <si>
    <t>Janet S. Lanham</t>
  </si>
  <si>
    <t>Ms. Martha J. Fuller</t>
  </si>
  <si>
    <t>Miss Louise M. Sherman</t>
  </si>
  <si>
    <t>Dr. Charles Hall</t>
  </si>
  <si>
    <t>Mrs. Jennifer W. Eustace-Pedlar</t>
  </si>
  <si>
    <t>Ms. Joan Quackenbush</t>
  </si>
  <si>
    <t>Mr. Steve E. Tetsch</t>
  </si>
  <si>
    <t>Ms. Mary Smith</t>
  </si>
  <si>
    <t>Eileen Halverson</t>
  </si>
  <si>
    <t>Karen Sissons</t>
  </si>
  <si>
    <t>Stan Anderson</t>
  </si>
  <si>
    <t>Ms. Elayna L. Parker</t>
  </si>
  <si>
    <t>James Salsbury</t>
  </si>
  <si>
    <t>Ms. N. O'Connor</t>
  </si>
  <si>
    <t>Mary Hess</t>
  </si>
  <si>
    <t>Elizabeth C. Foard</t>
  </si>
  <si>
    <t>Mrs. Teresa Myrick</t>
  </si>
  <si>
    <t>Mrs. Vonda H. Arey</t>
  </si>
  <si>
    <t>Ms. Rose Marie Null</t>
  </si>
  <si>
    <t>Francine Lawrence</t>
  </si>
  <si>
    <t>Phyllis K. Mcaliley</t>
  </si>
  <si>
    <t>Betty A. Lewis</t>
  </si>
  <si>
    <t>Mr. Richard Haughton Livesey and Mrs. Mae F. Haughton Livesey</t>
  </si>
  <si>
    <t>Ms. Deborah Hoyle</t>
  </si>
  <si>
    <t>Mrs. Jane and Mr. Emmett Norton</t>
  </si>
  <si>
    <t>Dr. Karena Lee and Mr. Lawrence A. Sanford</t>
  </si>
  <si>
    <t>Ms. Jessica L. Kittle</t>
  </si>
  <si>
    <t>Mr. Richard Magda</t>
  </si>
  <si>
    <t>Carolyn Vesper</t>
  </si>
  <si>
    <t>Elizabeth Miller</t>
  </si>
  <si>
    <t>Genevieve Oppen</t>
  </si>
  <si>
    <t>John M. Elling</t>
  </si>
  <si>
    <t>Mr. Robert J. Owen</t>
  </si>
  <si>
    <t>Mary E. Cason</t>
  </si>
  <si>
    <t>Francis C. Shaw</t>
  </si>
  <si>
    <t>Grace C. Stebbins</t>
  </si>
  <si>
    <t>Ana Boza</t>
  </si>
  <si>
    <t>Ms. Barbara J. Fraser</t>
  </si>
  <si>
    <t>N. O'Connor</t>
  </si>
  <si>
    <t>Ann B. Scott</t>
  </si>
  <si>
    <t>Ms. Amy Beenblossom</t>
  </si>
  <si>
    <t>Erika D. Hilliker</t>
  </si>
  <si>
    <t>Corinne Buttell</t>
  </si>
  <si>
    <t>William E. Hoffman</t>
  </si>
  <si>
    <t>Mr. William B. Kirkpatrick II</t>
  </si>
  <si>
    <t>Ms. Nina O'Connor</t>
  </si>
  <si>
    <t>Judith C. Johnson</t>
  </si>
  <si>
    <t>Helen Schmitz</t>
  </si>
  <si>
    <t>Mrs. Marian Robertson</t>
  </si>
  <si>
    <t>Ms. Wendy Atlas-Sawyer and Mr. Robert E. Sawyer</t>
  </si>
  <si>
    <t>Mr. and Mrs. John Webster</t>
  </si>
  <si>
    <t>Tom W. Fry</t>
  </si>
  <si>
    <t>Mr. Kevin W. King</t>
  </si>
  <si>
    <t>John A. Rebel</t>
  </si>
  <si>
    <t>Ms. Margot Luedke</t>
  </si>
  <si>
    <t>Alys M. Polak</t>
  </si>
  <si>
    <t>Mildred Hottat</t>
  </si>
  <si>
    <t>Walter B. Hille</t>
  </si>
  <si>
    <t>Mr. Paul Alaback</t>
  </si>
  <si>
    <t>Ruth E. Capper</t>
  </si>
  <si>
    <t>Mary C. Bruce</t>
  </si>
  <si>
    <t>Ms. Loretta Campbell</t>
  </si>
  <si>
    <t>Mrs. Karen Chapman</t>
  </si>
  <si>
    <t>Margaret P. Haldeman</t>
  </si>
  <si>
    <t>Chair</t>
  </si>
  <si>
    <t>Name</t>
  </si>
  <si>
    <t>Status</t>
  </si>
  <si>
    <t>Vehicle</t>
  </si>
  <si>
    <t>Confirmed</t>
  </si>
  <si>
    <t>FY21 Survey</t>
  </si>
  <si>
    <t>Legacy Gift?</t>
  </si>
  <si>
    <t>CGA?</t>
  </si>
  <si>
    <t>PG Contact?</t>
  </si>
  <si>
    <t>Which statement best describes why you care about national parks?</t>
  </si>
  <si>
    <t>Park visits in 12 months?</t>
  </si>
  <si>
    <t>Park visits in lifetime?</t>
  </si>
  <si>
    <t>Nonpartisan, pro-parks advocacy in DC</t>
  </si>
  <si>
    <t>Preventing harm to parks during govt shutdowns.</t>
  </si>
  <si>
    <t>Ensuring parks tell the story of all Americans</t>
  </si>
  <si>
    <t>Building a strong, diverse next generation of park advocates.</t>
  </si>
  <si>
    <t>Protecting national parks from threats inside and outside borders.</t>
  </si>
  <si>
    <t>Which best describes why you support NPCA?</t>
  </si>
  <si>
    <t>When was your first park experience?</t>
  </si>
  <si>
    <t>Person/event important in shaping views of parks?</t>
  </si>
  <si>
    <t>Expanded answer:</t>
  </si>
  <si>
    <t>Vic Fazio</t>
  </si>
  <si>
    <t>Yes</t>
  </si>
  <si>
    <t>No</t>
  </si>
  <si>
    <t>I value America’s national parks and want to preserve them for future generations.</t>
  </si>
  <si>
    <t>2-4</t>
  </si>
  <si>
    <t>10-24</t>
  </si>
  <si>
    <t>I believe our parks will always be at risk of budget cuts and environmental threats and NPCA, dedicated to protecting them, must survive and thrive.</t>
  </si>
  <si>
    <t>When I was a child.</t>
  </si>
  <si>
    <t>Grandfather, sibling</t>
  </si>
  <si>
    <t>My Grandfather had a love for history and the great outdoors and he instilled those values in me. As a child I visited  numerous places within and without the NPS, that instilled an appreciation of how our Nations historic sights and places can bring to life our nations stories.
Later, I moved across the country and, visiting my sister and her husband, a NPS ranger-naturalist, through out the west, I came to appreciate the beauty of our landscapes from Arizona to California and  Washington.</t>
  </si>
  <si>
    <t>Vice Chairs</t>
  </si>
  <si>
    <t>Nikki Buffa</t>
  </si>
  <si>
    <t>Bill Huyett</t>
  </si>
  <si>
    <t>Elizabeth Waddill</t>
  </si>
  <si>
    <t>Treasurer</t>
  </si>
  <si>
    <t>David Aldrich</t>
  </si>
  <si>
    <t>Considering</t>
  </si>
  <si>
    <t>More than 25</t>
  </si>
  <si>
    <t>Grandfather</t>
  </si>
  <si>
    <t>My grandfather was a geologist who traveled widely in the US, visiting many of the "major" NPs.  His postcards depicting them (particularly the western parks) always left a strong impression on me as a child.</t>
  </si>
  <si>
    <t>Secretary</t>
  </si>
  <si>
    <t>Sändra Washington</t>
  </si>
  <si>
    <t>Trustees</t>
  </si>
  <si>
    <t>Donald Ayer</t>
  </si>
  <si>
    <t>I have supported NPCA for many years and have seen the organization's impact.</t>
  </si>
  <si>
    <t>Many years ago.</t>
  </si>
  <si>
    <t>Grandmother, Mother, Father</t>
  </si>
  <si>
    <t xml:space="preserve"> I remember seeing pictures and talking during the 1970s with my grandmother about visiting Yosemite in the 1920s and 30s.   I remember visiting King Canyon NP multiple times on pack trips with my parents.  I remember taking my own kids to Yellowstone every year for twenty years, and each year visiting also others of the parks in the Rocky Mountains.</t>
  </si>
  <si>
    <t>Wendy Bennett</t>
  </si>
  <si>
    <t>Jennifer Costley</t>
  </si>
  <si>
    <t>Intending</t>
  </si>
  <si>
    <t>I want to protect wildlife in these natural landscapes and environments.</t>
  </si>
  <si>
    <t>5-10</t>
  </si>
  <si>
    <t>Within the last 10 years.</t>
  </si>
  <si>
    <t>Event</t>
  </si>
  <si>
    <t>We were travelling northwest from Las Vegas and spent some time in Death Valley - simply spectacular.  From there, we kept going north to meet with friends just outside Yosemite.  I had never been, but had an image of the magnificence from old photographs and National Geographic articles.  Seeing and hiking the recently burned hills surrounding the Park and how stressed the landscape was from thousands of visitors and climate change made me really sad.  It may be too late for Yosemite, but we have to fit to save all the other great places that make up our National Park system - for the wildlife, for future generations, and for our own souls.</t>
  </si>
  <si>
    <t>Stewart Cushman</t>
  </si>
  <si>
    <t>Shannon Dosemagen</t>
  </si>
  <si>
    <t>Mort Fuller</t>
  </si>
  <si>
    <t>Deny Galvin</t>
  </si>
  <si>
    <t>Dalia Dorta Gonzalez</t>
  </si>
  <si>
    <t>Fernando Gracia</t>
  </si>
  <si>
    <t>I want to ensure the parks are inclusive and representative spaces for all Americans.</t>
  </si>
  <si>
    <t>Mother, Father, Other</t>
  </si>
  <si>
    <t>My first job out of college was protecting parks, but before this I was made aware of environmental issues through courses I took in college.</t>
  </si>
  <si>
    <t>James Floyd</t>
  </si>
  <si>
    <t>Helen Hernandez</t>
  </si>
  <si>
    <t>Vincent Hoenigman</t>
  </si>
  <si>
    <t>50% $1.2MM</t>
  </si>
  <si>
    <t>I understand NPCA has protected parks for more than 100 years and I trust they will continue to do so for generations to come.</t>
  </si>
  <si>
    <t>Mother, Father</t>
  </si>
  <si>
    <t>A trip to Yosemite when I was young was the most memorable of my childhood.</t>
  </si>
  <si>
    <t>Roberta Katz</t>
  </si>
  <si>
    <t>I value America's national parks and want to preserve them for future generations.</t>
  </si>
  <si>
    <t>Granfather, other</t>
  </si>
  <si>
    <t>My grandfather was a great lover of the parks and instilled in us a delight in being in the Colorado mountains.  My husband also had that love for the parks and the outdoors, so he too has had a great influence on my views about the importance of the parks.</t>
  </si>
  <si>
    <t>Bob Keiter</t>
  </si>
  <si>
    <t>Eaddo Kiernan</t>
  </si>
  <si>
    <t>Ed Lewis</t>
  </si>
  <si>
    <t>After moving to AZ after law school, I began to regularly visit Grand Canyon National Park and became aware of the multiple environmental and visitation issues facing the Park, in particular air pollution and visibility, uranium mining, inappropriate development nearby, and later learned that similar threats and issues were facing many other national parks as well.</t>
  </si>
  <si>
    <t>Katharine Overlock</t>
  </si>
  <si>
    <t>Susan Pohl</t>
  </si>
  <si>
    <t>Lizzy Raffin</t>
  </si>
  <si>
    <t>Bruce Rauner</t>
  </si>
  <si>
    <t>HOLD OFF ON PG FOLLOW UP</t>
  </si>
  <si>
    <t>Kurt Riley</t>
  </si>
  <si>
    <t>Bob Rosenbaum</t>
  </si>
  <si>
    <t>Jeff Sagansky</t>
  </si>
  <si>
    <t>Lauret Savoy</t>
  </si>
  <si>
    <t>Will Taggart, Jr.</t>
  </si>
  <si>
    <t>Greg Vital</t>
  </si>
  <si>
    <t>Trustees Emeritus</t>
  </si>
  <si>
    <t>Bill Berkley</t>
  </si>
  <si>
    <t>Diana Blank</t>
  </si>
  <si>
    <t>Sally Jewell</t>
  </si>
  <si>
    <t>0</t>
  </si>
  <si>
    <t>As a child, I had the privilege of going on two-week summer trips with about a dozen other youngsters led by Mrs. Black, who was an amazing teacher.  This included very early lessons on what became known as "leave no trace" and the importance of respectfully engaging with nature and learning about its wonders.  We were always accompanied by grad students who shared their knowledge and nurtured our curiosity.  My final year was a long backpacking trip across Olympic National Park.</t>
  </si>
  <si>
    <t>Gretchen Long</t>
  </si>
  <si>
    <t>Glenn Padnick</t>
  </si>
  <si>
    <t>Tom Secunda</t>
  </si>
  <si>
    <t xml:space="preserve">HOLD OFF ON PG FOLLOW UP </t>
  </si>
  <si>
    <t>Gene Sykes</t>
  </si>
  <si>
    <t>Fran Ulmer</t>
  </si>
  <si>
    <t>Bill Walter</t>
  </si>
  <si>
    <t>I have supported NPCA for many years and have seen firsthand the organization’s impact.</t>
  </si>
  <si>
    <t>None</t>
  </si>
  <si>
    <t xml:space="preserve"> I have had a lifetime love of the National Parks.  I have shared this with my family and friends throughout my life.  When I returned from the Vietnam war, I found the Parks to be therapeutic and healing.  The National Parks belong to all of us and define who we are as a country and reinforce our history and culture.</t>
  </si>
  <si>
    <t>ROLLED OFF</t>
  </si>
  <si>
    <t>Mary Barley</t>
  </si>
  <si>
    <t>JULY</t>
  </si>
  <si>
    <t>AUG</t>
  </si>
  <si>
    <t>SEPT</t>
  </si>
  <si>
    <t>OCT</t>
  </si>
  <si>
    <t>NOV</t>
  </si>
  <si>
    <t>DEC</t>
  </si>
  <si>
    <t>JAN</t>
  </si>
  <si>
    <t>FEB</t>
  </si>
  <si>
    <t>MAR</t>
  </si>
  <si>
    <t>APRIL</t>
  </si>
  <si>
    <t>MAY</t>
  </si>
  <si>
    <t>JUNE</t>
  </si>
  <si>
    <t>WEEK 1</t>
  </si>
  <si>
    <t>July 4th</t>
  </si>
  <si>
    <t>Colorado</t>
  </si>
  <si>
    <t>CGP Conference</t>
  </si>
  <si>
    <t>Ohio</t>
  </si>
  <si>
    <t>California</t>
  </si>
  <si>
    <t>Florida</t>
  </si>
  <si>
    <t>St. Louis</t>
  </si>
  <si>
    <t>WEEK 2</t>
  </si>
  <si>
    <t>A in DC</t>
  </si>
  <si>
    <t>Michigan</t>
  </si>
  <si>
    <t>Texas</t>
  </si>
  <si>
    <t>GA / AL</t>
  </si>
  <si>
    <t>WEEK 3</t>
  </si>
  <si>
    <t>Michigan follow up</t>
  </si>
  <si>
    <t>Texas Follow-up</t>
  </si>
  <si>
    <t>Arizona</t>
  </si>
  <si>
    <t>New Mexico</t>
  </si>
  <si>
    <t>PG Days</t>
  </si>
  <si>
    <t>WEEK 4</t>
  </si>
  <si>
    <t>NYC</t>
  </si>
  <si>
    <t>Chicago follow up</t>
  </si>
  <si>
    <t>Thanksgiving</t>
  </si>
  <si>
    <t>TN / SC</t>
  </si>
  <si>
    <t>DC / MD</t>
  </si>
  <si>
    <t>North Carolina</t>
  </si>
  <si>
    <t>WEEK 5</t>
  </si>
  <si>
    <t>NYC follow up</t>
  </si>
  <si>
    <t>Seattle / Portland</t>
  </si>
  <si>
    <t>Christmas</t>
  </si>
  <si>
    <t>DONORS</t>
  </si>
  <si>
    <t>PR</t>
  </si>
  <si>
    <t>ND</t>
  </si>
  <si>
    <t>ROI_FAMILY_ID</t>
  </si>
  <si>
    <t>ROI_ID</t>
  </si>
  <si>
    <t>ACCOUNT_CLASSIFICATION</t>
  </si>
  <si>
    <t>PG_CONSIDER</t>
  </si>
  <si>
    <t>PG_CONSIDER_DATE</t>
  </si>
  <si>
    <t>PG_INTENDER</t>
  </si>
  <si>
    <t>PG_INTENDER_DATE</t>
  </si>
  <si>
    <t>CGA_INQUIRY</t>
  </si>
  <si>
    <t>CGA_INQUIRY_DATE</t>
  </si>
  <si>
    <t>MLS_BEQ_FLAG</t>
  </si>
  <si>
    <t>MLS_BEQ_FLAG_DATE</t>
  </si>
  <si>
    <t>MLS_IRA_FLAG</t>
  </si>
  <si>
    <t>MLS_IRA_FLAG_DATE</t>
  </si>
  <si>
    <t>MLS_CGA_FLAG</t>
  </si>
  <si>
    <t>MLS_CGA_FLAG_DATE</t>
  </si>
  <si>
    <t>MEMBER_TYPE</t>
  </si>
  <si>
    <t>PRIMARY_CHAPTER</t>
  </si>
  <si>
    <t>BIRTH_DATE</t>
  </si>
  <si>
    <t>AGE</t>
  </si>
  <si>
    <t>NICKNAME</t>
  </si>
  <si>
    <t>NAME_PREFIX</t>
  </si>
  <si>
    <t>NAME_FIRST</t>
  </si>
  <si>
    <t>NAME_MIDDLE</t>
  </si>
  <si>
    <t>NAME_LAST</t>
  </si>
  <si>
    <t>NAME_SUFFIX</t>
  </si>
  <si>
    <t>ROI_FAM_ID_SECONDARY_CONTACT</t>
  </si>
  <si>
    <t>NAME_PREFIX_SECONDARY_CONTACT</t>
  </si>
  <si>
    <t>PARTNER_NAME_FIRST</t>
  </si>
  <si>
    <t>PARTNER_NAME_MIDDLE</t>
  </si>
  <si>
    <t>PARTNER_NAME_LAST</t>
  </si>
  <si>
    <t>PARTNER_NAME_SUFFIX</t>
  </si>
  <si>
    <t>HOUSEHOLD_ADDRESS_LINE</t>
  </si>
  <si>
    <t>HOUSEHOLD_SALUTATION</t>
  </si>
  <si>
    <t>ORGANIZATION_NAME</t>
  </si>
  <si>
    <t>STREET</t>
  </si>
  <si>
    <t>ADDRESS_ALT_LINE1</t>
  </si>
  <si>
    <t>ADDRESS_ALT_LINE2</t>
  </si>
  <si>
    <t>ADDRESS_ALT_LINE3_ORGANIZATION</t>
  </si>
  <si>
    <t>ZIPCODE</t>
  </si>
  <si>
    <t>COUNTRY</t>
  </si>
  <si>
    <t>EMAIL</t>
  </si>
  <si>
    <t>EMAIL_TWO</t>
  </si>
  <si>
    <t>IWAVE_EST_CAPACITY</t>
  </si>
  <si>
    <t>ORIG_DATE</t>
  </si>
  <si>
    <t>ORIG_SOURCE</t>
  </si>
  <si>
    <t>ORIG_AMOUNT</t>
  </si>
  <si>
    <t>MRC_DATE</t>
  </si>
  <si>
    <t>MRC_SOURCE</t>
  </si>
  <si>
    <t>MRC_AMOUNT</t>
  </si>
  <si>
    <t>HPC_DATE</t>
  </si>
  <si>
    <t>HPC_SOURCE</t>
  </si>
  <si>
    <t>HPC_AMOUNT</t>
  </si>
  <si>
    <t>FREQ</t>
  </si>
  <si>
    <t>TOTAL_AMOUNT</t>
  </si>
  <si>
    <t>FIRST_GIFT_FISCAL_YEAR</t>
  </si>
  <si>
    <t>GIFT_COUNT_OVERALL</t>
  </si>
  <si>
    <t>GIFT_COUNT_24MONTHS</t>
  </si>
  <si>
    <t>GIFT_AMOUNT_24MONTHS</t>
  </si>
  <si>
    <t>YEARS_WITH_GIFTS</t>
  </si>
  <si>
    <t>YEARS_ON_FILE</t>
  </si>
  <si>
    <t>CONSECUTIVE_YEARS</t>
  </si>
  <si>
    <t>DO_NOT_MAIL</t>
  </si>
  <si>
    <t>NEVER</t>
  </si>
  <si>
    <t>DO_NOT_EMAIL</t>
  </si>
  <si>
    <t>DATE_OF_DEATH</t>
  </si>
  <si>
    <t>INDIVIDUAL</t>
  </si>
  <si>
    <t>3YEAR_MEMBERSHIP</t>
  </si>
  <si>
    <t>NorthEast</t>
  </si>
  <si>
    <t>Erwin H. Miller</t>
  </si>
  <si>
    <t>93 Briarwood Cir</t>
  </si>
  <si>
    <t>01606-1225</t>
  </si>
  <si>
    <t>US</t>
  </si>
  <si>
    <t>erwinhmiller@gmail.com</t>
  </si>
  <si>
    <t>emiller@bowzitch.com</t>
  </si>
  <si>
    <t>XFAAH</t>
  </si>
  <si>
    <t>ALA22080A13A</t>
  </si>
  <si>
    <t>TFP_MEMBERSHIP</t>
  </si>
  <si>
    <t>SouthWest Regional Office</t>
  </si>
  <si>
    <t>Mr.</t>
  </si>
  <si>
    <t>Dr.</t>
  </si>
  <si>
    <t>Mr. Ronald R. and Dr. Wanda J. Mourant</t>
  </si>
  <si>
    <t>Ronald and Wanda</t>
  </si>
  <si>
    <t>30 Paige Cir</t>
  </si>
  <si>
    <t>White Rock</t>
  </si>
  <si>
    <t>87547-3638</t>
  </si>
  <si>
    <t>rmourant@gmail.com</t>
  </si>
  <si>
    <t>wjm@yahoo.com</t>
  </si>
  <si>
    <t>X4045</t>
  </si>
  <si>
    <t>ALB210001001</t>
  </si>
  <si>
    <t>PPG150001001</t>
  </si>
  <si>
    <t>wjm36@yahoo.com</t>
  </si>
  <si>
    <t>PPG230001001</t>
  </si>
  <si>
    <t>GENERAL_MEMBERSHIP</t>
  </si>
  <si>
    <t>W.</t>
  </si>
  <si>
    <t>Jr.</t>
  </si>
  <si>
    <t>Mr. Francis W. Warren Jr.</t>
  </si>
  <si>
    <t>PO Box 18</t>
  </si>
  <si>
    <t>01775-0018</t>
  </si>
  <si>
    <t>pgfarm1782@yahoo.com</t>
  </si>
  <si>
    <t>XNPJ3</t>
  </si>
  <si>
    <t>ALB240001001</t>
  </si>
  <si>
    <t>XCGA98</t>
  </si>
  <si>
    <t>McGrath</t>
  </si>
  <si>
    <t>Mcgrath</t>
  </si>
  <si>
    <t>Mark and Mary McGrath</t>
  </si>
  <si>
    <t>Mark and Mary</t>
  </si>
  <si>
    <t>1074 N Hollow Rd</t>
  </si>
  <si>
    <t>05767-9607</t>
  </si>
  <si>
    <t>markandmarym@gmail.com</t>
  </si>
  <si>
    <t>mmcgrath@vtlink.net</t>
  </si>
  <si>
    <t>X77AE</t>
  </si>
  <si>
    <t>ALA23060A55H</t>
  </si>
  <si>
    <t>mmcgrath@direcway.com</t>
  </si>
  <si>
    <t>mmcgrath@hughes.net</t>
  </si>
  <si>
    <t>S</t>
  </si>
  <si>
    <t>John Gintell and Robert Coren</t>
  </si>
  <si>
    <t>John and Robert</t>
  </si>
  <si>
    <t>102 Brook Village Dr</t>
  </si>
  <si>
    <t>Unit 409</t>
  </si>
  <si>
    <t>Peabody</t>
  </si>
  <si>
    <t>XNONE</t>
  </si>
  <si>
    <t>ALA23020B56H</t>
  </si>
  <si>
    <t>PPG120001001</t>
  </si>
  <si>
    <t>Ms.</t>
  </si>
  <si>
    <t>Ms. Karen A. Davis</t>
  </si>
  <si>
    <t>PO Box 69</t>
  </si>
  <si>
    <t>03070-0069</t>
  </si>
  <si>
    <t>karen.davis@glassbeehive.com</t>
  </si>
  <si>
    <t>XMG15</t>
  </si>
  <si>
    <t>ALA23010A25R</t>
  </si>
  <si>
    <t>ATA100201002</t>
  </si>
  <si>
    <t>MAJOR_DONOR</t>
  </si>
  <si>
    <t>P</t>
  </si>
  <si>
    <t>Mason</t>
  </si>
  <si>
    <t>Janet P. Mason</t>
  </si>
  <si>
    <t>Po Box 674</t>
  </si>
  <si>
    <t>Peterborough</t>
  </si>
  <si>
    <t>03458-0674</t>
  </si>
  <si>
    <t>XMMMM</t>
  </si>
  <si>
    <t>ALR240100001</t>
  </si>
  <si>
    <t>PPW220001P01</t>
  </si>
  <si>
    <t>Miss</t>
  </si>
  <si>
    <t>Miss Blanche E. Kelley</t>
  </si>
  <si>
    <t>82 Marilyn Ave</t>
  </si>
  <si>
    <t>04092-4624</t>
  </si>
  <si>
    <t>XEABC</t>
  </si>
  <si>
    <t>ALR210100001</t>
  </si>
  <si>
    <t>PPG160001001</t>
  </si>
  <si>
    <t>412 Embden Pond Rd</t>
  </si>
  <si>
    <t>04958-7428</t>
  </si>
  <si>
    <t>galubi@tds.net</t>
  </si>
  <si>
    <t>X3012</t>
  </si>
  <si>
    <t>ALR231002C13</t>
  </si>
  <si>
    <t>ALR201102C33</t>
  </si>
  <si>
    <t>S.</t>
  </si>
  <si>
    <t>Eric S. Thomas</t>
  </si>
  <si>
    <t>71 Farr Rd</t>
  </si>
  <si>
    <t>05477-9301</t>
  </si>
  <si>
    <t>eric721@yahoo.com</t>
  </si>
  <si>
    <t>ALS240501WS3R</t>
  </si>
  <si>
    <t>ALR161001033</t>
  </si>
  <si>
    <t>Ms. Gail A. Burrington</t>
  </si>
  <si>
    <t>6 Reed Cir</t>
  </si>
  <si>
    <t>06096-1214</t>
  </si>
  <si>
    <t>solaredge@hotmail.com</t>
  </si>
  <si>
    <t>miallybo@yahoo.com</t>
  </si>
  <si>
    <t>XDDDD</t>
  </si>
  <si>
    <t>ALL23110A8BM</t>
  </si>
  <si>
    <t>XRG5F94E</t>
  </si>
  <si>
    <t>Mr. Ronald W. Clark</t>
  </si>
  <si>
    <t>PO Box 364</t>
  </si>
  <si>
    <t>Lyme</t>
  </si>
  <si>
    <t>06371-0364</t>
  </si>
  <si>
    <t>ronclark9914@sbcglobal.net</t>
  </si>
  <si>
    <t>ronaldrwclark@aol.com</t>
  </si>
  <si>
    <t>ALA23040A25A</t>
  </si>
  <si>
    <t>ALA19010A25R</t>
  </si>
  <si>
    <t>Mrs.</t>
  </si>
  <si>
    <t>Mrs. Avril Winks</t>
  </si>
  <si>
    <t>311 Saint Ronan St</t>
  </si>
  <si>
    <t>#A3</t>
  </si>
  <si>
    <t>06511-2328</t>
  </si>
  <si>
    <t>awinks@gmail.com</t>
  </si>
  <si>
    <t>afwinks@gmail.com</t>
  </si>
  <si>
    <t>NEE210001101:FY21STTP</t>
  </si>
  <si>
    <t>TDM080601001</t>
  </si>
  <si>
    <t>Mcpherson</t>
  </si>
  <si>
    <t>McPherson Tracy</t>
  </si>
  <si>
    <t>Ms. Anne M. McPherson Tracy</t>
  </si>
  <si>
    <t>32 Ledges Rd</t>
  </si>
  <si>
    <t>06877-1910</t>
  </si>
  <si>
    <t>annemcptracy@sbcglobal.net</t>
  </si>
  <si>
    <t>ATA180901001</t>
  </si>
  <si>
    <t>Puder</t>
  </si>
  <si>
    <t>3014 Barnstormer St Unit 6</t>
  </si>
  <si>
    <t>80524-4968</t>
  </si>
  <si>
    <t>photo822@yahoo.com</t>
  </si>
  <si>
    <t>suep822@netscape.net</t>
  </si>
  <si>
    <t>X5019</t>
  </si>
  <si>
    <t>ALA2312D0WSC</t>
  </si>
  <si>
    <t>XRE6C91E</t>
  </si>
  <si>
    <t>David A. Kirkwood</t>
  </si>
  <si>
    <t>13 Stoneledge Dr</t>
  </si>
  <si>
    <t>04102-2253</t>
  </si>
  <si>
    <t>lkirkw@aol.com</t>
  </si>
  <si>
    <t>XSP76</t>
  </si>
  <si>
    <t>ALR230901C54</t>
  </si>
  <si>
    <t>SouthEast Regional Office</t>
  </si>
  <si>
    <t>DeWandel</t>
  </si>
  <si>
    <t>Ms. Julie S. DeWandel</t>
  </si>
  <si>
    <t>296 Honeysuckle Ln</t>
  </si>
  <si>
    <t>28607-6085</t>
  </si>
  <si>
    <t>julie.dewandel@charter.net</t>
  </si>
  <si>
    <t>dewandel@charter.net</t>
  </si>
  <si>
    <t>ALQ1901CG001</t>
  </si>
  <si>
    <t>ALRXXXXD2WSC</t>
  </si>
  <si>
    <t>Wallace</t>
  </si>
  <si>
    <t>203 Spring Hill Rd</t>
  </si>
  <si>
    <t>Frenchtown</t>
  </si>
  <si>
    <t>08825-3020</t>
  </si>
  <si>
    <t>X1</t>
  </si>
  <si>
    <t>ATG030001001</t>
  </si>
  <si>
    <t>Miss Helen R. Cannon</t>
  </si>
  <si>
    <t>47 Hulfish St Ste 210</t>
  </si>
  <si>
    <t>The Glenmeade Company</t>
  </si>
  <si>
    <t>08542-3706</t>
  </si>
  <si>
    <t>ATR151001001</t>
  </si>
  <si>
    <t>PPG030001001</t>
  </si>
  <si>
    <t>265 Millburn Ave</t>
  </si>
  <si>
    <t>Millburn</t>
  </si>
  <si>
    <t>07041-1703</t>
  </si>
  <si>
    <t>XHHGG</t>
  </si>
  <si>
    <t>ALR220503C54</t>
  </si>
  <si>
    <t>XNBPW</t>
  </si>
  <si>
    <t>Ms. Marjorie Lange</t>
  </si>
  <si>
    <t>4627 Jayson Ave</t>
  </si>
  <si>
    <t>11020-1256</t>
  </si>
  <si>
    <t>plange4627@yahoo.com</t>
  </si>
  <si>
    <t>pplange4627@yahoo.com</t>
  </si>
  <si>
    <t>X59DA</t>
  </si>
  <si>
    <t>ALA2308D2WSC</t>
  </si>
  <si>
    <t>Sun Coast Regional Office</t>
  </si>
  <si>
    <t>Mather</t>
  </si>
  <si>
    <t>Mr. Stephen M. and Mrs. Tina McPherson</t>
  </si>
  <si>
    <t>Stephen and Tina</t>
  </si>
  <si>
    <t>11639 SE Florida Ave</t>
  </si>
  <si>
    <t>33455-6604</t>
  </si>
  <si>
    <t>tinasloan555@hotmail.com</t>
  </si>
  <si>
    <t>steve.mcp9@gmail.com</t>
  </si>
  <si>
    <t>XTF</t>
  </si>
  <si>
    <t>ALA2304D3ADC</t>
  </si>
  <si>
    <t>NEE190001001</t>
  </si>
  <si>
    <t>Hochman</t>
  </si>
  <si>
    <t>Mr. Edward S. Hochman</t>
  </si>
  <si>
    <t>225 E 57th St Apt 10J</t>
  </si>
  <si>
    <t>10022-2826</t>
  </si>
  <si>
    <t>eshoch@aol.com</t>
  </si>
  <si>
    <t>ALA2312N2WSC</t>
  </si>
  <si>
    <t>XRI9D95E</t>
  </si>
  <si>
    <t>Mr. Bernard M. Lobel</t>
  </si>
  <si>
    <t>239 E 79th St Apt 8B</t>
  </si>
  <si>
    <t>10075-0814</t>
  </si>
  <si>
    <t>blubel@ptodigy.net</t>
  </si>
  <si>
    <t>blobel@rcn.com</t>
  </si>
  <si>
    <t>ALA23010B13A</t>
  </si>
  <si>
    <t>XRB1A61</t>
  </si>
  <si>
    <t>Ms. Randy Fader-Smith</t>
  </si>
  <si>
    <t>162 Country Club Dr</t>
  </si>
  <si>
    <t>11725-4460</t>
  </si>
  <si>
    <t>ALA21110B14R</t>
  </si>
  <si>
    <t>XNB87</t>
  </si>
  <si>
    <t>Sperber</t>
  </si>
  <si>
    <t>Pearl</t>
  </si>
  <si>
    <t>Jack and Pearl</t>
  </si>
  <si>
    <t>22 Abbott Lane</t>
  </si>
  <si>
    <t>Hicksville</t>
  </si>
  <si>
    <t>ALR191201C44</t>
  </si>
  <si>
    <t>ALR070802003</t>
  </si>
  <si>
    <t>Pfeiffer</t>
  </si>
  <si>
    <t>Mr. Thomas F. Pfeiffer</t>
  </si>
  <si>
    <t>31 Briarwood Rd</t>
  </si>
  <si>
    <t>12211-1231</t>
  </si>
  <si>
    <t>ALA23090E33R</t>
  </si>
  <si>
    <t>ALA070103003</t>
  </si>
  <si>
    <t>Mr. and Mrs.</t>
  </si>
  <si>
    <t>Litra</t>
  </si>
  <si>
    <t>Mr. and Mrs. Ronald J. Litra</t>
  </si>
  <si>
    <t>1533 Peninsula Cir</t>
  </si>
  <si>
    <t>80104-3714</t>
  </si>
  <si>
    <t>ronlitra@att.net</t>
  </si>
  <si>
    <t>roberta.litra@hpe.com</t>
  </si>
  <si>
    <t>X85AA</t>
  </si>
  <si>
    <t>ALR231001C44</t>
  </si>
  <si>
    <t>R</t>
  </si>
  <si>
    <t>Broker</t>
  </si>
  <si>
    <t>T</t>
  </si>
  <si>
    <t>Dr. Thomas R. Broker and Dr. Louise T. Chow</t>
  </si>
  <si>
    <t>Thomas and Louise</t>
  </si>
  <si>
    <t>3012 Westmoreland Dr</t>
  </si>
  <si>
    <t>Mountain Brk</t>
  </si>
  <si>
    <t>35223-2728</t>
  </si>
  <si>
    <t>broker@uab.edu</t>
  </si>
  <si>
    <t>XCBA2</t>
  </si>
  <si>
    <t>ALA21100W001</t>
  </si>
  <si>
    <t>ALA050301002</t>
  </si>
  <si>
    <t>ltchow@uab.edu</t>
  </si>
  <si>
    <t>louisechow123@gmail.com</t>
  </si>
  <si>
    <t>ALA1912N0PMC</t>
  </si>
  <si>
    <t>ALA2312D2PSC</t>
  </si>
  <si>
    <t>Mid-Atlantic</t>
  </si>
  <si>
    <t>Mrs. Nancy and Mr. Richard Shertzer</t>
  </si>
  <si>
    <t>Nancy and Richard</t>
  </si>
  <si>
    <t>7140 Redtop Rd</t>
  </si>
  <si>
    <t>17036-9536</t>
  </si>
  <si>
    <t>PPG170001001</t>
  </si>
  <si>
    <t>G.</t>
  </si>
  <si>
    <t>840 Hickory Rd</t>
  </si>
  <si>
    <t>18088-9703</t>
  </si>
  <si>
    <t>XJRB2</t>
  </si>
  <si>
    <t>ALA23070B13C</t>
  </si>
  <si>
    <t>ALR140301033</t>
  </si>
  <si>
    <t>Mr. Adolph A. Jager</t>
  </si>
  <si>
    <t>1235 Diamond St</t>
  </si>
  <si>
    <t>18960-2903</t>
  </si>
  <si>
    <t>ALQ1407AA212</t>
  </si>
  <si>
    <t>XRD1C71</t>
  </si>
  <si>
    <t>Renata</t>
  </si>
  <si>
    <t>Mr. J. Barton Harrison</t>
  </si>
  <si>
    <t>Mr. Harrison</t>
  </si>
  <si>
    <t>3300 Darby Road #1209</t>
  </si>
  <si>
    <t>Haverford</t>
  </si>
  <si>
    <t>19041-1096</t>
  </si>
  <si>
    <t>sstoeckl@comcast.net</t>
  </si>
  <si>
    <t>jharrison@att.net</t>
  </si>
  <si>
    <t>ALR240105C64</t>
  </si>
  <si>
    <t>ADA100001002</t>
  </si>
  <si>
    <t>Gittings</t>
  </si>
  <si>
    <t>Kay</t>
  </si>
  <si>
    <t>Lahusen</t>
  </si>
  <si>
    <t>Miss Barbara B. Gittings and Ms. Kay Lahusen</t>
  </si>
  <si>
    <t>Barbara and Kay</t>
  </si>
  <si>
    <t>339 Kendal Drive</t>
  </si>
  <si>
    <t>19348-2337</t>
  </si>
  <si>
    <t>PPW240001P01</t>
  </si>
  <si>
    <t>ALQ0907AA004</t>
  </si>
  <si>
    <t>Halter</t>
  </si>
  <si>
    <t>45 Windermere Way</t>
  </si>
  <si>
    <t>19348-2042</t>
  </si>
  <si>
    <t>pw.halter3@verizon.net</t>
  </si>
  <si>
    <t>ATR240101001</t>
  </si>
  <si>
    <t>Shinn</t>
  </si>
  <si>
    <t>Ms. Ruth Shinn</t>
  </si>
  <si>
    <t>5420 Connecticut Avenue NW # 401</t>
  </si>
  <si>
    <t>20015-2817</t>
  </si>
  <si>
    <t>ruthshinn@earthlink.net</t>
  </si>
  <si>
    <t>X83B</t>
  </si>
  <si>
    <t>PPW210001P01</t>
  </si>
  <si>
    <t>Kring</t>
  </si>
  <si>
    <t>Mr. Roy M. Kring</t>
  </si>
  <si>
    <t>26 Washington Street</t>
  </si>
  <si>
    <t>01730-2419</t>
  </si>
  <si>
    <t>royking@comcast.net</t>
  </si>
  <si>
    <t>roykring@comcast.net</t>
  </si>
  <si>
    <t>ALR110101003</t>
  </si>
  <si>
    <t>XL5DBAC1B</t>
  </si>
  <si>
    <t>Pritchard</t>
  </si>
  <si>
    <t>Ford</t>
  </si>
  <si>
    <t>6210 Lake Shore Dr</t>
  </si>
  <si>
    <t>32641-0603</t>
  </si>
  <si>
    <t>craftman1072@gmail.com</t>
  </si>
  <si>
    <t>pritchardp@aol.com</t>
  </si>
  <si>
    <t>X84A</t>
  </si>
  <si>
    <t>ALA1804D1EMC</t>
  </si>
  <si>
    <t>XAD94</t>
  </si>
  <si>
    <t>Ph.D.</t>
  </si>
  <si>
    <t>Mrs. Dorothy A. Canter Ph.D.</t>
  </si>
  <si>
    <t>19 Maplewood Park Ct</t>
  </si>
  <si>
    <t>20814-1731</t>
  </si>
  <si>
    <t>dorothycanter@comcast.net</t>
  </si>
  <si>
    <t>XBRCH</t>
  </si>
  <si>
    <t>NEE240001401:FY24STTP</t>
  </si>
  <si>
    <t>ADA190001002B</t>
  </si>
  <si>
    <t>Mr. Fred Brown</t>
  </si>
  <si>
    <t>14311 Parkmanor Ter</t>
  </si>
  <si>
    <t>20853-2525</t>
  </si>
  <si>
    <t>hrehman07@hotmail.com</t>
  </si>
  <si>
    <t>ALR231201C66</t>
  </si>
  <si>
    <t>ALR211201C66</t>
  </si>
  <si>
    <t>Rose</t>
  </si>
  <si>
    <t>Kottler</t>
  </si>
  <si>
    <t>Rose Kottler</t>
  </si>
  <si>
    <t>13801 York Road Apt S301</t>
  </si>
  <si>
    <t>Cockeysville</t>
  </si>
  <si>
    <t>21030-1759</t>
  </si>
  <si>
    <t>XC5/6</t>
  </si>
  <si>
    <t>PPW190001001</t>
  </si>
  <si>
    <t>Gale</t>
  </si>
  <si>
    <t>Ms. Ellen Gale</t>
  </si>
  <si>
    <t>4503 Sonata Ct</t>
  </si>
  <si>
    <t>Fairfax</t>
  </si>
  <si>
    <t>22032-1823</t>
  </si>
  <si>
    <t>ALR210808C44</t>
  </si>
  <si>
    <t>N.</t>
  </si>
  <si>
    <t>C.</t>
  </si>
  <si>
    <t>Mrs. Dee C. and Mr. Robert N. Leggett</t>
  </si>
  <si>
    <t>Dee and Robert</t>
  </si>
  <si>
    <t>11213 W Montpelier Rd</t>
  </si>
  <si>
    <t>PO Box 650</t>
  </si>
  <si>
    <t>22066-3111</t>
  </si>
  <si>
    <t>rnleggett@aol.com</t>
  </si>
  <si>
    <t>FFP240001F03:CULTURALINTEGRITY</t>
  </si>
  <si>
    <t>XMDBD98</t>
  </si>
  <si>
    <t>deeleggett@aol.com</t>
  </si>
  <si>
    <t>Avila</t>
  </si>
  <si>
    <t>Mr. James A. Avila</t>
  </si>
  <si>
    <t>6727 19th Rd N</t>
  </si>
  <si>
    <t>22205-1807</t>
  </si>
  <si>
    <t>bobbijodakota@gmail.com</t>
  </si>
  <si>
    <t>javilab@verizon.net</t>
  </si>
  <si>
    <t>ALR230610C13</t>
  </si>
  <si>
    <t>ALR200801C33</t>
  </si>
  <si>
    <t>Pacific</t>
  </si>
  <si>
    <t>N</t>
  </si>
  <si>
    <t>Mrs. Molly N. and Mr. Peter Ross</t>
  </si>
  <si>
    <t>Molly and Peter</t>
  </si>
  <si>
    <t>1115 58th St</t>
  </si>
  <si>
    <t>95819-3937</t>
  </si>
  <si>
    <t>mary.ross@verizon.net</t>
  </si>
  <si>
    <t>molly.ross@verizon.net</t>
  </si>
  <si>
    <t>ATA230901001</t>
  </si>
  <si>
    <t>MidWest Regional Office</t>
  </si>
  <si>
    <t>T.</t>
  </si>
  <si>
    <t>Mr. Joseph T. Keiger</t>
  </si>
  <si>
    <t>Mr. Keiger</t>
  </si>
  <si>
    <t>309 N Mill Street</t>
  </si>
  <si>
    <t>52101-1326</t>
  </si>
  <si>
    <t>ALR170701033</t>
  </si>
  <si>
    <t>Harvey and Naomi Cohen</t>
  </si>
  <si>
    <t>Harvey and Naomi</t>
  </si>
  <si>
    <t>PO Box 1667</t>
  </si>
  <si>
    <t>24901-4667</t>
  </si>
  <si>
    <t>nwcohen@hotmail.com</t>
  </si>
  <si>
    <t>ATA2006T5EMC</t>
  </si>
  <si>
    <t>B</t>
  </si>
  <si>
    <t>Cox</t>
  </si>
  <si>
    <t>Mrs. Frances B. and Mr. Philip Cox</t>
  </si>
  <si>
    <t>Frances and Philip</t>
  </si>
  <si>
    <t>11 S Tamarac Dr</t>
  </si>
  <si>
    <t>Shepherdstown</t>
  </si>
  <si>
    <t>25443-4191</t>
  </si>
  <si>
    <t>francescox01@comcast.net</t>
  </si>
  <si>
    <t>XBBC2</t>
  </si>
  <si>
    <t>ALR221201C66</t>
  </si>
  <si>
    <t>ALR180301033</t>
  </si>
  <si>
    <t>L</t>
  </si>
  <si>
    <t>Latterell</t>
  </si>
  <si>
    <t>Dr. Richard L. Latterell</t>
  </si>
  <si>
    <t>900 Centre Ave</t>
  </si>
  <si>
    <t>80526-1848</t>
  </si>
  <si>
    <t>latterell@frontiernet.net</t>
  </si>
  <si>
    <t>XBBBD</t>
  </si>
  <si>
    <t>ALS240401511</t>
  </si>
  <si>
    <t>PPG110001001</t>
  </si>
  <si>
    <t>Niver</t>
  </si>
  <si>
    <t>Ms. Gretchen K. Niver</t>
  </si>
  <si>
    <t>758 Ravens Ln</t>
  </si>
  <si>
    <t>27312-7376</t>
  </si>
  <si>
    <t>gretchen@fatcatair.com</t>
  </si>
  <si>
    <t>X4062</t>
  </si>
  <si>
    <t>ALS240501WS3</t>
  </si>
  <si>
    <t>ALA2112N0SEM</t>
  </si>
  <si>
    <t>Ms. Ellen L. Ford</t>
  </si>
  <si>
    <t>11804 Highway 226 N</t>
  </si>
  <si>
    <t>Bakersville</t>
  </si>
  <si>
    <t>elf28705@gmail.com</t>
  </si>
  <si>
    <t>X88GA</t>
  </si>
  <si>
    <t>ALS240401WS3</t>
  </si>
  <si>
    <t>ALR160701064</t>
  </si>
  <si>
    <t>Jr</t>
  </si>
  <si>
    <t>Mr. William E. McCullough, Jr.</t>
  </si>
  <si>
    <t>140 Seven Dr</t>
  </si>
  <si>
    <t>Chapin</t>
  </si>
  <si>
    <t>29036-8926</t>
  </si>
  <si>
    <t>billmac85@yahoo.com</t>
  </si>
  <si>
    <t>birrmac85@yahoo.com</t>
  </si>
  <si>
    <t>ALR240501T33</t>
  </si>
  <si>
    <t>ALR090901003</t>
  </si>
  <si>
    <t>Mr. James Kitchell</t>
  </si>
  <si>
    <t>Mr. Kitchell</t>
  </si>
  <si>
    <t>1925 Sunrise Drive #A</t>
  </si>
  <si>
    <t>81401-3432</t>
  </si>
  <si>
    <t>jkitch596@aol.com</t>
  </si>
  <si>
    <t>PPW180001001</t>
  </si>
  <si>
    <t>Debbie</t>
  </si>
  <si>
    <t>Mrs. Debbie F. and Mr. Richard T. Perry</t>
  </si>
  <si>
    <t>Debbie and Richard</t>
  </si>
  <si>
    <t>1998 Wildridge Dr</t>
  </si>
  <si>
    <t>Tallahassee</t>
  </si>
  <si>
    <t>32303-7351</t>
  </si>
  <si>
    <t>ALR230603C64</t>
  </si>
  <si>
    <t>ALR220601C54</t>
  </si>
  <si>
    <t>NorthWest Regional Office</t>
  </si>
  <si>
    <t>Dr. Christel A. Carlson</t>
  </si>
  <si>
    <t>10710 S Sherman Rd</t>
  </si>
  <si>
    <t>99224-9631</t>
  </si>
  <si>
    <t>ccarlson@spokanesporthorse.com</t>
  </si>
  <si>
    <t>ccarlson@gmail.com</t>
  </si>
  <si>
    <t>X5017</t>
  </si>
  <si>
    <t>ALR101003003</t>
  </si>
  <si>
    <t>Bobbi</t>
  </si>
  <si>
    <t>Ossip</t>
  </si>
  <si>
    <t>Dr. Bobbi A. Ossip</t>
  </si>
  <si>
    <t>925 89th St</t>
  </si>
  <si>
    <t>Surfside</t>
  </si>
  <si>
    <t>33154-3307</t>
  </si>
  <si>
    <t>bobbiossip@gmail.com</t>
  </si>
  <si>
    <t>D.</t>
  </si>
  <si>
    <t>Greenwood</t>
  </si>
  <si>
    <t>Mr. Stephen D. Greenwood</t>
  </si>
  <si>
    <t>136 Waterthrush Ct</t>
  </si>
  <si>
    <t>Daytona Beach</t>
  </si>
  <si>
    <t>32119-1339</t>
  </si>
  <si>
    <t>Steve Stewart</t>
  </si>
  <si>
    <t>190 Broadway St #303</t>
  </si>
  <si>
    <t>steve.stewart1030@gmail.com</t>
  </si>
  <si>
    <t>sstewart99@comcast.net</t>
  </si>
  <si>
    <t>XEBAA</t>
  </si>
  <si>
    <t>ATA2303T0EMC</t>
  </si>
  <si>
    <t>1743 Cypress Lake Rd</t>
  </si>
  <si>
    <t>33898-8426</t>
  </si>
  <si>
    <t>jerry.burns@yahoo.com</t>
  </si>
  <si>
    <t>jerry.berns@vanguardschool.org</t>
  </si>
  <si>
    <t>XALK1</t>
  </si>
  <si>
    <t>ALA2403D1WSC</t>
  </si>
  <si>
    <t>Samera</t>
  </si>
  <si>
    <t>William and Samera Baird</t>
  </si>
  <si>
    <t>William and Samera</t>
  </si>
  <si>
    <t>5617 N Lariat Dr</t>
  </si>
  <si>
    <t>80108-9344</t>
  </si>
  <si>
    <t>bairdwe@comcast.net</t>
  </si>
  <si>
    <t>ATA180801001</t>
  </si>
  <si>
    <t>Texas Regional Office</t>
  </si>
  <si>
    <t>Dwight</t>
  </si>
  <si>
    <t>Kreischer</t>
  </si>
  <si>
    <t>Mr. Dwight C. Kreischer</t>
  </si>
  <si>
    <t>7619 Prairie Oak Trl</t>
  </si>
  <si>
    <t>77346-3308</t>
  </si>
  <si>
    <t>dckre@sbcglobal.net</t>
  </si>
  <si>
    <t>ALR050410001</t>
  </si>
  <si>
    <t>XRL1B81</t>
  </si>
  <si>
    <t>Ms. Anne Powell</t>
  </si>
  <si>
    <t>2363 Tremont Rd</t>
  </si>
  <si>
    <t>43221-3725</t>
  </si>
  <si>
    <t>ADA230001M01</t>
  </si>
  <si>
    <t>Packer</t>
  </si>
  <si>
    <t>Ms. Barbara Hayes and Mr. Dave Packer</t>
  </si>
  <si>
    <t>Barbara and Dave</t>
  </si>
  <si>
    <t>45 Perrine Rd</t>
  </si>
  <si>
    <t>Plainsboro</t>
  </si>
  <si>
    <t>08536-1127</t>
  </si>
  <si>
    <t>dpacker@noaddress.ea</t>
  </si>
  <si>
    <t>dave.packer@noaa.gov</t>
  </si>
  <si>
    <t>ALR2312D0WSC</t>
  </si>
  <si>
    <t>ALR091201004</t>
  </si>
  <si>
    <t>Bredemeier</t>
  </si>
  <si>
    <t>Nancy and Richard Bredemeier</t>
  </si>
  <si>
    <t>4764 Fairground Rd</t>
  </si>
  <si>
    <t>Atwater</t>
  </si>
  <si>
    <t>44201-9392</t>
  </si>
  <si>
    <t>nbredem1@kent.edu</t>
  </si>
  <si>
    <t>nbredem1@lcent.edu</t>
  </si>
  <si>
    <t>ALA240400001</t>
  </si>
  <si>
    <t>Sheppe</t>
  </si>
  <si>
    <t>Dr. Sheppe</t>
  </si>
  <si>
    <t>235 Dunlop Farms Boulevard #153</t>
  </si>
  <si>
    <t>Colonial Heights</t>
  </si>
  <si>
    <t>23834-1794</t>
  </si>
  <si>
    <t>XCGA00</t>
  </si>
  <si>
    <t>Hadley Hils</t>
  </si>
  <si>
    <t>Carol S. Hadley Hils</t>
  </si>
  <si>
    <t>4513 Daybreak Dr</t>
  </si>
  <si>
    <t>45036-8110</t>
  </si>
  <si>
    <t>khblaze86@gmail.com</t>
  </si>
  <si>
    <t>ALR240701C64</t>
  </si>
  <si>
    <t>XT6ABACAB</t>
  </si>
  <si>
    <t>Arlinghaus</t>
  </si>
  <si>
    <t>Kunzelman</t>
  </si>
  <si>
    <t>Diane and Jeff Kunzelman</t>
  </si>
  <si>
    <t>Diane and Jeff</t>
  </si>
  <si>
    <t>463 Auxier Dr</t>
  </si>
  <si>
    <t>45244-2364</t>
  </si>
  <si>
    <t>jkunzelman@cinci.rr.com</t>
  </si>
  <si>
    <t>XEAAC</t>
  </si>
  <si>
    <t>XRL5B95E</t>
  </si>
  <si>
    <t>Vandesteeg Wagner</t>
  </si>
  <si>
    <t>Mrs. Mary Vandesteeg Wagner</t>
  </si>
  <si>
    <t>6050 Bridgehaven Dr</t>
  </si>
  <si>
    <t>Milford</t>
  </si>
  <si>
    <t>45150-5623</t>
  </si>
  <si>
    <t>mathislawn@gmail.com</t>
  </si>
  <si>
    <t>Berning</t>
  </si>
  <si>
    <t>Ms. Jeanette M. and Ms. Mary H. Berning</t>
  </si>
  <si>
    <t>Jeanette and Mary</t>
  </si>
  <si>
    <t>5146 Willnet Dr</t>
  </si>
  <si>
    <t>45238-4345</t>
  </si>
  <si>
    <t>ATR231001001</t>
  </si>
  <si>
    <t>ATA130801002</t>
  </si>
  <si>
    <t>E</t>
  </si>
  <si>
    <t>Geier</t>
  </si>
  <si>
    <t>Susanne E. Geier</t>
  </si>
  <si>
    <t>1033 Adams Rd</t>
  </si>
  <si>
    <t>45140-7247</t>
  </si>
  <si>
    <t>ggnpp@aol.com</t>
  </si>
  <si>
    <t>PPA200701001</t>
  </si>
  <si>
    <t>ATA071202001</t>
  </si>
  <si>
    <t>Luttrell</t>
  </si>
  <si>
    <t>4678 Thrush Ct</t>
  </si>
  <si>
    <t>45036-8867</t>
  </si>
  <si>
    <t>XL2DCACEG</t>
  </si>
  <si>
    <t>Hellinger</t>
  </si>
  <si>
    <t>572 S Dayton Brandt Rd</t>
  </si>
  <si>
    <t>New Carlisle</t>
  </si>
  <si>
    <t>45344-9303</t>
  </si>
  <si>
    <t>dahellinger@gmail.com</t>
  </si>
  <si>
    <t>X4035</t>
  </si>
  <si>
    <t>ALR240201C33</t>
  </si>
  <si>
    <t>X0A89</t>
  </si>
  <si>
    <t>Boyd</t>
  </si>
  <si>
    <t>Mr. Boyd Jarrett</t>
  </si>
  <si>
    <t>Mr. Jarrett</t>
  </si>
  <si>
    <t>2060 S Linda Drive</t>
  </si>
  <si>
    <t>45305-1527</t>
  </si>
  <si>
    <t>boydjarrett@yahoo.com</t>
  </si>
  <si>
    <t>X83C</t>
  </si>
  <si>
    <t>ALR091001003</t>
  </si>
  <si>
    <t>F.</t>
  </si>
  <si>
    <t>Berry</t>
  </si>
  <si>
    <t>Dilley</t>
  </si>
  <si>
    <t>Berry C. Dilley</t>
  </si>
  <si>
    <t>17 Mcguffey Ln</t>
  </si>
  <si>
    <t>45701-1850</t>
  </si>
  <si>
    <t>brrydlly@gmail.com</t>
  </si>
  <si>
    <t>brrydlly@verizon.net</t>
  </si>
  <si>
    <t>ALR231000001</t>
  </si>
  <si>
    <t>ATN220401001</t>
  </si>
  <si>
    <t>Lynch</t>
  </si>
  <si>
    <t>10205 E Navajo Pl</t>
  </si>
  <si>
    <t>Sun Lakes</t>
  </si>
  <si>
    <t>ALR160001001</t>
  </si>
  <si>
    <t>ALR041002003</t>
  </si>
  <si>
    <t>Dr. David P. Lewis</t>
  </si>
  <si>
    <t>9378 E Koher Rd S</t>
  </si>
  <si>
    <t>46567-8353</t>
  </si>
  <si>
    <t>crazy891@hotmail.com</t>
  </si>
  <si>
    <t>XHOAZ</t>
  </si>
  <si>
    <t>ALA18090A56H</t>
  </si>
  <si>
    <t>Lois Pringle</t>
  </si>
  <si>
    <t>1318 E Allendale Drive</t>
  </si>
  <si>
    <t>47401-8712</t>
  </si>
  <si>
    <t>ALR131001054</t>
  </si>
  <si>
    <t>Ash</t>
  </si>
  <si>
    <t>Dr. Peter Ash</t>
  </si>
  <si>
    <t>802 Lullwater Rd NE</t>
  </si>
  <si>
    <t>30307-1240</t>
  </si>
  <si>
    <t>pash01@emory.edu</t>
  </si>
  <si>
    <t>XEOFZ</t>
  </si>
  <si>
    <t>ALR230900ERC</t>
  </si>
  <si>
    <t>Pick</t>
  </si>
  <si>
    <t>5601 Hatchery Road #319</t>
  </si>
  <si>
    <t>48329-3454</t>
  </si>
  <si>
    <t>Ms. Susan A. Ward</t>
  </si>
  <si>
    <t>733 Clark Rd</t>
  </si>
  <si>
    <t>48917-2127</t>
  </si>
  <si>
    <t>wards1970@gmail.com</t>
  </si>
  <si>
    <t>XNBLB</t>
  </si>
  <si>
    <t>The Magennis Family</t>
  </si>
  <si>
    <t>Magennis Family</t>
  </si>
  <si>
    <t>511 N Golden Beach Dr</t>
  </si>
  <si>
    <t>49648-8915</t>
  </si>
  <si>
    <t>smbass54@yahoo.com</t>
  </si>
  <si>
    <t>damagennis@torchlake.com</t>
  </si>
  <si>
    <t>XEBAE</t>
  </si>
  <si>
    <t>ALR230505C54</t>
  </si>
  <si>
    <t>ALA13060515A</t>
  </si>
  <si>
    <t>Mary A. Hanson</t>
  </si>
  <si>
    <t>3390 Balsam Ave NE</t>
  </si>
  <si>
    <t>49525-2885</t>
  </si>
  <si>
    <t>XJRC1</t>
  </si>
  <si>
    <t>ALS19090555A</t>
  </si>
  <si>
    <t>ALR121001004</t>
  </si>
  <si>
    <t>Renae and Fred Gill</t>
  </si>
  <si>
    <t>Renae and Fred</t>
  </si>
  <si>
    <t>320 Gillett St</t>
  </si>
  <si>
    <t>60554-4504</t>
  </si>
  <si>
    <t>renagill1278@gmail.com</t>
  </si>
  <si>
    <t>ALS240301512</t>
  </si>
  <si>
    <t>ALS051101512</t>
  </si>
  <si>
    <t>Mrs. William Heidenreich</t>
  </si>
  <si>
    <t>PO Box 37</t>
  </si>
  <si>
    <t>52158-0037</t>
  </si>
  <si>
    <t>XRMRO</t>
  </si>
  <si>
    <t>Schlabaugh</t>
  </si>
  <si>
    <t>Ms. Laurel Schlabaugh</t>
  </si>
  <si>
    <t>1125 480th St SW</t>
  </si>
  <si>
    <t>Parnell</t>
  </si>
  <si>
    <t>52325-9764</t>
  </si>
  <si>
    <t>Mr. Phillip Kolter</t>
  </si>
  <si>
    <t>8128 W Cascade Dr</t>
  </si>
  <si>
    <t>53132-8933</t>
  </si>
  <si>
    <t>phillip.1949@att.net</t>
  </si>
  <si>
    <t>pkolter@wi.rr.com</t>
  </si>
  <si>
    <t>XBB95</t>
  </si>
  <si>
    <t>ALR230801C33</t>
  </si>
  <si>
    <t>ALR050801003</t>
  </si>
  <si>
    <t>Dr. and Mrs.</t>
  </si>
  <si>
    <t>Dr. and Mrs. Thornton Liechty</t>
  </si>
  <si>
    <t>E8098 Hazel Cir</t>
  </si>
  <si>
    <t>Reedsburg</t>
  </si>
  <si>
    <t>53959-9850</t>
  </si>
  <si>
    <t>XMD83</t>
  </si>
  <si>
    <t>XMS87</t>
  </si>
  <si>
    <t>XMD84</t>
  </si>
  <si>
    <t>Donald M. Thompson</t>
  </si>
  <si>
    <t>PO Box 787</t>
  </si>
  <si>
    <t>54829-0787</t>
  </si>
  <si>
    <t>donbin1021@aol.com</t>
  </si>
  <si>
    <t>Bricher</t>
  </si>
  <si>
    <t>James R. Bricher</t>
  </si>
  <si>
    <t>396 Woodlawn Ave</t>
  </si>
  <si>
    <t>55105-1340</t>
  </si>
  <si>
    <t>bricherj@aol.com</t>
  </si>
  <si>
    <t>ALR240101C44</t>
  </si>
  <si>
    <t>ALR160101033</t>
  </si>
  <si>
    <t>MID_LEVEL_TFP</t>
  </si>
  <si>
    <t>Mr. Mark A. and Mrs. Joan Strobel</t>
  </si>
  <si>
    <t>Mark and Joan</t>
  </si>
  <si>
    <t>2380 Oakridge Dr E</t>
  </si>
  <si>
    <t>55119-5521</t>
  </si>
  <si>
    <t>rabdit@msn.com</t>
  </si>
  <si>
    <t>mastrobel1@mmm.com</t>
  </si>
  <si>
    <t>EEO240001301:FY24MNLUNCHEON</t>
  </si>
  <si>
    <t>ADA160001001</t>
  </si>
  <si>
    <t>P.</t>
  </si>
  <si>
    <t>Mr. Bernard P. Friel</t>
  </si>
  <si>
    <t>750 Mohican Ln</t>
  </si>
  <si>
    <t>55120-1633</t>
  </si>
  <si>
    <t>wampy@att.net</t>
  </si>
  <si>
    <t>friber@briggs.com</t>
  </si>
  <si>
    <t>ALR230801C44</t>
  </si>
  <si>
    <t>XNBRE</t>
  </si>
  <si>
    <t>Mr. Dennis P. Albrecht</t>
  </si>
  <si>
    <t>1369 Spruce Pl Apt 2109</t>
  </si>
  <si>
    <t>55403-2787</t>
  </si>
  <si>
    <t>ALR210204C64</t>
  </si>
  <si>
    <t>PPG140001001</t>
  </si>
  <si>
    <t>Haight</t>
  </si>
  <si>
    <t>Ms. Susan Haight</t>
  </si>
  <si>
    <t>3412 N Bent Oak Dr</t>
  </si>
  <si>
    <t>48640-2390</t>
  </si>
  <si>
    <t>sjh8710@yahoo.com</t>
  </si>
  <si>
    <t>ALQ1901CG017</t>
  </si>
  <si>
    <t>ALR21XX0W001</t>
  </si>
  <si>
    <t>Berniece</t>
  </si>
  <si>
    <t>Huhnerkoch</t>
  </si>
  <si>
    <t>Ms. Berniece M. Huhnerkoch</t>
  </si>
  <si>
    <t>3535 Bryant Ave S #614</t>
  </si>
  <si>
    <t>55408-4134</t>
  </si>
  <si>
    <t>XRWRW</t>
  </si>
  <si>
    <t>PPW230001P01</t>
  </si>
  <si>
    <t>Mr. H. W. and Mrs. Judy D. Walter</t>
  </si>
  <si>
    <t>Mr. and Mrs. Walter</t>
  </si>
  <si>
    <t>4802 Nicollet Ave S</t>
  </si>
  <si>
    <t>Heartland Realty Investors</t>
  </si>
  <si>
    <t>55419-5511</t>
  </si>
  <si>
    <t>bwalter@hrii.com</t>
  </si>
  <si>
    <t>cburnett@hrii.com</t>
  </si>
  <si>
    <t>XRG6E91</t>
  </si>
  <si>
    <t>EEO250002103:FY25MNLUNCHEON</t>
  </si>
  <si>
    <t>ADA230001M03:TILL</t>
  </si>
  <si>
    <t>Kriel</t>
  </si>
  <si>
    <t>110 Bank St SE Apt 2101</t>
  </si>
  <si>
    <t>55414-3905</t>
  </si>
  <si>
    <t>XL9BZDFAC</t>
  </si>
  <si>
    <t>Marx</t>
  </si>
  <si>
    <t>William and Candace Marx</t>
  </si>
  <si>
    <t>William and Candace</t>
  </si>
  <si>
    <t>47323 County Road 11 Blvd</t>
  </si>
  <si>
    <t>Mazeppa</t>
  </si>
  <si>
    <t>wfcmrx@gmail.com</t>
  </si>
  <si>
    <t>ALR240001001</t>
  </si>
  <si>
    <t>V.</t>
  </si>
  <si>
    <t>Mr. Roger V. Gillette</t>
  </si>
  <si>
    <t>5628 Irving Ave S</t>
  </si>
  <si>
    <t>55419-1636</t>
  </si>
  <si>
    <t>w0rgr@earthlink.net</t>
  </si>
  <si>
    <t>w0rgr@arrl.net</t>
  </si>
  <si>
    <t>ADA240001T01</t>
  </si>
  <si>
    <t>Mr. Ken Ikier</t>
  </si>
  <si>
    <t>1304 35th St NW</t>
  </si>
  <si>
    <t>55901-1455</t>
  </si>
  <si>
    <t>ALR230107C64</t>
  </si>
  <si>
    <t>Mrs. Rita and Mr. John J. Hunt</t>
  </si>
  <si>
    <t>Rita and John</t>
  </si>
  <si>
    <t>5520 Ballington Rd NW Apt 1022</t>
  </si>
  <si>
    <t>55901-3328</t>
  </si>
  <si>
    <t>huntjohn@charter.net</t>
  </si>
  <si>
    <t>ALR201002C54</t>
  </si>
  <si>
    <t>PPW040001001</t>
  </si>
  <si>
    <t>2422 7th St N</t>
  </si>
  <si>
    <t>39705-2320</t>
  </si>
  <si>
    <t>trachemys5@yahoo.com</t>
  </si>
  <si>
    <t>wsparker@muw.edu</t>
  </si>
  <si>
    <t>ALAXXXXLBWSC</t>
  </si>
  <si>
    <t>ALA23080D34A</t>
  </si>
  <si>
    <t>Lees</t>
  </si>
  <si>
    <t>P.O. Box 251</t>
  </si>
  <si>
    <t>Saint Peter</t>
  </si>
  <si>
    <t>56082-2051</t>
  </si>
  <si>
    <t>X83D</t>
  </si>
  <si>
    <t>ALR071000001</t>
  </si>
  <si>
    <t>XRF1A91EG</t>
  </si>
  <si>
    <t>Northern Rockies</t>
  </si>
  <si>
    <t>25 10th St SE</t>
  </si>
  <si>
    <t>Minot</t>
  </si>
  <si>
    <t>58701-4047</t>
  </si>
  <si>
    <t>ALL23080B4BM</t>
  </si>
  <si>
    <t>ALR151002033</t>
  </si>
  <si>
    <t>Mr. Charles E. and Mrs. Deborah L. Frank</t>
  </si>
  <si>
    <t>Charles and Deborah</t>
  </si>
  <si>
    <t>25 Lakeview Ter</t>
  </si>
  <si>
    <t>60035-5041</t>
  </si>
  <si>
    <t>zsf6116@gmail.com</t>
  </si>
  <si>
    <t>zsf@earthlink.net</t>
  </si>
  <si>
    <t>ADA230001M01:CYE</t>
  </si>
  <si>
    <t>debbles2757@gmail.com</t>
  </si>
  <si>
    <t>Mrs. Margaret S. Hart</t>
  </si>
  <si>
    <t>Mrs. Hart</t>
  </si>
  <si>
    <t>270 E Westminster</t>
  </si>
  <si>
    <t>Ste 300</t>
  </si>
  <si>
    <t>60045-1899</t>
  </si>
  <si>
    <t>margoshart2@gmail.com</t>
  </si>
  <si>
    <t>margoshart@aol.com</t>
  </si>
  <si>
    <t>XBND91W</t>
  </si>
  <si>
    <t>ADA190004002:MWRO</t>
  </si>
  <si>
    <t>ADA080002001F</t>
  </si>
  <si>
    <t>Toeppen</t>
  </si>
  <si>
    <t>Rachel</t>
  </si>
  <si>
    <t>409 S Hi Lusi Ave</t>
  </si>
  <si>
    <t>Mt Prospect</t>
  </si>
  <si>
    <t>60056-3741</t>
  </si>
  <si>
    <t>X85D</t>
  </si>
  <si>
    <t>Barbara A. Butcher</t>
  </si>
  <si>
    <t>12956 W Adelaide Ave</t>
  </si>
  <si>
    <t>60087-2627</t>
  </si>
  <si>
    <t>ALR240101C54</t>
  </si>
  <si>
    <t>Ms. Lucia M. Berte and Mr. Stephen Fisher</t>
  </si>
  <si>
    <t>Lucia and Stephen</t>
  </si>
  <si>
    <t>16575 Ellingwood Dr</t>
  </si>
  <si>
    <t>80023-8324</t>
  </si>
  <si>
    <t>lmberte@comcast.net</t>
  </si>
  <si>
    <t>X5012</t>
  </si>
  <si>
    <t>ATA230201001</t>
  </si>
  <si>
    <t>smfishe@aol.com</t>
  </si>
  <si>
    <t>smfishe@comcast.net</t>
  </si>
  <si>
    <t>Mrs. Linda A. Ward</t>
  </si>
  <si>
    <t>PO Box 25692</t>
  </si>
  <si>
    <t>80497-5692</t>
  </si>
  <si>
    <t>teamwierdincolo@aol.com</t>
  </si>
  <si>
    <t>ALR231201C33</t>
  </si>
  <si>
    <t>ALR081201003</t>
  </si>
  <si>
    <t>Nanette</t>
  </si>
  <si>
    <t>A. A.</t>
  </si>
  <si>
    <t>Kalscheur</t>
  </si>
  <si>
    <t>Nanette and Mike Kalscheur</t>
  </si>
  <si>
    <t>Nanette and Mike</t>
  </si>
  <si>
    <t>26W071 Durfee Rd</t>
  </si>
  <si>
    <t>60189-1517</t>
  </si>
  <si>
    <t>nkal2@yahoo.com</t>
  </si>
  <si>
    <t>nkal2@netscape.net</t>
  </si>
  <si>
    <t>ALRXXXXD0WSC</t>
  </si>
  <si>
    <t>115 Driftway E</t>
  </si>
  <si>
    <t>08827-4148</t>
  </si>
  <si>
    <t>jeallured@gmail.com</t>
  </si>
  <si>
    <t>O</t>
  </si>
  <si>
    <t>Mrs. Ellen O. and Mr. Philip C. Leavitt</t>
  </si>
  <si>
    <t>Ellen and Philip</t>
  </si>
  <si>
    <t>7508 N Red Ledge Dr</t>
  </si>
  <si>
    <t>Paradise Valley</t>
  </si>
  <si>
    <t>85253-2850</t>
  </si>
  <si>
    <t>ellen@leavittcom.com</t>
  </si>
  <si>
    <t>pcleavitt@leavittcom.com</t>
  </si>
  <si>
    <t>ADA230101001</t>
  </si>
  <si>
    <t>ADA110001002</t>
  </si>
  <si>
    <t>Linda and Peter Bertoncini</t>
  </si>
  <si>
    <t>Linda and Peter</t>
  </si>
  <si>
    <t>335 S Lombard Ave</t>
  </si>
  <si>
    <t>60302-3523</t>
  </si>
  <si>
    <t>ALR020701003</t>
  </si>
  <si>
    <t>ALR211000001</t>
  </si>
  <si>
    <t>Mr. Lawrence J. Sehy</t>
  </si>
  <si>
    <t>1295 Rose Dr</t>
  </si>
  <si>
    <t>49120-1313</t>
  </si>
  <si>
    <t>lksehy@sbcglobal.net</t>
  </si>
  <si>
    <t>ALR240202C33</t>
  </si>
  <si>
    <t>PPA060901001F</t>
  </si>
  <si>
    <t>Shirley Ann</t>
  </si>
  <si>
    <t>Mr. Edward M. Sullivan</t>
  </si>
  <si>
    <t>5450 Subiaco Dr</t>
  </si>
  <si>
    <t>Apt 311</t>
  </si>
  <si>
    <t>Lisle</t>
  </si>
  <si>
    <t>60532-3213</t>
  </si>
  <si>
    <t>edward353@outlook.com</t>
  </si>
  <si>
    <t>edsull@digisys.net</t>
  </si>
  <si>
    <t>X1018</t>
  </si>
  <si>
    <t>ADA220001T01</t>
  </si>
  <si>
    <t>Norstrom</t>
  </si>
  <si>
    <t>55 E Pearson St</t>
  </si>
  <si>
    <t>60611-2535</t>
  </si>
  <si>
    <t>Nessim</t>
  </si>
  <si>
    <t>Cicurel</t>
  </si>
  <si>
    <t>Dr. Nessim J. Cicurel</t>
  </si>
  <si>
    <t>3011 Becket Ave</t>
  </si>
  <si>
    <t>Westchester</t>
  </si>
  <si>
    <t>60154-5621</t>
  </si>
  <si>
    <t>ALR191201C33</t>
  </si>
  <si>
    <t>ALR111201004</t>
  </si>
  <si>
    <t>Ms. Carol A. Haller</t>
  </si>
  <si>
    <t>PO Box 3145</t>
  </si>
  <si>
    <t>87048-3145</t>
  </si>
  <si>
    <t>carolbosscat@msn.com</t>
  </si>
  <si>
    <t>X4058</t>
  </si>
  <si>
    <t>ATR200201002</t>
  </si>
  <si>
    <t>Levi E. Wood</t>
  </si>
  <si>
    <t>4222 Mohawk Dr</t>
  </si>
  <si>
    <t>53711-3723</t>
  </si>
  <si>
    <t>woodjanetk@aol.com</t>
  </si>
  <si>
    <t>woodlevi@aol.com</t>
  </si>
  <si>
    <t>ALA23030A16A</t>
  </si>
  <si>
    <t>Biancalana</t>
  </si>
  <si>
    <t>Mrs. Judith N. Biancalana</t>
  </si>
  <si>
    <t>7724 W Giddings St</t>
  </si>
  <si>
    <t>Norridge</t>
  </si>
  <si>
    <t>60706-4502</t>
  </si>
  <si>
    <t>dreamcatcher_15@yahoo.com</t>
  </si>
  <si>
    <t>ALR220202C44</t>
  </si>
  <si>
    <t>Mr. Kirk A. Pfeiffer</t>
  </si>
  <si>
    <t>502 Maple Ln</t>
  </si>
  <si>
    <t>Sterling</t>
  </si>
  <si>
    <t>61081-3154</t>
  </si>
  <si>
    <t>pfeiffer@essex1.com</t>
  </si>
  <si>
    <t>pfeiffer@dsl.essex1.com</t>
  </si>
  <si>
    <t>Ms. Ann Lowry</t>
  </si>
  <si>
    <t>101 W Windsor Rd # 4313</t>
  </si>
  <si>
    <t>Urbana</t>
  </si>
  <si>
    <t>61802-6603</t>
  </si>
  <si>
    <t>alowry@illinois.edu</t>
  </si>
  <si>
    <t>Sherwin</t>
  </si>
  <si>
    <t>2283 Boysenberry Ln Apt 2</t>
  </si>
  <si>
    <t>62711-5463</t>
  </si>
  <si>
    <t>sswartzb@aol.com</t>
  </si>
  <si>
    <t>sswartz@aol.com</t>
  </si>
  <si>
    <t>ALA17020B14A</t>
  </si>
  <si>
    <t>X87A1</t>
  </si>
  <si>
    <t>Kleba</t>
  </si>
  <si>
    <t>3929 Gustine Ave</t>
  </si>
  <si>
    <t>63116-3525</t>
  </si>
  <si>
    <t>mmkleba15@gmail.com</t>
  </si>
  <si>
    <t>mmktraveler@netzero.com</t>
  </si>
  <si>
    <t>XP96</t>
  </si>
  <si>
    <t>ALA2303D1WST</t>
  </si>
  <si>
    <t>ALA1903D2EMC</t>
  </si>
  <si>
    <t>Ms. Celeste A. Ruwwe</t>
  </si>
  <si>
    <t>8813 Red Oak Dr</t>
  </si>
  <si>
    <t>63126-1933</t>
  </si>
  <si>
    <t>gcchimps@sbcglobal.net</t>
  </si>
  <si>
    <t>ATR190101001</t>
  </si>
  <si>
    <t>XCGA99</t>
  </si>
  <si>
    <t>Cindy Ott-Jones and Rick Jones</t>
  </si>
  <si>
    <t>Cindy and Rick</t>
  </si>
  <si>
    <t>38 Marten Ct</t>
  </si>
  <si>
    <t>81432-8418</t>
  </si>
  <si>
    <t>yodaluke57@yahoo.com</t>
  </si>
  <si>
    <t>rcoj@page.az.net</t>
  </si>
  <si>
    <t>XJTD1</t>
  </si>
  <si>
    <t>ALR230602C44</t>
  </si>
  <si>
    <t>ALR170801033</t>
  </si>
  <si>
    <t>icsinstructor57@yahoo.com</t>
  </si>
  <si>
    <t>ALQ1911BE001</t>
  </si>
  <si>
    <t>III</t>
  </si>
  <si>
    <t>Mr. Gordon T. and Mrs. Nancy D. Beaham</t>
  </si>
  <si>
    <t>Gordon and Nancy</t>
  </si>
  <si>
    <t>1025 W 8th St</t>
  </si>
  <si>
    <t>Chairman of the Board and President</t>
  </si>
  <si>
    <t>64101-1200</t>
  </si>
  <si>
    <t>gbeaham@faultless.com</t>
  </si>
  <si>
    <t>X08767383</t>
  </si>
  <si>
    <t>ALQ0805CL021</t>
  </si>
  <si>
    <t>XMDMFP94</t>
  </si>
  <si>
    <t>McLaughlin</t>
  </si>
  <si>
    <t>Sarah</t>
  </si>
  <si>
    <t>Phil and Sarah McLaughlin</t>
  </si>
  <si>
    <t>Phil and Sarah</t>
  </si>
  <si>
    <t>2633 NW Champion Cir</t>
  </si>
  <si>
    <t>97703-8674</t>
  </si>
  <si>
    <t>smclaughlin@bendbroadband.com</t>
  </si>
  <si>
    <t>yamafied@classicnet.net</t>
  </si>
  <si>
    <t>ALRXXXXLBWSC</t>
  </si>
  <si>
    <t>ALA060301006</t>
  </si>
  <si>
    <t>ALA2211N1WSC</t>
  </si>
  <si>
    <t>ALA2311D6WSC</t>
  </si>
  <si>
    <t>G</t>
  </si>
  <si>
    <t>Ms. Patricia G. Foster</t>
  </si>
  <si>
    <t>22124 Horizon Dr</t>
  </si>
  <si>
    <t>97068-8253</t>
  </si>
  <si>
    <t>ALQ1901BG029</t>
  </si>
  <si>
    <t>ALR230707C13</t>
  </si>
  <si>
    <t>PO Box 414</t>
  </si>
  <si>
    <t>69339-0414</t>
  </si>
  <si>
    <t>X9YWA</t>
  </si>
  <si>
    <t>ALR240101C66</t>
  </si>
  <si>
    <t>Twyla Bray</t>
  </si>
  <si>
    <t>1025 D St</t>
  </si>
  <si>
    <t>68352-1919</t>
  </si>
  <si>
    <t>ALR231008C54</t>
  </si>
  <si>
    <t>Dr. Charles M. Godwin</t>
  </si>
  <si>
    <t>Dr. Godwin</t>
  </si>
  <si>
    <t>4000 S 56th Street #370a</t>
  </si>
  <si>
    <t>68506-5108</t>
  </si>
  <si>
    <t>cg90959@neb.rr.com</t>
  </si>
  <si>
    <t>cg90959@alltel.net</t>
  </si>
  <si>
    <t>ALR131001033</t>
  </si>
  <si>
    <t>PPA020001001</t>
  </si>
  <si>
    <t>Goins</t>
  </si>
  <si>
    <t>Angel</t>
  </si>
  <si>
    <t>Gochee-Goins</t>
  </si>
  <si>
    <t>Cliff and Angel</t>
  </si>
  <si>
    <t>160 E Oak Hill Rd</t>
  </si>
  <si>
    <t>Chesterton</t>
  </si>
  <si>
    <t>46304-1300</t>
  </si>
  <si>
    <t>angelcliffgoins@frontier.com</t>
  </si>
  <si>
    <t>inducliff@netnitco.net</t>
  </si>
  <si>
    <t>ALA23070A35A</t>
  </si>
  <si>
    <t>ALR160301054</t>
  </si>
  <si>
    <t>angelcliffgoins@verizon.net</t>
  </si>
  <si>
    <t>Mr. William E. Laing</t>
  </si>
  <si>
    <t>1100 Bastion Circle</t>
  </si>
  <si>
    <t>c/o Pamela Laing</t>
  </si>
  <si>
    <t>ADA190004001</t>
  </si>
  <si>
    <t>PPG050001001</t>
  </si>
  <si>
    <t>Rainoshek</t>
  </si>
  <si>
    <t>Jean Rainoshek</t>
  </si>
  <si>
    <t>10134 Valley Forge Dr</t>
  </si>
  <si>
    <t>77042-2038</t>
  </si>
  <si>
    <t>jeanrainoshek@yahoo.com</t>
  </si>
  <si>
    <t>drainoshek@yahoo.com</t>
  </si>
  <si>
    <t>ALR240402C33</t>
  </si>
  <si>
    <t>ALR030101004</t>
  </si>
  <si>
    <t>Mr. David W. Hogan</t>
  </si>
  <si>
    <t>5305 Valburn Cir</t>
  </si>
  <si>
    <t>78731-1144</t>
  </si>
  <si>
    <t>david.hogan@ieee.org</t>
  </si>
  <si>
    <t>ALA23090D54H</t>
  </si>
  <si>
    <t>Mrs. Donna P. and Mr. Michael E. Scheer</t>
  </si>
  <si>
    <t>Donna and Michael</t>
  </si>
  <si>
    <t>190 W Continental Rd Ste 216-302</t>
  </si>
  <si>
    <t>85622-3500</t>
  </si>
  <si>
    <t>ATA230301001</t>
  </si>
  <si>
    <t>Joann Toth</t>
  </si>
  <si>
    <t>122 Hilltop View Dr</t>
  </si>
  <si>
    <t>37725-2050</t>
  </si>
  <si>
    <t>fhtoth@gmail.com</t>
  </si>
  <si>
    <t>ALQ1901AG015</t>
  </si>
  <si>
    <t>ALA2003D3EMC</t>
  </si>
  <si>
    <t>Hoverman</t>
  </si>
  <si>
    <t>Richard and Debbie</t>
  </si>
  <si>
    <t>5753 Highway 85 N</t>
  </si>
  <si>
    <t>No 5889</t>
  </si>
  <si>
    <t>Crestview</t>
  </si>
  <si>
    <t>32536-9365</t>
  </si>
  <si>
    <t>rdhov@msn.com</t>
  </si>
  <si>
    <t>XFAAB</t>
  </si>
  <si>
    <t>ALR240202C44</t>
  </si>
  <si>
    <t>ALR14XX0W001</t>
  </si>
  <si>
    <t>Arter</t>
  </si>
  <si>
    <t>Ms. Virginia M. Arter</t>
  </si>
  <si>
    <t>1902 Molt Rapelje Rd</t>
  </si>
  <si>
    <t>Molt</t>
  </si>
  <si>
    <t>59057-2224</t>
  </si>
  <si>
    <t>varter@gmail.com</t>
  </si>
  <si>
    <t>varter@yahoo.com</t>
  </si>
  <si>
    <t>Riedman</t>
  </si>
  <si>
    <t>PO Box 260192</t>
  </si>
  <si>
    <t>XRA8A91E</t>
  </si>
  <si>
    <t>Reverend</t>
  </si>
  <si>
    <t>Reverend Allen Kallenbach</t>
  </si>
  <si>
    <t>340 Ponderosa Ave</t>
  </si>
  <si>
    <t>80517-7018</t>
  </si>
  <si>
    <t>jackal80517@yahoo.com</t>
  </si>
  <si>
    <t>ALA24030A24R</t>
  </si>
  <si>
    <t>Karen and Reed Dils</t>
  </si>
  <si>
    <t>Karen and Reed</t>
  </si>
  <si>
    <t>29940 County Road 353 E</t>
  </si>
  <si>
    <t>81211-9215</t>
  </si>
  <si>
    <t>kdils@amigo.net</t>
  </si>
  <si>
    <t>ALA23010A55H</t>
  </si>
  <si>
    <t>kdils@me.com</t>
  </si>
  <si>
    <t>Mrs. Linda S. and Mr. Robert B. Keiter</t>
  </si>
  <si>
    <t>Linda and Robert</t>
  </si>
  <si>
    <t>383 S University Dr</t>
  </si>
  <si>
    <t>Wallace Stegner Distinguished Professor of Law</t>
  </si>
  <si>
    <t>84112-0730</t>
  </si>
  <si>
    <t>keiterb@law.utah.edu</t>
  </si>
  <si>
    <t>ADA240001M02:100953</t>
  </si>
  <si>
    <t>Bishop</t>
  </si>
  <si>
    <t>Mr. Norman A. Bishop</t>
  </si>
  <si>
    <t>4898 Itana Cir</t>
  </si>
  <si>
    <t>59715-9391</t>
  </si>
  <si>
    <t>nabishop32@gmail.com</t>
  </si>
  <si>
    <t>nabishop@montana.campuscw.net</t>
  </si>
  <si>
    <t>XBAC2</t>
  </si>
  <si>
    <t>ALR240801EMC</t>
  </si>
  <si>
    <t>XT8TCCBAA</t>
  </si>
  <si>
    <t>Jennings</t>
  </si>
  <si>
    <t>N. J. Jennings</t>
  </si>
  <si>
    <t>PO Box 2668</t>
  </si>
  <si>
    <t>Evanston</t>
  </si>
  <si>
    <t>82931-2668</t>
  </si>
  <si>
    <t>pjandnj@hotmail.com</t>
  </si>
  <si>
    <t>pandnj@hotmail.com</t>
  </si>
  <si>
    <t>Whitney</t>
  </si>
  <si>
    <t>Mrs. Jan and Mr. Edward L. Whitney</t>
  </si>
  <si>
    <t>Jan and Edward</t>
  </si>
  <si>
    <t>1544 S Fenway St</t>
  </si>
  <si>
    <t>Casper</t>
  </si>
  <si>
    <t>82601-4092</t>
  </si>
  <si>
    <t>whitney-e@msn.com</t>
  </si>
  <si>
    <t>whitney_e@msn.com</t>
  </si>
  <si>
    <t>ALR190706C44</t>
  </si>
  <si>
    <t>janw@trib.com</t>
  </si>
  <si>
    <t>janw@tribcsp.com</t>
  </si>
  <si>
    <t>Mr. Gilman Ordway</t>
  </si>
  <si>
    <t>PO Box 40</t>
  </si>
  <si>
    <t>c/o Fish Creek Ranch</t>
  </si>
  <si>
    <t>83014-0040</t>
  </si>
  <si>
    <t>Danny</t>
  </si>
  <si>
    <t>Danny and Nancy Douglas</t>
  </si>
  <si>
    <t>Danny and Nancy</t>
  </si>
  <si>
    <t>9827 Sagebud Ln</t>
  </si>
  <si>
    <t>77089-3505</t>
  </si>
  <si>
    <t>montemanpc@yahoo.com</t>
  </si>
  <si>
    <t>XNPM3</t>
  </si>
  <si>
    <t>ALR231001C54</t>
  </si>
  <si>
    <t>danj3143@yahoo.com</t>
  </si>
  <si>
    <t>Mr. Edwin F. Bramel</t>
  </si>
  <si>
    <t>580 Camino Mojado</t>
  </si>
  <si>
    <t>85635-3145</t>
  </si>
  <si>
    <t>edbramel@live.com</t>
  </si>
  <si>
    <t>ed_bramel@q.com</t>
  </si>
  <si>
    <t>XNAAD</t>
  </si>
  <si>
    <t>ALA23090E13A</t>
  </si>
  <si>
    <t>PPA070901001</t>
  </si>
  <si>
    <t>Erickson</t>
  </si>
  <si>
    <t>Melanie Erickson</t>
  </si>
  <si>
    <t>5705 Buckboard Trl</t>
  </si>
  <si>
    <t>86004-5287</t>
  </si>
  <si>
    <t>XCAFA</t>
  </si>
  <si>
    <t>ALR230605C44</t>
  </si>
  <si>
    <t>Mr. Norman A. Graf</t>
  </si>
  <si>
    <t>5 Antique Forest Ln</t>
  </si>
  <si>
    <t>94002-2307</t>
  </si>
  <si>
    <t>norman.graf@att.net</t>
  </si>
  <si>
    <t>norman.graf@worldnet.att.net</t>
  </si>
  <si>
    <t>ALR231109EMC</t>
  </si>
  <si>
    <t>XL1WACECC</t>
  </si>
  <si>
    <t>Jerold</t>
  </si>
  <si>
    <t>Widdison</t>
  </si>
  <si>
    <t>Mr. Jerold G. Widdison</t>
  </si>
  <si>
    <t>3333 Wilway Ave NE</t>
  </si>
  <si>
    <t>87106-1942</t>
  </si>
  <si>
    <t>XBNM</t>
  </si>
  <si>
    <t>ALR240101C33</t>
  </si>
  <si>
    <t>ALR230101C33</t>
  </si>
  <si>
    <t>Mrs. Jane and Mr. Warner Talso</t>
  </si>
  <si>
    <t>Jane and Warner</t>
  </si>
  <si>
    <t>PO Box 51300</t>
  </si>
  <si>
    <t>87181-1300</t>
  </si>
  <si>
    <t>ALA17020A24R</t>
  </si>
  <si>
    <t>I.</t>
  </si>
  <si>
    <t>Majerowicz</t>
  </si>
  <si>
    <t>Dr. Eugene I. Majerowicz</t>
  </si>
  <si>
    <t>4449 Presidio Drive</t>
  </si>
  <si>
    <t>90008-4821</t>
  </si>
  <si>
    <t>eugenemajerowicz@gmail.com</t>
  </si>
  <si>
    <t>O.</t>
  </si>
  <si>
    <t>Edward and Marianne Fisher</t>
  </si>
  <si>
    <t>Edward and Marianne</t>
  </si>
  <si>
    <t>619 E California Blvd</t>
  </si>
  <si>
    <t>91106-3813</t>
  </si>
  <si>
    <t>eofisher@gmail.com</t>
  </si>
  <si>
    <t>PPG240001001</t>
  </si>
  <si>
    <t>mimifisher@earthlink.net</t>
  </si>
  <si>
    <t>M.D.</t>
  </si>
  <si>
    <t>Dr. Maimon Leavitt M.D.</t>
  </si>
  <si>
    <t>3002 Cascadia Ave S</t>
  </si>
  <si>
    <t>98144-6214</t>
  </si>
  <si>
    <t>mleavitt@ucla.edu</t>
  </si>
  <si>
    <t>ALA20020B22R</t>
  </si>
  <si>
    <t>ALA20010B22R</t>
  </si>
  <si>
    <t>Shanklin</t>
  </si>
  <si>
    <t>Ms. Kirby L. Shanklin</t>
  </si>
  <si>
    <t>607 1/2 San Juan Ave</t>
  </si>
  <si>
    <t>90291-5644</t>
  </si>
  <si>
    <t>kshanklin@earthlink.net</t>
  </si>
  <si>
    <t>XEBAB</t>
  </si>
  <si>
    <t>ALR141232EMC</t>
  </si>
  <si>
    <t>ALR12XX00WD1</t>
  </si>
  <si>
    <t>Ms. Esther L. Herbert</t>
  </si>
  <si>
    <t>PO Box 249</t>
  </si>
  <si>
    <t>92277-0249</t>
  </si>
  <si>
    <t>ALA21090A14A</t>
  </si>
  <si>
    <t>XCGA01</t>
  </si>
  <si>
    <t>Lecuyer</t>
  </si>
  <si>
    <t>Mr. Jean Lecuyer</t>
  </si>
  <si>
    <t>1630 N Genesee Ave</t>
  </si>
  <si>
    <t>90046-2721</t>
  </si>
  <si>
    <t>brant.hollenkamp@hotmail.com</t>
  </si>
  <si>
    <t>ALR230301C66</t>
  </si>
  <si>
    <t>Mr. Robert L. Glasser</t>
  </si>
  <si>
    <t>2122 Century Park Ln</t>
  </si>
  <si>
    <t>#104</t>
  </si>
  <si>
    <t>90067-3317</t>
  </si>
  <si>
    <t>rlglasser@sbcglobal.net</t>
  </si>
  <si>
    <t>ALA2307D1PSC</t>
  </si>
  <si>
    <t>PPG090001001</t>
  </si>
  <si>
    <t>Dr. Thomas R. Pray</t>
  </si>
  <si>
    <t>Doctor</t>
  </si>
  <si>
    <t>5368 Lindford</t>
  </si>
  <si>
    <t>ALR090204004</t>
  </si>
  <si>
    <t>Hallick</t>
  </si>
  <si>
    <t>4267 Marina City Dr Unit 404</t>
  </si>
  <si>
    <t>Marina Del Rey</t>
  </si>
  <si>
    <t>90292-5810</t>
  </si>
  <si>
    <t>tomhallier41@gmail.com</t>
  </si>
  <si>
    <t>X58CA</t>
  </si>
  <si>
    <t>ALA23090E23R</t>
  </si>
  <si>
    <t>Mr. Jerry D. Tate</t>
  </si>
  <si>
    <t>515 S Flower St Fl 28</t>
  </si>
  <si>
    <t>90071-2204</t>
  </si>
  <si>
    <t>j_dt@sbcglobal.net</t>
  </si>
  <si>
    <t>various4@juno.com</t>
  </si>
  <si>
    <t>ALS150501WS3</t>
  </si>
  <si>
    <t>ADA090001003</t>
  </si>
  <si>
    <t>Costello</t>
  </si>
  <si>
    <t>Roy and Linda</t>
  </si>
  <si>
    <t>1569 Todos Santos Pl</t>
  </si>
  <si>
    <t>92028-4077</t>
  </si>
  <si>
    <t>ALA050801035</t>
  </si>
  <si>
    <t>XT4PCBCX4</t>
  </si>
  <si>
    <t>Mr. Ted W. Schriefer Jr.</t>
  </si>
  <si>
    <t>11151 Shining Light Way</t>
  </si>
  <si>
    <t>92020-8256</t>
  </si>
  <si>
    <t>tschr65@dslextreme.com</t>
  </si>
  <si>
    <t>tschr65@cox.net</t>
  </si>
  <si>
    <t>XCBE2</t>
  </si>
  <si>
    <t>ALR230111C50</t>
  </si>
  <si>
    <t>Dr. Michael Harvey</t>
  </si>
  <si>
    <t>2242 Lawton Dr</t>
  </si>
  <si>
    <t>Lemon Grove</t>
  </si>
  <si>
    <t>91945-3321</t>
  </si>
  <si>
    <t>ALA14080D13A</t>
  </si>
  <si>
    <t>Morley</t>
  </si>
  <si>
    <t>H</t>
  </si>
  <si>
    <t>Mrs. Jean H. and Mr. Arthur G. Morley</t>
  </si>
  <si>
    <t>Jean and Arthur</t>
  </si>
  <si>
    <t>150 Morrow St</t>
  </si>
  <si>
    <t>Fort Bragg</t>
  </si>
  <si>
    <t>95437-3826</t>
  </si>
  <si>
    <t>ALL21020CCBM</t>
  </si>
  <si>
    <t>ALR111202004</t>
  </si>
  <si>
    <t>Robinson</t>
  </si>
  <si>
    <t>14908 Cavalier Rise</t>
  </si>
  <si>
    <t>Truckee</t>
  </si>
  <si>
    <t>96161-1113</t>
  </si>
  <si>
    <t>susanlrobinson@icloud.com</t>
  </si>
  <si>
    <t>susanlrobinson@me.com</t>
  </si>
  <si>
    <t>XRA9Q92AA</t>
  </si>
  <si>
    <t>Mrs. Martha J. Franklin</t>
  </si>
  <si>
    <t>3775 Modoc Rd Apt 49</t>
  </si>
  <si>
    <t>93105-4461</t>
  </si>
  <si>
    <t>martejsb@netzero.net</t>
  </si>
  <si>
    <t>marte@fumcsb.org</t>
  </si>
  <si>
    <t>ATA190901001</t>
  </si>
  <si>
    <t>Mr. Karl K. Pingle</t>
  </si>
  <si>
    <t>4887 Hornet Dr</t>
  </si>
  <si>
    <t>86301-5782</t>
  </si>
  <si>
    <t>pingle@earthlink.net</t>
  </si>
  <si>
    <t>TDM030007001</t>
  </si>
  <si>
    <t>6000 Goldenrod Dr</t>
  </si>
  <si>
    <t>89511-8076</t>
  </si>
  <si>
    <t>ALR231203C23</t>
  </si>
  <si>
    <t>ALR151203033</t>
  </si>
  <si>
    <t>Miss Carol A. Lawson</t>
  </si>
  <si>
    <t>Miss Lawson</t>
  </si>
  <si>
    <t>2361 East 29th Street</t>
  </si>
  <si>
    <t>PPW200001P01</t>
  </si>
  <si>
    <t>Gray</t>
  </si>
  <si>
    <t>Mrs. Martha and Mr. Larry Gray</t>
  </si>
  <si>
    <t>Martha and Larry</t>
  </si>
  <si>
    <t>730 Watershed Dr</t>
  </si>
  <si>
    <t>48105-2570</t>
  </si>
  <si>
    <t>rtsystems@gmail.com</t>
  </si>
  <si>
    <t>scoutlg@hotmail.com</t>
  </si>
  <si>
    <t>XNZRF5122</t>
  </si>
  <si>
    <t>Mrs. Cynthia D. Marrs</t>
  </si>
  <si>
    <t>94224 Templeton Rd</t>
  </si>
  <si>
    <t>97448-9345</t>
  </si>
  <si>
    <t>rhondadiva4@gmail.com</t>
  </si>
  <si>
    <t>marrs_cynthia@yahoo.com</t>
  </si>
  <si>
    <t>ALA2404D3EMC</t>
  </si>
  <si>
    <t>XRD4A91</t>
  </si>
  <si>
    <t>Darrell</t>
  </si>
  <si>
    <t>Cockerill</t>
  </si>
  <si>
    <t>10225 Fernwood Ave</t>
  </si>
  <si>
    <t>Stockton</t>
  </si>
  <si>
    <t>95212-9476</t>
  </si>
  <si>
    <t>dmkids@pacbell.net</t>
  </si>
  <si>
    <t>ALR20J147EMC</t>
  </si>
  <si>
    <t>ALR110104003</t>
  </si>
  <si>
    <t>Tunison</t>
  </si>
  <si>
    <t>Mr. John Tunison</t>
  </si>
  <si>
    <t>PO Box 754</t>
  </si>
  <si>
    <t>Volcano</t>
  </si>
  <si>
    <t>96785-0754</t>
  </si>
  <si>
    <t>volcanoplantguy@gmail.com</t>
  </si>
  <si>
    <t>ALA240203999</t>
  </si>
  <si>
    <t>ALR150802044</t>
  </si>
  <si>
    <t>Trembly</t>
  </si>
  <si>
    <t>2909 W Barcelona St</t>
  </si>
  <si>
    <t>Apt 1014</t>
  </si>
  <si>
    <t>33629-7431</t>
  </si>
  <si>
    <t>ALR060701003</t>
  </si>
  <si>
    <t>Dr. Jeffrey L. Clark</t>
  </si>
  <si>
    <t>12007 SW 60th Ave</t>
  </si>
  <si>
    <t>97219-7007</t>
  </si>
  <si>
    <t>yeffrey@comcast.net</t>
  </si>
  <si>
    <t>yeffy@comcast.net</t>
  </si>
  <si>
    <t>ALR230700001</t>
  </si>
  <si>
    <t>ATR111201001</t>
  </si>
  <si>
    <t>Moen</t>
  </si>
  <si>
    <t>Mr. Stephen A. Moen</t>
  </si>
  <si>
    <t>PO Box 14098</t>
  </si>
  <si>
    <t>97293-0098</t>
  </si>
  <si>
    <t>samslaw1942@gmail.com</t>
  </si>
  <si>
    <t>X64BA</t>
  </si>
  <si>
    <t>XRL0A92EG</t>
  </si>
  <si>
    <t>Stock</t>
  </si>
  <si>
    <t>13240 SW Brittany Dr</t>
  </si>
  <si>
    <t>97223-1640</t>
  </si>
  <si>
    <t>mstock1@frontier.com</t>
  </si>
  <si>
    <t>mstock@teleport.com</t>
  </si>
  <si>
    <t>ALR240103EMC</t>
  </si>
  <si>
    <t>Mr. Richard B. Stinson, Jr.</t>
  </si>
  <si>
    <t>6920 SW Windemere Loop</t>
  </si>
  <si>
    <t>97225-6163</t>
  </si>
  <si>
    <t>ALR230405C44</t>
  </si>
  <si>
    <t>ALA23020B23A</t>
  </si>
  <si>
    <t>Mrs. Karen and Mr. Roger J. Andrascik</t>
  </si>
  <si>
    <t>Karen and Roger</t>
  </si>
  <si>
    <t>170 Dow Ridge Dr N</t>
  </si>
  <si>
    <t>98328-8087</t>
  </si>
  <si>
    <t>rogerandrascik@gmail.com</t>
  </si>
  <si>
    <t>andrasci@rainierconnect.com</t>
  </si>
  <si>
    <t>ADA210001T01</t>
  </si>
  <si>
    <t>Riddiford</t>
  </si>
  <si>
    <t>Lynn Riddiford and James Truman</t>
  </si>
  <si>
    <t>Lynn and James</t>
  </si>
  <si>
    <t>232 San Juan Dr</t>
  </si>
  <si>
    <t>98250-6974</t>
  </si>
  <si>
    <t>lmr@u.washington.edu</t>
  </si>
  <si>
    <t>ALR230302C54</t>
  </si>
  <si>
    <t>ALL19110B5BM</t>
  </si>
  <si>
    <t>Inge</t>
  </si>
  <si>
    <t>Theisen</t>
  </si>
  <si>
    <t>Ms. Inge Theisen</t>
  </si>
  <si>
    <t>12231 95th Pl NE</t>
  </si>
  <si>
    <t>98034-6210</t>
  </si>
  <si>
    <t>heliosilva1@live.com</t>
  </si>
  <si>
    <t>inge_theisen@hotmail.com</t>
  </si>
  <si>
    <t>XNP9</t>
  </si>
  <si>
    <t>ALL23110A63M</t>
  </si>
  <si>
    <t>ALR140300EMR</t>
  </si>
  <si>
    <t>Monteith</t>
  </si>
  <si>
    <t>Lee and Gretchen Monteith</t>
  </si>
  <si>
    <t>Lee and Gretchen</t>
  </si>
  <si>
    <t>1400 Bigelow Ave N</t>
  </si>
  <si>
    <t>98109-3315</t>
  </si>
  <si>
    <t>lemonter@aol.com</t>
  </si>
  <si>
    <t>lemontei@aol.com</t>
  </si>
  <si>
    <t>ALR211201C33</t>
  </si>
  <si>
    <t>ALA19030B34R</t>
  </si>
  <si>
    <t>Mr. Watson</t>
  </si>
  <si>
    <t>The Highlands</t>
  </si>
  <si>
    <t>98177-5002</t>
  </si>
  <si>
    <t>X83MD</t>
  </si>
  <si>
    <t>ALA040101008</t>
  </si>
  <si>
    <t>Richards</t>
  </si>
  <si>
    <t>Mr. Roy L. Richards</t>
  </si>
  <si>
    <t>5155 Zig Zag Ln</t>
  </si>
  <si>
    <t>98260-9285</t>
  </si>
  <si>
    <t>XRB3N81</t>
  </si>
  <si>
    <t>Galen</t>
  </si>
  <si>
    <t>Stark</t>
  </si>
  <si>
    <t>Galen Stark and Lynn Arthur</t>
  </si>
  <si>
    <t>Galen and Lynn</t>
  </si>
  <si>
    <t>1702 3rd St SE</t>
  </si>
  <si>
    <t>Puyallup</t>
  </si>
  <si>
    <t>98372-4505</t>
  </si>
  <si>
    <t>ALR230501C44</t>
  </si>
  <si>
    <t>ALA210100001</t>
  </si>
  <si>
    <t>Mrs. Silvia W. Grubb</t>
  </si>
  <si>
    <t>Mrs. Grubb</t>
  </si>
  <si>
    <t>10414 S Bruna Rd.</t>
  </si>
  <si>
    <t>XBAAA</t>
  </si>
  <si>
    <t>ALR081001003</t>
  </si>
  <si>
    <t>Buckland</t>
  </si>
  <si>
    <t>4109 Road 111</t>
  </si>
  <si>
    <t>Pasco</t>
  </si>
  <si>
    <t>99301-8218</t>
  </si>
  <si>
    <t>bucklandronald22@gmail.com</t>
  </si>
  <si>
    <t>rbpj07@charter.net</t>
  </si>
  <si>
    <t>ALR231002C54</t>
  </si>
  <si>
    <t>ALA23070A25A</t>
  </si>
  <si>
    <t>Alaska Region</t>
  </si>
  <si>
    <t>Kedrowski</t>
  </si>
  <si>
    <t>443 Sun Way</t>
  </si>
  <si>
    <t>99709-6723</t>
  </si>
  <si>
    <t>fnrak1@uaf.edu</t>
  </si>
  <si>
    <t>ALR230804C54</t>
  </si>
  <si>
    <t>ALR220801C54</t>
  </si>
  <si>
    <t>McWhirter</t>
  </si>
  <si>
    <t>Mrs. Mary B. and Mr. Don A. Mcwhirter</t>
  </si>
  <si>
    <t>Mary and Don</t>
  </si>
  <si>
    <t>2201 E Moores Pike</t>
  </si>
  <si>
    <t>47401-6190</t>
  </si>
  <si>
    <t>donamarybmcwhirter@msn.com</t>
  </si>
  <si>
    <t>XEX</t>
  </si>
  <si>
    <t>ATN181201001</t>
  </si>
  <si>
    <t>donamrybmcwhirter@msn.com</t>
  </si>
  <si>
    <t>Dr. Florence R. Collins</t>
  </si>
  <si>
    <t>Dr. Collins</t>
  </si>
  <si>
    <t>168 Sunny Hills Drive</t>
  </si>
  <si>
    <t>floru@yahoo.com</t>
  </si>
  <si>
    <t>ALA091201002</t>
  </si>
  <si>
    <t>PPG060001001</t>
  </si>
  <si>
    <t>Ms. Wendy Bennett and Mr. Kendall J. Powell</t>
  </si>
  <si>
    <t>Wendy and Kendall</t>
  </si>
  <si>
    <t>1625 Bridgewater Rd</t>
  </si>
  <si>
    <t>Golden Valley</t>
  </si>
  <si>
    <t>55422-4243</t>
  </si>
  <si>
    <t>wenben200@gmail.com</t>
  </si>
  <si>
    <t>wenbennett@mac.com</t>
  </si>
  <si>
    <t>X3013</t>
  </si>
  <si>
    <t>ADA240001M02:118153</t>
  </si>
  <si>
    <t>ADA230001M03:LANDSCAPE</t>
  </si>
  <si>
    <t>kendall.powell@outlook.com</t>
  </si>
  <si>
    <t>257 Pinewood St</t>
  </si>
  <si>
    <t>38117-1903</t>
  </si>
  <si>
    <t>pearlsmom7@yahoo.com</t>
  </si>
  <si>
    <t>charlotte.boggs@stjude.org</t>
  </si>
  <si>
    <t>X9519</t>
  </si>
  <si>
    <t>ALA23050A42A</t>
  </si>
  <si>
    <t>Larry and Denise Friesen</t>
  </si>
  <si>
    <t>Larry and Denise</t>
  </si>
  <si>
    <t>17614 NE 36th Way</t>
  </si>
  <si>
    <t>98682-3679</t>
  </si>
  <si>
    <t>marshall.yamaha@gmail.com</t>
  </si>
  <si>
    <t>marshall_yamaha@earthlink.net</t>
  </si>
  <si>
    <t>X9556</t>
  </si>
  <si>
    <t>ALA23070A21C</t>
  </si>
  <si>
    <t>ALR201107C33</t>
  </si>
  <si>
    <t>Mr. Emmanuel C. Paxhia</t>
  </si>
  <si>
    <t>Mr. Paxhia</t>
  </si>
  <si>
    <t>2010 Oak Drive</t>
  </si>
  <si>
    <t>63131-3917</t>
  </si>
  <si>
    <t>ecpaxhia@att.net</t>
  </si>
  <si>
    <t>X4012</t>
  </si>
  <si>
    <t>Ms. Karen E. Sielke</t>
  </si>
  <si>
    <t>155 Sawyers Crossing Rd</t>
  </si>
  <si>
    <t>03446-3634</t>
  </si>
  <si>
    <t>sielkekaren@gmail.com</t>
  </si>
  <si>
    <t>X9526</t>
  </si>
  <si>
    <t>ALR180502023</t>
  </si>
  <si>
    <t>Mrs. Joyce W. Schneider</t>
  </si>
  <si>
    <t>1139 Terebinth Ln</t>
  </si>
  <si>
    <t>C/O Holly Schneider</t>
  </si>
  <si>
    <t>93465-9533</t>
  </si>
  <si>
    <t>X9557</t>
  </si>
  <si>
    <t>ALQ181000001</t>
  </si>
  <si>
    <t>Kirit</t>
  </si>
  <si>
    <t>Jalpesh and Kirit Chitalia</t>
  </si>
  <si>
    <t>Jalpesh and Kirit</t>
  </si>
  <si>
    <t>848 Newport Cir</t>
  </si>
  <si>
    <t>94065-1914</t>
  </si>
  <si>
    <t>ALP180001001</t>
  </si>
  <si>
    <t>McGinnis</t>
  </si>
  <si>
    <t>Ms. Margaret R. McGinnis</t>
  </si>
  <si>
    <t>7 Rockview Rd</t>
  </si>
  <si>
    <t>02045-3126</t>
  </si>
  <si>
    <t>margaretmcginnis@verizon.net</t>
  </si>
  <si>
    <t>ALA2404D1DMC</t>
  </si>
  <si>
    <t>Bay</t>
  </si>
  <si>
    <t>Mr. Edward M. Lewis</t>
  </si>
  <si>
    <t>37 Gardner Park Dr</t>
  </si>
  <si>
    <t>59715-9229</t>
  </si>
  <si>
    <t>edlewisc@aol.com</t>
  </si>
  <si>
    <t>X9533</t>
  </si>
  <si>
    <t>CDG200001C03</t>
  </si>
  <si>
    <t>Marc</t>
  </si>
  <si>
    <t>237 Cambridge Dr</t>
  </si>
  <si>
    <t>Ramsey</t>
  </si>
  <si>
    <t>07446-1258</t>
  </si>
  <si>
    <t>marcroth66@gmail.com</t>
  </si>
  <si>
    <t>mroth@nyp.org</t>
  </si>
  <si>
    <t>X9541</t>
  </si>
  <si>
    <t>ALR240203C54</t>
  </si>
  <si>
    <t>ALR131200EMC</t>
  </si>
  <si>
    <t>Ms. Isabelle Wald</t>
  </si>
  <si>
    <t>209 Clinton Ave Apt 12C</t>
  </si>
  <si>
    <t>11205-3541</t>
  </si>
  <si>
    <t>X9529</t>
  </si>
  <si>
    <t>ALS240401512</t>
  </si>
  <si>
    <t>ALR110301004</t>
  </si>
  <si>
    <t>6416 Loughborough Ave</t>
  </si>
  <si>
    <t>63109-3642</t>
  </si>
  <si>
    <t>gailreis@swbell.net</t>
  </si>
  <si>
    <t>gailreiss@hotmail.com</t>
  </si>
  <si>
    <t>X9555</t>
  </si>
  <si>
    <t>ALA24020A55H</t>
  </si>
  <si>
    <t>Robert and Peggy Fleck</t>
  </si>
  <si>
    <t>Robert and Peggy</t>
  </si>
  <si>
    <t>2000 Cambridge Ave Apt 85</t>
  </si>
  <si>
    <t>19610-2722</t>
  </si>
  <si>
    <t>X9543</t>
  </si>
  <si>
    <t>ALR231107C54</t>
  </si>
  <si>
    <t>Mr. Martin S. Cox</t>
  </si>
  <si>
    <t>4401 Beverly Dr</t>
  </si>
  <si>
    <t>75205-3001</t>
  </si>
  <si>
    <t>averycox@hotmail.com</t>
  </si>
  <si>
    <t>coxfamily2@charter.net</t>
  </si>
  <si>
    <t>ADA240101001</t>
  </si>
  <si>
    <t>Palm</t>
  </si>
  <si>
    <t>Dr. Daniel J. Palm</t>
  </si>
  <si>
    <t>645 Decker Rd</t>
  </si>
  <si>
    <t>12167-1911</t>
  </si>
  <si>
    <t>lin.dan.palm@gmail.com</t>
  </si>
  <si>
    <t>djpalm@aol.com</t>
  </si>
  <si>
    <t>ALR131101054</t>
  </si>
  <si>
    <t>Timothy and Kathleen</t>
  </si>
  <si>
    <t>10411 Vincent Rd</t>
  </si>
  <si>
    <t>White Marsh</t>
  </si>
  <si>
    <t>21162-1919</t>
  </si>
  <si>
    <t>timothypanderson@verizon.net</t>
  </si>
  <si>
    <t>X1306</t>
  </si>
  <si>
    <t>ALR240401C66</t>
  </si>
  <si>
    <t>Mrs. Douglas Campbell</t>
  </si>
  <si>
    <t>300 Westminster Canterbury Drive #36</t>
  </si>
  <si>
    <t>ALS210201512</t>
  </si>
  <si>
    <t>XT8UABBAA</t>
  </si>
  <si>
    <t>McMahon</t>
  </si>
  <si>
    <t>Kim McMahon</t>
  </si>
  <si>
    <t>580 Fox Haven Dr</t>
  </si>
  <si>
    <t>29803-2885</t>
  </si>
  <si>
    <t>kim7mcmahon@outlook.com</t>
  </si>
  <si>
    <t>ALQ2012N1EMC</t>
  </si>
  <si>
    <t>Glavin</t>
  </si>
  <si>
    <t>Ms. Anne P. Glavin</t>
  </si>
  <si>
    <t>PO Box 131</t>
  </si>
  <si>
    <t>North Sandwich</t>
  </si>
  <si>
    <t>03259-0131</t>
  </si>
  <si>
    <t>XNMPG31</t>
  </si>
  <si>
    <t>ALR220411C30</t>
  </si>
  <si>
    <t>ALA21010D13C</t>
  </si>
  <si>
    <t>Soderberg</t>
  </si>
  <si>
    <t>Mark and Ann Soderberg</t>
  </si>
  <si>
    <t>Mark and Ann</t>
  </si>
  <si>
    <t>634 Creekside Cmn</t>
  </si>
  <si>
    <t>New Braunfels</t>
  </si>
  <si>
    <t>78130-0498</t>
  </si>
  <si>
    <t>agms67202@gmail.com</t>
  </si>
  <si>
    <t>ALQ1902AH014</t>
  </si>
  <si>
    <t>ALR22XX0W001</t>
  </si>
  <si>
    <t>ALA2103D1DMC</t>
  </si>
  <si>
    <t>Marlene and Greg Faltersack</t>
  </si>
  <si>
    <t>Marlene and Greg</t>
  </si>
  <si>
    <t>9053 County Road J</t>
  </si>
  <si>
    <t>54213-9629</t>
  </si>
  <si>
    <t>mg.faltersack@gmail.com</t>
  </si>
  <si>
    <t>NON_DONOR</t>
  </si>
  <si>
    <t>35 Walton St</t>
  </si>
  <si>
    <t>28801-4716</t>
  </si>
  <si>
    <t>anabozaa@yahoo.com</t>
  </si>
  <si>
    <t>Dr. Carole Ricketts</t>
  </si>
  <si>
    <t>170 Graham Street</t>
  </si>
  <si>
    <t>28713-7990</t>
  </si>
  <si>
    <t>ricketts51@frontier.com</t>
  </si>
  <si>
    <t>Carla</t>
  </si>
  <si>
    <t>Hood</t>
  </si>
  <si>
    <t>Carla Hood</t>
  </si>
  <si>
    <t>190 Carolinian Dr</t>
  </si>
  <si>
    <t>Summerville</t>
  </si>
  <si>
    <t>29485-6275</t>
  </si>
  <si>
    <t>c.hood@sc.rr.com</t>
  </si>
  <si>
    <t>ALQ1901BG009</t>
  </si>
  <si>
    <t>ALA23030B15C</t>
  </si>
  <si>
    <t>ALR220706C54</t>
  </si>
  <si>
    <t>Chrisman</t>
  </si>
  <si>
    <t>Ms. Vicki L. Chrisman</t>
  </si>
  <si>
    <t>111 Plaquemine Rd</t>
  </si>
  <si>
    <t>Lafayette</t>
  </si>
  <si>
    <t>70501-7733</t>
  </si>
  <si>
    <t>vchrisman22@gmail.com</t>
  </si>
  <si>
    <t>ALQ1902BH010</t>
  </si>
  <si>
    <t>Kevin Booth</t>
  </si>
  <si>
    <t>508 Chaney St Ste A</t>
  </si>
  <si>
    <t>92530-2797</t>
  </si>
  <si>
    <t>dale@k2metals.com</t>
  </si>
  <si>
    <t>ALQ1902BH014</t>
  </si>
  <si>
    <t>Mrs. Joy and Mr. Jonathan C. Eaton</t>
  </si>
  <si>
    <t>Joy and Jonathan</t>
  </si>
  <si>
    <t>1365 NW Ashley Dr</t>
  </si>
  <si>
    <t>97321-1177</t>
  </si>
  <si>
    <t>jonathaneaton@gmail.com</t>
  </si>
  <si>
    <t>jeaton621@gmail.com</t>
  </si>
  <si>
    <t>ALRXXXXLBURL</t>
  </si>
  <si>
    <t>gotetnies@hotmail.com</t>
  </si>
  <si>
    <t>ALQ1010ED014</t>
  </si>
  <si>
    <t>ALR190306033</t>
  </si>
  <si>
    <t>Feller</t>
  </si>
  <si>
    <t>Mr. Feller</t>
  </si>
  <si>
    <t>30126 Queenwood Rd</t>
  </si>
  <si>
    <t>Morton</t>
  </si>
  <si>
    <t>61550-9016</t>
  </si>
  <si>
    <t>X1310</t>
  </si>
  <si>
    <t>X9901</t>
  </si>
  <si>
    <t>Ms. Thomas</t>
  </si>
  <si>
    <t>1382 Newtown Langhorne Rd #C113</t>
  </si>
  <si>
    <t>Newtown</t>
  </si>
  <si>
    <t>18940-2401</t>
  </si>
  <si>
    <t>ALR050702004</t>
  </si>
  <si>
    <t>XRA8R95AA</t>
  </si>
  <si>
    <t>Verrill</t>
  </si>
  <si>
    <t>Karen E. Verrill</t>
  </si>
  <si>
    <t>2401 Chambers Lake Ln SE</t>
  </si>
  <si>
    <t>98503-6967</t>
  </si>
  <si>
    <t>gokar1@comcast.net</t>
  </si>
  <si>
    <t>gokar1@attbi.com</t>
  </si>
  <si>
    <t>X9514</t>
  </si>
  <si>
    <t>ALR240105C44</t>
  </si>
  <si>
    <t>Susan and Howard</t>
  </si>
  <si>
    <t>2134 Hemlock Farms</t>
  </si>
  <si>
    <t>Lords Valley</t>
  </si>
  <si>
    <t>18428-9074</t>
  </si>
  <si>
    <t>howsue@ptd.net</t>
  </si>
  <si>
    <t>snpantiques@aol.com</t>
  </si>
  <si>
    <t>X1313</t>
  </si>
  <si>
    <t>ALA050901003</t>
  </si>
  <si>
    <t>Velva</t>
  </si>
  <si>
    <t>Osborn</t>
  </si>
  <si>
    <t>118 W. 47th Street</t>
  </si>
  <si>
    <t>c/o Commerce Bank</t>
  </si>
  <si>
    <t>X1114</t>
  </si>
  <si>
    <t>Mrs. Carolyn K. Singers</t>
  </si>
  <si>
    <t>2000 East-West Connector</t>
  </si>
  <si>
    <t>#114</t>
  </si>
  <si>
    <t>30106-1195</t>
  </si>
  <si>
    <t>tom_singers@msn.com</t>
  </si>
  <si>
    <t>rssingers@hotmail.com</t>
  </si>
  <si>
    <t>X9511</t>
  </si>
  <si>
    <t>XM6B</t>
  </si>
  <si>
    <t>Owings</t>
  </si>
  <si>
    <t>2912 Hyder Ave SE</t>
  </si>
  <si>
    <t>87106-2939</t>
  </si>
  <si>
    <t>gawings@aol.com</t>
  </si>
  <si>
    <t>X1204</t>
  </si>
  <si>
    <t>ALR220611C40</t>
  </si>
  <si>
    <t>ALR201008C44</t>
  </si>
  <si>
    <t>Engemann</t>
  </si>
  <si>
    <t>John and Helen Engemann</t>
  </si>
  <si>
    <t>John and Helen</t>
  </si>
  <si>
    <t>808 Highland Rd</t>
  </si>
  <si>
    <t>Frankfort</t>
  </si>
  <si>
    <t>60423-8759</t>
  </si>
  <si>
    <t>caltha45@aol.com</t>
  </si>
  <si>
    <t>Dr. Irene and Mr. Richard Simpson</t>
  </si>
  <si>
    <t>Irene and Richard</t>
  </si>
  <si>
    <t>25801 Mountain Dr</t>
  </si>
  <si>
    <t>98223-7240</t>
  </si>
  <si>
    <t>doctorirene@icloud.com</t>
  </si>
  <si>
    <t>thesimpsons@wavecable.com</t>
  </si>
  <si>
    <t>X030</t>
  </si>
  <si>
    <t>Hallie</t>
  </si>
  <si>
    <t>Mahan</t>
  </si>
  <si>
    <t>Hallie and Thomas Mahan</t>
  </si>
  <si>
    <t>Hallie and Thomas</t>
  </si>
  <si>
    <t>478 Seasons Ct</t>
  </si>
  <si>
    <t>81507-9714</t>
  </si>
  <si>
    <t>X032</t>
  </si>
  <si>
    <t>Lawler</t>
  </si>
  <si>
    <t>372 Central Park W Apt 20T</t>
  </si>
  <si>
    <t>10025-8213</t>
  </si>
  <si>
    <t>amlpw20@aol.com</t>
  </si>
  <si>
    <t>X402</t>
  </si>
  <si>
    <t>ALL23090C5BM</t>
  </si>
  <si>
    <t>ALR170401044</t>
  </si>
  <si>
    <t>35 Odonnell Dr</t>
  </si>
  <si>
    <t>Attleboro</t>
  </si>
  <si>
    <t>02703-4539</t>
  </si>
  <si>
    <t>amlbones@yahoo.com</t>
  </si>
  <si>
    <t>X401</t>
  </si>
  <si>
    <t>Wernette</t>
  </si>
  <si>
    <t>Timothy and Carolyn</t>
  </si>
  <si>
    <t>7217 E Crystal Mist Dr</t>
  </si>
  <si>
    <t>85750-6455</t>
  </si>
  <si>
    <t>timwernette@msn.com</t>
  </si>
  <si>
    <t>wernette@email.arizona.edu</t>
  </si>
  <si>
    <t>ALA22030W001</t>
  </si>
  <si>
    <t>XRE0A91EG</t>
  </si>
  <si>
    <t>carolynbrown1@msn.com</t>
  </si>
  <si>
    <t>Ms. Debbie Grace</t>
  </si>
  <si>
    <t>4800 San Mateo Ln NE Apt 327</t>
  </si>
  <si>
    <t>87109-2461</t>
  </si>
  <si>
    <t>knightranger4ver@yahoo.com</t>
  </si>
  <si>
    <t>X044</t>
  </si>
  <si>
    <t>Ms. Cheryl A. Corsi</t>
  </si>
  <si>
    <t>645 Evergreen St</t>
  </si>
  <si>
    <t>82009-3220</t>
  </si>
  <si>
    <t>cchackamore@bresnan.net</t>
  </si>
  <si>
    <t>cchackamose@bresnan.net</t>
  </si>
  <si>
    <t>Seiger</t>
  </si>
  <si>
    <t>4727 Willis Ave #302</t>
  </si>
  <si>
    <t>Sherman Oaks</t>
  </si>
  <si>
    <t>91403-2668</t>
  </si>
  <si>
    <t>X501</t>
  </si>
  <si>
    <t>Doering</t>
  </si>
  <si>
    <t>Mrs. Marilyn Doering</t>
  </si>
  <si>
    <t>509 Park Ave</t>
  </si>
  <si>
    <t>17042-6864</t>
  </si>
  <si>
    <t>X612</t>
  </si>
  <si>
    <t>Kristin</t>
  </si>
  <si>
    <t>Kristin and Keith Schulz</t>
  </si>
  <si>
    <t>Kristin and Keith</t>
  </si>
  <si>
    <t>5785 Stockman Terrace</t>
  </si>
  <si>
    <t>White City</t>
  </si>
  <si>
    <t>97503-9568</t>
  </si>
  <si>
    <t>X630</t>
  </si>
  <si>
    <t>ALA061204002</t>
  </si>
  <si>
    <t>ALA060301039</t>
  </si>
  <si>
    <t>Ms. Linda R. Scherdt</t>
  </si>
  <si>
    <t>40324 Newport Dr</t>
  </si>
  <si>
    <t>48170-4736</t>
  </si>
  <si>
    <t>buterc0626@aol.com</t>
  </si>
  <si>
    <t>ALB240001002</t>
  </si>
  <si>
    <t>ALA23010A54H</t>
  </si>
  <si>
    <t>Lackner</t>
  </si>
  <si>
    <t>Robert P. Lackner</t>
  </si>
  <si>
    <t>37 S 2370 East Cir</t>
  </si>
  <si>
    <t>Saint George</t>
  </si>
  <si>
    <t>84790-6433</t>
  </si>
  <si>
    <t>ALL14120A63M</t>
  </si>
  <si>
    <t>XRG8B92E</t>
  </si>
  <si>
    <t>526 Dunning St</t>
  </si>
  <si>
    <t>53704-5633</t>
  </si>
  <si>
    <t>X621</t>
  </si>
  <si>
    <t>ALR210915C40</t>
  </si>
  <si>
    <t>ALR181201033</t>
  </si>
  <si>
    <t>Juliann</t>
  </si>
  <si>
    <t>Pinto</t>
  </si>
  <si>
    <t>4438 Pennypack St</t>
  </si>
  <si>
    <t>19136-2138</t>
  </si>
  <si>
    <t>julianne.pinto@gmail.com</t>
  </si>
  <si>
    <t>pinto34622@mail2aha.com</t>
  </si>
  <si>
    <t>X617</t>
  </si>
  <si>
    <t>ALS220901WS3</t>
  </si>
  <si>
    <t>Ms. Marcia E. Christy</t>
  </si>
  <si>
    <t>Ms. Christy</t>
  </si>
  <si>
    <t>139 Larchwood Court</t>
  </si>
  <si>
    <t>19426-2903</t>
  </si>
  <si>
    <t>mchri2438@aol.com</t>
  </si>
  <si>
    <t>ALR070601003</t>
  </si>
  <si>
    <t>Mrs. Donna N. Seamens</t>
  </si>
  <si>
    <t>514 State St</t>
  </si>
  <si>
    <t>16127-1710</t>
  </si>
  <si>
    <t>hseamens@zoominternet.net</t>
  </si>
  <si>
    <t>X624</t>
  </si>
  <si>
    <t>ALA220100001</t>
  </si>
  <si>
    <t>Dr. Linda Sigmund M.D.</t>
  </si>
  <si>
    <t>5414 19th St N</t>
  </si>
  <si>
    <t>22205-3017</t>
  </si>
  <si>
    <t>lsigmundmd@gmail.com</t>
  </si>
  <si>
    <t>X627</t>
  </si>
  <si>
    <t>ALR240201C23</t>
  </si>
  <si>
    <t>Wilbur</t>
  </si>
  <si>
    <t>Steltzer</t>
  </si>
  <si>
    <t>1106 Greenbriar Lane</t>
  </si>
  <si>
    <t>West Grove</t>
  </si>
  <si>
    <t>19390-9493</t>
  </si>
  <si>
    <t>steltzjr@aol.com</t>
  </si>
  <si>
    <t>X607</t>
  </si>
  <si>
    <t>ALL19090A4BM</t>
  </si>
  <si>
    <t>Schroeder</t>
  </si>
  <si>
    <t>677 Wilderness Pt</t>
  </si>
  <si>
    <t>86303-4380</t>
  </si>
  <si>
    <t>jamess704@aol.com</t>
  </si>
  <si>
    <t>XTP56</t>
  </si>
  <si>
    <t>ALB230001002</t>
  </si>
  <si>
    <t>Travis</t>
  </si>
  <si>
    <t>David and Norma Travis</t>
  </si>
  <si>
    <t>David and Norma</t>
  </si>
  <si>
    <t>208 Glendale Ave</t>
  </si>
  <si>
    <t>Seagoville</t>
  </si>
  <si>
    <t>75159-3038</t>
  </si>
  <si>
    <t>X932</t>
  </si>
  <si>
    <t>ALA16010E13A</t>
  </si>
  <si>
    <t>Rushton</t>
  </si>
  <si>
    <t>Monaghan</t>
  </si>
  <si>
    <t>Mrs. Margaret R. Monaghan</t>
  </si>
  <si>
    <t>PO Box 131402</t>
  </si>
  <si>
    <t>35213-6402</t>
  </si>
  <si>
    <t>peggo44@aol.com</t>
  </si>
  <si>
    <t>pegg044@aol.com</t>
  </si>
  <si>
    <t>X935</t>
  </si>
  <si>
    <t>TDM030011001</t>
  </si>
  <si>
    <t>Mr. Fred L. Steele</t>
  </si>
  <si>
    <t>Mr. Steele</t>
  </si>
  <si>
    <t>950 Ridge Heights Drive</t>
  </si>
  <si>
    <t>92028-3664</t>
  </si>
  <si>
    <t>X902</t>
  </si>
  <si>
    <t>ALR080700001</t>
  </si>
  <si>
    <t>Mr. Kurt J. Speidel</t>
  </si>
  <si>
    <t>761 Calle Los Olivos</t>
  </si>
  <si>
    <t>92673-2717</t>
  </si>
  <si>
    <t>kswhatever@cox.net</t>
  </si>
  <si>
    <t>kswhatever@aol.com</t>
  </si>
  <si>
    <t>X920</t>
  </si>
  <si>
    <t>ALR240301C54</t>
  </si>
  <si>
    <t>Brenda</t>
  </si>
  <si>
    <t>Sollenberger</t>
  </si>
  <si>
    <t>Brenda F. Sollenberger</t>
  </si>
  <si>
    <t>3293 Nauvoo Rd</t>
  </si>
  <si>
    <t>Liberty</t>
  </si>
  <si>
    <t>16930-9294</t>
  </si>
  <si>
    <t>bgsollcavy@frontier.com</t>
  </si>
  <si>
    <t>ALR231201C64</t>
  </si>
  <si>
    <t>ALR181202054</t>
  </si>
  <si>
    <t>Mosby</t>
  </si>
  <si>
    <t>Mr. John M. Russell</t>
  </si>
  <si>
    <t>5029 Allan Rd</t>
  </si>
  <si>
    <t>20816-2719</t>
  </si>
  <si>
    <t>ALB190001001</t>
  </si>
  <si>
    <t>PPG080001001</t>
  </si>
  <si>
    <t>Jule</t>
  </si>
  <si>
    <t>Caylor</t>
  </si>
  <si>
    <t>Barbara Larsen and Jule Caylor</t>
  </si>
  <si>
    <t>Barbara and Jule</t>
  </si>
  <si>
    <t>3022 W 9050 S</t>
  </si>
  <si>
    <t>84088-8722</t>
  </si>
  <si>
    <t>bjl118@aol.com</t>
  </si>
  <si>
    <t>XCG86</t>
  </si>
  <si>
    <t>ALR200105C33</t>
  </si>
  <si>
    <t>XRC3A31</t>
  </si>
  <si>
    <t>Getty</t>
  </si>
  <si>
    <t>Mr. Don Getty</t>
  </si>
  <si>
    <t>PO Box 306</t>
  </si>
  <si>
    <t>Wapiti</t>
  </si>
  <si>
    <t>82450-0306</t>
  </si>
  <si>
    <t>don@dongettyphoto.com</t>
  </si>
  <si>
    <t>X952</t>
  </si>
  <si>
    <t>Cassandra</t>
  </si>
  <si>
    <t>Mrs. Cassandra C. Paul</t>
  </si>
  <si>
    <t>312 Brydon Rd</t>
  </si>
  <si>
    <t>45419-1703</t>
  </si>
  <si>
    <t>cpaul11@woh.rr.com</t>
  </si>
  <si>
    <t>X968</t>
  </si>
  <si>
    <t>ALA2311D3EMC</t>
  </si>
  <si>
    <t>ALA1604N1ADC</t>
  </si>
  <si>
    <t>Mackay</t>
  </si>
  <si>
    <t>Mrs. Cynthia S. and Mr. James C. Mackay</t>
  </si>
  <si>
    <t>Cynthia and James</t>
  </si>
  <si>
    <t>83 Curzon Mill Rd</t>
  </si>
  <si>
    <t>Newburyport</t>
  </si>
  <si>
    <t>01950-6251</t>
  </si>
  <si>
    <t>cynthiamackay@hotmail.com</t>
  </si>
  <si>
    <t>X976</t>
  </si>
  <si>
    <t>ALL23110A5BM</t>
  </si>
  <si>
    <t>ALA11070D24A</t>
  </si>
  <si>
    <t>Holloway</t>
  </si>
  <si>
    <t>19400 SW 79th St</t>
  </si>
  <si>
    <t>Dunnellon</t>
  </si>
  <si>
    <t>34432-9522</t>
  </si>
  <si>
    <t>X957</t>
  </si>
  <si>
    <t>Stimpert</t>
  </si>
  <si>
    <t>Dale and Karen Stimpert</t>
  </si>
  <si>
    <t>Dale and Karen</t>
  </si>
  <si>
    <t>6941 Gary Lee Dr</t>
  </si>
  <si>
    <t>45069-3923</t>
  </si>
  <si>
    <t>dstimp@juno.com</t>
  </si>
  <si>
    <t>Hannah</t>
  </si>
  <si>
    <t>Mrs. Hannah B. Wilson</t>
  </si>
  <si>
    <t>19 E Main St Ste A</t>
  </si>
  <si>
    <t>08057-3338</t>
  </si>
  <si>
    <t>X068</t>
  </si>
  <si>
    <t>ALA21050B55H</t>
  </si>
  <si>
    <t>ALA17050G56H</t>
  </si>
  <si>
    <t>Ms. Margaret D. O'Brien</t>
  </si>
  <si>
    <t>95076 Woodberry Ln</t>
  </si>
  <si>
    <t>32034-5364</t>
  </si>
  <si>
    <t>dobrien523@aol.com</t>
  </si>
  <si>
    <t>obrienm523@aol.com</t>
  </si>
  <si>
    <t>ALR190705C33</t>
  </si>
  <si>
    <t>XOA89</t>
  </si>
  <si>
    <t>Mullins</t>
  </si>
  <si>
    <t>4066 Harris Rd</t>
  </si>
  <si>
    <t>Fort Gratiot</t>
  </si>
  <si>
    <t>48059-1306</t>
  </si>
  <si>
    <t>X956</t>
  </si>
  <si>
    <t>ALR170700001</t>
  </si>
  <si>
    <t>Ms. Frances H. Davis</t>
  </si>
  <si>
    <t>8444 SW Crescent Pl</t>
  </si>
  <si>
    <t>97760-9236</t>
  </si>
  <si>
    <t>crrfran1936@gmail.com</t>
  </si>
  <si>
    <t>franandid@aol.com</t>
  </si>
  <si>
    <t>ALR211101005</t>
  </si>
  <si>
    <t>ALQ2004AK023</t>
  </si>
  <si>
    <t>Peter Foster</t>
  </si>
  <si>
    <t>4720 Dovedale Dr</t>
  </si>
  <si>
    <t>23188-2853</t>
  </si>
  <si>
    <t>X1713</t>
  </si>
  <si>
    <t>ATR220201001</t>
  </si>
  <si>
    <t>Mr. Paul Pokrywka</t>
  </si>
  <si>
    <t>231 Mansfield Dr</t>
  </si>
  <si>
    <t>94080-1043</t>
  </si>
  <si>
    <t>paul.pokrywka@gmail.com</t>
  </si>
  <si>
    <t>X1723</t>
  </si>
  <si>
    <t>ALA2311D4EMC</t>
  </si>
  <si>
    <t>Woodhead</t>
  </si>
  <si>
    <t>Mrs. Margaret Woodhead</t>
  </si>
  <si>
    <t>1955 Mosteller Rd</t>
  </si>
  <si>
    <t>Montoursville</t>
  </si>
  <si>
    <t>17754-8974</t>
  </si>
  <si>
    <t>margwoodhead10@gmail.com</t>
  </si>
  <si>
    <t>peggyw10@verizon.net</t>
  </si>
  <si>
    <t>X1755</t>
  </si>
  <si>
    <t>ALR24J147EMC</t>
  </si>
  <si>
    <t>PO Box 412</t>
  </si>
  <si>
    <t>Rushland</t>
  </si>
  <si>
    <t>18956-0412</t>
  </si>
  <si>
    <t>brownbarbaraj@aol.com</t>
  </si>
  <si>
    <t>X1712</t>
  </si>
  <si>
    <t>Seagle</t>
  </si>
  <si>
    <t>Michael Seagle</t>
  </si>
  <si>
    <t>PO Box 638</t>
  </si>
  <si>
    <t>33902-0638</t>
  </si>
  <si>
    <t>ALR210301C33</t>
  </si>
  <si>
    <t>Elizabeth P. Ruml</t>
  </si>
  <si>
    <t>44 Old Ridgebury Rd Ste 320</t>
  </si>
  <si>
    <t>Danbury</t>
  </si>
  <si>
    <t>06810-5107</t>
  </si>
  <si>
    <t>X1703</t>
  </si>
  <si>
    <t>ALL15090C7BM</t>
  </si>
  <si>
    <t>XRB8R32AA</t>
  </si>
  <si>
    <t>Ms. Marta A. Chase and Mr. Kicab K. Castaneda-Mendez</t>
  </si>
  <si>
    <t>Marta and Kicab</t>
  </si>
  <si>
    <t>878 Fearrington Post</t>
  </si>
  <si>
    <t>27312-5037</t>
  </si>
  <si>
    <t>martachase@mac.com</t>
  </si>
  <si>
    <t>chasemarta@gmail.com</t>
  </si>
  <si>
    <t>PPG180001001</t>
  </si>
  <si>
    <t>kicabcm@yahoo.com</t>
  </si>
  <si>
    <t>caseyem167@yahoo.com</t>
  </si>
  <si>
    <t>Mr. Robert C. Sclafani Jr.</t>
  </si>
  <si>
    <t>PO Box 1147</t>
  </si>
  <si>
    <t>06904-1147</t>
  </si>
  <si>
    <t>rsclafanijr@yahoo.com</t>
  </si>
  <si>
    <t>XPSAT</t>
  </si>
  <si>
    <t>PPG210001001</t>
  </si>
  <si>
    <t>Gribbon</t>
  </si>
  <si>
    <t>Ms. Roberta R. Gribbon</t>
  </si>
  <si>
    <t>6439 Landing Neck Rd</t>
  </si>
  <si>
    <t>21601-4513</t>
  </si>
  <si>
    <t>rgrib@verizon.net</t>
  </si>
  <si>
    <t>grib@goeaston.net</t>
  </si>
  <si>
    <t>X1754</t>
  </si>
  <si>
    <t>ALA23010C23A</t>
  </si>
  <si>
    <t>Mrs. Joyce L. and Mr. Thomas E. Miller</t>
  </si>
  <si>
    <t>Joyce and Thomas</t>
  </si>
  <si>
    <t>2548 Ford Dr</t>
  </si>
  <si>
    <t>Cape Girardeau</t>
  </si>
  <si>
    <t>63701-3619</t>
  </si>
  <si>
    <t>jmiller@noaddres.ea</t>
  </si>
  <si>
    <t>thosmiller@att.net</t>
  </si>
  <si>
    <t>X3725</t>
  </si>
  <si>
    <t>ALR2308D1WSC</t>
  </si>
  <si>
    <t>Barbara H. Allison</t>
  </si>
  <si>
    <t>6333 Rancho Mission Rd</t>
  </si>
  <si>
    <t>92108-2001</t>
  </si>
  <si>
    <t>dana.s.allison@gmail.com</t>
  </si>
  <si>
    <t>X3487</t>
  </si>
  <si>
    <t>ALR230902C54</t>
  </si>
  <si>
    <t>ALR080601003</t>
  </si>
  <si>
    <t>Ivy</t>
  </si>
  <si>
    <t>Mr. Tom Ivy</t>
  </si>
  <si>
    <t>503 Deer Hollow Dr</t>
  </si>
  <si>
    <t>Sugar Land</t>
  </si>
  <si>
    <t>77479-6465</t>
  </si>
  <si>
    <t>xivy69@yahoo.com</t>
  </si>
  <si>
    <t>X3733</t>
  </si>
  <si>
    <t>ALR221001C44</t>
  </si>
  <si>
    <t>H. Arlen</t>
  </si>
  <si>
    <t>Ms. H. Arlen Wood</t>
  </si>
  <si>
    <t>Ms. Wood</t>
  </si>
  <si>
    <t>621 26&amp;1/2 Rd Unit 414</t>
  </si>
  <si>
    <t>Village Coop of Grand Junction</t>
  </si>
  <si>
    <t>arlenaw61@gmail.com</t>
  </si>
  <si>
    <t>arlena@earthlink.net</t>
  </si>
  <si>
    <t>ALR2000D1PDC</t>
  </si>
  <si>
    <t>Corrine</t>
  </si>
  <si>
    <t>Moulton</t>
  </si>
  <si>
    <t>6605 E 134th Ter</t>
  </si>
  <si>
    <t>Grandview</t>
  </si>
  <si>
    <t>64030-3237</t>
  </si>
  <si>
    <t>cmmoulton@earthlink.net</t>
  </si>
  <si>
    <t>X1724</t>
  </si>
  <si>
    <t>ALS041101301</t>
  </si>
  <si>
    <t>Ebeling</t>
  </si>
  <si>
    <t>Ms. Lisa A. Ebeling</t>
  </si>
  <si>
    <t>16 Hooper Ave</t>
  </si>
  <si>
    <t>Atlantic Highlands</t>
  </si>
  <si>
    <t>07716-1501</t>
  </si>
  <si>
    <t>laebeling@gmail.com</t>
  </si>
  <si>
    <t>EEO240001002:FY24NYGALA</t>
  </si>
  <si>
    <t>XM2RL1K4W</t>
  </si>
  <si>
    <t>Vietzke</t>
  </si>
  <si>
    <t>Ms. Barbara Vietzke</t>
  </si>
  <si>
    <t>3207 Greenbriar Ln</t>
  </si>
  <si>
    <t>East Haven</t>
  </si>
  <si>
    <t>19390-9195</t>
  </si>
  <si>
    <t>mindseyebv@comcast.net</t>
  </si>
  <si>
    <t>X5706</t>
  </si>
  <si>
    <t>ALL23090B4BM</t>
  </si>
  <si>
    <t>ALR190700001</t>
  </si>
  <si>
    <t>Mary Anne</t>
  </si>
  <si>
    <t>Freyer</t>
  </si>
  <si>
    <t>3016 Riverside Park Rd</t>
  </si>
  <si>
    <t>32810-2995</t>
  </si>
  <si>
    <t>X5742</t>
  </si>
  <si>
    <t>ALA22120A13A</t>
  </si>
  <si>
    <t>ALA190400001</t>
  </si>
  <si>
    <t>Larilee</t>
  </si>
  <si>
    <t>Suiter</t>
  </si>
  <si>
    <t>Larilee B. Suiter</t>
  </si>
  <si>
    <t>185 Pine Haven Shores Rd Apt 116</t>
  </si>
  <si>
    <t>Shelburne</t>
  </si>
  <si>
    <t>05482-7806</t>
  </si>
  <si>
    <t>larilees@comcast.net</t>
  </si>
  <si>
    <t>X3746</t>
  </si>
  <si>
    <t>ALA24030A23R</t>
  </si>
  <si>
    <t>XGT2G6P</t>
  </si>
  <si>
    <t>Dunn</t>
  </si>
  <si>
    <t>Genean</t>
  </si>
  <si>
    <t>Thomas and Genean Dunn</t>
  </si>
  <si>
    <t>Thomas and Genean</t>
  </si>
  <si>
    <t>6965 El Camino Real Ste 105-463</t>
  </si>
  <si>
    <t>92009-4100</t>
  </si>
  <si>
    <t>tddandngd@gmail.com</t>
  </si>
  <si>
    <t>X7887</t>
  </si>
  <si>
    <t>ALA2112N0WSM</t>
  </si>
  <si>
    <t>XRH5P81EA</t>
  </si>
  <si>
    <t>ALA2211D6EMC</t>
  </si>
  <si>
    <t>Jann</t>
  </si>
  <si>
    <t>2043 SE 112th Ave</t>
  </si>
  <si>
    <t>97216-3607</t>
  </si>
  <si>
    <t>brownjann@hotmail.com</t>
  </si>
  <si>
    <t>X3745</t>
  </si>
  <si>
    <t>ATA230702999</t>
  </si>
  <si>
    <t>ATA230601001</t>
  </si>
  <si>
    <t>Weingarther</t>
  </si>
  <si>
    <t>Mrs. Joan A. Weingarther</t>
  </si>
  <si>
    <t>7 Sheridan Rd</t>
  </si>
  <si>
    <t>21012-2319</t>
  </si>
  <si>
    <t>X7716</t>
  </si>
  <si>
    <t>ALR050112001</t>
  </si>
  <si>
    <t>Moorhouse</t>
  </si>
  <si>
    <t>Mrs. Barbara R. Moorhouse</t>
  </si>
  <si>
    <t>632 Rolling Rock Rd</t>
  </si>
  <si>
    <t>48304-1055</t>
  </si>
  <si>
    <t>moorhouseb@yahoo.com</t>
  </si>
  <si>
    <t>ALA2304D2PSC</t>
  </si>
  <si>
    <t>Schlichter</t>
  </si>
  <si>
    <t>Ms. Beth Schlichter</t>
  </si>
  <si>
    <t>748 Cressman Ct</t>
  </si>
  <si>
    <t>Golden</t>
  </si>
  <si>
    <t>80403-1909</t>
  </si>
  <si>
    <t>bethschlichter@earthlink.net</t>
  </si>
  <si>
    <t>X7707</t>
  </si>
  <si>
    <t>ADA230001T01</t>
  </si>
  <si>
    <t>Strand</t>
  </si>
  <si>
    <t>Sherryl</t>
  </si>
  <si>
    <t>Mrs. Sherryl and Mr. Ted Strand</t>
  </si>
  <si>
    <t>Sherryl and Ted</t>
  </si>
  <si>
    <t>307 Horizon Ct</t>
  </si>
  <si>
    <t>Exton</t>
  </si>
  <si>
    <t>19341-2340</t>
  </si>
  <si>
    <t>strand307@gmail.com</t>
  </si>
  <si>
    <t>tedstrand@comcast.net</t>
  </si>
  <si>
    <t>ADA070001001</t>
  </si>
  <si>
    <t>Mr. John S. Cromlish</t>
  </si>
  <si>
    <t>1251 E Hudson Blvd</t>
  </si>
  <si>
    <t>28054-6102</t>
  </si>
  <si>
    <t>X9930</t>
  </si>
  <si>
    <t>Ms. Elaine K. Peacock</t>
  </si>
  <si>
    <t>237 Cannella Way</t>
  </si>
  <si>
    <t>Riverdale</t>
  </si>
  <si>
    <t>07457-1436</t>
  </si>
  <si>
    <t>eptravel2@gmail.com</t>
  </si>
  <si>
    <t>Glenna Hopkins</t>
  </si>
  <si>
    <t>461 Silver Dr</t>
  </si>
  <si>
    <t>81401-3816</t>
  </si>
  <si>
    <t>X9970</t>
  </si>
  <si>
    <t>ALR220303C44</t>
  </si>
  <si>
    <t>ALR131002044</t>
  </si>
  <si>
    <t>Furman</t>
  </si>
  <si>
    <t>Marian and Austin Furman</t>
  </si>
  <si>
    <t>Marian and Austin</t>
  </si>
  <si>
    <t>6300 E Speedway Blvd Apt 1320</t>
  </si>
  <si>
    <t>85710-1163</t>
  </si>
  <si>
    <t>X9954</t>
  </si>
  <si>
    <t>Shari</t>
  </si>
  <si>
    <t>Mrs. Shari and Mr. Michael Heymann</t>
  </si>
  <si>
    <t>Shari and Michael</t>
  </si>
  <si>
    <t>2232 Haymaker Ln</t>
  </si>
  <si>
    <t>80525-4302</t>
  </si>
  <si>
    <t>mwheymann@sbcglobal.net</t>
  </si>
  <si>
    <t>kestrel807@aol.com</t>
  </si>
  <si>
    <t>X9980</t>
  </si>
  <si>
    <t>ALR231101C44</t>
  </si>
  <si>
    <t>sheymann123@yahoo.com</t>
  </si>
  <si>
    <t>Karen and Paul Schaefer</t>
  </si>
  <si>
    <t>Karen and Paul</t>
  </si>
  <si>
    <t>51 Mountain Oak Ln</t>
  </si>
  <si>
    <t>Travelers Rest</t>
  </si>
  <si>
    <t>29690-3919</t>
  </si>
  <si>
    <t>spreelax2@hotmail.com</t>
  </si>
  <si>
    <t>X9994</t>
  </si>
  <si>
    <t>ATR220801001</t>
  </si>
  <si>
    <t>Ms. Story Clark and Mr. William Resor</t>
  </si>
  <si>
    <t>William and Story</t>
  </si>
  <si>
    <t>4445 N Moose-Wilson Road</t>
  </si>
  <si>
    <t>83014-9680</t>
  </si>
  <si>
    <t>wresor@wyom.net</t>
  </si>
  <si>
    <t>74647.2767@compuserve.com</t>
  </si>
  <si>
    <t>XAD87</t>
  </si>
  <si>
    <t>ADA201202T01:NEWSLETTER</t>
  </si>
  <si>
    <t>ADA160001002</t>
  </si>
  <si>
    <t>storyclark@mac.com</t>
  </si>
  <si>
    <t>Lynda</t>
  </si>
  <si>
    <t>Goldschein</t>
  </si>
  <si>
    <t>Mrs. Lynda R. Goldschein</t>
  </si>
  <si>
    <t>70 Sherwood Dr</t>
  </si>
  <si>
    <t>07069-6136</t>
  </si>
  <si>
    <t>lyndagoldschein@usa.net</t>
  </si>
  <si>
    <t>lgoldschein@optonline.net</t>
  </si>
  <si>
    <t>X9921</t>
  </si>
  <si>
    <t>TDM070701001</t>
  </si>
  <si>
    <t>Ms. Joan Kearsley</t>
  </si>
  <si>
    <t>8006 37th Ave NE</t>
  </si>
  <si>
    <t>98115-4904</t>
  </si>
  <si>
    <t>ALR230201C54</t>
  </si>
  <si>
    <t>Dr. Eugene J. and Mrs. Phyllis Goldman</t>
  </si>
  <si>
    <t>Eugene and Phyllis</t>
  </si>
  <si>
    <t>2220 Founders Dr Apt 125</t>
  </si>
  <si>
    <t>60062-5495</t>
  </si>
  <si>
    <t>phyllgoldman@gmail.com</t>
  </si>
  <si>
    <t>goldmanej@comcast.com</t>
  </si>
  <si>
    <t>ATA150301001</t>
  </si>
  <si>
    <t>phylgoldman@comcast.net</t>
  </si>
  <si>
    <t>Norris</t>
  </si>
  <si>
    <t>Mr. and Mrs. Arthur M. Norris</t>
  </si>
  <si>
    <t>10 Donnelly Dr</t>
  </si>
  <si>
    <t>01904-1425</t>
  </si>
  <si>
    <t>arthurnorris@hotmail.com</t>
  </si>
  <si>
    <t>artnorris@verizon.net</t>
  </si>
  <si>
    <t>ALR201001C33</t>
  </si>
  <si>
    <t>Ms. Patty Brown</t>
  </si>
  <si>
    <t>4701 S Fuller Ave</t>
  </si>
  <si>
    <t>Independence</t>
  </si>
  <si>
    <t>64055-5756</t>
  </si>
  <si>
    <t>pbbbrn5@sbcglobal.net</t>
  </si>
  <si>
    <t>X9952</t>
  </si>
  <si>
    <t>XA6GCCBAE</t>
  </si>
  <si>
    <t>XRI5B81E</t>
  </si>
  <si>
    <t>Mrs. Evelyn and Mr. Bob Wrin</t>
  </si>
  <si>
    <t>Evelyn and Bob</t>
  </si>
  <si>
    <t>5420 Connecticut Ave NW Unit 505</t>
  </si>
  <si>
    <t>20015-2818</t>
  </si>
  <si>
    <t>evbobwrin@verizon.net</t>
  </si>
  <si>
    <t>X168</t>
  </si>
  <si>
    <t>ALA2312D1WSC</t>
  </si>
  <si>
    <t>NEE170001001</t>
  </si>
  <si>
    <t>Marilou</t>
  </si>
  <si>
    <t>Tom and Marilou Nolan</t>
  </si>
  <si>
    <t>Tom and Marilou</t>
  </si>
  <si>
    <t>1835 Circle Ln SE Apt 221</t>
  </si>
  <si>
    <t>98503-2574</t>
  </si>
  <si>
    <t>XND87</t>
  </si>
  <si>
    <t>ALR201101C33</t>
  </si>
  <si>
    <t>XT4PRBDX4</t>
  </si>
  <si>
    <t>Pezrow</t>
  </si>
  <si>
    <t>Ms. Martha J. Pezrow</t>
  </si>
  <si>
    <t>425 Dovecote Cir</t>
  </si>
  <si>
    <t>35244-3205</t>
  </si>
  <si>
    <t>Coquillette</t>
  </si>
  <si>
    <t>Gary and Sharon Coquillette</t>
  </si>
  <si>
    <t>Gary and Sharon</t>
  </si>
  <si>
    <t>1020 SE Fairway Dr</t>
  </si>
  <si>
    <t>Cedaredge</t>
  </si>
  <si>
    <t>81413-9535</t>
  </si>
  <si>
    <t>hawkeyes2utah@q.com</t>
  </si>
  <si>
    <t>hawkeyes2utah@comcast.net</t>
  </si>
  <si>
    <t>X150</t>
  </si>
  <si>
    <t>ALA23070A24C</t>
  </si>
  <si>
    <t>ALR220301C33</t>
  </si>
  <si>
    <t>Alswager-Klein</t>
  </si>
  <si>
    <t>Michael Klein and Renae Alswager-Klein</t>
  </si>
  <si>
    <t>Michael and Renae</t>
  </si>
  <si>
    <t>5 Valhalla Ct</t>
  </si>
  <si>
    <t>53719-3038</t>
  </si>
  <si>
    <t>mikren6@hotmail.com</t>
  </si>
  <si>
    <t>kleinmra@sbcglobal.net</t>
  </si>
  <si>
    <t>X137</t>
  </si>
  <si>
    <t>ALR240103C54</t>
  </si>
  <si>
    <t>Estella</t>
  </si>
  <si>
    <t>Lauter</t>
  </si>
  <si>
    <t>Dr. Estella and Mr. Charles Lauter</t>
  </si>
  <si>
    <t>Estella and Charles</t>
  </si>
  <si>
    <t>3092 Gibraltar Rd</t>
  </si>
  <si>
    <t>Fish Creek</t>
  </si>
  <si>
    <t>54212-9482</t>
  </si>
  <si>
    <t>estella.lauter@gmail.com</t>
  </si>
  <si>
    <t>X149</t>
  </si>
  <si>
    <t>lauterc@hotmail.com</t>
  </si>
  <si>
    <t>ALA2003D5EMC</t>
  </si>
  <si>
    <t>Lynady</t>
  </si>
  <si>
    <t>Mrs. Pamela and Mr. Thomas D. Lynady</t>
  </si>
  <si>
    <t>Pamela and Thomas</t>
  </si>
  <si>
    <t>5105 Parkway Cir W</t>
  </si>
  <si>
    <t>80525-3872</t>
  </si>
  <si>
    <t>tdlynady@gmail.com</t>
  </si>
  <si>
    <t>praxadice@aol.com</t>
  </si>
  <si>
    <t>X115</t>
  </si>
  <si>
    <t>ALA24010E14A</t>
  </si>
  <si>
    <t>ALA24010A14A</t>
  </si>
  <si>
    <t>Halpern</t>
  </si>
  <si>
    <t>2650 Cherryridge Rd</t>
  </si>
  <si>
    <t>80113-6037</t>
  </si>
  <si>
    <t>aelantz@icloud.com</t>
  </si>
  <si>
    <t>aelantz28@gmail.com</t>
  </si>
  <si>
    <t>ALR191000001</t>
  </si>
  <si>
    <t>ATA1412T1EMC</t>
  </si>
  <si>
    <t>Gary and Susan Sterner</t>
  </si>
  <si>
    <t>Gary and Susan</t>
  </si>
  <si>
    <t>400 Westside Rd</t>
  </si>
  <si>
    <t>98250-8601</t>
  </si>
  <si>
    <t>X116</t>
  </si>
  <si>
    <t>ALA100001001</t>
  </si>
  <si>
    <t>XR99996</t>
  </si>
  <si>
    <t>ALQ2403BJ002</t>
  </si>
  <si>
    <t>Blakey</t>
  </si>
  <si>
    <t>Steve and Janice Blakey</t>
  </si>
  <si>
    <t>Steve and Janice</t>
  </si>
  <si>
    <t>893 Coyote Trl</t>
  </si>
  <si>
    <t>Spring Branch</t>
  </si>
  <si>
    <t>78070-6335</t>
  </si>
  <si>
    <t>janiceblakey@hotmail.com</t>
  </si>
  <si>
    <t>steven.blakey@kcc.com</t>
  </si>
  <si>
    <t>X7725</t>
  </si>
  <si>
    <t>ALA16070G13A</t>
  </si>
  <si>
    <t>ALR030602003</t>
  </si>
  <si>
    <t>Ms. Katherine J. Bishop</t>
  </si>
  <si>
    <t>30 Walden Rd</t>
  </si>
  <si>
    <t>17042-4140</t>
  </si>
  <si>
    <t>kbishop@lebsea.com</t>
  </si>
  <si>
    <t>X0288</t>
  </si>
  <si>
    <t>ADA240001M01</t>
  </si>
  <si>
    <t>Ms. Prudence I. Clendenning and Mr. Robert T. Clopp</t>
  </si>
  <si>
    <t>Prudence and Robert</t>
  </si>
  <si>
    <t>113 Park Ave</t>
  </si>
  <si>
    <t>21037-1314</t>
  </si>
  <si>
    <t>cprudence@hotmail.com</t>
  </si>
  <si>
    <t>prue1244@gmail.com</t>
  </si>
  <si>
    <t>X8C11</t>
  </si>
  <si>
    <t>ATA150101001</t>
  </si>
  <si>
    <t>Foxwell</t>
  </si>
  <si>
    <t>Finley</t>
  </si>
  <si>
    <t>Lisa Foxwell and Paul Finley</t>
  </si>
  <si>
    <t>Lisa and Paul</t>
  </si>
  <si>
    <t>PO Box 821</t>
  </si>
  <si>
    <t>81423-0821</t>
  </si>
  <si>
    <t>manyponies@mindspring.com</t>
  </si>
  <si>
    <t>X8C05</t>
  </si>
  <si>
    <t>ALA230400001</t>
  </si>
  <si>
    <t>Ms. Betty L. Schnaar</t>
  </si>
  <si>
    <t>3922 San Mateo Ave</t>
  </si>
  <si>
    <t>Los Alamitos</t>
  </si>
  <si>
    <t>90720-2251</t>
  </si>
  <si>
    <t>ALQ191000001</t>
  </si>
  <si>
    <t>Werner</t>
  </si>
  <si>
    <t>Paul Werner</t>
  </si>
  <si>
    <t>5829 Sacramento Ave</t>
  </si>
  <si>
    <t>94804-5609</t>
  </si>
  <si>
    <t>X8C02</t>
  </si>
  <si>
    <t>pauldwerner2000@yahoo.com</t>
  </si>
  <si>
    <t>Fike</t>
  </si>
  <si>
    <t>Mrs. Mary M. Fike</t>
  </si>
  <si>
    <t>8824 Rainbow Ridge Dr</t>
  </si>
  <si>
    <t>89117-5815</t>
  </si>
  <si>
    <t>marymichael9351@gmail.com</t>
  </si>
  <si>
    <t>X8D23</t>
  </si>
  <si>
    <t>Buchi</t>
  </si>
  <si>
    <t>Kenneth and Karen Buchi</t>
  </si>
  <si>
    <t>Kenneth and Karen</t>
  </si>
  <si>
    <t>2944 E Saint Marys Way</t>
  </si>
  <si>
    <t>84108-2044</t>
  </si>
  <si>
    <t>emmyrubee@gmail.com</t>
  </si>
  <si>
    <t>knbuchi@me.com</t>
  </si>
  <si>
    <t>X8E01</t>
  </si>
  <si>
    <t>NEE230031001:FY23STTP</t>
  </si>
  <si>
    <t>karen.buchi@gmail.com</t>
  </si>
  <si>
    <t>Cornelia</t>
  </si>
  <si>
    <t>Remy</t>
  </si>
  <si>
    <t>Cornelia M. Remy</t>
  </si>
  <si>
    <t>13406 SE Fairwood Blvd</t>
  </si>
  <si>
    <t>98058-6957</t>
  </si>
  <si>
    <t>remycornelia@gmail.com</t>
  </si>
  <si>
    <t>tlmcreamy@q.com</t>
  </si>
  <si>
    <t>X8D11</t>
  </si>
  <si>
    <t>Starling</t>
  </si>
  <si>
    <t>Ms. Mary Lou Starling</t>
  </si>
  <si>
    <t>5 Harwood Dr</t>
  </si>
  <si>
    <t>Harwood</t>
  </si>
  <si>
    <t>20776-9773</t>
  </si>
  <si>
    <t>maryloustarling@msn.com</t>
  </si>
  <si>
    <t>X8D17</t>
  </si>
  <si>
    <t>ALR2306D3WSC</t>
  </si>
  <si>
    <t>ALR170702033</t>
  </si>
  <si>
    <t>Knable</t>
  </si>
  <si>
    <t>Mary Knable</t>
  </si>
  <si>
    <t>7435 Gabarda Rd</t>
  </si>
  <si>
    <t>93422-4731</t>
  </si>
  <si>
    <t>X8D06</t>
  </si>
  <si>
    <t>ALA24010A55H</t>
  </si>
  <si>
    <t>Clementine</t>
  </si>
  <si>
    <t>McGowin</t>
  </si>
  <si>
    <t>Whitman</t>
  </si>
  <si>
    <t>Ms. Clementine M. Whitman</t>
  </si>
  <si>
    <t>71 Woodlore Cir</t>
  </si>
  <si>
    <t>Little Rock</t>
  </si>
  <si>
    <t>72211-2379</t>
  </si>
  <si>
    <t>clementine22@att.net</t>
  </si>
  <si>
    <t>XPCH</t>
  </si>
  <si>
    <t>ALA1501D1PDC</t>
  </si>
  <si>
    <t>Lloyd Olson</t>
  </si>
  <si>
    <t>8200 Main St N Apt 404</t>
  </si>
  <si>
    <t>55369-7220</t>
  </si>
  <si>
    <t>ALR240105C33</t>
  </si>
  <si>
    <t>XRC0A93PG</t>
  </si>
  <si>
    <t>Ms. Madeline A. Renkens</t>
  </si>
  <si>
    <t>329 Avenue C</t>
  </si>
  <si>
    <t>98290-2732</t>
  </si>
  <si>
    <t>annierose1998@yahoo.com</t>
  </si>
  <si>
    <t>madelinerenkens@gmail.com</t>
  </si>
  <si>
    <t>ALR210701C33</t>
  </si>
  <si>
    <t>Coy</t>
  </si>
  <si>
    <t>509 Cofer Ct</t>
  </si>
  <si>
    <t>Walnut</t>
  </si>
  <si>
    <t>91789-5208</t>
  </si>
  <si>
    <t>carolcoy.egret@gmail.com</t>
  </si>
  <si>
    <t>coywilford@verizon.net</t>
  </si>
  <si>
    <t>X8C12</t>
  </si>
  <si>
    <t>ALR220610C33</t>
  </si>
  <si>
    <t>ALR101202004</t>
  </si>
  <si>
    <t>Ralph L. Pernice</t>
  </si>
  <si>
    <t>14528 Trillium Dr</t>
  </si>
  <si>
    <t>49012-9330</t>
  </si>
  <si>
    <t>edgecliff@aol.com</t>
  </si>
  <si>
    <t>X8G02</t>
  </si>
  <si>
    <t>ALA21060E56H</t>
  </si>
  <si>
    <t>Richard and Jean Jones</t>
  </si>
  <si>
    <t>Richard and Jean</t>
  </si>
  <si>
    <t>15 James Way</t>
  </si>
  <si>
    <t>02359-2700</t>
  </si>
  <si>
    <t>Preston</t>
  </si>
  <si>
    <t>Miss Joyce Preston</t>
  </si>
  <si>
    <t>120 Clement Rd</t>
  </si>
  <si>
    <t>48917-3601</t>
  </si>
  <si>
    <t>hjoycepreston@aol.com</t>
  </si>
  <si>
    <t>X8H04</t>
  </si>
  <si>
    <t>ALR130301033</t>
  </si>
  <si>
    <t>Mr. George W. Cushman</t>
  </si>
  <si>
    <t>35 Evergreen Dr</t>
  </si>
  <si>
    <t>02871-2214</t>
  </si>
  <si>
    <t>ALR090503403</t>
  </si>
  <si>
    <t>PPG070001001</t>
  </si>
  <si>
    <t>Mr. Stephen M. Brenner</t>
  </si>
  <si>
    <t>2333 N Geneva Terrace #3C</t>
  </si>
  <si>
    <t>60614-3388</t>
  </si>
  <si>
    <t>st_brenner@yahoo.com</t>
  </si>
  <si>
    <t>ste.brenr@gmail.com</t>
  </si>
  <si>
    <t>ALA20070A13C</t>
  </si>
  <si>
    <t>ALL18070A53M</t>
  </si>
  <si>
    <t>Ridener</t>
  </si>
  <si>
    <t>Diana and Larry Ridener</t>
  </si>
  <si>
    <t>Diana and Larry</t>
  </si>
  <si>
    <t>5852 Blue Rock Rd</t>
  </si>
  <si>
    <t>45247-2618</t>
  </si>
  <si>
    <t>lridener@fuse.net</t>
  </si>
  <si>
    <t>ALA2312D2WSC</t>
  </si>
  <si>
    <t>Mr. Paul Turnrose</t>
  </si>
  <si>
    <t>84 Overlook Ave</t>
  </si>
  <si>
    <t>06010-7930</t>
  </si>
  <si>
    <t>X8I11</t>
  </si>
  <si>
    <t>ALR151201013</t>
  </si>
  <si>
    <t>XRJ2A47</t>
  </si>
  <si>
    <t>Schonberger</t>
  </si>
  <si>
    <t>Lawrence and Rachel Schonberger</t>
  </si>
  <si>
    <t>Lawrence and Rachel</t>
  </si>
  <si>
    <t>1686 Grove Park Way</t>
  </si>
  <si>
    <t>Decatur</t>
  </si>
  <si>
    <t>30033-1347</t>
  </si>
  <si>
    <t>lbs1@cdc.gov</t>
  </si>
  <si>
    <t>X8I07</t>
  </si>
  <si>
    <t>ALA14120A55H</t>
  </si>
  <si>
    <t>Mr. Carl Nollen</t>
  </si>
  <si>
    <t>9204 SE 56th Ave</t>
  </si>
  <si>
    <t>50237-2218</t>
  </si>
  <si>
    <t>nollenca@hotmail.com</t>
  </si>
  <si>
    <t>nolanca@hotmail.com</t>
  </si>
  <si>
    <t>X8G05</t>
  </si>
  <si>
    <t>Leonardo</t>
  </si>
  <si>
    <t>Ms. Sherry C. Leonardo</t>
  </si>
  <si>
    <t>707 Zumwalt Ave</t>
  </si>
  <si>
    <t>64030-1717</t>
  </si>
  <si>
    <t>home172@aol.com</t>
  </si>
  <si>
    <t>X8C31</t>
  </si>
  <si>
    <t>ALA23110A13R</t>
  </si>
  <si>
    <t>XRA5A61E</t>
  </si>
  <si>
    <t>Z</t>
  </si>
  <si>
    <t>Mrs. Sharon Z. Barry</t>
  </si>
  <si>
    <t>17422 Alta Vista Cir</t>
  </si>
  <si>
    <t>Huntington Beach</t>
  </si>
  <si>
    <t>92647-6130</t>
  </si>
  <si>
    <t>szbarry@verizon.net</t>
  </si>
  <si>
    <t>X8J04</t>
  </si>
  <si>
    <t>ALL20120A5BM</t>
  </si>
  <si>
    <t>ATR210101001</t>
  </si>
  <si>
    <t>Parisi</t>
  </si>
  <si>
    <t>18 Winding Way</t>
  </si>
  <si>
    <t>14086-9693</t>
  </si>
  <si>
    <t>X8J12</t>
  </si>
  <si>
    <t>ALR240601C33</t>
  </si>
  <si>
    <t>Mrs. Martha and Mr. Fred Wetzel</t>
  </si>
  <si>
    <t>Martha and Fred</t>
  </si>
  <si>
    <t>1286 Hiller Ln</t>
  </si>
  <si>
    <t>52601-8203</t>
  </si>
  <si>
    <t>X8J13</t>
  </si>
  <si>
    <t>PPG190001001</t>
  </si>
  <si>
    <t>fcmmwetz@gmail.com</t>
  </si>
  <si>
    <t>Schleicher</t>
  </si>
  <si>
    <t>Ms. Kathy L. Schleicher</t>
  </si>
  <si>
    <t>27W271 Virginia St</t>
  </si>
  <si>
    <t>Winfield</t>
  </si>
  <si>
    <t>60190-1801</t>
  </si>
  <si>
    <t>klschl47@gmail.com</t>
  </si>
  <si>
    <t>groenerd@aol.com</t>
  </si>
  <si>
    <t>X8J07</t>
  </si>
  <si>
    <t>ALR240701C44</t>
  </si>
  <si>
    <t>XRD1A34</t>
  </si>
  <si>
    <t>Mr. Stuart T. Baird</t>
  </si>
  <si>
    <t>479 Old Forge Xing</t>
  </si>
  <si>
    <t>Devon</t>
  </si>
  <si>
    <t>19333-1124</t>
  </si>
  <si>
    <t>stubaird213@gmail.com</t>
  </si>
  <si>
    <t>X8J08</t>
  </si>
  <si>
    <t>ALR240401C44</t>
  </si>
  <si>
    <t>Claude</t>
  </si>
  <si>
    <t>Phipps</t>
  </si>
  <si>
    <t>Mr. Claude O. Phipps</t>
  </si>
  <si>
    <t>2361 Chambers Lake Ln SE</t>
  </si>
  <si>
    <t>98503-6957</t>
  </si>
  <si>
    <t>mynewview2023@outlook.com</t>
  </si>
  <si>
    <t>here4now2@myfairpoint.net</t>
  </si>
  <si>
    <t>X8K02</t>
  </si>
  <si>
    <t>ALR231001C66</t>
  </si>
  <si>
    <t>10 W Gunsmoke Rd</t>
  </si>
  <si>
    <t>Sedona</t>
  </si>
  <si>
    <t>86336-3775</t>
  </si>
  <si>
    <t>theterry@earthlink.net</t>
  </si>
  <si>
    <t>theterry1@earthlink.net</t>
  </si>
  <si>
    <t>X8I14</t>
  </si>
  <si>
    <t>ALA23050B25A</t>
  </si>
  <si>
    <t>ALA11040A14A</t>
  </si>
  <si>
    <t>Erbeck</t>
  </si>
  <si>
    <t>Pamela Erbeck</t>
  </si>
  <si>
    <t>18521 Van Ness Ave</t>
  </si>
  <si>
    <t>90504-5312</t>
  </si>
  <si>
    <t>X8K03</t>
  </si>
  <si>
    <t>ALR160602033</t>
  </si>
  <si>
    <t>ALR040304003</t>
  </si>
  <si>
    <t>Jonellen</t>
  </si>
  <si>
    <t>Goddard</t>
  </si>
  <si>
    <t>Jonellen Goddard</t>
  </si>
  <si>
    <t>18721 Edgecliff Dr SW</t>
  </si>
  <si>
    <t>Normandy Park</t>
  </si>
  <si>
    <t>98166-3821</t>
  </si>
  <si>
    <t>ALL21090A5BM</t>
  </si>
  <si>
    <t>ALA19050A15R</t>
  </si>
  <si>
    <t>Mr. John P. and Mrs. Patricia S. Case</t>
  </si>
  <si>
    <t>John and Patricia</t>
  </si>
  <si>
    <t>5029 E Hearn Rd</t>
  </si>
  <si>
    <t>85254-2840</t>
  </si>
  <si>
    <t>jcase41@cox.net</t>
  </si>
  <si>
    <t>jcase@cox.net</t>
  </si>
  <si>
    <t>X8K06</t>
  </si>
  <si>
    <t>ADA080002001</t>
  </si>
  <si>
    <t>Boger</t>
  </si>
  <si>
    <t>Mrs. Jane Boger</t>
  </si>
  <si>
    <t>5451 Crossett Rd</t>
  </si>
  <si>
    <t>14454-9551</t>
  </si>
  <si>
    <t>flipjanieb@gmail.com</t>
  </si>
  <si>
    <t>bogerjp@msn.com</t>
  </si>
  <si>
    <t>X8J23</t>
  </si>
  <si>
    <t>ALA22121NSM</t>
  </si>
  <si>
    <t>ALA1912N0MDC</t>
  </si>
  <si>
    <t>Grimes</t>
  </si>
  <si>
    <t>3710 S Star Lake Rd</t>
  </si>
  <si>
    <t>98001-1321</t>
  </si>
  <si>
    <t>XND88</t>
  </si>
  <si>
    <t>ALA23030B44A</t>
  </si>
  <si>
    <t>ALR210702C33</t>
  </si>
  <si>
    <t>Beulah</t>
  </si>
  <si>
    <t>585 Skippack Pike Ste 100</t>
  </si>
  <si>
    <t>Blue Bell</t>
  </si>
  <si>
    <t>19422-2147</t>
  </si>
  <si>
    <t>X8I10</t>
  </si>
  <si>
    <t>Mr. and Mrs. Roland E. Baars</t>
  </si>
  <si>
    <t>42044 Mendel Dr</t>
  </si>
  <si>
    <t>Sterling Heights</t>
  </si>
  <si>
    <t>48313-2578</t>
  </si>
  <si>
    <t>ALA24010B25A</t>
  </si>
  <si>
    <t>ALA18080C14A</t>
  </si>
  <si>
    <t>Konwinski</t>
  </si>
  <si>
    <t>Mr. Edmund J. Konwinski</t>
  </si>
  <si>
    <t>924 Manor Dr</t>
  </si>
  <si>
    <t>Wilmette</t>
  </si>
  <si>
    <t>60091-1045</t>
  </si>
  <si>
    <t>mydroid85@gmail.com</t>
  </si>
  <si>
    <t>X8C32</t>
  </si>
  <si>
    <t>ALR210312C20</t>
  </si>
  <si>
    <t>ALR181205023</t>
  </si>
  <si>
    <t>Baughman</t>
  </si>
  <si>
    <t>Leandra</t>
  </si>
  <si>
    <t>Sunseri</t>
  </si>
  <si>
    <t>Ms. Leandra Sunseri and Mr. Kenneth Baughman</t>
  </si>
  <si>
    <t>Leandra and Kenneth</t>
  </si>
  <si>
    <t>717 W 7th St</t>
  </si>
  <si>
    <t>Cedar Falls</t>
  </si>
  <si>
    <t>50613-2509</t>
  </si>
  <si>
    <t>bennybear11409@gmail.com</t>
  </si>
  <si>
    <t>X8K09</t>
  </si>
  <si>
    <t>ATR221201001</t>
  </si>
  <si>
    <t>Debaets</t>
  </si>
  <si>
    <t>Ms. Donna L. Debaets</t>
  </si>
  <si>
    <t>19503 N 140th Ave</t>
  </si>
  <si>
    <t>Sun City West</t>
  </si>
  <si>
    <t>85375-5656</t>
  </si>
  <si>
    <t>leisure88@sonic.net</t>
  </si>
  <si>
    <t>donnagin@sonic.net</t>
  </si>
  <si>
    <t>XRM88</t>
  </si>
  <si>
    <t>Tom Rogers</t>
  </si>
  <si>
    <t>3342 Alpine Dr</t>
  </si>
  <si>
    <t>48108-1894</t>
  </si>
  <si>
    <t>thomasrogers@hotmail.com</t>
  </si>
  <si>
    <t>trogers@umich.edu</t>
  </si>
  <si>
    <t>ALG150001001</t>
  </si>
  <si>
    <t>Ms. M. G. Conklin</t>
  </si>
  <si>
    <t>Ms. Conklin</t>
  </si>
  <si>
    <t>55 S Kukui St Apt 3008</t>
  </si>
  <si>
    <t>96813-2302</t>
  </si>
  <si>
    <t>mgayconklin@gmail.com</t>
  </si>
  <si>
    <t>X3726</t>
  </si>
  <si>
    <t>ALA23010B45A</t>
  </si>
  <si>
    <t>ALA17010A15A</t>
  </si>
  <si>
    <t>Boyd Warren</t>
  </si>
  <si>
    <t>N6742 County Road B</t>
  </si>
  <si>
    <t>Lake Mills</t>
  </si>
  <si>
    <t>53551-9757</t>
  </si>
  <si>
    <t>boppi@charter.net</t>
  </si>
  <si>
    <t>ALR240601C54</t>
  </si>
  <si>
    <t>ALA23080B15A</t>
  </si>
  <si>
    <t>Kacser</t>
  </si>
  <si>
    <t>5809 Nicholson Ln</t>
  </si>
  <si>
    <t>20852-5701</t>
  </si>
  <si>
    <t>lindajkacser@gmail.com</t>
  </si>
  <si>
    <t>kacser@umd.edu</t>
  </si>
  <si>
    <t>X8H08</t>
  </si>
  <si>
    <t>ALR191005C54</t>
  </si>
  <si>
    <t>ALA070301051</t>
  </si>
  <si>
    <t>Dembrow</t>
  </si>
  <si>
    <t>Mr. David A. Dembrow</t>
  </si>
  <si>
    <t>132 Evergreen St</t>
  </si>
  <si>
    <t>20164-2411</t>
  </si>
  <si>
    <t>ddembrow@yahoo.com</t>
  </si>
  <si>
    <t>dembrow_david@acm.org</t>
  </si>
  <si>
    <t>X9A24</t>
  </si>
  <si>
    <t>ALAXXXXD0WSC</t>
  </si>
  <si>
    <t>Deanna</t>
  </si>
  <si>
    <t>Shively</t>
  </si>
  <si>
    <t>Deanna Shively</t>
  </si>
  <si>
    <t>10010 E 825 N</t>
  </si>
  <si>
    <t>Walkerton</t>
  </si>
  <si>
    <t>46574-8105</t>
  </si>
  <si>
    <t>d4shively@embarqmail.com</t>
  </si>
  <si>
    <t>X9A18</t>
  </si>
  <si>
    <t>ALR231006C33</t>
  </si>
  <si>
    <t>Ms. Phyllis L. Woodward</t>
  </si>
  <si>
    <t>11 Lincoln House Pt</t>
  </si>
  <si>
    <t>Swampscott</t>
  </si>
  <si>
    <t>01907-2707</t>
  </si>
  <si>
    <t>plwoodward@comcast.net</t>
  </si>
  <si>
    <t>XFDGS</t>
  </si>
  <si>
    <t>XM0RB0U1D</t>
  </si>
  <si>
    <t>Sadahiro</t>
  </si>
  <si>
    <t>Ms. Janice N. Sadahiro</t>
  </si>
  <si>
    <t>2102 N Mantle Ln</t>
  </si>
  <si>
    <t>Santa Ana</t>
  </si>
  <si>
    <t>92705-7612</t>
  </si>
  <si>
    <t>jsadahir@noaddress.ea</t>
  </si>
  <si>
    <t>gomi.bin@yahoo.com</t>
  </si>
  <si>
    <t>ALA23030A55H</t>
  </si>
  <si>
    <t>Don Baker</t>
  </si>
  <si>
    <t>3151 Mayfield Rd Apt 1125</t>
  </si>
  <si>
    <t>44118-1756</t>
  </si>
  <si>
    <t>donaldabaker@att.net</t>
  </si>
  <si>
    <t>X9A16</t>
  </si>
  <si>
    <t>ALA071201051</t>
  </si>
  <si>
    <t>XRG9B96E</t>
  </si>
  <si>
    <t>Judith Miller</t>
  </si>
  <si>
    <t>80 Michael Blake Blvd Apt 120</t>
  </si>
  <si>
    <t>Winter Springs</t>
  </si>
  <si>
    <t>32708-6628</t>
  </si>
  <si>
    <t>theegrandma@hotmail.com</t>
  </si>
  <si>
    <t>thegrayone@gmail.com</t>
  </si>
  <si>
    <t>X9A29</t>
  </si>
  <si>
    <t>ALR230505C44</t>
  </si>
  <si>
    <t>ALR040302103</t>
  </si>
  <si>
    <t>Theodos</t>
  </si>
  <si>
    <t>Andrew and Margaret Theodos</t>
  </si>
  <si>
    <t>Andrew and Margaret</t>
  </si>
  <si>
    <t>2111 Woodhill Pl</t>
  </si>
  <si>
    <t>Saint Albans</t>
  </si>
  <si>
    <t>25177-3532</t>
  </si>
  <si>
    <t>atheodos12@gmail.com</t>
  </si>
  <si>
    <t>ALA2403D4EMC</t>
  </si>
  <si>
    <t>ALA2103D1EMC</t>
  </si>
  <si>
    <t>Goeking</t>
  </si>
  <si>
    <t>Mr. Charles F. Goeking Jr.</t>
  </si>
  <si>
    <t>9407 Needham Cross Dr</t>
  </si>
  <si>
    <t>77379-3087</t>
  </si>
  <si>
    <t>cgoeking@aol.com</t>
  </si>
  <si>
    <t>X9A28</t>
  </si>
  <si>
    <t>ALS230501WS3R</t>
  </si>
  <si>
    <t>ALR20XX0W001</t>
  </si>
  <si>
    <t>Prange</t>
  </si>
  <si>
    <t>134 Rainbow Dr Pmb 3436</t>
  </si>
  <si>
    <t>77399-1034</t>
  </si>
  <si>
    <t>greatbeeper@yahoo.com</t>
  </si>
  <si>
    <t>X9A08</t>
  </si>
  <si>
    <t>ALR161208064</t>
  </si>
  <si>
    <t>ALR100403004</t>
  </si>
  <si>
    <t>Adrian Achtermann</t>
  </si>
  <si>
    <t>3060 Ardoon Way</t>
  </si>
  <si>
    <t>Silver Lake</t>
  </si>
  <si>
    <t>44224-3802</t>
  </si>
  <si>
    <t>a.achtermann@earthlink.net</t>
  </si>
  <si>
    <t>X9A31</t>
  </si>
  <si>
    <t>ALR230205C23</t>
  </si>
  <si>
    <t>Mr. Kenneth B. Collins</t>
  </si>
  <si>
    <t>235 Churchill Ct</t>
  </si>
  <si>
    <t>30214-7386</t>
  </si>
  <si>
    <t>coll0781@bellsouth.net</t>
  </si>
  <si>
    <t>ALR221213C50</t>
  </si>
  <si>
    <t>ALR211203C54</t>
  </si>
  <si>
    <t>Gille</t>
  </si>
  <si>
    <t>Susan Gille</t>
  </si>
  <si>
    <t>220 S Clayton Ave</t>
  </si>
  <si>
    <t>64468-2040</t>
  </si>
  <si>
    <t>gilleglsv@embarqmail.com</t>
  </si>
  <si>
    <t>ALA15020D55H</t>
  </si>
  <si>
    <t>Coleman</t>
  </si>
  <si>
    <t>Gert</t>
  </si>
  <si>
    <t>Peter and Gert Coleman</t>
  </si>
  <si>
    <t>Peter and Gert</t>
  </si>
  <si>
    <t>3456 County Highway 35</t>
  </si>
  <si>
    <t>Schenevus</t>
  </si>
  <si>
    <t>12155-3616</t>
  </si>
  <si>
    <t>disezd@gmail.com</t>
  </si>
  <si>
    <t>colemanp58@gmail.com</t>
  </si>
  <si>
    <t>X8I01</t>
  </si>
  <si>
    <t>ALR220101C66</t>
  </si>
  <si>
    <t>Drew</t>
  </si>
  <si>
    <t>Ms. Shirley A. Drew</t>
  </si>
  <si>
    <t>5821 E 100 N</t>
  </si>
  <si>
    <t>46901-8316</t>
  </si>
  <si>
    <t>sakdrew@aol.com</t>
  </si>
  <si>
    <t>X8E02</t>
  </si>
  <si>
    <t>ALQXXXX02WSC</t>
  </si>
  <si>
    <t>ALR101204003</t>
  </si>
  <si>
    <t>Miss Linda Springman</t>
  </si>
  <si>
    <t>PO Box 422</t>
  </si>
  <si>
    <t>62035-0422</t>
  </si>
  <si>
    <t>lumberlady@charter.net</t>
  </si>
  <si>
    <t>Webster</t>
  </si>
  <si>
    <t>1016 Massachusetts Ave Apt 4</t>
  </si>
  <si>
    <t>02476-4511</t>
  </si>
  <si>
    <t>cwebster02472@yahoo.com</t>
  </si>
  <si>
    <t>XNASF1206</t>
  </si>
  <si>
    <t>Benson</t>
  </si>
  <si>
    <t>75 Henry St</t>
  </si>
  <si>
    <t>Apt  14-G</t>
  </si>
  <si>
    <t>11201-1756</t>
  </si>
  <si>
    <t>XNASF3413</t>
  </si>
  <si>
    <t>Gebhardt</t>
  </si>
  <si>
    <t>Ms. Betty A. Gebhardt</t>
  </si>
  <si>
    <t>502 N 28th St</t>
  </si>
  <si>
    <t>62301-3627</t>
  </si>
  <si>
    <t>gebhardtbetty@in.com</t>
  </si>
  <si>
    <t>johngebhardt@att.net</t>
  </si>
  <si>
    <t>XNABF3712</t>
  </si>
  <si>
    <t>ALR240501C33</t>
  </si>
  <si>
    <t>Althaus</t>
  </si>
  <si>
    <t>Ms. Priscilla Althaus</t>
  </si>
  <si>
    <t>953 Althaus-Davis Road</t>
  </si>
  <si>
    <t>78624-6815</t>
  </si>
  <si>
    <t>prisalthaus@mac.com</t>
  </si>
  <si>
    <t>prisalthaus@me.com</t>
  </si>
  <si>
    <t>XNASF4014</t>
  </si>
  <si>
    <t>Myra</t>
  </si>
  <si>
    <t>Greenberg</t>
  </si>
  <si>
    <t>Ms. Myra Greenberg</t>
  </si>
  <si>
    <t>1010 Alameda De Las Pulgas</t>
  </si>
  <si>
    <t># 226</t>
  </si>
  <si>
    <t>94002-3508</t>
  </si>
  <si>
    <t>XNASF1313</t>
  </si>
  <si>
    <t>ALR210112C40</t>
  </si>
  <si>
    <t>ALR120301003</t>
  </si>
  <si>
    <t>Went</t>
  </si>
  <si>
    <t>45 Runnymede Dr</t>
  </si>
  <si>
    <t>07470-3036</t>
  </si>
  <si>
    <t>Mrs. Myra and Mr. James E. Sparesus</t>
  </si>
  <si>
    <t>Myra and James</t>
  </si>
  <si>
    <t>475 Eton Dr</t>
  </si>
  <si>
    <t>North Barrington</t>
  </si>
  <si>
    <t>60010-2113</t>
  </si>
  <si>
    <t>jsparesus@comcast.net</t>
  </si>
  <si>
    <t>XNAET3306</t>
  </si>
  <si>
    <t>ALA23100E43A</t>
  </si>
  <si>
    <t>ALA12110A14A</t>
  </si>
  <si>
    <t>msparesus@comcast.net</t>
  </si>
  <si>
    <t>msaresus@comcast.net</t>
  </si>
  <si>
    <t>Linville</t>
  </si>
  <si>
    <t>Mr. Gregory Linville</t>
  </si>
  <si>
    <t>7804 Robinson Ave</t>
  </si>
  <si>
    <t>Allen Park</t>
  </si>
  <si>
    <t>48101-2287</t>
  </si>
  <si>
    <t>XNASF3115</t>
  </si>
  <si>
    <t>ALR191005C33</t>
  </si>
  <si>
    <t>XRJ0A19</t>
  </si>
  <si>
    <t>656 Bradford St</t>
  </si>
  <si>
    <t>91105-2411</t>
  </si>
  <si>
    <t>mschoosey16@gmail.com</t>
  </si>
  <si>
    <t>XNASF2204</t>
  </si>
  <si>
    <t>Gensel</t>
  </si>
  <si>
    <t>1616 Novato Blvd</t>
  </si>
  <si>
    <t>Novato</t>
  </si>
  <si>
    <t>94947-3261</t>
  </si>
  <si>
    <t>XNABF32</t>
  </si>
  <si>
    <t>ALR240201C66</t>
  </si>
  <si>
    <t>ALA14020D15A</t>
  </si>
  <si>
    <t>Morell</t>
  </si>
  <si>
    <t>Ms. Mary C. Morell</t>
  </si>
  <si>
    <t>2 Rowe Ave</t>
  </si>
  <si>
    <t>Rockport</t>
  </si>
  <si>
    <t>01966-1325</t>
  </si>
  <si>
    <t>XNABT2406</t>
  </si>
  <si>
    <t>ALR191004C33</t>
  </si>
  <si>
    <t>XT5AAABAS</t>
  </si>
  <si>
    <t>Gregg</t>
  </si>
  <si>
    <t>Mrs. Gregg W. Sullivan</t>
  </si>
  <si>
    <t>308 Collinwood Dr</t>
  </si>
  <si>
    <t>27215-9706</t>
  </si>
  <si>
    <t>X02266988</t>
  </si>
  <si>
    <t>ALS231001302</t>
  </si>
  <si>
    <t>ALS210501302</t>
  </si>
  <si>
    <t>Joao</t>
  </si>
  <si>
    <t>Ubatuba</t>
  </si>
  <si>
    <t>Mr. and Mrs. Joao G. Ubatuba</t>
  </si>
  <si>
    <t>645 Dalewood Ln</t>
  </si>
  <si>
    <t>Hinsdale</t>
  </si>
  <si>
    <t>60521-4732</t>
  </si>
  <si>
    <t>jgabrielu@msn.com</t>
  </si>
  <si>
    <t>jgabriezv@msn.com</t>
  </si>
  <si>
    <t>XJF89</t>
  </si>
  <si>
    <t>ALR231102C33</t>
  </si>
  <si>
    <t>XRA6D71E</t>
  </si>
  <si>
    <t>Mrs. Barbara Phillbrick</t>
  </si>
  <si>
    <t>75 Lowell St</t>
  </si>
  <si>
    <t>01867-2112</t>
  </si>
  <si>
    <t>XNBSF5514</t>
  </si>
  <si>
    <t>ALR210602C33</t>
  </si>
  <si>
    <t>Megan</t>
  </si>
  <si>
    <t>Ms. Megan Kelley</t>
  </si>
  <si>
    <t>10261 Cody St</t>
  </si>
  <si>
    <t>Shawnee Mission</t>
  </si>
  <si>
    <t>66214-2630</t>
  </si>
  <si>
    <t>XL0GRBCCT</t>
  </si>
  <si>
    <t>XT7TAFAA1</t>
  </si>
  <si>
    <t>36 Vera Cruz Ave</t>
  </si>
  <si>
    <t>87008-9518</t>
  </si>
  <si>
    <t>pegergman48@gmail.com</t>
  </si>
  <si>
    <t>pebergman48@gmail.com</t>
  </si>
  <si>
    <t>ATR221001001</t>
  </si>
  <si>
    <t>ATN190801001</t>
  </si>
  <si>
    <t>Calvin</t>
  </si>
  <si>
    <t>Kaplan</t>
  </si>
  <si>
    <t>Mr. Calvin L. Kaplan</t>
  </si>
  <si>
    <t>5703 Middle Rd</t>
  </si>
  <si>
    <t>53402-1729</t>
  </si>
  <si>
    <t>ccalvin1234@att.net</t>
  </si>
  <si>
    <t>XNBSF4303</t>
  </si>
  <si>
    <t>ALL20090B93M</t>
  </si>
  <si>
    <t>Aleida</t>
  </si>
  <si>
    <t>Recio Schalk</t>
  </si>
  <si>
    <t>Miss Aleida Recio Schalk</t>
  </si>
  <si>
    <t>335 Sw Salerno Cir</t>
  </si>
  <si>
    <t>34997-6239</t>
  </si>
  <si>
    <t>arecio1@zohomail.com</t>
  </si>
  <si>
    <t>XNBSR3706</t>
  </si>
  <si>
    <t>XRK9P92AA</t>
  </si>
  <si>
    <t>XL7DADCOD</t>
  </si>
  <si>
    <t>Mehigen</t>
  </si>
  <si>
    <t>Mr. Edward J. Mehigen</t>
  </si>
  <si>
    <t>79 Peninsula Dr</t>
  </si>
  <si>
    <t>Stratham</t>
  </si>
  <si>
    <t>03885-2334</t>
  </si>
  <si>
    <t>mehigene@comcast.net</t>
  </si>
  <si>
    <t>XNBBF5514</t>
  </si>
  <si>
    <t>ALR060401004</t>
  </si>
  <si>
    <t>Barry and Mary Ann Bryant</t>
  </si>
  <si>
    <t>Barry and Mary Ann</t>
  </si>
  <si>
    <t>117 Sunrise Ln</t>
  </si>
  <si>
    <t>81301-5869</t>
  </si>
  <si>
    <t>thebryants@durango.net</t>
  </si>
  <si>
    <t>bjmabryant@gmail.com</t>
  </si>
  <si>
    <t>XNBSS4201</t>
  </si>
  <si>
    <t>Marguerite</t>
  </si>
  <si>
    <t>Marguerite T. Clark</t>
  </si>
  <si>
    <t>3621 Meadowbrook Ave</t>
  </si>
  <si>
    <t>37205-2349</t>
  </si>
  <si>
    <t>margyclark@charter.net</t>
  </si>
  <si>
    <t>margyclark1928@gmail.com</t>
  </si>
  <si>
    <t>XNBSF1201</t>
  </si>
  <si>
    <t>ALR200401C44</t>
  </si>
  <si>
    <t>XRA7R73AA</t>
  </si>
  <si>
    <t>11296 Stanford Court Ln Unit 101</t>
  </si>
  <si>
    <t>95670-6349</t>
  </si>
  <si>
    <t>cathynchris@comcast.net</t>
  </si>
  <si>
    <t>XNBSF3706</t>
  </si>
  <si>
    <t>ATA170101001</t>
  </si>
  <si>
    <t>Mr. Michael A. Yacko, Jr.</t>
  </si>
  <si>
    <t>1010 Perkins Ln</t>
  </si>
  <si>
    <t>37069-4734</t>
  </si>
  <si>
    <t>csyacko@comcast.net</t>
  </si>
  <si>
    <t>thisiz923@hotmail.com</t>
  </si>
  <si>
    <t>XNBST3606</t>
  </si>
  <si>
    <t>ALR190408C33</t>
  </si>
  <si>
    <t>Miriam</t>
  </si>
  <si>
    <t>Saunders</t>
  </si>
  <si>
    <t>Ms. Miriam Saunders</t>
  </si>
  <si>
    <t>1820 Prince St</t>
  </si>
  <si>
    <t>50112-1026</t>
  </si>
  <si>
    <t>XNBST4813</t>
  </si>
  <si>
    <t>ALR120101003</t>
  </si>
  <si>
    <t>Mr. Burton L. Johnson</t>
  </si>
  <si>
    <t>11405 Interlaaken Dr SW</t>
  </si>
  <si>
    <t>98498-5521</t>
  </si>
  <si>
    <t>kingray777@hotmail.com</t>
  </si>
  <si>
    <t>XNBSF4606</t>
  </si>
  <si>
    <t>ALR230701C44</t>
  </si>
  <si>
    <t>Mrs. Wilma H. Tauxe</t>
  </si>
  <si>
    <t>6635 Hemingway Dr</t>
  </si>
  <si>
    <t>92120-1615</t>
  </si>
  <si>
    <t>XNBSF1601</t>
  </si>
  <si>
    <t>PPW080001001</t>
  </si>
  <si>
    <t>Mrs. Comer V. Meadows</t>
  </si>
  <si>
    <t>PO Box 2379</t>
  </si>
  <si>
    <t>31328-2379</t>
  </si>
  <si>
    <t>cmeadows50@aol.com</t>
  </si>
  <si>
    <t>XNBSF5817</t>
  </si>
  <si>
    <t>ALR240302C23</t>
  </si>
  <si>
    <t>XRD8Q82AA</t>
  </si>
  <si>
    <t>Ms. Margaret J. Morris</t>
  </si>
  <si>
    <t>Ms. Morris</t>
  </si>
  <si>
    <t>6172 Park Crest Drive</t>
  </si>
  <si>
    <t>91709-6339</t>
  </si>
  <si>
    <t>XNBSS4813</t>
  </si>
  <si>
    <t>PPW090001001</t>
  </si>
  <si>
    <t>Ms. Melissa Garvan</t>
  </si>
  <si>
    <t>1531 Blaze Ln</t>
  </si>
  <si>
    <t>29412-8653</t>
  </si>
  <si>
    <t>mgarvan@gmail.com</t>
  </si>
  <si>
    <t>bearspants@aol.com</t>
  </si>
  <si>
    <t>XNBSF4706</t>
  </si>
  <si>
    <t>ALA2311D1PSC</t>
  </si>
  <si>
    <t>TDM030001001</t>
  </si>
  <si>
    <t>Carlene</t>
  </si>
  <si>
    <t>Rona</t>
  </si>
  <si>
    <t>2123 Sterling Ave</t>
  </si>
  <si>
    <t>Costa Mesa</t>
  </si>
  <si>
    <t>92627-2925</t>
  </si>
  <si>
    <t>XNBSF5112</t>
  </si>
  <si>
    <t>ALQ1208DB004</t>
  </si>
  <si>
    <t>ALR081102004</t>
  </si>
  <si>
    <t>Smolinsky</t>
  </si>
  <si>
    <t>Marilyn and Gerald</t>
  </si>
  <si>
    <t>4100 Jackson Ave Apt 101</t>
  </si>
  <si>
    <t>78731-6028</t>
  </si>
  <si>
    <t>gsmolinsky@cal.berkeley.edu</t>
  </si>
  <si>
    <t>gs78704@yahoo.com</t>
  </si>
  <si>
    <t>Mrs. Linda and Mr. Rod Crowl</t>
  </si>
  <si>
    <t>Linda and Rod</t>
  </si>
  <si>
    <t>4315 Watson St</t>
  </si>
  <si>
    <t>77009-5052</t>
  </si>
  <si>
    <t>lindacrowl@hotmail.com</t>
  </si>
  <si>
    <t>rodcrowl@hotmail.com</t>
  </si>
  <si>
    <t>XNBSR5514</t>
  </si>
  <si>
    <t>ALA180001005</t>
  </si>
  <si>
    <t>ALL090501014</t>
  </si>
  <si>
    <t>Mr. Kenn G. Morris</t>
  </si>
  <si>
    <t>1165 Stearns Dr</t>
  </si>
  <si>
    <t>90035-2640</t>
  </si>
  <si>
    <t>XNBPT3304</t>
  </si>
  <si>
    <t>ALR070902003</t>
  </si>
  <si>
    <t>ALR050602103</t>
  </si>
  <si>
    <t>Walden</t>
  </si>
  <si>
    <t>Mr. Donald H. Walden</t>
  </si>
  <si>
    <t>3776 Park Pl</t>
  </si>
  <si>
    <t>75001-4401</t>
  </si>
  <si>
    <t>donwalden3@comcast.net</t>
  </si>
  <si>
    <t>XNBST5817</t>
  </si>
  <si>
    <t>ALL23120A5BM</t>
  </si>
  <si>
    <t>ALR141204033</t>
  </si>
  <si>
    <t>Schuble</t>
  </si>
  <si>
    <t>4708 S Farm Road 137</t>
  </si>
  <si>
    <t>65810-1327</t>
  </si>
  <si>
    <t>sschuble@hotmail.com</t>
  </si>
  <si>
    <t>XNBSS1306</t>
  </si>
  <si>
    <t>ATA210901001</t>
  </si>
  <si>
    <t>Ms. Cheryl A. Hustad</t>
  </si>
  <si>
    <t>14204 Chestnut Drive</t>
  </si>
  <si>
    <t>55347-1669</t>
  </si>
  <si>
    <t>choos@aol.com</t>
  </si>
  <si>
    <t>XNBSF2802</t>
  </si>
  <si>
    <t>ALR100508003</t>
  </si>
  <si>
    <t>XRE9A91CC</t>
  </si>
  <si>
    <t>Leona</t>
  </si>
  <si>
    <t>Brownell</t>
  </si>
  <si>
    <t>Leona Brownell</t>
  </si>
  <si>
    <t>8 Marley Road</t>
  </si>
  <si>
    <t>C/o Warren Brownell, POA</t>
  </si>
  <si>
    <t>New Castle</t>
  </si>
  <si>
    <t>19720-3216</t>
  </si>
  <si>
    <t>lbrownell@hotmail.com</t>
  </si>
  <si>
    <t>lw_brnl@verizon.com</t>
  </si>
  <si>
    <t>XNBSF4201</t>
  </si>
  <si>
    <t>Mr. Paul Lukens</t>
  </si>
  <si>
    <t>500 Heartwood Dr Apt 113</t>
  </si>
  <si>
    <t>56441-5612</t>
  </si>
  <si>
    <t>XNBBF1306</t>
  </si>
  <si>
    <t>ALA200400001</t>
  </si>
  <si>
    <t>ALA18010B35A</t>
  </si>
  <si>
    <t>Blackmer</t>
  </si>
  <si>
    <t>Guignard</t>
  </si>
  <si>
    <t>Virginia Blackmer and J. Guignard</t>
  </si>
  <si>
    <t>Friends</t>
  </si>
  <si>
    <t>7 Bennetts Ferry Rd</t>
  </si>
  <si>
    <t>03269-2100</t>
  </si>
  <si>
    <t>XNBSS5817</t>
  </si>
  <si>
    <t>ALR230602C54</t>
  </si>
  <si>
    <t>Mr. Stephen H. Schiller</t>
  </si>
  <si>
    <t>PO Box 2167</t>
  </si>
  <si>
    <t>Blowing Rock</t>
  </si>
  <si>
    <t>28605-2167</t>
  </si>
  <si>
    <t>schiller@shscpa.com</t>
  </si>
  <si>
    <t>sschillercpa@comcast.net</t>
  </si>
  <si>
    <t>XNBSF4813</t>
  </si>
  <si>
    <t>ALR040102003</t>
  </si>
  <si>
    <t>La Guidice</t>
  </si>
  <si>
    <t>3 Rene Dr</t>
  </si>
  <si>
    <t>Staten Island</t>
  </si>
  <si>
    <t>10306-1713</t>
  </si>
  <si>
    <t>tom0212353@aol.com</t>
  </si>
  <si>
    <t>tom0212313@aol.com</t>
  </si>
  <si>
    <t>ALA20040A13C</t>
  </si>
  <si>
    <t>XGE113</t>
  </si>
  <si>
    <t>Cameron</t>
  </si>
  <si>
    <t>Haslam</t>
  </si>
  <si>
    <t>Cameron A. Haslam</t>
  </si>
  <si>
    <t>7702 35th Ave NE</t>
  </si>
  <si>
    <t>98115-4813</t>
  </si>
  <si>
    <t>chaslam9@gmail.com</t>
  </si>
  <si>
    <t>ALR210601C33</t>
  </si>
  <si>
    <t>XA9DAABAC</t>
  </si>
  <si>
    <t>Ms. Marcia Toth</t>
  </si>
  <si>
    <t>1941 NE 178th St</t>
  </si>
  <si>
    <t>33162-2207</t>
  </si>
  <si>
    <t>mt4cats@hotmail.com</t>
  </si>
  <si>
    <t>ALL19040A53M</t>
  </si>
  <si>
    <t>Ketten</t>
  </si>
  <si>
    <t>Arlee</t>
  </si>
  <si>
    <t>7851 Pacific Dunes Court</t>
  </si>
  <si>
    <t>95829-8028</t>
  </si>
  <si>
    <t>XNBSF5901</t>
  </si>
  <si>
    <t>ALR041001003</t>
  </si>
  <si>
    <t>XRA1A12</t>
  </si>
  <si>
    <t>Mr. Parker Lefton</t>
  </si>
  <si>
    <t>13487 Hubbard St Unit 9</t>
  </si>
  <si>
    <t>91342-4427</t>
  </si>
  <si>
    <t>p1efton@ca.rr.com</t>
  </si>
  <si>
    <t>plefton@ca.rr.com</t>
  </si>
  <si>
    <t>XNBST1601</t>
  </si>
  <si>
    <t>ALR211202C33</t>
  </si>
  <si>
    <t>Babbette</t>
  </si>
  <si>
    <t>Kunkle</t>
  </si>
  <si>
    <t>707 39th Ave SE Apt C1005</t>
  </si>
  <si>
    <t>98374-2236</t>
  </si>
  <si>
    <t>XNBSF4905</t>
  </si>
  <si>
    <t>ALA14020A53H</t>
  </si>
  <si>
    <t>Ms. Beverly A. Reed</t>
  </si>
  <si>
    <t>70 Burningtree Ln</t>
  </si>
  <si>
    <t>14526-2516</t>
  </si>
  <si>
    <t>Ms. Donna L. Bing</t>
  </si>
  <si>
    <t>1009 Oxford St</t>
  </si>
  <si>
    <t>77008-7015</t>
  </si>
  <si>
    <t>donnalbing@aol.com</t>
  </si>
  <si>
    <t>XNBSS3204</t>
  </si>
  <si>
    <t>XL9FRBCAZ</t>
  </si>
  <si>
    <t>Barbara and James Williams</t>
  </si>
  <si>
    <t>Barbara and James</t>
  </si>
  <si>
    <t>819 Fernwood Ct</t>
  </si>
  <si>
    <t>46234-2102</t>
  </si>
  <si>
    <t>ALR231003C33</t>
  </si>
  <si>
    <t>carsinojenn2@yahoo.com</t>
  </si>
  <si>
    <t>jmwill9292@comcast.net</t>
  </si>
  <si>
    <t>Ms. Margie E. Stauffer</t>
  </si>
  <si>
    <t>4212 Meridian Rd SE</t>
  </si>
  <si>
    <t>98513-4717</t>
  </si>
  <si>
    <t>margiestauffer@comcast.net</t>
  </si>
  <si>
    <t>ALQ1807DA103</t>
  </si>
  <si>
    <t>XRB7A71S</t>
  </si>
  <si>
    <t>Josephine</t>
  </si>
  <si>
    <t>Montecki</t>
  </si>
  <si>
    <t>Ms. Josephine Montecki</t>
  </si>
  <si>
    <t>5904 David Ct</t>
  </si>
  <si>
    <t>Oak Lawn</t>
  </si>
  <si>
    <t>60453-2809</t>
  </si>
  <si>
    <t>jmontecki@gmail.com</t>
  </si>
  <si>
    <t>159 Old Milltown Rd</t>
  </si>
  <si>
    <t>10509-4317</t>
  </si>
  <si>
    <t>XNBBF5817</t>
  </si>
  <si>
    <t>ALA24010D23R</t>
  </si>
  <si>
    <t>ALR070202003</t>
  </si>
  <si>
    <t>Lyle Stuby</t>
  </si>
  <si>
    <t>547 Highland Rd</t>
  </si>
  <si>
    <t>15559-8710</t>
  </si>
  <si>
    <t>XNBSF3606</t>
  </si>
  <si>
    <t>ALR190507C33</t>
  </si>
  <si>
    <t>Mr. and Mrs. Tom Durham</t>
  </si>
  <si>
    <t>6220 Breeze Hill Rd</t>
  </si>
  <si>
    <t>40014-8959</t>
  </si>
  <si>
    <t>durhamthomas@bellsouth.net</t>
  </si>
  <si>
    <t>XNBST4706</t>
  </si>
  <si>
    <t>ALR040201004</t>
  </si>
  <si>
    <t>Gerhartz</t>
  </si>
  <si>
    <t>126 Grasshopper Cir</t>
  </si>
  <si>
    <t>Mooresville</t>
  </si>
  <si>
    <t>28117-7098</t>
  </si>
  <si>
    <t>ALR111011050</t>
  </si>
  <si>
    <t>Mr. Richard H. Drew</t>
  </si>
  <si>
    <t>8101 Rutherford Rd</t>
  </si>
  <si>
    <t>98903-9428</t>
  </si>
  <si>
    <t>XNBSM5514</t>
  </si>
  <si>
    <t>ALA23080C25A</t>
  </si>
  <si>
    <t>Ms. Andrea A. Zachary</t>
  </si>
  <si>
    <t>PO Box 849</t>
  </si>
  <si>
    <t>37777-0849</t>
  </si>
  <si>
    <t>aaz@jhmi.edu</t>
  </si>
  <si>
    <t>kodibear@comcast.net</t>
  </si>
  <si>
    <t>XNBSM51</t>
  </si>
  <si>
    <t>ALA24010B55H</t>
  </si>
  <si>
    <t>ALR190001001</t>
  </si>
  <si>
    <t>Ms. Mary B. Gilroy</t>
  </si>
  <si>
    <t>1630 N Rio Buena Vis</t>
  </si>
  <si>
    <t>85614-6382</t>
  </si>
  <si>
    <t>marybgilroy@aol.com</t>
  </si>
  <si>
    <t>XNBSM4201</t>
  </si>
  <si>
    <t>ALR210203C44</t>
  </si>
  <si>
    <t>Slauson</t>
  </si>
  <si>
    <t>Pat Slauson</t>
  </si>
  <si>
    <t>4001 Hancock Dr</t>
  </si>
  <si>
    <t>95821-3906</t>
  </si>
  <si>
    <t>oldslaus@gotnet.net</t>
  </si>
  <si>
    <t>expsgcho0602@yahoo.com</t>
  </si>
  <si>
    <t>ALS220301302</t>
  </si>
  <si>
    <t>Alward</t>
  </si>
  <si>
    <t>Mrs. Betty Jane and Mr. Bob Alward</t>
  </si>
  <si>
    <t>Betty Jane and Bob</t>
  </si>
  <si>
    <t>4125 SW Salmon Ave</t>
  </si>
  <si>
    <t>Redmond</t>
  </si>
  <si>
    <t>97756-7633</t>
  </si>
  <si>
    <t>bobandbj@fmtc.com</t>
  </si>
  <si>
    <t>bobandbj@gmail.com</t>
  </si>
  <si>
    <t>otherwiserla@live.com</t>
  </si>
  <si>
    <t>ALQ2003AJ010</t>
  </si>
  <si>
    <t>Mr. Lawrence Willian</t>
  </si>
  <si>
    <t>6214 Oak Crest Way</t>
  </si>
  <si>
    <t>90042-1312</t>
  </si>
  <si>
    <t>XNBBM5514</t>
  </si>
  <si>
    <t>Ms. Annetta T. Weiss</t>
  </si>
  <si>
    <t>13526 Ryton Ridge Ln</t>
  </si>
  <si>
    <t>20155-3007</t>
  </si>
  <si>
    <t>ALR060101103</t>
  </si>
  <si>
    <t>Mr. Gary L. Schulz</t>
  </si>
  <si>
    <t>26530 Ipava Ave</t>
  </si>
  <si>
    <t>55044-8586</t>
  </si>
  <si>
    <t>XPCH90</t>
  </si>
  <si>
    <t>ALA23020A23C</t>
  </si>
  <si>
    <t>Loren</t>
  </si>
  <si>
    <t>Frankie</t>
  </si>
  <si>
    <t>2630 Dunbar Ave</t>
  </si>
  <si>
    <t>32162-4504</t>
  </si>
  <si>
    <t>lclark3327@centurylink.net</t>
  </si>
  <si>
    <t>ALA19020B12A</t>
  </si>
  <si>
    <t>XRC5B51P</t>
  </si>
  <si>
    <t>Arlene W. Henderson</t>
  </si>
  <si>
    <t>572 N Camden St</t>
  </si>
  <si>
    <t>76446-1539</t>
  </si>
  <si>
    <t>imarlene321@yahoo.com</t>
  </si>
  <si>
    <t>aspenhome@webtv.net</t>
  </si>
  <si>
    <t>ALA23080A23C</t>
  </si>
  <si>
    <t>ALA050302075</t>
  </si>
  <si>
    <t>Monica</t>
  </si>
  <si>
    <t>Rieder</t>
  </si>
  <si>
    <t>Ms. Monica Rieder</t>
  </si>
  <si>
    <t>17024 Cadbury Cir Unit 226</t>
  </si>
  <si>
    <t>19958-7051</t>
  </si>
  <si>
    <t>basel_schweiz@yahoo.com</t>
  </si>
  <si>
    <t>ALA23040D34R</t>
  </si>
  <si>
    <t>ALR100302004</t>
  </si>
  <si>
    <t>Judith A. Bell</t>
  </si>
  <si>
    <t>1213 Alexander St</t>
  </si>
  <si>
    <t>98531-1303</t>
  </si>
  <si>
    <t>ALS240401302</t>
  </si>
  <si>
    <t>ALR150403044</t>
  </si>
  <si>
    <t>2206 68th St</t>
  </si>
  <si>
    <t>50324-4903</t>
  </si>
  <si>
    <t>jeff5aten@msn.com</t>
  </si>
  <si>
    <t>ALR2305D2WSC</t>
  </si>
  <si>
    <t>French</t>
  </si>
  <si>
    <t>David French</t>
  </si>
  <si>
    <t>4205 E Altadena Ave</t>
  </si>
  <si>
    <t>85028-2232</t>
  </si>
  <si>
    <t>dfrench64@cox.net</t>
  </si>
  <si>
    <t>bookwormforyears@cox.net</t>
  </si>
  <si>
    <t>ALL24030B5BM</t>
  </si>
  <si>
    <t>barb_french@mindspring.net</t>
  </si>
  <si>
    <t>Ms. Joan M. Thuebel</t>
  </si>
  <si>
    <t>78 Orchard Rd</t>
  </si>
  <si>
    <t>07928-2067</t>
  </si>
  <si>
    <t>jthuebel@gmail.com</t>
  </si>
  <si>
    <t>XNHSB6814</t>
  </si>
  <si>
    <t>Mr. Edmund Kreeger Jr.</t>
  </si>
  <si>
    <t>1350 SW Walking Wood</t>
  </si>
  <si>
    <t>Depoe Bay</t>
  </si>
  <si>
    <t>97341-9522</t>
  </si>
  <si>
    <t>eddiekreeger@gmail.com</t>
  </si>
  <si>
    <t>XNHSC2405</t>
  </si>
  <si>
    <t>Howk</t>
  </si>
  <si>
    <t>Donald Howk</t>
  </si>
  <si>
    <t>3411 Westmark</t>
  </si>
  <si>
    <t>78259-2112</t>
  </si>
  <si>
    <t>dhowk@keystoneschool.org</t>
  </si>
  <si>
    <t>dhawk@keystoneschool.org</t>
  </si>
  <si>
    <t>XNHSR6917</t>
  </si>
  <si>
    <t>ALR230602C33</t>
  </si>
  <si>
    <t>ALA22010E23A</t>
  </si>
  <si>
    <t>Helga</t>
  </si>
  <si>
    <t>Feder</t>
  </si>
  <si>
    <t>Ms. Helga Feder</t>
  </si>
  <si>
    <t>5821 Fieldston Rd</t>
  </si>
  <si>
    <t>Bronx</t>
  </si>
  <si>
    <t>10471-2211</t>
  </si>
  <si>
    <t>helga10471@aol.com</t>
  </si>
  <si>
    <t>XNHSC5713</t>
  </si>
  <si>
    <t>ALR1604D4EMC</t>
  </si>
  <si>
    <t>Brand</t>
  </si>
  <si>
    <t>Kathleen A. Brand</t>
  </si>
  <si>
    <t>747 Ilene Rd W</t>
  </si>
  <si>
    <t>West Palm Beach</t>
  </si>
  <si>
    <t>33415-3716</t>
  </si>
  <si>
    <t>k.maxwell@yahoo.com</t>
  </si>
  <si>
    <t>kat32178@yahoo.com</t>
  </si>
  <si>
    <t>XNHSR5713</t>
  </si>
  <si>
    <t>ALR211101C54</t>
  </si>
  <si>
    <t>Jacobson</t>
  </si>
  <si>
    <t>Lloyd and Janice Jacobson</t>
  </si>
  <si>
    <t>Lloyd and Janice</t>
  </si>
  <si>
    <t>1426 Henrietta St</t>
  </si>
  <si>
    <t>Redlands</t>
  </si>
  <si>
    <t>92373-7030</t>
  </si>
  <si>
    <t>jbommy@gmail.com</t>
  </si>
  <si>
    <t>XNHSC6917</t>
  </si>
  <si>
    <t>ALA220700001</t>
  </si>
  <si>
    <t>janjacobson@verizon.net</t>
  </si>
  <si>
    <t>Leis</t>
  </si>
  <si>
    <t>Mr. Donald E. Leis</t>
  </si>
  <si>
    <t>PO Box 513</t>
  </si>
  <si>
    <t>Huron</t>
  </si>
  <si>
    <t>44839-0513</t>
  </si>
  <si>
    <t>XNHSC6814</t>
  </si>
  <si>
    <t>ALR240304C54</t>
  </si>
  <si>
    <t>Pirie</t>
  </si>
  <si>
    <t>3344 Mount Zion Rd</t>
  </si>
  <si>
    <t>Blacksburg</t>
  </si>
  <si>
    <t>24060-0730</t>
  </si>
  <si>
    <t>walt@pirie.org</t>
  </si>
  <si>
    <t>cpirie@comcast.net</t>
  </si>
  <si>
    <t>ALR231004C54</t>
  </si>
  <si>
    <t>Mr. Huttinger</t>
  </si>
  <si>
    <t>501 Oak Avenue Box 55</t>
  </si>
  <si>
    <t>Waynesboro</t>
  </si>
  <si>
    <t>22980-4498</t>
  </si>
  <si>
    <t>XNHSC1606</t>
  </si>
  <si>
    <t>ALA090901054</t>
  </si>
  <si>
    <t>PO Box 102</t>
  </si>
  <si>
    <t>11971-0102</t>
  </si>
  <si>
    <t>XNHSB4306</t>
  </si>
  <si>
    <t>ALR230302C64</t>
  </si>
  <si>
    <t>Jerry Huntley</t>
  </si>
  <si>
    <t>1430 W Casino Rd Apt 203</t>
  </si>
  <si>
    <t>98204-7965</t>
  </si>
  <si>
    <t>XNHSB6305</t>
  </si>
  <si>
    <t>ALR230400001</t>
  </si>
  <si>
    <t>ALR100302003</t>
  </si>
  <si>
    <t>Urbaniak</t>
  </si>
  <si>
    <t>Mrs. Linda B. and Mr. Roger Urbaniak</t>
  </si>
  <si>
    <t>Linda and Roger</t>
  </si>
  <si>
    <t>4112 78th Ave SE</t>
  </si>
  <si>
    <t>Mercer Island</t>
  </si>
  <si>
    <t>98040-3923</t>
  </si>
  <si>
    <t>lindagardenlady@comcast.net</t>
  </si>
  <si>
    <t>lindagardenlady@speakeasy.net</t>
  </si>
  <si>
    <t>ALR180001001</t>
  </si>
  <si>
    <t>ALR170001001</t>
  </si>
  <si>
    <t>lindagardenlady@aol.com</t>
  </si>
  <si>
    <t>Bradford</t>
  </si>
  <si>
    <t>Mrs. Shirley and Mr. Bradford K. Dowell</t>
  </si>
  <si>
    <t>Shirley and Bradford</t>
  </si>
  <si>
    <t>12858 Elegance Dr</t>
  </si>
  <si>
    <t>91739-9345</t>
  </si>
  <si>
    <t>John and Christine Jackson</t>
  </si>
  <si>
    <t>John and Christine</t>
  </si>
  <si>
    <t>118 N Essex Ave</t>
  </si>
  <si>
    <t>19072-2206</t>
  </si>
  <si>
    <t>camprich@comcast.net</t>
  </si>
  <si>
    <t>ALA22040E5BD</t>
  </si>
  <si>
    <t>Bartha</t>
  </si>
  <si>
    <t>Bartha Family</t>
  </si>
  <si>
    <t>905 Bedford Dr</t>
  </si>
  <si>
    <t>79701-4108</t>
  </si>
  <si>
    <t>john.barta@bldr.com</t>
  </si>
  <si>
    <t>XNHSC6112</t>
  </si>
  <si>
    <t>ALS210301511</t>
  </si>
  <si>
    <t>PPA060901001</t>
  </si>
  <si>
    <t>Mr. Kenneth R. Cobb</t>
  </si>
  <si>
    <t>420 Riverside Dr Apt 8E</t>
  </si>
  <si>
    <t>10025-7871</t>
  </si>
  <si>
    <t>kenneth.cobb@verizon.net</t>
  </si>
  <si>
    <t>kcobb@records.nyc.gov</t>
  </si>
  <si>
    <t>XNHSC2301</t>
  </si>
  <si>
    <t>ALR190105054</t>
  </si>
  <si>
    <t>Whittaker</t>
  </si>
  <si>
    <t>Ms. Jeanne Whittaker</t>
  </si>
  <si>
    <t>613 Virginia St</t>
  </si>
  <si>
    <t>80403-1315</t>
  </si>
  <si>
    <t>amowhittaker@gmail.com</t>
  </si>
  <si>
    <t>ALR230402C64</t>
  </si>
  <si>
    <t>Winner</t>
  </si>
  <si>
    <t>Mr. Dennis J. and Mrs. Cathy Winner</t>
  </si>
  <si>
    <t>Dennis and Cathy</t>
  </si>
  <si>
    <t>117 Sondley Pkwy</t>
  </si>
  <si>
    <t>28805-1150</t>
  </si>
  <si>
    <t>dwinner329@gmail.com</t>
  </si>
  <si>
    <t>dwinner@charter.net</t>
  </si>
  <si>
    <t>XNHSC5606</t>
  </si>
  <si>
    <t>catherinewinner1@gmail.com</t>
  </si>
  <si>
    <t>ALGXXXX00WSC</t>
  </si>
  <si>
    <t>Mr. Edwin S. Pyle</t>
  </si>
  <si>
    <t>PO Box 90405</t>
  </si>
  <si>
    <t>37209-0405</t>
  </si>
  <si>
    <t>edwinpyle@gmail.com</t>
  </si>
  <si>
    <t>XNHSN5606</t>
  </si>
  <si>
    <t>Ms. Rebecca L. Buell</t>
  </si>
  <si>
    <t>1206 S 33rd Ave</t>
  </si>
  <si>
    <t>98902-4921</t>
  </si>
  <si>
    <t>becky626@hotmail.com</t>
  </si>
  <si>
    <t>beckyb26@hotmail.com</t>
  </si>
  <si>
    <t>XNHSB3404</t>
  </si>
  <si>
    <t>XRD4N47L</t>
  </si>
  <si>
    <t>Dr. Kathy D. Hall</t>
  </si>
  <si>
    <t>1424 Thornwood Dr</t>
  </si>
  <si>
    <t>60516-1223</t>
  </si>
  <si>
    <t>khallx@midwestern.edu</t>
  </si>
  <si>
    <t>trekker459@gmail.com</t>
  </si>
  <si>
    <t>XNHSR3604</t>
  </si>
  <si>
    <t>Slenker</t>
  </si>
  <si>
    <t>Mr. Larry D. Slenker</t>
  </si>
  <si>
    <t>4755 Hikey St</t>
  </si>
  <si>
    <t>Dover</t>
  </si>
  <si>
    <t>17315-3494</t>
  </si>
  <si>
    <t>connie.60@hotmail.com</t>
  </si>
  <si>
    <t>ALR230601C44</t>
  </si>
  <si>
    <t>ALR200901C33</t>
  </si>
  <si>
    <t>Mr. H. J. Van Hook</t>
  </si>
  <si>
    <t>Mr. Van Hook</t>
  </si>
  <si>
    <t>115 Elm St Unit 14A</t>
  </si>
  <si>
    <t>01038-3809</t>
  </si>
  <si>
    <t>hjvanhook@rcn.com</t>
  </si>
  <si>
    <t>ALR220201C33</t>
  </si>
  <si>
    <t>PPG040001001</t>
  </si>
  <si>
    <t>Madelon</t>
  </si>
  <si>
    <t>Avallone</t>
  </si>
  <si>
    <t>Ms. Madelon Avallone</t>
  </si>
  <si>
    <t>949 Thomas Avenue</t>
  </si>
  <si>
    <t>11510-4140</t>
  </si>
  <si>
    <t>XA1GCAACC</t>
  </si>
  <si>
    <t>XGT2S6A</t>
  </si>
  <si>
    <t>Johansen</t>
  </si>
  <si>
    <t>Ms. Marie Johansen</t>
  </si>
  <si>
    <t>1032 Scott St</t>
  </si>
  <si>
    <t>48642-4710</t>
  </si>
  <si>
    <t>marie.johansen@sbcglobal.net</t>
  </si>
  <si>
    <t>XNHSB6112</t>
  </si>
  <si>
    <t>ALR181201054</t>
  </si>
  <si>
    <t>Albert</t>
  </si>
  <si>
    <t>Harter</t>
  </si>
  <si>
    <t>Harriet</t>
  </si>
  <si>
    <t>Po Box 399</t>
  </si>
  <si>
    <t>New Albany</t>
  </si>
  <si>
    <t>43054-0399</t>
  </si>
  <si>
    <t>greenowl19312@sbcglobal.net</t>
  </si>
  <si>
    <t>Richard A. Scott</t>
  </si>
  <si>
    <t>213 Savin Hill Ave</t>
  </si>
  <si>
    <t>Dorchester</t>
  </si>
  <si>
    <t>02125-1020</t>
  </si>
  <si>
    <t>ALA20010A13A</t>
  </si>
  <si>
    <t>ALR171105044</t>
  </si>
  <si>
    <t>Jaclyn</t>
  </si>
  <si>
    <t>Rusch</t>
  </si>
  <si>
    <t>Mrs. Jaclyn J. Rusch</t>
  </si>
  <si>
    <t>3850 Walnut Ave</t>
  </si>
  <si>
    <t>94538-2263</t>
  </si>
  <si>
    <t>jjrusch@pacbell.net</t>
  </si>
  <si>
    <t>cecilr@hanmail.net</t>
  </si>
  <si>
    <t>XNHSB6917</t>
  </si>
  <si>
    <t>Wehrly</t>
  </si>
  <si>
    <t>John P. Wehrly</t>
  </si>
  <si>
    <t>30426 Winthrop Dr</t>
  </si>
  <si>
    <t>Madison Heights</t>
  </si>
  <si>
    <t>48071-5916</t>
  </si>
  <si>
    <t>redriderjpw@comcast.net</t>
  </si>
  <si>
    <t>john.wehrly@yahoo.com</t>
  </si>
  <si>
    <t>XNHSB5713</t>
  </si>
  <si>
    <t>ALA17020A13C</t>
  </si>
  <si>
    <t>ALR120102003</t>
  </si>
  <si>
    <t>Ms. Claudette C. Clunan</t>
  </si>
  <si>
    <t>921 Corvair Rd</t>
  </si>
  <si>
    <t>17601-2005</t>
  </si>
  <si>
    <t>ALA21100B13R</t>
  </si>
  <si>
    <t>Heimkes</t>
  </si>
  <si>
    <t>Mr. Heimkes</t>
  </si>
  <si>
    <t>33147 State Highway 18</t>
  </si>
  <si>
    <t>Aitkin</t>
  </si>
  <si>
    <t>XNHSB5203</t>
  </si>
  <si>
    <t>PPW200001P02</t>
  </si>
  <si>
    <t>Mr. John Michael Kittross</t>
  </si>
  <si>
    <t>Mr. Kittross</t>
  </si>
  <si>
    <t>14051 Palatine Ave N</t>
  </si>
  <si>
    <t>98133-6818</t>
  </si>
  <si>
    <t>kuttross@compuserve.com</t>
  </si>
  <si>
    <t>ATR171201001</t>
  </si>
  <si>
    <t>Wai</t>
  </si>
  <si>
    <t>J. and Wai Wong</t>
  </si>
  <si>
    <t>Wong Family</t>
  </si>
  <si>
    <t>26333 Aric Ln</t>
  </si>
  <si>
    <t>94022-1960</t>
  </si>
  <si>
    <t>ALR200608C33</t>
  </si>
  <si>
    <t>Hoekstra</t>
  </si>
  <si>
    <t>Mr. Bob Hoekstra</t>
  </si>
  <si>
    <t>3345 Starboard Dr</t>
  </si>
  <si>
    <t>rlhoekstra@yahoo.com</t>
  </si>
  <si>
    <t>ALR021202103</t>
  </si>
  <si>
    <t>XRB5O54RC</t>
  </si>
  <si>
    <t>Mrs. Marilyn and Dr. Robert Ellsworth</t>
  </si>
  <si>
    <t>Marilyn and Robert</t>
  </si>
  <si>
    <t>5 Hop Brook Ln</t>
  </si>
  <si>
    <t>01776-2010</t>
  </si>
  <si>
    <t>marilyn.ellsworth@hotmail.com</t>
  </si>
  <si>
    <t>Sally Pecora</t>
  </si>
  <si>
    <t>Pecora</t>
  </si>
  <si>
    <t>Ms. Sally Pecora P. Dunn</t>
  </si>
  <si>
    <t>225 Carrsbrook Dr</t>
  </si>
  <si>
    <t>22901-1003</t>
  </si>
  <si>
    <t>sallypecora@me.com</t>
  </si>
  <si>
    <t>sallydunn@myway.com</t>
  </si>
  <si>
    <t>ALA2112S6EM1</t>
  </si>
  <si>
    <t>Eliza T. Greene</t>
  </si>
  <si>
    <t>13450 Skyline Blvd</t>
  </si>
  <si>
    <t>94619-3611</t>
  </si>
  <si>
    <t>k6jat@aol.com</t>
  </si>
  <si>
    <t>greentiem@comcast.net</t>
  </si>
  <si>
    <t>XNHSR5101</t>
  </si>
  <si>
    <t>ATA19070A001</t>
  </si>
  <si>
    <t>XMDSG97</t>
  </si>
  <si>
    <t>Louis</t>
  </si>
  <si>
    <t>Beck</t>
  </si>
  <si>
    <t>Mr. Clyde L. Beck</t>
  </si>
  <si>
    <t>1610 NW 118th Ave</t>
  </si>
  <si>
    <t>Pembroke Pines</t>
  </si>
  <si>
    <t>33026-2544</t>
  </si>
  <si>
    <t>clydster@bellsouth.net</t>
  </si>
  <si>
    <t>XNHSB1401</t>
  </si>
  <si>
    <t>ALL23070A5BM</t>
  </si>
  <si>
    <t>ALR060102004</t>
  </si>
  <si>
    <t>Ms. Eleanor M. Kowalczyk</t>
  </si>
  <si>
    <t>7532 2nd Ave S</t>
  </si>
  <si>
    <t>55423-4209</t>
  </si>
  <si>
    <t>dumoulinchrist@aol.com</t>
  </si>
  <si>
    <t>ekowalcztkfake@npca.org</t>
  </si>
  <si>
    <t>XNHSC00</t>
  </si>
  <si>
    <t>Craig</t>
  </si>
  <si>
    <t>PO Box 93</t>
  </si>
  <si>
    <t>Clio</t>
  </si>
  <si>
    <t>96106-0093</t>
  </si>
  <si>
    <t>ALA23070A13C</t>
  </si>
  <si>
    <t>ALA070601008</t>
  </si>
  <si>
    <t>Binder</t>
  </si>
  <si>
    <t>Mrs. Valerie Binder</t>
  </si>
  <si>
    <t>4025 Chariots Flight Way</t>
  </si>
  <si>
    <t>Ellicott City</t>
  </si>
  <si>
    <t>21042-5010</t>
  </si>
  <si>
    <t>valbinder.art@gmail.com</t>
  </si>
  <si>
    <t>valbinder@comcast.net</t>
  </si>
  <si>
    <t>XNHSR2901</t>
  </si>
  <si>
    <t>ALA22060A55H</t>
  </si>
  <si>
    <t>ALR140504054</t>
  </si>
  <si>
    <t>Struck</t>
  </si>
  <si>
    <t>Johanne</t>
  </si>
  <si>
    <t>Ms. Johanne Riddick and Mr. Carl Struck</t>
  </si>
  <si>
    <t>Johanne and Carl</t>
  </si>
  <si>
    <t>54 Camino Tree Frog</t>
  </si>
  <si>
    <t>87579-9763</t>
  </si>
  <si>
    <t>foresttreefrog@gmail.com</t>
  </si>
  <si>
    <t>ALR240301C66</t>
  </si>
  <si>
    <t>ALA190100001</t>
  </si>
  <si>
    <t>spirithillforest@yahoo.com</t>
  </si>
  <si>
    <t>Packard</t>
  </si>
  <si>
    <t>5751 N Kolb Rd Unit 35104</t>
  </si>
  <si>
    <t>85750-0885</t>
  </si>
  <si>
    <t>pdpackard13@gmail.com</t>
  </si>
  <si>
    <t>ALS240401WS3R</t>
  </si>
  <si>
    <t>ALA1212S5EMC</t>
  </si>
  <si>
    <t>Mr. Joe J. Yoches</t>
  </si>
  <si>
    <t>730 W Wonderview Dr</t>
  </si>
  <si>
    <t>61525-9434</t>
  </si>
  <si>
    <t>lojoyoches@comcast.net</t>
  </si>
  <si>
    <t>XNHSY5805</t>
  </si>
  <si>
    <t>ALA240100001</t>
  </si>
  <si>
    <t>ALR190301033</t>
  </si>
  <si>
    <t>Perlman</t>
  </si>
  <si>
    <t>Eleanor and Joseph Perlman</t>
  </si>
  <si>
    <t>Eleanor and Joseph</t>
  </si>
  <si>
    <t>189 Scarlett Dr</t>
  </si>
  <si>
    <t>11725-4659</t>
  </si>
  <si>
    <t>ellip5@aol.com</t>
  </si>
  <si>
    <t>eleanorperlmanlcsw@gmail.com</t>
  </si>
  <si>
    <t>XNHSC5203</t>
  </si>
  <si>
    <t>ALA220400001</t>
  </si>
  <si>
    <t>Kenneth Dautrich</t>
  </si>
  <si>
    <t>PO Box 806</t>
  </si>
  <si>
    <t>13820-0806</t>
  </si>
  <si>
    <t>ALR050303203</t>
  </si>
  <si>
    <t>Mr. Richard F. Rosenwald</t>
  </si>
  <si>
    <t>114 143rd Pl NE</t>
  </si>
  <si>
    <t>98007-6920</t>
  </si>
  <si>
    <t>rosenwald@gmail.com</t>
  </si>
  <si>
    <t>ALA19010A12A</t>
  </si>
  <si>
    <t>Hancock</t>
  </si>
  <si>
    <t>Ms. Mary H. Hancock</t>
  </si>
  <si>
    <t>187 Mitchell Dr</t>
  </si>
  <si>
    <t>Madisonville</t>
  </si>
  <si>
    <t>42431-9196</t>
  </si>
  <si>
    <t>ALR240301C64</t>
  </si>
  <si>
    <t>Schleter</t>
  </si>
  <si>
    <t>1417 N Overland Trails Dr</t>
  </si>
  <si>
    <t>84780-2399</t>
  </si>
  <si>
    <t>cschleter@gmail.com</t>
  </si>
  <si>
    <t>sprtstat@ix.netcom.com</t>
  </si>
  <si>
    <t>XNHSC2509</t>
  </si>
  <si>
    <t>ALR180802033</t>
  </si>
  <si>
    <t>Dina</t>
  </si>
  <si>
    <t>Scacchetti</t>
  </si>
  <si>
    <t>Ms. Dina Scacchetti and Mr. Tom F. Beatini</t>
  </si>
  <si>
    <t>Dina and Tom</t>
  </si>
  <si>
    <t>22 Wierimus Rd</t>
  </si>
  <si>
    <t>07642-1040</t>
  </si>
  <si>
    <t>tmpeasant@mindspring.com</t>
  </si>
  <si>
    <t>ALA1403N1EMC</t>
  </si>
  <si>
    <t>Ms. Linda J. Muirhead</t>
  </si>
  <si>
    <t>83 Mill Rock Rd</t>
  </si>
  <si>
    <t>06517-4021</t>
  </si>
  <si>
    <t>ALA23070B23A</t>
  </si>
  <si>
    <t>XL7SBDCN1</t>
  </si>
  <si>
    <t>Newbold</t>
  </si>
  <si>
    <t>1616 Angelus Ave</t>
  </si>
  <si>
    <t>90026-1413</t>
  </si>
  <si>
    <t>christopher_newbold@msn.com</t>
  </si>
  <si>
    <t>XNHSC3102</t>
  </si>
  <si>
    <t>ALR230803C33</t>
  </si>
  <si>
    <t>ALR030801004</t>
  </si>
  <si>
    <t>Ms. Mary E. Hart</t>
  </si>
  <si>
    <t>1441 Paso Real Ave Spc 41</t>
  </si>
  <si>
    <t>91748-2151</t>
  </si>
  <si>
    <t>ivanhui516@gmail.com</t>
  </si>
  <si>
    <t>moira1963@aol.com</t>
  </si>
  <si>
    <t>ALR180902023</t>
  </si>
  <si>
    <t>ALR100406003</t>
  </si>
  <si>
    <t>Biscay</t>
  </si>
  <si>
    <t>Cindy and Robert Biscay</t>
  </si>
  <si>
    <t>Cindy and Robert</t>
  </si>
  <si>
    <t>360 Lovely Bluff Rd</t>
  </si>
  <si>
    <t>Lake City</t>
  </si>
  <si>
    <t>37769-5819</t>
  </si>
  <si>
    <t>busyb@accesstoledo.com</t>
  </si>
  <si>
    <t>ALA23110A24A</t>
  </si>
  <si>
    <t>ALR180204023</t>
  </si>
  <si>
    <t>Gutschenritter</t>
  </si>
  <si>
    <t>839 16th St SW Apt 224</t>
  </si>
  <si>
    <t>55902-2191</t>
  </si>
  <si>
    <t>jeanguts@msn.com</t>
  </si>
  <si>
    <t>ALS211101WS3</t>
  </si>
  <si>
    <t>ALA080301009</t>
  </si>
  <si>
    <t>Johnstone</t>
  </si>
  <si>
    <t>PO Box 2580</t>
  </si>
  <si>
    <t>Borrego Springs</t>
  </si>
  <si>
    <t>92004-2580</t>
  </si>
  <si>
    <t>XNHSC4406</t>
  </si>
  <si>
    <t>ALQ231000001</t>
  </si>
  <si>
    <t>ALA170001001</t>
  </si>
  <si>
    <t>Mr. Larry L. Lundberg</t>
  </si>
  <si>
    <t>665 S 16th St</t>
  </si>
  <si>
    <t>95112-2372</t>
  </si>
  <si>
    <t>lumpyl@sbcglobal.net</t>
  </si>
  <si>
    <t>XNHPS6001</t>
  </si>
  <si>
    <t>ADA210005T01</t>
  </si>
  <si>
    <t>4101 Albemarle St NW Apt 508</t>
  </si>
  <si>
    <t>20016-2135</t>
  </si>
  <si>
    <t>tmphil46@yahoo.com</t>
  </si>
  <si>
    <t>ALR2311D1WSC</t>
  </si>
  <si>
    <t>Jeannie</t>
  </si>
  <si>
    <t>Richgels</t>
  </si>
  <si>
    <t>Ms. Jeannie Richgels</t>
  </si>
  <si>
    <t>811 S Waterway</t>
  </si>
  <si>
    <t>34285-2938</t>
  </si>
  <si>
    <t>pepinjeannie@gmail.com</t>
  </si>
  <si>
    <t>XNHSC1201</t>
  </si>
  <si>
    <t>ALS230501302</t>
  </si>
  <si>
    <t>ALR180201044</t>
  </si>
  <si>
    <t>Worden</t>
  </si>
  <si>
    <t>Mr. Worden</t>
  </si>
  <si>
    <t>1638 Springhill Court</t>
  </si>
  <si>
    <t>95377-5609</t>
  </si>
  <si>
    <t>terrygworden@aol.com</t>
  </si>
  <si>
    <t>XNHSC3904</t>
  </si>
  <si>
    <t>ALR121001003</t>
  </si>
  <si>
    <t>Ms. Diane M. Nauman</t>
  </si>
  <si>
    <t>7559 18th Ave NW</t>
  </si>
  <si>
    <t>98117-5430</t>
  </si>
  <si>
    <t>dedenmar06@msn.com</t>
  </si>
  <si>
    <t>XNHSC3604</t>
  </si>
  <si>
    <t>ALA21010C25A</t>
  </si>
  <si>
    <t>B. Kent</t>
  </si>
  <si>
    <t>Mr. B. Kent Parker</t>
  </si>
  <si>
    <t>Mr. Parker</t>
  </si>
  <si>
    <t>901 Grandview Ave</t>
  </si>
  <si>
    <t>Morgantown</t>
  </si>
  <si>
    <t>26501-6924</t>
  </si>
  <si>
    <t>sweet.water42@yahoo.com</t>
  </si>
  <si>
    <t>kent.parker@mail.evu.edu</t>
  </si>
  <si>
    <t>ALA23040C53H</t>
  </si>
  <si>
    <t>Gwen</t>
  </si>
  <si>
    <t>Mr. Greg A. Vital</t>
  </si>
  <si>
    <t>8325 Highway 60 Box 249</t>
  </si>
  <si>
    <t>Independent Healthcare Properties LLC</t>
  </si>
  <si>
    <t>37336-0249</t>
  </si>
  <si>
    <t>gvital@ihpllc.com</t>
  </si>
  <si>
    <t>ihpllc@aol.com</t>
  </si>
  <si>
    <t>XNHSC6505</t>
  </si>
  <si>
    <t>CDG230001001B</t>
  </si>
  <si>
    <t>Mr. John P. Schultz</t>
  </si>
  <si>
    <t>242 Wren Dr</t>
  </si>
  <si>
    <t>60108-1449</t>
  </si>
  <si>
    <t>johnschultz@prodigy.net</t>
  </si>
  <si>
    <t>johnschultz@prodity.net</t>
  </si>
  <si>
    <t>Brassfield</t>
  </si>
  <si>
    <t>Henry and Patricia Brassfield</t>
  </si>
  <si>
    <t>Henry and Patricia</t>
  </si>
  <si>
    <t>3460 Richard St</t>
  </si>
  <si>
    <t>48104-5247</t>
  </si>
  <si>
    <t>ALQ1902BJ008</t>
  </si>
  <si>
    <t>ALA040301004</t>
  </si>
  <si>
    <t>712 S Cedar Lake Ct</t>
  </si>
  <si>
    <t>65203-7276</t>
  </si>
  <si>
    <t>sefalloon@gmail.com</t>
  </si>
  <si>
    <t>XNHSC9916</t>
  </si>
  <si>
    <t>ALA24010A56H</t>
  </si>
  <si>
    <t>Dr. Richard A. Bradley</t>
  </si>
  <si>
    <t>1196 Penry Rd</t>
  </si>
  <si>
    <t>43015-9675</t>
  </si>
  <si>
    <t>spidrs@gmail.com</t>
  </si>
  <si>
    <t>ALA090201003</t>
  </si>
  <si>
    <t>Merry</t>
  </si>
  <si>
    <t>Chang</t>
  </si>
  <si>
    <t>Ms. Merry Chang</t>
  </si>
  <si>
    <t>4703 39th Ave</t>
  </si>
  <si>
    <t>Sunnyside</t>
  </si>
  <si>
    <t>11104-1409</t>
  </si>
  <si>
    <t>merry.chang@gmail.com</t>
  </si>
  <si>
    <t>mchang@nyl.com</t>
  </si>
  <si>
    <t>ALR210201C23</t>
  </si>
  <si>
    <t>Ms. Diane L. Bodell</t>
  </si>
  <si>
    <t>337 Alpha Rd</t>
  </si>
  <si>
    <t>37821-9405</t>
  </si>
  <si>
    <t>dianebodell@hotmail.com</t>
  </si>
  <si>
    <t>dianebodell@webtv.net</t>
  </si>
  <si>
    <t>ALR210107C33</t>
  </si>
  <si>
    <t>Mr. Bill Young</t>
  </si>
  <si>
    <t>6630 E 100 N</t>
  </si>
  <si>
    <t>47905-8470</t>
  </si>
  <si>
    <t>Alson</t>
  </si>
  <si>
    <t>Michaelyn</t>
  </si>
  <si>
    <t>Charles and Michaelyn</t>
  </si>
  <si>
    <t>7727 Mary Ellen Ave</t>
  </si>
  <si>
    <t>North Hollywood</t>
  </si>
  <si>
    <t>91605-1929</t>
  </si>
  <si>
    <t>malson1945@att.net</t>
  </si>
  <si>
    <t>malson@earthlink.net</t>
  </si>
  <si>
    <t>ALR201015C50</t>
  </si>
  <si>
    <t>ALA1608D3EMC</t>
  </si>
  <si>
    <t>Mrs. Margaret Maciborka</t>
  </si>
  <si>
    <t>101 Lombard St Apt 104W</t>
  </si>
  <si>
    <t>94111-1147</t>
  </si>
  <si>
    <t>lm.maciborka@hotmail.com</t>
  </si>
  <si>
    <t>Maynor</t>
  </si>
  <si>
    <t>Ms. Sharon Maynor</t>
  </si>
  <si>
    <t>1631 187th St</t>
  </si>
  <si>
    <t>60430-3851</t>
  </si>
  <si>
    <t>s.a.maynor@att.net</t>
  </si>
  <si>
    <t>ALA23070A00S</t>
  </si>
  <si>
    <t>ALR031001003</t>
  </si>
  <si>
    <t>Henninger</t>
  </si>
  <si>
    <t>Joe and Suzanne Henninger</t>
  </si>
  <si>
    <t>Joe and Suzanne</t>
  </si>
  <si>
    <t>1047 Edgemere Ct</t>
  </si>
  <si>
    <t>Copley</t>
  </si>
  <si>
    <t>44321-3300</t>
  </si>
  <si>
    <t>joesuehenn@aol.com</t>
  </si>
  <si>
    <t>ALB220001001</t>
  </si>
  <si>
    <t>Koebli</t>
  </si>
  <si>
    <t>Dr. Judith Koebli</t>
  </si>
  <si>
    <t>185 Valley Rd</t>
  </si>
  <si>
    <t>07066-1885</t>
  </si>
  <si>
    <t>afk185@verizon.net</t>
  </si>
  <si>
    <t>afk185@aol.com</t>
  </si>
  <si>
    <t>XNHSR6814</t>
  </si>
  <si>
    <t>ALR240302C33</t>
  </si>
  <si>
    <t>ALR030302003</t>
  </si>
  <si>
    <t>249 SE Soft Tail Dr</t>
  </si>
  <si>
    <t>97702-9342</t>
  </si>
  <si>
    <t>elhansen34@yahoo.com</t>
  </si>
  <si>
    <t>ALR040602003</t>
  </si>
  <si>
    <t>Herrman</t>
  </si>
  <si>
    <t>Ms. Marilyn S. Herrman</t>
  </si>
  <si>
    <t>1353 Hickory Dr</t>
  </si>
  <si>
    <t>Saint Joseph</t>
  </si>
  <si>
    <t>49085-3121</t>
  </si>
  <si>
    <t>msherrman@hotmail.com</t>
  </si>
  <si>
    <t>XNHSC7102</t>
  </si>
  <si>
    <t>ALS17050501S</t>
  </si>
  <si>
    <t>Mr. Richard M. Thompson</t>
  </si>
  <si>
    <t>2330 Maple Rd Apt 234</t>
  </si>
  <si>
    <t>Buffalo</t>
  </si>
  <si>
    <t>14221-4058</t>
  </si>
  <si>
    <t>kingrichard1744@yahoo.com</t>
  </si>
  <si>
    <t>tootie21b@aol.com</t>
  </si>
  <si>
    <t>XNJBA2809</t>
  </si>
  <si>
    <t>ALR230601C33</t>
  </si>
  <si>
    <t>ALR160601054</t>
  </si>
  <si>
    <t>Mrs. Bruce and Mrs. Donna Powell</t>
  </si>
  <si>
    <t>Bruce and Donna</t>
  </si>
  <si>
    <t>4037 Coronation</t>
  </si>
  <si>
    <t>23188-2798</t>
  </si>
  <si>
    <t>donna.r.powell@juno.com</t>
  </si>
  <si>
    <t>krystal.lynn.powell@gmail.com</t>
  </si>
  <si>
    <t>XNJSK7117</t>
  </si>
  <si>
    <t>ALR230901C44</t>
  </si>
  <si>
    <t>ALQ1909CC025</t>
  </si>
  <si>
    <t>Jo Ann Neal</t>
  </si>
  <si>
    <t>5337 Clemens Blvd</t>
  </si>
  <si>
    <t>50014-6922</t>
  </si>
  <si>
    <t>XNJSM4002</t>
  </si>
  <si>
    <t>ALA20010A56H</t>
  </si>
  <si>
    <t>Linda Gottlied</t>
  </si>
  <si>
    <t>PO Box 5124</t>
  </si>
  <si>
    <t>92838-0124</t>
  </si>
  <si>
    <t>XNJSM6812</t>
  </si>
  <si>
    <t>ALR240601C44</t>
  </si>
  <si>
    <t>H Carlyle</t>
  </si>
  <si>
    <t>Gravely</t>
  </si>
  <si>
    <t>Mr. H Carlyle Gravely</t>
  </si>
  <si>
    <t>12 River Rd</t>
  </si>
  <si>
    <t>Newport News</t>
  </si>
  <si>
    <t>23601-3630</t>
  </si>
  <si>
    <t>carlyle.gravely@cox.net</t>
  </si>
  <si>
    <t>XNJSM7014</t>
  </si>
  <si>
    <t>ALA1909D1EMC</t>
  </si>
  <si>
    <t>JoAnne</t>
  </si>
  <si>
    <t>Dr. Joanne Overleese</t>
  </si>
  <si>
    <t>849 Coast Boulevard #CN213</t>
  </si>
  <si>
    <t>92037-4223</t>
  </si>
  <si>
    <t>jovi245@san.rr.com</t>
  </si>
  <si>
    <t>XNJSM3701</t>
  </si>
  <si>
    <t>ALR130609033</t>
  </si>
  <si>
    <t>ATN060701001</t>
  </si>
  <si>
    <t>Campo</t>
  </si>
  <si>
    <t>Laura Campo</t>
  </si>
  <si>
    <t>7 Forest Rd</t>
  </si>
  <si>
    <t>Essex Junction</t>
  </si>
  <si>
    <t>05452-3803</t>
  </si>
  <si>
    <t>paul.campo@uvm.edu</t>
  </si>
  <si>
    <t>XNJSA5002</t>
  </si>
  <si>
    <t>ALR231101C33</t>
  </si>
  <si>
    <t>ALR091108003</t>
  </si>
  <si>
    <t>Bender</t>
  </si>
  <si>
    <t>Mr. Dean Bender</t>
  </si>
  <si>
    <t>40 Monterey Dr</t>
  </si>
  <si>
    <t>Hazlet</t>
  </si>
  <si>
    <t>07730-2159</t>
  </si>
  <si>
    <t>XNJSA4610</t>
  </si>
  <si>
    <t>ALR040601004</t>
  </si>
  <si>
    <t>Deihl</t>
  </si>
  <si>
    <t>Mr. Rick E. Deihl</t>
  </si>
  <si>
    <t>5309 Herro Ln</t>
  </si>
  <si>
    <t>53716-3211</t>
  </si>
  <si>
    <t>redeihl@att.net</t>
  </si>
  <si>
    <t>redeihl@terracom.net</t>
  </si>
  <si>
    <t>XNJSK5906</t>
  </si>
  <si>
    <t>Seo</t>
  </si>
  <si>
    <t>Ms. Peggy Seo</t>
  </si>
  <si>
    <t>9109 Main Street</t>
  </si>
  <si>
    <t>64114-3638</t>
  </si>
  <si>
    <t>ptseo@aol.com</t>
  </si>
  <si>
    <t>XNJSM7117</t>
  </si>
  <si>
    <t>XA9EZDAAC</t>
  </si>
  <si>
    <t>XA5CCAAAC</t>
  </si>
  <si>
    <t>Hicks</t>
  </si>
  <si>
    <t>Ms. Janet Hicks</t>
  </si>
  <si>
    <t>209 Anthony Wayne Ter</t>
  </si>
  <si>
    <t>15005-2003</t>
  </si>
  <si>
    <t>calvin.hicks@gmail.com</t>
  </si>
  <si>
    <t>colonial22@verizon.net</t>
  </si>
  <si>
    <t>XNJSA2809</t>
  </si>
  <si>
    <t>ALA210400001</t>
  </si>
  <si>
    <t>Fluryanne</t>
  </si>
  <si>
    <t>Melvin and Fluryanne Leach</t>
  </si>
  <si>
    <t>Melvin and Fluryanne</t>
  </si>
  <si>
    <t>5905 Blackberry Bridge Path</t>
  </si>
  <si>
    <t>55076-1560</t>
  </si>
  <si>
    <t>XNJSM6305</t>
  </si>
  <si>
    <t>ALR210404C33</t>
  </si>
  <si>
    <t>ALR100603004</t>
  </si>
  <si>
    <t>Mr. Fred Zerega</t>
  </si>
  <si>
    <t>RR 23 PO Box 254</t>
  </si>
  <si>
    <t>Bell Hill Rd</t>
  </si>
  <si>
    <t>fritz113@aol.com</t>
  </si>
  <si>
    <t>XNJSA7014</t>
  </si>
  <si>
    <t>ALR230302C33</t>
  </si>
  <si>
    <t>ALA16030D13A</t>
  </si>
  <si>
    <t>Leibowitz</t>
  </si>
  <si>
    <t>Mr. Curt Leibowitz</t>
  </si>
  <si>
    <t>343 Maple St</t>
  </si>
  <si>
    <t>Glen Ellyn</t>
  </si>
  <si>
    <t>60137-3811</t>
  </si>
  <si>
    <t>XNJSL6701</t>
  </si>
  <si>
    <t>ALR230314C30</t>
  </si>
  <si>
    <t>ALR190701033</t>
  </si>
  <si>
    <t>Seese</t>
  </si>
  <si>
    <t>Mrs. Sherry L. Seese</t>
  </si>
  <si>
    <t>896 Weatherwood Ln Apt 304</t>
  </si>
  <si>
    <t>Greensburg</t>
  </si>
  <si>
    <t>15601-5783</t>
  </si>
  <si>
    <t>sherry.shese@gmail.com</t>
  </si>
  <si>
    <t>seefr@sprintmail.com</t>
  </si>
  <si>
    <t>XNJSA5715</t>
  </si>
  <si>
    <t>ALR101107003</t>
  </si>
  <si>
    <t>XA3D2ECP3</t>
  </si>
  <si>
    <t>Ms. Marie E. Gianaca</t>
  </si>
  <si>
    <t>1 Anchorage Way Apt 103</t>
  </si>
  <si>
    <t>11520-6200</t>
  </si>
  <si>
    <t>mgian@verizon.net</t>
  </si>
  <si>
    <t>XNJSM5102</t>
  </si>
  <si>
    <t>ALR221008C33</t>
  </si>
  <si>
    <t>ALR181001033</t>
  </si>
  <si>
    <t>Suzan</t>
  </si>
  <si>
    <t>Cassidy</t>
  </si>
  <si>
    <t>Suzan E. Cassidy</t>
  </si>
  <si>
    <t>PO Box 985</t>
  </si>
  <si>
    <t>Flat Rock</t>
  </si>
  <si>
    <t>28731-0985</t>
  </si>
  <si>
    <t>suzy-cassidy@live.com</t>
  </si>
  <si>
    <t>XNJSM4304</t>
  </si>
  <si>
    <t>XRI1A97LG</t>
  </si>
  <si>
    <t>Georgia</t>
  </si>
  <si>
    <t>Baciu</t>
  </si>
  <si>
    <t>Georgia and John</t>
  </si>
  <si>
    <t>176 Pelican Way</t>
  </si>
  <si>
    <t>XNJSM6701</t>
  </si>
  <si>
    <t>Ms. Elizabeth Moon</t>
  </si>
  <si>
    <t>41 Forest St</t>
  </si>
  <si>
    <t>01944-1253</t>
  </si>
  <si>
    <t>lizmoon@netzero.net</t>
  </si>
  <si>
    <t>ALR221112C30</t>
  </si>
  <si>
    <t>Dr. and Mrs. Ernest L. Schiller</t>
  </si>
  <si>
    <t>607 Hobbs Rd</t>
  </si>
  <si>
    <t>27403-1071</t>
  </si>
  <si>
    <t>easchiller1@aol.com</t>
  </si>
  <si>
    <t>ALQ201000001</t>
  </si>
  <si>
    <t>XRL4A41C</t>
  </si>
  <si>
    <t>Levy</t>
  </si>
  <si>
    <t>Ms. Marian E. Levy</t>
  </si>
  <si>
    <t>7613 Kolb Ave</t>
  </si>
  <si>
    <t>48101-2219</t>
  </si>
  <si>
    <t>lmarian@gmail.com</t>
  </si>
  <si>
    <t>XGP2RFC</t>
  </si>
  <si>
    <t>XSPD6CC</t>
  </si>
  <si>
    <t>Oliphant</t>
  </si>
  <si>
    <t>Joanne and Joanne Oliphant</t>
  </si>
  <si>
    <t>Joanne and Joanne</t>
  </si>
  <si>
    <t>1086 Fox Valley Dr</t>
  </si>
  <si>
    <t>60504-5851</t>
  </si>
  <si>
    <t>jean.oliphant@gmail.com</t>
  </si>
  <si>
    <t>Karlak</t>
  </si>
  <si>
    <t>Julia Karlak and David Martin</t>
  </si>
  <si>
    <t>Julia and David</t>
  </si>
  <si>
    <t>2616 S Owasso Ave</t>
  </si>
  <si>
    <t>74114-2630</t>
  </si>
  <si>
    <t>jkarlak@yahoo.com</t>
  </si>
  <si>
    <t>ALR240102C54</t>
  </si>
  <si>
    <t>James and Sheila Lieske</t>
  </si>
  <si>
    <t>James and Sheila</t>
  </si>
  <si>
    <t>1221 N Waterville Rd</t>
  </si>
  <si>
    <t>53066-9290</t>
  </si>
  <si>
    <t>cyclepaths@mac.com</t>
  </si>
  <si>
    <t>outspokn@tiron.net</t>
  </si>
  <si>
    <t>ALR210402C44</t>
  </si>
  <si>
    <t>ALR160403033</t>
  </si>
  <si>
    <t>Bollinger</t>
  </si>
  <si>
    <t>Karen Bollinger</t>
  </si>
  <si>
    <t>2750 Glenbridge Ct</t>
  </si>
  <si>
    <t>48104-6728</t>
  </si>
  <si>
    <t>terriebollinger777@gmail.com</t>
  </si>
  <si>
    <t>XNJSB5906</t>
  </si>
  <si>
    <t>Dorie</t>
  </si>
  <si>
    <t>Bernard and Dorie</t>
  </si>
  <si>
    <t>894 Jefferson Way</t>
  </si>
  <si>
    <t>19380-6910</t>
  </si>
  <si>
    <t>hikerbern@comcast.net</t>
  </si>
  <si>
    <t>hikerbern@aol.com</t>
  </si>
  <si>
    <t>oyvey446@comcast.net</t>
  </si>
  <si>
    <t>Matthew</t>
  </si>
  <si>
    <t>Schofield</t>
  </si>
  <si>
    <t>Mrs. Linda and Mr. Matthew W. Schofield</t>
  </si>
  <si>
    <t>Linda and Matthew</t>
  </si>
  <si>
    <t>1204 Hyde Park Dr</t>
  </si>
  <si>
    <t>Round Rock</t>
  </si>
  <si>
    <t>78665-4025</t>
  </si>
  <si>
    <t>mwschofield@hotmail.com</t>
  </si>
  <si>
    <t>mwschofield@icloud.com</t>
  </si>
  <si>
    <t>XNJSB3901</t>
  </si>
  <si>
    <t>ALS221101WS3</t>
  </si>
  <si>
    <t>ALA041202057</t>
  </si>
  <si>
    <t>Mary Esther</t>
  </si>
  <si>
    <t>Jerry and Mary Esther Breckenridge</t>
  </si>
  <si>
    <t>Jerry and Mary Esther</t>
  </si>
  <si>
    <t>3025 N Patterson Blvd</t>
  </si>
  <si>
    <t>86004-3834</t>
  </si>
  <si>
    <t>mombreck2@msn.com</t>
  </si>
  <si>
    <t>ALA22110G00S</t>
  </si>
  <si>
    <t>Dara</t>
  </si>
  <si>
    <t>Blackstone</t>
  </si>
  <si>
    <t>Shigeru</t>
  </si>
  <si>
    <t>Hayashi</t>
  </si>
  <si>
    <t>Dara Blackstone</t>
  </si>
  <si>
    <t>3 Pinecrest Rd</t>
  </si>
  <si>
    <t>North Stonington</t>
  </si>
  <si>
    <t>06359-1527</t>
  </si>
  <si>
    <t>ALR210301C66</t>
  </si>
  <si>
    <t>cometsfh1@aol.com</t>
  </si>
  <si>
    <t>ALQ1701CG024</t>
  </si>
  <si>
    <t>ALA18010A25N</t>
  </si>
  <si>
    <t>McCartney</t>
  </si>
  <si>
    <t>Ms. Vicki S. McCartney</t>
  </si>
  <si>
    <t>5075 Country Club Dr</t>
  </si>
  <si>
    <t>94928-1498</t>
  </si>
  <si>
    <t>XNJSA5102</t>
  </si>
  <si>
    <t>ALR150701033</t>
  </si>
  <si>
    <t>XMTGF110</t>
  </si>
  <si>
    <t>Helene</t>
  </si>
  <si>
    <t>Gasner</t>
  </si>
  <si>
    <t>205 Front Ave</t>
  </si>
  <si>
    <t>Brentwood</t>
  </si>
  <si>
    <t>11717-5923</t>
  </si>
  <si>
    <t>catnitski@yahoo.com</t>
  </si>
  <si>
    <t>catnitsky@yahoo.com</t>
  </si>
  <si>
    <t>ALR240401T33</t>
  </si>
  <si>
    <t>ALR140401033</t>
  </si>
  <si>
    <t>Maestas</t>
  </si>
  <si>
    <t>Ginna Denues and Valerie Maestas</t>
  </si>
  <si>
    <t>Ginna and Valerie</t>
  </si>
  <si>
    <t>211 Canyon Creek Ct</t>
  </si>
  <si>
    <t>94583-1807</t>
  </si>
  <si>
    <t>ginna.denues@gmail.com</t>
  </si>
  <si>
    <t>gsdenues@pacbell.net</t>
  </si>
  <si>
    <t>XNJSA1505</t>
  </si>
  <si>
    <t>ALR240402C64</t>
  </si>
  <si>
    <t>ALA2311D1EMC</t>
  </si>
  <si>
    <t>Woll</t>
  </si>
  <si>
    <t>Mrs. Margaret J. Woll</t>
  </si>
  <si>
    <t>208 Highland Dr</t>
  </si>
  <si>
    <t>98225-5414</t>
  </si>
  <si>
    <t>john@silverbeach.com</t>
  </si>
  <si>
    <t>mhildeb408@aol.com</t>
  </si>
  <si>
    <t>XNJSH7014</t>
  </si>
  <si>
    <t>ALA1212D5EMC</t>
  </si>
  <si>
    <t>4321 Tyler Way</t>
  </si>
  <si>
    <t>Anacortes</t>
  </si>
  <si>
    <t>98221-3215</t>
  </si>
  <si>
    <t>XNJSB5002</t>
  </si>
  <si>
    <t>ALA120700001</t>
  </si>
  <si>
    <t>XRE1P91AA</t>
  </si>
  <si>
    <t>Valentine</t>
  </si>
  <si>
    <t>Ms. Mary E. Valentine</t>
  </si>
  <si>
    <t>10 Prospect St SW</t>
  </si>
  <si>
    <t>Le Mars</t>
  </si>
  <si>
    <t>51031-2733</t>
  </si>
  <si>
    <t>adimlv0921@gmail.com</t>
  </si>
  <si>
    <t>mevalentine0916@npca.org</t>
  </si>
  <si>
    <t>XNHSB4506</t>
  </si>
  <si>
    <t>Mr. Mark E. Williams</t>
  </si>
  <si>
    <t>3208 S 1st St</t>
  </si>
  <si>
    <t>61822-7104</t>
  </si>
  <si>
    <t>XNJSL4002</t>
  </si>
  <si>
    <t>Allan Bulemore</t>
  </si>
  <si>
    <t>1020 Krust Dr</t>
  </si>
  <si>
    <t>48867-1922</t>
  </si>
  <si>
    <t>walker.cindy2010@gmail.com</t>
  </si>
  <si>
    <t>albulemore@chartermi.net</t>
  </si>
  <si>
    <t>XNJSA4706</t>
  </si>
  <si>
    <t>ALR210804C33</t>
  </si>
  <si>
    <t>Graff</t>
  </si>
  <si>
    <t>Mrs. Jill Graff</t>
  </si>
  <si>
    <t>1717 Deerfield Dr</t>
  </si>
  <si>
    <t>78741-3704</t>
  </si>
  <si>
    <t>jillgraff@gmail.com</t>
  </si>
  <si>
    <t>jillgraff@compuserve.com</t>
  </si>
  <si>
    <t>ALR230701C33</t>
  </si>
  <si>
    <t>Hilten</t>
  </si>
  <si>
    <t>Jean and Richard Hilten</t>
  </si>
  <si>
    <t>Jean and Richard</t>
  </si>
  <si>
    <t>PO Box 386</t>
  </si>
  <si>
    <t>Walland</t>
  </si>
  <si>
    <t>37886-0386</t>
  </si>
  <si>
    <t>XNJSL4806</t>
  </si>
  <si>
    <t>Y.</t>
  </si>
  <si>
    <t>Mr. Edward Y. Farquhar</t>
  </si>
  <si>
    <t>1253 Greenville Way</t>
  </si>
  <si>
    <t>32162-7747</t>
  </si>
  <si>
    <t>hogwife@hotmail.com</t>
  </si>
  <si>
    <t>buzzeb6@aol.com</t>
  </si>
  <si>
    <t>ALA24030B13A</t>
  </si>
  <si>
    <t>ALR231002C33</t>
  </si>
  <si>
    <t>Mr. and Mrs. Melvin D. Shivvers</t>
  </si>
  <si>
    <t>645 46th St</t>
  </si>
  <si>
    <t>50312-2309</t>
  </si>
  <si>
    <t>XNJSF6812</t>
  </si>
  <si>
    <t>ALL23040A5BM</t>
  </si>
  <si>
    <t>ALR200405C33</t>
  </si>
  <si>
    <t>Madrid</t>
  </si>
  <si>
    <t>7500 E Dartmouth Ave</t>
  </si>
  <si>
    <t>#33</t>
  </si>
  <si>
    <t>80231-4264</t>
  </si>
  <si>
    <t>XNJSF5102</t>
  </si>
  <si>
    <t>ALR120001001</t>
  </si>
  <si>
    <t>ALA091202003</t>
  </si>
  <si>
    <t>Diamond</t>
  </si>
  <si>
    <t>Manuelle</t>
  </si>
  <si>
    <t>Mrs. Robert A. and Mr. Robert A. Diamond</t>
  </si>
  <si>
    <t>Robert and Robert</t>
  </si>
  <si>
    <t>4849 Connecticut Ave NW Apt 516</t>
  </si>
  <si>
    <t>20008-5828</t>
  </si>
  <si>
    <t>manuelle39@gmail.com</t>
  </si>
  <si>
    <t>robertdiamond33@gmail.com</t>
  </si>
  <si>
    <t>XNJSL6812</t>
  </si>
  <si>
    <t>ALR131204044</t>
  </si>
  <si>
    <t>Kovich</t>
  </si>
  <si>
    <t>Mr. Joseph T. Kovich</t>
  </si>
  <si>
    <t>1730 7th St</t>
  </si>
  <si>
    <t>Columbia City</t>
  </si>
  <si>
    <t>97018-9738</t>
  </si>
  <si>
    <t>jtkshk@comcast.net</t>
  </si>
  <si>
    <t>XNJSA6305</t>
  </si>
  <si>
    <t>ALA21070S001</t>
  </si>
  <si>
    <t>Bohman</t>
  </si>
  <si>
    <t>7833 Founders Cir</t>
  </si>
  <si>
    <t>Naples</t>
  </si>
  <si>
    <t>34104-5319</t>
  </si>
  <si>
    <t>iboh@comcast.net</t>
  </si>
  <si>
    <t>iboh@juno.com</t>
  </si>
  <si>
    <t>XNJSA6405</t>
  </si>
  <si>
    <t>Dr. Kathy P. Belgea M.D.</t>
  </si>
  <si>
    <t>PO Box 8050</t>
  </si>
  <si>
    <t>Wausau</t>
  </si>
  <si>
    <t>54402-8050</t>
  </si>
  <si>
    <t>ALR220301C54</t>
  </si>
  <si>
    <t>Jane and David Poster</t>
  </si>
  <si>
    <t>Jane and David</t>
  </si>
  <si>
    <t>3430 Hanson Ave</t>
  </si>
  <si>
    <t>29204-3504</t>
  </si>
  <si>
    <t>XNJBC3901</t>
  </si>
  <si>
    <t>ALA23050B33R</t>
  </si>
  <si>
    <t>Juergens</t>
  </si>
  <si>
    <t>Mr. Mark E. Juergens</t>
  </si>
  <si>
    <t>125 S Fletcher Rd</t>
  </si>
  <si>
    <t># 18</t>
  </si>
  <si>
    <t>48118-9617</t>
  </si>
  <si>
    <t>barleynchickpeas@gmail.com</t>
  </si>
  <si>
    <t>XNJSH4002</t>
  </si>
  <si>
    <t>ALR220503C33</t>
  </si>
  <si>
    <t>ALR220501C33</t>
  </si>
  <si>
    <t>Hodges</t>
  </si>
  <si>
    <t>830 S Lee St</t>
  </si>
  <si>
    <t>22314-4334</t>
  </si>
  <si>
    <t>berylhodges@yahoo.com</t>
  </si>
  <si>
    <t>berylhodges@gmail.com</t>
  </si>
  <si>
    <t>XNJSB4002</t>
  </si>
  <si>
    <t>ALL23020B5BM</t>
  </si>
  <si>
    <t>ALA1312D8EM1</t>
  </si>
  <si>
    <t>Mr. Jerry Belter, Jr.</t>
  </si>
  <si>
    <t>332 5th St</t>
  </si>
  <si>
    <t>53913-2221</t>
  </si>
  <si>
    <t>jbelter@centurytel.net</t>
  </si>
  <si>
    <t>XRG7A73C</t>
  </si>
  <si>
    <t>Desgroseilliers</t>
  </si>
  <si>
    <t>Mrs. Joan S. Desgroseilliers</t>
  </si>
  <si>
    <t>36 Autumn Lane</t>
  </si>
  <si>
    <t>East Kingston</t>
  </si>
  <si>
    <t>03827-2076</t>
  </si>
  <si>
    <t>XNJSM4204</t>
  </si>
  <si>
    <t>ALR120801003</t>
  </si>
  <si>
    <t>Kim G. Wieland</t>
  </si>
  <si>
    <t>5215 Sagail Pl</t>
  </si>
  <si>
    <t>78249-1798</t>
  </si>
  <si>
    <t>kgwielan@rmcisdc1.rmc.com</t>
  </si>
  <si>
    <t>kgwieland@hotmail.com</t>
  </si>
  <si>
    <t>XNJSA1405</t>
  </si>
  <si>
    <t>ALR221204C44</t>
  </si>
  <si>
    <t>Gail Ward</t>
  </si>
  <si>
    <t>3731 Greenleaf Cir Apt 204</t>
  </si>
  <si>
    <t>49008-2566</t>
  </si>
  <si>
    <t>wardgb1@juno.com</t>
  </si>
  <si>
    <t>wardb1@juno.com</t>
  </si>
  <si>
    <t>XNJSC4706</t>
  </si>
  <si>
    <t>ALA23080C14A</t>
  </si>
  <si>
    <t>ALR210401C44</t>
  </si>
  <si>
    <t>Kathi</t>
  </si>
  <si>
    <t>David and Kathi Leaf</t>
  </si>
  <si>
    <t>David and Kathi</t>
  </si>
  <si>
    <t>2557 S 1400 W</t>
  </si>
  <si>
    <t>84087-2304</t>
  </si>
  <si>
    <t>kleafa@hotmail.com</t>
  </si>
  <si>
    <t>ALA20030W001</t>
  </si>
  <si>
    <t>Trahan</t>
  </si>
  <si>
    <t>Mrs. Laura A. Elsenboss and Mr. John Trahan</t>
  </si>
  <si>
    <t>Laura and John</t>
  </si>
  <si>
    <t>910 SE Pine Castle Ct</t>
  </si>
  <si>
    <t>34996-3638</t>
  </si>
  <si>
    <t>elsenbosslaura@gmail.com</t>
  </si>
  <si>
    <t>XNJSA4304</t>
  </si>
  <si>
    <t>ALA10090E25A</t>
  </si>
  <si>
    <t>jdtrahan78@gmail.com</t>
  </si>
  <si>
    <t>Schurr</t>
  </si>
  <si>
    <t>4905 W Carmen Ave</t>
  </si>
  <si>
    <t>60630-2423</t>
  </si>
  <si>
    <t>XNJSM4404</t>
  </si>
  <si>
    <t>ALR081105003</t>
  </si>
  <si>
    <t>Jana</t>
  </si>
  <si>
    <t>Jana and Michael Hobbs</t>
  </si>
  <si>
    <t>Jana and Michael</t>
  </si>
  <si>
    <t>2115 41st Ave SW</t>
  </si>
  <si>
    <t>98116-2023</t>
  </si>
  <si>
    <t>mjct_hobbs@msn.com</t>
  </si>
  <si>
    <t>urtica@frontier.com</t>
  </si>
  <si>
    <t>XNHSC5101</t>
  </si>
  <si>
    <t>ALA18121XWSC</t>
  </si>
  <si>
    <t>XRG2A21</t>
  </si>
  <si>
    <t>5531 Navaho Trl</t>
  </si>
  <si>
    <t>71301-2831</t>
  </si>
  <si>
    <t>rand2lafl@yahoo.com</t>
  </si>
  <si>
    <t>rand2laf@yahoo.com</t>
  </si>
  <si>
    <t>XNJSK4806</t>
  </si>
  <si>
    <t>ALA2307D1DMC</t>
  </si>
  <si>
    <t>ALR111001EDT</t>
  </si>
  <si>
    <t>Harkrader</t>
  </si>
  <si>
    <t>Mr. and Mrs. Stephen C. Harkrader</t>
  </si>
  <si>
    <t>365 Knights Rd</t>
  </si>
  <si>
    <t>Mccall</t>
  </si>
  <si>
    <t>83638-5166</t>
  </si>
  <si>
    <t>charkrader@frontiernet.net</t>
  </si>
  <si>
    <t>ALR201103C54</t>
  </si>
  <si>
    <t>Tudor</t>
  </si>
  <si>
    <t>John and D. Tudor</t>
  </si>
  <si>
    <t>Tudor Family</t>
  </si>
  <si>
    <t>161 Coonamessett Cir</t>
  </si>
  <si>
    <t>East Falmouth</t>
  </si>
  <si>
    <t>02536-4041</t>
  </si>
  <si>
    <t>jmt1309@msn.com</t>
  </si>
  <si>
    <t>XNBSS4303</t>
  </si>
  <si>
    <t>ALQ1807BA234</t>
  </si>
  <si>
    <t>XL7FAACAE</t>
  </si>
  <si>
    <t>Mr. Arthur H. Hansen</t>
  </si>
  <si>
    <t>Mr. Hansen</t>
  </si>
  <si>
    <t>P.O. Box 1743</t>
  </si>
  <si>
    <t>98070-1743</t>
  </si>
  <si>
    <t>XNJSN9916</t>
  </si>
  <si>
    <t>ALA17040A15R</t>
  </si>
  <si>
    <t>Maggie</t>
  </si>
  <si>
    <t>Hansel</t>
  </si>
  <si>
    <t>Ms. Maggie Hansel</t>
  </si>
  <si>
    <t>2502 Avalon Cir</t>
  </si>
  <si>
    <t>37415-6313</t>
  </si>
  <si>
    <t>XNJSA9916</t>
  </si>
  <si>
    <t>ALZ140002002</t>
  </si>
  <si>
    <t>XRH3A322</t>
  </si>
  <si>
    <t>Lehnert</t>
  </si>
  <si>
    <t>Mike and Judy Lehnert</t>
  </si>
  <si>
    <t>Mike and Judy</t>
  </si>
  <si>
    <t>15287 Stonewood Ct</t>
  </si>
  <si>
    <t>Burnsville</t>
  </si>
  <si>
    <t>55306-2500</t>
  </si>
  <si>
    <t>mlehnert@comcast.net</t>
  </si>
  <si>
    <t>ALA230700001</t>
  </si>
  <si>
    <t>Maria</t>
  </si>
  <si>
    <t>Mrs. Denise M. and Mr. Mark E. Witowski</t>
  </si>
  <si>
    <t>Denise and Mark</t>
  </si>
  <si>
    <t>180 Summerlight Dr</t>
  </si>
  <si>
    <t>Murrells Inlet</t>
  </si>
  <si>
    <t>29576-7232</t>
  </si>
  <si>
    <t>nitwits1234@gmail.com</t>
  </si>
  <si>
    <t>nitwits4@verizon.net</t>
  </si>
  <si>
    <t>XMJ90</t>
  </si>
  <si>
    <t>ALQ1812N1DMC</t>
  </si>
  <si>
    <t>ALQ2201N0WSC</t>
  </si>
  <si>
    <t>Jerris</t>
  </si>
  <si>
    <t>Breslin</t>
  </si>
  <si>
    <t>Jerris Breslin</t>
  </si>
  <si>
    <t>26 Wood Dr</t>
  </si>
  <si>
    <t>Belleville</t>
  </si>
  <si>
    <t>62226-1944</t>
  </si>
  <si>
    <t>jerb55@aol.com</t>
  </si>
  <si>
    <t>Mrs. Barbara and Mr. Arthur Daniels</t>
  </si>
  <si>
    <t>Barbara and Arthur</t>
  </si>
  <si>
    <t>3800 Bridgeport Way W</t>
  </si>
  <si>
    <t>PMB 174</t>
  </si>
  <si>
    <t>98466-4495</t>
  </si>
  <si>
    <t>dart5311@q.com</t>
  </si>
  <si>
    <t>daniels855@q.com</t>
  </si>
  <si>
    <t>825 Old Inland Empire Hwy</t>
  </si>
  <si>
    <t>99350-6561</t>
  </si>
  <si>
    <t>ALA100302002</t>
  </si>
  <si>
    <t>Haun</t>
  </si>
  <si>
    <t>24 High Bridge Crossing #1210</t>
  </si>
  <si>
    <t>28803-4162</t>
  </si>
  <si>
    <t>jrhaun@bellsouth.net</t>
  </si>
  <si>
    <t>jrhaun@att.net</t>
  </si>
  <si>
    <t>ALR111005003</t>
  </si>
  <si>
    <t>Ms. Irene W. Bell</t>
  </si>
  <si>
    <t>5842 S Taft St Apt 215</t>
  </si>
  <si>
    <t>Littleton</t>
  </si>
  <si>
    <t>80127-2113</t>
  </si>
  <si>
    <t>irene_bell@dpsk12.org</t>
  </si>
  <si>
    <t>XNJSH5906</t>
  </si>
  <si>
    <t>ALR200501C33</t>
  </si>
  <si>
    <t>ALR150701044</t>
  </si>
  <si>
    <t>Ms. Marilyn P. and Mr. Howard A. Whelan</t>
  </si>
  <si>
    <t>Marilyn and Howard</t>
  </si>
  <si>
    <t>144 Ventana Ridge Pl</t>
  </si>
  <si>
    <t>95945-9763</t>
  </si>
  <si>
    <t>marilynp.whelan@comcast.net</t>
  </si>
  <si>
    <t>mperlwhelan@aol.com</t>
  </si>
  <si>
    <t>XNJSF3901</t>
  </si>
  <si>
    <t>2042 Via Mariposa E Unit C</t>
  </si>
  <si>
    <t>92637-0512</t>
  </si>
  <si>
    <t>mchackett4464@gmail.com</t>
  </si>
  <si>
    <t>mchackett@earthlink.net</t>
  </si>
  <si>
    <t>ALA23060A56H</t>
  </si>
  <si>
    <t>ALA16030E5AD</t>
  </si>
  <si>
    <t>Schettino</t>
  </si>
  <si>
    <t>12843 Gorman Cir</t>
  </si>
  <si>
    <t>Boyds</t>
  </si>
  <si>
    <t>20841-2021</t>
  </si>
  <si>
    <t>XNJSC2809</t>
  </si>
  <si>
    <t>Di Stefano</t>
  </si>
  <si>
    <t>Dr. Julia M. Di Stefano</t>
  </si>
  <si>
    <t>180 Mccarthy St</t>
  </si>
  <si>
    <t>03104-1545</t>
  </si>
  <si>
    <t>juliadistefano@comcast.net</t>
  </si>
  <si>
    <t>XNAKH6914</t>
  </si>
  <si>
    <t>ALL23040B53M</t>
  </si>
  <si>
    <t>XRF9A91C</t>
  </si>
  <si>
    <t>Chrostowski</t>
  </si>
  <si>
    <t>Ms. Lynn Chrostowski</t>
  </si>
  <si>
    <t>7493 Mohawk Trail Rd</t>
  </si>
  <si>
    <t>45459-3558</t>
  </si>
  <si>
    <t>XNAKG2988</t>
  </si>
  <si>
    <t>ALR081202003</t>
  </si>
  <si>
    <t>Drake</t>
  </si>
  <si>
    <t>Ms. Sharon K. Drake</t>
  </si>
  <si>
    <t>2115 Douglas Ave</t>
  </si>
  <si>
    <t>50010-4911</t>
  </si>
  <si>
    <t>XNAKF3804</t>
  </si>
  <si>
    <t>ALR020303003</t>
  </si>
  <si>
    <t>Mr. Stephen D. Fox</t>
  </si>
  <si>
    <t>475 Tomoka Drive</t>
  </si>
  <si>
    <t>34223-6560</t>
  </si>
  <si>
    <t>freestater18@verizon.net</t>
  </si>
  <si>
    <t>freestater@comcast.net</t>
  </si>
  <si>
    <t>XNAKF4004</t>
  </si>
  <si>
    <t>ALL1906L1EMY</t>
  </si>
  <si>
    <t>Neff</t>
  </si>
  <si>
    <t>18144 242nd Avenue</t>
  </si>
  <si>
    <t>Pleasant Valley</t>
  </si>
  <si>
    <t>52767-0239</t>
  </si>
  <si>
    <t>gmn14r@mchsi.com</t>
  </si>
  <si>
    <t>XNAKF5812</t>
  </si>
  <si>
    <t>ALA18020A25A</t>
  </si>
  <si>
    <t>ALA17040A25A</t>
  </si>
  <si>
    <t>Mrs. Janet and Mr. Wayne P. Campbell</t>
  </si>
  <si>
    <t>Janet and Wayne</t>
  </si>
  <si>
    <t>6 Coesa Dr</t>
  </si>
  <si>
    <t>12866-9025</t>
  </si>
  <si>
    <t>janet_campbell36@hotmail.com</t>
  </si>
  <si>
    <t>j_campbell@wildmail.com</t>
  </si>
  <si>
    <t>ALL21040C53M</t>
  </si>
  <si>
    <t>ALR150805023</t>
  </si>
  <si>
    <t>Mr. Dale I. Miller</t>
  </si>
  <si>
    <t>5000 Arkanshire Cir Apt 329</t>
  </si>
  <si>
    <t>Springdale</t>
  </si>
  <si>
    <t>72764-2842</t>
  </si>
  <si>
    <t>daleimiller@sbcglobal.net</t>
  </si>
  <si>
    <t>ALR211003C33</t>
  </si>
  <si>
    <t>XRA5B52P</t>
  </si>
  <si>
    <t>Linda Tatem</t>
  </si>
  <si>
    <t>942 Idlewild Dr</t>
  </si>
  <si>
    <t>80435-7642</t>
  </si>
  <si>
    <t>treeltatem@comcast.net</t>
  </si>
  <si>
    <t>XNAKA5206</t>
  </si>
  <si>
    <t>ALR220807C33</t>
  </si>
  <si>
    <t>Ms. Virginia Kern</t>
  </si>
  <si>
    <t>4438 Titan Ave</t>
  </si>
  <si>
    <t>93436-1027</t>
  </si>
  <si>
    <t>ALA080103053</t>
  </si>
  <si>
    <t>XRD3H35A</t>
  </si>
  <si>
    <t>Tanya</t>
  </si>
  <si>
    <t>Mrs. Tanya and Mr. Nathan A. Larson</t>
  </si>
  <si>
    <t>Tanya and Nathan</t>
  </si>
  <si>
    <t>5168 Yank Ct</t>
  </si>
  <si>
    <t>80002-1826</t>
  </si>
  <si>
    <t>larsonfamily2117@gmail.com</t>
  </si>
  <si>
    <t>larsonfamily@sbcglobal.net</t>
  </si>
  <si>
    <t>XNAKF4406</t>
  </si>
  <si>
    <t>ALR230903EMC</t>
  </si>
  <si>
    <t>ALR155847EMC</t>
  </si>
  <si>
    <t>Tankersley Bernier</t>
  </si>
  <si>
    <t>Ms. Kathy M. Tankersley Bernier</t>
  </si>
  <si>
    <t>54 Whalers Ln</t>
  </si>
  <si>
    <t>01970-6833</t>
  </si>
  <si>
    <t>ziggytwokt@yahoo.com</t>
  </si>
  <si>
    <t>ziggyii@comcast.net</t>
  </si>
  <si>
    <t>XNAKH5812</t>
  </si>
  <si>
    <t>ALR240700EMC</t>
  </si>
  <si>
    <t>Palmquost</t>
  </si>
  <si>
    <t>Dr. Wendy J. Palmquost</t>
  </si>
  <si>
    <t>77 Summit Rd</t>
  </si>
  <si>
    <t>03264-1306</t>
  </si>
  <si>
    <t>palm@plymouth.edu</t>
  </si>
  <si>
    <t>palm@mail.plymouth.edu</t>
  </si>
  <si>
    <t>XNAKA4506</t>
  </si>
  <si>
    <t>ALA2312D8EMC</t>
  </si>
  <si>
    <t>Devitt</t>
  </si>
  <si>
    <t>10829 Westland Dr</t>
  </si>
  <si>
    <t>37922-5506</t>
  </si>
  <si>
    <t>XNAKB2902</t>
  </si>
  <si>
    <t>ALR230802C64</t>
  </si>
  <si>
    <t>ALR060601004</t>
  </si>
  <si>
    <t>Steinberg</t>
  </si>
  <si>
    <t>Alan and Christine Steinberg</t>
  </si>
  <si>
    <t>Alan and Christine</t>
  </si>
  <si>
    <t>59 Tate Rd</t>
  </si>
  <si>
    <t>Flemington</t>
  </si>
  <si>
    <t>08822-7230</t>
  </si>
  <si>
    <t>alanbsteinberg@comcast.net</t>
  </si>
  <si>
    <t>alan.steinberg@yahoo.com</t>
  </si>
  <si>
    <t>XNAKL2701</t>
  </si>
  <si>
    <t>ALL21090B4BM</t>
  </si>
  <si>
    <t>Enright</t>
  </si>
  <si>
    <t>2715 Strom Pl</t>
  </si>
  <si>
    <t>98221-4061</t>
  </si>
  <si>
    <t>plemabg@gmail.com</t>
  </si>
  <si>
    <t>plemab@cableone.net</t>
  </si>
  <si>
    <t>XNAKC4104</t>
  </si>
  <si>
    <t>ALR2102D0DMC</t>
  </si>
  <si>
    <t>ALR030301004</t>
  </si>
  <si>
    <t>Marty</t>
  </si>
  <si>
    <t>Barber</t>
  </si>
  <si>
    <t>Ms. Marty Barber</t>
  </si>
  <si>
    <t>1115 W Bessemer Ave Apt C</t>
  </si>
  <si>
    <t>27408-8441</t>
  </si>
  <si>
    <t>martybarber814@gmail.com</t>
  </si>
  <si>
    <t>treehugger814@bellsouth.net</t>
  </si>
  <si>
    <t>ALR230806C33</t>
  </si>
  <si>
    <t>Reba</t>
  </si>
  <si>
    <t>Herson</t>
  </si>
  <si>
    <t>Mrs. Reba Herson</t>
  </si>
  <si>
    <t>3 Wendy Ln</t>
  </si>
  <si>
    <t>Closter</t>
  </si>
  <si>
    <t>07624-2319</t>
  </si>
  <si>
    <t>XNAKA4706</t>
  </si>
  <si>
    <t>ALR181112C40</t>
  </si>
  <si>
    <t>ALA12030D53H</t>
  </si>
  <si>
    <t>Ms. Diahnka M. Kingsley</t>
  </si>
  <si>
    <t>514 Lincoln Ave</t>
  </si>
  <si>
    <t>19076-2423</t>
  </si>
  <si>
    <t>diahnka@rcn.com</t>
  </si>
  <si>
    <t>XNAKE7117</t>
  </si>
  <si>
    <t>ALL2306L5EMC</t>
  </si>
  <si>
    <t>XRI2A24</t>
  </si>
  <si>
    <t>Marcia and Charles Johnson</t>
  </si>
  <si>
    <t>Marcia and Charles</t>
  </si>
  <si>
    <t>12220 Big Canoe</t>
  </si>
  <si>
    <t>Big Canoe</t>
  </si>
  <si>
    <t>30143-5160</t>
  </si>
  <si>
    <t>ALQ1308FB009</t>
  </si>
  <si>
    <t>5014 Riverwatch Dr</t>
  </si>
  <si>
    <t>45238-5964</t>
  </si>
  <si>
    <t>popplewell55@yahoo.com</t>
  </si>
  <si>
    <t>XNAKG29</t>
  </si>
  <si>
    <t>ALA23100G00S</t>
  </si>
  <si>
    <t>Leeds</t>
  </si>
  <si>
    <t>Mr. Robert Leeds, Jr.</t>
  </si>
  <si>
    <t>4616 S Pittsburg St</t>
  </si>
  <si>
    <t>99223-6454</t>
  </si>
  <si>
    <t>tapadera1@aol.com</t>
  </si>
  <si>
    <t>ALL23070A53M</t>
  </si>
  <si>
    <t>Rosemary</t>
  </si>
  <si>
    <t>Myron and Rosemary Yakely</t>
  </si>
  <si>
    <t>Myron and Rosemary</t>
  </si>
  <si>
    <t>417 Sunfish Way</t>
  </si>
  <si>
    <t>Okatie</t>
  </si>
  <si>
    <t>29909-4904</t>
  </si>
  <si>
    <t>rasiyakely@gmail.com</t>
  </si>
  <si>
    <t>rosiyakely43@gmail.com</t>
  </si>
  <si>
    <t>XNAKC6914</t>
  </si>
  <si>
    <t>ALR230213C50</t>
  </si>
  <si>
    <t>ALA1905N0WSC</t>
  </si>
  <si>
    <t>Mrs. Ardis E. McCarthy</t>
  </si>
  <si>
    <t>Mrs. McCarthy</t>
  </si>
  <si>
    <t>Po Box 1165</t>
  </si>
  <si>
    <t>76432-1165</t>
  </si>
  <si>
    <t>XNAKG44</t>
  </si>
  <si>
    <t>ALR171002033</t>
  </si>
  <si>
    <t>Kathleen Puhr</t>
  </si>
  <si>
    <t>5535 Waterman Blvd Apt 1S</t>
  </si>
  <si>
    <t>63112-1845</t>
  </si>
  <si>
    <t>ALR231202C33</t>
  </si>
  <si>
    <t>ALR170410033</t>
  </si>
  <si>
    <t>Ms. Judi Dilks</t>
  </si>
  <si>
    <t>3913 Saint Clair St</t>
  </si>
  <si>
    <t>53711-1628</t>
  </si>
  <si>
    <t>jadilks@gmail.com</t>
  </si>
  <si>
    <t>judi.dilks@madison.ppdi.com</t>
  </si>
  <si>
    <t>XNAKF2902</t>
  </si>
  <si>
    <t>ALR13XX0W001</t>
  </si>
  <si>
    <t>Barb</t>
  </si>
  <si>
    <t>Watts</t>
  </si>
  <si>
    <t>Mrs. Barb Watts</t>
  </si>
  <si>
    <t>2058 Eastern Pkwy</t>
  </si>
  <si>
    <t>40204-1407</t>
  </si>
  <si>
    <t>corgirlbarb@netscape.net</t>
  </si>
  <si>
    <t>barbgwatts@gmail.com</t>
  </si>
  <si>
    <t>XNID90</t>
  </si>
  <si>
    <t>ALA2111D2EM3</t>
  </si>
  <si>
    <t>ALA101208EDW</t>
  </si>
  <si>
    <t>Aneita</t>
  </si>
  <si>
    <t>Gates</t>
  </si>
  <si>
    <t>Ms. Aneita Gates</t>
  </si>
  <si>
    <t>14498 Boy Scout Trl</t>
  </si>
  <si>
    <t>Petersburg</t>
  </si>
  <si>
    <t>62675-6228</t>
  </si>
  <si>
    <t>aneita@aol.com</t>
  </si>
  <si>
    <t>XNAKC4506</t>
  </si>
  <si>
    <t>ALR231202C44</t>
  </si>
  <si>
    <t>Hory</t>
  </si>
  <si>
    <t>Mrs. Mary F. Hory</t>
  </si>
  <si>
    <t>1032 Old White Plains Rd</t>
  </si>
  <si>
    <t>Mamaroneck</t>
  </si>
  <si>
    <t>10543-1118</t>
  </si>
  <si>
    <t>maryfhory@gmail.com</t>
  </si>
  <si>
    <t>mayfhory@gmail.com</t>
  </si>
  <si>
    <t>XNAKAI7</t>
  </si>
  <si>
    <t>ALA2309D2EMC</t>
  </si>
  <si>
    <t>Braman</t>
  </si>
  <si>
    <t>Ms. Braman</t>
  </si>
  <si>
    <t>475 Jacks Canyon Road Apt 201</t>
  </si>
  <si>
    <t>86351-9251</t>
  </si>
  <si>
    <t>XNAKB4506</t>
  </si>
  <si>
    <t>ALR071003003</t>
  </si>
  <si>
    <t>Mae</t>
  </si>
  <si>
    <t>Ms. Mae A. Henderson</t>
  </si>
  <si>
    <t>657 Surrey Walk Dr</t>
  </si>
  <si>
    <t>46385-2981</t>
  </si>
  <si>
    <t>mah46385@gmail.com</t>
  </si>
  <si>
    <t>bigboy3947@msn.com</t>
  </si>
  <si>
    <t>ALS231201WS3</t>
  </si>
  <si>
    <t>Gallagher</t>
  </si>
  <si>
    <t>9226 Mellenbrook Rd</t>
  </si>
  <si>
    <t>21045-1816</t>
  </si>
  <si>
    <t>gallagher.pmcc@gmail.com</t>
  </si>
  <si>
    <t>jsgallagher.post@gmail.com</t>
  </si>
  <si>
    <t>ALL23090B5BM</t>
  </si>
  <si>
    <t>Mr. Gregory Trotter</t>
  </si>
  <si>
    <t>1329 Federal Ave Apt 2</t>
  </si>
  <si>
    <t>90025-3919</t>
  </si>
  <si>
    <t>grabitquick@yahoo.com</t>
  </si>
  <si>
    <t>XNAKB5206</t>
  </si>
  <si>
    <t>ALA21120W001</t>
  </si>
  <si>
    <t>XRI8B84S</t>
  </si>
  <si>
    <t>Ms. Anita R. Paulson</t>
  </si>
  <si>
    <t>10330 W Thunderbird Blvd Apt B117</t>
  </si>
  <si>
    <t>85351-3041</t>
  </si>
  <si>
    <t>XNAKE5812</t>
  </si>
  <si>
    <t>ALA23080C55H</t>
  </si>
  <si>
    <t>ALR220205C54</t>
  </si>
  <si>
    <t>Eric Cooley</t>
  </si>
  <si>
    <t>10179 SW Copperleaf Ln</t>
  </si>
  <si>
    <t>97224-4888</t>
  </si>
  <si>
    <t>cooleye@wou.edu</t>
  </si>
  <si>
    <t>XNAKG58</t>
  </si>
  <si>
    <t>Marsha</t>
  </si>
  <si>
    <t>Zelus</t>
  </si>
  <si>
    <t>Mrs. Marsha M. Zelus</t>
  </si>
  <si>
    <t>225 The Crossroads Blvd</t>
  </si>
  <si>
    <t># 360</t>
  </si>
  <si>
    <t>Carmel</t>
  </si>
  <si>
    <t>93923-8674</t>
  </si>
  <si>
    <t>mzelus@mac.com</t>
  </si>
  <si>
    <t>mzelus@mbay.net</t>
  </si>
  <si>
    <t>XNAKB3404</t>
  </si>
  <si>
    <t>Ohmart</t>
  </si>
  <si>
    <t>Mr. Michael Ohmart</t>
  </si>
  <si>
    <t>4803 49th Ave SW</t>
  </si>
  <si>
    <t>98116-4322</t>
  </si>
  <si>
    <t>XNAKM3002</t>
  </si>
  <si>
    <t>ALA021106003</t>
  </si>
  <si>
    <t>XRE1A92CG</t>
  </si>
  <si>
    <t>Ms. Christine L. Jeter</t>
  </si>
  <si>
    <t>743 I Ave</t>
  </si>
  <si>
    <t>92118-2017</t>
  </si>
  <si>
    <t>chrijeter@sbcglobal.net</t>
  </si>
  <si>
    <t>XNAKK5812</t>
  </si>
  <si>
    <t>ALA24020B55H</t>
  </si>
  <si>
    <t>ALA21030B55H</t>
  </si>
  <si>
    <t>Arndt</t>
  </si>
  <si>
    <t>Ms. Christina Arndt</t>
  </si>
  <si>
    <t>838 Willard St W</t>
  </si>
  <si>
    <t>55082-5659</t>
  </si>
  <si>
    <t>dgarndt@gmail.com</t>
  </si>
  <si>
    <t>c_x_arndt@gmail.com</t>
  </si>
  <si>
    <t>ALR211007C33</t>
  </si>
  <si>
    <t>ALR060901004</t>
  </si>
  <si>
    <t>Rand</t>
  </si>
  <si>
    <t>2032 E Orinda Ln</t>
  </si>
  <si>
    <t>85614-6339</t>
  </si>
  <si>
    <t>dianemrand@gmail.com</t>
  </si>
  <si>
    <t>dianem2r@gmail.com</t>
  </si>
  <si>
    <t>XNAKJ5812</t>
  </si>
  <si>
    <t>ALA2211D3EMC</t>
  </si>
  <si>
    <t>Spillers</t>
  </si>
  <si>
    <t>William Mountan and Jill Spillers</t>
  </si>
  <si>
    <t>William and Jill</t>
  </si>
  <si>
    <t>4056 Route 130</t>
  </si>
  <si>
    <t>15642-7830</t>
  </si>
  <si>
    <t>Clawson</t>
  </si>
  <si>
    <t>625 Belmonte Cir</t>
  </si>
  <si>
    <t>48823-2031</t>
  </si>
  <si>
    <t>debclawson@comcast.net</t>
  </si>
  <si>
    <t>debclawson@aol.com</t>
  </si>
  <si>
    <t>XNAKL6205</t>
  </si>
  <si>
    <t>ALR150501054</t>
  </si>
  <si>
    <t>Munz</t>
  </si>
  <si>
    <t>Mr. Barry S. Munz</t>
  </si>
  <si>
    <t>129 W Pondera St</t>
  </si>
  <si>
    <t>93534-3647</t>
  </si>
  <si>
    <t>XNAKB4204</t>
  </si>
  <si>
    <t>ALA23050B56H</t>
  </si>
  <si>
    <t>Ms. Susan Smith</t>
  </si>
  <si>
    <t>6303 Ira Ave</t>
  </si>
  <si>
    <t>44144-3768</t>
  </si>
  <si>
    <t>master2312@aol.com</t>
  </si>
  <si>
    <t>XNAKF7117</t>
  </si>
  <si>
    <t>ALR221003C33</t>
  </si>
  <si>
    <t>Carlton</t>
  </si>
  <si>
    <t>Ms. Patricia Carlton</t>
  </si>
  <si>
    <t>13145 SE River Road</t>
  </si>
  <si>
    <t>97222-8030</t>
  </si>
  <si>
    <t>XNAKE2902</t>
  </si>
  <si>
    <t>Mr. Philip E. Wagner</t>
  </si>
  <si>
    <t>1211 Cora St</t>
  </si>
  <si>
    <t>60435-4321</t>
  </si>
  <si>
    <t>pp.wagner@comcast.net</t>
  </si>
  <si>
    <t>XNAKM4204</t>
  </si>
  <si>
    <t>Syty</t>
  </si>
  <si>
    <t>Art</t>
  </si>
  <si>
    <t>Ms. Susan and Mr. Bernard Syty</t>
  </si>
  <si>
    <t>Susan and Bernard</t>
  </si>
  <si>
    <t>222 Brown St</t>
  </si>
  <si>
    <t>Riverside</t>
  </si>
  <si>
    <t>08075-1114</t>
  </si>
  <si>
    <t>susansyty@gmail.com</t>
  </si>
  <si>
    <t>XNAKC4406</t>
  </si>
  <si>
    <t>ALR140602054</t>
  </si>
  <si>
    <t>E. H. Lowman</t>
  </si>
  <si>
    <t>160 Triangle Ct</t>
  </si>
  <si>
    <t>29054-8897</t>
  </si>
  <si>
    <t>lowman160@gmail.com</t>
  </si>
  <si>
    <t>ALR230304C33</t>
  </si>
  <si>
    <t>ALR160401044</t>
  </si>
  <si>
    <t>Cramer</t>
  </si>
  <si>
    <t>Mr. and Mrs. A. H. Cramer</t>
  </si>
  <si>
    <t>Mr. and Mrs. Cramer</t>
  </si>
  <si>
    <t>100 Keeble Creek Dr</t>
  </si>
  <si>
    <t>30143-5485</t>
  </si>
  <si>
    <t>ALR200400001</t>
  </si>
  <si>
    <t>Mr. Mark S. Bristol</t>
  </si>
  <si>
    <t>15101 Hartman Cir</t>
  </si>
  <si>
    <t>68116-4317</t>
  </si>
  <si>
    <t>XNAKJ29</t>
  </si>
  <si>
    <t>ATR210301001</t>
  </si>
  <si>
    <t>700 Port St Apt 4109</t>
  </si>
  <si>
    <t>21601-8130</t>
  </si>
  <si>
    <t>ccooper@ngs.org</t>
  </si>
  <si>
    <t>coopercw@gwu.edu</t>
  </si>
  <si>
    <t>XNAKM1307</t>
  </si>
  <si>
    <t>ALR221000001</t>
  </si>
  <si>
    <t>Ms. Phyllis Hanson</t>
  </si>
  <si>
    <t>36 Homestead Cir</t>
  </si>
  <si>
    <t>South Hamilton</t>
  </si>
  <si>
    <t>01982-1410</t>
  </si>
  <si>
    <t>robert.hanson4@comcast.net</t>
  </si>
  <si>
    <t>XNAKA99</t>
  </si>
  <si>
    <t>ALA22070C55H</t>
  </si>
  <si>
    <t>ALA17100C14A</t>
  </si>
  <si>
    <t>Papp</t>
  </si>
  <si>
    <t>Mr. Dennis Papp</t>
  </si>
  <si>
    <t>3595 Mcdermot Ct</t>
  </si>
  <si>
    <t>43228-7074</t>
  </si>
  <si>
    <t>XNAKB99</t>
  </si>
  <si>
    <t>ALR230301C33</t>
  </si>
  <si>
    <t>ALR110302003</t>
  </si>
  <si>
    <t>Steadman</t>
  </si>
  <si>
    <t>James and Terri Steadman</t>
  </si>
  <si>
    <t>James and Terri</t>
  </si>
  <si>
    <t>3020 Raleigh St</t>
  </si>
  <si>
    <t>68516-4614</t>
  </si>
  <si>
    <t>jimstead@alltel.net</t>
  </si>
  <si>
    <t>jsteadman@mail.com</t>
  </si>
  <si>
    <t>ALA080005001</t>
  </si>
  <si>
    <t>Mrs. Betty and Mr. John Weber</t>
  </si>
  <si>
    <t>Betty and John</t>
  </si>
  <si>
    <t>PO Box 794</t>
  </si>
  <si>
    <t>Park Forest</t>
  </si>
  <si>
    <t>60466-0794</t>
  </si>
  <si>
    <t>webers01@ameritech.net</t>
  </si>
  <si>
    <t>ALR120701EDC</t>
  </si>
  <si>
    <t>skyblu0857@gmail.com</t>
  </si>
  <si>
    <t>Mcgoldrick</t>
  </si>
  <si>
    <t>Ms. Alma B. Mcgoldrick</t>
  </si>
  <si>
    <t>1148 Akipohe Street #D</t>
  </si>
  <si>
    <t>Kailua</t>
  </si>
  <si>
    <t>96734-4251</t>
  </si>
  <si>
    <t>almamg@earthlink.net</t>
  </si>
  <si>
    <t>ALR050201003</t>
  </si>
  <si>
    <t>Lane</t>
  </si>
  <si>
    <t>Saan</t>
  </si>
  <si>
    <t>Moonwalker</t>
  </si>
  <si>
    <t>Ms. Lane S. Moonwalker</t>
  </si>
  <si>
    <t>30-A E Steeldust Ave</t>
  </si>
  <si>
    <t>Moriarty</t>
  </si>
  <si>
    <t>87035-8107</t>
  </si>
  <si>
    <t>dulmu@aol.com</t>
  </si>
  <si>
    <t>ALA12030A25R</t>
  </si>
  <si>
    <t>Rudio</t>
  </si>
  <si>
    <t>Ms. Barbara Rudio</t>
  </si>
  <si>
    <t>1020 S Grant St Apt B</t>
  </si>
  <si>
    <t>59801-3451</t>
  </si>
  <si>
    <t>brudio@hotmail.com</t>
  </si>
  <si>
    <t>ALR240502C44</t>
  </si>
  <si>
    <t>XRE2A91EN</t>
  </si>
  <si>
    <t>Mrs. Barbara M. Nightingale</t>
  </si>
  <si>
    <t>Mrs. Nightingale</t>
  </si>
  <si>
    <t>11200 Springfield Pike Apt H315</t>
  </si>
  <si>
    <t>45246-4172</t>
  </si>
  <si>
    <t>PPW160001001</t>
  </si>
  <si>
    <t>Reagan</t>
  </si>
  <si>
    <t>Terri Reagan</t>
  </si>
  <si>
    <t>PO Box 2906</t>
  </si>
  <si>
    <t>87048-2906</t>
  </si>
  <si>
    <t>tntoutwest@aol.com</t>
  </si>
  <si>
    <t>X04735488</t>
  </si>
  <si>
    <t>ALR230208C44</t>
  </si>
  <si>
    <t>ALR190907C33</t>
  </si>
  <si>
    <t>Ms. Jeanne Lehmann</t>
  </si>
  <si>
    <t>10 Willow Ln</t>
  </si>
  <si>
    <t>12477-1134</t>
  </si>
  <si>
    <t>lehmann.jeanne@gmail.com</t>
  </si>
  <si>
    <t>XG2B4K</t>
  </si>
  <si>
    <t>Paul and Rebecca Wallace</t>
  </si>
  <si>
    <t>Paul and Rebecca</t>
  </si>
  <si>
    <t>1516 Woodstrail Ln</t>
  </si>
  <si>
    <t>45140-6155</t>
  </si>
  <si>
    <t>sousacat@zoomtown.com</t>
  </si>
  <si>
    <t>sousacat@cinci.rr.com</t>
  </si>
  <si>
    <t>XNMFA4307</t>
  </si>
  <si>
    <t>ATA230501001</t>
  </si>
  <si>
    <t>Bisselle</t>
  </si>
  <si>
    <t>12191 Clipper Dr</t>
  </si>
  <si>
    <t>Apt 315</t>
  </si>
  <si>
    <t>Woodbridge</t>
  </si>
  <si>
    <t>22192-2239</t>
  </si>
  <si>
    <t>shirlsherm@aol.com</t>
  </si>
  <si>
    <t>XNMFC4414</t>
  </si>
  <si>
    <t>Joslen</t>
  </si>
  <si>
    <t>Letscher</t>
  </si>
  <si>
    <t>Dr. Joslen Letscher</t>
  </si>
  <si>
    <t>41120 Fox Run Apt T19</t>
  </si>
  <si>
    <t>48377-4827</t>
  </si>
  <si>
    <t>XNMFB4414</t>
  </si>
  <si>
    <t>ALR221203C33</t>
  </si>
  <si>
    <t>Ewing</t>
  </si>
  <si>
    <t>45522 Sancroft Ave</t>
  </si>
  <si>
    <t>93535-2004</t>
  </si>
  <si>
    <t>barbara.ewing@hotmail.com</t>
  </si>
  <si>
    <t>Merle</t>
  </si>
  <si>
    <t>Schuerman</t>
  </si>
  <si>
    <t>Miss Merle Schuerman</t>
  </si>
  <si>
    <t>184 White Branch Ct</t>
  </si>
  <si>
    <t>Buffalo Grove</t>
  </si>
  <si>
    <t>60089-1595</t>
  </si>
  <si>
    <t>XNMFA4414</t>
  </si>
  <si>
    <t>ALL22020CB3M</t>
  </si>
  <si>
    <t>Mr. Canice J. Fogarty</t>
  </si>
  <si>
    <t>348 Avon Way</t>
  </si>
  <si>
    <t>45429-1432</t>
  </si>
  <si>
    <t>ALA23080B55H</t>
  </si>
  <si>
    <t>Mr. Mark R. Gnabasik</t>
  </si>
  <si>
    <t>314 S Main St Unit 304</t>
  </si>
  <si>
    <t>53593-1476</t>
  </si>
  <si>
    <t>ALA24010B15A</t>
  </si>
  <si>
    <t>ALR210201C54</t>
  </si>
  <si>
    <t>H. C.</t>
  </si>
  <si>
    <t>Mrs. Betty Jean Blakewell</t>
  </si>
  <si>
    <t>14911 Royal Rd</t>
  </si>
  <si>
    <t>Paonia</t>
  </si>
  <si>
    <t>81428-4105</t>
  </si>
  <si>
    <t>Billy</t>
  </si>
  <si>
    <t>Mr. Billy Dillon</t>
  </si>
  <si>
    <t>306 W Ash St</t>
  </si>
  <si>
    <t>32347-1813</t>
  </si>
  <si>
    <t>postman86@comcast.net</t>
  </si>
  <si>
    <t>lonewolf1947@comcast.net</t>
  </si>
  <si>
    <t>XNMFB3302</t>
  </si>
  <si>
    <t>ALL19090BDBM</t>
  </si>
  <si>
    <t>ALR070001002</t>
  </si>
  <si>
    <t>Mr. Lawrence R. Mack</t>
  </si>
  <si>
    <t>3303 Stardust Drive</t>
  </si>
  <si>
    <t>C/O  Julie Peckham</t>
  </si>
  <si>
    <t>hjanemack@gmail.com</t>
  </si>
  <si>
    <t>XNMFA4212</t>
  </si>
  <si>
    <t>Ms. Judy A. Nilson</t>
  </si>
  <si>
    <t>359 Hemlock Point Dr</t>
  </si>
  <si>
    <t>Coventry</t>
  </si>
  <si>
    <t>06238-2304</t>
  </si>
  <si>
    <t>judy.nilson@business.uconn.edu</t>
  </si>
  <si>
    <t>tnilson@aol.com</t>
  </si>
  <si>
    <t>XNAKA4104</t>
  </si>
  <si>
    <t>XRK4B41L</t>
  </si>
  <si>
    <t>Merlene</t>
  </si>
  <si>
    <t>Delgado</t>
  </si>
  <si>
    <t>Ms. Merlene K. Delgado</t>
  </si>
  <si>
    <t>2931 NE Beech Dr</t>
  </si>
  <si>
    <t>Gresham</t>
  </si>
  <si>
    <t>97030-2763</t>
  </si>
  <si>
    <t>XNMFA2704</t>
  </si>
  <si>
    <t>Mr. Gary F. Jones</t>
  </si>
  <si>
    <t>2064 Creekcrest Ct</t>
  </si>
  <si>
    <t>95648-8488</t>
  </si>
  <si>
    <t>gjbjfun@aol.com</t>
  </si>
  <si>
    <t>XNMFB3603</t>
  </si>
  <si>
    <t>ALR021101103</t>
  </si>
  <si>
    <t>Rex</t>
  </si>
  <si>
    <t>1127 Sinclair Way</t>
  </si>
  <si>
    <t>95747-5814</t>
  </si>
  <si>
    <t>trexhamilton@sbcglobal.net</t>
  </si>
  <si>
    <t>XNMFA4517</t>
  </si>
  <si>
    <t>ALR090001002</t>
  </si>
  <si>
    <t>Mr. Henry W. Fitzpatrick, Jr.</t>
  </si>
  <si>
    <t>62 Canal Landing Ct</t>
  </si>
  <si>
    <t>Rehoboth Beach</t>
  </si>
  <si>
    <t>19971-1195</t>
  </si>
  <si>
    <t>cokiaybytuesed@comcast.net</t>
  </si>
  <si>
    <t>corkybythesea@comcast.net</t>
  </si>
  <si>
    <t>Landmeier</t>
  </si>
  <si>
    <t>Mr. Dennis Landmeier</t>
  </si>
  <si>
    <t>1912 W Humphrey St</t>
  </si>
  <si>
    <t>33604-1002</t>
  </si>
  <si>
    <t>Ms. Margaret E. Hasler</t>
  </si>
  <si>
    <t>37446 Carson St</t>
  </si>
  <si>
    <t>48331-3702</t>
  </si>
  <si>
    <t>mhasler@botsford.org</t>
  </si>
  <si>
    <t>XNMFC4517</t>
  </si>
  <si>
    <t>ALA24010A15A</t>
  </si>
  <si>
    <t>Mr. Timothy Rust</t>
  </si>
  <si>
    <t>402 E Arapaho St</t>
  </si>
  <si>
    <t>Kechi</t>
  </si>
  <si>
    <t>67067-8720</t>
  </si>
  <si>
    <t>liontim@cox.net</t>
  </si>
  <si>
    <t>thethingrules@cox.net</t>
  </si>
  <si>
    <t>ALL21070A7BM</t>
  </si>
  <si>
    <t>ALA061102003</t>
  </si>
  <si>
    <t>Pinkerton</t>
  </si>
  <si>
    <t>Ms. Susan Pinkerton</t>
  </si>
  <si>
    <t>PO Box 93430</t>
  </si>
  <si>
    <t>87199-3430</t>
  </si>
  <si>
    <t>jorypinkerton1@gmail.com</t>
  </si>
  <si>
    <t>spinkert@nmsu.edu</t>
  </si>
  <si>
    <t>XNAKJ4706</t>
  </si>
  <si>
    <t>ALQ2402N0DMT</t>
  </si>
  <si>
    <t>ALL21070A52M</t>
  </si>
  <si>
    <t>Mr. Kenneth A. Skau</t>
  </si>
  <si>
    <t>2250 Beech Grove Dr</t>
  </si>
  <si>
    <t>45233-1803</t>
  </si>
  <si>
    <t>ALR231202C54</t>
  </si>
  <si>
    <t>Devictoria</t>
  </si>
  <si>
    <t>1012 Newington St</t>
  </si>
  <si>
    <t>93906-4992</t>
  </si>
  <si>
    <t>gdevictoria@att.net</t>
  </si>
  <si>
    <t>XNMFB4212</t>
  </si>
  <si>
    <t>ALA20040B23C</t>
  </si>
  <si>
    <t>Moser</t>
  </si>
  <si>
    <t>1301 Breakspear Ct</t>
  </si>
  <si>
    <t>27603-3900</t>
  </si>
  <si>
    <t>nmos7311@gmail.com</t>
  </si>
  <si>
    <t>nmos7317@gmail.com</t>
  </si>
  <si>
    <t>XNMFB1709</t>
  </si>
  <si>
    <t>PPW210001P02:EDUCATION</t>
  </si>
  <si>
    <t>Mr. Jim Peary</t>
  </si>
  <si>
    <t>10 Ricker Hill Rd</t>
  </si>
  <si>
    <t>04921-3021</t>
  </si>
  <si>
    <t>XNJSB6213</t>
  </si>
  <si>
    <t>ALR220112C60</t>
  </si>
  <si>
    <t>Radabaugh</t>
  </si>
  <si>
    <t>2835 Rossmoor Cir</t>
  </si>
  <si>
    <t>Bloomfield Hills</t>
  </si>
  <si>
    <t>48302-1053</t>
  </si>
  <si>
    <t>barbr6@hotmail.com</t>
  </si>
  <si>
    <t>XNMFB4517</t>
  </si>
  <si>
    <t>ALA17080A15A</t>
  </si>
  <si>
    <t>Ms. Luanne Humphrey</t>
  </si>
  <si>
    <t>1725 Monterey Ct NE</t>
  </si>
  <si>
    <t>98056-2669</t>
  </si>
  <si>
    <t>XNMFA2502</t>
  </si>
  <si>
    <t>ALL19090A93M</t>
  </si>
  <si>
    <t>Mavrogiannis</t>
  </si>
  <si>
    <t>2402 Westgate Circle</t>
  </si>
  <si>
    <t>23185-2097</t>
  </si>
  <si>
    <t>mmavrogi@cox.net</t>
  </si>
  <si>
    <t>mmavrogi@optonline.net</t>
  </si>
  <si>
    <t>XNAKG52</t>
  </si>
  <si>
    <t>Kapecki</t>
  </si>
  <si>
    <t>Kaeding</t>
  </si>
  <si>
    <t>Jon Kapecki and Jeanne Kaeding</t>
  </si>
  <si>
    <t>Jon and Jeanne</t>
  </si>
  <si>
    <t>161 Crosman Ter</t>
  </si>
  <si>
    <t>14620-1829</t>
  </si>
  <si>
    <t>kapecki@gmail.com</t>
  </si>
  <si>
    <t>kapecki@juno.com</t>
  </si>
  <si>
    <t>XNMFC4212</t>
  </si>
  <si>
    <t>Mr. J. G. Harkrider</t>
  </si>
  <si>
    <t>Mr. Harkrider</t>
  </si>
  <si>
    <t>1467 Roble Ct</t>
  </si>
  <si>
    <t>32738-5376</t>
  </si>
  <si>
    <t>ALR240201C44</t>
  </si>
  <si>
    <t>Ms. Nancy A. Baker</t>
  </si>
  <si>
    <t>641 Pfaender Dr</t>
  </si>
  <si>
    <t>New Ulm</t>
  </si>
  <si>
    <t>56073-3348</t>
  </si>
  <si>
    <t>Michalek</t>
  </si>
  <si>
    <t>Ms. Dorothy E. Michalek</t>
  </si>
  <si>
    <t>608 Old Town Dr</t>
  </si>
  <si>
    <t>23834-1737</t>
  </si>
  <si>
    <t>dorothy.michalek@gmail.com</t>
  </si>
  <si>
    <t>ALA22070C14A</t>
  </si>
  <si>
    <t>Massee</t>
  </si>
  <si>
    <t>Sydney</t>
  </si>
  <si>
    <t>Nesbitt Massee</t>
  </si>
  <si>
    <t>James and Sydney</t>
  </si>
  <si>
    <t>230 N Haven St</t>
  </si>
  <si>
    <t>Appleton</t>
  </si>
  <si>
    <t>56208-1437</t>
  </si>
  <si>
    <t>jsmassee@gmail.com</t>
  </si>
  <si>
    <t>james.massee@farmers-merchants.com</t>
  </si>
  <si>
    <t>XNAKL1307</t>
  </si>
  <si>
    <t>Hay</t>
  </si>
  <si>
    <t>Jan Hay</t>
  </si>
  <si>
    <t>9511 Millbrook Dr</t>
  </si>
  <si>
    <t>45231-2630</t>
  </si>
  <si>
    <t>ALR220802C44</t>
  </si>
  <si>
    <t>42 Pasarela Dr Unit 301</t>
  </si>
  <si>
    <t>Rancho Mission Viejo</t>
  </si>
  <si>
    <t>92694-2441</t>
  </si>
  <si>
    <t>cynthia_mccarthy@swbell.net</t>
  </si>
  <si>
    <t>ALR240102C33</t>
  </si>
  <si>
    <t>262 Central Park W</t>
  </si>
  <si>
    <t># 8D</t>
  </si>
  <si>
    <t>10024-3512</t>
  </si>
  <si>
    <t>ephillip100921@gmail.com</t>
  </si>
  <si>
    <t>ephillips10024@yahoo.com</t>
  </si>
  <si>
    <t>XNAKB1201</t>
  </si>
  <si>
    <t>ALR211005C54</t>
  </si>
  <si>
    <t>ALA121101999</t>
  </si>
  <si>
    <t>Mrs. Cynthia and Mr. James G. Briggs</t>
  </si>
  <si>
    <t>235 Reily Rd</t>
  </si>
  <si>
    <t>45215-2619</t>
  </si>
  <si>
    <t>jgbjr@msn.com</t>
  </si>
  <si>
    <t>jbriggs@peckhannafordbriggs.com</t>
  </si>
  <si>
    <t>XNMFB9916</t>
  </si>
  <si>
    <t>ADA240001M01:CYE</t>
  </si>
  <si>
    <t>cdkbriggs@gmail.com</t>
  </si>
  <si>
    <t>Mrs. Debra and Mr. Rick Wadsworth</t>
  </si>
  <si>
    <t>Debra and Rick</t>
  </si>
  <si>
    <t>14315 Rowe Dr</t>
  </si>
  <si>
    <t>78247-3122</t>
  </si>
  <si>
    <t>rickwads@hotmail.com</t>
  </si>
  <si>
    <t>ALS190401WS3</t>
  </si>
  <si>
    <t>ALA040501004</t>
  </si>
  <si>
    <t>rndebbiebw@hotmail.com</t>
  </si>
  <si>
    <t>ALS190501WS3</t>
  </si>
  <si>
    <t>ALS220501WS3</t>
  </si>
  <si>
    <t>Tana</t>
  </si>
  <si>
    <t>Tana M. Fowler</t>
  </si>
  <si>
    <t>4649 Tumbleweed Dr</t>
  </si>
  <si>
    <t>80601-4648</t>
  </si>
  <si>
    <t>hikertana@aol.com</t>
  </si>
  <si>
    <t>Merri</t>
  </si>
  <si>
    <t>Charles and Merri Rayl</t>
  </si>
  <si>
    <t>Charles and Merri</t>
  </si>
  <si>
    <t>RR 1 Box 17</t>
  </si>
  <si>
    <t>66869-9706</t>
  </si>
  <si>
    <t>XNRAC1701</t>
  </si>
  <si>
    <t>XRD8A71C</t>
  </si>
  <si>
    <t>Mr. and Mrs. Keith H. Kreb</t>
  </si>
  <si>
    <t>1815 Amberley Ct</t>
  </si>
  <si>
    <t>XM2RB1L5W</t>
  </si>
  <si>
    <t>XMTGF078</t>
  </si>
  <si>
    <t>Tammy Cognetta</t>
  </si>
  <si>
    <t>795 Morada Pl</t>
  </si>
  <si>
    <t>91001-2422</t>
  </si>
  <si>
    <t>tcognetta@sbcglobal.net</t>
  </si>
  <si>
    <t>Ms. Renee B. Fitzpatrick</t>
  </si>
  <si>
    <t>1170 E Gilmer Dr</t>
  </si>
  <si>
    <t>84105-1544</t>
  </si>
  <si>
    <t>rfingarden@gmail.com</t>
  </si>
  <si>
    <t>rvinagarden@gmail.com</t>
  </si>
  <si>
    <t>ALS18070A001</t>
  </si>
  <si>
    <t>Ms. Jeanne Roy</t>
  </si>
  <si>
    <t>205 W 88th St # 100</t>
  </si>
  <si>
    <t>10024-2351</t>
  </si>
  <si>
    <t>dejaroy@aol.com</t>
  </si>
  <si>
    <t>XNRAA1701</t>
  </si>
  <si>
    <t>ALA21010A54H</t>
  </si>
  <si>
    <t>ALR040104004</t>
  </si>
  <si>
    <t>4053 E Madison Ave</t>
  </si>
  <si>
    <t>50317-4578</t>
  </si>
  <si>
    <t>ALA24020A14A</t>
  </si>
  <si>
    <t>ALR150201054</t>
  </si>
  <si>
    <t>Ms. Maxine Trevethen</t>
  </si>
  <si>
    <t>3205 Merrill Dr Apt 1</t>
  </si>
  <si>
    <t>90503-7179</t>
  </si>
  <si>
    <t>trevethen@webtv.net</t>
  </si>
  <si>
    <t>XNRAB2603</t>
  </si>
  <si>
    <t>Nichols</t>
  </si>
  <si>
    <t>Beverly Nichols</t>
  </si>
  <si>
    <t>208 Colchester Rd</t>
  </si>
  <si>
    <t>Essex Jct</t>
  </si>
  <si>
    <t>05452-2405</t>
  </si>
  <si>
    <t>ALL11110A4BM</t>
  </si>
  <si>
    <t>XRB2H11</t>
  </si>
  <si>
    <t>Merrill</t>
  </si>
  <si>
    <t>Mr. Mark H. Merrill</t>
  </si>
  <si>
    <t>PO Box 2138</t>
  </si>
  <si>
    <t>22604-1338</t>
  </si>
  <si>
    <t>markm765@comcast.net</t>
  </si>
  <si>
    <t>XNRAA3114</t>
  </si>
  <si>
    <t>ALR231101C64</t>
  </si>
  <si>
    <t>Dr. William K. and Mrs. Judith Hart</t>
  </si>
  <si>
    <t>William and Judith</t>
  </si>
  <si>
    <t>2248 N Foudy Ave</t>
  </si>
  <si>
    <t>83616-7334</t>
  </si>
  <si>
    <t>hartwk@miamioh.edu</t>
  </si>
  <si>
    <t>hartwk@muohio.edu</t>
  </si>
  <si>
    <t>ATA231001001</t>
  </si>
  <si>
    <t>John A. Bishop</t>
  </si>
  <si>
    <t>64 Mount Bethel Rd</t>
  </si>
  <si>
    <t>07059-5689</t>
  </si>
  <si>
    <t>ALR230804C33</t>
  </si>
  <si>
    <t>Orrin</t>
  </si>
  <si>
    <t>Munger</t>
  </si>
  <si>
    <t>Orrin Munger</t>
  </si>
  <si>
    <t>1414 W Broadway Ave</t>
  </si>
  <si>
    <t>Enid</t>
  </si>
  <si>
    <t>73703-5721</t>
  </si>
  <si>
    <t>ALL24020C6BM</t>
  </si>
  <si>
    <t>ALR161102033</t>
  </si>
  <si>
    <t>Marton</t>
  </si>
  <si>
    <t>4336 26th St N</t>
  </si>
  <si>
    <t>22207-4104</t>
  </si>
  <si>
    <t>dsdm42@gmail.com</t>
  </si>
  <si>
    <t>website@his.com</t>
  </si>
  <si>
    <t>XNMFC9916</t>
  </si>
  <si>
    <t>ATA240301001</t>
  </si>
  <si>
    <t>Toothman</t>
  </si>
  <si>
    <t>Mr. Gary H. Toothman</t>
  </si>
  <si>
    <t>32 Radnor Blvd</t>
  </si>
  <si>
    <t>Marlton</t>
  </si>
  <si>
    <t>08053-2330</t>
  </si>
  <si>
    <t>gtoothman@gmail.com</t>
  </si>
  <si>
    <t>garytoothmans@hotmail.com</t>
  </si>
  <si>
    <t>ALA21070B12A</t>
  </si>
  <si>
    <t>ALR091102003</t>
  </si>
  <si>
    <t>Cywinski</t>
  </si>
  <si>
    <t>David and Joan</t>
  </si>
  <si>
    <t>6315 Rapidfall Dr NE</t>
  </si>
  <si>
    <t>49306-9518</t>
  </si>
  <si>
    <t>cywinskidavid@att.net</t>
  </si>
  <si>
    <t>k2stones@aol.com</t>
  </si>
  <si>
    <t>XNLKA2504</t>
  </si>
  <si>
    <t>ALA24030A13A</t>
  </si>
  <si>
    <t>3681 Shorewood Rd</t>
  </si>
  <si>
    <t>Burtchville</t>
  </si>
  <si>
    <t>48059-1652</t>
  </si>
  <si>
    <t>barber.writeaway@gmail.com</t>
  </si>
  <si>
    <t>sebarber294@yahoo.com</t>
  </si>
  <si>
    <t>XNRAB1701</t>
  </si>
  <si>
    <t>ALR231201005</t>
  </si>
  <si>
    <t>Bruce and Karen Wagner</t>
  </si>
  <si>
    <t>Bruce and Karen</t>
  </si>
  <si>
    <t>205 Theresa Ct SE</t>
  </si>
  <si>
    <t>Stewartville</t>
  </si>
  <si>
    <t>55976-1442</t>
  </si>
  <si>
    <t>bnk1953@mac.com</t>
  </si>
  <si>
    <t>XPCH91</t>
  </si>
  <si>
    <t>EEO240001501:FY24MNLUNCHEON</t>
  </si>
  <si>
    <t>ALR210402C64</t>
  </si>
  <si>
    <t>Batch</t>
  </si>
  <si>
    <t>2440 NW 33rd St Apt 1802</t>
  </si>
  <si>
    <t>Oakland Park</t>
  </si>
  <si>
    <t>33309-6471</t>
  </si>
  <si>
    <t>XNLKA4417</t>
  </si>
  <si>
    <t>ALR171001023</t>
  </si>
  <si>
    <t>ALA11060A13A</t>
  </si>
  <si>
    <t>Deutsch</t>
  </si>
  <si>
    <t>Mr. Ken Deutsch</t>
  </si>
  <si>
    <t>14010 New Bedford Ct</t>
  </si>
  <si>
    <t>63017-3453</t>
  </si>
  <si>
    <t>XNDSM9916</t>
  </si>
  <si>
    <t>ALR220602C33</t>
  </si>
  <si>
    <t>Mrs. Orchid P. Owlett</t>
  </si>
  <si>
    <t>1111 Gulf Oaks Drive</t>
  </si>
  <si>
    <t>c/o Cheryl Ross</t>
  </si>
  <si>
    <t>Schueler</t>
  </si>
  <si>
    <t>Mr. Harry E. Schueler Jr.</t>
  </si>
  <si>
    <t>1170 Wexford Dr</t>
  </si>
  <si>
    <t>Palm Harbor</t>
  </si>
  <si>
    <t>34683-6043</t>
  </si>
  <si>
    <t>harry.schueler1234@gmail.com</t>
  </si>
  <si>
    <t>harry_schueler@att.net</t>
  </si>
  <si>
    <t>XNLKC4417</t>
  </si>
  <si>
    <t>ALR070401003</t>
  </si>
  <si>
    <t>Wesley</t>
  </si>
  <si>
    <t>Mr. Wesley Calvin</t>
  </si>
  <si>
    <t>2811 Fogarty Ave</t>
  </si>
  <si>
    <t>Key West</t>
  </si>
  <si>
    <t>33040-4035</t>
  </si>
  <si>
    <t>XNLKC4314</t>
  </si>
  <si>
    <t>Arneson</t>
  </si>
  <si>
    <t>Mr. Larry L. Arneson</t>
  </si>
  <si>
    <t>12411 W 74th Ter</t>
  </si>
  <si>
    <t>66216-3668</t>
  </si>
  <si>
    <t>larry32159@gmail.com</t>
  </si>
  <si>
    <t>XNLKA2604</t>
  </si>
  <si>
    <t>ALL24020C53M</t>
  </si>
  <si>
    <t>ALR210302C23</t>
  </si>
  <si>
    <t>Mr. Hall</t>
  </si>
  <si>
    <t>203 Saddleback Trail</t>
  </si>
  <si>
    <t>Hardy</t>
  </si>
  <si>
    <t>24101-3307</t>
  </si>
  <si>
    <t>olsonhall@verizon.net</t>
  </si>
  <si>
    <t>XNLKE4314</t>
  </si>
  <si>
    <t>Garoutte</t>
  </si>
  <si>
    <t>Mrs. Claudia L. Garoutte</t>
  </si>
  <si>
    <t>10406 E Manzanita Trail</t>
  </si>
  <si>
    <t>Dewey</t>
  </si>
  <si>
    <t>86327-5232</t>
  </si>
  <si>
    <t>cgaroutte66@gmail.com</t>
  </si>
  <si>
    <t>cgaroutte66@msn.com</t>
  </si>
  <si>
    <t>ALA040701010</t>
  </si>
  <si>
    <t>XA9DBABAC</t>
  </si>
  <si>
    <t>Caroline</t>
  </si>
  <si>
    <t>Ms. Caroline Jensen</t>
  </si>
  <si>
    <t>PO Box 943</t>
  </si>
  <si>
    <t>Idaho Springs</t>
  </si>
  <si>
    <t>80452-0943</t>
  </si>
  <si>
    <t>XNLKA2009</t>
  </si>
  <si>
    <t>ALR060402103</t>
  </si>
  <si>
    <t>Webb</t>
  </si>
  <si>
    <t>2418 S Gary Pl</t>
  </si>
  <si>
    <t>74114-1849</t>
  </si>
  <si>
    <t>kaywebb@swbell.net</t>
  </si>
  <si>
    <t>XNLKC2504</t>
  </si>
  <si>
    <t>ALR240401C54</t>
  </si>
  <si>
    <t>Michele and Brad</t>
  </si>
  <si>
    <t>6 Streamview Ct</t>
  </si>
  <si>
    <t>27713-9337</t>
  </si>
  <si>
    <t>frommichele4you@aol.com</t>
  </si>
  <si>
    <t>XNLKA4314</t>
  </si>
  <si>
    <t>ALQ2111N0DMC</t>
  </si>
  <si>
    <t>Ramsay</t>
  </si>
  <si>
    <t>3527 Level Rd</t>
  </si>
  <si>
    <t>Churchville</t>
  </si>
  <si>
    <t>21028-1437</t>
  </si>
  <si>
    <t>tamsay1@gis.net</t>
  </si>
  <si>
    <t>cramsayjr@yahoo.com</t>
  </si>
  <si>
    <t>XNLKE2604</t>
  </si>
  <si>
    <t>ALR161201033</t>
  </si>
  <si>
    <t>XGT2G5P</t>
  </si>
  <si>
    <t>Reetz</t>
  </si>
  <si>
    <t>Rathman</t>
  </si>
  <si>
    <t>Jan Reetz and Sue Rathman</t>
  </si>
  <si>
    <t>Jan and Sue</t>
  </si>
  <si>
    <t>PO Box 163</t>
  </si>
  <si>
    <t>14564-0163</t>
  </si>
  <si>
    <t>jkradak@gmail.com</t>
  </si>
  <si>
    <t>Roxie Wilson</t>
  </si>
  <si>
    <t>2440 140th Ave NE Apt 59</t>
  </si>
  <si>
    <t>98005-1854</t>
  </si>
  <si>
    <t>rwboxster@yahoo.com</t>
  </si>
  <si>
    <t>ALB230001003</t>
  </si>
  <si>
    <t>Dorothy and Mark Johnston</t>
  </si>
  <si>
    <t>Dorothy and Mark</t>
  </si>
  <si>
    <t>10404 Eagle Creek Rd</t>
  </si>
  <si>
    <t>98826-8510</t>
  </si>
  <si>
    <t>dorothyjtn@gmail.com</t>
  </si>
  <si>
    <t>s697striata@frontier.com</t>
  </si>
  <si>
    <t>DDA080001002</t>
  </si>
  <si>
    <t>johnsdoe@frontier.com</t>
  </si>
  <si>
    <t>McCormick</t>
  </si>
  <si>
    <t>1328 S Mount Vernon Ave Apt F</t>
  </si>
  <si>
    <t>23185-2853</t>
  </si>
  <si>
    <t>pmccormick@rancornwildman.com</t>
  </si>
  <si>
    <t>pmccormick@rancornaildman.com</t>
  </si>
  <si>
    <t>XNLKA2804</t>
  </si>
  <si>
    <t>ALR160401033</t>
  </si>
  <si>
    <t>Ms. Elizabeth Martin</t>
  </si>
  <si>
    <t>2120 New Haven Ln</t>
  </si>
  <si>
    <t>32163-2870</t>
  </si>
  <si>
    <t>martea2004@yahoo.com</t>
  </si>
  <si>
    <t>martee2004@yahoo.com</t>
  </si>
  <si>
    <t>XNLKA3106</t>
  </si>
  <si>
    <t>ALR210501C44</t>
  </si>
  <si>
    <t>Annette</t>
  </si>
  <si>
    <t>Schell</t>
  </si>
  <si>
    <t>W. Schell</t>
  </si>
  <si>
    <t>Mrs. Annette and Mr. Carl W. Schell</t>
  </si>
  <si>
    <t>Annette and Carl</t>
  </si>
  <si>
    <t>3045 Mcvitty Forest Dr #321</t>
  </si>
  <si>
    <t>Roanoke</t>
  </si>
  <si>
    <t>24018-3563</t>
  </si>
  <si>
    <t>netschell@cox.net</t>
  </si>
  <si>
    <t>XA2ACBTNG</t>
  </si>
  <si>
    <t>XA7BCBARC</t>
  </si>
  <si>
    <t>Mrs. Donna I. Watts</t>
  </si>
  <si>
    <t>140 Schell Ave</t>
  </si>
  <si>
    <t>Bucyrus</t>
  </si>
  <si>
    <t>44820-3401</t>
  </si>
  <si>
    <t>ALR230401C44</t>
  </si>
  <si>
    <t>Mr. Thom J. Flory</t>
  </si>
  <si>
    <t>319 N 1st St</t>
  </si>
  <si>
    <t>Apt 212</t>
  </si>
  <si>
    <t>22812-1300</t>
  </si>
  <si>
    <t>mstep1trav@aol.com</t>
  </si>
  <si>
    <t>ges1008@aol.com</t>
  </si>
  <si>
    <t>XNTBA1804</t>
  </si>
  <si>
    <t>Ms. Elizabeth A. Gadilhe</t>
  </si>
  <si>
    <t>420 Hearne Cir</t>
  </si>
  <si>
    <t>35215-7906</t>
  </si>
  <si>
    <t>pgadilhe@gmail.com</t>
  </si>
  <si>
    <t>gaddy1928@gmail.com</t>
  </si>
  <si>
    <t>ALA22100E23R</t>
  </si>
  <si>
    <t>ALR201014C30</t>
  </si>
  <si>
    <t>Boes</t>
  </si>
  <si>
    <t>Katharine M. Boes</t>
  </si>
  <si>
    <t>1510 W River Rd</t>
  </si>
  <si>
    <t>49120-8952</t>
  </si>
  <si>
    <t>kmjboes@gmail.com</t>
  </si>
  <si>
    <t>ALR240202C54</t>
  </si>
  <si>
    <t>Costa</t>
  </si>
  <si>
    <t>1603 Spruce Ct</t>
  </si>
  <si>
    <t>95603-2913</t>
  </si>
  <si>
    <t>ALA21120B5DD</t>
  </si>
  <si>
    <t>Sunnie</t>
  </si>
  <si>
    <t>Ms. Sunnie and Mr. Hong Son</t>
  </si>
  <si>
    <t>Sunnie and Hong</t>
  </si>
  <si>
    <t>1740 Summit Trl</t>
  </si>
  <si>
    <t>30546-3841</t>
  </si>
  <si>
    <t>hong7son@gmail.com</t>
  </si>
  <si>
    <t>sunnie.son@gmail.com</t>
  </si>
  <si>
    <t>XNTBA1903</t>
  </si>
  <si>
    <t>ALA2404D4EMC</t>
  </si>
  <si>
    <t>sunnie@notesworth.com</t>
  </si>
  <si>
    <t>Mr. Fred Urbasek</t>
  </si>
  <si>
    <t>10206 Huntington Rdg</t>
  </si>
  <si>
    <t>Festus</t>
  </si>
  <si>
    <t>63028-4719</t>
  </si>
  <si>
    <t>forurby@comcast.net</t>
  </si>
  <si>
    <t>forurby@mindspring.com</t>
  </si>
  <si>
    <t>XNTBA2007</t>
  </si>
  <si>
    <t>ALA23110A13A</t>
  </si>
  <si>
    <t>ALR021202004</t>
  </si>
  <si>
    <t>Abrams</t>
  </si>
  <si>
    <t>Ms. Judith Abrams</t>
  </si>
  <si>
    <t>18333 Hatteras St Unit 68</t>
  </si>
  <si>
    <t>Tarzana</t>
  </si>
  <si>
    <t>91356-1619</t>
  </si>
  <si>
    <t>XNTBB1903</t>
  </si>
  <si>
    <t>Mr. Mark C. Nusbaum</t>
  </si>
  <si>
    <t>13676 Trentino St</t>
  </si>
  <si>
    <t>34293-2126</t>
  </si>
  <si>
    <t>marknus@hotmail.com</t>
  </si>
  <si>
    <t>preet65@hotmail.com</t>
  </si>
  <si>
    <t>XNFGA2704</t>
  </si>
  <si>
    <t>Roller</t>
  </si>
  <si>
    <t>27 Estambre Rd</t>
  </si>
  <si>
    <t>87508-8770</t>
  </si>
  <si>
    <t>XNLKA1301</t>
  </si>
  <si>
    <t>Lyn</t>
  </si>
  <si>
    <t>Fields</t>
  </si>
  <si>
    <t>1218 Rebel Hill Rd</t>
  </si>
  <si>
    <t>Conshohocken</t>
  </si>
  <si>
    <t>19428-2542</t>
  </si>
  <si>
    <t>lynfields5@gmail.com</t>
  </si>
  <si>
    <t>XNFGE3104</t>
  </si>
  <si>
    <t>ALA23090E32A</t>
  </si>
  <si>
    <t>ALA2007D2EMC</t>
  </si>
  <si>
    <t>Mr. Charles Snavely</t>
  </si>
  <si>
    <t>3007 NE 13th Dr</t>
  </si>
  <si>
    <t>32609-3177</t>
  </si>
  <si>
    <t>XNFGE4717</t>
  </si>
  <si>
    <t>ALA24020B42R</t>
  </si>
  <si>
    <t>ALL21120A72M</t>
  </si>
  <si>
    <t>Hyde</t>
  </si>
  <si>
    <t>Ms. Margaret L. Hyde</t>
  </si>
  <si>
    <t>1860 Commodore Point Dr</t>
  </si>
  <si>
    <t>Fleming Island</t>
  </si>
  <si>
    <t>32003-7205</t>
  </si>
  <si>
    <t>mlhyde2433@gmail.com</t>
  </si>
  <si>
    <t>mhyde@tampabay.rr.com</t>
  </si>
  <si>
    <t>XNTBA1301</t>
  </si>
  <si>
    <t>ALL20070A5BM</t>
  </si>
  <si>
    <t>Mr. Timothy R. Farmer</t>
  </si>
  <si>
    <t>101 Trotters Ridge Dr</t>
  </si>
  <si>
    <t>27614-9620</t>
  </si>
  <si>
    <t>XNFGA4811</t>
  </si>
  <si>
    <t>ALA15100A14A</t>
  </si>
  <si>
    <t>Soule</t>
  </si>
  <si>
    <t>Peg</t>
  </si>
  <si>
    <t>Bob and Peg Soule</t>
  </si>
  <si>
    <t>Bob and Peg</t>
  </si>
  <si>
    <t>PO Box 169</t>
  </si>
  <si>
    <t>Wallingford</t>
  </si>
  <si>
    <t>05773-0169</t>
  </si>
  <si>
    <t>XNFGC4514</t>
  </si>
  <si>
    <t>ALR180601013</t>
  </si>
  <si>
    <t>Mr. Malcolm W. Campbell</t>
  </si>
  <si>
    <t>4676 E Walnut Road</t>
  </si>
  <si>
    <t>XNFGA3204</t>
  </si>
  <si>
    <t>ALL20040B83M</t>
  </si>
  <si>
    <t>Arline</t>
  </si>
  <si>
    <t>21 Jefferson Ct</t>
  </si>
  <si>
    <t>08807-3050</t>
  </si>
  <si>
    <t>XNFGF29</t>
  </si>
  <si>
    <t>ALA070401003</t>
  </si>
  <si>
    <t>Fort</t>
  </si>
  <si>
    <t>Mr. and Mrs. Fort</t>
  </si>
  <si>
    <t>802 63rd St</t>
  </si>
  <si>
    <t>Meridian</t>
  </si>
  <si>
    <t>39305-1171</t>
  </si>
  <si>
    <t>XNFGC3506</t>
  </si>
  <si>
    <t>ALL051201010</t>
  </si>
  <si>
    <t>XRA8R33AA</t>
  </si>
  <si>
    <t>Hassur</t>
  </si>
  <si>
    <t>Dr. and Mrs. Steven M. Hassur</t>
  </si>
  <si>
    <t>4188 Basket Oak Cir</t>
  </si>
  <si>
    <t>32967-6103</t>
  </si>
  <si>
    <t>hassur_s@verizon.net</t>
  </si>
  <si>
    <t>XNFGE4514</t>
  </si>
  <si>
    <t>Mr. Ernest J. Andersen</t>
  </si>
  <si>
    <t>2737 Cedar St</t>
  </si>
  <si>
    <t>Millville</t>
  </si>
  <si>
    <t>08332-9401</t>
  </si>
  <si>
    <t>eaoct31@gmail.com</t>
  </si>
  <si>
    <t>XNFGC3004</t>
  </si>
  <si>
    <t>ALR140509033</t>
  </si>
  <si>
    <t>ALR050402003</t>
  </si>
  <si>
    <t>Miss Joan Tootell</t>
  </si>
  <si>
    <t>112 Priddle Pt Rd</t>
  </si>
  <si>
    <t>12078-6917</t>
  </si>
  <si>
    <t>jtoot@twc.com</t>
  </si>
  <si>
    <t>jtoot@frontiernet.net</t>
  </si>
  <si>
    <t>XNFGB2904</t>
  </si>
  <si>
    <t>Mrs. Kathy Williams</t>
  </si>
  <si>
    <t>810 Butte Falls Hwy</t>
  </si>
  <si>
    <t>97524-4452</t>
  </si>
  <si>
    <t>XNFGC4717</t>
  </si>
  <si>
    <t>ALA13090C24A</t>
  </si>
  <si>
    <t>ALR110404003</t>
  </si>
  <si>
    <t>Shindel</t>
  </si>
  <si>
    <t>Ms. Ruth C. Shindel</t>
  </si>
  <si>
    <t>1466 Grizzly Peak Blvd</t>
  </si>
  <si>
    <t>94708-2202</t>
  </si>
  <si>
    <t>XNFGE2904</t>
  </si>
  <si>
    <t>ALR200501C44</t>
  </si>
  <si>
    <t>ALR071202004</t>
  </si>
  <si>
    <t>Mr. John Seabury</t>
  </si>
  <si>
    <t>605 Madeira Cir</t>
  </si>
  <si>
    <t>35116-2220</t>
  </si>
  <si>
    <t>photog605@aol.com</t>
  </si>
  <si>
    <t>XTKR91</t>
  </si>
  <si>
    <t>ALL17110D53M</t>
  </si>
  <si>
    <t>ALR131201033</t>
  </si>
  <si>
    <t>Bates</t>
  </si>
  <si>
    <t>Ms. Bonnie C. Bates</t>
  </si>
  <si>
    <t>4020 Indian Hills Dr</t>
  </si>
  <si>
    <t>51108-1418</t>
  </si>
  <si>
    <t>bonniebates@yahoo.com</t>
  </si>
  <si>
    <t>XMJ91</t>
  </si>
  <si>
    <t>ALR200202T33</t>
  </si>
  <si>
    <t>XRG9B83E</t>
  </si>
  <si>
    <t>Kilyk</t>
  </si>
  <si>
    <t>5002 E Berneil Dr</t>
  </si>
  <si>
    <t>85253-1522</t>
  </si>
  <si>
    <t>charity@jkjg.net</t>
  </si>
  <si>
    <t>jkilyk@wideopenwest.com</t>
  </si>
  <si>
    <t>Joachim</t>
  </si>
  <si>
    <t>6507 232nd Ave E</t>
  </si>
  <si>
    <t>Buckley</t>
  </si>
  <si>
    <t>98321-6001</t>
  </si>
  <si>
    <t>Ms. Sharon A. Keith</t>
  </si>
  <si>
    <t>17310 Vereda De La Montura Apt 406</t>
  </si>
  <si>
    <t>Pacific Palisades</t>
  </si>
  <si>
    <t>90272-4840</t>
  </si>
  <si>
    <t>skeith@me.com</t>
  </si>
  <si>
    <t>sombart@aol.com</t>
  </si>
  <si>
    <t>XNTBA9916</t>
  </si>
  <si>
    <t>ATA2211T6EMC</t>
  </si>
  <si>
    <t>ATA2206T1EMC</t>
  </si>
  <si>
    <t>Helbock</t>
  </si>
  <si>
    <t>Mrs. Helbock</t>
  </si>
  <si>
    <t>2808 S Lamar Street</t>
  </si>
  <si>
    <t>80227-3810</t>
  </si>
  <si>
    <t>ALQ0209CC025</t>
  </si>
  <si>
    <t>XRE0H14</t>
  </si>
  <si>
    <t>Michelle</t>
  </si>
  <si>
    <t>Bruce and Michelle Hanson</t>
  </si>
  <si>
    <t>Bruce and Michelle</t>
  </si>
  <si>
    <t>12720 27th Ave N</t>
  </si>
  <si>
    <t>55441-2720</t>
  </si>
  <si>
    <t>wyotwohawks@msn.com</t>
  </si>
  <si>
    <t>XNGAA1407</t>
  </si>
  <si>
    <t>ALR221202C33</t>
  </si>
  <si>
    <t>ALR221201C33</t>
  </si>
  <si>
    <t>Schlansker</t>
  </si>
  <si>
    <t>Reverend David H. Schlansker</t>
  </si>
  <si>
    <t>PO Box 42</t>
  </si>
  <si>
    <t>Riparius</t>
  </si>
  <si>
    <t>12862-0042</t>
  </si>
  <si>
    <t>pastordhs@frontiernet.net</t>
  </si>
  <si>
    <t>pastordhs@juno.com</t>
  </si>
  <si>
    <t>XNGEA2914</t>
  </si>
  <si>
    <t>ALR221101C64</t>
  </si>
  <si>
    <t>Hank and Sandy Gentry</t>
  </si>
  <si>
    <t>Hank and Sandy</t>
  </si>
  <si>
    <t>701 Lake Hinsdale Dr Apt 304</t>
  </si>
  <si>
    <t>Willowbrook</t>
  </si>
  <si>
    <t>60527-2241</t>
  </si>
  <si>
    <t>butpygmy1@gmail.com</t>
  </si>
  <si>
    <t>XNGBA2306</t>
  </si>
  <si>
    <t>ALR140601054</t>
  </si>
  <si>
    <t>Cherie</t>
  </si>
  <si>
    <t>Swaters</t>
  </si>
  <si>
    <t>Ms. Cherie B. Swaters</t>
  </si>
  <si>
    <t>1305 Hillary Dr</t>
  </si>
  <si>
    <t>64068-4603</t>
  </si>
  <si>
    <t>clswaters@proton.me</t>
  </si>
  <si>
    <t>cbswaters@earthlink.net</t>
  </si>
  <si>
    <t>XNGAA1904</t>
  </si>
  <si>
    <t>ALR100204003</t>
  </si>
  <si>
    <t>Shelah Brooks</t>
  </si>
  <si>
    <t>321 Alden St</t>
  </si>
  <si>
    <t>08723-6458</t>
  </si>
  <si>
    <t>XNGBA2006</t>
  </si>
  <si>
    <t>ALR190908C44</t>
  </si>
  <si>
    <t>Mrs. Clifford L. and Mrs. Terry Hewitt</t>
  </si>
  <si>
    <t>Clifford and Terry</t>
  </si>
  <si>
    <t>17700 Road 27.9</t>
  </si>
  <si>
    <t>81323-9177</t>
  </si>
  <si>
    <t>bigwhiskey1947@att.net</t>
  </si>
  <si>
    <t>tlhewitt0608@att.net</t>
  </si>
  <si>
    <t>ALR221002C33</t>
  </si>
  <si>
    <t>tlhewitt0608@act.net</t>
  </si>
  <si>
    <t>Hanauer</t>
  </si>
  <si>
    <t>Mrs. Harriet and Mr. Peter K. Hanauer</t>
  </si>
  <si>
    <t>Harriet and Peter</t>
  </si>
  <si>
    <t>95 Forest Ln</t>
  </si>
  <si>
    <t>94708-1446</t>
  </si>
  <si>
    <t>hape4@comcast.net</t>
  </si>
  <si>
    <t>XNGAA1101</t>
  </si>
  <si>
    <t>Rappe</t>
  </si>
  <si>
    <t>Leonard W. Rappe</t>
  </si>
  <si>
    <t>18 Church St</t>
  </si>
  <si>
    <t>Roslyn</t>
  </si>
  <si>
    <t>11576-1131</t>
  </si>
  <si>
    <t>lennyrappe@aol.com</t>
  </si>
  <si>
    <t>lewnyrape@aol.com</t>
  </si>
  <si>
    <t>XNYCA</t>
  </si>
  <si>
    <t>ALL24030C5BM</t>
  </si>
  <si>
    <t>ALR160502133</t>
  </si>
  <si>
    <t>Collaros</t>
  </si>
  <si>
    <t>Ms. Susan Collaros</t>
  </si>
  <si>
    <t>10 Rolling Hills Dr</t>
  </si>
  <si>
    <t>45215-1353</t>
  </si>
  <si>
    <t>susancollaros@gmail.com</t>
  </si>
  <si>
    <t>tasknana@cinci.rr.com</t>
  </si>
  <si>
    <t>XNGEA2006</t>
  </si>
  <si>
    <t>ALR231102C44</t>
  </si>
  <si>
    <t>ALA13020A14A</t>
  </si>
  <si>
    <t>Dr. William R. Nye</t>
  </si>
  <si>
    <t>888 E 19th St</t>
  </si>
  <si>
    <t>11230-3108</t>
  </si>
  <si>
    <t>realbilnye@aol.com</t>
  </si>
  <si>
    <t>Ms. Patricia Hansen</t>
  </si>
  <si>
    <t>2353 E 8240 S</t>
  </si>
  <si>
    <t>Ogden</t>
  </si>
  <si>
    <t>84405-6780</t>
  </si>
  <si>
    <t>cedars@xmission.com</t>
  </si>
  <si>
    <t>cedars@kmission.com</t>
  </si>
  <si>
    <t>XNGAA2914</t>
  </si>
  <si>
    <t>ALR181000001</t>
  </si>
  <si>
    <t>Mr. William L. Hoffman</t>
  </si>
  <si>
    <t>516 1st St SE</t>
  </si>
  <si>
    <t>20003-2606</t>
  </si>
  <si>
    <t>whoffman@att.net</t>
  </si>
  <si>
    <t>XNWAB5909</t>
  </si>
  <si>
    <t>ALA24010E55H</t>
  </si>
  <si>
    <t>Joanmarie</t>
  </si>
  <si>
    <t>Ms. Joanmarie Hofmann</t>
  </si>
  <si>
    <t>PO Box 1866</t>
  </si>
  <si>
    <t>Dade City</t>
  </si>
  <si>
    <t>33526-1866</t>
  </si>
  <si>
    <t>XNWAB1901</t>
  </si>
  <si>
    <t>ALR181213C30</t>
  </si>
  <si>
    <t>Aluf</t>
  </si>
  <si>
    <t>Ms. Aluf</t>
  </si>
  <si>
    <t>2935 White Mountain Hwy</t>
  </si>
  <si>
    <t>North Conway</t>
  </si>
  <si>
    <t>03860-5111</t>
  </si>
  <si>
    <t>XNGCA2612</t>
  </si>
  <si>
    <t>Srolovitz</t>
  </si>
  <si>
    <t>Mr. Richard H. Srolovitz</t>
  </si>
  <si>
    <t>1523 Ohio Ave</t>
  </si>
  <si>
    <t>Youngstown</t>
  </si>
  <si>
    <t>44504-1724</t>
  </si>
  <si>
    <t>XNGEA2103</t>
  </si>
  <si>
    <t>Rasmus</t>
  </si>
  <si>
    <t>112 Lantern Ct</t>
  </si>
  <si>
    <t>19067-1630</t>
  </si>
  <si>
    <t>fhrasmus@aol.com</t>
  </si>
  <si>
    <t>XNWCB5305</t>
  </si>
  <si>
    <t>Ms. Hollis L. Hamilton</t>
  </si>
  <si>
    <t>1869 Moore Rd</t>
  </si>
  <si>
    <t>44011-1787</t>
  </si>
  <si>
    <t>hhamilton51@yahoo.com</t>
  </si>
  <si>
    <t>XNWCB6217</t>
  </si>
  <si>
    <t>ALA13100C14A</t>
  </si>
  <si>
    <t>Ms. Joan Ernst</t>
  </si>
  <si>
    <t>Ms. Ernst</t>
  </si>
  <si>
    <t>414 Kendal Drive</t>
  </si>
  <si>
    <t>c/o Mary Jean Koster</t>
  </si>
  <si>
    <t>XNWAB3010</t>
  </si>
  <si>
    <t>170 College Ave Ste 320</t>
  </si>
  <si>
    <t>49423-2982</t>
  </si>
  <si>
    <t>XNWAB4503</t>
  </si>
  <si>
    <t>ALR200206C33</t>
  </si>
  <si>
    <t>XRI4A31C</t>
  </si>
  <si>
    <t>53322 Bellhurst Dr</t>
  </si>
  <si>
    <t>46507-8542</t>
  </si>
  <si>
    <t>thetaylorson14@yahoo.com</t>
  </si>
  <si>
    <t>XNWCB4006</t>
  </si>
  <si>
    <t>ALR240800EMC</t>
  </si>
  <si>
    <t>ALA18100A14A</t>
  </si>
  <si>
    <t>Meneely</t>
  </si>
  <si>
    <t>Mr. Douglas E. Meneely</t>
  </si>
  <si>
    <t>9 Denali Ct</t>
  </si>
  <si>
    <t>South Barrington</t>
  </si>
  <si>
    <t>60010-1061</t>
  </si>
  <si>
    <t>meneelydoug@gmail.com</t>
  </si>
  <si>
    <t>XNWAB3604</t>
  </si>
  <si>
    <t>ALR230201C66</t>
  </si>
  <si>
    <t>Swindler</t>
  </si>
  <si>
    <t>Mr. John Swindler</t>
  </si>
  <si>
    <t>1152 S Shawnee Dr</t>
  </si>
  <si>
    <t>45331-3113</t>
  </si>
  <si>
    <t>carrot@wes.net</t>
  </si>
  <si>
    <t>XNWAB6217</t>
  </si>
  <si>
    <t>XRI1B91CX</t>
  </si>
  <si>
    <t>106 Worsham Dr</t>
  </si>
  <si>
    <t>27516-1196</t>
  </si>
  <si>
    <t>XNWBB3104</t>
  </si>
  <si>
    <t>ALR231005C44</t>
  </si>
  <si>
    <t>1071 Celestial St Apt 1405</t>
  </si>
  <si>
    <t>45202-1649</t>
  </si>
  <si>
    <t>XNWAB5405</t>
  </si>
  <si>
    <t>ALL23030B6BM</t>
  </si>
  <si>
    <t>Ms. Marlene V. Battelle</t>
  </si>
  <si>
    <t>3202 Municipal Dr</t>
  </si>
  <si>
    <t>87401-4061</t>
  </si>
  <si>
    <t>mvbattelle@gmail.com</t>
  </si>
  <si>
    <t>XNWCB5405</t>
  </si>
  <si>
    <t>ALR130501033</t>
  </si>
  <si>
    <t>Mrs. Gayle L. Brady</t>
  </si>
  <si>
    <t>4131 E Winged Foot Pl</t>
  </si>
  <si>
    <t>85249-7281</t>
  </si>
  <si>
    <t>XNWBB4006</t>
  </si>
  <si>
    <t>ALR170601044</t>
  </si>
  <si>
    <t>Lee R. Trotter</t>
  </si>
  <si>
    <t>13109 121st Ave E</t>
  </si>
  <si>
    <t>98374-3692</t>
  </si>
  <si>
    <t>trotlee@aol.com</t>
  </si>
  <si>
    <t>XNWAB1601</t>
  </si>
  <si>
    <t>ALR200902C44</t>
  </si>
  <si>
    <t>ALA20040A24C</t>
  </si>
  <si>
    <t>Perloff</t>
  </si>
  <si>
    <t>Barbara Meyer and Michael Perloff</t>
  </si>
  <si>
    <t>Barbara and Michael</t>
  </si>
  <si>
    <t>51 Pine St</t>
  </si>
  <si>
    <t>Medfield</t>
  </si>
  <si>
    <t>02052-1309</t>
  </si>
  <si>
    <t>maj6663@gmail.com</t>
  </si>
  <si>
    <t>X1013</t>
  </si>
  <si>
    <t>ALA180001001</t>
  </si>
  <si>
    <t>bwmp2052@verizon.net</t>
  </si>
  <si>
    <t>Budden</t>
  </si>
  <si>
    <t>PO Box 475</t>
  </si>
  <si>
    <t>84532-0475</t>
  </si>
  <si>
    <t>smbdesertdream@yahoo.com</t>
  </si>
  <si>
    <t>ALA060021001</t>
  </si>
  <si>
    <t>Ms. Mary Ann Gillis</t>
  </si>
  <si>
    <t>3332 Hosner Rd</t>
  </si>
  <si>
    <t>48428-9783</t>
  </si>
  <si>
    <t>mg14email@aol.com</t>
  </si>
  <si>
    <t>ALQ2202BH020</t>
  </si>
  <si>
    <t>ALR060703204</t>
  </si>
  <si>
    <t>Mrs. Johanna H. and Mr. John H. Will</t>
  </si>
  <si>
    <t>Johanna and John</t>
  </si>
  <si>
    <t>6251 Stevenson Oaks Dr Apt 2321</t>
  </si>
  <si>
    <t>76123-2779</t>
  </si>
  <si>
    <t>jhwx2@aol.com</t>
  </si>
  <si>
    <t>XNWAB3504</t>
  </si>
  <si>
    <t>Sonnichsen</t>
  </si>
  <si>
    <t>Mrs. Shirley L. Sonnichsen</t>
  </si>
  <si>
    <t>1150 Englewood Dr</t>
  </si>
  <si>
    <t>99352-9484</t>
  </si>
  <si>
    <t>jssonn.dawgs@verizon.net</t>
  </si>
  <si>
    <t>ssonnichsen@gmail.com</t>
  </si>
  <si>
    <t>XNWCB6014</t>
  </si>
  <si>
    <t>ALR031105003</t>
  </si>
  <si>
    <t>Elling</t>
  </si>
  <si>
    <t>Du Sell</t>
  </si>
  <si>
    <t>Ms. Christine Du Sell and Mr. Ronald Elling</t>
  </si>
  <si>
    <t>Christine and Ronald</t>
  </si>
  <si>
    <t>726 N Taylor Ave</t>
  </si>
  <si>
    <t>60302-1750</t>
  </si>
  <si>
    <t>duselling@comcast.net</t>
  </si>
  <si>
    <t>XNWBB3404</t>
  </si>
  <si>
    <t>Rosiek</t>
  </si>
  <si>
    <t>Miss Renee Rosiek</t>
  </si>
  <si>
    <t>612 Windsong Ln</t>
  </si>
  <si>
    <t>27713-9169</t>
  </si>
  <si>
    <t>renee_rosiek@med.unc.edu</t>
  </si>
  <si>
    <t>rrosiek@hotmail.com</t>
  </si>
  <si>
    <t>XNWCB3804</t>
  </si>
  <si>
    <t>ALR180902033</t>
  </si>
  <si>
    <t>Constance</t>
  </si>
  <si>
    <t>Mrs. Constance and Mr. Timothy Holmen</t>
  </si>
  <si>
    <t>Constance and Timothy</t>
  </si>
  <si>
    <t>6342 Cheri Lynne Dr</t>
  </si>
  <si>
    <t>45415-2109</t>
  </si>
  <si>
    <t>th6342@aol.com</t>
  </si>
  <si>
    <t>th6342@earthlink.net</t>
  </si>
  <si>
    <t>csholmen@hotmail.com</t>
  </si>
  <si>
    <t>2535 Sugargrove Trl NE</t>
  </si>
  <si>
    <t>28451-4505</t>
  </si>
  <si>
    <t>wazoo63@aol.com</t>
  </si>
  <si>
    <t>wa20063@aol.com</t>
  </si>
  <si>
    <t>ALR220801T33</t>
  </si>
  <si>
    <t>XRB7B62C</t>
  </si>
  <si>
    <t>English</t>
  </si>
  <si>
    <t>Ms. Elizabeth English</t>
  </si>
  <si>
    <t>10302 Spring Garden Ct</t>
  </si>
  <si>
    <t>Mechanicsville</t>
  </si>
  <si>
    <t>23116-7211</t>
  </si>
  <si>
    <t>ALR161102064</t>
  </si>
  <si>
    <t>Mrs. Roslyn and Mr. Ira G. Kaplan</t>
  </si>
  <si>
    <t>Roslyn and Ira</t>
  </si>
  <si>
    <t>1 Strawberry Hill Ave Apt 8E</t>
  </si>
  <si>
    <t>06902-2628</t>
  </si>
  <si>
    <t>irahike@snet.net</t>
  </si>
  <si>
    <t>XJA91</t>
  </si>
  <si>
    <t>ALR181002EMC</t>
  </si>
  <si>
    <t>ronnykaplan@snet.net</t>
  </si>
  <si>
    <t>Ms. Gail Whitley</t>
  </si>
  <si>
    <t>19784 146th St SE</t>
  </si>
  <si>
    <t>98272-9788</t>
  </si>
  <si>
    <t>glwhitley2@comcast.net</t>
  </si>
  <si>
    <t>aussie.fun55@gmail.com</t>
  </si>
  <si>
    <t>Mr. Wayne Weston</t>
  </si>
  <si>
    <t>17225 Due West Drive</t>
  </si>
  <si>
    <t>28278-9004</t>
  </si>
  <si>
    <t>westorw@co.mecklenburg.nc.us</t>
  </si>
  <si>
    <t>rwwessw29@gmail.com</t>
  </si>
  <si>
    <t>XNWBC3112</t>
  </si>
  <si>
    <t>ALR031201003</t>
  </si>
  <si>
    <t>Denis</t>
  </si>
  <si>
    <t>Crockett</t>
  </si>
  <si>
    <t>2580 Andler Rd</t>
  </si>
  <si>
    <t>Placerville</t>
  </si>
  <si>
    <t>95667-3204</t>
  </si>
  <si>
    <t>crockettd@comcast.net</t>
  </si>
  <si>
    <t>ALR240102C64</t>
  </si>
  <si>
    <t>Spangler</t>
  </si>
  <si>
    <t>Mrs. Patricia and Mr. Steve Spangler</t>
  </si>
  <si>
    <t>Patricia and Steve</t>
  </si>
  <si>
    <t>14248 Stanton Cir</t>
  </si>
  <si>
    <t>Sonora</t>
  </si>
  <si>
    <t>95370-8645</t>
  </si>
  <si>
    <t>steve_spangler@yahoo.com</t>
  </si>
  <si>
    <t>stevenjspangler@hotmail.com</t>
  </si>
  <si>
    <t>XNWAB2907</t>
  </si>
  <si>
    <t>Massaro</t>
  </si>
  <si>
    <t>Jane A. Massaro</t>
  </si>
  <si>
    <t>23 Monfort Rd</t>
  </si>
  <si>
    <t>Port Washington</t>
  </si>
  <si>
    <t>11050-3318</t>
  </si>
  <si>
    <t>my_melanie@yahoo.com</t>
  </si>
  <si>
    <t>XNWAB5607</t>
  </si>
  <si>
    <t>ALR230701C54</t>
  </si>
  <si>
    <t>ALA17050D15R</t>
  </si>
  <si>
    <t>Gladys</t>
  </si>
  <si>
    <t>Mrs. Gladys Cleveland</t>
  </si>
  <si>
    <t>Mrs. Cleveland</t>
  </si>
  <si>
    <t>456 Woodstock Road</t>
  </si>
  <si>
    <t>XNWCB4303</t>
  </si>
  <si>
    <t>ALA150001001</t>
  </si>
  <si>
    <t>Mrs. Monica and Mr. Fritz A. Kaenzig</t>
  </si>
  <si>
    <t>Monica and Fritz</t>
  </si>
  <si>
    <t>866 Brookside Dr</t>
  </si>
  <si>
    <t>48105-1100</t>
  </si>
  <si>
    <t>fak@umich.edu</t>
  </si>
  <si>
    <t>mr2ba@aol.com</t>
  </si>
  <si>
    <t>XNWBC1904</t>
  </si>
  <si>
    <t>ALR220232EMC</t>
  </si>
  <si>
    <t>ALA19010B25A</t>
  </si>
  <si>
    <t>Tamra</t>
  </si>
  <si>
    <t>Howard and Tamra Schultz</t>
  </si>
  <si>
    <t>Howard and Tamra</t>
  </si>
  <si>
    <t>5131 Highpoint Dr</t>
  </si>
  <si>
    <t>Swartz Creek</t>
  </si>
  <si>
    <t>48473-8903</t>
  </si>
  <si>
    <t>howieandtammy@comcast.net</t>
  </si>
  <si>
    <t>XNWBC2503</t>
  </si>
  <si>
    <t>ALA23050A23A</t>
  </si>
  <si>
    <t>Mac</t>
  </si>
  <si>
    <t>Mac and Tom Murphy</t>
  </si>
  <si>
    <t>Mac and Tom</t>
  </si>
  <si>
    <t>1405 N Park Ave</t>
  </si>
  <si>
    <t>El Dorado</t>
  </si>
  <si>
    <t>71730-4051</t>
  </si>
  <si>
    <t>macmurphy@cablelynx.com</t>
  </si>
  <si>
    <t>XNWBC2102</t>
  </si>
  <si>
    <t>ALR230605C54</t>
  </si>
  <si>
    <t>ALR2306D1WSC</t>
  </si>
  <si>
    <t>Jack and Rita Henne</t>
  </si>
  <si>
    <t>Jack and Rita</t>
  </si>
  <si>
    <t>127 Alma St</t>
  </si>
  <si>
    <t>60178-1624</t>
  </si>
  <si>
    <t>XNWCC21</t>
  </si>
  <si>
    <t>Ms. Nancy Dugan</t>
  </si>
  <si>
    <t>78 Walker Canyon Rd</t>
  </si>
  <si>
    <t>Cloudcroft</t>
  </si>
  <si>
    <t>88317-9426</t>
  </si>
  <si>
    <t>pinky@pvtn.net</t>
  </si>
  <si>
    <t>XNWAC2006</t>
  </si>
  <si>
    <t>ALR230901C33</t>
  </si>
  <si>
    <t>Ritchie</t>
  </si>
  <si>
    <t>5475 Cedar Valley Dr</t>
  </si>
  <si>
    <t>80537-7995</t>
  </si>
  <si>
    <t>rlclark52@gmail.com</t>
  </si>
  <si>
    <t>XNWCC1904</t>
  </si>
  <si>
    <t>ALA21030W001</t>
  </si>
  <si>
    <t>Peter and Cynthia</t>
  </si>
  <si>
    <t>0190 3rd St</t>
  </si>
  <si>
    <t>Cherokee</t>
  </si>
  <si>
    <t>35616-7324</t>
  </si>
  <si>
    <t>sabp43@earthlink.net</t>
  </si>
  <si>
    <t>XNWBC2603</t>
  </si>
  <si>
    <t>ALR071001003</t>
  </si>
  <si>
    <t>XT7SACDA1</t>
  </si>
  <si>
    <t>Ms. Carolyn Cleland</t>
  </si>
  <si>
    <t>9754 S 100 East</t>
  </si>
  <si>
    <t>XNWAC25</t>
  </si>
  <si>
    <t>Markham</t>
  </si>
  <si>
    <t>Hugh and Robin Markham</t>
  </si>
  <si>
    <t>Hugh and Robin</t>
  </si>
  <si>
    <t>2 Lagrange Ave</t>
  </si>
  <si>
    <t>Kilmarnock</t>
  </si>
  <si>
    <t>22482-3112</t>
  </si>
  <si>
    <t>hughr.markham@gmail.com</t>
  </si>
  <si>
    <t>XNWBC15</t>
  </si>
  <si>
    <t>Ms. Catherine L. Hamma</t>
  </si>
  <si>
    <t>721 S Vail Ave</t>
  </si>
  <si>
    <t>60005-2537</t>
  </si>
  <si>
    <t>cathy@clktech.com</t>
  </si>
  <si>
    <t>cathyleeh@aol.com</t>
  </si>
  <si>
    <t>XNWAB4605</t>
  </si>
  <si>
    <t>ALR080001002</t>
  </si>
  <si>
    <t>Stover</t>
  </si>
  <si>
    <t>Jan Stover</t>
  </si>
  <si>
    <t>2233 NE 15th Ave</t>
  </si>
  <si>
    <t>97212-4419</t>
  </si>
  <si>
    <t>XNWBC3717</t>
  </si>
  <si>
    <t>ALR191002C44</t>
  </si>
  <si>
    <t>ALR170101033</t>
  </si>
  <si>
    <t>Mr. John A. and Mrs. Ann Steinbrunner</t>
  </si>
  <si>
    <t>John and Ann</t>
  </si>
  <si>
    <t>1085 Parkside Dr</t>
  </si>
  <si>
    <t>44107-1341</t>
  </si>
  <si>
    <t>annsteinbrunner330@hotmail.com</t>
  </si>
  <si>
    <t>jasac2ary@hotmail.com</t>
  </si>
  <si>
    <t>XNWCC12</t>
  </si>
  <si>
    <t>ALA2300D0WSC</t>
  </si>
  <si>
    <t>TDM050007001</t>
  </si>
  <si>
    <t>Penny S. Zemke</t>
  </si>
  <si>
    <t>Penny Zemke</t>
  </si>
  <si>
    <t>200 Uno Lago Dr</t>
  </si>
  <si>
    <t>Apt 103</t>
  </si>
  <si>
    <t>33408-2691</t>
  </si>
  <si>
    <t>pennyzemke@yahoo.com</t>
  </si>
  <si>
    <t>Mr. Hugh A. Jennings</t>
  </si>
  <si>
    <t>16116 NE 4th St</t>
  </si>
  <si>
    <t>98008-4439</t>
  </si>
  <si>
    <t>jenningshughandbev@gmail.com</t>
  </si>
  <si>
    <t>h2ouzel@comcast.net</t>
  </si>
  <si>
    <t>ALL20040A6BM</t>
  </si>
  <si>
    <t>Mr. William H. Skeels</t>
  </si>
  <si>
    <t>3511 Morris Farm Dr</t>
  </si>
  <si>
    <t>27282-7527</t>
  </si>
  <si>
    <t>XNKAD2503</t>
  </si>
  <si>
    <t>ALL090801008</t>
  </si>
  <si>
    <t>XRE9A61LC</t>
  </si>
  <si>
    <t>Mrs. Helen V. and Mr. John D. Rossmiller</t>
  </si>
  <si>
    <t>Helen and John</t>
  </si>
  <si>
    <t>2431 Pine Knott Dr</t>
  </si>
  <si>
    <t>Beavercreek</t>
  </si>
  <si>
    <t>45431-2682</t>
  </si>
  <si>
    <t>helenrossmiller@sbcglobal.net</t>
  </si>
  <si>
    <t>john.rossmiller@hotmail.com</t>
  </si>
  <si>
    <t>ALA230100001</t>
  </si>
  <si>
    <t>rossmiller@noaddress.ea</t>
  </si>
  <si>
    <t>helenrossmiller@noaddress.ea</t>
  </si>
  <si>
    <t>ALR22110DWSC</t>
  </si>
  <si>
    <t>ALRXXXXD1WSC</t>
  </si>
  <si>
    <t>8730 Raven Oaks Dr</t>
  </si>
  <si>
    <t>68152-1753</t>
  </si>
  <si>
    <t>XNWCC2302</t>
  </si>
  <si>
    <t>ALR220604C33</t>
  </si>
  <si>
    <t>Richard and Diane Kane</t>
  </si>
  <si>
    <t>Richard and Diane</t>
  </si>
  <si>
    <t>6921 N Rockledge Ave</t>
  </si>
  <si>
    <t>53209-2919</t>
  </si>
  <si>
    <t>keeplaughing@sbcglobal.net</t>
  </si>
  <si>
    <t>XNKAD1310</t>
  </si>
  <si>
    <t>ALR230709C33</t>
  </si>
  <si>
    <t>XA3ASDBJD</t>
  </si>
  <si>
    <t>Helmich</t>
  </si>
  <si>
    <t>Judith Helmich</t>
  </si>
  <si>
    <t>20505 Little Creek Ter</t>
  </si>
  <si>
    <t>#305</t>
  </si>
  <si>
    <t>Ashburn</t>
  </si>
  <si>
    <t>20147-5550</t>
  </si>
  <si>
    <t>jfhelmich@verizon.net</t>
  </si>
  <si>
    <t>XNKAD2805</t>
  </si>
  <si>
    <t>ALR240104C54</t>
  </si>
  <si>
    <t>hankst1@home.com</t>
  </si>
  <si>
    <t>Skidmore</t>
  </si>
  <si>
    <t>Mr. David P. and Mr. Joanne Skidmore</t>
  </si>
  <si>
    <t>David and Joanne</t>
  </si>
  <si>
    <t>2389 Penny Ln</t>
  </si>
  <si>
    <t>54234-9269</t>
  </si>
  <si>
    <t>joanneskidmore@prodigy.net</t>
  </si>
  <si>
    <t>davidskidmore@prodigy.net</t>
  </si>
  <si>
    <t>XNKAD2104</t>
  </si>
  <si>
    <t>ALR211201C64</t>
  </si>
  <si>
    <t>ALR2208D1PSC</t>
  </si>
  <si>
    <t>Wehner</t>
  </si>
  <si>
    <t>Todd and Sarah Wehner</t>
  </si>
  <si>
    <t>Todd and Sarah</t>
  </si>
  <si>
    <t>2505 Enfield Rd Apt 4</t>
  </si>
  <si>
    <t>78703-3739</t>
  </si>
  <si>
    <t>twehner@twinliquors.com</t>
  </si>
  <si>
    <t>littleboy006@hotmail.com</t>
  </si>
  <si>
    <t>XNKAD00</t>
  </si>
  <si>
    <t>ALR101203004</t>
  </si>
  <si>
    <t>sarah.wehner@austin.utexas.edu</t>
  </si>
  <si>
    <t>Rockey</t>
  </si>
  <si>
    <t>Mrs. Marilyn Rockey</t>
  </si>
  <si>
    <t>762 Estates Dr</t>
  </si>
  <si>
    <t>Aptos</t>
  </si>
  <si>
    <t>95003-3511</t>
  </si>
  <si>
    <t>philrockey@hotmail.com</t>
  </si>
  <si>
    <t>XNWCC14</t>
  </si>
  <si>
    <t>ALQ1707AA226</t>
  </si>
  <si>
    <t>Ms. Christine D. Schaffran</t>
  </si>
  <si>
    <t>185 Hall St Apt 211</t>
  </si>
  <si>
    <t>11205-5028</t>
  </si>
  <si>
    <t>cds13000@aol.com</t>
  </si>
  <si>
    <t>XNKAD1109</t>
  </si>
  <si>
    <t>Ms. Nina Krantz</t>
  </si>
  <si>
    <t>3605 Surrey Dr</t>
  </si>
  <si>
    <t>22309-2245</t>
  </si>
  <si>
    <t>ninakrantz@aol.com</t>
  </si>
  <si>
    <t>ALR191001033</t>
  </si>
  <si>
    <t>ALA14020C25R</t>
  </si>
  <si>
    <t>Randy and Kelley</t>
  </si>
  <si>
    <t>119 Laurel Dr</t>
  </si>
  <si>
    <t>17025-1544</t>
  </si>
  <si>
    <t>frogs132q@yahoo.com</t>
  </si>
  <si>
    <t>XNXAF28</t>
  </si>
  <si>
    <t>ALA17050E56H</t>
  </si>
  <si>
    <t>frogs13zq@yahoo.com</t>
  </si>
  <si>
    <t>Zeigler</t>
  </si>
  <si>
    <t>Deetz</t>
  </si>
  <si>
    <t>14 Avebury Ct</t>
  </si>
  <si>
    <t>jzeiglerjr1951@comcast.net</t>
  </si>
  <si>
    <t>XNXAF43</t>
  </si>
  <si>
    <t>ALR121102033</t>
  </si>
  <si>
    <t>Kunz</t>
  </si>
  <si>
    <t>Leslea</t>
  </si>
  <si>
    <t>Mrs. Leslea and Mr. James E. Kunz</t>
  </si>
  <si>
    <t>Leslea and James</t>
  </si>
  <si>
    <t>278 E Dominion Blvd</t>
  </si>
  <si>
    <t>43214-2707</t>
  </si>
  <si>
    <t>jimkunz44@gmail.comu</t>
  </si>
  <si>
    <t>jimkunz44@gmail.com</t>
  </si>
  <si>
    <t>XNXAF10</t>
  </si>
  <si>
    <t>ALQ2005DL009</t>
  </si>
  <si>
    <t>ALR150700001</t>
  </si>
  <si>
    <t>lesleakunz@gmail.com</t>
  </si>
  <si>
    <t>Lou Ann</t>
  </si>
  <si>
    <t>Filadelfo</t>
  </si>
  <si>
    <t>Ms. Lou Ann Filadelfo</t>
  </si>
  <si>
    <t>7014 Leebrad St</t>
  </si>
  <si>
    <t>22151-3508</t>
  </si>
  <si>
    <t>l.filadelfo@gmail.com</t>
  </si>
  <si>
    <t>laftours@yahoo.com</t>
  </si>
  <si>
    <t>XNXCF27</t>
  </si>
  <si>
    <t>ALR150202023</t>
  </si>
  <si>
    <t>Mr. Edward D. Mcdowell, Jr.</t>
  </si>
  <si>
    <t>206 Cartwright Dr</t>
  </si>
  <si>
    <t>Bonaire</t>
  </si>
  <si>
    <t>31005-3922</t>
  </si>
  <si>
    <t>ed.mcdowell@cox.net</t>
  </si>
  <si>
    <t>edmcdowell@cox.net</t>
  </si>
  <si>
    <t>XNXGF31</t>
  </si>
  <si>
    <t>ALA21070A14A</t>
  </si>
  <si>
    <t>XRH6A42E</t>
  </si>
  <si>
    <t>Dolan</t>
  </si>
  <si>
    <t>Carla and Dennis Dolan</t>
  </si>
  <si>
    <t>Carla and Dennis</t>
  </si>
  <si>
    <t>3635 Gray Rock Dr</t>
  </si>
  <si>
    <t>21042-3762</t>
  </si>
  <si>
    <t>cldolan@verizon.net</t>
  </si>
  <si>
    <t>XNDAC5222</t>
  </si>
  <si>
    <t>Karena Lee</t>
  </si>
  <si>
    <t>Sanford</t>
  </si>
  <si>
    <t>Karena Lee and Lawrence</t>
  </si>
  <si>
    <t>1260 Riesling Cir</t>
  </si>
  <si>
    <t>Livermore</t>
  </si>
  <si>
    <t>94550-5715</t>
  </si>
  <si>
    <t>las_sanford@yahoo.com</t>
  </si>
  <si>
    <t>ALQ2012N7EM1</t>
  </si>
  <si>
    <t>Mrs. Barbara S. Bayless</t>
  </si>
  <si>
    <t>1617 Granger Ave</t>
  </si>
  <si>
    <t>XNXBF38</t>
  </si>
  <si>
    <t>ATS221001511</t>
  </si>
  <si>
    <t>ATR161001001</t>
  </si>
  <si>
    <t>Markus W.</t>
  </si>
  <si>
    <t>Brombacher</t>
  </si>
  <si>
    <t>Mr. Markus W. W. Brombacher</t>
  </si>
  <si>
    <t>9915 Corsica St</t>
  </si>
  <si>
    <t>22181-3102</t>
  </si>
  <si>
    <t>mwb@inrex.com</t>
  </si>
  <si>
    <t>XNXHF27</t>
  </si>
  <si>
    <t>Finn</t>
  </si>
  <si>
    <t>Jay Picco and Cornelia Finn</t>
  </si>
  <si>
    <t>Jay and Cornelia</t>
  </si>
  <si>
    <t>6729 Cottonwood St NE</t>
  </si>
  <si>
    <t>97317-2351</t>
  </si>
  <si>
    <t>jaymcorn@juno.com</t>
  </si>
  <si>
    <t>jaycorn1@juno.com</t>
  </si>
  <si>
    <t>XNXBF22</t>
  </si>
  <si>
    <t>ALR201202C33</t>
  </si>
  <si>
    <t>ALR060101003</t>
  </si>
  <si>
    <t>Ms. Linda A. Warner</t>
  </si>
  <si>
    <t>1600 44th Avenue Ct Unit 7</t>
  </si>
  <si>
    <t>80634-3310</t>
  </si>
  <si>
    <t>lindaawarner@comcast.net</t>
  </si>
  <si>
    <t>XBND91</t>
  </si>
  <si>
    <t>ALR200101C33</t>
  </si>
  <si>
    <t>Steffenson</t>
  </si>
  <si>
    <t>Glen</t>
  </si>
  <si>
    <t>Karen and Glen Steffenson</t>
  </si>
  <si>
    <t>Karen and Glen</t>
  </si>
  <si>
    <t>1035 W Betsy Dr</t>
  </si>
  <si>
    <t>61028-9323</t>
  </si>
  <si>
    <t>gksteffy@yahoo.com</t>
  </si>
  <si>
    <t>Mr. Rodney T. Stark</t>
  </si>
  <si>
    <t>7788 Lake Shore Dr</t>
  </si>
  <si>
    <t>Pocono Lake</t>
  </si>
  <si>
    <t>18347-7889</t>
  </si>
  <si>
    <t>rstarkalca@gmail.com</t>
  </si>
  <si>
    <t>rts.stark@gmail.com</t>
  </si>
  <si>
    <t>XNXAF13</t>
  </si>
  <si>
    <t>Mr. Jim B. Smith</t>
  </si>
  <si>
    <t>330 Starling Ln</t>
  </si>
  <si>
    <t>37064-8639</t>
  </si>
  <si>
    <t>jamegmug@aol.com</t>
  </si>
  <si>
    <t>keeleandpey@gmail.com</t>
  </si>
  <si>
    <t>XNXAF33</t>
  </si>
  <si>
    <t>ALR230211C50</t>
  </si>
  <si>
    <t>ALR080101003</t>
  </si>
  <si>
    <t>Regina</t>
  </si>
  <si>
    <t>7098 Glenwood Ln</t>
  </si>
  <si>
    <t>Hanover Park</t>
  </si>
  <si>
    <t>60133-6406</t>
  </si>
  <si>
    <t>XNXBF33</t>
  </si>
  <si>
    <t>Ms. Nancy E. Smith</t>
  </si>
  <si>
    <t>1324 Woodcliff Dr SE</t>
  </si>
  <si>
    <t>49506-4245</t>
  </si>
  <si>
    <t>XNMTG34</t>
  </si>
  <si>
    <t>ALR230401C66</t>
  </si>
  <si>
    <t>ALR151107023</t>
  </si>
  <si>
    <t>Mr. Thomas C. and Mrs. Katherine R. Kiernan</t>
  </si>
  <si>
    <t>Thomas and Katherine</t>
  </si>
  <si>
    <t>3408 N Utah St</t>
  </si>
  <si>
    <t>22207-4443</t>
  </si>
  <si>
    <t>tomkrypton@aol.com</t>
  </si>
  <si>
    <t>katejkiernan@gmail.com</t>
  </si>
  <si>
    <t>XNMPG20</t>
  </si>
  <si>
    <t>NEE240001102:FY24STTP</t>
  </si>
  <si>
    <t>ADA080001001F</t>
  </si>
  <si>
    <t>Ann and Allen</t>
  </si>
  <si>
    <t>1403 Woodridge Ln</t>
  </si>
  <si>
    <t>21784-8338</t>
  </si>
  <si>
    <t>annarnold1@me.com</t>
  </si>
  <si>
    <t>XNMPG14</t>
  </si>
  <si>
    <t>ALR230403ERC</t>
  </si>
  <si>
    <t>alarnold48@mac.com</t>
  </si>
  <si>
    <t>Chavis</t>
  </si>
  <si>
    <t>Ms. Doris E. Chavis</t>
  </si>
  <si>
    <t>14341 Lauder St</t>
  </si>
  <si>
    <t>48227-2595</t>
  </si>
  <si>
    <t>chavis.nikangelea6.nc@gmail.com</t>
  </si>
  <si>
    <t>XNMPG42</t>
  </si>
  <si>
    <t>ALR230501C33</t>
  </si>
  <si>
    <t>Mrs. Barbara H. Judson</t>
  </si>
  <si>
    <t>1133 Hill St</t>
  </si>
  <si>
    <t>06078-1525</t>
  </si>
  <si>
    <t>XNMPG40</t>
  </si>
  <si>
    <t>ALQ141000001</t>
  </si>
  <si>
    <t>XVB3A11</t>
  </si>
  <si>
    <t>Faith and Jerry Earll</t>
  </si>
  <si>
    <t>Faith and Jerry</t>
  </si>
  <si>
    <t>6200 Oregon Ave NW Apt 313</t>
  </si>
  <si>
    <t>20015-1539</t>
  </si>
  <si>
    <t>XNMVG29</t>
  </si>
  <si>
    <t>ALL22040A5BM</t>
  </si>
  <si>
    <t>earjf@verizon.net</t>
  </si>
  <si>
    <t>Pearson</t>
  </si>
  <si>
    <t>Miss Lois Pearson</t>
  </si>
  <si>
    <t>5995 134th Street Ct</t>
  </si>
  <si>
    <t>55124-8111</t>
  </si>
  <si>
    <t>XNMPG30</t>
  </si>
  <si>
    <t>Ms. Joan Burton</t>
  </si>
  <si>
    <t>5017 38th Ave NE</t>
  </si>
  <si>
    <t>98105-3022</t>
  </si>
  <si>
    <t>julian.burton@yahoo.com</t>
  </si>
  <si>
    <t>jburton5@mindspring.com</t>
  </si>
  <si>
    <t>XNMPG34</t>
  </si>
  <si>
    <t>ALA24020A13A</t>
  </si>
  <si>
    <t>Ms. Connie Taylor</t>
  </si>
  <si>
    <t>8912 Winery Rd</t>
  </si>
  <si>
    <t>47638-9757</t>
  </si>
  <si>
    <t>crt73@hotmail.com</t>
  </si>
  <si>
    <t>XNMTG31</t>
  </si>
  <si>
    <t>ALR230603ERC</t>
  </si>
  <si>
    <t>ALR200601C54</t>
  </si>
  <si>
    <t>Aja</t>
  </si>
  <si>
    <t>Mr. Michael A. Aja</t>
  </si>
  <si>
    <t>2012 Clelia Ln</t>
  </si>
  <si>
    <t>Petaluma</t>
  </si>
  <si>
    <t>94954-5619</t>
  </si>
  <si>
    <t>maaja49@sbcglobal.net</t>
  </si>
  <si>
    <t>X028</t>
  </si>
  <si>
    <t>ATN220601001</t>
  </si>
  <si>
    <t>Mr. Ward Young</t>
  </si>
  <si>
    <t>309 Hill St</t>
  </si>
  <si>
    <t>51560-4122</t>
  </si>
  <si>
    <t>dwnyowy@infinity.com</t>
  </si>
  <si>
    <t>XNMTG46</t>
  </si>
  <si>
    <t>ALR211003C23</t>
  </si>
  <si>
    <t>ALR171105023</t>
  </si>
  <si>
    <t>Lusk</t>
  </si>
  <si>
    <t>Ms. Linda Lusk</t>
  </si>
  <si>
    <t>7337 Weatherwood Rd</t>
  </si>
  <si>
    <t>76133-6838</t>
  </si>
  <si>
    <t>XNXFF31</t>
  </si>
  <si>
    <t>ALR190807C44</t>
  </si>
  <si>
    <t>ALR151207023</t>
  </si>
  <si>
    <t>Lukensmeyer</t>
  </si>
  <si>
    <t>Dr. Carolyn J. Lukensmeyer</t>
  </si>
  <si>
    <t>2312 19th St NW</t>
  </si>
  <si>
    <t>20009-1404</t>
  </si>
  <si>
    <t>cjlukensmeyer@arizona.edu</t>
  </si>
  <si>
    <t>cjl473@aol.com</t>
  </si>
  <si>
    <t>XNMPG12</t>
  </si>
  <si>
    <t>ALA090302066</t>
  </si>
  <si>
    <t>Cackowski</t>
  </si>
  <si>
    <t>Mr. Wallace M. Cackowski</t>
  </si>
  <si>
    <t>1074 Spruce St</t>
  </si>
  <si>
    <t>15601-5622</t>
  </si>
  <si>
    <t>cackowski1074@comcast.net</t>
  </si>
  <si>
    <t>XNMTG32</t>
  </si>
  <si>
    <t>ALR150402044</t>
  </si>
  <si>
    <t>ALR150401044</t>
  </si>
  <si>
    <t>Bertelson</t>
  </si>
  <si>
    <t>Mr. David E. Bertelson</t>
  </si>
  <si>
    <t>2186 Dakota Ave</t>
  </si>
  <si>
    <t>Provo</t>
  </si>
  <si>
    <t>84606-6510</t>
  </si>
  <si>
    <t>Dirk</t>
  </si>
  <si>
    <t>10 Cook Ct</t>
  </si>
  <si>
    <t>Avondale</t>
  </si>
  <si>
    <t>19311-9330</t>
  </si>
  <si>
    <t>lifebird@verizon.net</t>
  </si>
  <si>
    <t>lifebird@netzero.net</t>
  </si>
  <si>
    <t>ALA22050A24A</t>
  </si>
  <si>
    <t>ALL20120ABBM</t>
  </si>
  <si>
    <t>Dr. Gilbert and Mrs. Barbra F. Baum</t>
  </si>
  <si>
    <t>Gilbert and Barbra</t>
  </si>
  <si>
    <t>21600 Davis Mill Rd</t>
  </si>
  <si>
    <t>20876-4418</t>
  </si>
  <si>
    <t>Ms. Gretchen Long</t>
  </si>
  <si>
    <t>PO Box 83</t>
  </si>
  <si>
    <t>Mill River</t>
  </si>
  <si>
    <t>glongg@mac.com</t>
  </si>
  <si>
    <t>glong@mac.com</t>
  </si>
  <si>
    <t>XNMVG34</t>
  </si>
  <si>
    <t>NEE240002101:FY24STTP</t>
  </si>
  <si>
    <t>XMDBD01F</t>
  </si>
  <si>
    <t>Mr. Monroe Cameron</t>
  </si>
  <si>
    <t>PO Box 161672</t>
  </si>
  <si>
    <t>Big Sky</t>
  </si>
  <si>
    <t>59716-1672</t>
  </si>
  <si>
    <t>m_o_cameron@yahoo.com</t>
  </si>
  <si>
    <t>monroe.cameron@yahoo.com</t>
  </si>
  <si>
    <t>XPCH92</t>
  </si>
  <si>
    <t>ALA2304D6EMC</t>
  </si>
  <si>
    <t>Ms. Barbara Johnson</t>
  </si>
  <si>
    <t>5936 Washington St</t>
  </si>
  <si>
    <t>60516-1914</t>
  </si>
  <si>
    <t>ALR160909033</t>
  </si>
  <si>
    <t>ALR040503203</t>
  </si>
  <si>
    <t>ESTATE</t>
  </si>
  <si>
    <t>Mrs. Nancy P. Schwemm</t>
  </si>
  <si>
    <t>700 John Ringling Boulevard #1012</t>
  </si>
  <si>
    <t>XNZMH1906</t>
  </si>
  <si>
    <t>PPW130001001</t>
  </si>
  <si>
    <t>Mecca</t>
  </si>
  <si>
    <t>Mrs. Adrienne Mecca</t>
  </si>
  <si>
    <t>720 Milton Rd Apt S1B</t>
  </si>
  <si>
    <t>Rye</t>
  </si>
  <si>
    <t>10580-3257</t>
  </si>
  <si>
    <t>XNMTG25</t>
  </si>
  <si>
    <t>ALR170504033</t>
  </si>
  <si>
    <t>Simkin</t>
  </si>
  <si>
    <t>Ms. Linda Simkin</t>
  </si>
  <si>
    <t>3094 Sands Rd</t>
  </si>
  <si>
    <t>13026-9735</t>
  </si>
  <si>
    <t>XNZLH2514</t>
  </si>
  <si>
    <t>ALR200603C44</t>
  </si>
  <si>
    <t>Mrs. Loretta A. Ekoniak</t>
  </si>
  <si>
    <t>9660 New Buffalo Rd</t>
  </si>
  <si>
    <t>44406-9116</t>
  </si>
  <si>
    <t>loretta.ekoniak@gmail.com</t>
  </si>
  <si>
    <t>mekoniak01@sceinet.com</t>
  </si>
  <si>
    <t>XNKAD25</t>
  </si>
  <si>
    <t>XRC8B61E</t>
  </si>
  <si>
    <t>Mr. Michael House</t>
  </si>
  <si>
    <t>240 Colonial Park Dr</t>
  </si>
  <si>
    <t>95403-1144</t>
  </si>
  <si>
    <t>vikingraider1@outlook.com</t>
  </si>
  <si>
    <t>polarb6294@netzero.com</t>
  </si>
  <si>
    <t>ALL18110B5BM</t>
  </si>
  <si>
    <t>ALR090201003</t>
  </si>
  <si>
    <t>Ms. Norma D. Young</t>
  </si>
  <si>
    <t>609 E Lincolnway</t>
  </si>
  <si>
    <t>61270-2948</t>
  </si>
  <si>
    <t>ALR190405023</t>
  </si>
  <si>
    <t>Ms. Mildred E. Angevine</t>
  </si>
  <si>
    <t>5001 Clinton Rd Apt 13B</t>
  </si>
  <si>
    <t>13492-2729</t>
  </si>
  <si>
    <t>XRC5A32P</t>
  </si>
  <si>
    <t>1331 W Early Ave</t>
  </si>
  <si>
    <t>60660-3424</t>
  </si>
  <si>
    <t>syversonjanet@yahoo.com</t>
  </si>
  <si>
    <t>ALA23030A25A</t>
  </si>
  <si>
    <t>Cyndee</t>
  </si>
  <si>
    <t>Mrs. Cyndee and Mr. Brian Anderson</t>
  </si>
  <si>
    <t>Cyndee and Brian</t>
  </si>
  <si>
    <t>3 Johnson Ave</t>
  </si>
  <si>
    <t>03079-2318</t>
  </si>
  <si>
    <t>npcarenewal542021@npca.org</t>
  </si>
  <si>
    <t>ALA18122XWSC</t>
  </si>
  <si>
    <t>icebear1@comcast.net</t>
  </si>
  <si>
    <t>Mrs. Idalee W. Leeper</t>
  </si>
  <si>
    <t>248 Piersol Rd</t>
  </si>
  <si>
    <t>15012-3702</t>
  </si>
  <si>
    <t>ATA140101001</t>
  </si>
  <si>
    <t>Mrs. Donna and Mr. Jonathan Julius</t>
  </si>
  <si>
    <t>Donna and Jonathan</t>
  </si>
  <si>
    <t>195 Outer Dr</t>
  </si>
  <si>
    <t>37830-5364</t>
  </si>
  <si>
    <t>juliusjfk@oro.doc.gov</t>
  </si>
  <si>
    <t>jsquared007@comcast.net</t>
  </si>
  <si>
    <t>ALA21010D24C</t>
  </si>
  <si>
    <t>djdolphins@comcast.net</t>
  </si>
  <si>
    <t>Lisa Ann</t>
  </si>
  <si>
    <t>Cizmar</t>
  </si>
  <si>
    <t>Mrs. Lisa Ann Cizmar</t>
  </si>
  <si>
    <t>16381 Jackson St</t>
  </si>
  <si>
    <t>46356-9345</t>
  </si>
  <si>
    <t>ramzicla@sbcglobal.net</t>
  </si>
  <si>
    <t>XNZLH1804</t>
  </si>
  <si>
    <t>Walter and Carole Kiekhaefer</t>
  </si>
  <si>
    <t>Walter and Carole</t>
  </si>
  <si>
    <t>4761 Rolling View Dr</t>
  </si>
  <si>
    <t>44333-1627</t>
  </si>
  <si>
    <t>wmkiekhaefer@frontier.com</t>
  </si>
  <si>
    <t>Bacher</t>
  </si>
  <si>
    <t>Mr. Joseph Bacher</t>
  </si>
  <si>
    <t>7810 Forest Ridge Dr NE</t>
  </si>
  <si>
    <t>Bremerton</t>
  </si>
  <si>
    <t>98311-3809</t>
  </si>
  <si>
    <t>bacherhaus@yahoo.com</t>
  </si>
  <si>
    <t>julieb1014@aol.com</t>
  </si>
  <si>
    <t>XCFC94</t>
  </si>
  <si>
    <t>Weinschreider</t>
  </si>
  <si>
    <t>Sigrid Weinschreider</t>
  </si>
  <si>
    <t>1 Fox Run Ln Apt 220</t>
  </si>
  <si>
    <t>Orchard Park</t>
  </si>
  <si>
    <t>14127-3168</t>
  </si>
  <si>
    <t>XNCLI3506</t>
  </si>
  <si>
    <t>ALA020701104</t>
  </si>
  <si>
    <t>1860 University Ave W Apt 230</t>
  </si>
  <si>
    <t>55104-3308</t>
  </si>
  <si>
    <t>XNCLI3206</t>
  </si>
  <si>
    <t>ALR240102C23</t>
  </si>
  <si>
    <t>Kristy</t>
  </si>
  <si>
    <t>Phil and Kristy Zive</t>
  </si>
  <si>
    <t>Phil and Kristy</t>
  </si>
  <si>
    <t>1485 Serendipity Ct</t>
  </si>
  <si>
    <t>89436-9328</t>
  </si>
  <si>
    <t>plzive@sbcglobal.net</t>
  </si>
  <si>
    <t>kristyzive@gmail.com</t>
  </si>
  <si>
    <t>XNCLI2704</t>
  </si>
  <si>
    <t>ALR240102C44</t>
  </si>
  <si>
    <t>ALR190202044</t>
  </si>
  <si>
    <t>Michael and Connie Spradlin</t>
  </si>
  <si>
    <t>Michael and Connie</t>
  </si>
  <si>
    <t>1111 Snowy Peak Ln</t>
  </si>
  <si>
    <t>37922-2502</t>
  </si>
  <si>
    <t>mcs5@earthlink.net</t>
  </si>
  <si>
    <t>XNCMI3206</t>
  </si>
  <si>
    <t>ALR233647EMC</t>
  </si>
  <si>
    <t>ALR2104D0DMC</t>
  </si>
  <si>
    <t>Carman</t>
  </si>
  <si>
    <t>Mr. Steve Carman</t>
  </si>
  <si>
    <t>7560 Emerald Greens Dr N</t>
  </si>
  <si>
    <t>Cordova</t>
  </si>
  <si>
    <t>38016-5791</t>
  </si>
  <si>
    <t>imascarman@comcast.net</t>
  </si>
  <si>
    <t>kelcie.hamm@gmail.com</t>
  </si>
  <si>
    <t>ALR13XX00WD1</t>
  </si>
  <si>
    <t>Rugoff</t>
  </si>
  <si>
    <t>37 Orlando Ave</t>
  </si>
  <si>
    <t>Ardsley</t>
  </si>
  <si>
    <t>10502-1619</t>
  </si>
  <si>
    <t>ruth_rugoff@yahoo.com</t>
  </si>
  <si>
    <t>ruthrugoff@runw.com</t>
  </si>
  <si>
    <t>XNCMI3703</t>
  </si>
  <si>
    <t>EEO200002001:FY20NYGALA</t>
  </si>
  <si>
    <t>Miss Kathy J. Maki</t>
  </si>
  <si>
    <t>1024 2nd St S</t>
  </si>
  <si>
    <t>55792-3453</t>
  </si>
  <si>
    <t>XNCMI2404</t>
  </si>
  <si>
    <t>ALR191111C40</t>
  </si>
  <si>
    <t>XRD3A11</t>
  </si>
  <si>
    <t>Brayton</t>
  </si>
  <si>
    <t>Ms. Patricia Brayton</t>
  </si>
  <si>
    <t>PO Box 1306</t>
  </si>
  <si>
    <t>98368-0014</t>
  </si>
  <si>
    <t>patriciabrayton@hotmail.com</t>
  </si>
  <si>
    <t>ALR240103C33</t>
  </si>
  <si>
    <t>ALR190806C33</t>
  </si>
  <si>
    <t>Wink</t>
  </si>
  <si>
    <t>53 Bolling Cir</t>
  </si>
  <si>
    <t>Palmyra</t>
  </si>
  <si>
    <t>22963-3252</t>
  </si>
  <si>
    <t>rwink@rudmanwink.com</t>
  </si>
  <si>
    <t>robinwink41@msn.com</t>
  </si>
  <si>
    <t>XNCLI1307</t>
  </si>
  <si>
    <t>Armeling</t>
  </si>
  <si>
    <t>Ms. Ethel J. Armeling</t>
  </si>
  <si>
    <t>1223 Eagles Point Ct</t>
  </si>
  <si>
    <t>48823-6327</t>
  </si>
  <si>
    <t>XNJGJ2905</t>
  </si>
  <si>
    <t>ADA210401002</t>
  </si>
  <si>
    <t>Solis</t>
  </si>
  <si>
    <t>Mr. Richard M. Solis</t>
  </si>
  <si>
    <t>2595 Ashurst Rd</t>
  </si>
  <si>
    <t>44118-4452</t>
  </si>
  <si>
    <t>rsolis@roadrunner.com</t>
  </si>
  <si>
    <t>cor4nkc@mac.com</t>
  </si>
  <si>
    <t>XNJMJ4902</t>
  </si>
  <si>
    <t>ALR21064LEMC</t>
  </si>
  <si>
    <t>ALR140601033</t>
  </si>
  <si>
    <t>Wurtz</t>
  </si>
  <si>
    <t>1901 Plymouth Rd # 208</t>
  </si>
  <si>
    <t>48105-2277</t>
  </si>
  <si>
    <t>lizwurtz@mediaone.net</t>
  </si>
  <si>
    <t>lizwurtz@aol.com</t>
  </si>
  <si>
    <t>XNJGJ1006</t>
  </si>
  <si>
    <t>ALR141104013</t>
  </si>
  <si>
    <t>ALR111104003</t>
  </si>
  <si>
    <t>Ms. Sandra and Mr. Edward Alto</t>
  </si>
  <si>
    <t>Sandra and Edward</t>
  </si>
  <si>
    <t>19012 90th Pl NE</t>
  </si>
  <si>
    <t>98011-2243</t>
  </si>
  <si>
    <t>salto30@hotmail.com</t>
  </si>
  <si>
    <t>ealto_1@hotmail.com</t>
  </si>
  <si>
    <t>XNGCA1904</t>
  </si>
  <si>
    <t>ALR221007C54</t>
  </si>
  <si>
    <t>ALR070501004</t>
  </si>
  <si>
    <t>salt030@hotmail.com</t>
  </si>
  <si>
    <t>ALA2311T0WSC</t>
  </si>
  <si>
    <t>Sundial</t>
  </si>
  <si>
    <t>Ms. Sharon Sundial and Mr. David Peacefull</t>
  </si>
  <si>
    <t>Sharon and David</t>
  </si>
  <si>
    <t>81 Crosslands Dr</t>
  </si>
  <si>
    <t>19348-2012</t>
  </si>
  <si>
    <t>peacefull201@verizon.net</t>
  </si>
  <si>
    <t>ssundial01@verizon.net</t>
  </si>
  <si>
    <t>ALR200701C33</t>
  </si>
  <si>
    <t>Olive</t>
  </si>
  <si>
    <t>Guild</t>
  </si>
  <si>
    <t>Ms. Guild</t>
  </si>
  <si>
    <t>14 S Dylanshire Circle</t>
  </si>
  <si>
    <t>Conroe</t>
  </si>
  <si>
    <t>77384-4551</t>
  </si>
  <si>
    <t>obguild@gvtc.com</t>
  </si>
  <si>
    <t>obgswitchgrass@aol.com</t>
  </si>
  <si>
    <t>XNJHJ4802</t>
  </si>
  <si>
    <t>ALA16080A25C</t>
  </si>
  <si>
    <t>ALL15070E45R</t>
  </si>
  <si>
    <t>Ms. Esther L. Wyatt</t>
  </si>
  <si>
    <t>213 W Logan St</t>
  </si>
  <si>
    <t>80751-2233</t>
  </si>
  <si>
    <t>XNJHJ7205</t>
  </si>
  <si>
    <t>ALR210411C30</t>
  </si>
  <si>
    <t>Alisa</t>
  </si>
  <si>
    <t>Dodge</t>
  </si>
  <si>
    <t>Ms. Alisa Dodge</t>
  </si>
  <si>
    <t>14174 Montecito Pl</t>
  </si>
  <si>
    <t>Victorville</t>
  </si>
  <si>
    <t>92395-5803</t>
  </si>
  <si>
    <t>dodges3@sonic.net</t>
  </si>
  <si>
    <t>alisaglbd@gmail.com</t>
  </si>
  <si>
    <t>XNJGJ2406</t>
  </si>
  <si>
    <t>XRI0B81SN</t>
  </si>
  <si>
    <t>Bernadette</t>
  </si>
  <si>
    <t>Ms. Bernadette Kennedy</t>
  </si>
  <si>
    <t>45 Saybrook St</t>
  </si>
  <si>
    <t>02135-2304</t>
  </si>
  <si>
    <t>ALL22080A5BM</t>
  </si>
  <si>
    <t>XRJ5A32E</t>
  </si>
  <si>
    <t>Mrs. Shirley Anne McCullough</t>
  </si>
  <si>
    <t>57 Woodland Rd</t>
  </si>
  <si>
    <t>28804-3823</t>
  </si>
  <si>
    <t>XNJHJ1101</t>
  </si>
  <si>
    <t>ALA180700001</t>
  </si>
  <si>
    <t>ANA030002008</t>
  </si>
  <si>
    <t>ctmcashe@aol.com</t>
  </si>
  <si>
    <t>Lannon</t>
  </si>
  <si>
    <t>Cecilia</t>
  </si>
  <si>
    <t>Richard and Cecilia Lannon</t>
  </si>
  <si>
    <t>Richard and Cecilia</t>
  </si>
  <si>
    <t>28 Corte Lodato</t>
  </si>
  <si>
    <t>Greenbrae</t>
  </si>
  <si>
    <t>94904-1225</t>
  </si>
  <si>
    <t>XNXAF26</t>
  </si>
  <si>
    <t>ALL15040A7BM</t>
  </si>
  <si>
    <t>Bruce and Barbara</t>
  </si>
  <si>
    <t>54 Massasoit Ave</t>
  </si>
  <si>
    <t>01089-1122</t>
  </si>
  <si>
    <t>bfrisbie2@comcast.net</t>
  </si>
  <si>
    <t>LaBrecque</t>
  </si>
  <si>
    <t>Gail LaBrecque</t>
  </si>
  <si>
    <t>44 Cathedral Cir</t>
  </si>
  <si>
    <t>Nashua</t>
  </si>
  <si>
    <t>03063-2732</t>
  </si>
  <si>
    <t>XNJNJ5106</t>
  </si>
  <si>
    <t>ALA23110B14A</t>
  </si>
  <si>
    <t>ALR221204C33</t>
  </si>
  <si>
    <t>24903 Moulton Pkwy Apt 465</t>
  </si>
  <si>
    <t>92653-6486</t>
  </si>
  <si>
    <t>chill2757@ca.rr.com</t>
  </si>
  <si>
    <t>chill2757@comcast.net</t>
  </si>
  <si>
    <t>XNJGJ5002</t>
  </si>
  <si>
    <t>ALA1803N2ADC</t>
  </si>
  <si>
    <t>ATA170801001</t>
  </si>
  <si>
    <t>Rathbun</t>
  </si>
  <si>
    <t>Mr. John Rathbun</t>
  </si>
  <si>
    <t>PO Box 101</t>
  </si>
  <si>
    <t>Indian Lake</t>
  </si>
  <si>
    <t>12842-0101</t>
  </si>
  <si>
    <t>XNPFK4106</t>
  </si>
  <si>
    <t>212 Lindy Ln Ave NW</t>
  </si>
  <si>
    <t>44720-2764</t>
  </si>
  <si>
    <t>XNPFK3204</t>
  </si>
  <si>
    <t>ALR231106C33</t>
  </si>
  <si>
    <t>ALR080702003</t>
  </si>
  <si>
    <t>Mr. David H. Jones</t>
  </si>
  <si>
    <t>560 Dayton Trl</t>
  </si>
  <si>
    <t>28692-9713</t>
  </si>
  <si>
    <t>djones3877@gmail.com</t>
  </si>
  <si>
    <t>edavies133@aol.com</t>
  </si>
  <si>
    <t>XNPHK4106</t>
  </si>
  <si>
    <t>ALR141002054</t>
  </si>
  <si>
    <t>Gasdick</t>
  </si>
  <si>
    <t>Maggie and Mark Gasdick</t>
  </si>
  <si>
    <t>Maggie and Mark</t>
  </si>
  <si>
    <t>22633 SE 47th Pl</t>
  </si>
  <si>
    <t>Sammamish</t>
  </si>
  <si>
    <t>98075-6807</t>
  </si>
  <si>
    <t>mgasdick@comcast.net</t>
  </si>
  <si>
    <t>magocana@aol.com</t>
  </si>
  <si>
    <t>XNJGJ3609</t>
  </si>
  <si>
    <t>ALR220415C40</t>
  </si>
  <si>
    <t>Ms. Valerie H. Langstaff</t>
  </si>
  <si>
    <t>813 Concord Pl</t>
  </si>
  <si>
    <t>19446-3101</t>
  </si>
  <si>
    <t>XNZLH1406</t>
  </si>
  <si>
    <t>ALR211202C44</t>
  </si>
  <si>
    <t>Darlene</t>
  </si>
  <si>
    <t>8900 W 38th Avenue</t>
  </si>
  <si>
    <t>80033-4204</t>
  </si>
  <si>
    <t>ALG100001001</t>
  </si>
  <si>
    <t>Nickerson</t>
  </si>
  <si>
    <t>Mr. James Nickerson III</t>
  </si>
  <si>
    <t>3236 Parkhill Dr</t>
  </si>
  <si>
    <t>45248-2840</t>
  </si>
  <si>
    <t>nickersonja1238@gmail.com</t>
  </si>
  <si>
    <t>jnan@fuse.net</t>
  </si>
  <si>
    <t>XMA92</t>
  </si>
  <si>
    <t>ALR240303C33</t>
  </si>
  <si>
    <t>XL6BBAC1B</t>
  </si>
  <si>
    <t>Anna M. Wier</t>
  </si>
  <si>
    <t>8700 Post Oak Ln</t>
  </si>
  <si>
    <t>Apt 207</t>
  </si>
  <si>
    <t>78217-5165</t>
  </si>
  <si>
    <t>jamwier@sbcglobal.net</t>
  </si>
  <si>
    <t>XNPHK3304</t>
  </si>
  <si>
    <t>ALA21070C43C</t>
  </si>
  <si>
    <t>er_kpdhakal@hotmail.com</t>
  </si>
  <si>
    <t>Reiprish</t>
  </si>
  <si>
    <t>Mr. Chris Reiprish</t>
  </si>
  <si>
    <t>1104 W Spruce St</t>
  </si>
  <si>
    <t>Coal Township</t>
  </si>
  <si>
    <t>17866-2214</t>
  </si>
  <si>
    <t>jreiprish@gmail.com</t>
  </si>
  <si>
    <t>XNWKL1605</t>
  </si>
  <si>
    <t>ALA23050B23R</t>
  </si>
  <si>
    <t>ALR181002023</t>
  </si>
  <si>
    <t>Ms. Denise A. Milton</t>
  </si>
  <si>
    <t>PO Box L</t>
  </si>
  <si>
    <t>Bagley</t>
  </si>
  <si>
    <t>56621-1011</t>
  </si>
  <si>
    <t>kuuky@hotmail.com</t>
  </si>
  <si>
    <t>XNWLL3602</t>
  </si>
  <si>
    <t>ALA091202015</t>
  </si>
  <si>
    <t>Beard</t>
  </si>
  <si>
    <t>Miss Janice E. Beard</t>
  </si>
  <si>
    <t>927 Sawyer Dr</t>
  </si>
  <si>
    <t>Murfreesboro</t>
  </si>
  <si>
    <t>37129-2359</t>
  </si>
  <si>
    <t>janice.beard@comcast.net</t>
  </si>
  <si>
    <t>XNWKL1902</t>
  </si>
  <si>
    <t>Miss Linda Morandin</t>
  </si>
  <si>
    <t>1827 Potosi Peak Ave</t>
  </si>
  <si>
    <t>North Las Vegas</t>
  </si>
  <si>
    <t>89031-2276</t>
  </si>
  <si>
    <t>XNWLL3802</t>
  </si>
  <si>
    <t>ALA24010D13A</t>
  </si>
  <si>
    <t>ALA23070A13A</t>
  </si>
  <si>
    <t>Lasky</t>
  </si>
  <si>
    <t>6348 Sunnyvale Rd</t>
  </si>
  <si>
    <t>24018-5621</t>
  </si>
  <si>
    <t>indylucy@outlook.com</t>
  </si>
  <si>
    <t>indylucy@cox.net</t>
  </si>
  <si>
    <t>ALL23110A9BM</t>
  </si>
  <si>
    <t>Wehrmeister</t>
  </si>
  <si>
    <t>Mr. Raymond Wehrmeister</t>
  </si>
  <si>
    <t>715 N Walden Dr</t>
  </si>
  <si>
    <t>Palatine</t>
  </si>
  <si>
    <t>60067-8648</t>
  </si>
  <si>
    <t>rayww@prodigy.net</t>
  </si>
  <si>
    <t>XNPHK4206</t>
  </si>
  <si>
    <t>ALA2403D5EMC</t>
  </si>
  <si>
    <t>ALR24J147ERC</t>
  </si>
  <si>
    <t>Mr. Gary A. Weidner</t>
  </si>
  <si>
    <t>37455 Darby Rd</t>
  </si>
  <si>
    <t>60481-9179</t>
  </si>
  <si>
    <t>ALR220705C33</t>
  </si>
  <si>
    <t>ALA21070B43C</t>
  </si>
  <si>
    <t>Irving</t>
  </si>
  <si>
    <t>Mr. Lloyd Irving</t>
  </si>
  <si>
    <t>622 Ashley Forest Dr</t>
  </si>
  <si>
    <t>Alpharetta</t>
  </si>
  <si>
    <t>30022-6134</t>
  </si>
  <si>
    <t>ALR050801103</t>
  </si>
  <si>
    <t>Seba</t>
  </si>
  <si>
    <t>Mr. Richard L. Seba</t>
  </si>
  <si>
    <t>515 Bullingham Ln</t>
  </si>
  <si>
    <t>75002-4458</t>
  </si>
  <si>
    <t>damionwalton@hotmail.com</t>
  </si>
  <si>
    <t>XNFH2804</t>
  </si>
  <si>
    <t>ALR210206C33</t>
  </si>
  <si>
    <t>ALR200203T33</t>
  </si>
  <si>
    <t>Levknecht</t>
  </si>
  <si>
    <t>Mrs. Laurie G. Levknecht</t>
  </si>
  <si>
    <t>18 Tall Tale Ln</t>
  </si>
  <si>
    <t>Jonesborough</t>
  </si>
  <si>
    <t>37659-3003</t>
  </si>
  <si>
    <t>kayaklaurie@msn.com</t>
  </si>
  <si>
    <t>XNFHA5207</t>
  </si>
  <si>
    <t>ALA24010D23A</t>
  </si>
  <si>
    <t>ALR090801003</t>
  </si>
  <si>
    <t>Meddleton</t>
  </si>
  <si>
    <t>812 Bourbon St</t>
  </si>
  <si>
    <t># 2</t>
  </si>
  <si>
    <t>70116-3107</t>
  </si>
  <si>
    <t>meddletonp@gmail.com</t>
  </si>
  <si>
    <t>pmeddleton@yahoo.com</t>
  </si>
  <si>
    <t>XNFJA3709</t>
  </si>
  <si>
    <t>ALR210401C33</t>
  </si>
  <si>
    <t>Mr. Richard L. Doran</t>
  </si>
  <si>
    <t>4510 Pimlico Pl</t>
  </si>
  <si>
    <t>45424-3791</t>
  </si>
  <si>
    <t>XNFHA2604</t>
  </si>
  <si>
    <t>Ms. Beth Hart</t>
  </si>
  <si>
    <t>4026 Parkway Cir</t>
  </si>
  <si>
    <t>66047-2000</t>
  </si>
  <si>
    <t>bjhartman311@yahoo.com</t>
  </si>
  <si>
    <t>XNFHA4612</t>
  </si>
  <si>
    <t>ALR231001C33</t>
  </si>
  <si>
    <t>ALR201002C33</t>
  </si>
  <si>
    <t>Unterleitner</t>
  </si>
  <si>
    <t>Dr. Fred and Mrs. Helen Unterleitner</t>
  </si>
  <si>
    <t>Fred and Helen</t>
  </si>
  <si>
    <t>72750 Country Club Dr Apt 175</t>
  </si>
  <si>
    <t>Rancho Mirage</t>
  </si>
  <si>
    <t>92270-4087</t>
  </si>
  <si>
    <t>fredcu@att.net</t>
  </si>
  <si>
    <t>fredunterleitner@gmail.com</t>
  </si>
  <si>
    <t>XNFHA2804</t>
  </si>
  <si>
    <t>ALA17070C55H</t>
  </si>
  <si>
    <t>Dickman</t>
  </si>
  <si>
    <t>Ms. Carol J. Dickman</t>
  </si>
  <si>
    <t>2341 N Chrysler Dr</t>
  </si>
  <si>
    <t>85716-2947</t>
  </si>
  <si>
    <t>cdtucson1@yahoo.com</t>
  </si>
  <si>
    <t>XNJGJ4702</t>
  </si>
  <si>
    <t>Carl and Anne Knoch</t>
  </si>
  <si>
    <t>Carl and Anne</t>
  </si>
  <si>
    <t>4 Mccartney Rd</t>
  </si>
  <si>
    <t>17349-9451</t>
  </si>
  <si>
    <t>carl.r.knoch@gmail.com</t>
  </si>
  <si>
    <t>aoknoch@usa.net</t>
  </si>
  <si>
    <t>XNFJA2604</t>
  </si>
  <si>
    <t>Mr. Steve Huppert</t>
  </si>
  <si>
    <t>440 Summit Ridge Rd</t>
  </si>
  <si>
    <t>24073-4446</t>
  </si>
  <si>
    <t>hupps440@aol.com</t>
  </si>
  <si>
    <t>XNFHA1301</t>
  </si>
  <si>
    <t>Ms. Lynn A. Siegel</t>
  </si>
  <si>
    <t>54 Buttercup Pl</t>
  </si>
  <si>
    <t>Maggie Valley</t>
  </si>
  <si>
    <t>28751-9204</t>
  </si>
  <si>
    <t>fllass1@comcast.net</t>
  </si>
  <si>
    <t>XNFJA4103</t>
  </si>
  <si>
    <t>ALA22020A22A</t>
  </si>
  <si>
    <t>Seeman</t>
  </si>
  <si>
    <t>190 SW Edgeway Drive #176</t>
  </si>
  <si>
    <t>Beaverton</t>
  </si>
  <si>
    <t>97006-3974</t>
  </si>
  <si>
    <t>pcseeman@gmail.com</t>
  </si>
  <si>
    <t>pseeman@uoregon.edu</t>
  </si>
  <si>
    <t>XNFHA4003</t>
  </si>
  <si>
    <t>XRF0A36CG</t>
  </si>
  <si>
    <t>Miss Carol A. Mattern</t>
  </si>
  <si>
    <t>4450 Kensington Rd Apt 8</t>
  </si>
  <si>
    <t>90066-6376</t>
  </si>
  <si>
    <t>matterncarol@yahoo.com</t>
  </si>
  <si>
    <t>mattern_carol@yahoo.com</t>
  </si>
  <si>
    <t>XNKRB4704</t>
  </si>
  <si>
    <t>ATR230101001</t>
  </si>
  <si>
    <t>Hibbard</t>
  </si>
  <si>
    <t>Mrs. Hibbard</t>
  </si>
  <si>
    <t>15518 Lakeshore Villa Drive</t>
  </si>
  <si>
    <t>33613-1319</t>
  </si>
  <si>
    <t>XNKSB4104</t>
  </si>
  <si>
    <t>ALA081202005</t>
  </si>
  <si>
    <t>Spry</t>
  </si>
  <si>
    <t>350 Bleecker St Apt 4J</t>
  </si>
  <si>
    <t>10014-2642</t>
  </si>
  <si>
    <t>cynthiaspry@gmail.com</t>
  </si>
  <si>
    <t>cynthia350@gmail.com</t>
  </si>
  <si>
    <t>XNKSB7514</t>
  </si>
  <si>
    <t>Mr. Paul and Ms. Sheila Mehanna</t>
  </si>
  <si>
    <t>Paul and Sheila</t>
  </si>
  <si>
    <t>64 Cardinal Ln</t>
  </si>
  <si>
    <t>11788-2121</t>
  </si>
  <si>
    <t>XNKSB6712</t>
  </si>
  <si>
    <t>ALL19040A82M</t>
  </si>
  <si>
    <t>XRC0X82CG</t>
  </si>
  <si>
    <t>mehannas@hotmail.com</t>
  </si>
  <si>
    <t>Teresa</t>
  </si>
  <si>
    <t>Mikkelsen</t>
  </si>
  <si>
    <t>Miss Teresa L. Mikkelsen</t>
  </si>
  <si>
    <t>PO Box 94</t>
  </si>
  <si>
    <t>57274-0094</t>
  </si>
  <si>
    <t>cmikkelson2003@gmail.com</t>
  </si>
  <si>
    <t>XNKRB7717</t>
  </si>
  <si>
    <t>Torrie</t>
  </si>
  <si>
    <t>Ms. Margaret C. Torrie</t>
  </si>
  <si>
    <t>624 Jewel Dr</t>
  </si>
  <si>
    <t>50010-8448</t>
  </si>
  <si>
    <t>mtorrie@iastate.edu</t>
  </si>
  <si>
    <t>XNKRB5505</t>
  </si>
  <si>
    <t>ALQXXXXQ0WSC</t>
  </si>
  <si>
    <t>Mr. George C. Grant</t>
  </si>
  <si>
    <t>179 Devon Pl</t>
  </si>
  <si>
    <t>23606-1603</t>
  </si>
  <si>
    <t>Geralynn</t>
  </si>
  <si>
    <t>Ms. Geralynn A. Greene</t>
  </si>
  <si>
    <t>1111 Magnolia Ave</t>
  </si>
  <si>
    <t>Copperas Cove</t>
  </si>
  <si>
    <t>76522-2620</t>
  </si>
  <si>
    <t>XNKSB4204</t>
  </si>
  <si>
    <t>ALR090407003</t>
  </si>
  <si>
    <t>Shive</t>
  </si>
  <si>
    <t>Sara T. Shive</t>
  </si>
  <si>
    <t>4395 York Hwy</t>
  </si>
  <si>
    <t>Rock Hill</t>
  </si>
  <si>
    <t>29732-8952</t>
  </si>
  <si>
    <t>XNKSB6612</t>
  </si>
  <si>
    <t>ALR170602044</t>
  </si>
  <si>
    <t>ALQ081000001</t>
  </si>
  <si>
    <t>12235 Borah Rd</t>
  </si>
  <si>
    <t>Fennimore</t>
  </si>
  <si>
    <t>53809-9625</t>
  </si>
  <si>
    <t>robertjmiller@tds.net</t>
  </si>
  <si>
    <t>rmiller@mwt.net</t>
  </si>
  <si>
    <t>XNKSB5106</t>
  </si>
  <si>
    <t>Priscilla McDougal</t>
  </si>
  <si>
    <t>200 W Washington Sq Apt 2304</t>
  </si>
  <si>
    <t>19106-3557</t>
  </si>
  <si>
    <t>pmcd200@icloud.com</t>
  </si>
  <si>
    <t>pmcd200@verizon.net</t>
  </si>
  <si>
    <t>XNKRB6807</t>
  </si>
  <si>
    <t>ADA210001M02:BIODIVERSITY</t>
  </si>
  <si>
    <t>Ms. Dorothy A. Moehr</t>
  </si>
  <si>
    <t>4617 N 125th St</t>
  </si>
  <si>
    <t>53007-1902</t>
  </si>
  <si>
    <t>dorothypets@yahoo.com</t>
  </si>
  <si>
    <t>dmoehr@milwpc.com</t>
  </si>
  <si>
    <t>XNKRB4204</t>
  </si>
  <si>
    <t>ALR050401003</t>
  </si>
  <si>
    <t>Hans</t>
  </si>
  <si>
    <t>Brian and Julie Hans</t>
  </si>
  <si>
    <t>Brian and Julie</t>
  </si>
  <si>
    <t>General Delivery</t>
  </si>
  <si>
    <t>4028 Darrow Drive</t>
  </si>
  <si>
    <t>brhjah1@gmail.com</t>
  </si>
  <si>
    <t>ALR090810001</t>
  </si>
  <si>
    <t>Ms. Theresa A. Perenich</t>
  </si>
  <si>
    <t>215 Riverhill Drive</t>
  </si>
  <si>
    <t>30606-4039</t>
  </si>
  <si>
    <t>tperenich@yahoo.com</t>
  </si>
  <si>
    <t>tperenic@msn.com</t>
  </si>
  <si>
    <t>Safford</t>
  </si>
  <si>
    <t>Mr. Edward L. Safford</t>
  </si>
  <si>
    <t>9698 Il Route 64</t>
  </si>
  <si>
    <t>60178-8540</t>
  </si>
  <si>
    <t>saffordliz@yahoo.com</t>
  </si>
  <si>
    <t>edsafford@gmail.com</t>
  </si>
  <si>
    <t>XNKSB6210</t>
  </si>
  <si>
    <t>Ms. Carol Patoka</t>
  </si>
  <si>
    <t>6 Mcgregor Ct</t>
  </si>
  <si>
    <t>63368-3785</t>
  </si>
  <si>
    <t>ALR230903C44</t>
  </si>
  <si>
    <t>800 Lake Port Blvd Apt L503</t>
  </si>
  <si>
    <t>34748-7658</t>
  </si>
  <si>
    <t>XNKSB1806</t>
  </si>
  <si>
    <t>ATR211001001</t>
  </si>
  <si>
    <t>Ms. Deloris E. Ouren</t>
  </si>
  <si>
    <t>3201 Old Highway 8</t>
  </si>
  <si>
    <t>55418-2558</t>
  </si>
  <si>
    <t>dede.oaren@gmail.com</t>
  </si>
  <si>
    <t>dede.ouren@gmail.com</t>
  </si>
  <si>
    <t>ALR230404C33</t>
  </si>
  <si>
    <t>Sadredin</t>
  </si>
  <si>
    <t>Moosavi</t>
  </si>
  <si>
    <t>Mr. Sadredin Moosavi</t>
  </si>
  <si>
    <t>726 Baker Ave</t>
  </si>
  <si>
    <t>56001-2503</t>
  </si>
  <si>
    <t>sadredin.moosavi@mnsu.edu</t>
  </si>
  <si>
    <t>ALR240501C44</t>
  </si>
  <si>
    <t>Babcock</t>
  </si>
  <si>
    <t>Ms. Susan H. Babcock</t>
  </si>
  <si>
    <t>629 S Grand Ave</t>
  </si>
  <si>
    <t>91105-2422</t>
  </si>
  <si>
    <t>sbabco@aol.com</t>
  </si>
  <si>
    <t>sbabo@aol.com</t>
  </si>
  <si>
    <t>XRJ3J12</t>
  </si>
  <si>
    <t>FFP190001001</t>
  </si>
  <si>
    <t>Bakker</t>
  </si>
  <si>
    <t>2577 Creek Rd</t>
  </si>
  <si>
    <t>14522-9502</t>
  </si>
  <si>
    <t>sallymb@twcny.rr.com</t>
  </si>
  <si>
    <t>XNKRB3904</t>
  </si>
  <si>
    <t>ALA220702999</t>
  </si>
  <si>
    <t>ALR061002004</t>
  </si>
  <si>
    <t>Alt</t>
  </si>
  <si>
    <t>Wayne and Margaret Alt</t>
  </si>
  <si>
    <t>Wayne and Margaret</t>
  </si>
  <si>
    <t>52 Northwood Dr</t>
  </si>
  <si>
    <t>14223-1043</t>
  </si>
  <si>
    <t>alt.peg@gmail.com</t>
  </si>
  <si>
    <t>wayne216alt@gmail.com</t>
  </si>
  <si>
    <t>XNCPC5201</t>
  </si>
  <si>
    <t>ALR210604C33</t>
  </si>
  <si>
    <t>Mrs. Valerie and Dr. Ira Engeltjes</t>
  </si>
  <si>
    <t>Valerie and Ira</t>
  </si>
  <si>
    <t>5935 Beaver Creek Dr</t>
  </si>
  <si>
    <t>49404-9675</t>
  </si>
  <si>
    <t>nannigote@gmail.com</t>
  </si>
  <si>
    <t>XNCPC2804</t>
  </si>
  <si>
    <t>ATR101001001</t>
  </si>
  <si>
    <t>annville73@gmail.com</t>
  </si>
  <si>
    <t>ATA1912TGEMC</t>
  </si>
  <si>
    <t>ALA2012N0WHP</t>
  </si>
  <si>
    <t>Ream</t>
  </si>
  <si>
    <t>Ms. Lynda S. Ream</t>
  </si>
  <si>
    <t>337 Red Oak Dr</t>
  </si>
  <si>
    <t>Fairborn</t>
  </si>
  <si>
    <t>45324-2783</t>
  </si>
  <si>
    <t>lream11141947@gmail.com</t>
  </si>
  <si>
    <t>XNCPC1902</t>
  </si>
  <si>
    <t>Shortt</t>
  </si>
  <si>
    <t>Ms. Sylvia Shortt</t>
  </si>
  <si>
    <t>2316 Legends Dr</t>
  </si>
  <si>
    <t>Watkinsville</t>
  </si>
  <si>
    <t>30677-2235</t>
  </si>
  <si>
    <t>shortt@mindspring.com</t>
  </si>
  <si>
    <t>sshortt@westga.edu</t>
  </si>
  <si>
    <t>XNCPC4202</t>
  </si>
  <si>
    <t>ATA20040A001</t>
  </si>
  <si>
    <t>Merrilyn</t>
  </si>
  <si>
    <t>Tomchaney</t>
  </si>
  <si>
    <t>Ms. Merrilyn Tomchaney</t>
  </si>
  <si>
    <t>190 Foxborough Pl</t>
  </si>
  <si>
    <t>Burr Ridge</t>
  </si>
  <si>
    <t>60527-6482</t>
  </si>
  <si>
    <t>Demich</t>
  </si>
  <si>
    <t>Mr. and Mrs. Thomas Demich</t>
  </si>
  <si>
    <t>3205 Goldfinch St</t>
  </si>
  <si>
    <t>92103-5413</t>
  </si>
  <si>
    <t>fdemic@chgsd.com</t>
  </si>
  <si>
    <t>XNCPC3101</t>
  </si>
  <si>
    <t>ALL24020B4BM</t>
  </si>
  <si>
    <t>Bilski</t>
  </si>
  <si>
    <t>Mrs. Patricia and Mr. Thomas G. Bilski</t>
  </si>
  <si>
    <t>Patricia and Thomas</t>
  </si>
  <si>
    <t>205 Alichanoska Trce</t>
  </si>
  <si>
    <t>Loudon</t>
  </si>
  <si>
    <t>37774-2832</t>
  </si>
  <si>
    <t>tompatbilski@msn.com</t>
  </si>
  <si>
    <t>XNCTC3004</t>
  </si>
  <si>
    <t>Mr. Nels H. Granholm</t>
  </si>
  <si>
    <t>216 Sundance Pass</t>
  </si>
  <si>
    <t>57006-3600</t>
  </si>
  <si>
    <t>nels_granholm@sdstate.edu</t>
  </si>
  <si>
    <t>nels.granhdm@sdstate.edu</t>
  </si>
  <si>
    <t>XNCPC3406</t>
  </si>
  <si>
    <t>ALA24010E13A</t>
  </si>
  <si>
    <t>ALA17120A14A</t>
  </si>
  <si>
    <t>Braun</t>
  </si>
  <si>
    <t>Carl and Annika Braun</t>
  </si>
  <si>
    <t>Carl and Annika</t>
  </si>
  <si>
    <t>733 Old Kensico Rd</t>
  </si>
  <si>
    <t>Thornwood</t>
  </si>
  <si>
    <t>10594-2306</t>
  </si>
  <si>
    <t>nbraun@chpnet.org</t>
  </si>
  <si>
    <t>ALR220102C33</t>
  </si>
  <si>
    <t>norma.braun@mountsinai.org</t>
  </si>
  <si>
    <t>Annika</t>
  </si>
  <si>
    <t>poetickitsune86@gmail.com</t>
  </si>
  <si>
    <t>Kathi and James Taveniere</t>
  </si>
  <si>
    <t>Kathi and James</t>
  </si>
  <si>
    <t>160 Linger Longer Dr</t>
  </si>
  <si>
    <t>Ellijay</t>
  </si>
  <si>
    <t>30540-7680</t>
  </si>
  <si>
    <t>ktaveniere@embarqmail.com</t>
  </si>
  <si>
    <t>kattav@embarqmail.com</t>
  </si>
  <si>
    <t>ALL22120A6BM</t>
  </si>
  <si>
    <t>ALR070101003</t>
  </si>
  <si>
    <t>wtaveniere@embarqmail.com</t>
  </si>
  <si>
    <t>Dr. &amp; Mrs.</t>
  </si>
  <si>
    <t>Kinlaw</t>
  </si>
  <si>
    <t>Dr. &amp; Mrs. James B. Kinlaw, Jr.</t>
  </si>
  <si>
    <t>607 W Kivett St</t>
  </si>
  <si>
    <t>Asheboro</t>
  </si>
  <si>
    <t>27203-6228</t>
  </si>
  <si>
    <t>jkinlaw@triad.rr.com</t>
  </si>
  <si>
    <t>XNKSB4504</t>
  </si>
  <si>
    <t>Pollock</t>
  </si>
  <si>
    <t>Ms. Pat Pollock</t>
  </si>
  <si>
    <t>100 Mary Reed Rd</t>
  </si>
  <si>
    <t>15005-9610</t>
  </si>
  <si>
    <t>ALR180101033</t>
  </si>
  <si>
    <t>Singley</t>
  </si>
  <si>
    <t>Robert and Patricia Singley</t>
  </si>
  <si>
    <t>Robert and Patricia</t>
  </si>
  <si>
    <t>54 Franklin Dr</t>
  </si>
  <si>
    <t>Belle Mead</t>
  </si>
  <si>
    <t>08502-4922</t>
  </si>
  <si>
    <t>singleyfamily@juno.com</t>
  </si>
  <si>
    <t>rsingley@patmedia.net</t>
  </si>
  <si>
    <t>XNCPC6017</t>
  </si>
  <si>
    <t>Wiesen</t>
  </si>
  <si>
    <t>Mr. Kenneth J. Wiesen</t>
  </si>
  <si>
    <t>670 Denards Ml SE</t>
  </si>
  <si>
    <t>30067-5147</t>
  </si>
  <si>
    <t>kwiesen@naibg.com</t>
  </si>
  <si>
    <t>ALA23080C26A</t>
  </si>
  <si>
    <t>Mr. Mark F. Grubb</t>
  </si>
  <si>
    <t>PO Box 1088</t>
  </si>
  <si>
    <t>36201 Shining Tree Ln</t>
  </si>
  <si>
    <t>44460-8088</t>
  </si>
  <si>
    <t>mgrubb@neo.rr.com</t>
  </si>
  <si>
    <t>ALR230606C44</t>
  </si>
  <si>
    <t>ALR080301003</t>
  </si>
  <si>
    <t>Nash</t>
  </si>
  <si>
    <t>Mr. John and Mrs. Shirley Nash</t>
  </si>
  <si>
    <t>John and Shirley</t>
  </si>
  <si>
    <t>PO Box 348</t>
  </si>
  <si>
    <t>1201 N Chester Springs Rd</t>
  </si>
  <si>
    <t>Chester Springs</t>
  </si>
  <si>
    <t>19425-0348</t>
  </si>
  <si>
    <t>johnenashpe@gmail.com</t>
  </si>
  <si>
    <t>jensvn@voicenet.com</t>
  </si>
  <si>
    <t>XNKRB2510</t>
  </si>
  <si>
    <t>ATR050504001</t>
  </si>
  <si>
    <t>shirley_nash@comcast.net</t>
  </si>
  <si>
    <t>Mr. Donald L. Reinking</t>
  </si>
  <si>
    <t>PO Box 190</t>
  </si>
  <si>
    <t>60546-0190</t>
  </si>
  <si>
    <t>XNCPC5112</t>
  </si>
  <si>
    <t>ALA19090A14A</t>
  </si>
  <si>
    <t>Witter</t>
  </si>
  <si>
    <t>Ms. Karina Brikates</t>
  </si>
  <si>
    <t>Ms. Brikates</t>
  </si>
  <si>
    <t>4831 E Eden Dr</t>
  </si>
  <si>
    <t>85331-2930</t>
  </si>
  <si>
    <t>XNCSC6017</t>
  </si>
  <si>
    <t>ALR081001004</t>
  </si>
  <si>
    <t>Haley</t>
  </si>
  <si>
    <t>Ms. Jeanne Haley</t>
  </si>
  <si>
    <t>17117 Mendota Dr</t>
  </si>
  <si>
    <t>Lockport</t>
  </si>
  <si>
    <t>60441-4580</t>
  </si>
  <si>
    <t>msjeanne59@yahoo.com</t>
  </si>
  <si>
    <t>jhalycomet@yahoo.com</t>
  </si>
  <si>
    <t>XNKSB5505</t>
  </si>
  <si>
    <t>Dr. Robert L. Lowry</t>
  </si>
  <si>
    <t>500 Lenoir Rd Apt 323</t>
  </si>
  <si>
    <t>Morganton</t>
  </si>
  <si>
    <t>28655-2669</t>
  </si>
  <si>
    <t>lowry.robert@gmail.com</t>
  </si>
  <si>
    <t>lowry.robert.novis@gmail.com</t>
  </si>
  <si>
    <t>XNEHD2804</t>
  </si>
  <si>
    <t>ALR170901033</t>
  </si>
  <si>
    <t>Mrs. Nancy Farmer</t>
  </si>
  <si>
    <t>10 Riverdale Ave</t>
  </si>
  <si>
    <t>32174-4826</t>
  </si>
  <si>
    <t>farmbest@aol.com</t>
  </si>
  <si>
    <t>ALR231104C33</t>
  </si>
  <si>
    <t>ALR190301023</t>
  </si>
  <si>
    <t>Motsko</t>
  </si>
  <si>
    <t>Mark and Phyllis</t>
  </si>
  <si>
    <t>6905 SW Joshua Ct</t>
  </si>
  <si>
    <t>Powell Butte</t>
  </si>
  <si>
    <t>mtmotsko@q.com</t>
  </si>
  <si>
    <t>mtmotsko@mtaonline.net</t>
  </si>
  <si>
    <t>XNEHD4706</t>
  </si>
  <si>
    <t>XRK6P44AA</t>
  </si>
  <si>
    <t>XVK3A11</t>
  </si>
  <si>
    <t>Holton</t>
  </si>
  <si>
    <t>Dr. Will Holton</t>
  </si>
  <si>
    <t>44 Allandale St Apt 317</t>
  </si>
  <si>
    <t>Jamaica Plain</t>
  </si>
  <si>
    <t>02130-3457</t>
  </si>
  <si>
    <t>danieltrentham31@gmail.com</t>
  </si>
  <si>
    <t>cybilla@aol.com</t>
  </si>
  <si>
    <t>XNEHD1401</t>
  </si>
  <si>
    <t>Dorothea</t>
  </si>
  <si>
    <t>McAlister</t>
  </si>
  <si>
    <t>Mrs. Dorothea McAlister</t>
  </si>
  <si>
    <t>14288 Sun Forest Dr</t>
  </si>
  <si>
    <t>Penn Valley</t>
  </si>
  <si>
    <t>95946-9130</t>
  </si>
  <si>
    <t>XNEHD4812</t>
  </si>
  <si>
    <t>ALL21040B43M</t>
  </si>
  <si>
    <t>Doug Parsons</t>
  </si>
  <si>
    <t>18 Eastview Pl NE</t>
  </si>
  <si>
    <t>52240-9140</t>
  </si>
  <si>
    <t>deparsons@tallgrassbiz.com</t>
  </si>
  <si>
    <t>XNEHD1807</t>
  </si>
  <si>
    <t>ALA19040C14A</t>
  </si>
  <si>
    <t>ALR180702EMC</t>
  </si>
  <si>
    <t>Ms. Lois J. Cohen</t>
  </si>
  <si>
    <t>Ms. Cohen</t>
  </si>
  <si>
    <t>103 Black Birch Trail</t>
  </si>
  <si>
    <t>01062-3611</t>
  </si>
  <si>
    <t>lois.cohen@worldnet.att.net</t>
  </si>
  <si>
    <t>XNEJD2107</t>
  </si>
  <si>
    <t>ALR141001033</t>
  </si>
  <si>
    <t>Mr. Ross L. Wayson</t>
  </si>
  <si>
    <t>409 Main St</t>
  </si>
  <si>
    <t>62379-1246</t>
  </si>
  <si>
    <t>ALA23080B31C</t>
  </si>
  <si>
    <t>ALR210502C33</t>
  </si>
  <si>
    <t>Atwood</t>
  </si>
  <si>
    <t>Deborah Lee</t>
  </si>
  <si>
    <t>Ronald Atwood</t>
  </si>
  <si>
    <t>931 Treetop Bluff Ln</t>
  </si>
  <si>
    <t>Bonners Ferry</t>
  </si>
  <si>
    <t>83805-6018</t>
  </si>
  <si>
    <t>atwoodrf@yahoo.com</t>
  </si>
  <si>
    <t>dratwood1@hotmail.com</t>
  </si>
  <si>
    <t>XNEJD1106</t>
  </si>
  <si>
    <t>ALR2305D2WST</t>
  </si>
  <si>
    <t>dratwood@gci.net</t>
  </si>
  <si>
    <t>Andrews</t>
  </si>
  <si>
    <t>Dave and Meg</t>
  </si>
  <si>
    <t>7148 Picnic Woods Rd</t>
  </si>
  <si>
    <t>Middletown</t>
  </si>
  <si>
    <t>21769-7114</t>
  </si>
  <si>
    <t>dhk3@netzero.com</t>
  </si>
  <si>
    <t>XNEJD4203</t>
  </si>
  <si>
    <t>ALA11100D14R</t>
  </si>
  <si>
    <t>Jeannine</t>
  </si>
  <si>
    <t>Florance</t>
  </si>
  <si>
    <t>Ms. Jeannine L. Florance</t>
  </si>
  <si>
    <t>600 Modelaire Dr</t>
  </si>
  <si>
    <t>La Grande</t>
  </si>
  <si>
    <t>97850-1254</t>
  </si>
  <si>
    <t>florancejl@gmail.com</t>
  </si>
  <si>
    <t>florancejd@gmail.com</t>
  </si>
  <si>
    <t>ALR22120DWSC</t>
  </si>
  <si>
    <t>Plummer</t>
  </si>
  <si>
    <t>Ms. Peggy A. Plummer</t>
  </si>
  <si>
    <t>9815 Littlerock Rd SW</t>
  </si>
  <si>
    <t>98512-9327</t>
  </si>
  <si>
    <t>papcat@aol.com</t>
  </si>
  <si>
    <t>XNLPE2404</t>
  </si>
  <si>
    <t>ALA2311D8FBC</t>
  </si>
  <si>
    <t>Mr. and Mrs. John M. Carr</t>
  </si>
  <si>
    <t>PO Box 33</t>
  </si>
  <si>
    <t>Paoli</t>
  </si>
  <si>
    <t>19301-0033</t>
  </si>
  <si>
    <t>jcarr77777@verizon.net</t>
  </si>
  <si>
    <t>XNLPE4409</t>
  </si>
  <si>
    <t>ALL18110CB2M</t>
  </si>
  <si>
    <t>Burch</t>
  </si>
  <si>
    <t>Mrs. Denise and Mr. James R. Burch</t>
  </si>
  <si>
    <t>Denise and James</t>
  </si>
  <si>
    <t>16 Hawk Ln</t>
  </si>
  <si>
    <t>Eureka Springs</t>
  </si>
  <si>
    <t>72631-4807</t>
  </si>
  <si>
    <t>jrburch@cox.net</t>
  </si>
  <si>
    <t>murtaburch@cox.net</t>
  </si>
  <si>
    <t>XNLSE3903</t>
  </si>
  <si>
    <t>ALA051101002</t>
  </si>
  <si>
    <t>martaburch@home.com</t>
  </si>
  <si>
    <t>Ms. Sharon L. Overman</t>
  </si>
  <si>
    <t>4712 Orcas Ct NE</t>
  </si>
  <si>
    <t>98516-6643</t>
  </si>
  <si>
    <t>soverman38@gmail.com</t>
  </si>
  <si>
    <t>XNLSE2904</t>
  </si>
  <si>
    <t>ALA23080D56H</t>
  </si>
  <si>
    <t>Bretz</t>
  </si>
  <si>
    <t>Mr. Karl E. Bretz</t>
  </si>
  <si>
    <t>PO Box 60052</t>
  </si>
  <si>
    <t>93160-0052</t>
  </si>
  <si>
    <t>karlskars@live.com</t>
  </si>
  <si>
    <t>XNEHD2904</t>
  </si>
  <si>
    <t>ALQ2307CA115</t>
  </si>
  <si>
    <t>Havlik</t>
  </si>
  <si>
    <t>Ms. Cynthia Havlik</t>
  </si>
  <si>
    <t>2702 George Ct</t>
  </si>
  <si>
    <t>60008-1713</t>
  </si>
  <si>
    <t>cmh062361@hotmail.com</t>
  </si>
  <si>
    <t>XNLPE5509</t>
  </si>
  <si>
    <t>ALR031201004</t>
  </si>
  <si>
    <t>Ms. Susanne and Mr. Raymond Borchardt</t>
  </si>
  <si>
    <t>Susanne and Raymond</t>
  </si>
  <si>
    <t>211 Waterside Cir</t>
  </si>
  <si>
    <t>33880-4735</t>
  </si>
  <si>
    <t>XNLSE5314</t>
  </si>
  <si>
    <t>ALR230703C54</t>
  </si>
  <si>
    <t>Sheldon</t>
  </si>
  <si>
    <t>Mendelson</t>
  </si>
  <si>
    <t>2361 Hot Oak Ridge St</t>
  </si>
  <si>
    <t>89134-5525</t>
  </si>
  <si>
    <t>sheldon702@yahoo.com</t>
  </si>
  <si>
    <t>XNLPE1905</t>
  </si>
  <si>
    <t>XMDAR95</t>
  </si>
  <si>
    <t>XL4EBADSB</t>
  </si>
  <si>
    <t>Mr. &amp; Mrs.</t>
  </si>
  <si>
    <t>Mr. &amp; Mrs. James Houston</t>
  </si>
  <si>
    <t>2241 Plumb 1st St Apt 5T</t>
  </si>
  <si>
    <t>11229-5756</t>
  </si>
  <si>
    <t>geminihorizon@outlook.com</t>
  </si>
  <si>
    <t>XNLPE2604</t>
  </si>
  <si>
    <t>ALR211206C44</t>
  </si>
  <si>
    <t>Mr. Robert A. Nilson</t>
  </si>
  <si>
    <t>1291 N River Rd</t>
  </si>
  <si>
    <t>06238-1261</t>
  </si>
  <si>
    <t>banilson@aol.com</t>
  </si>
  <si>
    <t>Zaborowski</t>
  </si>
  <si>
    <t>John and Diane Zaborowski</t>
  </si>
  <si>
    <t>John and Diane</t>
  </si>
  <si>
    <t>449 141st St</t>
  </si>
  <si>
    <t>Hammond</t>
  </si>
  <si>
    <t>46327-1246</t>
  </si>
  <si>
    <t>XNPC30</t>
  </si>
  <si>
    <t>ALR080401003</t>
  </si>
  <si>
    <t>dzaborowski@hammondsd.com</t>
  </si>
  <si>
    <t>Schulze</t>
  </si>
  <si>
    <t>Ms. Jean Schulze</t>
  </si>
  <si>
    <t>62811 Beers Rd</t>
  </si>
  <si>
    <t>Constantine</t>
  </si>
  <si>
    <t>49042-9646</t>
  </si>
  <si>
    <t>zrmrrs3a@gmail.com</t>
  </si>
  <si>
    <t>XNREFB117</t>
  </si>
  <si>
    <t>ALR230802C33</t>
  </si>
  <si>
    <t>XCFC98</t>
  </si>
  <si>
    <t>Steiner</t>
  </si>
  <si>
    <t>Ms. Phyllis Steiner</t>
  </si>
  <si>
    <t>1322 Pleasant View Dr</t>
  </si>
  <si>
    <t>Spring Grove</t>
  </si>
  <si>
    <t>17362-9205</t>
  </si>
  <si>
    <t>XNREF5902</t>
  </si>
  <si>
    <t>ALR230501C66</t>
  </si>
  <si>
    <t>Pfeil</t>
  </si>
  <si>
    <t>Mrs. Donna and Mr. Richard Pfeil</t>
  </si>
  <si>
    <t>Donna and Richard</t>
  </si>
  <si>
    <t>51707 Oakbrook Ct</t>
  </si>
  <si>
    <t>Granger</t>
  </si>
  <si>
    <t>46530-8731</t>
  </si>
  <si>
    <t>XJA92</t>
  </si>
  <si>
    <t>ALR220901C54</t>
  </si>
  <si>
    <t>donnapfeil@comcast.net</t>
  </si>
  <si>
    <t>8344 Hog Jowl Rd</t>
  </si>
  <si>
    <t>Chickamauga</t>
  </si>
  <si>
    <t>hill_bill@att.net</t>
  </si>
  <si>
    <t>bill.hill@piedmont.org</t>
  </si>
  <si>
    <t>XNREF5206</t>
  </si>
  <si>
    <t>ALA11020F13R</t>
  </si>
  <si>
    <t>Ms. Muriel Wemmer</t>
  </si>
  <si>
    <t>Po Box 161653</t>
  </si>
  <si>
    <t>95816-1653</t>
  </si>
  <si>
    <t>XNREF9705</t>
  </si>
  <si>
    <t>ALQ1208EB023</t>
  </si>
  <si>
    <t>kwemmer@earthlink.net</t>
  </si>
  <si>
    <t>Meek</t>
  </si>
  <si>
    <t>Diane Meek</t>
  </si>
  <si>
    <t>2731 S 55th St</t>
  </si>
  <si>
    <t>66106-3163</t>
  </si>
  <si>
    <t>meekjrdm@aol.com</t>
  </si>
  <si>
    <t>XNRJF1207</t>
  </si>
  <si>
    <t>ATR231201001</t>
  </si>
  <si>
    <t>ALA22100D5AD</t>
  </si>
  <si>
    <t>Ms. Laurel L. Triplett</t>
  </si>
  <si>
    <t>729 Van Buren Dr NW</t>
  </si>
  <si>
    <t>97304-3547</t>
  </si>
  <si>
    <t>catsandhorses@gmail.com</t>
  </si>
  <si>
    <t>leprocks@gmail.com</t>
  </si>
  <si>
    <t>XNREF8912</t>
  </si>
  <si>
    <t>ALA2212N1WSC</t>
  </si>
  <si>
    <t>ALR061203203</t>
  </si>
  <si>
    <t>Nason</t>
  </si>
  <si>
    <t>Laurel Nason</t>
  </si>
  <si>
    <t>PO Box 17136</t>
  </si>
  <si>
    <t>85731-7136</t>
  </si>
  <si>
    <t>laurelnason@yahoo.com</t>
  </si>
  <si>
    <t>XNRTFB117</t>
  </si>
  <si>
    <t>ALA16020B14A</t>
  </si>
  <si>
    <t>Cheri Clark</t>
  </si>
  <si>
    <t>5450 Ascot Dr</t>
  </si>
  <si>
    <t>94611-3022</t>
  </si>
  <si>
    <t>clc7806@aol.com</t>
  </si>
  <si>
    <t>ALR060602004</t>
  </si>
  <si>
    <t>Mrs. Linda and Mr. Gene Brown</t>
  </si>
  <si>
    <t>Linda and Gene</t>
  </si>
  <si>
    <t>223 Rosebud Ave</t>
  </si>
  <si>
    <t>50701-4141</t>
  </si>
  <si>
    <t>llbrown50@msn.com</t>
  </si>
  <si>
    <t>gebrown195@msn.com</t>
  </si>
  <si>
    <t>XNREF7805</t>
  </si>
  <si>
    <t>ALA2012D7EM1</t>
  </si>
  <si>
    <t>Ms. Cynthia Driscoll</t>
  </si>
  <si>
    <t>7 Congress St</t>
  </si>
  <si>
    <t>03766-1464</t>
  </si>
  <si>
    <t>cindydriscoll@myfairport.net</t>
  </si>
  <si>
    <t>XNRHF3305</t>
  </si>
  <si>
    <t>ALR210102C33</t>
  </si>
  <si>
    <t>Mr. Andy O'Keefe</t>
  </si>
  <si>
    <t>PO Box 724</t>
  </si>
  <si>
    <t>98260-0724</t>
  </si>
  <si>
    <t>XNRHF2005</t>
  </si>
  <si>
    <t>ALA21090664T</t>
  </si>
  <si>
    <t>ALR100601003</t>
  </si>
  <si>
    <t>Blewer</t>
  </si>
  <si>
    <t>Elizabeth Blewer</t>
  </si>
  <si>
    <t>PO Box 215</t>
  </si>
  <si>
    <t>Campti</t>
  </si>
  <si>
    <t>71411-0215</t>
  </si>
  <si>
    <t>XNCPC4102</t>
  </si>
  <si>
    <t>ALR210705C44</t>
  </si>
  <si>
    <t>ALR101001004</t>
  </si>
  <si>
    <t>Fenlason</t>
  </si>
  <si>
    <t>Robert and Diane Fenlason</t>
  </si>
  <si>
    <t>Robert and Diane</t>
  </si>
  <si>
    <t>15504 Ridgecrest Dr</t>
  </si>
  <si>
    <t>Montclair</t>
  </si>
  <si>
    <t>22025-1111</t>
  </si>
  <si>
    <t>elangomat3@gmail.com</t>
  </si>
  <si>
    <t>XPCH93</t>
  </si>
  <si>
    <t>ALL23110A4BM</t>
  </si>
  <si>
    <t>XVC9H62PD</t>
  </si>
  <si>
    <t>elangomat@hotmail.com</t>
  </si>
  <si>
    <t>bfenlason@gmail.com</t>
  </si>
  <si>
    <t>ALZ200001001</t>
  </si>
  <si>
    <t>ALR211101C44</t>
  </si>
  <si>
    <t>Chip</t>
  </si>
  <si>
    <t>Dennerlein</t>
  </si>
  <si>
    <t>Bucky</t>
  </si>
  <si>
    <t>Chip and Bucky Dennerlein</t>
  </si>
  <si>
    <t>Chip and Bucky</t>
  </si>
  <si>
    <t>1037 NW Lawnridge Ave</t>
  </si>
  <si>
    <t>Grants Pass</t>
  </si>
  <si>
    <t>97526-1105</t>
  </si>
  <si>
    <t>bdennerlein@mac.com</t>
  </si>
  <si>
    <t>cdennerlein@me.com</t>
  </si>
  <si>
    <t>XNMEM</t>
  </si>
  <si>
    <t>Bruno</t>
  </si>
  <si>
    <t>Di Cecco</t>
  </si>
  <si>
    <t>Mrs. Mary B. and Mr. Bruno Di Cecco</t>
  </si>
  <si>
    <t>Mary and Bruno</t>
  </si>
  <si>
    <t>38 Rossini Rd</t>
  </si>
  <si>
    <t>Westerly</t>
  </si>
  <si>
    <t>02891-4750</t>
  </si>
  <si>
    <t>dicecco@riconnect.com</t>
  </si>
  <si>
    <t>XNREF7015</t>
  </si>
  <si>
    <t>ALR230203C33</t>
  </si>
  <si>
    <t>ALR180910033</t>
  </si>
  <si>
    <t>mrbdicecco1960@gmail.com</t>
  </si>
  <si>
    <t>Cindi L. Miles</t>
  </si>
  <si>
    <t>9101 W College Ave</t>
  </si>
  <si>
    <t>73044-8983</t>
  </si>
  <si>
    <t>rollingm.cm@gmail.com</t>
  </si>
  <si>
    <t>ALA2103D3EMC</t>
  </si>
  <si>
    <t>Voss</t>
  </si>
  <si>
    <t>Ms. Wendy Voss</t>
  </si>
  <si>
    <t>9430 Live Oak Pl Apt 201</t>
  </si>
  <si>
    <t>Davie</t>
  </si>
  <si>
    <t>33324-4778</t>
  </si>
  <si>
    <t>XNRJF4104</t>
  </si>
  <si>
    <t>ALR201011C40</t>
  </si>
  <si>
    <t>ALR190305044</t>
  </si>
  <si>
    <t>Glenda</t>
  </si>
  <si>
    <t>Duffus</t>
  </si>
  <si>
    <t>Mrs. Glenda R. Duffus</t>
  </si>
  <si>
    <t>2007 E 12th St S</t>
  </si>
  <si>
    <t>Newton</t>
  </si>
  <si>
    <t>50208-4917</t>
  </si>
  <si>
    <t>mgduffus@outlook.com</t>
  </si>
  <si>
    <t>mgduffus@pcpartner.net</t>
  </si>
  <si>
    <t>XNATG1704</t>
  </si>
  <si>
    <t>ALR201201C33</t>
  </si>
  <si>
    <t>Patricia Hayes</t>
  </si>
  <si>
    <t>2579 N 83rd St</t>
  </si>
  <si>
    <t>53213-1026</t>
  </si>
  <si>
    <t>Van Evera</t>
  </si>
  <si>
    <t>Patricia M. Van Evera</t>
  </si>
  <si>
    <t>20055 Highway 62</t>
  </si>
  <si>
    <t>#17</t>
  </si>
  <si>
    <t>Shady Cove</t>
  </si>
  <si>
    <t>97539-9756</t>
  </si>
  <si>
    <t>ontherogue@embarqmail.com</t>
  </si>
  <si>
    <t>ontherogue@aol.com</t>
  </si>
  <si>
    <t>XNREF3904</t>
  </si>
  <si>
    <t>XA69BABAL</t>
  </si>
  <si>
    <t>Mills</t>
  </si>
  <si>
    <t>10450 Lottsford Rd #1009</t>
  </si>
  <si>
    <t>Bowie</t>
  </si>
  <si>
    <t>20721-2745</t>
  </si>
  <si>
    <t>XNAXG2203</t>
  </si>
  <si>
    <t>ALB120001001</t>
  </si>
  <si>
    <t>Nickel</t>
  </si>
  <si>
    <t>Mrs. Chris S. Nickel</t>
  </si>
  <si>
    <t>141 Old Springway Ln</t>
  </si>
  <si>
    <t>Troutman</t>
  </si>
  <si>
    <t>28166-8671</t>
  </si>
  <si>
    <t>jaimediego@aol.com</t>
  </si>
  <si>
    <t>ALL19110B63M</t>
  </si>
  <si>
    <t>XRG6B31L</t>
  </si>
  <si>
    <t>Heath</t>
  </si>
  <si>
    <t>Bill and Nancy</t>
  </si>
  <si>
    <t>2565 Old Rosebud Ln</t>
  </si>
  <si>
    <t>Westfield</t>
  </si>
  <si>
    <t>46074-7476</t>
  </si>
  <si>
    <t>heath1951@att.net</t>
  </si>
  <si>
    <t>heath1951@earthlink.net</t>
  </si>
  <si>
    <t>ALR240302C44</t>
  </si>
  <si>
    <t>ALR040303003</t>
  </si>
  <si>
    <t>Mrs. Judy Lemon</t>
  </si>
  <si>
    <t>67 Hamilton</t>
  </si>
  <si>
    <t>49053-9526</t>
  </si>
  <si>
    <t>ALR220101C33</t>
  </si>
  <si>
    <t>Karen Anderson</t>
  </si>
  <si>
    <t>28372 Big Basin Way</t>
  </si>
  <si>
    <t>Boulder Creek</t>
  </si>
  <si>
    <t>95006-9007</t>
  </si>
  <si>
    <t>thesydneybean@gmail.com</t>
  </si>
  <si>
    <t>karen.becker@ventura.org</t>
  </si>
  <si>
    <t>Mr. Don Kemmann</t>
  </si>
  <si>
    <t>53 Commercial St</t>
  </si>
  <si>
    <t>18431-1863</t>
  </si>
  <si>
    <t>ALL17030D42M</t>
  </si>
  <si>
    <t>Place</t>
  </si>
  <si>
    <t>201 Woodbine Road</t>
  </si>
  <si>
    <t>C/o Mr. Scott Place</t>
  </si>
  <si>
    <t>37620-4952</t>
  </si>
  <si>
    <t>XNTHH4412</t>
  </si>
  <si>
    <t>ALA11090B33A</t>
  </si>
  <si>
    <t>Beorn</t>
  </si>
  <si>
    <t>1700 Calais Trl</t>
  </si>
  <si>
    <t>Calais Farm</t>
  </si>
  <si>
    <t>Powhatan</t>
  </si>
  <si>
    <t>23139-4522</t>
  </si>
  <si>
    <t>XNTKH1507</t>
  </si>
  <si>
    <t>ALR211001C44</t>
  </si>
  <si>
    <t>ALR170201044</t>
  </si>
  <si>
    <t>1570 S 68th Ave E</t>
  </si>
  <si>
    <t>vickie.coggburn@cox.net</t>
  </si>
  <si>
    <t>vwortham@cwcinteriors.com</t>
  </si>
  <si>
    <t>XNTHH2004</t>
  </si>
  <si>
    <t>Lerman</t>
  </si>
  <si>
    <t>Elliott and Ellen Lerman</t>
  </si>
  <si>
    <t>Elliott and Ellen</t>
  </si>
  <si>
    <t>4048 E Williams Dr</t>
  </si>
  <si>
    <t>85050-8700</t>
  </si>
  <si>
    <t>lermanell@aol.com</t>
  </si>
  <si>
    <t>XNTJH4412</t>
  </si>
  <si>
    <t>ALA22080B43R</t>
  </si>
  <si>
    <t>ALA11040B13A</t>
  </si>
  <si>
    <t>Mr. Glenn C. Vasiloff</t>
  </si>
  <si>
    <t>307 Fernwood Dr</t>
  </si>
  <si>
    <t>44012-1351</t>
  </si>
  <si>
    <t>gsvasiloff@oh.rr.com</t>
  </si>
  <si>
    <t>vasiloff@mediaone.net</t>
  </si>
  <si>
    <t>ALR2206D0DMC</t>
  </si>
  <si>
    <t>Carsillo-Behe</t>
  </si>
  <si>
    <t>Mrs. Louise Carsillo-Behe</t>
  </si>
  <si>
    <t>201 Stanford Rd</t>
  </si>
  <si>
    <t>Fairless Hills</t>
  </si>
  <si>
    <t>19030-3201</t>
  </si>
  <si>
    <t>louiseb201@msn.com</t>
  </si>
  <si>
    <t>x_louiseb201@msn.com</t>
  </si>
  <si>
    <t>XNTLH2104</t>
  </si>
  <si>
    <t>ALA23040C13A</t>
  </si>
  <si>
    <t>ALR090402003</t>
  </si>
  <si>
    <t>Halperin</t>
  </si>
  <si>
    <t>Ernest and Diane Halperin</t>
  </si>
  <si>
    <t>Ernest and Diane</t>
  </si>
  <si>
    <t>7 The Court Of North Cor</t>
  </si>
  <si>
    <t>60062-3212</t>
  </si>
  <si>
    <t>ernie_who@hotmail.com</t>
  </si>
  <si>
    <t>erniehh@comcast.net</t>
  </si>
  <si>
    <t>ALA16080W001</t>
  </si>
  <si>
    <t>Mary K. Olsen</t>
  </si>
  <si>
    <t>PO Box 533</t>
  </si>
  <si>
    <t>84627-0533</t>
  </si>
  <si>
    <t>XNTHH3906</t>
  </si>
  <si>
    <t>ALA24020A23C</t>
  </si>
  <si>
    <t>719 Finnbar Dr</t>
  </si>
  <si>
    <t>27519-7091</t>
  </si>
  <si>
    <t>judynormsmith@gmail.com</t>
  </si>
  <si>
    <t>XNTHH1101</t>
  </si>
  <si>
    <t>ALA1603D1DMC</t>
  </si>
  <si>
    <t>Mr. Jeannette F. Goetz</t>
  </si>
  <si>
    <t>344 Connemara Dr</t>
  </si>
  <si>
    <t>77382-1816</t>
  </si>
  <si>
    <t>jeanettegoetz0@gmail.com</t>
  </si>
  <si>
    <t>jeanettegoetz@gmail.com</t>
  </si>
  <si>
    <t>XNTHH2104</t>
  </si>
  <si>
    <t>ALL22110B5BM</t>
  </si>
  <si>
    <t>ALQ1912N6EMB</t>
  </si>
  <si>
    <t>Ms. Dawn E. Ishida</t>
  </si>
  <si>
    <t>16445 Winding Creek Rd</t>
  </si>
  <si>
    <t>60586-9613</t>
  </si>
  <si>
    <t>kimaicle@gmail.com</t>
  </si>
  <si>
    <t>Mrs. Joan M. Tenedine</t>
  </si>
  <si>
    <t>236 Village Blvd Apt 1206</t>
  </si>
  <si>
    <t>33469-2347</t>
  </si>
  <si>
    <t>jt2139@aol.com</t>
  </si>
  <si>
    <t>Gullo</t>
  </si>
  <si>
    <t>Mr. Frank A. Gullo</t>
  </si>
  <si>
    <t>1602 Crossbill Trl</t>
  </si>
  <si>
    <t>Hanahan</t>
  </si>
  <si>
    <t>29410-8283</t>
  </si>
  <si>
    <t>gullofrank@yahoo.com</t>
  </si>
  <si>
    <t>gullofranw@yahoo.com</t>
  </si>
  <si>
    <t>ALA23070A24A</t>
  </si>
  <si>
    <t>ALA100302015</t>
  </si>
  <si>
    <t>Tom Paulson</t>
  </si>
  <si>
    <t>4216 Sheridan Ave S</t>
  </si>
  <si>
    <t>55410-1617</t>
  </si>
  <si>
    <t>tpaul93811@aol.com</t>
  </si>
  <si>
    <t>XNRHI2806</t>
  </si>
  <si>
    <t>Eichhorn</t>
  </si>
  <si>
    <t>19 Southgate Dr</t>
  </si>
  <si>
    <t>The Woodlands</t>
  </si>
  <si>
    <t>77380-2655</t>
  </si>
  <si>
    <t>XNRKI2402</t>
  </si>
  <si>
    <t>PPW150001001</t>
  </si>
  <si>
    <t>Callecod</t>
  </si>
  <si>
    <t>Mr. Robert Callecod</t>
  </si>
  <si>
    <t>1234 Brownwood Dr</t>
  </si>
  <si>
    <t>Bowling Green</t>
  </si>
  <si>
    <t>43402-3503</t>
  </si>
  <si>
    <t>jtdude62@yahoo.com</t>
  </si>
  <si>
    <t>bobandjoan@woh.rr.com</t>
  </si>
  <si>
    <t>ALS140901WS3</t>
  </si>
  <si>
    <t>ALR090215002</t>
  </si>
  <si>
    <t>Ms. Ann W. Harman</t>
  </si>
  <si>
    <t>1214 N Poes Rd</t>
  </si>
  <si>
    <t>Flint Hill</t>
  </si>
  <si>
    <t>22627-1700</t>
  </si>
  <si>
    <t>ahworkerb@aol.com</t>
  </si>
  <si>
    <t>XNRHI1904</t>
  </si>
  <si>
    <t>ALA200100001</t>
  </si>
  <si>
    <t>Noffsinger</t>
  </si>
  <si>
    <t>Ms. Sharon Noffsinger</t>
  </si>
  <si>
    <t>3535 Burbank Dr</t>
  </si>
  <si>
    <t>48105-1546</t>
  </si>
  <si>
    <t>noff@umich.edu</t>
  </si>
  <si>
    <t>snoffsinger1@gmail.com</t>
  </si>
  <si>
    <t>XNRJI2305</t>
  </si>
  <si>
    <t>ALA20040C55H</t>
  </si>
  <si>
    <t>Mrs. Karen A. Weston</t>
  </si>
  <si>
    <t>9601 N Kyle Dr</t>
  </si>
  <si>
    <t>Whitewater</t>
  </si>
  <si>
    <t>53190-3255</t>
  </si>
  <si>
    <t>westonka21@gmail.com</t>
  </si>
  <si>
    <t>westonk@uww.edu</t>
  </si>
  <si>
    <t>XNRHI1704</t>
  </si>
  <si>
    <t>Nancy and Craig</t>
  </si>
  <si>
    <t>10541 Rabbit Dr</t>
  </si>
  <si>
    <t>New Port Richey</t>
  </si>
  <si>
    <t>34654-3523</t>
  </si>
  <si>
    <t>nancy_hackett@hotmail.com</t>
  </si>
  <si>
    <t>craig_hackett@hotmail.com</t>
  </si>
  <si>
    <t>XNENJ6105</t>
  </si>
  <si>
    <t>ALR230103C54</t>
  </si>
  <si>
    <t>Jody</t>
  </si>
  <si>
    <t>Segalla</t>
  </si>
  <si>
    <t>Tony</t>
  </si>
  <si>
    <t>Jody and Tony Segalla</t>
  </si>
  <si>
    <t>Jody and Tony</t>
  </si>
  <si>
    <t>1925 E Hopi Ln</t>
  </si>
  <si>
    <t>Mount Prospect</t>
  </si>
  <si>
    <t>60056-1919</t>
  </si>
  <si>
    <t>jsegalla@dkmlaw.com</t>
  </si>
  <si>
    <t>XNERJ2304</t>
  </si>
  <si>
    <t>C. E.</t>
  </si>
  <si>
    <t>Mrs. C. E. Jacobs</t>
  </si>
  <si>
    <t>P.O. Box 1269</t>
  </si>
  <si>
    <t>95967-1269</t>
  </si>
  <si>
    <t>XNEPJ6217</t>
  </si>
  <si>
    <t>PPW110001001</t>
  </si>
  <si>
    <t>PPW100001001</t>
  </si>
  <si>
    <t>Lieutenant Colonel</t>
  </si>
  <si>
    <t>USA Ret.</t>
  </si>
  <si>
    <t>William and Janet Hassell</t>
  </si>
  <si>
    <t>William and Janet</t>
  </si>
  <si>
    <t>2666 Summer Hill Ct</t>
  </si>
  <si>
    <t>81506-4703</t>
  </si>
  <si>
    <t>hassells@prtcnet.com</t>
  </si>
  <si>
    <t>XNESJ3403</t>
  </si>
  <si>
    <t>ALR200601C33</t>
  </si>
  <si>
    <t>XRA1A81CG</t>
  </si>
  <si>
    <t>Schlosser</t>
  </si>
  <si>
    <t>Ms. Janet K. Schlosser</t>
  </si>
  <si>
    <t>8601 Roaming Ridge Way Unit 401</t>
  </si>
  <si>
    <t>Odenton</t>
  </si>
  <si>
    <t>21113-3921</t>
  </si>
  <si>
    <t>ricki.t.perry@gmail.com</t>
  </si>
  <si>
    <t>sunshinejps@comcast.net</t>
  </si>
  <si>
    <t>XNRKI1904</t>
  </si>
  <si>
    <t>ALA10050B13A</t>
  </si>
  <si>
    <t>Beimers</t>
  </si>
  <si>
    <t>3799 S Banana River Blvd Apt 602</t>
  </si>
  <si>
    <t>Cocoa Beach</t>
  </si>
  <si>
    <t>32931-4115</t>
  </si>
  <si>
    <t>williamjohnson443@gmail.com</t>
  </si>
  <si>
    <t>XNEPJ3209</t>
  </si>
  <si>
    <t>ALA231006999</t>
  </si>
  <si>
    <t>ALA17030A55H</t>
  </si>
  <si>
    <t>Mr. Doug Kiovsky</t>
  </si>
  <si>
    <t>3 Michael Ln</t>
  </si>
  <si>
    <t>08505-3215</t>
  </si>
  <si>
    <t>XMA93NS</t>
  </si>
  <si>
    <t>Mr. Robert G. Gabreski</t>
  </si>
  <si>
    <t>2653 NE Fern Glen Rd</t>
  </si>
  <si>
    <t>98370-7921</t>
  </si>
  <si>
    <t>XNGPK6501</t>
  </si>
  <si>
    <t>Knauff</t>
  </si>
  <si>
    <t>Lynn Knauff</t>
  </si>
  <si>
    <t>205 Deepwood Rd</t>
  </si>
  <si>
    <t>27514-3205</t>
  </si>
  <si>
    <t>XNGPK4303</t>
  </si>
  <si>
    <t>ALR220603C54</t>
  </si>
  <si>
    <t>Nick</t>
  </si>
  <si>
    <t>Labedz</t>
  </si>
  <si>
    <t>35191 Camino Capistrano</t>
  </si>
  <si>
    <t>Capistrano Beach</t>
  </si>
  <si>
    <t>92624-1727</t>
  </si>
  <si>
    <t>nlabedz@cox.net</t>
  </si>
  <si>
    <t>tobytwo@aol.com</t>
  </si>
  <si>
    <t>XNESJ2110</t>
  </si>
  <si>
    <t>Alber</t>
  </si>
  <si>
    <t>3300 Darby Rd #5111</t>
  </si>
  <si>
    <t>19041-1072</t>
  </si>
  <si>
    <t>XNGMK7017</t>
  </si>
  <si>
    <t>Ms. Deborah Burford-Pentz</t>
  </si>
  <si>
    <t>2007 Craig Dr</t>
  </si>
  <si>
    <t>44429-9650</t>
  </si>
  <si>
    <t>dpentz-1@netzero.net</t>
  </si>
  <si>
    <t>dpentz_1@netzero.net</t>
  </si>
  <si>
    <t>XNGYK3706</t>
  </si>
  <si>
    <t>Mr. David L. Driver</t>
  </si>
  <si>
    <t>6255 Navarette Ave</t>
  </si>
  <si>
    <t>93422-3714</t>
  </si>
  <si>
    <t>d08david@aol.com</t>
  </si>
  <si>
    <t>d07david@aol.com</t>
  </si>
  <si>
    <t>XNGLK2904</t>
  </si>
  <si>
    <t>ALA20090A12A</t>
  </si>
  <si>
    <t>Rolle</t>
  </si>
  <si>
    <t>Mrs. Susan E. Rolle</t>
  </si>
  <si>
    <t>105 Willow Oak Way</t>
  </si>
  <si>
    <t>Palm Coast</t>
  </si>
  <si>
    <t>32137-6930</t>
  </si>
  <si>
    <t>rolle.susan43@yahoo.com</t>
  </si>
  <si>
    <t>serolle@pressenter.com</t>
  </si>
  <si>
    <t>XNGZK3104</t>
  </si>
  <si>
    <t>ALR211001C33</t>
  </si>
  <si>
    <t>ALR151009033</t>
  </si>
  <si>
    <t>Kredens</t>
  </si>
  <si>
    <t>Ms. Carolyn M. Kredens</t>
  </si>
  <si>
    <t>18 Fox Ln</t>
  </si>
  <si>
    <t>Palos Park</t>
  </si>
  <si>
    <t>60464-1520</t>
  </si>
  <si>
    <t>XNGPK2605</t>
  </si>
  <si>
    <t>ALR220601T33</t>
  </si>
  <si>
    <t>Hillson</t>
  </si>
  <si>
    <t>Mrs. Glenda and Mr. Thomas Hillson</t>
  </si>
  <si>
    <t>Glenda and Thomas</t>
  </si>
  <si>
    <t>5867 Alta Vista Rd</t>
  </si>
  <si>
    <t>50010-9220</t>
  </si>
  <si>
    <t>ghillson@hach.com</t>
  </si>
  <si>
    <t>glenda@hillson.org</t>
  </si>
  <si>
    <t>XA6HAACA</t>
  </si>
  <si>
    <t>tdhillson@gmail.com</t>
  </si>
  <si>
    <t>Havers</t>
  </si>
  <si>
    <t>Michael and Kathleen Havers</t>
  </si>
  <si>
    <t>Michael and Kathleen</t>
  </si>
  <si>
    <t>13320 Seabeck Hwy NW</t>
  </si>
  <si>
    <t>Seabeck</t>
  </si>
  <si>
    <t>98380-9576</t>
  </si>
  <si>
    <t>haversmk@gmail.com</t>
  </si>
  <si>
    <t>mkhavers@frontier.com</t>
  </si>
  <si>
    <t>XNGWK4303</t>
  </si>
  <si>
    <t>Georgeson</t>
  </si>
  <si>
    <t>Lisa J. Georgeson</t>
  </si>
  <si>
    <t>3125 Palo Verde Ave</t>
  </si>
  <si>
    <t>90808-4056</t>
  </si>
  <si>
    <t>ljgeorgeson@gmail.com</t>
  </si>
  <si>
    <t>ALR170102033</t>
  </si>
  <si>
    <t>Ms. Sally Jarvis</t>
  </si>
  <si>
    <t>214 Brookmead Rd</t>
  </si>
  <si>
    <t>19087-1333</t>
  </si>
  <si>
    <t>cjarvis@hotmail.com</t>
  </si>
  <si>
    <t>XNGPK6809</t>
  </si>
  <si>
    <t>XRG8B51J</t>
  </si>
  <si>
    <t>James and Linda Henderson</t>
  </si>
  <si>
    <t>James and Linda</t>
  </si>
  <si>
    <t>Arroyo Seco</t>
  </si>
  <si>
    <t>87514-0306</t>
  </si>
  <si>
    <t>XNGMK3404</t>
  </si>
  <si>
    <t>XRB9A61L</t>
  </si>
  <si>
    <t>Scott M. Kaufman</t>
  </si>
  <si>
    <t>33 Bear Claw Trl</t>
  </si>
  <si>
    <t>Tijeras</t>
  </si>
  <si>
    <t>87059-7604</t>
  </si>
  <si>
    <t>XNETJ2304</t>
  </si>
  <si>
    <t>ALR211207C44</t>
  </si>
  <si>
    <t>Lacroix</t>
  </si>
  <si>
    <t>Mrs. Catherine G. Lacroix</t>
  </si>
  <si>
    <t>2444 Lakeshore Dr</t>
  </si>
  <si>
    <t>Grapevine</t>
  </si>
  <si>
    <t>76051-4556</t>
  </si>
  <si>
    <t>clcquality14@gmail.com</t>
  </si>
  <si>
    <t>XNESJ4005</t>
  </si>
  <si>
    <t>ALA190001001</t>
  </si>
  <si>
    <t>Mrs. Milla J. Findley</t>
  </si>
  <si>
    <t>510 Meadow Ridge Dr</t>
  </si>
  <si>
    <t>75104-1977</t>
  </si>
  <si>
    <t>jackfindley@msn.com</t>
  </si>
  <si>
    <t>jackfindly@msn.com</t>
  </si>
  <si>
    <t>XNHCL1404</t>
  </si>
  <si>
    <t>ALR211205C54</t>
  </si>
  <si>
    <t>ALR051202004</t>
  </si>
  <si>
    <t>Ms. Deborah S. Fafrak</t>
  </si>
  <si>
    <t>730 Burg St</t>
  </si>
  <si>
    <t>43023-1008</t>
  </si>
  <si>
    <t>dsfafrak@gmail.com</t>
  </si>
  <si>
    <t>rads@wendtbristol.com</t>
  </si>
  <si>
    <t>XNGMK2605</t>
  </si>
  <si>
    <t>ALR2310032TX</t>
  </si>
  <si>
    <t>ALR071106004</t>
  </si>
  <si>
    <t>Mr. Wilson O. Hill</t>
  </si>
  <si>
    <t>494 George Hannum Rd</t>
  </si>
  <si>
    <t>hoopskilz3@aol.com</t>
  </si>
  <si>
    <t>XNPTA4003</t>
  </si>
  <si>
    <t>ALR090804703</t>
  </si>
  <si>
    <t>XA0VBABCC</t>
  </si>
  <si>
    <t>Ms. Sheila K. Siegmund</t>
  </si>
  <si>
    <t>3610 Bently Dr</t>
  </si>
  <si>
    <t>61101-1874</t>
  </si>
  <si>
    <t>sheilasiegmund@aol.com</t>
  </si>
  <si>
    <t>XNPWA5817</t>
  </si>
  <si>
    <t>ALR150301033</t>
  </si>
  <si>
    <t>Bock</t>
  </si>
  <si>
    <t>Ms. Sarah R. Bock</t>
  </si>
  <si>
    <t>62 Grantwood Ln</t>
  </si>
  <si>
    <t>63123-2055</t>
  </si>
  <si>
    <t>danjbock@gmail.com</t>
  </si>
  <si>
    <t>XNPTA2504</t>
  </si>
  <si>
    <t>XVH4A11LB</t>
  </si>
  <si>
    <t>Shultz</t>
  </si>
  <si>
    <t>528 N Kirkwood Rd</t>
  </si>
  <si>
    <t>63122-3953</t>
  </si>
  <si>
    <t>beej330@gmail.com</t>
  </si>
  <si>
    <t>bjs4087us@zoominternet.net</t>
  </si>
  <si>
    <t>XMWDY93</t>
  </si>
  <si>
    <t>ALR181001054</t>
  </si>
  <si>
    <t>Mrs. Barbara R. Gillott</t>
  </si>
  <si>
    <t>22712 Picador Dr</t>
  </si>
  <si>
    <t>93908-1118</t>
  </si>
  <si>
    <t>XNPRA3702</t>
  </si>
  <si>
    <t>Mr. and Mrs. Hilda Schneider</t>
  </si>
  <si>
    <t>Mr. and Mrs. Schneider</t>
  </si>
  <si>
    <t>7454 Newcastle Golf Club Rd</t>
  </si>
  <si>
    <t>98059-9171</t>
  </si>
  <si>
    <t>helmut.schneider@hotmail.com</t>
  </si>
  <si>
    <t>helmut236@optonline.net</t>
  </si>
  <si>
    <t>Julia and Arthur</t>
  </si>
  <si>
    <t>Julia and Arthur and Arthur Williams</t>
  </si>
  <si>
    <t>Julia and Arthur and Arthur</t>
  </si>
  <si>
    <t>301 Old Grassy Hill Rd</t>
  </si>
  <si>
    <t>06477-2341</t>
  </si>
  <si>
    <t>jamawms@sbcglobal.net</t>
  </si>
  <si>
    <t>jwilliams@noaddress.ea</t>
  </si>
  <si>
    <t>ALA20110W001</t>
  </si>
  <si>
    <t>Mr. Paul H. and Mrs. Virginia B. Smith</t>
  </si>
  <si>
    <t>Paul and Virginia</t>
  </si>
  <si>
    <t>3701 International Dr Apt 602</t>
  </si>
  <si>
    <t>20906-1562</t>
  </si>
  <si>
    <t>Kallemeyn</t>
  </si>
  <si>
    <t>Mr. Larry Kallemeyn</t>
  </si>
  <si>
    <t>1812 Shady Oak Pl</t>
  </si>
  <si>
    <t>Spearfish</t>
  </si>
  <si>
    <t>57783-9596</t>
  </si>
  <si>
    <t>jolakall@northwinds.net</t>
  </si>
  <si>
    <t>joandlarry87@hotmail.com</t>
  </si>
  <si>
    <t>XNPSA3506</t>
  </si>
  <si>
    <t>ALL23020B4BM</t>
  </si>
  <si>
    <t>ALA031001003</t>
  </si>
  <si>
    <t>Mrs. Sandra and Mr. David Kaptain</t>
  </si>
  <si>
    <t>Sandra and David</t>
  </si>
  <si>
    <t>749 Scott Dr</t>
  </si>
  <si>
    <t>60123-2633</t>
  </si>
  <si>
    <t>sakaptain@gmail.com</t>
  </si>
  <si>
    <t>XNPWA4003</t>
  </si>
  <si>
    <t>ALR230603C44</t>
  </si>
  <si>
    <t>dskaptain@wowway.com</t>
  </si>
  <si>
    <t>Mrs. Natalie P. Halpin</t>
  </si>
  <si>
    <t>504 Hurricane Hl</t>
  </si>
  <si>
    <t>64093-2732</t>
  </si>
  <si>
    <t>Zwickey</t>
  </si>
  <si>
    <t>Ms. Jane Zwickey</t>
  </si>
  <si>
    <t>N3509 Bonnie St</t>
  </si>
  <si>
    <t>Freedom</t>
  </si>
  <si>
    <t>54913-9246</t>
  </si>
  <si>
    <t>XNPTA4812</t>
  </si>
  <si>
    <t>Mr. Mike Gawlik</t>
  </si>
  <si>
    <t>1334 N Foxdale Dr</t>
  </si>
  <si>
    <t>60101-5711</t>
  </si>
  <si>
    <t>volley2000@aol.com</t>
  </si>
  <si>
    <t>XNPRA5817</t>
  </si>
  <si>
    <t>ALR181101033</t>
  </si>
  <si>
    <t>ALR141103054</t>
  </si>
  <si>
    <t>Rev. and Mrs.</t>
  </si>
  <si>
    <t>Houldsworth</t>
  </si>
  <si>
    <t>Rev. and Mrs. F. H. Houldsworth</t>
  </si>
  <si>
    <t>Rev. and Mrs. Houldsworth</t>
  </si>
  <si>
    <t>141 University Dr Apt 109</t>
  </si>
  <si>
    <t>Chillicothe</t>
  </si>
  <si>
    <t>45601-2180</t>
  </si>
  <si>
    <t>XNPTA2604</t>
  </si>
  <si>
    <t>ALR190604033</t>
  </si>
  <si>
    <t>ALR130001001</t>
  </si>
  <si>
    <t>Faye</t>
  </si>
  <si>
    <t>Barron</t>
  </si>
  <si>
    <t>Ms. Deborah F. Barron and Mr. Max Guldan</t>
  </si>
  <si>
    <t>Deborah and Max</t>
  </si>
  <si>
    <t>PO Box 224</t>
  </si>
  <si>
    <t>54016-0224</t>
  </si>
  <si>
    <t>mmguldan@outlook.com</t>
  </si>
  <si>
    <t>ALR020702004</t>
  </si>
  <si>
    <t>Arnoldy</t>
  </si>
  <si>
    <t>Ms. Beverly Arnoldy</t>
  </si>
  <si>
    <t>PO Box 1130</t>
  </si>
  <si>
    <t>98640-1130</t>
  </si>
  <si>
    <t>bevarnoldy@gmail.com</t>
  </si>
  <si>
    <t>XNPRA4209</t>
  </si>
  <si>
    <t>ALA2208D1PSC</t>
  </si>
  <si>
    <t>Mr. Gregory A. Miller</t>
  </si>
  <si>
    <t>127 Galileo Dr</t>
  </si>
  <si>
    <t>53718-3035</t>
  </si>
  <si>
    <t>gregmillermsn@gmail.com</t>
  </si>
  <si>
    <t>bubba06@charter.net</t>
  </si>
  <si>
    <t>XNPSA3004</t>
  </si>
  <si>
    <t>ALA1900N0WSC</t>
  </si>
  <si>
    <t>ALA110342ENC</t>
  </si>
  <si>
    <t>Eshbaugh</t>
  </si>
  <si>
    <t>Dr. Eshbaugh</t>
  </si>
  <si>
    <t>3752 Harold Ave</t>
  </si>
  <si>
    <t>33901-7744</t>
  </si>
  <si>
    <t>XNPSA1802</t>
  </si>
  <si>
    <t>ALQ0802EH025</t>
  </si>
  <si>
    <t>XRG8A53C</t>
  </si>
  <si>
    <t>Mr. Meredith G. Derr</t>
  </si>
  <si>
    <t>2 Jenkinson Ct</t>
  </si>
  <si>
    <t>29605-1900</t>
  </si>
  <si>
    <t>meredithderr@juno.com</t>
  </si>
  <si>
    <t>XNTHH4508</t>
  </si>
  <si>
    <t>ATR200801001</t>
  </si>
  <si>
    <t>Fleischner</t>
  </si>
  <si>
    <t>519 Danberry Dr</t>
  </si>
  <si>
    <t>Wooster</t>
  </si>
  <si>
    <t>44691-5212</t>
  </si>
  <si>
    <t>XNPRA4003</t>
  </si>
  <si>
    <t>ALR071003203</t>
  </si>
  <si>
    <t>Reitz</t>
  </si>
  <si>
    <t>Robert and Jean Reitz</t>
  </si>
  <si>
    <t>1833 Farmstead Street</t>
  </si>
  <si>
    <t>67208-1745</t>
  </si>
  <si>
    <t>rreitz2@cox.net</t>
  </si>
  <si>
    <t>XNPRA5408</t>
  </si>
  <si>
    <t>ALA100102004</t>
  </si>
  <si>
    <t>Ms. Karen B. Gregg</t>
  </si>
  <si>
    <t>411 6th St NE</t>
  </si>
  <si>
    <t>36265-1615</t>
  </si>
  <si>
    <t>karenbgregg@gmail.com</t>
  </si>
  <si>
    <t>XNPSA3903</t>
  </si>
  <si>
    <t>Paula A. Moore</t>
  </si>
  <si>
    <t>PO Box 9257</t>
  </si>
  <si>
    <t>Pueblo</t>
  </si>
  <si>
    <t>81008-9257</t>
  </si>
  <si>
    <t>pamoore@ieee.org</t>
  </si>
  <si>
    <t>gmoore2@yahoo.com</t>
  </si>
  <si>
    <t>ALR211101C66</t>
  </si>
  <si>
    <t>Rynar</t>
  </si>
  <si>
    <t>Jayne</t>
  </si>
  <si>
    <t>Eric and Jayne</t>
  </si>
  <si>
    <t>11309 Battery Heights Ln</t>
  </si>
  <si>
    <t>Port Republic</t>
  </si>
  <si>
    <t>24471-2238</t>
  </si>
  <si>
    <t>erynar@yahoo.com</t>
  </si>
  <si>
    <t>erynar@comcast.net</t>
  </si>
  <si>
    <t>ALR230803C44</t>
  </si>
  <si>
    <t>XRI1B81PC</t>
  </si>
  <si>
    <t>jy.ry@hotmail.com</t>
  </si>
  <si>
    <t>jrynar@optonline.net</t>
  </si>
  <si>
    <t>Marc and Melody Engle</t>
  </si>
  <si>
    <t>Marc and Melody</t>
  </si>
  <si>
    <t>8491 Dixon Creek Rd</t>
  </si>
  <si>
    <t>Dixon Springs</t>
  </si>
  <si>
    <t>37057-5509</t>
  </si>
  <si>
    <t>me1and2@hotmail.com</t>
  </si>
  <si>
    <t>XNPSA3406</t>
  </si>
  <si>
    <t>ALR2112D0DMC</t>
  </si>
  <si>
    <t>ALR120501003</t>
  </si>
  <si>
    <t>John and Sue</t>
  </si>
  <si>
    <t>4447 Dalton Dr</t>
  </si>
  <si>
    <t>94558-2291</t>
  </si>
  <si>
    <t>johnsuew48@gmail.com</t>
  </si>
  <si>
    <t>ALR230607C33</t>
  </si>
  <si>
    <t>ALQ0602AH026</t>
  </si>
  <si>
    <t>johnsuew@sbcglobal.net</t>
  </si>
  <si>
    <t>Mr. Douglas Correia</t>
  </si>
  <si>
    <t>2017 N St</t>
  </si>
  <si>
    <t>95501-3023</t>
  </si>
  <si>
    <t>dp_northcoast@sbcglobal.net</t>
  </si>
  <si>
    <t>XNPRA5614</t>
  </si>
  <si>
    <t>ALL17120A53M</t>
  </si>
  <si>
    <t>Romeo</t>
  </si>
  <si>
    <t>Mrs. Michele and Mr. James M. Romeo</t>
  </si>
  <si>
    <t>Michele and James</t>
  </si>
  <si>
    <t>128 Schleiermacher Rd</t>
  </si>
  <si>
    <t>Livingston Manor</t>
  </si>
  <si>
    <t>12758-6448</t>
  </si>
  <si>
    <t>jimrom88@gmail.com</t>
  </si>
  <si>
    <t>XNPTA5305</t>
  </si>
  <si>
    <t>ALL2401L1EMC</t>
  </si>
  <si>
    <t>ALA030402067</t>
  </si>
  <si>
    <t>Tanner</t>
  </si>
  <si>
    <t>135 Waitman St</t>
  </si>
  <si>
    <t>26501-7529</t>
  </si>
  <si>
    <t>rantanner@aol.com</t>
  </si>
  <si>
    <t>botanner.007@gmail.com</t>
  </si>
  <si>
    <t>XNPRA00</t>
  </si>
  <si>
    <t>XNQMA87CR</t>
  </si>
  <si>
    <t>XT5CACBAB</t>
  </si>
  <si>
    <t>Garcy</t>
  </si>
  <si>
    <t>Paul N. Garcy</t>
  </si>
  <si>
    <t>918 W 34th St</t>
  </si>
  <si>
    <t>60608-6714</t>
  </si>
  <si>
    <t>paul.garay@mindspring.com</t>
  </si>
  <si>
    <t>paul.garcy@mindspring.com</t>
  </si>
  <si>
    <t>ALR050001002</t>
  </si>
  <si>
    <t>Inamae</t>
  </si>
  <si>
    <t>Skutt</t>
  </si>
  <si>
    <t>7130 Glen Creek Drive SE</t>
  </si>
  <si>
    <t>49316-7904</t>
  </si>
  <si>
    <t>ALR111002003</t>
  </si>
  <si>
    <t>Mrs. Paulette Kindler</t>
  </si>
  <si>
    <t>110 Horse Guards Ln</t>
  </si>
  <si>
    <t>29229-8835</t>
  </si>
  <si>
    <t>doublep@earthlink.net</t>
  </si>
  <si>
    <t>ALL23030A6BM</t>
  </si>
  <si>
    <t>Matzell</t>
  </si>
  <si>
    <t>Ms. Lynne Matzell</t>
  </si>
  <si>
    <t>2616 Amesbury Lake Dr</t>
  </si>
  <si>
    <t>73013-6542</t>
  </si>
  <si>
    <t>lmatzell@amgen.com</t>
  </si>
  <si>
    <t>durango267@yahoo.com</t>
  </si>
  <si>
    <t>XNALB5203</t>
  </si>
  <si>
    <t>ALR227J47EMC</t>
  </si>
  <si>
    <t>ALA1806D3EMC</t>
  </si>
  <si>
    <t>Mr. Thomas Sandler</t>
  </si>
  <si>
    <t>553 Bragg Hill Rd</t>
  </si>
  <si>
    <t>05045-4405</t>
  </si>
  <si>
    <t>ALA23080B35C</t>
  </si>
  <si>
    <t>Barbara and Austin Kilburn</t>
  </si>
  <si>
    <t>Barbara and Austin</t>
  </si>
  <si>
    <t>18531 Vessing Rd</t>
  </si>
  <si>
    <t>95070-5613</t>
  </si>
  <si>
    <t>bjk2us@yahoo.com</t>
  </si>
  <si>
    <t>ATR160101005</t>
  </si>
  <si>
    <t>Mr. Douglas L. and Mrs. Pat A. Sporn</t>
  </si>
  <si>
    <t>Douglas and Pat</t>
  </si>
  <si>
    <t>1 Dream Catcher Trl</t>
  </si>
  <si>
    <t>87043-8340</t>
  </si>
  <si>
    <t>dspornllc@comcast.net</t>
  </si>
  <si>
    <t>d.sporn@comcast.net</t>
  </si>
  <si>
    <t>XNPTA2704</t>
  </si>
  <si>
    <t>ADA230001T03</t>
  </si>
  <si>
    <t>ADA170001001</t>
  </si>
  <si>
    <t>Magnuson</t>
  </si>
  <si>
    <t>Mrs. Margaret Magnuson</t>
  </si>
  <si>
    <t>4700 W Lake Ave # 231</t>
  </si>
  <si>
    <t>Atria</t>
  </si>
  <si>
    <t>Glenview</t>
  </si>
  <si>
    <t>60025-1468</t>
  </si>
  <si>
    <t>margaret.magnuson@gmail.com</t>
  </si>
  <si>
    <t>XNALB6407</t>
  </si>
  <si>
    <t>ALR190903C33</t>
  </si>
  <si>
    <t>Mr. Allen E. Rader</t>
  </si>
  <si>
    <t>1866 Bidwell Ave</t>
  </si>
  <si>
    <t>95926-9659</t>
  </si>
  <si>
    <t>mwrader13@gmail.com</t>
  </si>
  <si>
    <t>XNANB3804</t>
  </si>
  <si>
    <t>XRI0P72AA</t>
  </si>
  <si>
    <t>Wentz</t>
  </si>
  <si>
    <t>Ms. Kathryn Wentz</t>
  </si>
  <si>
    <t>3145 Lily Trl Apt 1163</t>
  </si>
  <si>
    <t>48306-3483</t>
  </si>
  <si>
    <t>seiveercat@hotmail.com</t>
  </si>
  <si>
    <t>ALR230601C66</t>
  </si>
  <si>
    <t>ALR220601C66</t>
  </si>
  <si>
    <t>Wozniak</t>
  </si>
  <si>
    <t>Mrs. Dorothy and Mr. Andrew Wozniak</t>
  </si>
  <si>
    <t>Dorothy and Andrew</t>
  </si>
  <si>
    <t>90 Lakeview Ave</t>
  </si>
  <si>
    <t>Tyngsboro</t>
  </si>
  <si>
    <t>01879-1212</t>
  </si>
  <si>
    <t>XNALB1401</t>
  </si>
  <si>
    <t>XT6TBABA</t>
  </si>
  <si>
    <t>Mr. Roy J. Larsen</t>
  </si>
  <si>
    <t>1930 E 12th St Apt 123</t>
  </si>
  <si>
    <t>82601-4077</t>
  </si>
  <si>
    <t>royjl303@bresman.net</t>
  </si>
  <si>
    <t>XNALB7617</t>
  </si>
  <si>
    <t>ALR200303T33</t>
  </si>
  <si>
    <t>ALR070301003</t>
  </si>
  <si>
    <t>Spisak</t>
  </si>
  <si>
    <t>Mark and Carol</t>
  </si>
  <si>
    <t>2031 Virginia Ave</t>
  </si>
  <si>
    <t>Mc Lean</t>
  </si>
  <si>
    <t>22101-4909</t>
  </si>
  <si>
    <t>mspisak@sagco.com</t>
  </si>
  <si>
    <t>mspisak@hotmail.com</t>
  </si>
  <si>
    <t>XNALB4406</t>
  </si>
  <si>
    <t>ALR240202C64</t>
  </si>
  <si>
    <t>ALGXXXX01WSC</t>
  </si>
  <si>
    <t>Gloria Ross</t>
  </si>
  <si>
    <t>9227 Virginian Ln</t>
  </si>
  <si>
    <t>91941-4134</t>
  </si>
  <si>
    <t>pres.gloria@gmail.com</t>
  </si>
  <si>
    <t>XNALB5006</t>
  </si>
  <si>
    <t>ALL23020C63M</t>
  </si>
  <si>
    <t>ALL19020A63M</t>
  </si>
  <si>
    <t>Sharp</t>
  </si>
  <si>
    <t>Ms. Ruth M. Sharp</t>
  </si>
  <si>
    <t>3207 Bristol Hwy Apt 116</t>
  </si>
  <si>
    <t>37601-1539</t>
  </si>
  <si>
    <t>allensharp64@gmail.com</t>
  </si>
  <si>
    <t>rsharp@centurylink.net</t>
  </si>
  <si>
    <t>Carol Douglas and Tricia Lootens</t>
  </si>
  <si>
    <t>Carol and Tricia</t>
  </si>
  <si>
    <t>2701 Connecticut Ave NW Apt 300</t>
  </si>
  <si>
    <t>20008-5301</t>
  </si>
  <si>
    <t>caroldouglas12@gmail.com</t>
  </si>
  <si>
    <t>Key</t>
  </si>
  <si>
    <t>Ms. Catherine M. Key</t>
  </si>
  <si>
    <t>4917 Ravenswood Dr Apt 1304</t>
  </si>
  <si>
    <t>78227-4342</t>
  </si>
  <si>
    <t>cathykwest@gmail.com</t>
  </si>
  <si>
    <t>XNBND92</t>
  </si>
  <si>
    <t>ALR230404C54</t>
  </si>
  <si>
    <t>Ms. Nancy E. Kalina and Ms. Kim Davis</t>
  </si>
  <si>
    <t>Nancy and Kim</t>
  </si>
  <si>
    <t>1721 E Hunter Ave</t>
  </si>
  <si>
    <t>47401-5232</t>
  </si>
  <si>
    <t>nekalina@outlook.com</t>
  </si>
  <si>
    <t>n.kalina@comcast.net</t>
  </si>
  <si>
    <t>XNAFC7304</t>
  </si>
  <si>
    <t>ALA160001MWC</t>
  </si>
  <si>
    <t>davisk@indiana.edu</t>
  </si>
  <si>
    <t>Mr. William V. Hastings</t>
  </si>
  <si>
    <t>1296 Stony Creek Rd</t>
  </si>
  <si>
    <t>12835-2318</t>
  </si>
  <si>
    <t>XNAFC7004</t>
  </si>
  <si>
    <t>ALR230501C54</t>
  </si>
  <si>
    <t>ALR220501C54</t>
  </si>
  <si>
    <t>Alys</t>
  </si>
  <si>
    <t>Gilchrist</t>
  </si>
  <si>
    <t>Ms. Mary A. Gilchrist</t>
  </si>
  <si>
    <t>441 Seaward Rd</t>
  </si>
  <si>
    <t>Corona Del Mar</t>
  </si>
  <si>
    <t>92625-2617</t>
  </si>
  <si>
    <t>ALL210001999</t>
  </si>
  <si>
    <t>XCE9BCA26</t>
  </si>
  <si>
    <t>Mrs. Karen M. and Mr. David B. Hamilton</t>
  </si>
  <si>
    <t>Karen and David</t>
  </si>
  <si>
    <t>1731 S Mccoy St</t>
  </si>
  <si>
    <t>Aberdeen</t>
  </si>
  <si>
    <t>57401-7892</t>
  </si>
  <si>
    <t>kdhambone@aol.com</t>
  </si>
  <si>
    <t>Schafer</t>
  </si>
  <si>
    <t>Mr. Gary E. Schafer</t>
  </si>
  <si>
    <t>3582 Cedar Hammock View Ct</t>
  </si>
  <si>
    <t>33905-5869</t>
  </si>
  <si>
    <t>gacilime@aol.com</t>
  </si>
  <si>
    <t>XNAFC7705</t>
  </si>
  <si>
    <t>ALR150101054</t>
  </si>
  <si>
    <t>ALA041001027</t>
  </si>
  <si>
    <t>4177 N Orange Blossom Trl</t>
  </si>
  <si>
    <t>Unit 604</t>
  </si>
  <si>
    <t>32804-2790</t>
  </si>
  <si>
    <t>XNAFC8417</t>
  </si>
  <si>
    <t>ALR180111030</t>
  </si>
  <si>
    <t>Mr. Paul F. Ingwalson</t>
  </si>
  <si>
    <t>106 E Greentree Ln</t>
  </si>
  <si>
    <t>32746-4003</t>
  </si>
  <si>
    <t>XNAFC7608</t>
  </si>
  <si>
    <t>ALR180107054</t>
  </si>
  <si>
    <t>Sanderson</t>
  </si>
  <si>
    <t>Mr. Larry J. Sanderson</t>
  </si>
  <si>
    <t>2191 Sarossy Lk</t>
  </si>
  <si>
    <t>Grass Lake</t>
  </si>
  <si>
    <t>49240-9299</t>
  </si>
  <si>
    <t>jgesing@yahoo.com</t>
  </si>
  <si>
    <t>XNAPB4406</t>
  </si>
  <si>
    <t>Mr. Ronald Lajoy</t>
  </si>
  <si>
    <t>7130 SW 8th Ave</t>
  </si>
  <si>
    <t>97219-2114</t>
  </si>
  <si>
    <t>ALA24020A13C</t>
  </si>
  <si>
    <t>Gugel</t>
  </si>
  <si>
    <t>Laureen</t>
  </si>
  <si>
    <t>Martin and Laureen Gugel</t>
  </si>
  <si>
    <t>Martin and Laureen</t>
  </si>
  <si>
    <t>510 Sunburst Dr</t>
  </si>
  <si>
    <t>Frankenmuth</t>
  </si>
  <si>
    <t>48734-1239</t>
  </si>
  <si>
    <t>martingugelfake@npca.org</t>
  </si>
  <si>
    <t>XNSAD3404</t>
  </si>
  <si>
    <t>ALR240400001</t>
  </si>
  <si>
    <t>Mr. William J. West</t>
  </si>
  <si>
    <t>732 Struck Street #218</t>
  </si>
  <si>
    <t>53711-6142</t>
  </si>
  <si>
    <t>Kouris</t>
  </si>
  <si>
    <t>Joanne Kouris</t>
  </si>
  <si>
    <t>1805 S Balsam St Apt 325</t>
  </si>
  <si>
    <t>80232-6780</t>
  </si>
  <si>
    <t>XNSAD5610</t>
  </si>
  <si>
    <t>ALR130101033</t>
  </si>
  <si>
    <t>Mark and Maureen Smith</t>
  </si>
  <si>
    <t>Mark and Maureen</t>
  </si>
  <si>
    <t>764 Devonshire Dr</t>
  </si>
  <si>
    <t>08094-3896</t>
  </si>
  <si>
    <t>m2j3@comcast.net</t>
  </si>
  <si>
    <t>XNSBD4206</t>
  </si>
  <si>
    <t>DVM</t>
  </si>
  <si>
    <t>Ronald G. King DVM</t>
  </si>
  <si>
    <t>1185 Portland Dr</t>
  </si>
  <si>
    <t>Harrisonburg</t>
  </si>
  <si>
    <t>22801-8628</t>
  </si>
  <si>
    <t>rgljking@gmail.com</t>
  </si>
  <si>
    <t>XNSAD6307</t>
  </si>
  <si>
    <t>ALA23080B25C</t>
  </si>
  <si>
    <t>Patrick</t>
  </si>
  <si>
    <t>Mr. Patrick C. Bauer</t>
  </si>
  <si>
    <t>1616 Dixie Dr</t>
  </si>
  <si>
    <t>Waukesha</t>
  </si>
  <si>
    <t>53189-7327</t>
  </si>
  <si>
    <t>pcbklrb1616@gmail.com</t>
  </si>
  <si>
    <t>pbauer2@wi.rr.com</t>
  </si>
  <si>
    <t>XPAVP0621</t>
  </si>
  <si>
    <t>ALR230405C54</t>
  </si>
  <si>
    <t>ALA17010B24A</t>
  </si>
  <si>
    <t>Dominick</t>
  </si>
  <si>
    <t>Greco</t>
  </si>
  <si>
    <t>Mr. Dominick and Ms. Mary Greco</t>
  </si>
  <si>
    <t>Dominick and Mary</t>
  </si>
  <si>
    <t>3545 Teakwood Ln</t>
  </si>
  <si>
    <t>75075-1783</t>
  </si>
  <si>
    <t>XPAXC3806</t>
  </si>
  <si>
    <t>ALA19030B23A</t>
  </si>
  <si>
    <t>Inman</t>
  </si>
  <si>
    <t>Paul and Delores Inman</t>
  </si>
  <si>
    <t>Paul and Delores</t>
  </si>
  <si>
    <t>2519 N Hyacinth Ln</t>
  </si>
  <si>
    <t>67204-5332</t>
  </si>
  <si>
    <t>XPAVP3806</t>
  </si>
  <si>
    <t>ALP200001001</t>
  </si>
  <si>
    <t>Rome</t>
  </si>
  <si>
    <t>Mr. Donald E. Rome</t>
  </si>
  <si>
    <t>9219 Sugarstone Cir</t>
  </si>
  <si>
    <t>Highlands Ranch</t>
  </si>
  <si>
    <t>80130-4434</t>
  </si>
  <si>
    <t>drome@att.net</t>
  </si>
  <si>
    <t>drome@worldnet.att.net</t>
  </si>
  <si>
    <t>XPAWE0402</t>
  </si>
  <si>
    <t>Dr. Juliana M. Reser</t>
  </si>
  <si>
    <t>7149 Castlewood Dr</t>
  </si>
  <si>
    <t>Summerset</t>
  </si>
  <si>
    <t>57718-9708</t>
  </si>
  <si>
    <t>XNSAD6205</t>
  </si>
  <si>
    <t>ALR150601064</t>
  </si>
  <si>
    <t>Ms. Wenche Wahl</t>
  </si>
  <si>
    <t>719 Shelter Bay Dr</t>
  </si>
  <si>
    <t>La Conner</t>
  </si>
  <si>
    <t>98257-9531</t>
  </si>
  <si>
    <t>wahlwenche@gmail.com</t>
  </si>
  <si>
    <t>wahlwenche@hotmail.com</t>
  </si>
  <si>
    <t>ALR120401003</t>
  </si>
  <si>
    <t>Mrs. Cheryl Hite</t>
  </si>
  <si>
    <t>240 Lane 101 Low</t>
  </si>
  <si>
    <t>XNSAD6915</t>
  </si>
  <si>
    <t>ALR051104003</t>
  </si>
  <si>
    <t>Mrs. Janet Falk</t>
  </si>
  <si>
    <t>1069 Villa Dr #B103</t>
  </si>
  <si>
    <t>33935-6807</t>
  </si>
  <si>
    <t>XBND93</t>
  </si>
  <si>
    <t>ADA210006T01</t>
  </si>
  <si>
    <t>644 Penhurst Cir</t>
  </si>
  <si>
    <t>80504-2526</t>
  </si>
  <si>
    <t>coleman07@gmail.com</t>
  </si>
  <si>
    <t>rmnpcnm@yahoo.com</t>
  </si>
  <si>
    <t>XDTEP93</t>
  </si>
  <si>
    <t>ATA1512T1EMC</t>
  </si>
  <si>
    <t>Lynn and Edmond Bart</t>
  </si>
  <si>
    <t>Lynn and Edmond</t>
  </si>
  <si>
    <t>461 Timber Ln</t>
  </si>
  <si>
    <t>Franconia</t>
  </si>
  <si>
    <t>03580-5014</t>
  </si>
  <si>
    <t>lynnbart99@earthlink.net</t>
  </si>
  <si>
    <t>ALR160401133</t>
  </si>
  <si>
    <t>Ylva</t>
  </si>
  <si>
    <t>Cortright</t>
  </si>
  <si>
    <t>Leslie</t>
  </si>
  <si>
    <t>Ylva and Leslie Cortright</t>
  </si>
  <si>
    <t>Ylva and Leslie</t>
  </si>
  <si>
    <t>9757 Roberts Rd</t>
  </si>
  <si>
    <t>Sauquoit</t>
  </si>
  <si>
    <t>13456-2611</t>
  </si>
  <si>
    <t>curlinggod@aol.com</t>
  </si>
  <si>
    <t>XNSAD3504</t>
  </si>
  <si>
    <t>Mike and Jody Wende</t>
  </si>
  <si>
    <t>Mike and Jody</t>
  </si>
  <si>
    <t>725 N Homestead Dr</t>
  </si>
  <si>
    <t>99019-7508</t>
  </si>
  <si>
    <t>wende_98@yahoo.com</t>
  </si>
  <si>
    <t>XNSAD5003</t>
  </si>
  <si>
    <t>ALR070401004</t>
  </si>
  <si>
    <t>McFadyen</t>
  </si>
  <si>
    <t>Joy McFadyen</t>
  </si>
  <si>
    <t>10 Wynridge Rd</t>
  </si>
  <si>
    <t>03087-1628</t>
  </si>
  <si>
    <t>al.mcfadyen@yahoo.com</t>
  </si>
  <si>
    <t>joymcf@gmail.com</t>
  </si>
  <si>
    <t>XNNHE7517</t>
  </si>
  <si>
    <t>Neel</t>
  </si>
  <si>
    <t>Thomas and Margaret</t>
  </si>
  <si>
    <t>18 Old Oak Ct</t>
  </si>
  <si>
    <t>27705-5644</t>
  </si>
  <si>
    <t>poppykeller.ck@gmail.com</t>
  </si>
  <si>
    <t>tfkz1@eluke.edu</t>
  </si>
  <si>
    <t>XNNJE4202</t>
  </si>
  <si>
    <t>kellerpair@aol.com</t>
  </si>
  <si>
    <t>Mrs. Diane Holm</t>
  </si>
  <si>
    <t>2002 Boardwalk Place Dr Apt 337</t>
  </si>
  <si>
    <t>O Fallon</t>
  </si>
  <si>
    <t>63368-3904</t>
  </si>
  <si>
    <t>holm.newmex@gmail.com</t>
  </si>
  <si>
    <t>dianeholm@gateway.net</t>
  </si>
  <si>
    <t>Hoff</t>
  </si>
  <si>
    <t>Kim Hoff</t>
  </si>
  <si>
    <t>1932 14th St S</t>
  </si>
  <si>
    <t>56301-4813</t>
  </si>
  <si>
    <t>makjhoff@charter.net</t>
  </si>
  <si>
    <t>makjhoffe@charter.net</t>
  </si>
  <si>
    <t>XNNGE7007</t>
  </si>
  <si>
    <t>Mr. Jay Heyman</t>
  </si>
  <si>
    <t>130 Oakwood Rd E</t>
  </si>
  <si>
    <t>07069-6146</t>
  </si>
  <si>
    <t>jngonline@yahoo.com</t>
  </si>
  <si>
    <t>jng@fabricland.com</t>
  </si>
  <si>
    <t>ALR070806004</t>
  </si>
  <si>
    <t>John Harris</t>
  </si>
  <si>
    <t>14324 Lake Wildwood Dr</t>
  </si>
  <si>
    <t>Cottondale</t>
  </si>
  <si>
    <t>35453-1127</t>
  </si>
  <si>
    <t>camphorne2014@gmail.com</t>
  </si>
  <si>
    <t>sleepy481@hotmail.com</t>
  </si>
  <si>
    <t>ALR160301044</t>
  </si>
  <si>
    <t>Stevens</t>
  </si>
  <si>
    <t>9913 W Timberline Dr</t>
  </si>
  <si>
    <t>85351-2349</t>
  </si>
  <si>
    <t>patjew@cox.net</t>
  </si>
  <si>
    <t>XNNLE5905</t>
  </si>
  <si>
    <t>ALR060505004</t>
  </si>
  <si>
    <t>Worthen</t>
  </si>
  <si>
    <t>Gary and Leslie Worthen</t>
  </si>
  <si>
    <t>Gary and Leslie</t>
  </si>
  <si>
    <t>22150 SW Lower Roy St</t>
  </si>
  <si>
    <t>97140-9827</t>
  </si>
  <si>
    <t>XNNJE3606</t>
  </si>
  <si>
    <t>ALR230104C54</t>
  </si>
  <si>
    <t>McCall</t>
  </si>
  <si>
    <t>Mr. John H. McCall</t>
  </si>
  <si>
    <t>7 Belair Ter</t>
  </si>
  <si>
    <t>29801-2835</t>
  </si>
  <si>
    <t>ahsrunner3000@aol.com</t>
  </si>
  <si>
    <t>jmmcc21@aol.com</t>
  </si>
  <si>
    <t>XNESJ5810</t>
  </si>
  <si>
    <t>ALR240104C44</t>
  </si>
  <si>
    <t>ALR080103204</t>
  </si>
  <si>
    <t>Cleary</t>
  </si>
  <si>
    <t>Pat and Jeanette Cleary</t>
  </si>
  <si>
    <t>Pat and Jeanette</t>
  </si>
  <si>
    <t>288 Jansa Dr</t>
  </si>
  <si>
    <t>55126-2122</t>
  </si>
  <si>
    <t>jcppcleary@comcast.net</t>
  </si>
  <si>
    <t>Mr. Stanley Keil</t>
  </si>
  <si>
    <t>2910 W Ashland Ave</t>
  </si>
  <si>
    <t>47304-3801</t>
  </si>
  <si>
    <t>skeil@bsu.edu</t>
  </si>
  <si>
    <t>XNNGE2010</t>
  </si>
  <si>
    <t>ALR230801C54</t>
  </si>
  <si>
    <t>Curren</t>
  </si>
  <si>
    <t>Mr. Randy Curren</t>
  </si>
  <si>
    <t>10456 5th Ave SW</t>
  </si>
  <si>
    <t>98146-1517</t>
  </si>
  <si>
    <t>rcurren@costco.com</t>
  </si>
  <si>
    <t>XPASU9321</t>
  </si>
  <si>
    <t>ALQ171000001</t>
  </si>
  <si>
    <t>Straub</t>
  </si>
  <si>
    <t>Linda Straub</t>
  </si>
  <si>
    <t>4554 Stoneledge Ln</t>
  </si>
  <si>
    <t>Manlius</t>
  </si>
  <si>
    <t>13104-2322</t>
  </si>
  <si>
    <t>eguzmann@hotmail.com</t>
  </si>
  <si>
    <t>lstraub@twcny.rr.com</t>
  </si>
  <si>
    <t>ALR231201C44</t>
  </si>
  <si>
    <t>Lucille</t>
  </si>
  <si>
    <t>Lucille Davis</t>
  </si>
  <si>
    <t>505 Hackberry St</t>
  </si>
  <si>
    <t>Brownwood</t>
  </si>
  <si>
    <t>76801-1614</t>
  </si>
  <si>
    <t>yungtownwilld@gmail.com</t>
  </si>
  <si>
    <t>XPASU1907</t>
  </si>
  <si>
    <t>ALA23010B23R</t>
  </si>
  <si>
    <t>ALA22100E13R</t>
  </si>
  <si>
    <t>32170 Niguel Rd</t>
  </si>
  <si>
    <t># 204</t>
  </si>
  <si>
    <t>Laguna Niguel</t>
  </si>
  <si>
    <t>92677-4264</t>
  </si>
  <si>
    <t>mlhlaguna@aol.com</t>
  </si>
  <si>
    <t>dkoijane@aol.com</t>
  </si>
  <si>
    <t>XPASU8421</t>
  </si>
  <si>
    <t>ALS170401512</t>
  </si>
  <si>
    <t>ALA12120W001</t>
  </si>
  <si>
    <t>Mary Jane</t>
  </si>
  <si>
    <t>Baumgarten</t>
  </si>
  <si>
    <t>Ms. Mary Jane Baumgarten</t>
  </si>
  <si>
    <t>22046 N 87th Ave</t>
  </si>
  <si>
    <t>85383-2346</t>
  </si>
  <si>
    <t>maryjane.baumgarten@yahoo.com</t>
  </si>
  <si>
    <t>palotreeaz1@gmail.com</t>
  </si>
  <si>
    <t>XPASU2321</t>
  </si>
  <si>
    <t>ALR170112050</t>
  </si>
  <si>
    <t>ALA1512D7EMB</t>
  </si>
  <si>
    <t>William and Wendy Brenner</t>
  </si>
  <si>
    <t>William and Wendy</t>
  </si>
  <si>
    <t>PO Box 166</t>
  </si>
  <si>
    <t>12842-0166</t>
  </si>
  <si>
    <t>wbrenner@optonline.net</t>
  </si>
  <si>
    <t>bbrenner@cablevision.com</t>
  </si>
  <si>
    <t>XPASU2421</t>
  </si>
  <si>
    <t>ALA23090A25A</t>
  </si>
  <si>
    <t>ALA14030G55H</t>
  </si>
  <si>
    <t>Ivan and Hannah</t>
  </si>
  <si>
    <t>89 Foulkeways</t>
  </si>
  <si>
    <t>Gwynedd</t>
  </si>
  <si>
    <t>19436-1003</t>
  </si>
  <si>
    <t>ALA11040A15A</t>
  </si>
  <si>
    <t>Margaret Nolan</t>
  </si>
  <si>
    <t>9328 Newton Ave N</t>
  </si>
  <si>
    <t>55444-1197</t>
  </si>
  <si>
    <t>nolan_patricia@centurylink.net</t>
  </si>
  <si>
    <t>XCFC97</t>
  </si>
  <si>
    <t>ALR210402C33</t>
  </si>
  <si>
    <t>Emerick</t>
  </si>
  <si>
    <t>Brenda and Joe Emerick</t>
  </si>
  <si>
    <t>Brenda and Joe</t>
  </si>
  <si>
    <t>PO Box 171</t>
  </si>
  <si>
    <t>Rices Landing</t>
  </si>
  <si>
    <t>15357-0171</t>
  </si>
  <si>
    <t>katrin17@aol.com</t>
  </si>
  <si>
    <t>beremac@tx3.com</t>
  </si>
  <si>
    <t>XPCH94</t>
  </si>
  <si>
    <t>ALR230705C44</t>
  </si>
  <si>
    <t>ALR150302044</t>
  </si>
  <si>
    <t>Blumenkamp</t>
  </si>
  <si>
    <t>100 W Wisconsin Ave</t>
  </si>
  <si>
    <t>Neenah</t>
  </si>
  <si>
    <t>54956-3012</t>
  </si>
  <si>
    <t>XPALT1302</t>
  </si>
  <si>
    <t>Ms. Deborah A. Jones</t>
  </si>
  <si>
    <t>3939 Rio Grande Blvd NW Unit 66</t>
  </si>
  <si>
    <t>87107-3152</t>
  </si>
  <si>
    <t>debjones54@gmail.com</t>
  </si>
  <si>
    <t>deborahjones@att.com</t>
  </si>
  <si>
    <t>XNBGF6604</t>
  </si>
  <si>
    <t>ALS230201WS3</t>
  </si>
  <si>
    <t>ALA14100W001</t>
  </si>
  <si>
    <t>Mrs. Phyllis A. Nauerth</t>
  </si>
  <si>
    <t>42549 800th St</t>
  </si>
  <si>
    <t>56150-3171</t>
  </si>
  <si>
    <t>XNBKF6604</t>
  </si>
  <si>
    <t>Leilani</t>
  </si>
  <si>
    <t>McConnell</t>
  </si>
  <si>
    <t>Leilani and Robert McConnell</t>
  </si>
  <si>
    <t>Leilani and Robert</t>
  </si>
  <si>
    <t>3114 Gracefield Rd Apt 120</t>
  </si>
  <si>
    <t>20904-1894</t>
  </si>
  <si>
    <t>lanipat106@verizon.net</t>
  </si>
  <si>
    <t>XNBVF9514</t>
  </si>
  <si>
    <t>ALA23070A15A</t>
  </si>
  <si>
    <t>ALR230203C54</t>
  </si>
  <si>
    <t>Goodrich</t>
  </si>
  <si>
    <t>Howard and Darlene Goodrich</t>
  </si>
  <si>
    <t>Howard and Darlene</t>
  </si>
  <si>
    <t>403 Spruce Ln</t>
  </si>
  <si>
    <t>Crawfordsville</t>
  </si>
  <si>
    <t>47933-2062</t>
  </si>
  <si>
    <t>handdgoodrich23@gmail.com</t>
  </si>
  <si>
    <t>XNBGF5210</t>
  </si>
  <si>
    <t>Ancel</t>
  </si>
  <si>
    <t>JR</t>
  </si>
  <si>
    <t>Mrs. Ancel C. Tipton, Jr.</t>
  </si>
  <si>
    <t>2040 Sheffield Dr</t>
  </si>
  <si>
    <t>39211-5848</t>
  </si>
  <si>
    <t>actipton@aol.com</t>
  </si>
  <si>
    <t>XNBGF7206</t>
  </si>
  <si>
    <t>ALA1803D6EMC</t>
  </si>
  <si>
    <t>ALR070306003</t>
  </si>
  <si>
    <t>Donald L. Norman</t>
  </si>
  <si>
    <t>4043 Wooster Rd</t>
  </si>
  <si>
    <t>44126-1661</t>
  </si>
  <si>
    <t>dnorm3076@wowway.com</t>
  </si>
  <si>
    <t>XNNGE6507</t>
  </si>
  <si>
    <t>Mr. George E. Ryan</t>
  </si>
  <si>
    <t>12 Browns Ln</t>
  </si>
  <si>
    <t>Old Lyme</t>
  </si>
  <si>
    <t>06371-1802</t>
  </si>
  <si>
    <t>george_e_ryan@msn.com</t>
  </si>
  <si>
    <t>george.ryan@dsiddoms.eds.com</t>
  </si>
  <si>
    <t>XPALT7321</t>
  </si>
  <si>
    <t>Gerald Paulson</t>
  </si>
  <si>
    <t>4601 Paulson Rd</t>
  </si>
  <si>
    <t>61011-9657</t>
  </si>
  <si>
    <t>paulsonjerry@aol.com</t>
  </si>
  <si>
    <t>XPALT4007</t>
  </si>
  <si>
    <t>ALR210304C64</t>
  </si>
  <si>
    <t>Fiedler</t>
  </si>
  <si>
    <t>Mr. David M. Fiedler</t>
  </si>
  <si>
    <t>5188 Judson Dr</t>
  </si>
  <si>
    <t>Bensalem</t>
  </si>
  <si>
    <t>19020-3849</t>
  </si>
  <si>
    <t>davefiedler@comcast.net</t>
  </si>
  <si>
    <t>davefiedler@hotmail.com</t>
  </si>
  <si>
    <t>The Estate of</t>
  </si>
  <si>
    <t>7322 Versailles Ln</t>
  </si>
  <si>
    <t>28277-5549</t>
  </si>
  <si>
    <t>rickroti@gmail.com</t>
  </si>
  <si>
    <t>ALR231200ERC</t>
  </si>
  <si>
    <t>PPW060001001</t>
  </si>
  <si>
    <t>Mrs. Dorothy T. Baker</t>
  </si>
  <si>
    <t>4750 Pleasant Oak Drive #315</t>
  </si>
  <si>
    <t>XNBGF9001</t>
  </si>
  <si>
    <t>ADA110001001</t>
  </si>
  <si>
    <t>Bucuzzo</t>
  </si>
  <si>
    <t>Dr. James L. Boone and Mr. Joseph Bucuzzo</t>
  </si>
  <si>
    <t>James and Joseph</t>
  </si>
  <si>
    <t>15633 NW Saint Andrews Dr</t>
  </si>
  <si>
    <t>97229-7820</t>
  </si>
  <si>
    <t>jameslboone@yahoo.com</t>
  </si>
  <si>
    <t>XNBKF8203</t>
  </si>
  <si>
    <t>ALR230901C66</t>
  </si>
  <si>
    <t>bucuzzoboone@yahoo.com</t>
  </si>
  <si>
    <t>Dr. Christine L. Ebert</t>
  </si>
  <si>
    <t>N3691 Sylvan Isle Dr</t>
  </si>
  <si>
    <t>49969-9728</t>
  </si>
  <si>
    <t>XNBMF9514</t>
  </si>
  <si>
    <t>ALQ2102DH006</t>
  </si>
  <si>
    <t>ALR091001004</t>
  </si>
  <si>
    <t>Mulholland</t>
  </si>
  <si>
    <t>Greer</t>
  </si>
  <si>
    <t>Greer and Gary</t>
  </si>
  <si>
    <t>229 Race St</t>
  </si>
  <si>
    <t>15218-1316</t>
  </si>
  <si>
    <t>garymulholland53@yahoo.com</t>
  </si>
  <si>
    <t>XNBMF9308</t>
  </si>
  <si>
    <t>550 W Hendrickson Rd</t>
  </si>
  <si>
    <t># 117</t>
  </si>
  <si>
    <t>98382-3013</t>
  </si>
  <si>
    <t>tickleannie@wavecable.com</t>
  </si>
  <si>
    <t>ALA20010B35A</t>
  </si>
  <si>
    <t>XRA7A34T</t>
  </si>
  <si>
    <t>Yalowicki</t>
  </si>
  <si>
    <t>Mrs. Marjorie A. Yalowicki</t>
  </si>
  <si>
    <t>21628 96th Ave W</t>
  </si>
  <si>
    <t>Edmonds</t>
  </si>
  <si>
    <t>98020-3918</t>
  </si>
  <si>
    <t>marjyalowicki1@gmail.com</t>
  </si>
  <si>
    <t>Nancy Latimer</t>
  </si>
  <si>
    <t>1925 Harden Blvd</t>
  </si>
  <si>
    <t>Lot 147</t>
  </si>
  <si>
    <t>33803-1835</t>
  </si>
  <si>
    <t>XPBAF2421</t>
  </si>
  <si>
    <t>ALR200504C23</t>
  </si>
  <si>
    <t>Zaharis</t>
  </si>
  <si>
    <t>Ms. Kay Zaharis</t>
  </si>
  <si>
    <t>73 Church Street</t>
  </si>
  <si>
    <t>Cortland</t>
  </si>
  <si>
    <t>13045-3019</t>
  </si>
  <si>
    <t>kayzee66@yahoo.com</t>
  </si>
  <si>
    <t>XNERJ5413</t>
  </si>
  <si>
    <t>ALR060401003</t>
  </si>
  <si>
    <t>Ms. Amy M. Edelman</t>
  </si>
  <si>
    <t>3 Pleasant Dr</t>
  </si>
  <si>
    <t>11767-2026</t>
  </si>
  <si>
    <t>yogabumm@aol.com</t>
  </si>
  <si>
    <t>XNBKF5210</t>
  </si>
  <si>
    <t>ALA20120A14N</t>
  </si>
  <si>
    <t>Elaine Mills</t>
  </si>
  <si>
    <t>1544 Hidden Lane</t>
  </si>
  <si>
    <t>99501-4916</t>
  </si>
  <si>
    <t>XNBMF7802</t>
  </si>
  <si>
    <t>ALR040707004</t>
  </si>
  <si>
    <t>ALA040201034</t>
  </si>
  <si>
    <t>Mr. William E. Krayer</t>
  </si>
  <si>
    <t>8711 Running Fox Ct</t>
  </si>
  <si>
    <t>22039-2759</t>
  </si>
  <si>
    <t>wekrayer@gmail.com</t>
  </si>
  <si>
    <t>XNEWG3406</t>
  </si>
  <si>
    <t>Emil</t>
  </si>
  <si>
    <t>Revala</t>
  </si>
  <si>
    <t>Mr. Emil D. Revala</t>
  </si>
  <si>
    <t>133 Woodland Rd</t>
  </si>
  <si>
    <t>28804-3839</t>
  </si>
  <si>
    <t>emilrevala@hotmail.com</t>
  </si>
  <si>
    <t>XNESG1208</t>
  </si>
  <si>
    <t>ALR221203C54</t>
  </si>
  <si>
    <t>Mrs. Irene Klein</t>
  </si>
  <si>
    <t>191 Old King Road</t>
  </si>
  <si>
    <t>CA-ON</t>
  </si>
  <si>
    <t>L7E 4B9</t>
  </si>
  <si>
    <t>iklein@yorku.ca</t>
  </si>
  <si>
    <t>ALR020801003</t>
  </si>
  <si>
    <t>155 Montgomery Street #307</t>
  </si>
  <si>
    <t>John A Hayes, Executor</t>
  </si>
  <si>
    <t>Ms. Evelyn R. Elster</t>
  </si>
  <si>
    <t>760 W Drayton St</t>
  </si>
  <si>
    <t>48220-2733</t>
  </si>
  <si>
    <t>elster760@comcast.net</t>
  </si>
  <si>
    <t>XNBGF7802</t>
  </si>
  <si>
    <t>ALA22100E24R</t>
  </si>
  <si>
    <t>ALA17020A14C</t>
  </si>
  <si>
    <t>Mr. David Garmendia</t>
  </si>
  <si>
    <t>55 Bruyn Ave</t>
  </si>
  <si>
    <t>12566-6705</t>
  </si>
  <si>
    <t>XNEPG3206</t>
  </si>
  <si>
    <t>ALL16110CB3M</t>
  </si>
  <si>
    <t>Ken and Sue Brown</t>
  </si>
  <si>
    <t>Ken and Sue</t>
  </si>
  <si>
    <t>3 Westbrooke Terrace Ct</t>
  </si>
  <si>
    <t>63021-7582</t>
  </si>
  <si>
    <t>kallbrown@hotmail.com</t>
  </si>
  <si>
    <t>XNEPG2010</t>
  </si>
  <si>
    <t>ALA220701999</t>
  </si>
  <si>
    <t>Jane Ryan</t>
  </si>
  <si>
    <t>2 E Nicolet Blvd</t>
  </si>
  <si>
    <t>49855-5246</t>
  </si>
  <si>
    <t>XNEPG4908</t>
  </si>
  <si>
    <t>ALR210401C66</t>
  </si>
  <si>
    <t>Dellafave</t>
  </si>
  <si>
    <t>Catherine Dellafave</t>
  </si>
  <si>
    <t>1024 Hudson Street</t>
  </si>
  <si>
    <t>Hoboken</t>
  </si>
  <si>
    <t>07030-5219</t>
  </si>
  <si>
    <t>XNNGE3606</t>
  </si>
  <si>
    <t>Krominski</t>
  </si>
  <si>
    <t>Ms. Barbara A. Krominski</t>
  </si>
  <si>
    <t>1016 Kresson Rd</t>
  </si>
  <si>
    <t>Cherry Hill</t>
  </si>
  <si>
    <t>08003-2725</t>
  </si>
  <si>
    <t>XNEPG4009</t>
  </si>
  <si>
    <t>ALQ1704CK008</t>
  </si>
  <si>
    <t>Poole</t>
  </si>
  <si>
    <t>200 Alliance Way Unit 410</t>
  </si>
  <si>
    <t>03102-8405</t>
  </si>
  <si>
    <t>ALL20110A8BM</t>
  </si>
  <si>
    <t>ALR071201004</t>
  </si>
  <si>
    <t>Gelman</t>
  </si>
  <si>
    <t>Mr. Stuart Gelman</t>
  </si>
  <si>
    <t>61 Stonehenge Ter</t>
  </si>
  <si>
    <t>07066-2048</t>
  </si>
  <si>
    <t>patchat76@aol.com</t>
  </si>
  <si>
    <t>XPBAF2321</t>
  </si>
  <si>
    <t>ALR210203C33</t>
  </si>
  <si>
    <t>Ruth A. Kaufman</t>
  </si>
  <si>
    <t>34996 Jetty Shrs</t>
  </si>
  <si>
    <t>19958-2749</t>
  </si>
  <si>
    <t>ruth.a.kaufman@gmail.com</t>
  </si>
  <si>
    <t>emmaleuchten@aol.com</t>
  </si>
  <si>
    <t>XPAUL0908</t>
  </si>
  <si>
    <t>ALA24010E24A</t>
  </si>
  <si>
    <t>ALR150602044</t>
  </si>
  <si>
    <t>Koukol</t>
  </si>
  <si>
    <t>Martha Koukol</t>
  </si>
  <si>
    <t>8513 Saint Moritz Dr</t>
  </si>
  <si>
    <t>60081-9259</t>
  </si>
  <si>
    <t>XPAUL0121</t>
  </si>
  <si>
    <t>ALA22090A24A</t>
  </si>
  <si>
    <t>hkoukol@aol.com</t>
  </si>
  <si>
    <t>Rustom</t>
  </si>
  <si>
    <t>Jamadar</t>
  </si>
  <si>
    <t>Mr. Rustom Jamadar</t>
  </si>
  <si>
    <t>10909 Bonjon Ln</t>
  </si>
  <si>
    <t>92131-2640</t>
  </si>
  <si>
    <t>rustomjamadar@yahoo.com</t>
  </si>
  <si>
    <t>XPBAF8421</t>
  </si>
  <si>
    <t>Mrs. L. C. Harman</t>
  </si>
  <si>
    <t>Mrs. Harman</t>
  </si>
  <si>
    <t>5101 Turnberry Ct</t>
  </si>
  <si>
    <t>60586-8372</t>
  </si>
  <si>
    <t>ALR070712001</t>
  </si>
  <si>
    <t>XNQFJ4715</t>
  </si>
  <si>
    <t>Mr. William A. Trotter</t>
  </si>
  <si>
    <t>206 Vincenne Rd</t>
  </si>
  <si>
    <t>29212-3343</t>
  </si>
  <si>
    <t>XPAWZ1302</t>
  </si>
  <si>
    <t>ALL22110C4BM</t>
  </si>
  <si>
    <t>ALL20090B8BM</t>
  </si>
  <si>
    <t>Buster</t>
  </si>
  <si>
    <t>Michele Buster</t>
  </si>
  <si>
    <t>16 W 16th St</t>
  </si>
  <si>
    <t>Phkn</t>
  </si>
  <si>
    <t>10011-6328</t>
  </si>
  <si>
    <t>poseidon68@aol.com</t>
  </si>
  <si>
    <t>michele@forevercheese.com</t>
  </si>
  <si>
    <t>XNANB4406</t>
  </si>
  <si>
    <t>ALS171201WS3</t>
  </si>
  <si>
    <t>Ms. Roxie Thoms</t>
  </si>
  <si>
    <t>5309 Marlene Ave</t>
  </si>
  <si>
    <t>32210-1653</t>
  </si>
  <si>
    <t>roxietakracing@aol.com</t>
  </si>
  <si>
    <t>ALR230906C54</t>
  </si>
  <si>
    <t>ALA23050B55H</t>
  </si>
  <si>
    <t>Brian Smith</t>
  </si>
  <si>
    <t>11585 Birch Dr</t>
  </si>
  <si>
    <t>80233-2610</t>
  </si>
  <si>
    <t>Mr. William D. Brown</t>
  </si>
  <si>
    <t>PO Box 2571</t>
  </si>
  <si>
    <t>33757-2571</t>
  </si>
  <si>
    <t>willbrown59@yahoo.com</t>
  </si>
  <si>
    <t>XPBAF1707</t>
  </si>
  <si>
    <t>ALA23010B13R</t>
  </si>
  <si>
    <t>Coble</t>
  </si>
  <si>
    <t>Mr. Steven Coble</t>
  </si>
  <si>
    <t>W3104 Price Ln</t>
  </si>
  <si>
    <t>Peshtigo</t>
  </si>
  <si>
    <t>54157-9523</t>
  </si>
  <si>
    <t>brat_1154@hotmail.com</t>
  </si>
  <si>
    <t>Fingerman</t>
  </si>
  <si>
    <t>Fava</t>
  </si>
  <si>
    <t>Ms. Arlene Fingerman</t>
  </si>
  <si>
    <t>420 E 23rd St</t>
  </si>
  <si>
    <t>#12D</t>
  </si>
  <si>
    <t>10010-5035</t>
  </si>
  <si>
    <t>arfinger@gmail.com</t>
  </si>
  <si>
    <t>XNEXG3903</t>
  </si>
  <si>
    <t>ALR221002C64</t>
  </si>
  <si>
    <t>Felix</t>
  </si>
  <si>
    <t>Ms. Eleanor I. Felix</t>
  </si>
  <si>
    <t>13018 Edderton Ave</t>
  </si>
  <si>
    <t>La Mirada</t>
  </si>
  <si>
    <t>90638-2034</t>
  </si>
  <si>
    <t>ellymeow@aol.com</t>
  </si>
  <si>
    <t>plassmann2204@aol.com</t>
  </si>
  <si>
    <t>XNERG5214</t>
  </si>
  <si>
    <t>Noble</t>
  </si>
  <si>
    <t>Donna L. Noble</t>
  </si>
  <si>
    <t>24 Highland Dr</t>
  </si>
  <si>
    <t>15202-1033</t>
  </si>
  <si>
    <t>ALR091101003</t>
  </si>
  <si>
    <t>Dennis and Sandra O'Brien</t>
  </si>
  <si>
    <t>Dennis and Sandra</t>
  </si>
  <si>
    <t>9225 Cascade Ave Apt 1209</t>
  </si>
  <si>
    <t>West Des Moines</t>
  </si>
  <si>
    <t>50266-8595</t>
  </si>
  <si>
    <t>odenob@aol.com</t>
  </si>
  <si>
    <t>ka0dos@aol.com</t>
  </si>
  <si>
    <t>XNHAH3604</t>
  </si>
  <si>
    <t>ALR231204C44</t>
  </si>
  <si>
    <t>ALA17010A5AD</t>
  </si>
  <si>
    <t>Matzke</t>
  </si>
  <si>
    <t>Jim and Elizabeth Matzke</t>
  </si>
  <si>
    <t>Jim and Elizabeth</t>
  </si>
  <si>
    <t>8585 SW Canyon Ln Apt 67</t>
  </si>
  <si>
    <t>97225-3977</t>
  </si>
  <si>
    <t>ALA20040B13C</t>
  </si>
  <si>
    <t>Mrs. Catherine C. Miller</t>
  </si>
  <si>
    <t>4141 S Braeswood Blvd Ofc</t>
  </si>
  <si>
    <t>77025-3328</t>
  </si>
  <si>
    <t>XNHBH4405</t>
  </si>
  <si>
    <t>Gries</t>
  </si>
  <si>
    <t>3102 Abruzzo Pl</t>
  </si>
  <si>
    <t>Glen Allen</t>
  </si>
  <si>
    <t>23059-1125</t>
  </si>
  <si>
    <t>XNHEH4405</t>
  </si>
  <si>
    <t>Mrs. Kathleen Spritzer</t>
  </si>
  <si>
    <t>8840 Sharptail Dr</t>
  </si>
  <si>
    <t>59808-1041</t>
  </si>
  <si>
    <t>montanaspritzeni@aol.com</t>
  </si>
  <si>
    <t>montanaspritzers@aol.com</t>
  </si>
  <si>
    <t>XNHBH4702</t>
  </si>
  <si>
    <t>XRE2A81CG</t>
  </si>
  <si>
    <t>Keena</t>
  </si>
  <si>
    <t>Northrop</t>
  </si>
  <si>
    <t>4955 W Hillside Dr</t>
  </si>
  <si>
    <t>97405-4688</t>
  </si>
  <si>
    <t>ytron@aol.com</t>
  </si>
  <si>
    <t>XNHBH5209</t>
  </si>
  <si>
    <t>PPG130001001</t>
  </si>
  <si>
    <t>Normand</t>
  </si>
  <si>
    <t>710 W 13th Ave</t>
  </si>
  <si>
    <t>Escondido</t>
  </si>
  <si>
    <t>92025-5511</t>
  </si>
  <si>
    <t>betom59@cox.net</t>
  </si>
  <si>
    <t>tandbnormand59@prodigy.net</t>
  </si>
  <si>
    <t>XNHAH3704</t>
  </si>
  <si>
    <t>ADA1708M1EMC</t>
  </si>
  <si>
    <t>ALR110202004</t>
  </si>
  <si>
    <t>Angell</t>
  </si>
  <si>
    <t>Cynthia Angell</t>
  </si>
  <si>
    <t>11746 M 66</t>
  </si>
  <si>
    <t>Fife Lake</t>
  </si>
  <si>
    <t>49633-9278</t>
  </si>
  <si>
    <t>XNHBH4306</t>
  </si>
  <si>
    <t>ALR090601003</t>
  </si>
  <si>
    <t>Scot</t>
  </si>
  <si>
    <t>McElveen</t>
  </si>
  <si>
    <t>Jeannine and Scot</t>
  </si>
  <si>
    <t>1968 W 7th St S</t>
  </si>
  <si>
    <t>Snowflake</t>
  </si>
  <si>
    <t>85937-5468</t>
  </si>
  <si>
    <t>anprscotm@aol.com</t>
  </si>
  <si>
    <t>jmc004@aol.com</t>
  </si>
  <si>
    <t>XBRCH94</t>
  </si>
  <si>
    <t>Lesa</t>
  </si>
  <si>
    <t>Lesa and John Buckland</t>
  </si>
  <si>
    <t>Lesa and John</t>
  </si>
  <si>
    <t>449 Hill St</t>
  </si>
  <si>
    <t>48167-1107</t>
  </si>
  <si>
    <t>lesabuck@comcast.net</t>
  </si>
  <si>
    <t>ALA23090C5DD</t>
  </si>
  <si>
    <t>ALA23070A14A</t>
  </si>
  <si>
    <t>Mr. Daniel M. Dunn</t>
  </si>
  <si>
    <t>3939 Green Gables Rd</t>
  </si>
  <si>
    <t>Brainerd</t>
  </si>
  <si>
    <t>56401-7945</t>
  </si>
  <si>
    <t>nluebbs21@yahoo.com</t>
  </si>
  <si>
    <t>XNHPH6407</t>
  </si>
  <si>
    <t>Mr. William Martin</t>
  </si>
  <si>
    <t>214 Nettlewood Ln</t>
  </si>
  <si>
    <t>32730-2920</t>
  </si>
  <si>
    <t>haggen29@gmail.com</t>
  </si>
  <si>
    <t>ALR200705C44</t>
  </si>
  <si>
    <t>Ms. Judy I. Roberts</t>
  </si>
  <si>
    <t>232 E Church St Apt 201</t>
  </si>
  <si>
    <t>60048-2375</t>
  </si>
  <si>
    <t>tinahoran4@gmail.com</t>
  </si>
  <si>
    <t>XNERG5417</t>
  </si>
  <si>
    <t>ALR241000001</t>
  </si>
  <si>
    <t>ALR211209C33</t>
  </si>
  <si>
    <t>Ms. Judy K. Feller and Mr. Brian Hill</t>
  </si>
  <si>
    <t>Judy and Brian</t>
  </si>
  <si>
    <t>119 Firebird St</t>
  </si>
  <si>
    <t>Lakeway</t>
  </si>
  <si>
    <t>78734-3807</t>
  </si>
  <si>
    <t>judy@teledynamics.com</t>
  </si>
  <si>
    <t>XNYAX4506</t>
  </si>
  <si>
    <t>Ms. Michele Owen</t>
  </si>
  <si>
    <t>10565 N Angling Rd</t>
  </si>
  <si>
    <t>Kendallville</t>
  </si>
  <si>
    <t>46755-9738</t>
  </si>
  <si>
    <t>donnaowen@gmail.com</t>
  </si>
  <si>
    <t>XNYBX6817</t>
  </si>
  <si>
    <t>Isabel</t>
  </si>
  <si>
    <t>Jahnle</t>
  </si>
  <si>
    <t>Miss Isabel Jahnle</t>
  </si>
  <si>
    <t>20480 Veterans Blvd Unit 244</t>
  </si>
  <si>
    <t>Port Charlotte</t>
  </si>
  <si>
    <t>33954-2261</t>
  </si>
  <si>
    <t>XNYAX7006</t>
  </si>
  <si>
    <t>ALL23080C5BM</t>
  </si>
  <si>
    <t>Mrs. Judy and Mr. Doug Beers</t>
  </si>
  <si>
    <t>Judy and Doug</t>
  </si>
  <si>
    <t>39 Rockland Dr</t>
  </si>
  <si>
    <t>Lake George</t>
  </si>
  <si>
    <t>12845-3606</t>
  </si>
  <si>
    <t>jbeers@pittsford.monroe.edu</t>
  </si>
  <si>
    <t>douglasbeers@gmail.com</t>
  </si>
  <si>
    <t>XNYAX1001</t>
  </si>
  <si>
    <t>ALA24020A50H</t>
  </si>
  <si>
    <t>ALA19120B25A</t>
  </si>
  <si>
    <t>judybeers53@gmail.com</t>
  </si>
  <si>
    <t>Amitin</t>
  </si>
  <si>
    <t>Ms. Carol Amitin</t>
  </si>
  <si>
    <t>2209 W Rogers Ave Apt 217</t>
  </si>
  <si>
    <t>21209-4453</t>
  </si>
  <si>
    <t>XNHAH3809</t>
  </si>
  <si>
    <t>ALR170903033</t>
  </si>
  <si>
    <t>ALR140902033</t>
  </si>
  <si>
    <t>Trudy</t>
  </si>
  <si>
    <t>Bob and Trudy</t>
  </si>
  <si>
    <t>46 Thompson Rd</t>
  </si>
  <si>
    <t>32327-4560</t>
  </si>
  <si>
    <t>tthompson092623fake@noaddress.ea</t>
  </si>
  <si>
    <t>XNYCX5705</t>
  </si>
  <si>
    <t>ALA21020C5AD</t>
  </si>
  <si>
    <t>XRE1A12</t>
  </si>
  <si>
    <t>Mr. George W. Rodormer</t>
  </si>
  <si>
    <t>4131 NE 23rd Ave</t>
  </si>
  <si>
    <t>33064-7343</t>
  </si>
  <si>
    <t>XNYAX6009</t>
  </si>
  <si>
    <t>ALG190001001</t>
  </si>
  <si>
    <t>6145 Deborah Dr</t>
  </si>
  <si>
    <t>17362-9201</t>
  </si>
  <si>
    <t>joanbook@gmail.com</t>
  </si>
  <si>
    <t>jebook@peoplepc.com</t>
  </si>
  <si>
    <t>ALL22030B7BM</t>
  </si>
  <si>
    <t>ALR090401003</t>
  </si>
  <si>
    <t>Burke</t>
  </si>
  <si>
    <t>Mrs. A. Burke</t>
  </si>
  <si>
    <t>Mrs. Burke</t>
  </si>
  <si>
    <t>2494 Lackey Meadows Dr</t>
  </si>
  <si>
    <t>43015-9135</t>
  </si>
  <si>
    <t>burke@cebridge.net</t>
  </si>
  <si>
    <t>XNYBX5003</t>
  </si>
  <si>
    <t>ALA22050A33A</t>
  </si>
  <si>
    <t>ALR200105C23</t>
  </si>
  <si>
    <t>Corish</t>
  </si>
  <si>
    <t>Lenlee</t>
  </si>
  <si>
    <t>Chris and Lenlee Corish</t>
  </si>
  <si>
    <t>Chris and Lenlee</t>
  </si>
  <si>
    <t>402 Sawmill Creek Dr</t>
  </si>
  <si>
    <t>Nellysford</t>
  </si>
  <si>
    <t>22958-8026</t>
  </si>
  <si>
    <t>chrisc.rish@carolina.rr.com</t>
  </si>
  <si>
    <t>ccorish@hotmail.com</t>
  </si>
  <si>
    <t>XNYAX4207</t>
  </si>
  <si>
    <t>ATR221101001</t>
  </si>
  <si>
    <t>John and Karen</t>
  </si>
  <si>
    <t>2050 Fawn Ln</t>
  </si>
  <si>
    <t>54304-1960</t>
  </si>
  <si>
    <t>johnearl1947@icloud.com</t>
  </si>
  <si>
    <t>XNYAX5822</t>
  </si>
  <si>
    <t>ALR200702C33</t>
  </si>
  <si>
    <t>ALR151205033</t>
  </si>
  <si>
    <t>Nada</t>
  </si>
  <si>
    <t>Pendic</t>
  </si>
  <si>
    <t>3425 Triano Creek Dr Unit 207</t>
  </si>
  <si>
    <t>80538-7398</t>
  </si>
  <si>
    <t>npendic@hotmail.com</t>
  </si>
  <si>
    <t>hpendic@hotmail.com</t>
  </si>
  <si>
    <t>XNYBX3904</t>
  </si>
  <si>
    <t>ALR231000EMC</t>
  </si>
  <si>
    <t>Mrs. Amanda M. and Mr. Vince E. Hoenigman</t>
  </si>
  <si>
    <t>Vince and Amanda</t>
  </si>
  <si>
    <t>3053 Fillmore St</t>
  </si>
  <si>
    <t>#247</t>
  </si>
  <si>
    <t>94123-4009</t>
  </si>
  <si>
    <t>vince@citymark.com</t>
  </si>
  <si>
    <t>XMD00</t>
  </si>
  <si>
    <t>amanda@hoenigman.com</t>
  </si>
  <si>
    <t>ahoenigman@sbcourts.org</t>
  </si>
  <si>
    <t>Darlene Thompson and Phil Taylor</t>
  </si>
  <si>
    <t>Darlene and Phil</t>
  </si>
  <si>
    <t>3188 Russell Rd</t>
  </si>
  <si>
    <t>Ostrander</t>
  </si>
  <si>
    <t>43061-9364</t>
  </si>
  <si>
    <t>winderosu@yahoo.com</t>
  </si>
  <si>
    <t>ALR230601C54</t>
  </si>
  <si>
    <t>Kara</t>
  </si>
  <si>
    <t>Berly</t>
  </si>
  <si>
    <t>Mrs. Kara A. Berly</t>
  </si>
  <si>
    <t>464 Rice Hope Dr</t>
  </si>
  <si>
    <t>Mount Pleasant</t>
  </si>
  <si>
    <t>29464-9273</t>
  </si>
  <si>
    <t>kara1017@comcast.net</t>
  </si>
  <si>
    <t>XNBGF7308</t>
  </si>
  <si>
    <t>ADA230202T05</t>
  </si>
  <si>
    <t>ATA170801011</t>
  </si>
  <si>
    <t>Lisa Bleeke</t>
  </si>
  <si>
    <t>2525 Hazelwood Ave</t>
  </si>
  <si>
    <t>45419-2738</t>
  </si>
  <si>
    <t>lisa.bleeke@wright.edu</t>
  </si>
  <si>
    <t>sbleeke@msn.com</t>
  </si>
  <si>
    <t>XNYCX6009</t>
  </si>
  <si>
    <t>ALA24030A23A</t>
  </si>
  <si>
    <t>ALR100801004</t>
  </si>
  <si>
    <t>Lisa R</t>
  </si>
  <si>
    <t>Schmudt</t>
  </si>
  <si>
    <t>Mrs. Lisa R R. Schmudt</t>
  </si>
  <si>
    <t>533 Fairview Cir</t>
  </si>
  <si>
    <t>53185-2874</t>
  </si>
  <si>
    <t>wtrfrdlisa@aol.com</t>
  </si>
  <si>
    <t>sdunlaplr@cs.com</t>
  </si>
  <si>
    <t>XNYAX4004</t>
  </si>
  <si>
    <t>XRD8A41L</t>
  </si>
  <si>
    <t>Shelia</t>
  </si>
  <si>
    <t>Mrs. Shelia L. and Mr. Robert H. Sargent</t>
  </si>
  <si>
    <t>Shelia and Robert</t>
  </si>
  <si>
    <t>PO Box 66</t>
  </si>
  <si>
    <t>03034-0066</t>
  </si>
  <si>
    <t>sargent295nh@comcast.net</t>
  </si>
  <si>
    <t>XNYAX1501</t>
  </si>
  <si>
    <t>ALA2312S7EMC</t>
  </si>
  <si>
    <t>9 Springhill Dr</t>
  </si>
  <si>
    <t>95421-9618</t>
  </si>
  <si>
    <t>djacobs@mcn.org</t>
  </si>
  <si>
    <t>XNHAH4016</t>
  </si>
  <si>
    <t>ALR230504C54</t>
  </si>
  <si>
    <t>Reifsteck</t>
  </si>
  <si>
    <t>Mr. Timothy Reifsteck</t>
  </si>
  <si>
    <t>11557 NW Plainview Road</t>
  </si>
  <si>
    <t>97231-2525</t>
  </si>
  <si>
    <t>arktex1956@gmail.com</t>
  </si>
  <si>
    <t>XNHAH5901</t>
  </si>
  <si>
    <t>ALR060410001</t>
  </si>
  <si>
    <t>XL0DBADCT</t>
  </si>
  <si>
    <t>Mr. and Mrs. Thomas L. Dumler</t>
  </si>
  <si>
    <t>52 Bluegrass Ct</t>
  </si>
  <si>
    <t>Edwards</t>
  </si>
  <si>
    <t>81632-6114</t>
  </si>
  <si>
    <t>XNYBX6009</t>
  </si>
  <si>
    <t>ALR230101C54</t>
  </si>
  <si>
    <t>ALR170712050</t>
  </si>
  <si>
    <t>Bantly</t>
  </si>
  <si>
    <t>Mr. Jeffrey W. Bantly</t>
  </si>
  <si>
    <t>71 S Gladstone Ave</t>
  </si>
  <si>
    <t>60506-4865</t>
  </si>
  <si>
    <t>jwbantly@sbcglobal.net</t>
  </si>
  <si>
    <t>104647.656@compuserve.com</t>
  </si>
  <si>
    <t>XNYAX3704</t>
  </si>
  <si>
    <t>ALR230101C66</t>
  </si>
  <si>
    <t>Mrs. Mary and Mr. William G. Watson</t>
  </si>
  <si>
    <t>Mary and William</t>
  </si>
  <si>
    <t>9669 NW 30th St</t>
  </si>
  <si>
    <t>creekmanw@aol.com</t>
  </si>
  <si>
    <t>XAD02</t>
  </si>
  <si>
    <t>XMDBD99</t>
  </si>
  <si>
    <t>6003 La Vista Ct SW</t>
  </si>
  <si>
    <t>98512-2135</t>
  </si>
  <si>
    <t>nlmills@msn.com</t>
  </si>
  <si>
    <t>mills.nancy@gmail.com</t>
  </si>
  <si>
    <t>ALA2307D2PSC</t>
  </si>
  <si>
    <t>ALA020803135</t>
  </si>
  <si>
    <t>Mr. John H. Harvey</t>
  </si>
  <si>
    <t>165 Thoreau St Apt 3</t>
  </si>
  <si>
    <t>01742-2452</t>
  </si>
  <si>
    <t>XNAEJ1308</t>
  </si>
  <si>
    <t>Lion</t>
  </si>
  <si>
    <t>Mrs. Carol S. Lion</t>
  </si>
  <si>
    <t>508 Berwick Rd S</t>
  </si>
  <si>
    <t>13208-3209</t>
  </si>
  <si>
    <t>XNACJ2804</t>
  </si>
  <si>
    <t>Mr. Richard Lynn</t>
  </si>
  <si>
    <t>65 Skimhampton Rd</t>
  </si>
  <si>
    <t>11937-2650</t>
  </si>
  <si>
    <t>XMFP94</t>
  </si>
  <si>
    <t>ALA23040D54H</t>
  </si>
  <si>
    <t>XT52EAB</t>
  </si>
  <si>
    <t>Mr. Peter C. Rubin</t>
  </si>
  <si>
    <t>80498-1130</t>
  </si>
  <si>
    <t>pete44r@gmail.com</t>
  </si>
  <si>
    <t>pete44@aol.com</t>
  </si>
  <si>
    <t>Mr. Thomas Hofmann</t>
  </si>
  <si>
    <t>2422 9th Ave</t>
  </si>
  <si>
    <t>53172-2665</t>
  </si>
  <si>
    <t>hofmannt1973@gmail.com</t>
  </si>
  <si>
    <t>XNAGJ3802</t>
  </si>
  <si>
    <t>ALA24030B23A</t>
  </si>
  <si>
    <t>ALR230701C23</t>
  </si>
  <si>
    <t>Kohlman</t>
  </si>
  <si>
    <t>2960 N 80th St</t>
  </si>
  <si>
    <t>53222-4911</t>
  </si>
  <si>
    <t>XNACJ3606</t>
  </si>
  <si>
    <t>ALL23020C73M</t>
  </si>
  <si>
    <t>ALR190101023</t>
  </si>
  <si>
    <t>Witham</t>
  </si>
  <si>
    <t>Ms. Sarah Witham</t>
  </si>
  <si>
    <t>1570 W University Heights Dr S</t>
  </si>
  <si>
    <t>86005-8560</t>
  </si>
  <si>
    <t>XNACJ6801</t>
  </si>
  <si>
    <t>Dr. Joseph O. Weixelman</t>
  </si>
  <si>
    <t>831 Navajo Ln SE</t>
  </si>
  <si>
    <t>87124-3012</t>
  </si>
  <si>
    <t>jweix@aol.com</t>
  </si>
  <si>
    <t>x_jweix@aol.com</t>
  </si>
  <si>
    <t>XNAEJ2804</t>
  </si>
  <si>
    <t>Mrs. Patricia L. Clements</t>
  </si>
  <si>
    <t>7005 Briar Bluff Dr</t>
  </si>
  <si>
    <t>63129-5535</t>
  </si>
  <si>
    <t>patchasc@hotmail.com</t>
  </si>
  <si>
    <t>patchasc@sbglobal.net</t>
  </si>
  <si>
    <t>XNACJ3902</t>
  </si>
  <si>
    <t>ALR150806044</t>
  </si>
  <si>
    <t>Folz</t>
  </si>
  <si>
    <t>Mr. John E. Folz</t>
  </si>
  <si>
    <t>260 Hilltop Dr</t>
  </si>
  <si>
    <t>59840-9545</t>
  </si>
  <si>
    <t>jjfolz@q.com</t>
  </si>
  <si>
    <t>XNACJ3104</t>
  </si>
  <si>
    <t>Mrs. Nancy E. Wagner</t>
  </si>
  <si>
    <t>17212 Shadow Bark Dr</t>
  </si>
  <si>
    <t>28031-9297</t>
  </si>
  <si>
    <t>nancydonald@at.net</t>
  </si>
  <si>
    <t>nancydonald@att.net</t>
  </si>
  <si>
    <t>XNZBK3504</t>
  </si>
  <si>
    <t>ALR130602044</t>
  </si>
  <si>
    <t>Wurm</t>
  </si>
  <si>
    <t>Mr. John H. Wurm</t>
  </si>
  <si>
    <t>1584 Adams Rd</t>
  </si>
  <si>
    <t>Pleasant Dale</t>
  </si>
  <si>
    <t>68423-9021</t>
  </si>
  <si>
    <t>jhwurm1950@gmail.com</t>
  </si>
  <si>
    <t>XNZCK4105</t>
  </si>
  <si>
    <t>ALA2111D2EM2</t>
  </si>
  <si>
    <t>Pamby</t>
  </si>
  <si>
    <t>Mr. Clifford W. Pamby</t>
  </si>
  <si>
    <t>Mr. Pamby</t>
  </si>
  <si>
    <t>10220 Memorial Drive #111</t>
  </si>
  <si>
    <t>77024-3244</t>
  </si>
  <si>
    <t>XNZBK3604</t>
  </si>
  <si>
    <t>Ms. Sharon McDougall</t>
  </si>
  <si>
    <t>6349 Starview Dr</t>
  </si>
  <si>
    <t>93536-1710</t>
  </si>
  <si>
    <t>sharonmcdougall661@gmail.com</t>
  </si>
  <si>
    <t>XNZAK3009</t>
  </si>
  <si>
    <t>ALA23050A14A</t>
  </si>
  <si>
    <t>Jurgovan</t>
  </si>
  <si>
    <t>Peggy and Robert Jurgovan</t>
  </si>
  <si>
    <t>Peggy and Robert</t>
  </si>
  <si>
    <t>1725 Thorneapple Ln</t>
  </si>
  <si>
    <t>Algonquin</t>
  </si>
  <si>
    <t>60102-3933</t>
  </si>
  <si>
    <t>robertjurgovan@ameritech.net</t>
  </si>
  <si>
    <t>XNZBK7909</t>
  </si>
  <si>
    <t>XA1XZDBJC</t>
  </si>
  <si>
    <t>ALS191201WS3</t>
  </si>
  <si>
    <t>ALS210901WS3</t>
  </si>
  <si>
    <t>Christine Schlosser</t>
  </si>
  <si>
    <t>22 Robinhood Dr</t>
  </si>
  <si>
    <t>Fallsington</t>
  </si>
  <si>
    <t>19054-2625</t>
  </si>
  <si>
    <t>XNZBK4502</t>
  </si>
  <si>
    <t>ALR040901003</t>
  </si>
  <si>
    <t>XRI0A61CG</t>
  </si>
  <si>
    <t>Schwarz</t>
  </si>
  <si>
    <t>Sharon and James Schwarz</t>
  </si>
  <si>
    <t>Sharon and James</t>
  </si>
  <si>
    <t>6306 Woodington Way</t>
  </si>
  <si>
    <t>53711-3163</t>
  </si>
  <si>
    <t>schwarziesl@hotmail.com</t>
  </si>
  <si>
    <t>XNZCK7817</t>
  </si>
  <si>
    <t>Mrs. Barbara I. Wyman</t>
  </si>
  <si>
    <t>4 Valente Dr</t>
  </si>
  <si>
    <t>12198-8213</t>
  </si>
  <si>
    <t>troy16@aol.com</t>
  </si>
  <si>
    <t>barbarawyman1035@aol.com</t>
  </si>
  <si>
    <t>ALL20040B53M</t>
  </si>
  <si>
    <t>XRF7A31L</t>
  </si>
  <si>
    <t>Greenstein</t>
  </si>
  <si>
    <t>Seidman</t>
  </si>
  <si>
    <t>Ms. Ruth L. Greenstein and Mr. David Seidman</t>
  </si>
  <si>
    <t>Ruth and David</t>
  </si>
  <si>
    <t>2737 Devonshire Pl NW Apt 420</t>
  </si>
  <si>
    <t>20008-3469</t>
  </si>
  <si>
    <t>ruth.greenstein@post.harvard.edu</t>
  </si>
  <si>
    <t>XNAEJ4103</t>
  </si>
  <si>
    <t>seidmad@yahoo.com</t>
  </si>
  <si>
    <t>seidmad@att.net</t>
  </si>
  <si>
    <t>ALA19120W001</t>
  </si>
  <si>
    <t>ALA2004N0WSC</t>
  </si>
  <si>
    <t>Mr. Tom Verbison</t>
  </si>
  <si>
    <t>36530 Ann Arbor Trl</t>
  </si>
  <si>
    <t>48150-3418</t>
  </si>
  <si>
    <t>tverbiso@yahoo.com</t>
  </si>
  <si>
    <t>XNZAK6005</t>
  </si>
  <si>
    <t>ALL23040A6BM</t>
  </si>
  <si>
    <t>James W. Meyer</t>
  </si>
  <si>
    <t>313 Lindsey Ct</t>
  </si>
  <si>
    <t>Cape Canaveral</t>
  </si>
  <si>
    <t>32920-2134</t>
  </si>
  <si>
    <t>jwm4072@hotmail.com</t>
  </si>
  <si>
    <t>jmeyer@noaddress.ea</t>
  </si>
  <si>
    <t>XNZAK6407</t>
  </si>
  <si>
    <t>Mr. Farley G. Mann</t>
  </si>
  <si>
    <t>23 Calle Altea</t>
  </si>
  <si>
    <t>92673-6851</t>
  </si>
  <si>
    <t>farleymann1@cox.net</t>
  </si>
  <si>
    <t>Workhoven</t>
  </si>
  <si>
    <t>Mr. Robert M. Workhoven</t>
  </si>
  <si>
    <t>19 El Refugio Rd</t>
  </si>
  <si>
    <t>87059-7404</t>
  </si>
  <si>
    <t>rhaldane@live.com</t>
  </si>
  <si>
    <t>XNLWL4303</t>
  </si>
  <si>
    <t>ALA21120A25A</t>
  </si>
  <si>
    <t>C. Christine</t>
  </si>
  <si>
    <t>Maynard</t>
  </si>
  <si>
    <t>Ms. Maynard</t>
  </si>
  <si>
    <t>14 Appletree Ln</t>
  </si>
  <si>
    <t>Andover</t>
  </si>
  <si>
    <t>01810-4102</t>
  </si>
  <si>
    <t>XNZBK7209</t>
  </si>
  <si>
    <t>ALA17010A24A</t>
  </si>
  <si>
    <t>ALA021101085</t>
  </si>
  <si>
    <t>Fee</t>
  </si>
  <si>
    <t>Mr. James K. Fee</t>
  </si>
  <si>
    <t>PO Box 241</t>
  </si>
  <si>
    <t>19067-8241</t>
  </si>
  <si>
    <t>lambert_13@hotmail.com</t>
  </si>
  <si>
    <t>XNAEJ2301</t>
  </si>
  <si>
    <t>ALR181115C20</t>
  </si>
  <si>
    <t>XNQBJ4302</t>
  </si>
  <si>
    <t>Ms. Corinne S. Rovetti</t>
  </si>
  <si>
    <t>6925 Sevierville Pike</t>
  </si>
  <si>
    <t>37920-6527</t>
  </si>
  <si>
    <t>crovett@aol.com</t>
  </si>
  <si>
    <t>XNLTL1710</t>
  </si>
  <si>
    <t>ALR200703C33</t>
  </si>
  <si>
    <t>Janet W. Murphy</t>
  </si>
  <si>
    <t>2033 Butterfly Ln Apt CCT18</t>
  </si>
  <si>
    <t>Naperville</t>
  </si>
  <si>
    <t>60563-5300</t>
  </si>
  <si>
    <t>bj4932@sbcglobal.net</t>
  </si>
  <si>
    <t>XNLTL3304</t>
  </si>
  <si>
    <t>ALR210611C40</t>
  </si>
  <si>
    <t>ALA060501025</t>
  </si>
  <si>
    <t>Ms. Kris Murphy</t>
  </si>
  <si>
    <t>1939 N Laguna Oaks Dr</t>
  </si>
  <si>
    <t>85614-6341</t>
  </si>
  <si>
    <t>durango90@hotmail.com</t>
  </si>
  <si>
    <t>XNLTL3204</t>
  </si>
  <si>
    <t>Mickey</t>
  </si>
  <si>
    <t>Mr. Mickey McCartney</t>
  </si>
  <si>
    <t>23379 Sanabria Loop</t>
  </si>
  <si>
    <t>Bonita Springs</t>
  </si>
  <si>
    <t>34135-5372</t>
  </si>
  <si>
    <t>mickeymccartney@aol.com</t>
  </si>
  <si>
    <t>XNZAK2607</t>
  </si>
  <si>
    <t>ALQ2311NBEMC</t>
  </si>
  <si>
    <t>Munsterteiger</t>
  </si>
  <si>
    <t>8415 Underwood Ln</t>
  </si>
  <si>
    <t>rstation58@aol.com</t>
  </si>
  <si>
    <t>XNASA2009</t>
  </si>
  <si>
    <t>ALR100301003</t>
  </si>
  <si>
    <t>Pettus</t>
  </si>
  <si>
    <t>Bilyeu</t>
  </si>
  <si>
    <t>Marjorie Pettus and Brian Bilyeu</t>
  </si>
  <si>
    <t>Marjorie and Brian</t>
  </si>
  <si>
    <t>4301 S Las Arboledas Trl</t>
  </si>
  <si>
    <t>Gold Canyon</t>
  </si>
  <si>
    <t>85118-1901</t>
  </si>
  <si>
    <t>msmeps@aol.com</t>
  </si>
  <si>
    <t>XNASA2504</t>
  </si>
  <si>
    <t>ALR221003C54</t>
  </si>
  <si>
    <t>ALR120801004</t>
  </si>
  <si>
    <t>Deforge</t>
  </si>
  <si>
    <t>332 Laurel Hollow Dr</t>
  </si>
  <si>
    <t>Nokomis</t>
  </si>
  <si>
    <t>34275-4022</t>
  </si>
  <si>
    <t>ndeforge10@gmail.com</t>
  </si>
  <si>
    <t>XNAVA2704</t>
  </si>
  <si>
    <t>Alfred</t>
  </si>
  <si>
    <t>Noreen</t>
  </si>
  <si>
    <t>Alfred and Arlene</t>
  </si>
  <si>
    <t>2665 Tallant Rd Apt W102</t>
  </si>
  <si>
    <t>93105-4886</t>
  </si>
  <si>
    <t>noreena542@gmail.com</t>
  </si>
  <si>
    <t>aenoreen@verizon.net</t>
  </si>
  <si>
    <t>XNASA2409</t>
  </si>
  <si>
    <t>ALR221001EMC</t>
  </si>
  <si>
    <t>Roger Hewlett and Carol Bone</t>
  </si>
  <si>
    <t>Roger and Carol</t>
  </si>
  <si>
    <t>1715 N River Colony Rd</t>
  </si>
  <si>
    <t>#19</t>
  </si>
  <si>
    <t>rogerhewlett@sbcglobal.net</t>
  </si>
  <si>
    <t>rogerhewlett@hotmail.com</t>
  </si>
  <si>
    <t>XNASA2809</t>
  </si>
  <si>
    <t>Brian Amerine</t>
  </si>
  <si>
    <t>3759 Klondike Rd</t>
  </si>
  <si>
    <t>XNASX3405</t>
  </si>
  <si>
    <t>ALA060903059</t>
  </si>
  <si>
    <t>XRH5A13M</t>
  </si>
  <si>
    <t>Dick</t>
  </si>
  <si>
    <t>Mr. Jan M. Dick</t>
  </si>
  <si>
    <t>PO Box 1113</t>
  </si>
  <si>
    <t>46384-1113</t>
  </si>
  <si>
    <t>janmares@msn.com</t>
  </si>
  <si>
    <t>XNASA3322</t>
  </si>
  <si>
    <t>Priggel</t>
  </si>
  <si>
    <t>Jo Ann Priggel</t>
  </si>
  <si>
    <t>102 Clover Ln</t>
  </si>
  <si>
    <t>Portageville</t>
  </si>
  <si>
    <t>63873-1008</t>
  </si>
  <si>
    <t>XNLWL2709</t>
  </si>
  <si>
    <t>ALL21020ACBM</t>
  </si>
  <si>
    <t>ALQ1108FB040</t>
  </si>
  <si>
    <t>Mr. Bradley M. Bernau</t>
  </si>
  <si>
    <t>555 Avondale Ln</t>
  </si>
  <si>
    <t>Hoffman Estates</t>
  </si>
  <si>
    <t>60169-1953</t>
  </si>
  <si>
    <t>bbernau1@gmail.com</t>
  </si>
  <si>
    <t>bmbpga@hotmail.com</t>
  </si>
  <si>
    <t>ALR170302EMC</t>
  </si>
  <si>
    <t>Redman</t>
  </si>
  <si>
    <t>Laila</t>
  </si>
  <si>
    <t>Mrs. Laila and Mr. Michael J. Redman</t>
  </si>
  <si>
    <t>Laila and Michael</t>
  </si>
  <si>
    <t>11424 Richmond Ave Apt 135</t>
  </si>
  <si>
    <t>77082-2524</t>
  </si>
  <si>
    <t>mjredman@prodigy.net</t>
  </si>
  <si>
    <t>jkuck646@cs.com</t>
  </si>
  <si>
    <t>XBMJ94</t>
  </si>
  <si>
    <t>ALQ2301N0WSC</t>
  </si>
  <si>
    <t>XT53HBB</t>
  </si>
  <si>
    <t>Sophie</t>
  </si>
  <si>
    <t>Mrs. Sophie Jordan</t>
  </si>
  <si>
    <t>PO Box 22</t>
  </si>
  <si>
    <t>Aydlett</t>
  </si>
  <si>
    <t>27916-0022</t>
  </si>
  <si>
    <t>XNASA2906</t>
  </si>
  <si>
    <t>Rita-Marie</t>
  </si>
  <si>
    <t>Guy</t>
  </si>
  <si>
    <t>1696 Bent Tree Cir</t>
  </si>
  <si>
    <t>33907-8004</t>
  </si>
  <si>
    <t>XNNAB7409</t>
  </si>
  <si>
    <t>ALR181203054</t>
  </si>
  <si>
    <t>ALR140901054</t>
  </si>
  <si>
    <t>Eno</t>
  </si>
  <si>
    <t>Ms. Jean C. Eno</t>
  </si>
  <si>
    <t>2926 Canter Dr</t>
  </si>
  <si>
    <t>Hillsborough</t>
  </si>
  <si>
    <t>27278-7816</t>
  </si>
  <si>
    <t>enojean5@gmail.com</t>
  </si>
  <si>
    <t>jceno7play@embarqmail.com</t>
  </si>
  <si>
    <t>XNNAB4302</t>
  </si>
  <si>
    <t>ALR230103C33</t>
  </si>
  <si>
    <t>ALL1301L1EMC</t>
  </si>
  <si>
    <t>Turtzo</t>
  </si>
  <si>
    <t>60 W Broad St</t>
  </si>
  <si>
    <t>Ste 303</t>
  </si>
  <si>
    <t>18018-5721</t>
  </si>
  <si>
    <t>micou195412391@aol.com</t>
  </si>
  <si>
    <t>XNNAB7122</t>
  </si>
  <si>
    <t>ALL090501017</t>
  </si>
  <si>
    <t>XT7SBBDA1</t>
  </si>
  <si>
    <t>Ms. Kathleen A. Wright</t>
  </si>
  <si>
    <t>3930 Simms Ave SE</t>
  </si>
  <si>
    <t>87108-4338</t>
  </si>
  <si>
    <t>basketballgal56@msn.com</t>
  </si>
  <si>
    <t>XNNAB2804</t>
  </si>
  <si>
    <t>ALA240001004</t>
  </si>
  <si>
    <t>ALR051002104</t>
  </si>
  <si>
    <t>Busse</t>
  </si>
  <si>
    <t>Ms. Nancy L. Busse</t>
  </si>
  <si>
    <t>1775 Las Gallinas Ave</t>
  </si>
  <si>
    <t>San Rafael</t>
  </si>
  <si>
    <t>94903-1805</t>
  </si>
  <si>
    <t>XNNAB9317</t>
  </si>
  <si>
    <t>ALL23120A63M</t>
  </si>
  <si>
    <t>Mr. John J. Wlaysewski</t>
  </si>
  <si>
    <t>7836 64th Ln</t>
  </si>
  <si>
    <t>11385-6817</t>
  </si>
  <si>
    <t>XNNAB4005</t>
  </si>
  <si>
    <t>ALL23120B4BM</t>
  </si>
  <si>
    <t>Cowan</t>
  </si>
  <si>
    <t>Donald and Anita</t>
  </si>
  <si>
    <t>3128 Gracefield Rd Apt 505</t>
  </si>
  <si>
    <t>20904-5842</t>
  </si>
  <si>
    <t>cowandj@aol.com</t>
  </si>
  <si>
    <t>apcowan@aol.com</t>
  </si>
  <si>
    <t>XNASA2310</t>
  </si>
  <si>
    <t>Wiggins</t>
  </si>
  <si>
    <t>Ms. Deborah D. Wiggins</t>
  </si>
  <si>
    <t>7215 Earl Drive</t>
  </si>
  <si>
    <t>20747-4606</t>
  </si>
  <si>
    <t>debdiwiggins@gmail.com</t>
  </si>
  <si>
    <t>ALR061201003</t>
  </si>
  <si>
    <t>XRI9A53G</t>
  </si>
  <si>
    <t>Ardyth</t>
  </si>
  <si>
    <t>Oien</t>
  </si>
  <si>
    <t>Ms. Ardyth L. Oien</t>
  </si>
  <si>
    <t>135 146th Ave SE</t>
  </si>
  <si>
    <t>98007-5141</t>
  </si>
  <si>
    <t>ardytho@gmail.com</t>
  </si>
  <si>
    <t>XNNAB2704</t>
  </si>
  <si>
    <t>ALL21090B6BM</t>
  </si>
  <si>
    <t>ALR141201133</t>
  </si>
  <si>
    <t>Dobbins</t>
  </si>
  <si>
    <t>Allen Dobbins</t>
  </si>
  <si>
    <t>620 SW Caruthers St Ste 782</t>
  </si>
  <si>
    <t>97201-5055</t>
  </si>
  <si>
    <t>aldobbins@aol.com</t>
  </si>
  <si>
    <t>XNYBX3804</t>
  </si>
  <si>
    <t>ALS231201512</t>
  </si>
  <si>
    <t>ALA1311075BD</t>
  </si>
  <si>
    <t>Mrs. Barbara A. Carter</t>
  </si>
  <si>
    <t>62105 E Valley Crest Ct</t>
  </si>
  <si>
    <t>85739-1822</t>
  </si>
  <si>
    <t>carter@robsoncom.net</t>
  </si>
  <si>
    <t>XNNCB3806</t>
  </si>
  <si>
    <t>Mr. Lloyd P. Fox</t>
  </si>
  <si>
    <t>3255 Villa Ln</t>
  </si>
  <si>
    <t>Apt 220</t>
  </si>
  <si>
    <t>94558-3035</t>
  </si>
  <si>
    <t>XNNBB4101</t>
  </si>
  <si>
    <t>ALL19070D73M</t>
  </si>
  <si>
    <t>XRI5A12CM</t>
  </si>
  <si>
    <t>Burma Helene</t>
  </si>
  <si>
    <t>Burma Helene Hyde</t>
  </si>
  <si>
    <t>240 Wyanoke Drive</t>
  </si>
  <si>
    <t>78209-6433</t>
  </si>
  <si>
    <t>ALR140808023</t>
  </si>
  <si>
    <t>Earnest Amabisca</t>
  </si>
  <si>
    <t>PO Box 914</t>
  </si>
  <si>
    <t>97457-0122</t>
  </si>
  <si>
    <t>skyydymond@hotmail.com</t>
  </si>
  <si>
    <t>XNNBB3806</t>
  </si>
  <si>
    <t>ALR240403C33</t>
  </si>
  <si>
    <t>ALR070103003</t>
  </si>
  <si>
    <t>Piper</t>
  </si>
  <si>
    <t>Cheryl and Mark</t>
  </si>
  <si>
    <t>13533 Point Pleasant Dr</t>
  </si>
  <si>
    <t>Chantilly</t>
  </si>
  <si>
    <t>20151-2442</t>
  </si>
  <si>
    <t>XNNAB7807</t>
  </si>
  <si>
    <t>Dexter</t>
  </si>
  <si>
    <t>Ittner</t>
  </si>
  <si>
    <t>Mr. and Mrs. Dexter Ittner</t>
  </si>
  <si>
    <t>6100 Lakeview Drive</t>
  </si>
  <si>
    <t>Helena</t>
  </si>
  <si>
    <t>XNNAB0806</t>
  </si>
  <si>
    <t>ALR121101005</t>
  </si>
  <si>
    <t>Mrs. K. Armstrong</t>
  </si>
  <si>
    <t>Mrs. Armstrong</t>
  </si>
  <si>
    <t>133 S Roosevelt St</t>
  </si>
  <si>
    <t>61554-1145</t>
  </si>
  <si>
    <t>sarahmae@centurylink.net</t>
  </si>
  <si>
    <t>ALA23070A22C</t>
  </si>
  <si>
    <t>ALR180201033</t>
  </si>
  <si>
    <t>Mrs. Robert J. Elliott</t>
  </si>
  <si>
    <t>2223 Fernwood</t>
  </si>
  <si>
    <t>ALL080701027</t>
  </si>
  <si>
    <t>ALA020302029</t>
  </si>
  <si>
    <t>Duval</t>
  </si>
  <si>
    <t>Georges</t>
  </si>
  <si>
    <t>Patricia and Georges Duval</t>
  </si>
  <si>
    <t>Patricia and Georges</t>
  </si>
  <si>
    <t>PO Box 1005</t>
  </si>
  <si>
    <t>87347-1005</t>
  </si>
  <si>
    <t>XNNAB0209</t>
  </si>
  <si>
    <t>ALL20020B7BM</t>
  </si>
  <si>
    <t>XT54JBH</t>
  </si>
  <si>
    <t>Feidelman</t>
  </si>
  <si>
    <t>113 W Chipola Ave Apt 507</t>
  </si>
  <si>
    <t>Deland</t>
  </si>
  <si>
    <t>32720-7524</t>
  </si>
  <si>
    <t>mefeidelman@outlook.com</t>
  </si>
  <si>
    <t>mefeidelman@embarqmail.com</t>
  </si>
  <si>
    <t>XNASA5417</t>
  </si>
  <si>
    <t>ALG080001001</t>
  </si>
  <si>
    <t>Cromwell</t>
  </si>
  <si>
    <t>25 Tolland Ave</t>
  </si>
  <si>
    <t>Vernon</t>
  </si>
  <si>
    <t>06066-3809</t>
  </si>
  <si>
    <t>lrcromwell@aol.com</t>
  </si>
  <si>
    <t>XNNAB1405</t>
  </si>
  <si>
    <t>ALA2311S5EMC</t>
  </si>
  <si>
    <t>Elayne</t>
  </si>
  <si>
    <t>Thymides</t>
  </si>
  <si>
    <t>Elayne Thymides</t>
  </si>
  <si>
    <t>913 N Haven Circle</t>
  </si>
  <si>
    <t>Chesapeake</t>
  </si>
  <si>
    <t>XNNAB700</t>
  </si>
  <si>
    <t>ALR031101003</t>
  </si>
  <si>
    <t>Mrs. Barbara A. Gale</t>
  </si>
  <si>
    <t>PO Box 2</t>
  </si>
  <si>
    <t>Highlandville</t>
  </si>
  <si>
    <t>65669-0002</t>
  </si>
  <si>
    <t>bggale68@nowisp.net</t>
  </si>
  <si>
    <t>bggale68@mowisp.net</t>
  </si>
  <si>
    <t>XNPVC4104</t>
  </si>
  <si>
    <t>ALA20080A33A</t>
  </si>
  <si>
    <t>ALR140401044</t>
  </si>
  <si>
    <t>Kermit</t>
  </si>
  <si>
    <t>Kermit E. Jones, Jr.</t>
  </si>
  <si>
    <t>340 21st St SW</t>
  </si>
  <si>
    <t>34117-3206</t>
  </si>
  <si>
    <t>candacecreacions@hotmail.com</t>
  </si>
  <si>
    <t>funwater@icloud.com</t>
  </si>
  <si>
    <t>XNPPC6503</t>
  </si>
  <si>
    <t>ALR230610C33</t>
  </si>
  <si>
    <t>XL2PABCCG</t>
  </si>
  <si>
    <t>9201 Maplehurst Trail</t>
  </si>
  <si>
    <t>c/o Mr. John Hilton</t>
  </si>
  <si>
    <t>janhilton@cox.net</t>
  </si>
  <si>
    <t>redrobin1938@cableone.net</t>
  </si>
  <si>
    <t>XNNAB8422</t>
  </si>
  <si>
    <t>Cecil</t>
  </si>
  <si>
    <t>Mr. Dennis L. Cecil</t>
  </si>
  <si>
    <t>2147 Pine Valley Dr</t>
  </si>
  <si>
    <t>45013-7016</t>
  </si>
  <si>
    <t>dcecil30@hotmail.com</t>
  </si>
  <si>
    <t>dcecil@fuse.net</t>
  </si>
  <si>
    <t>XNPVC4204</t>
  </si>
  <si>
    <t>Whitmore</t>
  </si>
  <si>
    <t>Mrs. Alice J. Whitmore</t>
  </si>
  <si>
    <t>110 N Fairview Ave</t>
  </si>
  <si>
    <t>North Prairie</t>
  </si>
  <si>
    <t>53153-9713</t>
  </si>
  <si>
    <t>XNPPC4504</t>
  </si>
  <si>
    <t>ALQ2207BA220</t>
  </si>
  <si>
    <t>Rosemarie Buote</t>
  </si>
  <si>
    <t>1690 Wellington St</t>
  </si>
  <si>
    <t>02715-1000</t>
  </si>
  <si>
    <t>rosemariebuote@aol.com</t>
  </si>
  <si>
    <t>ALA22010B23R</t>
  </si>
  <si>
    <t>ALR150913040</t>
  </si>
  <si>
    <t>Bragg</t>
  </si>
  <si>
    <t>Marilyn Bragg</t>
  </si>
  <si>
    <t>28467 Abbey Rd</t>
  </si>
  <si>
    <t>Millbury</t>
  </si>
  <si>
    <t>43447-9700</t>
  </si>
  <si>
    <t>XNPPY4204</t>
  </si>
  <si>
    <t>ALR231002C44</t>
  </si>
  <si>
    <t>Ostrowski</t>
  </si>
  <si>
    <t>Nancy Ostrowski and Diane Williams</t>
  </si>
  <si>
    <t>Nancy and Diane</t>
  </si>
  <si>
    <t>5403 Hopark Dr</t>
  </si>
  <si>
    <t>22310-1109</t>
  </si>
  <si>
    <t>nancy.o@cox.net</t>
  </si>
  <si>
    <t>XNPPC0407</t>
  </si>
  <si>
    <t>diane.d.williams@cox.net</t>
  </si>
  <si>
    <t>ALA2112D3ER2</t>
  </si>
  <si>
    <t>8045 Cache Creek Ln</t>
  </si>
  <si>
    <t>Melbourne</t>
  </si>
  <si>
    <t>32940-8756</t>
  </si>
  <si>
    <t>martygat@aol.com</t>
  </si>
  <si>
    <t>ALR231003C64</t>
  </si>
  <si>
    <t>ALA16070E56H</t>
  </si>
  <si>
    <t>Helen and Jerry Hassemer</t>
  </si>
  <si>
    <t>Helen and Jerry</t>
  </si>
  <si>
    <t>1000 N Beeline Hwy # 160</t>
  </si>
  <si>
    <t>85541-4907</t>
  </si>
  <si>
    <t>jerhhkilo@yahoo.com</t>
  </si>
  <si>
    <t>jerryhelenh@hotmail.com</t>
  </si>
  <si>
    <t>XNPPC5006</t>
  </si>
  <si>
    <t>ALR200201C54</t>
  </si>
  <si>
    <t>ALA19010B24A</t>
  </si>
  <si>
    <t>Ms. Gay E. Groomes</t>
  </si>
  <si>
    <t>1005 Robin Cir</t>
  </si>
  <si>
    <t>93420-1321</t>
  </si>
  <si>
    <t>gaygroomes@yahoo.com</t>
  </si>
  <si>
    <t>gaygroomes@charter.net</t>
  </si>
  <si>
    <t>XNPPC4304</t>
  </si>
  <si>
    <t>Torrey</t>
  </si>
  <si>
    <t>Ms. Kathy M. Torrey</t>
  </si>
  <si>
    <t>1332 Bridle Way</t>
  </si>
  <si>
    <t>89423-8820</t>
  </si>
  <si>
    <t>mktorrey@earthlink.net</t>
  </si>
  <si>
    <t>XNPYC4204</t>
  </si>
  <si>
    <t>ALA2211D5EMC</t>
  </si>
  <si>
    <t>Dr. John D. Williams</t>
  </si>
  <si>
    <t>PO Box 357</t>
  </si>
  <si>
    <t>98640-0357</t>
  </si>
  <si>
    <t>john.williams@ndus.edu</t>
  </si>
  <si>
    <t>joleawilliams@hotmail.com</t>
  </si>
  <si>
    <t>XNPPC6907</t>
  </si>
  <si>
    <t>ALR150803033</t>
  </si>
  <si>
    <t>Archer</t>
  </si>
  <si>
    <t>2824 Summer Creek Ct</t>
  </si>
  <si>
    <t>29732-8933</t>
  </si>
  <si>
    <t>archercb@mountunion.edu</t>
  </si>
  <si>
    <t>XNPPC0806</t>
  </si>
  <si>
    <t>ALA19100D55H</t>
  </si>
  <si>
    <t>Vera</t>
  </si>
  <si>
    <t>Vogt</t>
  </si>
  <si>
    <t>Ms. Vera Vogt</t>
  </si>
  <si>
    <t>1090 Houston Mill Rd NE</t>
  </si>
  <si>
    <t>30329-3834</t>
  </si>
  <si>
    <t>veryvogt1@yahoo.com</t>
  </si>
  <si>
    <t>X8D09</t>
  </si>
  <si>
    <t>ALR230608C44</t>
  </si>
  <si>
    <t>ALA16030K31A</t>
  </si>
  <si>
    <t>Douglas Hart</t>
  </si>
  <si>
    <t>38 Harbor Oaks Cir</t>
  </si>
  <si>
    <t>34695-2828</t>
  </si>
  <si>
    <t>XNPPYA117</t>
  </si>
  <si>
    <t>Lillian</t>
  </si>
  <si>
    <t>Tallman</t>
  </si>
  <si>
    <t>Lillian Tallman</t>
  </si>
  <si>
    <t>3545 Mont Blanc Ct</t>
  </si>
  <si>
    <t>Carson City</t>
  </si>
  <si>
    <t>89705-7023</t>
  </si>
  <si>
    <t>lilnjac@me.com</t>
  </si>
  <si>
    <t>lilnjac@aol.com</t>
  </si>
  <si>
    <t>XNPPY4808</t>
  </si>
  <si>
    <t>Natalia</t>
  </si>
  <si>
    <t>Natalia and Charles Kendall</t>
  </si>
  <si>
    <t>Natalia and Charles</t>
  </si>
  <si>
    <t>3301 E Carollton Dr</t>
  </si>
  <si>
    <t>53154-4121</t>
  </si>
  <si>
    <t>aswind77@yahoo.com</t>
  </si>
  <si>
    <t>XNNAB450</t>
  </si>
  <si>
    <t>kendallzoo@sbcglobal.net</t>
  </si>
  <si>
    <t>ALA2112D0WSC</t>
  </si>
  <si>
    <t>Patrick J. Nugent</t>
  </si>
  <si>
    <t>480 Mulberry Ln NW</t>
  </si>
  <si>
    <t>Bemidji</t>
  </si>
  <si>
    <t>56601-8762</t>
  </si>
  <si>
    <t>patypat@midco.net</t>
  </si>
  <si>
    <t>XNCAD8317</t>
  </si>
  <si>
    <t>ALA2404D1EMC</t>
  </si>
  <si>
    <t>Mrs. Lushia Rogers</t>
  </si>
  <si>
    <t>Mrs. Rogers</t>
  </si>
  <si>
    <t>15214 N 12th Street</t>
  </si>
  <si>
    <t>85022-3802</t>
  </si>
  <si>
    <t>XNCBD6303</t>
  </si>
  <si>
    <t>Ms. Joyce F. Hawk</t>
  </si>
  <si>
    <t>108 Clubhouse Dr Apt B</t>
  </si>
  <si>
    <t>West Middlesex</t>
  </si>
  <si>
    <t>16159-2245</t>
  </si>
  <si>
    <t>hawkjf1@gmail.com</t>
  </si>
  <si>
    <t>hawkjf@verizon.net</t>
  </si>
  <si>
    <t>XNCAD4904</t>
  </si>
  <si>
    <t>ALR220502C33</t>
  </si>
  <si>
    <t>ALA17020B23R</t>
  </si>
  <si>
    <t>Caryl Mcclure</t>
  </si>
  <si>
    <t>5323 Knox Dr</t>
  </si>
  <si>
    <t>95236-9571</t>
  </si>
  <si>
    <t>bicc6096@aol.com</t>
  </si>
  <si>
    <t>XNCAD5606</t>
  </si>
  <si>
    <t>ALA22090A55H</t>
  </si>
  <si>
    <t>Burt</t>
  </si>
  <si>
    <t>Peter J. Burt</t>
  </si>
  <si>
    <t>5025 S Ash Avenue Ste 4</t>
  </si>
  <si>
    <t>Tempe</t>
  </si>
  <si>
    <t>85282-6885</t>
  </si>
  <si>
    <t>XNCAD2007</t>
  </si>
  <si>
    <t>Bliss</t>
  </si>
  <si>
    <t>Robert and Betty Bliss</t>
  </si>
  <si>
    <t>Robert and Betty</t>
  </si>
  <si>
    <t>2601 N 100th St</t>
  </si>
  <si>
    <t>66109-4521</t>
  </si>
  <si>
    <t>XNCAD6122</t>
  </si>
  <si>
    <t>ALR101105003</t>
  </si>
  <si>
    <t>XRK0A62GN</t>
  </si>
  <si>
    <t>10017 Shahan Ct</t>
  </si>
  <si>
    <t>46256-9756</t>
  </si>
  <si>
    <t>ver61el.handon@comcast.net</t>
  </si>
  <si>
    <t>vernehanson@netzero.net</t>
  </si>
  <si>
    <t>ALR220401C33</t>
  </si>
  <si>
    <t>ALR140601133</t>
  </si>
  <si>
    <t>Mrs. Barbara W. and Mr. Erich Hespenheide</t>
  </si>
  <si>
    <t>Barbara and Erich</t>
  </si>
  <si>
    <t>11 Mcintosh Dr</t>
  </si>
  <si>
    <t>12603-2516</t>
  </si>
  <si>
    <t>bwhespen@juno.com</t>
  </si>
  <si>
    <t>bwhespen@gmail.com</t>
  </si>
  <si>
    <t>XNCAD1309</t>
  </si>
  <si>
    <t>ALR220501C23</t>
  </si>
  <si>
    <t>Rickmeyer</t>
  </si>
  <si>
    <t>Mr. David M. Doyle</t>
  </si>
  <si>
    <t>787 Fairview Blvd</t>
  </si>
  <si>
    <t>dave@otv.com</t>
  </si>
  <si>
    <t>dave@quest.com</t>
  </si>
  <si>
    <t>XNCAD3709</t>
  </si>
  <si>
    <t>ALQ1708N4EMC</t>
  </si>
  <si>
    <t>AGA02000202F</t>
  </si>
  <si>
    <t>Caitlin and Robert Ceci</t>
  </si>
  <si>
    <t>Caitlin and Robert</t>
  </si>
  <si>
    <t>51 Lawrencia Dr</t>
  </si>
  <si>
    <t>Lawrence Township</t>
  </si>
  <si>
    <t>08648-2026</t>
  </si>
  <si>
    <t>caitlin_ceci@hotmail.com</t>
  </si>
  <si>
    <t>suececi@gmail.com</t>
  </si>
  <si>
    <t>XNCBD7205</t>
  </si>
  <si>
    <t>ALR231001C23</t>
  </si>
  <si>
    <t>ALA1304D3EMC</t>
  </si>
  <si>
    <t>rlcmd73@comcast.net</t>
  </si>
  <si>
    <t>Salvatore</t>
  </si>
  <si>
    <t>Ales</t>
  </si>
  <si>
    <t>Mr. Salvatore Ales</t>
  </si>
  <si>
    <t>41715 Stratton Dr</t>
  </si>
  <si>
    <t>Clinton Township</t>
  </si>
  <si>
    <t>48038-5208</t>
  </si>
  <si>
    <t>sajoales@yahoo.com</t>
  </si>
  <si>
    <t>XNKAE1507</t>
  </si>
  <si>
    <t>ALA23070B43A</t>
  </si>
  <si>
    <t>ALR221010C44</t>
  </si>
  <si>
    <t>Peery</t>
  </si>
  <si>
    <t>Ms. Irene M. Peery</t>
  </si>
  <si>
    <t>4597 Heather Ct</t>
  </si>
  <si>
    <t>22911-8362</t>
  </si>
  <si>
    <t>imp1775@embarqmail.com</t>
  </si>
  <si>
    <t>peery97m@gmail.com</t>
  </si>
  <si>
    <t>XNKAE8207</t>
  </si>
  <si>
    <t>ALA21050654A</t>
  </si>
  <si>
    <t>Hulsey</t>
  </si>
  <si>
    <t>Gary and Karen Hulsey</t>
  </si>
  <si>
    <t>Gary and Karen</t>
  </si>
  <si>
    <t>435 Crockett Cir</t>
  </si>
  <si>
    <t>Canal Fulton</t>
  </si>
  <si>
    <t>gilredrock@centurylink.net</t>
  </si>
  <si>
    <t>XNKAE4922</t>
  </si>
  <si>
    <t>Tearney</t>
  </si>
  <si>
    <t>Mr. Michael G. Tearney</t>
  </si>
  <si>
    <t>4890 Mccowans Ferry Rd</t>
  </si>
  <si>
    <t>Versailles</t>
  </si>
  <si>
    <t>40383-9631</t>
  </si>
  <si>
    <t>tearney@ukcc.uky.edu</t>
  </si>
  <si>
    <t>tearney@uky.edu</t>
  </si>
  <si>
    <t>Kriss</t>
  </si>
  <si>
    <t>Kriss Larson</t>
  </si>
  <si>
    <t>136 Gauguin Cir</t>
  </si>
  <si>
    <t>Aliso Viejo</t>
  </si>
  <si>
    <t>92656-3870</t>
  </si>
  <si>
    <t>trekkspill@aol.com</t>
  </si>
  <si>
    <t>XNKAE8105</t>
  </si>
  <si>
    <t>Plever</t>
  </si>
  <si>
    <t>21 Barnes Rd</t>
  </si>
  <si>
    <t>Wading River</t>
  </si>
  <si>
    <t>11792-2102</t>
  </si>
  <si>
    <t>hplever@earthlink.net</t>
  </si>
  <si>
    <t>XNKDE6907</t>
  </si>
  <si>
    <t>ALA13090B23R</t>
  </si>
  <si>
    <t>Vasquez</t>
  </si>
  <si>
    <t>Edmondo</t>
  </si>
  <si>
    <t>Jane and Edmondo</t>
  </si>
  <si>
    <t>2889 San Pasqual St</t>
  </si>
  <si>
    <t>#D108</t>
  </si>
  <si>
    <t>91107-5364</t>
  </si>
  <si>
    <t>janevasquez1@att.net</t>
  </si>
  <si>
    <t>Wally</t>
  </si>
  <si>
    <t>1258 Ravenswood Dr</t>
  </si>
  <si>
    <t>47714-3511</t>
  </si>
  <si>
    <t>wnj_murphy@yahoo.com</t>
  </si>
  <si>
    <t>ALA23080D24A</t>
  </si>
  <si>
    <t>ALR220102C44</t>
  </si>
  <si>
    <t>Piatt</t>
  </si>
  <si>
    <t>Diana Piatt</t>
  </si>
  <si>
    <t>4910 Hall Rd</t>
  </si>
  <si>
    <t>Iowa Park</t>
  </si>
  <si>
    <t>76367-5724</t>
  </si>
  <si>
    <t>pnfacres@aol.com</t>
  </si>
  <si>
    <t>kfrito@aol.com</t>
  </si>
  <si>
    <t>XNKBE4306</t>
  </si>
  <si>
    <t>ALR24L347EMC</t>
  </si>
  <si>
    <t>Mr. Thomas F. Howe</t>
  </si>
  <si>
    <t>3257 Hamlin Ave</t>
  </si>
  <si>
    <t>53403-3501</t>
  </si>
  <si>
    <t>XNKCE3904</t>
  </si>
  <si>
    <t>ALS201101512</t>
  </si>
  <si>
    <t>ALR100802003</t>
  </si>
  <si>
    <t>Diana Lee</t>
  </si>
  <si>
    <t>Reiser</t>
  </si>
  <si>
    <t>Ms. Diana Lee Reiser</t>
  </si>
  <si>
    <t>8750 Silver Spur Rd</t>
  </si>
  <si>
    <t>Park City</t>
  </si>
  <si>
    <t>84098-4814</t>
  </si>
  <si>
    <t>iankolby@yahoo.com</t>
  </si>
  <si>
    <t>XNKBE9017</t>
  </si>
  <si>
    <t>XT55LBC</t>
  </si>
  <si>
    <t>Weiberg</t>
  </si>
  <si>
    <t>Ms. Karen Weiberg</t>
  </si>
  <si>
    <t>3409 36th Ave NE</t>
  </si>
  <si>
    <t>55418-1732</t>
  </si>
  <si>
    <t>karenknit10@yahoo.com</t>
  </si>
  <si>
    <t>ALA2112D7EM3</t>
  </si>
  <si>
    <t>Mrs. Margaret Brown</t>
  </si>
  <si>
    <t>2707 14th St</t>
  </si>
  <si>
    <t>95818-2923</t>
  </si>
  <si>
    <t>XNKAE5503</t>
  </si>
  <si>
    <t>Ms. Dorothy J. Oakes</t>
  </si>
  <si>
    <t>4 Monadnock Dr</t>
  </si>
  <si>
    <t>01886-3017</t>
  </si>
  <si>
    <t>djoakes1@icloud.com</t>
  </si>
  <si>
    <t>djoakes@comcast.net</t>
  </si>
  <si>
    <t>ALA1212S1EMC</t>
  </si>
  <si>
    <t>Ms. Kimberley A. Cox</t>
  </si>
  <si>
    <t>10636 S Leavitt St</t>
  </si>
  <si>
    <t>60643-3130</t>
  </si>
  <si>
    <t>kimberley1125@att.net</t>
  </si>
  <si>
    <t>XNPPC9817</t>
  </si>
  <si>
    <t>ALR141102054</t>
  </si>
  <si>
    <t>Mr. Vernon B. Glenn</t>
  </si>
  <si>
    <t>145 Evergreen Dr</t>
  </si>
  <si>
    <t>North Fort Myers</t>
  </si>
  <si>
    <t>33917-6302</t>
  </si>
  <si>
    <t>vb_glenn@yahoo.com</t>
  </si>
  <si>
    <t>vr_glenn@yahoo.com</t>
  </si>
  <si>
    <t>XNKFE7422</t>
  </si>
  <si>
    <t>ATA200901001</t>
  </si>
  <si>
    <t>Mrs. Rita and Mr. David J. Baden</t>
  </si>
  <si>
    <t>Rita and David</t>
  </si>
  <si>
    <t>13866 Pike Lake Trl NE</t>
  </si>
  <si>
    <t>55372-9070</t>
  </si>
  <si>
    <t>2hoots4u@gmail.com</t>
  </si>
  <si>
    <t>ATA220301001</t>
  </si>
  <si>
    <t>Niesen</t>
  </si>
  <si>
    <t>Dr. Charles E. and Dr. Susan E. Niesen</t>
  </si>
  <si>
    <t>Charles and Susan</t>
  </si>
  <si>
    <t>115 Glen Rd</t>
  </si>
  <si>
    <t>63119-2430</t>
  </si>
  <si>
    <t>shniesen@yahoo.com</t>
  </si>
  <si>
    <t>XNCCD7814</t>
  </si>
  <si>
    <t>Mr. Donald Anderson</t>
  </si>
  <si>
    <t>1250 S Race St</t>
  </si>
  <si>
    <t>80210-1818</t>
  </si>
  <si>
    <t>dma1guy@aol.com</t>
  </si>
  <si>
    <t>XBND94A</t>
  </si>
  <si>
    <t>ALA23100E24A</t>
  </si>
  <si>
    <t>ALR201201C44</t>
  </si>
  <si>
    <t>Mcfarland</t>
  </si>
  <si>
    <t>Ms. Anne Mcfarland</t>
  </si>
  <si>
    <t>8 Joseph Court</t>
  </si>
  <si>
    <t>22812-1659</t>
  </si>
  <si>
    <t>amcfarl934@aol.com</t>
  </si>
  <si>
    <t>XNAJF5509</t>
  </si>
  <si>
    <t>ALR151002044</t>
  </si>
  <si>
    <t>ALA090501008</t>
  </si>
  <si>
    <t>Jefko</t>
  </si>
  <si>
    <t>Cynthia E. Jefko</t>
  </si>
  <si>
    <t>721 Parkway Dr</t>
  </si>
  <si>
    <t>Mount Horeb</t>
  </si>
  <si>
    <t>53572-2180</t>
  </si>
  <si>
    <t>tessmann1@gmail.com</t>
  </si>
  <si>
    <t>XNAGF4404</t>
  </si>
  <si>
    <t>ALR221004C44</t>
  </si>
  <si>
    <t>ALR180406033</t>
  </si>
  <si>
    <t>Mrs. Barbara B. and Mr. Henry A. Leonard</t>
  </si>
  <si>
    <t>Barbara and Henry</t>
  </si>
  <si>
    <t>245 Terrell Rd W</t>
  </si>
  <si>
    <t>22901-2168</t>
  </si>
  <si>
    <t>bbleonard@verizon.net</t>
  </si>
  <si>
    <t>bleonard@cox.net</t>
  </si>
  <si>
    <t>XNKCE3604</t>
  </si>
  <si>
    <t>ADA180001003</t>
  </si>
  <si>
    <t>leonaha@verizon.net</t>
  </si>
  <si>
    <t>XNGPK7017</t>
  </si>
  <si>
    <t>ALA060102009</t>
  </si>
  <si>
    <t>Pon</t>
  </si>
  <si>
    <t>Ms. Jeannie Pon</t>
  </si>
  <si>
    <t>751 31st Ave</t>
  </si>
  <si>
    <t>94121-3523</t>
  </si>
  <si>
    <t>kevpon@gmail.com</t>
  </si>
  <si>
    <t>XNAGF6407</t>
  </si>
  <si>
    <t>ALA24010E13R</t>
  </si>
  <si>
    <t>Nancy Petercupo</t>
  </si>
  <si>
    <t>537 Precita Ave</t>
  </si>
  <si>
    <t>94110-4719</t>
  </si>
  <si>
    <t>XNAHF9217</t>
  </si>
  <si>
    <t>ALA18080A23R</t>
  </si>
  <si>
    <t>XRA8A31C2</t>
  </si>
  <si>
    <t>Raines</t>
  </si>
  <si>
    <t>Kem</t>
  </si>
  <si>
    <t>Judith and David</t>
  </si>
  <si>
    <t>2121 Persa St</t>
  </si>
  <si>
    <t>77019-6417</t>
  </si>
  <si>
    <t>ALA11010C14A</t>
  </si>
  <si>
    <t>Merchant</t>
  </si>
  <si>
    <t>1083 Arapahoe Dr</t>
  </si>
  <si>
    <t>Florissant</t>
  </si>
  <si>
    <t>80816-8617</t>
  </si>
  <si>
    <t>betty.merchant@yahoo.com</t>
  </si>
  <si>
    <t>readygo0041@yahoo.com</t>
  </si>
  <si>
    <t>XNAMF7908</t>
  </si>
  <si>
    <t>Kristina</t>
  </si>
  <si>
    <t>Leone</t>
  </si>
  <si>
    <t>7135 Le Chalet Blvd</t>
  </si>
  <si>
    <t>33472-5033</t>
  </si>
  <si>
    <t>kristina7135@comcast.net</t>
  </si>
  <si>
    <t>snickers152001@yahoo.com</t>
  </si>
  <si>
    <t>ALR200502C33</t>
  </si>
  <si>
    <t>Susan and Pat</t>
  </si>
  <si>
    <t>PO Box 1419</t>
  </si>
  <si>
    <t>Bethany Beach</t>
  </si>
  <si>
    <t>19930-1419</t>
  </si>
  <si>
    <t>fred.welsh@gmail.com</t>
  </si>
  <si>
    <t>swelsh@dutkogroup.com</t>
  </si>
  <si>
    <t>XNAHF1011</t>
  </si>
  <si>
    <t>ALA20010A54H</t>
  </si>
  <si>
    <t>Myung</t>
  </si>
  <si>
    <t>611 Sunset Rd</t>
  </si>
  <si>
    <t>48103-2918</t>
  </si>
  <si>
    <t>XNAGF9217</t>
  </si>
  <si>
    <t>ALL19090ABBM</t>
  </si>
  <si>
    <t>ALR071003004</t>
  </si>
  <si>
    <t>Dr. Donald M. Reed</t>
  </si>
  <si>
    <t>12521 W Prospect Dr</t>
  </si>
  <si>
    <t>53151-1859</t>
  </si>
  <si>
    <t>dreed34@wi.rr.com</t>
  </si>
  <si>
    <t>XPCH95</t>
  </si>
  <si>
    <t>ALR220104C54</t>
  </si>
  <si>
    <t>Halverson</t>
  </si>
  <si>
    <t>Mr. &amp; Mrs. James Halverson</t>
  </si>
  <si>
    <t>116 Fairview Ave N Unit 831</t>
  </si>
  <si>
    <t>98109-5366</t>
  </si>
  <si>
    <t>XNAMF5509</t>
  </si>
  <si>
    <t>ALR211103C33</t>
  </si>
  <si>
    <t>XRD8A31J</t>
  </si>
  <si>
    <t>Alice and Rick Flegel</t>
  </si>
  <si>
    <t>Alice and Rick</t>
  </si>
  <si>
    <t>8301 James Rd SW</t>
  </si>
  <si>
    <t>98579-8401</t>
  </si>
  <si>
    <t>nostampz@outlook.com</t>
  </si>
  <si>
    <t>XNAGF5702</t>
  </si>
  <si>
    <t>Hazel</t>
  </si>
  <si>
    <t>Mrs. Hazel Hanson</t>
  </si>
  <si>
    <t>1665 Jericho Rd</t>
  </si>
  <si>
    <t>99352-8687</t>
  </si>
  <si>
    <t>hazeljhanson@aol.com</t>
  </si>
  <si>
    <t>XNAGF4204</t>
  </si>
  <si>
    <t>ALR240203ERC</t>
  </si>
  <si>
    <t>ALA1606D3EMC</t>
  </si>
  <si>
    <t>Mrs. Phyllis and Mr. Alan Shurts</t>
  </si>
  <si>
    <t>Phyllis and Alan</t>
  </si>
  <si>
    <t>3640 R Rd</t>
  </si>
  <si>
    <t>67420-3142</t>
  </si>
  <si>
    <t>evashurts@hotmail.com</t>
  </si>
  <si>
    <t>pshurts@yahoo.com</t>
  </si>
  <si>
    <t>XNARF4104</t>
  </si>
  <si>
    <t>ALL19020AA3M</t>
  </si>
  <si>
    <t>Mr. Stephen H. Petersen</t>
  </si>
  <si>
    <t>2641 East Ave</t>
  </si>
  <si>
    <t>63040-1113</t>
  </si>
  <si>
    <t>XNBKG0708</t>
  </si>
  <si>
    <t>Fulcher</t>
  </si>
  <si>
    <t>Mrs. Ethel Fulcher</t>
  </si>
  <si>
    <t>5315 Plantation Rd</t>
  </si>
  <si>
    <t>24019-6417</t>
  </si>
  <si>
    <t>ALR060302003</t>
  </si>
  <si>
    <t>Fausett</t>
  </si>
  <si>
    <t>Patricia Fausett</t>
  </si>
  <si>
    <t>440 Azalea Way</t>
  </si>
  <si>
    <t>94022-3859</t>
  </si>
  <si>
    <t>pat.fausett@sbcglobal.net</t>
  </si>
  <si>
    <t>pat.fausett@gmail.com</t>
  </si>
  <si>
    <t>XNBKG5906</t>
  </si>
  <si>
    <t>ALR230312C40</t>
  </si>
  <si>
    <t>ALR170601023</t>
  </si>
  <si>
    <t>Dr. Diane E. Albert</t>
  </si>
  <si>
    <t>820 Ranchitos Rd NW</t>
  </si>
  <si>
    <t>Los Ranchos</t>
  </si>
  <si>
    <t>87114-1209</t>
  </si>
  <si>
    <t>dalbert@newmexico.com</t>
  </si>
  <si>
    <t>dalbert@cybermesa.com</t>
  </si>
  <si>
    <t>XNBKG6405</t>
  </si>
  <si>
    <t>NEE220003101:FY22STTP</t>
  </si>
  <si>
    <t>NEE210003301:FY21STTP</t>
  </si>
  <si>
    <t>Schonacher</t>
  </si>
  <si>
    <t>Ms. Judi K. Schonacher</t>
  </si>
  <si>
    <t>7931 Bendere Rd</t>
  </si>
  <si>
    <t>Hickory Corners</t>
  </si>
  <si>
    <t>49060-9523</t>
  </si>
  <si>
    <t>mynots@aol.com</t>
  </si>
  <si>
    <t>XNBKG6202</t>
  </si>
  <si>
    <t>ALR220501C66</t>
  </si>
  <si>
    <t>732 N Columbus St</t>
  </si>
  <si>
    <t>22314-1979</t>
  </si>
  <si>
    <t>tjbindc@aol.com</t>
  </si>
  <si>
    <t>babydriver50@aol.com</t>
  </si>
  <si>
    <t>XNBKG6703</t>
  </si>
  <si>
    <t>ALR230702C44</t>
  </si>
  <si>
    <t>Goldstein</t>
  </si>
  <si>
    <t>Mr. Sanford A. Goldstein</t>
  </si>
  <si>
    <t>7453 Githens Ave</t>
  </si>
  <si>
    <t>Pennsauken</t>
  </si>
  <si>
    <t>08109-3161</t>
  </si>
  <si>
    <t>sanfordgoldstein@gmail.com</t>
  </si>
  <si>
    <t>ALR230202C64</t>
  </si>
  <si>
    <t>Mrs. June E. Martin</t>
  </si>
  <si>
    <t>6990 County Line Rd</t>
  </si>
  <si>
    <t>14519-9334</t>
  </si>
  <si>
    <t>junenglenn@twc.com</t>
  </si>
  <si>
    <t>ALR240104C33</t>
  </si>
  <si>
    <t>Blomquist</t>
  </si>
  <si>
    <t>Mrs. Joyce A. Blomquist</t>
  </si>
  <si>
    <t>5610 Norwich Pkwy Apt 421</t>
  </si>
  <si>
    <t>55082-6494</t>
  </si>
  <si>
    <t>cjblomquist@comcast.net</t>
  </si>
  <si>
    <t>ALR170432EMT</t>
  </si>
  <si>
    <t>ALA1701N1ADC</t>
  </si>
  <si>
    <t>5851 Gazelle Dr</t>
  </si>
  <si>
    <t>Galloway</t>
  </si>
  <si>
    <t>43119-8511</t>
  </si>
  <si>
    <t>itsdkb@yahoo.com</t>
  </si>
  <si>
    <t>pizzaforme@juno.com</t>
  </si>
  <si>
    <t>XNBLG5906</t>
  </si>
  <si>
    <t>ALR220202EMC</t>
  </si>
  <si>
    <t>ALR180202033</t>
  </si>
  <si>
    <t>Darrow</t>
  </si>
  <si>
    <t>Mrs. Kris J. Darrow</t>
  </si>
  <si>
    <t>101 E Iron St</t>
  </si>
  <si>
    <t>Bessemer</t>
  </si>
  <si>
    <t>49911-1129</t>
  </si>
  <si>
    <t>kris.darrow@cadillac.k12.mi.us</t>
  </si>
  <si>
    <t>kdarrow@hotmail.com</t>
  </si>
  <si>
    <t>XNBLG4504</t>
  </si>
  <si>
    <t>ALR200402EMC</t>
  </si>
  <si>
    <t>Aimee</t>
  </si>
  <si>
    <t>Mrs. Aimee L. Bell</t>
  </si>
  <si>
    <t>2274 Cloverfield Blvd</t>
  </si>
  <si>
    <t>90405-1821</t>
  </si>
  <si>
    <t>atmmbell@yahoo.com</t>
  </si>
  <si>
    <t>apmmbell@yahoo.com</t>
  </si>
  <si>
    <t>XNBKG4504</t>
  </si>
  <si>
    <t>ALA100201002</t>
  </si>
  <si>
    <t>520 9th St</t>
  </si>
  <si>
    <t>49660-2076</t>
  </si>
  <si>
    <t>mhdouble12@aol.com</t>
  </si>
  <si>
    <t>XNDHH3404</t>
  </si>
  <si>
    <t>ALA23030B25A</t>
  </si>
  <si>
    <t>Lund</t>
  </si>
  <si>
    <t>715 Almond St</t>
  </si>
  <si>
    <t>Yuba City</t>
  </si>
  <si>
    <t>95991-4404</t>
  </si>
  <si>
    <t>blund@earthlink.net</t>
  </si>
  <si>
    <t>blund@earthlink.com</t>
  </si>
  <si>
    <t>XNDHH3822</t>
  </si>
  <si>
    <t>ALL080401017</t>
  </si>
  <si>
    <t>ALA040501010</t>
  </si>
  <si>
    <t>Mr. Robert Lemon</t>
  </si>
  <si>
    <t>PO Box 4632</t>
  </si>
  <si>
    <t>Inglewood</t>
  </si>
  <si>
    <t>90309-4632</t>
  </si>
  <si>
    <t>XNBLG8022</t>
  </si>
  <si>
    <t>ALQ1205AL015</t>
  </si>
  <si>
    <t>Miss Dorothy Jenney</t>
  </si>
  <si>
    <t>Miss Jenney</t>
  </si>
  <si>
    <t>230 Congress Street</t>
  </si>
  <si>
    <t>Loring Wolcott &amp; Coolidge</t>
  </si>
  <si>
    <t>Attn: David Boit, Trustee</t>
  </si>
  <si>
    <t>XNDHH4010</t>
  </si>
  <si>
    <t>ATR180101001</t>
  </si>
  <si>
    <t>Condry</t>
  </si>
  <si>
    <t>Mr. Michael W. Condry</t>
  </si>
  <si>
    <t>2341 Walden Sq</t>
  </si>
  <si>
    <t>95124-1259</t>
  </si>
  <si>
    <t>condry@condry.org</t>
  </si>
  <si>
    <t>XNDHH4222</t>
  </si>
  <si>
    <t>ALR2201D0DMC</t>
  </si>
  <si>
    <t>XRI1Q62AA</t>
  </si>
  <si>
    <t>Kathleen Miller and Douglas Keller</t>
  </si>
  <si>
    <t>Kathleen and Douglas</t>
  </si>
  <si>
    <t>16935 40th Pl N</t>
  </si>
  <si>
    <t>55446-3359</t>
  </si>
  <si>
    <t>nordicrunner@msn.com</t>
  </si>
  <si>
    <t>XNBKG3205</t>
  </si>
  <si>
    <t>ALR231101C66</t>
  </si>
  <si>
    <t>Castanis</t>
  </si>
  <si>
    <t>6224 Archwood Ln</t>
  </si>
  <si>
    <t>63123-1728</t>
  </si>
  <si>
    <t>kmcastanis@yahoo.com</t>
  </si>
  <si>
    <t>ALA23110A23R</t>
  </si>
  <si>
    <t>ALR081101003</t>
  </si>
  <si>
    <t>Mr. Steve T. Romary</t>
  </si>
  <si>
    <t>1386 Centerbrook Dr</t>
  </si>
  <si>
    <t>46774-3419</t>
  </si>
  <si>
    <t>polaris593@frontier.com</t>
  </si>
  <si>
    <t>XNDJH3204</t>
  </si>
  <si>
    <t>ALR240401C33</t>
  </si>
  <si>
    <t>ALA060701054</t>
  </si>
  <si>
    <t>Lawrence and Kathy McVay</t>
  </si>
  <si>
    <t>Lawrence and Kathy</t>
  </si>
  <si>
    <t>6081 Mcnaughten Grove Ln</t>
  </si>
  <si>
    <t>43213-5106</t>
  </si>
  <si>
    <t>lmcvay@wideopenwest.com</t>
  </si>
  <si>
    <t>photolar@aol.com</t>
  </si>
  <si>
    <t>XNDHH4105</t>
  </si>
  <si>
    <t>ALL22120C6BM</t>
  </si>
  <si>
    <t>Mr. Steven A. Crews</t>
  </si>
  <si>
    <t>129 Belmont Dr</t>
  </si>
  <si>
    <t>32259-8869</t>
  </si>
  <si>
    <t>XL9BZCCAT</t>
  </si>
  <si>
    <t>Mr. Sam E. Heck</t>
  </si>
  <si>
    <t>PO Box 771279</t>
  </si>
  <si>
    <t>67277-1279</t>
  </si>
  <si>
    <t>XNDJH3604</t>
  </si>
  <si>
    <t>ALA24030B14A</t>
  </si>
  <si>
    <t>ALL11070A6BM</t>
  </si>
  <si>
    <t>Mrs. Anne and Mr. Seamus Cunningham</t>
  </si>
  <si>
    <t>Anne and Seamus</t>
  </si>
  <si>
    <t>10612 S Claremont Ave</t>
  </si>
  <si>
    <t>60643-3102</t>
  </si>
  <si>
    <t>aire29@hotmail.com</t>
  </si>
  <si>
    <t>seamusrv@hotmail.com</t>
  </si>
  <si>
    <t>ALR090903204</t>
  </si>
  <si>
    <t>aine29@hotmail.com</t>
  </si>
  <si>
    <t>ALA20120W001</t>
  </si>
  <si>
    <t>Hoag</t>
  </si>
  <si>
    <t>19214 Leander Vw</t>
  </si>
  <si>
    <t>Culpeper</t>
  </si>
  <si>
    <t>22701-8385</t>
  </si>
  <si>
    <t>hokiepam@erols.com</t>
  </si>
  <si>
    <t>hokiepam@comcast.net</t>
  </si>
  <si>
    <t>ALA14120C55H</t>
  </si>
  <si>
    <t>Sekerak</t>
  </si>
  <si>
    <t>Mrs. Valerie L. Sekerak</t>
  </si>
  <si>
    <t>31605 Arthur Rd</t>
  </si>
  <si>
    <t>Solon</t>
  </si>
  <si>
    <t>44139-4551</t>
  </si>
  <si>
    <t>valsekerak@gmail.com</t>
  </si>
  <si>
    <t>vs007@roadrunner.com</t>
  </si>
  <si>
    <t>ALR150402033</t>
  </si>
  <si>
    <t>Jessie</t>
  </si>
  <si>
    <t>Brewer</t>
  </si>
  <si>
    <t>Stemm</t>
  </si>
  <si>
    <t>9340 Sumac Ln</t>
  </si>
  <si>
    <t>Garden Ridge</t>
  </si>
  <si>
    <t>78266-2039</t>
  </si>
  <si>
    <t>retireddietitian@aol.com</t>
  </si>
  <si>
    <t>XNEKY6322</t>
  </si>
  <si>
    <t>ALS240201WS3</t>
  </si>
  <si>
    <t>ALR19XX0W001</t>
  </si>
  <si>
    <t>Dr. Harry H. Berrier</t>
  </si>
  <si>
    <t>Dr. Berrier</t>
  </si>
  <si>
    <t>1250 Cedar Grove Boulevard South</t>
  </si>
  <si>
    <t>65201-8796</t>
  </si>
  <si>
    <t>Mrs. Dickylee D. Spindler</t>
  </si>
  <si>
    <t>3002 E 18th St</t>
  </si>
  <si>
    <t>52803-3504</t>
  </si>
  <si>
    <t>XNEKY6004</t>
  </si>
  <si>
    <t>ALA19090A13A</t>
  </si>
  <si>
    <t>Joyce and John Hren</t>
  </si>
  <si>
    <t>Joyce and John</t>
  </si>
  <si>
    <t>706 Queensferry Rd</t>
  </si>
  <si>
    <t>27511-6419</t>
  </si>
  <si>
    <t>joycehren@mindspring.com</t>
  </si>
  <si>
    <t>ALR090903203</t>
  </si>
  <si>
    <t>Hosack</t>
  </si>
  <si>
    <t>12765 Dogwood Rd</t>
  </si>
  <si>
    <t>Carthage</t>
  </si>
  <si>
    <t>64836-3208</t>
  </si>
  <si>
    <t>ALR231103C44</t>
  </si>
  <si>
    <t>ALR211102C44</t>
  </si>
  <si>
    <t>Glynn</t>
  </si>
  <si>
    <t>Liles</t>
  </si>
  <si>
    <t>Dr. Benjamin G. Liles, Jr.</t>
  </si>
  <si>
    <t>11116 Salado Springs Cir</t>
  </si>
  <si>
    <t>Salado</t>
  </si>
  <si>
    <t>76571-5064</t>
  </si>
  <si>
    <t>hmy_ntry1@earthlink.net</t>
  </si>
  <si>
    <t>XNDHH2805</t>
  </si>
  <si>
    <t>ALS240201511</t>
  </si>
  <si>
    <t>Magda</t>
  </si>
  <si>
    <t>Oliosi</t>
  </si>
  <si>
    <t>PO Box 12601</t>
  </si>
  <si>
    <t>90295-3601</t>
  </si>
  <si>
    <t>XBMA95</t>
  </si>
  <si>
    <t>XRD6A12E</t>
  </si>
  <si>
    <t>Fredlock</t>
  </si>
  <si>
    <t>1596 W Sunset Ridge Pl</t>
  </si>
  <si>
    <t>85704-8372</t>
  </si>
  <si>
    <t>jfazwv@gmail.com</t>
  </si>
  <si>
    <t>jfred462@aol.com</t>
  </si>
  <si>
    <t>XNAVB4406</t>
  </si>
  <si>
    <t>ALA2112D1DMC</t>
  </si>
  <si>
    <t>Doebbler</t>
  </si>
  <si>
    <t>Ms. Maureen F. Doebbler</t>
  </si>
  <si>
    <t>1220 Wyoming St Apt 102</t>
  </si>
  <si>
    <t>78203-1354</t>
  </si>
  <si>
    <t>moetx@hotmail.com</t>
  </si>
  <si>
    <t>moetx911@gmail.com</t>
  </si>
  <si>
    <t>XNEKY5904</t>
  </si>
  <si>
    <t>ALQ22050WHPE</t>
  </si>
  <si>
    <t>Weaver</t>
  </si>
  <si>
    <t>Mr. Fred C. Weaver</t>
  </si>
  <si>
    <t>2035 Mckaig Rd</t>
  </si>
  <si>
    <t>Troy</t>
  </si>
  <si>
    <t>45373-9418</t>
  </si>
  <si>
    <t>fredweaver47@gmail.com</t>
  </si>
  <si>
    <t>XNELY5604</t>
  </si>
  <si>
    <t>ALR230103C44</t>
  </si>
  <si>
    <t>ALA020801136</t>
  </si>
  <si>
    <t>Mullenhour</t>
  </si>
  <si>
    <t>Ms. M. M. Mullenhour</t>
  </si>
  <si>
    <t>Ms. Mullenhour</t>
  </si>
  <si>
    <t>2806 Little Spring Cir</t>
  </si>
  <si>
    <t>77373-4956</t>
  </si>
  <si>
    <t>morganhour@aol.com</t>
  </si>
  <si>
    <t>taraland@aol.com</t>
  </si>
  <si>
    <t>XNEKY5604</t>
  </si>
  <si>
    <t>ALA19020B13R</t>
  </si>
  <si>
    <t>XRC1A63LG</t>
  </si>
  <si>
    <t>Mrs. Emily N. and Mr. Robert Vincent</t>
  </si>
  <si>
    <t>Emily and Robert</t>
  </si>
  <si>
    <t>7501 E Thompson Peak Pkwy Unit 403</t>
  </si>
  <si>
    <t>85255-4537</t>
  </si>
  <si>
    <t>XNFSJ3903</t>
  </si>
  <si>
    <t>ATN130101001</t>
  </si>
  <si>
    <t>ATA12030H001</t>
  </si>
  <si>
    <t>Beverly B. England</t>
  </si>
  <si>
    <t>6203 Alden Bridge Dr Apt 2205</t>
  </si>
  <si>
    <t>77382-5112</t>
  </si>
  <si>
    <t>XNFSJ4622</t>
  </si>
  <si>
    <t>ALR130803033</t>
  </si>
  <si>
    <t>Robert and Miriam</t>
  </si>
  <si>
    <t>82 Pine Tree Ln</t>
  </si>
  <si>
    <t>26508-2929</t>
  </si>
  <si>
    <t>rmillmim@aol.com</t>
  </si>
  <si>
    <t>XNCED8317</t>
  </si>
  <si>
    <t>Brenda Hay</t>
  </si>
  <si>
    <t>475 Water Street # 603</t>
  </si>
  <si>
    <t>23704-3899</t>
  </si>
  <si>
    <t>tiptbren@hotmail.com</t>
  </si>
  <si>
    <t>ALA180401999</t>
  </si>
  <si>
    <t>TDM030005001</t>
  </si>
  <si>
    <t>Hage</t>
  </si>
  <si>
    <t>Mr. Ron Hage</t>
  </si>
  <si>
    <t>4254 Flamingo Ave SW</t>
  </si>
  <si>
    <t>49509-4320</t>
  </si>
  <si>
    <t>eleanorhage@msn.com</t>
  </si>
  <si>
    <t>ALR200801C23</t>
  </si>
  <si>
    <t>Black</t>
  </si>
  <si>
    <t>William and Lois Black</t>
  </si>
  <si>
    <t>William and Lois</t>
  </si>
  <si>
    <t>26 Southgate Dr</t>
  </si>
  <si>
    <t>Annandale</t>
  </si>
  <si>
    <t>08801-3386</t>
  </si>
  <si>
    <t>chenonceau@att.net</t>
  </si>
  <si>
    <t>XNDHH3204</t>
  </si>
  <si>
    <t>Logston</t>
  </si>
  <si>
    <t>2464 Fountain Pl Unit I</t>
  </si>
  <si>
    <t>Lakeside Park</t>
  </si>
  <si>
    <t>41017-1653</t>
  </si>
  <si>
    <t>dianelogstonfake@npca.org</t>
  </si>
  <si>
    <t>XNFSJ3122</t>
  </si>
  <si>
    <t>Jetta</t>
  </si>
  <si>
    <t>Hurst</t>
  </si>
  <si>
    <t>Chandra</t>
  </si>
  <si>
    <t>Jetta and Chandra Hurst</t>
  </si>
  <si>
    <t>Jetta and Chandra</t>
  </si>
  <si>
    <t>34037 50th Ave S</t>
  </si>
  <si>
    <t>98001-9701</t>
  </si>
  <si>
    <t>jettahurst@aol.com</t>
  </si>
  <si>
    <t>jettahurst@aol.con</t>
  </si>
  <si>
    <t>XNFLJ5405</t>
  </si>
  <si>
    <t>ALQ1611N2EMC</t>
  </si>
  <si>
    <t>Ms. Sheila Austin</t>
  </si>
  <si>
    <t>3904 83rd St</t>
  </si>
  <si>
    <t>50322-2908</t>
  </si>
  <si>
    <t>caustin7395@gmail.com</t>
  </si>
  <si>
    <t>XNHKK5022</t>
  </si>
  <si>
    <t>ALR210801C33</t>
  </si>
  <si>
    <t>Renfer</t>
  </si>
  <si>
    <t>Robert Renfer</t>
  </si>
  <si>
    <t>1191 Monica Ln</t>
  </si>
  <si>
    <t>95128-4120</t>
  </si>
  <si>
    <t>XNHKK2509</t>
  </si>
  <si>
    <t>XA1GCABJC</t>
  </si>
  <si>
    <t>XRF8A32J</t>
  </si>
  <si>
    <t>Carruthers</t>
  </si>
  <si>
    <t>Dr. Marilyn T. Gaddis and Mr. George Carruthers</t>
  </si>
  <si>
    <t>Marilyn and George</t>
  </si>
  <si>
    <t>408 Mustang Ln</t>
  </si>
  <si>
    <t>78666-1110</t>
  </si>
  <si>
    <t>mtgaddis@centurytel.net</t>
  </si>
  <si>
    <t>mgaddis@sanmarcos.net</t>
  </si>
  <si>
    <t>XNHLK1208</t>
  </si>
  <si>
    <t>Diane Teears</t>
  </si>
  <si>
    <t>973 Soaring Moon Dr</t>
  </si>
  <si>
    <t>89015-5829</t>
  </si>
  <si>
    <t>tooteears@msn.com</t>
  </si>
  <si>
    <t>tateears@cs.com</t>
  </si>
  <si>
    <t>XNHKK2005</t>
  </si>
  <si>
    <t>Savidge</t>
  </si>
  <si>
    <t>P.O. Box 3111</t>
  </si>
  <si>
    <t>Waquoit</t>
  </si>
  <si>
    <t>02536-3111</t>
  </si>
  <si>
    <t>PPA050801001</t>
  </si>
  <si>
    <t>ALR020605003</t>
  </si>
  <si>
    <t>Ketron</t>
  </si>
  <si>
    <t>Gary Ketron</t>
  </si>
  <si>
    <t>19113 SE 45th St</t>
  </si>
  <si>
    <t>98027-9325</t>
  </si>
  <si>
    <t>gketron@aol.com</t>
  </si>
  <si>
    <t>XNHLK2207</t>
  </si>
  <si>
    <t>ALL23020AA3M</t>
  </si>
  <si>
    <t>ALA020303029</t>
  </si>
  <si>
    <t>Claire Bowen</t>
  </si>
  <si>
    <t>340 Oak St</t>
  </si>
  <si>
    <t>38372-1826</t>
  </si>
  <si>
    <t>clb300@bellsouth.net</t>
  </si>
  <si>
    <t>XNHLK2107</t>
  </si>
  <si>
    <t>Felser</t>
  </si>
  <si>
    <t>224 Este Es Rd</t>
  </si>
  <si>
    <t>Taos</t>
  </si>
  <si>
    <t>87571-6593</t>
  </si>
  <si>
    <t>XNHKK8105</t>
  </si>
  <si>
    <t>ALA16020B14R</t>
  </si>
  <si>
    <t>Dr. Michael C. Wolf</t>
  </si>
  <si>
    <t>150 W End Ave Apt 2F</t>
  </si>
  <si>
    <t>10023-5725</t>
  </si>
  <si>
    <t>mcyberfloss@gmail.com</t>
  </si>
  <si>
    <t>mcyberfloss@cs.com</t>
  </si>
  <si>
    <t>XNHKK5709</t>
  </si>
  <si>
    <t>ALR2312D1WSC</t>
  </si>
  <si>
    <t>Mr. John Pereira</t>
  </si>
  <si>
    <t>193 Blackmer St</t>
  </si>
  <si>
    <t>02744-1830</t>
  </si>
  <si>
    <t>johnphoto@verizon.net</t>
  </si>
  <si>
    <t>XNHKK5202</t>
  </si>
  <si>
    <t>Mr. William J. Price</t>
  </si>
  <si>
    <t>2122 Upland Park Dr</t>
  </si>
  <si>
    <t>77479-7027</t>
  </si>
  <si>
    <t>pricewj@hotmail.com</t>
  </si>
  <si>
    <t>pricepj@hotmail.com</t>
  </si>
  <si>
    <t>ALR230905C44</t>
  </si>
  <si>
    <t>XL2PDADMG</t>
  </si>
  <si>
    <t>Leenheer</t>
  </si>
  <si>
    <t>Ron Leenheer</t>
  </si>
  <si>
    <t>620 W Omar St</t>
  </si>
  <si>
    <t>Struthers</t>
  </si>
  <si>
    <t>44471-1353</t>
  </si>
  <si>
    <t>XNHKK1613</t>
  </si>
  <si>
    <t>ALR070703003</t>
  </si>
  <si>
    <t>ALR040702003</t>
  </si>
  <si>
    <t>David Armstrong</t>
  </si>
  <si>
    <t>20 Westwood Ave</t>
  </si>
  <si>
    <t>Cranston</t>
  </si>
  <si>
    <t>02905-1352</t>
  </si>
  <si>
    <t>XNHKK7205</t>
  </si>
  <si>
    <t>ALR190513C50</t>
  </si>
  <si>
    <t>Mrs. Cindy Zisner</t>
  </si>
  <si>
    <t>2124 E Juanita Ave</t>
  </si>
  <si>
    <t>85204-6949</t>
  </si>
  <si>
    <t>cindy.zisner@q.com</t>
  </si>
  <si>
    <t>cindy.zisner@asu.edu</t>
  </si>
  <si>
    <t>XNHPK6807</t>
  </si>
  <si>
    <t>ALA17010D13C</t>
  </si>
  <si>
    <t>XRG1B61SG</t>
  </si>
  <si>
    <t>Kahn</t>
  </si>
  <si>
    <t>1 Strawberry Hill Ave</t>
  </si>
  <si>
    <t>Apt 8a</t>
  </si>
  <si>
    <t>06902-2614</t>
  </si>
  <si>
    <t>XNBKG7307</t>
  </si>
  <si>
    <t>Davine</t>
  </si>
  <si>
    <t>Ball-Reed</t>
  </si>
  <si>
    <t>Ms. Davine A. Ball-Reed and Mr. George H. Reed</t>
  </si>
  <si>
    <t>Davine and George</t>
  </si>
  <si>
    <t>151 S State Road 2</t>
  </si>
  <si>
    <t>46385-9647</t>
  </si>
  <si>
    <t>XNJRL6904</t>
  </si>
  <si>
    <t>ALR180204033</t>
  </si>
  <si>
    <t>36 Fawn Ct</t>
  </si>
  <si>
    <t>10562-2536</t>
  </si>
  <si>
    <t>dcohen99@icloud.com</t>
  </si>
  <si>
    <t>jamie.modoncohen@gmail.com</t>
  </si>
  <si>
    <t>XNJWL6904</t>
  </si>
  <si>
    <t>ALA2308D1EMC</t>
  </si>
  <si>
    <t>ALA080101003</t>
  </si>
  <si>
    <t>Heinz</t>
  </si>
  <si>
    <t>Heinemann</t>
  </si>
  <si>
    <t>Mr. Heinz J. Heinemann</t>
  </si>
  <si>
    <t>1382 Newtown Langhorne Rd # W4</t>
  </si>
  <si>
    <t>Pennswood Vlg</t>
  </si>
  <si>
    <t>18940-2418</t>
  </si>
  <si>
    <t>hjhpv@aol.com</t>
  </si>
  <si>
    <t>XNJWL5701</t>
  </si>
  <si>
    <t>ALR190103033</t>
  </si>
  <si>
    <t>ALR061001003</t>
  </si>
  <si>
    <t>Dr. Robert C. Dellinger</t>
  </si>
  <si>
    <t>421 Seminole Ct</t>
  </si>
  <si>
    <t>27265-8631</t>
  </si>
  <si>
    <t>bwdell@aol.com</t>
  </si>
  <si>
    <t>XNJRL9105</t>
  </si>
  <si>
    <t>Ms. Barbara M. Johnson</t>
  </si>
  <si>
    <t>31330 W 287th St</t>
  </si>
  <si>
    <t>Paola</t>
  </si>
  <si>
    <t>66071-4448</t>
  </si>
  <si>
    <t>bmariej1338@gmail.com</t>
  </si>
  <si>
    <t>XNBKG4109</t>
  </si>
  <si>
    <t>ALA2112N0SNM</t>
  </si>
  <si>
    <t>Locher</t>
  </si>
  <si>
    <t>Mrs. Lynn and Mr. Ralph E. Locher</t>
  </si>
  <si>
    <t>Lynn and Ralph</t>
  </si>
  <si>
    <t>82 Zacate Pl</t>
  </si>
  <si>
    <t>94539-3054</t>
  </si>
  <si>
    <t>relocher@comcast.net</t>
  </si>
  <si>
    <t>relocher@home.net</t>
  </si>
  <si>
    <t>XNJRL8408</t>
  </si>
  <si>
    <t>ALA19090A54H</t>
  </si>
  <si>
    <t>Angi</t>
  </si>
  <si>
    <t>Moots</t>
  </si>
  <si>
    <t>Mar</t>
  </si>
  <si>
    <t>Angi and Mar Moots</t>
  </si>
  <si>
    <t>Angi and Mar</t>
  </si>
  <si>
    <t>2631 Penewit Rd</t>
  </si>
  <si>
    <t>45370-8777</t>
  </si>
  <si>
    <t>XNHKK5102</t>
  </si>
  <si>
    <t>Dr. James R. and Mrs. Janet Bloomfield</t>
  </si>
  <si>
    <t>James and Janet</t>
  </si>
  <si>
    <t>PO Box 271</t>
  </si>
  <si>
    <t>16125-0271</t>
  </si>
  <si>
    <t>jbloomfield@neo.rr.com</t>
  </si>
  <si>
    <t>XNJPL8408</t>
  </si>
  <si>
    <t>ALA23010C13A</t>
  </si>
  <si>
    <t>ALR070701004</t>
  </si>
  <si>
    <t>Ms. Sharon Wehner</t>
  </si>
  <si>
    <t>21410 Fondant Ave N</t>
  </si>
  <si>
    <t>Forest Lake</t>
  </si>
  <si>
    <t>55025-8115</t>
  </si>
  <si>
    <t>shoreline_1@msn.com</t>
  </si>
  <si>
    <t>XNJPL5007</t>
  </si>
  <si>
    <t>ALR231207C33</t>
  </si>
  <si>
    <t>XA2ERAASG</t>
  </si>
  <si>
    <t>Ashbacker</t>
  </si>
  <si>
    <t>Mr. Richard L. Ashbacker</t>
  </si>
  <si>
    <t>110 Wakeland Dr</t>
  </si>
  <si>
    <t>Stephens City</t>
  </si>
  <si>
    <t>22655-2302</t>
  </si>
  <si>
    <t>deerborn54@comcast.net</t>
  </si>
  <si>
    <t>deerborn@adelphia.net</t>
  </si>
  <si>
    <t>XNJPL6202</t>
  </si>
  <si>
    <t>ALA1812D8EMB</t>
  </si>
  <si>
    <t>ALA1612D5EMC</t>
  </si>
  <si>
    <t>Millie</t>
  </si>
  <si>
    <t>Ms. Millie B. Stinson</t>
  </si>
  <si>
    <t>1999 S Nc Highway 119</t>
  </si>
  <si>
    <t>Mebane</t>
  </si>
  <si>
    <t>27302-9738</t>
  </si>
  <si>
    <t>XNLDA5122</t>
  </si>
  <si>
    <t>XL7RCBCTA</t>
  </si>
  <si>
    <t>McQuiston</t>
  </si>
  <si>
    <t>Mr. and Mrs. Kenneth R. McQuiston</t>
  </si>
  <si>
    <t>4014 Old Farm Dr</t>
  </si>
  <si>
    <t>40014-7235</t>
  </si>
  <si>
    <t>XNLDA8622</t>
  </si>
  <si>
    <t>ALA24020A15A</t>
  </si>
  <si>
    <t>ALR211013C40</t>
  </si>
  <si>
    <t>Mrs. Debra and Mr. Peter G. Tuckerman</t>
  </si>
  <si>
    <t>Debra and Peter</t>
  </si>
  <si>
    <t>127 Garden Ln</t>
  </si>
  <si>
    <t>Canton</t>
  </si>
  <si>
    <t>28716-8330</t>
  </si>
  <si>
    <t>petetuckerman@gmail.com</t>
  </si>
  <si>
    <t>petetuckerman@gmil.com</t>
  </si>
  <si>
    <t>XNLDA4904</t>
  </si>
  <si>
    <t>ALA2211D4EMC</t>
  </si>
  <si>
    <t>ALA060302044</t>
  </si>
  <si>
    <t>debratuckerman@gmail.com</t>
  </si>
  <si>
    <t>ALA2111N0WSM</t>
  </si>
  <si>
    <t>Witthaus</t>
  </si>
  <si>
    <t>Mr. and Mrs. Daniel R. Witthaus</t>
  </si>
  <si>
    <t>18308 E Tonto Verde Dr</t>
  </si>
  <si>
    <t>Rio Verde</t>
  </si>
  <si>
    <t>85263-6000</t>
  </si>
  <si>
    <t>danwitthaus@gmail.com</t>
  </si>
  <si>
    <t>ALA22070A23A</t>
  </si>
  <si>
    <t>ALR220106C33</t>
  </si>
  <si>
    <t>Dr. Allen Smith</t>
  </si>
  <si>
    <t>10 NE 132nd St</t>
  </si>
  <si>
    <t>North Miami</t>
  </si>
  <si>
    <t>33161-4532</t>
  </si>
  <si>
    <t>asmith@barry.edu</t>
  </si>
  <si>
    <t>iritetal@bellsouth.net</t>
  </si>
  <si>
    <t>ALA23070B23R</t>
  </si>
  <si>
    <t>Ms. Lorraine G. Varney</t>
  </si>
  <si>
    <t>17 Prospect Ave</t>
  </si>
  <si>
    <t>02045-2024</t>
  </si>
  <si>
    <t>lgvarneyriggs@verizon.net</t>
  </si>
  <si>
    <t>lgvarneyriggs@juno.com</t>
  </si>
  <si>
    <t>XNLDA3805</t>
  </si>
  <si>
    <t>ALR230503C33</t>
  </si>
  <si>
    <t>Helmick</t>
  </si>
  <si>
    <t>Thomas and Barbara Helmick</t>
  </si>
  <si>
    <t>Thomas and Barbara</t>
  </si>
  <si>
    <t>3380 Deerskin Rd</t>
  </si>
  <si>
    <t>Eagle River</t>
  </si>
  <si>
    <t>54521-8732</t>
  </si>
  <si>
    <t>XNLFA7206</t>
  </si>
  <si>
    <t>ALR200202C54</t>
  </si>
  <si>
    <t>ALG180001001</t>
  </si>
  <si>
    <t>Mr. Thomas Leach</t>
  </si>
  <si>
    <t>PO Box 3171</t>
  </si>
  <si>
    <t>02790-0740</t>
  </si>
  <si>
    <t>tlkyk7@aol.com</t>
  </si>
  <si>
    <t>ALR160603054</t>
  </si>
  <si>
    <t>Mr. Mark S. Wintner</t>
  </si>
  <si>
    <t>8 Hastings Lndg</t>
  </si>
  <si>
    <t>10706-2912</t>
  </si>
  <si>
    <t>landing8@aol.com</t>
  </si>
  <si>
    <t>XNMJB4022</t>
  </si>
  <si>
    <t>Dr. James H. and Mrs. Vera O'Neill</t>
  </si>
  <si>
    <t>James and Vera</t>
  </si>
  <si>
    <t>2812 Lexington Dr</t>
  </si>
  <si>
    <t>70002-7026</t>
  </si>
  <si>
    <t>jimoneill1@cox.net</t>
  </si>
  <si>
    <t>mawmawno1@gmail.com</t>
  </si>
  <si>
    <t>XNMHB1201</t>
  </si>
  <si>
    <t>ALL23030C5BM</t>
  </si>
  <si>
    <t>verawo3@cox.net</t>
  </si>
  <si>
    <t>vwoffs@yahoo.com</t>
  </si>
  <si>
    <t>Scott and Diane Call</t>
  </si>
  <si>
    <t>Scott and Diane</t>
  </si>
  <si>
    <t>584 Charbonneau Dr</t>
  </si>
  <si>
    <t>99352-8676</t>
  </si>
  <si>
    <t>scall863@aol.com</t>
  </si>
  <si>
    <t>XNJRL8808</t>
  </si>
  <si>
    <t>ALR020907003</t>
  </si>
  <si>
    <t>dianecall12@gmail.com</t>
  </si>
  <si>
    <t>Bruce and Barbara Berger</t>
  </si>
  <si>
    <t>278 Franklin Ave</t>
  </si>
  <si>
    <t>08540-2717</t>
  </si>
  <si>
    <t>brubarbtravelers@yahoo.com</t>
  </si>
  <si>
    <t>XNMHB4022</t>
  </si>
  <si>
    <t>ALA22100D56H</t>
  </si>
  <si>
    <t>Conner</t>
  </si>
  <si>
    <t>Mr. Calvin L. Conner</t>
  </si>
  <si>
    <t>1219 Raynor Dr</t>
  </si>
  <si>
    <t>North Chesterfield</t>
  </si>
  <si>
    <t>23235-6141</t>
  </si>
  <si>
    <t>calskrib@aol.com</t>
  </si>
  <si>
    <t>Linda Price</t>
  </si>
  <si>
    <t>9892 Mccreary Rd</t>
  </si>
  <si>
    <t>17257-9285</t>
  </si>
  <si>
    <t>loonlight@comcast.net</t>
  </si>
  <si>
    <t>XNMHB4402</t>
  </si>
  <si>
    <t>ATN231201001</t>
  </si>
  <si>
    <t>Hobart</t>
  </si>
  <si>
    <t>Cynthia K. Hobart</t>
  </si>
  <si>
    <t>PO Box 307</t>
  </si>
  <si>
    <t>Rolla</t>
  </si>
  <si>
    <t>65402-0307</t>
  </si>
  <si>
    <t>XNMHB1908</t>
  </si>
  <si>
    <t>ALR230901C64</t>
  </si>
  <si>
    <t>Coolidge</t>
  </si>
  <si>
    <t>Lindsay</t>
  </si>
  <si>
    <t>Mrs. Lindsay L. and Mr. Charles A. Coolidge</t>
  </si>
  <si>
    <t>Lindsay and Charles</t>
  </si>
  <si>
    <t>148 Brattle St</t>
  </si>
  <si>
    <t>02138-2202</t>
  </si>
  <si>
    <t>clcoolidge@att.net</t>
  </si>
  <si>
    <t>XNMJB6717</t>
  </si>
  <si>
    <t>ALR211004C54</t>
  </si>
  <si>
    <t>ATG050001002</t>
  </si>
  <si>
    <t>Sharla</t>
  </si>
  <si>
    <t>Donald and Sharla</t>
  </si>
  <si>
    <t>5100 John D Ryan Blvd Apt 1708</t>
  </si>
  <si>
    <t>78245-3508</t>
  </si>
  <si>
    <t>sharla.hamilton@gmail.com</t>
  </si>
  <si>
    <t>XNMJB3722</t>
  </si>
  <si>
    <t>ALA1912DGEMB</t>
  </si>
  <si>
    <t>Mr. Joel Merritt</t>
  </si>
  <si>
    <t>1156 120th St</t>
  </si>
  <si>
    <t>54023-8423</t>
  </si>
  <si>
    <t>merritt30@hotmail.com</t>
  </si>
  <si>
    <t>ALR171102023</t>
  </si>
  <si>
    <t>Grazioli</t>
  </si>
  <si>
    <t>Kathleen and Michael Grazioli</t>
  </si>
  <si>
    <t>Kathleen and Michael</t>
  </si>
  <si>
    <t>17992 E Veit Springs Dr</t>
  </si>
  <si>
    <t>85263-5419</t>
  </si>
  <si>
    <t>kgrazioli@comcast.net</t>
  </si>
  <si>
    <t>Fosnaugh</t>
  </si>
  <si>
    <t>Peg Fosnaugh</t>
  </si>
  <si>
    <t>3169 Heller Rd</t>
  </si>
  <si>
    <t>Oak Harbor</t>
  </si>
  <si>
    <t>98277-9219</t>
  </si>
  <si>
    <t>davidf@peoplepc.com</t>
  </si>
  <si>
    <t>XNMLX6717</t>
  </si>
  <si>
    <t>ALR140607023</t>
  </si>
  <si>
    <t>Norbury</t>
  </si>
  <si>
    <t>Mr. Christopher Norbury</t>
  </si>
  <si>
    <t>2175 Sunflower Ln</t>
  </si>
  <si>
    <t>Owatonna</t>
  </si>
  <si>
    <t>55060-2083</t>
  </si>
  <si>
    <t>chitrader@yahoo.com</t>
  </si>
  <si>
    <t>ALR230903ERC</t>
  </si>
  <si>
    <t>A. Ronald</t>
  </si>
  <si>
    <t>Thurman</t>
  </si>
  <si>
    <t>A. Ronald Thurman</t>
  </si>
  <si>
    <t>470 Ela Ln</t>
  </si>
  <si>
    <t>28713-7856</t>
  </si>
  <si>
    <t>jthurman1@hotmail.com</t>
  </si>
  <si>
    <t>XNMHB2522</t>
  </si>
  <si>
    <t>ALL23080C4BM</t>
  </si>
  <si>
    <t>Sr.</t>
  </si>
  <si>
    <t>Jim Robertson Sr.</t>
  </si>
  <si>
    <t>4170 Green Acres Ln</t>
  </si>
  <si>
    <t>32223-2042</t>
  </si>
  <si>
    <t>jimbo13134579@gmail.com</t>
  </si>
  <si>
    <t>jimbo13134579@aol.com</t>
  </si>
  <si>
    <t>XNWRX9316</t>
  </si>
  <si>
    <t>ALR101001003</t>
  </si>
  <si>
    <t>Fabrizi</t>
  </si>
  <si>
    <t>Mr. David Fabrizi</t>
  </si>
  <si>
    <t>55 Ayrault Rd Apt 202</t>
  </si>
  <si>
    <t>Fairport</t>
  </si>
  <si>
    <t>14450-2867</t>
  </si>
  <si>
    <t>fabrizi@dellnet.com</t>
  </si>
  <si>
    <t>dandafabrizi@rochester.rr.com</t>
  </si>
  <si>
    <t>XBSO95</t>
  </si>
  <si>
    <t>Mrs. Judy Talley</t>
  </si>
  <si>
    <t>4504 Basswood Way</t>
  </si>
  <si>
    <t>23188-8034</t>
  </si>
  <si>
    <t>footzie4@yahoo.com</t>
  </si>
  <si>
    <t>ALR221107C54</t>
  </si>
  <si>
    <t>Mrs. Arline Smith</t>
  </si>
  <si>
    <t>2321 Steinway St</t>
  </si>
  <si>
    <t>Astoria</t>
  </si>
  <si>
    <t>11105-1585</t>
  </si>
  <si>
    <t>XNRCC8517</t>
  </si>
  <si>
    <t>Burgess</t>
  </si>
  <si>
    <t>Mr. Brian J. Burgess</t>
  </si>
  <si>
    <t>50 Deerwood Mnr</t>
  </si>
  <si>
    <t>Norwalk</t>
  </si>
  <si>
    <t>06851-2630</t>
  </si>
  <si>
    <t>bjburgess@icloud.com</t>
  </si>
  <si>
    <t>XNRBC4504</t>
  </si>
  <si>
    <t>Harder</t>
  </si>
  <si>
    <t>Mr. Bruce R. Harder</t>
  </si>
  <si>
    <t>1047 Portugal Dr</t>
  </si>
  <si>
    <t>Stafford</t>
  </si>
  <si>
    <t>22554-2025</t>
  </si>
  <si>
    <t>whitetigerluvin@aol.com</t>
  </si>
  <si>
    <t>harderbr@aol.com</t>
  </si>
  <si>
    <t>XNRCC4104</t>
  </si>
  <si>
    <t>Weetie</t>
  </si>
  <si>
    <t>Mrs. Weetie and Mr. Wayne Hill</t>
  </si>
  <si>
    <t>Weetie and Wayne</t>
  </si>
  <si>
    <t>1754 Nevar Ct</t>
  </si>
  <si>
    <t>22182-1973</t>
  </si>
  <si>
    <t>wayne@hillart.com</t>
  </si>
  <si>
    <t>ALR230301EMC</t>
  </si>
  <si>
    <t>ALR200301C64</t>
  </si>
  <si>
    <t>Cline</t>
  </si>
  <si>
    <t>Kim Cline</t>
  </si>
  <si>
    <t>5819 Antioch Church Rd E</t>
  </si>
  <si>
    <t>Lenoir City</t>
  </si>
  <si>
    <t>37772-4634</t>
  </si>
  <si>
    <t>rcline51@aol.com</t>
  </si>
  <si>
    <t>XNRCC6102</t>
  </si>
  <si>
    <t>ALR2306D2WST</t>
  </si>
  <si>
    <t>Vern</t>
  </si>
  <si>
    <t>Veysey</t>
  </si>
  <si>
    <t>Vern V. Veysey</t>
  </si>
  <si>
    <t>4816 NE 259th St</t>
  </si>
  <si>
    <t>98642-9747</t>
  </si>
  <si>
    <t>veysey@msn.com</t>
  </si>
  <si>
    <t>veyseyvv@msn.com</t>
  </si>
  <si>
    <t>XNRBC6909</t>
  </si>
  <si>
    <t>ALQ2301AG005</t>
  </si>
  <si>
    <t>ALR160407033</t>
  </si>
  <si>
    <t>McDaniel</t>
  </si>
  <si>
    <t>Mr. Ronald A. McDaniel</t>
  </si>
  <si>
    <t>8066 Clear Water Dr</t>
  </si>
  <si>
    <t>Lone Tree</t>
  </si>
  <si>
    <t>80124-3073</t>
  </si>
  <si>
    <t>rmcdanieldenver@earthlink.net</t>
  </si>
  <si>
    <t>XNRBC4322</t>
  </si>
  <si>
    <t>ATA2311T1EMC</t>
  </si>
  <si>
    <t>Ben</t>
  </si>
  <si>
    <t>Mrs. Patricia B. and Mr. Ben Dishman</t>
  </si>
  <si>
    <t>Patricia and Ben</t>
  </si>
  <si>
    <t>914 Briarwood Crst</t>
  </si>
  <si>
    <t>37221-4351</t>
  </si>
  <si>
    <t>dishmanx2@aol.com</t>
  </si>
  <si>
    <t>pdishman@hotmail.com</t>
  </si>
  <si>
    <t>ALA19010A13A</t>
  </si>
  <si>
    <t>1320 11th Ave</t>
  </si>
  <si>
    <t>68949-1919</t>
  </si>
  <si>
    <t>ALA19020A13R</t>
  </si>
  <si>
    <t>Macmunn</t>
  </si>
  <si>
    <t>Mr. John B. Macmunn</t>
  </si>
  <si>
    <t>115 Overland Rd</t>
  </si>
  <si>
    <t>Waltham</t>
  </si>
  <si>
    <t>02451-1707</t>
  </si>
  <si>
    <t>XNSRD9909</t>
  </si>
  <si>
    <t>Bill and Betty Waters</t>
  </si>
  <si>
    <t>Bill and Betty</t>
  </si>
  <si>
    <t>8421 Walter Martz Road</t>
  </si>
  <si>
    <t>Frederick</t>
  </si>
  <si>
    <t>21702-2431</t>
  </si>
  <si>
    <t>XNSRD4809</t>
  </si>
  <si>
    <t>ALA041101068</t>
  </si>
  <si>
    <t>Fitch</t>
  </si>
  <si>
    <t>Virginia Fitch</t>
  </si>
  <si>
    <t>2120 13th Street</t>
  </si>
  <si>
    <t>85607-2516</t>
  </si>
  <si>
    <t>susanfitch56@gmail.com</t>
  </si>
  <si>
    <t>XNRCC7208</t>
  </si>
  <si>
    <t>ALR190813C30</t>
  </si>
  <si>
    <t>William and Penelope Lutz</t>
  </si>
  <si>
    <t>William and Penelope</t>
  </si>
  <si>
    <t>3741 Leewood Rd</t>
  </si>
  <si>
    <t>44224-2434</t>
  </si>
  <si>
    <t>traderjoe153@gmail.com</t>
  </si>
  <si>
    <t>wp3sons@yahoo.com</t>
  </si>
  <si>
    <t>XNSSD2905</t>
  </si>
  <si>
    <t>ALQ2307N1FBC</t>
  </si>
  <si>
    <t>ALA19010A25A</t>
  </si>
  <si>
    <t>Usher</t>
  </si>
  <si>
    <t>Thomas Schroedl and Debra Usher</t>
  </si>
  <si>
    <t>Thomas and Debra</t>
  </si>
  <si>
    <t>2329 Stoney Ln</t>
  </si>
  <si>
    <t>53024-9361</t>
  </si>
  <si>
    <t>debusher@wi.rr.com</t>
  </si>
  <si>
    <t>XNSRD0906</t>
  </si>
  <si>
    <t>ALR240302C54</t>
  </si>
  <si>
    <t>ALR200301C54</t>
  </si>
  <si>
    <t>Vanelezua</t>
  </si>
  <si>
    <t>Mrs. Pamela Vanelezua</t>
  </si>
  <si>
    <t>284 Frenchtown Rd</t>
  </si>
  <si>
    <t>18337-9002</t>
  </si>
  <si>
    <t>pzpv@ptd.net</t>
  </si>
  <si>
    <t>XNSSD4004</t>
  </si>
  <si>
    <t>ALR211103C54</t>
  </si>
  <si>
    <t>ALR201104C54</t>
  </si>
  <si>
    <t>Connie Shaver</t>
  </si>
  <si>
    <t>2648 N Farwell Ave</t>
  </si>
  <si>
    <t>53211-3701</t>
  </si>
  <si>
    <t>casturtle@aol.com</t>
  </si>
  <si>
    <t>XNSRD2905</t>
  </si>
  <si>
    <t>ALL19070C6BM</t>
  </si>
  <si>
    <t>Kline</t>
  </si>
  <si>
    <t>Ms. Caroline C. Kline</t>
  </si>
  <si>
    <t>2928 Calle De Pinos Altos</t>
  </si>
  <si>
    <t>87507-5365</t>
  </si>
  <si>
    <t>ckline1021@npca.org</t>
  </si>
  <si>
    <t>XNSRD7715</t>
  </si>
  <si>
    <t>ALR030101003</t>
  </si>
  <si>
    <t>Thomas A. Orehowsky</t>
  </si>
  <si>
    <t>5711 6th Ave NW</t>
  </si>
  <si>
    <t>34209-1712</t>
  </si>
  <si>
    <t>slojogrto@aol.com</t>
  </si>
  <si>
    <t>XNRDC3722</t>
  </si>
  <si>
    <t>Caton</t>
  </si>
  <si>
    <t>Mary Caton</t>
  </si>
  <si>
    <t>8849 Castle Brook Ct</t>
  </si>
  <si>
    <t>Lakeside</t>
  </si>
  <si>
    <t>92040-2754</t>
  </si>
  <si>
    <t>purpleponydrvr@hotmail.com</t>
  </si>
  <si>
    <t>XNSRXA205</t>
  </si>
  <si>
    <t>ALR201007C54</t>
  </si>
  <si>
    <t>Elisabeth</t>
  </si>
  <si>
    <t>Pink</t>
  </si>
  <si>
    <t>8790 Westminster Ter Apt 6310</t>
  </si>
  <si>
    <t>75243-4208</t>
  </si>
  <si>
    <t>XNSRD0508</t>
  </si>
  <si>
    <t>Mr. Kim G. Leighton</t>
  </si>
  <si>
    <t>535 Fee Fee Hills Dr</t>
  </si>
  <si>
    <t>63042-2812</t>
  </si>
  <si>
    <t>cleanaschalk@gmail.com</t>
  </si>
  <si>
    <t>kim.leighton@sbcglobal.net</t>
  </si>
  <si>
    <t>XNSSD9822</t>
  </si>
  <si>
    <t>ALA2403D1EMC</t>
  </si>
  <si>
    <t>ALR080103404</t>
  </si>
  <si>
    <t>Tharp</t>
  </si>
  <si>
    <t>Beverly Tharp</t>
  </si>
  <si>
    <t>4406 Providence Point Pl SE Unit 205</t>
  </si>
  <si>
    <t>98029-6821</t>
  </si>
  <si>
    <t>codytharp6@gmail.com</t>
  </si>
  <si>
    <t>bjt40@comcast.net</t>
  </si>
  <si>
    <t>Minder</t>
  </si>
  <si>
    <t>77 N Columbia St</t>
  </si>
  <si>
    <t>Woodbury</t>
  </si>
  <si>
    <t>08096-1538</t>
  </si>
  <si>
    <t>minder9777@msn.com</t>
  </si>
  <si>
    <t>XNSRD7215</t>
  </si>
  <si>
    <t>ALR210707C33</t>
  </si>
  <si>
    <t>ALR021002003</t>
  </si>
  <si>
    <t>2167 Vauxhall Rd</t>
  </si>
  <si>
    <t>07083-5823</t>
  </si>
  <si>
    <t>dlc45union@verizon.net</t>
  </si>
  <si>
    <t>XNSRX2905</t>
  </si>
  <si>
    <t>ALA23110A24R</t>
  </si>
  <si>
    <t>Cluff</t>
  </si>
  <si>
    <t>Pat Cluff</t>
  </si>
  <si>
    <t>13382 Ashwood St</t>
  </si>
  <si>
    <t>Garden Grove</t>
  </si>
  <si>
    <t>92843-2602</t>
  </si>
  <si>
    <t>patcluff2@gmail.com</t>
  </si>
  <si>
    <t>utahblaine@mlode.com</t>
  </si>
  <si>
    <t>XNSSD3422</t>
  </si>
  <si>
    <t>ALA18020A23R</t>
  </si>
  <si>
    <t>Lucas</t>
  </si>
  <si>
    <t>Mr. Steve Lucas</t>
  </si>
  <si>
    <t>2704 Del Curto Rd</t>
  </si>
  <si>
    <t>78704-4826</t>
  </si>
  <si>
    <t>slucas78704@gmail.com</t>
  </si>
  <si>
    <t>XNWPX9316</t>
  </si>
  <si>
    <t>Robby</t>
  </si>
  <si>
    <t>Mr. Robby D. Cohen</t>
  </si>
  <si>
    <t>2901 Fallstaff Rd Unit 501</t>
  </si>
  <si>
    <t>21209-3574</t>
  </si>
  <si>
    <t>buff97@yahoo.com</t>
  </si>
  <si>
    <t>XNYEE5706</t>
  </si>
  <si>
    <t>ALA24010B24R</t>
  </si>
  <si>
    <t>ALR091202004</t>
  </si>
  <si>
    <t>Barberee</t>
  </si>
  <si>
    <t>Mr. John E. Barberee</t>
  </si>
  <si>
    <t>505 S Young Avenue</t>
  </si>
  <si>
    <t>Avon Park</t>
  </si>
  <si>
    <t>33825-4311</t>
  </si>
  <si>
    <t>XNFLJ2107</t>
  </si>
  <si>
    <t>ALQ1212CF027</t>
  </si>
  <si>
    <t>XRL9O42AA</t>
  </si>
  <si>
    <t>Ms. Sara S. Magee</t>
  </si>
  <si>
    <t>916 Oak Pond Ct</t>
  </si>
  <si>
    <t>56377-4516</t>
  </si>
  <si>
    <t>XNRCC4909</t>
  </si>
  <si>
    <t>Duncan</t>
  </si>
  <si>
    <t>Mrs. Dianne and Mr. Duncan J. Cameron</t>
  </si>
  <si>
    <t>Dianne and Duncan</t>
  </si>
  <si>
    <t>4375 Woodland Dr</t>
  </si>
  <si>
    <t>52722-1512</t>
  </si>
  <si>
    <t>duncam@aol.com</t>
  </si>
  <si>
    <t>dunclam@aol.com</t>
  </si>
  <si>
    <t>XNYGEB414</t>
  </si>
  <si>
    <t>ALA23110B53H</t>
  </si>
  <si>
    <t>Trier</t>
  </si>
  <si>
    <t>Kathy and Michael</t>
  </si>
  <si>
    <t>114 Buckboard Ct</t>
  </si>
  <si>
    <t>Custer</t>
  </si>
  <si>
    <t>57730-7264</t>
  </si>
  <si>
    <t>mgtrier@yahoo.com</t>
  </si>
  <si>
    <t>XNYFE9508</t>
  </si>
  <si>
    <t>ALA23020A56H</t>
  </si>
  <si>
    <t>ALR100101104</t>
  </si>
  <si>
    <t>Catherine R. Grant</t>
  </si>
  <si>
    <t>1941 Swaranne Dr</t>
  </si>
  <si>
    <t>48324-1055</t>
  </si>
  <si>
    <t>XNYGE2305</t>
  </si>
  <si>
    <t>ALR151102033</t>
  </si>
  <si>
    <t>Brogelman</t>
  </si>
  <si>
    <t>Kay and Wayne Brogelman</t>
  </si>
  <si>
    <t>Kay and Wayne</t>
  </si>
  <si>
    <t>12628 N River Forest Cir</t>
  </si>
  <si>
    <t>Mequon</t>
  </si>
  <si>
    <t>53092-2538</t>
  </si>
  <si>
    <t>XNYGEB505</t>
  </si>
  <si>
    <t>ALR230113C30</t>
  </si>
  <si>
    <t>Ms. Sally Martz</t>
  </si>
  <si>
    <t>15 E Kirby St Apt 917</t>
  </si>
  <si>
    <t>48202-4042</t>
  </si>
  <si>
    <t>w.martz@att.net</t>
  </si>
  <si>
    <t>XNYHE08NM</t>
  </si>
  <si>
    <t>ALR020502003</t>
  </si>
  <si>
    <t>Ms. Peri B. Bianchi</t>
  </si>
  <si>
    <t>12374 Pine Ridge Dr</t>
  </si>
  <si>
    <t>48872-9148</t>
  </si>
  <si>
    <t>XNSRD9212</t>
  </si>
  <si>
    <t>ALQ1212AF004</t>
  </si>
  <si>
    <t>ALR060506003</t>
  </si>
  <si>
    <t>Whitacre</t>
  </si>
  <si>
    <t>Ms. Julie Whitacre</t>
  </si>
  <si>
    <t>659 E Laurel Rd</t>
  </si>
  <si>
    <t>98226-9728</t>
  </si>
  <si>
    <t>whitacre.julie@yahoo.com</t>
  </si>
  <si>
    <t>juliew@fourthcornernurseries.com</t>
  </si>
  <si>
    <t>XNYEE6903</t>
  </si>
  <si>
    <t>Mr. Robert A. Hollis Jr.</t>
  </si>
  <si>
    <t>8881 Blitzen Rd NW</t>
  </si>
  <si>
    <t>44720-4669</t>
  </si>
  <si>
    <t>rahollis@yahoo.com</t>
  </si>
  <si>
    <t>ra.hollis@yahoo.com</t>
  </si>
  <si>
    <t>XNYGE4204</t>
  </si>
  <si>
    <t>XRL8R31AA</t>
  </si>
  <si>
    <t>Stellner</t>
  </si>
  <si>
    <t>Mr. Richard Stellner</t>
  </si>
  <si>
    <t>133 NW 18th Ave Apt 6</t>
  </si>
  <si>
    <t>97209-2148</t>
  </si>
  <si>
    <t>wild91@comcast.net</t>
  </si>
  <si>
    <t>57wild@sprynet.com</t>
  </si>
  <si>
    <t>XNSSD9212</t>
  </si>
  <si>
    <t>ALR240800ERC</t>
  </si>
  <si>
    <t>ALR151101033</t>
  </si>
  <si>
    <t>Cohn</t>
  </si>
  <si>
    <t>Bonnie and Edward Cohn</t>
  </si>
  <si>
    <t>Bonnie and Edward</t>
  </si>
  <si>
    <t>25836 Salem Rd</t>
  </si>
  <si>
    <t>Huntington Woods</t>
  </si>
  <si>
    <t>48070-1634</t>
  </si>
  <si>
    <t>XNYFE2610</t>
  </si>
  <si>
    <t>ALA22120A50H</t>
  </si>
  <si>
    <t>ALQ1608HB027</t>
  </si>
  <si>
    <t>R L</t>
  </si>
  <si>
    <t>Arata</t>
  </si>
  <si>
    <t>R L Arata</t>
  </si>
  <si>
    <t>40 Bon Air Ave</t>
  </si>
  <si>
    <t>06907-2304</t>
  </si>
  <si>
    <t>XNYEE</t>
  </si>
  <si>
    <t>ALA20120A22A</t>
  </si>
  <si>
    <t>Lori</t>
  </si>
  <si>
    <t>Geis</t>
  </si>
  <si>
    <t>Lori and Dean Geis</t>
  </si>
  <si>
    <t>Lori and Dean</t>
  </si>
  <si>
    <t>3684 Woodbine Rd</t>
  </si>
  <si>
    <t>Woodbine</t>
  </si>
  <si>
    <t>21797-7905</t>
  </si>
  <si>
    <t>dean.amazingfeets@gmail.com</t>
  </si>
  <si>
    <t>XNYKE8912</t>
  </si>
  <si>
    <t>ALR230101C44</t>
  </si>
  <si>
    <t>riverodders@yahoo.com</t>
  </si>
  <si>
    <t>dean.amazinfeets@gmail.com</t>
  </si>
  <si>
    <t>Walter Taylor</t>
  </si>
  <si>
    <t>2558 Gold Rush Dr Apt 8</t>
  </si>
  <si>
    <t>80906-3867</t>
  </si>
  <si>
    <t>nobel05@breakthru.com</t>
  </si>
  <si>
    <t>roybz@hotmail.com</t>
  </si>
  <si>
    <t>XNATO2518</t>
  </si>
  <si>
    <t>ALR221102C33</t>
  </si>
  <si>
    <t>Mrs. Corinne A. Dickerson</t>
  </si>
  <si>
    <t>1171 County Road 20A</t>
  </si>
  <si>
    <t>Nizzi</t>
  </si>
  <si>
    <t>Matthew and Marilyn Nizzi</t>
  </si>
  <si>
    <t>Matthew and Marilyn</t>
  </si>
  <si>
    <t>3501 59th St</t>
  </si>
  <si>
    <t>50322-3609</t>
  </si>
  <si>
    <t>larson.kati@gmail.com</t>
  </si>
  <si>
    <t>XNZRF5602</t>
  </si>
  <si>
    <t>ALR240203C33</t>
  </si>
  <si>
    <t>ALQ1912CF001</t>
  </si>
  <si>
    <t>Phyllis E. Wells</t>
  </si>
  <si>
    <t>2054 N Thornton Rd Spc 83</t>
  </si>
  <si>
    <t>85122-7846</t>
  </si>
  <si>
    <t>XNZNF6905</t>
  </si>
  <si>
    <t>ALR200104C44</t>
  </si>
  <si>
    <t>ALA20010B24A</t>
  </si>
  <si>
    <t>Peggy Drake</t>
  </si>
  <si>
    <t>Steuben</t>
  </si>
  <si>
    <t>04680-0094</t>
  </si>
  <si>
    <t>eliotd@hotmail.com</t>
  </si>
  <si>
    <t>XNZPX5703</t>
  </si>
  <si>
    <t>Tye</t>
  </si>
  <si>
    <t>Ms. Marjorie Tye</t>
  </si>
  <si>
    <t>127 Bryce Way</t>
  </si>
  <si>
    <t>95687-3405</t>
  </si>
  <si>
    <t>tye.marjorie@yahoo.com</t>
  </si>
  <si>
    <t>XNZRF7612</t>
  </si>
  <si>
    <t>ALR230501C13</t>
  </si>
  <si>
    <t>ALR200304C23</t>
  </si>
  <si>
    <t>Mrs. Elizabeth Hestnes</t>
  </si>
  <si>
    <t>1010 Waltham St</t>
  </si>
  <si>
    <t>02421-8044</t>
  </si>
  <si>
    <t>twohfarm@aol.com</t>
  </si>
  <si>
    <t>XNZPF5122</t>
  </si>
  <si>
    <t>ALA15040H56H</t>
  </si>
  <si>
    <t>63 Gould St</t>
  </si>
  <si>
    <t>West Roxbury</t>
  </si>
  <si>
    <t>02132-5010</t>
  </si>
  <si>
    <t>imcinnyluwho@yahoo.com</t>
  </si>
  <si>
    <t>XNZPF8617</t>
  </si>
  <si>
    <t>ALR230404C64</t>
  </si>
  <si>
    <t>Joseph and S. Kraus</t>
  </si>
  <si>
    <t>Kraus Family</t>
  </si>
  <si>
    <t>6389 N Calle Campeche</t>
  </si>
  <si>
    <t>85750-1279</t>
  </si>
  <si>
    <t>XNZRF1001</t>
  </si>
  <si>
    <t>Connolly</t>
  </si>
  <si>
    <t>Ms. Ruth M. Connolly</t>
  </si>
  <si>
    <t>1616 16th St NW Apt 601</t>
  </si>
  <si>
    <t>20009-3019</t>
  </si>
  <si>
    <t>XNZNX1401</t>
  </si>
  <si>
    <t>ALR221001C33</t>
  </si>
  <si>
    <t>XRA0B41CX</t>
  </si>
  <si>
    <t>337 Chadwick Shores Dr</t>
  </si>
  <si>
    <t>Sneads Ferry</t>
  </si>
  <si>
    <t>28460-9201</t>
  </si>
  <si>
    <t>janrich1994@yahoo.com</t>
  </si>
  <si>
    <t>XNZRF5703</t>
  </si>
  <si>
    <t>Alida</t>
  </si>
  <si>
    <t>Wind</t>
  </si>
  <si>
    <t>Alida P. Wind</t>
  </si>
  <si>
    <t>PO Box 370</t>
  </si>
  <si>
    <t>95776-0370</t>
  </si>
  <si>
    <t>alidawind@comcast.net</t>
  </si>
  <si>
    <t>XNZNF</t>
  </si>
  <si>
    <t>ATA19060A001</t>
  </si>
  <si>
    <t>Rogene</t>
  </si>
  <si>
    <t>Buchholz</t>
  </si>
  <si>
    <t>800 N Pearl St Apt 1104</t>
  </si>
  <si>
    <t>80203-3345</t>
  </si>
  <si>
    <t>rabucholz@msn.com</t>
  </si>
  <si>
    <t>buchholz@loyno.edu</t>
  </si>
  <si>
    <t>XNZSF59NC</t>
  </si>
  <si>
    <t>Ms. Susan Bayer and Mr. Michael Garner</t>
  </si>
  <si>
    <t>Susan and Michael</t>
  </si>
  <si>
    <t>1133 New Hampton Rd</t>
  </si>
  <si>
    <t>03269-2018</t>
  </si>
  <si>
    <t>scbsanb@earthlink.net</t>
  </si>
  <si>
    <t>XNZYF5703</t>
  </si>
  <si>
    <t>ALR220201C66</t>
  </si>
  <si>
    <t>Martha Carnevale</t>
  </si>
  <si>
    <t>7820 Suncup Way Unit 308</t>
  </si>
  <si>
    <t>92009-6842</t>
  </si>
  <si>
    <t>martycarnevale@yahoo.com</t>
  </si>
  <si>
    <t>carnevalemarty43@gmail.com</t>
  </si>
  <si>
    <t>ALA2208D2PSC</t>
  </si>
  <si>
    <t>Ms. Sandra Stelling and Mr. Clifford Crandall</t>
  </si>
  <si>
    <t>Sandra and Clifford</t>
  </si>
  <si>
    <t>5225 44th Ave SW</t>
  </si>
  <si>
    <t>98136-1101</t>
  </si>
  <si>
    <t>slstelling@gmail.com</t>
  </si>
  <si>
    <t>potelne@gmail.com</t>
  </si>
  <si>
    <t>XNZPF8405</t>
  </si>
  <si>
    <t>ATA2403T1EMC</t>
  </si>
  <si>
    <t>ATA160801001</t>
  </si>
  <si>
    <t>Ms. Nancy Berger</t>
  </si>
  <si>
    <t>2 Stone Row Ct</t>
  </si>
  <si>
    <t>21030-1918</t>
  </si>
  <si>
    <t>trail4miles@gmail.com</t>
  </si>
  <si>
    <t>XNZNF7512</t>
  </si>
  <si>
    <t>ALR231201C54</t>
  </si>
  <si>
    <t>Mrs. Mary and Mr. Michael G. Gerfin</t>
  </si>
  <si>
    <t>Mary and Michael</t>
  </si>
  <si>
    <t>221 Silverleaf Ct</t>
  </si>
  <si>
    <t>17603-2010</t>
  </si>
  <si>
    <t>mgerfin@comcast.net</t>
  </si>
  <si>
    <t>magerfin@comcast.net</t>
  </si>
  <si>
    <t>nseinejane@gmail.com</t>
  </si>
  <si>
    <t>Barbara Badger</t>
  </si>
  <si>
    <t>3121 Vestal Pkwy E</t>
  </si>
  <si>
    <t>Vestal</t>
  </si>
  <si>
    <t>13850-2039</t>
  </si>
  <si>
    <t>badgergeo@aol.com</t>
  </si>
  <si>
    <t>green_331@hotmail.com</t>
  </si>
  <si>
    <t>XPCH96</t>
  </si>
  <si>
    <t>ALR171213040</t>
  </si>
  <si>
    <t>ALR081203203</t>
  </si>
  <si>
    <t>Mr. Philip Wineland</t>
  </si>
  <si>
    <t>12046 Southgate Dr</t>
  </si>
  <si>
    <t>49080-8714</t>
  </si>
  <si>
    <t>winelander@aol.com</t>
  </si>
  <si>
    <t>XNSSD1205</t>
  </si>
  <si>
    <t>XRB9A31M</t>
  </si>
  <si>
    <t>Ms. Denise L. Guidry</t>
  </si>
  <si>
    <t>640 Wisteria Ln</t>
  </si>
  <si>
    <t>95407-5455</t>
  </si>
  <si>
    <t>deniseguidry@comcast.net</t>
  </si>
  <si>
    <t>dguidry@tfewines.com</t>
  </si>
  <si>
    <t>XNZPF6609</t>
  </si>
  <si>
    <t>ALS220701WS3</t>
  </si>
  <si>
    <t>ALQ0302EH076</t>
  </si>
  <si>
    <t>Melanie and Brian Low</t>
  </si>
  <si>
    <t>Melanie and Brian</t>
  </si>
  <si>
    <t>936 Bay Ridge Dr</t>
  </si>
  <si>
    <t>49424-6493</t>
  </si>
  <si>
    <t>lowba@aol.com</t>
  </si>
  <si>
    <t>XNZNF6307</t>
  </si>
  <si>
    <t>ALR191203C33</t>
  </si>
  <si>
    <t>ALR160301033</t>
  </si>
  <si>
    <t>Rice</t>
  </si>
  <si>
    <t>Ms. Elizabeth E. Rice</t>
  </si>
  <si>
    <t>14537 Island Dr</t>
  </si>
  <si>
    <t>48313-2213</t>
  </si>
  <si>
    <t>ectachrome60@yahoo.com</t>
  </si>
  <si>
    <t>brice95@netzero.net</t>
  </si>
  <si>
    <t>XNFLG4204</t>
  </si>
  <si>
    <t>ALR210302C33</t>
  </si>
  <si>
    <t>Ms. Janice and Mr. William B. Parry</t>
  </si>
  <si>
    <t>Janice and William</t>
  </si>
  <si>
    <t>PO Box 514</t>
  </si>
  <si>
    <t>18938-0514</t>
  </si>
  <si>
    <t>XNHLG1109</t>
  </si>
  <si>
    <t>blake-perry@parry-insurance.com</t>
  </si>
  <si>
    <t>Ms. Barbara Kessel</t>
  </si>
  <si>
    <t>1930 Stewart St</t>
  </si>
  <si>
    <t>90404-4944</t>
  </si>
  <si>
    <t>barbarakessel70@gmail.com</t>
  </si>
  <si>
    <t>bkes@mymailstation.com</t>
  </si>
  <si>
    <t>XNHLG5402</t>
  </si>
  <si>
    <t>ATA17060A001</t>
  </si>
  <si>
    <t>Gemma</t>
  </si>
  <si>
    <t>Dehnbostel</t>
  </si>
  <si>
    <t>Mrs. Gemma R. and Mr. Bruce Dehnbostel</t>
  </si>
  <si>
    <t>Gemma and Bruce</t>
  </si>
  <si>
    <t>219 Flame Ave</t>
  </si>
  <si>
    <t>Maitland</t>
  </si>
  <si>
    <t>32751-3147</t>
  </si>
  <si>
    <t>grdehnbostel@yahoo.com</t>
  </si>
  <si>
    <t>dehnbost@yahoo.com</t>
  </si>
  <si>
    <t>XNPFK2107</t>
  </si>
  <si>
    <t>ALA040201002</t>
  </si>
  <si>
    <t>Ankrum</t>
  </si>
  <si>
    <t>Jack Ankrum, Jr.</t>
  </si>
  <si>
    <t>112 Primrose Ct</t>
  </si>
  <si>
    <t>55127-6145</t>
  </si>
  <si>
    <t>jdawg203@hotmail.com</t>
  </si>
  <si>
    <t>XNHLG2622</t>
  </si>
  <si>
    <t>ALR220400001</t>
  </si>
  <si>
    <t>Griffin</t>
  </si>
  <si>
    <t>Steven and Linda Griffin</t>
  </si>
  <si>
    <t>Steven and Linda</t>
  </si>
  <si>
    <t>23W311 Woodcrest Ct E</t>
  </si>
  <si>
    <t>60540-9533</t>
  </si>
  <si>
    <t>stevenhgriffin@gmail.com</t>
  </si>
  <si>
    <t>fireworks82@sbcglobal.net</t>
  </si>
  <si>
    <t>XNFLG4504</t>
  </si>
  <si>
    <t>XRK0A41LC</t>
  </si>
  <si>
    <t>Heuermann</t>
  </si>
  <si>
    <t>Mr. Terry Heuermann</t>
  </si>
  <si>
    <t>1918 N Meadow Lark Dr</t>
  </si>
  <si>
    <t>86001-1331</t>
  </si>
  <si>
    <t>XNFLG7606</t>
  </si>
  <si>
    <t>ALL23030A52M</t>
  </si>
  <si>
    <t>2240 Shannondale Dr</t>
  </si>
  <si>
    <t>60048-1141</t>
  </si>
  <si>
    <t>haroldbowerman@gmail.com</t>
  </si>
  <si>
    <t>hands@fastermac.net</t>
  </si>
  <si>
    <t>XNFLG4404</t>
  </si>
  <si>
    <t>ALR140603233</t>
  </si>
  <si>
    <t>Tanko</t>
  </si>
  <si>
    <t>Albert and Ann Tanko</t>
  </si>
  <si>
    <t>Albert and Ann</t>
  </si>
  <si>
    <t>29705 Zodiac St NE</t>
  </si>
  <si>
    <t>North Branch</t>
  </si>
  <si>
    <t>55056-6323</t>
  </si>
  <si>
    <t>annt3513@hotmail.com</t>
  </si>
  <si>
    <t>XBJF96</t>
  </si>
  <si>
    <t>ALR230108C33</t>
  </si>
  <si>
    <t>ALA21080B15R</t>
  </si>
  <si>
    <t>Hargrave</t>
  </si>
  <si>
    <t>Mrs. Paula B. Hargrave</t>
  </si>
  <si>
    <t>3224 Jellison St</t>
  </si>
  <si>
    <t>80033-5761</t>
  </si>
  <si>
    <t>paula.hargrave@gmail.com</t>
  </si>
  <si>
    <t>Muehl</t>
  </si>
  <si>
    <t>Patricia Tuckwell and W. Muehl</t>
  </si>
  <si>
    <t>3417 Blackhawk Dr</t>
  </si>
  <si>
    <t>53705-1403</t>
  </si>
  <si>
    <t>tuckwell@tds.net</t>
  </si>
  <si>
    <t>XNZSX47NS</t>
  </si>
  <si>
    <t>ALR210903C54</t>
  </si>
  <si>
    <t>muehl@tds.net</t>
  </si>
  <si>
    <t>Kuchna</t>
  </si>
  <si>
    <t>Ms. Cheryl R. Kuchna</t>
  </si>
  <si>
    <t>1060 Jefferson Ct</t>
  </si>
  <si>
    <t>Newburgh</t>
  </si>
  <si>
    <t>47630-1614</t>
  </si>
  <si>
    <t>parkerjbp@gmail.com</t>
  </si>
  <si>
    <t>kuchierose@gmail.com</t>
  </si>
  <si>
    <t>XNCRH4313</t>
  </si>
  <si>
    <t>Mr. Richard Basore</t>
  </si>
  <si>
    <t>281 S Simonsen Rd</t>
  </si>
  <si>
    <t>Post Falls</t>
  </si>
  <si>
    <t>83854-4752</t>
  </si>
  <si>
    <t>basorebeanery@msn.com</t>
  </si>
  <si>
    <t>ALQXXXX00WSC</t>
  </si>
  <si>
    <t>ALR220100EMC</t>
  </si>
  <si>
    <t>1302 Rhode Island Ave NW</t>
  </si>
  <si>
    <t>20005-3710</t>
  </si>
  <si>
    <t>k.sendall@mml.org</t>
  </si>
  <si>
    <t>ksendall@msn.com</t>
  </si>
  <si>
    <t>XNHRH3203</t>
  </si>
  <si>
    <t>Trimble</t>
  </si>
  <si>
    <t>2280 Macland Rd SW</t>
  </si>
  <si>
    <t>30064-4043</t>
  </si>
  <si>
    <t>XNARH</t>
  </si>
  <si>
    <t>ALA040101096</t>
  </si>
  <si>
    <t>XA0ECCAEG</t>
  </si>
  <si>
    <t>Ms. Barbara Schoene</t>
  </si>
  <si>
    <t>3099 Riverview Ln</t>
  </si>
  <si>
    <t>49022-2479</t>
  </si>
  <si>
    <t>XNARH1507</t>
  </si>
  <si>
    <t>ALL21120B63M</t>
  </si>
  <si>
    <t>ALR140502023</t>
  </si>
  <si>
    <t>Closz</t>
  </si>
  <si>
    <t>Mrs. Jean T. and Mr. Charles Closz</t>
  </si>
  <si>
    <t>Jean and Charles</t>
  </si>
  <si>
    <t>722 Brentwood Dr</t>
  </si>
  <si>
    <t>37804-3411</t>
  </si>
  <si>
    <t>closzcharlieandjean@gmail.com</t>
  </si>
  <si>
    <t>jclosz52@gmail.com</t>
  </si>
  <si>
    <t>ALA24030A14A</t>
  </si>
  <si>
    <t>Underwood</t>
  </si>
  <si>
    <t>David and Susan Underwood</t>
  </si>
  <si>
    <t>David and Susan</t>
  </si>
  <si>
    <t>145 E Old Andrew Johnson Hwy</t>
  </si>
  <si>
    <t>Jefferson City</t>
  </si>
  <si>
    <t>37760-1701</t>
  </si>
  <si>
    <t>dunderwood@cn.edu</t>
  </si>
  <si>
    <t>Morning-Sky</t>
  </si>
  <si>
    <t>Walter Butler and Leslie Morning-Sky</t>
  </si>
  <si>
    <t>Walter and Leslie</t>
  </si>
  <si>
    <t>3 Signal Tower Rd</t>
  </si>
  <si>
    <t>Freeville</t>
  </si>
  <si>
    <t>13068-9606</t>
  </si>
  <si>
    <t>ronbutler7112@yahoo.com</t>
  </si>
  <si>
    <t>XNCRH1005</t>
  </si>
  <si>
    <t>ALR161000001</t>
  </si>
  <si>
    <t>Grooms</t>
  </si>
  <si>
    <t>Dale A. Grooms</t>
  </si>
  <si>
    <t>10929 Sam Lee Rd</t>
  </si>
  <si>
    <t>37932-1430</t>
  </si>
  <si>
    <t>dale.grooms@aol.com</t>
  </si>
  <si>
    <t>dag51@hotmail.com</t>
  </si>
  <si>
    <t>XNDRH27NA</t>
  </si>
  <si>
    <t>ALR170502033</t>
  </si>
  <si>
    <t>Corry</t>
  </si>
  <si>
    <t>PO Box 185</t>
  </si>
  <si>
    <t>59624-0185</t>
  </si>
  <si>
    <t>pat_corry@yahoo.com</t>
  </si>
  <si>
    <t>XBSO95NS</t>
  </si>
  <si>
    <t>ALA15110G15A</t>
  </si>
  <si>
    <t>Ms. Pauline and Mr. Richard Serkey</t>
  </si>
  <si>
    <t>Pauline and Richard</t>
  </si>
  <si>
    <t>60 Allerton St</t>
  </si>
  <si>
    <t>02360-4167</t>
  </si>
  <si>
    <t>pianopas@aol.com</t>
  </si>
  <si>
    <t>XNAMI4313</t>
  </si>
  <si>
    <t>ATA2311T5EMC</t>
  </si>
  <si>
    <t>ALR230101C64</t>
  </si>
  <si>
    <t>Ms. Cynthia A. Orseno</t>
  </si>
  <si>
    <t>43630 Middle Ridge Rd</t>
  </si>
  <si>
    <t>44053-3908</t>
  </si>
  <si>
    <t>wikkiwikios@gmail.com</t>
  </si>
  <si>
    <t>wikkiwikkios@gmail.com</t>
  </si>
  <si>
    <t>XNDMI2201</t>
  </si>
  <si>
    <t>Robert W</t>
  </si>
  <si>
    <t>Mr. Robert W Keller</t>
  </si>
  <si>
    <t>8810 116th Ave NE</t>
  </si>
  <si>
    <t>98033-5713</t>
  </si>
  <si>
    <t>bob_keller@comcast.net</t>
  </si>
  <si>
    <t>XNJMX5817</t>
  </si>
  <si>
    <t>ALA2312DCEMC</t>
  </si>
  <si>
    <t>ALA1912D5EMC</t>
  </si>
  <si>
    <t>Gove</t>
  </si>
  <si>
    <t>Mellor</t>
  </si>
  <si>
    <t>Ms. Doris Gove and Mr. Jeff Mellor</t>
  </si>
  <si>
    <t>Doris and Jeff</t>
  </si>
  <si>
    <t>4204 Taliluna Ave</t>
  </si>
  <si>
    <t>37919-8363</t>
  </si>
  <si>
    <t>dorisgove@aol.com</t>
  </si>
  <si>
    <t>dorisgore@aol.com</t>
  </si>
  <si>
    <t>XNDMI3603</t>
  </si>
  <si>
    <t>Ms. Grace M. Kirchner</t>
  </si>
  <si>
    <t>445 Wawona Street #315</t>
  </si>
  <si>
    <t>94116-3089</t>
  </si>
  <si>
    <t>XNHMX3603</t>
  </si>
  <si>
    <t>ALA16040E25C</t>
  </si>
  <si>
    <t>Mary Larson</t>
  </si>
  <si>
    <t>9128 18th St SE</t>
  </si>
  <si>
    <t>Claremont</t>
  </si>
  <si>
    <t>55924-9632</t>
  </si>
  <si>
    <t>bloodgas5@yahoo.com</t>
  </si>
  <si>
    <t>XNAMI6501</t>
  </si>
  <si>
    <t>ALR220100001</t>
  </si>
  <si>
    <t>XRH1A51CG</t>
  </si>
  <si>
    <t>Mr. Adrian N. Elliott</t>
  </si>
  <si>
    <t>3601 Thurloe Dr</t>
  </si>
  <si>
    <t>32955-6069</t>
  </si>
  <si>
    <t>adrian.elliott55@gmail.com</t>
  </si>
  <si>
    <t>XNAMI6707</t>
  </si>
  <si>
    <t>ALR231203C44</t>
  </si>
  <si>
    <t>XVD8B21S</t>
  </si>
  <si>
    <t>Malasky</t>
  </si>
  <si>
    <t>Pamela Malasky</t>
  </si>
  <si>
    <t>3057 Latimer Ave</t>
  </si>
  <si>
    <t>Ashtabula</t>
  </si>
  <si>
    <t>44004-5226</t>
  </si>
  <si>
    <t>ladyquilla@hotmail.com</t>
  </si>
  <si>
    <t>XSBI03421</t>
  </si>
  <si>
    <t>ALQ2207AA106</t>
  </si>
  <si>
    <t>Ms. Connie N. Powell</t>
  </si>
  <si>
    <t>PO Box 1452</t>
  </si>
  <si>
    <t>Clanton</t>
  </si>
  <si>
    <t>35046-1452</t>
  </si>
  <si>
    <t>conniepowell@bellsouth.net</t>
  </si>
  <si>
    <t>XNBMI2804</t>
  </si>
  <si>
    <t>3708 Apple Pie Ridge Rd</t>
  </si>
  <si>
    <t>22603-2502</t>
  </si>
  <si>
    <t>barbl@swcp.com</t>
  </si>
  <si>
    <t>ALS150401WS3</t>
  </si>
  <si>
    <t>ALA060001002</t>
  </si>
  <si>
    <t>Mr. Mark G. Kirchner</t>
  </si>
  <si>
    <t>1194 Delaware Ave</t>
  </si>
  <si>
    <t>West Saint Paul</t>
  </si>
  <si>
    <t>55118-2062</t>
  </si>
  <si>
    <t>markteach2570@comcast.net</t>
  </si>
  <si>
    <t>XNJPJ3304</t>
  </si>
  <si>
    <t>Julian M. Babad</t>
  </si>
  <si>
    <t>2720 E River Road</t>
  </si>
  <si>
    <t>jmbabad@juno.com</t>
  </si>
  <si>
    <t>XNJPJ</t>
  </si>
  <si>
    <t>PPA061001001</t>
  </si>
  <si>
    <t>Cyrus Sheikholeslami</t>
  </si>
  <si>
    <t>4063 Eagle St</t>
  </si>
  <si>
    <t>92103-1916</t>
  </si>
  <si>
    <t>XNLPJ6205</t>
  </si>
  <si>
    <t>ALR220514C20</t>
  </si>
  <si>
    <t>ALR210107C23</t>
  </si>
  <si>
    <t>Howatt</t>
  </si>
  <si>
    <t>Ms. Eileen Howatt</t>
  </si>
  <si>
    <t>210 Pond View Ct</t>
  </si>
  <si>
    <t>Quakertown</t>
  </si>
  <si>
    <t>18951-3126</t>
  </si>
  <si>
    <t>efhkt@yahoo.com</t>
  </si>
  <si>
    <t>XNNPJ4803</t>
  </si>
  <si>
    <t>Hettinger</t>
  </si>
  <si>
    <t>Dr. Sharon L. Hettinger</t>
  </si>
  <si>
    <t>1410 Clare Ct</t>
  </si>
  <si>
    <t>66046-3222</t>
  </si>
  <si>
    <t>XNGMX3603</t>
  </si>
  <si>
    <t>ALA24010B24A</t>
  </si>
  <si>
    <t>Mr. Yves Masson</t>
  </si>
  <si>
    <t>1101 River Reach Dr Apt 518</t>
  </si>
  <si>
    <t>33315-1178</t>
  </si>
  <si>
    <t>XNSPJ4201</t>
  </si>
  <si>
    <t>ALR201205C44</t>
  </si>
  <si>
    <t>Delores Riemer</t>
  </si>
  <si>
    <t>8000 S Market St Apt 324</t>
  </si>
  <si>
    <t>53154-2385</t>
  </si>
  <si>
    <t>XNJPJ7901</t>
  </si>
  <si>
    <t>ALR190201044</t>
  </si>
  <si>
    <t>Peterson</t>
  </si>
  <si>
    <t>K. N. Peterson</t>
  </si>
  <si>
    <t>11534 N Haggerty Rd</t>
  </si>
  <si>
    <t>48170-4456</t>
  </si>
  <si>
    <t>nils_p_39@yahoo.com</t>
  </si>
  <si>
    <t>angelmoomoo@hotmail.com</t>
  </si>
  <si>
    <t>XNJPJ7514</t>
  </si>
  <si>
    <t>ALR230702C33</t>
  </si>
  <si>
    <t>Mr. Donald L. Mattes</t>
  </si>
  <si>
    <t>326 County Road 516</t>
  </si>
  <si>
    <t>37329-5164</t>
  </si>
  <si>
    <t>nzz621@centurytel.net</t>
  </si>
  <si>
    <t>XSBI22221</t>
  </si>
  <si>
    <t>ALA23090E24R</t>
  </si>
  <si>
    <t>ALR230401C33</t>
  </si>
  <si>
    <t>Mrs. Diana C. Davide</t>
  </si>
  <si>
    <t>475 Jonestown Mount Liberty Rd</t>
  </si>
  <si>
    <t>26416-8146</t>
  </si>
  <si>
    <t>daj721994@frontier.com</t>
  </si>
  <si>
    <t>jad@tds.net</t>
  </si>
  <si>
    <t>XSBI51221</t>
  </si>
  <si>
    <t>ALA18030A12R</t>
  </si>
  <si>
    <t>ALR040408003</t>
  </si>
  <si>
    <t>Mr. Harlan R. Johnson</t>
  </si>
  <si>
    <t>1696 Pleasant St Apt A</t>
  </si>
  <si>
    <t>55113-5254</t>
  </si>
  <si>
    <t>mejhcj@gmail.com</t>
  </si>
  <si>
    <t>XNQCD2504</t>
  </si>
  <si>
    <t>ALR240103C44</t>
  </si>
  <si>
    <t>Nat</t>
  </si>
  <si>
    <t>Mr. Nat Cohen</t>
  </si>
  <si>
    <t>3628 S Echo Trl</t>
  </si>
  <si>
    <t>75023-6107</t>
  </si>
  <si>
    <t>nat.cohen@tx.rr.com</t>
  </si>
  <si>
    <t>XNDBD37NA</t>
  </si>
  <si>
    <t>ALR201202C21</t>
  </si>
  <si>
    <t>Mr. and Mrs. Gerald C. Jacobs</t>
  </si>
  <si>
    <t>507 Deidrich Street</t>
  </si>
  <si>
    <t>Eustis</t>
  </si>
  <si>
    <t>32726-4324</t>
  </si>
  <si>
    <t>XNBSK7601</t>
  </si>
  <si>
    <t>ALA200001001</t>
  </si>
  <si>
    <t>Janette</t>
  </si>
  <si>
    <t>Mraz</t>
  </si>
  <si>
    <t>Janette Mraz</t>
  </si>
  <si>
    <t>1715 Bunting Rd</t>
  </si>
  <si>
    <t>49201-7911</t>
  </si>
  <si>
    <t>XNBSK6808</t>
  </si>
  <si>
    <t>Anthony</t>
  </si>
  <si>
    <t>Mr. Anthony M. Jones</t>
  </si>
  <si>
    <t>5345 Carters Creek Pike</t>
  </si>
  <si>
    <t>Thompsons Station</t>
  </si>
  <si>
    <t>37179-5289</t>
  </si>
  <si>
    <t>onewomanshow@charter.net</t>
  </si>
  <si>
    <t>XNKPJ3204</t>
  </si>
  <si>
    <t>ALR211102C23</t>
  </si>
  <si>
    <t>Brainard</t>
  </si>
  <si>
    <t>10501 Lagrima De Oro Rd NE Apt 745</t>
  </si>
  <si>
    <t>87111-6928</t>
  </si>
  <si>
    <t>lvlshirl@yahoo.com</t>
  </si>
  <si>
    <t>shirllvl82@gmail.com</t>
  </si>
  <si>
    <t>XNBSK6004</t>
  </si>
  <si>
    <t>ALR201001C44</t>
  </si>
  <si>
    <t>ALR161001023</t>
  </si>
  <si>
    <t>David G. Zoch</t>
  </si>
  <si>
    <t>1224 N 7th St</t>
  </si>
  <si>
    <t>53081-3415</t>
  </si>
  <si>
    <t>dgzoch@hotmail.com</t>
  </si>
  <si>
    <t>ALR220700001</t>
  </si>
  <si>
    <t>Slotterback</t>
  </si>
  <si>
    <t>Ms. Grace A. Slotterback</t>
  </si>
  <si>
    <t>100 Freemason Dr</t>
  </si>
  <si>
    <t>Apt 2502</t>
  </si>
  <si>
    <t>Elizabethtown</t>
  </si>
  <si>
    <t>17022-3131</t>
  </si>
  <si>
    <t>g114s@aol.com</t>
  </si>
  <si>
    <t>XNCSKE117</t>
  </si>
  <si>
    <t>ALA15070J15A</t>
  </si>
  <si>
    <t>ALA15010M15A</t>
  </si>
  <si>
    <t>Donohoe</t>
  </si>
  <si>
    <t>Mr. Stephen A. Donohoe</t>
  </si>
  <si>
    <t>Hyde Park</t>
  </si>
  <si>
    <t>05655-0249</t>
  </si>
  <si>
    <t>alexandercove@aol.com</t>
  </si>
  <si>
    <t>XNFSK4601</t>
  </si>
  <si>
    <t>ALA23070B24A</t>
  </si>
  <si>
    <t>XRJ9P36AA</t>
  </si>
  <si>
    <t>Schieler</t>
  </si>
  <si>
    <t>Mr. Richard Schieler</t>
  </si>
  <si>
    <t>Po Box 260</t>
  </si>
  <si>
    <t>61824-0260</t>
  </si>
  <si>
    <t>richler41@yahoo.com</t>
  </si>
  <si>
    <t>XNBSK7422</t>
  </si>
  <si>
    <t>18616 59th Ave SE</t>
  </si>
  <si>
    <t>98296-8333</t>
  </si>
  <si>
    <t>donncharnley@gmail.com</t>
  </si>
  <si>
    <t>XNCSK4506</t>
  </si>
  <si>
    <t>ALL18040A42M</t>
  </si>
  <si>
    <t>XVF7A11S</t>
  </si>
  <si>
    <t>Lilley</t>
  </si>
  <si>
    <t>Ms. Barbara J. Lilley</t>
  </si>
  <si>
    <t>PO Box 128</t>
  </si>
  <si>
    <t>93062-0128</t>
  </si>
  <si>
    <t>boparkowalski@gmail.com</t>
  </si>
  <si>
    <t>XNDSK4002</t>
  </si>
  <si>
    <t>Hays</t>
  </si>
  <si>
    <t>Mrs. Janet Hays</t>
  </si>
  <si>
    <t>7315 Ashton Pl</t>
  </si>
  <si>
    <t>78229-4117</t>
  </si>
  <si>
    <t>XNDSKC512</t>
  </si>
  <si>
    <t>ALR210700001</t>
  </si>
  <si>
    <t>Giorgio</t>
  </si>
  <si>
    <t>604 Quarry Rd</t>
  </si>
  <si>
    <t>Springville</t>
  </si>
  <si>
    <t>18844-7906</t>
  </si>
  <si>
    <t>giorgiopaula16shop@gmail.com</t>
  </si>
  <si>
    <t>pardoe_pa@hotmail.com</t>
  </si>
  <si>
    <t>XNNSKA806</t>
  </si>
  <si>
    <t>XRF9A31SC</t>
  </si>
  <si>
    <t>Bigley</t>
  </si>
  <si>
    <t>Giles</t>
  </si>
  <si>
    <t>Ms. Bernadette Bigley and Mr. Giles C. Gordon</t>
  </si>
  <si>
    <t>Bernadette and Giles</t>
  </si>
  <si>
    <t>39382 Duck Rd</t>
  </si>
  <si>
    <t>Ronan</t>
  </si>
  <si>
    <t>59864-8726</t>
  </si>
  <si>
    <t>XNASK3601</t>
  </si>
  <si>
    <t>XVF8B21C</t>
  </si>
  <si>
    <t>Milly</t>
  </si>
  <si>
    <t>Mildred and Milly Frederick</t>
  </si>
  <si>
    <t>Mildred and Milly</t>
  </si>
  <si>
    <t>161 Follett Street</t>
  </si>
  <si>
    <t>94801-3419</t>
  </si>
  <si>
    <t>tandog05@gmail.com</t>
  </si>
  <si>
    <t>frederic-m@sbcglobal.net</t>
  </si>
  <si>
    <t>XNMPJ4910</t>
  </si>
  <si>
    <t>ALQ1011ME035</t>
  </si>
  <si>
    <t>Niehaus</t>
  </si>
  <si>
    <t>Mr. Mark Niehaus</t>
  </si>
  <si>
    <t>2480 Jenkee Drive</t>
  </si>
  <si>
    <t>63031-5551</t>
  </si>
  <si>
    <t>XNATL7513</t>
  </si>
  <si>
    <t>121 Wooded Ln</t>
  </si>
  <si>
    <t>Villanova</t>
  </si>
  <si>
    <t>19085-1414</t>
  </si>
  <si>
    <t>wardbar@juno.com</t>
  </si>
  <si>
    <t>XNESKC412</t>
  </si>
  <si>
    <t>ALR221101005</t>
  </si>
  <si>
    <t>1670 E Crown Ridge Way</t>
  </si>
  <si>
    <t>85755-7102</t>
  </si>
  <si>
    <t>susan.tornga@comcast.net</t>
  </si>
  <si>
    <t>susantornga6@gmail.com</t>
  </si>
  <si>
    <t>XNCTL5003</t>
  </si>
  <si>
    <t>ALA2311D1DMC</t>
  </si>
  <si>
    <t>Kopf</t>
  </si>
  <si>
    <t>Donald and Nancy</t>
  </si>
  <si>
    <t>2007 Huntington Ave</t>
  </si>
  <si>
    <t>34232-3523</t>
  </si>
  <si>
    <t>npkopf@aol.com</t>
  </si>
  <si>
    <t>XNATL8017</t>
  </si>
  <si>
    <t>XS8ATBBA1</t>
  </si>
  <si>
    <t>Sevier</t>
  </si>
  <si>
    <t>PO Box 154</t>
  </si>
  <si>
    <t>03047-0154</t>
  </si>
  <si>
    <t>csevier@myfairpoint.net</t>
  </si>
  <si>
    <t>XNFSK1108</t>
  </si>
  <si>
    <t>ALR060902003</t>
  </si>
  <si>
    <t>Mr. Thomas Schall</t>
  </si>
  <si>
    <t>644 5th St</t>
  </si>
  <si>
    <t>15147-2512</t>
  </si>
  <si>
    <t>tsslps@mindspring.com</t>
  </si>
  <si>
    <t>tsschall@gmail.com</t>
  </si>
  <si>
    <t>XNJPJ1922</t>
  </si>
  <si>
    <t>ABR150001001</t>
  </si>
  <si>
    <t>XRJ0Q41XA</t>
  </si>
  <si>
    <t>Maine</t>
  </si>
  <si>
    <t>1307 Ramey Mountain Rd</t>
  </si>
  <si>
    <t>30546-1550</t>
  </si>
  <si>
    <t>gamaine@msn.com</t>
  </si>
  <si>
    <t>barolowine@yahoo.com</t>
  </si>
  <si>
    <t>XNPSK9915</t>
  </si>
  <si>
    <t>ALR170805033</t>
  </si>
  <si>
    <t>Kinser</t>
  </si>
  <si>
    <t>Mr. Sam Kinser</t>
  </si>
  <si>
    <t>824 N Grove Ave</t>
  </si>
  <si>
    <t>60302-1554</t>
  </si>
  <si>
    <t>ralphkinser@hotmail.com</t>
  </si>
  <si>
    <t>XNETL6910</t>
  </si>
  <si>
    <t>Mrs. Barbara I. Hancock</t>
  </si>
  <si>
    <t>13040 SE 128th Ave</t>
  </si>
  <si>
    <t>97086-9381</t>
  </si>
  <si>
    <t>baha97880@gmail.com</t>
  </si>
  <si>
    <t>tigerlily9@sbcglobal.net</t>
  </si>
  <si>
    <t>XNCSK4305</t>
  </si>
  <si>
    <t>ALR230932EMC</t>
  </si>
  <si>
    <t>Englert</t>
  </si>
  <si>
    <t>Harold and Brenda Englert</t>
  </si>
  <si>
    <t>Harold and Brenda</t>
  </si>
  <si>
    <t>86 Beverly Dr</t>
  </si>
  <si>
    <t>Beech Creek</t>
  </si>
  <si>
    <t>16822-6911</t>
  </si>
  <si>
    <t>XNATL3204</t>
  </si>
  <si>
    <t>ALL16040C53M</t>
  </si>
  <si>
    <t>XRL8A23L</t>
  </si>
  <si>
    <t>Robert Bell</t>
  </si>
  <si>
    <t>10385 Pine Cone Way</t>
  </si>
  <si>
    <t>96161-3160</t>
  </si>
  <si>
    <t>bellbob@sbcglobal.net</t>
  </si>
  <si>
    <t>XNCTL1105</t>
  </si>
  <si>
    <t>ALR240401C31</t>
  </si>
  <si>
    <t>Ms. Mary-Sue J. Johnson</t>
  </si>
  <si>
    <t>885 Pulpit Rock Cir S</t>
  </si>
  <si>
    <t>80918-7046</t>
  </si>
  <si>
    <t>msjrvvh@aol.com</t>
  </si>
  <si>
    <t>XNESKE117</t>
  </si>
  <si>
    <t>ALA2101D1DM2</t>
  </si>
  <si>
    <t>Sandham</t>
  </si>
  <si>
    <t>Val</t>
  </si>
  <si>
    <t>James and Val Sandham</t>
  </si>
  <si>
    <t>James and Val</t>
  </si>
  <si>
    <t>303 Tradinghouse Creek St</t>
  </si>
  <si>
    <t>78633-2144</t>
  </si>
  <si>
    <t>librn_2000@yahoo.com</t>
  </si>
  <si>
    <t>XNFTL8017</t>
  </si>
  <si>
    <t>ALR230702C54</t>
  </si>
  <si>
    <t>Mr. Oliver O. Stinson</t>
  </si>
  <si>
    <t>6570 Oakmont Dr Ste 100</t>
  </si>
  <si>
    <t>95409-5971</t>
  </si>
  <si>
    <t>glenn121212@yahoo.com</t>
  </si>
  <si>
    <t>stinson@mcn.org</t>
  </si>
  <si>
    <t>XNATL6010</t>
  </si>
  <si>
    <t>ALA20070B13C</t>
  </si>
  <si>
    <t>ALA11050E13A</t>
  </si>
  <si>
    <t>Mrs. Ruth E. Savoie</t>
  </si>
  <si>
    <t>1285 Independence Ct</t>
  </si>
  <si>
    <t>61571-9243</t>
  </si>
  <si>
    <t>ressps57@gmail.com</t>
  </si>
  <si>
    <t>ruth_savoie57@yahoo.com</t>
  </si>
  <si>
    <t>XNDTL8017</t>
  </si>
  <si>
    <t>ALQ2008CB017</t>
  </si>
  <si>
    <t>ALA18030A24R</t>
  </si>
  <si>
    <t>3 Vision Dr # 417</t>
  </si>
  <si>
    <t>01760-2059</t>
  </si>
  <si>
    <t>pbradley84@gmail.com</t>
  </si>
  <si>
    <t>vpray@aol.com</t>
  </si>
  <si>
    <t>ALA24010C13A</t>
  </si>
  <si>
    <t>ALA12030G5AD</t>
  </si>
  <si>
    <t>Mr. Everett L. Ward</t>
  </si>
  <si>
    <t>1523 Delaware St</t>
  </si>
  <si>
    <t>66048-2241</t>
  </si>
  <si>
    <t>everett.ward@hotmail.com</t>
  </si>
  <si>
    <t>everett_ward@hotmail.com</t>
  </si>
  <si>
    <t>XNABA5710</t>
  </si>
  <si>
    <t>ALA23080A13A</t>
  </si>
  <si>
    <t>II</t>
  </si>
  <si>
    <t>Mr. Ted Silva II</t>
  </si>
  <si>
    <t>7573 Hazard Center Dr</t>
  </si>
  <si>
    <t>92108-4528</t>
  </si>
  <si>
    <t>XNETL8017</t>
  </si>
  <si>
    <t>Weakley</t>
  </si>
  <si>
    <t>Scott and Laura</t>
  </si>
  <si>
    <t>8169 S Corona Way</t>
  </si>
  <si>
    <t>80122-2932</t>
  </si>
  <si>
    <t>saweakley4@gmail.com</t>
  </si>
  <si>
    <t>XNADA5110</t>
  </si>
  <si>
    <t>ALA110400001</t>
  </si>
  <si>
    <t>Parke</t>
  </si>
  <si>
    <t>Denis and Peggy</t>
  </si>
  <si>
    <t>1722 N Crystal Cv</t>
  </si>
  <si>
    <t>Haslett</t>
  </si>
  <si>
    <t>48840-8232</t>
  </si>
  <si>
    <t>XBJA96</t>
  </si>
  <si>
    <t>ALA111200WO1</t>
  </si>
  <si>
    <t>denpeg1495@gmail.com</t>
  </si>
  <si>
    <t>120 Windsor Park Dr Apt A301</t>
  </si>
  <si>
    <t>60188-5316</t>
  </si>
  <si>
    <t>msjwindsor@sbcglobal.net</t>
  </si>
  <si>
    <t>XNABA2107</t>
  </si>
  <si>
    <t>ALA23080B13A</t>
  </si>
  <si>
    <t>Major</t>
  </si>
  <si>
    <t>Althouse</t>
  </si>
  <si>
    <t>Major James Althouse</t>
  </si>
  <si>
    <t>1508 Clear Springs Ln</t>
  </si>
  <si>
    <t>South Chesterfield</t>
  </si>
  <si>
    <t>23834-5871</t>
  </si>
  <si>
    <t>hdpatches@hotmail.com</t>
  </si>
  <si>
    <t>jamesalthouse@hotmail.com</t>
  </si>
  <si>
    <t>XNABA1805</t>
  </si>
  <si>
    <t>ALR230808C44</t>
  </si>
  <si>
    <t>ALR080801003</t>
  </si>
  <si>
    <t>Katie</t>
  </si>
  <si>
    <t>Patzke</t>
  </si>
  <si>
    <t>Katie J. Patzke</t>
  </si>
  <si>
    <t>3801 N Main St Apt 21</t>
  </si>
  <si>
    <t>53402-3673</t>
  </si>
  <si>
    <t>XNBTL5003</t>
  </si>
  <si>
    <t>ALQ2312AF001</t>
  </si>
  <si>
    <t>James Watkins III</t>
  </si>
  <si>
    <t>7976 Walnut Ln</t>
  </si>
  <si>
    <t>Hamel</t>
  </si>
  <si>
    <t>55340-7402</t>
  </si>
  <si>
    <t>XNABA6601</t>
  </si>
  <si>
    <t>XVH7A11C</t>
  </si>
  <si>
    <t>Pomeroy</t>
  </si>
  <si>
    <t>Paul Pomeroy M.D.</t>
  </si>
  <si>
    <t>34069 Hathaway St</t>
  </si>
  <si>
    <t>48150-5603</t>
  </si>
  <si>
    <t>ppommd@aol.com</t>
  </si>
  <si>
    <t>XNABA1407</t>
  </si>
  <si>
    <t>ATA2208T3EMC</t>
  </si>
  <si>
    <t>ALA2205D1EMC</t>
  </si>
  <si>
    <t>Alice Mae</t>
  </si>
  <si>
    <t>Reeve</t>
  </si>
  <si>
    <t>Ms. Alice Mae Reeve</t>
  </si>
  <si>
    <t>723 N San Antonio Ave</t>
  </si>
  <si>
    <t>91762-2621</t>
  </si>
  <si>
    <t>XNADA1008</t>
  </si>
  <si>
    <t>Maurer</t>
  </si>
  <si>
    <t>Mrs. Janet E. Maurer</t>
  </si>
  <si>
    <t>5409 Enterprise Dr</t>
  </si>
  <si>
    <t>68521-1005</t>
  </si>
  <si>
    <t>XNHSC3404</t>
  </si>
  <si>
    <t>Weddig</t>
  </si>
  <si>
    <t>Ken Weddig</t>
  </si>
  <si>
    <t>PO Box 473</t>
  </si>
  <si>
    <t>Kewaskum</t>
  </si>
  <si>
    <t>53040-0473</t>
  </si>
  <si>
    <t>tootsiealv@gmail.com</t>
  </si>
  <si>
    <t>XNBCB3108</t>
  </si>
  <si>
    <t>ALR211005C33</t>
  </si>
  <si>
    <t>Shirley Cytron</t>
  </si>
  <si>
    <t>1925 W Adams Blvd</t>
  </si>
  <si>
    <t>Apt 217</t>
  </si>
  <si>
    <t>90018-3548</t>
  </si>
  <si>
    <t>shirleycytron@earthlink.net</t>
  </si>
  <si>
    <t>XNATL4101</t>
  </si>
  <si>
    <t>ALR090606003</t>
  </si>
  <si>
    <t>ALR030706003</t>
  </si>
  <si>
    <t>425 Abby Dr</t>
  </si>
  <si>
    <t>Conway</t>
  </si>
  <si>
    <t>72034-7151</t>
  </si>
  <si>
    <t>j.b.murphy.3.17@gmail.com</t>
  </si>
  <si>
    <t>XNBDB5517</t>
  </si>
  <si>
    <t>Vicki Adams</t>
  </si>
  <si>
    <t>206 Cresthaven Dr</t>
  </si>
  <si>
    <t>Vincennes</t>
  </si>
  <si>
    <t>47591-3853</t>
  </si>
  <si>
    <t>XNBBB3602</t>
  </si>
  <si>
    <t>ALR180112040</t>
  </si>
  <si>
    <t>Lesniak</t>
  </si>
  <si>
    <t>Mr. Henry E. Lesniak</t>
  </si>
  <si>
    <t>34317 Martingale Dr</t>
  </si>
  <si>
    <t>93510-1246</t>
  </si>
  <si>
    <t>hlesniak@gmail.com</t>
  </si>
  <si>
    <t>XNFTL1506</t>
  </si>
  <si>
    <t>ALR221202C44</t>
  </si>
  <si>
    <t>Mathews</t>
  </si>
  <si>
    <t>Ms. Marie Mathews</t>
  </si>
  <si>
    <t>401 Sunrise West Dr SW</t>
  </si>
  <si>
    <t>87121-7201</t>
  </si>
  <si>
    <t>renewmex@live.com</t>
  </si>
  <si>
    <t>renewmex@earthlink.net</t>
  </si>
  <si>
    <t>ALA040201070</t>
  </si>
  <si>
    <t>Marks</t>
  </si>
  <si>
    <t>Mr. Jeffrey H. Marks</t>
  </si>
  <si>
    <t>3736 Clarinth Rd</t>
  </si>
  <si>
    <t>21215-2404</t>
  </si>
  <si>
    <t>jeffreym715@yahoo.com</t>
  </si>
  <si>
    <t>XNCDC3806</t>
  </si>
  <si>
    <t>ALA20020D13A</t>
  </si>
  <si>
    <t>JoAnn</t>
  </si>
  <si>
    <t>Frank and JoAnn</t>
  </si>
  <si>
    <t>18655 W Bernardo Dr Apt 377</t>
  </si>
  <si>
    <t>92127-3019</t>
  </si>
  <si>
    <t>fcraw4d@verizon.net</t>
  </si>
  <si>
    <t>XNCAC4002</t>
  </si>
  <si>
    <t>ALR240502C54</t>
  </si>
  <si>
    <t>Rickard</t>
  </si>
  <si>
    <t>Ms. Mary G. Rickard</t>
  </si>
  <si>
    <t>401 Andry St</t>
  </si>
  <si>
    <t>70117-3761</t>
  </si>
  <si>
    <t>mary.rickard@sbcglobal.net</t>
  </si>
  <si>
    <t>rickardpr@aol.com</t>
  </si>
  <si>
    <t>XNCDC5005</t>
  </si>
  <si>
    <t>Virginia Cave</t>
  </si>
  <si>
    <t>2114 W Bluff Dr</t>
  </si>
  <si>
    <t>78028-3828</t>
  </si>
  <si>
    <t>gfsnap@gmail.com</t>
  </si>
  <si>
    <t>XNBBB3302</t>
  </si>
  <si>
    <t>ALA21070C15A</t>
  </si>
  <si>
    <t>ALR211001C54</t>
  </si>
  <si>
    <t>Scottie</t>
  </si>
  <si>
    <t>Huckabee</t>
  </si>
  <si>
    <t>2452 Sunset Dr</t>
  </si>
  <si>
    <t>Barnhart</t>
  </si>
  <si>
    <t>63012-1960</t>
  </si>
  <si>
    <t>annehehuckcbee@yaoo.com</t>
  </si>
  <si>
    <t>annettehuckabee@yahoo.com</t>
  </si>
  <si>
    <t>XNCHC3606</t>
  </si>
  <si>
    <t>ALL23090A4BM</t>
  </si>
  <si>
    <t>ALL21110A5BM</t>
  </si>
  <si>
    <t>Mr. Gary O. Jespersen</t>
  </si>
  <si>
    <t>5206 W Woodside Ave</t>
  </si>
  <si>
    <t>99208-3832</t>
  </si>
  <si>
    <t>gorjes4@hotmail.com</t>
  </si>
  <si>
    <t>gorjes4@juno.com</t>
  </si>
  <si>
    <t>XNCCC6317</t>
  </si>
  <si>
    <t>Maule</t>
  </si>
  <si>
    <t>Mr. Robert W. Maule</t>
  </si>
  <si>
    <t>1955 Cardinal Ln NE</t>
  </si>
  <si>
    <t>98370-7511</t>
  </si>
  <si>
    <t>rwmcommercial@aol.com</t>
  </si>
  <si>
    <t>robertwmaule@aol.com</t>
  </si>
  <si>
    <t>XNCAC2814</t>
  </si>
  <si>
    <t>ALA22090A14A</t>
  </si>
  <si>
    <t>Mr. Robert Wauchope</t>
  </si>
  <si>
    <t>Mr. Wauchope</t>
  </si>
  <si>
    <t>150 Broadway Street Apt 1103</t>
  </si>
  <si>
    <t>70118-7612</t>
  </si>
  <si>
    <t>XNGTL4502</t>
  </si>
  <si>
    <t>Mr. Michael E. Hatley</t>
  </si>
  <si>
    <t>205 Barbara Dr</t>
  </si>
  <si>
    <t>73013-4439</t>
  </si>
  <si>
    <t>msgmadhatter@gmail.com</t>
  </si>
  <si>
    <t>XNDND2804</t>
  </si>
  <si>
    <t>ALA24010E21A</t>
  </si>
  <si>
    <t>ALR210804C23</t>
  </si>
  <si>
    <t>Ronald J. Larsen</t>
  </si>
  <si>
    <t>174 County Route 35</t>
  </si>
  <si>
    <t>13617-4445</t>
  </si>
  <si>
    <t>rlarsen01@twcny.rr.com</t>
  </si>
  <si>
    <t>XNDND3016</t>
  </si>
  <si>
    <t>ALR061101003</t>
  </si>
  <si>
    <t>Paula and Walter Davis</t>
  </si>
  <si>
    <t>Paula and Walter</t>
  </si>
  <si>
    <t>965 N Rustic Cir</t>
  </si>
  <si>
    <t>75218-2938</t>
  </si>
  <si>
    <t>walter.davis0341@sbcglobal.net</t>
  </si>
  <si>
    <t>dkjwkidcwalter.davis0341@sbcglobal.net</t>
  </si>
  <si>
    <t>XNCEC4701</t>
  </si>
  <si>
    <t>ALR220901C33</t>
  </si>
  <si>
    <t>ALR140632EMC</t>
  </si>
  <si>
    <t>Yvonne</t>
  </si>
  <si>
    <t>Mohr</t>
  </si>
  <si>
    <t>Yvonne and Ronald Mohr</t>
  </si>
  <si>
    <t>Yvonne and Ronald</t>
  </si>
  <si>
    <t>714 Sleepy Hollow Dr</t>
  </si>
  <si>
    <t>75104-5702</t>
  </si>
  <si>
    <t>devansevans@msn.com</t>
  </si>
  <si>
    <t>XNDBD12NH</t>
  </si>
  <si>
    <t>ALA210700001</t>
  </si>
  <si>
    <t>ALR140704233</t>
  </si>
  <si>
    <t>ronmohr4219@gmail.com</t>
  </si>
  <si>
    <t>Dr. John Perilli M.D.</t>
  </si>
  <si>
    <t>2 Osage Dr E</t>
  </si>
  <si>
    <t>10562-3815</t>
  </si>
  <si>
    <t>XNDBD22NA</t>
  </si>
  <si>
    <t>ALA23070B34A</t>
  </si>
  <si>
    <t>ALR060501004</t>
  </si>
  <si>
    <t>Zashin</t>
  </si>
  <si>
    <t>Lynn Zashin and Amy Jacobson</t>
  </si>
  <si>
    <t>Lynn and Amy</t>
  </si>
  <si>
    <t>58 Ladyslipper Ln</t>
  </si>
  <si>
    <t>Northampton</t>
  </si>
  <si>
    <t>01062-9735</t>
  </si>
  <si>
    <t>askamyj@aol.com</t>
  </si>
  <si>
    <t>lzashin@aol.com</t>
  </si>
  <si>
    <t>XNDBD43NC</t>
  </si>
  <si>
    <t>ALA23100E23A</t>
  </si>
  <si>
    <t>Ms. Victoria May</t>
  </si>
  <si>
    <t>14301 E 1500th Ave</t>
  </si>
  <si>
    <t>62433-2828</t>
  </si>
  <si>
    <t>prairie1@dishmail.net</t>
  </si>
  <si>
    <t>prairie@joink.com</t>
  </si>
  <si>
    <t>XNDBD41NB</t>
  </si>
  <si>
    <t>ALA1612N0FBC</t>
  </si>
  <si>
    <t>ATA090301001</t>
  </si>
  <si>
    <t>Mr. Wayne A. Brandt</t>
  </si>
  <si>
    <t>575 W Rolling Hills Road</t>
  </si>
  <si>
    <t>wayneab@cableone.net</t>
  </si>
  <si>
    <t>XNDDD63NL</t>
  </si>
  <si>
    <t>Coutler</t>
  </si>
  <si>
    <t>113 Wild Turkey Ln</t>
  </si>
  <si>
    <t>23851-2744</t>
  </si>
  <si>
    <t>XNDHD41NB</t>
  </si>
  <si>
    <t>ALA24010A24A</t>
  </si>
  <si>
    <t>Dr. Laraine Turk</t>
  </si>
  <si>
    <t>PO Box 305</t>
  </si>
  <si>
    <t>92252-0305</t>
  </si>
  <si>
    <t>laraine518@earthlink.net</t>
  </si>
  <si>
    <t>McMurtry</t>
  </si>
  <si>
    <t>Catherine McMurtry</t>
  </si>
  <si>
    <t>3030 S 80th Street #215</t>
  </si>
  <si>
    <t>68124-3262</t>
  </si>
  <si>
    <t>XNECE1607</t>
  </si>
  <si>
    <t>Ms. Patricia A. Kertz</t>
  </si>
  <si>
    <t>8900 W 104th St</t>
  </si>
  <si>
    <t>60465-1648</t>
  </si>
  <si>
    <t>XNDBD28ND</t>
  </si>
  <si>
    <t>ALA23040A15A</t>
  </si>
  <si>
    <t>Strelo</t>
  </si>
  <si>
    <t>Michele Strelo</t>
  </si>
  <si>
    <t>10327 11th Ave NW</t>
  </si>
  <si>
    <t>98177-5203</t>
  </si>
  <si>
    <t>michelestrelo@gmail.com</t>
  </si>
  <si>
    <t>mstrelo@msn.com</t>
  </si>
  <si>
    <t>XNDHD61NU</t>
  </si>
  <si>
    <t>W. Howard</t>
  </si>
  <si>
    <t>Fiore</t>
  </si>
  <si>
    <t>Ms. W. Howard S. Gramenstetter</t>
  </si>
  <si>
    <t>Ms. Gramenstetter</t>
  </si>
  <si>
    <t>3340 Arena Roja</t>
  </si>
  <si>
    <t>84532-3557</t>
  </si>
  <si>
    <t>XNSTB14CK</t>
  </si>
  <si>
    <t>C. Louise</t>
  </si>
  <si>
    <t>Billinghurst</t>
  </si>
  <si>
    <t>Mrs. C. Louise Billinghurst</t>
  </si>
  <si>
    <t>Mrs. Billinghurst</t>
  </si>
  <si>
    <t>2074 Crompond Rd</t>
  </si>
  <si>
    <t>Yorktown Heights</t>
  </si>
  <si>
    <t>10598-</t>
  </si>
  <si>
    <t>XNECE3903</t>
  </si>
  <si>
    <t>Gasser</t>
  </si>
  <si>
    <t>Mr. Ronald M. Gasser</t>
  </si>
  <si>
    <t>3790 N Banner Mine Dr</t>
  </si>
  <si>
    <t>85745-4149</t>
  </si>
  <si>
    <t>rgasrgas@msn.com</t>
  </si>
  <si>
    <t>XNDBD61NU</t>
  </si>
  <si>
    <t>ALR2311D0WSC</t>
  </si>
  <si>
    <t>Mrs. Lisa Miller</t>
  </si>
  <si>
    <t>1013 Ferry Plantation Rd</t>
  </si>
  <si>
    <t>23455-5403</t>
  </si>
  <si>
    <t>kissyfurdutchess@aol.com</t>
  </si>
  <si>
    <t>rogue391@verizon.net</t>
  </si>
  <si>
    <t>XNECE3502</t>
  </si>
  <si>
    <t>ALR180501033</t>
  </si>
  <si>
    <t>Ms. Barbara Widdis</t>
  </si>
  <si>
    <t>357 Fielding St</t>
  </si>
  <si>
    <t>48220-3231</t>
  </si>
  <si>
    <t>XNDHD</t>
  </si>
  <si>
    <t>Schnell</t>
  </si>
  <si>
    <t>Ms. Constance J. Schnell</t>
  </si>
  <si>
    <t>2720 S Arlington Mill Dr Unit 1104</t>
  </si>
  <si>
    <t>22206-3411</t>
  </si>
  <si>
    <t>XNEPE3104</t>
  </si>
  <si>
    <t>Ms. Sandra A. Adams</t>
  </si>
  <si>
    <t>4620 N Park Ave</t>
  </si>
  <si>
    <t>#1504E</t>
  </si>
  <si>
    <t>20815-7509</t>
  </si>
  <si>
    <t>tomdroberts@gmail.com</t>
  </si>
  <si>
    <t>sandraadams@verizon.net</t>
  </si>
  <si>
    <t>XNECE4103</t>
  </si>
  <si>
    <t>ATR021101001</t>
  </si>
  <si>
    <t>Mrs. Sandra L. Freels</t>
  </si>
  <si>
    <t>2972 Strauss Ct</t>
  </si>
  <si>
    <t>60098-8076</t>
  </si>
  <si>
    <t>ALR220407C54</t>
  </si>
  <si>
    <t>Marianne C. Hale</t>
  </si>
  <si>
    <t>Marianne Hale</t>
  </si>
  <si>
    <t>11405 West Bernardo Court #200</t>
  </si>
  <si>
    <t>XNDBD21NB</t>
  </si>
  <si>
    <t>Cyndi</t>
  </si>
  <si>
    <t>Bakir</t>
  </si>
  <si>
    <t>Ms. Cyndi Bakir</t>
  </si>
  <si>
    <t>2836 Golden Gate Ave</t>
  </si>
  <si>
    <t>94118-4111</t>
  </si>
  <si>
    <t>cyndibakir@comcast.net</t>
  </si>
  <si>
    <t>XNECE2201</t>
  </si>
  <si>
    <t>Arleen</t>
  </si>
  <si>
    <t>Gruber</t>
  </si>
  <si>
    <t>9255 Towne Centre Dr Ste 200</t>
  </si>
  <si>
    <t>92121-3035</t>
  </si>
  <si>
    <t>XNEKE3408</t>
  </si>
  <si>
    <t>ALR090702703</t>
  </si>
  <si>
    <t>308 John Deere Dr</t>
  </si>
  <si>
    <t>27530-9364</t>
  </si>
  <si>
    <t>docs2@earthlink.net</t>
  </si>
  <si>
    <t>XNECE4003</t>
  </si>
  <si>
    <t>ALA24020B14A</t>
  </si>
  <si>
    <t>Janelyn</t>
  </si>
  <si>
    <t>Stasiak</t>
  </si>
  <si>
    <t>PO Box 20451</t>
  </si>
  <si>
    <t>85277-0451</t>
  </si>
  <si>
    <t>tomstas6@gmail.com</t>
  </si>
  <si>
    <t>XNDDD</t>
  </si>
  <si>
    <t>XA1PAGBET</t>
  </si>
  <si>
    <t>Mr. Curt A. Matyas</t>
  </si>
  <si>
    <t>Mr. Matyas</t>
  </si>
  <si>
    <t>P.O. Box 1920</t>
  </si>
  <si>
    <t>93444-1920</t>
  </si>
  <si>
    <t>XNDHD30NS</t>
  </si>
  <si>
    <t>Ann and Michael Megler</t>
  </si>
  <si>
    <t>Ann and Michael</t>
  </si>
  <si>
    <t>17341 Magnolia Island Blvd</t>
  </si>
  <si>
    <t>34711-8002</t>
  </si>
  <si>
    <t>andrewmegler03@gmail.com</t>
  </si>
  <si>
    <t>ann@securitysoftware.com</t>
  </si>
  <si>
    <t>XBSO96</t>
  </si>
  <si>
    <t>ALA16100B25R</t>
  </si>
  <si>
    <t>la4200@hotmail.com</t>
  </si>
  <si>
    <t>Rademacher</t>
  </si>
  <si>
    <t>Kimberly Rademacher</t>
  </si>
  <si>
    <t>N8835 Badger Rd</t>
  </si>
  <si>
    <t>Blanchardville</t>
  </si>
  <si>
    <t>53516-9661</t>
  </si>
  <si>
    <t>lil_rademacher_1214@msn.com</t>
  </si>
  <si>
    <t>krad2514@gmail.com</t>
  </si>
  <si>
    <t>XNFCF7517</t>
  </si>
  <si>
    <t>ALR230100001</t>
  </si>
  <si>
    <t>ALR170201033</t>
  </si>
  <si>
    <t>Stallkamp</t>
  </si>
  <si>
    <t>Janelle</t>
  </si>
  <si>
    <t>Randy and Janelle</t>
  </si>
  <si>
    <t>6221 Ranier Ln N</t>
  </si>
  <si>
    <t>55311-4582</t>
  </si>
  <si>
    <t>rs51191@hotmail.com</t>
  </si>
  <si>
    <t>ALR100402003</t>
  </si>
  <si>
    <t>jhs51191@hotmail.com</t>
  </si>
  <si>
    <t>ALQ0412BF031</t>
  </si>
  <si>
    <t>ALA1811D1EMB</t>
  </si>
  <si>
    <t>ALL1608L4EMC</t>
  </si>
  <si>
    <t>Tucker</t>
  </si>
  <si>
    <t>1323 S Carmelina Ave Apt 203</t>
  </si>
  <si>
    <t>90025-1947</t>
  </si>
  <si>
    <t>XNFBF6007</t>
  </si>
  <si>
    <t>Carol Lewis</t>
  </si>
  <si>
    <t>648 11th Ave</t>
  </si>
  <si>
    <t>96816-2235</t>
  </si>
  <si>
    <t>XNFEF4402</t>
  </si>
  <si>
    <t>ALR220801C66</t>
  </si>
  <si>
    <t>Bollman</t>
  </si>
  <si>
    <t>Karen and John Bollman</t>
  </si>
  <si>
    <t>Karen and John</t>
  </si>
  <si>
    <t>4185 Meadowdale Dr</t>
  </si>
  <si>
    <t>Williamston</t>
  </si>
  <si>
    <t>48895-9114</t>
  </si>
  <si>
    <t>XPCH97</t>
  </si>
  <si>
    <t>ALR240301C44</t>
  </si>
  <si>
    <t>Mrs. Barbara Nugent</t>
  </si>
  <si>
    <t>36 W Quarry Rd</t>
  </si>
  <si>
    <t>07823-2720</t>
  </si>
  <si>
    <t>barb.nugent51@gmail.com</t>
  </si>
  <si>
    <t>ALR040602004</t>
  </si>
  <si>
    <t>Melzer</t>
  </si>
  <si>
    <t>Victoria Melzer</t>
  </si>
  <si>
    <t>12109 Renick Ln</t>
  </si>
  <si>
    <t>20904-2871</t>
  </si>
  <si>
    <t>victoriamelzer@gmail.com</t>
  </si>
  <si>
    <t>Chapman</t>
  </si>
  <si>
    <t>Josephine Chapman and Sandy Small</t>
  </si>
  <si>
    <t>Josephine and Sandy</t>
  </si>
  <si>
    <t>18821 Baker Rd</t>
  </si>
  <si>
    <t>97702-8983</t>
  </si>
  <si>
    <t>XNFBF7114</t>
  </si>
  <si>
    <t>ALA23010C25A</t>
  </si>
  <si>
    <t>ALR070102004</t>
  </si>
  <si>
    <t>Mrs. Fredda Sarot</t>
  </si>
  <si>
    <t>6767 Burns St</t>
  </si>
  <si>
    <t>#2M</t>
  </si>
  <si>
    <t>11375-3503</t>
  </si>
  <si>
    <t>pennykins4@gmail.com</t>
  </si>
  <si>
    <t>fsarot@nyc.rr.com</t>
  </si>
  <si>
    <t>XNFCF3806</t>
  </si>
  <si>
    <t>ALA18030A13C</t>
  </si>
  <si>
    <t>Ms. Mona Avellino</t>
  </si>
  <si>
    <t>Ms. Avellino</t>
  </si>
  <si>
    <t>2509 Little Vista Terrace</t>
  </si>
  <si>
    <t>20832-1564</t>
  </si>
  <si>
    <t>lomuncha@aol.com</t>
  </si>
  <si>
    <t>XNFBF</t>
  </si>
  <si>
    <t>Wightman</t>
  </si>
  <si>
    <t>George and Cheryl</t>
  </si>
  <si>
    <t>217 Stockton Ave</t>
  </si>
  <si>
    <t>Capitola</t>
  </si>
  <si>
    <t>95010-3480</t>
  </si>
  <si>
    <t>cherwight@sbcglobal.net</t>
  </si>
  <si>
    <t>ALL23030B83M</t>
  </si>
  <si>
    <t>ALQ2301AG002</t>
  </si>
  <si>
    <t>Heffernan</t>
  </si>
  <si>
    <t>D. Heffernan</t>
  </si>
  <si>
    <t>4956 E Washington Ave</t>
  </si>
  <si>
    <t>93727-3059</t>
  </si>
  <si>
    <t>XNDHD37NA</t>
  </si>
  <si>
    <t>ALQ2211BE015</t>
  </si>
  <si>
    <t>ALR140412030</t>
  </si>
  <si>
    <t>Browdy</t>
  </si>
  <si>
    <t>Ms. Linda M. Browdy</t>
  </si>
  <si>
    <t>2805 Pennypond Ln N</t>
  </si>
  <si>
    <t>21401-7260</t>
  </si>
  <si>
    <t>mfhand5555@aol.com</t>
  </si>
  <si>
    <t>XNFJF25NA</t>
  </si>
  <si>
    <t>ALA13090A15A</t>
  </si>
  <si>
    <t>Gabriele</t>
  </si>
  <si>
    <t>Zu-Rhein</t>
  </si>
  <si>
    <t>Dr. Zu-Rhein</t>
  </si>
  <si>
    <t>1945 E Telemark Circle</t>
  </si>
  <si>
    <t>54313-4335</t>
  </si>
  <si>
    <t>XNFJF47NB</t>
  </si>
  <si>
    <t>Stephanie</t>
  </si>
  <si>
    <t>Stephanie Everett and David Tate</t>
  </si>
  <si>
    <t>Stephanie and David</t>
  </si>
  <si>
    <t>1537 Yellow Sand Ln</t>
  </si>
  <si>
    <t>21113-6027</t>
  </si>
  <si>
    <t>sse.stuff@gmail.com</t>
  </si>
  <si>
    <t>stephanie.s.everett@gmail.com</t>
  </si>
  <si>
    <t>XNFBF2714</t>
  </si>
  <si>
    <t>ALA2312S6EMC</t>
  </si>
  <si>
    <t>Kalkan</t>
  </si>
  <si>
    <t>Mrs. Susan J. Kalkan</t>
  </si>
  <si>
    <t>819 N 1st Ave</t>
  </si>
  <si>
    <t>52245-3508</t>
  </si>
  <si>
    <t>dudie524@aol.com</t>
  </si>
  <si>
    <t>ductie524@aol.com</t>
  </si>
  <si>
    <t>XNFKF19NB</t>
  </si>
  <si>
    <t>ALR231232EMC</t>
  </si>
  <si>
    <t>Salamon</t>
  </si>
  <si>
    <t>Mr. Wayne Salamon</t>
  </si>
  <si>
    <t>4801 Sandy Hook Dr</t>
  </si>
  <si>
    <t>44134-6111</t>
  </si>
  <si>
    <t>waynesalamon@sbcglobal.net</t>
  </si>
  <si>
    <t>wrsa@lubrizol.com</t>
  </si>
  <si>
    <t>XNPCA-P</t>
  </si>
  <si>
    <t>Koncz</t>
  </si>
  <si>
    <t>Ms. Lynn M. Koncz and Mr. Troy Brown</t>
  </si>
  <si>
    <t>Lynn and Troy</t>
  </si>
  <si>
    <t>1737 Washington Rd</t>
  </si>
  <si>
    <t>Apollo</t>
  </si>
  <si>
    <t>15613-9632</t>
  </si>
  <si>
    <t>lmkoncz@comcast.net</t>
  </si>
  <si>
    <t>XNFAF3922</t>
  </si>
  <si>
    <t>ATA2312TAEMC</t>
  </si>
  <si>
    <t>ATA220101001</t>
  </si>
  <si>
    <t>3448 Congress St</t>
  </si>
  <si>
    <t>81401-7359</t>
  </si>
  <si>
    <t>ALA23090A25R</t>
  </si>
  <si>
    <t>ALR201201C54</t>
  </si>
  <si>
    <t>Mr. John W. Gorsuch</t>
  </si>
  <si>
    <t>7501 E Thompson Peak Pkwy Unit 502</t>
  </si>
  <si>
    <t>85255-4540</t>
  </si>
  <si>
    <t>jgorsuch7450@gmail.com</t>
  </si>
  <si>
    <t>XNGMG8522</t>
  </si>
  <si>
    <t>Dobratz</t>
  </si>
  <si>
    <t>Clinton and Linda</t>
  </si>
  <si>
    <t>11595 Interlachen Rd</t>
  </si>
  <si>
    <t>Chisago City</t>
  </si>
  <si>
    <t>55013-9553</t>
  </si>
  <si>
    <t>minilinda918@gmail.com</t>
  </si>
  <si>
    <t>cdobr@aol.com</t>
  </si>
  <si>
    <t>XNGPG5306</t>
  </si>
  <si>
    <t>ALR090601004</t>
  </si>
  <si>
    <t>Anne and Donald Omer</t>
  </si>
  <si>
    <t>Anne and Donald</t>
  </si>
  <si>
    <t>348 E 300 N</t>
  </si>
  <si>
    <t>84014-2037</t>
  </si>
  <si>
    <t>XNGMG5106</t>
  </si>
  <si>
    <t>ALQ2303BJ008</t>
  </si>
  <si>
    <t>ALQ1610FD013</t>
  </si>
  <si>
    <t>amyob2@aol.com</t>
  </si>
  <si>
    <t>Mrs. Linda J. and Mr. Robert L. Fiscus</t>
  </si>
  <si>
    <t>86 Cricket Ln</t>
  </si>
  <si>
    <t>06484-3430</t>
  </si>
  <si>
    <t>rlfiscus@sbcglobal.net</t>
  </si>
  <si>
    <t>XBND96</t>
  </si>
  <si>
    <t>ADA241201T05</t>
  </si>
  <si>
    <t>ADA211201001</t>
  </si>
  <si>
    <t>Ms. Lois Johnson</t>
  </si>
  <si>
    <t>403 W Center St Apt 417</t>
  </si>
  <si>
    <t>06040-4799</t>
  </si>
  <si>
    <t>loisjohnson134@gmail.com</t>
  </si>
  <si>
    <t>elhiaz@verizon.net</t>
  </si>
  <si>
    <t>XNGPG5106</t>
  </si>
  <si>
    <t>ALR210802C33</t>
  </si>
  <si>
    <t>Kathleen A. Weeks</t>
  </si>
  <si>
    <t>5358 E 26th St</t>
  </si>
  <si>
    <t>85711-5810</t>
  </si>
  <si>
    <t>kate.weeks28@gmail.com</t>
  </si>
  <si>
    <t>XNCDC5822</t>
  </si>
  <si>
    <t>ALB050001001</t>
  </si>
  <si>
    <t>XA8ANBBA1</t>
  </si>
  <si>
    <t>Sharon J. Hammond</t>
  </si>
  <si>
    <t>130 Millers Xing</t>
  </si>
  <si>
    <t>Itasca</t>
  </si>
  <si>
    <t>60143-1479</t>
  </si>
  <si>
    <t>ALA23070B14A</t>
  </si>
  <si>
    <t>Mr. Howard Henward, Jr.</t>
  </si>
  <si>
    <t>4473 Pin Oak Rd</t>
  </si>
  <si>
    <t>Prospect</t>
  </si>
  <si>
    <t>23960-8137</t>
  </si>
  <si>
    <t>hhenward@mindspring.com</t>
  </si>
  <si>
    <t>XNGMG8714</t>
  </si>
  <si>
    <t>ALR190904C44</t>
  </si>
  <si>
    <t>ALR090904003</t>
  </si>
  <si>
    <t>Bonzell</t>
  </si>
  <si>
    <t>Mr. Frank Bonzell</t>
  </si>
  <si>
    <t>10620 Glenview Ave</t>
  </si>
  <si>
    <t>Cupertino</t>
  </si>
  <si>
    <t>95014-4568</t>
  </si>
  <si>
    <t>candfbonzell@msn.com</t>
  </si>
  <si>
    <t>frankbonzell@comcast.net</t>
  </si>
  <si>
    <t>XNGMG5306</t>
  </si>
  <si>
    <t>ALR200901C66</t>
  </si>
  <si>
    <t>Jeffrey C. Laizure</t>
  </si>
  <si>
    <t>7 Booth St Unit 301</t>
  </si>
  <si>
    <t>20878-6587</t>
  </si>
  <si>
    <t>bilaizure@comcast.net</t>
  </si>
  <si>
    <t>j21laizure@comcast.net</t>
  </si>
  <si>
    <t>XNGTG6707</t>
  </si>
  <si>
    <t>ALA23070A54H</t>
  </si>
  <si>
    <t>ALR080201003</t>
  </si>
  <si>
    <t>Ms. Mary A. Morrow</t>
  </si>
  <si>
    <t>707 Sycamore St</t>
  </si>
  <si>
    <t>75773-1239</t>
  </si>
  <si>
    <t>XNGMG5802</t>
  </si>
  <si>
    <t>ALQ2208AB006</t>
  </si>
  <si>
    <t>Swenson</t>
  </si>
  <si>
    <t>Ms. Leslie Swenson</t>
  </si>
  <si>
    <t>15802 W Woodbine Cir</t>
  </si>
  <si>
    <t>Vernon Hills</t>
  </si>
  <si>
    <t>60061-4107</t>
  </si>
  <si>
    <t>lswenson@callusfirst.com</t>
  </si>
  <si>
    <t>XNGNG9009</t>
  </si>
  <si>
    <t>Roger G.</t>
  </si>
  <si>
    <t>Bickford</t>
  </si>
  <si>
    <t>Roger G. Bickford</t>
  </si>
  <si>
    <t>240 Dixie Meadow Ln</t>
  </si>
  <si>
    <t>Carrollton</t>
  </si>
  <si>
    <t>30117-8915</t>
  </si>
  <si>
    <t>inhistime@bellsouth.net</t>
  </si>
  <si>
    <t>XNGSG4122</t>
  </si>
  <si>
    <t>ALA17090A23A</t>
  </si>
  <si>
    <t>ALR050301004</t>
  </si>
  <si>
    <t>Kush</t>
  </si>
  <si>
    <t>Edward E. Kush Ph.D.</t>
  </si>
  <si>
    <t>PO Box 1360</t>
  </si>
  <si>
    <t>Water Mill</t>
  </si>
  <si>
    <t>11976-1360</t>
  </si>
  <si>
    <t>edkushmail@gmail.com</t>
  </si>
  <si>
    <t>edkush@hamptons.com</t>
  </si>
  <si>
    <t>XNGVG48NS</t>
  </si>
  <si>
    <t>ALR130801133</t>
  </si>
  <si>
    <t>The Wolfe Family</t>
  </si>
  <si>
    <t>Wolfe Family</t>
  </si>
  <si>
    <t>2222 Maxwell St</t>
  </si>
  <si>
    <t>15205-2031</t>
  </si>
  <si>
    <t>mark.wolfe@genco.com</t>
  </si>
  <si>
    <t>nmwolfe@3rdm.net</t>
  </si>
  <si>
    <t>XNGVG60NB</t>
  </si>
  <si>
    <t>ALA2203D5EMC</t>
  </si>
  <si>
    <t>mark.wolfe@gencoatc.com</t>
  </si>
  <si>
    <t>Dean Stensrud</t>
  </si>
  <si>
    <t>11824 Crocus St NW</t>
  </si>
  <si>
    <t>55433-2920</t>
  </si>
  <si>
    <t>stensd@aol.com</t>
  </si>
  <si>
    <t>XNGVG4722</t>
  </si>
  <si>
    <t>ALA061102010</t>
  </si>
  <si>
    <t>Ms. Jacquelyn A. Sullivan</t>
  </si>
  <si>
    <t>11 Summit Ave</t>
  </si>
  <si>
    <t>06333-1722</t>
  </si>
  <si>
    <t>XNHVH5404</t>
  </si>
  <si>
    <t>ALL18120A93M</t>
  </si>
  <si>
    <t>Shaw</t>
  </si>
  <si>
    <t>Ms. Shirley Shaw</t>
  </si>
  <si>
    <t>5675 NW Foothill Pl</t>
  </si>
  <si>
    <t>Corvallis</t>
  </si>
  <si>
    <t>97330-3131</t>
  </si>
  <si>
    <t>shirleysahw21@gmail.com</t>
  </si>
  <si>
    <t>shirleyshaw21@gmail.com</t>
  </si>
  <si>
    <t>XNGVG38NP</t>
  </si>
  <si>
    <t>ALR210201C33</t>
  </si>
  <si>
    <t>Oral</t>
  </si>
  <si>
    <t>Mrs. Oral Olson</t>
  </si>
  <si>
    <t>550 W 6th St Apt 41</t>
  </si>
  <si>
    <t>Mountain Home</t>
  </si>
  <si>
    <t>72653-3426</t>
  </si>
  <si>
    <t>opo@suddenlink.net</t>
  </si>
  <si>
    <t>XNGVG56NB</t>
  </si>
  <si>
    <t>ALR230205C44</t>
  </si>
  <si>
    <t>Ms. Nancy Thompson</t>
  </si>
  <si>
    <t>31 Creek Hill Ln</t>
  </si>
  <si>
    <t>14625-1123</t>
  </si>
  <si>
    <t>XNHTH7003</t>
  </si>
  <si>
    <t>Ms. Therese Romberg</t>
  </si>
  <si>
    <t>8240 Manderville Ln</t>
  </si>
  <si>
    <t>75231-1104</t>
  </si>
  <si>
    <t>frabajo@aol.com</t>
  </si>
  <si>
    <t>XNGVG55NB</t>
  </si>
  <si>
    <t>ALA23100E50H</t>
  </si>
  <si>
    <t>ALR191103C64</t>
  </si>
  <si>
    <t>Mr. Gary S. Stantz</t>
  </si>
  <si>
    <t>4570 Rhode Island St</t>
  </si>
  <si>
    <t>92116-1054</t>
  </si>
  <si>
    <t>Mize</t>
  </si>
  <si>
    <t>Ms. Judith Mize</t>
  </si>
  <si>
    <t>118 Apache Way</t>
  </si>
  <si>
    <t>Tewksbury</t>
  </si>
  <si>
    <t>01876-4618</t>
  </si>
  <si>
    <t>jmize@russellmellon.com</t>
  </si>
  <si>
    <t>paul.fuchs@columbiamanagement.com</t>
  </si>
  <si>
    <t>XNHSH5404</t>
  </si>
  <si>
    <t>ALR070301004</t>
  </si>
  <si>
    <t>Ms. Holly King</t>
  </si>
  <si>
    <t>320 Whispering Pines Dr</t>
  </si>
  <si>
    <t>45140-8809</t>
  </si>
  <si>
    <t>hbkjg@att.net</t>
  </si>
  <si>
    <t>abhijit_gotmare@yahoo.com</t>
  </si>
  <si>
    <t>XNHDH1401</t>
  </si>
  <si>
    <t>ALS231101WS3R</t>
  </si>
  <si>
    <t>ALA14110D14R</t>
  </si>
  <si>
    <t>Malinasky</t>
  </si>
  <si>
    <t>Mr. George Malinasky</t>
  </si>
  <si>
    <t>7428 Penny Rd</t>
  </si>
  <si>
    <t>27606-9323</t>
  </si>
  <si>
    <t>gmalinasky@nc.rr.com</t>
  </si>
  <si>
    <t>XNGVG34NA</t>
  </si>
  <si>
    <t>Krapf</t>
  </si>
  <si>
    <t>Sandra Krapf</t>
  </si>
  <si>
    <t>3313 Beacon St Unit 101</t>
  </si>
  <si>
    <t>North Chicago</t>
  </si>
  <si>
    <t>60064-3423</t>
  </si>
  <si>
    <t>sandykrapf@yahoo.com</t>
  </si>
  <si>
    <t>XNHNH5404</t>
  </si>
  <si>
    <t>ALR240303C54</t>
  </si>
  <si>
    <t>Ms. Claudia A. Steele</t>
  </si>
  <si>
    <t>213 Rocky Cir</t>
  </si>
  <si>
    <t>15071-1733</t>
  </si>
  <si>
    <t>clem2121@outlook.com</t>
  </si>
  <si>
    <t>csteele2121@gmail.com</t>
  </si>
  <si>
    <t>ALR240501EMC</t>
  </si>
  <si>
    <t>Chizuko</t>
  </si>
  <si>
    <t>Elliott Williams</t>
  </si>
  <si>
    <t>4654 Browndeer Ln</t>
  </si>
  <si>
    <t>Rancho Palos Verdes</t>
  </si>
  <si>
    <t>90275-3912</t>
  </si>
  <si>
    <t>ALQ1310DD002</t>
  </si>
  <si>
    <t>PPW120001001</t>
  </si>
  <si>
    <t>Stirl</t>
  </si>
  <si>
    <t>Wilma Stirl</t>
  </si>
  <si>
    <t>79782-1452</t>
  </si>
  <si>
    <t>wjstirl@juno.com</t>
  </si>
  <si>
    <t>XNHKH5404</t>
  </si>
  <si>
    <t>Harnden</t>
  </si>
  <si>
    <t>Mrs. Jane E. and Mr. Paul F. Harnden</t>
  </si>
  <si>
    <t>Jane and Paul</t>
  </si>
  <si>
    <t>111 Deer Thicket Way</t>
  </si>
  <si>
    <t>Taylors</t>
  </si>
  <si>
    <t>29687-7056</t>
  </si>
  <si>
    <t>phjh@comcast.net</t>
  </si>
  <si>
    <t>ph_th@comcast.net</t>
  </si>
  <si>
    <t>ALA23070A23C</t>
  </si>
  <si>
    <t>ALA23050B23C</t>
  </si>
  <si>
    <t>15139 Orlan Brook Dr</t>
  </si>
  <si>
    <t>60462-3930</t>
  </si>
  <si>
    <t>XNDND5322</t>
  </si>
  <si>
    <t>ALA19040A34R</t>
  </si>
  <si>
    <t>Koller</t>
  </si>
  <si>
    <t>Donald and Katherine Koller</t>
  </si>
  <si>
    <t>Donald and Katherine</t>
  </si>
  <si>
    <t>2180 Ireton Trees Rd</t>
  </si>
  <si>
    <t>Moscow</t>
  </si>
  <si>
    <t>45153-9771</t>
  </si>
  <si>
    <t>ALR231104C54</t>
  </si>
  <si>
    <t>Elizabeth M. Johnson</t>
  </si>
  <si>
    <t>301 W 57th St Apt 38C</t>
  </si>
  <si>
    <t>10019-3179</t>
  </si>
  <si>
    <t>emjohnsonlawnyc@gmail.com</t>
  </si>
  <si>
    <t>emj@soldmanjohnson.org</t>
  </si>
  <si>
    <t>XNHFH8805</t>
  </si>
  <si>
    <t>ALA24020B56H</t>
  </si>
  <si>
    <t>Simchak</t>
  </si>
  <si>
    <t>Joseph and Teresa Simchak</t>
  </si>
  <si>
    <t>Joseph and Teresa</t>
  </si>
  <si>
    <t>502 Sheridan Rd Apt 2W</t>
  </si>
  <si>
    <t>60202-3179</t>
  </si>
  <si>
    <t>jsimchak@novaspect.com</t>
  </si>
  <si>
    <t>XNHDH</t>
  </si>
  <si>
    <t>XT81DBAAA</t>
  </si>
  <si>
    <t>Mr. Ralph C. Stegmeir</t>
  </si>
  <si>
    <t>1960 Port Bristol Cir</t>
  </si>
  <si>
    <t>92660-5411</t>
  </si>
  <si>
    <t>stegmeirc@aol.com</t>
  </si>
  <si>
    <t>XNHSH2507</t>
  </si>
  <si>
    <t>Belseth</t>
  </si>
  <si>
    <t>Duane Belseth</t>
  </si>
  <si>
    <t>875 Redwood Dr</t>
  </si>
  <si>
    <t>Fairmont</t>
  </si>
  <si>
    <t>56031-3025</t>
  </si>
  <si>
    <t>mbelseth@yahoo.com</t>
  </si>
  <si>
    <t>XNIDI3506</t>
  </si>
  <si>
    <t>ALR210501C33</t>
  </si>
  <si>
    <t>Beason</t>
  </si>
  <si>
    <t>3301 Brandywine Ct</t>
  </si>
  <si>
    <t>98226-3877</t>
  </si>
  <si>
    <t>psbeason@comcast.net</t>
  </si>
  <si>
    <t>pambeason@verizon.net</t>
  </si>
  <si>
    <t>XNHUH40DA</t>
  </si>
  <si>
    <t>ALA1512D6EMC</t>
  </si>
  <si>
    <t>Louise H. Wagner</t>
  </si>
  <si>
    <t>13181 Dean St</t>
  </si>
  <si>
    <t>Tustin</t>
  </si>
  <si>
    <t>92780-3929</t>
  </si>
  <si>
    <t>XNHZH67NB</t>
  </si>
  <si>
    <t>ALA14020H13A</t>
  </si>
  <si>
    <t>Mrs. Christine Wilson</t>
  </si>
  <si>
    <t>3643 Mountain View Trl</t>
  </si>
  <si>
    <t>Imperial</t>
  </si>
  <si>
    <t>63052-4118</t>
  </si>
  <si>
    <t>cmahwilson@gmail.com</t>
  </si>
  <si>
    <t>cmahwikon@gmail.com</t>
  </si>
  <si>
    <t>XNHZH61NH</t>
  </si>
  <si>
    <t>ALR130801064</t>
  </si>
  <si>
    <t>Headley</t>
  </si>
  <si>
    <t>Ms. Linda K. Headley MS</t>
  </si>
  <si>
    <t>121 SE 276th St</t>
  </si>
  <si>
    <t>Cross City</t>
  </si>
  <si>
    <t>32628-3555</t>
  </si>
  <si>
    <t>parrotheadley@aol.com</t>
  </si>
  <si>
    <t>XNICI6107</t>
  </si>
  <si>
    <t>ALR211005C44</t>
  </si>
  <si>
    <t>ALR041201003</t>
  </si>
  <si>
    <t>Carroll</t>
  </si>
  <si>
    <t>Van Horn</t>
  </si>
  <si>
    <t>Mr. Carroll Van Horn</t>
  </si>
  <si>
    <t>991 Dog Run Rd</t>
  </si>
  <si>
    <t>26426-8443</t>
  </si>
  <si>
    <t>ctvanhorn@msn.com</t>
  </si>
  <si>
    <t>XNIHI7514</t>
  </si>
  <si>
    <t>ALR230401C54</t>
  </si>
  <si>
    <t>Coordt</t>
  </si>
  <si>
    <t>Donald and Susan Coordt</t>
  </si>
  <si>
    <t>Donald and Susan</t>
  </si>
  <si>
    <t>2803 Rivercrest Dr</t>
  </si>
  <si>
    <t>78746-1735</t>
  </si>
  <si>
    <t>ironmufcoordt@gmail.com</t>
  </si>
  <si>
    <t>XNIBI6422</t>
  </si>
  <si>
    <t>ALA23110B21A</t>
  </si>
  <si>
    <t>ALL081202017</t>
  </si>
  <si>
    <t>Karen Golubic</t>
  </si>
  <si>
    <t>226 Pine St</t>
  </si>
  <si>
    <t>16412-2054</t>
  </si>
  <si>
    <t>kagolub@msn.com</t>
  </si>
  <si>
    <t>kagolub@aol.com</t>
  </si>
  <si>
    <t>XNICI6307</t>
  </si>
  <si>
    <t>ALR191001054</t>
  </si>
  <si>
    <t>Reynolds Smith</t>
  </si>
  <si>
    <t>790 Pugh Road</t>
  </si>
  <si>
    <t>19087-2011</t>
  </si>
  <si>
    <t>prsmith77@verizon.net</t>
  </si>
  <si>
    <t>XNIBI3506</t>
  </si>
  <si>
    <t>ALA18070C23C</t>
  </si>
  <si>
    <t>XA1PZABEC</t>
  </si>
  <si>
    <t>173 Lakeside Park Drive</t>
  </si>
  <si>
    <t>1400 Village Square Blvd Ste 3-259</t>
  </si>
  <si>
    <t>32312-1250</t>
  </si>
  <si>
    <t>XNIAI4522</t>
  </si>
  <si>
    <t>ALR151001033</t>
  </si>
  <si>
    <t>Cindy Murphy</t>
  </si>
  <si>
    <t>PO Box 86</t>
  </si>
  <si>
    <t>Spirit Lake</t>
  </si>
  <si>
    <t>83869-0086</t>
  </si>
  <si>
    <t>cindy@nightvisions.com</t>
  </si>
  <si>
    <t>don@nightvisions.com</t>
  </si>
  <si>
    <t>XNHTH9614</t>
  </si>
  <si>
    <t>Erdman</t>
  </si>
  <si>
    <t>Mr. and Mrs. Donald T. Erdman</t>
  </si>
  <si>
    <t>205 Bud Nalley Dr</t>
  </si>
  <si>
    <t>Easley</t>
  </si>
  <si>
    <t>29642-3570</t>
  </si>
  <si>
    <t>XNGVG59NB</t>
  </si>
  <si>
    <t>ALA20050A45A</t>
  </si>
  <si>
    <t>Dolores Hall</t>
  </si>
  <si>
    <t>8176 N 427</t>
  </si>
  <si>
    <t>74016-5488</t>
  </si>
  <si>
    <t>dghall1935@gmail.com</t>
  </si>
  <si>
    <t>Barbara and W. Kerwin</t>
  </si>
  <si>
    <t>Kerwin Family</t>
  </si>
  <si>
    <t>7724 Drayton Cir</t>
  </si>
  <si>
    <t>34201-2278</t>
  </si>
  <si>
    <t>johnandbarbk@gmail.com</t>
  </si>
  <si>
    <t>ALA23060B15R</t>
  </si>
  <si>
    <t>ALQ020001001</t>
  </si>
  <si>
    <t>wjohnbarb@worldnet.att.net</t>
  </si>
  <si>
    <t>4370 Huntley Ave</t>
  </si>
  <si>
    <t>90230-4719</t>
  </si>
  <si>
    <t>XNILI</t>
  </si>
  <si>
    <t>ALA20040A14A</t>
  </si>
  <si>
    <t>Beyea</t>
  </si>
  <si>
    <t>Mrs. Barbara Beyea</t>
  </si>
  <si>
    <t>12 Whale Cove Rd</t>
  </si>
  <si>
    <t>01966-1920</t>
  </si>
  <si>
    <t>XNHYH40NA</t>
  </si>
  <si>
    <t>Rafael</t>
  </si>
  <si>
    <t>Avena</t>
  </si>
  <si>
    <t>Rafael M. Avena</t>
  </si>
  <si>
    <t>1193 Forest Brook Court</t>
  </si>
  <si>
    <t>30068-2826</t>
  </si>
  <si>
    <t>liteavena@juno.com</t>
  </si>
  <si>
    <t>liteavena@bellsouth.net</t>
  </si>
  <si>
    <t>XNICI2122</t>
  </si>
  <si>
    <t>Sherrill</t>
  </si>
  <si>
    <t>Dr. Anita Sherrill</t>
  </si>
  <si>
    <t>PO Box 1036</t>
  </si>
  <si>
    <t>98277-1036</t>
  </si>
  <si>
    <t>XMFP97</t>
  </si>
  <si>
    <t>ALA180100001</t>
  </si>
  <si>
    <t>ALA17030B13R</t>
  </si>
  <si>
    <t>Ms. Diana J. Blank</t>
  </si>
  <si>
    <t>103 Village Downtown Blvd</t>
  </si>
  <si>
    <t>59715-3816</t>
  </si>
  <si>
    <t>dianademskiblank@gmail.com</t>
  </si>
  <si>
    <t>XNIBI3906</t>
  </si>
  <si>
    <t>NEE230025001:FY23STTP</t>
  </si>
  <si>
    <t>CDG080001001F</t>
  </si>
  <si>
    <t>Wade</t>
  </si>
  <si>
    <t>Mrs. Debra Wade</t>
  </si>
  <si>
    <t>8713 Querce Ct</t>
  </si>
  <si>
    <t>34114-2746</t>
  </si>
  <si>
    <t>arthuranddw13@gmail.com</t>
  </si>
  <si>
    <t>arthuranddw@comcast.net</t>
  </si>
  <si>
    <t>XNIBI6107</t>
  </si>
  <si>
    <t>ALL19070D6BM</t>
  </si>
  <si>
    <t>ALR050103204</t>
  </si>
  <si>
    <t>Madeline R. Viar</t>
  </si>
  <si>
    <t>2645 Beulah Ln</t>
  </si>
  <si>
    <t>24073-6277</t>
  </si>
  <si>
    <t>mdviar1@outlook.com</t>
  </si>
  <si>
    <t>mdviar@outlook.com</t>
  </si>
  <si>
    <t>XNHYH98NU</t>
  </si>
  <si>
    <t>ALA22120A43R</t>
  </si>
  <si>
    <t>ALR190505033</t>
  </si>
  <si>
    <t>Courdway</t>
  </si>
  <si>
    <t>Joan and Robert</t>
  </si>
  <si>
    <t>2655 Nebraska Ave Apt 352</t>
  </si>
  <si>
    <t>34684-2607</t>
  </si>
  <si>
    <t>rcourdway@gmail.com</t>
  </si>
  <si>
    <t>XJF97</t>
  </si>
  <si>
    <t>ALA24020B15A</t>
  </si>
  <si>
    <t>Mr. Mark R. Merritt</t>
  </si>
  <si>
    <t>212 Isbill Rd</t>
  </si>
  <si>
    <t>37419-1612</t>
  </si>
  <si>
    <t>markmerritt668@gmail.com</t>
  </si>
  <si>
    <t>markart@worldnet.att.net</t>
  </si>
  <si>
    <t>Wellman</t>
  </si>
  <si>
    <t>Robert and Mary</t>
  </si>
  <si>
    <t>216 W Hartford Ave</t>
  </si>
  <si>
    <t>Uxbridge</t>
  </si>
  <si>
    <t>01569-1174</t>
  </si>
  <si>
    <t>bob.wellman1@verizon.net</t>
  </si>
  <si>
    <t>chelea1@verizon.net</t>
  </si>
  <si>
    <t>XNILI51NB</t>
  </si>
  <si>
    <t>ALR040604004</t>
  </si>
  <si>
    <t>Mrs. Pamela Jones</t>
  </si>
  <si>
    <t>10 Sturbridge Ln</t>
  </si>
  <si>
    <t>Williamsville</t>
  </si>
  <si>
    <t>14221-5927</t>
  </si>
  <si>
    <t>XNIKI33DS</t>
  </si>
  <si>
    <t>ALL22070A53M</t>
  </si>
  <si>
    <t>ALP230001001</t>
  </si>
  <si>
    <t>Mr. Jim Anderson</t>
  </si>
  <si>
    <t>810 Colony Dr</t>
  </si>
  <si>
    <t>21804-8105</t>
  </si>
  <si>
    <t>banacoach20@gmail.com</t>
  </si>
  <si>
    <t>XNJEJ4104</t>
  </si>
  <si>
    <t>Mr. John Bauer</t>
  </si>
  <si>
    <t>1529 Deerwood Bnd</t>
  </si>
  <si>
    <t>55122-1916</t>
  </si>
  <si>
    <t>j2bau@aol.com</t>
  </si>
  <si>
    <t>XNJAJ5122</t>
  </si>
  <si>
    <t>Bonaventura</t>
  </si>
  <si>
    <t>Mr. J. Bonaventura, Jr.</t>
  </si>
  <si>
    <t>Mr. Bonaventura</t>
  </si>
  <si>
    <t>2512 Riley Oaks Trl</t>
  </si>
  <si>
    <t>32223-2405</t>
  </si>
  <si>
    <t>31a2c609@msn.com</t>
  </si>
  <si>
    <t>b1a2c6d9@msn.com</t>
  </si>
  <si>
    <t>XNJEJ4204</t>
  </si>
  <si>
    <t>Barbara Stadler</t>
  </si>
  <si>
    <t>913 W Lakeridge Ave</t>
  </si>
  <si>
    <t>74075-2105</t>
  </si>
  <si>
    <t>XNILI78NU</t>
  </si>
  <si>
    <t>ALR230205C33</t>
  </si>
  <si>
    <t>Mrs. Susan Parris</t>
  </si>
  <si>
    <t>671 Gaylord St</t>
  </si>
  <si>
    <t>80206-3716</t>
  </si>
  <si>
    <t>parris.suz@gmail.com</t>
  </si>
  <si>
    <t>parris.sv2@gmail.com</t>
  </si>
  <si>
    <t>XNILI22NB</t>
  </si>
  <si>
    <t>Mr. Randy Ranaudo</t>
  </si>
  <si>
    <t>11 Esquina Rd</t>
  </si>
  <si>
    <t>87508-9172</t>
  </si>
  <si>
    <t>rranaudo@netg.com</t>
  </si>
  <si>
    <t>randyranaudo@yahoo.com</t>
  </si>
  <si>
    <t>XNJEJ1605</t>
  </si>
  <si>
    <t>Ms. Susanne B. Brundige</t>
  </si>
  <si>
    <t>38 Oakland Avenue</t>
  </si>
  <si>
    <t>07006-7911</t>
  </si>
  <si>
    <t>susanneb224@gmail.com</t>
  </si>
  <si>
    <t>susanneb224@aol.com</t>
  </si>
  <si>
    <t>XNHZH6422</t>
  </si>
  <si>
    <t>Christman</t>
  </si>
  <si>
    <t>PO Box 459</t>
  </si>
  <si>
    <t>37034-0459</t>
  </si>
  <si>
    <t>XNJDJ7922</t>
  </si>
  <si>
    <t>Ms. Joan Brown</t>
  </si>
  <si>
    <t>24 Mulberry Dr</t>
  </si>
  <si>
    <t>Smithtown</t>
  </si>
  <si>
    <t>11787-3125</t>
  </si>
  <si>
    <t>rbrown214@yahoo.com</t>
  </si>
  <si>
    <t>XNJXJ30NB</t>
  </si>
  <si>
    <t>ALR150611030</t>
  </si>
  <si>
    <t>Blachly</t>
  </si>
  <si>
    <t>Ralph Blachly</t>
  </si>
  <si>
    <t>1705 Wiltshire Rd</t>
  </si>
  <si>
    <t>44313-6151</t>
  </si>
  <si>
    <t>XNJXJ54NB</t>
  </si>
  <si>
    <t>ALA24010E22A</t>
  </si>
  <si>
    <t>ALR210202C33</t>
  </si>
  <si>
    <t>Mr. Edward Petcavage</t>
  </si>
  <si>
    <t>303 Linden Ponds Way Unit 224</t>
  </si>
  <si>
    <t>02043-3758</t>
  </si>
  <si>
    <t>epp@mrxak.com</t>
  </si>
  <si>
    <t>elem8vswm@comcast.net</t>
  </si>
  <si>
    <t>XNJXJ53NB</t>
  </si>
  <si>
    <t>Erwina</t>
  </si>
  <si>
    <t>Erwina B. Peterson</t>
  </si>
  <si>
    <t>2310 W Yakima Ave</t>
  </si>
  <si>
    <t>98902-2873</t>
  </si>
  <si>
    <t>erwinab@charter.net</t>
  </si>
  <si>
    <t>orrinocarmen@aol.com</t>
  </si>
  <si>
    <t>XNIAI6422</t>
  </si>
  <si>
    <t>ALA19010C13A</t>
  </si>
  <si>
    <t>ALA15010D23A</t>
  </si>
  <si>
    <t>Rossman</t>
  </si>
  <si>
    <t>Dianne Rossman</t>
  </si>
  <si>
    <t>71 NW 98th Ter</t>
  </si>
  <si>
    <t>33324-7012</t>
  </si>
  <si>
    <t>mdr51738@aol.com</t>
  </si>
  <si>
    <t>XNJAJ6203</t>
  </si>
  <si>
    <t>ALR150703023</t>
  </si>
  <si>
    <t>Riddle</t>
  </si>
  <si>
    <t>Ms. Susan L. Riddle</t>
  </si>
  <si>
    <t>28471 Burano Dr</t>
  </si>
  <si>
    <t>34135-8078</t>
  </si>
  <si>
    <t>sriddletwin@comcast.net</t>
  </si>
  <si>
    <t>ALR150905023</t>
  </si>
  <si>
    <t>Ferrier</t>
  </si>
  <si>
    <t>Robert and Dawn Ferrier</t>
  </si>
  <si>
    <t>Robert and Dawn</t>
  </si>
  <si>
    <t>3329 Steamplant Rd</t>
  </si>
  <si>
    <t>Watauga</t>
  </si>
  <si>
    <t>37694-9525</t>
  </si>
  <si>
    <t>fishkiss2@gmail.com</t>
  </si>
  <si>
    <t>XNIAI8702</t>
  </si>
  <si>
    <t>ALL10120A43M</t>
  </si>
  <si>
    <t>Ms. Barbara J. Cooper</t>
  </si>
  <si>
    <t>Ms. Cooper</t>
  </si>
  <si>
    <t>433 Shawnee Street</t>
  </si>
  <si>
    <t>66048-1954</t>
  </si>
  <si>
    <t>Froyd</t>
  </si>
  <si>
    <t>Elizabeth Froyd</t>
  </si>
  <si>
    <t>PO Box 1580</t>
  </si>
  <si>
    <t>28713-1580</t>
  </si>
  <si>
    <t>jfroyd@earthlink.net</t>
  </si>
  <si>
    <t>Howard and Virginia Anderson</t>
  </si>
  <si>
    <t>Howard and Virginia</t>
  </si>
  <si>
    <t>PO Box 275</t>
  </si>
  <si>
    <t>Fulda</t>
  </si>
  <si>
    <t>56131-0275</t>
  </si>
  <si>
    <t>XNJXJ56NB</t>
  </si>
  <si>
    <t>ALA23070A11A</t>
  </si>
  <si>
    <t>ALR171101033</t>
  </si>
  <si>
    <t>Mundt</t>
  </si>
  <si>
    <t>Mr. Jonathan M. Mundt</t>
  </si>
  <si>
    <t>8138 Winter Blue Ct</t>
  </si>
  <si>
    <t>22153-2521</t>
  </si>
  <si>
    <t>franciscosanchez981@yahoo.com</t>
  </si>
  <si>
    <t>XNKDK5004</t>
  </si>
  <si>
    <t>Mr. Michael L. Simpson</t>
  </si>
  <si>
    <t>133 Bradford St</t>
  </si>
  <si>
    <t>94110-5703</t>
  </si>
  <si>
    <t>mlewsimpson51@yahoo.com</t>
  </si>
  <si>
    <t>XNKMK7506</t>
  </si>
  <si>
    <t>ALR180301044</t>
  </si>
  <si>
    <t>Spady</t>
  </si>
  <si>
    <t>21775 S Yeoman Rd</t>
  </si>
  <si>
    <t>97004-9676</t>
  </si>
  <si>
    <t>billspady@gmail.com</t>
  </si>
  <si>
    <t>billspady@earthlink.net</t>
  </si>
  <si>
    <t>XNJXJ85NU</t>
  </si>
  <si>
    <t>ALQ101000001</t>
  </si>
  <si>
    <t>Gabriel Vito</t>
  </si>
  <si>
    <t>Riontino</t>
  </si>
  <si>
    <t>Mary Brenda</t>
  </si>
  <si>
    <t>Mrs. Mary Brenda and Mr. Gabriel Vito Riontino</t>
  </si>
  <si>
    <t>Mary Brenda and Gabriel Vito</t>
  </si>
  <si>
    <t>PO Box 24381</t>
  </si>
  <si>
    <t>37422-4381</t>
  </si>
  <si>
    <t>XNKFK8622</t>
  </si>
  <si>
    <t>briontino@aol.com</t>
  </si>
  <si>
    <t>Shinkle</t>
  </si>
  <si>
    <t>Mr. and Mrs. John Shinkle</t>
  </si>
  <si>
    <t>14205 Meadowbrook Ln</t>
  </si>
  <si>
    <t>Brookfield</t>
  </si>
  <si>
    <t>53005-1630</t>
  </si>
  <si>
    <t>gmshinkle@gmail.com</t>
  </si>
  <si>
    <t>XNKDK9109</t>
  </si>
  <si>
    <t>ALR141202033</t>
  </si>
  <si>
    <t>Marcella</t>
  </si>
  <si>
    <t>Shibles</t>
  </si>
  <si>
    <t>Ms. Marcella M. Shibles</t>
  </si>
  <si>
    <t>179 Temple Hill Rd</t>
  </si>
  <si>
    <t>04040-3202</t>
  </si>
  <si>
    <t>XNKHK8308</t>
  </si>
  <si>
    <t>ALA23010B23N</t>
  </si>
  <si>
    <t>ALR230202C23</t>
  </si>
  <si>
    <t>Offutt</t>
  </si>
  <si>
    <t>Mr. David B. Offutt</t>
  </si>
  <si>
    <t>1012 N Euclid Ave</t>
  </si>
  <si>
    <t>71730-4720</t>
  </si>
  <si>
    <t>offutt.david.burton@gmail.com</t>
  </si>
  <si>
    <t>dboffutt@suddenlink.net</t>
  </si>
  <si>
    <t>XNKFK8010</t>
  </si>
  <si>
    <t>Mrs. Lorraine H. Harris</t>
  </si>
  <si>
    <t>910 Stage Rd</t>
  </si>
  <si>
    <t>03781-5316</t>
  </si>
  <si>
    <t>lhloriharris@gmail.com</t>
  </si>
  <si>
    <t>XNKAK2309</t>
  </si>
  <si>
    <t>ALQ1407EA214</t>
  </si>
  <si>
    <t>Mr. Donald and Mrs. Anne Ayer</t>
  </si>
  <si>
    <t>Donald and Anne</t>
  </si>
  <si>
    <t>6250 Park Rd</t>
  </si>
  <si>
    <t>22101-4801</t>
  </si>
  <si>
    <t>donald.ayer2016@gmail.com</t>
  </si>
  <si>
    <t>dbatrout@gmail.com</t>
  </si>
  <si>
    <t>XNKBK8713</t>
  </si>
  <si>
    <t>NEE240004202:FY24STTP</t>
  </si>
  <si>
    <t>ADA120001001</t>
  </si>
  <si>
    <t>303 Druid Hills Rd</t>
  </si>
  <si>
    <t>Temple Terrace</t>
  </si>
  <si>
    <t>33617-4126</t>
  </si>
  <si>
    <t>cartercsy1@yahoo.com</t>
  </si>
  <si>
    <t>cartercsy1@aol.com</t>
  </si>
  <si>
    <t>XNIXI83DD</t>
  </si>
  <si>
    <t>Kislak</t>
  </si>
  <si>
    <t>Mangravite</t>
  </si>
  <si>
    <t>Dr. Paula A. Kislak and Mr. Peter Mangravite</t>
  </si>
  <si>
    <t>Paula and Peter</t>
  </si>
  <si>
    <t>545 Hodges Ln</t>
  </si>
  <si>
    <t>Montecito</t>
  </si>
  <si>
    <t>93108-2113</t>
  </si>
  <si>
    <t>hellokitty99@cox.net</t>
  </si>
  <si>
    <t>pk99@cox.net</t>
  </si>
  <si>
    <t>XNKAK</t>
  </si>
  <si>
    <t>NEE220003301:FY22STTP</t>
  </si>
  <si>
    <t>ADA210001M02:116313</t>
  </si>
  <si>
    <t>Thomas and Paula</t>
  </si>
  <si>
    <t>4132 S Rainbow Blvd</t>
  </si>
  <si>
    <t># 434</t>
  </si>
  <si>
    <t>89103-3106</t>
  </si>
  <si>
    <t>repmtbk@aol.com</t>
  </si>
  <si>
    <t>XNKNK4904</t>
  </si>
  <si>
    <t>ALR230907C54</t>
  </si>
  <si>
    <t>ALR220902C54</t>
  </si>
  <si>
    <t>geoteach8@aol.com</t>
  </si>
  <si>
    <t>Jane and Lawrence Lanham</t>
  </si>
  <si>
    <t>Jane and Lawrence</t>
  </si>
  <si>
    <t>8030 Frankford Rd</t>
  </si>
  <si>
    <t>#Ct433</t>
  </si>
  <si>
    <t>XNECE5111</t>
  </si>
  <si>
    <t>ALA19050E5ED</t>
  </si>
  <si>
    <t>Dolores A. Budelier</t>
  </si>
  <si>
    <t>3905 Spy Glass Ridge Rd</t>
  </si>
  <si>
    <t>60012-1764</t>
  </si>
  <si>
    <t>XNLSL7207</t>
  </si>
  <si>
    <t>ALA24030A13C</t>
  </si>
  <si>
    <t>ALR160803023</t>
  </si>
  <si>
    <t>Peter and Joan Stafford</t>
  </si>
  <si>
    <t>Peter and Joan</t>
  </si>
  <si>
    <t>PO Box 2243</t>
  </si>
  <si>
    <t>95492-2243</t>
  </si>
  <si>
    <t>XNKDK1801</t>
  </si>
  <si>
    <t>ALL060701055</t>
  </si>
  <si>
    <t>XVG9B21C</t>
  </si>
  <si>
    <t>jesstafford60@gmail.com</t>
  </si>
  <si>
    <t>Mr. George A. Jackson</t>
  </si>
  <si>
    <t>5492 Camino De Flores</t>
  </si>
  <si>
    <t>88007-5788</t>
  </si>
  <si>
    <t>gammonjack42@gmail.com</t>
  </si>
  <si>
    <t>jejackso511@q.com</t>
  </si>
  <si>
    <t>XNKGK4904</t>
  </si>
  <si>
    <t>ALA1507D1DMC</t>
  </si>
  <si>
    <t>Mr. Jerome Medalie and Ms. Beth Lowd</t>
  </si>
  <si>
    <t>Jerome and Beth</t>
  </si>
  <si>
    <t>8 Highland Park Ave</t>
  </si>
  <si>
    <t>Roxbury</t>
  </si>
  <si>
    <t>02119-1439</t>
  </si>
  <si>
    <t>XNLKL3322</t>
  </si>
  <si>
    <t>ATA210501999</t>
  </si>
  <si>
    <t>Carey</t>
  </si>
  <si>
    <t>Mr. Bernard J. Carey</t>
  </si>
  <si>
    <t>2199 N Rain Tree Rd</t>
  </si>
  <si>
    <t>86004-7782</t>
  </si>
  <si>
    <t>XNLBL4016</t>
  </si>
  <si>
    <t>ALL18120A5BM</t>
  </si>
  <si>
    <t>ALR140701044</t>
  </si>
  <si>
    <t>Monika</t>
  </si>
  <si>
    <t>Ms. Monika Butler</t>
  </si>
  <si>
    <t>1635 Bradney Dr</t>
  </si>
  <si>
    <t>77077-3826</t>
  </si>
  <si>
    <t>monkabtx@sbcglobal.net</t>
  </si>
  <si>
    <t>XNICI7705</t>
  </si>
  <si>
    <t>ALR211115C30</t>
  </si>
  <si>
    <t>XRG8A12M</t>
  </si>
  <si>
    <t>Ms. Diane L. Petersen</t>
  </si>
  <si>
    <t>420 Routt Dr</t>
  </si>
  <si>
    <t>80538-1924</t>
  </si>
  <si>
    <t>XNLSL3822</t>
  </si>
  <si>
    <t>ALR200701C54</t>
  </si>
  <si>
    <t>Penny Smith</t>
  </si>
  <si>
    <t>1830 Winthrop Ter</t>
  </si>
  <si>
    <t>32162-1635</t>
  </si>
  <si>
    <t>rerunsmith@earthlink.net</t>
  </si>
  <si>
    <t>dirtylilplanter@yahoo.com</t>
  </si>
  <si>
    <t>Leo</t>
  </si>
  <si>
    <t>Slaggie</t>
  </si>
  <si>
    <t>Mr. Leo Slaggie</t>
  </si>
  <si>
    <t>2714 Woodley Pl</t>
  </si>
  <si>
    <t>Falls Church</t>
  </si>
  <si>
    <t>22046-3739</t>
  </si>
  <si>
    <t>leoslaggie@aol.com</t>
  </si>
  <si>
    <t>XNKPK06CH</t>
  </si>
  <si>
    <t>ALA19070D13R</t>
  </si>
  <si>
    <t>Mr. Norman F. Spielman</t>
  </si>
  <si>
    <t>525 N Halsted St Unit 303</t>
  </si>
  <si>
    <t>60642-6580</t>
  </si>
  <si>
    <t>n_spielman@hotmail.com</t>
  </si>
  <si>
    <t>XNJXJ33NA</t>
  </si>
  <si>
    <t>Elena</t>
  </si>
  <si>
    <t>Maroth</t>
  </si>
  <si>
    <t>Ms. Elena Maroth</t>
  </si>
  <si>
    <t>523 Coventry Road</t>
  </si>
  <si>
    <t>Kensington</t>
  </si>
  <si>
    <t>94707-1316</t>
  </si>
  <si>
    <t>emaroth@hotmail.com</t>
  </si>
  <si>
    <t>emaroth@aol.com</t>
  </si>
  <si>
    <t>XNIBI6601</t>
  </si>
  <si>
    <t>ALA120400001</t>
  </si>
  <si>
    <t>ALA050201004</t>
  </si>
  <si>
    <t>Mr. Harold T. Smith</t>
  </si>
  <si>
    <t>2311 Pierce Ln</t>
  </si>
  <si>
    <t>Wharton</t>
  </si>
  <si>
    <t>07885-4217</t>
  </si>
  <si>
    <t>akiregeniuse@gmail.com</t>
  </si>
  <si>
    <t>tombrooke@charter.net</t>
  </si>
  <si>
    <t>XNLDL3704</t>
  </si>
  <si>
    <t>ALR210701C44</t>
  </si>
  <si>
    <t>ALA17020A14A</t>
  </si>
  <si>
    <t>Mrs. Mona L. Anderson</t>
  </si>
  <si>
    <t>12030 Los Amigos Way</t>
  </si>
  <si>
    <t>92040-4921</t>
  </si>
  <si>
    <t>monalakeside@yahoo.com</t>
  </si>
  <si>
    <t>XNJXJ29NB</t>
  </si>
  <si>
    <t>ALA1408D2EMT</t>
  </si>
  <si>
    <t>James Youngkin</t>
  </si>
  <si>
    <t>PO Box 445</t>
  </si>
  <si>
    <t>Berwick</t>
  </si>
  <si>
    <t>18603-0445</t>
  </si>
  <si>
    <t>XNKRK63CB</t>
  </si>
  <si>
    <t>ALR170900EMR</t>
  </si>
  <si>
    <t>XL0PBBDEB</t>
  </si>
  <si>
    <t>8324 Allison Avenue</t>
  </si>
  <si>
    <t>91941-3807</t>
  </si>
  <si>
    <t>Rebel</t>
  </si>
  <si>
    <t>15 E Eighth St</t>
  </si>
  <si>
    <t>McKinney &amp; Namei</t>
  </si>
  <si>
    <t>7805 NW 15th St</t>
  </si>
  <si>
    <t>#506</t>
  </si>
  <si>
    <t>Miami</t>
  </si>
  <si>
    <t>33126-1119</t>
  </si>
  <si>
    <t>XNAET4014</t>
  </si>
  <si>
    <t>Linda Hansen</t>
  </si>
  <si>
    <t>2713 Senseny Rd</t>
  </si>
  <si>
    <t>22602-8929</t>
  </si>
  <si>
    <t>linda911.viking@gmail.com</t>
  </si>
  <si>
    <t>XNLGL52CB</t>
  </si>
  <si>
    <t>ALR201113C30</t>
  </si>
  <si>
    <t>ALR130501123</t>
  </si>
  <si>
    <t>Dusdall</t>
  </si>
  <si>
    <t>13145 Se River Rd</t>
  </si>
  <si>
    <t>XNKSK98CD</t>
  </si>
  <si>
    <t>Messner</t>
  </si>
  <si>
    <t>Ms. Laurel Messner</t>
  </si>
  <si>
    <t>10707 Tollgate Rd SW</t>
  </si>
  <si>
    <t>Etna</t>
  </si>
  <si>
    <t>43062-8325</t>
  </si>
  <si>
    <t>XNLGL27CB</t>
  </si>
  <si>
    <t>ALL23080A8BM</t>
  </si>
  <si>
    <t>Doan</t>
  </si>
  <si>
    <t>Mrs. Beatrice Doan</t>
  </si>
  <si>
    <t>38647 Palm Meadow Dr</t>
  </si>
  <si>
    <t>48036-1989</t>
  </si>
  <si>
    <t>XNJXJ61NC</t>
  </si>
  <si>
    <t>ALA230702999</t>
  </si>
  <si>
    <t>ALR190100001</t>
  </si>
  <si>
    <t>Mr. Daniel Mack</t>
  </si>
  <si>
    <t>19944 Choctaw Ct</t>
  </si>
  <si>
    <t>20876-1333</t>
  </si>
  <si>
    <t>dmack@iname.com</t>
  </si>
  <si>
    <t>XNMJA3506</t>
  </si>
  <si>
    <t>ALA22010C15A</t>
  </si>
  <si>
    <t>Vitek</t>
  </si>
  <si>
    <t>Mary and Mark Vitek</t>
  </si>
  <si>
    <t>Mary and Mark</t>
  </si>
  <si>
    <t>5010 Moss Hollow Ct</t>
  </si>
  <si>
    <t>77018-1922</t>
  </si>
  <si>
    <t>mvitek@sbcglobal.net</t>
  </si>
  <si>
    <t>XNMGA6809</t>
  </si>
  <si>
    <t>ALA1612D3EMC</t>
  </si>
  <si>
    <t>Mrs. Debra L. and Mr. Joseph Baun</t>
  </si>
  <si>
    <t>Debra and Joseph</t>
  </si>
  <si>
    <t>2328 Kneer Dr</t>
  </si>
  <si>
    <t>43614-3022</t>
  </si>
  <si>
    <t>debibaun@buckeye-express.com</t>
  </si>
  <si>
    <t>XNMHA2904</t>
  </si>
  <si>
    <t>ALR120201013</t>
  </si>
  <si>
    <t>Franczyk</t>
  </si>
  <si>
    <t>James J. Franczyk</t>
  </si>
  <si>
    <t>1322 Portland Ave</t>
  </si>
  <si>
    <t>55104-6905</t>
  </si>
  <si>
    <t>jimfranczyk45@msn.com</t>
  </si>
  <si>
    <t>ALR170405033</t>
  </si>
  <si>
    <t>Lampeter</t>
  </si>
  <si>
    <t>85 Elm St</t>
  </si>
  <si>
    <t>XNKAK6406</t>
  </si>
  <si>
    <t>ALA020301015</t>
  </si>
  <si>
    <t>XA2PCBBSG</t>
  </si>
  <si>
    <t>Larkin</t>
  </si>
  <si>
    <t>Deborah Larkin</t>
  </si>
  <si>
    <t>2415 Mesa Dr</t>
  </si>
  <si>
    <t>75080-2156</t>
  </si>
  <si>
    <t>dlarkin5@sbcglobal.net</t>
  </si>
  <si>
    <t>kenlarkin@sbcglobal.net</t>
  </si>
  <si>
    <t>XNMGA2509</t>
  </si>
  <si>
    <t>Harrington</t>
  </si>
  <si>
    <t>Mrs. Mary L. Harrington</t>
  </si>
  <si>
    <t>4620 N Lake Dr</t>
  </si>
  <si>
    <t>53211-1254</t>
  </si>
  <si>
    <t>rh4637@aol.com</t>
  </si>
  <si>
    <t>rr4637@aol.com</t>
  </si>
  <si>
    <t>XNMGA3903</t>
  </si>
  <si>
    <t>ALQ1307DA108</t>
  </si>
  <si>
    <t>Mrs. Donna S. and Mr. Lawrence H. Kaufman</t>
  </si>
  <si>
    <t>Donna and Lawrence</t>
  </si>
  <si>
    <t>24607 Foothills Dr N</t>
  </si>
  <si>
    <t>80401-8534</t>
  </si>
  <si>
    <t>lkauf@aol.com</t>
  </si>
  <si>
    <t>lkauf81509@aol.com</t>
  </si>
  <si>
    <t>XNMHA2804</t>
  </si>
  <si>
    <t>ALL22110BCBM</t>
  </si>
  <si>
    <t>Work</t>
  </si>
  <si>
    <t>Dr. Janice Work</t>
  </si>
  <si>
    <t>PO Box 582880</t>
  </si>
  <si>
    <t>Elk Grove</t>
  </si>
  <si>
    <t>95758-0049</t>
  </si>
  <si>
    <t>peacefuture@aol.com</t>
  </si>
  <si>
    <t>peacefultime@aol.com</t>
  </si>
  <si>
    <t>XNMHA3606</t>
  </si>
  <si>
    <t>Dr. John J. Little</t>
  </si>
  <si>
    <t>4201 Windsor Pl</t>
  </si>
  <si>
    <t>27609-5965</t>
  </si>
  <si>
    <t>jjlittle1940@gmail.com</t>
  </si>
  <si>
    <t>jlittle17@nc.rr.com</t>
  </si>
  <si>
    <t>ALR130901044</t>
  </si>
  <si>
    <t>Struze</t>
  </si>
  <si>
    <t>Miss Struze</t>
  </si>
  <si>
    <t>807 West Avenue # 5306</t>
  </si>
  <si>
    <t>Elyria</t>
  </si>
  <si>
    <t>44035-9204</t>
  </si>
  <si>
    <t>ahstruze@yahoo.com</t>
  </si>
  <si>
    <t>ahstruze@att.net</t>
  </si>
  <si>
    <t>Stefania</t>
  </si>
  <si>
    <t>Jozwik</t>
  </si>
  <si>
    <t>401 E 60th St Apt 9C</t>
  </si>
  <si>
    <t>10022-1585</t>
  </si>
  <si>
    <t>ALR170105033</t>
  </si>
  <si>
    <t>ALA14010A14A</t>
  </si>
  <si>
    <t>Lana</t>
  </si>
  <si>
    <t>Mrs. Lana and Mr. Alan Moeller</t>
  </si>
  <si>
    <t>Lana and Alan</t>
  </si>
  <si>
    <t>1130 Smoky Hill Rd</t>
  </si>
  <si>
    <t>68520-1165</t>
  </si>
  <si>
    <t>amoeller1@unl.edu</t>
  </si>
  <si>
    <t>ALR211204C54</t>
  </si>
  <si>
    <t>ALR211202C54</t>
  </si>
  <si>
    <t>ljmoe7@yahoo.com</t>
  </si>
  <si>
    <t>Jankowski</t>
  </si>
  <si>
    <t>Ms. Rosemarie Jankowski</t>
  </si>
  <si>
    <t>57834 Julie Ct</t>
  </si>
  <si>
    <t>48094-3150</t>
  </si>
  <si>
    <t>joannamariejankowski@gmail.com</t>
  </si>
  <si>
    <t>XNMHA4003</t>
  </si>
  <si>
    <t>ALR230503C44</t>
  </si>
  <si>
    <t>Van Hemmen</t>
  </si>
  <si>
    <t>Trudy Van Hemmen</t>
  </si>
  <si>
    <t>406 Arbor Ct</t>
  </si>
  <si>
    <t>Tinton Falls</t>
  </si>
  <si>
    <t>07753-7762</t>
  </si>
  <si>
    <t>htvanhemmen@gmail.com</t>
  </si>
  <si>
    <t>XNPCB6322</t>
  </si>
  <si>
    <t>ALL20020A53M</t>
  </si>
  <si>
    <t>Mr. Kenneth S. Ketchum</t>
  </si>
  <si>
    <t>PO Box 189</t>
  </si>
  <si>
    <t>Gallatin Gateway</t>
  </si>
  <si>
    <t>59730-0189</t>
  </si>
  <si>
    <t>ksketchummt@gmail.com</t>
  </si>
  <si>
    <t>kketchum@hanselphelps.com</t>
  </si>
  <si>
    <t>XNPCB5311</t>
  </si>
  <si>
    <t>ALA17110C55H</t>
  </si>
  <si>
    <t>Swensen</t>
  </si>
  <si>
    <t>Patricia Swensen</t>
  </si>
  <si>
    <t>607 Fawn Dr</t>
  </si>
  <si>
    <t>San Anselmo</t>
  </si>
  <si>
    <t>94960-1133</t>
  </si>
  <si>
    <t>XNJXJ</t>
  </si>
  <si>
    <t>ALA14100F24R</t>
  </si>
  <si>
    <t>ALR100301004</t>
  </si>
  <si>
    <t>Rahn</t>
  </si>
  <si>
    <t>Ms. Jane Rahn</t>
  </si>
  <si>
    <t>PO Box 2937</t>
  </si>
  <si>
    <t>45401-2937</t>
  </si>
  <si>
    <t>jane.rahn1@gmail.com</t>
  </si>
  <si>
    <t>ALR220613C50</t>
  </si>
  <si>
    <t>ALR210400001</t>
  </si>
  <si>
    <t>Ms. Judith C. Hollohan</t>
  </si>
  <si>
    <t>Ms. Hollohan</t>
  </si>
  <si>
    <t>1805 Army Navy Drive</t>
  </si>
  <si>
    <t>22202-1634</t>
  </si>
  <si>
    <t>msjlch@aol.com</t>
  </si>
  <si>
    <t>XNPFB4303</t>
  </si>
  <si>
    <t>PPW170001001</t>
  </si>
  <si>
    <t>Scariano</t>
  </si>
  <si>
    <t>107 S Avenida Del Porvenir</t>
  </si>
  <si>
    <t>85745-2573</t>
  </si>
  <si>
    <t>sns@u.arizona.edu</t>
  </si>
  <si>
    <t>XNPEB4403</t>
  </si>
  <si>
    <t>ALR211002C44</t>
  </si>
  <si>
    <t>ALA19040B14A</t>
  </si>
  <si>
    <t>Brogan</t>
  </si>
  <si>
    <t>Timothy Donohue and Anne Brogan</t>
  </si>
  <si>
    <t>Timothy and Anne</t>
  </si>
  <si>
    <t>72 Norton Rd</t>
  </si>
  <si>
    <t>02169-2552</t>
  </si>
  <si>
    <t>tdonohu72@msn.com</t>
  </si>
  <si>
    <t>XNPEB4303</t>
  </si>
  <si>
    <t>Ms. Elizabeth Norris</t>
  </si>
  <si>
    <t>3787 Ramblewood Dr</t>
  </si>
  <si>
    <t>Port Huron</t>
  </si>
  <si>
    <t>48060-1577</t>
  </si>
  <si>
    <t>norriselizabeth415@gmail.com</t>
  </si>
  <si>
    <t>XNPKB18NA</t>
  </si>
  <si>
    <t>ALA23090E13R</t>
  </si>
  <si>
    <t>Batchelder</t>
  </si>
  <si>
    <t>Mrs. Carol Batchelder</t>
  </si>
  <si>
    <t>PO Box 6326</t>
  </si>
  <si>
    <t>Snowmass Village</t>
  </si>
  <si>
    <t>81615-6326</t>
  </si>
  <si>
    <t>carbatch@sopris.net</t>
  </si>
  <si>
    <t>XNPCB2704</t>
  </si>
  <si>
    <t>Ms. Susan Humble</t>
  </si>
  <si>
    <t>2508 Legion Dr</t>
  </si>
  <si>
    <t>37920-4734</t>
  </si>
  <si>
    <t>sjhumble@gmail.com</t>
  </si>
  <si>
    <t>susanjane1212@yahoo.com</t>
  </si>
  <si>
    <t>XNAT400</t>
  </si>
  <si>
    <t>ALA23050B34A</t>
  </si>
  <si>
    <t>ALA030201103</t>
  </si>
  <si>
    <t>Kuhl</t>
  </si>
  <si>
    <t>Steve and Donna Kuhl</t>
  </si>
  <si>
    <t>Steve and Donna</t>
  </si>
  <si>
    <t>Calverton</t>
  </si>
  <si>
    <t>11933-0086</t>
  </si>
  <si>
    <t>itskuhl@yahoo.com</t>
  </si>
  <si>
    <t>ALL23120A6BM</t>
  </si>
  <si>
    <t>ALR200501C23</t>
  </si>
  <si>
    <t>Dr. Jim and Mrs. Janice K. Graves</t>
  </si>
  <si>
    <t>Jim and Janice</t>
  </si>
  <si>
    <t>21142 Zeus Dr</t>
  </si>
  <si>
    <t>97068-2862</t>
  </si>
  <si>
    <t>jang38@gmail.com</t>
  </si>
  <si>
    <t>XNPCB4707</t>
  </si>
  <si>
    <t>ALS211101512</t>
  </si>
  <si>
    <t>ALA100302067</t>
  </si>
  <si>
    <t>Kathy and Chandler Jones</t>
  </si>
  <si>
    <t>Kathy and Chandler</t>
  </si>
  <si>
    <t>3620 NW 31st St</t>
  </si>
  <si>
    <t>32605-2187</t>
  </si>
  <si>
    <t>fcjones45@gmail.com</t>
  </si>
  <si>
    <t>kwj111@yahoo.com</t>
  </si>
  <si>
    <t>XNPHB2122</t>
  </si>
  <si>
    <t>ALR110100001</t>
  </si>
  <si>
    <t>Mr. Joe Lecher</t>
  </si>
  <si>
    <t>106 N Elm St</t>
  </si>
  <si>
    <t>61863-9515</t>
  </si>
  <si>
    <t>XNLKL4106</t>
  </si>
  <si>
    <t>ALR230605C33</t>
  </si>
  <si>
    <t>ALR181002033</t>
  </si>
  <si>
    <t>Ms. Mark M. Passmore</t>
  </si>
  <si>
    <t>16355 NE Leander Dr</t>
  </si>
  <si>
    <t>97140-8579</t>
  </si>
  <si>
    <t>crusherjosh@gmail.com</t>
  </si>
  <si>
    <t>mod2passmoe@mindspring.com</t>
  </si>
  <si>
    <t>XNPDB4809</t>
  </si>
  <si>
    <t>ALR211002C64</t>
  </si>
  <si>
    <t>Shriver</t>
  </si>
  <si>
    <t>Paul and Susan Shriver</t>
  </si>
  <si>
    <t>Paul and Susan</t>
  </si>
  <si>
    <t>7737 N Lakeview Dr</t>
  </si>
  <si>
    <t>Unionville</t>
  </si>
  <si>
    <t>47468-9795</t>
  </si>
  <si>
    <t>XNRGC5105</t>
  </si>
  <si>
    <t>Mr. and Mrs. William Smith</t>
  </si>
  <si>
    <t>2446 Nancy Ln NE</t>
  </si>
  <si>
    <t>30345-1923</t>
  </si>
  <si>
    <t>wjsmith@southernco.com</t>
  </si>
  <si>
    <t>billandsus@bellsouth.net</t>
  </si>
  <si>
    <t>XNRHC5809</t>
  </si>
  <si>
    <t>ALQ2109CC016</t>
  </si>
  <si>
    <t>ALR080105004</t>
  </si>
  <si>
    <t>Buskirk</t>
  </si>
  <si>
    <t>Mr. Jeffrey C. Buskirk</t>
  </si>
  <si>
    <t>810 S Grant St</t>
  </si>
  <si>
    <t>Martinsville</t>
  </si>
  <si>
    <t>46151-2506</t>
  </si>
  <si>
    <t>jcbuskirk53@gmail.com</t>
  </si>
  <si>
    <t>XNRGC2704</t>
  </si>
  <si>
    <t>ALQ2202AH011</t>
  </si>
  <si>
    <t>Phillip and Jo Ann Coleman</t>
  </si>
  <si>
    <t>Phillip and Jo Ann</t>
  </si>
  <si>
    <t>220 W 18th St</t>
  </si>
  <si>
    <t>77008-4006</t>
  </si>
  <si>
    <t>XNRGC1522</t>
  </si>
  <si>
    <t>jpcoleman3@sbcglobal.net</t>
  </si>
  <si>
    <t>ALR190503EMC</t>
  </si>
  <si>
    <t>ALA1912DGEMC</t>
  </si>
  <si>
    <t>Gunderson</t>
  </si>
  <si>
    <t>164 Olguin Rd</t>
  </si>
  <si>
    <t>87048-6929</t>
  </si>
  <si>
    <t>XNRKC1522</t>
  </si>
  <si>
    <t>ALA14070F13R</t>
  </si>
  <si>
    <t>Ronald and Barbara</t>
  </si>
  <si>
    <t>213 Bridgewater Ln</t>
  </si>
  <si>
    <t>44024-4000</t>
  </si>
  <si>
    <t>rsurmick@yahoo.com</t>
  </si>
  <si>
    <t>XNRKC2704</t>
  </si>
  <si>
    <t>ALR220732EMC</t>
  </si>
  <si>
    <t>Zell</t>
  </si>
  <si>
    <t>Ms. Linda A. Zell</t>
  </si>
  <si>
    <t>208 Heeren Dr</t>
  </si>
  <si>
    <t>Winnebago</t>
  </si>
  <si>
    <t>61088-9086</t>
  </si>
  <si>
    <t>lzell19@hotmail.com</t>
  </si>
  <si>
    <t>XNRJC2704</t>
  </si>
  <si>
    <t>ALR180205033</t>
  </si>
  <si>
    <t>Hartwell</t>
  </si>
  <si>
    <t>Roger Hartwell</t>
  </si>
  <si>
    <t>274 Franklin St</t>
  </si>
  <si>
    <t>94559-3916</t>
  </si>
  <si>
    <t>roger_hartwell@hotmail.com</t>
  </si>
  <si>
    <t>XNRJC4002</t>
  </si>
  <si>
    <t>Binz</t>
  </si>
  <si>
    <t>Mongoven</t>
  </si>
  <si>
    <t>Lisa B. Mongoven</t>
  </si>
  <si>
    <t>4812 Windmill Ln</t>
  </si>
  <si>
    <t>Flower Mound</t>
  </si>
  <si>
    <t>75028-3929</t>
  </si>
  <si>
    <t>lisa@mongoven.com</t>
  </si>
  <si>
    <t>XNHSH07ND</t>
  </si>
  <si>
    <t>ALR180310033</t>
  </si>
  <si>
    <t>Franja</t>
  </si>
  <si>
    <t>Ms. Franja Bryant</t>
  </si>
  <si>
    <t>2436 129th Ave SE</t>
  </si>
  <si>
    <t>98005-4222</t>
  </si>
  <si>
    <t>franjabryant@hotmail.com</t>
  </si>
  <si>
    <t>XNRHC3402</t>
  </si>
  <si>
    <t>Donald and Kathryn Hess</t>
  </si>
  <si>
    <t>Donald and Kathryn</t>
  </si>
  <si>
    <t>9526 Hawk Nest Ln</t>
  </si>
  <si>
    <t>34287-2089</t>
  </si>
  <si>
    <t>hesskat@comcast.net</t>
  </si>
  <si>
    <t>XNSKD1106</t>
  </si>
  <si>
    <t>ALL19030A4BM</t>
  </si>
  <si>
    <t>Rehberg</t>
  </si>
  <si>
    <t>Ms. Cindy Rehberg</t>
  </si>
  <si>
    <t>165 E Plum St</t>
  </si>
  <si>
    <t>South Elgin</t>
  </si>
  <si>
    <t>60177-2033</t>
  </si>
  <si>
    <t>clrehberg@hotmail.com</t>
  </si>
  <si>
    <t>XNRGC</t>
  </si>
  <si>
    <t>Ms. Paula G. Jensen</t>
  </si>
  <si>
    <t>11612 Sagittarius Dr W</t>
  </si>
  <si>
    <t>Willis</t>
  </si>
  <si>
    <t>77318-5188</t>
  </si>
  <si>
    <t>XNTCE2604</t>
  </si>
  <si>
    <t>Mr. Ernest Bauer</t>
  </si>
  <si>
    <t>11581 S 28th Ave</t>
  </si>
  <si>
    <t>Laveen</t>
  </si>
  <si>
    <t>85339-1736</t>
  </si>
  <si>
    <t>ernstbauer@asu.edu</t>
  </si>
  <si>
    <t>ernest.bauer@aus.edu</t>
  </si>
  <si>
    <t>Misko</t>
  </si>
  <si>
    <t>David S. Misko</t>
  </si>
  <si>
    <t>6011 35th Place NW</t>
  </si>
  <si>
    <t>dsm6446@yahoo.com</t>
  </si>
  <si>
    <t>XDIY</t>
  </si>
  <si>
    <t>XBNSND97</t>
  </si>
  <si>
    <t>Mr. Richard G. Morris</t>
  </si>
  <si>
    <t>4052 Yuma Court</t>
  </si>
  <si>
    <t>95640-9609</t>
  </si>
  <si>
    <t>XNTHE20NA</t>
  </si>
  <si>
    <t>ALR051203004</t>
  </si>
  <si>
    <t>Mr. Stephen C. Rogers</t>
  </si>
  <si>
    <t>7054 Treeridge Dr</t>
  </si>
  <si>
    <t>45244-3549</t>
  </si>
  <si>
    <t>XNJXJ59NB</t>
  </si>
  <si>
    <t>ALR221106C54</t>
  </si>
  <si>
    <t>Catharine</t>
  </si>
  <si>
    <t>Ms. Catharine E. May</t>
  </si>
  <si>
    <t>1 Atkinson Ter</t>
  </si>
  <si>
    <t>Melrose</t>
  </si>
  <si>
    <t>02176-4314</t>
  </si>
  <si>
    <t>kofibirdie@gmail.com</t>
  </si>
  <si>
    <t>XNTFE5814</t>
  </si>
  <si>
    <t>ALR070406003</t>
  </si>
  <si>
    <t>Szymanowski</t>
  </si>
  <si>
    <t>PO Box 74</t>
  </si>
  <si>
    <t>Curtice</t>
  </si>
  <si>
    <t>43412-0074</t>
  </si>
  <si>
    <t>pszymanowski@earthlink.net</t>
  </si>
  <si>
    <t>XNTBE3703</t>
  </si>
  <si>
    <t>XM0M</t>
  </si>
  <si>
    <t>Allday</t>
  </si>
  <si>
    <t>14 Bragg</t>
  </si>
  <si>
    <t>Irvine</t>
  </si>
  <si>
    <t>92620-3306</t>
  </si>
  <si>
    <t>jlallday@aol.com</t>
  </si>
  <si>
    <t>XNTAE4812</t>
  </si>
  <si>
    <t>ALA21070A15A</t>
  </si>
  <si>
    <t>ALA20110A45R</t>
  </si>
  <si>
    <t>Pat Simmons</t>
  </si>
  <si>
    <t>357 Pine Creek Dr</t>
  </si>
  <si>
    <t>59718-8628</t>
  </si>
  <si>
    <t>psimmons@imt.net</t>
  </si>
  <si>
    <t>psimmons@montanadsl.net</t>
  </si>
  <si>
    <t>XNTHE18NB</t>
  </si>
  <si>
    <t>Elaine Miller</t>
  </si>
  <si>
    <t>99 Horsethief Peak Ct</t>
  </si>
  <si>
    <t>59718-9214</t>
  </si>
  <si>
    <t>semiller127@gmail.com</t>
  </si>
  <si>
    <t>XNTHE37NC</t>
  </si>
  <si>
    <t>Goering</t>
  </si>
  <si>
    <t>Johanna Goering</t>
  </si>
  <si>
    <t>9507 Honey Locust Cir</t>
  </si>
  <si>
    <t>La Vista</t>
  </si>
  <si>
    <t>68128-3223</t>
  </si>
  <si>
    <t>gjohanna@hotmail.com</t>
  </si>
  <si>
    <t>XNTHE59NU</t>
  </si>
  <si>
    <t>Stella</t>
  </si>
  <si>
    <t>Schweitzer</t>
  </si>
  <si>
    <t>10718 Fiddlesticks Court</t>
  </si>
  <si>
    <t>34654-6112</t>
  </si>
  <si>
    <t>remdak@tampabay.rr.com</t>
  </si>
  <si>
    <t>remdak@gmail.com</t>
  </si>
  <si>
    <t>Edna M. Hoover</t>
  </si>
  <si>
    <t>33 Stonebrook Dr</t>
  </si>
  <si>
    <t>17222-8300</t>
  </si>
  <si>
    <t>XNUAF4106</t>
  </si>
  <si>
    <t>Niland</t>
  </si>
  <si>
    <t>Dennis P. Niland</t>
  </si>
  <si>
    <t>PO Box 124938</t>
  </si>
  <si>
    <t>92112-4938</t>
  </si>
  <si>
    <t>XNUAF6204</t>
  </si>
  <si>
    <t>5410 Nottingham Pl</t>
  </si>
  <si>
    <t>Bartlesville</t>
  </si>
  <si>
    <t>74006-6975</t>
  </si>
  <si>
    <t>barbells2010@gmail.com</t>
  </si>
  <si>
    <t>awp76@msn.com</t>
  </si>
  <si>
    <t>XNULF46NB</t>
  </si>
  <si>
    <t>ALR140501044</t>
  </si>
  <si>
    <t>Mr. Chris W. Grey</t>
  </si>
  <si>
    <t>20424 Frank Waters Rd</t>
  </si>
  <si>
    <t>98292-9033</t>
  </si>
  <si>
    <t>cgrey0959@frontier.com</t>
  </si>
  <si>
    <t>cgrey0959@verizon.net</t>
  </si>
  <si>
    <t>XNUJF3704</t>
  </si>
  <si>
    <t>ALR221208C44</t>
  </si>
  <si>
    <t>ALR140901033</t>
  </si>
  <si>
    <t>Ms. Barbara Oldfield</t>
  </si>
  <si>
    <t>81 NW Osprey Ridge Ln</t>
  </si>
  <si>
    <t>98648-6369</t>
  </si>
  <si>
    <t>bjoldfield@aol.com</t>
  </si>
  <si>
    <t>XNUAF4306</t>
  </si>
  <si>
    <t>Millicent Mckinley</t>
  </si>
  <si>
    <t>260 Prospect St Apt 10</t>
  </si>
  <si>
    <t>07090-4017</t>
  </si>
  <si>
    <t>XNVAG3102</t>
  </si>
  <si>
    <t>ALA22020A33R</t>
  </si>
  <si>
    <t>Robbin Hawk</t>
  </si>
  <si>
    <t>3064 Hefner Rd</t>
  </si>
  <si>
    <t>18073-1968</t>
  </si>
  <si>
    <t>bmillerh@knoll.com</t>
  </si>
  <si>
    <t>rmillerh@knoll.com</t>
  </si>
  <si>
    <t>XNVAG2404</t>
  </si>
  <si>
    <t>ALR19064LEMC</t>
  </si>
  <si>
    <t>ALR150503033</t>
  </si>
  <si>
    <t>PO Box 1106</t>
  </si>
  <si>
    <t>97520-0037</t>
  </si>
  <si>
    <t>XNULF49NB</t>
  </si>
  <si>
    <t>ALA23010C26A</t>
  </si>
  <si>
    <t>PPW200001P02:117053</t>
  </si>
  <si>
    <t>Orville</t>
  </si>
  <si>
    <t>Mr. Armstrong</t>
  </si>
  <si>
    <t>P.O. Box 2000</t>
  </si>
  <si>
    <t>Sisters</t>
  </si>
  <si>
    <t>97759-2000</t>
  </si>
  <si>
    <t>XNVAG2109</t>
  </si>
  <si>
    <t>PPA020001002</t>
  </si>
  <si>
    <t>Mrs. Terry and Mr. Robert G. Stewart</t>
  </si>
  <si>
    <t>Terry and Robert</t>
  </si>
  <si>
    <t>46160 Gainsborough Dr</t>
  </si>
  <si>
    <t>48187-1558</t>
  </si>
  <si>
    <t>digcfe7310@att.net</t>
  </si>
  <si>
    <t>XNVBG2304</t>
  </si>
  <si>
    <t>XRE1P31AA</t>
  </si>
  <si>
    <t>Nicholas</t>
  </si>
  <si>
    <t>Jerolyn</t>
  </si>
  <si>
    <t>Nicholas and Jerolyn Schulze</t>
  </si>
  <si>
    <t>Nicholas and Jerolyn</t>
  </si>
  <si>
    <t>329 E Plum St</t>
  </si>
  <si>
    <t>Coldwater</t>
  </si>
  <si>
    <t>45828-1349</t>
  </si>
  <si>
    <t>nicholas.schulze@gmail.com</t>
  </si>
  <si>
    <t>XNVAG3009</t>
  </si>
  <si>
    <t>ALA20010B14A</t>
  </si>
  <si>
    <t>Keating</t>
  </si>
  <si>
    <t>Dr. Philip L. Keating</t>
  </si>
  <si>
    <t>9109 Ashland Woods Ln Apt C3</t>
  </si>
  <si>
    <t>Lorton</t>
  </si>
  <si>
    <t>22079-1858</t>
  </si>
  <si>
    <t>philiplkeating@gmail.com</t>
  </si>
  <si>
    <t>XNUCF3804</t>
  </si>
  <si>
    <t>Lynam</t>
  </si>
  <si>
    <t>Mr. Alfred T. Lynam</t>
  </si>
  <si>
    <t>3895 Montglenn Ct</t>
  </si>
  <si>
    <t>30041-7372</t>
  </si>
  <si>
    <t>tedlynam3895@comcast.net</t>
  </si>
  <si>
    <t>lynama@bellsouth.net</t>
  </si>
  <si>
    <t>XNVBG3202</t>
  </si>
  <si>
    <t>ALA2311D5WSC</t>
  </si>
  <si>
    <t>Ms. Susan S. Norris</t>
  </si>
  <si>
    <t>Raquette Lake</t>
  </si>
  <si>
    <t>13436-0033</t>
  </si>
  <si>
    <t>sknorris@frontiernet.net</t>
  </si>
  <si>
    <t>XNVAG4917</t>
  </si>
  <si>
    <t>Miss Senta M. Parker</t>
  </si>
  <si>
    <t>478 Mockingbird Rd</t>
  </si>
  <si>
    <t>79907-4405</t>
  </si>
  <si>
    <t>XNVAG4212</t>
  </si>
  <si>
    <t>ALR190509C33</t>
  </si>
  <si>
    <t>ALR180502033</t>
  </si>
  <si>
    <t>Ms. Patricia Williamson</t>
  </si>
  <si>
    <t>44 Hickory Way</t>
  </si>
  <si>
    <t>07856-1370</t>
  </si>
  <si>
    <t>powermacuser12@optonline.net</t>
  </si>
  <si>
    <t>powermacuser1@aol.com</t>
  </si>
  <si>
    <t>XNVKG25NS</t>
  </si>
  <si>
    <t>Ivor</t>
  </si>
  <si>
    <t>Kraft</t>
  </si>
  <si>
    <t>Mr. Kraft</t>
  </si>
  <si>
    <t>1041 8th Avenue</t>
  </si>
  <si>
    <t>96816-7402</t>
  </si>
  <si>
    <t>XNVAG1407</t>
  </si>
  <si>
    <t>ALR081004003</t>
  </si>
  <si>
    <t>Robert and Linda Wesolowski</t>
  </si>
  <si>
    <t>Robert and Linda</t>
  </si>
  <si>
    <t>1110 Bethel Rd</t>
  </si>
  <si>
    <t>19060-1705</t>
  </si>
  <si>
    <t>bobweso7@gmail.com</t>
  </si>
  <si>
    <t>bobweso@esauto.net</t>
  </si>
  <si>
    <t>XNVAG2304</t>
  </si>
  <si>
    <t>ALA19050F13R</t>
  </si>
  <si>
    <t>Gett</t>
  </si>
  <si>
    <t>Diane L. Gett</t>
  </si>
  <si>
    <t>24 Lyondale Rd</t>
  </si>
  <si>
    <t>Newington</t>
  </si>
  <si>
    <t>06111-2033</t>
  </si>
  <si>
    <t>gett@aol.com</t>
  </si>
  <si>
    <t>dgett47@outlook.com</t>
  </si>
  <si>
    <t>XNVHG25NS</t>
  </si>
  <si>
    <t>ALR170101013</t>
  </si>
  <si>
    <t>XL0UZBCET</t>
  </si>
  <si>
    <t>Straight</t>
  </si>
  <si>
    <t>Ms. Gale T. Straight</t>
  </si>
  <si>
    <t>2165 Cartagena Drive</t>
  </si>
  <si>
    <t>95993-5304</t>
  </si>
  <si>
    <t>gale@iidentity.com</t>
  </si>
  <si>
    <t>XNULF18NB</t>
  </si>
  <si>
    <t>ALA12120A14A</t>
  </si>
  <si>
    <t>ALR120502004</t>
  </si>
  <si>
    <t>Ms. Carolyn D. Baird</t>
  </si>
  <si>
    <t>14 Robbins Ave</t>
  </si>
  <si>
    <t>83301-3875</t>
  </si>
  <si>
    <t>carolyndbaird@yahoo.com</t>
  </si>
  <si>
    <t>XNVHG36NC</t>
  </si>
  <si>
    <t>ALR19J147EMC</t>
  </si>
  <si>
    <t>Donna G. Harris</t>
  </si>
  <si>
    <t>629 Buffalo Bnd</t>
  </si>
  <si>
    <t>75023-4822</t>
  </si>
  <si>
    <t>djuly22@gmail.com</t>
  </si>
  <si>
    <t>donna.g.harris@ssa.gov</t>
  </si>
  <si>
    <t>ALR240403C23</t>
  </si>
  <si>
    <t>XRC1N31AA</t>
  </si>
  <si>
    <t>Ms. Monica A. Evans</t>
  </si>
  <si>
    <t>3614 Woodlciff Dr</t>
  </si>
  <si>
    <t>49008-2513</t>
  </si>
  <si>
    <t>monicaannknc@hotmail.com</t>
  </si>
  <si>
    <t>XNWBH1301</t>
  </si>
  <si>
    <t>ALR220201C54</t>
  </si>
  <si>
    <t>ALR210102C44</t>
  </si>
  <si>
    <t>Wulf</t>
  </si>
  <si>
    <t>Mr. Doug A. Wulf</t>
  </si>
  <si>
    <t>3117 Cameo Ln SW</t>
  </si>
  <si>
    <t>Cedar Rapids</t>
  </si>
  <si>
    <t>52404-3833</t>
  </si>
  <si>
    <t>doug.wulf@mchsi.com</t>
  </si>
  <si>
    <t>metsman_1@msn.com</t>
  </si>
  <si>
    <t>XNUDF3804</t>
  </si>
  <si>
    <t>ALL23040BC3M</t>
  </si>
  <si>
    <t>Pace</t>
  </si>
  <si>
    <t>Kinslow</t>
  </si>
  <si>
    <t>Ms. Melanie P. Kinslow</t>
  </si>
  <si>
    <t>12610 Shady Acres Dr</t>
  </si>
  <si>
    <t>Buda</t>
  </si>
  <si>
    <t>78610-2522</t>
  </si>
  <si>
    <t>mellow@austin.rr.com</t>
  </si>
  <si>
    <t>mkinslow55@gmail.com</t>
  </si>
  <si>
    <t>XPCH98</t>
  </si>
  <si>
    <t>G.C.</t>
  </si>
  <si>
    <t>Sherman</t>
  </si>
  <si>
    <t>Mr. Michael G. Sherman</t>
  </si>
  <si>
    <t>2000 Durant Ave Apt 108</t>
  </si>
  <si>
    <t>94704-1501</t>
  </si>
  <si>
    <t>shrmmi@aol.com</t>
  </si>
  <si>
    <t>XGOAG597B</t>
  </si>
  <si>
    <t>ALA21080A23R</t>
  </si>
  <si>
    <t>ALL19120A63M</t>
  </si>
  <si>
    <t>La Brash</t>
  </si>
  <si>
    <t>Carl and Barbara La Brash</t>
  </si>
  <si>
    <t>Carl and Barbara</t>
  </si>
  <si>
    <t>53747 Starlite Dr</t>
  </si>
  <si>
    <t>48316-2353</t>
  </si>
  <si>
    <t>atjm33@aol.com</t>
  </si>
  <si>
    <t>XNWDH3404</t>
  </si>
  <si>
    <t>ALR080802003</t>
  </si>
  <si>
    <t>Douglas and Sheryl</t>
  </si>
  <si>
    <t>PO Box 1287</t>
  </si>
  <si>
    <t>Gualala</t>
  </si>
  <si>
    <t>95445-1287</t>
  </si>
  <si>
    <t>XNWBH4702</t>
  </si>
  <si>
    <t>ALR130513040</t>
  </si>
  <si>
    <t>17010 W Lundberg St</t>
  </si>
  <si>
    <t>85388-1573</t>
  </si>
  <si>
    <t>gumbylives11@gmail.com</t>
  </si>
  <si>
    <t>dclancy630@aol.com</t>
  </si>
  <si>
    <t>XNVAG1522</t>
  </si>
  <si>
    <t>ALR2111D0DMC</t>
  </si>
  <si>
    <t>Mrs. Virginia O. Cousins</t>
  </si>
  <si>
    <t>395 S Main St</t>
  </si>
  <si>
    <t>Apt 128</t>
  </si>
  <si>
    <t>Munroe Falls</t>
  </si>
  <si>
    <t>44262-1668</t>
  </si>
  <si>
    <t>ssbn617@sbcglobal.net</t>
  </si>
  <si>
    <t>ssnb617@sbcglobal.net</t>
  </si>
  <si>
    <t>Ms. Mary Dacquino</t>
  </si>
  <si>
    <t>PO Box 597</t>
  </si>
  <si>
    <t>02835-0597</t>
  </si>
  <si>
    <t>marydacquino@gmail.com</t>
  </si>
  <si>
    <t>maryfdacquino@aol.com</t>
  </si>
  <si>
    <t>XNVCG3915</t>
  </si>
  <si>
    <t>ALR220605C54</t>
  </si>
  <si>
    <t>Muzzicato</t>
  </si>
  <si>
    <t>Jeanne and Anthony Muzzicato</t>
  </si>
  <si>
    <t>Jeanne and Anthony</t>
  </si>
  <si>
    <t>1901 S Bascom Ave</t>
  </si>
  <si>
    <t>Ste 1240</t>
  </si>
  <si>
    <t>95008-2212</t>
  </si>
  <si>
    <t>tjmrock32@yahoo.com</t>
  </si>
  <si>
    <t>tjmrock32@gmail.com</t>
  </si>
  <si>
    <t>XNUEF6712</t>
  </si>
  <si>
    <t>Sue Kartman and Cindy Walters</t>
  </si>
  <si>
    <t>Sue and Cindy</t>
  </si>
  <si>
    <t>W6746 W Club Rd</t>
  </si>
  <si>
    <t>54524-9260</t>
  </si>
  <si>
    <t>drkartman@icloud.com</t>
  </si>
  <si>
    <t>sorahida31luis@gmail.com</t>
  </si>
  <si>
    <t>XNWDH6013</t>
  </si>
  <si>
    <t>Kuhlman</t>
  </si>
  <si>
    <t>Ms. Carol M. and Mr. Alan Kuhlman</t>
  </si>
  <si>
    <t>Carol and Alan</t>
  </si>
  <si>
    <t>4 Granville Dr</t>
  </si>
  <si>
    <t>Elkview</t>
  </si>
  <si>
    <t>25071-9350</t>
  </si>
  <si>
    <t>XNVLG16NA</t>
  </si>
  <si>
    <t>alankuhlman1950@gmail.com</t>
  </si>
  <si>
    <t>Robin-Elizabeth</t>
  </si>
  <si>
    <t>Parsley</t>
  </si>
  <si>
    <t>Ms. Robin-Elizabeth Parsley</t>
  </si>
  <si>
    <t>163 West St</t>
  </si>
  <si>
    <t>46168-1171</t>
  </si>
  <si>
    <t>beagad@gmail.com</t>
  </si>
  <si>
    <t>esme@iquest.net</t>
  </si>
  <si>
    <t>XNWBH6701</t>
  </si>
  <si>
    <t>ALR101006004</t>
  </si>
  <si>
    <t>313 Wardley Rd</t>
  </si>
  <si>
    <t>37934-1830</t>
  </si>
  <si>
    <t>bas147.bs@gmail.com</t>
  </si>
  <si>
    <t>ALS180101302</t>
  </si>
  <si>
    <t>Esther A. Lanting</t>
  </si>
  <si>
    <t>1529 Firestar Dr</t>
  </si>
  <si>
    <t>46526-7002</t>
  </si>
  <si>
    <t>elanting@frontier.com</t>
  </si>
  <si>
    <t>XNXTI59NH</t>
  </si>
  <si>
    <t>ALR220902C33</t>
  </si>
  <si>
    <t>Mrs. Lynne H. Piening</t>
  </si>
  <si>
    <t>309 E Bodley Ave</t>
  </si>
  <si>
    <t>63122-4423</t>
  </si>
  <si>
    <t>piening309@gmail.com</t>
  </si>
  <si>
    <t>rosebud903@aol.com</t>
  </si>
  <si>
    <t>XNXAI3304</t>
  </si>
  <si>
    <t>ALR221212C40</t>
  </si>
  <si>
    <t>ALR050403004</t>
  </si>
  <si>
    <t>Helen B. Davis</t>
  </si>
  <si>
    <t>PO Box 131928</t>
  </si>
  <si>
    <t>77219-1928</t>
  </si>
  <si>
    <t>batoul84@gmail.com</t>
  </si>
  <si>
    <t>XNXDI3409</t>
  </si>
  <si>
    <t>ALA221202999</t>
  </si>
  <si>
    <t>Mrs. Shirley M. and Mr. John F. Crinklaw</t>
  </si>
  <si>
    <t>Shirley and John</t>
  </si>
  <si>
    <t>425 Cheyenne Trl</t>
  </si>
  <si>
    <t>55391-9137</t>
  </si>
  <si>
    <t>crink4golf@yahoo.com</t>
  </si>
  <si>
    <t>XMNEVT98</t>
  </si>
  <si>
    <t>EEO220002101:FY22MNLUNCHEON</t>
  </si>
  <si>
    <t>Ms. Sandra L. Pifer</t>
  </si>
  <si>
    <t>1803 E Darryl Dr</t>
  </si>
  <si>
    <t>60004-1716</t>
  </si>
  <si>
    <t>XNXBI6013</t>
  </si>
  <si>
    <t>ALA24010D33R</t>
  </si>
  <si>
    <t>ALR180805033</t>
  </si>
  <si>
    <t>Pauss</t>
  </si>
  <si>
    <t>Mr. Robert Pauss</t>
  </si>
  <si>
    <t>1140 N Thatcher Ln</t>
  </si>
  <si>
    <t>60101-1167</t>
  </si>
  <si>
    <t>margaretadurgin@yahoo.com</t>
  </si>
  <si>
    <t>XNXDI7009</t>
  </si>
  <si>
    <t>ALR190904C33</t>
  </si>
  <si>
    <t>Hinyub</t>
  </si>
  <si>
    <t>Ms. Connie L. Hinyub</t>
  </si>
  <si>
    <t>221 Matherne Dr</t>
  </si>
  <si>
    <t>Des Allemands</t>
  </si>
  <si>
    <t>70030-3225</t>
  </si>
  <si>
    <t>oneeyedago@cs.com</t>
  </si>
  <si>
    <t>connie.hinyub@ngc.com</t>
  </si>
  <si>
    <t>XNXPI3304</t>
  </si>
  <si>
    <t>ALL21070C53M</t>
  </si>
  <si>
    <t>XVE9A11LC</t>
  </si>
  <si>
    <t>Sayer</t>
  </si>
  <si>
    <t>1307 Foxboro Dr</t>
  </si>
  <si>
    <t>Monroeville</t>
  </si>
  <si>
    <t>15146-4439</t>
  </si>
  <si>
    <t>srs0228@yahoo.com</t>
  </si>
  <si>
    <t>sayer@ppg.com</t>
  </si>
  <si>
    <t>XNXCI6013</t>
  </si>
  <si>
    <t>ALA2207D1DMC</t>
  </si>
  <si>
    <t>LeRoy</t>
  </si>
  <si>
    <t>Schmieder</t>
  </si>
  <si>
    <t>LeRoy D. Schmieder</t>
  </si>
  <si>
    <t>3034 Silver Bow Ct</t>
  </si>
  <si>
    <t>63129-5238</t>
  </si>
  <si>
    <t>lschmieder456@aol.com</t>
  </si>
  <si>
    <t>XNXKI3702</t>
  </si>
  <si>
    <t>ALR210704C23</t>
  </si>
  <si>
    <t>ALR090902003</t>
  </si>
  <si>
    <t>Mrs. Katherine D. Evans</t>
  </si>
  <si>
    <t>516 31st Ave</t>
  </si>
  <si>
    <t>98122-6322</t>
  </si>
  <si>
    <t>katherine.evans0@gmail.com</t>
  </si>
  <si>
    <t>XNXSI3304</t>
  </si>
  <si>
    <t>ALR170509013</t>
  </si>
  <si>
    <t>ALA15100D23A</t>
  </si>
  <si>
    <t>Ms. Judith A. Koch</t>
  </si>
  <si>
    <t>7620 Cheviot Rd</t>
  </si>
  <si>
    <t>45247-4048</t>
  </si>
  <si>
    <t>kochj75@yahoo.com</t>
  </si>
  <si>
    <t>XNXGI3304</t>
  </si>
  <si>
    <t>ALR041203004</t>
  </si>
  <si>
    <t>Mrs. Virginia D. Johnson</t>
  </si>
  <si>
    <t>PO Box 374</t>
  </si>
  <si>
    <t>83340-0361</t>
  </si>
  <si>
    <t>virginiadjohnson@gmail.com</t>
  </si>
  <si>
    <t>tcjohnson@conknet.com</t>
  </si>
  <si>
    <t>XNXGI6611</t>
  </si>
  <si>
    <t>Dennis Wood</t>
  </si>
  <si>
    <t>219 Dataw Dr</t>
  </si>
  <si>
    <t>Saint Helena Island</t>
  </si>
  <si>
    <t>29920-3810</t>
  </si>
  <si>
    <t>woodda51@gmail.com</t>
  </si>
  <si>
    <t>woodchrista@aol.com</t>
  </si>
  <si>
    <t>XNXDI3702</t>
  </si>
  <si>
    <t>ALR231101C54</t>
  </si>
  <si>
    <t>ALA21120B55H</t>
  </si>
  <si>
    <t>Cerna</t>
  </si>
  <si>
    <t>Mr. Felix S. Cerna</t>
  </si>
  <si>
    <t>6101 Club Cholla Ct NE</t>
  </si>
  <si>
    <t>87111-8230</t>
  </si>
  <si>
    <t>fcerna@comcast.net</t>
  </si>
  <si>
    <t>XNXKI4003</t>
  </si>
  <si>
    <t>Mr. Alois A. Slepicka</t>
  </si>
  <si>
    <t>58121 305th St</t>
  </si>
  <si>
    <t>51551-5026</t>
  </si>
  <si>
    <t>XNYDJ2404</t>
  </si>
  <si>
    <t>ALA21010A25R</t>
  </si>
  <si>
    <t>Bill Surbaugh</t>
  </si>
  <si>
    <t>11135 Beach Rd</t>
  </si>
  <si>
    <t>54234-9610</t>
  </si>
  <si>
    <t>cherylsurb@gmail.com</t>
  </si>
  <si>
    <t>XNYAJ5422</t>
  </si>
  <si>
    <t>ALA21110D56H</t>
  </si>
  <si>
    <t>Quackenbush</t>
  </si>
  <si>
    <t>16410 Central Park Ave</t>
  </si>
  <si>
    <t>60428-5334</t>
  </si>
  <si>
    <t>XNYDJ1808</t>
  </si>
  <si>
    <t>Barth</t>
  </si>
  <si>
    <t>Richard and Kathy</t>
  </si>
  <si>
    <t>1298 W Wisteria Ct</t>
  </si>
  <si>
    <t>84738-6396</t>
  </si>
  <si>
    <t>dsrtriver@infowest.com</t>
  </si>
  <si>
    <t>dsrtrats@infowest.com</t>
  </si>
  <si>
    <t>XNXSI2501</t>
  </si>
  <si>
    <t>ALR230303C54</t>
  </si>
  <si>
    <t>ALR190303064</t>
  </si>
  <si>
    <t>Melba</t>
  </si>
  <si>
    <t>Denison</t>
  </si>
  <si>
    <t>6330 Woodard Bay Road NE</t>
  </si>
  <si>
    <t>98506-1548</t>
  </si>
  <si>
    <t>XNYDJ2222</t>
  </si>
  <si>
    <t>ALR111006003</t>
  </si>
  <si>
    <t>XVE9A11GC</t>
  </si>
  <si>
    <t>Penczek</t>
  </si>
  <si>
    <t>Mr. Alan G. Penczek</t>
  </si>
  <si>
    <t>19 Jonathans Ct</t>
  </si>
  <si>
    <t>21030-1419</t>
  </si>
  <si>
    <t>apenczek@verizon.net</t>
  </si>
  <si>
    <t>XNXAI1301</t>
  </si>
  <si>
    <t>ADA240001T05:MIDLEVEL</t>
  </si>
  <si>
    <t>Dave Rossi</t>
  </si>
  <si>
    <t>10303 W Ford Ave</t>
  </si>
  <si>
    <t>60099-3925</t>
  </si>
  <si>
    <t>ALR210602C44</t>
  </si>
  <si>
    <t>Lauren</t>
  </si>
  <si>
    <t>Spector</t>
  </si>
  <si>
    <t>Lauren and Robert Spector</t>
  </si>
  <si>
    <t>Lauren and Robert</t>
  </si>
  <si>
    <t>2660 Peachtree Rd NW Apt 26E</t>
  </si>
  <si>
    <t>30305-3679</t>
  </si>
  <si>
    <t>rspector12@gmail.com</t>
  </si>
  <si>
    <t>wirehairmom@aol.com</t>
  </si>
  <si>
    <t>XNXAI6817</t>
  </si>
  <si>
    <t>Geraldine Woodroffe</t>
  </si>
  <si>
    <t>4617 Pine St Apt H101</t>
  </si>
  <si>
    <t>19143-1832</t>
  </si>
  <si>
    <t>teeteedollars@msn.com</t>
  </si>
  <si>
    <t>XNZMK3802</t>
  </si>
  <si>
    <t>ALS221101512</t>
  </si>
  <si>
    <t>Sidun</t>
  </si>
  <si>
    <t>Irene Sidun</t>
  </si>
  <si>
    <t>359 Willowbrook Dr</t>
  </si>
  <si>
    <t>North Brunswick</t>
  </si>
  <si>
    <t>08902-1245</t>
  </si>
  <si>
    <t>XNZPK2014</t>
  </si>
  <si>
    <t>ALR180813C50</t>
  </si>
  <si>
    <t>Olmstead</t>
  </si>
  <si>
    <t>William Olmstead</t>
  </si>
  <si>
    <t>91 Crestmont Rd</t>
  </si>
  <si>
    <t>13905-3951</t>
  </si>
  <si>
    <t>marjolm@aol.com</t>
  </si>
  <si>
    <t>XNZJK3802</t>
  </si>
  <si>
    <t>ALL22110BC3M</t>
  </si>
  <si>
    <t>Michele Bevis</t>
  </si>
  <si>
    <t>3442 35th Ave S</t>
  </si>
  <si>
    <t>55406-2741</t>
  </si>
  <si>
    <t>mbevis@landoflakes.com</t>
  </si>
  <si>
    <t>XNZJK2809</t>
  </si>
  <si>
    <t>EEO230002101:FY23MNLUNCHEON</t>
  </si>
  <si>
    <t>ATA2111T2EM1</t>
  </si>
  <si>
    <t>943 12th St Apt 1</t>
  </si>
  <si>
    <t>90403-3069</t>
  </si>
  <si>
    <t>applescruff4ever@gmail.com</t>
  </si>
  <si>
    <t>XNYFJ1609</t>
  </si>
  <si>
    <t>Dr. Joan E. and Dr. Jon Thayer</t>
  </si>
  <si>
    <t>Joan and Jon</t>
  </si>
  <si>
    <t>127 Front St</t>
  </si>
  <si>
    <t>joan_thayer@comcast.net</t>
  </si>
  <si>
    <t>jtthayer@mediaone.net</t>
  </si>
  <si>
    <t>X5021</t>
  </si>
  <si>
    <t>ALA19090A15A</t>
  </si>
  <si>
    <t>Ashworth</t>
  </si>
  <si>
    <t>Ms. Phyllis Ashworth</t>
  </si>
  <si>
    <t>2191 Simison Rd</t>
  </si>
  <si>
    <t>45370-8753</t>
  </si>
  <si>
    <t>tomthash@aol.com</t>
  </si>
  <si>
    <t>XNZSK2906</t>
  </si>
  <si>
    <t>ALR240501C54</t>
  </si>
  <si>
    <t>PPG220001001</t>
  </si>
  <si>
    <t>Bank</t>
  </si>
  <si>
    <t>Mr. Michael Bank</t>
  </si>
  <si>
    <t>16 Cabot Ln</t>
  </si>
  <si>
    <t>03110-5150</t>
  </si>
  <si>
    <t>mmmbank@aol.com</t>
  </si>
  <si>
    <t>XNAXL4513</t>
  </si>
  <si>
    <t>Shawn</t>
  </si>
  <si>
    <t>Cardinal</t>
  </si>
  <si>
    <t>Shawn E. Cardinal</t>
  </si>
  <si>
    <t>2221 S Weekes Rd</t>
  </si>
  <si>
    <t>86303-6481</t>
  </si>
  <si>
    <t>shawn.e.cardinal@gmail.com</t>
  </si>
  <si>
    <t>XNALL5817</t>
  </si>
  <si>
    <t>ALA1807D2EMC</t>
  </si>
  <si>
    <t>ALB060001002</t>
  </si>
  <si>
    <t>Truslow</t>
  </si>
  <si>
    <t>Sharryn</t>
  </si>
  <si>
    <t>Jon Truslow and Sharryn Ross</t>
  </si>
  <si>
    <t>Jon and Sharryn</t>
  </si>
  <si>
    <t>111 Perkins St Apt 237</t>
  </si>
  <si>
    <t>02130-4336</t>
  </si>
  <si>
    <t>XNAKA5812</t>
  </si>
  <si>
    <t>ALA19030B16A</t>
  </si>
  <si>
    <t>sharrynross@gmail.com</t>
  </si>
  <si>
    <t>ALA2011NGMDC</t>
  </si>
  <si>
    <t>Sonia</t>
  </si>
  <si>
    <t>Immasche</t>
  </si>
  <si>
    <t>Ms. Sonia M. Immasche</t>
  </si>
  <si>
    <t>4750 Pleasant Oak Dr Unit 201</t>
  </si>
  <si>
    <t>80525-3733</t>
  </si>
  <si>
    <t>simmasch@lamar.colostate.edu</t>
  </si>
  <si>
    <t>simmasch@gmail.com</t>
  </si>
  <si>
    <t>XNALL2110</t>
  </si>
  <si>
    <t>ALR090405003</t>
  </si>
  <si>
    <t>Lent</t>
  </si>
  <si>
    <t>Barbara Lent</t>
  </si>
  <si>
    <t>2755 Roosevelt Ave</t>
  </si>
  <si>
    <t>#A1</t>
  </si>
  <si>
    <t>98022-2140</t>
  </si>
  <si>
    <t>artnbarb1@juno.com</t>
  </si>
  <si>
    <t>XNADL3003</t>
  </si>
  <si>
    <t>ALA23050A24R</t>
  </si>
  <si>
    <t>Mr. Robert Post</t>
  </si>
  <si>
    <t>9667 W Menadota Dr</t>
  </si>
  <si>
    <t>85382-4198</t>
  </si>
  <si>
    <t>bobogolf@aol.com</t>
  </si>
  <si>
    <t>ggovconspiracy89@aol.com</t>
  </si>
  <si>
    <t>XNXTI66NL</t>
  </si>
  <si>
    <t>ALA23110B23R</t>
  </si>
  <si>
    <t>155 Nottingham Rd</t>
  </si>
  <si>
    <t>17815-3021</t>
  </si>
  <si>
    <t>XNADL4513</t>
  </si>
  <si>
    <t>ALL081203014</t>
  </si>
  <si>
    <t>ALR030704003</t>
  </si>
  <si>
    <t>Ms. Darcy Dougherty</t>
  </si>
  <si>
    <t>1987 Colvin Run Dr</t>
  </si>
  <si>
    <t>89052-6986</t>
  </si>
  <si>
    <t>darcyadougherty@gmail.com</t>
  </si>
  <si>
    <t>ALL20030A5BM</t>
  </si>
  <si>
    <t>Nishikawa</t>
  </si>
  <si>
    <t>Tom Nishikawa</t>
  </si>
  <si>
    <t>1374 Nipomo Ave</t>
  </si>
  <si>
    <t>93402-2823</t>
  </si>
  <si>
    <t>tomn1374@gmail.com</t>
  </si>
  <si>
    <t>tomn60@hotmail.com</t>
  </si>
  <si>
    <t>XNADL2702</t>
  </si>
  <si>
    <t>Katherine Ase</t>
  </si>
  <si>
    <t>5324 Caring Cv</t>
  </si>
  <si>
    <t>46268-4027</t>
  </si>
  <si>
    <t>XNBCA3022</t>
  </si>
  <si>
    <t>ALS221001512</t>
  </si>
  <si>
    <t>ALR120301014</t>
  </si>
  <si>
    <t>Ms. Jane Black</t>
  </si>
  <si>
    <t>2571 Willow Park Rd</t>
  </si>
  <si>
    <t>43123-1669</t>
  </si>
  <si>
    <t>cmejeb@gmail.com</t>
  </si>
  <si>
    <t>cmejeb@wowway.com</t>
  </si>
  <si>
    <t>XNALL2206</t>
  </si>
  <si>
    <t>ALR15XX0W001</t>
  </si>
  <si>
    <t>Nelson-Debord</t>
  </si>
  <si>
    <t>Debord</t>
  </si>
  <si>
    <t>Ms. Anne J. Nelson-Debord and Mr. Ray C. Debord</t>
  </si>
  <si>
    <t>Anne and Ray</t>
  </si>
  <si>
    <t>6633 SE Ash Pl</t>
  </si>
  <si>
    <t>97215-1594</t>
  </si>
  <si>
    <t>jrdebord2@comcast.net</t>
  </si>
  <si>
    <t>jrdebordz@comcast.net</t>
  </si>
  <si>
    <t>XNBCA1507</t>
  </si>
  <si>
    <t>Mrs. Nancy L. Todd</t>
  </si>
  <si>
    <t>1001 Wildewood Downs Cir Unit C108</t>
  </si>
  <si>
    <t>29223-4435</t>
  </si>
  <si>
    <t>nancytodd37@yahoo.com</t>
  </si>
  <si>
    <t>XNAXL1208</t>
  </si>
  <si>
    <t>Chas</t>
  </si>
  <si>
    <t>Swaney</t>
  </si>
  <si>
    <t>Mr. Chas Swaney</t>
  </si>
  <si>
    <t>515 N Fountain Ave</t>
  </si>
  <si>
    <t>45504-2538</t>
  </si>
  <si>
    <t>XNCAB3301</t>
  </si>
  <si>
    <t>ALS150901512</t>
  </si>
  <si>
    <t>ALR100502003</t>
  </si>
  <si>
    <t>604 W Kansas Ave</t>
  </si>
  <si>
    <t>Bonifay</t>
  </si>
  <si>
    <t>32425-1943</t>
  </si>
  <si>
    <t>XNCAB3802</t>
  </si>
  <si>
    <t>ALA13080B23R</t>
  </si>
  <si>
    <t>XL1DADCCC</t>
  </si>
  <si>
    <t>Patterson</t>
  </si>
  <si>
    <t>Mike and Carolyn</t>
  </si>
  <si>
    <t>231 Stanford Dr</t>
  </si>
  <si>
    <t>78212-2011</t>
  </si>
  <si>
    <t>XNCDB1406</t>
  </si>
  <si>
    <t>XA1PACBSC</t>
  </si>
  <si>
    <t>Pepin</t>
  </si>
  <si>
    <t>Kevin J. Pepin</t>
  </si>
  <si>
    <t>302 Hall Ave</t>
  </si>
  <si>
    <t>Crivitz</t>
  </si>
  <si>
    <t>54114-1442</t>
  </si>
  <si>
    <t>drpepin@pepindds.com</t>
  </si>
  <si>
    <t>kpepin@hotmail.com</t>
  </si>
  <si>
    <t>XNCJB5017</t>
  </si>
  <si>
    <t>ALA090103010</t>
  </si>
  <si>
    <t>Stamp</t>
  </si>
  <si>
    <t>Ms. Barbara Stamp</t>
  </si>
  <si>
    <t>863 Sweetbriar Dr</t>
  </si>
  <si>
    <t>95008-5617</t>
  </si>
  <si>
    <t>bstamp7@yahoo.com</t>
  </si>
  <si>
    <t>bastamp7@yahoo.com</t>
  </si>
  <si>
    <t>XNCBB2409</t>
  </si>
  <si>
    <t>ALA11110C23A</t>
  </si>
  <si>
    <t>Richard Sawyer</t>
  </si>
  <si>
    <t>4306 Shipe Rd</t>
  </si>
  <si>
    <t>37721-4715</t>
  </si>
  <si>
    <t>rfsawyer@bellsouth.net</t>
  </si>
  <si>
    <t>rfsawyer@prodigy.net</t>
  </si>
  <si>
    <t>XNCDB3403</t>
  </si>
  <si>
    <t>ALR200102T33</t>
  </si>
  <si>
    <t>Cheryl Eckenrode</t>
  </si>
  <si>
    <t>1115 Stanton Rd</t>
  </si>
  <si>
    <t>78636-4670</t>
  </si>
  <si>
    <t>cheryl@blancobank.com</t>
  </si>
  <si>
    <t>tandeserv@yahoo.com</t>
  </si>
  <si>
    <t>XNLFA5806</t>
  </si>
  <si>
    <t>ALR201214C30</t>
  </si>
  <si>
    <t>ALA090201010</t>
  </si>
  <si>
    <t>Brodie</t>
  </si>
  <si>
    <t>Mrs. Kay Brodie</t>
  </si>
  <si>
    <t>4701 Cliffs City Rd</t>
  </si>
  <si>
    <t>Chestertown</t>
  </si>
  <si>
    <t>21620-5220</t>
  </si>
  <si>
    <t>60kbrodie@gmail.com</t>
  </si>
  <si>
    <t>kbrodie@hughes.net</t>
  </si>
  <si>
    <t>ALA2401DXEMC</t>
  </si>
  <si>
    <t>Kathy D. Peacock</t>
  </si>
  <si>
    <t>807 Allison Gdns</t>
  </si>
  <si>
    <t>38401-3002</t>
  </si>
  <si>
    <t>kpprospers@peoplepc.com</t>
  </si>
  <si>
    <t>XNCJB5117</t>
  </si>
  <si>
    <t>ALA21090A33R</t>
  </si>
  <si>
    <t>ALR071201003</t>
  </si>
  <si>
    <t>Mr. Kenneth Hamann</t>
  </si>
  <si>
    <t>7065 Inclined Pl</t>
  </si>
  <si>
    <t>94568-2772</t>
  </si>
  <si>
    <t>hamannk@comcast.net</t>
  </si>
  <si>
    <t>hamandk@comcast.net</t>
  </si>
  <si>
    <t>XNCBB1501</t>
  </si>
  <si>
    <t>ALA23030B56H</t>
  </si>
  <si>
    <t>Mrs. Winona M. Moeller</t>
  </si>
  <si>
    <t>9 Dunham St</t>
  </si>
  <si>
    <t>01890-2106</t>
  </si>
  <si>
    <t>asapprnrn@gmail.com</t>
  </si>
  <si>
    <t>winonamoeller@comcast.net</t>
  </si>
  <si>
    <t>XNDCC5309</t>
  </si>
  <si>
    <t>ALA19100C23R</t>
  </si>
  <si>
    <t>ALR171209033</t>
  </si>
  <si>
    <t>1301 Fieldstone Ct</t>
  </si>
  <si>
    <t>Broadview Heights</t>
  </si>
  <si>
    <t>44147-3624</t>
  </si>
  <si>
    <t>XNCGB4608</t>
  </si>
  <si>
    <t>ALA21090A44A</t>
  </si>
  <si>
    <t>Donato</t>
  </si>
  <si>
    <t>Rinaldi</t>
  </si>
  <si>
    <t>Mr. Donato J. Rinaldi</t>
  </si>
  <si>
    <t>1167 Executive Cove Dr</t>
  </si>
  <si>
    <t>32259-2801</t>
  </si>
  <si>
    <t>fireman527@gmail.com</t>
  </si>
  <si>
    <t>fireman527@iwon.com</t>
  </si>
  <si>
    <t>XNDBC2504</t>
  </si>
  <si>
    <t>ALR140601023</t>
  </si>
  <si>
    <t>Wooler</t>
  </si>
  <si>
    <t>Ms. Janet E. Wooler</t>
  </si>
  <si>
    <t>PO Box 758</t>
  </si>
  <si>
    <t>Boothbay</t>
  </si>
  <si>
    <t>04537-0758</t>
  </si>
  <si>
    <t>jerwooler@outlook.com</t>
  </si>
  <si>
    <t>wooler@att.net</t>
  </si>
  <si>
    <t>XNCDB4312</t>
  </si>
  <si>
    <t>Mrs. Lillian Hanahan</t>
  </si>
  <si>
    <t>620 Terry Ave</t>
  </si>
  <si>
    <t>Unit 707</t>
  </si>
  <si>
    <t>donaldhanahan@comcast.net</t>
  </si>
  <si>
    <t>XNDBC4612</t>
  </si>
  <si>
    <t>ALA150700001</t>
  </si>
  <si>
    <t>dhanahan2v@verizon.net</t>
  </si>
  <si>
    <t>Breitenstein</t>
  </si>
  <si>
    <t>4927 Bella Vista Dr</t>
  </si>
  <si>
    <t>80503-4119</t>
  </si>
  <si>
    <t>mbreitenstein@comcast.net</t>
  </si>
  <si>
    <t>XNDBC2122</t>
  </si>
  <si>
    <t>ALR210101C66</t>
  </si>
  <si>
    <t>Julie and Rick</t>
  </si>
  <si>
    <t>379 Dexter St</t>
  </si>
  <si>
    <t>80220-5657</t>
  </si>
  <si>
    <t>jwaggener@wlfpc.com</t>
  </si>
  <si>
    <t>jwaggener@wlfllp.com</t>
  </si>
  <si>
    <t>XNDDC4106</t>
  </si>
  <si>
    <t>ALR220605C33</t>
  </si>
  <si>
    <t>ALR170400001</t>
  </si>
  <si>
    <t>Mr. Steven M. Costion</t>
  </si>
  <si>
    <t>3 Brierwood Ct</t>
  </si>
  <si>
    <t>12027-9451</t>
  </si>
  <si>
    <t>scostion@gmail.com</t>
  </si>
  <si>
    <t>ALAXXXXD1EMT</t>
  </si>
  <si>
    <t>ALR210403EMC</t>
  </si>
  <si>
    <t>Jan Elliott</t>
  </si>
  <si>
    <t>5724 Kingsley Dr</t>
  </si>
  <si>
    <t>49341-8912</t>
  </si>
  <si>
    <t>XNDBC3302</t>
  </si>
  <si>
    <t>ALQ2110AD001</t>
  </si>
  <si>
    <t>ALR071002003</t>
  </si>
  <si>
    <t>Kleinenbroich</t>
  </si>
  <si>
    <t>Mr. Willis M. Kleinenbroich</t>
  </si>
  <si>
    <t>2523 1st Ave W</t>
  </si>
  <si>
    <t>98119-2301</t>
  </si>
  <si>
    <t>wmkleinenbroich@mac.com</t>
  </si>
  <si>
    <t>XNDGC3302</t>
  </si>
  <si>
    <t>Galpin</t>
  </si>
  <si>
    <t>Lawrence B. Galpin</t>
  </si>
  <si>
    <t>12 Kayser Ct</t>
  </si>
  <si>
    <t>19711-1519</t>
  </si>
  <si>
    <t>larry.bertiez@gmail.com</t>
  </si>
  <si>
    <t>larry.bertie1@gmail.com</t>
  </si>
  <si>
    <t>XNULF42NH</t>
  </si>
  <si>
    <t>ALA060201007</t>
  </si>
  <si>
    <t>12421 N Copper Spring Trl</t>
  </si>
  <si>
    <t>85755-6592</t>
  </si>
  <si>
    <t>peeka1940@comcast.net</t>
  </si>
  <si>
    <t>peeka1940@yahoo.com</t>
  </si>
  <si>
    <t>ALR050101002</t>
  </si>
  <si>
    <t>Rancourt</t>
  </si>
  <si>
    <t>M. Sue</t>
  </si>
  <si>
    <t>Sandmeyer</t>
  </si>
  <si>
    <t>Rancourt and Sandmeyer Family</t>
  </si>
  <si>
    <t>16939 Beulah Blvd</t>
  </si>
  <si>
    <t>19968-3815</t>
  </si>
  <si>
    <t>lindarancourt@earthlink.net</t>
  </si>
  <si>
    <t>lrancourt@npca.org</t>
  </si>
  <si>
    <t>NEA040001001</t>
  </si>
  <si>
    <t>Mr. David C. Heilbron</t>
  </si>
  <si>
    <t>66 Cleary Ct Apt 605</t>
  </si>
  <si>
    <t>94109-6502</t>
  </si>
  <si>
    <t>dcheilbron@gmail.com</t>
  </si>
  <si>
    <t>davidheilbron@hotmail.com</t>
  </si>
  <si>
    <t>XNDBC4910</t>
  </si>
  <si>
    <t>ATR230701001</t>
  </si>
  <si>
    <t>Susette</t>
  </si>
  <si>
    <t>Warynick</t>
  </si>
  <si>
    <t>4800 Calle Camarada</t>
  </si>
  <si>
    <t>93110-2053</t>
  </si>
  <si>
    <t>susettew@earthlink.net</t>
  </si>
  <si>
    <t>susettew@aol.com</t>
  </si>
  <si>
    <t>XNETD3703</t>
  </si>
  <si>
    <t>Kristine</t>
  </si>
  <si>
    <t>Tolleson</t>
  </si>
  <si>
    <t>Ms. Kristine Tolleson</t>
  </si>
  <si>
    <t>28220 Layton Rd</t>
  </si>
  <si>
    <t>North Liberty</t>
  </si>
  <si>
    <t>46554-9740</t>
  </si>
  <si>
    <t>XNETD1001</t>
  </si>
  <si>
    <t>ALR220311C30</t>
  </si>
  <si>
    <t>Disbro</t>
  </si>
  <si>
    <t>3499 Leighton Rd</t>
  </si>
  <si>
    <t>43221-1322</t>
  </si>
  <si>
    <t>jddisbro@gmail.com</t>
  </si>
  <si>
    <t>mddisbro@gmail.com</t>
  </si>
  <si>
    <t>XNCEB3102</t>
  </si>
  <si>
    <t>Jen</t>
  </si>
  <si>
    <t>Abisla</t>
  </si>
  <si>
    <t>Jen Heywood and Robert Abisla</t>
  </si>
  <si>
    <t>Jen and Robert</t>
  </si>
  <si>
    <t>34 Parker Hill Rd</t>
  </si>
  <si>
    <t>01440-2341</t>
  </si>
  <si>
    <t>abislahey@comcast.net</t>
  </si>
  <si>
    <t>XNESD2702</t>
  </si>
  <si>
    <t>ALR201101C44</t>
  </si>
  <si>
    <t>ALR191101C44</t>
  </si>
  <si>
    <t>Sellman</t>
  </si>
  <si>
    <t>Judy and Bill Sellman</t>
  </si>
  <si>
    <t>Judy and Bill</t>
  </si>
  <si>
    <t>1361 Vt Route 8A</t>
  </si>
  <si>
    <t>05342-9803</t>
  </si>
  <si>
    <t>rhodyj@aol.com</t>
  </si>
  <si>
    <t>rhodyj@myfairpoint.net</t>
  </si>
  <si>
    <t>XBND98</t>
  </si>
  <si>
    <t>Eugenia</t>
  </si>
  <si>
    <t>Babiak</t>
  </si>
  <si>
    <t>Dr. Eugenia T. Babiak</t>
  </si>
  <si>
    <t>2 Crest Rd</t>
  </si>
  <si>
    <t>New Brunswick</t>
  </si>
  <si>
    <t>08901-1508</t>
  </si>
  <si>
    <t>fredczulada62@gmail.com</t>
  </si>
  <si>
    <t>XNAHL2406</t>
  </si>
  <si>
    <t>Ms. Wilma Mundt</t>
  </si>
  <si>
    <t>1605 F St</t>
  </si>
  <si>
    <t>94559-1033</t>
  </si>
  <si>
    <t>XNEPD2309</t>
  </si>
  <si>
    <t>ALR211002C33</t>
  </si>
  <si>
    <t>Fissel</t>
  </si>
  <si>
    <t>Ms. Ruth Fissel</t>
  </si>
  <si>
    <t>7819 Dan Thomas Rd</t>
  </si>
  <si>
    <t>72206-7401</t>
  </si>
  <si>
    <t>refissellcsw@comcast.net</t>
  </si>
  <si>
    <t>refissel@aristotle.net</t>
  </si>
  <si>
    <t>XNFRE2606</t>
  </si>
  <si>
    <t>ALR071103404</t>
  </si>
  <si>
    <t>ALA041201009</t>
  </si>
  <si>
    <t>Lark</t>
  </si>
  <si>
    <t>Pratt</t>
  </si>
  <si>
    <t>Lark L. Pratt</t>
  </si>
  <si>
    <t>723 Pine St</t>
  </si>
  <si>
    <t>Moorhead</t>
  </si>
  <si>
    <t>51558-3013</t>
  </si>
  <si>
    <t>addy1@longlines.com</t>
  </si>
  <si>
    <t>XNFME3002</t>
  </si>
  <si>
    <t>ALA23010B43R</t>
  </si>
  <si>
    <t>Barnette</t>
  </si>
  <si>
    <t>Sharon and Sherry</t>
  </si>
  <si>
    <t>7415 Crowfoot Rd</t>
  </si>
  <si>
    <t>Trail</t>
  </si>
  <si>
    <t>97541-9602</t>
  </si>
  <si>
    <t>sharonannie@hotmail.com</t>
  </si>
  <si>
    <t>sharonmauicedar@gmail.com</t>
  </si>
  <si>
    <t>XNFSE4408</t>
  </si>
  <si>
    <t>ALB130001001</t>
  </si>
  <si>
    <t>11512 Waterhaven Ct</t>
  </si>
  <si>
    <t>20190-4465</t>
  </si>
  <si>
    <t>dsnowther@aol.com</t>
  </si>
  <si>
    <t>XNFPE3102</t>
  </si>
  <si>
    <t>ALR220703EMC</t>
  </si>
  <si>
    <t>XRL9N11AA</t>
  </si>
  <si>
    <t>Dottie</t>
  </si>
  <si>
    <t>Dunbar</t>
  </si>
  <si>
    <t>6505 W Calle Mistica</t>
  </si>
  <si>
    <t>85743-8662</t>
  </si>
  <si>
    <t>XNFRE2022</t>
  </si>
  <si>
    <t>Newby</t>
  </si>
  <si>
    <t>James Newby</t>
  </si>
  <si>
    <t>24000 S Woodland Rd</t>
  </si>
  <si>
    <t>Shaker Heights</t>
  </si>
  <si>
    <t>44122-3314</t>
  </si>
  <si>
    <t>newbyj@bright.net</t>
  </si>
  <si>
    <t>XNXBI2814</t>
  </si>
  <si>
    <t>ALR231203EMC</t>
  </si>
  <si>
    <t>Guest</t>
  </si>
  <si>
    <t>Mr. James Guest</t>
  </si>
  <si>
    <t>3750 Winston Dr</t>
  </si>
  <si>
    <t>60192-1844</t>
  </si>
  <si>
    <t>jgym007@aol.com</t>
  </si>
  <si>
    <t>danceralg13@aol.com</t>
  </si>
  <si>
    <t>ALR180405033</t>
  </si>
  <si>
    <t>Shanes</t>
  </si>
  <si>
    <t>Mr. Ken K. Shanes</t>
  </si>
  <si>
    <t>120 Edwin St</t>
  </si>
  <si>
    <t>26501-8508</t>
  </si>
  <si>
    <t>kkshanes@aol.com</t>
  </si>
  <si>
    <t>kksjanes@aol.com</t>
  </si>
  <si>
    <t>XNFXE2304</t>
  </si>
  <si>
    <t>ALR230901C23</t>
  </si>
  <si>
    <t>Mrs. Lucy L. Moore</t>
  </si>
  <si>
    <t>108 Cavalcade Dr</t>
  </si>
  <si>
    <t>Danville</t>
  </si>
  <si>
    <t>40422-8621</t>
  </si>
  <si>
    <t>logan.moore@gmail.com</t>
  </si>
  <si>
    <t>lucyandart.moore@gmail.com</t>
  </si>
  <si>
    <t>XNGNF5601</t>
  </si>
  <si>
    <t>ALA13100F24A</t>
  </si>
  <si>
    <t>Mr. Philip A. Lynch</t>
  </si>
  <si>
    <t>552 Romarin Pl</t>
  </si>
  <si>
    <t>17601-2678</t>
  </si>
  <si>
    <t>XNGVF3322</t>
  </si>
  <si>
    <t>ALA220400001C</t>
  </si>
  <si>
    <t>Seamons</t>
  </si>
  <si>
    <t>Robert J. Seamons</t>
  </si>
  <si>
    <t>209 S Calvin Ln</t>
  </si>
  <si>
    <t>Spokane Valley</t>
  </si>
  <si>
    <t>99216-3100</t>
  </si>
  <si>
    <t>robertmariners@aol.com</t>
  </si>
  <si>
    <t>XNFPE1914</t>
  </si>
  <si>
    <t>Dr. Carolyn S. Quinn</t>
  </si>
  <si>
    <t>1124 S Mccall Rd Unit 232</t>
  </si>
  <si>
    <t>34223-4247</t>
  </si>
  <si>
    <t>quinnc44@yahoo.com</t>
  </si>
  <si>
    <t>caro_lyndr@comcast.net</t>
  </si>
  <si>
    <t>XNGNF3106</t>
  </si>
  <si>
    <t>ALR238K47EMC</t>
  </si>
  <si>
    <t>Sager</t>
  </si>
  <si>
    <t>James and Susan Sager</t>
  </si>
  <si>
    <t>James and Susan</t>
  </si>
  <si>
    <t>PO Box 3018</t>
  </si>
  <si>
    <t>West Somerset</t>
  </si>
  <si>
    <t>42564-3018</t>
  </si>
  <si>
    <t>XNGPF3322</t>
  </si>
  <si>
    <t>ALA23100E22A</t>
  </si>
  <si>
    <t>2400 Main St</t>
  </si>
  <si>
    <t>#K-3</t>
  </si>
  <si>
    <t>littleonesinc@bresnan.net</t>
  </si>
  <si>
    <t>ALL081202009</t>
  </si>
  <si>
    <t>ALR051101003</t>
  </si>
  <si>
    <t>Mrs. Janis J. Hudson</t>
  </si>
  <si>
    <t>410 Debora Dr</t>
  </si>
  <si>
    <t>78628-8819</t>
  </si>
  <si>
    <t>XNFPE2304</t>
  </si>
  <si>
    <t>ALA20070A23C</t>
  </si>
  <si>
    <t>ALA16070A13A</t>
  </si>
  <si>
    <t>Bridges</t>
  </si>
  <si>
    <t>514 Americas Way</t>
  </si>
  <si>
    <t># 7297</t>
  </si>
  <si>
    <t>Box Elder</t>
  </si>
  <si>
    <t>57719-7600</t>
  </si>
  <si>
    <t>npcarenewal3252021@npca.org</t>
  </si>
  <si>
    <t>kebridges@metrocast.net</t>
  </si>
  <si>
    <t>XNGRF2604</t>
  </si>
  <si>
    <t>ALA14020C23A</t>
  </si>
  <si>
    <t>Mr. George E. Cromwell</t>
  </si>
  <si>
    <t>7013 Stone Mill Pl</t>
  </si>
  <si>
    <t>22306-1331</t>
  </si>
  <si>
    <t>cromwellge@gmail.com</t>
  </si>
  <si>
    <t>cromwellge@aol.com</t>
  </si>
  <si>
    <t>XNGRF4007</t>
  </si>
  <si>
    <t>Luddon</t>
  </si>
  <si>
    <t>Mrs. Barbara J. Luddon</t>
  </si>
  <si>
    <t>165 NW Alta Dr</t>
  </si>
  <si>
    <t>98310-2166</t>
  </si>
  <si>
    <t>barbluddon@q.com</t>
  </si>
  <si>
    <t>jimluddon@silverlink.net</t>
  </si>
  <si>
    <t>XNGPF4201</t>
  </si>
  <si>
    <t>Rapp</t>
  </si>
  <si>
    <t>6400 Lakewood Dr</t>
  </si>
  <si>
    <t>87402-0991</t>
  </si>
  <si>
    <t>lrapp1@msn.com</t>
  </si>
  <si>
    <t>ljrapp1@msn.com</t>
  </si>
  <si>
    <t>XNGSF3322</t>
  </si>
  <si>
    <t>ALA22050A11A</t>
  </si>
  <si>
    <t>XRA2A31GG</t>
  </si>
  <si>
    <t>Ms. Michelle Pyle</t>
  </si>
  <si>
    <t>8 Outer Ladue Dr</t>
  </si>
  <si>
    <t>63131-3406</t>
  </si>
  <si>
    <t>michelepyle@charter.net</t>
  </si>
  <si>
    <t>XNGPF3603</t>
  </si>
  <si>
    <t>Connie Burleson</t>
  </si>
  <si>
    <t>424 Hughes Blvd</t>
  </si>
  <si>
    <t>Hickory</t>
  </si>
  <si>
    <t>28601-8822</t>
  </si>
  <si>
    <t>kenb76@alumni.unc.edu</t>
  </si>
  <si>
    <t>ken76@alumni.unc.edu</t>
  </si>
  <si>
    <t>XNHAG3622</t>
  </si>
  <si>
    <t>ALA2306D2WST</t>
  </si>
  <si>
    <t>Marion</t>
  </si>
  <si>
    <t>David P. Marion</t>
  </si>
  <si>
    <t>PO Box 10655</t>
  </si>
  <si>
    <t>College Station</t>
  </si>
  <si>
    <t>77842-0655</t>
  </si>
  <si>
    <t>cellask617@yahoo.com</t>
  </si>
  <si>
    <t>XNHFG2414</t>
  </si>
  <si>
    <t>Maryellen</t>
  </si>
  <si>
    <t>Cubbon</t>
  </si>
  <si>
    <t>Maryellen Cubbon</t>
  </si>
  <si>
    <t>35 Old Dock Rd</t>
  </si>
  <si>
    <t>Kings Park</t>
  </si>
  <si>
    <t>11754-2613</t>
  </si>
  <si>
    <t>kezzdrix@gmail.com</t>
  </si>
  <si>
    <t>XNHQG1506</t>
  </si>
  <si>
    <t>ALA24010E23A</t>
  </si>
  <si>
    <t>Dr. and Mrs. M. C. Cannon</t>
  </si>
  <si>
    <t>Dr. and Mrs. Cannon</t>
  </si>
  <si>
    <t>1732 Ventura Dr</t>
  </si>
  <si>
    <t>98465-1242</t>
  </si>
  <si>
    <t>XNHDG4809</t>
  </si>
  <si>
    <t>ALL20040A5BM</t>
  </si>
  <si>
    <t>ALL17050A5BM</t>
  </si>
  <si>
    <t>Georgeann</t>
  </si>
  <si>
    <t>Ventola</t>
  </si>
  <si>
    <t>Ms. Georgeann Ventola</t>
  </si>
  <si>
    <t>81 Horseneck Rd</t>
  </si>
  <si>
    <t>Montville</t>
  </si>
  <si>
    <t>07045-9311</t>
  </si>
  <si>
    <t>mrvee618@aol.com</t>
  </si>
  <si>
    <t>XNHKG3802</t>
  </si>
  <si>
    <t>Herman Fletcher</t>
  </si>
  <si>
    <t>2619 Covington Cir</t>
  </si>
  <si>
    <t>37876-5401</t>
  </si>
  <si>
    <t>westymtnman@gmail.com</t>
  </si>
  <si>
    <t>westymtnman@earthlink.net</t>
  </si>
  <si>
    <t>XNHKG5617</t>
  </si>
  <si>
    <t>Mr. Dolph C. Simons, Jr.</t>
  </si>
  <si>
    <t>PO Box 1597</t>
  </si>
  <si>
    <t>66044-8597</t>
  </si>
  <si>
    <t>dolphsimonsjr@gmail.com</t>
  </si>
  <si>
    <t>X 90E0M</t>
  </si>
  <si>
    <t>ALR230502C64</t>
  </si>
  <si>
    <t>Ms. Jeanette Zagorce</t>
  </si>
  <si>
    <t>867 Church Rd</t>
  </si>
  <si>
    <t>60505-2215</t>
  </si>
  <si>
    <t>XNHJG2202</t>
  </si>
  <si>
    <t>Mary L. Russell</t>
  </si>
  <si>
    <t>PO Box 7117</t>
  </si>
  <si>
    <t>33734-7117</t>
  </si>
  <si>
    <t>maryrussell323@gmail.com</t>
  </si>
  <si>
    <t>XL0UZCCGT</t>
  </si>
  <si>
    <t>Johannsen</t>
  </si>
  <si>
    <t>Mr. Richard Johannsen</t>
  </si>
  <si>
    <t>525 Laurie Ct</t>
  </si>
  <si>
    <t>Grayslake</t>
  </si>
  <si>
    <t>60030-1572</t>
  </si>
  <si>
    <t>mrjo@mac.com</t>
  </si>
  <si>
    <t>XNHDG5709</t>
  </si>
  <si>
    <t>Mrs. Mary R. Niccolls</t>
  </si>
  <si>
    <t>1830 Garden Dr</t>
  </si>
  <si>
    <t>97504-3624</t>
  </si>
  <si>
    <t>XNJKH3004</t>
  </si>
  <si>
    <t>ALA17050H14R</t>
  </si>
  <si>
    <t>Therese M. Woitas</t>
  </si>
  <si>
    <t>422 W 6th St</t>
  </si>
  <si>
    <t>56001-2124</t>
  </si>
  <si>
    <t>XNJBH3602</t>
  </si>
  <si>
    <t>ALR191112C30</t>
  </si>
  <si>
    <t>Parkerson</t>
  </si>
  <si>
    <t>Mr. John Parkerson</t>
  </si>
  <si>
    <t>14 Mason Rd</t>
  </si>
  <si>
    <t>Chichester</t>
  </si>
  <si>
    <t>03258-6046</t>
  </si>
  <si>
    <t>jleslieparkerson@gmail.com</t>
  </si>
  <si>
    <t>parkersj@chi.tds.net</t>
  </si>
  <si>
    <t>XPCH99</t>
  </si>
  <si>
    <t>ALR240201C54</t>
  </si>
  <si>
    <t>Ms. Cathleen Hauenstein</t>
  </si>
  <si>
    <t>6223 266th Ct</t>
  </si>
  <si>
    <t>55092-8379</t>
  </si>
  <si>
    <t>fhauenstein@msn.com</t>
  </si>
  <si>
    <t>cathleen.hauenstein@district19</t>
  </si>
  <si>
    <t>XNJCH3602</t>
  </si>
  <si>
    <t>ALA041003029</t>
  </si>
  <si>
    <t>Hyra</t>
  </si>
  <si>
    <t>Bonnie Hyra</t>
  </si>
  <si>
    <t>24903 Moulton Pkwy Apt 427</t>
  </si>
  <si>
    <t>92653-6476</t>
  </si>
  <si>
    <t>bonniehyra@gmail.com</t>
  </si>
  <si>
    <t>rbhyra@northlink.com</t>
  </si>
  <si>
    <t>XNGPF4307</t>
  </si>
  <si>
    <t>ALA22050W001</t>
  </si>
  <si>
    <t>Trimingham</t>
  </si>
  <si>
    <t>Mr. David Trimingham</t>
  </si>
  <si>
    <t>370 Weatherly Way</t>
  </si>
  <si>
    <t>95687-4707</t>
  </si>
  <si>
    <t>movieman8@comcast.net</t>
  </si>
  <si>
    <t>ALL2112L5EM1</t>
  </si>
  <si>
    <t>XRC0A12CC</t>
  </si>
  <si>
    <t>Lindeke</t>
  </si>
  <si>
    <t>Frank and Ann Lindeke</t>
  </si>
  <si>
    <t>Frank and Ann</t>
  </si>
  <si>
    <t>816 S 216th St # 430</t>
  </si>
  <si>
    <t>98198-6318</t>
  </si>
  <si>
    <t>annlindeke@centurylink.net</t>
  </si>
  <si>
    <t>alindeke@centurylink.net</t>
  </si>
  <si>
    <t>ALR220503C64</t>
  </si>
  <si>
    <t>Mrs. Diane Myers</t>
  </si>
  <si>
    <t>34 Seminole Dr</t>
  </si>
  <si>
    <t>32713-3210</t>
  </si>
  <si>
    <t>XNKBI2104</t>
  </si>
  <si>
    <t>ALR220504C44</t>
  </si>
  <si>
    <t>ALR210503C44</t>
  </si>
  <si>
    <t>Knape</t>
  </si>
  <si>
    <t>Ms. Ruth C. Knape</t>
  </si>
  <si>
    <t>408 Breeze Hill Cres</t>
  </si>
  <si>
    <t>23322-6401</t>
  </si>
  <si>
    <t>XNHQG1909</t>
  </si>
  <si>
    <t>Ms. Sandra J. Tillin</t>
  </si>
  <si>
    <t>2116 San Mateo St</t>
  </si>
  <si>
    <t>94804-5529</t>
  </si>
  <si>
    <t>sjtulin@yahoo.com</t>
  </si>
  <si>
    <t>XNJAH1901</t>
  </si>
  <si>
    <t>ALR210502C54</t>
  </si>
  <si>
    <t>Caudill</t>
  </si>
  <si>
    <t>Mrs. Claire P. and Dr. John W. Caudill</t>
  </si>
  <si>
    <t>Claire and John</t>
  </si>
  <si>
    <t>518 Westminster Dr</t>
  </si>
  <si>
    <t>77024-5610</t>
  </si>
  <si>
    <t>jccaudill@aol.com</t>
  </si>
  <si>
    <t>XMEVTHO99</t>
  </si>
  <si>
    <t>ADA230501002</t>
  </si>
  <si>
    <t>ADA200801001</t>
  </si>
  <si>
    <t>Angela</t>
  </si>
  <si>
    <t>Ms. Angela Allen</t>
  </si>
  <si>
    <t>PO Box 446</t>
  </si>
  <si>
    <t>Balsam</t>
  </si>
  <si>
    <t>28707-0446</t>
  </si>
  <si>
    <t>ssr1046@yahoo.com</t>
  </si>
  <si>
    <t>adal1046@frontier.com</t>
  </si>
  <si>
    <t>XNKEI3217</t>
  </si>
  <si>
    <t>ALR130805054</t>
  </si>
  <si>
    <t>ALA13070A25A</t>
  </si>
  <si>
    <t>Dr. and Mrs. Thomas W. Muller</t>
  </si>
  <si>
    <t>315 Berkeley Rd</t>
  </si>
  <si>
    <t>29732-1997</t>
  </si>
  <si>
    <t>XNHGG1909</t>
  </si>
  <si>
    <t>ALR200301C66</t>
  </si>
  <si>
    <t>Chalmers</t>
  </si>
  <si>
    <t>Mary and Bill</t>
  </si>
  <si>
    <t>335 Lynn Cove Rd</t>
  </si>
  <si>
    <t>28804-1914</t>
  </si>
  <si>
    <t>froggies9@verizon.net</t>
  </si>
  <si>
    <t>XNJCH5009</t>
  </si>
  <si>
    <t>ALR230502C54</t>
  </si>
  <si>
    <t>Maxyne and Robert</t>
  </si>
  <si>
    <t>9892 W 86th Ave</t>
  </si>
  <si>
    <t>80005-1257</t>
  </si>
  <si>
    <t>bobgillice@gmail.com</t>
  </si>
  <si>
    <t>XNLBJ2509</t>
  </si>
  <si>
    <t>Dennison</t>
  </si>
  <si>
    <t>MJ</t>
  </si>
  <si>
    <t>Mary Jane and MJ Dennison</t>
  </si>
  <si>
    <t>Mary Jane and MJ</t>
  </si>
  <si>
    <t>310 Hiawatha St</t>
  </si>
  <si>
    <t>Ypsilanti</t>
  </si>
  <si>
    <t>48197-4617</t>
  </si>
  <si>
    <t>XNLJJ1502</t>
  </si>
  <si>
    <t>ALA21050A34A</t>
  </si>
  <si>
    <t>mjdogpwr@gmail.com</t>
  </si>
  <si>
    <t>Gorman</t>
  </si>
  <si>
    <t>Scott Gorman</t>
  </si>
  <si>
    <t>102 Jeremiah Cir</t>
  </si>
  <si>
    <t>70508-7464</t>
  </si>
  <si>
    <t>emailsgor1@gmail.com</t>
  </si>
  <si>
    <t>XNKBI2912</t>
  </si>
  <si>
    <t>ALR200505C33</t>
  </si>
  <si>
    <t>Carol M. Brookshire</t>
  </si>
  <si>
    <t>4625 Sylvia Ln</t>
  </si>
  <si>
    <t>80516-9041</t>
  </si>
  <si>
    <t>carolbrookshire@aol.com</t>
  </si>
  <si>
    <t>XNLJJ3308</t>
  </si>
  <si>
    <t>ALR190902C44</t>
  </si>
  <si>
    <t>Rolland</t>
  </si>
  <si>
    <t>Kellogg</t>
  </si>
  <si>
    <t>Rolland Kellogg</t>
  </si>
  <si>
    <t>9211 Sunderland Way</t>
  </si>
  <si>
    <t>45069-4029</t>
  </si>
  <si>
    <t>pauljkellogg@hotmail.com</t>
  </si>
  <si>
    <t>XNKBI2306</t>
  </si>
  <si>
    <t>James M. Bock</t>
  </si>
  <si>
    <t>112 E Interlaken Rd</t>
  </si>
  <si>
    <t>56031-3509</t>
  </si>
  <si>
    <t>jbock9775@midco.net</t>
  </si>
  <si>
    <t>ezduzit04@msn.com</t>
  </si>
  <si>
    <t>XNLCJ2609</t>
  </si>
  <si>
    <t>Vicki Zarrell</t>
  </si>
  <si>
    <t>1804 Marigold St NW</t>
  </si>
  <si>
    <t>98502-4179</t>
  </si>
  <si>
    <t>vzarrell@hotmail.com</t>
  </si>
  <si>
    <t>XCE9CWA26</t>
  </si>
  <si>
    <t>ALR121202033</t>
  </si>
  <si>
    <t>Dr. Pamela Cary</t>
  </si>
  <si>
    <t>3351 Cape Hatteras Dr</t>
  </si>
  <si>
    <t>97408-9245</t>
  </si>
  <si>
    <t>pjpjcary@hotmail.com</t>
  </si>
  <si>
    <t>XNLEJ1607</t>
  </si>
  <si>
    <t>ALL23040B7BM</t>
  </si>
  <si>
    <t>ALA1712D8EMA</t>
  </si>
  <si>
    <t>Ms. Paula J. Hansen</t>
  </si>
  <si>
    <t>4240 Dudley St</t>
  </si>
  <si>
    <t>80033-4336</t>
  </si>
  <si>
    <t>paulajanehansen@yahoo.com</t>
  </si>
  <si>
    <t>paula-hansen@dpsk12.org</t>
  </si>
  <si>
    <t>XNLKJ1502</t>
  </si>
  <si>
    <t>ALA22020A23A</t>
  </si>
  <si>
    <t>Bearden</t>
  </si>
  <si>
    <t>Lacy</t>
  </si>
  <si>
    <t>Keith and Lacy Bearden</t>
  </si>
  <si>
    <t>Keith and Lacy</t>
  </si>
  <si>
    <t>1306 Clementine Ct</t>
  </si>
  <si>
    <t>80526-4207</t>
  </si>
  <si>
    <t>moosepie@fcconnexion.net</t>
  </si>
  <si>
    <t>lkbearden1962@gmail.com</t>
  </si>
  <si>
    <t>X29383072</t>
  </si>
  <si>
    <t>klbearden@televiso.com</t>
  </si>
  <si>
    <t>ALQ151000001</t>
  </si>
  <si>
    <t>Ms. Elizabeth M. Riley</t>
  </si>
  <si>
    <t>41 Cardinal Dr</t>
  </si>
  <si>
    <t>03036-4162</t>
  </si>
  <si>
    <t>rileybeth248@gmail.com</t>
  </si>
  <si>
    <t>emr@mygsc.com</t>
  </si>
  <si>
    <t>XNQCK3301</t>
  </si>
  <si>
    <t>ALA24010E21R</t>
  </si>
  <si>
    <t>Mr. Richard F. Hite</t>
  </si>
  <si>
    <t>640 Park Dr</t>
  </si>
  <si>
    <t>34209-1850</t>
  </si>
  <si>
    <t>bdhigte@tampabay.rr.com</t>
  </si>
  <si>
    <t>bdhite@tampabay.rr.com</t>
  </si>
  <si>
    <t>XNQAK1922</t>
  </si>
  <si>
    <t>Mary Goodman</t>
  </si>
  <si>
    <t>7912 Rockdale Rd</t>
  </si>
  <si>
    <t>76134-5003</t>
  </si>
  <si>
    <t>XNQGK1814</t>
  </si>
  <si>
    <t>ALR220605C44</t>
  </si>
  <si>
    <t>Urban</t>
  </si>
  <si>
    <t>Mrs. Margaret and Mr. Dean Urban</t>
  </si>
  <si>
    <t>Margaret and Dean</t>
  </si>
  <si>
    <t>2713 Augusta Dr</t>
  </si>
  <si>
    <t>27707-2803</t>
  </si>
  <si>
    <t>dean.urban@gmail.com</t>
  </si>
  <si>
    <t>XNLBJ4003</t>
  </si>
  <si>
    <t>Rodney Chras</t>
  </si>
  <si>
    <t>7714 S Oneida Ct</t>
  </si>
  <si>
    <t>80112-2521</t>
  </si>
  <si>
    <t>Mr. Thomas A. Spencer</t>
  </si>
  <si>
    <t>1100 Wayland Dr</t>
  </si>
  <si>
    <t>76012-2041</t>
  </si>
  <si>
    <t>XNQBK2922</t>
  </si>
  <si>
    <t>Linda K. Nevlin</t>
  </si>
  <si>
    <t>5218 Aldersgate Ct</t>
  </si>
  <si>
    <t>62035-4801</t>
  </si>
  <si>
    <t>lindanevlin@yahoo.com</t>
  </si>
  <si>
    <t>lnevlin@sbcglobal.net</t>
  </si>
  <si>
    <t>XNQGK3202</t>
  </si>
  <si>
    <t>ALR210302C44</t>
  </si>
  <si>
    <t>Werlin</t>
  </si>
  <si>
    <t>20 Central St Apt 204</t>
  </si>
  <si>
    <t>01970-3756</t>
  </si>
  <si>
    <t>XNQBK1509</t>
  </si>
  <si>
    <t>ALL031201010</t>
  </si>
  <si>
    <t>Heid</t>
  </si>
  <si>
    <t>20207 E 220th St</t>
  </si>
  <si>
    <t>Harrisonville</t>
  </si>
  <si>
    <t>64701-4233</t>
  </si>
  <si>
    <t>waltheid@aol.com</t>
  </si>
  <si>
    <t>XNQBK2101</t>
  </si>
  <si>
    <t>ALR171002044</t>
  </si>
  <si>
    <t>Martha and David</t>
  </si>
  <si>
    <t>70 Ramblewood Dr</t>
  </si>
  <si>
    <t>01721-1319</t>
  </si>
  <si>
    <t>ddtmbt@verizon.net</t>
  </si>
  <si>
    <t>XNQAL4509</t>
  </si>
  <si>
    <t>ALA21070A56H</t>
  </si>
  <si>
    <t>ALA21030B56H</t>
  </si>
  <si>
    <t>MacKey</t>
  </si>
  <si>
    <t>Mrs. Laurie Mackey</t>
  </si>
  <si>
    <t>21 Kief Farm Rd</t>
  </si>
  <si>
    <t>04609-7773</t>
  </si>
  <si>
    <t>XNQAL3616</t>
  </si>
  <si>
    <t>PPG100001001</t>
  </si>
  <si>
    <t>Ms. Charlotte Rubin</t>
  </si>
  <si>
    <t>2147 NW Irving St</t>
  </si>
  <si>
    <t>97210-3220</t>
  </si>
  <si>
    <t>charubina@gmail.com</t>
  </si>
  <si>
    <t>XCE9DMT26</t>
  </si>
  <si>
    <t>ALA24020B54H</t>
  </si>
  <si>
    <t>Strausser</t>
  </si>
  <si>
    <t>Mr. and Mrs. Strausser</t>
  </si>
  <si>
    <t>PO Box 354344</t>
  </si>
  <si>
    <t>32135-4344</t>
  </si>
  <si>
    <t>sandystrausser@yahoo.com</t>
  </si>
  <si>
    <t>XNQAL1508</t>
  </si>
  <si>
    <t>ALR230801C23</t>
  </si>
  <si>
    <t>Ebi-Deprey</t>
  </si>
  <si>
    <t>Mr. and Mrs. Ebi-Deprey</t>
  </si>
  <si>
    <t>14220 119th Pl NE</t>
  </si>
  <si>
    <t>98034-1104</t>
  </si>
  <si>
    <t>krw4202003@yahoo.com</t>
  </si>
  <si>
    <t>ALA22070A44R</t>
  </si>
  <si>
    <t>ALL18070A7BM</t>
  </si>
  <si>
    <t>Brereton-Stevens</t>
  </si>
  <si>
    <t>Mrs. Judith Brereton-Stevens</t>
  </si>
  <si>
    <t>3234 Chadbourne Rd</t>
  </si>
  <si>
    <t>44120-3377</t>
  </si>
  <si>
    <t>reekieed@aol.com</t>
  </si>
  <si>
    <t>XCE9LOH26</t>
  </si>
  <si>
    <t>ALA1912D7EMA</t>
  </si>
  <si>
    <t>ALA080601003</t>
  </si>
  <si>
    <t>Margaret A. Frost</t>
  </si>
  <si>
    <t>251 Wrennewood Ln</t>
  </si>
  <si>
    <t>37064-4759</t>
  </si>
  <si>
    <t>peggyfrost@comcast.net</t>
  </si>
  <si>
    <t>mfrost@peoplepc.com</t>
  </si>
  <si>
    <t>XNQJL3103</t>
  </si>
  <si>
    <t>billfrost20@comcast.net</t>
  </si>
  <si>
    <t>ALR221005C33</t>
  </si>
  <si>
    <t>ALA23020B13R</t>
  </si>
  <si>
    <t>Rob Abromavage Jr.</t>
  </si>
  <si>
    <t>643 N Lone Oak Way</t>
  </si>
  <si>
    <t>86004-5813</t>
  </si>
  <si>
    <t>rabrom@commspeed.net</t>
  </si>
  <si>
    <t>rabromavage@earthlink.net</t>
  </si>
  <si>
    <t>XNQBA6303</t>
  </si>
  <si>
    <t>ALR230903C33</t>
  </si>
  <si>
    <t>ALA020401050</t>
  </si>
  <si>
    <t>Fran</t>
  </si>
  <si>
    <t>Rothstein</t>
  </si>
  <si>
    <t>Wolk</t>
  </si>
  <si>
    <t>Ms. Fran Rothstein and Mr. Steve Wolk</t>
  </si>
  <si>
    <t>Fran and Steve</t>
  </si>
  <si>
    <t>130 Hilltop Rd</t>
  </si>
  <si>
    <t>20910-5448</t>
  </si>
  <si>
    <t>fran.rothstein@verizon.net</t>
  </si>
  <si>
    <t>rothsteinfran@gmail.com</t>
  </si>
  <si>
    <t>XNQBA6409</t>
  </si>
  <si>
    <t>ALR210303EMC</t>
  </si>
  <si>
    <t>Calhoun</t>
  </si>
  <si>
    <t>Mrs. Mary and Mr. Walter Calhoun</t>
  </si>
  <si>
    <t>Mary and Walter</t>
  </si>
  <si>
    <t>3232 Fordham Rd</t>
  </si>
  <si>
    <t>19114-3805</t>
  </si>
  <si>
    <t>micalhoun@verizon.net</t>
  </si>
  <si>
    <t>XNQAA5804</t>
  </si>
  <si>
    <t>ALL23020C4BM</t>
  </si>
  <si>
    <t>ALA12020C24A</t>
  </si>
  <si>
    <t>ALQ2005EL009</t>
  </si>
  <si>
    <t>Faletti</t>
  </si>
  <si>
    <t>Miss Faletti</t>
  </si>
  <si>
    <t>170 Anistasia Dr</t>
  </si>
  <si>
    <t>63135-1143</t>
  </si>
  <si>
    <t>XNQLL2404</t>
  </si>
  <si>
    <t>Mrs. Penny A. Anderson</t>
  </si>
  <si>
    <t>1501 Williams Pkwy</t>
  </si>
  <si>
    <t>45320-1245</t>
  </si>
  <si>
    <t>XNQCA3004</t>
  </si>
  <si>
    <t>ALR210502C44</t>
  </si>
  <si>
    <t>Vicki Baker</t>
  </si>
  <si>
    <t>4616 N Claremont Ave</t>
  </si>
  <si>
    <t>60625-2015</t>
  </si>
  <si>
    <t>XNQMA74CA</t>
  </si>
  <si>
    <t>ALR170101054</t>
  </si>
  <si>
    <t>Mr. James R. Betts</t>
  </si>
  <si>
    <t>531 Creek Rd</t>
  </si>
  <si>
    <t>18901-5500</t>
  </si>
  <si>
    <t>rbetts62756@gmail.com</t>
  </si>
  <si>
    <t>irbetts62756@aol.com</t>
  </si>
  <si>
    <t>Gadt</t>
  </si>
  <si>
    <t>Mrs. Connie and Mr. Wayne A. Gadt</t>
  </si>
  <si>
    <t>Connie and Wayne</t>
  </si>
  <si>
    <t>9054 E 61st St</t>
  </si>
  <si>
    <t>Raytown</t>
  </si>
  <si>
    <t>64133-3773</t>
  </si>
  <si>
    <t>wcgadt@sbcglobal.net</t>
  </si>
  <si>
    <t>waggadt57@gmail.com</t>
  </si>
  <si>
    <t>XNQDA2509</t>
  </si>
  <si>
    <t>ALA23070B54H</t>
  </si>
  <si>
    <t>cjgrecycles@gmail.com</t>
  </si>
  <si>
    <t>Mr. Ronald J. Tipton and Ms. Rita E. Molyneaux</t>
  </si>
  <si>
    <t>Ronald and Rita</t>
  </si>
  <si>
    <t>218 New Mark Esplanade</t>
  </si>
  <si>
    <t>20850-2733</t>
  </si>
  <si>
    <t>rtipton1948@gmail.com</t>
  </si>
  <si>
    <t>rtipton@npca.org</t>
  </si>
  <si>
    <t>XNQCL3411</t>
  </si>
  <si>
    <t>ADA23001M02:LIENESCHINTERN</t>
  </si>
  <si>
    <t>CDG090001001F</t>
  </si>
  <si>
    <t>molyneux@erols.com</t>
  </si>
  <si>
    <t>jack_molyneaux@usa.net</t>
  </si>
  <si>
    <t>ALQ1807CA107</t>
  </si>
  <si>
    <t>ALR21XX01WD2</t>
  </si>
  <si>
    <t>Mr. Jeff Faridy</t>
  </si>
  <si>
    <t>49 Smoketree Rd</t>
  </si>
  <si>
    <t>19056-2207</t>
  </si>
  <si>
    <t>XNQMA83CB</t>
  </si>
  <si>
    <t>ALR091201003</t>
  </si>
  <si>
    <t>Ms. Nancy Gilman</t>
  </si>
  <si>
    <t>2010 State Route 32</t>
  </si>
  <si>
    <t>12548-5013</t>
  </si>
  <si>
    <t>wondery51@hotmail.com</t>
  </si>
  <si>
    <t>XNQMA76CK</t>
  </si>
  <si>
    <t>Chedsey</t>
  </si>
  <si>
    <t>2380 Caminito Agrado</t>
  </si>
  <si>
    <t>92107-1514</t>
  </si>
  <si>
    <t>XNQNA73CB</t>
  </si>
  <si>
    <t>Nan</t>
  </si>
  <si>
    <t>Leavell</t>
  </si>
  <si>
    <t>Nan Leavell</t>
  </si>
  <si>
    <t>PO Box 5248</t>
  </si>
  <si>
    <t>94948-5248</t>
  </si>
  <si>
    <t>ALA21070B23C</t>
  </si>
  <si>
    <t>ALR030801003</t>
  </si>
  <si>
    <t>Ms. Wendy Hagenback</t>
  </si>
  <si>
    <t>421 S Dryden Pl</t>
  </si>
  <si>
    <t>60005-2135</t>
  </si>
  <si>
    <t>whagenback@aol.com</t>
  </si>
  <si>
    <t>ALR231103C54</t>
  </si>
  <si>
    <t>Hayden</t>
  </si>
  <si>
    <t>Patricia and Kent</t>
  </si>
  <si>
    <t>1304 Farview Ln</t>
  </si>
  <si>
    <t>92374-6325</t>
  </si>
  <si>
    <t>ppkkplus@gmail.com</t>
  </si>
  <si>
    <t>ppkkplus@verizon.net</t>
  </si>
  <si>
    <t>ALA24030A11C</t>
  </si>
  <si>
    <t>ALR050808003</t>
  </si>
  <si>
    <t>Rau</t>
  </si>
  <si>
    <t>John and Marie</t>
  </si>
  <si>
    <t>620 SW Caruthers St Ste 776</t>
  </si>
  <si>
    <t>jrau2@comcast.net</t>
  </si>
  <si>
    <t>jrau@pacifier.com</t>
  </si>
  <si>
    <t>Lamport</t>
  </si>
  <si>
    <t>Mr. Leslie Lamport</t>
  </si>
  <si>
    <t>941 Elsinore Dr</t>
  </si>
  <si>
    <t>94303-3412</t>
  </si>
  <si>
    <t>lamport@microsoft.com</t>
  </si>
  <si>
    <t>XCE9ACA26</t>
  </si>
  <si>
    <t>Beauchamp</t>
  </si>
  <si>
    <t>Ms. Betty E. Beauchamp</t>
  </si>
  <si>
    <t>2378 Manchester Ln</t>
  </si>
  <si>
    <t>44011-1669</t>
  </si>
  <si>
    <t>ALA14090C13A</t>
  </si>
  <si>
    <t>XL2VABDYC</t>
  </si>
  <si>
    <t>Sylvia Stevens-Buczek</t>
  </si>
  <si>
    <t>13354 Mercer Dr</t>
  </si>
  <si>
    <t>14004-1116</t>
  </si>
  <si>
    <t>XNQBB2504</t>
  </si>
  <si>
    <t>Nancy Inman</t>
  </si>
  <si>
    <t>3599 Tuckers Farm SE</t>
  </si>
  <si>
    <t>30067-5182</t>
  </si>
  <si>
    <t>inman229@aol.com</t>
  </si>
  <si>
    <t>XNLBJ1607</t>
  </si>
  <si>
    <t>ALR230902C64</t>
  </si>
  <si>
    <t>Karen Jackson and Jim Brown</t>
  </si>
  <si>
    <t>Karen and Jim</t>
  </si>
  <si>
    <t>4005 Calle Sonora Oeste Unit 1G</t>
  </si>
  <si>
    <t>92637-3224</t>
  </si>
  <si>
    <t>XNQMA82CB</t>
  </si>
  <si>
    <t>ALA23050A55H</t>
  </si>
  <si>
    <t>ALR220403C54</t>
  </si>
  <si>
    <t>Weinrich</t>
  </si>
  <si>
    <t>Groves</t>
  </si>
  <si>
    <t>Merrill Weinrich and Helen Groves</t>
  </si>
  <si>
    <t>Merrill and Helen</t>
  </si>
  <si>
    <t>8809 Cunningham Dr</t>
  </si>
  <si>
    <t>Berwyn Heights</t>
  </si>
  <si>
    <t>20740-2311</t>
  </si>
  <si>
    <t>mweinrich2@verizon.net</t>
  </si>
  <si>
    <t>XNQBA1406</t>
  </si>
  <si>
    <t>ALL19040A4BM</t>
  </si>
  <si>
    <t>ALR170202033</t>
  </si>
  <si>
    <t>Balch</t>
  </si>
  <si>
    <t>Fischer</t>
  </si>
  <si>
    <t>128 Elm Ave</t>
  </si>
  <si>
    <t>Burlingame</t>
  </si>
  <si>
    <t>94010-6444</t>
  </si>
  <si>
    <t>XNQNA70CH</t>
  </si>
  <si>
    <t>Ensor</t>
  </si>
  <si>
    <t>Robert D. Ensor M.D.</t>
  </si>
  <si>
    <t>400 Avinger Ln Apt 432</t>
  </si>
  <si>
    <t>Davidson</t>
  </si>
  <si>
    <t>28036-6703</t>
  </si>
  <si>
    <t>lmlmensor@bellsouth.net</t>
  </si>
  <si>
    <t>lmensor@aol.com</t>
  </si>
  <si>
    <t>XNQGB2604</t>
  </si>
  <si>
    <t>ALR220206C54</t>
  </si>
  <si>
    <t>ALR140202054</t>
  </si>
  <si>
    <t>Margaret and Henry Wright</t>
  </si>
  <si>
    <t>Margaret and Henry</t>
  </si>
  <si>
    <t>1129 Maricopa Hwy</t>
  </si>
  <si>
    <t>PMB 112</t>
  </si>
  <si>
    <t>Ojai</t>
  </si>
  <si>
    <t>93023-3126</t>
  </si>
  <si>
    <t>guaterio@gmail.com</t>
  </si>
  <si>
    <t>XNQKB2504</t>
  </si>
  <si>
    <t>ALR200903C33</t>
  </si>
  <si>
    <t>ALR160101044</t>
  </si>
  <si>
    <t>ALQ1909CC003</t>
  </si>
  <si>
    <t>Garlinghouse</t>
  </si>
  <si>
    <t>333 S Eaton St Apt 112</t>
  </si>
  <si>
    <t>80226-3502</t>
  </si>
  <si>
    <t>XNQFB4403</t>
  </si>
  <si>
    <t>Massey</t>
  </si>
  <si>
    <t>Mr. James H. Massey Jr.</t>
  </si>
  <si>
    <t>221 Glenn Rd</t>
  </si>
  <si>
    <t>Camp Hill</t>
  </si>
  <si>
    <t>17011-1134</t>
  </si>
  <si>
    <t>jmassey44@verizon.net</t>
  </si>
  <si>
    <t>jmassey44@live.com</t>
  </si>
  <si>
    <t>XNQDA6022</t>
  </si>
  <si>
    <t>Ms. Karolyn J. Switzer</t>
  </si>
  <si>
    <t>2117 N Cold Springs Pt</t>
  </si>
  <si>
    <t>85541-3191</t>
  </si>
  <si>
    <t>karolyn@alum.mit.edu</t>
  </si>
  <si>
    <t>ALA020703139</t>
  </si>
  <si>
    <t>Mrs. Ruth Biekert</t>
  </si>
  <si>
    <t>15415 Diana Ln</t>
  </si>
  <si>
    <t>77062-4011</t>
  </si>
  <si>
    <t>ruthbiek@sbcglobal.net</t>
  </si>
  <si>
    <t>ruthbiek@swbell.net</t>
  </si>
  <si>
    <t>XNQMA78CS</t>
  </si>
  <si>
    <t>ALA23050A43C</t>
  </si>
  <si>
    <t>Mr. Cary Anderson</t>
  </si>
  <si>
    <t>4956 Bonnie View Rd</t>
  </si>
  <si>
    <t>54121-8324</t>
  </si>
  <si>
    <t>caryanderson066@gmail.com</t>
  </si>
  <si>
    <t>carylyse@sbcglobal.net</t>
  </si>
  <si>
    <t>XNQCC6409</t>
  </si>
  <si>
    <t>ALR221010C23</t>
  </si>
  <si>
    <t>ALA1510D1EMC</t>
  </si>
  <si>
    <t>Mrs. Margaret L. and Mr. David R. Molin</t>
  </si>
  <si>
    <t>Margaret and David</t>
  </si>
  <si>
    <t>3854 Avenue E</t>
  </si>
  <si>
    <t>59102-7575</t>
  </si>
  <si>
    <t>drmolin@nemont.net</t>
  </si>
  <si>
    <t>XNQCB2504</t>
  </si>
  <si>
    <t>Mrs. Janet L. and Mr. John A. Swanson</t>
  </si>
  <si>
    <t>Janet and John</t>
  </si>
  <si>
    <t>4040 Fearrington Post</t>
  </si>
  <si>
    <t>27312-5048</t>
  </si>
  <si>
    <t>jswanson@catlover.com</t>
  </si>
  <si>
    <t>john.arthur.swanson@gmail.com</t>
  </si>
  <si>
    <t>XCE9UTX26</t>
  </si>
  <si>
    <t>jswanson1944@yahoo.com</t>
  </si>
  <si>
    <t>8909 S Hillview Road</t>
  </si>
  <si>
    <t>Woodchild</t>
  </si>
  <si>
    <t>416 Moseley Dr</t>
  </si>
  <si>
    <t>22903-4305</t>
  </si>
  <si>
    <t>woodchild@va.net</t>
  </si>
  <si>
    <t>XNQBC4504</t>
  </si>
  <si>
    <t>ALL23030B7BM</t>
  </si>
  <si>
    <t>ALA080100001</t>
  </si>
  <si>
    <t>Bombar</t>
  </si>
  <si>
    <t>Bruell</t>
  </si>
  <si>
    <t>Ms. Barbara Bruell and Mr. Timothy Bombar</t>
  </si>
  <si>
    <t>Barbara and Timothy</t>
  </si>
  <si>
    <t>2605 236th Pl NE</t>
  </si>
  <si>
    <t>98074-5449</t>
  </si>
  <si>
    <t>tim_bombar@hotmail.com</t>
  </si>
  <si>
    <t>ALA090022001</t>
  </si>
  <si>
    <t>ALS230401WS3</t>
  </si>
  <si>
    <t>ALA10120MED1</t>
  </si>
  <si>
    <t>Constance and James Hastings</t>
  </si>
  <si>
    <t>Constance and James</t>
  </si>
  <si>
    <t>4389 Malia St Apt 103</t>
  </si>
  <si>
    <t>96821-1132</t>
  </si>
  <si>
    <t>hilda.jackson@att.net</t>
  </si>
  <si>
    <t>XNQEC2009</t>
  </si>
  <si>
    <t>ALA20120655A</t>
  </si>
  <si>
    <t>ALA030701070</t>
  </si>
  <si>
    <t>Jessica</t>
  </si>
  <si>
    <t>Kittle</t>
  </si>
  <si>
    <t>9599 Summer Hill Road</t>
  </si>
  <si>
    <t>41007-9055</t>
  </si>
  <si>
    <t>Mazuski</t>
  </si>
  <si>
    <t>Mr. John E. Mazuski</t>
  </si>
  <si>
    <t>6 Lisa Dr</t>
  </si>
  <si>
    <t>63132-4110</t>
  </si>
  <si>
    <t>johmaz@yahoo.com</t>
  </si>
  <si>
    <t>ALQ0701FG054</t>
  </si>
  <si>
    <t>ALR231202C64</t>
  </si>
  <si>
    <t>717 1/2 W Middle St.</t>
  </si>
  <si>
    <t>48118-1315</t>
  </si>
  <si>
    <t>Becky Ann</t>
  </si>
  <si>
    <t>Mausolf</t>
  </si>
  <si>
    <t>7830 Church Rd</t>
  </si>
  <si>
    <t>Imlay City</t>
  </si>
  <si>
    <t>48444-9453</t>
  </si>
  <si>
    <t>ALA23010B32N</t>
  </si>
  <si>
    <t>Ms. Lucy Scanlon</t>
  </si>
  <si>
    <t>PO Box 699</t>
  </si>
  <si>
    <t>37373-0699</t>
  </si>
  <si>
    <t>merrymountlps@gmail.com</t>
  </si>
  <si>
    <t>merrymountlps@earthlink.net</t>
  </si>
  <si>
    <t>XNQLC4703</t>
  </si>
  <si>
    <t>Furrer</t>
  </si>
  <si>
    <t>Ms. Carol Furrer</t>
  </si>
  <si>
    <t>301 Idlewild Dr</t>
  </si>
  <si>
    <t>80435-8339</t>
  </si>
  <si>
    <t>cjfurrer@gmail.com</t>
  </si>
  <si>
    <t>ALA070201003</t>
  </si>
  <si>
    <t>Mrs. Linda E. and Mr. Richard D. Avery</t>
  </si>
  <si>
    <t>Linda and Richard</t>
  </si>
  <si>
    <t>8802 Chambers Pl NE</t>
  </si>
  <si>
    <t>87111-2134</t>
  </si>
  <si>
    <t>richanlin@cybermesa.com</t>
  </si>
  <si>
    <t>XBRCH99</t>
  </si>
  <si>
    <t>ADA201102T01</t>
  </si>
  <si>
    <t>Ms. Elizabeth A. Goetzinger</t>
  </si>
  <si>
    <t>324 16th Ave</t>
  </si>
  <si>
    <t>83501-2762</t>
  </si>
  <si>
    <t>bg4361@lewiston.com</t>
  </si>
  <si>
    <t>XNQCC3004</t>
  </si>
  <si>
    <t>ALS230601WS3</t>
  </si>
  <si>
    <t>ALA050701070</t>
  </si>
  <si>
    <t>Zeidler</t>
  </si>
  <si>
    <t>Dorothy Zeidler</t>
  </si>
  <si>
    <t>2921 N 2nd St</t>
  </si>
  <si>
    <t>53212-2411</t>
  </si>
  <si>
    <t>anita.zeidler@gmail.com</t>
  </si>
  <si>
    <t>XNQCD6109</t>
  </si>
  <si>
    <t>ALQ0601HG016</t>
  </si>
  <si>
    <t>Kathleen and Robert Angus</t>
  </si>
  <si>
    <t>Kathleen and Robert</t>
  </si>
  <si>
    <t>2069 Lakeview Ln</t>
  </si>
  <si>
    <t>35244-2278</t>
  </si>
  <si>
    <t>kjangus@charter.net</t>
  </si>
  <si>
    <t>kjangus0@gmail.com</t>
  </si>
  <si>
    <t>Mr. and Mrs. Atis Makstenieks</t>
  </si>
  <si>
    <t>6032 Sherman Dr</t>
  </si>
  <si>
    <t>60517-1016</t>
  </si>
  <si>
    <t>XNQBD3022</t>
  </si>
  <si>
    <t>Richard Murphy</t>
  </si>
  <si>
    <t>6952 Clearhaven Dr</t>
  </si>
  <si>
    <t>75248-4151</t>
  </si>
  <si>
    <t>richardmbit5@gmail.com</t>
  </si>
  <si>
    <t>rmnpz@juno.com</t>
  </si>
  <si>
    <t>XNQDD2806</t>
  </si>
  <si>
    <t>Judy Silverman</t>
  </si>
  <si>
    <t>2985 Sylvan Ramble Rd NE</t>
  </si>
  <si>
    <t>30345-2159</t>
  </si>
  <si>
    <t>judylsilverman@yahoo.com</t>
  </si>
  <si>
    <t>XNQCB1109</t>
  </si>
  <si>
    <t>ALR230802C54</t>
  </si>
  <si>
    <t>McChesney</t>
  </si>
  <si>
    <t>Dr. &amp; Mrs. Charlie E. McChesney</t>
  </si>
  <si>
    <t>311 Scenic Ridge Ct</t>
  </si>
  <si>
    <t>Mars</t>
  </si>
  <si>
    <t>16046-2349</t>
  </si>
  <si>
    <t>charlie1939@hotmail.com</t>
  </si>
  <si>
    <t>XNQBD2906</t>
  </si>
  <si>
    <t>Wendt</t>
  </si>
  <si>
    <t>Ms. Sue Wendt</t>
  </si>
  <si>
    <t>582 Sunset Dr</t>
  </si>
  <si>
    <t>Hartford</t>
  </si>
  <si>
    <t>53027-2322</t>
  </si>
  <si>
    <t>patw.musictrains57@gmail.com</t>
  </si>
  <si>
    <t>ALR220204C33</t>
  </si>
  <si>
    <t>ALA12020C13C</t>
  </si>
  <si>
    <t>Nita</t>
  </si>
  <si>
    <t>Mrs. Nita Howard</t>
  </si>
  <si>
    <t>746 Cherokee Rd</t>
  </si>
  <si>
    <t>Lagrange</t>
  </si>
  <si>
    <t>30240-2006</t>
  </si>
  <si>
    <t>XNQFD5612</t>
  </si>
  <si>
    <t>ALR041101003</t>
  </si>
  <si>
    <t>Calloway</t>
  </si>
  <si>
    <t>Debbie Calloway</t>
  </si>
  <si>
    <t>3901 N Cranberry St</t>
  </si>
  <si>
    <t>67226-2440</t>
  </si>
  <si>
    <t>calloway.debra.k@gmail.com</t>
  </si>
  <si>
    <t>XNQED3202</t>
  </si>
  <si>
    <t>ALR240701C54</t>
  </si>
  <si>
    <t>ALR170702054</t>
  </si>
  <si>
    <t>Gertrud</t>
  </si>
  <si>
    <t>Beisel</t>
  </si>
  <si>
    <t>Ms. Gertrud Beisel and Mr. Andreas C. Elkeles</t>
  </si>
  <si>
    <t>Gertrud and Andreas</t>
  </si>
  <si>
    <t>1160 Flying Fish St</t>
  </si>
  <si>
    <t>94404-1420</t>
  </si>
  <si>
    <t>andreas_elkeles@yahoo.com</t>
  </si>
  <si>
    <t>andreas.elkeles@sap.com</t>
  </si>
  <si>
    <t>XNQDD2304</t>
  </si>
  <si>
    <t>David Dean</t>
  </si>
  <si>
    <t>312 E Victoria St</t>
  </si>
  <si>
    <t>93101-1223</t>
  </si>
  <si>
    <t>XNQCD5512</t>
  </si>
  <si>
    <t>Mattingly</t>
  </si>
  <si>
    <t>U</t>
  </si>
  <si>
    <t>Mrs. Pamela Mattingly</t>
  </si>
  <si>
    <t>5953 Joyce Way</t>
  </si>
  <si>
    <t>XM0RA011W</t>
  </si>
  <si>
    <t>ALR201003C33</t>
  </si>
  <si>
    <t>Mahaffey</t>
  </si>
  <si>
    <t>James and Dianne Mahaffey</t>
  </si>
  <si>
    <t>James and Dianne</t>
  </si>
  <si>
    <t>9601 Midden Way</t>
  </si>
  <si>
    <t>99507-1231</t>
  </si>
  <si>
    <t>XBND99SP</t>
  </si>
  <si>
    <t>ALR200314C60</t>
  </si>
  <si>
    <t>ALA16010D16R</t>
  </si>
  <si>
    <t>Dial</t>
  </si>
  <si>
    <t>4990 Fairhaven Way NE</t>
  </si>
  <si>
    <t>Roswell</t>
  </si>
  <si>
    <t>30075-6111</t>
  </si>
  <si>
    <t>psdial@bellsouth.net</t>
  </si>
  <si>
    <t>XNQBE2114</t>
  </si>
  <si>
    <t>Vance</t>
  </si>
  <si>
    <t>Mr. Danny R. Vance</t>
  </si>
  <si>
    <t>200 Windwood Dr</t>
  </si>
  <si>
    <t>Cabot</t>
  </si>
  <si>
    <t>72023-8343</t>
  </si>
  <si>
    <t>dannyvance99@gmail.com</t>
  </si>
  <si>
    <t>XNHSR5606</t>
  </si>
  <si>
    <t>ALA2312D3PSC</t>
  </si>
  <si>
    <t>Weismuller</t>
  </si>
  <si>
    <t>2770 Running Springs Lp</t>
  </si>
  <si>
    <t>32765-9633</t>
  </si>
  <si>
    <t>jacknjill24@sbcglobal.net</t>
  </si>
  <si>
    <t>XNQMA77CB</t>
  </si>
  <si>
    <t>Beising</t>
  </si>
  <si>
    <t>Norbert</t>
  </si>
  <si>
    <t>Lee and Norbert Beising</t>
  </si>
  <si>
    <t>Lee and Norbert</t>
  </si>
  <si>
    <t>175 Jed Smith Ln</t>
  </si>
  <si>
    <t>Crescent City</t>
  </si>
  <si>
    <t>95531-9521</t>
  </si>
  <si>
    <t>thestops35@gmail.com</t>
  </si>
  <si>
    <t>XNQNC4202</t>
  </si>
  <si>
    <t>nbeising@charter.net</t>
  </si>
  <si>
    <t>nbng@charter.net</t>
  </si>
  <si>
    <t>ALS230901WS3</t>
  </si>
  <si>
    <t>Stan</t>
  </si>
  <si>
    <t>7794 S Cody St</t>
  </si>
  <si>
    <t>80128-5202</t>
  </si>
  <si>
    <t>andersonstan@msn.com</t>
  </si>
  <si>
    <t>XNQBE3603</t>
  </si>
  <si>
    <t>Marti</t>
  </si>
  <si>
    <t>Charpentier</t>
  </si>
  <si>
    <t>Mr. Marti R. Charpentier</t>
  </si>
  <si>
    <t>5495 331st Ave NW</t>
  </si>
  <si>
    <t>55008-7407</t>
  </si>
  <si>
    <t>martibert@aol.com</t>
  </si>
  <si>
    <t>mcharpentier@analysts.com</t>
  </si>
  <si>
    <t>XNQBE3322</t>
  </si>
  <si>
    <t>ALA1606D4EMC</t>
  </si>
  <si>
    <t>Sprong</t>
  </si>
  <si>
    <t>Ken and Vicki</t>
  </si>
  <si>
    <t>12879 Springbrooke Trl</t>
  </si>
  <si>
    <t>South Lyon</t>
  </si>
  <si>
    <t>48178-8530</t>
  </si>
  <si>
    <t>vjke@wowway.com</t>
  </si>
  <si>
    <t>ATA220901001</t>
  </si>
  <si>
    <t>Lask</t>
  </si>
  <si>
    <t>Fitzgerald</t>
  </si>
  <si>
    <t>Karen L. Fitzgerald</t>
  </si>
  <si>
    <t>15969 Cypress Trace Dr</t>
  </si>
  <si>
    <t>63017-7373</t>
  </si>
  <si>
    <t>XNQCD1714</t>
  </si>
  <si>
    <t>ALR190603033</t>
  </si>
  <si>
    <t>Louise W. Beauchamp</t>
  </si>
  <si>
    <t>10742 S Moapa Ave</t>
  </si>
  <si>
    <t>97219-7816</t>
  </si>
  <si>
    <t>XNQCE3603</t>
  </si>
  <si>
    <t>ALR220701C66</t>
  </si>
  <si>
    <t>Trevis</t>
  </si>
  <si>
    <t>Mrs. Carolyn and Mr. Walter Trevis</t>
  </si>
  <si>
    <t>Carolyn and Walter</t>
  </si>
  <si>
    <t>3660 Taylor St NE</t>
  </si>
  <si>
    <t>55418-1329</t>
  </si>
  <si>
    <t>ctrevis22@gmail.com</t>
  </si>
  <si>
    <t>XNQBF1609</t>
  </si>
  <si>
    <t>Karen and Ira Gaston</t>
  </si>
  <si>
    <t>Karen and Ira</t>
  </si>
  <si>
    <t>5439 Nolan Ln</t>
  </si>
  <si>
    <t>Oak Park Heights</t>
  </si>
  <si>
    <t>55082-5591</t>
  </si>
  <si>
    <t>iraklg@mac.com</t>
  </si>
  <si>
    <t>butterflybooks@earthlink.net</t>
  </si>
  <si>
    <t>XNQBF2007</t>
  </si>
  <si>
    <t>ALR190501033</t>
  </si>
  <si>
    <t>ALQ2112N2EMC</t>
  </si>
  <si>
    <t>Jere</t>
  </si>
  <si>
    <t>Mr. and Mrs. Jere H. Williams</t>
  </si>
  <si>
    <t>1950 SW Palm City Rd Apt 11304</t>
  </si>
  <si>
    <t>34994-4392</t>
  </si>
  <si>
    <t>jerehw@yahoo.com</t>
  </si>
  <si>
    <t>XNXGI3903</t>
  </si>
  <si>
    <t>Ms. Sue E. Steele</t>
  </si>
  <si>
    <t>W651 Danes Rd</t>
  </si>
  <si>
    <t>New Holstein</t>
  </si>
  <si>
    <t>53061-9713</t>
  </si>
  <si>
    <t>rec56@hotmail.com</t>
  </si>
  <si>
    <t>XNQBF3722</t>
  </si>
  <si>
    <t>ALR221001C64</t>
  </si>
  <si>
    <t>Rollin</t>
  </si>
  <si>
    <t>Odell</t>
  </si>
  <si>
    <t>Clarice</t>
  </si>
  <si>
    <t>Dr. Rollin W. and Mrs. Clarice Odell</t>
  </si>
  <si>
    <t>Rollin and Clarice</t>
  </si>
  <si>
    <t>1201 Hancock St Apt 263</t>
  </si>
  <si>
    <t>98368-8515</t>
  </si>
  <si>
    <t>rolodell4@gmail.com</t>
  </si>
  <si>
    <t>rolodell@centurytel.net</t>
  </si>
  <si>
    <t>XNQDF2904</t>
  </si>
  <si>
    <t>Shannon</t>
  </si>
  <si>
    <t>Doug and Shannon Drenik</t>
  </si>
  <si>
    <t>Doug and Shannon</t>
  </si>
  <si>
    <t>4 Oakland Ter</t>
  </si>
  <si>
    <t>01760-4338</t>
  </si>
  <si>
    <t>ddrenik@gmail.com</t>
  </si>
  <si>
    <t>ddrenik@hotmail.com</t>
  </si>
  <si>
    <t>XNQEF3906</t>
  </si>
  <si>
    <t>Monnier</t>
  </si>
  <si>
    <t>6310 Gadwall Ct</t>
  </si>
  <si>
    <t>28403-1923</t>
  </si>
  <si>
    <t>cgmshop15@gmail.com</t>
  </si>
  <si>
    <t>ALQ0802BH026</t>
  </si>
  <si>
    <t>Wallace-Greer</t>
  </si>
  <si>
    <t>11801 N Tami Pl</t>
  </si>
  <si>
    <t>85737-9568</t>
  </si>
  <si>
    <t>kwallacegreerpottery@msn.com</t>
  </si>
  <si>
    <t>XBJF00</t>
  </si>
  <si>
    <t>Gildemeister</t>
  </si>
  <si>
    <t>Bryan Gildemeister</t>
  </si>
  <si>
    <t>301 Elm Ave</t>
  </si>
  <si>
    <t>Baltic</t>
  </si>
  <si>
    <t>57003-2025</t>
  </si>
  <si>
    <t>bryan_gildemeister@hotmail.com</t>
  </si>
  <si>
    <t>bryangildemeister@gmail.com</t>
  </si>
  <si>
    <t>XNQDB2709</t>
  </si>
  <si>
    <t>ALL22040A53M</t>
  </si>
  <si>
    <t>Draeger</t>
  </si>
  <si>
    <t>Mr. Robert W. Draeger</t>
  </si>
  <si>
    <t>1537 Woodside Dr</t>
  </si>
  <si>
    <t>45177-1167</t>
  </si>
  <si>
    <t>draegerw@yahoo.com</t>
  </si>
  <si>
    <t>draegervl@yahoo.com</t>
  </si>
  <si>
    <t>XNQAF1001</t>
  </si>
  <si>
    <t>ALQ2007AA212</t>
  </si>
  <si>
    <t>Jerald H. Yatt</t>
  </si>
  <si>
    <t>PO Box 3791</t>
  </si>
  <si>
    <t>22203-0791</t>
  </si>
  <si>
    <t>newspaperman76@yahoo.com</t>
  </si>
  <si>
    <t>newpaperman76@yahoo.com</t>
  </si>
  <si>
    <t>XNBCA</t>
  </si>
  <si>
    <t>ALA20020654T</t>
  </si>
  <si>
    <t>Herholtz</t>
  </si>
  <si>
    <t>Stephen Herholtz</t>
  </si>
  <si>
    <t>6535 Stoneridge Ct</t>
  </si>
  <si>
    <t>Warrenton</t>
  </si>
  <si>
    <t>20187-9376</t>
  </si>
  <si>
    <t>swholtz@comcast.net</t>
  </si>
  <si>
    <t>XNQFG4809</t>
  </si>
  <si>
    <t>Lorma</t>
  </si>
  <si>
    <t>Dr. David A. Wiebe</t>
  </si>
  <si>
    <t>2411 Cottonwill Ave</t>
  </si>
  <si>
    <t>dlwiebe@gmail.com</t>
  </si>
  <si>
    <t>dlwiebe@aol.com</t>
  </si>
  <si>
    <t>XNQKG2114</t>
  </si>
  <si>
    <t>ATR211201001</t>
  </si>
  <si>
    <t>ATN180701001</t>
  </si>
  <si>
    <t>Loomis</t>
  </si>
  <si>
    <t>Mr. Robert Loomis</t>
  </si>
  <si>
    <t>1413 Foxdale Pl</t>
  </si>
  <si>
    <t>Sidney</t>
  </si>
  <si>
    <t>45365-3421</t>
  </si>
  <si>
    <t>robertloomis7435@sbcglobal.net</t>
  </si>
  <si>
    <t>robeetloomis7435@sbcglobal.net</t>
  </si>
  <si>
    <t>XNQKG3202</t>
  </si>
  <si>
    <t>Treichelt</t>
  </si>
  <si>
    <t>Mrs. Nancy J. Treichelt</t>
  </si>
  <si>
    <t>2173 San Jose Ave</t>
  </si>
  <si>
    <t>94513-2630</t>
  </si>
  <si>
    <t>XNQCG2604</t>
  </si>
  <si>
    <t>ALR230802C44</t>
  </si>
  <si>
    <t>Waldner</t>
  </si>
  <si>
    <t>Carol and Joseph</t>
  </si>
  <si>
    <t>5360 Wilshire Rd</t>
  </si>
  <si>
    <t>Harrisburg</t>
  </si>
  <si>
    <t>cjwaldner@yahoo.com</t>
  </si>
  <si>
    <t>cwaldner@psu.edu</t>
  </si>
  <si>
    <t>XA2BRABSG</t>
  </si>
  <si>
    <t>XARH1H1FS</t>
  </si>
  <si>
    <t>Mr. William D. Johnston</t>
  </si>
  <si>
    <t>1 Reservation Way</t>
  </si>
  <si>
    <t>02738-1739</t>
  </si>
  <si>
    <t>bejohnstonwe@aol.com</t>
  </si>
  <si>
    <t>emjonstn@rcn.com</t>
  </si>
  <si>
    <t>XNQBH1308</t>
  </si>
  <si>
    <t>ALA20100A13A</t>
  </si>
  <si>
    <t>ALL22090C43M</t>
  </si>
  <si>
    <t>24949 Sand Hill Blvd</t>
  </si>
  <si>
    <t>Sand Hill Gardens</t>
  </si>
  <si>
    <t>Punta Gorda</t>
  </si>
  <si>
    <t>33983-5299</t>
  </si>
  <si>
    <t>XNQCH3504</t>
  </si>
  <si>
    <t>ALL10110A6BM</t>
  </si>
  <si>
    <t>ALR021204003</t>
  </si>
  <si>
    <t>Mr. Steve Bickerstaff and Ms. Charlotte Carter</t>
  </si>
  <si>
    <t>Steve and Charlotte</t>
  </si>
  <si>
    <t>4600 W Guadalupe Street #B323</t>
  </si>
  <si>
    <t>78751-2964</t>
  </si>
  <si>
    <t>sbickerstaff@utexas.edu</t>
  </si>
  <si>
    <t>XAD00</t>
  </si>
  <si>
    <t>NEE130001003</t>
  </si>
  <si>
    <t>NEE070001007</t>
  </si>
  <si>
    <t>Dolori</t>
  </si>
  <si>
    <t>Manuel and Dolori Morales</t>
  </si>
  <si>
    <t>Manuel and Dolori</t>
  </si>
  <si>
    <t>3120 River Grove Cir</t>
  </si>
  <si>
    <t>33905-6230</t>
  </si>
  <si>
    <t>doloriannemorales@gmail.com</t>
  </si>
  <si>
    <t>XNQDH6806</t>
  </si>
  <si>
    <t>ALA070301003</t>
  </si>
  <si>
    <t>dolorianne@yahoo.com</t>
  </si>
  <si>
    <t>dolorianne@aol.com</t>
  </si>
  <si>
    <t>1016 Lorimer St #2</t>
  </si>
  <si>
    <t>11222-2912</t>
  </si>
  <si>
    <t>XCI9APA26</t>
  </si>
  <si>
    <t>Omaggio</t>
  </si>
  <si>
    <t>Carol Omaggio</t>
  </si>
  <si>
    <t>501 Slaters Ln</t>
  </si>
  <si>
    <t>#321</t>
  </si>
  <si>
    <t>22314-1116</t>
  </si>
  <si>
    <t>comaggio@yahoo.com</t>
  </si>
  <si>
    <t>XNQBF4303</t>
  </si>
  <si>
    <t>ALR060301003</t>
  </si>
  <si>
    <t>Dora</t>
  </si>
  <si>
    <t>Winfred</t>
  </si>
  <si>
    <t>Dora and Winfred</t>
  </si>
  <si>
    <t>16103 Blue Skies Dr</t>
  </si>
  <si>
    <t>48154-1461</t>
  </si>
  <si>
    <t>ALB130001002</t>
  </si>
  <si>
    <t>ALR111003003</t>
  </si>
  <si>
    <t>Kelly</t>
  </si>
  <si>
    <t>Jon and Kelly</t>
  </si>
  <si>
    <t>6317 9th Ave NE Unit B</t>
  </si>
  <si>
    <t>98115-5828</t>
  </si>
  <si>
    <t>kellyluvtorun@yahoo.com</t>
  </si>
  <si>
    <t>acheejt@cox.net</t>
  </si>
  <si>
    <t>XNQAH3404</t>
  </si>
  <si>
    <t>Kessler</t>
  </si>
  <si>
    <t>Mr. J. H. Kessler</t>
  </si>
  <si>
    <t>Mr. Kessler</t>
  </si>
  <si>
    <t>104 Gates Rd</t>
  </si>
  <si>
    <t>06249-1122</t>
  </si>
  <si>
    <t>jhkessler@charter.net</t>
  </si>
  <si>
    <t>joseph.kessler@yahoo.com</t>
  </si>
  <si>
    <t>ALR210902C44</t>
  </si>
  <si>
    <t>XRC1A12LG</t>
  </si>
  <si>
    <t>Carole Pyle</t>
  </si>
  <si>
    <t>307 Yoakum Pkwy Apt 1804</t>
  </si>
  <si>
    <t>22304-4047</t>
  </si>
  <si>
    <t>carolepyle@yahoo.com</t>
  </si>
  <si>
    <t>XNQAI4407</t>
  </si>
  <si>
    <t>Ayotte</t>
  </si>
  <si>
    <t>Barbara Ayotte</t>
  </si>
  <si>
    <t>21 Travelers Ln</t>
  </si>
  <si>
    <t>02050-4176</t>
  </si>
  <si>
    <t>baayotte@gmail.com</t>
  </si>
  <si>
    <t>bayotte13@yahoo.com</t>
  </si>
  <si>
    <t>Mr. George H. Mills</t>
  </si>
  <si>
    <t>1401 W Holly St Apt 201</t>
  </si>
  <si>
    <t>98225-2951</t>
  </si>
  <si>
    <t>george@asc-specs.com</t>
  </si>
  <si>
    <t>gmasc@kaskal.pair.com</t>
  </si>
  <si>
    <t>XNQBI1801</t>
  </si>
  <si>
    <t>Suetterlin</t>
  </si>
  <si>
    <t>Richard E. Suetterlin</t>
  </si>
  <si>
    <t>1001 Carpenters Way</t>
  </si>
  <si>
    <t>Villas L217</t>
  </si>
  <si>
    <t>33809-3985</t>
  </si>
  <si>
    <t>bevster624@aol.com</t>
  </si>
  <si>
    <t>rsueterlin@hotmail.com</t>
  </si>
  <si>
    <t>XNQFI3902</t>
  </si>
  <si>
    <t>ALS201001302</t>
  </si>
  <si>
    <t>XRD2A21CG</t>
  </si>
  <si>
    <t>Lingebach</t>
  </si>
  <si>
    <t>James and Eileen Lingebach</t>
  </si>
  <si>
    <t>James and Eileen</t>
  </si>
  <si>
    <t>7010 Sylvan Glen Ln</t>
  </si>
  <si>
    <t>22039-1706</t>
  </si>
  <si>
    <t>vertigoxx@gmail.com</t>
  </si>
  <si>
    <t>james.lingebach@aol.com</t>
  </si>
  <si>
    <t>XNQEH1506</t>
  </si>
  <si>
    <t>Truesdale</t>
  </si>
  <si>
    <t>Mr. James D. Truesdale</t>
  </si>
  <si>
    <t>PO Box 741</t>
  </si>
  <si>
    <t>63025-0741</t>
  </si>
  <si>
    <t>dtruesdale@aol.com</t>
  </si>
  <si>
    <t>XNQFI1008</t>
  </si>
  <si>
    <t>ATR191201001</t>
  </si>
  <si>
    <t>Mrs. Mary E. Oniszcuk</t>
  </si>
  <si>
    <t>Mrs. Oniszcuk</t>
  </si>
  <si>
    <t>10451 W Palmeras Drive Ste 202E</t>
  </si>
  <si>
    <t>85373-3000</t>
  </si>
  <si>
    <t>XNQDI5403</t>
  </si>
  <si>
    <t>Dennise</t>
  </si>
  <si>
    <t>20289 Catalina Dr</t>
  </si>
  <si>
    <t>Castro Valley</t>
  </si>
  <si>
    <t>94546-4451</t>
  </si>
  <si>
    <t>XNQAI1801</t>
  </si>
  <si>
    <t>ALA21120A35R</t>
  </si>
  <si>
    <t>Charles Tollett</t>
  </si>
  <si>
    <t>152 Cottage Cir</t>
  </si>
  <si>
    <t>38558-1407</t>
  </si>
  <si>
    <t>charlestollett@gmail.com</t>
  </si>
  <si>
    <t>ctollett@mindspring.com</t>
  </si>
  <si>
    <t>XNQBJ3122</t>
  </si>
  <si>
    <t>ALA20070B56H</t>
  </si>
  <si>
    <t>Debbie Cutter</t>
  </si>
  <si>
    <t>11 W Aloha St Apt 509</t>
  </si>
  <si>
    <t>98119-4742</t>
  </si>
  <si>
    <t>debbircutter@comcast.com</t>
  </si>
  <si>
    <t>debbiecutter@comcast.net</t>
  </si>
  <si>
    <t>XNQBJ3402</t>
  </si>
  <si>
    <t>Mrs. Susan J. Lehman</t>
  </si>
  <si>
    <t>2026 Garfield Ave</t>
  </si>
  <si>
    <t>West Liberty</t>
  </si>
  <si>
    <t>52776-9041</t>
  </si>
  <si>
    <t>thomasl@lcom.net</t>
  </si>
  <si>
    <t>susanl4ia@gmail.com</t>
  </si>
  <si>
    <t>XNQDJ2204</t>
  </si>
  <si>
    <t>ALR140101EMC</t>
  </si>
  <si>
    <t>Ms. Karen Wilson</t>
  </si>
  <si>
    <t>2500 River Rd</t>
  </si>
  <si>
    <t>55744-9321</t>
  </si>
  <si>
    <t>karenlou@paulbunyan.net</t>
  </si>
  <si>
    <t>karenlouwil@yahoo.com</t>
  </si>
  <si>
    <t>XNQAJ4003</t>
  </si>
  <si>
    <t>ALA21110W001</t>
  </si>
  <si>
    <t>Mrs. Judith C. Hanson</t>
  </si>
  <si>
    <t>111 Aldrich Dr</t>
  </si>
  <si>
    <t>78227-4706</t>
  </si>
  <si>
    <t>XNQBK2104</t>
  </si>
  <si>
    <t>ALA18070D21C</t>
  </si>
  <si>
    <t>Miki</t>
  </si>
  <si>
    <t>Bringhurst</t>
  </si>
  <si>
    <t>Miki Bringhurst</t>
  </si>
  <si>
    <t>2443 E Woodchuck Way</t>
  </si>
  <si>
    <t>84093-2761</t>
  </si>
  <si>
    <t>mbringhurst@jackjohnson.com</t>
  </si>
  <si>
    <t>XNQFK4605</t>
  </si>
  <si>
    <t>ALQ0704DK031</t>
  </si>
  <si>
    <t>XL1HABCMC</t>
  </si>
  <si>
    <t>Charlene</t>
  </si>
  <si>
    <t>Tuch</t>
  </si>
  <si>
    <t>8856 Sutter Cir Unit 525A</t>
  </si>
  <si>
    <t>92646-5721</t>
  </si>
  <si>
    <t>ALR130905054</t>
  </si>
  <si>
    <t>ALA13050A25R</t>
  </si>
  <si>
    <t>Miss Deborah K. Coulter</t>
  </si>
  <si>
    <t>377 E 13th St</t>
  </si>
  <si>
    <t>81301-5240</t>
  </si>
  <si>
    <t>XNQBK4009</t>
  </si>
  <si>
    <t>Mr. Morris R. Southard</t>
  </si>
  <si>
    <t>3787 E 200 S</t>
  </si>
  <si>
    <t>46072-9221</t>
  </si>
  <si>
    <t>XNQFK2004</t>
  </si>
  <si>
    <t>Hudecheck</t>
  </si>
  <si>
    <t>Ms. Rosemary Hudecheck and Ms. Marianne Moore</t>
  </si>
  <si>
    <t>Rosemary and Marianne</t>
  </si>
  <si>
    <t>7247 Mill Run Dr</t>
  </si>
  <si>
    <t>Derwood</t>
  </si>
  <si>
    <t>20855-1210</t>
  </si>
  <si>
    <t>sjbssprincipal@yahoo.com</t>
  </si>
  <si>
    <t>marianne.moore1017@gmail.com</t>
  </si>
  <si>
    <t>XNEPG2704</t>
  </si>
  <si>
    <t>ALA2312D6EMC</t>
  </si>
  <si>
    <t>Bouzianis</t>
  </si>
  <si>
    <t>Mr. George J. Bouzianis</t>
  </si>
  <si>
    <t>13 Congress St</t>
  </si>
  <si>
    <t>Ipswich</t>
  </si>
  <si>
    <t>01938-2101</t>
  </si>
  <si>
    <t>gjbouzianis@aol.com</t>
  </si>
  <si>
    <t>gj.bouzianis@aol.com</t>
  </si>
  <si>
    <t>XNQPA2302</t>
  </si>
  <si>
    <t>Mr. Virgil Olson</t>
  </si>
  <si>
    <t>1440 Beulah Ave</t>
  </si>
  <si>
    <t>81212-4426</t>
  </si>
  <si>
    <t>XNQPA2222</t>
  </si>
  <si>
    <t>ALR210503C23</t>
  </si>
  <si>
    <t>ALR020705002</t>
  </si>
  <si>
    <t>Ray Benner</t>
  </si>
  <si>
    <t>525 Creek Rd</t>
  </si>
  <si>
    <t>17870-9496</t>
  </si>
  <si>
    <t>rayb1940@aol.com</t>
  </si>
  <si>
    <t>XNQPA1209</t>
  </si>
  <si>
    <t>ALR170902044</t>
  </si>
  <si>
    <t>loganbenner1@gmail.com</t>
  </si>
  <si>
    <t>Forster</t>
  </si>
  <si>
    <t>Anna K. Forster</t>
  </si>
  <si>
    <t>540 Lem Boice Ln</t>
  </si>
  <si>
    <t>Kingston</t>
  </si>
  <si>
    <t>12401-7459</t>
  </si>
  <si>
    <t>a4ster@localnet.com</t>
  </si>
  <si>
    <t>XNQPA2815</t>
  </si>
  <si>
    <t>ALR131206033</t>
  </si>
  <si>
    <t>Mr. Kenneth Webb</t>
  </si>
  <si>
    <t>3248 Martha Custis Dr</t>
  </si>
  <si>
    <t>22302-2112</t>
  </si>
  <si>
    <t>k19681984@starpower.net</t>
  </si>
  <si>
    <t>k19681984@tarpower.net</t>
  </si>
  <si>
    <t>XNQPA3615</t>
  </si>
  <si>
    <t>ALA22040E5DD</t>
  </si>
  <si>
    <t>ALA16010A56H</t>
  </si>
  <si>
    <t>Michael A. Witt</t>
  </si>
  <si>
    <t>9641 Burnet Isle Dr</t>
  </si>
  <si>
    <t>45458-9699</t>
  </si>
  <si>
    <t>mawittmd@live.com</t>
  </si>
  <si>
    <t>mawittmd@hotmail.com</t>
  </si>
  <si>
    <t>XNQAJ3022</t>
  </si>
  <si>
    <t>ALR080801004</t>
  </si>
  <si>
    <t>Cynthia Swanson</t>
  </si>
  <si>
    <t>544 W Orleans St</t>
  </si>
  <si>
    <t>Paxton</t>
  </si>
  <si>
    <t>60957-1435</t>
  </si>
  <si>
    <t>cyn30@frontier.com</t>
  </si>
  <si>
    <t>XNQPA1310</t>
  </si>
  <si>
    <t>ALR230301C54</t>
  </si>
  <si>
    <t>Law</t>
  </si>
  <si>
    <t>62 W Water St</t>
  </si>
  <si>
    <t>Smithsburg</t>
  </si>
  <si>
    <t>21783-1643</t>
  </si>
  <si>
    <t>tnslaw62smm@yahoo.com</t>
  </si>
  <si>
    <t>XNQQA1601</t>
  </si>
  <si>
    <t>ALR130901033</t>
  </si>
  <si>
    <t>Dr. Lowell Smith</t>
  </si>
  <si>
    <t>2548 Crums Church Rd</t>
  </si>
  <si>
    <t>22611-2016</t>
  </si>
  <si>
    <t>lowsmith@mail2scientist.com</t>
  </si>
  <si>
    <t>lowsmith@mailandnews.com</t>
  </si>
  <si>
    <t>XN1BA5522</t>
  </si>
  <si>
    <t>ALQ1506N1DMC</t>
  </si>
  <si>
    <t>Mr. &amp; Mrs. W. G. Reid</t>
  </si>
  <si>
    <t>Mr. &amp; Mrs. Reid</t>
  </si>
  <si>
    <t>1104 Wayside Dr</t>
  </si>
  <si>
    <t>78703-3714</t>
  </si>
  <si>
    <t>sbreid@austin.rr.com</t>
  </si>
  <si>
    <t>XN1BA3722</t>
  </si>
  <si>
    <t>ALR201010C33</t>
  </si>
  <si>
    <t>ALR111002004</t>
  </si>
  <si>
    <t>Ms. Domenica Altieri</t>
  </si>
  <si>
    <t>960 Adlena Dr</t>
  </si>
  <si>
    <t>92833-2226</t>
  </si>
  <si>
    <t>nalteach@gmail.com</t>
  </si>
  <si>
    <t>nalteach@aol.com</t>
  </si>
  <si>
    <t>XN1AA1701</t>
  </si>
  <si>
    <t>ALA1411D1EMC</t>
  </si>
  <si>
    <t>Smyth</t>
  </si>
  <si>
    <t>Sigrid Elenga and C. Smyth</t>
  </si>
  <si>
    <t>431 5th Ave W</t>
  </si>
  <si>
    <t>98033-5323</t>
  </si>
  <si>
    <t>sigride@mobilegis.com</t>
  </si>
  <si>
    <t>XNQPA2402</t>
  </si>
  <si>
    <t>ALA1605N2ADC</t>
  </si>
  <si>
    <t>Mrs. Cheryl A. Hay</t>
  </si>
  <si>
    <t>150 America Blvd</t>
  </si>
  <si>
    <t>98382-9069</t>
  </si>
  <si>
    <t>XN1CA3204</t>
  </si>
  <si>
    <t>Zehner</t>
  </si>
  <si>
    <t>Scott J. Zehner</t>
  </si>
  <si>
    <t>301 Willow Ave</t>
  </si>
  <si>
    <t>21701-6347</t>
  </si>
  <si>
    <t>szehner@hotmail.com</t>
  </si>
  <si>
    <t>ALA23050B14R</t>
  </si>
  <si>
    <t>Green</t>
  </si>
  <si>
    <t>Joseph Green</t>
  </si>
  <si>
    <t>523 Poplar Dr</t>
  </si>
  <si>
    <t>22046-3815</t>
  </si>
  <si>
    <t>jjg530@yahoo.com</t>
  </si>
  <si>
    <t>jgreen@colliershannon.com</t>
  </si>
  <si>
    <t>XN1CA6309</t>
  </si>
  <si>
    <t>ALR151206033</t>
  </si>
  <si>
    <t>Dr. Eileen Exton</t>
  </si>
  <si>
    <t>3980 Mahinahina St</t>
  </si>
  <si>
    <t>Lahaina</t>
  </si>
  <si>
    <t>96761-9349</t>
  </si>
  <si>
    <t>extron@earthlink.net</t>
  </si>
  <si>
    <t>X151</t>
  </si>
  <si>
    <t>Wiener</t>
  </si>
  <si>
    <t>5501 Burling Ct</t>
  </si>
  <si>
    <t>20817-6309</t>
  </si>
  <si>
    <t>edieherman@earthlink.net</t>
  </si>
  <si>
    <t>XNQPA2501</t>
  </si>
  <si>
    <t>ALR191106T64</t>
  </si>
  <si>
    <t>ALR181101054</t>
  </si>
  <si>
    <t>Mr. Greg A. Leonard</t>
  </si>
  <si>
    <t>1306 Jean Rae Dr</t>
  </si>
  <si>
    <t>65203-2080</t>
  </si>
  <si>
    <t>egreg2@yahoo.com</t>
  </si>
  <si>
    <t>ALR020801002</t>
  </si>
  <si>
    <t>Chung</t>
  </si>
  <si>
    <t>2143 E 3rd Ave</t>
  </si>
  <si>
    <t>Port Angeles</t>
  </si>
  <si>
    <t>knitter.diane@gmail.com</t>
  </si>
  <si>
    <t>diane_chung@hotmail.com</t>
  </si>
  <si>
    <t>XNOLM</t>
  </si>
  <si>
    <t>ALR211032EMC</t>
  </si>
  <si>
    <t>ALA070029001</t>
  </si>
  <si>
    <t>Charles Clark</t>
  </si>
  <si>
    <t>1224 Carry Nation Rd</t>
  </si>
  <si>
    <t>40444-8117</t>
  </si>
  <si>
    <t>rustylex@gmail.com</t>
  </si>
  <si>
    <t>XN1BB1322</t>
  </si>
  <si>
    <t>Schumm</t>
  </si>
  <si>
    <t>David Schumm</t>
  </si>
  <si>
    <t>633 Center St</t>
  </si>
  <si>
    <t>43506-2302</t>
  </si>
  <si>
    <t>david.schumm@gmail.com</t>
  </si>
  <si>
    <t>XN1BB5001</t>
  </si>
  <si>
    <t>Ms. Catherine P. and Mr. Lee D. Bergen</t>
  </si>
  <si>
    <t>Catherine and Lee</t>
  </si>
  <si>
    <t>17 Pebble Beach Dr</t>
  </si>
  <si>
    <t>08234-7729</t>
  </si>
  <si>
    <t>cpbergen@comcast.net</t>
  </si>
  <si>
    <t>XN1BB4101</t>
  </si>
  <si>
    <t>Mr. John F. Hackett</t>
  </si>
  <si>
    <t>205 N Makaleha Pl</t>
  </si>
  <si>
    <t>Makawao</t>
  </si>
  <si>
    <t>96768-9454</t>
  </si>
  <si>
    <t>jacket@live.com</t>
  </si>
  <si>
    <t>jhacket@live.com</t>
  </si>
  <si>
    <t>XN1BA4915</t>
  </si>
  <si>
    <t>Bohmann</t>
  </si>
  <si>
    <t>Ms. Rose Bohmann</t>
  </si>
  <si>
    <t>211 S Franklin St Apt 2</t>
  </si>
  <si>
    <t>53593-1452</t>
  </si>
  <si>
    <t>rubyg580@aol.com</t>
  </si>
  <si>
    <t>rosebud48@gmx.com</t>
  </si>
  <si>
    <t>XN1FB2804</t>
  </si>
  <si>
    <t>ALR140901044</t>
  </si>
  <si>
    <t>Malinak</t>
  </si>
  <si>
    <t>Patricia Malinak</t>
  </si>
  <si>
    <t>67 Charlestown Dr</t>
  </si>
  <si>
    <t>28792-3534</t>
  </si>
  <si>
    <t>malinak@gmail.com</t>
  </si>
  <si>
    <t>Helen Gordon</t>
  </si>
  <si>
    <t>30140 Weavers Run Rd</t>
  </si>
  <si>
    <t>Tippecanoe</t>
  </si>
  <si>
    <t>44699-9435</t>
  </si>
  <si>
    <t>XBJA00</t>
  </si>
  <si>
    <t>ALA23110B13C</t>
  </si>
  <si>
    <t>ALR160504154</t>
  </si>
  <si>
    <t>Bert</t>
  </si>
  <si>
    <t>Ruster</t>
  </si>
  <si>
    <t>Bert E. Ruster</t>
  </si>
  <si>
    <t>PO Box 61</t>
  </si>
  <si>
    <t>Rio Nido</t>
  </si>
  <si>
    <t>95471-0061</t>
  </si>
  <si>
    <t>XN1CA6022</t>
  </si>
  <si>
    <t>ALQ1703FJ016</t>
  </si>
  <si>
    <t>ALA061203011</t>
  </si>
  <si>
    <t>Ms. Kathleen Minadeo Johnson and Mr. Eric C. Johnson</t>
  </si>
  <si>
    <t>Kathleen and Eric</t>
  </si>
  <si>
    <t>640 John Carlyle St Unit 448</t>
  </si>
  <si>
    <t>22314-6886</t>
  </si>
  <si>
    <t>ericj@rice.edu</t>
  </si>
  <si>
    <t>minadeo7@aol.com</t>
  </si>
  <si>
    <t>XN1FA3722</t>
  </si>
  <si>
    <t>ATA1312T1EMC</t>
  </si>
  <si>
    <t>Irena</t>
  </si>
  <si>
    <t>Tillman</t>
  </si>
  <si>
    <t>Mrs. Irena Tillman</t>
  </si>
  <si>
    <t>2809 SW 16th St</t>
  </si>
  <si>
    <t>34474-2964</t>
  </si>
  <si>
    <t>preston.tillman8@gmail.com</t>
  </si>
  <si>
    <t>XN1BC3422</t>
  </si>
  <si>
    <t>Bourdon</t>
  </si>
  <si>
    <t>Cecilia Bourdon</t>
  </si>
  <si>
    <t>1026 Clarellen Dr</t>
  </si>
  <si>
    <t>33919-6009</t>
  </si>
  <si>
    <t>edcecilia@centurylink.net</t>
  </si>
  <si>
    <t>ALR070102003</t>
  </si>
  <si>
    <t>Cote</t>
  </si>
  <si>
    <t>Ms. Carole A. Cote</t>
  </si>
  <si>
    <t>900 Spartan Dr Apt 2</t>
  </si>
  <si>
    <t>59801-8688</t>
  </si>
  <si>
    <t>XN1DC3422</t>
  </si>
  <si>
    <t>ALR110601003</t>
  </si>
  <si>
    <t>Laney</t>
  </si>
  <si>
    <t>Techentin</t>
  </si>
  <si>
    <t>Elayne and Thomas Techentin</t>
  </si>
  <si>
    <t>Elayne and Thomas</t>
  </si>
  <si>
    <t>640 Magnolia Ave</t>
  </si>
  <si>
    <t>91106-3622</t>
  </si>
  <si>
    <t>laneyt@pacbell.net</t>
  </si>
  <si>
    <t>elaynetechentin@yahoo.com</t>
  </si>
  <si>
    <t>XN1BC1701</t>
  </si>
  <si>
    <t>Dawson</t>
  </si>
  <si>
    <t>Randi</t>
  </si>
  <si>
    <t>Mr. John and Mr. Randi E. Dawson</t>
  </si>
  <si>
    <t>John and Randi</t>
  </si>
  <si>
    <t>12808 Timber Creek Dr</t>
  </si>
  <si>
    <t>60142-7822</t>
  </si>
  <si>
    <t>tombwalker@hotmail.com</t>
  </si>
  <si>
    <t>randidawson@hotmail.com</t>
  </si>
  <si>
    <t>XN1DC6109</t>
  </si>
  <si>
    <t>ALR220209C54</t>
  </si>
  <si>
    <t>Tornberg</t>
  </si>
  <si>
    <t>Mrs. Barbara and Mr. Don N. Tornberg</t>
  </si>
  <si>
    <t>Barbara and Don</t>
  </si>
  <si>
    <t>6 Acorn Ct</t>
  </si>
  <si>
    <t>94949-6603</t>
  </si>
  <si>
    <t>XN1BC2704</t>
  </si>
  <si>
    <t>ATR121001004</t>
  </si>
  <si>
    <t>Dr. Susan Talbot</t>
  </si>
  <si>
    <t>4 Poplar Ridge Dr</t>
  </si>
  <si>
    <t>04105-2423</t>
  </si>
  <si>
    <t>noyfbds@aol.com</t>
  </si>
  <si>
    <t>XN1AD3922</t>
  </si>
  <si>
    <t>Christina and Gregory Davis</t>
  </si>
  <si>
    <t>Christina and Gregory</t>
  </si>
  <si>
    <t>69 Hickory Rd</t>
  </si>
  <si>
    <t>02062-1353</t>
  </si>
  <si>
    <t>XN1DC1909</t>
  </si>
  <si>
    <t>ALR180501044</t>
  </si>
  <si>
    <t>ALR140201044</t>
  </si>
  <si>
    <t>George and Karen Bowen</t>
  </si>
  <si>
    <t>George and Karen</t>
  </si>
  <si>
    <t>PO Box 888</t>
  </si>
  <si>
    <t>Hoodsport</t>
  </si>
  <si>
    <t>98548-0888</t>
  </si>
  <si>
    <t>george_bowen@hotmail.com</t>
  </si>
  <si>
    <t>georgebowen730@gmail.com</t>
  </si>
  <si>
    <t>XN1BD</t>
  </si>
  <si>
    <t>ALR220308C44</t>
  </si>
  <si>
    <t>Miss Nancy E. Bennett</t>
  </si>
  <si>
    <t>1219 Medley Lp</t>
  </si>
  <si>
    <t>nebennett31@gmail.com</t>
  </si>
  <si>
    <t>ALA2211D2EMC</t>
  </si>
  <si>
    <t>ALR061001004</t>
  </si>
  <si>
    <t>Ms. Patricia Oshel</t>
  </si>
  <si>
    <t>49 Camino De La Rosa Castilla</t>
  </si>
  <si>
    <t>87043-8301</t>
  </si>
  <si>
    <t>patoshel@gmail.com</t>
  </si>
  <si>
    <t>XN1BD4501</t>
  </si>
  <si>
    <t>ALA21110601S</t>
  </si>
  <si>
    <t>Hester</t>
  </si>
  <si>
    <t>4004 Saint Johns Ter</t>
  </si>
  <si>
    <t>45236-3061</t>
  </si>
  <si>
    <t>marc.hester.5519@gmail.com</t>
  </si>
  <si>
    <t>hester.ma@pg.com</t>
  </si>
  <si>
    <t>ALR170908044</t>
  </si>
  <si>
    <t>ALR041201004</t>
  </si>
  <si>
    <t>Hjortshjh</t>
  </si>
  <si>
    <t>8139 Comox Loop</t>
  </si>
  <si>
    <t>C/o Delia Molooy</t>
  </si>
  <si>
    <t>Blaine</t>
  </si>
  <si>
    <t>hawthorn200@netscape.net</t>
  </si>
  <si>
    <t>Geeta</t>
  </si>
  <si>
    <t>Bhatt</t>
  </si>
  <si>
    <t>Ms. Geeta Bhatt</t>
  </si>
  <si>
    <t>6610 Yellowstone Blvd Apt 4C</t>
  </si>
  <si>
    <t>11375-2043</t>
  </si>
  <si>
    <t>gbhatt07@gmail.com</t>
  </si>
  <si>
    <t>XN1AE1905</t>
  </si>
  <si>
    <t>ALS160101302</t>
  </si>
  <si>
    <t>Weis</t>
  </si>
  <si>
    <t>John R. Weis Jr.</t>
  </si>
  <si>
    <t>404 Old Farm Rd</t>
  </si>
  <si>
    <t>28314-1315</t>
  </si>
  <si>
    <t>jweis467@yahoo.com</t>
  </si>
  <si>
    <t>snowbizz2003@yahoo.com</t>
  </si>
  <si>
    <t>XN1AC1007</t>
  </si>
  <si>
    <t>ALR240502C33</t>
  </si>
  <si>
    <t>ALL090702020</t>
  </si>
  <si>
    <t>Steven Randles</t>
  </si>
  <si>
    <t>7988 E Summit Rd</t>
  </si>
  <si>
    <t>80138-8242</t>
  </si>
  <si>
    <t>sterandl@aol.com</t>
  </si>
  <si>
    <t>hawk649@cs.com</t>
  </si>
  <si>
    <t>XN1CE3406</t>
  </si>
  <si>
    <t>ALA19070V31R</t>
  </si>
  <si>
    <t>Alesia</t>
  </si>
  <si>
    <t>Quiton</t>
  </si>
  <si>
    <t>Alesia and Dennis Quiton</t>
  </si>
  <si>
    <t>Alesia and Dennis</t>
  </si>
  <si>
    <t>15511 147th Avenue Ct E</t>
  </si>
  <si>
    <t>Orting</t>
  </si>
  <si>
    <t>98360-9452</t>
  </si>
  <si>
    <t>hansq2021@comcast.net</t>
  </si>
  <si>
    <t>XN1CE1722</t>
  </si>
  <si>
    <t>Bond</t>
  </si>
  <si>
    <t>Karen P. Bond</t>
  </si>
  <si>
    <t>11 Circle Dr</t>
  </si>
  <si>
    <t>41076-2001</t>
  </si>
  <si>
    <t>kpbond47@yahoo.com</t>
  </si>
  <si>
    <t>XN1AE2804</t>
  </si>
  <si>
    <t>Ms. Donna F. Boggs</t>
  </si>
  <si>
    <t>340 Wentworth Ave</t>
  </si>
  <si>
    <t>45215-2743</t>
  </si>
  <si>
    <t>djfboggs@gmail.com</t>
  </si>
  <si>
    <t>XN1DE4401</t>
  </si>
  <si>
    <t>ALA20050A23A</t>
  </si>
  <si>
    <t>ALR030401004</t>
  </si>
  <si>
    <t>Mr. William Turner</t>
  </si>
  <si>
    <t>8072 Fairhill Dr NE</t>
  </si>
  <si>
    <t>44484-1910</t>
  </si>
  <si>
    <t>lobotigre@aol.com</t>
  </si>
  <si>
    <t>XN1JE8702</t>
  </si>
  <si>
    <t>ALR230114C30</t>
  </si>
  <si>
    <t>Mrs. Nancy J. Ray</t>
  </si>
  <si>
    <t>1728 Cortez Ave</t>
  </si>
  <si>
    <t>95209-2520</t>
  </si>
  <si>
    <t>famfem1@comcast.net</t>
  </si>
  <si>
    <t>XN1AE7910</t>
  </si>
  <si>
    <t>ATA1712T8EMB</t>
  </si>
  <si>
    <t>Heckenbach</t>
  </si>
  <si>
    <t>Ms. Anita Heckenbach</t>
  </si>
  <si>
    <t>304 Woods St</t>
  </si>
  <si>
    <t>Excelsior Springs</t>
  </si>
  <si>
    <t>64024-1722</t>
  </si>
  <si>
    <t>startrekan@aol.com</t>
  </si>
  <si>
    <t>1485 Ammon St NW</t>
  </si>
  <si>
    <t>97304-2035</t>
  </si>
  <si>
    <t>mather9503@comcast.net</t>
  </si>
  <si>
    <t>mather1485@msn.com</t>
  </si>
  <si>
    <t>ALQ2002CH021</t>
  </si>
  <si>
    <t>ALA22010E16A</t>
  </si>
  <si>
    <t>ALA21100C5AD</t>
  </si>
  <si>
    <t>Joy and Thomas</t>
  </si>
  <si>
    <t>4001 26th St N</t>
  </si>
  <si>
    <t>22207-5204</t>
  </si>
  <si>
    <t>joy.m.oakes@gmail.com</t>
  </si>
  <si>
    <t>tom_cassidy@verizon.net</t>
  </si>
  <si>
    <t>XMFP2000</t>
  </si>
  <si>
    <t>ALA2311D0WSC</t>
  </si>
  <si>
    <t>NEE180001001</t>
  </si>
  <si>
    <t>Mrs. Hope V. Sim</t>
  </si>
  <si>
    <t>611 Brookside Ct</t>
  </si>
  <si>
    <t>06470-1278</t>
  </si>
  <si>
    <t>hopegrey@aol.com</t>
  </si>
  <si>
    <t>imsimster@aol.com</t>
  </si>
  <si>
    <t>XN1AF2104</t>
  </si>
  <si>
    <t>ALA031001008</t>
  </si>
  <si>
    <t>Ms. Joann A. Wells</t>
  </si>
  <si>
    <t>304 Rawls Dr</t>
  </si>
  <si>
    <t>29070-8006</t>
  </si>
  <si>
    <t>mollie9315@gmail.com</t>
  </si>
  <si>
    <t>9315@gmail.com</t>
  </si>
  <si>
    <t>XN1EF4101</t>
  </si>
  <si>
    <t>ALR110103203</t>
  </si>
  <si>
    <t>Traver</t>
  </si>
  <si>
    <t>Penny A. Traver</t>
  </si>
  <si>
    <t>4710 Big Sky Trl</t>
  </si>
  <si>
    <t>Indian River</t>
  </si>
  <si>
    <t>49749-9127</t>
  </si>
  <si>
    <t>XN1AF4022</t>
  </si>
  <si>
    <t>ALR160413030</t>
  </si>
  <si>
    <t>ALQ1205AL023</t>
  </si>
  <si>
    <t>Wedeen</t>
  </si>
  <si>
    <t>Mr. Marvin M. Wedeen</t>
  </si>
  <si>
    <t>810 Pleasant Valley Ln</t>
  </si>
  <si>
    <t>95003-9596</t>
  </si>
  <si>
    <t>marvinmwedeen@verizon.net</t>
  </si>
  <si>
    <t>XN1DF3401</t>
  </si>
  <si>
    <t>ALR210601C44</t>
  </si>
  <si>
    <t>ALR171001033</t>
  </si>
  <si>
    <t>10685B Hazelhurst Dr</t>
  </si>
  <si>
    <t>#24516</t>
  </si>
  <si>
    <t>reedr99@msn.com</t>
  </si>
  <si>
    <t>XN1JF1322</t>
  </si>
  <si>
    <t>Mrs. Elaine Fitzpatrick</t>
  </si>
  <si>
    <t>324 Jamaica Ave</t>
  </si>
  <si>
    <t>11763-3252</t>
  </si>
  <si>
    <t>esotonian@aol.com</t>
  </si>
  <si>
    <t>estonian@aol.com</t>
  </si>
  <si>
    <t>XN1AF5109</t>
  </si>
  <si>
    <t>ALR150601033</t>
  </si>
  <si>
    <t>Kanarek</t>
  </si>
  <si>
    <t>David and Marcia Kanarek</t>
  </si>
  <si>
    <t>David and Marcia</t>
  </si>
  <si>
    <t>509 Appletree Ln</t>
  </si>
  <si>
    <t>60015-3930</t>
  </si>
  <si>
    <t>srkanardy@gmail.com</t>
  </si>
  <si>
    <t>XN1AE</t>
  </si>
  <si>
    <t>ALA23050A54H</t>
  </si>
  <si>
    <t>ALA180001MWC</t>
  </si>
  <si>
    <t>A. C. Tracy</t>
  </si>
  <si>
    <t>PO Box 1296</t>
  </si>
  <si>
    <t>Greenwood Lake</t>
  </si>
  <si>
    <t>10925-1296</t>
  </si>
  <si>
    <t>XN1AF3702</t>
  </si>
  <si>
    <t>ALR210405C54</t>
  </si>
  <si>
    <t>Wilkerson</t>
  </si>
  <si>
    <t>Mr. James L. Wilkerson</t>
  </si>
  <si>
    <t>4246 Shadow Oak Woods</t>
  </si>
  <si>
    <t>78249-2038</t>
  </si>
  <si>
    <t>jimwilkerson@comcast.net</t>
  </si>
  <si>
    <t>jwilk320@aol.com</t>
  </si>
  <si>
    <t>XN1AF2204</t>
  </si>
  <si>
    <t>ALR211205C33</t>
  </si>
  <si>
    <t>Mr. and Mrs. Ronald Tevonian</t>
  </si>
  <si>
    <t>333 N Canal St Apt 2404</t>
  </si>
  <si>
    <t>60606-1534</t>
  </si>
  <si>
    <t>ron@tevonian.com</t>
  </si>
  <si>
    <t>rontev@amerytech.net</t>
  </si>
  <si>
    <t>ALR221009C54</t>
  </si>
  <si>
    <t>ALA14020C55H</t>
  </si>
  <si>
    <t>Frising</t>
  </si>
  <si>
    <t>Susan Frising</t>
  </si>
  <si>
    <t>341 Furnace Dock Rd Unit 20</t>
  </si>
  <si>
    <t>Cortlandt Manor</t>
  </si>
  <si>
    <t>10567-6542</t>
  </si>
  <si>
    <t>frising.s@icloud.net</t>
  </si>
  <si>
    <t>XN1AG</t>
  </si>
  <si>
    <t>Alex</t>
  </si>
  <si>
    <t>Jelenevsky</t>
  </si>
  <si>
    <t>Mr. Alex M. Jelenevsky</t>
  </si>
  <si>
    <t>2825 Parkers Landing Rd</t>
  </si>
  <si>
    <t>29466-6743</t>
  </si>
  <si>
    <t>ajelenevsky@gmail.com</t>
  </si>
  <si>
    <t>alexjelenevsky@yahoo.com</t>
  </si>
  <si>
    <t>XN1EG2004</t>
  </si>
  <si>
    <t>ALR171204033</t>
  </si>
  <si>
    <t>Trozzo</t>
  </si>
  <si>
    <t>Janice M. Trozzo</t>
  </si>
  <si>
    <t>505 Northwood Cir</t>
  </si>
  <si>
    <t>27529-3631</t>
  </si>
  <si>
    <t>jmt505@mailcity.com</t>
  </si>
  <si>
    <t>XN1DG2822</t>
  </si>
  <si>
    <t>Miss Baldwin</t>
  </si>
  <si>
    <t>6300 Clarendon Rd</t>
  </si>
  <si>
    <t>Montgomery</t>
  </si>
  <si>
    <t>36117-5201</t>
  </si>
  <si>
    <t>XN1AG4301</t>
  </si>
  <si>
    <t>ALA100100001</t>
  </si>
  <si>
    <t>1924 Orchard Way</t>
  </si>
  <si>
    <t>99352-8568</t>
  </si>
  <si>
    <t>coyotesounds39@gmail.com</t>
  </si>
  <si>
    <t>XN1FG2602</t>
  </si>
  <si>
    <t>ALA14020F15A</t>
  </si>
  <si>
    <t>Stalvey</t>
  </si>
  <si>
    <t>4132 Diplomacy Cir</t>
  </si>
  <si>
    <t>32308-8717</t>
  </si>
  <si>
    <t>linda.stalvey@comcast.net</t>
  </si>
  <si>
    <t>ljstalvey@hcsmail.com</t>
  </si>
  <si>
    <t>XN1EG3801</t>
  </si>
  <si>
    <t>ALR240202EMC</t>
  </si>
  <si>
    <t>Bickley</t>
  </si>
  <si>
    <t>Carl E. Bickley</t>
  </si>
  <si>
    <t>4600 Allison St</t>
  </si>
  <si>
    <t>80033-3233</t>
  </si>
  <si>
    <t>emilbickley@gmail.com</t>
  </si>
  <si>
    <t>cebik@hotmail.com</t>
  </si>
  <si>
    <t>XN1DG3622</t>
  </si>
  <si>
    <t>ALR220111C30</t>
  </si>
  <si>
    <t>Ms. Elizabeth J. Stickroth</t>
  </si>
  <si>
    <t>2590 W Camino Del Medrano</t>
  </si>
  <si>
    <t>85742-9203</t>
  </si>
  <si>
    <t>mbsticks@hotmail.com</t>
  </si>
  <si>
    <t>XN1CG1804</t>
  </si>
  <si>
    <t>ALA2311D9FBC</t>
  </si>
  <si>
    <t>ALR160604033</t>
  </si>
  <si>
    <t>Gaudrault</t>
  </si>
  <si>
    <t>Mr. Joseph N. Gaudrault</t>
  </si>
  <si>
    <t>20 Great Hill Dr</t>
  </si>
  <si>
    <t>Topsfield</t>
  </si>
  <si>
    <t>01983-1437</t>
  </si>
  <si>
    <t>jgaudrault91@alumni.skidmore.edu</t>
  </si>
  <si>
    <t>gaud@hotmail.com</t>
  </si>
  <si>
    <t>ALA230001001</t>
  </si>
  <si>
    <t>Bea</t>
  </si>
  <si>
    <t>Atalig</t>
  </si>
  <si>
    <t>Mrs. Bea Atalig</t>
  </si>
  <si>
    <t>245 W Lyons St</t>
  </si>
  <si>
    <t>50438-1921</t>
  </si>
  <si>
    <t>motherin3@hotmail.com</t>
  </si>
  <si>
    <t>XN1AG3422</t>
  </si>
  <si>
    <t>Mrs. Robin Dustow</t>
  </si>
  <si>
    <t>2202 Queen Jessica Dr</t>
  </si>
  <si>
    <t>33549-5008</t>
  </si>
  <si>
    <t>rdustow@aol.com</t>
  </si>
  <si>
    <t>XN1DH2622</t>
  </si>
  <si>
    <t>Ludwig</t>
  </si>
  <si>
    <t>Nancy Ludwig</t>
  </si>
  <si>
    <t>144 N Rile St</t>
  </si>
  <si>
    <t>Bushnell</t>
  </si>
  <si>
    <t>61422-1726</t>
  </si>
  <si>
    <t>XN1CH2401</t>
  </si>
  <si>
    <t>1918 W Sunnyview Dr</t>
  </si>
  <si>
    <t>61614-4663</t>
  </si>
  <si>
    <t>XN1DF2204</t>
  </si>
  <si>
    <t>ALA22060B25R</t>
  </si>
  <si>
    <t>Ms. Dianne M. Hansen</t>
  </si>
  <si>
    <t>17029 5th Ave NE</t>
  </si>
  <si>
    <t>98155-5005</t>
  </si>
  <si>
    <t>dhannasen@hotmail.com</t>
  </si>
  <si>
    <t>XN1BH5104</t>
  </si>
  <si>
    <t>Bogardus</t>
  </si>
  <si>
    <t>Adornato</t>
  </si>
  <si>
    <t>David and John</t>
  </si>
  <si>
    <t>1582 Keswick Pl</t>
  </si>
  <si>
    <t>21401-6427</t>
  </si>
  <si>
    <t>ecowilds@aol.com</t>
  </si>
  <si>
    <t>XN2AF1901</t>
  </si>
  <si>
    <t>NEE210001201:FY21STTP</t>
  </si>
  <si>
    <t>EEO200001101:FY20NYGALA</t>
  </si>
  <si>
    <t>john_adornato@yahoo.com</t>
  </si>
  <si>
    <t>jadornato@npca.org</t>
  </si>
  <si>
    <t>XNJDJ4706</t>
  </si>
  <si>
    <t>Purtell</t>
  </si>
  <si>
    <t>Mr. Richard D. Purtell</t>
  </si>
  <si>
    <t>974 Nottingham Dr</t>
  </si>
  <si>
    <t>45255-4767</t>
  </si>
  <si>
    <t>dpurtell2@yahoo.com</t>
  </si>
  <si>
    <t>richardpurtell@yahoo.com</t>
  </si>
  <si>
    <t>XN1BI1422</t>
  </si>
  <si>
    <t>ALR230207C44</t>
  </si>
  <si>
    <t>ALR200203C44</t>
  </si>
  <si>
    <t>Art and Judy Schroeder</t>
  </si>
  <si>
    <t>Art and Judy</t>
  </si>
  <si>
    <t>892 Pius Ln</t>
  </si>
  <si>
    <t>52722-5191</t>
  </si>
  <si>
    <t>deacjudy@yahoo.com</t>
  </si>
  <si>
    <t>XN1AI2704</t>
  </si>
  <si>
    <t>Ms. Anna L. Reynolds</t>
  </si>
  <si>
    <t>316 Banks Rd</t>
  </si>
  <si>
    <t>35504-8150</t>
  </si>
  <si>
    <t>bowlcrzy@att.net</t>
  </si>
  <si>
    <t>bowlcrzy@peoplepc.com</t>
  </si>
  <si>
    <t>XN1BI2704</t>
  </si>
  <si>
    <t>ALR091008003</t>
  </si>
  <si>
    <t>Mr. Gordon E. Williams</t>
  </si>
  <si>
    <t>9935 SE Grant Ct</t>
  </si>
  <si>
    <t>97216-2643</t>
  </si>
  <si>
    <t>getwetwilly@comcast.net</t>
  </si>
  <si>
    <t>XN1BI2904</t>
  </si>
  <si>
    <t>Ms. Carol A. Cooke</t>
  </si>
  <si>
    <t>4 Ruffian Way</t>
  </si>
  <si>
    <t>29615-6019</t>
  </si>
  <si>
    <t>jon.cooke@gmail.com</t>
  </si>
  <si>
    <t>dandcooke@aol.com</t>
  </si>
  <si>
    <t>XN1CI4301</t>
  </si>
  <si>
    <t>ALA16010E13R</t>
  </si>
  <si>
    <t>324 Quarry Ridge Cir</t>
  </si>
  <si>
    <t>XN1BI3822</t>
  </si>
  <si>
    <t>Kinnamon</t>
  </si>
  <si>
    <t>James Kinnamon</t>
  </si>
  <si>
    <t>1206 Elmwood Dr</t>
  </si>
  <si>
    <t>23834-2909</t>
  </si>
  <si>
    <t>jpkinnamon@verizon.net</t>
  </si>
  <si>
    <t>XN1AI1322</t>
  </si>
  <si>
    <t>Dr. Armin L. Clark</t>
  </si>
  <si>
    <t>120 Lake Ridge Dr</t>
  </si>
  <si>
    <t>37075-2096</t>
  </si>
  <si>
    <t>XN1EJAA15</t>
  </si>
  <si>
    <t>ADA210201001</t>
  </si>
  <si>
    <t>Ridolf</t>
  </si>
  <si>
    <t>25 S Comares Ave</t>
  </si>
  <si>
    <t>Saint Augustine</t>
  </si>
  <si>
    <t>32080-4558</t>
  </si>
  <si>
    <t>XN1AJ4815</t>
  </si>
  <si>
    <t>Ms. Linda D. Sheridan</t>
  </si>
  <si>
    <t>3 Maxwell Dr</t>
  </si>
  <si>
    <t>Clifton Park</t>
  </si>
  <si>
    <t>12065-2900</t>
  </si>
  <si>
    <t>XN1BJ3401</t>
  </si>
  <si>
    <t>ALR030903203</t>
  </si>
  <si>
    <t>Babel-Smith</t>
  </si>
  <si>
    <t>628 S Main St</t>
  </si>
  <si>
    <t>43402-3827</t>
  </si>
  <si>
    <t>deputydogwc@yahoo.com</t>
  </si>
  <si>
    <t>XN1AJ2204</t>
  </si>
  <si>
    <t>ALR231107C44</t>
  </si>
  <si>
    <t>ALR151001044</t>
  </si>
  <si>
    <t>Ms. Grace</t>
  </si>
  <si>
    <t>5408 South Broadway</t>
  </si>
  <si>
    <t>The Altenheim</t>
  </si>
  <si>
    <t>XN1AJ1701</t>
  </si>
  <si>
    <t>ALQ0901GG022</t>
  </si>
  <si>
    <t>Joanne M</t>
  </si>
  <si>
    <t>Joanne M M. Valone</t>
  </si>
  <si>
    <t>3239 39th St S Apt B</t>
  </si>
  <si>
    <t>33711-3911</t>
  </si>
  <si>
    <t>jmvalone@hotmail.com</t>
  </si>
  <si>
    <t>XN1BJ5707</t>
  </si>
  <si>
    <t>ALA10120PWO1</t>
  </si>
  <si>
    <t>Mary Holly and Benjamin Crosby</t>
  </si>
  <si>
    <t>Mary and Benjamin</t>
  </si>
  <si>
    <t>2524 N Redington Pl</t>
  </si>
  <si>
    <t>85749-8362</t>
  </si>
  <si>
    <t>mhallison2@aol.com</t>
  </si>
  <si>
    <t>XN1BJ6109</t>
  </si>
  <si>
    <t>ALR101203ED1</t>
  </si>
  <si>
    <t>Burmeister</t>
  </si>
  <si>
    <t>2760 S Highland Ave Apt 229</t>
  </si>
  <si>
    <t>Lombard</t>
  </si>
  <si>
    <t>60148-5429</t>
  </si>
  <si>
    <t>pjburm@gmail.com</t>
  </si>
  <si>
    <t>pjburm@comcast.net</t>
  </si>
  <si>
    <t>XN1BJ5422</t>
  </si>
  <si>
    <t>ALR240500ERC</t>
  </si>
  <si>
    <t>Grace Oconnor</t>
  </si>
  <si>
    <t>29 Smith Ln</t>
  </si>
  <si>
    <t>03818-4409</t>
  </si>
  <si>
    <t>XN1EJBB15</t>
  </si>
  <si>
    <t>ALR190706C33</t>
  </si>
  <si>
    <t>ALQ0611CE003</t>
  </si>
  <si>
    <t>Mr. Steve Bartlett</t>
  </si>
  <si>
    <t>8126 SE 6th St</t>
  </si>
  <si>
    <t>Blue Springs</t>
  </si>
  <si>
    <t>64014-5236</t>
  </si>
  <si>
    <t>srbartlett55@hotmail.com</t>
  </si>
  <si>
    <t>stevebartlett718@hotmail.com</t>
  </si>
  <si>
    <t>XN1BI3301</t>
  </si>
  <si>
    <t>ALL24030A63M</t>
  </si>
  <si>
    <t>Dixie</t>
  </si>
  <si>
    <t>Dressler</t>
  </si>
  <si>
    <t>Dixie and Wayne</t>
  </si>
  <si>
    <t>4010 Van Buren St</t>
  </si>
  <si>
    <t>20782-1413</t>
  </si>
  <si>
    <t>dixiemeadows1@gmail.com</t>
  </si>
  <si>
    <t>dixmeadows@aol.com</t>
  </si>
  <si>
    <t>XN1AK</t>
  </si>
  <si>
    <t>ALA23110C56H</t>
  </si>
  <si>
    <t>Mr. John P. Rutter</t>
  </si>
  <si>
    <t>1632 Fernwood Glendale Rd</t>
  </si>
  <si>
    <t>29307-3122</t>
  </si>
  <si>
    <t>jackrutter@bellsouth.net</t>
  </si>
  <si>
    <t>rutterjr@juno.com</t>
  </si>
  <si>
    <t>XN1BJ2204</t>
  </si>
  <si>
    <t>ALR200207C23</t>
  </si>
  <si>
    <t>XRE2A11LG</t>
  </si>
  <si>
    <t>Dorin</t>
  </si>
  <si>
    <t>Mrs. Denise and Mr. Gregory L. Dorin</t>
  </si>
  <si>
    <t>Denise and Gregory</t>
  </si>
  <si>
    <t>11 Risa St</t>
  </si>
  <si>
    <t>Ladera Ranch</t>
  </si>
  <si>
    <t>92694-1293</t>
  </si>
  <si>
    <t>ddorin0113@gmail.com</t>
  </si>
  <si>
    <t>ddorin@roadrunner.com</t>
  </si>
  <si>
    <t>XN2AA1508</t>
  </si>
  <si>
    <t>Jitendra</t>
  </si>
  <si>
    <t>Trivedi</t>
  </si>
  <si>
    <t>Nivedita</t>
  </si>
  <si>
    <t>Dr. Jitendra and Mrs. Nivedita Trivedi</t>
  </si>
  <si>
    <t>Jitendra and Nivedita</t>
  </si>
  <si>
    <t>208 W Barbee Chapel Rd</t>
  </si>
  <si>
    <t>27517-7510</t>
  </si>
  <si>
    <t>jitkt913@icloud.com</t>
  </si>
  <si>
    <t>Denton</t>
  </si>
  <si>
    <t>Marliese</t>
  </si>
  <si>
    <t>Mrs. Marliese and Mr. Gordon Denton</t>
  </si>
  <si>
    <t>Marliese and Gordon</t>
  </si>
  <si>
    <t>14075 SW Derby St</t>
  </si>
  <si>
    <t>97005-1043</t>
  </si>
  <si>
    <t>rissaaa.d.729@gmail.com</t>
  </si>
  <si>
    <t>XN2BA1301</t>
  </si>
  <si>
    <t>ALR221209C44</t>
  </si>
  <si>
    <t>dentongd@frontier.com</t>
  </si>
  <si>
    <t>ALA2012DGEM3</t>
  </si>
  <si>
    <t>ALA2202D2EMC</t>
  </si>
  <si>
    <t>ALA2112D7EM1</t>
  </si>
  <si>
    <t>Ms. Deborah McMillan</t>
  </si>
  <si>
    <t>3600 S Ocean Shore Blvd Apt 913</t>
  </si>
  <si>
    <t>Flagler Beach</t>
  </si>
  <si>
    <t>32136-4157</t>
  </si>
  <si>
    <t>debster45@earthlink.net</t>
  </si>
  <si>
    <t>XN2AA1801</t>
  </si>
  <si>
    <t>ALR210801C44</t>
  </si>
  <si>
    <t>Arko</t>
  </si>
  <si>
    <t>Hargrove</t>
  </si>
  <si>
    <t>Ms. Barbara A. Hargrove</t>
  </si>
  <si>
    <t>22 Coolidge St</t>
  </si>
  <si>
    <t>46324-1806</t>
  </si>
  <si>
    <t>barway22@aol.com</t>
  </si>
  <si>
    <t>XN2AA3015</t>
  </si>
  <si>
    <t>ALR141002023</t>
  </si>
  <si>
    <t>947 Freeport Rd</t>
  </si>
  <si>
    <t>Natrona Heights</t>
  </si>
  <si>
    <t>15065-1000</t>
  </si>
  <si>
    <t>volbradmos@aol.com</t>
  </si>
  <si>
    <t>bratsmom55@verizon.net</t>
  </si>
  <si>
    <t>XN2AA1702</t>
  </si>
  <si>
    <t>ALR230202C33</t>
  </si>
  <si>
    <t>933 Hillside Ave</t>
  </si>
  <si>
    <t>94706-1025</t>
  </si>
  <si>
    <t>ALS14110A001</t>
  </si>
  <si>
    <t>Voogt</t>
  </si>
  <si>
    <t>3515 Boxelder Dr</t>
  </si>
  <si>
    <t>80503-7586</t>
  </si>
  <si>
    <t>mjvoogt2003@yahoo.com</t>
  </si>
  <si>
    <t>XN2DB3501</t>
  </si>
  <si>
    <t>ALR220103EMC</t>
  </si>
  <si>
    <t>Burge</t>
  </si>
  <si>
    <t>Ms. Helen M. Burge</t>
  </si>
  <si>
    <t>9418 Herons Grove Ln</t>
  </si>
  <si>
    <t>Katy</t>
  </si>
  <si>
    <t>77494-0624</t>
  </si>
  <si>
    <t>hburge@frankcomiskeyagency.com</t>
  </si>
  <si>
    <t>XN2BB1609</t>
  </si>
  <si>
    <t>ALR200506C33</t>
  </si>
  <si>
    <t>ALA090101009</t>
  </si>
  <si>
    <t>Adcock</t>
  </si>
  <si>
    <t>Nancy Adcock</t>
  </si>
  <si>
    <t>1505 N Garfield St</t>
  </si>
  <si>
    <t>68025-3633</t>
  </si>
  <si>
    <t>nancyad24@msn.com</t>
  </si>
  <si>
    <t>XN2AB3302</t>
  </si>
  <si>
    <t>13500 N Rancho Vistoso Blvd Apt 255</t>
  </si>
  <si>
    <t>85755-5960</t>
  </si>
  <si>
    <t>XN1AH1910</t>
  </si>
  <si>
    <t>Roger and Donna</t>
  </si>
  <si>
    <t>N7275 Winnebago Dr</t>
  </si>
  <si>
    <t>Fond Du Lac</t>
  </si>
  <si>
    <t>54935-2724</t>
  </si>
  <si>
    <t>donnalpfeiffer@hotmail.com</t>
  </si>
  <si>
    <t>fifemcdowell@hotmail.com</t>
  </si>
  <si>
    <t>XN2AC6522</t>
  </si>
  <si>
    <t>Mr. Nicio Vega</t>
  </si>
  <si>
    <t>410 S West Shore Blvd</t>
  </si>
  <si>
    <t>33609-3630</t>
  </si>
  <si>
    <t>nicky33609@aol.com</t>
  </si>
  <si>
    <t>XN1LE1802</t>
  </si>
  <si>
    <t>ALA20010A22A</t>
  </si>
  <si>
    <t>Ms. Carol M. Rudolph</t>
  </si>
  <si>
    <t>500 Crestwood Dr Unit 1507</t>
  </si>
  <si>
    <t>22903-4860</t>
  </si>
  <si>
    <t>ocarolann@earthlink.net</t>
  </si>
  <si>
    <t>XN1BJ1201</t>
  </si>
  <si>
    <t>ALA1612S7EM1</t>
  </si>
  <si>
    <t>Madden</t>
  </si>
  <si>
    <t>345 Shire Oaks Ct</t>
  </si>
  <si>
    <t>94549-5636</t>
  </si>
  <si>
    <t>alexjpm@aol.com</t>
  </si>
  <si>
    <t>jpatm65@comcast.net</t>
  </si>
  <si>
    <t>XN2CC3602</t>
  </si>
  <si>
    <t>Marksheid</t>
  </si>
  <si>
    <t>Mr. Jay Marksheid</t>
  </si>
  <si>
    <t>6060 251st St</t>
  </si>
  <si>
    <t>Little Neck</t>
  </si>
  <si>
    <t>11362-2434</t>
  </si>
  <si>
    <t>XN2CC7002</t>
  </si>
  <si>
    <t>ALL24020A4BM</t>
  </si>
  <si>
    <t>Mrs. Pamela J. Esser</t>
  </si>
  <si>
    <t>5215 Wayfind Ln</t>
  </si>
  <si>
    <t>48302-2953</t>
  </si>
  <si>
    <t>pamela.esser@gmail.com</t>
  </si>
  <si>
    <t>pamelaesser@gmail.com</t>
  </si>
  <si>
    <t>XN2AC3110</t>
  </si>
  <si>
    <t>ALA1710N1ADC</t>
  </si>
  <si>
    <t>Eddy</t>
  </si>
  <si>
    <t>Ms. Barbara A. Eddy</t>
  </si>
  <si>
    <t>1019 NE Creeksedge Drive</t>
  </si>
  <si>
    <t>97124-1320</t>
  </si>
  <si>
    <t>bclements1013@gmail.com</t>
  </si>
  <si>
    <t>XN2BC3204</t>
  </si>
  <si>
    <t>ALL060701053</t>
  </si>
  <si>
    <t>Bullerman</t>
  </si>
  <si>
    <t>Lisa Bullerman</t>
  </si>
  <si>
    <t>3058 Locust Rd</t>
  </si>
  <si>
    <t>52101-7405</t>
  </si>
  <si>
    <t>XN2BC3501</t>
  </si>
  <si>
    <t>ALR180402033</t>
  </si>
  <si>
    <t>Kristi</t>
  </si>
  <si>
    <t>Saunder</t>
  </si>
  <si>
    <t>Kristi Saunder</t>
  </si>
  <si>
    <t>500 Hanover Center Rd</t>
  </si>
  <si>
    <t>03750-4113</t>
  </si>
  <si>
    <t>kristi.saunders@gmail.com</t>
  </si>
  <si>
    <t>XN2BD7501</t>
  </si>
  <si>
    <t>ALA070301024</t>
  </si>
  <si>
    <t>A. M. Billings</t>
  </si>
  <si>
    <t>109 Newridge Rd</t>
  </si>
  <si>
    <t>37830-8119</t>
  </si>
  <si>
    <t>XN2CD4301</t>
  </si>
  <si>
    <t>Sara Day</t>
  </si>
  <si>
    <t>Hatton</t>
  </si>
  <si>
    <t>Mrs. Sara Day Hatton</t>
  </si>
  <si>
    <t>317 Cherry St</t>
  </si>
  <si>
    <t>Sylva</t>
  </si>
  <si>
    <t>28779-5414</t>
  </si>
  <si>
    <t>XNFKF23NB</t>
  </si>
  <si>
    <t>ALL21040C5BM</t>
  </si>
  <si>
    <t>Boerner</t>
  </si>
  <si>
    <t>Donald Boerner</t>
  </si>
  <si>
    <t>125 Cedar Ridge Dr Apt S140</t>
  </si>
  <si>
    <t>West Bend</t>
  </si>
  <si>
    <t>53095-3682</t>
  </si>
  <si>
    <t>XN2CC6522</t>
  </si>
  <si>
    <t>ALR230405C64</t>
  </si>
  <si>
    <t>Adrianne</t>
  </si>
  <si>
    <t>Lapella</t>
  </si>
  <si>
    <t>519 Live Oak Ct</t>
  </si>
  <si>
    <t>Angels Camp</t>
  </si>
  <si>
    <t>95222-9898</t>
  </si>
  <si>
    <t>alapella@frontier.com</t>
  </si>
  <si>
    <t>a.lapella@yahoo.com</t>
  </si>
  <si>
    <t>XN2DB4307</t>
  </si>
  <si>
    <t>McDonald</t>
  </si>
  <si>
    <t>Harold McDonald</t>
  </si>
  <si>
    <t>57702 Pendleton Drive</t>
  </si>
  <si>
    <t>Elkhart</t>
  </si>
  <si>
    <t>46517-9590</t>
  </si>
  <si>
    <t>XN2AF1309</t>
  </si>
  <si>
    <t>ALA081103034</t>
  </si>
  <si>
    <t>Bowman</t>
  </si>
  <si>
    <t>Roger D. Bowman</t>
  </si>
  <si>
    <t>28 Whitehall Dr</t>
  </si>
  <si>
    <t>27312-1556</t>
  </si>
  <si>
    <t>nataliedbowman@yahoo.com</t>
  </si>
  <si>
    <t>ALL23030B5BM</t>
  </si>
  <si>
    <t>ALR170505033</t>
  </si>
  <si>
    <t>Lieberknecht</t>
  </si>
  <si>
    <t>Terry and John</t>
  </si>
  <si>
    <t>1602 Patterson Rd</t>
  </si>
  <si>
    <t>78733-6510</t>
  </si>
  <si>
    <t>lieb10@aol.com</t>
  </si>
  <si>
    <t>XN2AF1413</t>
  </si>
  <si>
    <t>ADA190001001</t>
  </si>
  <si>
    <t>Weick</t>
  </si>
  <si>
    <t>Ms. Lyn Weick</t>
  </si>
  <si>
    <t>7631 Westlund Rd</t>
  </si>
  <si>
    <t>98223-8822</t>
  </si>
  <si>
    <t>laweick@comcast.net</t>
  </si>
  <si>
    <t>XN2AB4702</t>
  </si>
  <si>
    <t>ALR181107033</t>
  </si>
  <si>
    <t>Alice Goodman and Jane Martin</t>
  </si>
  <si>
    <t>Alice and Jane</t>
  </si>
  <si>
    <t>3941 Moondance Ln</t>
  </si>
  <si>
    <t>98260-8010</t>
  </si>
  <si>
    <t>agoodman@seanet.com</t>
  </si>
  <si>
    <t>jvmartin@seanet.com</t>
  </si>
  <si>
    <t>ALG13080W002</t>
  </si>
  <si>
    <t>Robyn J. Meyer</t>
  </si>
  <si>
    <t>3129 E Sampras Ln</t>
  </si>
  <si>
    <t>85716-0829</t>
  </si>
  <si>
    <t>rjmeyer@peds.arizona.edu</t>
  </si>
  <si>
    <t>ALS190101WS3</t>
  </si>
  <si>
    <t>Kates</t>
  </si>
  <si>
    <t>2651 Redcoat Dr</t>
  </si>
  <si>
    <t>22303-2609</t>
  </si>
  <si>
    <t>bkates99@hotmail.com</t>
  </si>
  <si>
    <t>ALR160402EMC</t>
  </si>
  <si>
    <t>Bruce Baker</t>
  </si>
  <si>
    <t>466 Palo Verde Dr</t>
  </si>
  <si>
    <t>34119-1803</t>
  </si>
  <si>
    <t>XN2DJ5022</t>
  </si>
  <si>
    <t>ALL21030A5BM</t>
  </si>
  <si>
    <t>602 Augusta Blvd</t>
  </si>
  <si>
    <t>34113-7502</t>
  </si>
  <si>
    <t>carolanncleary@aol.com</t>
  </si>
  <si>
    <t>XN2CJ1702</t>
  </si>
  <si>
    <t>ALR230603C54</t>
  </si>
  <si>
    <t>Thomas R. Pennington</t>
  </si>
  <si>
    <t>1407 Agua Fria St</t>
  </si>
  <si>
    <t>87505-0907</t>
  </si>
  <si>
    <t>aguafrianr@aol.com</t>
  </si>
  <si>
    <t>aquafrianr@aol.com</t>
  </si>
  <si>
    <t>XN2BJ4105</t>
  </si>
  <si>
    <t>ALR191101C54</t>
  </si>
  <si>
    <t>Mr. Tod M. Lemkuhl</t>
  </si>
  <si>
    <t>3609 378th St E</t>
  </si>
  <si>
    <t>98328-8277</t>
  </si>
  <si>
    <t>tglemkuhl@rainierconnect.com</t>
  </si>
  <si>
    <t>tglemkuhl@msn.com</t>
  </si>
  <si>
    <t>XN2CJ5201</t>
  </si>
  <si>
    <t>Janet M. Carey</t>
  </si>
  <si>
    <t>14004 W Heather Ln</t>
  </si>
  <si>
    <t>Columbia Sta</t>
  </si>
  <si>
    <t>44028-9690</t>
  </si>
  <si>
    <t>XN2BJ1509</t>
  </si>
  <si>
    <t>ALR240301T33</t>
  </si>
  <si>
    <t>Ms. Kate M. Bowley</t>
  </si>
  <si>
    <t>26029 N 41st Dr</t>
  </si>
  <si>
    <t>85083-1630</t>
  </si>
  <si>
    <t>rkbowley@verizon.net</t>
  </si>
  <si>
    <t>rkbowley@cs.com</t>
  </si>
  <si>
    <t>XN2CJ3301</t>
  </si>
  <si>
    <t>ALR1400LBWR1</t>
  </si>
  <si>
    <t>Czechowski</t>
  </si>
  <si>
    <t>Mr. Michael Czechowski</t>
  </si>
  <si>
    <t>18925 Birchcrest Dr</t>
  </si>
  <si>
    <t>48221-2226</t>
  </si>
  <si>
    <t>XN2BJ3201</t>
  </si>
  <si>
    <t>Dalessio</t>
  </si>
  <si>
    <t>Mr. and Mrs. Nick Dalessio</t>
  </si>
  <si>
    <t>3780 Hidden Springs Ct</t>
  </si>
  <si>
    <t>El Sobrante</t>
  </si>
  <si>
    <t>94803-2145</t>
  </si>
  <si>
    <t>XN2CJ4401</t>
  </si>
  <si>
    <t>ALR110501003</t>
  </si>
  <si>
    <t>Mr. Ronald G. Zozgornik</t>
  </si>
  <si>
    <t>9988 Town Line Rd</t>
  </si>
  <si>
    <t>55751-8024</t>
  </si>
  <si>
    <t>bsampson1@comcast.net</t>
  </si>
  <si>
    <t>bsampson@aol.com</t>
  </si>
  <si>
    <t>XN2AJ1022</t>
  </si>
  <si>
    <t>Berardi</t>
  </si>
  <si>
    <t>Ms. Anne G. Berardi</t>
  </si>
  <si>
    <t>PO Box 55</t>
  </si>
  <si>
    <t>10 Woodruff Creek Rd</t>
  </si>
  <si>
    <t>Goodyears Bar</t>
  </si>
  <si>
    <t>95944-0055</t>
  </si>
  <si>
    <t>lnavarro143@gmail.com</t>
  </si>
  <si>
    <t>ALA23100E14A</t>
  </si>
  <si>
    <t>ALR180102033</t>
  </si>
  <si>
    <t>Millspaugh</t>
  </si>
  <si>
    <t>Elizabeth S. Millspaugh</t>
  </si>
  <si>
    <t>3805 13th St N</t>
  </si>
  <si>
    <t>22201-4922</t>
  </si>
  <si>
    <t>XN2BJ3002</t>
  </si>
  <si>
    <t>Mr. Ed Reibscheid</t>
  </si>
  <si>
    <t>3042 Sunset Ln</t>
  </si>
  <si>
    <t>60131-2543</t>
  </si>
  <si>
    <t>spedemon1@aol.com</t>
  </si>
  <si>
    <t>ALQ0207AD014</t>
  </si>
  <si>
    <t>ALA17030B13C</t>
  </si>
  <si>
    <t>Burrows</t>
  </si>
  <si>
    <t>1529 Gold Hill Mesa Dr</t>
  </si>
  <si>
    <t>80905-4445</t>
  </si>
  <si>
    <t>kbwordsworth@gmail.com</t>
  </si>
  <si>
    <t>kenhburrows@msn.com</t>
  </si>
  <si>
    <t>ALQ0207AE065</t>
  </si>
  <si>
    <t>8527 Cedar Trace Dr</t>
  </si>
  <si>
    <t>29588-6539</t>
  </si>
  <si>
    <t>anneboyles@att.net</t>
  </si>
  <si>
    <t>annieloveslucy@yahoo.com</t>
  </si>
  <si>
    <t>ALQ0207AC001</t>
  </si>
  <si>
    <t>ALR210101C33</t>
  </si>
  <si>
    <t>Wegner</t>
  </si>
  <si>
    <t>Dolores and Julie Wegner</t>
  </si>
  <si>
    <t>Dolores and Julie</t>
  </si>
  <si>
    <t>282 E Scheibe Way</t>
  </si>
  <si>
    <t>85705-1732</t>
  </si>
  <si>
    <t>ALQ0207AA003</t>
  </si>
  <si>
    <t>ALA1712N01XM</t>
  </si>
  <si>
    <t>jawrbl@gmail.com</t>
  </si>
  <si>
    <t>ALA2012N0MDC</t>
  </si>
  <si>
    <t>Ms. Mary Anne Olmstead</t>
  </si>
  <si>
    <t>11415 E Antler Rd</t>
  </si>
  <si>
    <t>Chattaroy</t>
  </si>
  <si>
    <t>99003-9776</t>
  </si>
  <si>
    <t>m_olmstead@hotmail.com</t>
  </si>
  <si>
    <t>mehitable6bradford@frontier.com</t>
  </si>
  <si>
    <t>ALQ0207AH068</t>
  </si>
  <si>
    <t>Brett</t>
  </si>
  <si>
    <t>Spengler</t>
  </si>
  <si>
    <t>308 4th St</t>
  </si>
  <si>
    <t>Durant</t>
  </si>
  <si>
    <t>52747-9704</t>
  </si>
  <si>
    <t>spenglerbrett@yahoo.com</t>
  </si>
  <si>
    <t>ALA060100001</t>
  </si>
  <si>
    <t>Lance</t>
  </si>
  <si>
    <t>Mr. Lance L. King</t>
  </si>
  <si>
    <t>2217 NW Maser Dr</t>
  </si>
  <si>
    <t>97330-2217</t>
  </si>
  <si>
    <t>dlindemo@gmail.com</t>
  </si>
  <si>
    <t>dlindemo@earthlink.net</t>
  </si>
  <si>
    <t>ALQ0207AF015</t>
  </si>
  <si>
    <t>ALR230709C54</t>
  </si>
  <si>
    <t>Drae Garbutt</t>
  </si>
  <si>
    <t>870 Maidu Ln</t>
  </si>
  <si>
    <t>96130-3515</t>
  </si>
  <si>
    <t>tdgarb@yahoo.com</t>
  </si>
  <si>
    <t>ALQ0207AE050</t>
  </si>
  <si>
    <t>ALA23030B55H</t>
  </si>
  <si>
    <t>ALA19090A56H</t>
  </si>
  <si>
    <t>Holt</t>
  </si>
  <si>
    <t>Mr. Andrew Holt</t>
  </si>
  <si>
    <t>310 Brantwood Dr</t>
  </si>
  <si>
    <t>27534-9196</t>
  </si>
  <si>
    <t>holtdawg@hotmail.com</t>
  </si>
  <si>
    <t>holtdawg1@yahoo.com</t>
  </si>
  <si>
    <t>ALQ0207AB010</t>
  </si>
  <si>
    <t>ALR220105C23</t>
  </si>
  <si>
    <t>ALR180807033</t>
  </si>
  <si>
    <t>Mortimer</t>
  </si>
  <si>
    <t>Ms. Patricia Mortimer</t>
  </si>
  <si>
    <t>4 Ash Pl</t>
  </si>
  <si>
    <t>Longview</t>
  </si>
  <si>
    <t>98632-4903</t>
  </si>
  <si>
    <t>mortfamily@comcast.net</t>
  </si>
  <si>
    <t>ALA2012S4EMC</t>
  </si>
  <si>
    <t>Ms. Lisa E. Andersen</t>
  </si>
  <si>
    <t>4068 Whitsett Ave Apt 3</t>
  </si>
  <si>
    <t>Studio City</t>
  </si>
  <si>
    <t>91604-2442</t>
  </si>
  <si>
    <t>lainla@att.net</t>
  </si>
  <si>
    <t>Akers McDowell</t>
  </si>
  <si>
    <t>Ms. Karen Akers McDowell</t>
  </si>
  <si>
    <t>3242 N 3350 W</t>
  </si>
  <si>
    <t>83255-8761</t>
  </si>
  <si>
    <t>kakersmcdowell@gmail.com</t>
  </si>
  <si>
    <t>ALR240402C44</t>
  </si>
  <si>
    <t>ALA070301008</t>
  </si>
  <si>
    <t>Mrs. Ellen and Mr. Leonard Zuckerman</t>
  </si>
  <si>
    <t>Ellen and Leonard</t>
  </si>
  <si>
    <t>1 Westcliff Dr</t>
  </si>
  <si>
    <t>Dix Hills</t>
  </si>
  <si>
    <t>11746-5618</t>
  </si>
  <si>
    <t>ALQ0207AD020</t>
  </si>
  <si>
    <t>ALR170605033</t>
  </si>
  <si>
    <t>ALR030805001</t>
  </si>
  <si>
    <t>Mr. Henry R. Leu Jr.</t>
  </si>
  <si>
    <t>4148 Main St</t>
  </si>
  <si>
    <t>52632-2013</t>
  </si>
  <si>
    <t>ALQ0207AG009</t>
  </si>
  <si>
    <t>Reinhold</t>
  </si>
  <si>
    <t>Federmann</t>
  </si>
  <si>
    <t>Reinhold Federmann</t>
  </si>
  <si>
    <t>3085 Brush Rd</t>
  </si>
  <si>
    <t>44286-9463</t>
  </si>
  <si>
    <t>rfedermann@aol.com</t>
  </si>
  <si>
    <t>ALQ0207AE017</t>
  </si>
  <si>
    <t>ALR200105C54</t>
  </si>
  <si>
    <t>112 Joyce St</t>
  </si>
  <si>
    <t>Heidi</t>
  </si>
  <si>
    <t>Frederick and Heidi</t>
  </si>
  <si>
    <t>530 Olesen Dr</t>
  </si>
  <si>
    <t>60540-6908</t>
  </si>
  <si>
    <t>fhwcpa@comcast.net</t>
  </si>
  <si>
    <t>ALQ0208DB037</t>
  </si>
  <si>
    <t>ALA12070D14C</t>
  </si>
  <si>
    <t>ALP120001001</t>
  </si>
  <si>
    <t>Cynthia Brunner</t>
  </si>
  <si>
    <t>309 Yoakum Pkwy Apt 918</t>
  </si>
  <si>
    <t>22304-3940</t>
  </si>
  <si>
    <t>mswz1@verizon.net</t>
  </si>
  <si>
    <t>mswz@earthlink.net</t>
  </si>
  <si>
    <t>ALQ0208EB019</t>
  </si>
  <si>
    <t>ALR2309D1WSC</t>
  </si>
  <si>
    <t>Tetsch</t>
  </si>
  <si>
    <t>43 Buckskin Rd</t>
  </si>
  <si>
    <t>Bell Canyon</t>
  </si>
  <si>
    <t>91307-1121</t>
  </si>
  <si>
    <t>ALQ0208AB003</t>
  </si>
  <si>
    <t>Lettner</t>
  </si>
  <si>
    <t>Ms. Kay F. Lettner</t>
  </si>
  <si>
    <t>3504 Hoover Ave Apt 113</t>
  </si>
  <si>
    <t>Altoona</t>
  </si>
  <si>
    <t>54720-3002</t>
  </si>
  <si>
    <t>whitmanview@hotmail.com</t>
  </si>
  <si>
    <t>klettner@mut.net</t>
  </si>
  <si>
    <t>ALQ0208AB019</t>
  </si>
  <si>
    <t>ALR201105C23</t>
  </si>
  <si>
    <t>Steven Silverman</t>
  </si>
  <si>
    <t>711 Valley Glen Rd</t>
  </si>
  <si>
    <t>19027-1747</t>
  </si>
  <si>
    <t>ssilverman3@verizon.net</t>
  </si>
  <si>
    <t>ALQ0208BB020</t>
  </si>
  <si>
    <t>ALR234747EMC</t>
  </si>
  <si>
    <t>Priest</t>
  </si>
  <si>
    <t>Mr. Mark M. Priest</t>
  </si>
  <si>
    <t>403031 W 1200 Rd</t>
  </si>
  <si>
    <t>74029-4302</t>
  </si>
  <si>
    <t>jbishop71@yahoo.com</t>
  </si>
  <si>
    <t>ALQ0208CB014</t>
  </si>
  <si>
    <t>ALR231103C33</t>
  </si>
  <si>
    <t>ALR160901023</t>
  </si>
  <si>
    <t>Jacqueline</t>
  </si>
  <si>
    <t>Albers</t>
  </si>
  <si>
    <t>5312 Beechwood Ave</t>
  </si>
  <si>
    <t>Maple Heights</t>
  </si>
  <si>
    <t>44137-2233</t>
  </si>
  <si>
    <t>jmalbers12@gmail.com</t>
  </si>
  <si>
    <t>jackiewalkin@sbcglobal.net</t>
  </si>
  <si>
    <t>ALQ0208DB022</t>
  </si>
  <si>
    <t>ALR220802C33</t>
  </si>
  <si>
    <t>ALA13030A14R</t>
  </si>
  <si>
    <t>Caryl Mcvaugh</t>
  </si>
  <si>
    <t>12100 Reed Hartman Hwy Apt 314</t>
  </si>
  <si>
    <t>45241-6039</t>
  </si>
  <si>
    <t>ALQ0208GB010</t>
  </si>
  <si>
    <t>ALA18010C11A</t>
  </si>
  <si>
    <t>ALA14020C12A</t>
  </si>
  <si>
    <t>Purcell</t>
  </si>
  <si>
    <t>Mr. Douglas H. Purcell Jr.</t>
  </si>
  <si>
    <t>PO Box 713</t>
  </si>
  <si>
    <t>Caroga Lake</t>
  </si>
  <si>
    <t>12032-0713</t>
  </si>
  <si>
    <t>dpurcell6@nycap.rr.com</t>
  </si>
  <si>
    <t>ALQ0208GB019</t>
  </si>
  <si>
    <t>Steven R. Thompson</t>
  </si>
  <si>
    <t>10 Oak Knoll Gardens Dr</t>
  </si>
  <si>
    <t>91106-3833</t>
  </si>
  <si>
    <t>slgthomas@gmail.com</t>
  </si>
  <si>
    <t>srtavp25@sbcglobal.net</t>
  </si>
  <si>
    <t>ALQ0208GB020</t>
  </si>
  <si>
    <t>ALA23070A50H</t>
  </si>
  <si>
    <t>ALR131101023</t>
  </si>
  <si>
    <t>Mr. Sterling M. Gray</t>
  </si>
  <si>
    <t>3713 Soledad Ct</t>
  </si>
  <si>
    <t>78732-2046</t>
  </si>
  <si>
    <t>sterling.gray@austin.rr.com</t>
  </si>
  <si>
    <t>sterling.gray@sbcglobal.net</t>
  </si>
  <si>
    <t>ALQ0208GB042</t>
  </si>
  <si>
    <t>ALR110001002</t>
  </si>
  <si>
    <t>Henna</t>
  </si>
  <si>
    <t>Tatham</t>
  </si>
  <si>
    <t>Henna Tatham</t>
  </si>
  <si>
    <t>3807 Laurel Ledge Ln</t>
  </si>
  <si>
    <t>78731-4051</t>
  </si>
  <si>
    <t>hennatatham@gmail.com</t>
  </si>
  <si>
    <t>ALL24020C5BM</t>
  </si>
  <si>
    <t>Sahna</t>
  </si>
  <si>
    <t>Suzanne and Sahna Carmona</t>
  </si>
  <si>
    <t>Suzanne and Sahna</t>
  </si>
  <si>
    <t>1122 15th Ave</t>
  </si>
  <si>
    <t>80501-2720</t>
  </si>
  <si>
    <t>ALQ0209AC044</t>
  </si>
  <si>
    <t>ALL20030C53M</t>
  </si>
  <si>
    <t>sahna@comcast.net</t>
  </si>
  <si>
    <t>Mrs. Gail H. Labman</t>
  </si>
  <si>
    <t>8063 Crimson Leaf Ct</t>
  </si>
  <si>
    <t>20155-1739</t>
  </si>
  <si>
    <t>papanana10@comcast.net</t>
  </si>
  <si>
    <t>Davida Waters</t>
  </si>
  <si>
    <t>2434 Malehorn Rd</t>
  </si>
  <si>
    <t>19425-3306</t>
  </si>
  <si>
    <t>davidawaters3@gmail.com</t>
  </si>
  <si>
    <t>ALQ0208AB022</t>
  </si>
  <si>
    <t>ALA22100E13A</t>
  </si>
  <si>
    <t>Ms. Susan Nycz</t>
  </si>
  <si>
    <t>6468 N Pine Shore Dr</t>
  </si>
  <si>
    <t>53209-3424</t>
  </si>
  <si>
    <t>ALQ0208CB045</t>
  </si>
  <si>
    <t>ALR220401C44</t>
  </si>
  <si>
    <t>Timm</t>
  </si>
  <si>
    <t>Mr. Robin M. Timm</t>
  </si>
  <si>
    <t>E9731 County Road P</t>
  </si>
  <si>
    <t>Westby</t>
  </si>
  <si>
    <t>54667-8394</t>
  </si>
  <si>
    <t>robin@driftlessmarket.com</t>
  </si>
  <si>
    <t>jdrt57@gmail.com</t>
  </si>
  <si>
    <t>ALQ0209FC040</t>
  </si>
  <si>
    <t>ALR170902033</t>
  </si>
  <si>
    <t>Dutt</t>
  </si>
  <si>
    <t>Mr. Marc T. Dutt</t>
  </si>
  <si>
    <t>427 E Red Lion Dr</t>
  </si>
  <si>
    <t>Bear</t>
  </si>
  <si>
    <t>19701-5911</t>
  </si>
  <si>
    <t>sachurchill@verizon.net</t>
  </si>
  <si>
    <t>swchurchill@verizon.net</t>
  </si>
  <si>
    <t>ALQ0209BC021</t>
  </si>
  <si>
    <t>ALR051002103</t>
  </si>
  <si>
    <t>Gatto</t>
  </si>
  <si>
    <t>Paul Colfer and Jon Gatto</t>
  </si>
  <si>
    <t>Paul and Jon</t>
  </si>
  <si>
    <t>1465 De Haro St</t>
  </si>
  <si>
    <t>94107-4417</t>
  </si>
  <si>
    <t>coltto@comcast.net</t>
  </si>
  <si>
    <t>ALQ0209FC043</t>
  </si>
  <si>
    <t>ALR221012C40</t>
  </si>
  <si>
    <t>Mr. James V. Hittner</t>
  </si>
  <si>
    <t>Mr. Hittner</t>
  </si>
  <si>
    <t>P.O. Box 1192</t>
  </si>
  <si>
    <t>95031-1192</t>
  </si>
  <si>
    <t>ATQ021101007</t>
  </si>
  <si>
    <t>ALA130700001</t>
  </si>
  <si>
    <t>Moehl</t>
  </si>
  <si>
    <t>Linda and Tom Moehl</t>
  </si>
  <si>
    <t>Linda and Tom</t>
  </si>
  <si>
    <t>12360 Summit Lp SE</t>
  </si>
  <si>
    <t>97392-9308</t>
  </si>
  <si>
    <t>yofredross@hotmail.com</t>
  </si>
  <si>
    <t>XN2CJ4105</t>
  </si>
  <si>
    <t>Neumann</t>
  </si>
  <si>
    <t>Bob and Judy Neumann</t>
  </si>
  <si>
    <t>Bob and Judy</t>
  </si>
  <si>
    <t>145 S Peak Dr</t>
  </si>
  <si>
    <t>Mcgaheysville</t>
  </si>
  <si>
    <t>22840-2820</t>
  </si>
  <si>
    <t>adnan_abbas4@hotmail.com</t>
  </si>
  <si>
    <t>ALQ0210AD060</t>
  </si>
  <si>
    <t>Benning</t>
  </si>
  <si>
    <t>Richard Benning</t>
  </si>
  <si>
    <t>PO Box 11</t>
  </si>
  <si>
    <t>61019-0011</t>
  </si>
  <si>
    <t>r.benning52@gmail.com</t>
  </si>
  <si>
    <t>ALQ0210AD043</t>
  </si>
  <si>
    <t>ALA24010B56H</t>
  </si>
  <si>
    <t>Mrs. Jean M. Lange</t>
  </si>
  <si>
    <t>1755 Marion St</t>
  </si>
  <si>
    <t>98022-3112</t>
  </si>
  <si>
    <t>hlsailing@yahoo.com</t>
  </si>
  <si>
    <t>ALA23080B14R</t>
  </si>
  <si>
    <t>McNinney</t>
  </si>
  <si>
    <t>Ms. Kathleen E. McNinney</t>
  </si>
  <si>
    <t>72 Lafayette Dr</t>
  </si>
  <si>
    <t>Manahawkin</t>
  </si>
  <si>
    <t>08050-2907</t>
  </si>
  <si>
    <t>kmcninney@comcast.net</t>
  </si>
  <si>
    <t>kmcninney@verizon.net</t>
  </si>
  <si>
    <t>ALQ0209CC023</t>
  </si>
  <si>
    <t>ALR111103EDC</t>
  </si>
  <si>
    <t>Marilyn Mathis</t>
  </si>
  <si>
    <t>5966 Woodridge Cv</t>
  </si>
  <si>
    <t>78249-3113</t>
  </si>
  <si>
    <t>mathism1@prodigy.net</t>
  </si>
  <si>
    <t>ALQ0210BD012</t>
  </si>
  <si>
    <t>ALA23070B22R</t>
  </si>
  <si>
    <t>ALL19110D53M</t>
  </si>
  <si>
    <t>Eilif</t>
  </si>
  <si>
    <t>2552 Middlefield Avenue</t>
  </si>
  <si>
    <t>94539-5020</t>
  </si>
  <si>
    <t>ALR190400001</t>
  </si>
  <si>
    <t>eilif35@hotmail.com</t>
  </si>
  <si>
    <t>Aument</t>
  </si>
  <si>
    <t>Ms. Christine Aument</t>
  </si>
  <si>
    <t>21W365 Woodview Dr</t>
  </si>
  <si>
    <t>60143-1979</t>
  </si>
  <si>
    <t>caument@att.net</t>
  </si>
  <si>
    <t>ALQ2002BH011</t>
  </si>
  <si>
    <t>Goforth</t>
  </si>
  <si>
    <t>4324 E Dragoon Cir</t>
  </si>
  <si>
    <t>85206-3504</t>
  </si>
  <si>
    <t>cheri.goforth@gmail.com</t>
  </si>
  <si>
    <t>thg1948@aol.com</t>
  </si>
  <si>
    <t>ALQ0207AA017</t>
  </si>
  <si>
    <t>John Corson and Terri Nelson</t>
  </si>
  <si>
    <t>John and Terri</t>
  </si>
  <si>
    <t>6806 Giant Oaks Rd</t>
  </si>
  <si>
    <t>60097-8950</t>
  </si>
  <si>
    <t>nelsonterrid@aol.com</t>
  </si>
  <si>
    <t>ALA21070B22R</t>
  </si>
  <si>
    <t>ALR210702C23</t>
  </si>
  <si>
    <t>Edison</t>
  </si>
  <si>
    <t>Jerry Edison</t>
  </si>
  <si>
    <t>27334 W 135th St</t>
  </si>
  <si>
    <t>Olathe</t>
  </si>
  <si>
    <t>66061-9062</t>
  </si>
  <si>
    <t>gedison9999@gmail.com</t>
  </si>
  <si>
    <t>jerry.n.edison@centurylink.com</t>
  </si>
  <si>
    <t>ALQ1700STDM1</t>
  </si>
  <si>
    <t>ALR031102001</t>
  </si>
  <si>
    <t>Mr. Cesar Martinez</t>
  </si>
  <si>
    <t>2207 E Bowie Ave</t>
  </si>
  <si>
    <t>78550-5188</t>
  </si>
  <si>
    <t>ccmartinez911@yahoo.com</t>
  </si>
  <si>
    <t>ALQ0210CD043</t>
  </si>
  <si>
    <t>ALL24030A4BM</t>
  </si>
  <si>
    <t>ALR091203203</t>
  </si>
  <si>
    <t>Zerrer</t>
  </si>
  <si>
    <t>William Zerrer</t>
  </si>
  <si>
    <t>1016 Page Branch Rd</t>
  </si>
  <si>
    <t>Elsberry</t>
  </si>
  <si>
    <t>63343-3413</t>
  </si>
  <si>
    <t>cleanbee@att.net</t>
  </si>
  <si>
    <t>ALQ0210ED018</t>
  </si>
  <si>
    <t>ALR230204C33</t>
  </si>
  <si>
    <t>Crole</t>
  </si>
  <si>
    <t>Tammie</t>
  </si>
  <si>
    <t>Calvin and Tammie Crole</t>
  </si>
  <si>
    <t>Calvin and Tammie</t>
  </si>
  <si>
    <t>5900 Cathy Ct</t>
  </si>
  <si>
    <t>76148-2714</t>
  </si>
  <si>
    <t>calvincrole@yahoo.com</t>
  </si>
  <si>
    <t>calvin.creole@gmail.com</t>
  </si>
  <si>
    <t>ALQ0210AD031</t>
  </si>
  <si>
    <t>Brian and Sarah Gander</t>
  </si>
  <si>
    <t>Brian and Sarah</t>
  </si>
  <si>
    <t>131 River View St</t>
  </si>
  <si>
    <t>97346-9316</t>
  </si>
  <si>
    <t>ALQ0210CD049</t>
  </si>
  <si>
    <t>ALR190800EMC</t>
  </si>
  <si>
    <t>sarahagander@gmail.com</t>
  </si>
  <si>
    <t>Ms. Sam Price</t>
  </si>
  <si>
    <t>408 Maple St</t>
  </si>
  <si>
    <t>Sauk City</t>
  </si>
  <si>
    <t>53583-1235</t>
  </si>
  <si>
    <t>sjprice2@gmail.com</t>
  </si>
  <si>
    <t>ALQ0210FD044</t>
  </si>
  <si>
    <t>ALR200705C33</t>
  </si>
  <si>
    <t>Charles T. Dewoody</t>
  </si>
  <si>
    <t>4800 Auburn Folsom Rd Spc 75</t>
  </si>
  <si>
    <t>95650-9327</t>
  </si>
  <si>
    <t>ctdewoody@gmail.com</t>
  </si>
  <si>
    <t>Terry and Delfa Quinn</t>
  </si>
  <si>
    <t>Terry and Delfa</t>
  </si>
  <si>
    <t>32621 6th Ave SW</t>
  </si>
  <si>
    <t>98023-5623</t>
  </si>
  <si>
    <t>ALQ0209AC019</t>
  </si>
  <si>
    <t>ALQ2007AA201</t>
  </si>
  <si>
    <t>Neil L. Hoffman</t>
  </si>
  <si>
    <t>3148 Gracefield Rd Apt T95</t>
  </si>
  <si>
    <t>20904-5860</t>
  </si>
  <si>
    <t>ALQ0210BD043</t>
  </si>
  <si>
    <t>ALA16070A14A</t>
  </si>
  <si>
    <t>Angie</t>
  </si>
  <si>
    <t>Ms. Angie Ames</t>
  </si>
  <si>
    <t>14943 Harvest Knoll Ct</t>
  </si>
  <si>
    <t>Fishers</t>
  </si>
  <si>
    <t>46037-8302</t>
  </si>
  <si>
    <t>angie_ames@irco.com</t>
  </si>
  <si>
    <t>ALQ020001002</t>
  </si>
  <si>
    <t>ALA23110B12A</t>
  </si>
  <si>
    <t>Lynne M. Woodruff</t>
  </si>
  <si>
    <t>104 Burton Ct</t>
  </si>
  <si>
    <t>37122-3529</t>
  </si>
  <si>
    <t>rileymakesthree@aol.com</t>
  </si>
  <si>
    <t>rileymakethree@aol.com</t>
  </si>
  <si>
    <t>ALQ0211DE018</t>
  </si>
  <si>
    <t>ALR191102C44</t>
  </si>
  <si>
    <t>Barbra Bailey</t>
  </si>
  <si>
    <t>Barbra Bailey Bradley</t>
  </si>
  <si>
    <t>602 Burgundy Dr</t>
  </si>
  <si>
    <t>20850-1428</t>
  </si>
  <si>
    <t>ALQ0209FC009</t>
  </si>
  <si>
    <t>ALR101201003</t>
  </si>
  <si>
    <t>Swackhamer</t>
  </si>
  <si>
    <t>Mr. Robert L. Swackhamer</t>
  </si>
  <si>
    <t>165 N Boulder Creek Dr</t>
  </si>
  <si>
    <t>Camdenton</t>
  </si>
  <si>
    <t>65020-6615</t>
  </si>
  <si>
    <t>bobnjeanswackhamer@hotmail.com</t>
  </si>
  <si>
    <t>ALQ0210AD021</t>
  </si>
  <si>
    <t>Mr. Charles F. Koch</t>
  </si>
  <si>
    <t>903 24th St</t>
  </si>
  <si>
    <t>53566-3254</t>
  </si>
  <si>
    <t>ALQ0211CE027</t>
  </si>
  <si>
    <t>ALA20010B21A</t>
  </si>
  <si>
    <t>ALR170208033</t>
  </si>
  <si>
    <t>Schreiber</t>
  </si>
  <si>
    <t>375 Veranda Way Apt 701</t>
  </si>
  <si>
    <t>Mount Dora</t>
  </si>
  <si>
    <t>32757-6178</t>
  </si>
  <si>
    <t>f1fiona@yahoo.com</t>
  </si>
  <si>
    <t>lynneschreiber@gmail.com</t>
  </si>
  <si>
    <t>ALQ0210BD028</t>
  </si>
  <si>
    <t>ALA14100F34A</t>
  </si>
  <si>
    <t>Karen Tuttle</t>
  </si>
  <si>
    <t>PO Box 165</t>
  </si>
  <si>
    <t>Solon Springs</t>
  </si>
  <si>
    <t>54873-0165</t>
  </si>
  <si>
    <t>ALQ0211AE024</t>
  </si>
  <si>
    <t>Ms. Laura A. Powers</t>
  </si>
  <si>
    <t>7245 Manning Ave N</t>
  </si>
  <si>
    <t>55082-4681</t>
  </si>
  <si>
    <t>lapowers14@gmail.com</t>
  </si>
  <si>
    <t>ALQ0211AE032</t>
  </si>
  <si>
    <t>ALL2401L2EMC</t>
  </si>
  <si>
    <t>ALR041202002</t>
  </si>
  <si>
    <t>Mrs. Leeta Russell</t>
  </si>
  <si>
    <t>4922 Brush Country Rd</t>
  </si>
  <si>
    <t>24954-6663</t>
  </si>
  <si>
    <t>ALL20090A53M</t>
  </si>
  <si>
    <t>ALA080502004</t>
  </si>
  <si>
    <t>FAMILY</t>
  </si>
  <si>
    <t>Theresa and Duane Townley</t>
  </si>
  <si>
    <t>Theresa and Duane</t>
  </si>
  <si>
    <t>6112 Siebert St</t>
  </si>
  <si>
    <t>48640-2722</t>
  </si>
  <si>
    <t>dttown@aol.com</t>
  </si>
  <si>
    <t>ALL21090B5BM</t>
  </si>
  <si>
    <t>Ms. Gayle A. Kanies</t>
  </si>
  <si>
    <t>6514 Lost Horizon Dr</t>
  </si>
  <si>
    <t>78759-6150</t>
  </si>
  <si>
    <t>gayle.kanies@gmail.com</t>
  </si>
  <si>
    <t>gkanies1@austin.rr.com</t>
  </si>
  <si>
    <t>ALQ0210ED029</t>
  </si>
  <si>
    <t>ALR140701054</t>
  </si>
  <si>
    <t>Mr. Mark D. Bryant</t>
  </si>
  <si>
    <t>6734 Willow Pond Ln</t>
  </si>
  <si>
    <t>34240-9600</t>
  </si>
  <si>
    <t>markdbryant1@gmail.com</t>
  </si>
  <si>
    <t>markdbryant24@hotmail.com</t>
  </si>
  <si>
    <t>ALZ030001001</t>
  </si>
  <si>
    <t>ALR210509C23</t>
  </si>
  <si>
    <t>Mr. Jorge A. David</t>
  </si>
  <si>
    <t>5055 Collins Ave Apt 7G</t>
  </si>
  <si>
    <t>33140-2709</t>
  </si>
  <si>
    <t>jorgedavid@evolutia.org</t>
  </si>
  <si>
    <t>jorgedavid2@yahoo.com</t>
  </si>
  <si>
    <t>ALQ0211BE014</t>
  </si>
  <si>
    <t>ALA19040B15A</t>
  </si>
  <si>
    <t>ALA16070G25A</t>
  </si>
  <si>
    <t>Roger and Mary Kramer</t>
  </si>
  <si>
    <t>Roger and Mary</t>
  </si>
  <si>
    <t>403 Downshire Dr</t>
  </si>
  <si>
    <t>78216-4604</t>
  </si>
  <si>
    <t>rogteach@aol.com</t>
  </si>
  <si>
    <t>mafk41@aol.com</t>
  </si>
  <si>
    <t>ALA22070B24C</t>
  </si>
  <si>
    <t>ALR130701054</t>
  </si>
  <si>
    <t>Bradfield</t>
  </si>
  <si>
    <t>Mrs. Ruth J. Bradfield</t>
  </si>
  <si>
    <t>22 Warner Rd</t>
  </si>
  <si>
    <t>Grosse Pointe Farms</t>
  </si>
  <si>
    <t>48236-3746</t>
  </si>
  <si>
    <t>rbradfield5@comcast.net</t>
  </si>
  <si>
    <t>macspunk@msn.com</t>
  </si>
  <si>
    <t>ALQ0211GE054</t>
  </si>
  <si>
    <t>ALR240203C23</t>
  </si>
  <si>
    <t>ALA1210D1EMC</t>
  </si>
  <si>
    <t>Ms. Linda Douglas</t>
  </si>
  <si>
    <t>2935 Aldrich Dr</t>
  </si>
  <si>
    <t>30040-5368</t>
  </si>
  <si>
    <t>miles19522001@yahoo.com</t>
  </si>
  <si>
    <t>ALQ0211BE004</t>
  </si>
  <si>
    <t>ALR100103204</t>
  </si>
  <si>
    <t>Bains</t>
  </si>
  <si>
    <t>Betty M. Bains</t>
  </si>
  <si>
    <t>171 S James St</t>
  </si>
  <si>
    <t>92869-3822</t>
  </si>
  <si>
    <t>bettybains@netzero.com</t>
  </si>
  <si>
    <t>bettybains@yahoo.com</t>
  </si>
  <si>
    <t>ALQ0211BE039</t>
  </si>
  <si>
    <t>ALA19120A41R</t>
  </si>
  <si>
    <t>ALA130400001</t>
  </si>
  <si>
    <t>Ms. Kathie Kalmowitz</t>
  </si>
  <si>
    <t>3955 Stags Leap Cir</t>
  </si>
  <si>
    <t>27612-2308</t>
  </si>
  <si>
    <t>kalmowk@gmail.com</t>
  </si>
  <si>
    <t>ALQ0301BG019</t>
  </si>
  <si>
    <t>Dave and Sharon Miller</t>
  </si>
  <si>
    <t>Dave and Sharon</t>
  </si>
  <si>
    <t>7260 E. Crimson Sky Trail</t>
  </si>
  <si>
    <t>85266-4266</t>
  </si>
  <si>
    <t>ALQ0301BG040</t>
  </si>
  <si>
    <t>ALA19100B25R</t>
  </si>
  <si>
    <t>Linda Cortright</t>
  </si>
  <si>
    <t>5344 Marconi Ave Apt 137</t>
  </si>
  <si>
    <t>Carmichael</t>
  </si>
  <si>
    <t>95608-4362</t>
  </si>
  <si>
    <t>ALQ0301AG015</t>
  </si>
  <si>
    <t>Landfried</t>
  </si>
  <si>
    <t>Mrs. Jean and Mr. Philip Landfried</t>
  </si>
  <si>
    <t>Jean and Philip</t>
  </si>
  <si>
    <t>101 Powhatan Ct</t>
  </si>
  <si>
    <t>Sumter</t>
  </si>
  <si>
    <t>29150-2266</t>
  </si>
  <si>
    <t>bjpsland@sc.rr.com</t>
  </si>
  <si>
    <t>ALQ0301BG033</t>
  </si>
  <si>
    <t>Mrs. Naomi Safford</t>
  </si>
  <si>
    <t>2800 Youngfield St # 314</t>
  </si>
  <si>
    <t>80215-7210</t>
  </si>
  <si>
    <t>ALQ0301AG034</t>
  </si>
  <si>
    <t>Mr. Dwight C. Minton</t>
  </si>
  <si>
    <t>PO Box 4727</t>
  </si>
  <si>
    <t>59772-4727</t>
  </si>
  <si>
    <t>dwight@dcminton.com</t>
  </si>
  <si>
    <t>dwight.minton@churchdwight.com</t>
  </si>
  <si>
    <t>XMDBD00</t>
  </si>
  <si>
    <t>AGA050001007</t>
  </si>
  <si>
    <t>carol-ann.prihoca@churchdwight.com</t>
  </si>
  <si>
    <t>Merrie and Russell Tomlinson</t>
  </si>
  <si>
    <t>Merrie and Russell</t>
  </si>
  <si>
    <t>633 Malaga Ct</t>
  </si>
  <si>
    <t>Soledad</t>
  </si>
  <si>
    <t>93960-2588</t>
  </si>
  <si>
    <t>mtoml3@gmail.com</t>
  </si>
  <si>
    <t>mctoml3@gmail.com</t>
  </si>
  <si>
    <t>ALAXXXXD2EMC</t>
  </si>
  <si>
    <t>ALA11070B13A</t>
  </si>
  <si>
    <t>Wilks</t>
  </si>
  <si>
    <t>PO Box 7329</t>
  </si>
  <si>
    <t>48107-7329</t>
  </si>
  <si>
    <t>logjam13@aol.com</t>
  </si>
  <si>
    <t>ALQ0301BG013</t>
  </si>
  <si>
    <t>ALR191102C54</t>
  </si>
  <si>
    <t>Aylesworth</t>
  </si>
  <si>
    <t>Lori K. Aylesworth</t>
  </si>
  <si>
    <t>9761 Mountain Home Rd</t>
  </si>
  <si>
    <t>98826-9311</t>
  </si>
  <si>
    <t>bluebird57@earthlink.net</t>
  </si>
  <si>
    <t>ALQ0301DG032</t>
  </si>
  <si>
    <t>ALR240701C33</t>
  </si>
  <si>
    <t>ALR161203044</t>
  </si>
  <si>
    <t>Mrs. Lee Longenecker</t>
  </si>
  <si>
    <t>1929 Duke Ave</t>
  </si>
  <si>
    <t>78504-5712</t>
  </si>
  <si>
    <t>leeandjohn.1@juno.com</t>
  </si>
  <si>
    <t>ALQ0301CG020</t>
  </si>
  <si>
    <t>ALR160402123</t>
  </si>
  <si>
    <t>Mrs. Mary E. Miller</t>
  </si>
  <si>
    <t>17283 Rosy Mound Ln Apt 127</t>
  </si>
  <si>
    <t>Grand Haven</t>
  </si>
  <si>
    <t>49417-7651</t>
  </si>
  <si>
    <t>wmme2@gte.net</t>
  </si>
  <si>
    <t>ALR221113C30</t>
  </si>
  <si>
    <t>Griffith</t>
  </si>
  <si>
    <t>David and Marge Griffith</t>
  </si>
  <si>
    <t>David and Marge</t>
  </si>
  <si>
    <t>2101 Nuuanu Avenue #204</t>
  </si>
  <si>
    <t>96817-1765</t>
  </si>
  <si>
    <t>daglight@yahoo.com</t>
  </si>
  <si>
    <t>dagriffith@gmail.com</t>
  </si>
  <si>
    <t>ALQ0301EG014</t>
  </si>
  <si>
    <t>ALR12XX0W001</t>
  </si>
  <si>
    <t>Mr. Charles O. Johnson</t>
  </si>
  <si>
    <t>3565 Prairie Ln</t>
  </si>
  <si>
    <t>60450-8558</t>
  </si>
  <si>
    <t>cjohnson0969@comcast.net</t>
  </si>
  <si>
    <t>chas.johnson@hotmail.com</t>
  </si>
  <si>
    <t>1835 SW Woodridge Ct</t>
  </si>
  <si>
    <t>97338-2370</t>
  </si>
  <si>
    <t>kathrynvross@gmail.com</t>
  </si>
  <si>
    <t>ALQ0301DG037</t>
  </si>
  <si>
    <t>ALR2106D0DMC</t>
  </si>
  <si>
    <t>oregontwo@msn.com</t>
  </si>
  <si>
    <t>Gustafson</t>
  </si>
  <si>
    <t>Diana Gustafson</t>
  </si>
  <si>
    <t>1220 Bristol Ct</t>
  </si>
  <si>
    <t>Shorewood</t>
  </si>
  <si>
    <t>60404-0540</t>
  </si>
  <si>
    <t>ALQ0211BE015</t>
  </si>
  <si>
    <t>ALA16070A13C</t>
  </si>
  <si>
    <t>ALR170402033</t>
  </si>
  <si>
    <t>Creswell</t>
  </si>
  <si>
    <t>Mr. Tom G. Creswell</t>
  </si>
  <si>
    <t>1300 N Fir Villa Rd</t>
  </si>
  <si>
    <t>97338-9637</t>
  </si>
  <si>
    <t>creswell@pacifier.com</t>
  </si>
  <si>
    <t>Dr. James R. Hoefert</t>
  </si>
  <si>
    <t>13940 W Meeker Blvd Ste 115</t>
  </si>
  <si>
    <t>85375-4495</t>
  </si>
  <si>
    <t>bhoefert@gmail.com</t>
  </si>
  <si>
    <t>jhoefert@ymail.com</t>
  </si>
  <si>
    <t>ALQ0302BH017</t>
  </si>
  <si>
    <t>ALA16110F56H</t>
  </si>
  <si>
    <t>Ryba</t>
  </si>
  <si>
    <t>1301 S 3rd Ave Unit 20A</t>
  </si>
  <si>
    <t>98382-3963</t>
  </si>
  <si>
    <t>fjryba@gmail.com</t>
  </si>
  <si>
    <t>ALQ0302AH009</t>
  </si>
  <si>
    <t>Mr. Roy Goodall</t>
  </si>
  <si>
    <t>5018 8th Ave NE</t>
  </si>
  <si>
    <t>98105-3603</t>
  </si>
  <si>
    <t>ALQ0211AE041</t>
  </si>
  <si>
    <t>ALR180603033</t>
  </si>
  <si>
    <t>ALR050401002</t>
  </si>
  <si>
    <t>Linda West</t>
  </si>
  <si>
    <t>3121 W Joliet Rd</t>
  </si>
  <si>
    <t>46350-9428</t>
  </si>
  <si>
    <t>gardwest@yahoo.com</t>
  </si>
  <si>
    <t>gardwest@verizon.net</t>
  </si>
  <si>
    <t>ALQ0302AH044</t>
  </si>
  <si>
    <t>Griesemer</t>
  </si>
  <si>
    <t>37463 Liverpool Ln</t>
  </si>
  <si>
    <t>19971-4018</t>
  </si>
  <si>
    <t>sgfrva@gmail.com</t>
  </si>
  <si>
    <t>sgfrde@gmail.com</t>
  </si>
  <si>
    <t>ALQ0302GH069</t>
  </si>
  <si>
    <t>ALA24030B15A</t>
  </si>
  <si>
    <t>ALR150603054</t>
  </si>
  <si>
    <t>Jocelyn</t>
  </si>
  <si>
    <t>1809 E 115th St</t>
  </si>
  <si>
    <t>55337-1204</t>
  </si>
  <si>
    <t>jocelyn.cox@comcast.net</t>
  </si>
  <si>
    <t>jocelyn.cox@comcast.ney</t>
  </si>
  <si>
    <t>ALQ0302FH074</t>
  </si>
  <si>
    <t>ALR111003EDT</t>
  </si>
  <si>
    <t>16690 W Pacheco Ct</t>
  </si>
  <si>
    <t>85387-8271</t>
  </si>
  <si>
    <t>bon321@cox.net</t>
  </si>
  <si>
    <t>ALQ0302CH039</t>
  </si>
  <si>
    <t>ALR100705003</t>
  </si>
  <si>
    <t>Ms. Norma Lehman</t>
  </si>
  <si>
    <t>1615 E Boot Rd Apt L119</t>
  </si>
  <si>
    <t>19380-6063</t>
  </si>
  <si>
    <t>ALQ0302AH052</t>
  </si>
  <si>
    <t>ALR200301C23</t>
  </si>
  <si>
    <t>Mrs. Julia L. and Mr. James M. Peak</t>
  </si>
  <si>
    <t>Julia and James</t>
  </si>
  <si>
    <t>4832 Costa De Oro Rd</t>
  </si>
  <si>
    <t>79922-1703</t>
  </si>
  <si>
    <t>ALA23070A44A</t>
  </si>
  <si>
    <t>ALR180401033</t>
  </si>
  <si>
    <t>PO Box 1059</t>
  </si>
  <si>
    <t>89423-1059</t>
  </si>
  <si>
    <t>khufhu@sbcglobal.net</t>
  </si>
  <si>
    <t>ALQ0302FH068</t>
  </si>
  <si>
    <t>ALS170301WS3</t>
  </si>
  <si>
    <t>Kenik</t>
  </si>
  <si>
    <t>Mrs. Mary Ann Kenik</t>
  </si>
  <si>
    <t>265 Orchard St</t>
  </si>
  <si>
    <t>Jacksboro</t>
  </si>
  <si>
    <t>37757-2324</t>
  </si>
  <si>
    <t>mkenik@comcast.net</t>
  </si>
  <si>
    <t>ALQ0302FH071</t>
  </si>
  <si>
    <t>ALA24030B24A</t>
  </si>
  <si>
    <t>Fennema</t>
  </si>
  <si>
    <t>Sandra Fennema</t>
  </si>
  <si>
    <t>2818 S 71st St</t>
  </si>
  <si>
    <t>53219-2951</t>
  </si>
  <si>
    <t>sandybeach46@att.net</t>
  </si>
  <si>
    <t>ALQ0302GH068</t>
  </si>
  <si>
    <t>ALR230110C54</t>
  </si>
  <si>
    <t>11400 W Parmer Ln Apt 121</t>
  </si>
  <si>
    <t>78613-4865</t>
  </si>
  <si>
    <t>emeosky@cinci.rr.com</t>
  </si>
  <si>
    <t>ALR201106C54</t>
  </si>
  <si>
    <t>Carley</t>
  </si>
  <si>
    <t>Reginald</t>
  </si>
  <si>
    <t>Grady</t>
  </si>
  <si>
    <t>Cynthia Carley and Reginald Grady</t>
  </si>
  <si>
    <t>Cynthia and Reginald</t>
  </si>
  <si>
    <t>230 Chesterton Pl</t>
  </si>
  <si>
    <t>San Mateo</t>
  </si>
  <si>
    <t>94401-2510</t>
  </si>
  <si>
    <t>cynthiacarley@mac.com</t>
  </si>
  <si>
    <t>countrygirl@rcn.com</t>
  </si>
  <si>
    <t>ALQ0209BC010</t>
  </si>
  <si>
    <t>ALR110803203</t>
  </si>
  <si>
    <t>Cederholm</t>
  </si>
  <si>
    <t>Mrs. Theresa D. and Mr. John T. Cederholm</t>
  </si>
  <si>
    <t>Theresa and John</t>
  </si>
  <si>
    <t>73 East Ave</t>
  </si>
  <si>
    <t>02738-1926</t>
  </si>
  <si>
    <t>cedarholm@comcast.net</t>
  </si>
  <si>
    <t>cederholm@comcast.net</t>
  </si>
  <si>
    <t>ADA200301001</t>
  </si>
  <si>
    <t>ALR160400001</t>
  </si>
  <si>
    <t>Mrs. Victoria A. Werner</t>
  </si>
  <si>
    <t>3878 Valley Brook Rd</t>
  </si>
  <si>
    <t>Snellville</t>
  </si>
  <si>
    <t>30039-4281</t>
  </si>
  <si>
    <t>wernerroadrunner@comcast.net</t>
  </si>
  <si>
    <t>wernerroadrunner@bellsouth.net</t>
  </si>
  <si>
    <t>ALQ030001002</t>
  </si>
  <si>
    <t>ALR090701103</t>
  </si>
  <si>
    <t>Kysilka</t>
  </si>
  <si>
    <t>Ms. Marcella L. Kysilka</t>
  </si>
  <si>
    <t>32 N Hershey Ave</t>
  </si>
  <si>
    <t>Leola</t>
  </si>
  <si>
    <t>17540-1616</t>
  </si>
  <si>
    <t>ALQ0307EA022</t>
  </si>
  <si>
    <t>Mr. Thomas E. Farmer</t>
  </si>
  <si>
    <t>3335 Hubal Ave SW</t>
  </si>
  <si>
    <t>49519-3393</t>
  </si>
  <si>
    <t>farmert3@aol.com</t>
  </si>
  <si>
    <t>ALQ0307AA020</t>
  </si>
  <si>
    <t>ALA2012S7EM1</t>
  </si>
  <si>
    <t>Yardena and Nancy Montague-Rand</t>
  </si>
  <si>
    <t>Yardena and Nancy</t>
  </si>
  <si>
    <t>25 Morning Glory Rd</t>
  </si>
  <si>
    <t>02864-2393</t>
  </si>
  <si>
    <t>yardena3@verizon.net</t>
  </si>
  <si>
    <t>nancymc7@aol.com</t>
  </si>
  <si>
    <t>ALQ0307DA037</t>
  </si>
  <si>
    <t>ALS191101WS3</t>
  </si>
  <si>
    <t>ALR140105044</t>
  </si>
  <si>
    <t>David E. Rasmussen</t>
  </si>
  <si>
    <t>323 N 18th St</t>
  </si>
  <si>
    <t>68008-1503</t>
  </si>
  <si>
    <t>ea323ras@hotmail.com</t>
  </si>
  <si>
    <t>dbrass@hotmail.com</t>
  </si>
  <si>
    <t>ALQ0307EA067</t>
  </si>
  <si>
    <t>ALR240204C33</t>
  </si>
  <si>
    <t>ALR123647EMC</t>
  </si>
  <si>
    <t>Jimmy</t>
  </si>
  <si>
    <t>Mr. Jimmy Robinson</t>
  </si>
  <si>
    <t>33 Johnson Ave</t>
  </si>
  <si>
    <t>Mt Sterling</t>
  </si>
  <si>
    <t>40353-1060</t>
  </si>
  <si>
    <t>jimmyjar49@aol.com</t>
  </si>
  <si>
    <t>ALQ0307FA038</t>
  </si>
  <si>
    <t>ALR180102023</t>
  </si>
  <si>
    <t>Keenan</t>
  </si>
  <si>
    <t>Miss Diane Keenan</t>
  </si>
  <si>
    <t>1405 Macarthur Rd</t>
  </si>
  <si>
    <t>68901-2834</t>
  </si>
  <si>
    <t>ALQ0307AA062</t>
  </si>
  <si>
    <t>ALA23110A21A</t>
  </si>
  <si>
    <t>ALR220101C23</t>
  </si>
  <si>
    <t>Rodney Woods</t>
  </si>
  <si>
    <t>906 Hillcrest Dr</t>
  </si>
  <si>
    <t>Martinsburg</t>
  </si>
  <si>
    <t>25401-9222</t>
  </si>
  <si>
    <t>rpwoods@comcast.net</t>
  </si>
  <si>
    <t>woodscb@hotmail.com</t>
  </si>
  <si>
    <t>ALR120701004</t>
  </si>
  <si>
    <t>Sue Quinn</t>
  </si>
  <si>
    <t>PO Box 7742</t>
  </si>
  <si>
    <t>South Lake Tahoe</t>
  </si>
  <si>
    <t>96158-0742</t>
  </si>
  <si>
    <t>ALQ0307BA039</t>
  </si>
  <si>
    <t>Bonollo</t>
  </si>
  <si>
    <t>13045 N Pier Mountain Rd</t>
  </si>
  <si>
    <t>Marana</t>
  </si>
  <si>
    <t>85658-4227</t>
  </si>
  <si>
    <t>jamesbonollo@msn.com</t>
  </si>
  <si>
    <t>ALQ0307AA002</t>
  </si>
  <si>
    <t>Mcconkey</t>
  </si>
  <si>
    <t>Ms. Sally A. Mcconkey</t>
  </si>
  <si>
    <t>2514 Pembrook Pt</t>
  </si>
  <si>
    <t>61821-6988</t>
  </si>
  <si>
    <t>mcconkey.sally@gmail.com</t>
  </si>
  <si>
    <t>ALQ0307FA075</t>
  </si>
  <si>
    <t>ALA15080C15A</t>
  </si>
  <si>
    <t>Cunniff</t>
  </si>
  <si>
    <t>Mr. Patrick Cunniff</t>
  </si>
  <si>
    <t>5017 Drum Ct</t>
  </si>
  <si>
    <t>Waldorf</t>
  </si>
  <si>
    <t>20603-4224</t>
  </si>
  <si>
    <t>gebraugh49@hotmail.com</t>
  </si>
  <si>
    <t>gobraugh49@hotmail.com</t>
  </si>
  <si>
    <t>ALQ0307BA059</t>
  </si>
  <si>
    <t>ALR230203C44</t>
  </si>
  <si>
    <t>ALR040801001</t>
  </si>
  <si>
    <t>Musser</t>
  </si>
  <si>
    <t>Dale and Cheryl Musser</t>
  </si>
  <si>
    <t>Dale and Cheryl</t>
  </si>
  <si>
    <t>5546 Rawhide Ct</t>
  </si>
  <si>
    <t>89120-2227</t>
  </si>
  <si>
    <t>musserfly@gmail.com</t>
  </si>
  <si>
    <t>musserfly@cox.net</t>
  </si>
  <si>
    <t>Mary Lou Petersen</t>
  </si>
  <si>
    <t>3728 Thunder Ridge Rd Apt 317</t>
  </si>
  <si>
    <t>52722-1223</t>
  </si>
  <si>
    <t>maryp470@aol.com</t>
  </si>
  <si>
    <t>ALQ0307IA010</t>
  </si>
  <si>
    <t>ALS220301512</t>
  </si>
  <si>
    <t>ALR110801004</t>
  </si>
  <si>
    <t>Ms. Barbara George</t>
  </si>
  <si>
    <t>4104 NE 142nd Ct</t>
  </si>
  <si>
    <t>73013-7288</t>
  </si>
  <si>
    <t>bgeorge5@cox.net</t>
  </si>
  <si>
    <t>ALR220704C33</t>
  </si>
  <si>
    <t>ALR150203033</t>
  </si>
  <si>
    <t>Kurz</t>
  </si>
  <si>
    <t>1300 Central St</t>
  </si>
  <si>
    <t>60201-1678</t>
  </si>
  <si>
    <t>ALQ0308AB050</t>
  </si>
  <si>
    <t>ALL230001999</t>
  </si>
  <si>
    <t>ALR101105004</t>
  </si>
  <si>
    <t>Lux</t>
  </si>
  <si>
    <t>206 Ashland Avenue</t>
  </si>
  <si>
    <t>River Forest</t>
  </si>
  <si>
    <t>60305-2108</t>
  </si>
  <si>
    <t>ALQ0308AB020</t>
  </si>
  <si>
    <t>PO Box 288</t>
  </si>
  <si>
    <t>Girdwood</t>
  </si>
  <si>
    <t>99587-0288</t>
  </si>
  <si>
    <t>ALQ0307BA078</t>
  </si>
  <si>
    <t>Earl</t>
  </si>
  <si>
    <t>178 Thomas S Boyland</t>
  </si>
  <si>
    <t>#3B</t>
  </si>
  <si>
    <t>downtown@gleeclub.org</t>
  </si>
  <si>
    <t>ALQ0308BB044</t>
  </si>
  <si>
    <t>ALR050912001</t>
  </si>
  <si>
    <t>ALR040903001</t>
  </si>
  <si>
    <t>David and Celeste Ulmer</t>
  </si>
  <si>
    <t>David and Celeste</t>
  </si>
  <si>
    <t>193 S Salem Rd</t>
  </si>
  <si>
    <t>06877-4832</t>
  </si>
  <si>
    <t>daveulmerbof@comcast.net</t>
  </si>
  <si>
    <t>daveulmerbof@comcast.nett</t>
  </si>
  <si>
    <t>Tom and Sara Grimm</t>
  </si>
  <si>
    <t>Tom and Sara</t>
  </si>
  <si>
    <t>506 Heron Bay</t>
  </si>
  <si>
    <t>44281-8246</t>
  </si>
  <si>
    <t>saraohio44@yahoo.com</t>
  </si>
  <si>
    <t>grimmts@yahoo.com</t>
  </si>
  <si>
    <t>ALA030700001</t>
  </si>
  <si>
    <t>ALA2107D1DMC</t>
  </si>
  <si>
    <t>ALR100903004</t>
  </si>
  <si>
    <t>Idle</t>
  </si>
  <si>
    <t>Dixie Idle</t>
  </si>
  <si>
    <t>9741 State Route 245</t>
  </si>
  <si>
    <t>De Graff</t>
  </si>
  <si>
    <t>43318-9518</t>
  </si>
  <si>
    <t>ALQ0308EB005</t>
  </si>
  <si>
    <t>ALR240402C54</t>
  </si>
  <si>
    <t>Patricia N. Fowler</t>
  </si>
  <si>
    <t>200 Bristol Glen Dr Apt 417</t>
  </si>
  <si>
    <t>07860-2336</t>
  </si>
  <si>
    <t>ALQ0308CB017</t>
  </si>
  <si>
    <t>ALQ2401AG002</t>
  </si>
  <si>
    <t>Gillig</t>
  </si>
  <si>
    <t>Ms. Irene Gillig</t>
  </si>
  <si>
    <t>3911 Sherwood Blvd</t>
  </si>
  <si>
    <t>Delray Beach</t>
  </si>
  <si>
    <t>33445-5654</t>
  </si>
  <si>
    <t>delrayfolk@yahoo.com</t>
  </si>
  <si>
    <t>ALQ0307GA038</t>
  </si>
  <si>
    <t>ALR150400001</t>
  </si>
  <si>
    <t>Tom and Sally Myrick</t>
  </si>
  <si>
    <t>Tom and Sally</t>
  </si>
  <si>
    <t>1736 Asturias St</t>
  </si>
  <si>
    <t>32080-5565</t>
  </si>
  <si>
    <t>ALQ0308CB048</t>
  </si>
  <si>
    <t>ALR130301133</t>
  </si>
  <si>
    <t>neflsally@bellsouth.net</t>
  </si>
  <si>
    <t>smyrick@ceajaxnfl.org</t>
  </si>
  <si>
    <t>Mrs. Jeanne M. Elliott</t>
  </si>
  <si>
    <t>712 SE Swainson Ln</t>
  </si>
  <si>
    <t>College Place</t>
  </si>
  <si>
    <t>99324-1683</t>
  </si>
  <si>
    <t>djelliottsea@aol.com</t>
  </si>
  <si>
    <t>ALQ0308CB011</t>
  </si>
  <si>
    <t>Ewan</t>
  </si>
  <si>
    <t>Lorraine and Glenn Ewan</t>
  </si>
  <si>
    <t>Lorraine and Glenn</t>
  </si>
  <si>
    <t>1912 Hollylake Cir</t>
  </si>
  <si>
    <t>Tyler</t>
  </si>
  <si>
    <t>75703-3396</t>
  </si>
  <si>
    <t>lorraine@gewan.lls</t>
  </si>
  <si>
    <t>ALQ0308FB017</t>
  </si>
  <si>
    <t>ALR230201C33</t>
  </si>
  <si>
    <t>ALA091105012</t>
  </si>
  <si>
    <t>Malaga</t>
  </si>
  <si>
    <t>Jasmine</t>
  </si>
  <si>
    <t>Stirling</t>
  </si>
  <si>
    <t>Mr. Michael W. Malaga and Ms. Jasmine Stirling</t>
  </si>
  <si>
    <t>Michael and Jasmine</t>
  </si>
  <si>
    <t>22 Parnassus Ave</t>
  </si>
  <si>
    <t>94117-4343</t>
  </si>
  <si>
    <t>malaga7@yahoo.com</t>
  </si>
  <si>
    <t>michael@mmalaga.com</t>
  </si>
  <si>
    <t>ADA040002009</t>
  </si>
  <si>
    <t>EEO190001002</t>
  </si>
  <si>
    <t>ADA080001001</t>
  </si>
  <si>
    <t>Mrs. Judy Ullrich</t>
  </si>
  <si>
    <t>16925 State Road 148</t>
  </si>
  <si>
    <t>47001-8912</t>
  </si>
  <si>
    <t>jullrich@embarqmail.com</t>
  </si>
  <si>
    <t>ALA22010E14R</t>
  </si>
  <si>
    <t>ALL18070B5BM</t>
  </si>
  <si>
    <t>Mrs. Suzanne Cornell</t>
  </si>
  <si>
    <t>709 Arbor Ln</t>
  </si>
  <si>
    <t>19348-2592</t>
  </si>
  <si>
    <t>suzcornell@verizon.net</t>
  </si>
  <si>
    <t>suzcomell@verizon.net</t>
  </si>
  <si>
    <t>ALQ0308AB047</t>
  </si>
  <si>
    <t>ALA14040B25A</t>
  </si>
  <si>
    <t>Couillard</t>
  </si>
  <si>
    <t>Ms. Lauren B. Couillard</t>
  </si>
  <si>
    <t>3672 Ridge Rd</t>
  </si>
  <si>
    <t>53531-9649</t>
  </si>
  <si>
    <t>ALQ0309EC023</t>
  </si>
  <si>
    <t>ALL170702999</t>
  </si>
  <si>
    <t>Cairns</t>
  </si>
  <si>
    <t>Mr. Robert W. Cairns</t>
  </si>
  <si>
    <t>20443 N Lemon Drop Dr</t>
  </si>
  <si>
    <t>Maricopa</t>
  </si>
  <si>
    <t>85138-3145</t>
  </si>
  <si>
    <t>ccairns98@aol.com</t>
  </si>
  <si>
    <t>ALQ0309AC018</t>
  </si>
  <si>
    <t>Dietz</t>
  </si>
  <si>
    <t>Mr. Kevin G. Dietz</t>
  </si>
  <si>
    <t>33 Gillaspey Ave</t>
  </si>
  <si>
    <t>Crested Butte</t>
  </si>
  <si>
    <t>81224-9617</t>
  </si>
  <si>
    <t>digitime57@aol.com</t>
  </si>
  <si>
    <t>nelldietz@aol.com</t>
  </si>
  <si>
    <t>ALQ0309AC029</t>
  </si>
  <si>
    <t>ALA14010C15A</t>
  </si>
  <si>
    <t>Ingrid</t>
  </si>
  <si>
    <t>Ms. Ingrid Gaston</t>
  </si>
  <si>
    <t>1745 Green Valley Rd</t>
  </si>
  <si>
    <t>95993-7001</t>
  </si>
  <si>
    <t>arcata@succeed.net</t>
  </si>
  <si>
    <t>lgastom39@gmail.com</t>
  </si>
  <si>
    <t>ALQ0309CC023</t>
  </si>
  <si>
    <t>ALL22040B7BM</t>
  </si>
  <si>
    <t>ALR060203003</t>
  </si>
  <si>
    <t>Barr</t>
  </si>
  <si>
    <t>Ed and Marilyn Barr</t>
  </si>
  <si>
    <t>Ed and Marilyn</t>
  </si>
  <si>
    <t>PO Box 71</t>
  </si>
  <si>
    <t>20895-0071</t>
  </si>
  <si>
    <t>edward.barr@wap.org</t>
  </si>
  <si>
    <t>ALQ0309AC021</t>
  </si>
  <si>
    <t>ALR171103044</t>
  </si>
  <si>
    <t>ALR071102004</t>
  </si>
  <si>
    <t>Dow</t>
  </si>
  <si>
    <t>David Dow</t>
  </si>
  <si>
    <t>2121 W State Highway 6 Apt 1409</t>
  </si>
  <si>
    <t>Waco</t>
  </si>
  <si>
    <t>76710-4048</t>
  </si>
  <si>
    <t>docwod@sbcglobal.net</t>
  </si>
  <si>
    <t>ALQ0309CC015</t>
  </si>
  <si>
    <t>ALR051101002</t>
  </si>
  <si>
    <t>McQoid</t>
  </si>
  <si>
    <t>Mrs. Sydney McQoid and Mr. Tim Reichard</t>
  </si>
  <si>
    <t>Sydney and Tim</t>
  </si>
  <si>
    <t>2700 Summit Dr Apt 203</t>
  </si>
  <si>
    <t>60025-7655</t>
  </si>
  <si>
    <t>tim_reichard@tx.rr.com</t>
  </si>
  <si>
    <t>tim_reichard@ieee.org</t>
  </si>
  <si>
    <t>ALQ0309FC001</t>
  </si>
  <si>
    <t>ALA2111D1DM2</t>
  </si>
  <si>
    <t>Terri and Dana Castrup</t>
  </si>
  <si>
    <t>Terri and Dana</t>
  </si>
  <si>
    <t>1203 10th St</t>
  </si>
  <si>
    <t>90254-4348</t>
  </si>
  <si>
    <t>terricastrup@aol.com</t>
  </si>
  <si>
    <t>ALQ0310BD028</t>
  </si>
  <si>
    <t>ALR200202C33</t>
  </si>
  <si>
    <t>ALA14020J13C</t>
  </si>
  <si>
    <t>Ms. Kathryn Graybill</t>
  </si>
  <si>
    <t>40 Tiemann Pl Apt 6B</t>
  </si>
  <si>
    <t>10027-3315</t>
  </si>
  <si>
    <t>katgraybill@yahoo.com</t>
  </si>
  <si>
    <t>ALQ0310DD023</t>
  </si>
  <si>
    <t>ALR22070W001</t>
  </si>
  <si>
    <t>ALR190504054</t>
  </si>
  <si>
    <t>Barbara C. Worrest</t>
  </si>
  <si>
    <t>3 Seneca Dr</t>
  </si>
  <si>
    <t>01749-3126</t>
  </si>
  <si>
    <t>ALQ0309AC034</t>
  </si>
  <si>
    <t>ALA13110524A</t>
  </si>
  <si>
    <t>Canning Hall</t>
  </si>
  <si>
    <t>Sharon Canning Hall</t>
  </si>
  <si>
    <t>PO Box 1853</t>
  </si>
  <si>
    <t>Trinity</t>
  </si>
  <si>
    <t>75862-1853</t>
  </si>
  <si>
    <t>sharonreaganhall@gmail.com</t>
  </si>
  <si>
    <t>ALQ0310FD005</t>
  </si>
  <si>
    <t>ALA23080A21C</t>
  </si>
  <si>
    <t>ALR140301013</t>
  </si>
  <si>
    <t>5932 Pulaski Ave</t>
  </si>
  <si>
    <t>ALR080001001</t>
  </si>
  <si>
    <t>ALR100102004</t>
  </si>
  <si>
    <t>Mr. Gregg W. Morton</t>
  </si>
  <si>
    <t>5744 Plymouth St</t>
  </si>
  <si>
    <t>60516-1229</t>
  </si>
  <si>
    <t>eaglesong60516@yahoo.com</t>
  </si>
  <si>
    <t>ALQ0309GC006</t>
  </si>
  <si>
    <t>Kathryn and Tom Roth</t>
  </si>
  <si>
    <t>Kathryn and Tom</t>
  </si>
  <si>
    <t>5604 Wester Way Dr</t>
  </si>
  <si>
    <t>76013-5232</t>
  </si>
  <si>
    <t>kathyroth54@yahoo.com</t>
  </si>
  <si>
    <t>kroth@fwpetrolclub.com</t>
  </si>
  <si>
    <t>ALQ0310ED006</t>
  </si>
  <si>
    <t>ALR161202033</t>
  </si>
  <si>
    <t>Del</t>
  </si>
  <si>
    <t>Mrs. Del S. Snow</t>
  </si>
  <si>
    <t>312 East Grand Lake Boulevard</t>
  </si>
  <si>
    <t>West Chicago</t>
  </si>
  <si>
    <t>60185-2261</t>
  </si>
  <si>
    <t>ALQ0307FA008</t>
  </si>
  <si>
    <t>Tambling</t>
  </si>
  <si>
    <t>Ms. Joan Tambling</t>
  </si>
  <si>
    <t>66 Kendal Ln</t>
  </si>
  <si>
    <t>Strafford</t>
  </si>
  <si>
    <t>03884-6624</t>
  </si>
  <si>
    <t>joantambli@aol.com</t>
  </si>
  <si>
    <t>ALQ0309AC026</t>
  </si>
  <si>
    <t>ALA2403D2EMC</t>
  </si>
  <si>
    <t>ALA21080B15A</t>
  </si>
  <si>
    <t>The Honorable</t>
  </si>
  <si>
    <t>Jewell</t>
  </si>
  <si>
    <t>The Honorable Sally M. and Mr. Warren Jewell</t>
  </si>
  <si>
    <t>Sally and Warren</t>
  </si>
  <si>
    <t>2201 Sunset Ave SW</t>
  </si>
  <si>
    <t>98116-2148</t>
  </si>
  <si>
    <t>sally@srjassociates.com</t>
  </si>
  <si>
    <t>sally@jewelltech.net</t>
  </si>
  <si>
    <t>AGA050001008</t>
  </si>
  <si>
    <t>ADA230001M01:TILLMATCH</t>
  </si>
  <si>
    <t>warren@jewelltech.net</t>
  </si>
  <si>
    <t>Ste-Marie</t>
  </si>
  <si>
    <t>Mrs. Janet L. Ste-Marie</t>
  </si>
  <si>
    <t>11309 Johnson Ave S</t>
  </si>
  <si>
    <t>55437-3522</t>
  </si>
  <si>
    <t>jlste.marie@landolakes.com</t>
  </si>
  <si>
    <t>ALQ0311BE037</t>
  </si>
  <si>
    <t>ALA24010E11A</t>
  </si>
  <si>
    <t>Pat and Dennis</t>
  </si>
  <si>
    <t>2008 S 282nd St</t>
  </si>
  <si>
    <t>98003-3204</t>
  </si>
  <si>
    <t>ALQ0311AE037</t>
  </si>
  <si>
    <t>ALR150501033</t>
  </si>
  <si>
    <t>Darla</t>
  </si>
  <si>
    <t>Lemke</t>
  </si>
  <si>
    <t>Mrs. Darla Lemke</t>
  </si>
  <si>
    <t>7971 Pine Country Ln</t>
  </si>
  <si>
    <t>86004-1214</t>
  </si>
  <si>
    <t>djandmoose@gmail.com</t>
  </si>
  <si>
    <t>clemke@cox.net</t>
  </si>
  <si>
    <t>ALQ0311DE015</t>
  </si>
  <si>
    <t>Cindy Scott</t>
  </si>
  <si>
    <t>4225 Elizabeth Ln</t>
  </si>
  <si>
    <t>55127-7948</t>
  </si>
  <si>
    <t>djscottce11@gmail.com</t>
  </si>
  <si>
    <t>ALZ030002001</t>
  </si>
  <si>
    <t>Kari</t>
  </si>
  <si>
    <t>Gundrum</t>
  </si>
  <si>
    <t>Mrs. Kari Gundrum</t>
  </si>
  <si>
    <t>12839 W Colfax Pl</t>
  </si>
  <si>
    <t>53007-1209</t>
  </si>
  <si>
    <t>bkgundrum1@gmail.com</t>
  </si>
  <si>
    <t>bkgundrum@sbcglobal.net</t>
  </si>
  <si>
    <t>ALR231204C33</t>
  </si>
  <si>
    <t>Ralph E. King</t>
  </si>
  <si>
    <t>36 Barkley Cir Apt 212</t>
  </si>
  <si>
    <t>33907-7513</t>
  </si>
  <si>
    <t>thekingandi109@embarqmail.com</t>
  </si>
  <si>
    <t>thekingandi109@earthlink.net</t>
  </si>
  <si>
    <t>ALQ0311DE029</t>
  </si>
  <si>
    <t>ALR210702C44</t>
  </si>
  <si>
    <t>Ridgley</t>
  </si>
  <si>
    <t>Mrs. Katherine and Mr. Robert Ridgley</t>
  </si>
  <si>
    <t>Robert and Katherine</t>
  </si>
  <si>
    <t>3213 Korte Ct</t>
  </si>
  <si>
    <t>22042-3760</t>
  </si>
  <si>
    <t>bobsofine409@gmail.com</t>
  </si>
  <si>
    <t>10207qk1316@cox.net</t>
  </si>
  <si>
    <t>Leeker</t>
  </si>
  <si>
    <t>1626 La Palma Dr</t>
  </si>
  <si>
    <t>63026-2301</t>
  </si>
  <si>
    <t>cglkrx@gmail.com</t>
  </si>
  <si>
    <t>cglker@yahoo.com</t>
  </si>
  <si>
    <t>Ms. Joyce C. Doria</t>
  </si>
  <si>
    <t>4651 Gulf Shore Blvd. N. #1902</t>
  </si>
  <si>
    <t>joycedoria2@gmail.com</t>
  </si>
  <si>
    <t>doriajoyce@verizon.net</t>
  </si>
  <si>
    <t>CDG090002001</t>
  </si>
  <si>
    <t>Bannan-Baurecht</t>
  </si>
  <si>
    <t>Baurecht</t>
  </si>
  <si>
    <t>Dr. Helen Bannan-Baurecht and Dr. William Baurecht</t>
  </si>
  <si>
    <t>Helen and William</t>
  </si>
  <si>
    <t>5457 N Bay Ridge Ave</t>
  </si>
  <si>
    <t>53217-5106</t>
  </si>
  <si>
    <t>helenbanbau@gmail.com</t>
  </si>
  <si>
    <t>bannan@uwosh.edu</t>
  </si>
  <si>
    <t>baurecht@uwosh.edu</t>
  </si>
  <si>
    <t>Tamlin</t>
  </si>
  <si>
    <t>Fortner</t>
  </si>
  <si>
    <t>7322 Britton Dr</t>
  </si>
  <si>
    <t>31904-2324</t>
  </si>
  <si>
    <t>ALR221203C64</t>
  </si>
  <si>
    <t>Lee-Hillman</t>
  </si>
  <si>
    <t>PO Box 1215</t>
  </si>
  <si>
    <t>98236-1215</t>
  </si>
  <si>
    <t>dleehill@yahoo.com</t>
  </si>
  <si>
    <t>ALQ0311DE033</t>
  </si>
  <si>
    <t>ALR140407054</t>
  </si>
  <si>
    <t>ALR130405033</t>
  </si>
  <si>
    <t>Mr. Richard B. Evans</t>
  </si>
  <si>
    <t>Mr. Evans</t>
  </si>
  <si>
    <t>2904 Peach Tree Street</t>
  </si>
  <si>
    <t>ALA040001001</t>
  </si>
  <si>
    <t>ALA11040U15A</t>
  </si>
  <si>
    <t>Karen and Bruce</t>
  </si>
  <si>
    <t>PO Box 660</t>
  </si>
  <si>
    <t>677 Tennessee Rd</t>
  </si>
  <si>
    <t>Winlock</t>
  </si>
  <si>
    <t>98596-0660</t>
  </si>
  <si>
    <t>ladyhiker48@yahoo.com</t>
  </si>
  <si>
    <t>bbaldbowman@yahoo.com</t>
  </si>
  <si>
    <t>ALQ0310BD031</t>
  </si>
  <si>
    <t>ALS160201WS3</t>
  </si>
  <si>
    <t>ALA050401003</t>
  </si>
  <si>
    <t>Ms. Frances Ulmer</t>
  </si>
  <si>
    <t>PO Box 240301</t>
  </si>
  <si>
    <t>faulmer@gmail.com</t>
  </si>
  <si>
    <t>fran@franulmer.com</t>
  </si>
  <si>
    <t>AGA050001002</t>
  </si>
  <si>
    <t>McCown</t>
  </si>
  <si>
    <t>Mr. Charles F. McCown</t>
  </si>
  <si>
    <t>173 W 78th St Apt 3D</t>
  </si>
  <si>
    <t>10024-6710</t>
  </si>
  <si>
    <t>chalieesazo@gmail.com</t>
  </si>
  <si>
    <t>XNNEB4606</t>
  </si>
  <si>
    <t>ALR220104C33</t>
  </si>
  <si>
    <t>ALA19010C23A</t>
  </si>
  <si>
    <t>Argersinger</t>
  </si>
  <si>
    <t>Bill Argersinger</t>
  </si>
  <si>
    <t>1323 N 1770 Rd</t>
  </si>
  <si>
    <t>66044-9195</t>
  </si>
  <si>
    <t>ALQ0401GG009</t>
  </si>
  <si>
    <t>ALL22110C53M</t>
  </si>
  <si>
    <t>ALA20010B33A</t>
  </si>
  <si>
    <t>Gans Walters</t>
  </si>
  <si>
    <t>Marjorie Gans Walters and Philip Walters</t>
  </si>
  <si>
    <t>Marjorie and Philip</t>
  </si>
  <si>
    <t>1930 NW Irving St Apt 404</t>
  </si>
  <si>
    <t>97209-1267</t>
  </si>
  <si>
    <t>jimconnolly00@gmail.com</t>
  </si>
  <si>
    <t>ALQ0312AF021</t>
  </si>
  <si>
    <t>plwalt@comcast.net</t>
  </si>
  <si>
    <t>781 Mcarthur St</t>
  </si>
  <si>
    <t>54935-3814</t>
  </si>
  <si>
    <t>rphflutist@sbcglobal.net</t>
  </si>
  <si>
    <t>ALQ0401EG042</t>
  </si>
  <si>
    <t>ALR240200EMC</t>
  </si>
  <si>
    <t>ALA060301003</t>
  </si>
  <si>
    <t>Mrs. H. Ward</t>
  </si>
  <si>
    <t>Mrs. Ward</t>
  </si>
  <si>
    <t>50 E 8th St # 1</t>
  </si>
  <si>
    <t>11218-1806</t>
  </si>
  <si>
    <t>hkward@bestweb.net</t>
  </si>
  <si>
    <t>ALQ0401AG041</t>
  </si>
  <si>
    <t>ALL20110C53M</t>
  </si>
  <si>
    <t>3088 Cady Dr</t>
  </si>
  <si>
    <t>48114-8690</t>
  </si>
  <si>
    <t>ghaslitt@sbcglobal.net</t>
  </si>
  <si>
    <t>ALQ0401AG026</t>
  </si>
  <si>
    <t>ALA15010F13A</t>
  </si>
  <si>
    <t>Ouellette</t>
  </si>
  <si>
    <t>Hilde</t>
  </si>
  <si>
    <t>Fred and Hilde Ouellette</t>
  </si>
  <si>
    <t>Fred and Hilde</t>
  </si>
  <si>
    <t>104 Fort Graham Cir</t>
  </si>
  <si>
    <t>76705-5708</t>
  </si>
  <si>
    <t>shifrachana@gmail.com</t>
  </si>
  <si>
    <t>dad_olet@netzero.net</t>
  </si>
  <si>
    <t>ALQ0401BG037</t>
  </si>
  <si>
    <t>ALR210106C33</t>
  </si>
  <si>
    <t>4151 Reiland Ln</t>
  </si>
  <si>
    <t>55126-3120</t>
  </si>
  <si>
    <t>kirk.fowler@comcast.net</t>
  </si>
  <si>
    <t>ALQ0312AF019</t>
  </si>
  <si>
    <t>Dory</t>
  </si>
  <si>
    <t>Ms. Margaret Dory</t>
  </si>
  <si>
    <t>110 Wimberly Ln</t>
  </si>
  <si>
    <t>37830-8126</t>
  </si>
  <si>
    <t>roydory@gmail.com</t>
  </si>
  <si>
    <t>ALQ0401CG018</t>
  </si>
  <si>
    <t>Mr. Sean P. Mccaffrey</t>
  </si>
  <si>
    <t>27 Will Croft</t>
  </si>
  <si>
    <t>02864-5000</t>
  </si>
  <si>
    <t>ALR180401054</t>
  </si>
  <si>
    <t>Mrs. Kate and Mr. Gordon Bennett</t>
  </si>
  <si>
    <t>Kate and Gordon</t>
  </si>
  <si>
    <t>40 Sunnyside Dr</t>
  </si>
  <si>
    <t>Inverness</t>
  </si>
  <si>
    <t>94937-9723</t>
  </si>
  <si>
    <t>gbatmuirb@aol.com</t>
  </si>
  <si>
    <t>gordon@herizoncable.com</t>
  </si>
  <si>
    <t>ALQ040001002</t>
  </si>
  <si>
    <t>Dahlin</t>
  </si>
  <si>
    <t>William Dahlin</t>
  </si>
  <si>
    <t>1315 Heggen St</t>
  </si>
  <si>
    <t>54016-9224</t>
  </si>
  <si>
    <t>dahlinjane@comcast.net</t>
  </si>
  <si>
    <t>grammijane@usfamily.net</t>
  </si>
  <si>
    <t>ALQ0307AA067</t>
  </si>
  <si>
    <t>ALA21040A34R</t>
  </si>
  <si>
    <t>Tom and Elizabeth Weatherholt</t>
  </si>
  <si>
    <t>Tom and Elizabeth</t>
  </si>
  <si>
    <t>3320 S Yorktown Ave</t>
  </si>
  <si>
    <t>74105-2749</t>
  </si>
  <si>
    <t>ALQ0401HG051</t>
  </si>
  <si>
    <t>ALR200501C54</t>
  </si>
  <si>
    <t>weatherholt.lisa@gmail.com</t>
  </si>
  <si>
    <t>tweather@juno.com</t>
  </si>
  <si>
    <t>ALR226947EMT</t>
  </si>
  <si>
    <t>Vanderkamp</t>
  </si>
  <si>
    <t>Patricia Vanderkamp</t>
  </si>
  <si>
    <t>1210 Mule Shed Lane</t>
  </si>
  <si>
    <t>muleshed2012@gmail.com</t>
  </si>
  <si>
    <t>ALQ0402AH018</t>
  </si>
  <si>
    <t>ALR090304103</t>
  </si>
  <si>
    <t>ALR080305003</t>
  </si>
  <si>
    <t>Gloria Nelson</t>
  </si>
  <si>
    <t>1259 Bridle Estates Dr</t>
  </si>
  <si>
    <t>19067-3960</t>
  </si>
  <si>
    <t>ALQ0402AH051</t>
  </si>
  <si>
    <t>Christine and Kevin Groves</t>
  </si>
  <si>
    <t>Christine and Kevin</t>
  </si>
  <si>
    <t>2305 Truman Trl</t>
  </si>
  <si>
    <t>Mchenry</t>
  </si>
  <si>
    <t>60051-3623</t>
  </si>
  <si>
    <t>cgroves526@sbcglobal.net</t>
  </si>
  <si>
    <t>ALQ0402AH020</t>
  </si>
  <si>
    <t>ALR221006C54</t>
  </si>
  <si>
    <t>Mr. Lawrence H. Larsen</t>
  </si>
  <si>
    <t>9230 Long Branch Pkwy</t>
  </si>
  <si>
    <t>20901-3641</t>
  </si>
  <si>
    <t>bambi6213@gmail.com</t>
  </si>
  <si>
    <t>ALQ0312AF006</t>
  </si>
  <si>
    <t>ALS210701WS3</t>
  </si>
  <si>
    <t>Brian G. Benjamin</t>
  </si>
  <si>
    <t>380 Brasswood Ct</t>
  </si>
  <si>
    <t>60188-3901</t>
  </si>
  <si>
    <t>ALQ0401CG015</t>
  </si>
  <si>
    <t>ALA23100D5AD</t>
  </si>
  <si>
    <t>ALA23090D5AD</t>
  </si>
  <si>
    <t>Mark B. Bailey</t>
  </si>
  <si>
    <t>23022 130th Pl SE</t>
  </si>
  <si>
    <t>98031-3651</t>
  </si>
  <si>
    <t>mb2bailey@comcast.net</t>
  </si>
  <si>
    <t>mblbailey@comcast.net</t>
  </si>
  <si>
    <t>ALQ0401EG043</t>
  </si>
  <si>
    <t>ALR090301004</t>
  </si>
  <si>
    <t>Edna Lee</t>
  </si>
  <si>
    <t>Ms. Kelly</t>
  </si>
  <si>
    <t>3750 Silverado Trail</t>
  </si>
  <si>
    <t>Calistoga</t>
  </si>
  <si>
    <t>94515-9613</t>
  </si>
  <si>
    <t>ALQ0402AH044</t>
  </si>
  <si>
    <t>Berle</t>
  </si>
  <si>
    <t>Berle D. Tate</t>
  </si>
  <si>
    <t>1815 Enclave Pkwy Apt 5201</t>
  </si>
  <si>
    <t>77077-3670</t>
  </si>
  <si>
    <t>berletate@gmail.com</t>
  </si>
  <si>
    <t>anntate36@gmail.com</t>
  </si>
  <si>
    <t>ALQ0402BH043</t>
  </si>
  <si>
    <t>Mrs. Karen A. Clark</t>
  </si>
  <si>
    <t>7313 Congress Rd</t>
  </si>
  <si>
    <t>44275-9740</t>
  </si>
  <si>
    <t>jazzerkc@gmail.com</t>
  </si>
  <si>
    <t>ALQ0402AH052</t>
  </si>
  <si>
    <t>ALR070701003</t>
  </si>
  <si>
    <t>Lambird</t>
  </si>
  <si>
    <t>Norman Lambird</t>
  </si>
  <si>
    <t>1512 N Saint Marie Rd</t>
  </si>
  <si>
    <t>62419-2008</t>
  </si>
  <si>
    <t>zyreon1121@gmail.com</t>
  </si>
  <si>
    <t>ALQ0403BI018</t>
  </si>
  <si>
    <t>ALL23020A53M</t>
  </si>
  <si>
    <t>Hornfeck</t>
  </si>
  <si>
    <t>Ms. Richard W. Hornfeck</t>
  </si>
  <si>
    <t>336 Nibert Rd</t>
  </si>
  <si>
    <t>Indiana</t>
  </si>
  <si>
    <t>15701-6638</t>
  </si>
  <si>
    <t>rhornfeck@yahoo.com</t>
  </si>
  <si>
    <t>rhornf@yahoo.com</t>
  </si>
  <si>
    <t>ALQ0403BI032</t>
  </si>
  <si>
    <t>Labounty</t>
  </si>
  <si>
    <t>672 Como Ave</t>
  </si>
  <si>
    <t>55103-1401</t>
  </si>
  <si>
    <t>kslabounty@comcast.net</t>
  </si>
  <si>
    <t>karen159@centurylink.net</t>
  </si>
  <si>
    <t>ALQ0403BI023</t>
  </si>
  <si>
    <t>ALA17030B15A</t>
  </si>
  <si>
    <t>ALA16070B15A</t>
  </si>
  <si>
    <t>Alice Jean</t>
  </si>
  <si>
    <t>Peltz</t>
  </si>
  <si>
    <t>Ms. Alice Jean Peltz</t>
  </si>
  <si>
    <t>114 Wells Rd</t>
  </si>
  <si>
    <t>#A</t>
  </si>
  <si>
    <t>Northport</t>
  </si>
  <si>
    <t>11768-3450</t>
  </si>
  <si>
    <t>hernan6texas@hotmail.com</t>
  </si>
  <si>
    <t>ALQ0403DI010</t>
  </si>
  <si>
    <t>ALL24040C5BM</t>
  </si>
  <si>
    <t>ALR210708C54</t>
  </si>
  <si>
    <t>Mr. David and Mrs. Marilyn Aldrich</t>
  </si>
  <si>
    <t>David and Marilyn</t>
  </si>
  <si>
    <t>9609 Atwood Rd</t>
  </si>
  <si>
    <t>22182-1405</t>
  </si>
  <si>
    <t>aldrich.dave@gmail.com</t>
  </si>
  <si>
    <t>ADA240001001B:2NDPLEDGE</t>
  </si>
  <si>
    <t>1248 8th Ave E</t>
  </si>
  <si>
    <t>59901-5875</t>
  </si>
  <si>
    <t>rossn@centurytel.net</t>
  </si>
  <si>
    <t>nancyr3022@worldnet.att.net</t>
  </si>
  <si>
    <t>ALQ0401FG010</t>
  </si>
  <si>
    <t>ALA23070A13R</t>
  </si>
  <si>
    <t>Anger</t>
  </si>
  <si>
    <t>Mr. and Mrs. Kent Anger</t>
  </si>
  <si>
    <t>17300 Grandview Ct</t>
  </si>
  <si>
    <t>Lake Oswego</t>
  </si>
  <si>
    <t>97034-6362</t>
  </si>
  <si>
    <t>ALQ0402EH007</t>
  </si>
  <si>
    <t>ALR171105033</t>
  </si>
  <si>
    <t>Diane Gentry</t>
  </si>
  <si>
    <t>105 End Gate Ln</t>
  </si>
  <si>
    <t>Shavano Park</t>
  </si>
  <si>
    <t>78231-1204</t>
  </si>
  <si>
    <t>kasper1285@aol.com</t>
  </si>
  <si>
    <t>ALQ0403EI005</t>
  </si>
  <si>
    <t>ALA24020A23A</t>
  </si>
  <si>
    <t>Overlund</t>
  </si>
  <si>
    <t>Joel Overlund</t>
  </si>
  <si>
    <t>60881 Willow Creek Loop</t>
  </si>
  <si>
    <t>97702-9306</t>
  </si>
  <si>
    <t>jkotjo10@msn.com</t>
  </si>
  <si>
    <t>ALQ0404AJ027</t>
  </si>
  <si>
    <t>ALA23110A24C</t>
  </si>
  <si>
    <t>Nancy A. Crowe</t>
  </si>
  <si>
    <t>2215 Honeysuckle Dr</t>
  </si>
  <si>
    <t>75082-3329</t>
  </si>
  <si>
    <t>ncrowe3@hotmail.com</t>
  </si>
  <si>
    <t>Hal</t>
  </si>
  <si>
    <t>Charles H. Canfield</t>
  </si>
  <si>
    <t>4316 Washington St</t>
  </si>
  <si>
    <t>48642-3581</t>
  </si>
  <si>
    <t>halc63@chartermi.net</t>
  </si>
  <si>
    <t>ALQ0404DJ004</t>
  </si>
  <si>
    <t>Ms. Linda S. Lockyer</t>
  </si>
  <si>
    <t>1133 Noe St</t>
  </si>
  <si>
    <t>94114-3711</t>
  </si>
  <si>
    <t>ALQ0404BJ037</t>
  </si>
  <si>
    <t>Rita Rao</t>
  </si>
  <si>
    <t>224 Pershing Ave</t>
  </si>
  <si>
    <t>Clemson</t>
  </si>
  <si>
    <t>29631-2192</t>
  </si>
  <si>
    <t>ritacornes@hotmail.com</t>
  </si>
  <si>
    <t>buhbud@aol.com</t>
  </si>
  <si>
    <t>ALQ0404AJ031</t>
  </si>
  <si>
    <t>Lois A. Woelfel</t>
  </si>
  <si>
    <t>Lois Woelfel</t>
  </si>
  <si>
    <t>634 E Broad Street</t>
  </si>
  <si>
    <t>18018-6362</t>
  </si>
  <si>
    <t>ALA040400001</t>
  </si>
  <si>
    <t>Mr. Ernest J. Cook</t>
  </si>
  <si>
    <t>Mr. Cook</t>
  </si>
  <si>
    <t>441 Eastgate Drive</t>
  </si>
  <si>
    <t>83301-7579</t>
  </si>
  <si>
    <t>ALQ0403FI029</t>
  </si>
  <si>
    <t>Pettingill</t>
  </si>
  <si>
    <t>Kathleen A. Pettingill</t>
  </si>
  <si>
    <t>810 Cedar Grove Cir</t>
  </si>
  <si>
    <t>Northfield</t>
  </si>
  <si>
    <t>44067-2228</t>
  </si>
  <si>
    <t>ALQ0407CA056</t>
  </si>
  <si>
    <t>Ms. Dorothy E. Myers</t>
  </si>
  <si>
    <t>Ms. Myers</t>
  </si>
  <si>
    <t>2411 Calder Drive</t>
  </si>
  <si>
    <t>ALQ0407DA040</t>
  </si>
  <si>
    <t>Ms. Donna J. Smith</t>
  </si>
  <si>
    <t>5 Astor Ridge Dr Apt B</t>
  </si>
  <si>
    <t>14228-2772</t>
  </si>
  <si>
    <t>smithdj158c@gmail.com</t>
  </si>
  <si>
    <t>smithdj158c@yahoo.com</t>
  </si>
  <si>
    <t>ALQ0407EA052</t>
  </si>
  <si>
    <t>ALR11XX00WD1</t>
  </si>
  <si>
    <t>Houser</t>
  </si>
  <si>
    <t>Ms. Elizabeth Houser</t>
  </si>
  <si>
    <t>2738 Collinswood Dr</t>
  </si>
  <si>
    <t>Newberry</t>
  </si>
  <si>
    <t>29108-4603</t>
  </si>
  <si>
    <t>eliza.29108@yahoo.com</t>
  </si>
  <si>
    <t>ALQ0407FA052</t>
  </si>
  <si>
    <t>ALS221101302</t>
  </si>
  <si>
    <t>Georgette Bardo</t>
  </si>
  <si>
    <t>150 Helrue Dr</t>
  </si>
  <si>
    <t>15832-3930</t>
  </si>
  <si>
    <t>ALR231104C44</t>
  </si>
  <si>
    <t>ALR221103C44</t>
  </si>
  <si>
    <t>Mr. David L. Fleenor</t>
  </si>
  <si>
    <t>9136 Prairietown Rd</t>
  </si>
  <si>
    <t>62021-1412</t>
  </si>
  <si>
    <t>abbey42@madisontelco.com</t>
  </si>
  <si>
    <t>XN1DG1804</t>
  </si>
  <si>
    <t>Brownrigg</t>
  </si>
  <si>
    <t>Ms. Sarah A. Brownrigg</t>
  </si>
  <si>
    <t>4821 Solecito Cir</t>
  </si>
  <si>
    <t>87507-2780</t>
  </si>
  <si>
    <t>sabrownrigg@yahoo.com</t>
  </si>
  <si>
    <t>joebrownrigg@yahoo.com</t>
  </si>
  <si>
    <t>ALQ0403CI027</t>
  </si>
  <si>
    <t>ALR230701C66</t>
  </si>
  <si>
    <t>Mr. Steve Mikolajczyk</t>
  </si>
  <si>
    <t>7726 County Road 41</t>
  </si>
  <si>
    <t>14564-8714</t>
  </si>
  <si>
    <t>stokes7726@gmail.com</t>
  </si>
  <si>
    <t>stokes@frontiernet.net</t>
  </si>
  <si>
    <t>ALQ0407EA029</t>
  </si>
  <si>
    <t>ALR230215C30</t>
  </si>
  <si>
    <t>Margaret Erickson</t>
  </si>
  <si>
    <t>811 Linden Loop</t>
  </si>
  <si>
    <t>78613-3254</t>
  </si>
  <si>
    <t>micky.erickson@gmail.com</t>
  </si>
  <si>
    <t>mickyandray@austin.rr.com</t>
  </si>
  <si>
    <t>XNRHI2703</t>
  </si>
  <si>
    <t>Erline</t>
  </si>
  <si>
    <t>Tait</t>
  </si>
  <si>
    <t>Mrs. Erline C. Tait</t>
  </si>
  <si>
    <t>PO Box 5516</t>
  </si>
  <si>
    <t>Ocean Springs</t>
  </si>
  <si>
    <t>39565-5516</t>
  </si>
  <si>
    <t>ectait@hotmail.com</t>
  </si>
  <si>
    <t>ALQ1309DC013</t>
  </si>
  <si>
    <t>Ms. C. L. Kessler</t>
  </si>
  <si>
    <t>Ms. Kessler</t>
  </si>
  <si>
    <t>85 Pineland Dr</t>
  </si>
  <si>
    <t>44321-1317</t>
  </si>
  <si>
    <t>kevinmoore534km@gmail.com</t>
  </si>
  <si>
    <t>ALQ0407BA014</t>
  </si>
  <si>
    <t>ALR151204033</t>
  </si>
  <si>
    <t>Job</t>
  </si>
  <si>
    <t>Mrs. Joyce M. Job</t>
  </si>
  <si>
    <t>4221 Maine St</t>
  </si>
  <si>
    <t>62305-5836</t>
  </si>
  <si>
    <t>jmj418@outlook.com</t>
  </si>
  <si>
    <t>ALQ1511GE027</t>
  </si>
  <si>
    <t>ALR190402033</t>
  </si>
  <si>
    <t>Bockino</t>
  </si>
  <si>
    <t>1104 Pine Crest Rd</t>
  </si>
  <si>
    <t>83843-7444</t>
  </si>
  <si>
    <t>alidabockino@gmail.com</t>
  </si>
  <si>
    <t>ALQ0601FG060</t>
  </si>
  <si>
    <t>ALQ2307N1PSC</t>
  </si>
  <si>
    <t>ALA20080W001</t>
  </si>
  <si>
    <t>Gurney</t>
  </si>
  <si>
    <t>10616 Snowheights Blvd NE</t>
  </si>
  <si>
    <t>87112-3012</t>
  </si>
  <si>
    <t>kpgurney@mac.com</t>
  </si>
  <si>
    <t>ALS180101WS3</t>
  </si>
  <si>
    <t>ALQ0901CG017</t>
  </si>
  <si>
    <t>Naydene</t>
  </si>
  <si>
    <t>Carmody</t>
  </si>
  <si>
    <t>Naydene B. Carmody</t>
  </si>
  <si>
    <t>23 Horsehill Rd</t>
  </si>
  <si>
    <t>12134-6003</t>
  </si>
  <si>
    <t>sparto1423@gmail.com</t>
  </si>
  <si>
    <t>Wes</t>
  </si>
  <si>
    <t>Swails</t>
  </si>
  <si>
    <t>Wes and Wesley Swails</t>
  </si>
  <si>
    <t>Wes and Wesley</t>
  </si>
  <si>
    <t>8235 Frankdale Ct</t>
  </si>
  <si>
    <t>46259-5754</t>
  </si>
  <si>
    <t>wswails152@aol.com</t>
  </si>
  <si>
    <t>wswail5152@comcast.net</t>
  </si>
  <si>
    <t>ALQ0407FA030</t>
  </si>
  <si>
    <t>ALQ1709N1WSC</t>
  </si>
  <si>
    <t>ALR050801101</t>
  </si>
  <si>
    <t>wswails152@comcast.net</t>
  </si>
  <si>
    <t>O'Connor</t>
  </si>
  <si>
    <t>Patrick J. O'Connor</t>
  </si>
  <si>
    <t>3107 NE 171st St</t>
  </si>
  <si>
    <t>98642-8099</t>
  </si>
  <si>
    <t>patrick.oconnor@gmail.com</t>
  </si>
  <si>
    <t>ALQ0407AA010</t>
  </si>
  <si>
    <t>ALR230805C64</t>
  </si>
  <si>
    <t>Wicklein</t>
  </si>
  <si>
    <t>Darrell R. Wicklein</t>
  </si>
  <si>
    <t>2884 Patriot Park Pl</t>
  </si>
  <si>
    <t>89052-6902</t>
  </si>
  <si>
    <t>sherryroberson@gmail.com</t>
  </si>
  <si>
    <t>ALQ0407EA041</t>
  </si>
  <si>
    <t>ALL23120B53M</t>
  </si>
  <si>
    <t>ALR200715C30</t>
  </si>
  <si>
    <t>Mrs. Christa Siegel</t>
  </si>
  <si>
    <t>437 Charing Cross Dr</t>
  </si>
  <si>
    <t>48439-1570</t>
  </si>
  <si>
    <t>christasiegel@gmail.com</t>
  </si>
  <si>
    <t>ALQ0407EA070</t>
  </si>
  <si>
    <t>ALA21040W001</t>
  </si>
  <si>
    <t>Mr. John S. Takacs</t>
  </si>
  <si>
    <t>1289 Saddlehorn Ct</t>
  </si>
  <si>
    <t>89423-8847</t>
  </si>
  <si>
    <t>johnnytack1@aol.com</t>
  </si>
  <si>
    <t>johnnytack@optonline.net</t>
  </si>
  <si>
    <t>ALQ0407EA064</t>
  </si>
  <si>
    <t>ALA22020A14R</t>
  </si>
  <si>
    <t>ALR190101033</t>
  </si>
  <si>
    <t>Diane R. Cary</t>
  </si>
  <si>
    <t>155 Rosebay Dr Apt 5</t>
  </si>
  <si>
    <t>Encinitas</t>
  </si>
  <si>
    <t>92024-3332</t>
  </si>
  <si>
    <t>dianecary0@gmail.com</t>
  </si>
  <si>
    <t>dianecary@cox.net</t>
  </si>
  <si>
    <t>ALQ0407DA042</t>
  </si>
  <si>
    <t>ALR070804003</t>
  </si>
  <si>
    <t>Linton</t>
  </si>
  <si>
    <t>Mr. Linton R. Robinson</t>
  </si>
  <si>
    <t>1606 Wellington Dr</t>
  </si>
  <si>
    <t>38401-5448</t>
  </si>
  <si>
    <t>7820 Enchanted Hills Blvd NE</t>
  </si>
  <si>
    <t>PO Box A228</t>
  </si>
  <si>
    <t>87144-8623</t>
  </si>
  <si>
    <t>saronharen@gmail.com</t>
  </si>
  <si>
    <t>srussell@live.com</t>
  </si>
  <si>
    <t>ALQ0407AA053</t>
  </si>
  <si>
    <t>ALL15070C34R</t>
  </si>
  <si>
    <t>Ms. Marilyn Wallace</t>
  </si>
  <si>
    <t>14909 E Covington Rd</t>
  </si>
  <si>
    <t>64055-4926</t>
  </si>
  <si>
    <t>qualinsp@aol.com</t>
  </si>
  <si>
    <t>ALQ0407AA001</t>
  </si>
  <si>
    <t>ALA23100E13C</t>
  </si>
  <si>
    <t>Jacklyn</t>
  </si>
  <si>
    <t>Jacklyn M. Rick</t>
  </si>
  <si>
    <t>241 Montgomery Ln</t>
  </si>
  <si>
    <t>Port Ludlow</t>
  </si>
  <si>
    <t>98365-9601</t>
  </si>
  <si>
    <t>jackierick@msn.com</t>
  </si>
  <si>
    <t>jackieri8@lavabit.com</t>
  </si>
  <si>
    <t>ALQ0407AA014</t>
  </si>
  <si>
    <t>Israel</t>
  </si>
  <si>
    <t>Diaz</t>
  </si>
  <si>
    <t>Israel Diaz</t>
  </si>
  <si>
    <t>1973 Coyote Ridge Dr</t>
  </si>
  <si>
    <t>idiaz3704@gmail.com</t>
  </si>
  <si>
    <t>Adair</t>
  </si>
  <si>
    <t>Charles and Adair Anderson</t>
  </si>
  <si>
    <t>Charles and Adair</t>
  </si>
  <si>
    <t>8815 Rainier Ct</t>
  </si>
  <si>
    <t>55125-3541</t>
  </si>
  <si>
    <t>cander5366@aol.com</t>
  </si>
  <si>
    <t>cander5366@gmail.com</t>
  </si>
  <si>
    <t>ALQ0407HA046</t>
  </si>
  <si>
    <t>ALR210801C66</t>
  </si>
  <si>
    <t>Sharyn</t>
  </si>
  <si>
    <t>Sharyn Saunders</t>
  </si>
  <si>
    <t>105 Congdon Ave</t>
  </si>
  <si>
    <t>North Kingstown</t>
  </si>
  <si>
    <t>02852-6819</t>
  </si>
  <si>
    <t>ALQ0407BA005</t>
  </si>
  <si>
    <t>Reyn</t>
  </si>
  <si>
    <t>Voeltz</t>
  </si>
  <si>
    <t>Reyn Voeltz</t>
  </si>
  <si>
    <t>3555 Beach Haven Cove Dr</t>
  </si>
  <si>
    <t>Pensacola</t>
  </si>
  <si>
    <t>32507-2778</t>
  </si>
  <si>
    <t>rennieboyvoeltz@hotmail.com</t>
  </si>
  <si>
    <t>nvoeltz@cox.net</t>
  </si>
  <si>
    <t>Katharine S. Winter</t>
  </si>
  <si>
    <t>75 Isham Rd</t>
  </si>
  <si>
    <t>West Hartford</t>
  </si>
  <si>
    <t>06107-2237</t>
  </si>
  <si>
    <t>ALR041201005</t>
  </si>
  <si>
    <t>Ms. Eileen Mohr</t>
  </si>
  <si>
    <t>1400 Loop Rd</t>
  </si>
  <si>
    <t>44240-4694</t>
  </si>
  <si>
    <t>etmohr@gmail.com</t>
  </si>
  <si>
    <t>eileenmohr@earthlink.net</t>
  </si>
  <si>
    <t>ALQ0407AA026</t>
  </si>
  <si>
    <t>ALA23050A13R</t>
  </si>
  <si>
    <t>Kosar</t>
  </si>
  <si>
    <t>Nick Kosar</t>
  </si>
  <si>
    <t>237 US Highway 77</t>
  </si>
  <si>
    <t>Marysville</t>
  </si>
  <si>
    <t>66508-8620</t>
  </si>
  <si>
    <t>kosarcg@bluevalley.net</t>
  </si>
  <si>
    <t>ALR230408C33</t>
  </si>
  <si>
    <t>Tully</t>
  </si>
  <si>
    <t>16944 Westwood Ln</t>
  </si>
  <si>
    <t>97415-9255</t>
  </si>
  <si>
    <t>donnaltully@msn.com</t>
  </si>
  <si>
    <t>ALQ040001001</t>
  </si>
  <si>
    <t>ALL14110A7BM</t>
  </si>
  <si>
    <t>Cathy Challenner</t>
  </si>
  <si>
    <t>405 N Baldwin St</t>
  </si>
  <si>
    <t>Woodland Park</t>
  </si>
  <si>
    <t>80863-1313</t>
  </si>
  <si>
    <t>ALQ0408AB038</t>
  </si>
  <si>
    <t>ALR200102C33</t>
  </si>
  <si>
    <t>ALR080901003</t>
  </si>
  <si>
    <t>Mrs. Twila H. Gass</t>
  </si>
  <si>
    <t>6345 Cherry Hills Dr</t>
  </si>
  <si>
    <t>75036-6584</t>
  </si>
  <si>
    <t>rhgass@swbell.net</t>
  </si>
  <si>
    <t>ALQ0407AA009</t>
  </si>
  <si>
    <t>ALR160502044</t>
  </si>
  <si>
    <t>Tryon</t>
  </si>
  <si>
    <t>Ms. Mary T. Ledwith</t>
  </si>
  <si>
    <t>100 Pleasant Cove Dr</t>
  </si>
  <si>
    <t>04579-4563</t>
  </si>
  <si>
    <t>mtledwith@fast.net</t>
  </si>
  <si>
    <t>mtleowtln@fast.net</t>
  </si>
  <si>
    <t>ALQ0408AB041</t>
  </si>
  <si>
    <t>Frankel</t>
  </si>
  <si>
    <t>Mrs. Robert J. Frankel</t>
  </si>
  <si>
    <t>906 Prince Charles Ln</t>
  </si>
  <si>
    <t>Schaumburg</t>
  </si>
  <si>
    <t>60195-2937</t>
  </si>
  <si>
    <t>myrnajfrankel@comcast.net</t>
  </si>
  <si>
    <t>r.frankel@comcast.net</t>
  </si>
  <si>
    <t>ALQ0407AA003</t>
  </si>
  <si>
    <t>ALR240300ERC</t>
  </si>
  <si>
    <t>ALR230303ERC</t>
  </si>
  <si>
    <t>Ms. Susan Fenton</t>
  </si>
  <si>
    <t>292 Candor Hill Rd</t>
  </si>
  <si>
    <t>13743-1705</t>
  </si>
  <si>
    <t>eweslambs@gmail.com</t>
  </si>
  <si>
    <t>eweslambs@htva.net</t>
  </si>
  <si>
    <t>ALQ0408CB042</t>
  </si>
  <si>
    <t>ALA24030A43C</t>
  </si>
  <si>
    <t>ALL20030D53M</t>
  </si>
  <si>
    <t>Dey</t>
  </si>
  <si>
    <t>Mr. Wayne Dey</t>
  </si>
  <si>
    <t>3620 Leeward Way</t>
  </si>
  <si>
    <t>Oxnard</t>
  </si>
  <si>
    <t>93035-2348</t>
  </si>
  <si>
    <t>budoxhunter@yahoo.com</t>
  </si>
  <si>
    <t>waynedey@aol.com</t>
  </si>
  <si>
    <t>ALQ0408BB041</t>
  </si>
  <si>
    <t>ALR151203023</t>
  </si>
  <si>
    <t>Deming</t>
  </si>
  <si>
    <t>Mr. Bill Deming</t>
  </si>
  <si>
    <t>PO Box 64</t>
  </si>
  <si>
    <t>55032-0064</t>
  </si>
  <si>
    <t>bjdeming@juno.com</t>
  </si>
  <si>
    <t>ALQ0409AC035</t>
  </si>
  <si>
    <t>Mr. James Hobbs</t>
  </si>
  <si>
    <t>PO Box 598</t>
  </si>
  <si>
    <t>Hurley</t>
  </si>
  <si>
    <t>12443-0598</t>
  </si>
  <si>
    <t>hobbsj53@live.com</t>
  </si>
  <si>
    <t>hobbsj@sunyvlster.edu</t>
  </si>
  <si>
    <t>ALQ0407EA047</t>
  </si>
  <si>
    <t>Stein</t>
  </si>
  <si>
    <t>C. R. Stein</t>
  </si>
  <si>
    <t>4525 N Turnbull Dr</t>
  </si>
  <si>
    <t>70002-1442</t>
  </si>
  <si>
    <t>ALQ0408EB011</t>
  </si>
  <si>
    <t>ALA22050A13A</t>
  </si>
  <si>
    <t>Vaughan</t>
  </si>
  <si>
    <t>Miss Judy L. Vaughan</t>
  </si>
  <si>
    <t>3108 W Truman Blvd</t>
  </si>
  <si>
    <t>Oak Tree Villas</t>
  </si>
  <si>
    <t>65109-4918</t>
  </si>
  <si>
    <t>jvaugh1@juno.com</t>
  </si>
  <si>
    <t>ALQ0407GA012</t>
  </si>
  <si>
    <t>ALR160501044</t>
  </si>
  <si>
    <t>Ringgenberg</t>
  </si>
  <si>
    <t>1275 73rd Street</t>
  </si>
  <si>
    <t>Lippincott</t>
  </si>
  <si>
    <t>Nancy E. Lippincott</t>
  </si>
  <si>
    <t>8 Lancaster St # 14</t>
  </si>
  <si>
    <t>02140-2800</t>
  </si>
  <si>
    <t>nancyellis814@gmail.com</t>
  </si>
  <si>
    <t>Ms. Kay Christensen</t>
  </si>
  <si>
    <t>1199 Tumbleweed Run</t>
  </si>
  <si>
    <t>32311-4072</t>
  </si>
  <si>
    <t>ce.christensen@hotmail.com</t>
  </si>
  <si>
    <t>ALQ0409CC006</t>
  </si>
  <si>
    <t>ALA22020A11C</t>
  </si>
  <si>
    <t>ALR051101001</t>
  </si>
  <si>
    <t>Mrs. Barbara Lentz</t>
  </si>
  <si>
    <t>3880 Riverhaven Dr</t>
  </si>
  <si>
    <t>89519-2184</t>
  </si>
  <si>
    <t>bhlentz@yahoo.com</t>
  </si>
  <si>
    <t>ALZ040002001</t>
  </si>
  <si>
    <t>ALR091101004</t>
  </si>
  <si>
    <t>Ronald and Stephanie Molony</t>
  </si>
  <si>
    <t>Ronald and Stephanie</t>
  </si>
  <si>
    <t>5605 Johnson Dr</t>
  </si>
  <si>
    <t>55436-2222</t>
  </si>
  <si>
    <t>molony.ron@gmail.com</t>
  </si>
  <si>
    <t>ALQ0409AC053</t>
  </si>
  <si>
    <t>ALR081101004</t>
  </si>
  <si>
    <t>Kathy DeRoo</t>
  </si>
  <si>
    <t>664 Coral Ave</t>
  </si>
  <si>
    <t>60103-4705</t>
  </si>
  <si>
    <t>kderoo@att.net</t>
  </si>
  <si>
    <t>ALQ0411DE029</t>
  </si>
  <si>
    <t>ALR221103C54</t>
  </si>
  <si>
    <t>Mrs. Ruthmary K. Deuel</t>
  </si>
  <si>
    <t>199 Queechy Lake Dr</t>
  </si>
  <si>
    <t>12029-3303</t>
  </si>
  <si>
    <t>ksjdeuel.julie@aol.com</t>
  </si>
  <si>
    <t>rutizzy2@yahoo.com</t>
  </si>
  <si>
    <t>ALQ0411AE026</t>
  </si>
  <si>
    <t>ALA21010E5AD</t>
  </si>
  <si>
    <t>ALA20070A35A</t>
  </si>
  <si>
    <t>Ms. Sue A. Wood</t>
  </si>
  <si>
    <t>15808 62nd Pl NE</t>
  </si>
  <si>
    <t>98028-4316</t>
  </si>
  <si>
    <t>starsuewood11@outlook.com</t>
  </si>
  <si>
    <t>starsuewood@gmail.com</t>
  </si>
  <si>
    <t>ALQ0411BE012</t>
  </si>
  <si>
    <t>Fraser</t>
  </si>
  <si>
    <t>310 Westside Rd</t>
  </si>
  <si>
    <t>06756-1238</t>
  </si>
  <si>
    <t>Daphine</t>
  </si>
  <si>
    <t>Daphine Alexander</t>
  </si>
  <si>
    <t>504 S Main St</t>
  </si>
  <si>
    <t>Mount Holly</t>
  </si>
  <si>
    <t>28120-1651</t>
  </si>
  <si>
    <t>monnid@aol.com</t>
  </si>
  <si>
    <t>ALZ040002004</t>
  </si>
  <si>
    <t>Mrs. Theresa and Mr. Bob Pierno</t>
  </si>
  <si>
    <t>Theresa and Bob</t>
  </si>
  <si>
    <t>621 Demyan Dr</t>
  </si>
  <si>
    <t>21403-3814</t>
  </si>
  <si>
    <t>tpierno@npca.org</t>
  </si>
  <si>
    <t>ALQ041000001</t>
  </si>
  <si>
    <t>NEE2400042010:FY24STTP</t>
  </si>
  <si>
    <t>rapierno@comcast.net</t>
  </si>
  <si>
    <t>Hylan</t>
  </si>
  <si>
    <t>Mr. and Mrs. Tim Hylan</t>
  </si>
  <si>
    <t>29 Red Spring Ln</t>
  </si>
  <si>
    <t>Glen Cove</t>
  </si>
  <si>
    <t>11542-1752</t>
  </si>
  <si>
    <t>lisanp@aol.com</t>
  </si>
  <si>
    <t>ALQ0411BE018</t>
  </si>
  <si>
    <t>ALR071202003</t>
  </si>
  <si>
    <t>Kevin Winn</t>
  </si>
  <si>
    <t>57 Meditation Ln</t>
  </si>
  <si>
    <t>Atkinson</t>
  </si>
  <si>
    <t>03811-2418</t>
  </si>
  <si>
    <t>ALQ0411AE025</t>
  </si>
  <si>
    <t>Panek</t>
  </si>
  <si>
    <t>Dianne and Donald</t>
  </si>
  <si>
    <t>414 E Wilson St</t>
  </si>
  <si>
    <t>New London</t>
  </si>
  <si>
    <t>52645-1727</t>
  </si>
  <si>
    <t>dpanek414@gmail.com</t>
  </si>
  <si>
    <t>qbsmema@hotmail.com</t>
  </si>
  <si>
    <t>ALQ0412AF048</t>
  </si>
  <si>
    <t>rotarypanek@hotmail.com</t>
  </si>
  <si>
    <t>Laurence Urevig</t>
  </si>
  <si>
    <t>41650 Borchart Dr</t>
  </si>
  <si>
    <t>48375-3321</t>
  </si>
  <si>
    <t>norksy64@gmail.com</t>
  </si>
  <si>
    <t>norsky64@gmail.com</t>
  </si>
  <si>
    <t>ALA21090A24R</t>
  </si>
  <si>
    <t>Eden</t>
  </si>
  <si>
    <t>Bronson</t>
  </si>
  <si>
    <t>Mrs. Kathleen P. Eden</t>
  </si>
  <si>
    <t>PO Box 5128</t>
  </si>
  <si>
    <t>76708-0128</t>
  </si>
  <si>
    <t>keden.392@gmail.com</t>
  </si>
  <si>
    <t>neelhtak@sbcglobal.net</t>
  </si>
  <si>
    <t>ADA240001M02:104203-NRRO</t>
  </si>
  <si>
    <t>Mr. Jeff Baldwin</t>
  </si>
  <si>
    <t>982 S Pembroke Rd</t>
  </si>
  <si>
    <t>91773-3753</t>
  </si>
  <si>
    <t>jwbaldtoo@aol.com</t>
  </si>
  <si>
    <t>jwbaldtoo@gmail.com</t>
  </si>
  <si>
    <t>ALQ0412AF005</t>
  </si>
  <si>
    <t>ALR170401033</t>
  </si>
  <si>
    <t>105 Spring Br</t>
  </si>
  <si>
    <t>23185-3188</t>
  </si>
  <si>
    <t>ALQ0412CF044</t>
  </si>
  <si>
    <t>ALA24030A24A</t>
  </si>
  <si>
    <t>ALR170105054</t>
  </si>
  <si>
    <t>Stacey</t>
  </si>
  <si>
    <t>Ron and Mary Stacey</t>
  </si>
  <si>
    <t>Ron and Mary</t>
  </si>
  <si>
    <t>365 Ridgemeadow Dr</t>
  </si>
  <si>
    <t>63017-3031</t>
  </si>
  <si>
    <t>mary.c.stacey@gmail.com</t>
  </si>
  <si>
    <t>ALQ0412BF005</t>
  </si>
  <si>
    <t>ALR180801144</t>
  </si>
  <si>
    <t>Rhodes</t>
  </si>
  <si>
    <t>Mr. Rhodes</t>
  </si>
  <si>
    <t>5814 Norwaldo Avenue</t>
  </si>
  <si>
    <t>46220-2722</t>
  </si>
  <si>
    <t>ALQ0412AF038</t>
  </si>
  <si>
    <t>ALA140700001</t>
  </si>
  <si>
    <t>Stanford</t>
  </si>
  <si>
    <t>S. Stanford</t>
  </si>
  <si>
    <t>911 Greenridge Dr</t>
  </si>
  <si>
    <t>76017-6244</t>
  </si>
  <si>
    <t>ALQ0412BF027</t>
  </si>
  <si>
    <t>1196 Hacienda Dr</t>
  </si>
  <si>
    <t>95020-5311</t>
  </si>
  <si>
    <t>ALQ0412AF008</t>
  </si>
  <si>
    <t>ALA19070E42A</t>
  </si>
  <si>
    <t>ALR060201001</t>
  </si>
  <si>
    <t>Joseph and Mona Zachary</t>
  </si>
  <si>
    <t>Joseph and Mona</t>
  </si>
  <si>
    <t>642 Old Highway 28</t>
  </si>
  <si>
    <t>38555-8100</t>
  </si>
  <si>
    <t>ALQ0412AF018</t>
  </si>
  <si>
    <t>ALL21020B5BM</t>
  </si>
  <si>
    <t>ALA13090A13A</t>
  </si>
  <si>
    <t>Ms. Christine F. Lowrey</t>
  </si>
  <si>
    <t>6990 W Oregon Dr</t>
  </si>
  <si>
    <t>80232-2123</t>
  </si>
  <si>
    <t>cefil51@msn.com</t>
  </si>
  <si>
    <t>cefil51@comcast.net</t>
  </si>
  <si>
    <t>ALQ0412BF022</t>
  </si>
  <si>
    <t>ALQ2109CC015</t>
  </si>
  <si>
    <t>ALR160702EMC</t>
  </si>
  <si>
    <t>Sentell</t>
  </si>
  <si>
    <t>Linda and Sentell Fox</t>
  </si>
  <si>
    <t>Linda and Sentell</t>
  </si>
  <si>
    <t>3530 S Florence Ave</t>
  </si>
  <si>
    <t>74105-2910</t>
  </si>
  <si>
    <t>sentell.fox@cox.net</t>
  </si>
  <si>
    <t>ALQ0412DF057</t>
  </si>
  <si>
    <t>ALL22120A53M</t>
  </si>
  <si>
    <t>Guma</t>
  </si>
  <si>
    <t>121 White Oak Cir</t>
  </si>
  <si>
    <t>94952-1934</t>
  </si>
  <si>
    <t>guma@sonic.net</t>
  </si>
  <si>
    <t>ALQ0412BF008</t>
  </si>
  <si>
    <t>ALA23050B53H</t>
  </si>
  <si>
    <t>ALR200308C33</t>
  </si>
  <si>
    <t>Rosalie</t>
  </si>
  <si>
    <t>Fruchter</t>
  </si>
  <si>
    <t>Rosalie and Marvin Fruchter</t>
  </si>
  <si>
    <t>Rosalie and Marvin</t>
  </si>
  <si>
    <t>5434 S Hyde Park Blvd</t>
  </si>
  <si>
    <t>60615-6144</t>
  </si>
  <si>
    <t>rfruchter@sbcglobal.net</t>
  </si>
  <si>
    <t>rita.chat4ever@gmail.com</t>
  </si>
  <si>
    <t>ALQ0501CG062</t>
  </si>
  <si>
    <t>ALL22120A63M</t>
  </si>
  <si>
    <t>Audrey</t>
  </si>
  <si>
    <t>Holm-Hansen</t>
  </si>
  <si>
    <t>55 Aspen Cir</t>
  </si>
  <si>
    <t>05482-4440</t>
  </si>
  <si>
    <t>audreyhhansen@hotmail.com</t>
  </si>
  <si>
    <t>ALQ0501EG059</t>
  </si>
  <si>
    <t>Mr. John R. Lyghtel</t>
  </si>
  <si>
    <t>6531 Aintree Ter</t>
  </si>
  <si>
    <t>46250-4421</t>
  </si>
  <si>
    <t>jrlyghtel@aol.com</t>
  </si>
  <si>
    <t>ALQ0501CG058</t>
  </si>
  <si>
    <t>ALR100201003</t>
  </si>
  <si>
    <t>Leta</t>
  </si>
  <si>
    <t>Fredricks</t>
  </si>
  <si>
    <t>10 Spring Water Ct</t>
  </si>
  <si>
    <t>18042-9512</t>
  </si>
  <si>
    <t>ALQ0501AG031</t>
  </si>
  <si>
    <t>ALR230903C54</t>
  </si>
  <si>
    <t>ALR190901054</t>
  </si>
  <si>
    <t>Mrs. Tedi P. Worn</t>
  </si>
  <si>
    <t>11915 W Fleming Ln</t>
  </si>
  <si>
    <t>99004-9501</t>
  </si>
  <si>
    <t>ALQ0501CG055</t>
  </si>
  <si>
    <t>ALR231102C54</t>
  </si>
  <si>
    <t>Ms. Marsha A. Rodriguez</t>
  </si>
  <si>
    <t>6703 Tyler St</t>
  </si>
  <si>
    <t>Merrillville</t>
  </si>
  <si>
    <t>46410-3335</t>
  </si>
  <si>
    <t>cam1987@att.net</t>
  </si>
  <si>
    <t>mrodri7161@msn.com</t>
  </si>
  <si>
    <t>ALQ0501AG060</t>
  </si>
  <si>
    <t>ALA15020C23A</t>
  </si>
  <si>
    <t>Van</t>
  </si>
  <si>
    <t>Schrock</t>
  </si>
  <si>
    <t>Van Schrock</t>
  </si>
  <si>
    <t>1893 Sea Oats Dr</t>
  </si>
  <si>
    <t>Atlantic Beach</t>
  </si>
  <si>
    <t>32233-4511</t>
  </si>
  <si>
    <t>dorijschrock@gmail.com</t>
  </si>
  <si>
    <t>vschrock@yahoo.com</t>
  </si>
  <si>
    <t>ALQ0501GG069</t>
  </si>
  <si>
    <t>Julianne</t>
  </si>
  <si>
    <t>Biehl</t>
  </si>
  <si>
    <t>2925 Rosedale</t>
  </si>
  <si>
    <t>75205-1532</t>
  </si>
  <si>
    <t>printsis@att.net</t>
  </si>
  <si>
    <t>ebiehl@smu.edu</t>
  </si>
  <si>
    <t>XNRAC3217</t>
  </si>
  <si>
    <t>edbiehl@lamas.colostate.edu</t>
  </si>
  <si>
    <t>Emily Talcott</t>
  </si>
  <si>
    <t>3 West Pl</t>
  </si>
  <si>
    <t>02139-1709</t>
  </si>
  <si>
    <t>emilytalcott@gmail.com</t>
  </si>
  <si>
    <t>Mcgilligan</t>
  </si>
  <si>
    <t>Koehler</t>
  </si>
  <si>
    <t>Mary Mcgilligan and Thomas Koehler</t>
  </si>
  <si>
    <t>Mary and Thomas</t>
  </si>
  <si>
    <t>814 5th Ave</t>
  </si>
  <si>
    <t>Two Harbors</t>
  </si>
  <si>
    <t>55616-1429</t>
  </si>
  <si>
    <t>mmcgilligan@lakeconnections.net</t>
  </si>
  <si>
    <t>mmcgilligan@mediacombb.net</t>
  </si>
  <si>
    <t>ALQ050001002</t>
  </si>
  <si>
    <t>ALA23090C56H</t>
  </si>
  <si>
    <t>tvkoehler@frontiernet.net</t>
  </si>
  <si>
    <t>ALQ200001001</t>
  </si>
  <si>
    <t>Keast</t>
  </si>
  <si>
    <t>Karen Keast</t>
  </si>
  <si>
    <t>7087 Wimbleton Ct</t>
  </si>
  <si>
    <t>East Syracuse</t>
  </si>
  <si>
    <t>13057-9478</t>
  </si>
  <si>
    <t>gonyy21@aol.com</t>
  </si>
  <si>
    <t>Latrobe</t>
  </si>
  <si>
    <t>Laidlaw</t>
  </si>
  <si>
    <t>Latrobe Laidlaw</t>
  </si>
  <si>
    <t>5018 Trailridge Way</t>
  </si>
  <si>
    <t>Dunwoody</t>
  </si>
  <si>
    <t>30338-4002</t>
  </si>
  <si>
    <t>josielaidlaw@aol.com</t>
  </si>
  <si>
    <t>ALQ0501AG056</t>
  </si>
  <si>
    <t>ALL21020A63M</t>
  </si>
  <si>
    <t>Mr. Harry Taylor</t>
  </si>
  <si>
    <t>20 Bates Rd</t>
  </si>
  <si>
    <t>Haverhill</t>
  </si>
  <si>
    <t>01832-3704</t>
  </si>
  <si>
    <t>ugbay95@aol.com</t>
  </si>
  <si>
    <t>coachtaylor5@gmail.com</t>
  </si>
  <si>
    <t>ALQ0502BH031</t>
  </si>
  <si>
    <t>ALL23120A4BM</t>
  </si>
  <si>
    <t>ALA17040A14A</t>
  </si>
  <si>
    <t>Ms. June A. Spencer</t>
  </si>
  <si>
    <t>225 N Edgewood Dr</t>
  </si>
  <si>
    <t>Statesboro</t>
  </si>
  <si>
    <t>30458-5033</t>
  </si>
  <si>
    <t>angelspencer630@gmail.com</t>
  </si>
  <si>
    <t>spencerjune65@hotmail.com</t>
  </si>
  <si>
    <t>ALQ0502AH029</t>
  </si>
  <si>
    <t>ALA16040E15A</t>
  </si>
  <si>
    <t>Eilene</t>
  </si>
  <si>
    <t>Lyon</t>
  </si>
  <si>
    <t>Ms. Eilene M. and Mr. Patrick A. Lyon</t>
  </si>
  <si>
    <t>Eilene and Patrick</t>
  </si>
  <si>
    <t>730 Rainbow Rd</t>
  </si>
  <si>
    <t>81303-6832</t>
  </si>
  <si>
    <t>biotech46@gmail.com</t>
  </si>
  <si>
    <t>ALQ0501AG014</t>
  </si>
  <si>
    <t>ALS18110A001</t>
  </si>
  <si>
    <t>lyon81303@gmail.com</t>
  </si>
  <si>
    <t>Brahmstedt</t>
  </si>
  <si>
    <t>Charles W. Brahmstedt</t>
  </si>
  <si>
    <t>8703 Quail Dr</t>
  </si>
  <si>
    <t>61008-8915</t>
  </si>
  <si>
    <t>brahmstedtjanice52@gmail.com</t>
  </si>
  <si>
    <t>c.brahmstedt@gmail.com</t>
  </si>
  <si>
    <t>ALQ0502BH022</t>
  </si>
  <si>
    <t>Acy</t>
  </si>
  <si>
    <t>26791 E Arbor Dr</t>
  </si>
  <si>
    <t>80016-6241</t>
  </si>
  <si>
    <t>cindy.acy@gmail.com</t>
  </si>
  <si>
    <t>ALQ0502CH009</t>
  </si>
  <si>
    <t>ALS211001WS3</t>
  </si>
  <si>
    <t>ALR120303EDC</t>
  </si>
  <si>
    <t>Mendel</t>
  </si>
  <si>
    <t>Allison Mendel</t>
  </si>
  <si>
    <t>360 Morton St</t>
  </si>
  <si>
    <t>97520-3065</t>
  </si>
  <si>
    <t>ALR070305004</t>
  </si>
  <si>
    <t>Honcoop</t>
  </si>
  <si>
    <t>Barry and Lynn Honcoop</t>
  </si>
  <si>
    <t>Barry and Lynn</t>
  </si>
  <si>
    <t>5509 N Timber Rim Dr</t>
  </si>
  <si>
    <t>99212-1668</t>
  </si>
  <si>
    <t>barlynnhon@gmail.com</t>
  </si>
  <si>
    <t>bhoncoop@ipeg.com</t>
  </si>
  <si>
    <t>Freda-Wood</t>
  </si>
  <si>
    <t>Purvis</t>
  </si>
  <si>
    <t>4798 S Florida Ave</t>
  </si>
  <si>
    <t>33813-2181</t>
  </si>
  <si>
    <t>ALQ0502DH039</t>
  </si>
  <si>
    <t>ALR140705033</t>
  </si>
  <si>
    <t>Mapes</t>
  </si>
  <si>
    <t>Michael B. Mapes</t>
  </si>
  <si>
    <t>7660 E Mckellips Rd Lot 29</t>
  </si>
  <si>
    <t>85257-4629</t>
  </si>
  <si>
    <t>mbdmapes@gmail.com</t>
  </si>
  <si>
    <t>ALQ0502AH022</t>
  </si>
  <si>
    <t>ALR210103C44</t>
  </si>
  <si>
    <t>Tank</t>
  </si>
  <si>
    <t>Dorothy Tank</t>
  </si>
  <si>
    <t>812 Cloverlawn Blvd</t>
  </si>
  <si>
    <t>Lincoln Park</t>
  </si>
  <si>
    <t>48146-4375</t>
  </si>
  <si>
    <t>mrtank1946@comcast.net</t>
  </si>
  <si>
    <t>ALQ0502BH043</t>
  </si>
  <si>
    <t>Robert Lee</t>
  </si>
  <si>
    <t>Waeltz</t>
  </si>
  <si>
    <t>Robert Lee Waeltz</t>
  </si>
  <si>
    <t>4773 N Cramer St</t>
  </si>
  <si>
    <t>53211-1228</t>
  </si>
  <si>
    <t>rwaeltz7926@gmail.com</t>
  </si>
  <si>
    <t>rwaltz0926@gmail.com</t>
  </si>
  <si>
    <t>Mr. Steve Eklund</t>
  </si>
  <si>
    <t>51 Nacional St</t>
  </si>
  <si>
    <t>93901-1337</t>
  </si>
  <si>
    <t>stevee19304@gmail.com</t>
  </si>
  <si>
    <t>seklund@localnet.com</t>
  </si>
  <si>
    <t>ALQ0502CH039</t>
  </si>
  <si>
    <t>ALA19040A12A</t>
  </si>
  <si>
    <t>ALR140432EMC</t>
  </si>
  <si>
    <t>Vivienne</t>
  </si>
  <si>
    <t>Mackie</t>
  </si>
  <si>
    <t>Ms. Vivienne Mackie</t>
  </si>
  <si>
    <t>805 W Vermont Ave</t>
  </si>
  <si>
    <t>61801-4828</t>
  </si>
  <si>
    <t>vivienne.mackie@gmail.com</t>
  </si>
  <si>
    <t>ALQ0502BH029</t>
  </si>
  <si>
    <t>ALA16040E14A</t>
  </si>
  <si>
    <t>John P. Loney</t>
  </si>
  <si>
    <t>3225 Terry Ln</t>
  </si>
  <si>
    <t>98022-4056</t>
  </si>
  <si>
    <t>buloney@aol.com</t>
  </si>
  <si>
    <t>388 Sand Paver Way</t>
  </si>
  <si>
    <t>29708-7898</t>
  </si>
  <si>
    <t>linda.harris47@gmail.com</t>
  </si>
  <si>
    <t>lharri64@bellsouth.net</t>
  </si>
  <si>
    <t>ALQ0502DH028</t>
  </si>
  <si>
    <t>ALA2211D7PSC</t>
  </si>
  <si>
    <t>ALR120601003</t>
  </si>
  <si>
    <t>Worthington</t>
  </si>
  <si>
    <t>Ms. Gail Worthington</t>
  </si>
  <si>
    <t>16312 SE 48th Dr</t>
  </si>
  <si>
    <t>98006-4718</t>
  </si>
  <si>
    <t>gaileworthington@gmail.com</t>
  </si>
  <si>
    <t>ALQ0502BH053</t>
  </si>
  <si>
    <t>ALA090801002</t>
  </si>
  <si>
    <t>Peper</t>
  </si>
  <si>
    <t>Ms. Irene I. Peper</t>
  </si>
  <si>
    <t>45-175 Lilipuna Rd Apt D</t>
  </si>
  <si>
    <t>Kaneohe</t>
  </si>
  <si>
    <t>96744-3000</t>
  </si>
  <si>
    <t>ALQ0502DH048</t>
  </si>
  <si>
    <t>Carolee</t>
  </si>
  <si>
    <t>Bauman</t>
  </si>
  <si>
    <t>Carolee and Ronald Bauman</t>
  </si>
  <si>
    <t>Carolee and Ronald</t>
  </si>
  <si>
    <t>2010 Westview Dr</t>
  </si>
  <si>
    <t>98363-5033</t>
  </si>
  <si>
    <t>ellenshouse85@gmail.com</t>
  </si>
  <si>
    <t>carolee@olympus.net</t>
  </si>
  <si>
    <t>ALQ0502AH053</t>
  </si>
  <si>
    <t>capnronb@olympus.net</t>
  </si>
  <si>
    <t>Ms. Carol Carlson</t>
  </si>
  <si>
    <t>151751 Wambold Dr</t>
  </si>
  <si>
    <t>Mosinee</t>
  </si>
  <si>
    <t>54455-7603</t>
  </si>
  <si>
    <t>ALQ0502BH019</t>
  </si>
  <si>
    <t>ALL21020B8BM</t>
  </si>
  <si>
    <t>ALR130804023</t>
  </si>
  <si>
    <t>Rial</t>
  </si>
  <si>
    <t>Newland</t>
  </si>
  <si>
    <t>Mrs. Annette and Mr. Rial Newland</t>
  </si>
  <si>
    <t>Annette and Rial</t>
  </si>
  <si>
    <t>PO Box 925</t>
  </si>
  <si>
    <t>49221-0925</t>
  </si>
  <si>
    <t>rialn@aol.com</t>
  </si>
  <si>
    <t>vialu@aol.com</t>
  </si>
  <si>
    <t>ALQ0501FG058</t>
  </si>
  <si>
    <t>ALQ1307AA207</t>
  </si>
  <si>
    <t>ALA22060W001</t>
  </si>
  <si>
    <t>Dr. Seth Kane</t>
  </si>
  <si>
    <t>57 Country Club Dr</t>
  </si>
  <si>
    <t>Monroe Township</t>
  </si>
  <si>
    <t>08831-2997</t>
  </si>
  <si>
    <t>skanemd@aol.com</t>
  </si>
  <si>
    <t>ALQ0502BH040</t>
  </si>
  <si>
    <t>ALR240101C64</t>
  </si>
  <si>
    <t>Melanie and Ralph Sanders</t>
  </si>
  <si>
    <t>Melanie and Ralph</t>
  </si>
  <si>
    <t>3500 State Highway Aa</t>
  </si>
  <si>
    <t>63801-8384</t>
  </si>
  <si>
    <t>blu1990@aol.com</t>
  </si>
  <si>
    <t>2quietriders@gmail.com</t>
  </si>
  <si>
    <t>ALQ0501HG014</t>
  </si>
  <si>
    <t>ALQXXXX01WSC</t>
  </si>
  <si>
    <t>ALR130412030</t>
  </si>
  <si>
    <t>Schwarzkopf</t>
  </si>
  <si>
    <t>Mr. Daniel Schwarzkopf</t>
  </si>
  <si>
    <t>331 Harvard Rd</t>
  </si>
  <si>
    <t>01775-1019</t>
  </si>
  <si>
    <t>ALQ0503AI032</t>
  </si>
  <si>
    <t>Mr. Gordon Pirie</t>
  </si>
  <si>
    <t>1217 Foulkeways</t>
  </si>
  <si>
    <t>19436-1031</t>
  </si>
  <si>
    <t>mariepirie@gmail.com</t>
  </si>
  <si>
    <t>rgpirie@yahoo.com</t>
  </si>
  <si>
    <t>ALQ0501FG044</t>
  </si>
  <si>
    <t>Reverend Howard L. Kriebel</t>
  </si>
  <si>
    <t>90 6th Ave</t>
  </si>
  <si>
    <t>19426-2506</t>
  </si>
  <si>
    <t>kriebel12@verizon.net</t>
  </si>
  <si>
    <t>kreibel12@verizon.net</t>
  </si>
  <si>
    <t>ALQ0503BI013</t>
  </si>
  <si>
    <t>ALA221101999</t>
  </si>
  <si>
    <t>ALA1309D2EMC</t>
  </si>
  <si>
    <t>Lamerle</t>
  </si>
  <si>
    <t>Mikell</t>
  </si>
  <si>
    <t>Lamerle Mikell</t>
  </si>
  <si>
    <t>1502 Drake Ave SE</t>
  </si>
  <si>
    <t>Huntsville</t>
  </si>
  <si>
    <t>35802-1047</t>
  </si>
  <si>
    <t>zettemikell@hotmail.com</t>
  </si>
  <si>
    <t>spavinawdm@gmail.com</t>
  </si>
  <si>
    <t>ALQ0503BI002</t>
  </si>
  <si>
    <t>ALR200606C54</t>
  </si>
  <si>
    <t>ALA20020A15C</t>
  </si>
  <si>
    <t>John D. Schlegel</t>
  </si>
  <si>
    <t>13 Heron Dr</t>
  </si>
  <si>
    <t>04658-3302</t>
  </si>
  <si>
    <t>kayaker1@midmaine.com</t>
  </si>
  <si>
    <t>herondrme@msn.com</t>
  </si>
  <si>
    <t>ALA16070D23A</t>
  </si>
  <si>
    <t>Leonard L. Timmons</t>
  </si>
  <si>
    <t>1301 67th St SE Unit 5A</t>
  </si>
  <si>
    <t>98092-8169</t>
  </si>
  <si>
    <t>timmonsld@gmail.com</t>
  </si>
  <si>
    <t>ldtimm@q.com</t>
  </si>
  <si>
    <t>ALQ0503BI008</t>
  </si>
  <si>
    <t>ALA2308D2DMT</t>
  </si>
  <si>
    <t>Bluhm</t>
  </si>
  <si>
    <t>Mrs. Nancy J. Bluhm</t>
  </si>
  <si>
    <t>411 Stone Cir</t>
  </si>
  <si>
    <t>50265-2966</t>
  </si>
  <si>
    <t>pbluhm@mindspring.com</t>
  </si>
  <si>
    <t>paulbus1@verizon.net</t>
  </si>
  <si>
    <t>ALQ0503AI013</t>
  </si>
  <si>
    <t>ALA20050A13R</t>
  </si>
  <si>
    <t>Cashman</t>
  </si>
  <si>
    <t>Dr. Suzanne and Mr. Daniel Cashman</t>
  </si>
  <si>
    <t>Suzanne and Daniel</t>
  </si>
  <si>
    <t>17 Calvin Rd</t>
  </si>
  <si>
    <t>02460-2104</t>
  </si>
  <si>
    <t>suzanne.cashman@gmail.com</t>
  </si>
  <si>
    <t>suzanne.cashman@umassmed.edu</t>
  </si>
  <si>
    <t>David and Deborah Maxwell</t>
  </si>
  <si>
    <t>David and Deborah</t>
  </si>
  <si>
    <t>11300 W 76th Way</t>
  </si>
  <si>
    <t>80005-3408</t>
  </si>
  <si>
    <t>deborahmaxwell@gmail.com</t>
  </si>
  <si>
    <t>ALQ0503AI024</t>
  </si>
  <si>
    <t>Navarro</t>
  </si>
  <si>
    <t>Ms. Mary Navarro</t>
  </si>
  <si>
    <t>116 Lottie Ln</t>
  </si>
  <si>
    <t>Grovetown</t>
  </si>
  <si>
    <t>30813-2905</t>
  </si>
  <si>
    <t>maryn490@gmail.com</t>
  </si>
  <si>
    <t>ALQ0503BI034</t>
  </si>
  <si>
    <t>ALR130504033</t>
  </si>
  <si>
    <t>Muenzmaier</t>
  </si>
  <si>
    <t>Ms. Janice M. Muenzmaier</t>
  </si>
  <si>
    <t>2114 Chapel Ct</t>
  </si>
  <si>
    <t>53024-9635</t>
  </si>
  <si>
    <t>cbiselx@gmail.com</t>
  </si>
  <si>
    <t>ALQ0503EI031</t>
  </si>
  <si>
    <t>ALR220510C23</t>
  </si>
  <si>
    <t>ALR130411020</t>
  </si>
  <si>
    <t>Croswell</t>
  </si>
  <si>
    <t>Mr. Clyde Croswell</t>
  </si>
  <si>
    <t>994 Crums Church Rd</t>
  </si>
  <si>
    <t>22611-2408</t>
  </si>
  <si>
    <t>clydecroswell@gmail.com</t>
  </si>
  <si>
    <t>ALQ0503DI011</t>
  </si>
  <si>
    <t>ALA21080A13A</t>
  </si>
  <si>
    <t>ALA2108D3EMC</t>
  </si>
  <si>
    <t>Ms. Beth Munkwitz</t>
  </si>
  <si>
    <t>2319 Rebecca Dr</t>
  </si>
  <si>
    <t>19440-2753</t>
  </si>
  <si>
    <t>ALQ0503CI009</t>
  </si>
  <si>
    <t>Skofronick</t>
  </si>
  <si>
    <t>James and Dorothy Skofronick</t>
  </si>
  <si>
    <t>James and Dorothy</t>
  </si>
  <si>
    <t>750 Cherry St</t>
  </si>
  <si>
    <t>32303-6265</t>
  </si>
  <si>
    <t>ALQ0503DI031</t>
  </si>
  <si>
    <t>ALA22080A23R</t>
  </si>
  <si>
    <t>dsjs@embarqmail.com</t>
  </si>
  <si>
    <t>ALR221100ERC</t>
  </si>
  <si>
    <t>Chifos</t>
  </si>
  <si>
    <t>19294 Paradise Mountain Rd</t>
  </si>
  <si>
    <t>Valley Center</t>
  </si>
  <si>
    <t>92082-7508</t>
  </si>
  <si>
    <t>ALQ0503CI015</t>
  </si>
  <si>
    <t>ALR211003C44</t>
  </si>
  <si>
    <t>Forbes</t>
  </si>
  <si>
    <t>52B Las Tres</t>
  </si>
  <si>
    <t>Galisteo</t>
  </si>
  <si>
    <t>87540-9600</t>
  </si>
  <si>
    <t>tresforbes@yahoo.com</t>
  </si>
  <si>
    <t>ALQ0504BJ002</t>
  </si>
  <si>
    <t>ALR221005C54</t>
  </si>
  <si>
    <t>ALA12100A5AD</t>
  </si>
  <si>
    <t>Mrs. Edna B. Hibbitts</t>
  </si>
  <si>
    <t>2101 Oaklawn Dr</t>
  </si>
  <si>
    <t>79705-7533</t>
  </si>
  <si>
    <t>hibbitts@suddenlink.net</t>
  </si>
  <si>
    <t>hibbhitts@suddenlink.net</t>
  </si>
  <si>
    <t>ALQ0504AJ047</t>
  </si>
  <si>
    <t>ALA2104D5EMC</t>
  </si>
  <si>
    <t>ALQ1801N0WSC</t>
  </si>
  <si>
    <t>6112 Richmanor Ter</t>
  </si>
  <si>
    <t>Upper Marlboro</t>
  </si>
  <si>
    <t>20772-6206</t>
  </si>
  <si>
    <t>ALS050701202</t>
  </si>
  <si>
    <t>Pulliam</t>
  </si>
  <si>
    <t>Rebecca Pulliam</t>
  </si>
  <si>
    <t>2276 Winterberry Dr</t>
  </si>
  <si>
    <t>#B</t>
  </si>
  <si>
    <t>40504-3241</t>
  </si>
  <si>
    <t>beckyp1960@gmail.com</t>
  </si>
  <si>
    <t>ALQ0504GJ008</t>
  </si>
  <si>
    <t>ALA22010D23A</t>
  </si>
  <si>
    <t>Mueller</t>
  </si>
  <si>
    <t>Ms. Theresa Mueller</t>
  </si>
  <si>
    <t>958 Blase Ave</t>
  </si>
  <si>
    <t>63131-4301</t>
  </si>
  <si>
    <t>tmmueller1363@gmail.com</t>
  </si>
  <si>
    <t>tmspacific@yahoo.com</t>
  </si>
  <si>
    <t>ALQ0501BG045</t>
  </si>
  <si>
    <t>203 Dusty Ln</t>
  </si>
  <si>
    <t>Jericho Farms</t>
  </si>
  <si>
    <t>37849-7515</t>
  </si>
  <si>
    <t>teresa.myrick@yahoo.com</t>
  </si>
  <si>
    <t>jerichofrms@comcast.net</t>
  </si>
  <si>
    <t>ALQ2001AG016</t>
  </si>
  <si>
    <t>ALA21050A26N</t>
  </si>
  <si>
    <t>Mcbee</t>
  </si>
  <si>
    <t>Ms. Karen Mcbee</t>
  </si>
  <si>
    <t>611 Cedar Creek Dr</t>
  </si>
  <si>
    <t>75703-3509</t>
  </si>
  <si>
    <t>klmyellowstone@aol.com</t>
  </si>
  <si>
    <t>ALQ0504GJ014</t>
  </si>
  <si>
    <t>ALR130601044</t>
  </si>
  <si>
    <t>Ann and Kevin Nelson</t>
  </si>
  <si>
    <t>Ann and Kevin</t>
  </si>
  <si>
    <t>13921 W 73rd St</t>
  </si>
  <si>
    <t>66216-3755</t>
  </si>
  <si>
    <t>liz3may@yahoo.com</t>
  </si>
  <si>
    <t>ALQ0504GJ023</t>
  </si>
  <si>
    <t>ALR230503EMC</t>
  </si>
  <si>
    <t>Dr. Randall Oliva</t>
  </si>
  <si>
    <t>1114 2nd Ave S</t>
  </si>
  <si>
    <t>33715-2221</t>
  </si>
  <si>
    <t>randalloliva@gmail.com</t>
  </si>
  <si>
    <t>randalloliva@sbcglobal.net</t>
  </si>
  <si>
    <t>ALQ0504CJ017</t>
  </si>
  <si>
    <t>ALA23060B55H</t>
  </si>
  <si>
    <t>Ms. Jane Britton</t>
  </si>
  <si>
    <t>1176 Rimer Dr</t>
  </si>
  <si>
    <t>94556-1725</t>
  </si>
  <si>
    <t>janebritton@comcast.net</t>
  </si>
  <si>
    <t>ALA21020C56H</t>
  </si>
  <si>
    <t>wiener7@hotmail.com</t>
  </si>
  <si>
    <t>Ms. Laura Smith</t>
  </si>
  <si>
    <t>821 Haight Ave</t>
  </si>
  <si>
    <t>94501-3419</t>
  </si>
  <si>
    <t>laura.smith@att.net</t>
  </si>
  <si>
    <t>ALQ0504CJ006</t>
  </si>
  <si>
    <t>Ms. Danielle T. Abbott</t>
  </si>
  <si>
    <t>15 N Indian River Dr Apt 602</t>
  </si>
  <si>
    <t>32922-4728</t>
  </si>
  <si>
    <t>abbstorm@aol.com</t>
  </si>
  <si>
    <t>jabbott381@gmail.com</t>
  </si>
  <si>
    <t>Georgie Raulerson</t>
  </si>
  <si>
    <t>185 SE 27th Pl</t>
  </si>
  <si>
    <t>33435-7608</t>
  </si>
  <si>
    <t>topgeo44@gmail.com</t>
  </si>
  <si>
    <t>topgeo@bellsouth.net</t>
  </si>
  <si>
    <t>Donofrio</t>
  </si>
  <si>
    <t>3406 Kenland Rd SE</t>
  </si>
  <si>
    <t>Smyrna</t>
  </si>
  <si>
    <t>30082-2540</t>
  </si>
  <si>
    <t>swong21156@aol.com</t>
  </si>
  <si>
    <t>ALQ0504BJ042</t>
  </si>
  <si>
    <t>ALA23080A15A</t>
  </si>
  <si>
    <t>Mr. Ross</t>
  </si>
  <si>
    <t>12 Mount Vernon Street</t>
  </si>
  <si>
    <t>01945-2314</t>
  </si>
  <si>
    <t>ALQ0505DK013</t>
  </si>
  <si>
    <t>ALR070101002</t>
  </si>
  <si>
    <t>Debbie Brooks</t>
  </si>
  <si>
    <t>143 Eastman Rd</t>
  </si>
  <si>
    <t>Laconia</t>
  </si>
  <si>
    <t>03246-1411</t>
  </si>
  <si>
    <t>ALQ0504FJ028</t>
  </si>
  <si>
    <t>ALA22070A00S</t>
  </si>
  <si>
    <t>Sandi</t>
  </si>
  <si>
    <t>Berman</t>
  </si>
  <si>
    <t>Sandi Berman</t>
  </si>
  <si>
    <t>3511 Suiter Way</t>
  </si>
  <si>
    <t>77503-2201</t>
  </si>
  <si>
    <t>ALQ0503CI028</t>
  </si>
  <si>
    <t>ALR200301C33</t>
  </si>
  <si>
    <t>Sally Neher</t>
  </si>
  <si>
    <t>104 Freemoor Dr</t>
  </si>
  <si>
    <t>23662-1226</t>
  </si>
  <si>
    <t>hneher@cox.net</t>
  </si>
  <si>
    <t>ALQ0504CJ034</t>
  </si>
  <si>
    <t>ALA22030A23A</t>
  </si>
  <si>
    <t>ALR150601023</t>
  </si>
  <si>
    <t>Susan Bodell and Guy Gardner</t>
  </si>
  <si>
    <t>Susan and Guy</t>
  </si>
  <si>
    <t>2 Craydon Ct</t>
  </si>
  <si>
    <t>94583-3906</t>
  </si>
  <si>
    <t>ALQ0504AJ032</t>
  </si>
  <si>
    <t>guylgardner@yahoo.com</t>
  </si>
  <si>
    <t>Burdick</t>
  </si>
  <si>
    <t>Mr. C. Burdick</t>
  </si>
  <si>
    <t>Mr. Burdick</t>
  </si>
  <si>
    <t>PO Box 8194</t>
  </si>
  <si>
    <t>Duck</t>
  </si>
  <si>
    <t>27949-8194</t>
  </si>
  <si>
    <t>chuckbjr@gmail.com</t>
  </si>
  <si>
    <t>chuck@aginet.com</t>
  </si>
  <si>
    <t>ALQ0504CJ033</t>
  </si>
  <si>
    <t>ALL22110C7BM</t>
  </si>
  <si>
    <t>ALA11080A13C</t>
  </si>
  <si>
    <t>Mrs. Karen Vilonen</t>
  </si>
  <si>
    <t>1851 Tonawanda Creek Rd</t>
  </si>
  <si>
    <t>14228-1249</t>
  </si>
  <si>
    <t>benjaminvilonen@hotmail.com</t>
  </si>
  <si>
    <t>vilonen@buffnet.net</t>
  </si>
  <si>
    <t>ALQ0505AK029</t>
  </si>
  <si>
    <t>ALS240101302</t>
  </si>
  <si>
    <t>Harold and Martha Schiel</t>
  </si>
  <si>
    <t>Harold and Martha</t>
  </si>
  <si>
    <t>2111 Burnett Ave</t>
  </si>
  <si>
    <t>50010-4935</t>
  </si>
  <si>
    <t>heschiel5861@q.com</t>
  </si>
  <si>
    <t>heschiel@aol.com</t>
  </si>
  <si>
    <t>ALQ0505CK023</t>
  </si>
  <si>
    <t>ALR221007C44</t>
  </si>
  <si>
    <t>Chet</t>
  </si>
  <si>
    <t>Hepburn</t>
  </si>
  <si>
    <t>Felicia</t>
  </si>
  <si>
    <t>Mr. Chet Hepburn and Dr. Felicia Carr</t>
  </si>
  <si>
    <t>Chet and Felicia</t>
  </si>
  <si>
    <t>1445 N Longfellow St</t>
  </si>
  <si>
    <t>22205-2322</t>
  </si>
  <si>
    <t>hepchet@hotmail.com</t>
  </si>
  <si>
    <t>fcarr1@hotmail.com</t>
  </si>
  <si>
    <t>ALA051203004</t>
  </si>
  <si>
    <t>dimenovel@hotmail.com</t>
  </si>
  <si>
    <t>potcrazu81@hotmail.com</t>
  </si>
  <si>
    <t>Buchwald</t>
  </si>
  <si>
    <t>Dr. Caryl E. Buchwald</t>
  </si>
  <si>
    <t>13192 Cannon City Blvd</t>
  </si>
  <si>
    <t>55057-4680</t>
  </si>
  <si>
    <t>phuonggiangvn2000@yahoo.com</t>
  </si>
  <si>
    <t>cbuchwald@comcast.net</t>
  </si>
  <si>
    <t>ALQ0505EK027</t>
  </si>
  <si>
    <t>ALR220708C44</t>
  </si>
  <si>
    <t>ALA16010D25A</t>
  </si>
  <si>
    <t>Ms. Connie and Mr. John Meyers</t>
  </si>
  <si>
    <t>Connie and John</t>
  </si>
  <si>
    <t>714 Elm St</t>
  </si>
  <si>
    <t>66025-9444</t>
  </si>
  <si>
    <t>meyers6919@msn.com</t>
  </si>
  <si>
    <t>johnmeyers@smsd.org</t>
  </si>
  <si>
    <t>ALQ0505EK039</t>
  </si>
  <si>
    <t>ALL19040A7BM</t>
  </si>
  <si>
    <t>ALR060703201</t>
  </si>
  <si>
    <t>130 Cambridge Dr</t>
  </si>
  <si>
    <t>Hershey</t>
  </si>
  <si>
    <t>17033-2169</t>
  </si>
  <si>
    <t>rdamorris@comcast.net</t>
  </si>
  <si>
    <t>majorrdamm@verizon.net</t>
  </si>
  <si>
    <t>Linda Harrison</t>
  </si>
  <si>
    <t>1294 W Green Springs Hts N</t>
  </si>
  <si>
    <t>84780-8461</t>
  </si>
  <si>
    <t>ALQ0503EI025</t>
  </si>
  <si>
    <t>ALR200702C23</t>
  </si>
  <si>
    <t>ALR150401033</t>
  </si>
  <si>
    <t>Quigley</t>
  </si>
  <si>
    <t>194 E Tall Oaks Cir</t>
  </si>
  <si>
    <t>Palm Beach Gardens</t>
  </si>
  <si>
    <t>33410-4444</t>
  </si>
  <si>
    <t>mcquigley10@gmail.com</t>
  </si>
  <si>
    <t>ALQ0505CK028</t>
  </si>
  <si>
    <t>ALR201000001</t>
  </si>
  <si>
    <t>ALL19040A6BM</t>
  </si>
  <si>
    <t>Hazen E. Carpenter</t>
  </si>
  <si>
    <t>14 Hazen Dr</t>
  </si>
  <si>
    <t>04083-6036</t>
  </si>
  <si>
    <t>ALA14020C13C</t>
  </si>
  <si>
    <t>ALA060501053</t>
  </si>
  <si>
    <t>Rogat</t>
  </si>
  <si>
    <t>111 Wellmore Dr Ste 2201</t>
  </si>
  <si>
    <t>29708-0126</t>
  </si>
  <si>
    <t>arsailman1@yahoo.com</t>
  </si>
  <si>
    <t>arsailmanx@yahoo.com</t>
  </si>
  <si>
    <t>XBMJ01</t>
  </si>
  <si>
    <t>Master</t>
  </si>
  <si>
    <t>Dr. M. J. Master</t>
  </si>
  <si>
    <t>Dr. Master</t>
  </si>
  <si>
    <t>759 San Raphael St</t>
  </si>
  <si>
    <t>Kissimmee</t>
  </si>
  <si>
    <t>34759-3909</t>
  </si>
  <si>
    <t>ALQ0507DA007</t>
  </si>
  <si>
    <t>ALR230403C44</t>
  </si>
  <si>
    <t>George B. Whatley, M.D.</t>
  </si>
  <si>
    <t>George Whatley</t>
  </si>
  <si>
    <t>3850 Galleria Woods Drive #11</t>
  </si>
  <si>
    <t>35244-1093</t>
  </si>
  <si>
    <t>ALQ0507EA036</t>
  </si>
  <si>
    <t>8523 Thackery St Apt 1305</t>
  </si>
  <si>
    <t>75225-3957</t>
  </si>
  <si>
    <t>tobysdad@sbcglobal.net</t>
  </si>
  <si>
    <t>ken.walter.esq@icloud.com</t>
  </si>
  <si>
    <t>ALQ0507EA043</t>
  </si>
  <si>
    <t>ALA12100C14A</t>
  </si>
  <si>
    <t>Diane Jilot</t>
  </si>
  <si>
    <t>2466 Julie Cir</t>
  </si>
  <si>
    <t>54115-8731</t>
  </si>
  <si>
    <t>ALQ0507EA028</t>
  </si>
  <si>
    <t>ALR060801001</t>
  </si>
  <si>
    <t>Doneille</t>
  </si>
  <si>
    <t>Chomiak</t>
  </si>
  <si>
    <t>Doneille Chomiak</t>
  </si>
  <si>
    <t>1928 Ptarmigan St NW</t>
  </si>
  <si>
    <t>97304-2824</t>
  </si>
  <si>
    <t>doneille@aol.com</t>
  </si>
  <si>
    <t>doneille@usa.com</t>
  </si>
  <si>
    <t>ALQ0507DA036</t>
  </si>
  <si>
    <t>ALR220205C64</t>
  </si>
  <si>
    <t>ALA2111D3EMC</t>
  </si>
  <si>
    <t>Fougere</t>
  </si>
  <si>
    <t>Mrs. Mary Fougere</t>
  </si>
  <si>
    <t>271 Meetinghouse Rd</t>
  </si>
  <si>
    <t>South Chatham</t>
  </si>
  <si>
    <t>02659-1419</t>
  </si>
  <si>
    <t>fouco@msn.com</t>
  </si>
  <si>
    <t>ALQ0507EA037</t>
  </si>
  <si>
    <t>ALA14070F23R</t>
  </si>
  <si>
    <t>ALA14020C13R</t>
  </si>
  <si>
    <t>Askins</t>
  </si>
  <si>
    <t>Karen Askins</t>
  </si>
  <si>
    <t>46 Wild Flower Way</t>
  </si>
  <si>
    <t>49203-5173</t>
  </si>
  <si>
    <t>ALQ0505FK057</t>
  </si>
  <si>
    <t>ALR220501C44</t>
  </si>
  <si>
    <t>Mr. Ronald W. Walters</t>
  </si>
  <si>
    <t>16 Mackworth Ln</t>
  </si>
  <si>
    <t>Cumberland Foreside</t>
  </si>
  <si>
    <t>04110-1325</t>
  </si>
  <si>
    <t>rwalters@maine.rr.com</t>
  </si>
  <si>
    <t>r.walters@maine.rr.com</t>
  </si>
  <si>
    <t>ALQ0507AA038</t>
  </si>
  <si>
    <t>ALR240701C23</t>
  </si>
  <si>
    <t>ALR090101003</t>
  </si>
  <si>
    <t>Bruce Eberhard</t>
  </si>
  <si>
    <t>119 Cedarwood Park</t>
  </si>
  <si>
    <t>29803-5203</t>
  </si>
  <si>
    <t>ALR220302C44</t>
  </si>
  <si>
    <t>ALA090601003</t>
  </si>
  <si>
    <t>Eise</t>
  </si>
  <si>
    <t>Louise and John Eise</t>
  </si>
  <si>
    <t>Louise and John</t>
  </si>
  <si>
    <t>16315 70th Ave N</t>
  </si>
  <si>
    <t>55311-2961</t>
  </si>
  <si>
    <t>louiseeise@yahoo.com</t>
  </si>
  <si>
    <t>johnweather@outlook.com</t>
  </si>
  <si>
    <t>ALQ0507BA019</t>
  </si>
  <si>
    <t>ALR22060W001</t>
  </si>
  <si>
    <t>ALR130801044</t>
  </si>
  <si>
    <t>League</t>
  </si>
  <si>
    <t>Alvin</t>
  </si>
  <si>
    <t>Evelyn and Alvin League</t>
  </si>
  <si>
    <t>Evelyn and Alvin</t>
  </si>
  <si>
    <t>1901 E Old Highway 40 Apt A</t>
  </si>
  <si>
    <t>New Cambria</t>
  </si>
  <si>
    <t>67470-8596</t>
  </si>
  <si>
    <t>eleague@juno.com</t>
  </si>
  <si>
    <t>ALQ0507AA027</t>
  </si>
  <si>
    <t>ALL21090C63M</t>
  </si>
  <si>
    <t>ALQ1710CD010</t>
  </si>
  <si>
    <t>aleve@pocketmail.com</t>
  </si>
  <si>
    <t>XNLFA2907</t>
  </si>
  <si>
    <t>XNQBJ4715</t>
  </si>
  <si>
    <t>XRI6A12S</t>
  </si>
  <si>
    <t>Mary Kay</t>
  </si>
  <si>
    <t>Eckhart</t>
  </si>
  <si>
    <t>Mrs. Mary Kay Eckhart</t>
  </si>
  <si>
    <t>525 Bischoff Rd</t>
  </si>
  <si>
    <t>45344-7210</t>
  </si>
  <si>
    <t>mkeckhart@woh.rr.com</t>
  </si>
  <si>
    <t>ALQ0507DA010</t>
  </si>
  <si>
    <t>ALA18030A13A</t>
  </si>
  <si>
    <t>Fink</t>
  </si>
  <si>
    <t>Charles Fink and Leonard Jones</t>
  </si>
  <si>
    <t>Charles and Leonard</t>
  </si>
  <si>
    <t>3218 61st Ave SW</t>
  </si>
  <si>
    <t>98116-3013</t>
  </si>
  <si>
    <t>alkicat@comcast.net</t>
  </si>
  <si>
    <t>ALQ0507BA033</t>
  </si>
  <si>
    <t>ATA2308T5EMC</t>
  </si>
  <si>
    <t>Mrs. Donald Poel</t>
  </si>
  <si>
    <t>7574 Wiczer Dr</t>
  </si>
  <si>
    <t>49461-9264</t>
  </si>
  <si>
    <t>bdpoel@charter.net</t>
  </si>
  <si>
    <t>bdpoel@earthlink.net</t>
  </si>
  <si>
    <t>ALQ0507EA029</t>
  </si>
  <si>
    <t>Osteen</t>
  </si>
  <si>
    <t>James and Karen Osteen</t>
  </si>
  <si>
    <t>James and Karen</t>
  </si>
  <si>
    <t>10817 Graeloch Rd</t>
  </si>
  <si>
    <t>20723-1124</t>
  </si>
  <si>
    <t>jkosteen@comcast.net</t>
  </si>
  <si>
    <t>kposteen@comcast.net</t>
  </si>
  <si>
    <t>kposteen@comcast.neet</t>
  </si>
  <si>
    <t>116 Allison Timbers Rd</t>
  </si>
  <si>
    <t>37686-4043</t>
  </si>
  <si>
    <t>grabetoy@yahoo.com</t>
  </si>
  <si>
    <t>catsaysyes@aol.com</t>
  </si>
  <si>
    <t>ALQ0507CA019</t>
  </si>
  <si>
    <t>RoseMarie</t>
  </si>
  <si>
    <t>Ms. RoseMarie Mason</t>
  </si>
  <si>
    <t>886 Madison Crest Ct</t>
  </si>
  <si>
    <t>30045-3802</t>
  </si>
  <si>
    <t>rosemariemason28@gmail.com</t>
  </si>
  <si>
    <t>ALQ0507BA038</t>
  </si>
  <si>
    <t>ALA230701999</t>
  </si>
  <si>
    <t>ALR200001001</t>
  </si>
  <si>
    <t>780 Lakeshore Dr</t>
  </si>
  <si>
    <t>94065-1785</t>
  </si>
  <si>
    <t>arnoldmiller824@gmail.com</t>
  </si>
  <si>
    <t>arnieguard-online2@yahoo.com</t>
  </si>
  <si>
    <t>Ms. Peggy Ivers</t>
  </si>
  <si>
    <t>3907 W 82nd Pl</t>
  </si>
  <si>
    <t>60652-2913</t>
  </si>
  <si>
    <t>pivers6810@aol.com</t>
  </si>
  <si>
    <t>ALQ0503EI037</t>
  </si>
  <si>
    <t>ALA100701ED1</t>
  </si>
  <si>
    <t>Wolter</t>
  </si>
  <si>
    <t>Robert Wolter</t>
  </si>
  <si>
    <t>3003 Sabal Cir</t>
  </si>
  <si>
    <t>Ellenton</t>
  </si>
  <si>
    <t>34222-4335</t>
  </si>
  <si>
    <t>ktw215@aol.com</t>
  </si>
  <si>
    <t>rtw215@aol.com</t>
  </si>
  <si>
    <t>ALQ0507EA016</t>
  </si>
  <si>
    <t>Atteln</t>
  </si>
  <si>
    <t>Ms. Barbara Atteln</t>
  </si>
  <si>
    <t>7722 General Sheridan Ln</t>
  </si>
  <si>
    <t>63123-1205</t>
  </si>
  <si>
    <t>b.atteln@sbcglobal.net</t>
  </si>
  <si>
    <t>ALA2312D7EMC</t>
  </si>
  <si>
    <t>Thrune</t>
  </si>
  <si>
    <t>Susan A. Thrune</t>
  </si>
  <si>
    <t>2261 Old Gardiner Rd</t>
  </si>
  <si>
    <t># 14</t>
  </si>
  <si>
    <t>98382-8718</t>
  </si>
  <si>
    <t>linsue13@msn.com</t>
  </si>
  <si>
    <t>ALQ0508BB020</t>
  </si>
  <si>
    <t>ALR171202054</t>
  </si>
  <si>
    <t>Samuel and Pat Hopmeier</t>
  </si>
  <si>
    <t>Samuel and Pat</t>
  </si>
  <si>
    <t>13325 Fairfield Square Dr</t>
  </si>
  <si>
    <t>63017-5925</t>
  </si>
  <si>
    <t>hopmeier@aol.com</t>
  </si>
  <si>
    <t>ALQ0508BB026</t>
  </si>
  <si>
    <t>Casteel</t>
  </si>
  <si>
    <t>Eileen Casteel</t>
  </si>
  <si>
    <t>204 Kettle Ridge Cir</t>
  </si>
  <si>
    <t>Glenbeulah</t>
  </si>
  <si>
    <t>53023-1155</t>
  </si>
  <si>
    <t>ALQ0507BA027</t>
  </si>
  <si>
    <t>ALA20030C13C</t>
  </si>
  <si>
    <t>ALA17070C13C</t>
  </si>
  <si>
    <t>Mr. Thomas L. Miller</t>
  </si>
  <si>
    <t>2618 Caleb Ct</t>
  </si>
  <si>
    <t>95367-2755</t>
  </si>
  <si>
    <t>c8tlm@yahoo.com</t>
  </si>
  <si>
    <t>2boxerluvers@sbcglobal.net</t>
  </si>
  <si>
    <t>ALQ0508CB040</t>
  </si>
  <si>
    <t>ALA20100A25R</t>
  </si>
  <si>
    <t>Orell A. Phillips</t>
  </si>
  <si>
    <t>10 Honeyfield Ln</t>
  </si>
  <si>
    <t>87042-8809</t>
  </si>
  <si>
    <t>butchblackwhite@gmail.com</t>
  </si>
  <si>
    <t>butchblackwhite@aol.com</t>
  </si>
  <si>
    <t>ALQ0508CB020</t>
  </si>
  <si>
    <t>Dwyer</t>
  </si>
  <si>
    <t>Mr. Joseph Dwyer</t>
  </si>
  <si>
    <t>75 Davis Rd</t>
  </si>
  <si>
    <t>South Kent</t>
  </si>
  <si>
    <t>06785-1012</t>
  </si>
  <si>
    <t>jdwyer46@yahoo.com</t>
  </si>
  <si>
    <t>ALQ0507GA057</t>
  </si>
  <si>
    <t>ALR120902044</t>
  </si>
  <si>
    <t>Christian</t>
  </si>
  <si>
    <t>1221 212th Pl SW</t>
  </si>
  <si>
    <t>98036-8626</t>
  </si>
  <si>
    <t>ALQ0508DB028</t>
  </si>
  <si>
    <t>ALA23090E12A</t>
  </si>
  <si>
    <t>Gennifer</t>
  </si>
  <si>
    <t>Lou</t>
  </si>
  <si>
    <t>Mrs. Gennifer L. and Mr. Larry J. Ford</t>
  </si>
  <si>
    <t>Gennifer and Larry</t>
  </si>
  <si>
    <t>4009 Red Rock Ln</t>
  </si>
  <si>
    <t>34231-3542</t>
  </si>
  <si>
    <t>lford77@yahoo.com</t>
  </si>
  <si>
    <t>ALQ0508EB011</t>
  </si>
  <si>
    <t>ALA12030G56H</t>
  </si>
  <si>
    <t>Linda Mitchell</t>
  </si>
  <si>
    <t>4154 Abbott Rd</t>
  </si>
  <si>
    <t>Lynwood</t>
  </si>
  <si>
    <t>90262-2164</t>
  </si>
  <si>
    <t>lindamitchell3383@sbcglobal.net</t>
  </si>
  <si>
    <t>ALA21120A23R</t>
  </si>
  <si>
    <t>Madonna</t>
  </si>
  <si>
    <t>Frisch</t>
  </si>
  <si>
    <t>Madonna Frisch</t>
  </si>
  <si>
    <t>175 Shore Dr</t>
  </si>
  <si>
    <t>Hartfield</t>
  </si>
  <si>
    <t>23071-2040</t>
  </si>
  <si>
    <t>ALQ0508GB057</t>
  </si>
  <si>
    <t>ALR221003C23</t>
  </si>
  <si>
    <t>ALR180412030</t>
  </si>
  <si>
    <t>Madalyn</t>
  </si>
  <si>
    <t>Madalyn P. Nash</t>
  </si>
  <si>
    <t>3011 Troutside Drive</t>
  </si>
  <si>
    <t>garlic152@gmail.com</t>
  </si>
  <si>
    <t>sdawson@santa-clarita.com</t>
  </si>
  <si>
    <t>ALR211012C30</t>
  </si>
  <si>
    <t>Jane and David Thomas</t>
  </si>
  <si>
    <t>35 Azul Lp</t>
  </si>
  <si>
    <t>87508-8243</t>
  </si>
  <si>
    <t>dthomasnm@comcast.net</t>
  </si>
  <si>
    <t>dthomasm@comcast.net</t>
  </si>
  <si>
    <t>ALQ0508DB012</t>
  </si>
  <si>
    <t>ALR151001023</t>
  </si>
  <si>
    <t>Mrs. Janice Letson</t>
  </si>
  <si>
    <t>373 Pine Ln</t>
  </si>
  <si>
    <t>94022-1648</t>
  </si>
  <si>
    <t>janletson@yahoo.com</t>
  </si>
  <si>
    <t>ALQ0507DA021</t>
  </si>
  <si>
    <t>ALA21010B50H</t>
  </si>
  <si>
    <t>ALA18100C55H</t>
  </si>
  <si>
    <t>Mr. Clay Youngblood</t>
  </si>
  <si>
    <t>2409 Piedra Dr</t>
  </si>
  <si>
    <t>75023-5330</t>
  </si>
  <si>
    <t>cjyoungblood@msn.com</t>
  </si>
  <si>
    <t>ALA080902009</t>
  </si>
  <si>
    <t>Sander</t>
  </si>
  <si>
    <t>Nydick</t>
  </si>
  <si>
    <t>Sander Nydick</t>
  </si>
  <si>
    <t>3955 28th St</t>
  </si>
  <si>
    <t># 121</t>
  </si>
  <si>
    <t>80301-1603</t>
  </si>
  <si>
    <t>ALQ0509BC042</t>
  </si>
  <si>
    <t>ALA20100A12A</t>
  </si>
  <si>
    <t>ALR190602023</t>
  </si>
  <si>
    <t>Hulse</t>
  </si>
  <si>
    <t>133 N Carolina Ave SE</t>
  </si>
  <si>
    <t>20003-1846</t>
  </si>
  <si>
    <t>lahwdc@gmail.com</t>
  </si>
  <si>
    <t>hulse_dc@yahoo.com</t>
  </si>
  <si>
    <t>ALQ0508FB042</t>
  </si>
  <si>
    <t>Ms. Barbara S. Hughes</t>
  </si>
  <si>
    <t>25 Sugar Maple Trl</t>
  </si>
  <si>
    <t>53717-1543</t>
  </si>
  <si>
    <t>bhughes86@icloud.com</t>
  </si>
  <si>
    <t>ALQ0509CC034</t>
  </si>
  <si>
    <t>Van De Wetering</t>
  </si>
  <si>
    <t>Mrs. Carol L. and Mr. Jan C. Van De Wetering</t>
  </si>
  <si>
    <t>Carol and Jan</t>
  </si>
  <si>
    <t>863 Colorado Blvd</t>
  </si>
  <si>
    <t>95405-7165</t>
  </si>
  <si>
    <t>van-de-wetering@sbcglobal.net</t>
  </si>
  <si>
    <t>ALQ0509BC037</t>
  </si>
  <si>
    <t>ALR220811C50</t>
  </si>
  <si>
    <t>ALA18070D34A</t>
  </si>
  <si>
    <t>Dawn Nelson</t>
  </si>
  <si>
    <t>141 SW Hawthorne Ct</t>
  </si>
  <si>
    <t>Dundee</t>
  </si>
  <si>
    <t>97115-9547</t>
  </si>
  <si>
    <t>duckydawn67@yahoo.com</t>
  </si>
  <si>
    <t>duleydawn67@yahoo.com</t>
  </si>
  <si>
    <t>ALQ0509CC005</t>
  </si>
  <si>
    <t>ALR1400LBWR2</t>
  </si>
  <si>
    <t>Maira</t>
  </si>
  <si>
    <t>Bundza</t>
  </si>
  <si>
    <t>Ms. Maira Bundza</t>
  </si>
  <si>
    <t>4322 Sunnybrook Dr</t>
  </si>
  <si>
    <t>49008-3345</t>
  </si>
  <si>
    <t>maira.bundza@wmich.edu</t>
  </si>
  <si>
    <t>ALZ050002001</t>
  </si>
  <si>
    <t>ALL11050153C</t>
  </si>
  <si>
    <t>C. LeRoy</t>
  </si>
  <si>
    <t>5175 Pine Hill Cir</t>
  </si>
  <si>
    <t>48843-9437</t>
  </si>
  <si>
    <t>clwoobie43@gmail.com</t>
  </si>
  <si>
    <t>ALZ050002004</t>
  </si>
  <si>
    <t>ALR221203C44</t>
  </si>
  <si>
    <t>Mr. Johann P. Diethelm</t>
  </si>
  <si>
    <t>215 Cherry St</t>
  </si>
  <si>
    <t>12589-3314</t>
  </si>
  <si>
    <t>hanspi@frontiernet.net</t>
  </si>
  <si>
    <t>ALQ0509CC018</t>
  </si>
  <si>
    <t>Leung</t>
  </si>
  <si>
    <t>Paul and Wendy Leung</t>
  </si>
  <si>
    <t>Paul and Wendy</t>
  </si>
  <si>
    <t>2500 Hinkle Dr Apt 50</t>
  </si>
  <si>
    <t>76201-0702</t>
  </si>
  <si>
    <t>pleung@unt.edu</t>
  </si>
  <si>
    <t>pleung41@aol.com</t>
  </si>
  <si>
    <t>Josephs</t>
  </si>
  <si>
    <t>Mr. Christopher Josephs</t>
  </si>
  <si>
    <t>13 Pooler Farm Way</t>
  </si>
  <si>
    <t>04609-7778</t>
  </si>
  <si>
    <t>ALQ0509CC039</t>
  </si>
  <si>
    <t>Waldron-Carter</t>
  </si>
  <si>
    <t>Louise Waldron-Carter</t>
  </si>
  <si>
    <t>8 Nutting Rd</t>
  </si>
  <si>
    <t>01886-1303</t>
  </si>
  <si>
    <t>louisewc@verizon.net</t>
  </si>
  <si>
    <t>ALQ0508AB006</t>
  </si>
  <si>
    <t>ALR160201033</t>
  </si>
  <si>
    <t>Ms. Rebecca R. Griffith</t>
  </si>
  <si>
    <t>1853 Kentucky Ave</t>
  </si>
  <si>
    <t>35216-1400</t>
  </si>
  <si>
    <t>qbeckyg@gmail.com</t>
  </si>
  <si>
    <t>ALQ0510AD007</t>
  </si>
  <si>
    <t>Stoneberg</t>
  </si>
  <si>
    <t>Mr. Wayne Stoneberg</t>
  </si>
  <si>
    <t>1305 10th St SE</t>
  </si>
  <si>
    <t>Willmar</t>
  </si>
  <si>
    <t>56201-5418</t>
  </si>
  <si>
    <t>rocky-1952@charter.net</t>
  </si>
  <si>
    <t>ALQ0510AD019</t>
  </si>
  <si>
    <t>ALR210632EMC</t>
  </si>
  <si>
    <t>Knight</t>
  </si>
  <si>
    <t>Mrs. Christina Knight</t>
  </si>
  <si>
    <t>88 Masonic Home Rd Apt T301</t>
  </si>
  <si>
    <t>Charlton</t>
  </si>
  <si>
    <t>01507-3319</t>
  </si>
  <si>
    <t>tucket65@aol.com</t>
  </si>
  <si>
    <t>chrissyknight@kindercare.com</t>
  </si>
  <si>
    <t>Frank D. Auciello</t>
  </si>
  <si>
    <t>1808 Nedrah Dr</t>
  </si>
  <si>
    <t>80524-1977</t>
  </si>
  <si>
    <t>fauciello@hotmail.com</t>
  </si>
  <si>
    <t>dauciello4@gmail.com</t>
  </si>
  <si>
    <t>ALQ0511AE006</t>
  </si>
  <si>
    <t>ALS180101511</t>
  </si>
  <si>
    <t>Marr</t>
  </si>
  <si>
    <t>Joy Marr</t>
  </si>
  <si>
    <t>2900 Edmond Rd</t>
  </si>
  <si>
    <t>Lookout</t>
  </si>
  <si>
    <t>25868-6270</t>
  </si>
  <si>
    <t>jmarr2nd@gmail.com</t>
  </si>
  <si>
    <t>jmarwv@cwv.net</t>
  </si>
  <si>
    <t>ALQ0511AE031</t>
  </si>
  <si>
    <t>ALR191201C66</t>
  </si>
  <si>
    <t>Herrmann</t>
  </si>
  <si>
    <t>Mark A. Herrmann</t>
  </si>
  <si>
    <t>3705 N Bittersweet Dr</t>
  </si>
  <si>
    <t>47408-9656</t>
  </si>
  <si>
    <t>markherrmann@gmail.com</t>
  </si>
  <si>
    <t>Yumi</t>
  </si>
  <si>
    <t>Mrs. Yumi and Mr. Peter Farwell</t>
  </si>
  <si>
    <t>Yumi and Peter</t>
  </si>
  <si>
    <t>213 Bressett Rd</t>
  </si>
  <si>
    <t>01267-3107</t>
  </si>
  <si>
    <t>pfarwell@williams.edu</t>
  </si>
  <si>
    <t>ALA050001002</t>
  </si>
  <si>
    <t>Sipes</t>
  </si>
  <si>
    <t>Martha J. Sipes</t>
  </si>
  <si>
    <t>9111 Split Rail Dr</t>
  </si>
  <si>
    <t>40272-2322</t>
  </si>
  <si>
    <t>ALQ0511BE018</t>
  </si>
  <si>
    <t>ALA24010B14A</t>
  </si>
  <si>
    <t>Mrs. Barbara Ryan</t>
  </si>
  <si>
    <t>27937 Ravens Brook Rd</t>
  </si>
  <si>
    <t>Wesley Chapel</t>
  </si>
  <si>
    <t>33544-2740</t>
  </si>
  <si>
    <t>bteddyryan@gmail.com</t>
  </si>
  <si>
    <t>bteddyryan@earthlink.net</t>
  </si>
  <si>
    <t>ALQ0511BE022</t>
  </si>
  <si>
    <t>ALR2202D0DMC</t>
  </si>
  <si>
    <t>Sue Austin</t>
  </si>
  <si>
    <t>10 Cottontail Dr</t>
  </si>
  <si>
    <t>08724-5029</t>
  </si>
  <si>
    <t>saustin402@yahoo.com</t>
  </si>
  <si>
    <t>ALQ0511AE053</t>
  </si>
  <si>
    <t>ALL23120B73M</t>
  </si>
  <si>
    <t>ALG13020W002</t>
  </si>
  <si>
    <t>Gerston</t>
  </si>
  <si>
    <t>1151 Capri Dr</t>
  </si>
  <si>
    <t>95008-6060</t>
  </si>
  <si>
    <t>ALQ0511CE030</t>
  </si>
  <si>
    <t>Becky</t>
  </si>
  <si>
    <t>12563 Village Circle Dr</t>
  </si>
  <si>
    <t>Apt 1203</t>
  </si>
  <si>
    <t>63127-1758</t>
  </si>
  <si>
    <t>ALQ0511BE007</t>
  </si>
  <si>
    <t>tiaraskip@msn.com</t>
  </si>
  <si>
    <t>Charles Mcdowell</t>
  </si>
  <si>
    <t>3538 Illinois Route 127</t>
  </si>
  <si>
    <t>62049-4432</t>
  </si>
  <si>
    <t>bigcheesy40@gmail.com</t>
  </si>
  <si>
    <t>cnmcdowell@consolidated.net</t>
  </si>
  <si>
    <t>ALQ0511AE043</t>
  </si>
  <si>
    <t>ALR210905C33</t>
  </si>
  <si>
    <t>Brent</t>
  </si>
  <si>
    <t>Gibbons</t>
  </si>
  <si>
    <t>The Gibbons Family</t>
  </si>
  <si>
    <t>Gibbons Family</t>
  </si>
  <si>
    <t>49305 Highway 74 Spc 9</t>
  </si>
  <si>
    <t>Palm Desert</t>
  </si>
  <si>
    <t>92260-6201</t>
  </si>
  <si>
    <t>brentnmo@san.rr.com</t>
  </si>
  <si>
    <t>Ms. Pat Bonner</t>
  </si>
  <si>
    <t>3596 Trident Ct</t>
  </si>
  <si>
    <t>32250-3008</t>
  </si>
  <si>
    <t>pbbonner@comcast.net</t>
  </si>
  <si>
    <t>Ms. J. R. Vital</t>
  </si>
  <si>
    <t>Ms. Vital</t>
  </si>
  <si>
    <t>9548 Leyland Dr</t>
  </si>
  <si>
    <t>37363-4894</t>
  </si>
  <si>
    <t>ALQ0509AC020</t>
  </si>
  <si>
    <t>ALA21010D13A</t>
  </si>
  <si>
    <t>Moylan</t>
  </si>
  <si>
    <t>Ms. Marie C. Moylan</t>
  </si>
  <si>
    <t>6413 Margate Ct</t>
  </si>
  <si>
    <t>27612-6619</t>
  </si>
  <si>
    <t>ALQ0509CC041</t>
  </si>
  <si>
    <t>Blake</t>
  </si>
  <si>
    <t>13320 Panorama Loop NE</t>
  </si>
  <si>
    <t>87123-2184</t>
  </si>
  <si>
    <t>ALQ0511DE042</t>
  </si>
  <si>
    <t>ALR120703004</t>
  </si>
  <si>
    <t>Dr. &amp; Mrs. William and Dr. William Calloway</t>
  </si>
  <si>
    <t>William and William</t>
  </si>
  <si>
    <t>12 Melody Ln</t>
  </si>
  <si>
    <t>39475-3587</t>
  </si>
  <si>
    <t>twomudbugz@yahoo.com</t>
  </si>
  <si>
    <t>alicelandscape@yahoo.com</t>
  </si>
  <si>
    <t>ALQ0503CI037</t>
  </si>
  <si>
    <t>ALR240301C33</t>
  </si>
  <si>
    <t>Ms. Eva H. Eckert</t>
  </si>
  <si>
    <t>1 Morningside Drive PH 12</t>
  </si>
  <si>
    <t>10025-2447</t>
  </si>
  <si>
    <t>eeckert@hotmail.com</t>
  </si>
  <si>
    <t>ALQ060001001</t>
  </si>
  <si>
    <t>Dan</t>
  </si>
  <si>
    <t>O'Connell</t>
  </si>
  <si>
    <t>Dan and Ellen O'Connell</t>
  </si>
  <si>
    <t>Dan and Ellen</t>
  </si>
  <si>
    <t>20253 Asbury Rd</t>
  </si>
  <si>
    <t>52039-9547</t>
  </si>
  <si>
    <t>ALQ0512DF003</t>
  </si>
  <si>
    <t>dillrompy@aol.com</t>
  </si>
  <si>
    <t>Barbara and Duane Wilcox</t>
  </si>
  <si>
    <t>Barbara and Duane</t>
  </si>
  <si>
    <t>2 Park Edge</t>
  </si>
  <si>
    <t>07922-1279</t>
  </si>
  <si>
    <t>barbwilcox425@gmail.com</t>
  </si>
  <si>
    <t>wildcoxdb@comcast.net</t>
  </si>
  <si>
    <t>ALQ0511BE036</t>
  </si>
  <si>
    <t>wilcoxdb@comcast.net</t>
  </si>
  <si>
    <t>duenewilcox1@aol.com</t>
  </si>
  <si>
    <t>ALA21010W001</t>
  </si>
  <si>
    <t>Greenbaum</t>
  </si>
  <si>
    <t>19501 40th Ave W</t>
  </si>
  <si>
    <t>Apt 843</t>
  </si>
  <si>
    <t>ccg51@comcast.net</t>
  </si>
  <si>
    <t>XNICI2522</t>
  </si>
  <si>
    <t>XRD1P91AA</t>
  </si>
  <si>
    <t>David G. Wong</t>
  </si>
  <si>
    <t>1900 Gala Way</t>
  </si>
  <si>
    <t>99352-5703</t>
  </si>
  <si>
    <t>dgw953@hotmail.com</t>
  </si>
  <si>
    <t>dgw1023@yahoo.com</t>
  </si>
  <si>
    <t>ALQ0512BF005</t>
  </si>
  <si>
    <t>ALL19120ADBM</t>
  </si>
  <si>
    <t>Ms. Marie Meyer</t>
  </si>
  <si>
    <t>311 Parkview Cir</t>
  </si>
  <si>
    <t>55992-1211</t>
  </si>
  <si>
    <t>ALQ0601AG048</t>
  </si>
  <si>
    <t>ALS220801512</t>
  </si>
  <si>
    <t>Zychowicz</t>
  </si>
  <si>
    <t>Mr. Thomas A. Zychowicz</t>
  </si>
  <si>
    <t>8643 W Mitchell St</t>
  </si>
  <si>
    <t>53214-4336</t>
  </si>
  <si>
    <t>npcarenewal9132022@npca.org</t>
  </si>
  <si>
    <t>ALQ0601AG059</t>
  </si>
  <si>
    <t>PPA201101002</t>
  </si>
  <si>
    <t>Casey</t>
  </si>
  <si>
    <t>Teresa Casey</t>
  </si>
  <si>
    <t>1612 Gardiner Ln Apt 218</t>
  </si>
  <si>
    <t>40205-2759</t>
  </si>
  <si>
    <t>tjgc58@gmail.com</t>
  </si>
  <si>
    <t>rgcasey@bellsouth.net</t>
  </si>
  <si>
    <t>ALQ0601BG034</t>
  </si>
  <si>
    <t>ALR160203033</t>
  </si>
  <si>
    <t>Shaffer</t>
  </si>
  <si>
    <t>Ms. Robin Shaffer</t>
  </si>
  <si>
    <t>139 N Prospect St</t>
  </si>
  <si>
    <t>44074-1038</t>
  </si>
  <si>
    <t>robinlucille@frontier.com</t>
  </si>
  <si>
    <t>robinlucille@verizon.net</t>
  </si>
  <si>
    <t>ALR180104033</t>
  </si>
  <si>
    <t>Ms. Edna Canfield</t>
  </si>
  <si>
    <t>99 Golf Pkwy Unit A</t>
  </si>
  <si>
    <t>53704-7060</t>
  </si>
  <si>
    <t>ALQ0601FG049</t>
  </si>
  <si>
    <t>Olivia</t>
  </si>
  <si>
    <t>Zivney</t>
  </si>
  <si>
    <t>Olivia Zivney</t>
  </si>
  <si>
    <t>2584 Keith Fork Rd</t>
  </si>
  <si>
    <t>26452-7876</t>
  </si>
  <si>
    <t>wellstar4@yahoo.com</t>
  </si>
  <si>
    <t>wellstar@dragonbbs.com</t>
  </si>
  <si>
    <t>ALR230903C23</t>
  </si>
  <si>
    <t>ALR200401C33</t>
  </si>
  <si>
    <t>Waite</t>
  </si>
  <si>
    <t>Beth Waite</t>
  </si>
  <si>
    <t>1604 Grandview Ave Apt 14</t>
  </si>
  <si>
    <t>Papillion</t>
  </si>
  <si>
    <t>68046-5819</t>
  </si>
  <si>
    <t>ALQ0601HG033</t>
  </si>
  <si>
    <t>Mr. George T. Smith</t>
  </si>
  <si>
    <t>255 Center Grove Rd</t>
  </si>
  <si>
    <t>07869-2008</t>
  </si>
  <si>
    <t>gtskohola@aol.com</t>
  </si>
  <si>
    <t>ALQ0509BC025</t>
  </si>
  <si>
    <t>ALR220612C50</t>
  </si>
  <si>
    <t>ALR210107C54</t>
  </si>
  <si>
    <t>Croce</t>
  </si>
  <si>
    <t>Mr. and Mrs. Gene L. Croce</t>
  </si>
  <si>
    <t>1188 Karnes Rd</t>
  </si>
  <si>
    <t>24523-5790</t>
  </si>
  <si>
    <t>cynthiasanchez68.cs@gmail.com</t>
  </si>
  <si>
    <t>ALQ0512DF004</t>
  </si>
  <si>
    <t>ALA10040C34R</t>
  </si>
  <si>
    <t>Nault</t>
  </si>
  <si>
    <t>Jeff Nault</t>
  </si>
  <si>
    <t>2640 N 73rd Ct</t>
  </si>
  <si>
    <t>Elmwood Park</t>
  </si>
  <si>
    <t>60707-1941</t>
  </si>
  <si>
    <t>jdnault@aol.com</t>
  </si>
  <si>
    <t>ALZ060002002</t>
  </si>
  <si>
    <t>ALA18090A23R</t>
  </si>
  <si>
    <t>William Witt</t>
  </si>
  <si>
    <t>4208 Arlington St</t>
  </si>
  <si>
    <t>48642-3873</t>
  </si>
  <si>
    <t>Jean Williams</t>
  </si>
  <si>
    <t>2929 Dougherty Ferry Rd Apt 114</t>
  </si>
  <si>
    <t>63122-3323</t>
  </si>
  <si>
    <t>jwwilltax@gmail.com</t>
  </si>
  <si>
    <t>splrn@tetranet.net</t>
  </si>
  <si>
    <t>ALQ0601JG062</t>
  </si>
  <si>
    <t>ALL23070B63M</t>
  </si>
  <si>
    <t>Copeland</t>
  </si>
  <si>
    <t>Mrs. Rebecca and Mr. Bruce Copeland</t>
  </si>
  <si>
    <t>Rebecca and Bruce</t>
  </si>
  <si>
    <t>203 Eastridge Garth</t>
  </si>
  <si>
    <t>Lutherville Timonium</t>
  </si>
  <si>
    <t>21093-4334</t>
  </si>
  <si>
    <t>becky.l.copeland@gmail.com</t>
  </si>
  <si>
    <t>ALR220403EMC</t>
  </si>
  <si>
    <t>ALQ230001001</t>
  </si>
  <si>
    <t>Platoni</t>
  </si>
  <si>
    <t>Ms. Gail M. Platoni</t>
  </si>
  <si>
    <t>1641 NW 20th Ave Apt D</t>
  </si>
  <si>
    <t>33445-1470</t>
  </si>
  <si>
    <t>ALQ0601BG037</t>
  </si>
  <si>
    <t>ALA13030D13R</t>
  </si>
  <si>
    <t>Thomas and Christy Nelson</t>
  </si>
  <si>
    <t>Thomas and Christy</t>
  </si>
  <si>
    <t>705 Wintergreen Dr</t>
  </si>
  <si>
    <t>Purcellville</t>
  </si>
  <si>
    <t>20132-3290</t>
  </si>
  <si>
    <t>dgb2116@yahoo.com</t>
  </si>
  <si>
    <t>lisamoorenelson@msn.com</t>
  </si>
  <si>
    <t>ALQ0602CH018</t>
  </si>
  <si>
    <t>Christina C.</t>
  </si>
  <si>
    <t>Christina C. C. Clark</t>
  </si>
  <si>
    <t>344 E Stanton Ave</t>
  </si>
  <si>
    <t>43214-1238</t>
  </si>
  <si>
    <t>clark.psyd@sbcglobal.net</t>
  </si>
  <si>
    <t>christina.c.clark@sbcglobal.net</t>
  </si>
  <si>
    <t>ALQ060001002</t>
  </si>
  <si>
    <t>ALQ12XXN1WSC</t>
  </si>
  <si>
    <t>ALR160605033</t>
  </si>
  <si>
    <t>George Miller</t>
  </si>
  <si>
    <t>3437 Westview Dr</t>
  </si>
  <si>
    <t>Perkiomenville</t>
  </si>
  <si>
    <t>18074-9465</t>
  </si>
  <si>
    <t>ALQ0602AH016</t>
  </si>
  <si>
    <t>ALR110301003</t>
  </si>
  <si>
    <t>Ms. Sally A. Mogford</t>
  </si>
  <si>
    <t>2099 Summers Ave</t>
  </si>
  <si>
    <t>44241-5824</t>
  </si>
  <si>
    <t>trvlsam@att.net</t>
  </si>
  <si>
    <t>prsam@stratos.net</t>
  </si>
  <si>
    <t>ALQ0602CH017</t>
  </si>
  <si>
    <t>ALA23090E44R</t>
  </si>
  <si>
    <t>Sjoquist</t>
  </si>
  <si>
    <t>Keith Sjoquist</t>
  </si>
  <si>
    <t>3141 Hennepin Ave</t>
  </si>
  <si>
    <t>55408-2620</t>
  </si>
  <si>
    <t>ksjoquist@gmail.com</t>
  </si>
  <si>
    <t>ALQ0602AH017</t>
  </si>
  <si>
    <t>ALS111105043</t>
  </si>
  <si>
    <t>Mcdonald</t>
  </si>
  <si>
    <t>Mr. James Mcdonald</t>
  </si>
  <si>
    <t>7737 Narrow Pass St</t>
  </si>
  <si>
    <t>Live Oak</t>
  </si>
  <si>
    <t>78233-2948</t>
  </si>
  <si>
    <t>ALQ0602BH018</t>
  </si>
  <si>
    <t>Ms. Janice Street</t>
  </si>
  <si>
    <t>540 Mohawk Dr Apt 18</t>
  </si>
  <si>
    <t>80303-3794</t>
  </si>
  <si>
    <t>ALR240205C44</t>
  </si>
  <si>
    <t>ALA22030A34A</t>
  </si>
  <si>
    <t>Mrs. Elizabeth Ballinger</t>
  </si>
  <si>
    <t>23 Alice Peck Day Dr Unit 120</t>
  </si>
  <si>
    <t>03766-2616</t>
  </si>
  <si>
    <t>ALQ0602BH011</t>
  </si>
  <si>
    <t>ALA21090A16A</t>
  </si>
  <si>
    <t>6218 Curtis Rd</t>
  </si>
  <si>
    <t>48170-5014</t>
  </si>
  <si>
    <t>trumanhome@charter.net</t>
  </si>
  <si>
    <t>trumanhome@wowway.com</t>
  </si>
  <si>
    <t>ALQ0601DG039</t>
  </si>
  <si>
    <t>ALR210813C40</t>
  </si>
  <si>
    <t>Pack</t>
  </si>
  <si>
    <t>199 W Sycamore Ln</t>
  </si>
  <si>
    <t>80027-2233</t>
  </si>
  <si>
    <t>stephenjpack@hotmail.com</t>
  </si>
  <si>
    <t>ALR230102C33</t>
  </si>
  <si>
    <t>Mark M</t>
  </si>
  <si>
    <t>Giese</t>
  </si>
  <si>
    <t>Mr. Mark M M. Giese</t>
  </si>
  <si>
    <t>1520 Bryn Mawr Ave</t>
  </si>
  <si>
    <t>53403-3606</t>
  </si>
  <si>
    <t>m.mk@juno.com</t>
  </si>
  <si>
    <t>m.mk@att.net</t>
  </si>
  <si>
    <t>ALQ1410BD006</t>
  </si>
  <si>
    <t>ALA2304D2PST</t>
  </si>
  <si>
    <t>ALR191101C23</t>
  </si>
  <si>
    <t>Brundage</t>
  </si>
  <si>
    <t>Joan and Alan Brundage</t>
  </si>
  <si>
    <t>Joan and Alan</t>
  </si>
  <si>
    <t>3525 E Marshall Gulch Pl</t>
  </si>
  <si>
    <t>85718-2210</t>
  </si>
  <si>
    <t>ajbrundage@gmail.com</t>
  </si>
  <si>
    <t>ajbrundage@earthlink.net</t>
  </si>
  <si>
    <t>ALQ1101HG026</t>
  </si>
  <si>
    <t>ALR2203D0DMC</t>
  </si>
  <si>
    <t>Harper</t>
  </si>
  <si>
    <t>Ms. Nancy A. Harper</t>
  </si>
  <si>
    <t>13440 N 44th St Apt 1017</t>
  </si>
  <si>
    <t>85032-6352</t>
  </si>
  <si>
    <t>naharper.arch@gmail.com</t>
  </si>
  <si>
    <t>naa-harp@msn.com</t>
  </si>
  <si>
    <t>ALQ1501HG044</t>
  </si>
  <si>
    <t>Rankin</t>
  </si>
  <si>
    <t>Barb and Seth Rankin</t>
  </si>
  <si>
    <t>Barb and Seth</t>
  </si>
  <si>
    <t>535 S 6th Ave</t>
  </si>
  <si>
    <t>53095-3911</t>
  </si>
  <si>
    <t>barbnseth@sbcglobal.net</t>
  </si>
  <si>
    <t>barbnseth@charter.net</t>
  </si>
  <si>
    <t>ALQ1711EE008</t>
  </si>
  <si>
    <t>ALR220401C54</t>
  </si>
  <si>
    <t>ALR210401C54</t>
  </si>
  <si>
    <t>Dr. Irene and Dr. Stephen Little</t>
  </si>
  <si>
    <t>Irene and Stephen</t>
  </si>
  <si>
    <t>501 S La Posada Cir Apt 143</t>
  </si>
  <si>
    <t>85614-5103</t>
  </si>
  <si>
    <t>stadthaus2005@gmail.com</t>
  </si>
  <si>
    <t>standthaus2005@gmail.com</t>
  </si>
  <si>
    <t>ALQ020000001</t>
  </si>
  <si>
    <t>ALA24020A24R</t>
  </si>
  <si>
    <t>ALR220701C54</t>
  </si>
  <si>
    <t>James Swanson</t>
  </si>
  <si>
    <t>497 County Road K</t>
  </si>
  <si>
    <t>53027-9036</t>
  </si>
  <si>
    <t>jzswanson@yahoo.com</t>
  </si>
  <si>
    <t>ALQ0512FF042</t>
  </si>
  <si>
    <t>Mrs. Debbie David</t>
  </si>
  <si>
    <t>1607 Rivoli Ln</t>
  </si>
  <si>
    <t>Macon</t>
  </si>
  <si>
    <t>31210-1567</t>
  </si>
  <si>
    <t>us4davids@aol.com</t>
  </si>
  <si>
    <t>ALQ080001005</t>
  </si>
  <si>
    <t>ALR220507C33</t>
  </si>
  <si>
    <t>Ms. Susan Nelson</t>
  </si>
  <si>
    <t>4546 NW Barnes Rd</t>
  </si>
  <si>
    <t>97210-1008</t>
  </si>
  <si>
    <t>sumile@comcast.net</t>
  </si>
  <si>
    <t>ALA090010001</t>
  </si>
  <si>
    <t>ALA20050W001</t>
  </si>
  <si>
    <t>Ms. Dianne Vais</t>
  </si>
  <si>
    <t>17001 E Malta Dr</t>
  </si>
  <si>
    <t>85268-5010</t>
  </si>
  <si>
    <t>cactusdi@msn.com</t>
  </si>
  <si>
    <t>ALA060006001</t>
  </si>
  <si>
    <t>Strader</t>
  </si>
  <si>
    <t>Ellen and Lee</t>
  </si>
  <si>
    <t>6021 Bedfordshire Dr</t>
  </si>
  <si>
    <t>27606-9349</t>
  </si>
  <si>
    <t>glstrader@nc.rr.com</t>
  </si>
  <si>
    <t>estrad@mindspring.com</t>
  </si>
  <si>
    <t>XNZRX5703</t>
  </si>
  <si>
    <t>ALA17120A13R</t>
  </si>
  <si>
    <t>ALR050602004</t>
  </si>
  <si>
    <t>gls43@mindspring.comm.</t>
  </si>
  <si>
    <t>Dr. David S. Eisner and Ms. Adrienne Lloyd-Eisner</t>
  </si>
  <si>
    <t>David and Adrienne</t>
  </si>
  <si>
    <t>5657 Tisbury Ct</t>
  </si>
  <si>
    <t>30548-5536</t>
  </si>
  <si>
    <t>deisner@uga.edu</t>
  </si>
  <si>
    <t>stillwood2@gmail.com</t>
  </si>
  <si>
    <t>NEE240001101:FY24STTP</t>
  </si>
  <si>
    <t>ADA220001M01</t>
  </si>
  <si>
    <t>alloyd@bellsouth.net</t>
  </si>
  <si>
    <t>NEE230035001:FY23STTP</t>
  </si>
  <si>
    <t>Rands</t>
  </si>
  <si>
    <t>Dr. Gordon Rands</t>
  </si>
  <si>
    <t>4 Woodland Ln</t>
  </si>
  <si>
    <t>Macomb</t>
  </si>
  <si>
    <t>61455-1040</t>
  </si>
  <si>
    <t>gp-rands@wiu.edu</t>
  </si>
  <si>
    <t>ALA10120NEN1</t>
  </si>
  <si>
    <t>ALQ18120WFPE</t>
  </si>
  <si>
    <t>Sandra M</t>
  </si>
  <si>
    <t>Poirier</t>
  </si>
  <si>
    <t>Ms. Sandra M Poirier</t>
  </si>
  <si>
    <t>281 Hillsdale Rd</t>
  </si>
  <si>
    <t>West Kingston</t>
  </si>
  <si>
    <t>02892-1004</t>
  </si>
  <si>
    <t>sandy.poirier@gmail.com</t>
  </si>
  <si>
    <t>hillsdale281@juno.com</t>
  </si>
  <si>
    <t>ALQ1801BG020</t>
  </si>
  <si>
    <t>ALR210202C44</t>
  </si>
  <si>
    <t>Zuhars</t>
  </si>
  <si>
    <t>Peter and Deb Zuhars</t>
  </si>
  <si>
    <t>Peter and Deb</t>
  </si>
  <si>
    <t>4879 Veley Rd</t>
  </si>
  <si>
    <t>43015-9348</t>
  </si>
  <si>
    <t>pzuhars@gmail.com</t>
  </si>
  <si>
    <t>zeteman@yahoo.com</t>
  </si>
  <si>
    <t>ALQ100001002</t>
  </si>
  <si>
    <t>ALR240101005</t>
  </si>
  <si>
    <t>ALQ2307N2PSC</t>
  </si>
  <si>
    <t>Martha and Russell Smith</t>
  </si>
  <si>
    <t>Martha and Russell</t>
  </si>
  <si>
    <t>2835 Esterbrook Dr</t>
  </si>
  <si>
    <t>75234-4934</t>
  </si>
  <si>
    <t>rmesmith4@att.net</t>
  </si>
  <si>
    <t>rmesmith4@aol.com</t>
  </si>
  <si>
    <t>ALQ0602CH015</t>
  </si>
  <si>
    <t>Mr. Edgar A. Johnson</t>
  </si>
  <si>
    <t>47 Chestnut Ferry Rd Apt 501</t>
  </si>
  <si>
    <t>Camden</t>
  </si>
  <si>
    <t>29020-2089</t>
  </si>
  <si>
    <t>edgarjohnson961@yahoo.com</t>
  </si>
  <si>
    <t>ALQ0603GJ046</t>
  </si>
  <si>
    <t>ALR201005C44</t>
  </si>
  <si>
    <t>Janine</t>
  </si>
  <si>
    <t>Callahan</t>
  </si>
  <si>
    <t>2158 Monticello Ave</t>
  </si>
  <si>
    <t>33801-6040</t>
  </si>
  <si>
    <t>XN1BC5509</t>
  </si>
  <si>
    <t>ALR211204C33</t>
  </si>
  <si>
    <t>Lajoie</t>
  </si>
  <si>
    <t>Lawrence and Jean Lajoie</t>
  </si>
  <si>
    <t>Lawrence and Jean</t>
  </si>
  <si>
    <t>58 Bow St</t>
  </si>
  <si>
    <t>02835-2621</t>
  </si>
  <si>
    <t>ALQ0603FJ047</t>
  </si>
  <si>
    <t>ALB210001002</t>
  </si>
  <si>
    <t>Frankena</t>
  </si>
  <si>
    <t>Mrs. Gloria Frankena</t>
  </si>
  <si>
    <t>3632 Creekside Dr</t>
  </si>
  <si>
    <t>48105-9308</t>
  </si>
  <si>
    <t>gfrankena9@aol.com</t>
  </si>
  <si>
    <t>gfrankena9@hotmail.com</t>
  </si>
  <si>
    <t>ALQ0603DJ005</t>
  </si>
  <si>
    <t>ALR140501054</t>
  </si>
  <si>
    <t>Mrs. Jan Lutz</t>
  </si>
  <si>
    <t>24215 Mackey Hill Rd</t>
  </si>
  <si>
    <t>Cambridge Springs</t>
  </si>
  <si>
    <t>16403-4627</t>
  </si>
  <si>
    <t>lutz_dennis@hotmail.com</t>
  </si>
  <si>
    <t>janmlutz@hotmail.com</t>
  </si>
  <si>
    <t>ALQ0603FJ007</t>
  </si>
  <si>
    <t>Ms. Lorraine Pennington</t>
  </si>
  <si>
    <t>434 Colwell Rd</t>
  </si>
  <si>
    <t>Harrisville</t>
  </si>
  <si>
    <t>02830-1886</t>
  </si>
  <si>
    <t>chiselers3@aol.com</t>
  </si>
  <si>
    <t>rchapin@wi.rr.com</t>
  </si>
  <si>
    <t>ALQ0603EJ033</t>
  </si>
  <si>
    <t>ALR080501004</t>
  </si>
  <si>
    <t>PO Box 15171</t>
  </si>
  <si>
    <t>Hattiesburg</t>
  </si>
  <si>
    <t>39404-5171</t>
  </si>
  <si>
    <t>charleswlhall@yahoo.com</t>
  </si>
  <si>
    <t>ALQ0603DJ020</t>
  </si>
  <si>
    <t>ALL090501005</t>
  </si>
  <si>
    <t>Mrs. Isobel Wayrick</t>
  </si>
  <si>
    <t>343 Sunset Rd</t>
  </si>
  <si>
    <t>07444-1515</t>
  </si>
  <si>
    <t>iw@marsint.com</t>
  </si>
  <si>
    <t>iwayrick@verizon.net</t>
  </si>
  <si>
    <t>ALQ0603DJ038</t>
  </si>
  <si>
    <t>Ms. Nancy Reifler</t>
  </si>
  <si>
    <t>6739 17th Ave NW</t>
  </si>
  <si>
    <t>98117-5519</t>
  </si>
  <si>
    <t>reifrose@gmail.com</t>
  </si>
  <si>
    <t>ALA060400001</t>
  </si>
  <si>
    <t>ALR110001001</t>
  </si>
  <si>
    <t>Myer</t>
  </si>
  <si>
    <t>Mr. James Myer</t>
  </si>
  <si>
    <t>3699 S Biscay Ct</t>
  </si>
  <si>
    <t>80013-3618</t>
  </si>
  <si>
    <t>james.myer@comcast.net</t>
  </si>
  <si>
    <t>ALQ0604FK053</t>
  </si>
  <si>
    <t>Elinore and Louis</t>
  </si>
  <si>
    <t>1438 Finney Vallet Rd</t>
  </si>
  <si>
    <t>77471-9013</t>
  </si>
  <si>
    <t>elliepc@hotmail.com</t>
  </si>
  <si>
    <t>ALQ0604HK031</t>
  </si>
  <si>
    <t>ALR230511C50</t>
  </si>
  <si>
    <t>ALR220503C44</t>
  </si>
  <si>
    <t>Hinklin</t>
  </si>
  <si>
    <t>Mr. Bob Hinklin</t>
  </si>
  <si>
    <t>877 Pine Valley Ln</t>
  </si>
  <si>
    <t>45245-3324</t>
  </si>
  <si>
    <t>rhinklin@cinci.rr.com</t>
  </si>
  <si>
    <t>ALQ0604EK053</t>
  </si>
  <si>
    <t>Mr. Robert E. Barrick</t>
  </si>
  <si>
    <t>4001 Hummingbird Way</t>
  </si>
  <si>
    <t>94517-1910</t>
  </si>
  <si>
    <t>ALQ0604CK040</t>
  </si>
  <si>
    <t>ALR150806033</t>
  </si>
  <si>
    <t>ALR070601004</t>
  </si>
  <si>
    <t>Lai-Yee</t>
  </si>
  <si>
    <t>Tang</t>
  </si>
  <si>
    <t>Lak Tee</t>
  </si>
  <si>
    <t>Lai-Yee and Lak Tee Tang</t>
  </si>
  <si>
    <t>Lai-Yee and Lak Tee</t>
  </si>
  <si>
    <t>4009 NE 160th St</t>
  </si>
  <si>
    <t>Lake Forest Park</t>
  </si>
  <si>
    <t>98155-6731</t>
  </si>
  <si>
    <t>tangotango888@yahoo.com</t>
  </si>
  <si>
    <t>ALQ0601BG024</t>
  </si>
  <si>
    <t>Filbert</t>
  </si>
  <si>
    <t>Meseke</t>
  </si>
  <si>
    <t>754 N 1400 Street</t>
  </si>
  <si>
    <t>Shobonier</t>
  </si>
  <si>
    <t>62885-4138</t>
  </si>
  <si>
    <t>sarachel@augsburgchurch.com</t>
  </si>
  <si>
    <t>ALQ0605CL008</t>
  </si>
  <si>
    <t>Smithmier</t>
  </si>
  <si>
    <t>Mrs. Gail Smithmier</t>
  </si>
  <si>
    <t>252 Pocahontas Dr</t>
  </si>
  <si>
    <t>63755-7521</t>
  </si>
  <si>
    <t>speedmom49@yahoo.com</t>
  </si>
  <si>
    <t>speedmom@bluebuzz.net</t>
  </si>
  <si>
    <t>ALQ0605DL004</t>
  </si>
  <si>
    <t>ALR210513C30</t>
  </si>
  <si>
    <t>Mrs. Sharon Burnette</t>
  </si>
  <si>
    <t>33 Stafford Oaks Dr</t>
  </si>
  <si>
    <t>27284-3069</t>
  </si>
  <si>
    <t>ssbrkb@msn.com</t>
  </si>
  <si>
    <t>sharon_burnette@vfc.com</t>
  </si>
  <si>
    <t>ALZ060002004</t>
  </si>
  <si>
    <t>ALA1512D4EMC</t>
  </si>
  <si>
    <t>Mr. Mark Wheaton</t>
  </si>
  <si>
    <t>1405 Marquette St</t>
  </si>
  <si>
    <t>Janesville</t>
  </si>
  <si>
    <t>53546-2420</t>
  </si>
  <si>
    <t>mswheaton@hotmail.com</t>
  </si>
  <si>
    <t>ALR239L47EMC</t>
  </si>
  <si>
    <t>Roselyn</t>
  </si>
  <si>
    <t>Hirsch</t>
  </si>
  <si>
    <t>Ms. Roselyn Hirsch</t>
  </si>
  <si>
    <t>475 Fdr Dr Apt L802</t>
  </si>
  <si>
    <t>10002-2780</t>
  </si>
  <si>
    <t>rhirschny@gmail.com</t>
  </si>
  <si>
    <t>ALQ0607AA022</t>
  </si>
  <si>
    <t>Mr. Dennis L. Wells</t>
  </si>
  <si>
    <t>1268 County Road 428</t>
  </si>
  <si>
    <t>Richland Springs</t>
  </si>
  <si>
    <t>76871-8800</t>
  </si>
  <si>
    <t>ALQ0607AA015</t>
  </si>
  <si>
    <t>ALR161101033</t>
  </si>
  <si>
    <t>Mr. Dale Burleson</t>
  </si>
  <si>
    <t>920 S Crooked Tree Ln</t>
  </si>
  <si>
    <t>48640-7606</t>
  </si>
  <si>
    <t>ALQ0607AA013</t>
  </si>
  <si>
    <t>Mr. James Nafziger</t>
  </si>
  <si>
    <t>2115 E Everett Dr</t>
  </si>
  <si>
    <t>85022-4127</t>
  </si>
  <si>
    <t>stevenmoscoso@msn.com</t>
  </si>
  <si>
    <t>ALQ0607AA019</t>
  </si>
  <si>
    <t>BettyRuth</t>
  </si>
  <si>
    <t>Ms. BettyRuth Weber</t>
  </si>
  <si>
    <t>2835 70th St Lot 18</t>
  </si>
  <si>
    <t>50322-4812</t>
  </si>
  <si>
    <t>bettyruthweber@yahoo.com</t>
  </si>
  <si>
    <t>ALQ0607AA024</t>
  </si>
  <si>
    <t>ALA22110B25A</t>
  </si>
  <si>
    <t>Corbett</t>
  </si>
  <si>
    <t>Mr. Bruce Corbett</t>
  </si>
  <si>
    <t>171 Huckleberry Hill Rd</t>
  </si>
  <si>
    <t>06001-3120</t>
  </si>
  <si>
    <t>ruthellenmcorbett@gmail.com</t>
  </si>
  <si>
    <t>ALQ0605KL062</t>
  </si>
  <si>
    <t>ALR220815C50</t>
  </si>
  <si>
    <t>ALR141001044</t>
  </si>
  <si>
    <t>Sorrell</t>
  </si>
  <si>
    <t>Brooke</t>
  </si>
  <si>
    <t>David and Sandra Brooke Gordon</t>
  </si>
  <si>
    <t>David and Sandra</t>
  </si>
  <si>
    <t>460 Fairview Ave</t>
  </si>
  <si>
    <t>91024-1032</t>
  </si>
  <si>
    <t>david@gordonadvisory.com</t>
  </si>
  <si>
    <t>ADA220001M02:101103</t>
  </si>
  <si>
    <t>Mr. Eugene W. Ollila</t>
  </si>
  <si>
    <t>16 Elmwood Pl W</t>
  </si>
  <si>
    <t>55419-1320</t>
  </si>
  <si>
    <t>olefin@att.net</t>
  </si>
  <si>
    <t>eollila@hotmail.com</t>
  </si>
  <si>
    <t>ALQ0607AA020</t>
  </si>
  <si>
    <t>ALR240302C64</t>
  </si>
  <si>
    <t>Mr. Morris J. Reddout</t>
  </si>
  <si>
    <t>16 Lake Hunter Dr Apt B215</t>
  </si>
  <si>
    <t>33803-1215</t>
  </si>
  <si>
    <t>grpamr@hotmail.com</t>
  </si>
  <si>
    <t>XNHSB4406</t>
  </si>
  <si>
    <t>ALB220001002</t>
  </si>
  <si>
    <t>ALA13030A15C</t>
  </si>
  <si>
    <t>Sprow</t>
  </si>
  <si>
    <t>Ms. Janice Sprow</t>
  </si>
  <si>
    <t>PO Box 489</t>
  </si>
  <si>
    <t>48116-0489</t>
  </si>
  <si>
    <t>janicesprow@roadrunner.com</t>
  </si>
  <si>
    <t>janicesprow@rpadrunner.com</t>
  </si>
  <si>
    <t>ALL21120A73M</t>
  </si>
  <si>
    <t>Schmucker</t>
  </si>
  <si>
    <t>Ms. Ann Schmucker</t>
  </si>
  <si>
    <t>91 S 410 W</t>
  </si>
  <si>
    <t>46385-9655</t>
  </si>
  <si>
    <t>ALQ0607DA048</t>
  </si>
  <si>
    <t>ALR180111040</t>
  </si>
  <si>
    <t>ALA17080C14A</t>
  </si>
  <si>
    <t>307 Gracie Rd</t>
  </si>
  <si>
    <t>95959-3602</t>
  </si>
  <si>
    <t>bearlaton@hotmail.com</t>
  </si>
  <si>
    <t>ALR100801003</t>
  </si>
  <si>
    <t>Mr. William F. Lange</t>
  </si>
  <si>
    <t>9991 W North Ave Apt 202</t>
  </si>
  <si>
    <t>53226-2506</t>
  </si>
  <si>
    <t>ALQ0607BA007</t>
  </si>
  <si>
    <t>ALA20020C24R</t>
  </si>
  <si>
    <t>ALR180602033</t>
  </si>
  <si>
    <t>Jacob</t>
  </si>
  <si>
    <t>Mrs. Denise and Mrs. Jacob C. Emmer</t>
  </si>
  <si>
    <t>Denise and Jacob</t>
  </si>
  <si>
    <t>340 Lake Ave</t>
  </si>
  <si>
    <t>70005-4247</t>
  </si>
  <si>
    <t>chris119@adelphia.net</t>
  </si>
  <si>
    <t>greytcheval@gmail.com</t>
  </si>
  <si>
    <t>ALQ0607FA029</t>
  </si>
  <si>
    <t>DDT240001001</t>
  </si>
  <si>
    <t>ALR141002044</t>
  </si>
  <si>
    <t>jcemmer@gmail.com</t>
  </si>
  <si>
    <t>Mr. Eric Wagner</t>
  </si>
  <si>
    <t>3408 Halcyon Dr</t>
  </si>
  <si>
    <t>22305-1311</t>
  </si>
  <si>
    <t>jericwagner@gmail.com</t>
  </si>
  <si>
    <t>ericoboe@gmail.com</t>
  </si>
  <si>
    <t>XNTJH2509</t>
  </si>
  <si>
    <t>ALA2303D5EMC</t>
  </si>
  <si>
    <t>Lammi</t>
  </si>
  <si>
    <t>Ms. Marlene Lammi</t>
  </si>
  <si>
    <t>W181 N8305 Destiny Drive</t>
  </si>
  <si>
    <t>Menomonee Fls</t>
  </si>
  <si>
    <t>53051-3553</t>
  </si>
  <si>
    <t>marlammi@sbcglobal.net</t>
  </si>
  <si>
    <t>ALQ0607DA049</t>
  </si>
  <si>
    <t>William and Karen Babula</t>
  </si>
  <si>
    <t>William and Karen</t>
  </si>
  <si>
    <t>317 Schiappino St</t>
  </si>
  <si>
    <t>95409-3444</t>
  </si>
  <si>
    <t>williambabula@aol.com</t>
  </si>
  <si>
    <t>william.babula@sonoma.edu</t>
  </si>
  <si>
    <t>ALQ0607GA065</t>
  </si>
  <si>
    <t>ALA20070A13A</t>
  </si>
  <si>
    <t>Hallowell</t>
  </si>
  <si>
    <t>5957 Edgewood Ln</t>
  </si>
  <si>
    <t>22310-2611</t>
  </si>
  <si>
    <t>normhallowell@aol.com</t>
  </si>
  <si>
    <t>ALQ0607DA040</t>
  </si>
  <si>
    <t>ALA2303D1DMC</t>
  </si>
  <si>
    <t>Ms. Kimberley J. Weimer</t>
  </si>
  <si>
    <t>14560 Daffodil Dr Apt 907</t>
  </si>
  <si>
    <t>33919-7452</t>
  </si>
  <si>
    <t>yankeedoodlekjw@aol.com</t>
  </si>
  <si>
    <t>ALQ0607FA041</t>
  </si>
  <si>
    <t>ALR170801044</t>
  </si>
  <si>
    <t>Steed</t>
  </si>
  <si>
    <t>Robert W. Steed</t>
  </si>
  <si>
    <t>339 Gale Ave</t>
  </si>
  <si>
    <t>60305-2015</t>
  </si>
  <si>
    <t>Joanna</t>
  </si>
  <si>
    <t>Strawbridge</t>
  </si>
  <si>
    <t>Joanna and Richard Strawbridge</t>
  </si>
  <si>
    <t>Joanna and Richard</t>
  </si>
  <si>
    <t>7 Pelican Cir</t>
  </si>
  <si>
    <t>Half Moon Bay</t>
  </si>
  <si>
    <t>94019-2323</t>
  </si>
  <si>
    <t>rejabridge@comcast.net</t>
  </si>
  <si>
    <t>ALQ0607CA066</t>
  </si>
  <si>
    <t>Densmore</t>
  </si>
  <si>
    <t>5605 Vintage Ln Apt 104</t>
  </si>
  <si>
    <t>49009-1023</t>
  </si>
  <si>
    <t>densmor@gmail.com</t>
  </si>
  <si>
    <t>thatyungsag@aol.com</t>
  </si>
  <si>
    <t>ALA24030B11A</t>
  </si>
  <si>
    <t>ALS200901302</t>
  </si>
  <si>
    <t>R. Moser</t>
  </si>
  <si>
    <t>101 W Scobie St</t>
  </si>
  <si>
    <t>96064-9540</t>
  </si>
  <si>
    <t>ALQ0607FA045</t>
  </si>
  <si>
    <t>Smythe</t>
  </si>
  <si>
    <t>Dr. Richard and Mrs. Mary Smythe</t>
  </si>
  <si>
    <t>Richard and Mary</t>
  </si>
  <si>
    <t>PO Box 890</t>
  </si>
  <si>
    <t>54234-0890</t>
  </si>
  <si>
    <t>dick.smythe@yahoo.com</t>
  </si>
  <si>
    <t>ALQ0607AA004</t>
  </si>
  <si>
    <t>Berkman</t>
  </si>
  <si>
    <t>Mr. David L. Berkman</t>
  </si>
  <si>
    <t>380 W Atua Pl</t>
  </si>
  <si>
    <t>85737-6832</t>
  </si>
  <si>
    <t>puschridge@comcast.net</t>
  </si>
  <si>
    <t>ALQ0608CB025</t>
  </si>
  <si>
    <t>Haynie</t>
  </si>
  <si>
    <t>Paul and Julia Haynie</t>
  </si>
  <si>
    <t>Paul and Julia</t>
  </si>
  <si>
    <t>318 N Jackson St</t>
  </si>
  <si>
    <t>Waukegan</t>
  </si>
  <si>
    <t>60085-3737</t>
  </si>
  <si>
    <t>bijoulights@yahoo.com</t>
  </si>
  <si>
    <t>ALQ0607BA020</t>
  </si>
  <si>
    <t>Ms. Kathryn Brewer</t>
  </si>
  <si>
    <t>1122 Hyacinth Ave E</t>
  </si>
  <si>
    <t>55106-2042</t>
  </si>
  <si>
    <t>kathryn@brewer-com.com</t>
  </si>
  <si>
    <t>kathryn@brewre-com.com</t>
  </si>
  <si>
    <t>ALQ0608CB031</t>
  </si>
  <si>
    <t>Kohler</t>
  </si>
  <si>
    <t>Rebecca and Kurt Kohler</t>
  </si>
  <si>
    <t>Rebecca and Kurt</t>
  </si>
  <si>
    <t>2186 E Gambel Oak Dr</t>
  </si>
  <si>
    <t>84092-7301</t>
  </si>
  <si>
    <t>rraus3@hotmail.com</t>
  </si>
  <si>
    <t>ALQ0608DB002</t>
  </si>
  <si>
    <t>Gregory and Carol Flinn</t>
  </si>
  <si>
    <t>Gregory and Carol</t>
  </si>
  <si>
    <t>8181 Rowan Rd</t>
  </si>
  <si>
    <t>16066-3745</t>
  </si>
  <si>
    <t>jcflinn@zoominternet.net</t>
  </si>
  <si>
    <t>gcflinn@zoominternet.net</t>
  </si>
  <si>
    <t>ALQ0608AB016</t>
  </si>
  <si>
    <t>Mr. Don Gardner</t>
  </si>
  <si>
    <t>109 Jones Ave</t>
  </si>
  <si>
    <t>Thomasville</t>
  </si>
  <si>
    <t>27360-4549</t>
  </si>
  <si>
    <t>gordog333@gmail.com</t>
  </si>
  <si>
    <t>gardog3@charter.net</t>
  </si>
  <si>
    <t>ALS070950001</t>
  </si>
  <si>
    <t>Drachler</t>
  </si>
  <si>
    <t>Mary W. Drachler</t>
  </si>
  <si>
    <t>60 Brimley Dr Apt 211</t>
  </si>
  <si>
    <t>22406-5159</t>
  </si>
  <si>
    <t>ALQ0608BB012</t>
  </si>
  <si>
    <t>ALL20070B5BM</t>
  </si>
  <si>
    <t>Ladshaw</t>
  </si>
  <si>
    <t>Ms. Vicki Ladshaw</t>
  </si>
  <si>
    <t>428 Oak Mountain Rd</t>
  </si>
  <si>
    <t>Waverly Hall</t>
  </si>
  <si>
    <t>31831-2504</t>
  </si>
  <si>
    <t>ALQ0608CB014</t>
  </si>
  <si>
    <t>ALR200704C33</t>
  </si>
  <si>
    <t>L.C.</t>
  </si>
  <si>
    <t>Mr. Robin L. Leong</t>
  </si>
  <si>
    <t>336 Benson Ave</t>
  </si>
  <si>
    <t>94590-3027</t>
  </si>
  <si>
    <t>robin_leong@sonic.net</t>
  </si>
  <si>
    <t>robin_leong@netzero.net</t>
  </si>
  <si>
    <t>ALQ0608DB032</t>
  </si>
  <si>
    <t>Biondo</t>
  </si>
  <si>
    <t>50 La Encinal</t>
  </si>
  <si>
    <t>Orinda</t>
  </si>
  <si>
    <t>94563-2123</t>
  </si>
  <si>
    <t>katyr66@yahoo.com</t>
  </si>
  <si>
    <t>ALA090031001</t>
  </si>
  <si>
    <t>ALA100103038</t>
  </si>
  <si>
    <t>Tami</t>
  </si>
  <si>
    <t>Smalley</t>
  </si>
  <si>
    <t>Mrs. Tami Smalley</t>
  </si>
  <si>
    <t>3907 Pleasant St</t>
  </si>
  <si>
    <t>50312-3224</t>
  </si>
  <si>
    <t>smalley.tami@yahoo.com</t>
  </si>
  <si>
    <t>ALQ0608EB050</t>
  </si>
  <si>
    <t>ALA12010J13A</t>
  </si>
  <si>
    <t>ALA080203004</t>
  </si>
  <si>
    <t>Ms. Carol Shields</t>
  </si>
  <si>
    <t>1155 S Lake Dr Unit 54</t>
  </si>
  <si>
    <t>48377-1850</t>
  </si>
  <si>
    <t>cjofnorthville@aol.com</t>
  </si>
  <si>
    <t>ALQ0608AB004</t>
  </si>
  <si>
    <t>Hempel</t>
  </si>
  <si>
    <t>2704 S Elmwood Cir E</t>
  </si>
  <si>
    <t>Cross Plains</t>
  </si>
  <si>
    <t>53528-9521</t>
  </si>
  <si>
    <t>mhempel@tds.net</t>
  </si>
  <si>
    <t>ALQ0608DB029</t>
  </si>
  <si>
    <t>ALL23120AABM</t>
  </si>
  <si>
    <t>ALR160702054</t>
  </si>
  <si>
    <t>Heuberger</t>
  </si>
  <si>
    <t>Ms. Lynne Heuberger</t>
  </si>
  <si>
    <t>12005 S Carus Rd</t>
  </si>
  <si>
    <t>Oregon City</t>
  </si>
  <si>
    <t>97045-7555</t>
  </si>
  <si>
    <t>cheuber14@gmail.com</t>
  </si>
  <si>
    <t>ALQ0604DK020</t>
  </si>
  <si>
    <t>ALA24010A25A</t>
  </si>
  <si>
    <t>J. William</t>
  </si>
  <si>
    <t>Louda</t>
  </si>
  <si>
    <t>Dr. and Dr. Louda</t>
  </si>
  <si>
    <t>1300 E Rd</t>
  </si>
  <si>
    <t>Loxahatchee</t>
  </si>
  <si>
    <t>33470-4852</t>
  </si>
  <si>
    <t>badlouda@comcast.net</t>
  </si>
  <si>
    <t>blouda@fau.edu</t>
  </si>
  <si>
    <t>ALQ0608EB049</t>
  </si>
  <si>
    <t>ALL23110A6BM</t>
  </si>
  <si>
    <t>Ms. Marlene Ruehr</t>
  </si>
  <si>
    <t>3S020 Timber Dr</t>
  </si>
  <si>
    <t>60555-2479</t>
  </si>
  <si>
    <t>marstar417@juno.com</t>
  </si>
  <si>
    <t>ALA24010C13C</t>
  </si>
  <si>
    <t>ALA13070D24A</t>
  </si>
  <si>
    <t>Margolies</t>
  </si>
  <si>
    <t>Ms. Marian Margolies</t>
  </si>
  <si>
    <t>10446 Voelkerding Rd Apt A</t>
  </si>
  <si>
    <t>Marthasville</t>
  </si>
  <si>
    <t>63357-2134</t>
  </si>
  <si>
    <t>thusinelda@aol.com</t>
  </si>
  <si>
    <t>ALQ0608EB046</t>
  </si>
  <si>
    <t>ALA24020A25A</t>
  </si>
  <si>
    <t>Degel</t>
  </si>
  <si>
    <t>7111 W End Blvd</t>
  </si>
  <si>
    <t>70124-2328</t>
  </si>
  <si>
    <t>Mr. Arnold W. Jensen</t>
  </si>
  <si>
    <t>5 Owen Dr</t>
  </si>
  <si>
    <t>Phoenixville</t>
  </si>
  <si>
    <t>19460-4665</t>
  </si>
  <si>
    <t>ALQ0609BC012</t>
  </si>
  <si>
    <t>ATN211001001</t>
  </si>
  <si>
    <t>Ms. Barbara Wilson</t>
  </si>
  <si>
    <t>1250 Loma Larga Rd</t>
  </si>
  <si>
    <t>87048-9435</t>
  </si>
  <si>
    <t>barbara133437@yahoo.com</t>
  </si>
  <si>
    <t>ALQ0609AC020</t>
  </si>
  <si>
    <t>Bean</t>
  </si>
  <si>
    <t>Mr. Robert Bean</t>
  </si>
  <si>
    <t>1232 Arthur Rd</t>
  </si>
  <si>
    <t>60540-6902</t>
  </si>
  <si>
    <t>bbean611@sbcglobal.net</t>
  </si>
  <si>
    <t>ernlea@aol.com</t>
  </si>
  <si>
    <t>Mr. Jim Schwiebert</t>
  </si>
  <si>
    <t>406 Jackson St</t>
  </si>
  <si>
    <t>52211-7714</t>
  </si>
  <si>
    <t>jimlaw@netins.net</t>
  </si>
  <si>
    <t>ALQ0609BC001</t>
  </si>
  <si>
    <t>ALR210406C33</t>
  </si>
  <si>
    <t>Ritucci</t>
  </si>
  <si>
    <t>Ms. Ingrid Ritucci</t>
  </si>
  <si>
    <t>37 Allen Ct</t>
  </si>
  <si>
    <t>10310-2702</t>
  </si>
  <si>
    <t>moochietucci2172@verizon.net</t>
  </si>
  <si>
    <t>moochietucci2172@earthlink.net</t>
  </si>
  <si>
    <t>ALQ0609DC040</t>
  </si>
  <si>
    <t>Schutz</t>
  </si>
  <si>
    <t>William and Norma Schutz</t>
  </si>
  <si>
    <t>William and Norma</t>
  </si>
  <si>
    <t>419 Flat Rock Rd</t>
  </si>
  <si>
    <t>40245-4303</t>
  </si>
  <si>
    <t>william.schutz@gmail.com</t>
  </si>
  <si>
    <t>njwa69@gmail.com</t>
  </si>
  <si>
    <t>ALQ0609AC011</t>
  </si>
  <si>
    <t>ALR230112C40</t>
  </si>
  <si>
    <t>ALR190608C33</t>
  </si>
  <si>
    <t>normaschutz@twc.com</t>
  </si>
  <si>
    <t>Deane</t>
  </si>
  <si>
    <t>Holladay</t>
  </si>
  <si>
    <t>Mrs. Deane Holladay</t>
  </si>
  <si>
    <t>202 Cloverdale Ct</t>
  </si>
  <si>
    <t>37214-3003</t>
  </si>
  <si>
    <t>epopsm@aol.com</t>
  </si>
  <si>
    <t>ALQ0609FC065</t>
  </si>
  <si>
    <t>Mr. Joe Allen</t>
  </si>
  <si>
    <t>207 Gibbs St</t>
  </si>
  <si>
    <t>49461-1548</t>
  </si>
  <si>
    <t>survant21@hotmail.com</t>
  </si>
  <si>
    <t>ALQ0610AD029</t>
  </si>
  <si>
    <t>ALR200402C33</t>
  </si>
  <si>
    <t>Hoops</t>
  </si>
  <si>
    <t>Mr. Michael A. Hoops</t>
  </si>
  <si>
    <t>16418 E Crystal Ridge Dr</t>
  </si>
  <si>
    <t>85268-8415</t>
  </si>
  <si>
    <t>hoopsm@aol.com</t>
  </si>
  <si>
    <t>mhoops@connecttime.net</t>
  </si>
  <si>
    <t>Mr. Tom Small</t>
  </si>
  <si>
    <t>3516 Sinbad Rd</t>
  </si>
  <si>
    <t>53533-8513</t>
  </si>
  <si>
    <t>gregorymascolo@aol.com</t>
  </si>
  <si>
    <t>ALQ0609EC010</t>
  </si>
  <si>
    <t>ALR200404C44</t>
  </si>
  <si>
    <t>ALA19070B24A</t>
  </si>
  <si>
    <t>Patricia M. Boynton</t>
  </si>
  <si>
    <t>34715 N Short Rd</t>
  </si>
  <si>
    <t>99006-9598</t>
  </si>
  <si>
    <t>pmboynton@earthlink.net</t>
  </si>
  <si>
    <t>ALQ061000001</t>
  </si>
  <si>
    <t>ALA1802D5EMC</t>
  </si>
  <si>
    <t>ALA080400001</t>
  </si>
  <si>
    <t>Marsh</t>
  </si>
  <si>
    <t>Mrs. Mary E. Marsh</t>
  </si>
  <si>
    <t>204 Barksdale Ave</t>
  </si>
  <si>
    <t>Dupont</t>
  </si>
  <si>
    <t>98327-9001</t>
  </si>
  <si>
    <t>beitmel@yahoo.com</t>
  </si>
  <si>
    <t>ALQ0609CC015</t>
  </si>
  <si>
    <t>ALA2103D1EMT</t>
  </si>
  <si>
    <t>Gehring</t>
  </si>
  <si>
    <t>Mr. Mark G. Gehring</t>
  </si>
  <si>
    <t>204 Steeple Ct</t>
  </si>
  <si>
    <t>Johnson Creek</t>
  </si>
  <si>
    <t>53038-9447</t>
  </si>
  <si>
    <t>momarkparks@gmail.com</t>
  </si>
  <si>
    <t>bizmark1110@sbcglobal.net</t>
  </si>
  <si>
    <t>ALQ0611DE012</t>
  </si>
  <si>
    <t>ALA1307D2EMC</t>
  </si>
  <si>
    <t>Ms. Jeanette Wilson</t>
  </si>
  <si>
    <t>1701 N Wedgewood Ct</t>
  </si>
  <si>
    <t>Mulvane</t>
  </si>
  <si>
    <t>67110-1126</t>
  </si>
  <si>
    <t>worldtraveler415@gmail.com</t>
  </si>
  <si>
    <t>ALQ0611DE017</t>
  </si>
  <si>
    <t>ALA24020B14R</t>
  </si>
  <si>
    <t>Michael and Janice Pound</t>
  </si>
  <si>
    <t>Michael and Janice</t>
  </si>
  <si>
    <t>12101 E 58th Ter</t>
  </si>
  <si>
    <t>64133-3570</t>
  </si>
  <si>
    <t>netdunker@sbcglobal.net</t>
  </si>
  <si>
    <t>ALQ0610BD001</t>
  </si>
  <si>
    <t>jkpou@sbcglobal.net</t>
  </si>
  <si>
    <t>Polletta</t>
  </si>
  <si>
    <t>Mrs. Frances Polletta</t>
  </si>
  <si>
    <t>5816 State Route 11</t>
  </si>
  <si>
    <t>Ellenburg Center</t>
  </si>
  <si>
    <t>12934-2909</t>
  </si>
  <si>
    <t>frushford@hotmail.com</t>
  </si>
  <si>
    <t>ALQ0611HE018</t>
  </si>
  <si>
    <t>Branyon</t>
  </si>
  <si>
    <t>Ms. Patricia Branyon</t>
  </si>
  <si>
    <t>5136 Lake Bluff Cir</t>
  </si>
  <si>
    <t>Marianna</t>
  </si>
  <si>
    <t>32446-5102</t>
  </si>
  <si>
    <t>branlo1945@yahoo.com</t>
  </si>
  <si>
    <t>ALQ0611BE019</t>
  </si>
  <si>
    <t>ALL22030A5BM</t>
  </si>
  <si>
    <t>ALR140604033</t>
  </si>
  <si>
    <t>Dr. Hugh W. Kennedy</t>
  </si>
  <si>
    <t>Dr. Kennedy</t>
  </si>
  <si>
    <t>1830 N Alvarado Street</t>
  </si>
  <si>
    <t>90026-1781</t>
  </si>
  <si>
    <t>Souza</t>
  </si>
  <si>
    <t>17305 SE 91st Lee Ave</t>
  </si>
  <si>
    <t>32162-1827</t>
  </si>
  <si>
    <t>jjcclocks@cox.net</t>
  </si>
  <si>
    <t>jessica.souza@stationcasinos.com</t>
  </si>
  <si>
    <t>ALQ0611HE008</t>
  </si>
  <si>
    <t>ALQ2008CB011</t>
  </si>
  <si>
    <t>ALA12020C13A</t>
  </si>
  <si>
    <t>Mrs. Christa Jensen</t>
  </si>
  <si>
    <t>5929 NW 50th St</t>
  </si>
  <si>
    <t>50131-4760</t>
  </si>
  <si>
    <t>runzincircles@yahoo.com</t>
  </si>
  <si>
    <t>ALQ0611AE033</t>
  </si>
  <si>
    <t>Mr. William C. Harvey</t>
  </si>
  <si>
    <t>60587 E Arroyo Vista Dr</t>
  </si>
  <si>
    <t>Oracle</t>
  </si>
  <si>
    <t>85623-7308</t>
  </si>
  <si>
    <t>wildbear011020@gmail.com</t>
  </si>
  <si>
    <t>ALQ0611BE018</t>
  </si>
  <si>
    <t>Elayna</t>
  </si>
  <si>
    <t>401 W Michigan Avenue #101</t>
  </si>
  <si>
    <t>48197-5353</t>
  </si>
  <si>
    <t>ALQ0611DE029</t>
  </si>
  <si>
    <t>Mr. Mavis A. Walters</t>
  </si>
  <si>
    <t>8 Monastery Rd W</t>
  </si>
  <si>
    <t>31411-1714</t>
  </si>
  <si>
    <t>mwaltersdc@aol.com</t>
  </si>
  <si>
    <t>ASSOCIATE</t>
  </si>
  <si>
    <t>Dr. Marcia Singer</t>
  </si>
  <si>
    <t>401 Dorothy Dr</t>
  </si>
  <si>
    <t>92831-1802</t>
  </si>
  <si>
    <t>ALQ0608FB051</t>
  </si>
  <si>
    <t>ALA21050A21A</t>
  </si>
  <si>
    <t>Roderick</t>
  </si>
  <si>
    <t>3773 E Cherry Creek North Dr Ste 775</t>
  </si>
  <si>
    <t>80209-3833</t>
  </si>
  <si>
    <t>rodcarr@lycos.com</t>
  </si>
  <si>
    <t>Ms. Phyllis B. Jackson</t>
  </si>
  <si>
    <t>70 W Lucerne Cir Apt 1309</t>
  </si>
  <si>
    <t>32801-4437</t>
  </si>
  <si>
    <t>physyd@hotmail.com</t>
  </si>
  <si>
    <t>ALQ0607BA015</t>
  </si>
  <si>
    <t>ALR240204C54</t>
  </si>
  <si>
    <t>ALL22030B6BM</t>
  </si>
  <si>
    <t>Sawchak</t>
  </si>
  <si>
    <t>Ms. Ellen Sawchak</t>
  </si>
  <si>
    <t>15306 Saint Cloud Dr</t>
  </si>
  <si>
    <t>77062-3519</t>
  </si>
  <si>
    <t>stevesawchak@gmail.com</t>
  </si>
  <si>
    <t>bettysawchak@msn.com</t>
  </si>
  <si>
    <t>ALQ0611HE002</t>
  </si>
  <si>
    <t>ALR170106033</t>
  </si>
  <si>
    <t>Mr. Larry Allen</t>
  </si>
  <si>
    <t>2975 Lake Ave</t>
  </si>
  <si>
    <t>memorgan99@earthlink.net</t>
  </si>
  <si>
    <t>memorgan@earthlink.net</t>
  </si>
  <si>
    <t>Ms. Betsy Ferguson</t>
  </si>
  <si>
    <t>1856 Grand View Dr</t>
  </si>
  <si>
    <t>94618-2338</t>
  </si>
  <si>
    <t>ferge2001@yahoo.com</t>
  </si>
  <si>
    <t>ALQ0611BE009</t>
  </si>
  <si>
    <t>ALR230102C54</t>
  </si>
  <si>
    <t>Mrs. Candace Nourse-Hatch</t>
  </si>
  <si>
    <t>1823 E Spring Meadow Ln</t>
  </si>
  <si>
    <t>83706-6125</t>
  </si>
  <si>
    <t>cnoursehatch@msn.com</t>
  </si>
  <si>
    <t>ALQ0612DF006</t>
  </si>
  <si>
    <t>Mr. Bennett H. Stampes</t>
  </si>
  <si>
    <t>18323 Sonterra Place</t>
  </si>
  <si>
    <t>#5106</t>
  </si>
  <si>
    <t>bhstampes3842@att.net</t>
  </si>
  <si>
    <t>stampes1@yahoo.com</t>
  </si>
  <si>
    <t>ALQ0612CF028</t>
  </si>
  <si>
    <t>Ms. Dawne Gardiska</t>
  </si>
  <si>
    <t>6103 Northill Ct SW</t>
  </si>
  <si>
    <t>98512-2831</t>
  </si>
  <si>
    <t>dawnegarshe@comcast.net</t>
  </si>
  <si>
    <t>ALQ0612BF006</t>
  </si>
  <si>
    <t>ALR230703C33</t>
  </si>
  <si>
    <t>Tedesco</t>
  </si>
  <si>
    <t>Ms. Terry L. Tedesco</t>
  </si>
  <si>
    <t>7649 N Viale Di Buona Fortuna</t>
  </si>
  <si>
    <t>85718-7307</t>
  </si>
  <si>
    <t>ttedesco49@yahoo.com</t>
  </si>
  <si>
    <t>ttedesco49@cox.et</t>
  </si>
  <si>
    <t>ALQ0603JJ062</t>
  </si>
  <si>
    <t>ALR200411C30</t>
  </si>
  <si>
    <t>ALA13050B33N</t>
  </si>
  <si>
    <t>Mr. Thomas Joyce</t>
  </si>
  <si>
    <t>9 Park Pl W Ste 102</t>
  </si>
  <si>
    <t>Brevard</t>
  </si>
  <si>
    <t>28712-3083</t>
  </si>
  <si>
    <t>ALQ0612DF020</t>
  </si>
  <si>
    <t>ALA15010C25A</t>
  </si>
  <si>
    <t>Theanna</t>
  </si>
  <si>
    <t>Benefiel</t>
  </si>
  <si>
    <t>Theanna Benefiel</t>
  </si>
  <si>
    <t>967 Sunset Mountain Rd</t>
  </si>
  <si>
    <t>72650-8433</t>
  </si>
  <si>
    <t>ALR210110C44</t>
  </si>
  <si>
    <t>ALA19020B23A</t>
  </si>
  <si>
    <t>Arlene and Bennett Paul</t>
  </si>
  <si>
    <t>Arlene and Bennett</t>
  </si>
  <si>
    <t>19 White Birch Rd</t>
  </si>
  <si>
    <t>06443-2077</t>
  </si>
  <si>
    <t>arlenespaul@gmail.com</t>
  </si>
  <si>
    <t>ALQ070001001</t>
  </si>
  <si>
    <t>ALA23080B24A</t>
  </si>
  <si>
    <t>Steven D. Pyle</t>
  </si>
  <si>
    <t>2816 Portman Ave</t>
  </si>
  <si>
    <t>44109-4947</t>
  </si>
  <si>
    <t>sdpyle1506@gmail.com</t>
  </si>
  <si>
    <t>sdpyle@sbcglobal.net</t>
  </si>
  <si>
    <t>ALR150202033</t>
  </si>
  <si>
    <t>Margery</t>
  </si>
  <si>
    <t>Dean Webb</t>
  </si>
  <si>
    <t>16 Belmont Ave Apt 3</t>
  </si>
  <si>
    <t>04843-2091</t>
  </si>
  <si>
    <t>ALA17030B22A</t>
  </si>
  <si>
    <t>ALR150802023</t>
  </si>
  <si>
    <t>Diane Kooistra</t>
  </si>
  <si>
    <t>119 Westwood Ave</t>
  </si>
  <si>
    <t>49412-1050</t>
  </si>
  <si>
    <t>dkooist@ncats.net</t>
  </si>
  <si>
    <t>ALZ070002004</t>
  </si>
  <si>
    <t>Ms. Patricia Davis</t>
  </si>
  <si>
    <t>1715 Bellwood Ct</t>
  </si>
  <si>
    <t>48302-2601</t>
  </si>
  <si>
    <t>mauryd@gmail.com</t>
  </si>
  <si>
    <t>ALQ0701FG060</t>
  </si>
  <si>
    <t>ALR230803C54</t>
  </si>
  <si>
    <t>ALR140503254</t>
  </si>
  <si>
    <t>Dr. Harold Bornstein Jr.</t>
  </si>
  <si>
    <t>200 Leeder Hill Drive #337</t>
  </si>
  <si>
    <t>harold.bornstein@yahoo.com</t>
  </si>
  <si>
    <t>ALQ0701FG045</t>
  </si>
  <si>
    <t>Mr. Gary S. Magee</t>
  </si>
  <si>
    <t>163 Holly Springs Ct</t>
  </si>
  <si>
    <t>Southern Pnes</t>
  </si>
  <si>
    <t>28387-0011</t>
  </si>
  <si>
    <t>gsmagee@earthlink.net</t>
  </si>
  <si>
    <t>thedon_007@hotmail.com</t>
  </si>
  <si>
    <t>ALQ0701AG034</t>
  </si>
  <si>
    <t>Evelyn Hoth</t>
  </si>
  <si>
    <t>202 Diamond Cv</t>
  </si>
  <si>
    <t>28570-5575</t>
  </si>
  <si>
    <t>ALQ0701DG004</t>
  </si>
  <si>
    <t>ALA23110A14A</t>
  </si>
  <si>
    <t>ALA20110A14C</t>
  </si>
  <si>
    <t>83750 564 Ave</t>
  </si>
  <si>
    <t>68779-2123</t>
  </si>
  <si>
    <t>dr.huebner@yahoo.com</t>
  </si>
  <si>
    <t>ALQ1110AD015</t>
  </si>
  <si>
    <t>Donny</t>
  </si>
  <si>
    <t>1745 Bankhead Highway</t>
  </si>
  <si>
    <t>Lot 53</t>
  </si>
  <si>
    <t>30116-8681</t>
  </si>
  <si>
    <t>ALQ0701CG062</t>
  </si>
  <si>
    <t>Mr. Lawrence R. Howard</t>
  </si>
  <si>
    <t>1143 N Karen Ave</t>
  </si>
  <si>
    <t>93611-7174</t>
  </si>
  <si>
    <t>pissfir1@yahoo.com</t>
  </si>
  <si>
    <t>forester1942@gmail.com</t>
  </si>
  <si>
    <t>ALQ0701BG003</t>
  </si>
  <si>
    <t>Ms. Julie Harris</t>
  </si>
  <si>
    <t>1257 Gainsboro Dr</t>
  </si>
  <si>
    <t>25403-7676</t>
  </si>
  <si>
    <t>mayoharris@yahoo.com</t>
  </si>
  <si>
    <t>revjulie2@comcast.net</t>
  </si>
  <si>
    <t>ALQ0701CG010</t>
  </si>
  <si>
    <t>ALR231001005</t>
  </si>
  <si>
    <t>ALR090306004</t>
  </si>
  <si>
    <t>Maurine</t>
  </si>
  <si>
    <t>Ms. Maurine B. Buckley</t>
  </si>
  <si>
    <t>2842 Apopka Ln</t>
  </si>
  <si>
    <t>Apopka</t>
  </si>
  <si>
    <t>32703-9426</t>
  </si>
  <si>
    <t>qmaurine@aol.com</t>
  </si>
  <si>
    <t>sat65@aol.com</t>
  </si>
  <si>
    <t>ALQ0701EG048</t>
  </si>
  <si>
    <t>ALR140732EMC</t>
  </si>
  <si>
    <t>Yoch</t>
  </si>
  <si>
    <t>Mrs. Nancy P. Yoch</t>
  </si>
  <si>
    <t>617 Okmulgee St</t>
  </si>
  <si>
    <t>73071-4626</t>
  </si>
  <si>
    <t>myoch@hotmail.com</t>
  </si>
  <si>
    <t>nyoch@buynosman.com</t>
  </si>
  <si>
    <t>ALQ0701HG014</t>
  </si>
  <si>
    <t>EEO200903101:FY20GPEVENT</t>
  </si>
  <si>
    <t>Mrs. Doris S. Rosson</t>
  </si>
  <si>
    <t>7100 Dearwester Dr Unit 1</t>
  </si>
  <si>
    <t>45236-6106</t>
  </si>
  <si>
    <t>ALQ0701GG043</t>
  </si>
  <si>
    <t>ALL19070A73M</t>
  </si>
  <si>
    <t>Dahlke</t>
  </si>
  <si>
    <t>Phyllis Dahlke</t>
  </si>
  <si>
    <t>30 Cypress Blvd Apt 109</t>
  </si>
  <si>
    <t>78665-1098</t>
  </si>
  <si>
    <t>phyldo@aol.com</t>
  </si>
  <si>
    <t>phylda@aol.com</t>
  </si>
  <si>
    <t>ALQ1004BK004</t>
  </si>
  <si>
    <t>ALA23050A13A</t>
  </si>
  <si>
    <t>309 Kalorama Rd</t>
  </si>
  <si>
    <t>21784-7535</t>
  </si>
  <si>
    <t>rtwassel@comcast.net</t>
  </si>
  <si>
    <t>ALQ0701FG052</t>
  </si>
  <si>
    <t>ALR230202C54</t>
  </si>
  <si>
    <t>ALR140301054</t>
  </si>
  <si>
    <t>Ms. Joyce Buck</t>
  </si>
  <si>
    <t>4322 130th Pl NE</t>
  </si>
  <si>
    <t>98271-8711</t>
  </si>
  <si>
    <t>kidbuck4@frontier.com</t>
  </si>
  <si>
    <t>ALQ0701DG020</t>
  </si>
  <si>
    <t>ALR210804C54</t>
  </si>
  <si>
    <t>ALL20070C5BM</t>
  </si>
  <si>
    <t>Oncay</t>
  </si>
  <si>
    <t>Ms. Alison O. Oncay</t>
  </si>
  <si>
    <t>1054 SW 146th Ter</t>
  </si>
  <si>
    <t>33027-6164</t>
  </si>
  <si>
    <t>aoncay@comcast.net</t>
  </si>
  <si>
    <t>ALQ0702BH009</t>
  </si>
  <si>
    <t>ALA15090D44A</t>
  </si>
  <si>
    <t>ALR080303001</t>
  </si>
  <si>
    <t>Ms. Carol L. Leslie</t>
  </si>
  <si>
    <t>1282 NW Gibson Hill Rd</t>
  </si>
  <si>
    <t>97321-1218</t>
  </si>
  <si>
    <t>leslie4626@comcast.net</t>
  </si>
  <si>
    <t>ALQ0702AH013</t>
  </si>
  <si>
    <t>ALA16010D24A</t>
  </si>
  <si>
    <t>Hubbard</t>
  </si>
  <si>
    <t>Lewis and Gale Hubbard</t>
  </si>
  <si>
    <t>Lewis and Gale</t>
  </si>
  <si>
    <t>4092 Baybrook Dr</t>
  </si>
  <si>
    <t>48329-3873</t>
  </si>
  <si>
    <t>abonnard@aol.com</t>
  </si>
  <si>
    <t>lhubbard45@aol.com</t>
  </si>
  <si>
    <t>ALZ070002002</t>
  </si>
  <si>
    <t>ALL23020A63M</t>
  </si>
  <si>
    <t>1970 W Magee Road #11103</t>
  </si>
  <si>
    <t>85704-1425</t>
  </si>
  <si>
    <t>Sauer</t>
  </si>
  <si>
    <t>Ms. Paula G. Sauer</t>
  </si>
  <si>
    <t>3113 Stonington Ct</t>
  </si>
  <si>
    <t>40242-2935</t>
  </si>
  <si>
    <t>paulagsauer@yahoo.com</t>
  </si>
  <si>
    <t>ALQ0612EF032</t>
  </si>
  <si>
    <t>ALL22120C7BM</t>
  </si>
  <si>
    <t>ALR090603204</t>
  </si>
  <si>
    <t>JoAnne Craig</t>
  </si>
  <si>
    <t>Ms. JoAnne Craig Craig</t>
  </si>
  <si>
    <t>860 Brookwood Ave</t>
  </si>
  <si>
    <t>94591-5619</t>
  </si>
  <si>
    <t>joannecraig2012@gmail.com</t>
  </si>
  <si>
    <t>joacraig@pacbell.net</t>
  </si>
  <si>
    <t>ALQ0702BH001</t>
  </si>
  <si>
    <t>Be Roth</t>
  </si>
  <si>
    <t>Ms. Michelle B. Be Roth</t>
  </si>
  <si>
    <t>15701 58th Pl W</t>
  </si>
  <si>
    <t>98026-4609</t>
  </si>
  <si>
    <t>manniemanx@comcast.net</t>
  </si>
  <si>
    <t>ALQ0702FH031</t>
  </si>
  <si>
    <t>ATA230001001</t>
  </si>
  <si>
    <t>Lonnie</t>
  </si>
  <si>
    <t>Rene</t>
  </si>
  <si>
    <t>Lonnie and Rene Griffith</t>
  </si>
  <si>
    <t>Lonnie and Rene</t>
  </si>
  <si>
    <t>115 W Woodhaven Dr</t>
  </si>
  <si>
    <t>Kingsland</t>
  </si>
  <si>
    <t>31548-5828</t>
  </si>
  <si>
    <t>mhoebing2@gmail.com</t>
  </si>
  <si>
    <t>ALQ0702DH010</t>
  </si>
  <si>
    <t>ALL20110A4BM</t>
  </si>
  <si>
    <t>ALR120703303</t>
  </si>
  <si>
    <t>John and Janet Tangney</t>
  </si>
  <si>
    <t>John and Janet</t>
  </si>
  <si>
    <t>17042 SE Tranquil St</t>
  </si>
  <si>
    <t>97086-8607</t>
  </si>
  <si>
    <t>jctangney@comcast.net</t>
  </si>
  <si>
    <t>ictananev@comcast.net</t>
  </si>
  <si>
    <t>ALQ0702BH011</t>
  </si>
  <si>
    <t>ALL22090C5BM</t>
  </si>
  <si>
    <t>ALA090028001</t>
  </si>
  <si>
    <t>tangneyjm@comcast.net</t>
  </si>
  <si>
    <t>Mayr</t>
  </si>
  <si>
    <t>78 Cove Ln</t>
  </si>
  <si>
    <t>Mill Spring</t>
  </si>
  <si>
    <t>monikamayr1@yahoo.com</t>
  </si>
  <si>
    <t>ALQ090001005</t>
  </si>
  <si>
    <t>Cater</t>
  </si>
  <si>
    <t>Onjoo</t>
  </si>
  <si>
    <t>Dennis and Onjoo</t>
  </si>
  <si>
    <t>1136 Miguel Ave</t>
  </si>
  <si>
    <t>94024-6853</t>
  </si>
  <si>
    <t>dennis.cater@att.net</t>
  </si>
  <si>
    <t>dennis.cater@yahoo.com</t>
  </si>
  <si>
    <t>ALQ0702EH042</t>
  </si>
  <si>
    <t>ALA2207D2EMC</t>
  </si>
  <si>
    <t>Mr. James P. Shaw</t>
  </si>
  <si>
    <t>22056 Roosevelt Rd</t>
  </si>
  <si>
    <t>South Bend</t>
  </si>
  <si>
    <t>46614-9681</t>
  </si>
  <si>
    <t>jps.7429@gmail.com</t>
  </si>
  <si>
    <t>jj_shaw@hotmail.com</t>
  </si>
  <si>
    <t>ALQ0702CH008</t>
  </si>
  <si>
    <t>ALB160001001</t>
  </si>
  <si>
    <t>Corbin</t>
  </si>
  <si>
    <t>Mr. William Corbin</t>
  </si>
  <si>
    <t>78 Trella St</t>
  </si>
  <si>
    <t>17004-8603</t>
  </si>
  <si>
    <t>bill_corbin@yahoo.com</t>
  </si>
  <si>
    <t>ALQ0702DH029</t>
  </si>
  <si>
    <t>ALR240401C23</t>
  </si>
  <si>
    <t>Lynette</t>
  </si>
  <si>
    <t>Rexford</t>
  </si>
  <si>
    <t>68 Hampton Rd</t>
  </si>
  <si>
    <t>Elmira</t>
  </si>
  <si>
    <t>14904-2452</t>
  </si>
  <si>
    <t>rexford26@aol.com</t>
  </si>
  <si>
    <t>ALQ0703EJ031</t>
  </si>
  <si>
    <t>ALR16XX0W001</t>
  </si>
  <si>
    <t>Hendrix</t>
  </si>
  <si>
    <t>Gary Hendrix</t>
  </si>
  <si>
    <t>1120 Pine Ridge Rd</t>
  </si>
  <si>
    <t>80863-1234</t>
  </si>
  <si>
    <t>hendrixs@zoominternet.net</t>
  </si>
  <si>
    <t>lesleehendrix@gmail.com</t>
  </si>
  <si>
    <t>ALQ0703JJ010</t>
  </si>
  <si>
    <t>Palma</t>
  </si>
  <si>
    <t>Ms. Madelon L. Palma</t>
  </si>
  <si>
    <t>4666 Del Valle Parkway</t>
  </si>
  <si>
    <t>94566-6433</t>
  </si>
  <si>
    <t>madelonlp@sbcglobal.net</t>
  </si>
  <si>
    <t>ALQ0701BG020</t>
  </si>
  <si>
    <t>Suresh</t>
  </si>
  <si>
    <t>Subramani</t>
  </si>
  <si>
    <t>Feroza</t>
  </si>
  <si>
    <t>Ardeshir</t>
  </si>
  <si>
    <t>Ms. Feroza Ardeshir and Mr. Suresh Subramani</t>
  </si>
  <si>
    <t>Feroza and Suresh</t>
  </si>
  <si>
    <t>6350 Dennison St</t>
  </si>
  <si>
    <t>92122-2402</t>
  </si>
  <si>
    <t>thelotusgatherer@gmail.com</t>
  </si>
  <si>
    <t>ALQ0703BJ001</t>
  </si>
  <si>
    <t>ALS19070A001</t>
  </si>
  <si>
    <t>feeardeshir52@gmail.com</t>
  </si>
  <si>
    <t>Richard Bassier</t>
  </si>
  <si>
    <t>537 E Exchange St</t>
  </si>
  <si>
    <t>61254-2107</t>
  </si>
  <si>
    <t>ALQ0703BJ020</t>
  </si>
  <si>
    <t>ALR220207C33</t>
  </si>
  <si>
    <t>ALA19050A14A</t>
  </si>
  <si>
    <t>Loretta Forbes</t>
  </si>
  <si>
    <t>251 Rockcrest Ridge Rd</t>
  </si>
  <si>
    <t>29635-9676</t>
  </si>
  <si>
    <t>forbeslg@bellsouth.net</t>
  </si>
  <si>
    <t>ALQ0703DJ016</t>
  </si>
  <si>
    <t>ALL23080C53M</t>
  </si>
  <si>
    <t>Amdahl</t>
  </si>
  <si>
    <t>Ms. Jill Amdahl</t>
  </si>
  <si>
    <t>2404 S Lyndale Ave</t>
  </si>
  <si>
    <t>57105-3419</t>
  </si>
  <si>
    <t>jlamdahl@gmail.com</t>
  </si>
  <si>
    <t>ALQ0701HG015</t>
  </si>
  <si>
    <t>ALA18100B12N</t>
  </si>
  <si>
    <t>Munday</t>
  </si>
  <si>
    <t>4241 Beard Avenue S</t>
  </si>
  <si>
    <t>55410-1427</t>
  </si>
  <si>
    <t>jakknetland@yahoo.com</t>
  </si>
  <si>
    <t>wamkayak@aol.com</t>
  </si>
  <si>
    <t>ALQ0611BE003</t>
  </si>
  <si>
    <t>Trujillo</t>
  </si>
  <si>
    <t>Mr. Milton Trujillo</t>
  </si>
  <si>
    <t>4020 Ridge Dr</t>
  </si>
  <si>
    <t>81008-1720</t>
  </si>
  <si>
    <t>miltontrujillo@aol.com</t>
  </si>
  <si>
    <t>ALQ0703GJ033</t>
  </si>
  <si>
    <t>ALQ1201GG019</t>
  </si>
  <si>
    <t>Ulrich</t>
  </si>
  <si>
    <t>Boesch</t>
  </si>
  <si>
    <t>Ulrich Boesch</t>
  </si>
  <si>
    <t>Ueli</t>
  </si>
  <si>
    <t>4320 Forest Hill Dr Unit 415</t>
  </si>
  <si>
    <t>22030-5772</t>
  </si>
  <si>
    <t>ALQ0703KJ046</t>
  </si>
  <si>
    <t>Egtvedt</t>
  </si>
  <si>
    <t>Mr. Claire E. Egtvedt</t>
  </si>
  <si>
    <t>5904 96th St SW</t>
  </si>
  <si>
    <t>Mukilteo</t>
  </si>
  <si>
    <t>98275-3504</t>
  </si>
  <si>
    <t>chegtvedt@comcast.net</t>
  </si>
  <si>
    <t>ALQ0704AK002</t>
  </si>
  <si>
    <t>ALL22120C4BM</t>
  </si>
  <si>
    <t>ALR201001C54</t>
  </si>
  <si>
    <t>Guenther</t>
  </si>
  <si>
    <t>Jeffrey T. Guenther</t>
  </si>
  <si>
    <t>5358 Romance Ln</t>
  </si>
  <si>
    <t>45238-5224</t>
  </si>
  <si>
    <t>jgbumper@fuse.net</t>
  </si>
  <si>
    <t>ALQ0704CK028</t>
  </si>
  <si>
    <t>ALR200302C33</t>
  </si>
  <si>
    <t>Berner</t>
  </si>
  <si>
    <t>Po Box 606</t>
  </si>
  <si>
    <t>Medina</t>
  </si>
  <si>
    <t>14103-0606</t>
  </si>
  <si>
    <t>ALQ0704AK003</t>
  </si>
  <si>
    <t>Mrs. Barbara A. Heinrich</t>
  </si>
  <si>
    <t>615 Steppe Pl</t>
  </si>
  <si>
    <t>85635-4027</t>
  </si>
  <si>
    <t>heini615@gmail.com</t>
  </si>
  <si>
    <t>heini615@msn.com</t>
  </si>
  <si>
    <t>ALA22070A55H</t>
  </si>
  <si>
    <t>ALA080301002</t>
  </si>
  <si>
    <t>3300 N Carriageway Dr Unit 201</t>
  </si>
  <si>
    <t>60004-1547</t>
  </si>
  <si>
    <t>ALQ0704BK007</t>
  </si>
  <si>
    <t>Pat Flaugher</t>
  </si>
  <si>
    <t>2015 Mckinley Ave</t>
  </si>
  <si>
    <t>61920-3703</t>
  </si>
  <si>
    <t>pafdog@consolidated.net</t>
  </si>
  <si>
    <t>ALQ0704BK002</t>
  </si>
  <si>
    <t>Mrs. Bonnie Ravesloot</t>
  </si>
  <si>
    <t>8541 Fair Oaks Ln</t>
  </si>
  <si>
    <t>46373-9396</t>
  </si>
  <si>
    <t>rav5578@sbcglobal.net</t>
  </si>
  <si>
    <t>ALQ070001002</t>
  </si>
  <si>
    <t>ALA1412S6EMC</t>
  </si>
  <si>
    <t>Joyce and Bob Jeckell</t>
  </si>
  <si>
    <t>Joyce and Bob</t>
  </si>
  <si>
    <t>1016 La Salle Dr</t>
  </si>
  <si>
    <t>94087-5203</t>
  </si>
  <si>
    <t>jljeckell@icloud.com</t>
  </si>
  <si>
    <t>jjeckell@comcast.net</t>
  </si>
  <si>
    <t>ALQ0705CL023</t>
  </si>
  <si>
    <t>ALR220700EMC</t>
  </si>
  <si>
    <t>Michele and John Pilkington</t>
  </si>
  <si>
    <t>Michele and John</t>
  </si>
  <si>
    <t>110A Glenwood Ln</t>
  </si>
  <si>
    <t>Port Jefferson</t>
  </si>
  <si>
    <t>11777-1505</t>
  </si>
  <si>
    <t>jmpilk944@msn.com</t>
  </si>
  <si>
    <t>jmpilk942@msn.com</t>
  </si>
  <si>
    <t>ALA200206532</t>
  </si>
  <si>
    <t>Mr. Thomas Kruysman</t>
  </si>
  <si>
    <t>519 Eldridges Hill Rd</t>
  </si>
  <si>
    <t>08098-3157</t>
  </si>
  <si>
    <t>tok11@verizon.net</t>
  </si>
  <si>
    <t>tal11@verizon.net</t>
  </si>
  <si>
    <t>ALQ0705BL014</t>
  </si>
  <si>
    <t>ALR180608054</t>
  </si>
  <si>
    <t>Javes</t>
  </si>
  <si>
    <t>Richard Javes and Ruth Baldwin</t>
  </si>
  <si>
    <t>Richard and Ruth</t>
  </si>
  <si>
    <t>620 Northwood Dr</t>
  </si>
  <si>
    <t>52245-5611</t>
  </si>
  <si>
    <t>bagarcher43@yahoo.com</t>
  </si>
  <si>
    <t>frittata4142@outlook.com</t>
  </si>
  <si>
    <t>ALA21030B54H</t>
  </si>
  <si>
    <t>ALA21010E54H</t>
  </si>
  <si>
    <t>Solomon</t>
  </si>
  <si>
    <t>Ms. Elizabeth D. Solomon</t>
  </si>
  <si>
    <t>3954 Burnley Station Rd</t>
  </si>
  <si>
    <t>Barboursville</t>
  </si>
  <si>
    <t>22923-1704</t>
  </si>
  <si>
    <t>mountbird1@gmail.com</t>
  </si>
  <si>
    <t>ALQ0707AA021</t>
  </si>
  <si>
    <t>ALR231101C23</t>
  </si>
  <si>
    <t>Paul and Claire Brunner</t>
  </si>
  <si>
    <t>Paul and Claire</t>
  </si>
  <si>
    <t>2858 Montana Ave</t>
  </si>
  <si>
    <t>45211-5917</t>
  </si>
  <si>
    <t>brunnerbuilders@gmail.com</t>
  </si>
  <si>
    <t>ALQ0707AA022</t>
  </si>
  <si>
    <t>ALA23010A14A</t>
  </si>
  <si>
    <t>ALR210306C23</t>
  </si>
  <si>
    <t>Mrs. Carolyn Gordon</t>
  </si>
  <si>
    <t>614 Sycamore Dr</t>
  </si>
  <si>
    <t>61873-8420</t>
  </si>
  <si>
    <t>riceabby7@gmail.com</t>
  </si>
  <si>
    <t>ALQ0707AA006</t>
  </si>
  <si>
    <t>ALL23070A73M</t>
  </si>
  <si>
    <t>Ms. Agnes Watkins</t>
  </si>
  <si>
    <t>1004 S College Avenue</t>
  </si>
  <si>
    <t>61231-2435</t>
  </si>
  <si>
    <t>nancywat@mchsi.com</t>
  </si>
  <si>
    <t>ALQ0701BG026</t>
  </si>
  <si>
    <t>ALS200101511</t>
  </si>
  <si>
    <t>ALS16070A001</t>
  </si>
  <si>
    <t>Ms. Sally Richardson</t>
  </si>
  <si>
    <t>79 Meadow Lks</t>
  </si>
  <si>
    <t>Hightstown</t>
  </si>
  <si>
    <t>08520-4802</t>
  </si>
  <si>
    <t>sallyrich2@yahoo.com</t>
  </si>
  <si>
    <t>ALQ0707AA012</t>
  </si>
  <si>
    <t>Ms. Lucretia Jevne</t>
  </si>
  <si>
    <t>82 Hilltop Pl</t>
  </si>
  <si>
    <t>03257-5410</t>
  </si>
  <si>
    <t>lajevne@comcast.net</t>
  </si>
  <si>
    <t>lajeme@comcast.net</t>
  </si>
  <si>
    <t>ALQ0701AG017</t>
  </si>
  <si>
    <t>ALA1608D1WSC</t>
  </si>
  <si>
    <t>Christie</t>
  </si>
  <si>
    <t>Gordon and Christie Wilson</t>
  </si>
  <si>
    <t>Gordon and Christie</t>
  </si>
  <si>
    <t>16231 E Ocotillo Dr</t>
  </si>
  <si>
    <t>85268-4950</t>
  </si>
  <si>
    <t>christie1wilson@aol.com</t>
  </si>
  <si>
    <t>extca1@aol.com</t>
  </si>
  <si>
    <t>ALQ0705BL006</t>
  </si>
  <si>
    <t>ALR191202C33</t>
  </si>
  <si>
    <t>Bjugstad</t>
  </si>
  <si>
    <t>Ms. Kimberly Bjugstad</t>
  </si>
  <si>
    <t>9212 S Lost Hill Dr</t>
  </si>
  <si>
    <t>80124-6749</t>
  </si>
  <si>
    <t>kimbjugstad@gmail.com</t>
  </si>
  <si>
    <t>kimberly.bjugstad@ucdenver.edu</t>
  </si>
  <si>
    <t>Mr. Robert D. Blair</t>
  </si>
  <si>
    <t>12 Donsen Ln</t>
  </si>
  <si>
    <t>07076-2810</t>
  </si>
  <si>
    <t>anne.blair@gmail.com</t>
  </si>
  <si>
    <t>ALQ0707CA042</t>
  </si>
  <si>
    <t>ALR220103C54</t>
  </si>
  <si>
    <t>ALA200401999</t>
  </si>
  <si>
    <t>Ms. Helen Burnstad</t>
  </si>
  <si>
    <t>10742 W 116th Ter</t>
  </si>
  <si>
    <t>66210-3855</t>
  </si>
  <si>
    <t>burnstadh187@gmail.com</t>
  </si>
  <si>
    <t>burnstadh107@gmail.com</t>
  </si>
  <si>
    <t>ALQ0707CA038</t>
  </si>
  <si>
    <t>ALR210801C54</t>
  </si>
  <si>
    <t>Sewell</t>
  </si>
  <si>
    <t>6802 Lum Dr</t>
  </si>
  <si>
    <t>Zephyrhills</t>
  </si>
  <si>
    <t>33542-1842</t>
  </si>
  <si>
    <t>ALQ0704DK032</t>
  </si>
  <si>
    <t>ALL18090A52M</t>
  </si>
  <si>
    <t>Wilkinson</t>
  </si>
  <si>
    <t>Mrs. Emily L. Wilkinson</t>
  </si>
  <si>
    <t>2296 Suggetts Point Rd</t>
  </si>
  <si>
    <t>22572-4015</t>
  </si>
  <si>
    <t>suggettspoint59@gmail.com</t>
  </si>
  <si>
    <t>ALQ0501FG040</t>
  </si>
  <si>
    <t>Dian and Andy Lopez</t>
  </si>
  <si>
    <t>Dian and Andy</t>
  </si>
  <si>
    <t>5770 Burkeys Ln NW</t>
  </si>
  <si>
    <t>56308-9712</t>
  </si>
  <si>
    <t>lopezdr@morris.umn.edu</t>
  </si>
  <si>
    <t>dian@info-link.net</t>
  </si>
  <si>
    <t>ALQ0707CA029</t>
  </si>
  <si>
    <t>ALL23080B5BM</t>
  </si>
  <si>
    <t>ALR171001044</t>
  </si>
  <si>
    <t>James Page</t>
  </si>
  <si>
    <t>2205 S Shefford St</t>
  </si>
  <si>
    <t>67209-4231</t>
  </si>
  <si>
    <t>ALA19050E56H</t>
  </si>
  <si>
    <t>Zada</t>
  </si>
  <si>
    <t>Yumlu</t>
  </si>
  <si>
    <t>Ms. Zada K. Yumlu</t>
  </si>
  <si>
    <t>19549 Lorraine Ter</t>
  </si>
  <si>
    <t>Hagerstown</t>
  </si>
  <si>
    <t>21742-2514</t>
  </si>
  <si>
    <t>zyumlu@gmail.com</t>
  </si>
  <si>
    <t>zkay@myactv.net</t>
  </si>
  <si>
    <t>ALQ0707DA030</t>
  </si>
  <si>
    <t>ALA20080A25A</t>
  </si>
  <si>
    <t>Mr. David Bosio</t>
  </si>
  <si>
    <t>11210 Crystal Lake Dr E</t>
  </si>
  <si>
    <t>49233-9513</t>
  </si>
  <si>
    <t>ALQ0707CA031</t>
  </si>
  <si>
    <t>ALR230202C44</t>
  </si>
  <si>
    <t>Mellgren</t>
  </si>
  <si>
    <t>Mr. Bruce J. Mellgren</t>
  </si>
  <si>
    <t>11340 134th St</t>
  </si>
  <si>
    <t>Cologne</t>
  </si>
  <si>
    <t>55322-9196</t>
  </si>
  <si>
    <t>Nelwyn</t>
  </si>
  <si>
    <t>Ms. Nelwyn D. Wells</t>
  </si>
  <si>
    <t>229 Constitution Dr</t>
  </si>
  <si>
    <t>70503-6324</t>
  </si>
  <si>
    <t>barronwells@cox.net</t>
  </si>
  <si>
    <t>ALR240502EMC</t>
  </si>
  <si>
    <t>ALR200801C44</t>
  </si>
  <si>
    <t>Kuncken</t>
  </si>
  <si>
    <t>Miss Jennifer Kuncken</t>
  </si>
  <si>
    <t>100 Meadowcrest Trl</t>
  </si>
  <si>
    <t>23188-7032</t>
  </si>
  <si>
    <t>jkuncken@yahoo.com</t>
  </si>
  <si>
    <t>ALQ0707BA066</t>
  </si>
  <si>
    <t>ALA1811D1EMC</t>
  </si>
  <si>
    <t>Ms. Laura Bresko</t>
  </si>
  <si>
    <t>726 Geiger Road</t>
  </si>
  <si>
    <t>32034-7821</t>
  </si>
  <si>
    <t>ALA070001002</t>
  </si>
  <si>
    <t>ADA170004001</t>
  </si>
  <si>
    <t>ADA160004001</t>
  </si>
  <si>
    <t>Schlechte</t>
  </si>
  <si>
    <t>115 E Circle Dr</t>
  </si>
  <si>
    <t>65109-1224</t>
  </si>
  <si>
    <t>jcmotricia@gmail.com</t>
  </si>
  <si>
    <t>ALQ0707CA041</t>
  </si>
  <si>
    <t>Pfaltzgraff</t>
  </si>
  <si>
    <t>4712 Chadwick Rd Unit 8</t>
  </si>
  <si>
    <t>50613-7940</t>
  </si>
  <si>
    <t>chefbry@gmx.com</t>
  </si>
  <si>
    <t>chefbry@mchsi.com</t>
  </si>
  <si>
    <t>ALQ0708CB004</t>
  </si>
  <si>
    <t>ALA2207D1DMS</t>
  </si>
  <si>
    <t>Ms. Rebecca J. Lewis</t>
  </si>
  <si>
    <t>8206 Bridgetown Rd</t>
  </si>
  <si>
    <t>Cleves</t>
  </si>
  <si>
    <t>45002-1377</t>
  </si>
  <si>
    <t>rjlewis1969@gmail.com</t>
  </si>
  <si>
    <t>rjk2wings@msn.com</t>
  </si>
  <si>
    <t>ALR160101054</t>
  </si>
  <si>
    <t>Ms. Neranza Noel Blount</t>
  </si>
  <si>
    <t>10431 Rather Rd</t>
  </si>
  <si>
    <t>37931-2126</t>
  </si>
  <si>
    <t>neranzaart@gmail.com</t>
  </si>
  <si>
    <t>neranza07@gmail.com</t>
  </si>
  <si>
    <t>ALG070001001</t>
  </si>
  <si>
    <t>ALL19090A53M</t>
  </si>
  <si>
    <t>Braverman</t>
  </si>
  <si>
    <t>Joe Braverman</t>
  </si>
  <si>
    <t>2115 E 60th St</t>
  </si>
  <si>
    <t>74105-7014</t>
  </si>
  <si>
    <t>ALQ0708BB015</t>
  </si>
  <si>
    <t>Margo R. Cooke</t>
  </si>
  <si>
    <t>3461 Highway 81 N Unit 242</t>
  </si>
  <si>
    <t>29621-3286</t>
  </si>
  <si>
    <t>cooke1986@gmail.com</t>
  </si>
  <si>
    <t>ALQ0509CC024</t>
  </si>
  <si>
    <t>ALR170613050</t>
  </si>
  <si>
    <t>ALA11100E5AD</t>
  </si>
  <si>
    <t>Kerry</t>
  </si>
  <si>
    <t>McGlynn</t>
  </si>
  <si>
    <t>Ms. Kerry McGlynn</t>
  </si>
  <si>
    <t>8467 Sheps Way</t>
  </si>
  <si>
    <t>80021-4158</t>
  </si>
  <si>
    <t>mcglynnkerry@yahoo.com</t>
  </si>
  <si>
    <t>mcglynnjames@hotmail.com</t>
  </si>
  <si>
    <t>ALQ0708CB019</t>
  </si>
  <si>
    <t>ALA2306D5EMC</t>
  </si>
  <si>
    <t>Ercille</t>
  </si>
  <si>
    <t>Ms. Christmas</t>
  </si>
  <si>
    <t>PO Box 371721</t>
  </si>
  <si>
    <t>Reseda</t>
  </si>
  <si>
    <t>91337-1721</t>
  </si>
  <si>
    <t>ercille@gmail.com</t>
  </si>
  <si>
    <t>eichristmas@aol.com</t>
  </si>
  <si>
    <t>Ms. Debra E. Moyer</t>
  </si>
  <si>
    <t>19 Miller Rd</t>
  </si>
  <si>
    <t>12144-9718</t>
  </si>
  <si>
    <t>Mrs. Phyllis Ballinger</t>
  </si>
  <si>
    <t>1543 W Baltimore Pike #303B</t>
  </si>
  <si>
    <t>ALQ1108EB014</t>
  </si>
  <si>
    <t>Reg</t>
  </si>
  <si>
    <t>The</t>
  </si>
  <si>
    <t>Holmes</t>
  </si>
  <si>
    <t>Reg and Phyllis Holmes</t>
  </si>
  <si>
    <t>Reg and Phyllis</t>
  </si>
  <si>
    <t>5500 E Peakview Ave Apt 1323</t>
  </si>
  <si>
    <t>80121-3559</t>
  </si>
  <si>
    <t>retireeret@yahoo.com</t>
  </si>
  <si>
    <t>retireereg@yahoo.com</t>
  </si>
  <si>
    <t>ALQ0708BB025</t>
  </si>
  <si>
    <t>Laurence G. Thouin</t>
  </si>
  <si>
    <t>24104 Albers St</t>
  </si>
  <si>
    <t>Woodland Hills</t>
  </si>
  <si>
    <t>91367-5702</t>
  </si>
  <si>
    <t>nutried@aol.com</t>
  </si>
  <si>
    <t>ALQ0708GB008</t>
  </si>
  <si>
    <t>ALR200204C33</t>
  </si>
  <si>
    <t>ALA18040B14C</t>
  </si>
  <si>
    <t>Pedro</t>
  </si>
  <si>
    <t>Rico</t>
  </si>
  <si>
    <t>Pedro J. Rico</t>
  </si>
  <si>
    <t>1210 Hunt Ln Apt 3102</t>
  </si>
  <si>
    <t>78251-4625</t>
  </si>
  <si>
    <t>pj.rico30@gmail.com</t>
  </si>
  <si>
    <t>pj.ruo30@gmail.com</t>
  </si>
  <si>
    <t>ALQ0708HB065</t>
  </si>
  <si>
    <t>Mrs. Faith and Mr. John C. Cannon</t>
  </si>
  <si>
    <t>Faith and John</t>
  </si>
  <si>
    <t>460 Allium Ct</t>
  </si>
  <si>
    <t>46385-2309</t>
  </si>
  <si>
    <t>ALQ0707AA010</t>
  </si>
  <si>
    <t>Sharon Sorenson</t>
  </si>
  <si>
    <t>PO Box 174</t>
  </si>
  <si>
    <t>Sumner</t>
  </si>
  <si>
    <t>50674-0174</t>
  </si>
  <si>
    <t>sharonsorenson@yahoo.com</t>
  </si>
  <si>
    <t>ALQ0709BC013</t>
  </si>
  <si>
    <t>Nettles</t>
  </si>
  <si>
    <t>Anne Nettles</t>
  </si>
  <si>
    <t>PO Box 1917</t>
  </si>
  <si>
    <t>Weatherford</t>
  </si>
  <si>
    <t>76086-7917</t>
  </si>
  <si>
    <t>annesrebel@aol.com</t>
  </si>
  <si>
    <t>ALQ0709CC027</t>
  </si>
  <si>
    <t>ALS230201512</t>
  </si>
  <si>
    <t>ALR161011030</t>
  </si>
  <si>
    <t>Sutton</t>
  </si>
  <si>
    <t>PO Box 1047</t>
  </si>
  <si>
    <t>Beeville</t>
  </si>
  <si>
    <t>78104-1047</t>
  </si>
  <si>
    <t>watersong1111@yahoo.com</t>
  </si>
  <si>
    <t>ALQ0708BB027</t>
  </si>
  <si>
    <t>ALR220708C54</t>
  </si>
  <si>
    <t>Robert and Rebecca</t>
  </si>
  <si>
    <t>250 S Panoscenic Dr</t>
  </si>
  <si>
    <t>37803-4165</t>
  </si>
  <si>
    <t>rhornyok@outlook.com</t>
  </si>
  <si>
    <t>rhornyak@outlook.com</t>
  </si>
  <si>
    <t>ALR151002054</t>
  </si>
  <si>
    <t>Peter L. Varol</t>
  </si>
  <si>
    <t>711 Roosevelt Way</t>
  </si>
  <si>
    <t>11590-6685</t>
  </si>
  <si>
    <t>peter@thevatols.com</t>
  </si>
  <si>
    <t>ALQ0709CC026</t>
  </si>
  <si>
    <t>ALA23100E21A</t>
  </si>
  <si>
    <t>S. A. Moore</t>
  </si>
  <si>
    <t>1005 20th St NE</t>
  </si>
  <si>
    <t>44714-2227</t>
  </si>
  <si>
    <t>ALQ0708BB023</t>
  </si>
  <si>
    <t>Swinney</t>
  </si>
  <si>
    <t>61216 Highway 1054</t>
  </si>
  <si>
    <t>Amite</t>
  </si>
  <si>
    <t>70422-6026</t>
  </si>
  <si>
    <t>charlotte.swinney@yahoo.com</t>
  </si>
  <si>
    <t>cswinney@i-55.com</t>
  </si>
  <si>
    <t>ALQ0709AC014</t>
  </si>
  <si>
    <t>Axt</t>
  </si>
  <si>
    <t>Robert and Carolyn Axt</t>
  </si>
  <si>
    <t>Robert and Carolyn</t>
  </si>
  <si>
    <t>105 River Lndg</t>
  </si>
  <si>
    <t>30350-1617</t>
  </si>
  <si>
    <t>robertaxt@earthlink.net</t>
  </si>
  <si>
    <t>ALQ0709BC005</t>
  </si>
  <si>
    <t>ALR230905C64</t>
  </si>
  <si>
    <t>caxt@earthlink.net</t>
  </si>
  <si>
    <t>Labean</t>
  </si>
  <si>
    <t>Nicholas Labean</t>
  </si>
  <si>
    <t>12691 Palmetto Pines Dr</t>
  </si>
  <si>
    <t>Cape Coral</t>
  </si>
  <si>
    <t>33909-3035</t>
  </si>
  <si>
    <t>g8ormen@embarqmail.com</t>
  </si>
  <si>
    <t>ALQ0709CC023</t>
  </si>
  <si>
    <t>ALA22070A14N</t>
  </si>
  <si>
    <t>Mrs. Beverly and Mr. Lynn Wightman</t>
  </si>
  <si>
    <t>Beverly and Lynn</t>
  </si>
  <si>
    <t>PO Box 303</t>
  </si>
  <si>
    <t>Penney Farms</t>
  </si>
  <si>
    <t>32079-0303</t>
  </si>
  <si>
    <t>XCG85</t>
  </si>
  <si>
    <t>ALR161107023</t>
  </si>
  <si>
    <t>Jeanette Schulz</t>
  </si>
  <si>
    <t>2745 N Pierce St</t>
  </si>
  <si>
    <t>53212-2531</t>
  </si>
  <si>
    <t>ALZ070002001</t>
  </si>
  <si>
    <t>ALL20070B52M</t>
  </si>
  <si>
    <t>Daniece</t>
  </si>
  <si>
    <t>Gibby</t>
  </si>
  <si>
    <t>Daniece Gibby</t>
  </si>
  <si>
    <t>1361 Kings Park Pl NW</t>
  </si>
  <si>
    <t>Kennesaw</t>
  </si>
  <si>
    <t>30152-4829</t>
  </si>
  <si>
    <t>patti1418@yahoo.com</t>
  </si>
  <si>
    <t>ALQ0709BC016</t>
  </si>
  <si>
    <t>ALA24010D12A</t>
  </si>
  <si>
    <t>ALR190702023</t>
  </si>
  <si>
    <t>Novominsky</t>
  </si>
  <si>
    <t>Mrs. Annette L. Novominsky</t>
  </si>
  <si>
    <t>6223 Queensloch Dr</t>
  </si>
  <si>
    <t>77096-3736</t>
  </si>
  <si>
    <t>mikejnovo@gmail.com</t>
  </si>
  <si>
    <t>anovominsky@icloud.com</t>
  </si>
  <si>
    <t>ALQ0709AC008</t>
  </si>
  <si>
    <t>Dolly</t>
  </si>
  <si>
    <t>Dolly E. Larkin</t>
  </si>
  <si>
    <t>8631 Leeper Cir</t>
  </si>
  <si>
    <t>99504-4209</t>
  </si>
  <si>
    <t>leeper@att.net</t>
  </si>
  <si>
    <t>ALQ0709AC015</t>
  </si>
  <si>
    <t>ALA2212D12EMC</t>
  </si>
  <si>
    <t>ALL1312L4EMC</t>
  </si>
  <si>
    <t>Joyce Blair</t>
  </si>
  <si>
    <t>1109 Windrift Ct</t>
  </si>
  <si>
    <t>Bardstown</t>
  </si>
  <si>
    <t>40004-2232</t>
  </si>
  <si>
    <t>jblair59@hotmail.com</t>
  </si>
  <si>
    <t>ALQ0709AC013</t>
  </si>
  <si>
    <t>ALA22010D22N</t>
  </si>
  <si>
    <t>ALA081202026</t>
  </si>
  <si>
    <t>Terrie</t>
  </si>
  <si>
    <t>Ms. Terrie Adams</t>
  </si>
  <si>
    <t>3139 Park Garden Dr</t>
  </si>
  <si>
    <t>Kingwood</t>
  </si>
  <si>
    <t>77339-1946</t>
  </si>
  <si>
    <t>rickabala@gmail.com</t>
  </si>
  <si>
    <t>terrietla22@gmail.com</t>
  </si>
  <si>
    <t>ALQ0709DC065</t>
  </si>
  <si>
    <t>Mr. Terry Reynolds</t>
  </si>
  <si>
    <t>4801 W Harrisburg Ct</t>
  </si>
  <si>
    <t>New Palestine</t>
  </si>
  <si>
    <t>46163-8547</t>
  </si>
  <si>
    <t>ALQ0710AD002</t>
  </si>
  <si>
    <t>ALR231205C44</t>
  </si>
  <si>
    <t>Ms. Marna L. Magri</t>
  </si>
  <si>
    <t>848 Belmont St</t>
  </si>
  <si>
    <t>02472-3222</t>
  </si>
  <si>
    <t>mlmagri@rcn.com</t>
  </si>
  <si>
    <t>bines11@aol.com</t>
  </si>
  <si>
    <t>D'Ooge</t>
  </si>
  <si>
    <t>288 Dudala Way</t>
  </si>
  <si>
    <t>37774-6848</t>
  </si>
  <si>
    <t>dooge@hotmail.com</t>
  </si>
  <si>
    <t>ALQ0710ED019</t>
  </si>
  <si>
    <t>ALA18030A25A</t>
  </si>
  <si>
    <t>Bromley</t>
  </si>
  <si>
    <t>Cathy and Dennis Bromley</t>
  </si>
  <si>
    <t>Cathy and Dennis</t>
  </si>
  <si>
    <t>4849 Sundi Dr</t>
  </si>
  <si>
    <t>99502-4140</t>
  </si>
  <si>
    <t>dennisbromley@yahoo.com</t>
  </si>
  <si>
    <t>cathybromley@yahoo.com</t>
  </si>
  <si>
    <t>Mulller</t>
  </si>
  <si>
    <t>Mrs. Rachel Mulller and Mr. Richard Muller</t>
  </si>
  <si>
    <t>Rachel and Richard</t>
  </si>
  <si>
    <t>7115 SW 19th Ter</t>
  </si>
  <si>
    <t>33155-1618</t>
  </si>
  <si>
    <t>rrmuller81@aol.com</t>
  </si>
  <si>
    <t>ALQ0705AL011</t>
  </si>
  <si>
    <t>ALA100102025</t>
  </si>
  <si>
    <t>Magruder</t>
  </si>
  <si>
    <t>Mr. and Mrs. Alan W. Magruder</t>
  </si>
  <si>
    <t>16545 Illinois St</t>
  </si>
  <si>
    <t>Indianola</t>
  </si>
  <si>
    <t>50125-8488</t>
  </si>
  <si>
    <t>amagruder@bellsouth.net</t>
  </si>
  <si>
    <t>alanm@hughes.net</t>
  </si>
  <si>
    <t>ALQ0710BD006</t>
  </si>
  <si>
    <t>Dana Gallo</t>
  </si>
  <si>
    <t>84 Kathryn Dr</t>
  </si>
  <si>
    <t>94523-2918</t>
  </si>
  <si>
    <t>danagallo@comcast.net</t>
  </si>
  <si>
    <t>ALQ0710CD005</t>
  </si>
  <si>
    <t>ALR210201C44</t>
  </si>
  <si>
    <t>Drummond</t>
  </si>
  <si>
    <t>Ms. Faith Drummond</t>
  </si>
  <si>
    <t>1305 Passey Ln</t>
  </si>
  <si>
    <t>17603-6311</t>
  </si>
  <si>
    <t>drummondfc@aol.com</t>
  </si>
  <si>
    <t>ALQ0710CD002</t>
  </si>
  <si>
    <t>Wydeveld</t>
  </si>
  <si>
    <t>Steve and Laura Wydeveld</t>
  </si>
  <si>
    <t>Steve and Laura</t>
  </si>
  <si>
    <t>584 Woodbridge Way</t>
  </si>
  <si>
    <t>32163-4350</t>
  </si>
  <si>
    <t>swydeveld@comcast.net</t>
  </si>
  <si>
    <t>ALA23010B44R</t>
  </si>
  <si>
    <t>Mr. Daniel Leonard</t>
  </si>
  <si>
    <t>11 Johnson Second St</t>
  </si>
  <si>
    <t>Colton</t>
  </si>
  <si>
    <t>99113-8714</t>
  </si>
  <si>
    <t>dleonard@tarbonet.com</t>
  </si>
  <si>
    <t>dleonard44@gmail.com</t>
  </si>
  <si>
    <t>ALQ0710AD004</t>
  </si>
  <si>
    <t>Ms. Karen L. Wells</t>
  </si>
  <si>
    <t>17604 SE 20th Way</t>
  </si>
  <si>
    <t>98683-1823</t>
  </si>
  <si>
    <t>havasufalls9@gmail.com</t>
  </si>
  <si>
    <t>klwells51@msn.com</t>
  </si>
  <si>
    <t>16 Fifth Cir</t>
  </si>
  <si>
    <t>30683-2726</t>
  </si>
  <si>
    <t>larathens@hotmail.com</t>
  </si>
  <si>
    <t>ALQ0710BD008</t>
  </si>
  <si>
    <t>Tillou</t>
  </si>
  <si>
    <t>Mary and Jeff</t>
  </si>
  <si>
    <t>121 Swigert Ave</t>
  </si>
  <si>
    <t>40505-1901</t>
  </si>
  <si>
    <t>mlukennps@gmail.com</t>
  </si>
  <si>
    <t>ALQ0307BA041</t>
  </si>
  <si>
    <t>549 Birgham Pl</t>
  </si>
  <si>
    <t>32746-6463</t>
  </si>
  <si>
    <t>jabottom117@aim.com</t>
  </si>
  <si>
    <t>jbottom@yahoo.com</t>
  </si>
  <si>
    <t>ALQ0711DE028</t>
  </si>
  <si>
    <t>ALR221201C54</t>
  </si>
  <si>
    <t>Macknight</t>
  </si>
  <si>
    <t>Judith Macknight</t>
  </si>
  <si>
    <t>136 Blake St</t>
  </si>
  <si>
    <t>Salida</t>
  </si>
  <si>
    <t>81201-3116</t>
  </si>
  <si>
    <t>judymack@live.com</t>
  </si>
  <si>
    <t>ktmack6@hotmail.com</t>
  </si>
  <si>
    <t>ALQ0711CE026</t>
  </si>
  <si>
    <t>Mooney</t>
  </si>
  <si>
    <t>Thomas Mooney</t>
  </si>
  <si>
    <t>5545 Flagstone Dr</t>
  </si>
  <si>
    <t>47711-2493</t>
  </si>
  <si>
    <t>thomasmooney@msn.com</t>
  </si>
  <si>
    <t>ALQ0711AE010</t>
  </si>
  <si>
    <t>ALL22030AF2S</t>
  </si>
  <si>
    <t>Murray</t>
  </si>
  <si>
    <t>Ms. Mildred Murray</t>
  </si>
  <si>
    <t>7445 Mink Hollow Rd</t>
  </si>
  <si>
    <t>Highland</t>
  </si>
  <si>
    <t>20777-9779</t>
  </si>
  <si>
    <t>mildred.murray@icloud.com</t>
  </si>
  <si>
    <t>mildred.murray@icloud.net</t>
  </si>
  <si>
    <t>ALQ0711BE011</t>
  </si>
  <si>
    <t>Brownfield</t>
  </si>
  <si>
    <t>Mrs. Dana Brownfield</t>
  </si>
  <si>
    <t>15351 Mcconn St</t>
  </si>
  <si>
    <t>77598-2027</t>
  </si>
  <si>
    <t>danakb@sbcglobal.net</t>
  </si>
  <si>
    <t>ALQ0708FB044</t>
  </si>
  <si>
    <t>Edward Henderson</t>
  </si>
  <si>
    <t>407 Smith St</t>
  </si>
  <si>
    <t>98109-2155</t>
  </si>
  <si>
    <t>davie1997@hotmail.com</t>
  </si>
  <si>
    <t>ALQ0711AE002</t>
  </si>
  <si>
    <t>Ms. Patty Hankins</t>
  </si>
  <si>
    <t>5521 Alta Vista Rd</t>
  </si>
  <si>
    <t>20814-1612</t>
  </si>
  <si>
    <t>patty@hankins.net</t>
  </si>
  <si>
    <t>ATA2012TGEM1</t>
  </si>
  <si>
    <t>Nierman</t>
  </si>
  <si>
    <t>Jim Nierman</t>
  </si>
  <si>
    <t>12203 Wildflower Ln</t>
  </si>
  <si>
    <t>60142-7745</t>
  </si>
  <si>
    <t>sleddog25@comcast.net</t>
  </si>
  <si>
    <t>ALQ1509BC007</t>
  </si>
  <si>
    <t>Mr. Stephen Brown</t>
  </si>
  <si>
    <t>2112 Carleton St</t>
  </si>
  <si>
    <t>94704-3214</t>
  </si>
  <si>
    <t>stefbraun435@gmail.com</t>
  </si>
  <si>
    <t>sblocal45@sbcglobal.net</t>
  </si>
  <si>
    <t>ALA2312D6ERC</t>
  </si>
  <si>
    <t>Byram</t>
  </si>
  <si>
    <t>Mr. Gary Byram</t>
  </si>
  <si>
    <t>6 Rapids Way</t>
  </si>
  <si>
    <t>22405-2790</t>
  </si>
  <si>
    <t>gwb512@aol.com</t>
  </si>
  <si>
    <t>gwb512@cox.net</t>
  </si>
  <si>
    <t>ALQ0705DL032</t>
  </si>
  <si>
    <t>ALR230102C44</t>
  </si>
  <si>
    <t>Tiemann</t>
  </si>
  <si>
    <t>Chris Tiemann</t>
  </si>
  <si>
    <t>1002 Haversham Ct</t>
  </si>
  <si>
    <t>Saint Charles</t>
  </si>
  <si>
    <t>63304-1600</t>
  </si>
  <si>
    <t>stephanietiemann@gmail.com</t>
  </si>
  <si>
    <t>ctiemann@hotmail.com</t>
  </si>
  <si>
    <t>ALQ0708BB022</t>
  </si>
  <si>
    <t>Heffington</t>
  </si>
  <si>
    <t>Barrett</t>
  </si>
  <si>
    <t>Tim and Julie Heffington</t>
  </si>
  <si>
    <t>Tim and Julie</t>
  </si>
  <si>
    <t>225 Pestana Ave</t>
  </si>
  <si>
    <t>Santa Cruz</t>
  </si>
  <si>
    <t>95065-1609</t>
  </si>
  <si>
    <t>jbheff@comcast.net</t>
  </si>
  <si>
    <t>ALQ0710ED027</t>
  </si>
  <si>
    <t>ALA1812D7EMB</t>
  </si>
  <si>
    <t>jbheff@ucsc.edu</t>
  </si>
  <si>
    <t>santacruzheff@gmail.com</t>
  </si>
  <si>
    <t>James F. Brown</t>
  </si>
  <si>
    <t>74 S 1220 E</t>
  </si>
  <si>
    <t>Logan</t>
  </si>
  <si>
    <t>84321-4991</t>
  </si>
  <si>
    <t>jamesfrankbrown@yahoo.com</t>
  </si>
  <si>
    <t>ALQ0711CE027</t>
  </si>
  <si>
    <t>ALR170302023</t>
  </si>
  <si>
    <t>Norton</t>
  </si>
  <si>
    <t>Ms. Linda J. Norton</t>
  </si>
  <si>
    <t>943 Nottingham Dr</t>
  </si>
  <si>
    <t>92373-6662</t>
  </si>
  <si>
    <t>lindaapmadoc.lindaapmadoc@verizon.net</t>
  </si>
  <si>
    <t>ALR230406C33</t>
  </si>
  <si>
    <t>ALA15010M24A</t>
  </si>
  <si>
    <t>David C. Ewald</t>
  </si>
  <si>
    <t>4733 Vine Hill Rd</t>
  </si>
  <si>
    <t>95472-2236</t>
  </si>
  <si>
    <t>dcewald@gmail.com</t>
  </si>
  <si>
    <t>ALQ0509AC003</t>
  </si>
  <si>
    <t>ALR180203013</t>
  </si>
  <si>
    <t>ALA11040B13R</t>
  </si>
  <si>
    <t>John P. Bisbing</t>
  </si>
  <si>
    <t>61 Hospital Hill Road</t>
  </si>
  <si>
    <t>06069-2010</t>
  </si>
  <si>
    <t>jpbisbing@hotmail.com</t>
  </si>
  <si>
    <t>ALQ0711EE065</t>
  </si>
  <si>
    <t>ALA21080A14A</t>
  </si>
  <si>
    <t>Lucette</t>
  </si>
  <si>
    <t>Wombacher</t>
  </si>
  <si>
    <t>Mrs. Lucette M. Wombacher</t>
  </si>
  <si>
    <t>3431 92nd Ave E</t>
  </si>
  <si>
    <t>Parrish</t>
  </si>
  <si>
    <t>34219-9360</t>
  </si>
  <si>
    <t>lucettew@msn.com</t>
  </si>
  <si>
    <t>ALQ0709AC002</t>
  </si>
  <si>
    <t>ALR240104C64</t>
  </si>
  <si>
    <t>ALR180101054</t>
  </si>
  <si>
    <t>Emery</t>
  </si>
  <si>
    <t>Mr. Donald E. Kline</t>
  </si>
  <si>
    <t>1530 E Yucca St</t>
  </si>
  <si>
    <t>85020-1427</t>
  </si>
  <si>
    <t>kdonald940@cox.net</t>
  </si>
  <si>
    <t>ALQ0712AF004</t>
  </si>
  <si>
    <t>Mrs. Andrea Borowiec</t>
  </si>
  <si>
    <t>1062 W Market St</t>
  </si>
  <si>
    <t>44313-7128</t>
  </si>
  <si>
    <t>alborowiec@aol.com</t>
  </si>
  <si>
    <t>ALQ0712BF005</t>
  </si>
  <si>
    <t>ALR100001002</t>
  </si>
  <si>
    <t>Mary Ann Binkowski</t>
  </si>
  <si>
    <t>400 Ontario Ave</t>
  </si>
  <si>
    <t>13209-1139</t>
  </si>
  <si>
    <t>ALQ0712CF014</t>
  </si>
  <si>
    <t>Shwonek</t>
  </si>
  <si>
    <t>Judith A. Shwonek</t>
  </si>
  <si>
    <t>206 E Session St</t>
  </si>
  <si>
    <t>Waupaca</t>
  </si>
  <si>
    <t>54981-1230</t>
  </si>
  <si>
    <t>shwonekj@yahoo.com</t>
  </si>
  <si>
    <t>jshwonek@yahoo.com</t>
  </si>
  <si>
    <t>Hadder</t>
  </si>
  <si>
    <t>Jerry and Marie</t>
  </si>
  <si>
    <t>3801 Village View Dr Apt 1226</t>
  </si>
  <si>
    <t>30506-4343</t>
  </si>
  <si>
    <t>grhadder@msn.com</t>
  </si>
  <si>
    <t>Melnick</t>
  </si>
  <si>
    <t>Marsha Melnick</t>
  </si>
  <si>
    <t>4453 E Sequim Bay Rd</t>
  </si>
  <si>
    <t>98382-9679</t>
  </si>
  <si>
    <t>marsha@neuroclin2.com</t>
  </si>
  <si>
    <t>marsha.melnick@gmail.com</t>
  </si>
  <si>
    <t>ALQ0712CF013</t>
  </si>
  <si>
    <t>ALR180101044</t>
  </si>
  <si>
    <t>Field</t>
  </si>
  <si>
    <t>Samo</t>
  </si>
  <si>
    <t>Mr. Duncan F. Samo</t>
  </si>
  <si>
    <t>7422 Vatter Dr</t>
  </si>
  <si>
    <t>Corpus Christi</t>
  </si>
  <si>
    <t>78413-5207</t>
  </si>
  <si>
    <t>dsamo@delmar.edu</t>
  </si>
  <si>
    <t>dsamo1818@att.net</t>
  </si>
  <si>
    <t>ALQ0712CF017</t>
  </si>
  <si>
    <t>Cannarella</t>
  </si>
  <si>
    <t>Mr. David Cannarella</t>
  </si>
  <si>
    <t>8820 82nd Ln SE</t>
  </si>
  <si>
    <t>98513-5626</t>
  </si>
  <si>
    <t>pcsdpc@yahoo.com</t>
  </si>
  <si>
    <t>ALQ0712AF018</t>
  </si>
  <si>
    <t>ALR190702044</t>
  </si>
  <si>
    <t>Mr. Jim West</t>
  </si>
  <si>
    <t>1164 W 124th Ct</t>
  </si>
  <si>
    <t>80234-1760</t>
  </si>
  <si>
    <t>jbwest@ieee.org</t>
  </si>
  <si>
    <t>jbwest@iaoe.org</t>
  </si>
  <si>
    <t>ALQ0801AG042</t>
  </si>
  <si>
    <t>ALR230104C33</t>
  </si>
  <si>
    <t>ALA13040A13R</t>
  </si>
  <si>
    <t>Agee</t>
  </si>
  <si>
    <t>Miss Robyn Agee</t>
  </si>
  <si>
    <t>840 N Mill Rd</t>
  </si>
  <si>
    <t>Heber City</t>
  </si>
  <si>
    <t>84032-1136</t>
  </si>
  <si>
    <t>robyn840@gmail.com</t>
  </si>
  <si>
    <t>ALQ0801BG043</t>
  </si>
  <si>
    <t>Ms. Loraine J. Zagula</t>
  </si>
  <si>
    <t>1613 E Adelaide Dr</t>
  </si>
  <si>
    <t>85719-2721</t>
  </si>
  <si>
    <t>loraineza@gmail.com</t>
  </si>
  <si>
    <t>ALQ0801BG026</t>
  </si>
  <si>
    <t>ALA1512N1WSC</t>
  </si>
  <si>
    <t>Macey</t>
  </si>
  <si>
    <t>Mr. Thomas Macey</t>
  </si>
  <si>
    <t>10906 Miller Rd</t>
  </si>
  <si>
    <t>Oakton</t>
  </si>
  <si>
    <t>22124-1816</t>
  </si>
  <si>
    <t>ALQ0801HG065</t>
  </si>
  <si>
    <t>ALL22090C73M</t>
  </si>
  <si>
    <t>Phelps</t>
  </si>
  <si>
    <t>Alice Phelps and Terri Stephens</t>
  </si>
  <si>
    <t>Alice and Terri</t>
  </si>
  <si>
    <t>7741 Crady Ct</t>
  </si>
  <si>
    <t>Stantonsburg</t>
  </si>
  <si>
    <t>27883-9232</t>
  </si>
  <si>
    <t>ALR230105C54</t>
  </si>
  <si>
    <t>ALA14020C25C</t>
  </si>
  <si>
    <t>tstephens3@ec.rr.com</t>
  </si>
  <si>
    <t>Leroy</t>
  </si>
  <si>
    <t>Leroy Anderson</t>
  </si>
  <si>
    <t>1769 Boulder Pt</t>
  </si>
  <si>
    <t>Shakopee</t>
  </si>
  <si>
    <t>55379-3601</t>
  </si>
  <si>
    <t>ALQ0801AG040</t>
  </si>
  <si>
    <t>ALR231105C33</t>
  </si>
  <si>
    <t>Carver</t>
  </si>
  <si>
    <t>William and Ethel Carver</t>
  </si>
  <si>
    <t>William and Ethel</t>
  </si>
  <si>
    <t>21817 Knudsen Dr</t>
  </si>
  <si>
    <t>Grosse Ile</t>
  </si>
  <si>
    <t>48138-1320</t>
  </si>
  <si>
    <t>bill2007@hotmail.com</t>
  </si>
  <si>
    <t>ALQ0801BG012</t>
  </si>
  <si>
    <t>Mrs. Ingrid and Mr. Sam Chase</t>
  </si>
  <si>
    <t>Ingrid and Sam</t>
  </si>
  <si>
    <t>19 Bonita St</t>
  </si>
  <si>
    <t>Sausalito</t>
  </si>
  <si>
    <t>94965-2113</t>
  </si>
  <si>
    <t>schase@eccmassociates.com</t>
  </si>
  <si>
    <t>ALQ0801AG015</t>
  </si>
  <si>
    <t>Sharman</t>
  </si>
  <si>
    <t>Ballantine</t>
  </si>
  <si>
    <t>Sharman Ballantine</t>
  </si>
  <si>
    <t>139 Federal St</t>
  </si>
  <si>
    <t>Wiscasset</t>
  </si>
  <si>
    <t>04578-4006</t>
  </si>
  <si>
    <t>sharmanb@yahoo.com</t>
  </si>
  <si>
    <t>pakngo@comcast.net</t>
  </si>
  <si>
    <t>ALQ0801AG026</t>
  </si>
  <si>
    <t>ALA12100G13A</t>
  </si>
  <si>
    <t>Ms. Jill Jacobs</t>
  </si>
  <si>
    <t>71 Strawberry Hill Ave Apt 916</t>
  </si>
  <si>
    <t>06902-2712</t>
  </si>
  <si>
    <t>jjjacobs@optonline.net</t>
  </si>
  <si>
    <t>ALQ0801AG043</t>
  </si>
  <si>
    <t>2701 Herradura Rd Unit C</t>
  </si>
  <si>
    <t>87505-6820</t>
  </si>
  <si>
    <t>ddcsfnm@gmail.com</t>
  </si>
  <si>
    <t>ddcsfam@gmail.com</t>
  </si>
  <si>
    <t>ALQ0801AG021</t>
  </si>
  <si>
    <t>W. Briggs</t>
  </si>
  <si>
    <t>290 Plum Run Rd</t>
  </si>
  <si>
    <t>15021-2606</t>
  </si>
  <si>
    <t>wbbb@verizon.net</t>
  </si>
  <si>
    <t>wb33@verizon.net</t>
  </si>
  <si>
    <t>ALQ0801EG019</t>
  </si>
  <si>
    <t>Mihalovich</t>
  </si>
  <si>
    <t>Mr. Joe Mihalovich</t>
  </si>
  <si>
    <t>4213 Ravenhurst Cir</t>
  </si>
  <si>
    <t>Glen Arm</t>
  </si>
  <si>
    <t>21057-9774</t>
  </si>
  <si>
    <t>uncle_mal@comcast.net</t>
  </si>
  <si>
    <t>ALQ0707AA004</t>
  </si>
  <si>
    <t>Mr. Joseph James</t>
  </si>
  <si>
    <t>340 Seabreeze Dr</t>
  </si>
  <si>
    <t>Indialantic</t>
  </si>
  <si>
    <t>32903-3013</t>
  </si>
  <si>
    <t>jjames04@harris.com</t>
  </si>
  <si>
    <t>jjamesb31@gmail.com</t>
  </si>
  <si>
    <t>ALR090302101</t>
  </si>
  <si>
    <t>Ballentine-Mcdonald</t>
  </si>
  <si>
    <t>Mrs. Jeanne Ballentine-Mcdonald</t>
  </si>
  <si>
    <t>1422 Seven Mile Dr</t>
  </si>
  <si>
    <t>New Phila</t>
  </si>
  <si>
    <t>44663-1423</t>
  </si>
  <si>
    <t>ALQ0801FG039</t>
  </si>
  <si>
    <t>ALL23120B5BM</t>
  </si>
  <si>
    <t>ALG220001001</t>
  </si>
  <si>
    <t>Ganz</t>
  </si>
  <si>
    <t>Mr. Eric L. Ganz</t>
  </si>
  <si>
    <t>24 Grand Canyon Ct</t>
  </si>
  <si>
    <t>95835-1257</t>
  </si>
  <si>
    <t>home_billing@yahoo.com</t>
  </si>
  <si>
    <t>ALQ0801EG009</t>
  </si>
  <si>
    <t>ALR220204C44</t>
  </si>
  <si>
    <t>Joanie</t>
  </si>
  <si>
    <t>Nyland</t>
  </si>
  <si>
    <t>Joanie and Michael Nyland</t>
  </si>
  <si>
    <t>Joanie and Michael</t>
  </si>
  <si>
    <t>9135 SW 90th St</t>
  </si>
  <si>
    <t>32608-7245</t>
  </si>
  <si>
    <t>nyland318@gmail.com</t>
  </si>
  <si>
    <t>ALQ0802AH010</t>
  </si>
  <si>
    <t>Bigus</t>
  </si>
  <si>
    <t>Linda Bigus</t>
  </si>
  <si>
    <t>8330 W Morningside Dr</t>
  </si>
  <si>
    <t>85382-8038</t>
  </si>
  <si>
    <t>sea2pines@gmail.com</t>
  </si>
  <si>
    <t>lbigus@hotmail.com</t>
  </si>
  <si>
    <t>ALQ0801BG004</t>
  </si>
  <si>
    <t>ALQ1707DA329</t>
  </si>
  <si>
    <t>Mr. Robert M. Shapiro</t>
  </si>
  <si>
    <t>160 Riverside Dr Apt 6A</t>
  </si>
  <si>
    <t>10024-2111</t>
  </si>
  <si>
    <t>rshapiro@capevisions.com</t>
  </si>
  <si>
    <t>340 Media Station Road</t>
  </si>
  <si>
    <t>19063-4781</t>
  </si>
  <si>
    <t>6209 1st Ave</t>
  </si>
  <si>
    <t>34653-5101</t>
  </si>
  <si>
    <t>benjpayne@aol.com</t>
  </si>
  <si>
    <t>ALQ0802AH014</t>
  </si>
  <si>
    <t>ALR220302C64</t>
  </si>
  <si>
    <t>ALR160302064</t>
  </si>
  <si>
    <t>Farris</t>
  </si>
  <si>
    <t>Ms. Debbie Farris</t>
  </si>
  <si>
    <t>5 Tally Ho Cir</t>
  </si>
  <si>
    <t>19711-2008</t>
  </si>
  <si>
    <t>dystefarris@gmail.com</t>
  </si>
  <si>
    <t>rich.coffman@gmail.com</t>
  </si>
  <si>
    <t>ALR211002C23</t>
  </si>
  <si>
    <t>Haughton-Livesey</t>
  </si>
  <si>
    <t>Mrs. Mae and Mr. Richard Haughton-Livesey</t>
  </si>
  <si>
    <t>Richard and Mae</t>
  </si>
  <si>
    <t>1281 Furniss Rd</t>
  </si>
  <si>
    <t>Peach Bottom</t>
  </si>
  <si>
    <t>17563-9690</t>
  </si>
  <si>
    <t>Marianne Thompson</t>
  </si>
  <si>
    <t>13800 W Park Central Blvd Apt 507</t>
  </si>
  <si>
    <t>53151-9549</t>
  </si>
  <si>
    <t>ALQ0802CH011</t>
  </si>
  <si>
    <t>ALR210207C33</t>
  </si>
  <si>
    <t>Stephen Fitzgerald</t>
  </si>
  <si>
    <t>402 Prater Cove Rd</t>
  </si>
  <si>
    <t>28734-8063</t>
  </si>
  <si>
    <t>lynste@frontier.com</t>
  </si>
  <si>
    <t>ALQ0802GH024</t>
  </si>
  <si>
    <t>ALR2103D0INT</t>
  </si>
  <si>
    <t>Northrup</t>
  </si>
  <si>
    <t>Mr. William Northrup</t>
  </si>
  <si>
    <t>1050 Putney Dr</t>
  </si>
  <si>
    <t>43085-2903</t>
  </si>
  <si>
    <t>wkn31971@gmail.com</t>
  </si>
  <si>
    <t>wnorthru@columbus.rr.com</t>
  </si>
  <si>
    <t>ALQ0802DH022</t>
  </si>
  <si>
    <t>ALA100201015</t>
  </si>
  <si>
    <t>Terry Davis</t>
  </si>
  <si>
    <t>1380 Jefferson St SE</t>
  </si>
  <si>
    <t>Hutchinson</t>
  </si>
  <si>
    <t>55350-3206</t>
  </si>
  <si>
    <t>ALQ0803AJ001</t>
  </si>
  <si>
    <t>ALR191101C33</t>
  </si>
  <si>
    <t>Jen Wolfe</t>
  </si>
  <si>
    <t>1609 Election Way</t>
  </si>
  <si>
    <t>81401-7667</t>
  </si>
  <si>
    <t>loupgarou82@gmail.com</t>
  </si>
  <si>
    <t>ALQ0803BJ005</t>
  </si>
  <si>
    <t>ALL17070B32R</t>
  </si>
  <si>
    <t>ALR100403202</t>
  </si>
  <si>
    <t>Baxter</t>
  </si>
  <si>
    <t>Joan L. Baxter</t>
  </si>
  <si>
    <t>7273 S 1440 E</t>
  </si>
  <si>
    <t>84121-4709</t>
  </si>
  <si>
    <t>ATR141201001</t>
  </si>
  <si>
    <t>Mr. Paul M. Van Kolken</t>
  </si>
  <si>
    <t>PO Box 1782</t>
  </si>
  <si>
    <t>49422-1782</t>
  </si>
  <si>
    <t>pvankolken@hotmail.com</t>
  </si>
  <si>
    <t>ALQ080001002</t>
  </si>
  <si>
    <t>Roy and Sandra</t>
  </si>
  <si>
    <t>20019 Gulf Blvd Apt 2</t>
  </si>
  <si>
    <t>Indian Shores</t>
  </si>
  <si>
    <t>33785-2431</t>
  </si>
  <si>
    <t>legalsandy@aol.com</t>
  </si>
  <si>
    <t>opticroy@aol.com</t>
  </si>
  <si>
    <t>ALQ080001001</t>
  </si>
  <si>
    <t>ALC170001001</t>
  </si>
  <si>
    <t>ATR121001003</t>
  </si>
  <si>
    <t>Ms. Nancy Walker</t>
  </si>
  <si>
    <t>7313 Calibre Park Dr Apt 206</t>
  </si>
  <si>
    <t>27707-5679</t>
  </si>
  <si>
    <t>neileenwalker@gmail.com</t>
  </si>
  <si>
    <t>ALQ0803BJ017</t>
  </si>
  <si>
    <t>Lockhart</t>
  </si>
  <si>
    <t>Jonathan Lockhart</t>
  </si>
  <si>
    <t>157 Via Gayuba</t>
  </si>
  <si>
    <t>Monterey</t>
  </si>
  <si>
    <t>93940-4320</t>
  </si>
  <si>
    <t>ALQ0803EJ061</t>
  </si>
  <si>
    <t>ALL22120B7BM</t>
  </si>
  <si>
    <t>Willeke</t>
  </si>
  <si>
    <t>Gail B. Willeke</t>
  </si>
  <si>
    <t>PO Box 600198</t>
  </si>
  <si>
    <t>Paragonah</t>
  </si>
  <si>
    <t>84760-0198</t>
  </si>
  <si>
    <t>gdwills55@gmail.com</t>
  </si>
  <si>
    <t>ALS240301302</t>
  </si>
  <si>
    <t>ALS150801302</t>
  </si>
  <si>
    <t>Sturtz</t>
  </si>
  <si>
    <t>Laura and Jeff</t>
  </si>
  <si>
    <t>PO Box 537</t>
  </si>
  <si>
    <t>Seward</t>
  </si>
  <si>
    <t>99664-0537</t>
  </si>
  <si>
    <t>laurasturtz@yahoo.com</t>
  </si>
  <si>
    <t>jeffreyadillon@gmail.com</t>
  </si>
  <si>
    <t>ALQ090001002</t>
  </si>
  <si>
    <t>jefferyadillon@gmail.com</t>
  </si>
  <si>
    <t>Mr. Deane Morrison</t>
  </si>
  <si>
    <t>1 Flaghole Rd</t>
  </si>
  <si>
    <t>03301-1827</t>
  </si>
  <si>
    <t>dmorriso@crhc.org</t>
  </si>
  <si>
    <t>deane.morrison@comcast.net</t>
  </si>
  <si>
    <t>ALQ0803BJ012</t>
  </si>
  <si>
    <t>ALR230806C54</t>
  </si>
  <si>
    <t>Brosky</t>
  </si>
  <si>
    <t>Mr. Ronald Brosky</t>
  </si>
  <si>
    <t>1501 Simona Dr</t>
  </si>
  <si>
    <t>15201-2005</t>
  </si>
  <si>
    <t>robert_brosius@yahoo.com</t>
  </si>
  <si>
    <t>rb109@verizon.net</t>
  </si>
  <si>
    <t>ALQ0804BK022</t>
  </si>
  <si>
    <t>Mrs. Lora L. and Mr. Lora L. Bryan</t>
  </si>
  <si>
    <t>Lora and Lora</t>
  </si>
  <si>
    <t>34 Sweetwater Creek Cir</t>
  </si>
  <si>
    <t>32765-6465</t>
  </si>
  <si>
    <t>pub@vorfinia.com</t>
  </si>
  <si>
    <t>park@vorfinia.com</t>
  </si>
  <si>
    <t>ALQ0804AK013</t>
  </si>
  <si>
    <t>Bonnie Christensen</t>
  </si>
  <si>
    <t>525 S 60th St Ste 2140</t>
  </si>
  <si>
    <t>50266-5608</t>
  </si>
  <si>
    <t>jokevchristensen@gmail.com</t>
  </si>
  <si>
    <t>ALA2012D1DMC</t>
  </si>
  <si>
    <t>Mr. Kurt Kaiser</t>
  </si>
  <si>
    <t>600 High Circle Rd</t>
  </si>
  <si>
    <t>83864-6306</t>
  </si>
  <si>
    <t>jan@love2trvl.com</t>
  </si>
  <si>
    <t>kurt@love2trvl.com</t>
  </si>
  <si>
    <t>ALQ0804EK011</t>
  </si>
  <si>
    <t>Christopher Knoop</t>
  </si>
  <si>
    <t>3126 Ononta Ave Apt 9</t>
  </si>
  <si>
    <t>45226-2024</t>
  </si>
  <si>
    <t>cbknoop@gmail.com</t>
  </si>
  <si>
    <t>cbknoop@icloud.com</t>
  </si>
  <si>
    <t>ALQ0804EK013</t>
  </si>
  <si>
    <t>ALR210605C33</t>
  </si>
  <si>
    <t>Jay and Mary Smith</t>
  </si>
  <si>
    <t>Jay and Mary</t>
  </si>
  <si>
    <t>2 Pinebrook Dr</t>
  </si>
  <si>
    <t>Pinehurst</t>
  </si>
  <si>
    <t>28374-6821</t>
  </si>
  <si>
    <t>mathteacher68@hotmail.com</t>
  </si>
  <si>
    <t>ALQ0804BK009</t>
  </si>
  <si>
    <t>ALL19020B43M</t>
  </si>
  <si>
    <t>Stich</t>
  </si>
  <si>
    <t>Patricia Stich</t>
  </si>
  <si>
    <t>3232 N Halsted St Apt D303</t>
  </si>
  <si>
    <t>60657-3589</t>
  </si>
  <si>
    <t>pstich89536@gmail.com</t>
  </si>
  <si>
    <t>pstich@charter.net</t>
  </si>
  <si>
    <t>ALQ0804AK006</t>
  </si>
  <si>
    <t>Kamradt</t>
  </si>
  <si>
    <t>617 Calibre Lake Pkwy SE</t>
  </si>
  <si>
    <t>30082-7236</t>
  </si>
  <si>
    <t>kkamradt17@gmail.com</t>
  </si>
  <si>
    <t>limakilo2001@yahoo.com</t>
  </si>
  <si>
    <t>ALQ0804DK025</t>
  </si>
  <si>
    <t>Koop</t>
  </si>
  <si>
    <t>Peter and Joyce Koop</t>
  </si>
  <si>
    <t>Peter and Joyce</t>
  </si>
  <si>
    <t>24 Ferry Rd</t>
  </si>
  <si>
    <t>Methuen</t>
  </si>
  <si>
    <t>01844-5857</t>
  </si>
  <si>
    <t>pjkoop@comcast.net</t>
  </si>
  <si>
    <t>Samson</t>
  </si>
  <si>
    <t>Elizabeth L. Samson</t>
  </si>
  <si>
    <t>85 S San Rafael Ave</t>
  </si>
  <si>
    <t>91105-1520</t>
  </si>
  <si>
    <t>junkabethls@pacbell.net</t>
  </si>
  <si>
    <t>ALR200306C54</t>
  </si>
  <si>
    <t>Richard C. Pratt</t>
  </si>
  <si>
    <t>415 Cedar Springs Rd</t>
  </si>
  <si>
    <t>19348-2200</t>
  </si>
  <si>
    <t>pizzinoaimara@gmail.com</t>
  </si>
  <si>
    <t>ALQ0803BJ020</t>
  </si>
  <si>
    <t>Herndon</t>
  </si>
  <si>
    <t>Mrs. Lesa and Mr. Morgan Herndon</t>
  </si>
  <si>
    <t>Lesa and Morgan</t>
  </si>
  <si>
    <t>11100 Berwick Pl</t>
  </si>
  <si>
    <t>40243-1202</t>
  </si>
  <si>
    <t>mherndon749@gmail.com</t>
  </si>
  <si>
    <t>2xmorgan@bellsouth.net</t>
  </si>
  <si>
    <t>ALQ070008001</t>
  </si>
  <si>
    <t>ALL16070F7BM</t>
  </si>
  <si>
    <t>lesa852@gmail.com</t>
  </si>
  <si>
    <t>Monitto</t>
  </si>
  <si>
    <t>Ms. Margaret Monitto</t>
  </si>
  <si>
    <t>21 W 13th St</t>
  </si>
  <si>
    <t>Huntington Station</t>
  </si>
  <si>
    <t>11746-2318</t>
  </si>
  <si>
    <t>ALQ0805CL012</t>
  </si>
  <si>
    <t>Reeves</t>
  </si>
  <si>
    <t>Mrs. Jeanette Reeves</t>
  </si>
  <si>
    <t>773 S Ridge Dr</t>
  </si>
  <si>
    <t>85602-6828</t>
  </si>
  <si>
    <t>taznjazz@msn.com</t>
  </si>
  <si>
    <t>ALQ0805AL015</t>
  </si>
  <si>
    <t>ALA22030A11R</t>
  </si>
  <si>
    <t>ALR200202C23</t>
  </si>
  <si>
    <t>Esswein</t>
  </si>
  <si>
    <t>Plante</t>
  </si>
  <si>
    <t>Ms. Kathleen Plante and Mr. Paul Esswein</t>
  </si>
  <si>
    <t>Kathleen and Paul</t>
  </si>
  <si>
    <t>1148 W Fifth St</t>
  </si>
  <si>
    <t>89703-4802</t>
  </si>
  <si>
    <t>pge2@sbcglobal.net</t>
  </si>
  <si>
    <t>pesswein@hotmail.com</t>
  </si>
  <si>
    <t>ALQ0805CL017</t>
  </si>
  <si>
    <t>ALR220803C44</t>
  </si>
  <si>
    <t>ALR110601004</t>
  </si>
  <si>
    <t>Mary Jo Brennan</t>
  </si>
  <si>
    <t>25682 Seaside Dr</t>
  </si>
  <si>
    <t>92629-2178</t>
  </si>
  <si>
    <t>ALA23080D45A</t>
  </si>
  <si>
    <t>Ms. Joan Parsons</t>
  </si>
  <si>
    <t>694 Isaac Prugh Way #602</t>
  </si>
  <si>
    <t>45429-3481</t>
  </si>
  <si>
    <t>ALR170705054</t>
  </si>
  <si>
    <t>Joellen</t>
  </si>
  <si>
    <t>Joellen M. Pollack</t>
  </si>
  <si>
    <t>3119 Woodhams Ave</t>
  </si>
  <si>
    <t>Portage</t>
  </si>
  <si>
    <t>49002-7636</t>
  </si>
  <si>
    <t>pollackcj@comcast.net</t>
  </si>
  <si>
    <t>ALQ0805AL014</t>
  </si>
  <si>
    <t>ALL20070A53M</t>
  </si>
  <si>
    <t>ALR160112030</t>
  </si>
  <si>
    <t>Sandra Mcminds</t>
  </si>
  <si>
    <t>14616 Mitchell St SE</t>
  </si>
  <si>
    <t>97352-9773</t>
  </si>
  <si>
    <t>smcminds@hotmail.com</t>
  </si>
  <si>
    <t>ALQ0804FK025</t>
  </si>
  <si>
    <t>ALR090701001</t>
  </si>
  <si>
    <t>Jerrold</t>
  </si>
  <si>
    <t>Rehmar</t>
  </si>
  <si>
    <t>9898 Colonnade Blvd Apt 8207</t>
  </si>
  <si>
    <t>78230-2273</t>
  </si>
  <si>
    <t>jerryinsa@twc.com</t>
  </si>
  <si>
    <t>jerryinsa@grandecom.net</t>
  </si>
  <si>
    <t>Mei</t>
  </si>
  <si>
    <t>Mr. Ronald Mei</t>
  </si>
  <si>
    <t>210 Crestmoor Cir</t>
  </si>
  <si>
    <t>Pacifica</t>
  </si>
  <si>
    <t>94044-1516</t>
  </si>
  <si>
    <t>rmei@hotmail.com</t>
  </si>
  <si>
    <t>ALQ0807AA002</t>
  </si>
  <si>
    <t>Ranaldi</t>
  </si>
  <si>
    <t>Debbie Ranaldi</t>
  </si>
  <si>
    <t>785 East St</t>
  </si>
  <si>
    <t>Walpole</t>
  </si>
  <si>
    <t>02081-3603</t>
  </si>
  <si>
    <t>dckaye21@yahoo.com</t>
  </si>
  <si>
    <t>ALQ0805BL016</t>
  </si>
  <si>
    <t>ALR240501T23</t>
  </si>
  <si>
    <t>Ms. Audrey White</t>
  </si>
  <si>
    <t>25247 Lakeland Dr</t>
  </si>
  <si>
    <t>Loxley</t>
  </si>
  <si>
    <t>36551-7438</t>
  </si>
  <si>
    <t>feewhite@outlook.com</t>
  </si>
  <si>
    <t>fuwhite@outlook.com</t>
  </si>
  <si>
    <t>ALQ0807AA008</t>
  </si>
  <si>
    <t>ALR191203EMC</t>
  </si>
  <si>
    <t>1231 Alexander Way</t>
  </si>
  <si>
    <t>33756-1727</t>
  </si>
  <si>
    <t>moodybluesman@hotmail.com</t>
  </si>
  <si>
    <t>moodybluesma@hotmail.com</t>
  </si>
  <si>
    <t>ALQ0807AA036</t>
  </si>
  <si>
    <t>ALA17030C14A</t>
  </si>
  <si>
    <t>Ms. Patricia Worstell</t>
  </si>
  <si>
    <t>7217 S Nyssa Ave</t>
  </si>
  <si>
    <t>Broken Arrow</t>
  </si>
  <si>
    <t>74011-5621</t>
  </si>
  <si>
    <t>ALQ0807AA015</t>
  </si>
  <si>
    <t>ALA20070B32A</t>
  </si>
  <si>
    <t>McKim</t>
  </si>
  <si>
    <t>Wilfong</t>
  </si>
  <si>
    <t>William and Cheryl</t>
  </si>
  <si>
    <t>314 Partridge Rd</t>
  </si>
  <si>
    <t>East Dummerston</t>
  </si>
  <si>
    <t>05346-9681</t>
  </si>
  <si>
    <t>cheryl.wilfong@gmail.com</t>
  </si>
  <si>
    <t>ALA24020A56H</t>
  </si>
  <si>
    <t>ALQXXXXT0WSC</t>
  </si>
  <si>
    <t>ALAXXXXD0WST</t>
  </si>
  <si>
    <t>Reiko</t>
  </si>
  <si>
    <t>Sato</t>
  </si>
  <si>
    <t>Ms. Reiko S. Sato</t>
  </si>
  <si>
    <t>433 Kennedy Rd</t>
  </si>
  <si>
    <t>19426-1780</t>
  </si>
  <si>
    <t>sator2@verizon.net</t>
  </si>
  <si>
    <t>satorz@verizon.net</t>
  </si>
  <si>
    <t>Margaret S. Bock</t>
  </si>
  <si>
    <t>405 Tallgrass Dr</t>
  </si>
  <si>
    <t>66049-2107</t>
  </si>
  <si>
    <t>rujhawk@aol.com</t>
  </si>
  <si>
    <t>ALQ0805BL022</t>
  </si>
  <si>
    <t>Hartley</t>
  </si>
  <si>
    <t>Mrs. J. Hartley</t>
  </si>
  <si>
    <t>Mrs. Hartley</t>
  </si>
  <si>
    <t>10255 Crofters Ct SE</t>
  </si>
  <si>
    <t>28451-8559</t>
  </si>
  <si>
    <t>ncstp555@aol.com</t>
  </si>
  <si>
    <t>ALQ0807AD024</t>
  </si>
  <si>
    <t>ALR151104033</t>
  </si>
  <si>
    <t>Camille</t>
  </si>
  <si>
    <t>Stakes</t>
  </si>
  <si>
    <t>Mrs. Camille S. Stakes</t>
  </si>
  <si>
    <t>3828 Placid Ln</t>
  </si>
  <si>
    <t>70605-6773</t>
  </si>
  <si>
    <t>castakes@aol.com</t>
  </si>
  <si>
    <t>castakes@net.com</t>
  </si>
  <si>
    <t>ALQ0801FG019</t>
  </si>
  <si>
    <t>ALL22120B6BM</t>
  </si>
  <si>
    <t>Mrs. Beverly Prescott</t>
  </si>
  <si>
    <t>907 Faxon St</t>
  </si>
  <si>
    <t>Superior</t>
  </si>
  <si>
    <t>54880-5128</t>
  </si>
  <si>
    <t>baprescott@icloud.com</t>
  </si>
  <si>
    <t>ALQ0807AD037</t>
  </si>
  <si>
    <t>Boehme</t>
  </si>
  <si>
    <t>Gail G. Boehme</t>
  </si>
  <si>
    <t>305 Moreton Bay Ln Unit 2</t>
  </si>
  <si>
    <t>Goleta</t>
  </si>
  <si>
    <t>93117-2225</t>
  </si>
  <si>
    <t>tboehme@aol.com</t>
  </si>
  <si>
    <t>gailgboem@aol.com</t>
  </si>
  <si>
    <t>ALQ0807AE021</t>
  </si>
  <si>
    <t>ALB170001001</t>
  </si>
  <si>
    <t>Poinsett</t>
  </si>
  <si>
    <t>Rodney W. Poinsett</t>
  </si>
  <si>
    <t>16899 Driftwood Pl</t>
  </si>
  <si>
    <t>Hughesville</t>
  </si>
  <si>
    <t>20637-2827</t>
  </si>
  <si>
    <t>poinsettr15@hotmail.com</t>
  </si>
  <si>
    <t>ALQ0807AC028</t>
  </si>
  <si>
    <t>ALA23070B24C</t>
  </si>
  <si>
    <t>Mrs. Twila M. Herrin</t>
  </si>
  <si>
    <t>259 N Shrike St</t>
  </si>
  <si>
    <t>98837-9655</t>
  </si>
  <si>
    <t>twilanjim@filteredweb.net</t>
  </si>
  <si>
    <t>ALQ0807AC029</t>
  </si>
  <si>
    <t>Ms. Laurel Drew</t>
  </si>
  <si>
    <t>1905 Gun Club Rd SW</t>
  </si>
  <si>
    <t>87105-6408</t>
  </si>
  <si>
    <t>laurel.drew@gmail.com</t>
  </si>
  <si>
    <t>ALQ0807AA019</t>
  </si>
  <si>
    <t>Mr. Keith Sherman</t>
  </si>
  <si>
    <t>7917 Vandemere Ct</t>
  </si>
  <si>
    <t>27615-4601</t>
  </si>
  <si>
    <t>kasherman@ftb.com</t>
  </si>
  <si>
    <t>ALQ0807AE039</t>
  </si>
  <si>
    <t>Godby</t>
  </si>
  <si>
    <t>Ms. Michele M. Godby</t>
  </si>
  <si>
    <t>1129 Baltustrol Run</t>
  </si>
  <si>
    <t>46123-7067</t>
  </si>
  <si>
    <t>mmgodby@ameritech.net</t>
  </si>
  <si>
    <t>ALQ0808AB004</t>
  </si>
  <si>
    <t>ALA1307D3EMC</t>
  </si>
  <si>
    <t>Ravicz</t>
  </si>
  <si>
    <t>Frances K. Ravicz</t>
  </si>
  <si>
    <t>51 Bristol Grn</t>
  </si>
  <si>
    <t>78209-1848</t>
  </si>
  <si>
    <t>bobbibooks@att.net</t>
  </si>
  <si>
    <t>ALQ0808BB003</t>
  </si>
  <si>
    <t>ALA21110C00S</t>
  </si>
  <si>
    <t>Simonelli</t>
  </si>
  <si>
    <t>Mr. Bart Simonelli</t>
  </si>
  <si>
    <t>19 Pemberly Dr</t>
  </si>
  <si>
    <t>Saugus</t>
  </si>
  <si>
    <t>01906-2523</t>
  </si>
  <si>
    <t>bartsimonelli@hotmail.com</t>
  </si>
  <si>
    <t>ALQ0808BB010</t>
  </si>
  <si>
    <t>ALR140001001</t>
  </si>
  <si>
    <t>9425 Blind Pass Rd Apt 501</t>
  </si>
  <si>
    <t>33706-1338</t>
  </si>
  <si>
    <t>mrmills@tampabay.rr.com</t>
  </si>
  <si>
    <t>ALA22030A31A</t>
  </si>
  <si>
    <t>ALR150101013</t>
  </si>
  <si>
    <t>Julian Hutchinson</t>
  </si>
  <si>
    <t>315 S Spring St Apt 107</t>
  </si>
  <si>
    <t>Sparta</t>
  </si>
  <si>
    <t>54656-1882</t>
  </si>
  <si>
    <t>ALQ0808AB002</t>
  </si>
  <si>
    <t>ALR190804C33</t>
  </si>
  <si>
    <t>ALR110901004</t>
  </si>
  <si>
    <t>Ms. Carolyn J. Cook</t>
  </si>
  <si>
    <t>3920 SW Sena Dr</t>
  </si>
  <si>
    <t>Topeka</t>
  </si>
  <si>
    <t>66604-1821</t>
  </si>
  <si>
    <t>zwickook@cox.net</t>
  </si>
  <si>
    <t>cr_cook@bellsouth.net</t>
  </si>
  <si>
    <t>ALQ0808AB014</t>
  </si>
  <si>
    <t>ALR200405C23</t>
  </si>
  <si>
    <t>Wynn</t>
  </si>
  <si>
    <t>301 Tulane Dr</t>
  </si>
  <si>
    <t>40517-1533</t>
  </si>
  <si>
    <t>mijrwyn97@windstream.net</t>
  </si>
  <si>
    <t>m.jrwyn97@palltel.net</t>
  </si>
  <si>
    <t>ALS200901WS3</t>
  </si>
  <si>
    <t>ALR141000EMC</t>
  </si>
  <si>
    <t>Katrina</t>
  </si>
  <si>
    <t>Katrina K. Brown</t>
  </si>
  <si>
    <t>287 Karrimont Rd</t>
  </si>
  <si>
    <t>28115-7386</t>
  </si>
  <si>
    <t>katbrown287@yahoo.com</t>
  </si>
  <si>
    <t>Felecia</t>
  </si>
  <si>
    <t>Felecia Bishop</t>
  </si>
  <si>
    <t>1113 Willow Dr</t>
  </si>
  <si>
    <t>62450-2446</t>
  </si>
  <si>
    <t>nlb1931@gmail.com</t>
  </si>
  <si>
    <t>nrb1931@gmail.com</t>
  </si>
  <si>
    <t>ALQ0808BB008</t>
  </si>
  <si>
    <t>ALA15100F13A</t>
  </si>
  <si>
    <t>Ms. Peters</t>
  </si>
  <si>
    <t>3507 NE 182nd Street</t>
  </si>
  <si>
    <t>Lk Forest Pk</t>
  </si>
  <si>
    <t>98155-4221</t>
  </si>
  <si>
    <t>bbdpeters@comcast.net</t>
  </si>
  <si>
    <t>ALQ0808AB007</t>
  </si>
  <si>
    <t>PhD</t>
  </si>
  <si>
    <t>Dr. Nancy Woods PhD</t>
  </si>
  <si>
    <t>5239 Treasure Ave</t>
  </si>
  <si>
    <t>89122-5322</t>
  </si>
  <si>
    <t>sue.kohanski@gmail.com</t>
  </si>
  <si>
    <t>ALQ0808CB004</t>
  </si>
  <si>
    <t>ALA23010B22A</t>
  </si>
  <si>
    <t>Beverly Goodman MD</t>
  </si>
  <si>
    <t>111 N Emerson St Apt 1844</t>
  </si>
  <si>
    <t>80218-3792</t>
  </si>
  <si>
    <t>bevgoodmanmd@gmail.com</t>
  </si>
  <si>
    <t>ALQ0808BB015</t>
  </si>
  <si>
    <t>Ostman</t>
  </si>
  <si>
    <t>Mrs. Marcia L. Ostman</t>
  </si>
  <si>
    <t>35 Turnberry Ln</t>
  </si>
  <si>
    <t>Columbia Falls</t>
  </si>
  <si>
    <t>59912-8539</t>
  </si>
  <si>
    <t>ostmans4u@gmail.com</t>
  </si>
  <si>
    <t>Arendsen</t>
  </si>
  <si>
    <t>C. Arendsen</t>
  </si>
  <si>
    <t>145 Columbia Ave Apt 252</t>
  </si>
  <si>
    <t>49423-2977</t>
  </si>
  <si>
    <t>ALQ0808BB009</t>
  </si>
  <si>
    <t>ALR180801044</t>
  </si>
  <si>
    <t>Rosenow</t>
  </si>
  <si>
    <t>Mr. Bruce Rosenow</t>
  </si>
  <si>
    <t>432 Grant Ave SE</t>
  </si>
  <si>
    <t>55350-4518</t>
  </si>
  <si>
    <t>rosey@hutchtel.net</t>
  </si>
  <si>
    <t>reid_r_9@hotmail.com</t>
  </si>
  <si>
    <t>ALQ0808FB028</t>
  </si>
  <si>
    <t>ALA18030A23R</t>
  </si>
  <si>
    <t>ALA14050F23C</t>
  </si>
  <si>
    <t>Mrs. Elizabeth H. Barrett</t>
  </si>
  <si>
    <t>9 Hartshorne Ln</t>
  </si>
  <si>
    <t>Rumson</t>
  </si>
  <si>
    <t>07760-1903</t>
  </si>
  <si>
    <t>betsybarrett@comcast.net</t>
  </si>
  <si>
    <t>ALQ0808FB019</t>
  </si>
  <si>
    <t>ALR221001C54</t>
  </si>
  <si>
    <t>Hal Ramsey</t>
  </si>
  <si>
    <t>5732 N Lilly Ln</t>
  </si>
  <si>
    <t>53563-8988</t>
  </si>
  <si>
    <t>halandtracey@gmail.com</t>
  </si>
  <si>
    <t>ALQ0808GB036</t>
  </si>
  <si>
    <t>ALA23070B35R</t>
  </si>
  <si>
    <t>Hokeness</t>
  </si>
  <si>
    <t>Mrs. Terry M. Hokeness</t>
  </si>
  <si>
    <t>15597 County Road 40</t>
  </si>
  <si>
    <t>Park Rapids</t>
  </si>
  <si>
    <t>56470-6206</t>
  </si>
  <si>
    <t>bayside@paulbunyan.net</t>
  </si>
  <si>
    <t>bayside@unitelc.com</t>
  </si>
  <si>
    <t>Broos</t>
  </si>
  <si>
    <t>Ms. Rosemary W. Broos</t>
  </si>
  <si>
    <t>2778 N Grafhill Dr</t>
  </si>
  <si>
    <t>Mobile</t>
  </si>
  <si>
    <t>36606-2335</t>
  </si>
  <si>
    <t>suebroos@hotmail.com</t>
  </si>
  <si>
    <t>suebroos@yahoo.com</t>
  </si>
  <si>
    <t>ALZ080001001</t>
  </si>
  <si>
    <t>ALQ2304N1WSC</t>
  </si>
  <si>
    <t>Brauner</t>
  </si>
  <si>
    <t>Mary Brauner</t>
  </si>
  <si>
    <t>23044 Road 294</t>
  </si>
  <si>
    <t>Picayune</t>
  </si>
  <si>
    <t>39466-9619</t>
  </si>
  <si>
    <t>resomary@aol.com</t>
  </si>
  <si>
    <t>resomary@live.com</t>
  </si>
  <si>
    <t>ALQ0808CB008</t>
  </si>
  <si>
    <t>ALR190510C23</t>
  </si>
  <si>
    <t>ALR171109023</t>
  </si>
  <si>
    <t>Colyer</t>
  </si>
  <si>
    <t>Allyn</t>
  </si>
  <si>
    <t>Bob and Allyn Colyer</t>
  </si>
  <si>
    <t>Bob and Allyn</t>
  </si>
  <si>
    <t>4921 Bluffton Pkwy Apt 1414</t>
  </si>
  <si>
    <t>Bluffton</t>
  </si>
  <si>
    <t>29910-8403</t>
  </si>
  <si>
    <t>abcolyer@hargray.com</t>
  </si>
  <si>
    <t>blythers@gmail.com</t>
  </si>
  <si>
    <t>ALQ0809CC025</t>
  </si>
  <si>
    <t>Martino</t>
  </si>
  <si>
    <t>Keith Martino</t>
  </si>
  <si>
    <t>W170S8028 Green St</t>
  </si>
  <si>
    <t>Muskego</t>
  </si>
  <si>
    <t>53150-8800</t>
  </si>
  <si>
    <t>km.kb@att.net</t>
  </si>
  <si>
    <t>ALQ0809BC019</t>
  </si>
  <si>
    <t>Colonel</t>
  </si>
  <si>
    <t>Hettich</t>
  </si>
  <si>
    <t>Colonel Paul J. Hettich</t>
  </si>
  <si>
    <t>25485 W Highwoods Dr</t>
  </si>
  <si>
    <t>Antioch</t>
  </si>
  <si>
    <t>60002-8569</t>
  </si>
  <si>
    <t>hettichpj@aol.com</t>
  </si>
  <si>
    <t>ALZ080002001</t>
  </si>
  <si>
    <t>ALA22070C23R</t>
  </si>
  <si>
    <t>ALR140305023</t>
  </si>
  <si>
    <t>Rebecca Cobb</t>
  </si>
  <si>
    <t>8571 Martinique Dr</t>
  </si>
  <si>
    <t>92646-7071</t>
  </si>
  <si>
    <t>cobb.wc@verizon.net</t>
  </si>
  <si>
    <t>ALQ0809AC003</t>
  </si>
  <si>
    <t>Mary C. Knutson</t>
  </si>
  <si>
    <t>108 Bogert St</t>
  </si>
  <si>
    <t>53916-1802</t>
  </si>
  <si>
    <t>brettnw1957@gmail.com</t>
  </si>
  <si>
    <t>ALQ0809AC013</t>
  </si>
  <si>
    <t>Mr. Neil Mackay</t>
  </si>
  <si>
    <t>640 Arbor Ct</t>
  </si>
  <si>
    <t>15238-6130</t>
  </si>
  <si>
    <t>neil.mackay@gmail.com</t>
  </si>
  <si>
    <t>ALA11070D14A</t>
  </si>
  <si>
    <t>4112 Coleridge St</t>
  </si>
  <si>
    <t>77005-2724</t>
  </si>
  <si>
    <t>judynava1@yahoo.com</t>
  </si>
  <si>
    <t>ALQ0809BC021</t>
  </si>
  <si>
    <t>Ms. Dee Young</t>
  </si>
  <si>
    <t>4504 Daybreak Dr</t>
  </si>
  <si>
    <t>45036-8185</t>
  </si>
  <si>
    <t>deeyoung40@gmail.com</t>
  </si>
  <si>
    <t>ALR121101033</t>
  </si>
  <si>
    <t>Micki</t>
  </si>
  <si>
    <t>Dutenhoeffer</t>
  </si>
  <si>
    <t>Mrs. Micki Dutenhoeffer</t>
  </si>
  <si>
    <t>1611 Markerry Ave</t>
  </si>
  <si>
    <t>92019-2587</t>
  </si>
  <si>
    <t>acevedomel88@yahoo.com</t>
  </si>
  <si>
    <t>ALQ0809CC026</t>
  </si>
  <si>
    <t>Hasheider</t>
  </si>
  <si>
    <t>Ms. Phyllis Hasheider</t>
  </si>
  <si>
    <t>1037 Champion Cir</t>
  </si>
  <si>
    <t>80503-3602</t>
  </si>
  <si>
    <t>ALQ0810CD025</t>
  </si>
  <si>
    <t>ALL23080C6BM</t>
  </si>
  <si>
    <t>104 Toucan Rd # A</t>
  </si>
  <si>
    <t>19808-1623</t>
  </si>
  <si>
    <t>ALQ0810CD014</t>
  </si>
  <si>
    <t>ATQ110001001</t>
  </si>
  <si>
    <t>Geri</t>
  </si>
  <si>
    <t>Reuss</t>
  </si>
  <si>
    <t>Ms. Geri M. Reuss</t>
  </si>
  <si>
    <t>5504 Bancroft Ave</t>
  </si>
  <si>
    <t>63109-1655</t>
  </si>
  <si>
    <t>geri8777@att.net</t>
  </si>
  <si>
    <t>greuss6150@sbcglobal.net</t>
  </si>
  <si>
    <t>ALA2309D1EMC</t>
  </si>
  <si>
    <t>Carolyn S.</t>
  </si>
  <si>
    <t>Carolyn S. Williams</t>
  </si>
  <si>
    <t>705 Hickory St</t>
  </si>
  <si>
    <t>Jourdanton</t>
  </si>
  <si>
    <t>78026-3523</t>
  </si>
  <si>
    <t>crwbills52@gmail.com</t>
  </si>
  <si>
    <t>ALZ080002004</t>
  </si>
  <si>
    <t>17 Warwick Road</t>
  </si>
  <si>
    <t>Elmont</t>
  </si>
  <si>
    <t>Ms. Kate Alleman</t>
  </si>
  <si>
    <t>5623 Inverchapel Rd</t>
  </si>
  <si>
    <t>22151-2027</t>
  </si>
  <si>
    <t>ALQ0811BE008</t>
  </si>
  <si>
    <t>Engel</t>
  </si>
  <si>
    <t>Linda Engel</t>
  </si>
  <si>
    <t>5524 E 115th St</t>
  </si>
  <si>
    <t>74137-8103</t>
  </si>
  <si>
    <t>lindaengel@cox.net</t>
  </si>
  <si>
    <t>ALQ0811AE017</t>
  </si>
  <si>
    <t>Howes</t>
  </si>
  <si>
    <t>William and Beth Howes</t>
  </si>
  <si>
    <t>William and Beth</t>
  </si>
  <si>
    <t>4436 Seminole Dr</t>
  </si>
  <si>
    <t>Royal Oak</t>
  </si>
  <si>
    <t>48073-6319</t>
  </si>
  <si>
    <t>wheelerjr19@hotmail.com</t>
  </si>
  <si>
    <t>ALQ0811BE020</t>
  </si>
  <si>
    <t>Westfahl</t>
  </si>
  <si>
    <t>Howard and Susan Westfahl</t>
  </si>
  <si>
    <t>Howard and Susan</t>
  </si>
  <si>
    <t>W177N9012 Saint Stevens Ct</t>
  </si>
  <si>
    <t>Menomonee Falls</t>
  </si>
  <si>
    <t>53051-1925</t>
  </si>
  <si>
    <t>suewestfahl@hotmail.com</t>
  </si>
  <si>
    <t>hwestfahl@yahoo.com</t>
  </si>
  <si>
    <t>ALQ0811CE002</t>
  </si>
  <si>
    <t>ALR220205C44</t>
  </si>
  <si>
    <t>Gredler</t>
  </si>
  <si>
    <t>285 Roslindale Ave</t>
  </si>
  <si>
    <t>Roslindale</t>
  </si>
  <si>
    <t>02131-3339</t>
  </si>
  <si>
    <t>bginrozzie@gmail.com</t>
  </si>
  <si>
    <t>bagredler0924@npca.org</t>
  </si>
  <si>
    <t>ALQ0811DE024</t>
  </si>
  <si>
    <t>Hempler</t>
  </si>
  <si>
    <t>10207 1st Ave NW</t>
  </si>
  <si>
    <t>98177-4940</t>
  </si>
  <si>
    <t>karenanjasman@gmail.com</t>
  </si>
  <si>
    <t>ALQ0811BE026</t>
  </si>
  <si>
    <t>Nestle</t>
  </si>
  <si>
    <t>Steve Nestle</t>
  </si>
  <si>
    <t>14537 Wyrick Ave</t>
  </si>
  <si>
    <t>95124-3535</t>
  </si>
  <si>
    <t>video575@yahoo.com</t>
  </si>
  <si>
    <t>ALQ0810CD026</t>
  </si>
  <si>
    <t>ALA23110A23C</t>
  </si>
  <si>
    <t>ALA15110H43A</t>
  </si>
  <si>
    <t>Ms. Cora Hahn</t>
  </si>
  <si>
    <t>790 Carroll St</t>
  </si>
  <si>
    <t>11215-1404</t>
  </si>
  <si>
    <t>cohahn@libero.it</t>
  </si>
  <si>
    <t>Shank</t>
  </si>
  <si>
    <t>Ms. Ann Shank</t>
  </si>
  <si>
    <t>227 Pine St</t>
  </si>
  <si>
    <t>Floyd</t>
  </si>
  <si>
    <t>24091-2525</t>
  </si>
  <si>
    <t>annshank0419@aol.com</t>
  </si>
  <si>
    <t>ALR221205C33</t>
  </si>
  <si>
    <t>Ms. Kathleen L. Merry</t>
  </si>
  <si>
    <t>1268 Coon Creek Rd</t>
  </si>
  <si>
    <t>28734-9254</t>
  </si>
  <si>
    <t>kmerry01@yahoo.com</t>
  </si>
  <si>
    <t>Sage</t>
  </si>
  <si>
    <t>Michael L. Sage</t>
  </si>
  <si>
    <t>1311 W Birch Dr</t>
  </si>
  <si>
    <t>72758-5067</t>
  </si>
  <si>
    <t>michel.sage@sbcglobal.net</t>
  </si>
  <si>
    <t>ALQ0810DD027</t>
  </si>
  <si>
    <t>Diane and Steven</t>
  </si>
  <si>
    <t>1103 Cool Springs Dr NW</t>
  </si>
  <si>
    <t>30144-5059</t>
  </si>
  <si>
    <t>snowyegret.07@comcast.net</t>
  </si>
  <si>
    <t>dianekp@msn.com</t>
  </si>
  <si>
    <t>ALA190700001</t>
  </si>
  <si>
    <t>Chilcoat</t>
  </si>
  <si>
    <t>Yvonne Chilcoat</t>
  </si>
  <si>
    <t>2851 Honor Dr</t>
  </si>
  <si>
    <t>97504-8606</t>
  </si>
  <si>
    <t>ALQ0811AE020</t>
  </si>
  <si>
    <t>Reiff</t>
  </si>
  <si>
    <t>Roberta and Charles Katz</t>
  </si>
  <si>
    <t>Roberta and Charles</t>
  </si>
  <si>
    <t>PO Box 560</t>
  </si>
  <si>
    <t>94302-0560</t>
  </si>
  <si>
    <t>rrkatz@stanford.edu</t>
  </si>
  <si>
    <t>Ruffin</t>
  </si>
  <si>
    <t>2831 Hydrangea Pl</t>
  </si>
  <si>
    <t>28403-4052</t>
  </si>
  <si>
    <t>ALQ0812BF017</t>
  </si>
  <si>
    <t>Linnea</t>
  </si>
  <si>
    <t>Ohgren</t>
  </si>
  <si>
    <t>Linnea Ohgren</t>
  </si>
  <si>
    <t>12155 Abbey Glen Ct</t>
  </si>
  <si>
    <t>22192-5136</t>
  </si>
  <si>
    <t>ALQ0811DE031</t>
  </si>
  <si>
    <t>V'Ann</t>
  </si>
  <si>
    <t>Ryther</t>
  </si>
  <si>
    <t>V'Ann K. Ryther</t>
  </si>
  <si>
    <t>2155 Berkshire Club Dr</t>
  </si>
  <si>
    <t>45230-2430</t>
  </si>
  <si>
    <t>vkr@aol.com</t>
  </si>
  <si>
    <t>ALQ0808FB022</t>
  </si>
  <si>
    <t>ALR200103C54</t>
  </si>
  <si>
    <t>Mcguire</t>
  </si>
  <si>
    <t>Mr. Patrick Mcguire</t>
  </si>
  <si>
    <t>3980 Old Sterlington Rd Apt 1305</t>
  </si>
  <si>
    <t>71203-2689</t>
  </si>
  <si>
    <t>pat.mcguire@yahoo.com</t>
  </si>
  <si>
    <t>ALQ0812AF015</t>
  </si>
  <si>
    <t>Seebode</t>
  </si>
  <si>
    <t>421 Medford Lakes Rd</t>
  </si>
  <si>
    <t>Tabernacle</t>
  </si>
  <si>
    <t>08088-8565</t>
  </si>
  <si>
    <t>ALR141101133</t>
  </si>
  <si>
    <t>XRE0A77CG</t>
  </si>
  <si>
    <t>Collings</t>
  </si>
  <si>
    <t>8304 30th Ave NW</t>
  </si>
  <si>
    <t>98117-3831</t>
  </si>
  <si>
    <t>terrtycollings@comcast.net</t>
  </si>
  <si>
    <t>ALL20120A6BM</t>
  </si>
  <si>
    <t>ALQ1312N8EM1</t>
  </si>
  <si>
    <t>Mazion</t>
  </si>
  <si>
    <t>Judith Mazion</t>
  </si>
  <si>
    <t>PO Box 216</t>
  </si>
  <si>
    <t>Somonauk</t>
  </si>
  <si>
    <t>60552-0216</t>
  </si>
  <si>
    <t>eoratbucklake@mchsi.com</t>
  </si>
  <si>
    <t>euratbucklake@mchsi.com</t>
  </si>
  <si>
    <t>ALQ0812AF017</t>
  </si>
  <si>
    <t>ALR230806C44</t>
  </si>
  <si>
    <t>Linda and Gregory Smith</t>
  </si>
  <si>
    <t>Linda and Gregory</t>
  </si>
  <si>
    <t>1133 Baumock Burn Dr</t>
  </si>
  <si>
    <t>43235-2167</t>
  </si>
  <si>
    <t>sonyaaguilera@hotmail.com</t>
  </si>
  <si>
    <t>gsmith1@columbus.rr.com</t>
  </si>
  <si>
    <t>ALQ0812CF014</t>
  </si>
  <si>
    <t>ALA1812D8EMC</t>
  </si>
  <si>
    <t>gregandlindasmith9@gmail.com</t>
  </si>
  <si>
    <t>ALA1905D3EMC</t>
  </si>
  <si>
    <t>ALL2312L6ERC</t>
  </si>
  <si>
    <t>ALR2004D1EMC</t>
  </si>
  <si>
    <t>Goodwin</t>
  </si>
  <si>
    <t>Rita J. Goodwin</t>
  </si>
  <si>
    <t>PO Box 201</t>
  </si>
  <si>
    <t>Malta</t>
  </si>
  <si>
    <t>60150-0201</t>
  </si>
  <si>
    <t>goodwinr2000@yahoo.com</t>
  </si>
  <si>
    <t>ALQ0812CF020</t>
  </si>
  <si>
    <t>Mr. Donald E. Wright</t>
  </si>
  <si>
    <t>906 Lakeview Pkwy</t>
  </si>
  <si>
    <t>22508-5303</t>
  </si>
  <si>
    <t>wrrdon@gmail.com</t>
  </si>
  <si>
    <t>ALQ0812CF018</t>
  </si>
  <si>
    <t>Ms. Sherry Gricoskie</t>
  </si>
  <si>
    <t>2472 Captain Bloom Rd</t>
  </si>
  <si>
    <t>17801-6675</t>
  </si>
  <si>
    <t>sherylg954@hotmail.com</t>
  </si>
  <si>
    <t>ALA22040B34A</t>
  </si>
  <si>
    <t>ALA13040A34A</t>
  </si>
  <si>
    <t>Comings</t>
  </si>
  <si>
    <t>Ms. Jane R. Comings</t>
  </si>
  <si>
    <t>2121 N Westmoreland St Apt 423</t>
  </si>
  <si>
    <t>22213-1066</t>
  </si>
  <si>
    <t>janecomings@yahoo.com</t>
  </si>
  <si>
    <t>ALQ0903AJ012</t>
  </si>
  <si>
    <t>ALR150706033</t>
  </si>
  <si>
    <t>Ms. Lois M. Anderson</t>
  </si>
  <si>
    <t>4067 Wilshire Cir</t>
  </si>
  <si>
    <t>55126-2986</t>
  </si>
  <si>
    <t>peacefulron@hotmail.com</t>
  </si>
  <si>
    <t>peacefulrn@hotmail.com</t>
  </si>
  <si>
    <t>ALQ0803BJ021</t>
  </si>
  <si>
    <t>Rebeca</t>
  </si>
  <si>
    <t>Otero de Alexander</t>
  </si>
  <si>
    <t>John Alexander and Rebeca Otero de Alexander</t>
  </si>
  <si>
    <t>John and Rebeca</t>
  </si>
  <si>
    <t>5951 Encina Rd Ste 106</t>
  </si>
  <si>
    <t>93117-6251</t>
  </si>
  <si>
    <t>ALQ0811DE016</t>
  </si>
  <si>
    <t>Bilotti</t>
  </si>
  <si>
    <t>Mr. Arthur Bilotti</t>
  </si>
  <si>
    <t>4532 Harrison St</t>
  </si>
  <si>
    <t>Hollywood</t>
  </si>
  <si>
    <t>33021-7202</t>
  </si>
  <si>
    <t>r4m39z@gmail.com</t>
  </si>
  <si>
    <t>kingartco@aol.com</t>
  </si>
  <si>
    <t>ALQ0901DG009</t>
  </si>
  <si>
    <t>ALR220809C23</t>
  </si>
  <si>
    <t>Bully</t>
  </si>
  <si>
    <t>Mr. Tom Bully</t>
  </si>
  <si>
    <t>435 S First St</t>
  </si>
  <si>
    <t>Rogers City</t>
  </si>
  <si>
    <t>49779-1803</t>
  </si>
  <si>
    <t>taneabully@gmail.com</t>
  </si>
  <si>
    <t>ALQ0901EG027</t>
  </si>
  <si>
    <t>Eileen Schaefer</t>
  </si>
  <si>
    <t>1319 Boyd Ave</t>
  </si>
  <si>
    <t>Port Neches</t>
  </si>
  <si>
    <t>77651-5112</t>
  </si>
  <si>
    <t>ALQ0812AF003</t>
  </si>
  <si>
    <t>Culbert Beeson</t>
  </si>
  <si>
    <t>Janet Culbert Beeson</t>
  </si>
  <si>
    <t>1940 Laurelhurst Ln</t>
  </si>
  <si>
    <t>95648-8703</t>
  </si>
  <si>
    <t>jeculbert@hughes.net</t>
  </si>
  <si>
    <t>ALQ0901CG025</t>
  </si>
  <si>
    <t>Jarske</t>
  </si>
  <si>
    <t>Nancy Jarske</t>
  </si>
  <si>
    <t>2172 Frederick St</t>
  </si>
  <si>
    <t>94520-2217</t>
  </si>
  <si>
    <t>njarske@aol.com</t>
  </si>
  <si>
    <t>ALQ0901AG006</t>
  </si>
  <si>
    <t>ALA21050B25A</t>
  </si>
  <si>
    <t>ALA2005D2EMT</t>
  </si>
  <si>
    <t>Hardin</t>
  </si>
  <si>
    <t>Ms. Dianne Hardin</t>
  </si>
  <si>
    <t>23 Coraza Cir</t>
  </si>
  <si>
    <t>Hot Springs</t>
  </si>
  <si>
    <t>71909-7949</t>
  </si>
  <si>
    <t>dhardin12@yahoo.com</t>
  </si>
  <si>
    <t>dhardini@att.net</t>
  </si>
  <si>
    <t>ALQ0901BG025</t>
  </si>
  <si>
    <t>Neugebauer</t>
  </si>
  <si>
    <t>Duane and Margie Neugebauer</t>
  </si>
  <si>
    <t>Duane and Margie</t>
  </si>
  <si>
    <t>24651 White Tail Ridge Rd</t>
  </si>
  <si>
    <t>Hermosa</t>
  </si>
  <si>
    <t>57744-5100</t>
  </si>
  <si>
    <t>neugebauer@noaddress.ea</t>
  </si>
  <si>
    <t>donman1948@gmail.com</t>
  </si>
  <si>
    <t>ALZ090002002</t>
  </si>
  <si>
    <t>Bill Sullivan</t>
  </si>
  <si>
    <t>905 Broadmoor St</t>
  </si>
  <si>
    <t>Blytheville</t>
  </si>
  <si>
    <t>72315-1209</t>
  </si>
  <si>
    <t>arkbam@yahoo.com</t>
  </si>
  <si>
    <t>bsull3366@gmail.com</t>
  </si>
  <si>
    <t>ALQ0901BG023</t>
  </si>
  <si>
    <t>Humphreys</t>
  </si>
  <si>
    <t>Stephen and Gail Humphreys</t>
  </si>
  <si>
    <t>Stephen and Gail</t>
  </si>
  <si>
    <t>902 W Campus Ln</t>
  </si>
  <si>
    <t>93117-4337</t>
  </si>
  <si>
    <t>humphreys@ucsb.edu</t>
  </si>
  <si>
    <t>Huse</t>
  </si>
  <si>
    <t>Mary Huse</t>
  </si>
  <si>
    <t>N8241 975th St</t>
  </si>
  <si>
    <t>River Falls</t>
  </si>
  <si>
    <t>54022-4414</t>
  </si>
  <si>
    <t>maryhuse28@gmail.com</t>
  </si>
  <si>
    <t>Loftis</t>
  </si>
  <si>
    <t>Paula Ann</t>
  </si>
  <si>
    <t>Key Loftis</t>
  </si>
  <si>
    <t>John Loftis and Paula Ann Key Loftis</t>
  </si>
  <si>
    <t>John and Paula Ann</t>
  </si>
  <si>
    <t>41 Grande Oaks Way</t>
  </si>
  <si>
    <t>Beaufort</t>
  </si>
  <si>
    <t>29907-1184</t>
  </si>
  <si>
    <t>pjloftis@yahoo.com</t>
  </si>
  <si>
    <t>ALQ2111N8WSC</t>
  </si>
  <si>
    <t>PO Box 1943</t>
  </si>
  <si>
    <t>Carmel By The Sea</t>
  </si>
  <si>
    <t>93921-1943</t>
  </si>
  <si>
    <t>ALQ0901FG028</t>
  </si>
  <si>
    <t>ALA20090A15A</t>
  </si>
  <si>
    <t>ALA20040A15A</t>
  </si>
  <si>
    <t>Dr. Carol Humphrey</t>
  </si>
  <si>
    <t>4010 N Aydelotte Ave</t>
  </si>
  <si>
    <t>74804-1622</t>
  </si>
  <si>
    <t>doccsh@gmail.com</t>
  </si>
  <si>
    <t>doccsh@juno.com</t>
  </si>
  <si>
    <t>Rolader</t>
  </si>
  <si>
    <t>Susan Rolader</t>
  </si>
  <si>
    <t>1380 Copperhead Rd</t>
  </si>
  <si>
    <t>Cordesville</t>
  </si>
  <si>
    <t>29434-9507</t>
  </si>
  <si>
    <t>crorsue@aol.com</t>
  </si>
  <si>
    <t>ALQ0901CG001</t>
  </si>
  <si>
    <t>ALA18080C33R</t>
  </si>
  <si>
    <t>2958 Lost Mountain Rd</t>
  </si>
  <si>
    <t>98382-7381</t>
  </si>
  <si>
    <t>conniepaine@icloud.com</t>
  </si>
  <si>
    <t>rita@serenogroup.com</t>
  </si>
  <si>
    <t>ALS220201302</t>
  </si>
  <si>
    <t>Gwendoyln</t>
  </si>
  <si>
    <t>Gwendoyln J. York</t>
  </si>
  <si>
    <t>41 Oakmont Ln</t>
  </si>
  <si>
    <t>Siler City</t>
  </si>
  <si>
    <t>27344-8028</t>
  </si>
  <si>
    <t>mikeyork100@gmail.com</t>
  </si>
  <si>
    <t>gwenyork@gmail.com</t>
  </si>
  <si>
    <t>ALQ0902AH014</t>
  </si>
  <si>
    <t>ALR160505033</t>
  </si>
  <si>
    <t>Schindler</t>
  </si>
  <si>
    <t>Judy Schindler</t>
  </si>
  <si>
    <t>619 Balboa Dr</t>
  </si>
  <si>
    <t>Universal City</t>
  </si>
  <si>
    <t>78148-3125</t>
  </si>
  <si>
    <t>jrschindl@gmail.com</t>
  </si>
  <si>
    <t>judith.schindler@yahoo.com</t>
  </si>
  <si>
    <t>ALQ0902AH033</t>
  </si>
  <si>
    <t>ALR220108C64</t>
  </si>
  <si>
    <t>Grant Ascoli</t>
  </si>
  <si>
    <t>Eric Ascoli and Rebecca Grant Ascoli</t>
  </si>
  <si>
    <t>Eric and Rebecca</t>
  </si>
  <si>
    <t>20 Orange Ave Apt 202</t>
  </si>
  <si>
    <t>34950-4339</t>
  </si>
  <si>
    <t>eric.ascoli2@gmail.com</t>
  </si>
  <si>
    <t>ALQ0902AH020</t>
  </si>
  <si>
    <t>ALR221206C44</t>
  </si>
  <si>
    <t>rgascoli@gmail.com</t>
  </si>
  <si>
    <t>Marker</t>
  </si>
  <si>
    <t>Julia Marker</t>
  </si>
  <si>
    <t>200 Echo Dr</t>
  </si>
  <si>
    <t>Chambersburg</t>
  </si>
  <si>
    <t>17202-3310</t>
  </si>
  <si>
    <t>julia.marsh@gmail.com</t>
  </si>
  <si>
    <t>ALQ0902CH021</t>
  </si>
  <si>
    <t>Chris and Pam Scranton</t>
  </si>
  <si>
    <t>Chris and Pam</t>
  </si>
  <si>
    <t>4235 Burro Ln</t>
  </si>
  <si>
    <t>Stevensville</t>
  </si>
  <si>
    <t>59870-6247</t>
  </si>
  <si>
    <t>pcscranton@msn.com</t>
  </si>
  <si>
    <t>ALR210332EMC</t>
  </si>
  <si>
    <t>Danielson</t>
  </si>
  <si>
    <t>Sarah A. Danielson</t>
  </si>
  <si>
    <t>12421 E Roger Rd</t>
  </si>
  <si>
    <t>85749-9055</t>
  </si>
  <si>
    <t>shwyn0@aol.com</t>
  </si>
  <si>
    <t>sawynd@aol.com</t>
  </si>
  <si>
    <t>ALQ0902CH001</t>
  </si>
  <si>
    <t>Mary Murphy</t>
  </si>
  <si>
    <t>4 S Hills Way Unit 8</t>
  </si>
  <si>
    <t>Wappingers Falls</t>
  </si>
  <si>
    <t>12590-1412</t>
  </si>
  <si>
    <t>ALQ0902BH041</t>
  </si>
  <si>
    <t>ALA170400001</t>
  </si>
  <si>
    <t>ALR150901023</t>
  </si>
  <si>
    <t>Don Miller</t>
  </si>
  <si>
    <t>2913 Ebbwood Dr</t>
  </si>
  <si>
    <t>21042-2315</t>
  </si>
  <si>
    <t>ALQ0902BH037</t>
  </si>
  <si>
    <t>Senn</t>
  </si>
  <si>
    <t>Mr. Carroll S. Senn</t>
  </si>
  <si>
    <t>8402 Canyon Crevasse St</t>
  </si>
  <si>
    <t>89166-5145</t>
  </si>
  <si>
    <t>carollsenn@cox.net</t>
  </si>
  <si>
    <t>carrollsenn@cox.net</t>
  </si>
  <si>
    <t>ALQ0902CH018</t>
  </si>
  <si>
    <t>ALA23070A23A</t>
  </si>
  <si>
    <t>ALA16020C14A</t>
  </si>
  <si>
    <t>Rowe</t>
  </si>
  <si>
    <t>Ms. Andrea Rowe</t>
  </si>
  <si>
    <t>12 Quail Ridge Rd</t>
  </si>
  <si>
    <t>27705-1870</t>
  </si>
  <si>
    <t>hamerton42@yahoo.com</t>
  </si>
  <si>
    <t>ALR100304001</t>
  </si>
  <si>
    <t>Mr. James Sullivan</t>
  </si>
  <si>
    <t>2241 El Rancho Dr</t>
  </si>
  <si>
    <t>95060-1122</t>
  </si>
  <si>
    <t>micromech@pacbell.net</t>
  </si>
  <si>
    <t>Dailey</t>
  </si>
  <si>
    <t>Ms. Kathleen Dailey</t>
  </si>
  <si>
    <t>103 Dolphine Ave</t>
  </si>
  <si>
    <t>94019-4934</t>
  </si>
  <si>
    <t>kimdailey@comcast.net</t>
  </si>
  <si>
    <t>ALQ0810BD002</t>
  </si>
  <si>
    <t>ALA23050A53H</t>
  </si>
  <si>
    <t>Sercombe</t>
  </si>
  <si>
    <t>Mrs. Sharon Sercombe</t>
  </si>
  <si>
    <t>6650 100th Way N Apt 25C</t>
  </si>
  <si>
    <t>33708-4595</t>
  </si>
  <si>
    <t>sharon.rose1950@yahoo.com</t>
  </si>
  <si>
    <t>ALQ0902FH043</t>
  </si>
  <si>
    <t>ALR230402C44</t>
  </si>
  <si>
    <t>Howley</t>
  </si>
  <si>
    <t>Mr. John Howley</t>
  </si>
  <si>
    <t>682 Rambling Dr</t>
  </si>
  <si>
    <t>Saginaw</t>
  </si>
  <si>
    <t>48609-4958</t>
  </si>
  <si>
    <t>dhowley@gmail.com</t>
  </si>
  <si>
    <t>ALQ0903AJ007</t>
  </si>
  <si>
    <t>ALR220305C23</t>
  </si>
  <si>
    <t>Crowson</t>
  </si>
  <si>
    <t>Natalie and Charles Crowson</t>
  </si>
  <si>
    <t>Natalie and Charles</t>
  </si>
  <si>
    <t>13965 Caddo Creek Cir</t>
  </si>
  <si>
    <t>75770-6135</t>
  </si>
  <si>
    <t>nataliecrowson@gmail.com</t>
  </si>
  <si>
    <t>ALQ0902DH034</t>
  </si>
  <si>
    <t>ALA2404D2EMC</t>
  </si>
  <si>
    <t>Diane M. Tucker</t>
  </si>
  <si>
    <t>15044 S 4th St</t>
  </si>
  <si>
    <t>Schoolcraft</t>
  </si>
  <si>
    <t>49087-9135</t>
  </si>
  <si>
    <t>rengarth@gmail.com</t>
  </si>
  <si>
    <t>ALQ0903BJ005</t>
  </si>
  <si>
    <t>ALL22120A73M</t>
  </si>
  <si>
    <t>Knackmuhs</t>
  </si>
  <si>
    <t>Dr. Gary G. Knackmuhs</t>
  </si>
  <si>
    <t>4900 Elizabeth Jane Ct</t>
  </si>
  <si>
    <t>78730-3430</t>
  </si>
  <si>
    <t>knacga@gmail.com</t>
  </si>
  <si>
    <t>gknackmuhs@yahoo.com</t>
  </si>
  <si>
    <t>ALQ0903BJ006</t>
  </si>
  <si>
    <t>Ms. Lynn Tucker</t>
  </si>
  <si>
    <t>1381 Lambert Rd</t>
  </si>
  <si>
    <t>Cle Elum</t>
  </si>
  <si>
    <t>98922-9154</t>
  </si>
  <si>
    <t>mslynntucker@msn.com</t>
  </si>
  <si>
    <t>ALQ0903BJ017</t>
  </si>
  <si>
    <t>Ms. Margo R. Kaufman</t>
  </si>
  <si>
    <t>3939 Walnut Ave</t>
  </si>
  <si>
    <t>95608-2191</t>
  </si>
  <si>
    <t>borgoka@gmail.com</t>
  </si>
  <si>
    <t>borgoke@gmail.com</t>
  </si>
  <si>
    <t>ALQ0903AJ004</t>
  </si>
  <si>
    <t>ALA2304D5EMC</t>
  </si>
  <si>
    <t>PO Box 2800</t>
  </si>
  <si>
    <t>#265</t>
  </si>
  <si>
    <t>Carefree</t>
  </si>
  <si>
    <t>85377-2800</t>
  </si>
  <si>
    <t>jlogan@pinnaclegroup.com</t>
  </si>
  <si>
    <t>jalogan1963@gmail.com</t>
  </si>
  <si>
    <t>ALA090008001</t>
  </si>
  <si>
    <t>ALA24010C33A</t>
  </si>
  <si>
    <t>ALA090001002</t>
  </si>
  <si>
    <t>Aleksejus</t>
  </si>
  <si>
    <t>Mr. and Mrs. D. Aleksejus</t>
  </si>
  <si>
    <t>Mr. and Mrs. Aleksejus</t>
  </si>
  <si>
    <t>9204 Windstone Dr</t>
  </si>
  <si>
    <t>37363-9361</t>
  </si>
  <si>
    <t>alekjusnow@aol.com</t>
  </si>
  <si>
    <t>ALQ0902DH019</t>
  </si>
  <si>
    <t>ALR230805C33</t>
  </si>
  <si>
    <t>ALA18010C13A</t>
  </si>
  <si>
    <t>Magdalene</t>
  </si>
  <si>
    <t>Hartley and Magdalene Phillips</t>
  </si>
  <si>
    <t>Hartley and Magdalene</t>
  </si>
  <si>
    <t>15-2717 Welea St</t>
  </si>
  <si>
    <t>Pahoa</t>
  </si>
  <si>
    <t>96778-8571</t>
  </si>
  <si>
    <t>hamofhawaii@gmail.com</t>
  </si>
  <si>
    <t>XNLKA1101</t>
  </si>
  <si>
    <t>Milkowski</t>
  </si>
  <si>
    <t>Dr. Deborah A. Milkowski</t>
  </si>
  <si>
    <t>573 Deer Run Rd</t>
  </si>
  <si>
    <t>New Bern</t>
  </si>
  <si>
    <t>28562-9093</t>
  </si>
  <si>
    <t>debmilkowski@centurylink.net</t>
  </si>
  <si>
    <t>debmilkocal@twc.com</t>
  </si>
  <si>
    <t>ALA15120W001</t>
  </si>
  <si>
    <t>Rodgers</t>
  </si>
  <si>
    <t>Monica Rodgers</t>
  </si>
  <si>
    <t>10209 Tartan Cir</t>
  </si>
  <si>
    <t>99507-4413</t>
  </si>
  <si>
    <t>neva@ak.net</t>
  </si>
  <si>
    <t>ALQ1909MC031</t>
  </si>
  <si>
    <t>Mr. James N. Becht</t>
  </si>
  <si>
    <t>245 Upper Mill Creek Ln</t>
  </si>
  <si>
    <t>30115-9414</t>
  </si>
  <si>
    <t>jamesbecht@sbcglobal.net</t>
  </si>
  <si>
    <t>ALQ0904AK002</t>
  </si>
  <si>
    <t>Bradley Hess</t>
  </si>
  <si>
    <t>1281 Skylark Dr</t>
  </si>
  <si>
    <t>52403-9020</t>
  </si>
  <si>
    <t>bradkayhess@aol.com</t>
  </si>
  <si>
    <t>ALQ0904BK006</t>
  </si>
  <si>
    <t>Kilb</t>
  </si>
  <si>
    <t>Mrs. Elizabeth Kilb</t>
  </si>
  <si>
    <t>5356 Calle Real Apt 2F</t>
  </si>
  <si>
    <t>93111-1677</t>
  </si>
  <si>
    <t>ALQ0904AK011</t>
  </si>
  <si>
    <t>Imhoff</t>
  </si>
  <si>
    <t>Gene Imhoff</t>
  </si>
  <si>
    <t>444 Burr Oak Dr</t>
  </si>
  <si>
    <t>48103-2076</t>
  </si>
  <si>
    <t>imhoff@umich.edu</t>
  </si>
  <si>
    <t>Elizabeth and William Morris</t>
  </si>
  <si>
    <t>Elizabeth and William</t>
  </si>
  <si>
    <t>1332 E Bridge St</t>
  </si>
  <si>
    <t>54403-5174</t>
  </si>
  <si>
    <t>wmorris8685@gmail.com</t>
  </si>
  <si>
    <t>bethm_8685@chartr.net</t>
  </si>
  <si>
    <t>ALZ090002004</t>
  </si>
  <si>
    <t>wmorris8685@charter.net</t>
  </si>
  <si>
    <t>Elfriede</t>
  </si>
  <si>
    <t>Briel</t>
  </si>
  <si>
    <t>Ms. Briel</t>
  </si>
  <si>
    <t>108 Pomperaug Woods</t>
  </si>
  <si>
    <t>Southbury</t>
  </si>
  <si>
    <t>Mr. Alexander Berkenhoff</t>
  </si>
  <si>
    <t>40 W Sunset Ave</t>
  </si>
  <si>
    <t>17522-1919</t>
  </si>
  <si>
    <t>aberkenhoff@yahoo.com</t>
  </si>
  <si>
    <t>ALA220001001</t>
  </si>
  <si>
    <t>Canaday</t>
  </si>
  <si>
    <t>Ingrid Canaday</t>
  </si>
  <si>
    <t>PO Box 808</t>
  </si>
  <si>
    <t>Whately</t>
  </si>
  <si>
    <t>01093-0808</t>
  </si>
  <si>
    <t>ingridontheroad@gmail.com</t>
  </si>
  <si>
    <t>ALR231006C54</t>
  </si>
  <si>
    <t>Mr. Ron H. Ratner</t>
  </si>
  <si>
    <t>3916 N Potsdam Ave</t>
  </si>
  <si>
    <t># 3769</t>
  </si>
  <si>
    <t>57104-7048</t>
  </si>
  <si>
    <t>bessythree@yahoo.com</t>
  </si>
  <si>
    <t>ALQ090013001</t>
  </si>
  <si>
    <t>ALA20050A14R</t>
  </si>
  <si>
    <t>Neale</t>
  </si>
  <si>
    <t>Farrell</t>
  </si>
  <si>
    <t>Koenig</t>
  </si>
  <si>
    <t>Mr. Neale F. Koenig</t>
  </si>
  <si>
    <t>W2840 Kriebich Coulee Rd</t>
  </si>
  <si>
    <t>Coon Valley</t>
  </si>
  <si>
    <t>54623-9520</t>
  </si>
  <si>
    <t>kingpetetod@gmail.com</t>
  </si>
  <si>
    <t>nkoenig@hotmail.com</t>
  </si>
  <si>
    <t>ALQ0905BL009</t>
  </si>
  <si>
    <t>ALA22070W001</t>
  </si>
  <si>
    <t>Paul Bailey and Jean Swee</t>
  </si>
  <si>
    <t>Paul and Jean</t>
  </si>
  <si>
    <t>48 Whites Pl</t>
  </si>
  <si>
    <t>61701-1861</t>
  </si>
  <si>
    <t>pabailey350@gmail.com</t>
  </si>
  <si>
    <t>ALA21070C15R</t>
  </si>
  <si>
    <t>ms.swee@gmail.com</t>
  </si>
  <si>
    <t>gabrielswee@gmail.com</t>
  </si>
  <si>
    <t>ALQ1709EC004</t>
  </si>
  <si>
    <t>Orlow</t>
  </si>
  <si>
    <t>Mrs. Elaine B. and Mr. Marc M. Orlow</t>
  </si>
  <si>
    <t>Elaine and Marc</t>
  </si>
  <si>
    <t>214 Birch Dr</t>
  </si>
  <si>
    <t>Lafayette Hill</t>
  </si>
  <si>
    <t>19444-2104</t>
  </si>
  <si>
    <t>marc.orlow@begelmanorlow.com</t>
  </si>
  <si>
    <t>mmocol@yahoo.com</t>
  </si>
  <si>
    <t>NEE210003201:FY21STTP</t>
  </si>
  <si>
    <t>Grosz</t>
  </si>
  <si>
    <t>Melvin Grosz</t>
  </si>
  <si>
    <t>1169 Lakewood Dr S</t>
  </si>
  <si>
    <t>Maplewood</t>
  </si>
  <si>
    <t>55119-5967</t>
  </si>
  <si>
    <t>Bright</t>
  </si>
  <si>
    <t>Ms. Sherry Bright</t>
  </si>
  <si>
    <t>1394 Horseshoe Dr</t>
  </si>
  <si>
    <t>Fruita</t>
  </si>
  <si>
    <t>81521-8902</t>
  </si>
  <si>
    <t>sherry@brightrowe.com</t>
  </si>
  <si>
    <t>sherrybright@wildblue.net</t>
  </si>
  <si>
    <t>ALQ0903BJ015</t>
  </si>
  <si>
    <t>ALR180806044</t>
  </si>
  <si>
    <t>Shelly</t>
  </si>
  <si>
    <t>Willoughby</t>
  </si>
  <si>
    <t>Shelly Willoughby</t>
  </si>
  <si>
    <t>9118 N Farm Road 141</t>
  </si>
  <si>
    <t>65803-7574</t>
  </si>
  <si>
    <t>shelly-willoughby2@mergj.net</t>
  </si>
  <si>
    <t>shelly.willougby2@gmail.com</t>
  </si>
  <si>
    <t>ALQ0905CL004</t>
  </si>
  <si>
    <t>5587 Midnight Moon Dr</t>
  </si>
  <si>
    <t>75036-1718</t>
  </si>
  <si>
    <t>jlcopley530@aol.com</t>
  </si>
  <si>
    <t>pevans7777@aol.com</t>
  </si>
  <si>
    <t>ALQ0905AL002</t>
  </si>
  <si>
    <t>ALL17090D5BM</t>
  </si>
  <si>
    <t>ALA091105070</t>
  </si>
  <si>
    <t>Tesar</t>
  </si>
  <si>
    <t>Mr. Frank J. Tesar</t>
  </si>
  <si>
    <t>21 Thomas Ave</t>
  </si>
  <si>
    <t>Topsham</t>
  </si>
  <si>
    <t>04086-1828</t>
  </si>
  <si>
    <t>ALQ0907AA005</t>
  </si>
  <si>
    <t>Mr. Jeff Smith</t>
  </si>
  <si>
    <t>17415 Sequoia Kings Dr</t>
  </si>
  <si>
    <t>77346-3915</t>
  </si>
  <si>
    <t>smith.jeffrey.eugene@gmail.com</t>
  </si>
  <si>
    <t>jeff.smith@nrg.com</t>
  </si>
  <si>
    <t>ALA17020C14A</t>
  </si>
  <si>
    <t>Vaughn</t>
  </si>
  <si>
    <t>Ms. Janet Vaughn</t>
  </si>
  <si>
    <t>2700 Norfolk Ct</t>
  </si>
  <si>
    <t>76210-2920</t>
  </si>
  <si>
    <t>ALQ0907AA017</t>
  </si>
  <si>
    <t>ALL23070B5BM</t>
  </si>
  <si>
    <t>Kaffenberg</t>
  </si>
  <si>
    <t>Mr. John M. Kaffenberg</t>
  </si>
  <si>
    <t>9919 Lorry Pl</t>
  </si>
  <si>
    <t>19114-2105</t>
  </si>
  <si>
    <t>ALQ0907AA009</t>
  </si>
  <si>
    <t>Eastwick</t>
  </si>
  <si>
    <t>Robert L. Eastwick</t>
  </si>
  <si>
    <t>1082 Union St Apt 10</t>
  </si>
  <si>
    <t>94133-2536</t>
  </si>
  <si>
    <t>larrye.1082@gmail.com</t>
  </si>
  <si>
    <t>larry.eastwick@itron.com</t>
  </si>
  <si>
    <t>ALQ0907AA006</t>
  </si>
  <si>
    <t>ALA15110F13A</t>
  </si>
  <si>
    <t>Kathryn L. Lewis</t>
  </si>
  <si>
    <t>PO Box 7273</t>
  </si>
  <si>
    <t>59406-7273</t>
  </si>
  <si>
    <t>bbkventures@bresnan.net</t>
  </si>
  <si>
    <t>ALQ0907AA003</t>
  </si>
  <si>
    <t>ALR171212040</t>
  </si>
  <si>
    <t>Merissa</t>
  </si>
  <si>
    <t>Ms. Merissa Johnson</t>
  </si>
  <si>
    <t>205 16th Ave NE</t>
  </si>
  <si>
    <t>55313-2527</t>
  </si>
  <si>
    <t>reryre@aol.com</t>
  </si>
  <si>
    <t>ALQ090001001</t>
  </si>
  <si>
    <t>Kilian</t>
  </si>
  <si>
    <t>1002 N Pershing Ave</t>
  </si>
  <si>
    <t>95203-2143</t>
  </si>
  <si>
    <t>ALL18120A7BM</t>
  </si>
  <si>
    <t>ALR130811040</t>
  </si>
  <si>
    <t>Haag</t>
  </si>
  <si>
    <t>Joan Haag</t>
  </si>
  <si>
    <t>11177 Fairfield Causeway Rd</t>
  </si>
  <si>
    <t>Brookville</t>
  </si>
  <si>
    <t>47012-9747</t>
  </si>
  <si>
    <t>foxygranny37@yahoo.com</t>
  </si>
  <si>
    <t>ALQ0907CA024</t>
  </si>
  <si>
    <t>Ruby</t>
  </si>
  <si>
    <t>Woolson</t>
  </si>
  <si>
    <t>Ruby Woolson</t>
  </si>
  <si>
    <t>15 Price Dr</t>
  </si>
  <si>
    <t>Pulaski</t>
  </si>
  <si>
    <t>13142-4113</t>
  </si>
  <si>
    <t>ALR100805001</t>
  </si>
  <si>
    <t>Piercy</t>
  </si>
  <si>
    <t>Judy and Keith</t>
  </si>
  <si>
    <t>5228 Davidson St SE</t>
  </si>
  <si>
    <t>97322-7195</t>
  </si>
  <si>
    <t>judaystar@hotmail.com</t>
  </si>
  <si>
    <t>ALQ0907DA038</t>
  </si>
  <si>
    <t>Gib</t>
  </si>
  <si>
    <t>Gib Hoffman</t>
  </si>
  <si>
    <t>1699 Nightingale Ln</t>
  </si>
  <si>
    <t>49649-9371</t>
  </si>
  <si>
    <t>ghoffman@basiclsp.net</t>
  </si>
  <si>
    <t>ALQ0907DA029</t>
  </si>
  <si>
    <t>ALA23080D55H</t>
  </si>
  <si>
    <t>ALR210501C54</t>
  </si>
  <si>
    <t>Greenlee</t>
  </si>
  <si>
    <t>Ms. Joy Greenlee</t>
  </si>
  <si>
    <t>20335 Black Tree Ln</t>
  </si>
  <si>
    <t>Estero</t>
  </si>
  <si>
    <t>33928-6451</t>
  </si>
  <si>
    <t>jcgreen520@aol.com</t>
  </si>
  <si>
    <t>bearscats79@aol.com</t>
  </si>
  <si>
    <t>ALQ0907FA046</t>
  </si>
  <si>
    <t>Don and Cherie Monroe</t>
  </si>
  <si>
    <t>Don and Cherie</t>
  </si>
  <si>
    <t>17474 E Prentice Cir</t>
  </si>
  <si>
    <t>80015-2409</t>
  </si>
  <si>
    <t>ALQ0908AB023</t>
  </si>
  <si>
    <t>ALR211201C54</t>
  </si>
  <si>
    <t>cheriemonroe@gmail.com</t>
  </si>
  <si>
    <t>Les</t>
  </si>
  <si>
    <t>Finster</t>
  </si>
  <si>
    <t>Mr. Les Finster</t>
  </si>
  <si>
    <t>3701 Connecticut Ave NW Apt 223</t>
  </si>
  <si>
    <t>20008-4501</t>
  </si>
  <si>
    <t>oerbier@aol.com</t>
  </si>
  <si>
    <t>ALQ0908BB029</t>
  </si>
  <si>
    <t>Armellini</t>
  </si>
  <si>
    <t>Sylvia J. Armellini</t>
  </si>
  <si>
    <t>11151 S Sandusky Ave</t>
  </si>
  <si>
    <t>74137-7508</t>
  </si>
  <si>
    <t>tarmellini@gmail.com</t>
  </si>
  <si>
    <t>ALQ0908BB002</t>
  </si>
  <si>
    <t>Marchant</t>
  </si>
  <si>
    <t>David and Susan Marchant</t>
  </si>
  <si>
    <t>11352 Camaloa Ave</t>
  </si>
  <si>
    <t>91342-6808</t>
  </si>
  <si>
    <t>suesteppinout@hotmail.com</t>
  </si>
  <si>
    <t>dmarchant05@gmail.com</t>
  </si>
  <si>
    <t>ALQ0908AB027</t>
  </si>
  <si>
    <t>ALA1310N1ADC</t>
  </si>
  <si>
    <t>Maryann</t>
  </si>
  <si>
    <t>Blinkhorn</t>
  </si>
  <si>
    <t>Maryann Blinkhorn</t>
  </si>
  <si>
    <t>955 Grand Ave</t>
  </si>
  <si>
    <t># 112</t>
  </si>
  <si>
    <t>92109-4042</t>
  </si>
  <si>
    <t>maryann.blinkhorn@gmail.com</t>
  </si>
  <si>
    <t>maryanneblinkhorn@gmail.com</t>
  </si>
  <si>
    <t>XNHSC4306</t>
  </si>
  <si>
    <t>ALA23070A12R</t>
  </si>
  <si>
    <t>ALA12020C14A</t>
  </si>
  <si>
    <t>Hengst</t>
  </si>
  <si>
    <t>Mr. Edward L. Hengst</t>
  </si>
  <si>
    <t>4332 Hill and Dale Rd</t>
  </si>
  <si>
    <t>Glen Rock</t>
  </si>
  <si>
    <t>17327-7633</t>
  </si>
  <si>
    <t>edhengst@yahoo.com</t>
  </si>
  <si>
    <t>ALQ0908CB032</t>
  </si>
  <si>
    <t>Mr. Kenneth Miles</t>
  </si>
  <si>
    <t>804 Yorktown Rd</t>
  </si>
  <si>
    <t>Blackwood</t>
  </si>
  <si>
    <t>08012-1022</t>
  </si>
  <si>
    <t>charles_miles@yahoo.com</t>
  </si>
  <si>
    <t>ALA16020C13A</t>
  </si>
  <si>
    <t>Mr. Robert Kennedy</t>
  </si>
  <si>
    <t>Harrah</t>
  </si>
  <si>
    <t>73045-1287</t>
  </si>
  <si>
    <t>bettyk79@gmail.com</t>
  </si>
  <si>
    <t>Rob Matlock</t>
  </si>
  <si>
    <t>PO Box 80073</t>
  </si>
  <si>
    <t>92138-0073</t>
  </si>
  <si>
    <t>rmat1@sbcglobal.net</t>
  </si>
  <si>
    <t>ALQ0908DB041</t>
  </si>
  <si>
    <t>Marilyn Davis</t>
  </si>
  <si>
    <t>2838 Mizzen Way</t>
  </si>
  <si>
    <t>34109-7654</t>
  </si>
  <si>
    <t>iskomark@gmail.com</t>
  </si>
  <si>
    <t>ALQ0908BB013</t>
  </si>
  <si>
    <t>ALR230904C33</t>
  </si>
  <si>
    <t>Mr. Scott Weaver</t>
  </si>
  <si>
    <t>10 Cleveland St</t>
  </si>
  <si>
    <t>02474-6916</t>
  </si>
  <si>
    <t>weaverwood@earthlink.net</t>
  </si>
  <si>
    <t>Neece</t>
  </si>
  <si>
    <t>Beth and Vernon Neece</t>
  </si>
  <si>
    <t>Beth and Vernon</t>
  </si>
  <si>
    <t>209 W Murray Ave</t>
  </si>
  <si>
    <t>27704-3147</t>
  </si>
  <si>
    <t>motherangel67@gmail.com</t>
  </si>
  <si>
    <t>ALQ0908DB050</t>
  </si>
  <si>
    <t>ALR231008C44</t>
  </si>
  <si>
    <t>vbn4@earthlink.net</t>
  </si>
  <si>
    <t>Kispert</t>
  </si>
  <si>
    <t>Mr. Lowell Kispert</t>
  </si>
  <si>
    <t>601 Bryce Blvd</t>
  </si>
  <si>
    <t>#327</t>
  </si>
  <si>
    <t>Tuscaloosa</t>
  </si>
  <si>
    <t>lkispert@bama.ua.edu</t>
  </si>
  <si>
    <t>ALQ0908BB020</t>
  </si>
  <si>
    <t>ALA22110F24A</t>
  </si>
  <si>
    <t>Kordich</t>
  </si>
  <si>
    <t>Glenda Kordich</t>
  </si>
  <si>
    <t>3004 Wesley Rd</t>
  </si>
  <si>
    <t>Spring Hill</t>
  </si>
  <si>
    <t>37174-3202</t>
  </si>
  <si>
    <t>gkordich@aol.com</t>
  </si>
  <si>
    <t>ALQ0905BL012</t>
  </si>
  <si>
    <t>ALA21070C12R</t>
  </si>
  <si>
    <t>ALA17110B13R</t>
  </si>
  <si>
    <t>Mr. Russell Reid</t>
  </si>
  <si>
    <t>1741 Sid Mitchell Rd</t>
  </si>
  <si>
    <t>Youngsville</t>
  </si>
  <si>
    <t>27596-9498</t>
  </si>
  <si>
    <t>mrrussreid@gmail.com</t>
  </si>
  <si>
    <t>reid7089@embarqmail.com</t>
  </si>
  <si>
    <t>ALQ0908BB021</t>
  </si>
  <si>
    <t>Niels</t>
  </si>
  <si>
    <t>Sundermeyer</t>
  </si>
  <si>
    <t>Mr. Niels F. Sundermeyer</t>
  </si>
  <si>
    <t>23500 Cristo Rey Dr Unit 324E</t>
  </si>
  <si>
    <t>95014-6529</t>
  </si>
  <si>
    <t>biz101@mac.com</t>
  </si>
  <si>
    <t>ALA090020001</t>
  </si>
  <si>
    <t>ALA2311D6EMC</t>
  </si>
  <si>
    <t>ALA100303004</t>
  </si>
  <si>
    <t>Caughell</t>
  </si>
  <si>
    <t>Mr. Marvin H. Caughell</t>
  </si>
  <si>
    <t>14006 W Tiffany Pl</t>
  </si>
  <si>
    <t>53151-4533</t>
  </si>
  <si>
    <t>rcaughell@att.net</t>
  </si>
  <si>
    <t>ALA23110B13R</t>
  </si>
  <si>
    <t>Sparks Baumgartner</t>
  </si>
  <si>
    <t>Anne Sparks Baumgartner</t>
  </si>
  <si>
    <t>209 Hermitage Rd</t>
  </si>
  <si>
    <t>27403-1444</t>
  </si>
  <si>
    <t>ALR231003C54</t>
  </si>
  <si>
    <t>Dr. Gregory Lewis</t>
  </si>
  <si>
    <t>273 Founders Way</t>
  </si>
  <si>
    <t>Mechanicsburg</t>
  </si>
  <si>
    <t>17050-9501</t>
  </si>
  <si>
    <t>glewis12@comcast.net</t>
  </si>
  <si>
    <t>ALA22010A55H</t>
  </si>
  <si>
    <t>ALR131002054</t>
  </si>
  <si>
    <t>Ettman</t>
  </si>
  <si>
    <t>Mrs. Rita B. Ettman</t>
  </si>
  <si>
    <t>81 Sage Dr</t>
  </si>
  <si>
    <t>Weaverville</t>
  </si>
  <si>
    <t>28787-7301</t>
  </si>
  <si>
    <t>rbettman@bellsouth.net</t>
  </si>
  <si>
    <t>ALQ0909CC022</t>
  </si>
  <si>
    <t>ALR190312C20</t>
  </si>
  <si>
    <t>ALR160504013</t>
  </si>
  <si>
    <t>Kreitzberg</t>
  </si>
  <si>
    <t>Barbara B. Kreitzberg</t>
  </si>
  <si>
    <t>721 Deer Valley Rd</t>
  </si>
  <si>
    <t>94903-5531</t>
  </si>
  <si>
    <t>ALQ0909BC015</t>
  </si>
  <si>
    <t>ALL21090C92M</t>
  </si>
  <si>
    <t>Sheryll</t>
  </si>
  <si>
    <t>Rockway</t>
  </si>
  <si>
    <t>Dr. Sheryll Rockway</t>
  </si>
  <si>
    <t>PO Box 223</t>
  </si>
  <si>
    <t>Baileys Harbor</t>
  </si>
  <si>
    <t>54202-0223</t>
  </si>
  <si>
    <t>shrock10@gmail.com</t>
  </si>
  <si>
    <t>ALQ0909BC021</t>
  </si>
  <si>
    <t>ALR151001054</t>
  </si>
  <si>
    <t>Kuennecke</t>
  </si>
  <si>
    <t>57 Alanthus Ln</t>
  </si>
  <si>
    <t>Hedgesville</t>
  </si>
  <si>
    <t>25427-6978</t>
  </si>
  <si>
    <t>bkuennecke@gmail.com</t>
  </si>
  <si>
    <t>bkuennecke@yahoo.com</t>
  </si>
  <si>
    <t>ALQ0909BC034</t>
  </si>
  <si>
    <t>Kimberlee</t>
  </si>
  <si>
    <t>Quatrone</t>
  </si>
  <si>
    <t>5448 Thompson Mill Rd</t>
  </si>
  <si>
    <t>Graham</t>
  </si>
  <si>
    <t>27253-9135</t>
  </si>
  <si>
    <t>ksupi29005@aol.com</t>
  </si>
  <si>
    <t>kquatrone@nc.rr.com</t>
  </si>
  <si>
    <t>ALQ0909AC009</t>
  </si>
  <si>
    <t>ALA2310D1DM4</t>
  </si>
  <si>
    <t>Ms. Joan Reinhold</t>
  </si>
  <si>
    <t>1047 Nettles Blvd</t>
  </si>
  <si>
    <t>Jensen Beach</t>
  </si>
  <si>
    <t>34957-3385</t>
  </si>
  <si>
    <t>jrrhinos@yahoo.com</t>
  </si>
  <si>
    <t>ALR230902C33</t>
  </si>
  <si>
    <t>Goldberg</t>
  </si>
  <si>
    <t>David Goldberg</t>
  </si>
  <si>
    <t>PO Box 5041</t>
  </si>
  <si>
    <t>85623-5041</t>
  </si>
  <si>
    <t>goldbergdavid46@gmail.com</t>
  </si>
  <si>
    <t>ALQ0908GB051</t>
  </si>
  <si>
    <t>ALR180409033</t>
  </si>
  <si>
    <t>ALL14070D63M</t>
  </si>
  <si>
    <t>Rosemayne</t>
  </si>
  <si>
    <t>Mrs. Rosemayne Alison</t>
  </si>
  <si>
    <t>1525 SE 107th Ave Apt 113</t>
  </si>
  <si>
    <t>97216-2467</t>
  </si>
  <si>
    <t>jrthompson43@hotmail.com</t>
  </si>
  <si>
    <t>Lyman</t>
  </si>
  <si>
    <t>Mr. Lyman H. Whitney</t>
  </si>
  <si>
    <t>500 Heartwood Dr Apt 210</t>
  </si>
  <si>
    <t>56441-5615</t>
  </si>
  <si>
    <t>ALA23110A23A</t>
  </si>
  <si>
    <t>Steffen</t>
  </si>
  <si>
    <t>Dave Steffen</t>
  </si>
  <si>
    <t>245 14th St</t>
  </si>
  <si>
    <t>54935-5904</t>
  </si>
  <si>
    <t>ALQ0909CC027</t>
  </si>
  <si>
    <t>A Schwieterman</t>
  </si>
  <si>
    <t>Ms. Marilyn A. A Schwieterman</t>
  </si>
  <si>
    <t>52 Pan American Ave</t>
  </si>
  <si>
    <t>81428-2009</t>
  </si>
  <si>
    <t>marilynschwieterman@gmail.com</t>
  </si>
  <si>
    <t>mschieterman@sbcglobal.net</t>
  </si>
  <si>
    <t>ALQ0910DD022</t>
  </si>
  <si>
    <t>ALR101101001</t>
  </si>
  <si>
    <t>Mr. Gary L. Aten</t>
  </si>
  <si>
    <t>127 Covington Rd</t>
  </si>
  <si>
    <t>29617-2000</t>
  </si>
  <si>
    <t>gary.aten42@gmail.com</t>
  </si>
  <si>
    <t>garyaten@bellsouth.net</t>
  </si>
  <si>
    <t>ADA210001M01</t>
  </si>
  <si>
    <t>Steinke</t>
  </si>
  <si>
    <t>Pheiffer</t>
  </si>
  <si>
    <t>Ms. Suzanne Steinke and Ms. Barbara Pheiffer</t>
  </si>
  <si>
    <t>Suzanne and Barbara</t>
  </si>
  <si>
    <t>103 Links Of Leith</t>
  </si>
  <si>
    <t>23188-7462</t>
  </si>
  <si>
    <t>ALQ1207DA202</t>
  </si>
  <si>
    <t>ALQ2000LUGC1</t>
  </si>
  <si>
    <t>bphieste@aol.com</t>
  </si>
  <si>
    <t>Currie</t>
  </si>
  <si>
    <t>432 Churea Ln</t>
  </si>
  <si>
    <t>Rio Rico</t>
  </si>
  <si>
    <t>85648-9722</t>
  </si>
  <si>
    <t>deirdre.hurd@gmail.com</t>
  </si>
  <si>
    <t>ALQ0909HC040</t>
  </si>
  <si>
    <t>ALR151215040</t>
  </si>
  <si>
    <t>Lynn V. Martin</t>
  </si>
  <si>
    <t>7286 Lyndover Pl Apt A</t>
  </si>
  <si>
    <t>63143-2362</t>
  </si>
  <si>
    <t>leslie.m.martin1@gmail.com</t>
  </si>
  <si>
    <t>ALA16100B5AD</t>
  </si>
  <si>
    <t>Mr. Thomas Healy</t>
  </si>
  <si>
    <t>306 S Greene St</t>
  </si>
  <si>
    <t>50036-4723</t>
  </si>
  <si>
    <t>ALQ0909GC031</t>
  </si>
  <si>
    <t>ALA24020A11A</t>
  </si>
  <si>
    <t>Honkisz</t>
  </si>
  <si>
    <t>Mr. James Honkisz</t>
  </si>
  <si>
    <t>3747 Peachtree Rd Ne</t>
  </si>
  <si>
    <t>Apt 1419</t>
  </si>
  <si>
    <t>30319-1332</t>
  </si>
  <si>
    <t>Landon and Sherry Kimbrough</t>
  </si>
  <si>
    <t>Landon and Sherry</t>
  </si>
  <si>
    <t>2840 Aragon Ave</t>
  </si>
  <si>
    <t>88007-1940</t>
  </si>
  <si>
    <t>captaink45@gmail.com</t>
  </si>
  <si>
    <t>landonkimbrough@gmail.com</t>
  </si>
  <si>
    <t>ALR18XX0W001</t>
  </si>
  <si>
    <t>ptguy@email.com</t>
  </si>
  <si>
    <t>lanstatvp@gmail.com</t>
  </si>
  <si>
    <t>Mrs. Dana M. Schwartz</t>
  </si>
  <si>
    <t>6704 Lost Vly</t>
  </si>
  <si>
    <t>78745-4603</t>
  </si>
  <si>
    <t>dana@realnormal.com</t>
  </si>
  <si>
    <t>Throw</t>
  </si>
  <si>
    <t>Edward Throw</t>
  </si>
  <si>
    <t>362 Richert Ct</t>
  </si>
  <si>
    <t>60120-6714</t>
  </si>
  <si>
    <t>ALQ0910BD011</t>
  </si>
  <si>
    <t>ALA23080D54H</t>
  </si>
  <si>
    <t>Jeff Greenberg</t>
  </si>
  <si>
    <t>9 Poppy Rd</t>
  </si>
  <si>
    <t>Carmel Valley</t>
  </si>
  <si>
    <t>93924-9618</t>
  </si>
  <si>
    <t>bear8855@aol.com</t>
  </si>
  <si>
    <t>ALQ0803BJ011</t>
  </si>
  <si>
    <t>ALR210901C33</t>
  </si>
  <si>
    <t>Brierre</t>
  </si>
  <si>
    <t>Sally and William Brierre</t>
  </si>
  <si>
    <t>Sally and William</t>
  </si>
  <si>
    <t>4800 Fillmore Ave Apt 352</t>
  </si>
  <si>
    <t>22311-5068</t>
  </si>
  <si>
    <t>wvbrierre@aol.com</t>
  </si>
  <si>
    <t>salgal21@aol.com</t>
  </si>
  <si>
    <t>ALA21070C54H</t>
  </si>
  <si>
    <t>wvbrierre@gmail.com</t>
  </si>
  <si>
    <t>Billie Jean</t>
  </si>
  <si>
    <t>PO Box 399</t>
  </si>
  <si>
    <t>98231-0399</t>
  </si>
  <si>
    <t>bill.james010@gmail.com</t>
  </si>
  <si>
    <t>we_james@embargmail.com</t>
  </si>
  <si>
    <t>ALQ0910BD010</t>
  </si>
  <si>
    <t>ATR141001002</t>
  </si>
  <si>
    <t>ATR131101001</t>
  </si>
  <si>
    <t>Jeffrey Schmidt</t>
  </si>
  <si>
    <t>1014 Riverton Rd</t>
  </si>
  <si>
    <t>Cinnaminson</t>
  </si>
  <si>
    <t>08077-2337</t>
  </si>
  <si>
    <t>mmhall1000@aol.com</t>
  </si>
  <si>
    <t>ALQ0910DD030</t>
  </si>
  <si>
    <t>ALA20120A45A</t>
  </si>
  <si>
    <t>Aerni</t>
  </si>
  <si>
    <t>Frazis</t>
  </si>
  <si>
    <t>William Aerni and Janet Frazis</t>
  </si>
  <si>
    <t>30965 Pine Cone Dr</t>
  </si>
  <si>
    <t>48331-1199</t>
  </si>
  <si>
    <t>jfrazis@earthlink.net</t>
  </si>
  <si>
    <t>jfraz15@earthlink.net</t>
  </si>
  <si>
    <t>ALQ0910CD004</t>
  </si>
  <si>
    <t>Kira</t>
  </si>
  <si>
    <t>Heartsong</t>
  </si>
  <si>
    <t>Kira Heartsong</t>
  </si>
  <si>
    <t>7519 W County Road 12</t>
  </si>
  <si>
    <t>80537-8316</t>
  </si>
  <si>
    <t>khrtsg1@outlook.com</t>
  </si>
  <si>
    <t>kheartsong@sprynet.com</t>
  </si>
  <si>
    <t>ALA12070D24A</t>
  </si>
  <si>
    <t>David and Anne Johnson</t>
  </si>
  <si>
    <t>David and Anne</t>
  </si>
  <si>
    <t>21045 Cardinal Pond Ter Apt 115</t>
  </si>
  <si>
    <t>20147-6123</t>
  </si>
  <si>
    <t>ddowdellj@aol.com</t>
  </si>
  <si>
    <t>ddowndellt@juno.com</t>
  </si>
  <si>
    <t>ALQ0911AE005</t>
  </si>
  <si>
    <t>ALR101204001</t>
  </si>
  <si>
    <t>Patsy</t>
  </si>
  <si>
    <t>Hammontree</t>
  </si>
  <si>
    <t>Patsy Hammontree</t>
  </si>
  <si>
    <t>8400 Highway 70 E</t>
  </si>
  <si>
    <t>37772-5532</t>
  </si>
  <si>
    <t>ALQ0911AE003</t>
  </si>
  <si>
    <t>Droz</t>
  </si>
  <si>
    <t>Mrs. Anna and Mr. Thomas Droz</t>
  </si>
  <si>
    <t>Anna and Thomas</t>
  </si>
  <si>
    <t>131 Monroe Dr</t>
  </si>
  <si>
    <t>14221-6868</t>
  </si>
  <si>
    <t>tom.droz@willis.com</t>
  </si>
  <si>
    <t>tomdroz57@gmail.com</t>
  </si>
  <si>
    <t>Decker</t>
  </si>
  <si>
    <t>Ms. Susan Decker</t>
  </si>
  <si>
    <t>1341 Paterson Ave</t>
  </si>
  <si>
    <t>Whiting</t>
  </si>
  <si>
    <t>08759-3915</t>
  </si>
  <si>
    <t>suedecker322@gmail.com</t>
  </si>
  <si>
    <t>edecker322@msn.com</t>
  </si>
  <si>
    <t>ALQ0911CE018</t>
  </si>
  <si>
    <t>Conlen</t>
  </si>
  <si>
    <t>Lynn M. Conlen</t>
  </si>
  <si>
    <t>37893 Mallast St</t>
  </si>
  <si>
    <t>Harrison Township</t>
  </si>
  <si>
    <t>48045-2716</t>
  </si>
  <si>
    <t>lmnc711@gmail.com</t>
  </si>
  <si>
    <t>Wheeler</t>
  </si>
  <si>
    <t>Mr. Donald Wheeler</t>
  </si>
  <si>
    <t>74 Shippee Rd</t>
  </si>
  <si>
    <t>Readsboro</t>
  </si>
  <si>
    <t>05350-9758</t>
  </si>
  <si>
    <t>ALQ0911BE007</t>
  </si>
  <si>
    <t>ALR160501023</t>
  </si>
  <si>
    <t>Eytel</t>
  </si>
  <si>
    <t>Laurie E. Eytel</t>
  </si>
  <si>
    <t>2053 Sonoma Valley Dr</t>
  </si>
  <si>
    <t>Renfrew</t>
  </si>
  <si>
    <t>16053-9275</t>
  </si>
  <si>
    <t>leytel@outlook.com</t>
  </si>
  <si>
    <t>touafriend@hotmail.com</t>
  </si>
  <si>
    <t>Mr. Joseph Carr</t>
  </si>
  <si>
    <t>1612 Clayton Ave</t>
  </si>
  <si>
    <t>40505-4005</t>
  </si>
  <si>
    <t>joecarr031@gmail.com</t>
  </si>
  <si>
    <t>josephcarr@insightbb.com</t>
  </si>
  <si>
    <t>ALQ0911CE017</t>
  </si>
  <si>
    <t>ALA23110A34C</t>
  </si>
  <si>
    <t>Mrs. Margaret E. and Mr. Donald C. Fuhr</t>
  </si>
  <si>
    <t>Margaret and Donald</t>
  </si>
  <si>
    <t>22241 US Highway 231</t>
  </si>
  <si>
    <t>35151-2385</t>
  </si>
  <si>
    <t>fuhr2006@charter.net</t>
  </si>
  <si>
    <t>ALQ0911DE023</t>
  </si>
  <si>
    <t>Latina</t>
  </si>
  <si>
    <t>Ms. Suzanne Latina</t>
  </si>
  <si>
    <t>801 S Federal Hwy Apt 310</t>
  </si>
  <si>
    <t>33062-6766</t>
  </si>
  <si>
    <t>slatina@comcast.net</t>
  </si>
  <si>
    <t>ALQ0911DE024</t>
  </si>
  <si>
    <t>ALA23040D13R</t>
  </si>
  <si>
    <t>ALA1605D1EMC</t>
  </si>
  <si>
    <t>McGuire</t>
  </si>
  <si>
    <t>Ms. Patty A. McGuire</t>
  </si>
  <si>
    <t>7913 Fishel Creek Rd</t>
  </si>
  <si>
    <t>Seven Valleys</t>
  </si>
  <si>
    <t>17360-9047</t>
  </si>
  <si>
    <t>pmc1620@yahoo.com</t>
  </si>
  <si>
    <t>ALQ0911BE001</t>
  </si>
  <si>
    <t>ATA2312T5EMC</t>
  </si>
  <si>
    <t>Joanne L. Woodruff</t>
  </si>
  <si>
    <t>1007 Porters Neck Rd Apt 149</t>
  </si>
  <si>
    <t>28411-6304</t>
  </si>
  <si>
    <t>ALQ0911EE030</t>
  </si>
  <si>
    <t>ALA18050A34C</t>
  </si>
  <si>
    <t>ALR130313040</t>
  </si>
  <si>
    <t>Diane Kelly</t>
  </si>
  <si>
    <t>11132 Kenny Dr</t>
  </si>
  <si>
    <t>76244-7436</t>
  </si>
  <si>
    <t>dkmamaw@gmail.com</t>
  </si>
  <si>
    <t>ALQ0911BE011</t>
  </si>
  <si>
    <t>ALA24020B12A</t>
  </si>
  <si>
    <t>ALR200613C30</t>
  </si>
  <si>
    <t>Mrs. Susan Andrews</t>
  </si>
  <si>
    <t>700 Brick Mill Run Apt 605</t>
  </si>
  <si>
    <t>Westlake</t>
  </si>
  <si>
    <t>44145-1653</t>
  </si>
  <si>
    <t>sue.andrews7281@sbcglobal.net</t>
  </si>
  <si>
    <t>ALQ0909AC010</t>
  </si>
  <si>
    <t>Mrs. Monica Chapin</t>
  </si>
  <si>
    <t>3133 Gloss Ave</t>
  </si>
  <si>
    <t>45213-2425</t>
  </si>
  <si>
    <t>monicawolfchapin@gmail.com</t>
  </si>
  <si>
    <t>monicaswe@hotmail.com</t>
  </si>
  <si>
    <t>ALA090100001</t>
  </si>
  <si>
    <t>ALR240501C64</t>
  </si>
  <si>
    <t>ALR230501C64</t>
  </si>
  <si>
    <t>Mr. Walter Ford</t>
  </si>
  <si>
    <t>3811 Newark St NW # 434</t>
  </si>
  <si>
    <t>20016-3023</t>
  </si>
  <si>
    <t>walt857@gmail.com</t>
  </si>
  <si>
    <t>ALR133647EMC</t>
  </si>
  <si>
    <t>Susan and Robert Vaughn</t>
  </si>
  <si>
    <t>Susan and Robert</t>
  </si>
  <si>
    <t>5650 Grace Woods Dr Unit 304</t>
  </si>
  <si>
    <t>44094-8921</t>
  </si>
  <si>
    <t>ALQ0907AA016</t>
  </si>
  <si>
    <t>ALR200101C64</t>
  </si>
  <si>
    <t>rvaughn9135@gmail.com</t>
  </si>
  <si>
    <t>Dr. Karen Nelson</t>
  </si>
  <si>
    <t>2211 SW Park Pl Unit 503</t>
  </si>
  <si>
    <t>97205-1153</t>
  </si>
  <si>
    <t>nelson8360@msn.com</t>
  </si>
  <si>
    <t>Shafer</t>
  </si>
  <si>
    <t>Mr. Reed Shafer</t>
  </si>
  <si>
    <t>PO Box 21179</t>
  </si>
  <si>
    <t>82003-7023</t>
  </si>
  <si>
    <t>chriskidski@hotmail.com</t>
  </si>
  <si>
    <t>ALQ0911AE010</t>
  </si>
  <si>
    <t>ALR220705C54</t>
  </si>
  <si>
    <t>Vickie</t>
  </si>
  <si>
    <t>Elwood</t>
  </si>
  <si>
    <t>Vickie Elwood</t>
  </si>
  <si>
    <t>311 18th Ave SW</t>
  </si>
  <si>
    <t>55902-0855</t>
  </si>
  <si>
    <t>ALQ0911DE026</t>
  </si>
  <si>
    <t>ALA23080A14A</t>
  </si>
  <si>
    <t>Denholm</t>
  </si>
  <si>
    <t>Mr. Michael J. Denholm</t>
  </si>
  <si>
    <t>2885 Woodbridge Ln</t>
  </si>
  <si>
    <t>44224-5146</t>
  </si>
  <si>
    <t>mdenholm2@gmail.com</t>
  </si>
  <si>
    <t>mdenholmj@gmail.com</t>
  </si>
  <si>
    <t>ALQ0910DD031</t>
  </si>
  <si>
    <t>ALR230001001</t>
  </si>
  <si>
    <t>Otten</t>
  </si>
  <si>
    <t>Karen Otten</t>
  </si>
  <si>
    <t>677 Asbury Station Rd</t>
  </si>
  <si>
    <t>Logan Township</t>
  </si>
  <si>
    <t>08085-4414</t>
  </si>
  <si>
    <t>kotten@comcast.net</t>
  </si>
  <si>
    <t>ckotten@comcast.net</t>
  </si>
  <si>
    <t>ALR100001001</t>
  </si>
  <si>
    <t>Curtis</t>
  </si>
  <si>
    <t>Bucher</t>
  </si>
  <si>
    <t>Mr. Curtis R. Bucher</t>
  </si>
  <si>
    <t>155 Peony Ave</t>
  </si>
  <si>
    <t>15229-1076</t>
  </si>
  <si>
    <t>XNBST4002</t>
  </si>
  <si>
    <t>Bignardi</t>
  </si>
  <si>
    <t>Paul A. Bignardi</t>
  </si>
  <si>
    <t>2830 Garfield St</t>
  </si>
  <si>
    <t>94403-2758</t>
  </si>
  <si>
    <t>p_bignardi@sbcglobal.net</t>
  </si>
  <si>
    <t>ALQ0911DE022</t>
  </si>
  <si>
    <t>ALR210103C33</t>
  </si>
  <si>
    <t>Gran</t>
  </si>
  <si>
    <t>Mr. Keith L. Gran</t>
  </si>
  <si>
    <t>9793 Golden Raintree Ave</t>
  </si>
  <si>
    <t>46268-3926</t>
  </si>
  <si>
    <t>martha.gran@att.net</t>
  </si>
  <si>
    <t>ALQ0912DF015</t>
  </si>
  <si>
    <t>Deuser</t>
  </si>
  <si>
    <t>Dr. Werner G. Deuser</t>
  </si>
  <si>
    <t>130 Sippewissett Rd</t>
  </si>
  <si>
    <t>02540-1819</t>
  </si>
  <si>
    <t>wdeuser@whoi.edu</t>
  </si>
  <si>
    <t>ALQ0912AF002</t>
  </si>
  <si>
    <t>Haworth</t>
  </si>
  <si>
    <t>Mr. Judith Haworth</t>
  </si>
  <si>
    <t>Po Box 9</t>
  </si>
  <si>
    <t>Saint Marys</t>
  </si>
  <si>
    <t>45885-0009</t>
  </si>
  <si>
    <t>ALQ0912CF008</t>
  </si>
  <si>
    <t>ALR200503C33</t>
  </si>
  <si>
    <t>Balleine</t>
  </si>
  <si>
    <t>Mr. Charles E. Balleine</t>
  </si>
  <si>
    <t>2754 Creekwood Cir</t>
  </si>
  <si>
    <t>54311-4618</t>
  </si>
  <si>
    <t>rawsr2s4@outlook.com</t>
  </si>
  <si>
    <t>ALQ0912BF019</t>
  </si>
  <si>
    <t>ALR220401C66</t>
  </si>
  <si>
    <t>Shirlee Smolin</t>
  </si>
  <si>
    <t>5190 River Dr</t>
  </si>
  <si>
    <t>17406-8775</t>
  </si>
  <si>
    <t>ALQ0912DF016</t>
  </si>
  <si>
    <t>ALA20110A54H</t>
  </si>
  <si>
    <t>ALA20050A54H</t>
  </si>
  <si>
    <t>Ms. Ann C. Smith</t>
  </si>
  <si>
    <t>240 Lurline Dr</t>
  </si>
  <si>
    <t>Basking Ridge</t>
  </si>
  <si>
    <t>07920-2624</t>
  </si>
  <si>
    <t>agwiz@juno.com</t>
  </si>
  <si>
    <t>songsfrtheattic@aol.com</t>
  </si>
  <si>
    <t>ALQ0912EF022</t>
  </si>
  <si>
    <t>ALR220103C33</t>
  </si>
  <si>
    <t>Claude W. Lee</t>
  </si>
  <si>
    <t>PO Box 5111</t>
  </si>
  <si>
    <t>85377-5111</t>
  </si>
  <si>
    <t>cwlee@htc.net</t>
  </si>
  <si>
    <t>ALQ0912BF018</t>
  </si>
  <si>
    <t>ALR240205C33</t>
  </si>
  <si>
    <t>Mcdonel</t>
  </si>
  <si>
    <t>Ms. Ruth Mcdonel</t>
  </si>
  <si>
    <t>7005 Stadium Dr Apt 214</t>
  </si>
  <si>
    <t>44141-1895</t>
  </si>
  <si>
    <t>bmcdonel1@hotmail.com</t>
  </si>
  <si>
    <t>timtohymcdonel@yahoo.com</t>
  </si>
  <si>
    <t>ALA22080B55H</t>
  </si>
  <si>
    <t>6414 Cliffside Pass</t>
  </si>
  <si>
    <t>46845-9401</t>
  </si>
  <si>
    <t>hoosierb.24@gmail.com</t>
  </si>
  <si>
    <t>ALQ0912BF021</t>
  </si>
  <si>
    <t>ALA16040D14A</t>
  </si>
  <si>
    <t>Dillman</t>
  </si>
  <si>
    <t>Denver and Helen Dillman</t>
  </si>
  <si>
    <t>Denver and Helen</t>
  </si>
  <si>
    <t>16751 SE 82nd Dr Apt 213</t>
  </si>
  <si>
    <t>Clackamas</t>
  </si>
  <si>
    <t>97015-9532</t>
  </si>
  <si>
    <t>ddsmoose@gmail.com</t>
  </si>
  <si>
    <t>ALQ1001EG020</t>
  </si>
  <si>
    <t>ALR141205044</t>
  </si>
  <si>
    <t>loba_tigon@hotmail.com</t>
  </si>
  <si>
    <t>Pamela Morgan</t>
  </si>
  <si>
    <t>119 Northland Ave</t>
  </si>
  <si>
    <t>28115-9404</t>
  </si>
  <si>
    <t>serpikvl@hotmail.com</t>
  </si>
  <si>
    <t>Robert Sullivan</t>
  </si>
  <si>
    <t>400 37th St</t>
  </si>
  <si>
    <t>95816-3426</t>
  </si>
  <si>
    <t>bubbacooti@comcast.net</t>
  </si>
  <si>
    <t>bubbacooti@gmail.com</t>
  </si>
  <si>
    <t>ALQ1001DG026</t>
  </si>
  <si>
    <t>ALA23020B44A</t>
  </si>
  <si>
    <t>John M. Manchester</t>
  </si>
  <si>
    <t>192 Frazier St</t>
  </si>
  <si>
    <t>24901-2066</t>
  </si>
  <si>
    <t>jmanchester3@verizon.net</t>
  </si>
  <si>
    <t>manchesterconnie@yahoo.com</t>
  </si>
  <si>
    <t>ALQ0912DF014</t>
  </si>
  <si>
    <t>ALR120201012</t>
  </si>
  <si>
    <t>Karen Gaffney</t>
  </si>
  <si>
    <t>226 Fir Tree Ln</t>
  </si>
  <si>
    <t>22923-2701</t>
  </si>
  <si>
    <t>halloween35@hotmail.com</t>
  </si>
  <si>
    <t>ALQ1001BG002</t>
  </si>
  <si>
    <t>Wilhelm</t>
  </si>
  <si>
    <t>Mr. Robert Wilhelm</t>
  </si>
  <si>
    <t>3405 Jefferson Blvd</t>
  </si>
  <si>
    <t>West Sacramento</t>
  </si>
  <si>
    <t>95691-5224</t>
  </si>
  <si>
    <t>ALQ1001AG010</t>
  </si>
  <si>
    <t>Mr. Kent Simpson</t>
  </si>
  <si>
    <t>9049 Broken Arrow Rd</t>
  </si>
  <si>
    <t>46234-2514</t>
  </si>
  <si>
    <t>e12547@aol.com</t>
  </si>
  <si>
    <t>ALA100001002</t>
  </si>
  <si>
    <t>ALR2108D0DMC</t>
  </si>
  <si>
    <t>Pinault</t>
  </si>
  <si>
    <t>Mrs. Pamela Pinault</t>
  </si>
  <si>
    <t>258 Mast Hill Rd</t>
  </si>
  <si>
    <t>Bucksport</t>
  </si>
  <si>
    <t>04416-4741</t>
  </si>
  <si>
    <t>pampinault@hotmail.com</t>
  </si>
  <si>
    <t>ALZ100001001</t>
  </si>
  <si>
    <t>ALA22070A13R</t>
  </si>
  <si>
    <t>ALR140202044</t>
  </si>
  <si>
    <t>Mr. Chris D. Elliott</t>
  </si>
  <si>
    <t>55 Lancaster Ln</t>
  </si>
  <si>
    <t>West Milford</t>
  </si>
  <si>
    <t>07480-1114</t>
  </si>
  <si>
    <t>chrisdelliott2015@gmail.com</t>
  </si>
  <si>
    <t>chrisdelliott@aol.com</t>
  </si>
  <si>
    <t>ALQ1001FG042</t>
  </si>
  <si>
    <t>11 Kelly Ct</t>
  </si>
  <si>
    <t>08807-3057</t>
  </si>
  <si>
    <t>librariansinger@gmail.com</t>
  </si>
  <si>
    <t>ALQ1001EG022</t>
  </si>
  <si>
    <t>ALA2208D4EMC</t>
  </si>
  <si>
    <t>36944 Bass Lake Dr</t>
  </si>
  <si>
    <t>Cohasset</t>
  </si>
  <si>
    <t>55721-2062</t>
  </si>
  <si>
    <t>brmiller@paulbunyan.net</t>
  </si>
  <si>
    <t>ALQ1001AG011</t>
  </si>
  <si>
    <t>Coughlin</t>
  </si>
  <si>
    <t>Linda Coughlin</t>
  </si>
  <si>
    <t>18 Haverstock Rd</t>
  </si>
  <si>
    <t>02038-2615</t>
  </si>
  <si>
    <t>jack.coughlin699@gmail.com</t>
  </si>
  <si>
    <t>jacklinda@comcast.net</t>
  </si>
  <si>
    <t>ALQ0902DH035</t>
  </si>
  <si>
    <t>Kolibab</t>
  </si>
  <si>
    <t>126 Iris Rd</t>
  </si>
  <si>
    <t>60561-3967</t>
  </si>
  <si>
    <t>jkolib@aol.com</t>
  </si>
  <si>
    <t>ALQ1001AG013</t>
  </si>
  <si>
    <t>ALA23090B45A</t>
  </si>
  <si>
    <t>Schenke</t>
  </si>
  <si>
    <t>Barbara Schenke</t>
  </si>
  <si>
    <t>1925 Malvern Ave Apt 6C</t>
  </si>
  <si>
    <t>71901-7781</t>
  </si>
  <si>
    <t>bschenke@dishmail.com</t>
  </si>
  <si>
    <t>bschenke@dishmail.net</t>
  </si>
  <si>
    <t>ALQ1001FG041</t>
  </si>
  <si>
    <t>ALA15080A23C</t>
  </si>
  <si>
    <t>Claire Hunt</t>
  </si>
  <si>
    <t>14 E Reading Ave</t>
  </si>
  <si>
    <t>Pleasantville</t>
  </si>
  <si>
    <t>08232-1428</t>
  </si>
  <si>
    <t>ALQ1001FG043</t>
  </si>
  <si>
    <t>ALL21090C83M</t>
  </si>
  <si>
    <t>Arne</t>
  </si>
  <si>
    <t>Jorgensen</t>
  </si>
  <si>
    <t>Arne and Lynda</t>
  </si>
  <si>
    <t>3168 Airport Rd</t>
  </si>
  <si>
    <t>95667-6048</t>
  </si>
  <si>
    <t>ALQ1001AG003</t>
  </si>
  <si>
    <t>ALL1405L1EMY</t>
  </si>
  <si>
    <t>arnejorgensen@mac.com</t>
  </si>
  <si>
    <t>Robert and Beverly Roxby</t>
  </si>
  <si>
    <t>Robert and Beverly</t>
  </si>
  <si>
    <t>9 Sea Breeze Ln</t>
  </si>
  <si>
    <t>04915-7320</t>
  </si>
  <si>
    <t>rroxby@maine.edu</t>
  </si>
  <si>
    <t>ALQ1001HG047</t>
  </si>
  <si>
    <t>ALA1905D4EMC</t>
  </si>
  <si>
    <t>beverlyteach@gmail.com</t>
  </si>
  <si>
    <t>ALS231001WS3</t>
  </si>
  <si>
    <t>Adelizzi</t>
  </si>
  <si>
    <t>Mrs. Patricia G. Adelizzi</t>
  </si>
  <si>
    <t>6244 Fire Tower Rd</t>
  </si>
  <si>
    <t>21801-1734</t>
  </si>
  <si>
    <t>pattyga@aol.com</t>
  </si>
  <si>
    <t>ALQ1002BH015</t>
  </si>
  <si>
    <t>ALR240402C23</t>
  </si>
  <si>
    <t>ALR170513020</t>
  </si>
  <si>
    <t>4967 Cindy Ave</t>
  </si>
  <si>
    <t>92008-3847</t>
  </si>
  <si>
    <t>jsgambelluri@roadrunner.com</t>
  </si>
  <si>
    <t>ALQ1002AH017</t>
  </si>
  <si>
    <t>ALQ2001N0WSC</t>
  </si>
  <si>
    <t>ALA11070A14R</t>
  </si>
  <si>
    <t>Halbreich</t>
  </si>
  <si>
    <t>Elizabeth Halbreich</t>
  </si>
  <si>
    <t>11815 SW Brighton Falls Dr</t>
  </si>
  <si>
    <t>Port Saint Lucie</t>
  </si>
  <si>
    <t>34987-7702</t>
  </si>
  <si>
    <t>ALQ1002DH026</t>
  </si>
  <si>
    <t>ALR211110C23</t>
  </si>
  <si>
    <t>ALR190407C23</t>
  </si>
  <si>
    <t>Ms. Alison Mitchell</t>
  </si>
  <si>
    <t>1875 28th St</t>
  </si>
  <si>
    <t>84403-0511</t>
  </si>
  <si>
    <t>rjcmyl939@hotmail.com</t>
  </si>
  <si>
    <t>amitchell@gsbsarchitects.com</t>
  </si>
  <si>
    <t>ALQ1002DH027</t>
  </si>
  <si>
    <t>ALL17020D4BM</t>
  </si>
  <si>
    <t>ALR121202133</t>
  </si>
  <si>
    <t>Les and Sandi Sandy</t>
  </si>
  <si>
    <t>Les and Sandi</t>
  </si>
  <si>
    <t>173 Pheasant Hollow Dr</t>
  </si>
  <si>
    <t>60527-5050</t>
  </si>
  <si>
    <t>ALQ1002AH022</t>
  </si>
  <si>
    <t>ALA14070F15A</t>
  </si>
  <si>
    <t>Pasche</t>
  </si>
  <si>
    <t>Mrs. Linda and Mr. Mark Pasche</t>
  </si>
  <si>
    <t>Linda and Mark</t>
  </si>
  <si>
    <t>135 Clacksburg Ct</t>
  </si>
  <si>
    <t>Clemmons</t>
  </si>
  <si>
    <t>mark.pasche58@gmail.com</t>
  </si>
  <si>
    <t>mp81658@yahoo.com</t>
  </si>
  <si>
    <t>ALA100700001</t>
  </si>
  <si>
    <t>ALA21110B34A</t>
  </si>
  <si>
    <t>Mrs. Shirley L. and Mr. Matthew T. Kirby</t>
  </si>
  <si>
    <t>Shirley and Matthew</t>
  </si>
  <si>
    <t>2918 Wicklow Rd</t>
  </si>
  <si>
    <t>90064-4512</t>
  </si>
  <si>
    <t>bagraham3607@hotmail.com</t>
  </si>
  <si>
    <t>bongvcb@live.com</t>
  </si>
  <si>
    <t>ALQ1002AH005</t>
  </si>
  <si>
    <t>ommmtk@me.com</t>
  </si>
  <si>
    <t>ATA2111T1EMC</t>
  </si>
  <si>
    <t>Boughner</t>
  </si>
  <si>
    <t>Laura Boughner and Renae Breitenstein</t>
  </si>
  <si>
    <t>Laura and Renae</t>
  </si>
  <si>
    <t>4211 Terrabella Way</t>
  </si>
  <si>
    <t>94619-3168</t>
  </si>
  <si>
    <t>llbough@gmail.com</t>
  </si>
  <si>
    <t>ALB100001003</t>
  </si>
  <si>
    <t>rrbreiten@gmail.com</t>
  </si>
  <si>
    <t>Mrs. Elizabeth Towle</t>
  </si>
  <si>
    <t>4641 W Sangria Dr</t>
  </si>
  <si>
    <t>46350-8411</t>
  </si>
  <si>
    <t>embarkow@hotmail.com</t>
  </si>
  <si>
    <t>ALQ1002BH003</t>
  </si>
  <si>
    <t>ALR230503C23</t>
  </si>
  <si>
    <t>ALR110405001</t>
  </si>
  <si>
    <t>Raleigh C. Wong</t>
  </si>
  <si>
    <t>3890 Nobel Dr Unit 1405</t>
  </si>
  <si>
    <t>92122-5783</t>
  </si>
  <si>
    <t>tea12371@gmail.com</t>
  </si>
  <si>
    <t>Terry Dana</t>
  </si>
  <si>
    <t>1215 S Cove Ln</t>
  </si>
  <si>
    <t>Vestavia Hills</t>
  </si>
  <si>
    <t>35216-3867</t>
  </si>
  <si>
    <t>Heidi L. Roth</t>
  </si>
  <si>
    <t>1045 Hill St</t>
  </si>
  <si>
    <t>53098-3015</t>
  </si>
  <si>
    <t>danielleroth307@gmail.com</t>
  </si>
  <si>
    <t>heidilucia@yahoo.com</t>
  </si>
  <si>
    <t>ALQ1003DJ021</t>
  </si>
  <si>
    <t>Wilma Kreipke</t>
  </si>
  <si>
    <t>44367 Royal Lytham Dr</t>
  </si>
  <si>
    <t>92201-2789</t>
  </si>
  <si>
    <t>ALQ1003DJ023</t>
  </si>
  <si>
    <t>ALR210610C33</t>
  </si>
  <si>
    <t>Mr. Tim O'Brien</t>
  </si>
  <si>
    <t>2974 S Huron Rd</t>
  </si>
  <si>
    <t>54311-6853</t>
  </si>
  <si>
    <t>spitllama@gmail.com</t>
  </si>
  <si>
    <t>lmbe@yahoo.com</t>
  </si>
  <si>
    <t>XNJSA5906</t>
  </si>
  <si>
    <t>Hoyle</t>
  </si>
  <si>
    <t>77669 Ashberry Court</t>
  </si>
  <si>
    <t>Ms. O'Connor</t>
  </si>
  <si>
    <t>11 2ND Street NE #204</t>
  </si>
  <si>
    <t>20002-7398</t>
  </si>
  <si>
    <t>noconnor.email@gmail.com</t>
  </si>
  <si>
    <t>Schlam</t>
  </si>
  <si>
    <t>Mr. Steven R. Schlam</t>
  </si>
  <si>
    <t>3592 Granada Ave</t>
  </si>
  <si>
    <t>92104-4145</t>
  </si>
  <si>
    <t>steveschlam@yahoo.com</t>
  </si>
  <si>
    <t>ALQ1002DH033</t>
  </si>
  <si>
    <t>McCallum</t>
  </si>
  <si>
    <t>Steve J. McCallum</t>
  </si>
  <si>
    <t>9357 Katie Ct</t>
  </si>
  <si>
    <t>48734-9599</t>
  </si>
  <si>
    <t>simon.harvey01@gmail.com</t>
  </si>
  <si>
    <t>Dennis and Nan Crockett</t>
  </si>
  <si>
    <t>Dennis and Nan</t>
  </si>
  <si>
    <t>11842 Cash Smith Rd</t>
  </si>
  <si>
    <t>Keymar</t>
  </si>
  <si>
    <t>21757-8304</t>
  </si>
  <si>
    <t>kndcrockett@comcast.net</t>
  </si>
  <si>
    <t>ALQ1003BJ003</t>
  </si>
  <si>
    <t>ALA22080B25A</t>
  </si>
  <si>
    <t>ALQ2112N0FBP</t>
  </si>
  <si>
    <t>Chaisson</t>
  </si>
  <si>
    <t>Lola</t>
  </si>
  <si>
    <t>Lola and Eric</t>
  </si>
  <si>
    <t>77 Walden St</t>
  </si>
  <si>
    <t>01742-2508</t>
  </si>
  <si>
    <t>ejchaisson@cfa.harvard.edu</t>
  </si>
  <si>
    <t>ALQ1001EG017</t>
  </si>
  <si>
    <t>ALR110404002</t>
  </si>
  <si>
    <t>Nigro</t>
  </si>
  <si>
    <t>Sharon Nigro</t>
  </si>
  <si>
    <t>17802 W 69th Ter</t>
  </si>
  <si>
    <t>66217-9572</t>
  </si>
  <si>
    <t>sharon.terp@yahoo.com</t>
  </si>
  <si>
    <t>ALQ1003AJ005</t>
  </si>
  <si>
    <t>ALR130106033</t>
  </si>
  <si>
    <t>Luetje</t>
  </si>
  <si>
    <t>Robert Luetje</t>
  </si>
  <si>
    <t>41150 Fox Run Apt 603</t>
  </si>
  <si>
    <t>48377-4863</t>
  </si>
  <si>
    <t>cnotedaproducer5@gmail.com</t>
  </si>
  <si>
    <t>ALQ1003AJ019</t>
  </si>
  <si>
    <t>ALA21030A43R</t>
  </si>
  <si>
    <t>Janna</t>
  </si>
  <si>
    <t>Yelton</t>
  </si>
  <si>
    <t>Janna Yelton</t>
  </si>
  <si>
    <t>2935 Old Stagecoach Rd</t>
  </si>
  <si>
    <t>Carnesville</t>
  </si>
  <si>
    <t>30521-2751</t>
  </si>
  <si>
    <t>david.yelton@yahoo.com</t>
  </si>
  <si>
    <t>ALZ100002004</t>
  </si>
  <si>
    <t>Gary and Julia Anderson</t>
  </si>
  <si>
    <t>Gary and Julia</t>
  </si>
  <si>
    <t>N6773 Brody Dr</t>
  </si>
  <si>
    <t>Pardeeville</t>
  </si>
  <si>
    <t>53954-8739</t>
  </si>
  <si>
    <t>jadredit@yahoo.com</t>
  </si>
  <si>
    <t>julie.anderson@wvdl.wisc.edu</t>
  </si>
  <si>
    <t>Asherman</t>
  </si>
  <si>
    <t>Charlotte Asherman</t>
  </si>
  <si>
    <t>260 S 13th Ave</t>
  </si>
  <si>
    <t>Coatesville</t>
  </si>
  <si>
    <t>19320-3822</t>
  </si>
  <si>
    <t>pa.bcc@verizon.net</t>
  </si>
  <si>
    <t>pa-bec@verizon.net</t>
  </si>
  <si>
    <t>ALL20090B5BM</t>
  </si>
  <si>
    <t>Chasson</t>
  </si>
  <si>
    <t>Ms. Margaret Chasson</t>
  </si>
  <si>
    <t>9608 Hawick Ln</t>
  </si>
  <si>
    <t>20895-3118</t>
  </si>
  <si>
    <t>mchasson@aol.com</t>
  </si>
  <si>
    <t>mchasson@hotmail.com</t>
  </si>
  <si>
    <t>ALQ1002DH032</t>
  </si>
  <si>
    <t>ALA20010B55H</t>
  </si>
  <si>
    <t>ALR190701054</t>
  </si>
  <si>
    <t>Janet Landon</t>
  </si>
  <si>
    <t>2239 Elizaville Rd</t>
  </si>
  <si>
    <t>46052-1273</t>
  </si>
  <si>
    <t>j.d.land.16@gmail.com</t>
  </si>
  <si>
    <t>ALQ1002EH038</t>
  </si>
  <si>
    <t>Guarino</t>
  </si>
  <si>
    <t>9 Lizard Head Dr</t>
  </si>
  <si>
    <t>81301-8821</t>
  </si>
  <si>
    <t>ruth.guarino47@gmail.com</t>
  </si>
  <si>
    <t>amandaguarino@hotmail.com</t>
  </si>
  <si>
    <t>ATN230701001</t>
  </si>
  <si>
    <t>Faucett</t>
  </si>
  <si>
    <t>Ms. Norma Leising and Mr. Steven I. Faucett</t>
  </si>
  <si>
    <t>Norma and Steven</t>
  </si>
  <si>
    <t>4806 Ravello Dr</t>
  </si>
  <si>
    <t>89436-8173</t>
  </si>
  <si>
    <t>sfnl1@att.net</t>
  </si>
  <si>
    <t>faucett65@att.net</t>
  </si>
  <si>
    <t>Brinkmann</t>
  </si>
  <si>
    <t>Mike and Julie Brinkmann</t>
  </si>
  <si>
    <t>Mike and Julie</t>
  </si>
  <si>
    <t>2953 Saturn Dr</t>
  </si>
  <si>
    <t>48360-1742</t>
  </si>
  <si>
    <t>mikbri4@gmail.com</t>
  </si>
  <si>
    <t>mikbri41@gmail.com</t>
  </si>
  <si>
    <t>ALQ0912BF020</t>
  </si>
  <si>
    <t>ALR160401054</t>
  </si>
  <si>
    <t>Mrs. Stephanie A. Cohen</t>
  </si>
  <si>
    <t>9 Sandy Branch Dr</t>
  </si>
  <si>
    <t>Selbyville</t>
  </si>
  <si>
    <t>19975-9492</t>
  </si>
  <si>
    <t>steffcatlover1@gmail.com</t>
  </si>
  <si>
    <t>s.cohen@mchsi.com</t>
  </si>
  <si>
    <t>ALQ1004BK005</t>
  </si>
  <si>
    <t>Swearingen</t>
  </si>
  <si>
    <t>Joan Swearingen</t>
  </si>
  <si>
    <t>700 E Esther</t>
  </si>
  <si>
    <t>Taylorville</t>
  </si>
  <si>
    <t>ALQ1004BK012</t>
  </si>
  <si>
    <t>ALR221106C44</t>
  </si>
  <si>
    <t>ALR221104C54</t>
  </si>
  <si>
    <t>lswearingen@ctitech.com</t>
  </si>
  <si>
    <t>Suzanne and Frederick Miller</t>
  </si>
  <si>
    <t>Suzanne and Frederick</t>
  </si>
  <si>
    <t>207 Pond View Ln</t>
  </si>
  <si>
    <t>29715-9755</t>
  </si>
  <si>
    <t>smiller1026@npca.org</t>
  </si>
  <si>
    <t>ALQ1003CJ007</t>
  </si>
  <si>
    <t>Mr. David O. and Mrs. Joan P. Maxwell</t>
  </si>
  <si>
    <t>3525 Springland Ln NW</t>
  </si>
  <si>
    <t>20008-3119</t>
  </si>
  <si>
    <t>j@maxwelljd.com</t>
  </si>
  <si>
    <t>dm@maxwelljd.com</t>
  </si>
  <si>
    <t>ADA100001001</t>
  </si>
  <si>
    <t>Maas</t>
  </si>
  <si>
    <t>Carol L. Maas</t>
  </si>
  <si>
    <t>5323 W Howard Ave</t>
  </si>
  <si>
    <t>53220-2030</t>
  </si>
  <si>
    <t>cmaasm@aol.com</t>
  </si>
  <si>
    <t>ALQ1004BK015</t>
  </si>
  <si>
    <t>Mrs. Joyce A. Murphy</t>
  </si>
  <si>
    <t>7614 Old Spanish Trl</t>
  </si>
  <si>
    <t>Shreveport</t>
  </si>
  <si>
    <t>71105-5417</t>
  </si>
  <si>
    <t>joyce_murphy@comcast.net</t>
  </si>
  <si>
    <t>gramjam@hotmail.com</t>
  </si>
  <si>
    <t>ALQ1004BK010</t>
  </si>
  <si>
    <t>ALR230502C44</t>
  </si>
  <si>
    <t>Mrs. Julia Myers</t>
  </si>
  <si>
    <t>3751 Valerian Cv</t>
  </si>
  <si>
    <t>46845-0098</t>
  </si>
  <si>
    <t>julesam07@aol.com</t>
  </si>
  <si>
    <t>ALQ1004CK005</t>
  </si>
  <si>
    <t>ALA12010C23C</t>
  </si>
  <si>
    <t>Guard</t>
  </si>
  <si>
    <t>Patricia Montgomery and Roger Guard</t>
  </si>
  <si>
    <t>Patricia and Roger</t>
  </si>
  <si>
    <t>560 E South Temple Apt 905</t>
  </si>
  <si>
    <t>84102-1166</t>
  </si>
  <si>
    <t>montgomerypa@gmail.com</t>
  </si>
  <si>
    <t>ALQ1004CK010</t>
  </si>
  <si>
    <t>Mrs. Olga F. and Mr. David Melin</t>
  </si>
  <si>
    <t>Olga and David</t>
  </si>
  <si>
    <t>PO Box 5775</t>
  </si>
  <si>
    <t>83340-5750</t>
  </si>
  <si>
    <t>olgamelin@gmail.com</t>
  </si>
  <si>
    <t>olgamelin@me.com</t>
  </si>
  <si>
    <t>ALQ1004AK001</t>
  </si>
  <si>
    <t>ADA220301001</t>
  </si>
  <si>
    <t>ADA150001002</t>
  </si>
  <si>
    <t>2840 Farmingdale</t>
  </si>
  <si>
    <t>Leistner</t>
  </si>
  <si>
    <t>Karin</t>
  </si>
  <si>
    <t>Mrs. Karin L. and Mr. Alan W. Leistner</t>
  </si>
  <si>
    <t>Karin and Alan</t>
  </si>
  <si>
    <t>7200 New Harmony Rd</t>
  </si>
  <si>
    <t>47720-2474</t>
  </si>
  <si>
    <t>klleistner@gmail.com</t>
  </si>
  <si>
    <t>ALQ1005BL001</t>
  </si>
  <si>
    <t>ALA2004D1DMC</t>
  </si>
  <si>
    <t>lnaturehike@gmail.com</t>
  </si>
  <si>
    <t>Mr. Thomas J. Price</t>
  </si>
  <si>
    <t>609 Crimson Dr</t>
  </si>
  <si>
    <t>30132-5438</t>
  </si>
  <si>
    <t>natureguy045@gmail.com</t>
  </si>
  <si>
    <t>natureguy042@gmail.com</t>
  </si>
  <si>
    <t>ALR110602001</t>
  </si>
  <si>
    <t>Lano</t>
  </si>
  <si>
    <t>Dr. Mike and Dr. Marlene Lano</t>
  </si>
  <si>
    <t>Mike and Marlene</t>
  </si>
  <si>
    <t>9121 Sheridan Dr</t>
  </si>
  <si>
    <t>92646-3460</t>
  </si>
  <si>
    <t>wrealano@aol.com</t>
  </si>
  <si>
    <t>Michael and Jane Goldstein</t>
  </si>
  <si>
    <t>Michael and Jane</t>
  </si>
  <si>
    <t>112 E Lynwood Ave</t>
  </si>
  <si>
    <t>78212-2301</t>
  </si>
  <si>
    <t>michael@twohearts.net</t>
  </si>
  <si>
    <t>email2@twohearts.net</t>
  </si>
  <si>
    <t>ALQ100001005</t>
  </si>
  <si>
    <t>Emmett</t>
  </si>
  <si>
    <t>Jane and Emmett</t>
  </si>
  <si>
    <t>2303 Archdale Rd</t>
  </si>
  <si>
    <t>emmettnorton@comcast.net</t>
  </si>
  <si>
    <t>Cajka</t>
  </si>
  <si>
    <t>7056 Old Chapel Dr</t>
  </si>
  <si>
    <t>45244-3615</t>
  </si>
  <si>
    <t>cajkalm@hotmail.com</t>
  </si>
  <si>
    <t>ALQ1007AA009</t>
  </si>
  <si>
    <t>ALA17020C24A</t>
  </si>
  <si>
    <t>Cieciwa</t>
  </si>
  <si>
    <t>John and Margie Cieciwa</t>
  </si>
  <si>
    <t>John and Margie</t>
  </si>
  <si>
    <t>4870 S 84th St</t>
  </si>
  <si>
    <t>53228-3404</t>
  </si>
  <si>
    <t>johncieciwa@yahoo.com</t>
  </si>
  <si>
    <t>ALR211110C33</t>
  </si>
  <si>
    <t>Sapiano</t>
  </si>
  <si>
    <t>Mark and Stuart</t>
  </si>
  <si>
    <t>7031 Travelers Rest Cir</t>
  </si>
  <si>
    <t>21601-7621</t>
  </si>
  <si>
    <t>mpsapiano@gmail.com</t>
  </si>
  <si>
    <t>ALG14040W002</t>
  </si>
  <si>
    <t>Englander</t>
  </si>
  <si>
    <t>PH. D.</t>
  </si>
  <si>
    <t>Mr. Stephen W. Englander PH. D.</t>
  </si>
  <si>
    <t>2308 Westrock Dr</t>
  </si>
  <si>
    <t>78704-5819</t>
  </si>
  <si>
    <t>englandersteve@yahoo.com</t>
  </si>
  <si>
    <t>ALQ1007FA020</t>
  </si>
  <si>
    <t>Stober</t>
  </si>
  <si>
    <t>Linda Stober</t>
  </si>
  <si>
    <t>433 SE Highway Pp</t>
  </si>
  <si>
    <t>Leeton</t>
  </si>
  <si>
    <t>64761-8135</t>
  </si>
  <si>
    <t>ALQ1007FA022</t>
  </si>
  <si>
    <t>ALR180403023</t>
  </si>
  <si>
    <t>Scott and Jeanne Evans</t>
  </si>
  <si>
    <t>Scott and Jeanne</t>
  </si>
  <si>
    <t>3017 Riverbrooke Ct</t>
  </si>
  <si>
    <t>30339-8510</t>
  </si>
  <si>
    <t>scott@familyga.com</t>
  </si>
  <si>
    <t>ALQ1003AJ008</t>
  </si>
  <si>
    <t>ALL21070A5BM</t>
  </si>
  <si>
    <t>Harry and Martha Frank</t>
  </si>
  <si>
    <t>Harry and Martha</t>
  </si>
  <si>
    <t>4488 Hillside Dr</t>
  </si>
  <si>
    <t>48105-2783</t>
  </si>
  <si>
    <t>hfrank@umich.edu</t>
  </si>
  <si>
    <t>ALQ1004CK001</t>
  </si>
  <si>
    <t>mgfr1644@gmail.com</t>
  </si>
  <si>
    <t>Heffner</t>
  </si>
  <si>
    <t>Mr. William B. Heffner III</t>
  </si>
  <si>
    <t>1243 Main St</t>
  </si>
  <si>
    <t>17113-1115</t>
  </si>
  <si>
    <t>inscp50@proplepc.com</t>
  </si>
  <si>
    <t>inscp50@peoplepc.com</t>
  </si>
  <si>
    <t>ALQ1007EA017</t>
  </si>
  <si>
    <t>Snowden</t>
  </si>
  <si>
    <t>Nancy Snowden</t>
  </si>
  <si>
    <t>136 Georgetown Rd</t>
  </si>
  <si>
    <t>28739-6910</t>
  </si>
  <si>
    <t>ALQ1007HA024</t>
  </si>
  <si>
    <t>Schnapp</t>
  </si>
  <si>
    <t>Diana Schnapp</t>
  </si>
  <si>
    <t>9107 W 132nd St</t>
  </si>
  <si>
    <t>66213-4321</t>
  </si>
  <si>
    <t>disother@hotmail.com</t>
  </si>
  <si>
    <t>ALQ1007AA005</t>
  </si>
  <si>
    <t>Volinski</t>
  </si>
  <si>
    <t>Mr. Joel Volinski</t>
  </si>
  <si>
    <t>3400 Pine Haven Cir</t>
  </si>
  <si>
    <t>Boca Raton</t>
  </si>
  <si>
    <t>33431-5404</t>
  </si>
  <si>
    <t>jmvolinski@gmail.com</t>
  </si>
  <si>
    <t>volinski501@bellsouth.net</t>
  </si>
  <si>
    <t>ALQ1007GA030</t>
  </si>
  <si>
    <t>ALR190601033</t>
  </si>
  <si>
    <t>Dionysian</t>
  </si>
  <si>
    <t>Emil Dionysian</t>
  </si>
  <si>
    <t>3 Marble Sands</t>
  </si>
  <si>
    <t>92660-9100</t>
  </si>
  <si>
    <t>drdio100@yahoo.com</t>
  </si>
  <si>
    <t>ALQ1007AA013</t>
  </si>
  <si>
    <t>ALA23070A43A</t>
  </si>
  <si>
    <t>Lohmann</t>
  </si>
  <si>
    <t>Robert Lohmann</t>
  </si>
  <si>
    <t>3910 Merino Ave</t>
  </si>
  <si>
    <t>55388-9310</t>
  </si>
  <si>
    <t>rlohmann@gmail.com</t>
  </si>
  <si>
    <t>Mrs. Debra Harrington</t>
  </si>
  <si>
    <t>5414 State Route 417</t>
  </si>
  <si>
    <t>Scio</t>
  </si>
  <si>
    <t>14880-9728</t>
  </si>
  <si>
    <t>dsharrington50@gmail.com</t>
  </si>
  <si>
    <t>Ruga</t>
  </si>
  <si>
    <t>Ms. Barbara Ruga</t>
  </si>
  <si>
    <t>4104 N Lomond</t>
  </si>
  <si>
    <t>85215-0800</t>
  </si>
  <si>
    <t>bruga@me.com</t>
  </si>
  <si>
    <t>ALQ1008FB023</t>
  </si>
  <si>
    <t>ALQ2012NGEM3</t>
  </si>
  <si>
    <t>Berens</t>
  </si>
  <si>
    <t>Roger and Karen Berens</t>
  </si>
  <si>
    <t>Roger and Karen</t>
  </si>
  <si>
    <t>19841 SE 29th St</t>
  </si>
  <si>
    <t>98075-9661</t>
  </si>
  <si>
    <t>kjberens@aol.com</t>
  </si>
  <si>
    <t>ALQ1008EB026</t>
  </si>
  <si>
    <t>ALL21110A6BM</t>
  </si>
  <si>
    <t>1460 Cresthaven Dr</t>
  </si>
  <si>
    <t>59808-1123</t>
  </si>
  <si>
    <t>jcgam_wa@yahoo.com</t>
  </si>
  <si>
    <t>ALR240403EMC</t>
  </si>
  <si>
    <t>ALR220432EMC</t>
  </si>
  <si>
    <t>Mrs. Dolores Steele</t>
  </si>
  <si>
    <t>1070 Ruby Ln</t>
  </si>
  <si>
    <t>89706-0656</t>
  </si>
  <si>
    <t>deeasteele@earthlink.net</t>
  </si>
  <si>
    <t>ladonnanv@aol.com</t>
  </si>
  <si>
    <t>ALQ100901ED</t>
  </si>
  <si>
    <t>ALR110901001</t>
  </si>
  <si>
    <t>Ms. Marilyn Pyter</t>
  </si>
  <si>
    <t>1247 S Kendall Ct</t>
  </si>
  <si>
    <t>80232-5775</t>
  </si>
  <si>
    <t>mjpyter@hotmail.com</t>
  </si>
  <si>
    <t>ALQ1008BB024</t>
  </si>
  <si>
    <t>Tackman</t>
  </si>
  <si>
    <t>Ms. Susan Tackman</t>
  </si>
  <si>
    <t>9625 Messervy Ave NE</t>
  </si>
  <si>
    <t>87109-6404</t>
  </si>
  <si>
    <t>larrytackman@msn.com</t>
  </si>
  <si>
    <t>ALZ100002005</t>
  </si>
  <si>
    <t>Pamela Thompson</t>
  </si>
  <si>
    <t>14933 Arrowhead Dr</t>
  </si>
  <si>
    <t>78641-9116</t>
  </si>
  <si>
    <t>grjatlake@sbcglobal.net</t>
  </si>
  <si>
    <t>ALQ1008BB043</t>
  </si>
  <si>
    <t>ALL20090A5BM</t>
  </si>
  <si>
    <t>ALR110904001</t>
  </si>
  <si>
    <t>Drescher</t>
  </si>
  <si>
    <t>Joseph Drescher</t>
  </si>
  <si>
    <t>PO Box 352</t>
  </si>
  <si>
    <t>47460-0352</t>
  </si>
  <si>
    <t>ALQ1008DB023</t>
  </si>
  <si>
    <t>Reiland</t>
  </si>
  <si>
    <t>Linda Reiland</t>
  </si>
  <si>
    <t>6170 S Sunway Pt</t>
  </si>
  <si>
    <t>Floral City</t>
  </si>
  <si>
    <t>34436-2349</t>
  </si>
  <si>
    <t>dreiland@tampabay.rr.com</t>
  </si>
  <si>
    <t>ALQ1009BC012</t>
  </si>
  <si>
    <t>Mr. John M. Stanley</t>
  </si>
  <si>
    <t>3020 Marquise Ct</t>
  </si>
  <si>
    <t>76028-6766</t>
  </si>
  <si>
    <t>stanleysfinancial@gmail.com</t>
  </si>
  <si>
    <t>jmstanley897@yahoo.com</t>
  </si>
  <si>
    <t>ALQ1009AC003</t>
  </si>
  <si>
    <t>ALR211014C50</t>
  </si>
  <si>
    <t>ALR191003C54</t>
  </si>
  <si>
    <t>Scheid</t>
  </si>
  <si>
    <t>Ms. Margaret Scheid</t>
  </si>
  <si>
    <t>33 Rancho Manor Dr</t>
  </si>
  <si>
    <t>89509-3957</t>
  </si>
  <si>
    <t>margischeid@yahoo.com</t>
  </si>
  <si>
    <t>ALR220508C33</t>
  </si>
  <si>
    <t>ALA16040A13R</t>
  </si>
  <si>
    <t>Gaeng</t>
  </si>
  <si>
    <t>Kathy Gaeng</t>
  </si>
  <si>
    <t>125 Overbrook Ln</t>
  </si>
  <si>
    <t>Elkton</t>
  </si>
  <si>
    <t>21921-2422</t>
  </si>
  <si>
    <t>rgaeng@comcast.net</t>
  </si>
  <si>
    <t>ALQ1009CC023</t>
  </si>
  <si>
    <t>ALR211104C33</t>
  </si>
  <si>
    <t>ALR160701033</t>
  </si>
  <si>
    <t>Hennings</t>
  </si>
  <si>
    <t>Ms. Marian Hennings</t>
  </si>
  <si>
    <t>12840 54th Ave N</t>
  </si>
  <si>
    <t>55442-1718</t>
  </si>
  <si>
    <t>cashme327@comcast.net</t>
  </si>
  <si>
    <t>ALQ1009EC028</t>
  </si>
  <si>
    <t>ALR210504C44</t>
  </si>
  <si>
    <t>ALR200701C44</t>
  </si>
  <si>
    <t>Glick</t>
  </si>
  <si>
    <t>Steve Glick</t>
  </si>
  <si>
    <t>524 Rover Blvd</t>
  </si>
  <si>
    <t>Los Alamos</t>
  </si>
  <si>
    <t>87547-3555</t>
  </si>
  <si>
    <t>ALQ1008MB046</t>
  </si>
  <si>
    <t>ALA14020J13R</t>
  </si>
  <si>
    <t>Barnett</t>
  </si>
  <si>
    <t>Charles Barnett</t>
  </si>
  <si>
    <t>6891 S Cheshire Ave</t>
  </si>
  <si>
    <t>83709-1288</t>
  </si>
  <si>
    <t>cbbarnett2@msn.com</t>
  </si>
  <si>
    <t>ALQ1009BC020</t>
  </si>
  <si>
    <t>ALL17120A63M</t>
  </si>
  <si>
    <t>ALL13020A42M</t>
  </si>
  <si>
    <t>Reuter</t>
  </si>
  <si>
    <t>Steven F. Reuter</t>
  </si>
  <si>
    <t>45 Sunnyside Dr</t>
  </si>
  <si>
    <t>49015-3154</t>
  </si>
  <si>
    <t>ALQ1009EC023</t>
  </si>
  <si>
    <t>Mrs. Karen P. Gray</t>
  </si>
  <si>
    <t>6053 Campanula Ct</t>
  </si>
  <si>
    <t>94560-4522</t>
  </si>
  <si>
    <t>ilerfan@aol.com</t>
  </si>
  <si>
    <t>rkjck6053@aol.com</t>
  </si>
  <si>
    <t>Wiltse</t>
  </si>
  <si>
    <t>Mr. Richard Wiltse</t>
  </si>
  <si>
    <t>5530 N Arroyo Grande Dr</t>
  </si>
  <si>
    <t>85718-5426</t>
  </si>
  <si>
    <t>faoca85@aol.com</t>
  </si>
  <si>
    <t>dorcw@mygait.com</t>
  </si>
  <si>
    <t>Chris Dixon</t>
  </si>
  <si>
    <t>3 Cantar Ct</t>
  </si>
  <si>
    <t>Sandia Park</t>
  </si>
  <si>
    <t>87047-9435</t>
  </si>
  <si>
    <t>ALQ1009DC012</t>
  </si>
  <si>
    <t>ALA22120A14A</t>
  </si>
  <si>
    <t>ALR220601C33</t>
  </si>
  <si>
    <t>McCluer</t>
  </si>
  <si>
    <t>Christopher M. Bates</t>
  </si>
  <si>
    <t>12525 Erroll Ln</t>
  </si>
  <si>
    <t>Bristow</t>
  </si>
  <si>
    <t>20136-2121</t>
  </si>
  <si>
    <t>bateschapelhill@aol.com</t>
  </si>
  <si>
    <t>ALQ1009EC036</t>
  </si>
  <si>
    <t>Mr. Chris Henderson</t>
  </si>
  <si>
    <t>8564 E Via De Los Libros</t>
  </si>
  <si>
    <t>85258-3568</t>
  </si>
  <si>
    <t>chris.henderson5@gmail.com</t>
  </si>
  <si>
    <t>Gardenswartz</t>
  </si>
  <si>
    <t>Lee E. Gardenswartz</t>
  </si>
  <si>
    <t>6074 W 75th Pl</t>
  </si>
  <si>
    <t>90045-1632</t>
  </si>
  <si>
    <t>leeanita@aol.com</t>
  </si>
  <si>
    <t>le.ty1987@live.com</t>
  </si>
  <si>
    <t>ALQ1010DD020</t>
  </si>
  <si>
    <t>ALR210904C54</t>
  </si>
  <si>
    <t>ALA18010B15A</t>
  </si>
  <si>
    <t>Ives</t>
  </si>
  <si>
    <t>Charles Ives</t>
  </si>
  <si>
    <t>4 Page Rd</t>
  </si>
  <si>
    <t>01945-2924</t>
  </si>
  <si>
    <t>cmives@msn.com</t>
  </si>
  <si>
    <t>ALQ1010FD006</t>
  </si>
  <si>
    <t>ALA21040A53H</t>
  </si>
  <si>
    <t>ALA14030C14A</t>
  </si>
  <si>
    <t>11498 Misty Oak Aly</t>
  </si>
  <si>
    <t>34786-0176</t>
  </si>
  <si>
    <t>rcarch1@iserv.net</t>
  </si>
  <si>
    <t>ALQ1010DD009</t>
  </si>
  <si>
    <t>Striplin</t>
  </si>
  <si>
    <t>Mr. Eugene G. Striplin</t>
  </si>
  <si>
    <t>1318 Pecan Sq</t>
  </si>
  <si>
    <t>Bossier City</t>
  </si>
  <si>
    <t>71112-4033</t>
  </si>
  <si>
    <t>silvereagle96@bellsouth.net</t>
  </si>
  <si>
    <t>ALR2306D3WST</t>
  </si>
  <si>
    <t>Dr. Jim Dugan</t>
  </si>
  <si>
    <t>2810 E Exeter St</t>
  </si>
  <si>
    <t>85716-5528</t>
  </si>
  <si>
    <t>jdugan@hastings.edu</t>
  </si>
  <si>
    <t>ALQ1010BD023</t>
  </si>
  <si>
    <t>Andreychek</t>
  </si>
  <si>
    <t>Timothy Andreychek</t>
  </si>
  <si>
    <t>223 Jill Dr</t>
  </si>
  <si>
    <t>15236-2127</t>
  </si>
  <si>
    <t>andreyts@gmail.com</t>
  </si>
  <si>
    <t>ALQ1009EC024</t>
  </si>
  <si>
    <t>ALR131107033</t>
  </si>
  <si>
    <t>210 W 89th St Apt 9D</t>
  </si>
  <si>
    <t>10024-1808</t>
  </si>
  <si>
    <t>doglazer@aol.com</t>
  </si>
  <si>
    <t>ALQ1010BD022</t>
  </si>
  <si>
    <t>Mr. Peter Teichmann</t>
  </si>
  <si>
    <t>6 Crossman Pl</t>
  </si>
  <si>
    <t>11743-2602</t>
  </si>
  <si>
    <t>pwteichmann@yahoo.com</t>
  </si>
  <si>
    <t>ALQ1010CD026</t>
  </si>
  <si>
    <t>ALS16110A001</t>
  </si>
  <si>
    <t>Sharon Kaiser</t>
  </si>
  <si>
    <t>4904 NW 67th Ter</t>
  </si>
  <si>
    <t>64151-1971</t>
  </si>
  <si>
    <t>skaiserthelimit@gmail.com</t>
  </si>
  <si>
    <t>yielded@hotmail.com</t>
  </si>
  <si>
    <t>Mr. Timothy J. Connors</t>
  </si>
  <si>
    <t>426 Hobbs Ln</t>
  </si>
  <si>
    <t>12514-2504</t>
  </si>
  <si>
    <t>connors.timothy@gmail.com</t>
  </si>
  <si>
    <t>ALR231004C33</t>
  </si>
  <si>
    <t>Weckesser</t>
  </si>
  <si>
    <t>Kathleen Weckesser</t>
  </si>
  <si>
    <t>48519 American Elm Dr</t>
  </si>
  <si>
    <t>48044-1429</t>
  </si>
  <si>
    <t>kathyweck@comcast.net</t>
  </si>
  <si>
    <t>Bob Williamson</t>
  </si>
  <si>
    <t>303 Princess Grace Ave</t>
  </si>
  <si>
    <t>29631-1215</t>
  </si>
  <si>
    <t>robertewilliamso@bellsouth.net</t>
  </si>
  <si>
    <t>ALQ1008DB009</t>
  </si>
  <si>
    <t>Standiford</t>
  </si>
  <si>
    <t>Stephanie and Harold Standiford</t>
  </si>
  <si>
    <t>Stephanie and Harold</t>
  </si>
  <si>
    <t>201 Upnor Rd</t>
  </si>
  <si>
    <t>21212-3425</t>
  </si>
  <si>
    <t>rlstanfield@yahoo.com</t>
  </si>
  <si>
    <t>ALQ1010ED015</t>
  </si>
  <si>
    <t>ALA24010A15R</t>
  </si>
  <si>
    <t>ALS1905T554A</t>
  </si>
  <si>
    <t>Haynes</t>
  </si>
  <si>
    <t>Thomas Haynes</t>
  </si>
  <si>
    <t>1909 E Oakland Ave</t>
  </si>
  <si>
    <t>61701-5754</t>
  </si>
  <si>
    <t>ALQ1010DD019</t>
  </si>
  <si>
    <t>Mr. Nathan Schumaker</t>
  </si>
  <si>
    <t>702 Pioneer Dr</t>
  </si>
  <si>
    <t>54636-9479</t>
  </si>
  <si>
    <t>nathan_schumaker@yahoo.com</t>
  </si>
  <si>
    <t>Daryl</t>
  </si>
  <si>
    <t>Daryl and Connie Sullivan</t>
  </si>
  <si>
    <t>Daryl and Connie</t>
  </si>
  <si>
    <t>5126 Sweet Basil Ln</t>
  </si>
  <si>
    <t>50613-2251</t>
  </si>
  <si>
    <t>daryldsullivan@gmail.com</t>
  </si>
  <si>
    <t>darylsullivan@gmail.com</t>
  </si>
  <si>
    <t>ALA101204ENB</t>
  </si>
  <si>
    <t>ATA2211T2ERC</t>
  </si>
  <si>
    <t>Hamblin</t>
  </si>
  <si>
    <t>Marvin Hamblin</t>
  </si>
  <si>
    <t>302 N Woodson Dr</t>
  </si>
  <si>
    <t>Raymore</t>
  </si>
  <si>
    <t>64083-9137</t>
  </si>
  <si>
    <t>omg_wtf_katie32@hotmail.com</t>
  </si>
  <si>
    <t>ALQ1008BB008</t>
  </si>
  <si>
    <t>ALA23080C14R</t>
  </si>
  <si>
    <t>Hower</t>
  </si>
  <si>
    <t>James Hower</t>
  </si>
  <si>
    <t>7128 Game Lord Dr</t>
  </si>
  <si>
    <t>22153-1315</t>
  </si>
  <si>
    <t>jjhower@aol.com</t>
  </si>
  <si>
    <t>ALQ1011AE005</t>
  </si>
  <si>
    <t>Wise</t>
  </si>
  <si>
    <t>William Wise</t>
  </si>
  <si>
    <t>921 E Cedar Canyons Rd</t>
  </si>
  <si>
    <t>46845-9777</t>
  </si>
  <si>
    <t>ocksfball@yahoo.com</t>
  </si>
  <si>
    <t>bcksfball@yahoo.com</t>
  </si>
  <si>
    <t>ALQ1011BE014</t>
  </si>
  <si>
    <t>Zamborsky</t>
  </si>
  <si>
    <t>5408 Canna Court</t>
  </si>
  <si>
    <t>Port Orange</t>
  </si>
  <si>
    <t>32128-6689</t>
  </si>
  <si>
    <t>inomata1@cfl.rr.com</t>
  </si>
  <si>
    <t>ALQ1011BE018</t>
  </si>
  <si>
    <t>ALR121212030</t>
  </si>
  <si>
    <t>Mrs. Anne C. Hughes</t>
  </si>
  <si>
    <t>27523 Country Glen Rd</t>
  </si>
  <si>
    <t>Agoura Hills</t>
  </si>
  <si>
    <t>91301-3505</t>
  </si>
  <si>
    <t>hughesanne@me.com</t>
  </si>
  <si>
    <t>ALQ1011CE011</t>
  </si>
  <si>
    <t>ALR220900EMC</t>
  </si>
  <si>
    <t>Guthery</t>
  </si>
  <si>
    <t>Mr. Douglas G. Edwards</t>
  </si>
  <si>
    <t>9989 SE 43rd Ave</t>
  </si>
  <si>
    <t>97222-5792</t>
  </si>
  <si>
    <t>ropeg@hotmail.com</t>
  </si>
  <si>
    <t>revdougedwards@yahoo.com</t>
  </si>
  <si>
    <t>ALQ1011BE023</t>
  </si>
  <si>
    <t>ALS230101WS3</t>
  </si>
  <si>
    <t>Ann Allison</t>
  </si>
  <si>
    <t>214 Pine Hill Rd</t>
  </si>
  <si>
    <t>Kittanning</t>
  </si>
  <si>
    <t>16201-4430</t>
  </si>
  <si>
    <t>lbennett@windstream.net</t>
  </si>
  <si>
    <t>ann.allison@comcast.net</t>
  </si>
  <si>
    <t>ALQ1011BE013</t>
  </si>
  <si>
    <t>ALS220101WS3</t>
  </si>
  <si>
    <t>ALL17120A93S</t>
  </si>
  <si>
    <t>Paul and Jeanette Kelly</t>
  </si>
  <si>
    <t>Paul and Jeanette</t>
  </si>
  <si>
    <t>27314 Stoney Brook Dr</t>
  </si>
  <si>
    <t>34748-2154</t>
  </si>
  <si>
    <t>pkmule@bellsouth.net</t>
  </si>
  <si>
    <t>ALQ1011BE012</t>
  </si>
  <si>
    <t>Bosher</t>
  </si>
  <si>
    <t>Ben Bosher</t>
  </si>
  <si>
    <t>74 Oakcrest Dr</t>
  </si>
  <si>
    <t>05408-2733</t>
  </si>
  <si>
    <t>benbosher@gmail.com</t>
  </si>
  <si>
    <t>ALQ1010ED011</t>
  </si>
  <si>
    <t>ALR200101T33</t>
  </si>
  <si>
    <t>Myrella</t>
  </si>
  <si>
    <t>Triana</t>
  </si>
  <si>
    <t>Gadow</t>
  </si>
  <si>
    <t>Myrella and Ken</t>
  </si>
  <si>
    <t>5 Tudor City Pl Apt 1812</t>
  </si>
  <si>
    <t>10017-6876</t>
  </si>
  <si>
    <t>mtriana@nyc.rr.com</t>
  </si>
  <si>
    <t>ALA17040C56H</t>
  </si>
  <si>
    <t>Landry</t>
  </si>
  <si>
    <t>1035 N Thornton Ave</t>
  </si>
  <si>
    <t>32803-3234</t>
  </si>
  <si>
    <t>wendywlandry@gmail.com</t>
  </si>
  <si>
    <t>landryrw@earthlink.net</t>
  </si>
  <si>
    <t>ALQ1011EE017</t>
  </si>
  <si>
    <t>ALA2112S7EM1</t>
  </si>
  <si>
    <t>Pryor</t>
  </si>
  <si>
    <t>Connie Pryor</t>
  </si>
  <si>
    <t>233 Menasha Trl</t>
  </si>
  <si>
    <t>48362-1227</t>
  </si>
  <si>
    <t>conron13@comcast.net</t>
  </si>
  <si>
    <t>ALQ1011BE029</t>
  </si>
  <si>
    <t>Spafford</t>
  </si>
  <si>
    <t>Mr. Steven Spafford</t>
  </si>
  <si>
    <t>133 Groton St</t>
  </si>
  <si>
    <t>01129-1632</t>
  </si>
  <si>
    <t>mspafford57@hotmail.com</t>
  </si>
  <si>
    <t>stetspaff@comcast.net</t>
  </si>
  <si>
    <t>ALQ1011BE011</t>
  </si>
  <si>
    <t>ALR121205032</t>
  </si>
  <si>
    <t>Alba</t>
  </si>
  <si>
    <t>Ortiz</t>
  </si>
  <si>
    <t>Yates</t>
  </si>
  <si>
    <t>Ms. Alba Ortiz and Mr. James R. Yates</t>
  </si>
  <si>
    <t>Alba and James</t>
  </si>
  <si>
    <t>5402 Grunt Ln</t>
  </si>
  <si>
    <t>78734-1008</t>
  </si>
  <si>
    <t>yates@mail.utexas.edu</t>
  </si>
  <si>
    <t>ALB090001001</t>
  </si>
  <si>
    <t>Mr. Henry C. Wilson</t>
  </si>
  <si>
    <t>4449 Blue Juniper Loop</t>
  </si>
  <si>
    <t>87507-3164</t>
  </si>
  <si>
    <t>hp_wilson@hotmail.com</t>
  </si>
  <si>
    <t>p_wilson@hotmail.com</t>
  </si>
  <si>
    <t>329 Diamond Oaks Rd</t>
  </si>
  <si>
    <t>95678-1008</t>
  </si>
  <si>
    <t>rx@surewest.net</t>
  </si>
  <si>
    <t>1949 Belmont Ct</t>
  </si>
  <si>
    <t>95404-3242</t>
  </si>
  <si>
    <t>gmwhisen@gmail.com</t>
  </si>
  <si>
    <t>dkcalabi@sonic.net</t>
  </si>
  <si>
    <t>Mr. Lary R. Smith</t>
  </si>
  <si>
    <t>41340 Fox Run Apt 214</t>
  </si>
  <si>
    <t>48377-4907</t>
  </si>
  <si>
    <t>lary@lrsmith.com</t>
  </si>
  <si>
    <t>lary@edtechllc.com</t>
  </si>
  <si>
    <t>Everett R</t>
  </si>
  <si>
    <t>Mr. Everett R Barber</t>
  </si>
  <si>
    <t>8236 S Elizabeth Ave</t>
  </si>
  <si>
    <t>33418-6126</t>
  </si>
  <si>
    <t>barbever@msn.com</t>
  </si>
  <si>
    <t>ALQ1009MC039</t>
  </si>
  <si>
    <t>Pranger</t>
  </si>
  <si>
    <t>Patricia Pranger</t>
  </si>
  <si>
    <t>1044 Sugar Hill Rd</t>
  </si>
  <si>
    <t>05773-9631</t>
  </si>
  <si>
    <t>cpapat1040@yahoo.com</t>
  </si>
  <si>
    <t>ALQ1008BB033</t>
  </si>
  <si>
    <t>Dokken</t>
  </si>
  <si>
    <t>Ms. Elizabeth Dokken</t>
  </si>
  <si>
    <t>4201 Parklawn Ave</t>
  </si>
  <si>
    <t>55435-4688</t>
  </si>
  <si>
    <t>bettydokken@msn.com</t>
  </si>
  <si>
    <t>beltydokken@msn.com</t>
  </si>
  <si>
    <t>ALA18040C14A</t>
  </si>
  <si>
    <t>Stanfield</t>
  </si>
  <si>
    <t>Mrs. Judith Stanfield</t>
  </si>
  <si>
    <t>302 Fox Chapel Rd Apt 311</t>
  </si>
  <si>
    <t>15238-2336</t>
  </si>
  <si>
    <t>judith.stanfield@gmail.com</t>
  </si>
  <si>
    <t>ALQ1011CE014</t>
  </si>
  <si>
    <t>ALR201001C13</t>
  </si>
  <si>
    <t>Rebecca Edwards</t>
  </si>
  <si>
    <t>13301 Golden Oaks Dr</t>
  </si>
  <si>
    <t>22407-1918</t>
  </si>
  <si>
    <t>ALQ1012BF008</t>
  </si>
  <si>
    <t>Bintrim</t>
  </si>
  <si>
    <t>William Bintrim</t>
  </si>
  <si>
    <t>4597 County Line Rd</t>
  </si>
  <si>
    <t>16101-8384</t>
  </si>
  <si>
    <t>freestacey@verizon.net</t>
  </si>
  <si>
    <t>ALQ1012BF025</t>
  </si>
  <si>
    <t>Marie Rust</t>
  </si>
  <si>
    <t>7333 Scotland Way Unit 1111</t>
  </si>
  <si>
    <t>34238-8537</t>
  </si>
  <si>
    <t>crosssrust@comcast.net</t>
  </si>
  <si>
    <t>ALQ1012BF042</t>
  </si>
  <si>
    <t>ALR220715C30</t>
  </si>
  <si>
    <t>Cleavenger</t>
  </si>
  <si>
    <t>3620 Castano Dr</t>
  </si>
  <si>
    <t>Camarillo</t>
  </si>
  <si>
    <t>93010-4039</t>
  </si>
  <si>
    <t>dinacleav@icloud.com</t>
  </si>
  <si>
    <t>cleav344@verizon.net</t>
  </si>
  <si>
    <t>ALQ1011BE031</t>
  </si>
  <si>
    <t>ALL23020A5BM</t>
  </si>
  <si>
    <t>Hindman</t>
  </si>
  <si>
    <t>Mr. Donald A. Hindman</t>
  </si>
  <si>
    <t>15010 262nd Ave SE</t>
  </si>
  <si>
    <t>98027-8284</t>
  </si>
  <si>
    <t>dahindm@comcast.net</t>
  </si>
  <si>
    <t>dahindm@yahoo.com</t>
  </si>
  <si>
    <t>ALQ1012CF024</t>
  </si>
  <si>
    <t>Mr. Guy A. Rasmussen</t>
  </si>
  <si>
    <t>3443 E Shaw Butte Dr</t>
  </si>
  <si>
    <t>85028-1334</t>
  </si>
  <si>
    <t>guyr2013@hotmail.com</t>
  </si>
  <si>
    <t>guyr2006@cox.net</t>
  </si>
  <si>
    <t>ALQ1012CF014</t>
  </si>
  <si>
    <t>Stairs</t>
  </si>
  <si>
    <t>Linda Stairs</t>
  </si>
  <si>
    <t>1516 Castle Hills Dr</t>
  </si>
  <si>
    <t>47362-2926</t>
  </si>
  <si>
    <t>jackfishlt@gmail.com</t>
  </si>
  <si>
    <t>jackfish44@sbcglobal.net</t>
  </si>
  <si>
    <t>ALQ1012EF020</t>
  </si>
  <si>
    <t>ALA21100B14A</t>
  </si>
  <si>
    <t>ALR131003033</t>
  </si>
  <si>
    <t>Beatrice and Ellen</t>
  </si>
  <si>
    <t>20 Valley Cres</t>
  </si>
  <si>
    <t>14526-2510</t>
  </si>
  <si>
    <t>ALQ1012EF021</t>
  </si>
  <si>
    <t>Morreece Elaine</t>
  </si>
  <si>
    <t>Morreece Elaine Cook</t>
  </si>
  <si>
    <t>9201 Centralia</t>
  </si>
  <si>
    <t>Redford</t>
  </si>
  <si>
    <t>48239-1882</t>
  </si>
  <si>
    <t>bnpcook@gmail.com</t>
  </si>
  <si>
    <t>bnpcook@charter.net</t>
  </si>
  <si>
    <t>ALQ1012CF019</t>
  </si>
  <si>
    <t>ALA21070C41C</t>
  </si>
  <si>
    <t>ALR120101001</t>
  </si>
  <si>
    <t>Voelker</t>
  </si>
  <si>
    <t>Nancy Voelker</t>
  </si>
  <si>
    <t>19419 Frank Ct</t>
  </si>
  <si>
    <t>60098-9140</t>
  </si>
  <si>
    <t>ndsv@yahoo.com</t>
  </si>
  <si>
    <t>ALQ1011BE021</t>
  </si>
  <si>
    <t>ALA1909D2EMC</t>
  </si>
  <si>
    <t>Dr. Milton Russell</t>
  </si>
  <si>
    <t>418 S Gay St</t>
  </si>
  <si>
    <t>#503</t>
  </si>
  <si>
    <t>37902-1135</t>
  </si>
  <si>
    <t>Defelice</t>
  </si>
  <si>
    <t>Luanne Defelice</t>
  </si>
  <si>
    <t>17 E Oneida St</t>
  </si>
  <si>
    <t>Baldwinsville</t>
  </si>
  <si>
    <t>13027-2405</t>
  </si>
  <si>
    <t>lupd@aol.com</t>
  </si>
  <si>
    <t>ALQ1012BF022</t>
  </si>
  <si>
    <t>ALR220703C44</t>
  </si>
  <si>
    <t>Diehl</t>
  </si>
  <si>
    <t>Mr. Mark A. Diehl</t>
  </si>
  <si>
    <t>1000 E Broadway St</t>
  </si>
  <si>
    <t>Apt 6</t>
  </si>
  <si>
    <t>Redwood Falls</t>
  </si>
  <si>
    <t>56283-2265</t>
  </si>
  <si>
    <t>mark.diehl56@gmail.com</t>
  </si>
  <si>
    <t>mdiehl@charter.net</t>
  </si>
  <si>
    <t>ALZ110001001</t>
  </si>
  <si>
    <t>ALL22110C8BM</t>
  </si>
  <si>
    <t>ALL16120A5BM</t>
  </si>
  <si>
    <t>Dr. Elaine Edwards</t>
  </si>
  <si>
    <t>3920 Troupe Smith Rd SE</t>
  </si>
  <si>
    <t>Conyers</t>
  </si>
  <si>
    <t>30094-3648</t>
  </si>
  <si>
    <t>paul.ed15@hotmail.com</t>
  </si>
  <si>
    <t>eled1927@yahoo.com</t>
  </si>
  <si>
    <t>ALQ1101DG016</t>
  </si>
  <si>
    <t>ALA16040D55H</t>
  </si>
  <si>
    <t>Peter J. Bundock</t>
  </si>
  <si>
    <t>260 Rockland Ave</t>
  </si>
  <si>
    <t>River Vale</t>
  </si>
  <si>
    <t>07675-5536</t>
  </si>
  <si>
    <t>pjbpe1@verizon.net</t>
  </si>
  <si>
    <t>ALQ110001001</t>
  </si>
  <si>
    <t>ALA21080A15R</t>
  </si>
  <si>
    <t>Veronique</t>
  </si>
  <si>
    <t>Perkins</t>
  </si>
  <si>
    <t>Veronique Perkins</t>
  </si>
  <si>
    <t>225 N Eisenhower St</t>
  </si>
  <si>
    <t>73703-3810</t>
  </si>
  <si>
    <t>ALQ1101AG003</t>
  </si>
  <si>
    <t>Edstrom</t>
  </si>
  <si>
    <t>Karen Edstrom</t>
  </si>
  <si>
    <t>56 Willow Trl</t>
  </si>
  <si>
    <t>Gunnison</t>
  </si>
  <si>
    <t>81230-9786</t>
  </si>
  <si>
    <t>karenedstrom@gmail.com</t>
  </si>
  <si>
    <t>ALQ1101JG036</t>
  </si>
  <si>
    <t>ALS160201512</t>
  </si>
  <si>
    <t>Ramiro</t>
  </si>
  <si>
    <t>Torres</t>
  </si>
  <si>
    <t>Ramiro Torres</t>
  </si>
  <si>
    <t>505 Hidalgo Blvd</t>
  </si>
  <si>
    <t>Zapata</t>
  </si>
  <si>
    <t>78076-3275</t>
  </si>
  <si>
    <t>torres_s_oscar@hotmail.com</t>
  </si>
  <si>
    <t>ALQ1101CG016</t>
  </si>
  <si>
    <t>ALL22110B43M</t>
  </si>
  <si>
    <t>Freitag</t>
  </si>
  <si>
    <t>Gordon Freitag</t>
  </si>
  <si>
    <t>13034 N 98th Ave</t>
  </si>
  <si>
    <t>85351-3265</t>
  </si>
  <si>
    <t>deanharvey@hotmail.com</t>
  </si>
  <si>
    <t>ALQ1101JG034</t>
  </si>
  <si>
    <t>ALA16010D34C</t>
  </si>
  <si>
    <t>Mrs. Janet Mcclain</t>
  </si>
  <si>
    <t>314 Siesta Ct</t>
  </si>
  <si>
    <t>76048-4316</t>
  </si>
  <si>
    <t>jammer86@sbcglobal.net</t>
  </si>
  <si>
    <t>ALQ1012MF043</t>
  </si>
  <si>
    <t>ALS210301WS3</t>
  </si>
  <si>
    <t>ALA12010D25N</t>
  </si>
  <si>
    <t>Nyikos</t>
  </si>
  <si>
    <t>Ms. Nancy Nyikos</t>
  </si>
  <si>
    <t>844 W Cliff Dr Apt 302</t>
  </si>
  <si>
    <t>99204-3753</t>
  </si>
  <si>
    <t>nanchrnyi@hotmail.com</t>
  </si>
  <si>
    <t>ALQ1010ED016</t>
  </si>
  <si>
    <t>Deanna Campbell</t>
  </si>
  <si>
    <t>2552 Youngdale Dr</t>
  </si>
  <si>
    <t>89134-7871</t>
  </si>
  <si>
    <t>littlemack2010@gmail.com</t>
  </si>
  <si>
    <t>snow0164@att.net</t>
  </si>
  <si>
    <t>ALQ1102AH003</t>
  </si>
  <si>
    <t>ALA23020A55H</t>
  </si>
  <si>
    <t>Jamye</t>
  </si>
  <si>
    <t>Beaty</t>
  </si>
  <si>
    <t>Jamye E. Beaty</t>
  </si>
  <si>
    <t>524 SW 42nd St</t>
  </si>
  <si>
    <t>Oklahoma City</t>
  </si>
  <si>
    <t>73109-3512</t>
  </si>
  <si>
    <t>okiekiwi@att.net</t>
  </si>
  <si>
    <t>ALQ1102GH017</t>
  </si>
  <si>
    <t>ALA2308D6EMC</t>
  </si>
  <si>
    <t>Preuss</t>
  </si>
  <si>
    <t>Dr. Gary G. Preuss</t>
  </si>
  <si>
    <t>4701 Sunridge Ct</t>
  </si>
  <si>
    <t>78741-7361</t>
  </si>
  <si>
    <t>garypreuss@aol.com</t>
  </si>
  <si>
    <t>austinowl@aol.com</t>
  </si>
  <si>
    <t>ALQ1102EH006</t>
  </si>
  <si>
    <t>ALR2103D0DMC</t>
  </si>
  <si>
    <t>Mr. Tom Riley</t>
  </si>
  <si>
    <t>2726 Isabella St</t>
  </si>
  <si>
    <t>60201-1335</t>
  </si>
  <si>
    <t>triley0724@earthlink.net</t>
  </si>
  <si>
    <t>ALQ1102GH029</t>
  </si>
  <si>
    <t>ALR201201C66</t>
  </si>
  <si>
    <t>Shizumi</t>
  </si>
  <si>
    <t>Y</t>
  </si>
  <si>
    <t>PO Box 488</t>
  </si>
  <si>
    <t>Tomball</t>
  </si>
  <si>
    <t>77377-0488</t>
  </si>
  <si>
    <t>shizumi@sbcglobal.net</t>
  </si>
  <si>
    <t>Criss</t>
  </si>
  <si>
    <t>Mrs. Kathleen and Mr. Jeffrey D. Criss</t>
  </si>
  <si>
    <t>Kathleen and Jeffrey</t>
  </si>
  <si>
    <t>1458 Greenbriar Ct</t>
  </si>
  <si>
    <t>South Park</t>
  </si>
  <si>
    <t>15129-9280</t>
  </si>
  <si>
    <t>jcriss069@gmail.com</t>
  </si>
  <si>
    <t>ALZ110002004</t>
  </si>
  <si>
    <t>ALL21090C72M</t>
  </si>
  <si>
    <t>jcriss069@comcast.com</t>
  </si>
  <si>
    <t>Lazar</t>
  </si>
  <si>
    <t>Rita Lazar</t>
  </si>
  <si>
    <t>962 Yorktown Dr</t>
  </si>
  <si>
    <t>29412-3916</t>
  </si>
  <si>
    <t>rita.lazar@hotmail.com</t>
  </si>
  <si>
    <t>substitute47@yahoo.com</t>
  </si>
  <si>
    <t>ALQ1102MH042</t>
  </si>
  <si>
    <t>ALR191014C30</t>
  </si>
  <si>
    <t>ALR120303301</t>
  </si>
  <si>
    <t>Genevra</t>
  </si>
  <si>
    <t>Mrs. Davis</t>
  </si>
  <si>
    <t>2190 Cherry Lane</t>
  </si>
  <si>
    <t>83617-9489</t>
  </si>
  <si>
    <t>Sumida</t>
  </si>
  <si>
    <t>Mr. Robert Sumida</t>
  </si>
  <si>
    <t>15 Craigside Pl Apt 503</t>
  </si>
  <si>
    <t>96817-1784</t>
  </si>
  <si>
    <t>ALQ1102CH013</t>
  </si>
  <si>
    <t>ALR200100001</t>
  </si>
  <si>
    <t>Cranford</t>
  </si>
  <si>
    <t>Deborah and Jack Cranford</t>
  </si>
  <si>
    <t>Deborah and Jack</t>
  </si>
  <si>
    <t>18298 Gospel Temple Rd</t>
  </si>
  <si>
    <t>Melfa</t>
  </si>
  <si>
    <t>23410-2657</t>
  </si>
  <si>
    <t>dcranford1@gmail.com</t>
  </si>
  <si>
    <t>estrail1rider@yahoo.com</t>
  </si>
  <si>
    <t>ALQ1103EJ014</t>
  </si>
  <si>
    <t>ALA19070A24A</t>
  </si>
  <si>
    <t>ALQ1910AD007</t>
  </si>
  <si>
    <t>ALQ2009CC033</t>
  </si>
  <si>
    <t>Ms. Joan Ross</t>
  </si>
  <si>
    <t>503 Chestnut Pl</t>
  </si>
  <si>
    <t>37774-2058</t>
  </si>
  <si>
    <t>joankross@yahoo.com</t>
  </si>
  <si>
    <t>ALA1212N3EMC</t>
  </si>
  <si>
    <t>ALL2312L5EMC</t>
  </si>
  <si>
    <t>Casey and Kristin Ryan</t>
  </si>
  <si>
    <t>Casey and Kristin</t>
  </si>
  <si>
    <t>25A Lone Pine Rdg</t>
  </si>
  <si>
    <t>87505-9531</t>
  </si>
  <si>
    <t>sbowser75@gmail.com</t>
  </si>
  <si>
    <t>kristin@santafeconnections.com</t>
  </si>
  <si>
    <t>ALQ1304N5EMC</t>
  </si>
  <si>
    <t>Bradakis</t>
  </si>
  <si>
    <t>Ms. Karen Bradakis</t>
  </si>
  <si>
    <t>739 S Park St</t>
  </si>
  <si>
    <t>84102-3315</t>
  </si>
  <si>
    <t>karenbradakis@gmail.com</t>
  </si>
  <si>
    <t>karen.bradakis@hsc.utah.edu</t>
  </si>
  <si>
    <t>ALQ1312N4EMC</t>
  </si>
  <si>
    <t>Poss</t>
  </si>
  <si>
    <t>Dr. Stanley and Ms. Joan Poss</t>
  </si>
  <si>
    <t>Stanley and Joan</t>
  </si>
  <si>
    <t>4061 N Wilson Ave</t>
  </si>
  <si>
    <t>93704-4143</t>
  </si>
  <si>
    <t>olpossumus@yahoo.com</t>
  </si>
  <si>
    <t>ALL23040B6BM</t>
  </si>
  <si>
    <t>ilsasso2003@yahoo.com</t>
  </si>
  <si>
    <t>ilsasso2003@yahoo.cm</t>
  </si>
  <si>
    <t>ALL19120ACBM</t>
  </si>
  <si>
    <t>McWilliams</t>
  </si>
  <si>
    <t>Glen and Sylvia</t>
  </si>
  <si>
    <t>2500 E Willow St Unit 108</t>
  </si>
  <si>
    <t>Signal Hill</t>
  </si>
  <si>
    <t>90755-2250</t>
  </si>
  <si>
    <t>glen_mcwilliams@msn.com</t>
  </si>
  <si>
    <t>ALS1511T500W</t>
  </si>
  <si>
    <t>Sailer</t>
  </si>
  <si>
    <t>Dr. Charlene Sailer</t>
  </si>
  <si>
    <t>324 Sandpiper Dr</t>
  </si>
  <si>
    <t>95616-7536</t>
  </si>
  <si>
    <t>sailer@mindspring.com</t>
  </si>
  <si>
    <t>ALQ1201FG004</t>
  </si>
  <si>
    <t>ALR230604C44</t>
  </si>
  <si>
    <t>Ms. Chris Johnson</t>
  </si>
  <si>
    <t>4601 Manor Dr</t>
  </si>
  <si>
    <t>55123-2160</t>
  </si>
  <si>
    <t>chrisj0727@aol.com</t>
  </si>
  <si>
    <t>ALA111200WO2</t>
  </si>
  <si>
    <t>Mrs. Ruth D. Crawford</t>
  </si>
  <si>
    <t>1332 Pasadena Ave S Apt 201</t>
  </si>
  <si>
    <t>33707-3746</t>
  </si>
  <si>
    <t>ruthdcrawford@live.com</t>
  </si>
  <si>
    <t>ruthdcrawford@aol.com</t>
  </si>
  <si>
    <t>ALQ1102GH031</t>
  </si>
  <si>
    <t>ALA14030C24A</t>
  </si>
  <si>
    <t>21 Prospect Sq</t>
  </si>
  <si>
    <t>21502-2935</t>
  </si>
  <si>
    <t>ALQ1103FJ021</t>
  </si>
  <si>
    <t>Mr. E. Andrew Wilde, Jr.</t>
  </si>
  <si>
    <t>Mr. Wilde</t>
  </si>
  <si>
    <t>50 Boatswains Way #406</t>
  </si>
  <si>
    <t>C/o Patricia Sauer</t>
  </si>
  <si>
    <t>ALQ1103FJ041</t>
  </si>
  <si>
    <t>Gina</t>
  </si>
  <si>
    <t>Gina Williams</t>
  </si>
  <si>
    <t>12110 Daleside Dr</t>
  </si>
  <si>
    <t>77099-3906</t>
  </si>
  <si>
    <t>tazz0860@gmail.com</t>
  </si>
  <si>
    <t>tazz0860@yahoo.com</t>
  </si>
  <si>
    <t>ALQ1101DG023</t>
  </si>
  <si>
    <t>Fix</t>
  </si>
  <si>
    <t>Gayle W. Fix</t>
  </si>
  <si>
    <t>1608 W Grace St</t>
  </si>
  <si>
    <t>23220-2103</t>
  </si>
  <si>
    <t>gwfix@msn.com</t>
  </si>
  <si>
    <t>ALQ1012CF012</t>
  </si>
  <si>
    <t>ALA17030C26A</t>
  </si>
  <si>
    <t>Richard Myers</t>
  </si>
  <si>
    <t>2709 Illinois Ave</t>
  </si>
  <si>
    <t>Joplin</t>
  </si>
  <si>
    <t>64804-2815</t>
  </si>
  <si>
    <t>rikmyersii@gmail.com</t>
  </si>
  <si>
    <t>ALQ1103DJ006</t>
  </si>
  <si>
    <t>ALR160702033</t>
  </si>
  <si>
    <t>Ann and Edward Lipkin</t>
  </si>
  <si>
    <t>Ann and Edward</t>
  </si>
  <si>
    <t>6311 Brooklyn Ave NE</t>
  </si>
  <si>
    <t>98115-6731</t>
  </si>
  <si>
    <t>nutritiann@gmail.com</t>
  </si>
  <si>
    <t>ALQ1101JG029</t>
  </si>
  <si>
    <t>Gonzales</t>
  </si>
  <si>
    <t>Cindy Gonzales</t>
  </si>
  <si>
    <t>145 Orangewood Ln</t>
  </si>
  <si>
    <t>92780-3215</t>
  </si>
  <si>
    <t>ALQ1103DJ014</t>
  </si>
  <si>
    <t>ALR220108C44</t>
  </si>
  <si>
    <t>Rosemary Ryan and Janice Fleenor</t>
  </si>
  <si>
    <t>Rosemary and Janice</t>
  </si>
  <si>
    <t>326 N Nine Mound Rd</t>
  </si>
  <si>
    <t>53593-1036</t>
  </si>
  <si>
    <t>rosemaryryan8456@gmail.com</t>
  </si>
  <si>
    <t>rryan@charter.net</t>
  </si>
  <si>
    <t>ALQ1103CJ010</t>
  </si>
  <si>
    <t>ALA20010A15A</t>
  </si>
  <si>
    <t>Ms. Carol E. Morgan</t>
  </si>
  <si>
    <t>3320 Monticello Ave</t>
  </si>
  <si>
    <t>50701-4615</t>
  </si>
  <si>
    <t>carol_morgan@msn.com</t>
  </si>
  <si>
    <t>ALQ1103FJ033</t>
  </si>
  <si>
    <t>ALA12110614A</t>
  </si>
  <si>
    <t>Norcross</t>
  </si>
  <si>
    <t>Mr. Steve Norcross</t>
  </si>
  <si>
    <t>8949 SW Fairview Pl</t>
  </si>
  <si>
    <t>97223-4444</t>
  </si>
  <si>
    <t>shorx@hevanet.com</t>
  </si>
  <si>
    <t>snorx@hevanet.com</t>
  </si>
  <si>
    <t>ALQ110502EC1</t>
  </si>
  <si>
    <t>Frederica</t>
  </si>
  <si>
    <t>Kocherhans</t>
  </si>
  <si>
    <t>Frederica J. Kocherhans</t>
  </si>
  <si>
    <t>805 S River Rd Unit 23</t>
  </si>
  <si>
    <t>84790-5572</t>
  </si>
  <si>
    <t>ALQ1104BK006</t>
  </si>
  <si>
    <t>Bieler</t>
  </si>
  <si>
    <t>Ms. Faith Bieler</t>
  </si>
  <si>
    <t>48 Branbury Xing</t>
  </si>
  <si>
    <t>Waterbury Center</t>
  </si>
  <si>
    <t>05677-8329</t>
  </si>
  <si>
    <t>faith.bieler@comcast.net</t>
  </si>
  <si>
    <t>ALQ1104CK009</t>
  </si>
  <si>
    <t>ALA190901999</t>
  </si>
  <si>
    <t>Mixon</t>
  </si>
  <si>
    <t>Mr. Phillip Mixon</t>
  </si>
  <si>
    <t>2580 Melinda Dr NE</t>
  </si>
  <si>
    <t>30345-1919</t>
  </si>
  <si>
    <t>phillipmixon1970@gmail.com</t>
  </si>
  <si>
    <t>pmixon@gru.edu</t>
  </si>
  <si>
    <t>ALQ1104EK017</t>
  </si>
  <si>
    <t>Sneddon</t>
  </si>
  <si>
    <t>Ms. Rita Sneddon</t>
  </si>
  <si>
    <t>762 Glenco Dr</t>
  </si>
  <si>
    <t>33897-5916</t>
  </si>
  <si>
    <t>ritakay9162@yahoo.com</t>
  </si>
  <si>
    <t>ALQ1012DF020</t>
  </si>
  <si>
    <t>Utter</t>
  </si>
  <si>
    <t>Mrs. Sue L. and Mr. Steven J. Utter</t>
  </si>
  <si>
    <t>Sue and Steven</t>
  </si>
  <si>
    <t>2961 W Corte Madelena</t>
  </si>
  <si>
    <t>85741-2987</t>
  </si>
  <si>
    <t>ponyexpress62350@comcast.net</t>
  </si>
  <si>
    <t>ALQ1104FK010</t>
  </si>
  <si>
    <t>ALB230001001</t>
  </si>
  <si>
    <t>sjutter@comcast.net</t>
  </si>
  <si>
    <t>Bonk</t>
  </si>
  <si>
    <t>Deborah Bonk</t>
  </si>
  <si>
    <t>1020 Manitou St</t>
  </si>
  <si>
    <t>Manitowoc</t>
  </si>
  <si>
    <t>54220-6566</t>
  </si>
  <si>
    <t>rdbonk@gmail.com</t>
  </si>
  <si>
    <t>dbonk@noaddress.ea</t>
  </si>
  <si>
    <t>ALQ1104DK018</t>
  </si>
  <si>
    <t>Perrigo</t>
  </si>
  <si>
    <t>Michael E. Perrigo</t>
  </si>
  <si>
    <t>8165 Banner Ln</t>
  </si>
  <si>
    <t>44129-6004</t>
  </si>
  <si>
    <t>erios49@aol.com</t>
  </si>
  <si>
    <t>ALQ1102DH017</t>
  </si>
  <si>
    <t>ALL20110A7BM</t>
  </si>
  <si>
    <t>ALR130507032</t>
  </si>
  <si>
    <t>David and Eleanor Barnes</t>
  </si>
  <si>
    <t>David and Eleanor</t>
  </si>
  <si>
    <t>10188 Sandy Ln</t>
  </si>
  <si>
    <t>96001-9742</t>
  </si>
  <si>
    <t>davideleanorbarnes@gmail.com</t>
  </si>
  <si>
    <t>ALQ1103FJ032</t>
  </si>
  <si>
    <t>Bielawski</t>
  </si>
  <si>
    <t>Patricia Bielawski</t>
  </si>
  <si>
    <t>200 W 34th Ave</t>
  </si>
  <si>
    <t># 284</t>
  </si>
  <si>
    <t>99503-3969</t>
  </si>
  <si>
    <t>pattyb@jadenorth.com</t>
  </si>
  <si>
    <t>ALQ1102FH020</t>
  </si>
  <si>
    <t>Mr. John Nelson Jr.</t>
  </si>
  <si>
    <t>2149 Bridgeview Cir</t>
  </si>
  <si>
    <t>32824-5623</t>
  </si>
  <si>
    <t>john.e.nelson@me.com</t>
  </si>
  <si>
    <t>neodagringo@hotmail.com</t>
  </si>
  <si>
    <t>ALQ1104DK011</t>
  </si>
  <si>
    <t>ALQ2008N0DMC</t>
  </si>
  <si>
    <t>Mr. Ted Hammond</t>
  </si>
  <si>
    <t>1389 Nh Route 175</t>
  </si>
  <si>
    <t>Campton</t>
  </si>
  <si>
    <t>03223-4804</t>
  </si>
  <si>
    <t>thamcon95@gmail.com</t>
  </si>
  <si>
    <t>tedham@adelphia.net</t>
  </si>
  <si>
    <t>ALQ1104EK007</t>
  </si>
  <si>
    <t>Van Veldhuizen</t>
  </si>
  <si>
    <t>Philip and Deborah Van Veldhuizen</t>
  </si>
  <si>
    <t>Philip and Deborah</t>
  </si>
  <si>
    <t>12811 NE 138th Ct</t>
  </si>
  <si>
    <t>98034-2262</t>
  </si>
  <si>
    <t>dvanveld@gmail.com</t>
  </si>
  <si>
    <t>ALQ1101MG052</t>
  </si>
  <si>
    <t>Mr. Barry Zuckerman</t>
  </si>
  <si>
    <t>1 Old Anvil Ln</t>
  </si>
  <si>
    <t>10940-2601</t>
  </si>
  <si>
    <t>b_zuckerman@yahoo.com</t>
  </si>
  <si>
    <t>ALQ1104BK007</t>
  </si>
  <si>
    <t>ALA2211N1PSC</t>
  </si>
  <si>
    <t>Dumford</t>
  </si>
  <si>
    <t>Ms. Karen Dumford</t>
  </si>
  <si>
    <t>7612 NE Bay Hill Rd</t>
  </si>
  <si>
    <t>Bainbridge Island</t>
  </si>
  <si>
    <t>98110-1282</t>
  </si>
  <si>
    <t>dumfordk@aol.com</t>
  </si>
  <si>
    <t>ALQ1107JA010</t>
  </si>
  <si>
    <t>ALL23030C4BM</t>
  </si>
  <si>
    <t>Macy</t>
  </si>
  <si>
    <t>Mr. Paul Macy</t>
  </si>
  <si>
    <t>20040 Ashbrook Ct SW</t>
  </si>
  <si>
    <t>98531-9341</t>
  </si>
  <si>
    <t>pmacy1234@aol.com</t>
  </si>
  <si>
    <t>ALQ1708HB032</t>
  </si>
  <si>
    <t>ALA21120A33A</t>
  </si>
  <si>
    <t>Gobely</t>
  </si>
  <si>
    <t>Miss Michelle Gobely</t>
  </si>
  <si>
    <t>1581 Wheelock Ln Apt 202</t>
  </si>
  <si>
    <t>55117-5965</t>
  </si>
  <si>
    <t>mgobely@umn.edu</t>
  </si>
  <si>
    <t>michellegobely@yahoo.com</t>
  </si>
  <si>
    <t>ALQ1206HENT4</t>
  </si>
  <si>
    <t>ALA2301D1DMC</t>
  </si>
  <si>
    <t>Miss Renee Kendall</t>
  </si>
  <si>
    <t>1371 Shorewood Dr</t>
  </si>
  <si>
    <t>La Crosse</t>
  </si>
  <si>
    <t>54601-7037</t>
  </si>
  <si>
    <t>boosmom54656@gmail.com</t>
  </si>
  <si>
    <t>hoosmom5460@gmail.com</t>
  </si>
  <si>
    <t>ALQ1404GK025</t>
  </si>
  <si>
    <t>ALA20040A22C</t>
  </si>
  <si>
    <t>ALR160510032</t>
  </si>
  <si>
    <t>Unger</t>
  </si>
  <si>
    <t>Mr. David Unger</t>
  </si>
  <si>
    <t>15-2660 Pahoa Village Rd Ste 203-344</t>
  </si>
  <si>
    <t>96778-6720</t>
  </si>
  <si>
    <t>dpunger@earthlink.net</t>
  </si>
  <si>
    <t>ALS130101WS3</t>
  </si>
  <si>
    <t>Mr. Mark Webster</t>
  </si>
  <si>
    <t>3100 Elm Dr</t>
  </si>
  <si>
    <t>54601-7828</t>
  </si>
  <si>
    <t>mvweb@charter.net</t>
  </si>
  <si>
    <t>ALQ120401EMC</t>
  </si>
  <si>
    <t>ALA17090C33R</t>
  </si>
  <si>
    <t>Marquardt</t>
  </si>
  <si>
    <t>Dr. Michael R. Marquardt</t>
  </si>
  <si>
    <t>580 Reeder Mesa Rd</t>
  </si>
  <si>
    <t>81527-9515</t>
  </si>
  <si>
    <t>mrmarquar@msn.com</t>
  </si>
  <si>
    <t>ALQ1312N6EMC</t>
  </si>
  <si>
    <t>Mandel</t>
  </si>
  <si>
    <t>Mr. Eric J. Mandel</t>
  </si>
  <si>
    <t>3576 rue Durocher</t>
  </si>
  <si>
    <t>Monreal</t>
  </si>
  <si>
    <t>CA-QC</t>
  </si>
  <si>
    <t>H2X 2E5</t>
  </si>
  <si>
    <t>ericmandel@hotmail.com</t>
  </si>
  <si>
    <t>ALA111206EN1</t>
  </si>
  <si>
    <t>ALC140001002</t>
  </si>
  <si>
    <t>Kulleseid</t>
  </si>
  <si>
    <t>Ms. Ann J. Kulleseid</t>
  </si>
  <si>
    <t>448 Laurel St Apt 1</t>
  </si>
  <si>
    <t>94118-1920</t>
  </si>
  <si>
    <t>akulleseid@gmail.com</t>
  </si>
  <si>
    <t>trollqueen@earthlink.net</t>
  </si>
  <si>
    <t>ALA110922EMC</t>
  </si>
  <si>
    <t>ALR171200EMC</t>
  </si>
  <si>
    <t>Burry</t>
  </si>
  <si>
    <t>Gurdin Phd.</t>
  </si>
  <si>
    <t>Jeremy</t>
  </si>
  <si>
    <t>J. Gurdin Phd. and Rita Jeremy</t>
  </si>
  <si>
    <t>247 Ortega St</t>
  </si>
  <si>
    <t>94122-4617</t>
  </si>
  <si>
    <t>gurdin@hotmail.com</t>
  </si>
  <si>
    <t>gordin@hotmail.com</t>
  </si>
  <si>
    <t>ALQ1311DE031</t>
  </si>
  <si>
    <t>ALA23110A46A</t>
  </si>
  <si>
    <t>ALR220101EMC</t>
  </si>
  <si>
    <t>Kreis</t>
  </si>
  <si>
    <t>Ms. Deborah D. Kreis Sr.</t>
  </si>
  <si>
    <t>63 Riverside Ave Apt D</t>
  </si>
  <si>
    <t>04073-3363</t>
  </si>
  <si>
    <t>etenoha_11@yahoo.com</t>
  </si>
  <si>
    <t>sowulo2014@gmail.com</t>
  </si>
  <si>
    <t>ALQ1307DA218</t>
  </si>
  <si>
    <t>ALA18120A23A</t>
  </si>
  <si>
    <t>Jemison</t>
  </si>
  <si>
    <t>Ms. Cathleen Jemison</t>
  </si>
  <si>
    <t>347 Litchfield Ave</t>
  </si>
  <si>
    <t>Babylon</t>
  </si>
  <si>
    <t>11702-2033</t>
  </si>
  <si>
    <t>panthingo@gmail.com</t>
  </si>
  <si>
    <t>ALZ120001001</t>
  </si>
  <si>
    <t>Latner</t>
  </si>
  <si>
    <t>Ms. Nancy Latner</t>
  </si>
  <si>
    <t>6223 Meadow Rd</t>
  </si>
  <si>
    <t>75230-5138</t>
  </si>
  <si>
    <t>nancylatner@gmail.com</t>
  </si>
  <si>
    <t>nancylatner@att.net</t>
  </si>
  <si>
    <t>Mr. Paul Shapiro</t>
  </si>
  <si>
    <t>956 Orchard Ln</t>
  </si>
  <si>
    <t>55113-2036</t>
  </si>
  <si>
    <t>pshapiromn@gmail.com</t>
  </si>
  <si>
    <t>paulnlee@comcast.net</t>
  </si>
  <si>
    <t>ALQ11070W004</t>
  </si>
  <si>
    <t>ALR15J147EMC</t>
  </si>
  <si>
    <t>Cucarese</t>
  </si>
  <si>
    <t>Ms. Devon Cucarese</t>
  </si>
  <si>
    <t>801 Westbrook Dr</t>
  </si>
  <si>
    <t>Garland</t>
  </si>
  <si>
    <t>75043-5242</t>
  </si>
  <si>
    <t>starsgirl93@tx.rr.com</t>
  </si>
  <si>
    <t>ALQ1210N1EMC</t>
  </si>
  <si>
    <t>Stuckey</t>
  </si>
  <si>
    <t>Mr. Richard Stuckey</t>
  </si>
  <si>
    <t>1931 N Fremont St</t>
  </si>
  <si>
    <t>60614-5016</t>
  </si>
  <si>
    <t>rjstuckey@aol.com</t>
  </si>
  <si>
    <t>rjstucey@aol.com</t>
  </si>
  <si>
    <t>ALQ1503N4EMC</t>
  </si>
  <si>
    <t>ALR230309C54</t>
  </si>
  <si>
    <t>Ms. Ann M. Waterhouse</t>
  </si>
  <si>
    <t>889 Arthur Dr Apt 5</t>
  </si>
  <si>
    <t>53563-3730</t>
  </si>
  <si>
    <t>waterhouseannmarie36@gmail.com</t>
  </si>
  <si>
    <t>ALQ1205HENT1</t>
  </si>
  <si>
    <t>Mrs. Janet J. Slobin</t>
  </si>
  <si>
    <t>1481 NW 13th Ave Apt 642</t>
  </si>
  <si>
    <t>97209-3413</t>
  </si>
  <si>
    <t>janetjs@comcast.net</t>
  </si>
  <si>
    <t>ALA110701EX1</t>
  </si>
  <si>
    <t>ALA1702N0AD4</t>
  </si>
  <si>
    <t>ALA1504D4EMC</t>
  </si>
  <si>
    <t>Mrs. Nancy Snyder</t>
  </si>
  <si>
    <t>5459 Teeter Rd</t>
  </si>
  <si>
    <t>44822-9623</t>
  </si>
  <si>
    <t>snyder54@yahoo.com</t>
  </si>
  <si>
    <t>ALQ1101GG026</t>
  </si>
  <si>
    <t>ALR201206C44</t>
  </si>
  <si>
    <t>George P. Fenton</t>
  </si>
  <si>
    <t>24 Ironstone Ct</t>
  </si>
  <si>
    <t>22405-3750</t>
  </si>
  <si>
    <t>george@taser.com</t>
  </si>
  <si>
    <t>gpfenton1974@gmail.com</t>
  </si>
  <si>
    <t>ALQ1105GL035</t>
  </si>
  <si>
    <t>ALR231005C23</t>
  </si>
  <si>
    <t>Dr. Simon Hirschl</t>
  </si>
  <si>
    <t>9 Kittie Ln</t>
  </si>
  <si>
    <t>94002-3640</t>
  </si>
  <si>
    <t>mirnahirschl@gmail.com</t>
  </si>
  <si>
    <t>simihir@gmail.com</t>
  </si>
  <si>
    <t>ALQ1105GL018</t>
  </si>
  <si>
    <t>Bazarian</t>
  </si>
  <si>
    <t>Elaine Bazarian</t>
  </si>
  <si>
    <t>524 Mount Auburn St</t>
  </si>
  <si>
    <t>02472-4122</t>
  </si>
  <si>
    <t>shantig04@yahoo.com</t>
  </si>
  <si>
    <t>ALQ1105EL023</t>
  </si>
  <si>
    <t>Gruver</t>
  </si>
  <si>
    <t>Mrs. Barbara Gruver</t>
  </si>
  <si>
    <t>109 Belmore Rd</t>
  </si>
  <si>
    <t>21093-6111</t>
  </si>
  <si>
    <t>barbaragruver1@gmail.com</t>
  </si>
  <si>
    <t>abgruver@verizon.net</t>
  </si>
  <si>
    <t>ALQ1501MG045</t>
  </si>
  <si>
    <t>Angelita</t>
  </si>
  <si>
    <t>Pezina</t>
  </si>
  <si>
    <t>Ms. Angelita Pezina</t>
  </si>
  <si>
    <t>4819 E Silverleaf Ave</t>
  </si>
  <si>
    <t>92869-3019</t>
  </si>
  <si>
    <t>apezina@gmail.com</t>
  </si>
  <si>
    <t>angelicta.pezina@gmail.com</t>
  </si>
  <si>
    <t>XNPSA2309</t>
  </si>
  <si>
    <t>ALL23040B43M</t>
  </si>
  <si>
    <t>ALR220504C23</t>
  </si>
  <si>
    <t>Siegenthaler</t>
  </si>
  <si>
    <t>2631 Wawona Dr</t>
  </si>
  <si>
    <t>95405-8417</t>
  </si>
  <si>
    <t>csiegen@gmail.com</t>
  </si>
  <si>
    <t>ALQ1105EL006</t>
  </si>
  <si>
    <t>Malis</t>
  </si>
  <si>
    <t>Mr. Albert D. Malis</t>
  </si>
  <si>
    <t>PO Box 11436</t>
  </si>
  <si>
    <t>85318-1436</t>
  </si>
  <si>
    <t>hunter1226@cox.net</t>
  </si>
  <si>
    <t>ALQ1105FL009</t>
  </si>
  <si>
    <t>Eads</t>
  </si>
  <si>
    <t>Jeff and Shirley Eads</t>
  </si>
  <si>
    <t>Jeff and Shirley</t>
  </si>
  <si>
    <t>24 Damon Rd</t>
  </si>
  <si>
    <t>45218-1013</t>
  </si>
  <si>
    <t>jefshirl2@aol.com</t>
  </si>
  <si>
    <t>ALQ1105GL020</t>
  </si>
  <si>
    <t>ALA24030B24R</t>
  </si>
  <si>
    <t>Smotherman</t>
  </si>
  <si>
    <t>Kathleen and James Smotherman</t>
  </si>
  <si>
    <t>Kathleen and James</t>
  </si>
  <si>
    <t>2622 29th Ave W</t>
  </si>
  <si>
    <t>98199-3326</t>
  </si>
  <si>
    <t>kathlemanski@msn.com</t>
  </si>
  <si>
    <t>ALA111201ENC</t>
  </si>
  <si>
    <t>ALAXXXXD0EMC</t>
  </si>
  <si>
    <t>ALA18010B55H</t>
  </si>
  <si>
    <t>Dawnita</t>
  </si>
  <si>
    <t>Dawnita and Donald</t>
  </si>
  <si>
    <t>7619 Wynnewood Ln</t>
  </si>
  <si>
    <t>46835-9206</t>
  </si>
  <si>
    <t>ALQ1107DA004</t>
  </si>
  <si>
    <t>ALA13020C15A</t>
  </si>
  <si>
    <t>562 E Cole Ave</t>
  </si>
  <si>
    <t>93720-1752</t>
  </si>
  <si>
    <t>japanesechapel1994@gmail.com</t>
  </si>
  <si>
    <t>ALQ1107EA003</t>
  </si>
  <si>
    <t>ALA19040A12R</t>
  </si>
  <si>
    <t>Mr. Kevin Marker</t>
  </si>
  <si>
    <t>19 Quinn Ct</t>
  </si>
  <si>
    <t>52802-2365</t>
  </si>
  <si>
    <t>kdmarker23@yahoo.com</t>
  </si>
  <si>
    <t>ALR201103C33</t>
  </si>
  <si>
    <t>Bertillion</t>
  </si>
  <si>
    <t>Jacqueline A. Bertillion</t>
  </si>
  <si>
    <t>25384 Mohr Dr</t>
  </si>
  <si>
    <t>Hayward</t>
  </si>
  <si>
    <t>94545-2324</t>
  </si>
  <si>
    <t>sincityman1@aol.com</t>
  </si>
  <si>
    <t>ALQ1105EL022</t>
  </si>
  <si>
    <t>ALA20050A22C</t>
  </si>
  <si>
    <t>ALR120701001</t>
  </si>
  <si>
    <t>Marilyn E. Lee</t>
  </si>
  <si>
    <t>1312 Amelia Ave</t>
  </si>
  <si>
    <t>48073-2761</t>
  </si>
  <si>
    <t>annjamesd@sbcglobal.net</t>
  </si>
  <si>
    <t>ALQ1107AA007</t>
  </si>
  <si>
    <t>ALR180801033</t>
  </si>
  <si>
    <t>Lawrence and Kathleen</t>
  </si>
  <si>
    <t>16 Avon Ave</t>
  </si>
  <si>
    <t>94941-1364</t>
  </si>
  <si>
    <t>thecurioustraveler@msn.com</t>
  </si>
  <si>
    <t>ALQ1107EA001</t>
  </si>
  <si>
    <t>ALA23080C15A</t>
  </si>
  <si>
    <t>Kofron</t>
  </si>
  <si>
    <t>Joseph Kofron</t>
  </si>
  <si>
    <t>1207 Craigvale Ct</t>
  </si>
  <si>
    <t>63122-5513</t>
  </si>
  <si>
    <t>ALQ1107EA004</t>
  </si>
  <si>
    <t>ALA24010E25R</t>
  </si>
  <si>
    <t>Lydia</t>
  </si>
  <si>
    <t>Eggensperger</t>
  </si>
  <si>
    <t>Lydia Eggensperger</t>
  </si>
  <si>
    <t>2205 Antioch Rd</t>
  </si>
  <si>
    <t>30040-4566</t>
  </si>
  <si>
    <t>ryaneggensperger@gmail.com</t>
  </si>
  <si>
    <t>ALQ1107CA011</t>
  </si>
  <si>
    <t>ALL23080B53M</t>
  </si>
  <si>
    <t>ALA17070F13A</t>
  </si>
  <si>
    <t>Barbara and Donald Waite</t>
  </si>
  <si>
    <t>Barbara and Donald</t>
  </si>
  <si>
    <t>813 Chance Ln</t>
  </si>
  <si>
    <t>89521-9629</t>
  </si>
  <si>
    <t>ALQ1107CA007</t>
  </si>
  <si>
    <t>Joan and James Carter</t>
  </si>
  <si>
    <t>Joan and James</t>
  </si>
  <si>
    <t>3207 Redwing Dr</t>
  </si>
  <si>
    <t>68123-2142</t>
  </si>
  <si>
    <t>je_carter@cox.net</t>
  </si>
  <si>
    <t>je.carter8764@gmail.com</t>
  </si>
  <si>
    <t>ALQ1107DA008</t>
  </si>
  <si>
    <t>Lee Ann</t>
  </si>
  <si>
    <t>Lee Ann Carter</t>
  </si>
  <si>
    <t>844 Kenwick Dr</t>
  </si>
  <si>
    <t>Winston Salem</t>
  </si>
  <si>
    <t>27106-5543</t>
  </si>
  <si>
    <t>Mr. Kirk O. Singer</t>
  </si>
  <si>
    <t>224 Rainbow Dr</t>
  </si>
  <si>
    <t>PMB 12413</t>
  </si>
  <si>
    <t>77399-2024</t>
  </si>
  <si>
    <t>kayo@singersrv.net</t>
  </si>
  <si>
    <t>ALA1211N1ADC</t>
  </si>
  <si>
    <t>ALA19060W001</t>
  </si>
  <si>
    <t>ALR151103EMC</t>
  </si>
  <si>
    <t>Bobby</t>
  </si>
  <si>
    <t>Mr. Bobby Bauer</t>
  </si>
  <si>
    <t>10422 Inwood Ave</t>
  </si>
  <si>
    <t>20902-3846</t>
  </si>
  <si>
    <t>bobbylonghare@yahoo.com</t>
  </si>
  <si>
    <t>Skiff</t>
  </si>
  <si>
    <t>Paul Skiff</t>
  </si>
  <si>
    <t>1128 John Reagan St</t>
  </si>
  <si>
    <t>Benbrook</t>
  </si>
  <si>
    <t>76126-3500</t>
  </si>
  <si>
    <t>paulskiff@charter.net</t>
  </si>
  <si>
    <t>ALQ1107MA019</t>
  </si>
  <si>
    <t>Eckhert</t>
  </si>
  <si>
    <t>Mr. Kenneth Eckhert</t>
  </si>
  <si>
    <t>PO Box 365</t>
  </si>
  <si>
    <t>Lake View</t>
  </si>
  <si>
    <t>14085-0365</t>
  </si>
  <si>
    <t>sharoneckhert@hotmail.com</t>
  </si>
  <si>
    <t>keckhert@hotmail.com</t>
  </si>
  <si>
    <t>Freya</t>
  </si>
  <si>
    <t>Rauscher</t>
  </si>
  <si>
    <t>Mrs. Freya Rauscher</t>
  </si>
  <si>
    <t>591 Normandy Rd</t>
  </si>
  <si>
    <t>Madeira Beach</t>
  </si>
  <si>
    <t>33708-2315</t>
  </si>
  <si>
    <t>freyag.ra@gmail.com</t>
  </si>
  <si>
    <t>rv.panda@verizon.net</t>
  </si>
  <si>
    <t>ALQ1711FE032</t>
  </si>
  <si>
    <t>ALR200714C50</t>
  </si>
  <si>
    <t>Landis</t>
  </si>
  <si>
    <t>Ms. Jennifer Landis</t>
  </si>
  <si>
    <t>7590 Zeisloff Rd</t>
  </si>
  <si>
    <t>New Tripoli</t>
  </si>
  <si>
    <t>18066-3915</t>
  </si>
  <si>
    <t>ironworker401@verizon.net</t>
  </si>
  <si>
    <t>jenniferlandis1995@gmail.com</t>
  </si>
  <si>
    <t>ALL21070A73M</t>
  </si>
  <si>
    <t>ALA16070D13C</t>
  </si>
  <si>
    <t>Ong</t>
  </si>
  <si>
    <t>107 Bernard Dr apt B322</t>
  </si>
  <si>
    <t>Belton</t>
  </si>
  <si>
    <t>64012-6210</t>
  </si>
  <si>
    <t>rong@kc.rr.com</t>
  </si>
  <si>
    <t>ALQ1107HA016</t>
  </si>
  <si>
    <t>ALR120801001</t>
  </si>
  <si>
    <t>Consulting</t>
  </si>
  <si>
    <t>Bookman</t>
  </si>
  <si>
    <t>Mr. Mark C. Bookman</t>
  </si>
  <si>
    <t>5438 Micaela Dr</t>
  </si>
  <si>
    <t>91301-4060</t>
  </si>
  <si>
    <t>bookmanmark@gmail.com</t>
  </si>
  <si>
    <t>mbookman@earthlink.net</t>
  </si>
  <si>
    <t>ALQ1107GA001</t>
  </si>
  <si>
    <t>John and Irene Kennedy</t>
  </si>
  <si>
    <t>John and Irene</t>
  </si>
  <si>
    <t>720 University Dr</t>
  </si>
  <si>
    <t>94025-4914</t>
  </si>
  <si>
    <t>kennedy850@mac.com</t>
  </si>
  <si>
    <t>ALQ1107GA015</t>
  </si>
  <si>
    <t>Ms. Carol Fulton</t>
  </si>
  <si>
    <t>92 Buttonwood Dr</t>
  </si>
  <si>
    <t>14468-8941</t>
  </si>
  <si>
    <t>ALQ1108CB029</t>
  </si>
  <si>
    <t>ALA21120A32R</t>
  </si>
  <si>
    <t>Quest</t>
  </si>
  <si>
    <t>Carol Quest</t>
  </si>
  <si>
    <t>2016 Yorkshire Ave Apt 304</t>
  </si>
  <si>
    <t>55116-2587</t>
  </si>
  <si>
    <t>ALQ1108FB010</t>
  </si>
  <si>
    <t>Kroeger</t>
  </si>
  <si>
    <t>Mr. Robert F. Kroeger</t>
  </si>
  <si>
    <t>1033 Firth Ave</t>
  </si>
  <si>
    <t>43085-2913</t>
  </si>
  <si>
    <t>rkroeger@columbus.rr.com</t>
  </si>
  <si>
    <t>rkroeger@hotmail.com</t>
  </si>
  <si>
    <t>ALQ11090WHPE</t>
  </si>
  <si>
    <t>ALA2212D1WST</t>
  </si>
  <si>
    <t>Gina Bradley</t>
  </si>
  <si>
    <t>215 Burwell Ridge Trl</t>
  </si>
  <si>
    <t>Harvest</t>
  </si>
  <si>
    <t>35749-9663</t>
  </si>
  <si>
    <t>ginapbrad@gmail.com</t>
  </si>
  <si>
    <t>ginapbrad@yahoo.com</t>
  </si>
  <si>
    <t>ALQ1108AB017</t>
  </si>
  <si>
    <t>Arthur Bauer</t>
  </si>
  <si>
    <t>6441 Bethany Village Dr</t>
  </si>
  <si>
    <t># 211</t>
  </si>
  <si>
    <t>45459-3571</t>
  </si>
  <si>
    <t>kbarbauer@aol.com</t>
  </si>
  <si>
    <t>ALR210101C54</t>
  </si>
  <si>
    <t>Ley</t>
  </si>
  <si>
    <t>Mr. Eric Ley</t>
  </si>
  <si>
    <t>PO Box 530</t>
  </si>
  <si>
    <t>48191-0530</t>
  </si>
  <si>
    <t>leyz_train@yahoo.com</t>
  </si>
  <si>
    <t>ALQ1107JA009</t>
  </si>
  <si>
    <t>McGann</t>
  </si>
  <si>
    <t>Mr. Charles L. McGann Jr.</t>
  </si>
  <si>
    <t>1616 Brook Run Dr</t>
  </si>
  <si>
    <t>27614-9732</t>
  </si>
  <si>
    <t>chuckmcgann@gmail.com</t>
  </si>
  <si>
    <t>jmcgann3983@yahoo.com</t>
  </si>
  <si>
    <t>ALQ1107GA005</t>
  </si>
  <si>
    <t>Mrs. Kristin and Mr. Charlie Carter</t>
  </si>
  <si>
    <t>Kristin and Charlie</t>
  </si>
  <si>
    <t>1359 Thistle Down</t>
  </si>
  <si>
    <t>Keswick</t>
  </si>
  <si>
    <t>22947-2743</t>
  </si>
  <si>
    <t>kmcarter@ntelos.net</t>
  </si>
  <si>
    <t>chcarterat@icloud.com</t>
  </si>
  <si>
    <t>Mrs. Janet I. Parker</t>
  </si>
  <si>
    <t>505 S Orange Ave Unit 1002</t>
  </si>
  <si>
    <t>34236-7567</t>
  </si>
  <si>
    <t>jiparker43@gmail.com</t>
  </si>
  <si>
    <t>jiparker43@hotmail.com</t>
  </si>
  <si>
    <t>ALQ110001002</t>
  </si>
  <si>
    <t>ALR231101005</t>
  </si>
  <si>
    <t>Leon</t>
  </si>
  <si>
    <t>Eschenbach</t>
  </si>
  <si>
    <t>Leon Eschenbach</t>
  </si>
  <si>
    <t>411 Marina Bay Dr Apt 311</t>
  </si>
  <si>
    <t>Penhook</t>
  </si>
  <si>
    <t>24137-5049</t>
  </si>
  <si>
    <t>lheschenbach@gmail.com</t>
  </si>
  <si>
    <t>ALQ1109CC016</t>
  </si>
  <si>
    <t>Mark and Peg Hewitt</t>
  </si>
  <si>
    <t>Mark and Peg</t>
  </si>
  <si>
    <t>14818 E Fish Hook Dr</t>
  </si>
  <si>
    <t>56470-6245</t>
  </si>
  <si>
    <t>hewitt@unitelc.com</t>
  </si>
  <si>
    <t>ALQ1107AA008</t>
  </si>
  <si>
    <t>Sandra Bauman</t>
  </si>
  <si>
    <t>6065 Countryhills Dr</t>
  </si>
  <si>
    <t>45233-1731</t>
  </si>
  <si>
    <t>baumansandra727@gmail.com</t>
  </si>
  <si>
    <t>ALQ1109BC016</t>
  </si>
  <si>
    <t>ALR220901C66</t>
  </si>
  <si>
    <t>Waldine</t>
  </si>
  <si>
    <t>Ramlow</t>
  </si>
  <si>
    <t>Waldine Ramlow</t>
  </si>
  <si>
    <t>4806 Lindbloom Ln</t>
  </si>
  <si>
    <t>Cherry Valley</t>
  </si>
  <si>
    <t>61016-9113</t>
  </si>
  <si>
    <t>rdkokopelli@aol.com</t>
  </si>
  <si>
    <t>ALQ1108EB025</t>
  </si>
  <si>
    <t>9020 Abbey Ln</t>
  </si>
  <si>
    <t>Des Plaines</t>
  </si>
  <si>
    <t>60016-5063</t>
  </si>
  <si>
    <t>luckypouncer@yahoo.com</t>
  </si>
  <si>
    <t>ALQ1109CC020</t>
  </si>
  <si>
    <t>ALR220402EMC</t>
  </si>
  <si>
    <t>Ms. Kate N. Vanskike</t>
  </si>
  <si>
    <t>8415 E Broad Ct</t>
  </si>
  <si>
    <t>99212-1748</t>
  </si>
  <si>
    <t>kate.vanskike@gmail.com</t>
  </si>
  <si>
    <t>kate.vanskike@comcast.net</t>
  </si>
  <si>
    <t>ALQ1109DC017</t>
  </si>
  <si>
    <t>Meehan</t>
  </si>
  <si>
    <t>Bob Meehan</t>
  </si>
  <si>
    <t>1608 S 23rd Pl</t>
  </si>
  <si>
    <t>72758-4301</t>
  </si>
  <si>
    <t>ALQ1109EC017</t>
  </si>
  <si>
    <t>ALR150602033</t>
  </si>
  <si>
    <t>William Thompson</t>
  </si>
  <si>
    <t>8809 Rio Grande Blvd NW Apt 3</t>
  </si>
  <si>
    <t>87114-1375</t>
  </si>
  <si>
    <t>thomps132@gmail.com</t>
  </si>
  <si>
    <t>scooper00@hotmail.com</t>
  </si>
  <si>
    <t>ALQ1109BC014</t>
  </si>
  <si>
    <t>ALR171102044</t>
  </si>
  <si>
    <t>Canova-Davis</t>
  </si>
  <si>
    <t>Dr. Eleanor Canova-Davis</t>
  </si>
  <si>
    <t>14500 Fruitvale Ave Apt 2259</t>
  </si>
  <si>
    <t>95070-6179</t>
  </si>
  <si>
    <t>andcaviar63@hotmail.com</t>
  </si>
  <si>
    <t>earamisndes@yahoo.com</t>
  </si>
  <si>
    <t>ATA140301001</t>
  </si>
  <si>
    <t>Harrower</t>
  </si>
  <si>
    <t>Ruth Harrower</t>
  </si>
  <si>
    <t>16008 Redington Dr</t>
  </si>
  <si>
    <t>Redington Beach</t>
  </si>
  <si>
    <t>33708-1663</t>
  </si>
  <si>
    <t>ALQ1109DC027</t>
  </si>
  <si>
    <t>ALA22120A13C</t>
  </si>
  <si>
    <t>Ann and David Miller</t>
  </si>
  <si>
    <t>Ann and David</t>
  </si>
  <si>
    <t>2500 Sinus Star</t>
  </si>
  <si>
    <t>anndavmill@aol.com</t>
  </si>
  <si>
    <t>davidmiller@aol.com</t>
  </si>
  <si>
    <t>ALA22070A24A</t>
  </si>
  <si>
    <t>Friedman</t>
  </si>
  <si>
    <t>Judith J. Friedman</t>
  </si>
  <si>
    <t>163 Brookside Ln</t>
  </si>
  <si>
    <t>13066-1543</t>
  </si>
  <si>
    <t>judyfrie@aol.com</t>
  </si>
  <si>
    <t>judyjfrie@aol.com</t>
  </si>
  <si>
    <t>ALQ1105GL015</t>
  </si>
  <si>
    <t>ALQ2305AL002</t>
  </si>
  <si>
    <t>Lair</t>
  </si>
  <si>
    <t>Diane Lair</t>
  </si>
  <si>
    <t>2325 Holliwell Bridge Rd</t>
  </si>
  <si>
    <t>Winterset</t>
  </si>
  <si>
    <t>50273-8136</t>
  </si>
  <si>
    <t>gslair56@gmail.com</t>
  </si>
  <si>
    <t>ALR220213C40</t>
  </si>
  <si>
    <t>ALR190501023</t>
  </si>
  <si>
    <t>Traxler</t>
  </si>
  <si>
    <t>John J. Traxler</t>
  </si>
  <si>
    <t>4172 Rousseau Ln</t>
  </si>
  <si>
    <t>Palos Verdes Peninsula</t>
  </si>
  <si>
    <t>90274-3950</t>
  </si>
  <si>
    <t>jotrax5@verizon.net</t>
  </si>
  <si>
    <t>ALQ1110ED006</t>
  </si>
  <si>
    <t>ALA19100C24A</t>
  </si>
  <si>
    <t>Benhoff</t>
  </si>
  <si>
    <t>Edward and Jacqueline Benhoff</t>
  </si>
  <si>
    <t>Edward and Jacqueline</t>
  </si>
  <si>
    <t>2967 Country Club Ln</t>
  </si>
  <si>
    <t>Twinsburg</t>
  </si>
  <si>
    <t>44087-2951</t>
  </si>
  <si>
    <t>ebenhoff@gmail.com</t>
  </si>
  <si>
    <t>ALQ1110ED025</t>
  </si>
  <si>
    <t>ALA22120B54H</t>
  </si>
  <si>
    <t>Mrs. Virginia and Mr. David Rice</t>
  </si>
  <si>
    <t>Virginia and David</t>
  </si>
  <si>
    <t>4074 La Purisima Dr</t>
  </si>
  <si>
    <t>88011-4204</t>
  </si>
  <si>
    <t>dr45236@gmail.com</t>
  </si>
  <si>
    <t>ALR2104D4EMC</t>
  </si>
  <si>
    <t>Ginny</t>
  </si>
  <si>
    <t>ginnyrice7505@yahoo.com</t>
  </si>
  <si>
    <t>Laura and John Baxter</t>
  </si>
  <si>
    <t>7106 Twin Island Ct</t>
  </si>
  <si>
    <t>23072-3553</t>
  </si>
  <si>
    <t>laurabaxter706@gmail.com</t>
  </si>
  <si>
    <t>jbaxter22@cox.net</t>
  </si>
  <si>
    <t>ALQ1110BD009</t>
  </si>
  <si>
    <t>ALR220209C44</t>
  </si>
  <si>
    <t>ALR160201123</t>
  </si>
  <si>
    <t>Mr. Myron Cole</t>
  </si>
  <si>
    <t>157 Hilltop Ln</t>
  </si>
  <si>
    <t>47448-7102</t>
  </si>
  <si>
    <t>my-lin@sbcglobal.net</t>
  </si>
  <si>
    <t>ALQ1110ED009</t>
  </si>
  <si>
    <t>Mr. Adam A. Brenchley</t>
  </si>
  <si>
    <t>331 S Bouldin St</t>
  </si>
  <si>
    <t>21224-2318</t>
  </si>
  <si>
    <t>adam.brenchley@gmail.com</t>
  </si>
  <si>
    <t>ALQ1110ED010</t>
  </si>
  <si>
    <t>ALA1412N1WSC</t>
  </si>
  <si>
    <t>Ms. Sandi White</t>
  </si>
  <si>
    <t>6015 Karyns Dead End Rd</t>
  </si>
  <si>
    <t>Efland</t>
  </si>
  <si>
    <t>27243-9289</t>
  </si>
  <si>
    <t>swhite@mebtel.net</t>
  </si>
  <si>
    <t>ALQ1109AC001</t>
  </si>
  <si>
    <t>Ms. Judith Mahan</t>
  </si>
  <si>
    <t>7412 Vista View Cir</t>
  </si>
  <si>
    <t>45030-7528</t>
  </si>
  <si>
    <t>erin1224@gmail.com</t>
  </si>
  <si>
    <t>jm66home@cinci.rr.com</t>
  </si>
  <si>
    <t>ALQ1110ED012</t>
  </si>
  <si>
    <t>George Bourque</t>
  </si>
  <si>
    <t>301 Elm St</t>
  </si>
  <si>
    <t>01440-3913</t>
  </si>
  <si>
    <t>ALQ1110ED014</t>
  </si>
  <si>
    <t>ALL19090CA3S</t>
  </si>
  <si>
    <t>Ayres</t>
  </si>
  <si>
    <t>Pam S. Ayres</t>
  </si>
  <si>
    <t>3320 Rownd St</t>
  </si>
  <si>
    <t>50613-5847</t>
  </si>
  <si>
    <t>jaayres@cfu.net</t>
  </si>
  <si>
    <t>pamjerig@ofu.net</t>
  </si>
  <si>
    <t>ALQ1110MD031</t>
  </si>
  <si>
    <t>ALL15020B62S</t>
  </si>
  <si>
    <t>Horn</t>
  </si>
  <si>
    <t>Martin and Anne Horn</t>
  </si>
  <si>
    <t>Martin and Anne</t>
  </si>
  <si>
    <t>2241 Schiller Ave</t>
  </si>
  <si>
    <t>60091-2327</t>
  </si>
  <si>
    <t>annehorn@ameritech.net</t>
  </si>
  <si>
    <t>ALQ1110CD001</t>
  </si>
  <si>
    <t>Marietta Wells</t>
  </si>
  <si>
    <t>2810 Sheridan Rd</t>
  </si>
  <si>
    <t>61554-2645</t>
  </si>
  <si>
    <t>ALQ110001005</t>
  </si>
  <si>
    <t>James Roberts</t>
  </si>
  <si>
    <t>411 Walnut St</t>
  </si>
  <si>
    <t>PMB 10517</t>
  </si>
  <si>
    <t>Green Cove Springs</t>
  </si>
  <si>
    <t>32043-3443</t>
  </si>
  <si>
    <t>barbaracr1969@gmail.com</t>
  </si>
  <si>
    <t>ALQ1111DE013</t>
  </si>
  <si>
    <t>ALA23080D15C</t>
  </si>
  <si>
    <t>Ronnee</t>
  </si>
  <si>
    <t>Mcgee</t>
  </si>
  <si>
    <t>Ms. Ronnee Mcgee</t>
  </si>
  <si>
    <t>100 E Coeur D Alene Ave Apt 210</t>
  </si>
  <si>
    <t>Coeur D Alene</t>
  </si>
  <si>
    <t>83814-2869</t>
  </si>
  <si>
    <t>singer.mcgee@gmail.com</t>
  </si>
  <si>
    <t>ALQ1111AE036</t>
  </si>
  <si>
    <t>ALS161101WS3</t>
  </si>
  <si>
    <t>Carol and Charles Emmons</t>
  </si>
  <si>
    <t>Carol and Charles</t>
  </si>
  <si>
    <t>195 N Harbor Dr Apt 1908</t>
  </si>
  <si>
    <t>60601-7529</t>
  </si>
  <si>
    <t>carolemmons@sbcglobal.net</t>
  </si>
  <si>
    <t>ALQ1111AE019</t>
  </si>
  <si>
    <t>ALA21010B53H</t>
  </si>
  <si>
    <t>cnemmonsil@gmail.com</t>
  </si>
  <si>
    <t>ALQ1907AA208</t>
  </si>
  <si>
    <t>Reiter-Welch</t>
  </si>
  <si>
    <t>Mrs. Linda Reiter-Welch</t>
  </si>
  <si>
    <t>5539 Eagleview Ct</t>
  </si>
  <si>
    <t>Clarkston</t>
  </si>
  <si>
    <t>48348-5173</t>
  </si>
  <si>
    <t>fan1lrn@att.net</t>
  </si>
  <si>
    <t>lrnshop@att.net</t>
  </si>
  <si>
    <t>Kelton</t>
  </si>
  <si>
    <t>IV</t>
  </si>
  <si>
    <t>Mr. Les Kelton IV</t>
  </si>
  <si>
    <t>1107 Hunters Creek Dr</t>
  </si>
  <si>
    <t>75007-1113</t>
  </si>
  <si>
    <t>lkelton4@verizon.net</t>
  </si>
  <si>
    <t>lkelton4@yahoo.com</t>
  </si>
  <si>
    <t>Peavey</t>
  </si>
  <si>
    <t>Helen Peavey</t>
  </si>
  <si>
    <t>217 Botanical Ln</t>
  </si>
  <si>
    <t>Macks Creek</t>
  </si>
  <si>
    <t>65786-7500</t>
  </si>
  <si>
    <t>hmpeavey1971@gmail.com</t>
  </si>
  <si>
    <t>ALQ1111DE021</t>
  </si>
  <si>
    <t>ALR190113C20</t>
  </si>
  <si>
    <t>Schmal</t>
  </si>
  <si>
    <t>Stephen Schmal</t>
  </si>
  <si>
    <t>3405 Florida St Unit 307</t>
  </si>
  <si>
    <t>92104-3270</t>
  </si>
  <si>
    <t>schmals@verizon.net</t>
  </si>
  <si>
    <t>sschmals@verizon.net</t>
  </si>
  <si>
    <t>Benziger</t>
  </si>
  <si>
    <t>Ralph and Peggy Benziger</t>
  </si>
  <si>
    <t>Ralph and Peggy</t>
  </si>
  <si>
    <t>129 Hillside Dr</t>
  </si>
  <si>
    <t>43015-1419</t>
  </si>
  <si>
    <t>rbenzige@columbus.rr.com</t>
  </si>
  <si>
    <t>ALQ1111AE001</t>
  </si>
  <si>
    <t>Tsien</t>
  </si>
  <si>
    <t>Judith McGuire and Arthur Tsien</t>
  </si>
  <si>
    <t>Judith and Arthur</t>
  </si>
  <si>
    <t>4003 Rosemary St</t>
  </si>
  <si>
    <t>20815-5221</t>
  </si>
  <si>
    <t>judithsmcguhre@gmail.com</t>
  </si>
  <si>
    <t>judithsmcguire@gmail.com</t>
  </si>
  <si>
    <t>ALA111200WH1</t>
  </si>
  <si>
    <t>ALL21080A6BM</t>
  </si>
  <si>
    <t>Zietz-Lemaire</t>
  </si>
  <si>
    <t>Cindy Zietz-Lemaire</t>
  </si>
  <si>
    <t>12123 Prior Rd</t>
  </si>
  <si>
    <t>48655-8563</t>
  </si>
  <si>
    <t>woodyboy59@hotmail.com</t>
  </si>
  <si>
    <t>ALQ1105GL019</t>
  </si>
  <si>
    <t>Phare</t>
  </si>
  <si>
    <t>Ms. Deborah G. Phare</t>
  </si>
  <si>
    <t>10534 2nd Ave NW</t>
  </si>
  <si>
    <t>98177-4806</t>
  </si>
  <si>
    <t>dphare@msn.com</t>
  </si>
  <si>
    <t>ALQ1107CA008</t>
  </si>
  <si>
    <t>Otterson</t>
  </si>
  <si>
    <t>401 E 8th St Ste 214-843</t>
  </si>
  <si>
    <t>57103-7011</t>
  </si>
  <si>
    <t>barbaracotterson@noaddress.ea</t>
  </si>
  <si>
    <t>mdg39@hotmail.com</t>
  </si>
  <si>
    <t>ALQ1108EB011</t>
  </si>
  <si>
    <t>ALA13070W001</t>
  </si>
  <si>
    <t>James Edwards</t>
  </si>
  <si>
    <t>PO Box 883</t>
  </si>
  <si>
    <t>Jal</t>
  </si>
  <si>
    <t>88252-0883</t>
  </si>
  <si>
    <t>loles27@hotmail.com</t>
  </si>
  <si>
    <t>ALQ1111CE024</t>
  </si>
  <si>
    <t>ALR151101023</t>
  </si>
  <si>
    <t>Costanzo</t>
  </si>
  <si>
    <t>Robert Costanzo</t>
  </si>
  <si>
    <t>23740 262nd Pl SE</t>
  </si>
  <si>
    <t>Maple Valley</t>
  </si>
  <si>
    <t>98038-6727</t>
  </si>
  <si>
    <t>rvcostanzo@comcast.net</t>
  </si>
  <si>
    <t>ALQ1111BE001</t>
  </si>
  <si>
    <t>ALR230102C64</t>
  </si>
  <si>
    <t>Heather</t>
  </si>
  <si>
    <t>Summerson</t>
  </si>
  <si>
    <t>Heather Summerson</t>
  </si>
  <si>
    <t>121 Douglas Dr</t>
  </si>
  <si>
    <t>Guntersville</t>
  </si>
  <si>
    <t>35976-6174</t>
  </si>
  <si>
    <t>summersontrucking@yahoo.com</t>
  </si>
  <si>
    <t>ALQ1111ME038</t>
  </si>
  <si>
    <t>ALR190704C44</t>
  </si>
  <si>
    <t>Ms. Susan Pollack</t>
  </si>
  <si>
    <t>4173 Spruce Way Unit A</t>
  </si>
  <si>
    <t>81657-5803</t>
  </si>
  <si>
    <t>s.pollack@comcast.net</t>
  </si>
  <si>
    <t>ALA1711D1EMC</t>
  </si>
  <si>
    <t>ALA14060654H</t>
  </si>
  <si>
    <t>Mrs. Yvonne S. Emery</t>
  </si>
  <si>
    <t>315 Park Ave</t>
  </si>
  <si>
    <t>Orcutt</t>
  </si>
  <si>
    <t>93455-4701</t>
  </si>
  <si>
    <t>jyskemery@aol.com</t>
  </si>
  <si>
    <t>ALZ110002005</t>
  </si>
  <si>
    <t>ALR220402C33</t>
  </si>
  <si>
    <t>Joe and Patricia Perry</t>
  </si>
  <si>
    <t>Joe and Patricia</t>
  </si>
  <si>
    <t>PO Box 65</t>
  </si>
  <si>
    <t>Firebaugh</t>
  </si>
  <si>
    <t>93622-0065</t>
  </si>
  <si>
    <t>booksandtrees@sbcglobal.net</t>
  </si>
  <si>
    <t>ALA18070B43C</t>
  </si>
  <si>
    <t>Mr. Paul J. Foster</t>
  </si>
  <si>
    <t>4630east Links Pkwy</t>
  </si>
  <si>
    <t>80122-3730</t>
  </si>
  <si>
    <t>pjfdesign@comcast.net</t>
  </si>
  <si>
    <t>ALQ1112DF031</t>
  </si>
  <si>
    <t>Pamela and Scott</t>
  </si>
  <si>
    <t>480 Columbia Park Trl</t>
  </si>
  <si>
    <t>99352-7771</t>
  </si>
  <si>
    <t>woodfish24@gmail.com</t>
  </si>
  <si>
    <t>woodfish24@charter.net</t>
  </si>
  <si>
    <t>ALA1512N0SEC</t>
  </si>
  <si>
    <t>McCoy</t>
  </si>
  <si>
    <t>816 S 216th St</t>
  </si>
  <si>
    <t>iwmccoy@wesleyresident.org</t>
  </si>
  <si>
    <t>ALQ1112DF035</t>
  </si>
  <si>
    <t>ALA15030F13A</t>
  </si>
  <si>
    <t>ALR141106033</t>
  </si>
  <si>
    <t>Mrs. Marianne White</t>
  </si>
  <si>
    <t>106 Happy Hollow Dr</t>
  </si>
  <si>
    <t>Dahinda</t>
  </si>
  <si>
    <t>61428-9387</t>
  </si>
  <si>
    <t>mariannewhite@ymail.com</t>
  </si>
  <si>
    <t>ALQ1611EE032</t>
  </si>
  <si>
    <t>Paepke</t>
  </si>
  <si>
    <t>Ms. Melissa Paepke</t>
  </si>
  <si>
    <t>9540 23rd Ave N</t>
  </si>
  <si>
    <t>55441-4210</t>
  </si>
  <si>
    <t>mamhbn291@yahoo.com</t>
  </si>
  <si>
    <t>mamhbn29@yahoo.com</t>
  </si>
  <si>
    <t>ALQ1801CG030</t>
  </si>
  <si>
    <t>ALA2011D1DMC</t>
  </si>
  <si>
    <t>Vandermolen</t>
  </si>
  <si>
    <t>Glenn and Cathy Vandermolen</t>
  </si>
  <si>
    <t>Glenn and Cathy</t>
  </si>
  <si>
    <t>6195 Long Hwy</t>
  </si>
  <si>
    <t>Eaton Rapids</t>
  </si>
  <si>
    <t>48827-8301</t>
  </si>
  <si>
    <t>lynn762@yahoo.com</t>
  </si>
  <si>
    <t>cvanquilts@gmail.com</t>
  </si>
  <si>
    <t>ALQ1112DF022</t>
  </si>
  <si>
    <t>Starr</t>
  </si>
  <si>
    <t>Kathryn Starr</t>
  </si>
  <si>
    <t>2999 Troseth Rd</t>
  </si>
  <si>
    <t>55113-1045</t>
  </si>
  <si>
    <t>ALQ1112MF038</t>
  </si>
  <si>
    <t>ALR210105C33</t>
  </si>
  <si>
    <t>Christine Barrett</t>
  </si>
  <si>
    <t>10136 Crest Brook Pl</t>
  </si>
  <si>
    <t>89134-2547</t>
  </si>
  <si>
    <t>barrett.james.e@gmail.com</t>
  </si>
  <si>
    <t>ALQ1112DF014</t>
  </si>
  <si>
    <t>ALR130106044</t>
  </si>
  <si>
    <t>Abeyta</t>
  </si>
  <si>
    <t>Carolyn Abeyta</t>
  </si>
  <si>
    <t>6041 High Plains Rd</t>
  </si>
  <si>
    <t>88012-7090</t>
  </si>
  <si>
    <t>carolynab@frontiernet.net</t>
  </si>
  <si>
    <t>ALQ1108AB015</t>
  </si>
  <si>
    <t>ALA23030A23R</t>
  </si>
  <si>
    <t>Cacciapuoti</t>
  </si>
  <si>
    <t>Mr. Anthony F. Cacciapuoti</t>
  </si>
  <si>
    <t>21110 127th Ave E</t>
  </si>
  <si>
    <t>98338-8132</t>
  </si>
  <si>
    <t>catman4@optonline.net</t>
  </si>
  <si>
    <t>X5</t>
  </si>
  <si>
    <t>ALS240101WS3</t>
  </si>
  <si>
    <t>ALA13020C13A</t>
  </si>
  <si>
    <t>Imfeld</t>
  </si>
  <si>
    <t>Ms. Kathleen Imfeld and Ms. April Quigley</t>
  </si>
  <si>
    <t>Kathleen and April</t>
  </si>
  <si>
    <t>3600 Lake Earl Dr</t>
  </si>
  <si>
    <t>95531-7986</t>
  </si>
  <si>
    <t>kimfeld@yahoo.com</t>
  </si>
  <si>
    <t>kimfeld@gmail.com</t>
  </si>
  <si>
    <t>ALR240101C23</t>
  </si>
  <si>
    <t>ALA15020D13A</t>
  </si>
  <si>
    <t>galadrl2@aol.com</t>
  </si>
  <si>
    <t>ALA19070E13A</t>
  </si>
  <si>
    <t>ALR190902C33</t>
  </si>
  <si>
    <t>McKenna</t>
  </si>
  <si>
    <t>Anne McKenna</t>
  </si>
  <si>
    <t>62 Alpine St</t>
  </si>
  <si>
    <t>02474-2650</t>
  </si>
  <si>
    <t>paulrmckenna@hotmail.com</t>
  </si>
  <si>
    <t>ALQ1112BF004</t>
  </si>
  <si>
    <t>Polayes</t>
  </si>
  <si>
    <t>Ms. Joanne Polayes</t>
  </si>
  <si>
    <t>1520 Roadrunner N</t>
  </si>
  <si>
    <t>86303-6308</t>
  </si>
  <si>
    <t>joannepw@msn.com</t>
  </si>
  <si>
    <t>Fullmer</t>
  </si>
  <si>
    <t>Sara C. Fullmer</t>
  </si>
  <si>
    <t>Po Box 964</t>
  </si>
  <si>
    <t>Waxhaw</t>
  </si>
  <si>
    <t>28173-1007</t>
  </si>
  <si>
    <t>saracfullmer@gmail.com</t>
  </si>
  <si>
    <t>sarafullmer14131@yahoo.com</t>
  </si>
  <si>
    <t>ALQ1201BG001</t>
  </si>
  <si>
    <t>Mr. Jerome Glassman</t>
  </si>
  <si>
    <t>161 Pink Campbell Rd</t>
  </si>
  <si>
    <t>29356-9614</t>
  </si>
  <si>
    <t>poftd@yahoo.com</t>
  </si>
  <si>
    <t>jerome.glassman@gmail.com</t>
  </si>
  <si>
    <t>ALQ1201FG017</t>
  </si>
  <si>
    <t>ALR22K247EMT</t>
  </si>
  <si>
    <t>Emerson Roberts</t>
  </si>
  <si>
    <t>352 Ternking Dr W</t>
  </si>
  <si>
    <t>emerson.troutslayer@gmail.com</t>
  </si>
  <si>
    <t>ALA20030A12R</t>
  </si>
  <si>
    <t>ALQ2001CG014</t>
  </si>
  <si>
    <t>Ms. Faith Herschler</t>
  </si>
  <si>
    <t>10347 W Briar Oaks Dr Apt D</t>
  </si>
  <si>
    <t>90680-4233</t>
  </si>
  <si>
    <t>fherschler@sbcglobal.net</t>
  </si>
  <si>
    <t>ALQ1307DA208</t>
  </si>
  <si>
    <t>ALA23090E43R</t>
  </si>
  <si>
    <t>Keehn</t>
  </si>
  <si>
    <t>Mary T. Keehn</t>
  </si>
  <si>
    <t>24 W Robertson St</t>
  </si>
  <si>
    <t>60067-3524</t>
  </si>
  <si>
    <t>mkeehn@sbcglobal.net</t>
  </si>
  <si>
    <t>Jo</t>
  </si>
  <si>
    <t>Kimberly J. Larson</t>
  </si>
  <si>
    <t>22726 Nutmeg Rd</t>
  </si>
  <si>
    <t>64755-7201</t>
  </si>
  <si>
    <t>kim.larsonj@yahoo.com</t>
  </si>
  <si>
    <t>ALR190808C33</t>
  </si>
  <si>
    <t>Bair</t>
  </si>
  <si>
    <t>Ms. Kay Bair</t>
  </si>
  <si>
    <t>4506 Fort Boggy</t>
  </si>
  <si>
    <t>78253-5779</t>
  </si>
  <si>
    <t>dkbair@sbcglobal.net</t>
  </si>
  <si>
    <t>ALQ120001001</t>
  </si>
  <si>
    <t>John A. Harris</t>
  </si>
  <si>
    <t>259 Rutland Blvd</t>
  </si>
  <si>
    <t>33405-5033</t>
  </si>
  <si>
    <t>jharrisj5@earthlink.net</t>
  </si>
  <si>
    <t>ALQ1201FG019</t>
  </si>
  <si>
    <t>ALR220602C23</t>
  </si>
  <si>
    <t>ALR190205044</t>
  </si>
  <si>
    <t>Wall</t>
  </si>
  <si>
    <t>Mrs. Elizabeth A. and Dr. Stephen J. Wall</t>
  </si>
  <si>
    <t>Elizabeth and Stephen</t>
  </si>
  <si>
    <t>306 Mountainside Dr</t>
  </si>
  <si>
    <t>Waynesville</t>
  </si>
  <si>
    <t>28786-8081</t>
  </si>
  <si>
    <t>mtnmama222@yahoo.com</t>
  </si>
  <si>
    <t>ALQ1201GG023</t>
  </si>
  <si>
    <t>ALR230232EMC</t>
  </si>
  <si>
    <t>ALA16110D13A</t>
  </si>
  <si>
    <t>swall127@gmail.com</t>
  </si>
  <si>
    <t>Mrs. Charmaine Hall</t>
  </si>
  <si>
    <t>1217 108th Ave E</t>
  </si>
  <si>
    <t>98372-1313</t>
  </si>
  <si>
    <t>charmaine_lh@yahoo.com</t>
  </si>
  <si>
    <t>ALS110001002</t>
  </si>
  <si>
    <t>Leer</t>
  </si>
  <si>
    <t>Joel Leer</t>
  </si>
  <si>
    <t>1408 Cannon Valley Dr</t>
  </si>
  <si>
    <t>55057-3355</t>
  </si>
  <si>
    <t>joel.leer@nfld.k12.mn.us</t>
  </si>
  <si>
    <t>ALZ120002004</t>
  </si>
  <si>
    <t>ALR230503C54</t>
  </si>
  <si>
    <t>Beeman</t>
  </si>
  <si>
    <t>Ms. Mary and Mr. Edward Beeman</t>
  </si>
  <si>
    <t>Mary and Edward</t>
  </si>
  <si>
    <t>PO Box 134</t>
  </si>
  <si>
    <t>Chugiak</t>
  </si>
  <si>
    <t>redbunny@mtaonline.net</t>
  </si>
  <si>
    <t>ALQ1201FG007</t>
  </si>
  <si>
    <t>ALA21100B13A</t>
  </si>
  <si>
    <t>Mr. Kevin Kelly</t>
  </si>
  <si>
    <t>1319 Autumn Breeze Dr</t>
  </si>
  <si>
    <t>Oilville</t>
  </si>
  <si>
    <t>23129-2117</t>
  </si>
  <si>
    <t>jkevinkelly53@gmail.com</t>
  </si>
  <si>
    <t>kkelly@hunton.com</t>
  </si>
  <si>
    <t>ALQ1201GG017</t>
  </si>
  <si>
    <t>ALA2107D1DMS</t>
  </si>
  <si>
    <t>Brad and Sue Towle</t>
  </si>
  <si>
    <t>Brad and Sue</t>
  </si>
  <si>
    <t>6542 Fairweather Dr</t>
  </si>
  <si>
    <t>99518-2216</t>
  </si>
  <si>
    <t>btowleinak@gmail.com</t>
  </si>
  <si>
    <t>browle@tds.net</t>
  </si>
  <si>
    <t>ALQ1201GG021</t>
  </si>
  <si>
    <t>ALA19090A13R</t>
  </si>
  <si>
    <t>Mr. Reginald T. Stanton</t>
  </si>
  <si>
    <t>965 Countryside West Blvd</t>
  </si>
  <si>
    <t>32127-7985</t>
  </si>
  <si>
    <t>reggie@reggiestanton.com</t>
  </si>
  <si>
    <t>ALQ12030W001</t>
  </si>
  <si>
    <t>ALA23070A56H</t>
  </si>
  <si>
    <t>ALA22040A26A</t>
  </si>
  <si>
    <t>Killam</t>
  </si>
  <si>
    <t>Ms. Lane Killam</t>
  </si>
  <si>
    <t>216 North St</t>
  </si>
  <si>
    <t>23704-2602</t>
  </si>
  <si>
    <t>lkillam@cox.net</t>
  </si>
  <si>
    <t>lkillam@me.com</t>
  </si>
  <si>
    <t>ALQ1512AF005</t>
  </si>
  <si>
    <t>Shea</t>
  </si>
  <si>
    <t>Howard and June Shea</t>
  </si>
  <si>
    <t>Howard and June</t>
  </si>
  <si>
    <t>2 Strawberry Hill Rd</t>
  </si>
  <si>
    <t>01760-3609</t>
  </si>
  <si>
    <t>chez44shea@aol.com</t>
  </si>
  <si>
    <t>iluvchatam@aol.com</t>
  </si>
  <si>
    <t>ALQ1202AH017</t>
  </si>
  <si>
    <t>Jeffrey Wheaton</t>
  </si>
  <si>
    <t>3114 N Greer Ave</t>
  </si>
  <si>
    <t>Odessa</t>
  </si>
  <si>
    <t>79764-8911</t>
  </si>
  <si>
    <t>annapage4@hotmail.com</t>
  </si>
  <si>
    <t>ALQ1202BH005</t>
  </si>
  <si>
    <t>Duffell</t>
  </si>
  <si>
    <t>Dennis and Joan Duffell</t>
  </si>
  <si>
    <t>Dennis and Joan</t>
  </si>
  <si>
    <t>3827 NE 96th St</t>
  </si>
  <si>
    <t>98115-2543</t>
  </si>
  <si>
    <t>duffelldennis@gmail.com</t>
  </si>
  <si>
    <t>ALQ1202FH027</t>
  </si>
  <si>
    <t>Charles Rayl</t>
  </si>
  <si>
    <t>2564 R Rd</t>
  </si>
  <si>
    <t>66869-9837</t>
  </si>
  <si>
    <t>ALQ1202BH001</t>
  </si>
  <si>
    <t>ALL24020B5BM</t>
  </si>
  <si>
    <t>ALL21030B5BM</t>
  </si>
  <si>
    <t>Seidlitz</t>
  </si>
  <si>
    <t>Janet Seidlitz</t>
  </si>
  <si>
    <t>18639 210th St</t>
  </si>
  <si>
    <t>Jim Falls</t>
  </si>
  <si>
    <t>54748-2134</t>
  </si>
  <si>
    <t>dan_da_man36@hotmail.com</t>
  </si>
  <si>
    <t>www.grandmajanet@msn.com</t>
  </si>
  <si>
    <t>ALQ1202CH005</t>
  </si>
  <si>
    <t>ALR220706C33</t>
  </si>
  <si>
    <t>ALR210701C23</t>
  </si>
  <si>
    <t>Lubertozzi</t>
  </si>
  <si>
    <t>Ms. Mary Lubertozzi</t>
  </si>
  <si>
    <t>3434 Attica Rd</t>
  </si>
  <si>
    <t>Olympia Fields</t>
  </si>
  <si>
    <t>60461-1308</t>
  </si>
  <si>
    <t>larmarke@att.net</t>
  </si>
  <si>
    <t>ALQ1201HG038</t>
  </si>
  <si>
    <t>ATR230201001</t>
  </si>
  <si>
    <t>Cross</t>
  </si>
  <si>
    <t>Glenn Cross</t>
  </si>
  <si>
    <t>25935 Faircourt Ln</t>
  </si>
  <si>
    <t>92653-7517</t>
  </si>
  <si>
    <t>glenn.cross@gmail.com</t>
  </si>
  <si>
    <t>ALQ1202GH038</t>
  </si>
  <si>
    <t>ALL20090B53M</t>
  </si>
  <si>
    <t>Cecelia</t>
  </si>
  <si>
    <t>Olives</t>
  </si>
  <si>
    <t>Cecelia Olives</t>
  </si>
  <si>
    <t>3013 Fredricksburg Way</t>
  </si>
  <si>
    <t>Modesto</t>
  </si>
  <si>
    <t>95355-4746</t>
  </si>
  <si>
    <t>lrolives@sbcglobal.net</t>
  </si>
  <si>
    <t>ALQ1202BH009</t>
  </si>
  <si>
    <t>ALB240001003</t>
  </si>
  <si>
    <t>Darlington</t>
  </si>
  <si>
    <t>Neil and Marjorie Darlington</t>
  </si>
  <si>
    <t>Neil and Marjorie</t>
  </si>
  <si>
    <t>577 Dalton Dr</t>
  </si>
  <si>
    <t>Pleasant Grove</t>
  </si>
  <si>
    <t>84062-2052</t>
  </si>
  <si>
    <t>neildarlington@gmail.com</t>
  </si>
  <si>
    <t>ALQ1201GG011</t>
  </si>
  <si>
    <t>ALA22030A55H</t>
  </si>
  <si>
    <t>Mrs. Amy S. Van Devender</t>
  </si>
  <si>
    <t>797 Little Laurel Road Ext</t>
  </si>
  <si>
    <t>28607-8915</t>
  </si>
  <si>
    <t>asvande@hotmail.com</t>
  </si>
  <si>
    <t>ALQ1308N3EMC</t>
  </si>
  <si>
    <t>Mr. Stan Berry</t>
  </si>
  <si>
    <t>388 Great Oaks Dr</t>
  </si>
  <si>
    <t>Labadie</t>
  </si>
  <si>
    <t>63055-1517</t>
  </si>
  <si>
    <t>stlstan@gmail.com</t>
  </si>
  <si>
    <t>ALA13040A13A</t>
  </si>
  <si>
    <t>Betsy Jackson</t>
  </si>
  <si>
    <t>3295 Whitetail Rd</t>
  </si>
  <si>
    <t>Gum Spring</t>
  </si>
  <si>
    <t>23065-2189</t>
  </si>
  <si>
    <t>bdjackson50@yahoo.com</t>
  </si>
  <si>
    <t>ALQ1203DJ007</t>
  </si>
  <si>
    <t>ALR150405054</t>
  </si>
  <si>
    <t>Slaughter</t>
  </si>
  <si>
    <t>Mr. Jon P. Slaughter</t>
  </si>
  <si>
    <t>2351 Oakmont Dr Apt 218</t>
  </si>
  <si>
    <t>78665-1604</t>
  </si>
  <si>
    <t>charlotteslaught@aol.com</t>
  </si>
  <si>
    <t>ALQ1203BJ021</t>
  </si>
  <si>
    <t>ALA18070C23A</t>
  </si>
  <si>
    <t>Mr. Gene Woolcock</t>
  </si>
  <si>
    <t>1514 Upper State Rd</t>
  </si>
  <si>
    <t>18901-5046</t>
  </si>
  <si>
    <t>gwoolcock@verizon.net</t>
  </si>
  <si>
    <t>ALQ1506N2EMC</t>
  </si>
  <si>
    <t>ALR230603EMC</t>
  </si>
  <si>
    <t>ALR220603EMC</t>
  </si>
  <si>
    <t>Franz</t>
  </si>
  <si>
    <t>Mr. Steve Franz</t>
  </si>
  <si>
    <t>10512 Viking Ct</t>
  </si>
  <si>
    <t>48178-9193</t>
  </si>
  <si>
    <t>smfranz62@yahoo.com</t>
  </si>
  <si>
    <t>ALQ12040W001</t>
  </si>
  <si>
    <t>ATR2211T1EMC</t>
  </si>
  <si>
    <t>Ms. Susan E. Daniels</t>
  </si>
  <si>
    <t>500 W Bender Rd Unit 85</t>
  </si>
  <si>
    <t>53217-4179</t>
  </si>
  <si>
    <t>mcjdcw@yahoo.com</t>
  </si>
  <si>
    <t>ALQ1203CJ013</t>
  </si>
  <si>
    <t>Labandibar</t>
  </si>
  <si>
    <t>Ms. Susan Labandibar</t>
  </si>
  <si>
    <t>9A Forest Street</t>
  </si>
  <si>
    <t>susan.labandibar@gmail.com</t>
  </si>
  <si>
    <t>susan@techboston.com</t>
  </si>
  <si>
    <t>Milam</t>
  </si>
  <si>
    <t>Steve H. Milam</t>
  </si>
  <si>
    <t>1092 Beverly Way</t>
  </si>
  <si>
    <t>91001-2575</t>
  </si>
  <si>
    <t>stevehoju@hotmail.com</t>
  </si>
  <si>
    <t>ALQ1203DJ011</t>
  </si>
  <si>
    <t>Ball</t>
  </si>
  <si>
    <t>Mr. Brent R. Ball</t>
  </si>
  <si>
    <t>14630 Dickens St Unit 306</t>
  </si>
  <si>
    <t>91403-3615</t>
  </si>
  <si>
    <t>brandallball@hotmail.com</t>
  </si>
  <si>
    <t>ALQ1203FJ010</t>
  </si>
  <si>
    <t>ALR181447EMT</t>
  </si>
  <si>
    <t>Pat Bentley</t>
  </si>
  <si>
    <t>25820 SE Green Valley Rd</t>
  </si>
  <si>
    <t>Black Diamond</t>
  </si>
  <si>
    <t>98010-7802</t>
  </si>
  <si>
    <t>enpbentley@comcast.net</t>
  </si>
  <si>
    <t>ALQ1203CJ016</t>
  </si>
  <si>
    <t>ALR190406033</t>
  </si>
  <si>
    <t>Hightower</t>
  </si>
  <si>
    <t>Mr. David Hightower</t>
  </si>
  <si>
    <t>7627 Cordova Club Dr E</t>
  </si>
  <si>
    <t>38018-8880</t>
  </si>
  <si>
    <t>davidhightower1@bellsouth.net</t>
  </si>
  <si>
    <t>ALQ1304N1EMC</t>
  </si>
  <si>
    <t>ALA21020C5DD</t>
  </si>
  <si>
    <t>Vurture</t>
  </si>
  <si>
    <t>35 Governor Rd</t>
  </si>
  <si>
    <t>10314-3019</t>
  </si>
  <si>
    <t>mvurture@yahoo.com</t>
  </si>
  <si>
    <t>mvurturelibrary@yahoo.com</t>
  </si>
  <si>
    <t>ALQ1111BE013</t>
  </si>
  <si>
    <t>ALR130401021</t>
  </si>
  <si>
    <t>Ms. Nancy Peterson</t>
  </si>
  <si>
    <t>570 Central St</t>
  </si>
  <si>
    <t>Mapleville</t>
  </si>
  <si>
    <t>02839-1215</t>
  </si>
  <si>
    <t>he.peterson@gmail.com</t>
  </si>
  <si>
    <t>ne.peterson@gmail.com</t>
  </si>
  <si>
    <t>ALA1302N7ADC</t>
  </si>
  <si>
    <t>Meenakshi</t>
  </si>
  <si>
    <t>Nayak</t>
  </si>
  <si>
    <t>Ms. Meenakshi Nayak</t>
  </si>
  <si>
    <t>101 Kramer Ct</t>
  </si>
  <si>
    <t>27511-6653</t>
  </si>
  <si>
    <t>m_nayak@yahoo.com</t>
  </si>
  <si>
    <t>ALQ1412N1EMC</t>
  </si>
  <si>
    <t>Meinardus</t>
  </si>
  <si>
    <t>Hans A. Meinardus</t>
  </si>
  <si>
    <t>1335 County Road 2001</t>
  </si>
  <si>
    <t>Glen Rose</t>
  </si>
  <si>
    <t>76043-5103</t>
  </si>
  <si>
    <t>hmeinard@gmail.com</t>
  </si>
  <si>
    <t>ALQ1203FJ041</t>
  </si>
  <si>
    <t>Bloom</t>
  </si>
  <si>
    <t>Nancy Bloom</t>
  </si>
  <si>
    <t>9094 Winston Rd</t>
  </si>
  <si>
    <t>Pickerington</t>
  </si>
  <si>
    <t>43147-8066</t>
  </si>
  <si>
    <t>nebloom@sbcglobal.net</t>
  </si>
  <si>
    <t>ALQ1110AD017</t>
  </si>
  <si>
    <t>ALR210501C23</t>
  </si>
  <si>
    <t>Ms. Patricia Stewart</t>
  </si>
  <si>
    <t>15 Ivory Moon Pl</t>
  </si>
  <si>
    <t>77381-6441</t>
  </si>
  <si>
    <t>armadilloqueen@hotmail.com</t>
  </si>
  <si>
    <t>ALQ1203DJ029</t>
  </si>
  <si>
    <t>ALL23030B4BM</t>
  </si>
  <si>
    <t>Dean and Nancy Wilson</t>
  </si>
  <si>
    <t>Dean and Nancy</t>
  </si>
  <si>
    <t>276 Greentrails Dr S</t>
  </si>
  <si>
    <t>63017-2950</t>
  </si>
  <si>
    <t>nndw1@yahoo.com</t>
  </si>
  <si>
    <t>ALQ1203MJ046</t>
  </si>
  <si>
    <t>ALR224747EMC</t>
  </si>
  <si>
    <t>ALR170400EMC</t>
  </si>
  <si>
    <t>Swogger</t>
  </si>
  <si>
    <t>Ronald Swogger</t>
  </si>
  <si>
    <t>9110 Coventry Ln</t>
  </si>
  <si>
    <t>40219-5195</t>
  </si>
  <si>
    <t>ALA19120A13A</t>
  </si>
  <si>
    <t>Ms. Kim S. Wemer</t>
  </si>
  <si>
    <t>1830 8th Ave</t>
  </si>
  <si>
    <t>50112-1523</t>
  </si>
  <si>
    <t>klsw69@gmail.com</t>
  </si>
  <si>
    <t>ALQ12080W001</t>
  </si>
  <si>
    <t>Ypsilantis</t>
  </si>
  <si>
    <t>Jim Ypsilantis</t>
  </si>
  <si>
    <t>14820 Pleasant Valley Rd</t>
  </si>
  <si>
    <t>60098-8966</t>
  </si>
  <si>
    <t>ducatijim@msn.com</t>
  </si>
  <si>
    <t>ALQ1111DE017</t>
  </si>
  <si>
    <t>Royer</t>
  </si>
  <si>
    <t>Mr. Joseph Royer</t>
  </si>
  <si>
    <t>170 E Market St # B</t>
  </si>
  <si>
    <t>17078-9767</t>
  </si>
  <si>
    <t>jroyer100@gmail.com</t>
  </si>
  <si>
    <t>ALQ1204CK003</t>
  </si>
  <si>
    <t>ALA20030C23A</t>
  </si>
  <si>
    <t>Jason</t>
  </si>
  <si>
    <t>Przybilla</t>
  </si>
  <si>
    <t>Jason R. Przybilla</t>
  </si>
  <si>
    <t>11491 Arrowood Ln N</t>
  </si>
  <si>
    <t>55369-9421</t>
  </si>
  <si>
    <t>jasonprzy2001@yahoo.com</t>
  </si>
  <si>
    <t>jasonpray2001@yahoo.com</t>
  </si>
  <si>
    <t>ALQ1204CK009</t>
  </si>
  <si>
    <t>ALL16120D73S</t>
  </si>
  <si>
    <t>Ms. Andrea G. Eisenberg</t>
  </si>
  <si>
    <t>1 Gerber Ct</t>
  </si>
  <si>
    <t>Mount Kisco</t>
  </si>
  <si>
    <t>10549-3064</t>
  </si>
  <si>
    <t>ageisenberg@earthlink.net</t>
  </si>
  <si>
    <t>ALQ1504N1EMC</t>
  </si>
  <si>
    <t>ALQ2108DB030</t>
  </si>
  <si>
    <t>ATN210601001</t>
  </si>
  <si>
    <t>Marburger</t>
  </si>
  <si>
    <t>Mr. Craig L. Marburger</t>
  </si>
  <si>
    <t>5606 S Riverside Ln Apt 5</t>
  </si>
  <si>
    <t>97239-5959</t>
  </si>
  <si>
    <t>burg737@gmail.com</t>
  </si>
  <si>
    <t>cnclm1@gmail.com</t>
  </si>
  <si>
    <t>ALQ1206HENC1</t>
  </si>
  <si>
    <t>Proeger</t>
  </si>
  <si>
    <t>Wayne B. Proeger</t>
  </si>
  <si>
    <t>4326 Kiner Rd</t>
  </si>
  <si>
    <t>Prophetstown</t>
  </si>
  <si>
    <t>61277-9000</t>
  </si>
  <si>
    <t>wcproeger@yahoo.com</t>
  </si>
  <si>
    <t>ALQ12050W001</t>
  </si>
  <si>
    <t>ALA2312DXEMC</t>
  </si>
  <si>
    <t>Ms. Teresa Warner</t>
  </si>
  <si>
    <t>9088 165th Ave</t>
  </si>
  <si>
    <t>Becker</t>
  </si>
  <si>
    <t>55308-9003</t>
  </si>
  <si>
    <t>twarner224@hotmail.com</t>
  </si>
  <si>
    <t>ALQ1204MK046</t>
  </si>
  <si>
    <t>Berg</t>
  </si>
  <si>
    <t>Debra Berg</t>
  </si>
  <si>
    <t>6708 Deer Track Rd</t>
  </si>
  <si>
    <t>Siren</t>
  </si>
  <si>
    <t>54872-9269</t>
  </si>
  <si>
    <t>ALQ1204CK002</t>
  </si>
  <si>
    <t>Babu</t>
  </si>
  <si>
    <t>2035 Black Fox Dr NE</t>
  </si>
  <si>
    <t>30345-4122</t>
  </si>
  <si>
    <t>sylviababu@gmail.com</t>
  </si>
  <si>
    <t>ALQ1204GK009</t>
  </si>
  <si>
    <t>ALR220506C23</t>
  </si>
  <si>
    <t>Stone</t>
  </si>
  <si>
    <t>Mr. George Stone</t>
  </si>
  <si>
    <t>174 Selden Hill Dr</t>
  </si>
  <si>
    <t>06107-3129</t>
  </si>
  <si>
    <t>george@stone-stonect.com</t>
  </si>
  <si>
    <t>ALQ1604GK025</t>
  </si>
  <si>
    <t>ALR211106C44</t>
  </si>
  <si>
    <t>Elias</t>
  </si>
  <si>
    <t>Mary Elias</t>
  </si>
  <si>
    <t>401 Arrendale Dr</t>
  </si>
  <si>
    <t>Tiger</t>
  </si>
  <si>
    <t>30576-2354</t>
  </si>
  <si>
    <t>ken.elias@gmail.com</t>
  </si>
  <si>
    <t>ALQ1204DK009</t>
  </si>
  <si>
    <t>ALR200211C40</t>
  </si>
  <si>
    <t>ALA13100F14R</t>
  </si>
  <si>
    <t>Vanderwilt</t>
  </si>
  <si>
    <t>William J. Vanderwilt</t>
  </si>
  <si>
    <t>7307 58th Ave NE</t>
  </si>
  <si>
    <t>98115-6256</t>
  </si>
  <si>
    <t>vanderwilt@comcast.net</t>
  </si>
  <si>
    <t>ALQ1204GK016</t>
  </si>
  <si>
    <t>Mrs. Frances Martin</t>
  </si>
  <si>
    <t>744 Avondale St</t>
  </si>
  <si>
    <t>East Liverpool</t>
  </si>
  <si>
    <t>43920-3307</t>
  </si>
  <si>
    <t>fdr-3m@comcast.net</t>
  </si>
  <si>
    <t>ALQ1204DK007</t>
  </si>
  <si>
    <t>Mr. Stephen R. Blount</t>
  </si>
  <si>
    <t>15781 Lavender Pl</t>
  </si>
  <si>
    <t>80023-9412</t>
  </si>
  <si>
    <t>srblount@hotmail.com</t>
  </si>
  <si>
    <t>ALQ1204BK015</t>
  </si>
  <si>
    <t>ALA17010A55H</t>
  </si>
  <si>
    <t>2609 S Frederick Ave Trlr 12</t>
  </si>
  <si>
    <t>50662-3115</t>
  </si>
  <si>
    <t>tjinthebank@yahoo.com</t>
  </si>
  <si>
    <t>ALQ1204GK031</t>
  </si>
  <si>
    <t>Brash</t>
  </si>
  <si>
    <t>Alexander and Jane Brash</t>
  </si>
  <si>
    <t>Alexander and Jane</t>
  </si>
  <si>
    <t>1135 Bowline Dr</t>
  </si>
  <si>
    <t>32963-3084</t>
  </si>
  <si>
    <t>embrash32@gmail.com</t>
  </si>
  <si>
    <t>alexanderrbrash@gmail.com</t>
  </si>
  <si>
    <t>EEO240004101:FY24NYGALA</t>
  </si>
  <si>
    <t>Waddill</t>
  </si>
  <si>
    <t>Russ</t>
  </si>
  <si>
    <t>Mrs. Elizabeth and Mr. Russell A. Waddill</t>
  </si>
  <si>
    <t>Elizabeth and Russell</t>
  </si>
  <si>
    <t>2301 Winton Ter W</t>
  </si>
  <si>
    <t>76109-1163</t>
  </si>
  <si>
    <t>ewaddill@sbcglobal.net</t>
  </si>
  <si>
    <t>ALQ12100W001</t>
  </si>
  <si>
    <t>ADA170001002</t>
  </si>
  <si>
    <t>rwaddill@sbcglobal.net</t>
  </si>
  <si>
    <t>rawaddill@gmail.com</t>
  </si>
  <si>
    <t>Uppencamp</t>
  </si>
  <si>
    <t>Steven and Sandra Uppencamp</t>
  </si>
  <si>
    <t>Steven and Sandra</t>
  </si>
  <si>
    <t>122 W Cherry St</t>
  </si>
  <si>
    <t>Oakland City</t>
  </si>
  <si>
    <t>47660-1208</t>
  </si>
  <si>
    <t>sssuppen@frontier.com</t>
  </si>
  <si>
    <t>sunny_kat02@hotmail.com</t>
  </si>
  <si>
    <t>ALQ1205BL004</t>
  </si>
  <si>
    <t>ssuppen@frontier.com</t>
  </si>
  <si>
    <t>Vrondran</t>
  </si>
  <si>
    <t>Susan Vrondran</t>
  </si>
  <si>
    <t>551 N Snyder Rd</t>
  </si>
  <si>
    <t>Boyne City</t>
  </si>
  <si>
    <t>49712-9775</t>
  </si>
  <si>
    <t>susanvrondran@gmail.com</t>
  </si>
  <si>
    <t>vrondran@gmail.com</t>
  </si>
  <si>
    <t>ALQ1205EL006</t>
  </si>
  <si>
    <t>Hultin</t>
  </si>
  <si>
    <t>Mary Hultin</t>
  </si>
  <si>
    <t>3925 Camperdown Dr</t>
  </si>
  <si>
    <t>48911-6185</t>
  </si>
  <si>
    <t>hultinm@gmail.com</t>
  </si>
  <si>
    <t>ALQ1204BK020</t>
  </si>
  <si>
    <t>ALL19120A92M</t>
  </si>
  <si>
    <t>Paul R. Smith</t>
  </si>
  <si>
    <t>1308 NW 61st St</t>
  </si>
  <si>
    <t>98663-1126</t>
  </si>
  <si>
    <t>paulprs@aol.com</t>
  </si>
  <si>
    <t>ALQ1205AL032</t>
  </si>
  <si>
    <t>ALR201203C33</t>
  </si>
  <si>
    <t>Trent</t>
  </si>
  <si>
    <t>162nd Avenue Kpn</t>
  </si>
  <si>
    <t>Gig Harbor</t>
  </si>
  <si>
    <t>98329-5403</t>
  </si>
  <si>
    <t>qfcbryan@aol.com</t>
  </si>
  <si>
    <t>ALS140601WS3</t>
  </si>
  <si>
    <t>Duncombe</t>
  </si>
  <si>
    <t>Mr. Alison M. Duncombe</t>
  </si>
  <si>
    <t>2506 Payne St</t>
  </si>
  <si>
    <t>60201-2131</t>
  </si>
  <si>
    <t>alisonduncombe@gmail.com</t>
  </si>
  <si>
    <t>alison.duncombe@sbcglobal.net</t>
  </si>
  <si>
    <t>ALQ1201FG031</t>
  </si>
  <si>
    <t>ALR230805C44</t>
  </si>
  <si>
    <t>ALR190207033</t>
  </si>
  <si>
    <t>Mrs. Susan Johnson</t>
  </si>
  <si>
    <t>7006 Peacock Lake Ct</t>
  </si>
  <si>
    <t>46168-7304</t>
  </si>
  <si>
    <t>jejsej1973@gmail.com</t>
  </si>
  <si>
    <t>ALQ1210ED025</t>
  </si>
  <si>
    <t>Mr. Edward Jewell</t>
  </si>
  <si>
    <t>3402 Sasse Way</t>
  </si>
  <si>
    <t>40245-8513</t>
  </si>
  <si>
    <t>edadehfnyga@gmail.com</t>
  </si>
  <si>
    <t>ALQ1207CA101</t>
  </si>
  <si>
    <t>Mr. Warren Spence</t>
  </si>
  <si>
    <t>179 Waters Edge Dr</t>
  </si>
  <si>
    <t>23188-8913</t>
  </si>
  <si>
    <t>wspence@spencemarketing.com</t>
  </si>
  <si>
    <t>ALQ1207EA210</t>
  </si>
  <si>
    <t>ALQ190001001</t>
  </si>
  <si>
    <t>ALQ13120W005</t>
  </si>
  <si>
    <t>Misiaszek</t>
  </si>
  <si>
    <t>John Misiaszek</t>
  </si>
  <si>
    <t>611 Oyster Bay Dr</t>
  </si>
  <si>
    <t>Sunset Beach</t>
  </si>
  <si>
    <t>28468-4321</t>
  </si>
  <si>
    <t>misiaszekjj@yahoo.com</t>
  </si>
  <si>
    <t>ALQ1207EA105</t>
  </si>
  <si>
    <t>Tierney</t>
  </si>
  <si>
    <t>Mr. Kenneth Tierney</t>
  </si>
  <si>
    <t>384 Killarney Dr</t>
  </si>
  <si>
    <t>Toms River</t>
  </si>
  <si>
    <t>08753-3563</t>
  </si>
  <si>
    <t>ktierney4@gmail.com</t>
  </si>
  <si>
    <t>ALQ1207FA116</t>
  </si>
  <si>
    <t>Karen Fraser and Tom Williams</t>
  </si>
  <si>
    <t>Karen and Tom</t>
  </si>
  <si>
    <t>4900 State Route 3</t>
  </si>
  <si>
    <t>Saranac Lake</t>
  </si>
  <si>
    <t>12983-6002</t>
  </si>
  <si>
    <t>karenfraser524@gmail.com</t>
  </si>
  <si>
    <t>ALQ1207EA232</t>
  </si>
  <si>
    <t>Ms. Lynn D. Mattingly</t>
  </si>
  <si>
    <t>cangemirysa304159@yahoo.com</t>
  </si>
  <si>
    <t>ALQ1207EA228</t>
  </si>
  <si>
    <t>Bruce W. Clark</t>
  </si>
  <si>
    <t>1771 Dolores River Dr</t>
  </si>
  <si>
    <t>80550-3358</t>
  </si>
  <si>
    <t>trobertshoffman@gmail.com</t>
  </si>
  <si>
    <t>b_gclark@msn.com</t>
  </si>
  <si>
    <t>ALQ1207BA107</t>
  </si>
  <si>
    <t>ALR101000001</t>
  </si>
  <si>
    <t>Mr. Norman C. Sorenson</t>
  </si>
  <si>
    <t>W158N1049 Old Farm Rd</t>
  </si>
  <si>
    <t>normso1949@gmail.com</t>
  </si>
  <si>
    <t>normsorenson@wi.rr.com</t>
  </si>
  <si>
    <t>ALQ1209EC024</t>
  </si>
  <si>
    <t>ALA13110B24N</t>
  </si>
  <si>
    <t>Burling</t>
  </si>
  <si>
    <t>445 Nora Court</t>
  </si>
  <si>
    <t>94597-6826</t>
  </si>
  <si>
    <t>info@clascolatrust.org</t>
  </si>
  <si>
    <t>Tom and Van Trombetta</t>
  </si>
  <si>
    <t>Tom and Van</t>
  </si>
  <si>
    <t>351 Maria St</t>
  </si>
  <si>
    <t>95050-5712</t>
  </si>
  <si>
    <t>ALQ221000001</t>
  </si>
  <si>
    <t>Gary A. Cole</t>
  </si>
  <si>
    <t>1114 Bogey Dr</t>
  </si>
  <si>
    <t>Mansfield</t>
  </si>
  <si>
    <t>44903-6525</t>
  </si>
  <si>
    <t>ghcole@ncool.net</t>
  </si>
  <si>
    <t>ghcole@mcool.net</t>
  </si>
  <si>
    <t>XNACJ1110</t>
  </si>
  <si>
    <t>Ms. Jo Moore</t>
  </si>
  <si>
    <t>1083 Ball Park Rd</t>
  </si>
  <si>
    <t>27360-8604</t>
  </si>
  <si>
    <t>krjbmoore@northstate.net</t>
  </si>
  <si>
    <t>ALQ1207AA313</t>
  </si>
  <si>
    <t>Chalfant</t>
  </si>
  <si>
    <t>David Chalfant</t>
  </si>
  <si>
    <t>12 Smoketree Rd</t>
  </si>
  <si>
    <t>19056-2208</t>
  </si>
  <si>
    <t>generalgrant14@gmail.com</t>
  </si>
  <si>
    <t>ALQ1207MA237</t>
  </si>
  <si>
    <t>ALA22010A54H</t>
  </si>
  <si>
    <t>Dorcas</t>
  </si>
  <si>
    <t>Hooker</t>
  </si>
  <si>
    <t>1420 Santo Domingo Avenue</t>
  </si>
  <si>
    <t>Duarte</t>
  </si>
  <si>
    <t>91010-2632</t>
  </si>
  <si>
    <t>dorcashoo@earthlink.net</t>
  </si>
  <si>
    <t>ALQ1205ML034</t>
  </si>
  <si>
    <t>ALA19040A34A</t>
  </si>
  <si>
    <t>Daigle</t>
  </si>
  <si>
    <t>Ms. Carol B. Daigle</t>
  </si>
  <si>
    <t>317 Coon Hill Rd</t>
  </si>
  <si>
    <t>Colchester</t>
  </si>
  <si>
    <t>05446-7347</t>
  </si>
  <si>
    <t>cbdaigle.98@gmail.com</t>
  </si>
  <si>
    <t>ALQ1202DH008</t>
  </si>
  <si>
    <t>ALA15070F15A</t>
  </si>
  <si>
    <t>Barbie</t>
  </si>
  <si>
    <t>Tapp</t>
  </si>
  <si>
    <t>Ms. Barbie Tapp</t>
  </si>
  <si>
    <t>7839 S Memorial Dr Apt 11004</t>
  </si>
  <si>
    <t>74133-3698</t>
  </si>
  <si>
    <t>barbieok7839@cox.net</t>
  </si>
  <si>
    <t>barbiet@juno.com</t>
  </si>
  <si>
    <t>ALQ1207DA310</t>
  </si>
  <si>
    <t>ALR218K47EMC</t>
  </si>
  <si>
    <t>Gregory Larson</t>
  </si>
  <si>
    <t>30 Berry Oaks Ln</t>
  </si>
  <si>
    <t>63122-1908</t>
  </si>
  <si>
    <t>greg.larson@att.net</t>
  </si>
  <si>
    <t>ALQ1207EA326</t>
  </si>
  <si>
    <t>Thibodeaux</t>
  </si>
  <si>
    <t>Ms. Joyce Thibodeaux</t>
  </si>
  <si>
    <t>113 Oakdale Loop</t>
  </si>
  <si>
    <t>Houma</t>
  </si>
  <si>
    <t>70360-5932</t>
  </si>
  <si>
    <t>spiderlily246@aol.com</t>
  </si>
  <si>
    <t>mthibodaux@bellsouth.net</t>
  </si>
  <si>
    <t>ATR211101001</t>
  </si>
  <si>
    <t>ATN190301001</t>
  </si>
  <si>
    <t>Kempkes</t>
  </si>
  <si>
    <t>Mark Kempkes</t>
  </si>
  <si>
    <t>2645 Sunstone Dr</t>
  </si>
  <si>
    <t>80525-5687</t>
  </si>
  <si>
    <t>dudeman8226@aol.com</t>
  </si>
  <si>
    <t>ALQ1207BA207</t>
  </si>
  <si>
    <t>Diringer</t>
  </si>
  <si>
    <t>Ronnie</t>
  </si>
  <si>
    <t>Fred and Ronnie Diringer</t>
  </si>
  <si>
    <t>Fred and Ronnie</t>
  </si>
  <si>
    <t>293 E Grand St</t>
  </si>
  <si>
    <t>Mount Vernon</t>
  </si>
  <si>
    <t>10552-2347</t>
  </si>
  <si>
    <t>fdiringer@rcn.com</t>
  </si>
  <si>
    <t>ALQ1207DA322</t>
  </si>
  <si>
    <t>Cowdrey</t>
  </si>
  <si>
    <t>Mrs. Loren R. Cowdrey</t>
  </si>
  <si>
    <t>11 Idlewild Ln</t>
  </si>
  <si>
    <t>62629-9601</t>
  </si>
  <si>
    <t>s.cowdrey@comcast.net</t>
  </si>
  <si>
    <t>ALQ1207MA119</t>
  </si>
  <si>
    <t>Thomas and Gloria Moore</t>
  </si>
  <si>
    <t>Thomas and Gloria</t>
  </si>
  <si>
    <t>13251 Juneberry Ln</t>
  </si>
  <si>
    <t>60142-7741</t>
  </si>
  <si>
    <t>tjmestate@aol.com</t>
  </si>
  <si>
    <t>ALQ1207EA302</t>
  </si>
  <si>
    <t>ALA23080C25R</t>
  </si>
  <si>
    <t>Ms. Carol Parker</t>
  </si>
  <si>
    <t>203 Olympic Dr</t>
  </si>
  <si>
    <t>78382-6831</t>
  </si>
  <si>
    <t>carol.h.parker@gmail.com</t>
  </si>
  <si>
    <t>ALQ1207EA313</t>
  </si>
  <si>
    <t>ALA23010C56H</t>
  </si>
  <si>
    <t>Klooster</t>
  </si>
  <si>
    <t>Mary A. Klooster</t>
  </si>
  <si>
    <t>1049 Clubhouse Dr</t>
  </si>
  <si>
    <t>Weidman</t>
  </si>
  <si>
    <t>48893-9339</t>
  </si>
  <si>
    <t>maklooster@gmail.com</t>
  </si>
  <si>
    <t>ALQ1207DA313</t>
  </si>
  <si>
    <t>ALR192547EMT</t>
  </si>
  <si>
    <t>Maggi</t>
  </si>
  <si>
    <t>Butterfield-Brown</t>
  </si>
  <si>
    <t>1038 Ocean Vista Lane</t>
  </si>
  <si>
    <t>93111-1300</t>
  </si>
  <si>
    <t>maggibb@mac.com</t>
  </si>
  <si>
    <t>ALQ1207BA312</t>
  </si>
  <si>
    <t>ALA1410D2EMT</t>
  </si>
  <si>
    <t>Dudley</t>
  </si>
  <si>
    <t>Shirley Dudley</t>
  </si>
  <si>
    <t>400 Seabury Dr Apt 4181</t>
  </si>
  <si>
    <t>06002-2679</t>
  </si>
  <si>
    <t>dudleym63@gmail.com</t>
  </si>
  <si>
    <t>ALQ1207MA238</t>
  </si>
  <si>
    <t>Mary Anna</t>
  </si>
  <si>
    <t>Feitler</t>
  </si>
  <si>
    <t>Ms. Mary Anna Feitler</t>
  </si>
  <si>
    <t>1957 County Road 68</t>
  </si>
  <si>
    <t>46706-9521</t>
  </si>
  <si>
    <t>feitlema@aol.com</t>
  </si>
  <si>
    <t>ALQ1412MF051</t>
  </si>
  <si>
    <t>ALA22120B56H</t>
  </si>
  <si>
    <t>Colin</t>
  </si>
  <si>
    <t>Mr. Colin Riley</t>
  </si>
  <si>
    <t>2119 Round Lake Dr</t>
  </si>
  <si>
    <t>77077-6126</t>
  </si>
  <si>
    <t>couth37@aol.com</t>
  </si>
  <si>
    <t>ALQ1411GE032</t>
  </si>
  <si>
    <t>Mrs. Brenda and Mr. David Kane</t>
  </si>
  <si>
    <t>Brenda and David</t>
  </si>
  <si>
    <t>746 River Rd</t>
  </si>
  <si>
    <t>Weare</t>
  </si>
  <si>
    <t>03281-5203</t>
  </si>
  <si>
    <t>brendaannkane@comcast.net</t>
  </si>
  <si>
    <t>ALA2312DTXC</t>
  </si>
  <si>
    <t>ALA17090C13A</t>
  </si>
  <si>
    <t>Boyen</t>
  </si>
  <si>
    <t>Vincent Boyen</t>
  </si>
  <si>
    <t>13674 N Placita Meseta De Oro</t>
  </si>
  <si>
    <t>85755-8677</t>
  </si>
  <si>
    <t>vinboyen@comcast.net</t>
  </si>
  <si>
    <t>ALQ1207BA302</t>
  </si>
  <si>
    <t>ALA21090655T</t>
  </si>
  <si>
    <t>Mr. Michael Sawyer</t>
  </si>
  <si>
    <t>3 Sawyer Ln</t>
  </si>
  <si>
    <t>Limington</t>
  </si>
  <si>
    <t>04049-3341</t>
  </si>
  <si>
    <t>ALQ1208DB006</t>
  </si>
  <si>
    <t>Ms. Barb Ziegler</t>
  </si>
  <si>
    <t>1843 Clydesdale Dr</t>
  </si>
  <si>
    <t>89703-2357</t>
  </si>
  <si>
    <t>Teresa G. Perry</t>
  </si>
  <si>
    <t>4869 Byrd Ln</t>
  </si>
  <si>
    <t>College Grove</t>
  </si>
  <si>
    <t>37046-9263</t>
  </si>
  <si>
    <t>ALQ1208EB018</t>
  </si>
  <si>
    <t>ALR150901033</t>
  </si>
  <si>
    <t>Buxton</t>
  </si>
  <si>
    <t>Sisson</t>
  </si>
  <si>
    <t>Dr. Rodney Buxton and Mr. John Sisson</t>
  </si>
  <si>
    <t>Rodney and John</t>
  </si>
  <si>
    <t>1535 Quince St</t>
  </si>
  <si>
    <t>80220-1927</t>
  </si>
  <si>
    <t>rodneybuxton@comcast.net</t>
  </si>
  <si>
    <t>ALQ1208EB014</t>
  </si>
  <si>
    <t>ALA2112D6EM2</t>
  </si>
  <si>
    <t>ALR190900EMC</t>
  </si>
  <si>
    <t>Donna Simon</t>
  </si>
  <si>
    <t>8124 Maple Ave</t>
  </si>
  <si>
    <t>46403-1359</t>
  </si>
  <si>
    <t>ALQ1208EB015</t>
  </si>
  <si>
    <t>Dose</t>
  </si>
  <si>
    <t>Mr. Frederick F. Dose</t>
  </si>
  <si>
    <t>1901 Silver Glen Rd Unit 1038</t>
  </si>
  <si>
    <t>60177-3345</t>
  </si>
  <si>
    <t>2fred4him2c@earthlink.net</t>
  </si>
  <si>
    <t>ALQ1208DB012</t>
  </si>
  <si>
    <t>ALR231006C44</t>
  </si>
  <si>
    <t>Bellis</t>
  </si>
  <si>
    <t>Gwynn</t>
  </si>
  <si>
    <t>Ms. Virginia Gwynn and Mr. Jonathan P. Bellis</t>
  </si>
  <si>
    <t>Virginia and Jonathan</t>
  </si>
  <si>
    <t>PO Box 525</t>
  </si>
  <si>
    <t>Sunapee</t>
  </si>
  <si>
    <t>03782-0525</t>
  </si>
  <si>
    <t>jonathan.bellis@gmail.com</t>
  </si>
  <si>
    <t>jpbcoscob@gmail.com</t>
  </si>
  <si>
    <t>ALQ1208CB007</t>
  </si>
  <si>
    <t>Jonathan H</t>
  </si>
  <si>
    <t>Crane</t>
  </si>
  <si>
    <t>Dr. Jonathan H H. Crane</t>
  </si>
  <si>
    <t>29141 SW 164th Avenue Rd</t>
  </si>
  <si>
    <t>Homestead</t>
  </si>
  <si>
    <t>33033-2101</t>
  </si>
  <si>
    <t>jhc75@att.net</t>
  </si>
  <si>
    <t>jhcrane75@gmail.com</t>
  </si>
  <si>
    <t>ALQ1208CB001</t>
  </si>
  <si>
    <t>DuBois</t>
  </si>
  <si>
    <t>Ms. Brooke DuBois</t>
  </si>
  <si>
    <t>300 Columbia Point Dr # K14</t>
  </si>
  <si>
    <t>99352-4371</t>
  </si>
  <si>
    <t>brookeontheroad@aol.com</t>
  </si>
  <si>
    <t>ALQ1208EB001</t>
  </si>
  <si>
    <t>Ms. Virginia M. Murray</t>
  </si>
  <si>
    <t>PO Box 1163</t>
  </si>
  <si>
    <t>North Hampton</t>
  </si>
  <si>
    <t>03862-1163</t>
  </si>
  <si>
    <t>vmmurray@comcast.net</t>
  </si>
  <si>
    <t>John Hawley</t>
  </si>
  <si>
    <t>653 Lake Dr</t>
  </si>
  <si>
    <t>53075-6700</t>
  </si>
  <si>
    <t>samuel@hkklawoffices.com</t>
  </si>
  <si>
    <t>john@hkklawoffices.ca</t>
  </si>
  <si>
    <t>ALQ1208CB002</t>
  </si>
  <si>
    <t>Petrich</t>
  </si>
  <si>
    <t>Ms. Susan Petrich</t>
  </si>
  <si>
    <t>250 Knoll Rd Apt 115</t>
  </si>
  <si>
    <t>92069-1588</t>
  </si>
  <si>
    <t>spetrich@gia.edu</t>
  </si>
  <si>
    <t>spetrich299@gmail.com</t>
  </si>
  <si>
    <t>ALQ1208BB004</t>
  </si>
  <si>
    <t>ALR160901033</t>
  </si>
  <si>
    <t>Malin</t>
  </si>
  <si>
    <t>Johnsdotter-Zeltman</t>
  </si>
  <si>
    <t>Mrs. Malin Johnsdotter-Zeltman</t>
  </si>
  <si>
    <t>1779 Sierra Trl Unit A</t>
  </si>
  <si>
    <t>81657-4365</t>
  </si>
  <si>
    <t>ALQ1208EB011</t>
  </si>
  <si>
    <t>ALA13110614A</t>
  </si>
  <si>
    <t>Johnnie R</t>
  </si>
  <si>
    <t>Dr. Johnnie R R. Aldrich</t>
  </si>
  <si>
    <t>2975 Terrace Dr Apt 4</t>
  </si>
  <si>
    <t>88011-5021</t>
  </si>
  <si>
    <t>jraldrich@earthlink.net</t>
  </si>
  <si>
    <t>ALA1212N6EMC</t>
  </si>
  <si>
    <t>ALR23L347EMC</t>
  </si>
  <si>
    <t>D'Antonio</t>
  </si>
  <si>
    <t>Dantonio</t>
  </si>
  <si>
    <t>Ms. Michael D'Antonio and Ms. Ann Dantonio</t>
  </si>
  <si>
    <t>Michael and Ann</t>
  </si>
  <si>
    <t>3300 Darby Rd Apt 1305</t>
  </si>
  <si>
    <t>19041-1097</t>
  </si>
  <si>
    <t>mdaphd@comcast.net</t>
  </si>
  <si>
    <t>ALQ1209EC008</t>
  </si>
  <si>
    <t>ALA23100C56H</t>
  </si>
  <si>
    <t>Jacquette</t>
  </si>
  <si>
    <t>Ms. Jacquette M. Ward</t>
  </si>
  <si>
    <t>3783 Sullivan Dr</t>
  </si>
  <si>
    <t>95051-5821</t>
  </si>
  <si>
    <t>jqtward@sbcglobal.net</t>
  </si>
  <si>
    <t>ALQ1208MB024</t>
  </si>
  <si>
    <t>James Allen</t>
  </si>
  <si>
    <t>5062 W 69th Ave</t>
  </si>
  <si>
    <t>80030-5712</t>
  </si>
  <si>
    <t>lisa@jnla.com</t>
  </si>
  <si>
    <t>ALQ1208EB002</t>
  </si>
  <si>
    <t>ALS181001WS3</t>
  </si>
  <si>
    <t>Mrs. Susan H. Jones</t>
  </si>
  <si>
    <t>1204 Edge Hill Rd</t>
  </si>
  <si>
    <t>22903-5302</t>
  </si>
  <si>
    <t>shjones000@aol.com</t>
  </si>
  <si>
    <t>sirjones000@aol.com</t>
  </si>
  <si>
    <t>ALQ1205EL003</t>
  </si>
  <si>
    <t>Tipps</t>
  </si>
  <si>
    <t>Hardebeck</t>
  </si>
  <si>
    <t>Betsy Tipps and Larry Hardebeck</t>
  </si>
  <si>
    <t>Betsy and Larry</t>
  </si>
  <si>
    <t>3550 Wagon Wheel Way</t>
  </si>
  <si>
    <t>84098-5338</t>
  </si>
  <si>
    <t>mddamus@yahoo.com</t>
  </si>
  <si>
    <t>ALA23010C55H</t>
  </si>
  <si>
    <t>lhardebeck@comcast.net</t>
  </si>
  <si>
    <t>aversack@yahoo.com</t>
  </si>
  <si>
    <t>ALQ1902N2EMT</t>
  </si>
  <si>
    <t>ALA2212D3EMC</t>
  </si>
  <si>
    <t>Kautz</t>
  </si>
  <si>
    <t>Ms. Beth Kautz</t>
  </si>
  <si>
    <t>1701 1st St SW</t>
  </si>
  <si>
    <t>New Brighton</t>
  </si>
  <si>
    <t>55112-3315</t>
  </si>
  <si>
    <t>kautz001@umn.edu</t>
  </si>
  <si>
    <t>ALQ1303FJ029</t>
  </si>
  <si>
    <t>ALA2012D3EMC</t>
  </si>
  <si>
    <t>Mrs. Kathryn L. Brown</t>
  </si>
  <si>
    <t>4533 Garon Dr</t>
  </si>
  <si>
    <t>63128-3623</t>
  </si>
  <si>
    <t>kbmb4422@charter.net</t>
  </si>
  <si>
    <t>ALQ1308N2EMC</t>
  </si>
  <si>
    <t>ALA19080B23C</t>
  </si>
  <si>
    <t>Mr. David P. and Mrs. Kelly Hackett</t>
  </si>
  <si>
    <t>David and Kelly</t>
  </si>
  <si>
    <t>2720 Iroquois Rd</t>
  </si>
  <si>
    <t>60091-1235</t>
  </si>
  <si>
    <t>david.hackett@bakermckenzie.com</t>
  </si>
  <si>
    <t>ALA121000001</t>
  </si>
  <si>
    <t>ADA200001M01</t>
  </si>
  <si>
    <t>James Weaver</t>
  </si>
  <si>
    <t>PO Box 371</t>
  </si>
  <si>
    <t>Shasta</t>
  </si>
  <si>
    <t>96087-0371</t>
  </si>
  <si>
    <t>rbweaver2@yahoo.com</t>
  </si>
  <si>
    <t>ALQ1203CJ005</t>
  </si>
  <si>
    <t>ALR230209C33</t>
  </si>
  <si>
    <t>ALA13080C25N</t>
  </si>
  <si>
    <t>Beemer</t>
  </si>
  <si>
    <t>Mr. Dennis Beemer</t>
  </si>
  <si>
    <t>921 Rose Angel Cir</t>
  </si>
  <si>
    <t>Wake Forest</t>
  </si>
  <si>
    <t>27587-3936</t>
  </si>
  <si>
    <t>dennisbeemer@gmail.com</t>
  </si>
  <si>
    <t>dbeemer6@comcast.net</t>
  </si>
  <si>
    <t>ALR161001044</t>
  </si>
  <si>
    <t>Goulty</t>
  </si>
  <si>
    <t>Dr. Lillian Harris and Mr. Alan F. Goulty</t>
  </si>
  <si>
    <t>Lillian and Alan</t>
  </si>
  <si>
    <t>2515 N Lincoln St</t>
  </si>
  <si>
    <t>22207-5023</t>
  </si>
  <si>
    <t>afglch@verizon.net</t>
  </si>
  <si>
    <t>ALQ1207EA301</t>
  </si>
  <si>
    <t>ALL22110A5BM</t>
  </si>
  <si>
    <t>ALQ1911AE001</t>
  </si>
  <si>
    <t>ALQ2007BA101</t>
  </si>
  <si>
    <t>Bench</t>
  </si>
  <si>
    <t>Ms. Barbara Bench</t>
  </si>
  <si>
    <t>1132 Payton Ave</t>
  </si>
  <si>
    <t>Fort Lupton</t>
  </si>
  <si>
    <t>80621-2474</t>
  </si>
  <si>
    <t>bbench@tampabay.rr.com</t>
  </si>
  <si>
    <t>ALQ1209EC007</t>
  </si>
  <si>
    <t>ALS220601WS3</t>
  </si>
  <si>
    <t>Gerhard</t>
  </si>
  <si>
    <t>Margaret Gerhard</t>
  </si>
  <si>
    <t>N20711 Oneonta Dr</t>
  </si>
  <si>
    <t>Helfenstein Soup Council</t>
  </si>
  <si>
    <t>Fence</t>
  </si>
  <si>
    <t>54120-9702</t>
  </si>
  <si>
    <t>fullmoonbog@gmail.com</t>
  </si>
  <si>
    <t>ALQ1208CB019</t>
  </si>
  <si>
    <t>Ms. Susan Petersen</t>
  </si>
  <si>
    <t>18 Auburn Dr</t>
  </si>
  <si>
    <t>Lake Worth</t>
  </si>
  <si>
    <t>33460-6308</t>
  </si>
  <si>
    <t>suzypetersen@bellsouth.net</t>
  </si>
  <si>
    <t>ALQ1209EC018</t>
  </si>
  <si>
    <t>ALA21070A14R</t>
  </si>
  <si>
    <t>Zimmerman</t>
  </si>
  <si>
    <t>Mabel Zimmerman</t>
  </si>
  <si>
    <t>PO Box 234</t>
  </si>
  <si>
    <t>Le Roy</t>
  </si>
  <si>
    <t>55951-0234</t>
  </si>
  <si>
    <t>ALQ1209EC019</t>
  </si>
  <si>
    <t>ALA22070A33R</t>
  </si>
  <si>
    <t>Prince Havens</t>
  </si>
  <si>
    <t>Ms. Susan Prince Havens</t>
  </si>
  <si>
    <t>3970 Nashville Hwy</t>
  </si>
  <si>
    <t>Deer Lodge</t>
  </si>
  <si>
    <t>37726-3612</t>
  </si>
  <si>
    <t>princehavensdesigns@gmail.com</t>
  </si>
  <si>
    <t>ALQ1610N1EMC</t>
  </si>
  <si>
    <t>Mr. Bob Laser</t>
  </si>
  <si>
    <t>305 N 47th St</t>
  </si>
  <si>
    <t>72903-2313</t>
  </si>
  <si>
    <t>robertlaser8@gmail.com</t>
  </si>
  <si>
    <t>boblaser@sbcglobal.net</t>
  </si>
  <si>
    <t>ALR161202054</t>
  </si>
  <si>
    <t>Griesbach</t>
  </si>
  <si>
    <t>Ms. Kay Griesbach</t>
  </si>
  <si>
    <t>4231 Midlane Dr</t>
  </si>
  <si>
    <t>60083-9532</t>
  </si>
  <si>
    <t>kgriesbach@att.net</t>
  </si>
  <si>
    <t>patgolf39@att.net</t>
  </si>
  <si>
    <t>ALA13090C23N</t>
  </si>
  <si>
    <t>Burgett</t>
  </si>
  <si>
    <t>Mr. Robert A. Burgett Jr.</t>
  </si>
  <si>
    <t>347 Donerail Ave</t>
  </si>
  <si>
    <t>43065-9144</t>
  </si>
  <si>
    <t>bob48burg@yahoo.com</t>
  </si>
  <si>
    <t>buyburg@columbus.rr.com</t>
  </si>
  <si>
    <t>ALR200801C54</t>
  </si>
  <si>
    <t>Michael Bright</t>
  </si>
  <si>
    <t>223 Highway Kk</t>
  </si>
  <si>
    <t>63379-6002</t>
  </si>
  <si>
    <t>Salsbury</t>
  </si>
  <si>
    <t>Mrs. Katherine C. and Mr. James G. Salsbury</t>
  </si>
  <si>
    <t>Katherine and James</t>
  </si>
  <si>
    <t>28W521 Woodlawn Ave</t>
  </si>
  <si>
    <t>60555-3442</t>
  </si>
  <si>
    <t>jimsalsbury@yahoo.com</t>
  </si>
  <si>
    <t>ADA240001M02:105703</t>
  </si>
  <si>
    <t>ADA180001001</t>
  </si>
  <si>
    <t>Stern</t>
  </si>
  <si>
    <t>Mr. Bob Stern</t>
  </si>
  <si>
    <t>1 Willow Dr</t>
  </si>
  <si>
    <t>32080-5918</t>
  </si>
  <si>
    <t>powerfade@bellsouth.net</t>
  </si>
  <si>
    <t>rcstern@gmail.com</t>
  </si>
  <si>
    <t>ALQ1209EC006</t>
  </si>
  <si>
    <t>ALR190202033</t>
  </si>
  <si>
    <t>Nancy Crooker-White and David White</t>
  </si>
  <si>
    <t>Nancy and David</t>
  </si>
  <si>
    <t>PO Box 1644</t>
  </si>
  <si>
    <t>Rancho Santa Fe</t>
  </si>
  <si>
    <t>92067-1644</t>
  </si>
  <si>
    <t>nwhite6505@gmail.com</t>
  </si>
  <si>
    <t>ALQ1210ED004</t>
  </si>
  <si>
    <t>btrnpar@hotmail.com</t>
  </si>
  <si>
    <t>McBride</t>
  </si>
  <si>
    <t>Mr. Joe McBride</t>
  </si>
  <si>
    <t>7053 Tucker Dr</t>
  </si>
  <si>
    <t>76085-8162</t>
  </si>
  <si>
    <t>cynthiala21@yahoo.com</t>
  </si>
  <si>
    <t>ALQ1210ED012</t>
  </si>
  <si>
    <t>ALA23010B12A</t>
  </si>
  <si>
    <t>Judith and Fred Jones</t>
  </si>
  <si>
    <t>Judith and Fred</t>
  </si>
  <si>
    <t>1905 22nd St</t>
  </si>
  <si>
    <t>80302-4510</t>
  </si>
  <si>
    <t>enigma@comcast.net</t>
  </si>
  <si>
    <t>ALQ1210AD003</t>
  </si>
  <si>
    <t>ALR171102033</t>
  </si>
  <si>
    <t>Buller</t>
  </si>
  <si>
    <t>Brenda Buller</t>
  </si>
  <si>
    <t>1336 Greencroft Dr</t>
  </si>
  <si>
    <t>46526-5136</t>
  </si>
  <si>
    <t>ALA19070D23A</t>
  </si>
  <si>
    <t>Liz</t>
  </si>
  <si>
    <t>Kurincak</t>
  </si>
  <si>
    <t>Liz Kurincak</t>
  </si>
  <si>
    <t>437 W Greene St</t>
  </si>
  <si>
    <t>Carmichaels</t>
  </si>
  <si>
    <t>15320-1603</t>
  </si>
  <si>
    <t>lizkurincak@gmail.com</t>
  </si>
  <si>
    <t>alaska-2010@live.com</t>
  </si>
  <si>
    <t>ALA23020B22A</t>
  </si>
  <si>
    <t>ALA13050B13A</t>
  </si>
  <si>
    <t>Thomas M. Dillon</t>
  </si>
  <si>
    <t>119 Gloria Ave</t>
  </si>
  <si>
    <t>27127-2032</t>
  </si>
  <si>
    <t>jdillon1202@hotmail.com</t>
  </si>
  <si>
    <t>ALQ1209MC026</t>
  </si>
  <si>
    <t>ALA23030B54H</t>
  </si>
  <si>
    <t>ALA16100E14C</t>
  </si>
  <si>
    <t>Hardt</t>
  </si>
  <si>
    <t>Dr. Frederick Hardt</t>
  </si>
  <si>
    <t>6725 Sloane Pl</t>
  </si>
  <si>
    <t>34104-8314</t>
  </si>
  <si>
    <t>fredhardt@comcast.net</t>
  </si>
  <si>
    <t>ihardt@roadrunner.com</t>
  </si>
  <si>
    <t>ALQ1704FK013</t>
  </si>
  <si>
    <t>ALA23020A13R</t>
  </si>
  <si>
    <t>Olender</t>
  </si>
  <si>
    <t>Rosemary and Edward Olender</t>
  </si>
  <si>
    <t>Rosemary and Edward</t>
  </si>
  <si>
    <t>214 Cambridge St</t>
  </si>
  <si>
    <t>13210-2208</t>
  </si>
  <si>
    <t>rolende1@twcny.rr.com</t>
  </si>
  <si>
    <t>doctoro03@hotmail.com</t>
  </si>
  <si>
    <t>ALQ1507DA107</t>
  </si>
  <si>
    <t>Cheek</t>
  </si>
  <si>
    <t>Michael Cheek</t>
  </si>
  <si>
    <t>15045 S 2451st Rd</t>
  </si>
  <si>
    <t>Dunnegan</t>
  </si>
  <si>
    <t>65640-9758</t>
  </si>
  <si>
    <t>michael.cheek1737@sbcglobal.net</t>
  </si>
  <si>
    <t>Bower</t>
  </si>
  <si>
    <t>Ms. Elizabeth Bower</t>
  </si>
  <si>
    <t>1190 Queets Dr</t>
  </si>
  <si>
    <t>Fox Island</t>
  </si>
  <si>
    <t>98333-9628</t>
  </si>
  <si>
    <t>daebower@comcast.net</t>
  </si>
  <si>
    <t>daebower@verizon.net</t>
  </si>
  <si>
    <t>ALQ1304BK015</t>
  </si>
  <si>
    <t>ALA23070A55H</t>
  </si>
  <si>
    <t>Fuda</t>
  </si>
  <si>
    <t>Anne Fuda</t>
  </si>
  <si>
    <t>112 Huntleigh Ave</t>
  </si>
  <si>
    <t>13066-2213</t>
  </si>
  <si>
    <t>ALR230706C33</t>
  </si>
  <si>
    <t>Luis</t>
  </si>
  <si>
    <t>Lugo</t>
  </si>
  <si>
    <t>Mr. Luis A. Lugo</t>
  </si>
  <si>
    <t>4021 Paseo De La Vega</t>
  </si>
  <si>
    <t>Ponce</t>
  </si>
  <si>
    <t>00716-7007</t>
  </si>
  <si>
    <t>lxlugom@gmail.com</t>
  </si>
  <si>
    <t>Seaman</t>
  </si>
  <si>
    <t>Ms. Kristi J. Seaman</t>
  </si>
  <si>
    <t>18606 Moontown Rd</t>
  </si>
  <si>
    <t>Noblesville</t>
  </si>
  <si>
    <t>46062-8281</t>
  </si>
  <si>
    <t>k.seaman6177@gmail.com</t>
  </si>
  <si>
    <t>kseaman@ms.k12.il.us</t>
  </si>
  <si>
    <t>ALQ12120W005</t>
  </si>
  <si>
    <t>ALA1612D1EM1</t>
  </si>
  <si>
    <t>Mrs. Cindy and Mr. Norman Stickney</t>
  </si>
  <si>
    <t>Cindy and Norman</t>
  </si>
  <si>
    <t>6934 Oakes Rd</t>
  </si>
  <si>
    <t>44141-2736</t>
  </si>
  <si>
    <t>stick31@cox.net</t>
  </si>
  <si>
    <t>alwaysmile0713@gmail.com</t>
  </si>
  <si>
    <t>njcm.stickney@gmail.com</t>
  </si>
  <si>
    <t>stickney.energy@gmail.com</t>
  </si>
  <si>
    <t>Heller</t>
  </si>
  <si>
    <t>Lois and Bob Heller</t>
  </si>
  <si>
    <t>Lois and Bob</t>
  </si>
  <si>
    <t>9129 Congon Blvd</t>
  </si>
  <si>
    <t>Duluth</t>
  </si>
  <si>
    <t>lizzie51992@yahoo.com</t>
  </si>
  <si>
    <t>Ms. Barbara J. Arnold</t>
  </si>
  <si>
    <t>525 Dapin Rd</t>
  </si>
  <si>
    <t>53704-1243</t>
  </si>
  <si>
    <t>akrukow@gmail.com</t>
  </si>
  <si>
    <t>barbarjarnold74@gmail.com</t>
  </si>
  <si>
    <t>ALQ1210AD010</t>
  </si>
  <si>
    <t>Boleman</t>
  </si>
  <si>
    <t>Mr. Patrick Boleman</t>
  </si>
  <si>
    <t>PO Box 15562</t>
  </si>
  <si>
    <t>31416-2262</t>
  </si>
  <si>
    <t>pboleman516@aol.com</t>
  </si>
  <si>
    <t>ALQ1207BA101</t>
  </si>
  <si>
    <t>Mr. John Thompson</t>
  </si>
  <si>
    <t>5022 Sunningdale Ct</t>
  </si>
  <si>
    <t>28226-7937</t>
  </si>
  <si>
    <t>rm.thompson09@gmail.com</t>
  </si>
  <si>
    <t>ALQ1211CE009</t>
  </si>
  <si>
    <t>Stout</t>
  </si>
  <si>
    <t>Mr. John Stout</t>
  </si>
  <si>
    <t>374 Calloway Ct</t>
  </si>
  <si>
    <t>Royersford</t>
  </si>
  <si>
    <t>19468-1053</t>
  </si>
  <si>
    <t>chrsducreux@aol.com</t>
  </si>
  <si>
    <t>Becca</t>
  </si>
  <si>
    <t>Dr. Becca L. Wolfe</t>
  </si>
  <si>
    <t>10981 SE Harken Ter</t>
  </si>
  <si>
    <t>Jupiter</t>
  </si>
  <si>
    <t>33469-8149</t>
  </si>
  <si>
    <t>rebecca.wolfe@bellsouth.net</t>
  </si>
  <si>
    <t>r_wolfe@bellsouth.net</t>
  </si>
  <si>
    <t>ALQ1211CE013</t>
  </si>
  <si>
    <t>ALR210909C54</t>
  </si>
  <si>
    <t>Suarwein</t>
  </si>
  <si>
    <t>Mr. John Suarwein</t>
  </si>
  <si>
    <t>267 Montana Way</t>
  </si>
  <si>
    <t>93402-3612</t>
  </si>
  <si>
    <t>johniii611@gmail.com</t>
  </si>
  <si>
    <t>ALQ1211CE003</t>
  </si>
  <si>
    <t>ALL20110A5BM</t>
  </si>
  <si>
    <t>ALA17120A24R</t>
  </si>
  <si>
    <t>William W. Drummy</t>
  </si>
  <si>
    <t>5060 E Old Maple Ave</t>
  </si>
  <si>
    <t>47803-9618</t>
  </si>
  <si>
    <t>wwdrummy@aol.com</t>
  </si>
  <si>
    <t>ALQ1211EE025</t>
  </si>
  <si>
    <t>ALR151201054</t>
  </si>
  <si>
    <t>Kristan</t>
  </si>
  <si>
    <t>Knapp</t>
  </si>
  <si>
    <t>Ms. Kristan Knapp</t>
  </si>
  <si>
    <t>1718 SE 42nd Ave</t>
  </si>
  <si>
    <t>97215-3753</t>
  </si>
  <si>
    <t>kristan.aspen@gmail.com</t>
  </si>
  <si>
    <t>musica@spiritone.com</t>
  </si>
  <si>
    <t>ALR231004C64</t>
  </si>
  <si>
    <t>Mr. Richard A. Young</t>
  </si>
  <si>
    <t>PO Box 1185</t>
  </si>
  <si>
    <t>Mc Cormick</t>
  </si>
  <si>
    <t>29835-1185</t>
  </si>
  <si>
    <t>youngdick27@yahoo.com</t>
  </si>
  <si>
    <t>youngrick27@yahoo.com</t>
  </si>
  <si>
    <t>ALQ1211CE022</t>
  </si>
  <si>
    <t>ALR211204C23</t>
  </si>
  <si>
    <t>Sadlowski</t>
  </si>
  <si>
    <t>L. Sadlowski</t>
  </si>
  <si>
    <t>14572 Coral St</t>
  </si>
  <si>
    <t>Dyer</t>
  </si>
  <si>
    <t>46311-3122</t>
  </si>
  <si>
    <t>thispope@aol.com</t>
  </si>
  <si>
    <t>ALQ1211CE006</t>
  </si>
  <si>
    <t>Hartle</t>
  </si>
  <si>
    <t>Anthony and Linda Hartle</t>
  </si>
  <si>
    <t>Anthony and Linda</t>
  </si>
  <si>
    <t>169 Spring St</t>
  </si>
  <si>
    <t>Mocksville</t>
  </si>
  <si>
    <t>27028-2233</t>
  </si>
  <si>
    <t>avatar3@yadtel.net</t>
  </si>
  <si>
    <t>ALA2311D5EMC</t>
  </si>
  <si>
    <t>ALA2306D7EMC</t>
  </si>
  <si>
    <t>Rhoades</t>
  </si>
  <si>
    <t>Myra G. Rhoades</t>
  </si>
  <si>
    <t>6622 E Willow Springs Ln</t>
  </si>
  <si>
    <t>85331-7625</t>
  </si>
  <si>
    <t>trhoades3@hotmail.com</t>
  </si>
  <si>
    <t>ALA23020B53H</t>
  </si>
  <si>
    <t>Linna</t>
  </si>
  <si>
    <t>Linna and Gary Vannette</t>
  </si>
  <si>
    <t>Linna and Gary</t>
  </si>
  <si>
    <t>141 Duncan Trl</t>
  </si>
  <si>
    <t>32779-4576</t>
  </si>
  <si>
    <t>vannette01@gmail.com</t>
  </si>
  <si>
    <t>Beenblossom</t>
  </si>
  <si>
    <t>625 Bayharbor Ter</t>
  </si>
  <si>
    <t>amybeener@gmail.com</t>
  </si>
  <si>
    <t>Berke</t>
  </si>
  <si>
    <t>5600 Wisconsin Ave Apt 1403</t>
  </si>
  <si>
    <t>20815-4412</t>
  </si>
  <si>
    <t>berke2@aol.com</t>
  </si>
  <si>
    <t>ALQ12120W001</t>
  </si>
  <si>
    <t>ALS231201WS3R</t>
  </si>
  <si>
    <t>ALQ1311N4EMC</t>
  </si>
  <si>
    <t>Cleone</t>
  </si>
  <si>
    <t>Cathy C. Baker</t>
  </si>
  <si>
    <t>N48W15452 Aster Ct</t>
  </si>
  <si>
    <t>53051-2233</t>
  </si>
  <si>
    <t>csmithbaker@yahoo.com</t>
  </si>
  <si>
    <t>shknbkz@hotmail.com</t>
  </si>
  <si>
    <t>ALA1212NDWSC</t>
  </si>
  <si>
    <t>ALR141203054</t>
  </si>
  <si>
    <t>Mrs. Auralie Ashley-Marx</t>
  </si>
  <si>
    <t>2885 Plaza Blanca</t>
  </si>
  <si>
    <t>87507-6516</t>
  </si>
  <si>
    <t>ALQ1209EC001</t>
  </si>
  <si>
    <t>ALR231106C44</t>
  </si>
  <si>
    <t>Bartine</t>
  </si>
  <si>
    <t>Mr. Mortimer B. and Mrs. Susan A. Fuller</t>
  </si>
  <si>
    <t>Mortimer and Susan</t>
  </si>
  <si>
    <t>Waverly</t>
  </si>
  <si>
    <t>18471-0101</t>
  </si>
  <si>
    <t>fullermort3@gmail.com</t>
  </si>
  <si>
    <t>suefuller@mac.com</t>
  </si>
  <si>
    <t>ALQ13010W001</t>
  </si>
  <si>
    <t>ADA200001M04</t>
  </si>
  <si>
    <t>Kilboy</t>
  </si>
  <si>
    <t>Ms. Kelly Kilboy</t>
  </si>
  <si>
    <t>314 S Yale Ave</t>
  </si>
  <si>
    <t>Villa Park</t>
  </si>
  <si>
    <t>60181-2560</t>
  </si>
  <si>
    <t>thehandychik@gmail.com</t>
  </si>
  <si>
    <t>thehandychik@sbcglobal.net</t>
  </si>
  <si>
    <t>ALQ1212CF019</t>
  </si>
  <si>
    <t>ALR230205C54</t>
  </si>
  <si>
    <t>Tremblay</t>
  </si>
  <si>
    <t>Mrs. Anne E. Tremblay</t>
  </si>
  <si>
    <t>Sanbornville</t>
  </si>
  <si>
    <t>03872-0011</t>
  </si>
  <si>
    <t>annetremblay@roadrunner.com</t>
  </si>
  <si>
    <t>ALQ1207EA109</t>
  </si>
  <si>
    <t>ALA17100F23R</t>
  </si>
  <si>
    <t>Donne</t>
  </si>
  <si>
    <t>Brownsey</t>
  </si>
  <si>
    <t>Donne Brownsey</t>
  </si>
  <si>
    <t>PO Box 2784</t>
  </si>
  <si>
    <t>95437-2784</t>
  </si>
  <si>
    <t>donne@donnebrownsey.com</t>
  </si>
  <si>
    <t>ALQ130001001</t>
  </si>
  <si>
    <t>Fadale</t>
  </si>
  <si>
    <t>Maxine Fadale</t>
  </si>
  <si>
    <t>32880 Charmwood Oval</t>
  </si>
  <si>
    <t>44139-4421</t>
  </si>
  <si>
    <t>mgfadale@yahoo.com</t>
  </si>
  <si>
    <t>ALQ1212CF008</t>
  </si>
  <si>
    <t>ALL21040C63M</t>
  </si>
  <si>
    <t>Myra K. McCullough</t>
  </si>
  <si>
    <t>15724 Minnich Rd</t>
  </si>
  <si>
    <t>Hoagland</t>
  </si>
  <si>
    <t>46745-9796</t>
  </si>
  <si>
    <t>ladypatriot2008@gmail.com</t>
  </si>
  <si>
    <t>ALQ1212DF003</t>
  </si>
  <si>
    <t>Chris D. Lantz</t>
  </si>
  <si>
    <t>1205 S 1st Ave</t>
  </si>
  <si>
    <t>52240-2514</t>
  </si>
  <si>
    <t>martylantz49@gmail.com</t>
  </si>
  <si>
    <t>ALQ1212DF028</t>
  </si>
  <si>
    <t>ALL17110C73S</t>
  </si>
  <si>
    <t>Joyce L. Hoffman</t>
  </si>
  <si>
    <t>6564 State Route 48</t>
  </si>
  <si>
    <t>45122-8010</t>
  </si>
  <si>
    <t>jhoffman51@netzero.com</t>
  </si>
  <si>
    <t>ALQ1212DF006</t>
  </si>
  <si>
    <t>Parekh</t>
  </si>
  <si>
    <t>Mr. H. Parekh</t>
  </si>
  <si>
    <t>Mr. Parekh</t>
  </si>
  <si>
    <t>1266 Shelby Creek Ln</t>
  </si>
  <si>
    <t>95120-4260</t>
  </si>
  <si>
    <t>hparekh@hotmail.com</t>
  </si>
  <si>
    <t>ALQ1212DF001</t>
  </si>
  <si>
    <t>Mrs. Kay Clark</t>
  </si>
  <si>
    <t>11658 Scripps Creek Dr</t>
  </si>
  <si>
    <t>92131-3630</t>
  </si>
  <si>
    <t>kayinsd@gmail.com</t>
  </si>
  <si>
    <t>ALZ130001001</t>
  </si>
  <si>
    <t>ALA23040D50H</t>
  </si>
  <si>
    <t>ALR210903EMC</t>
  </si>
  <si>
    <t>Doughty</t>
  </si>
  <si>
    <t>Mary Doughty</t>
  </si>
  <si>
    <t>330 Clove Rd</t>
  </si>
  <si>
    <t>10950-4743</t>
  </si>
  <si>
    <t>ALQ1212BF006</t>
  </si>
  <si>
    <t>PPA230501001</t>
  </si>
  <si>
    <t>Donald A. Burrows</t>
  </si>
  <si>
    <t>815 Old Dutch Mill Rd</t>
  </si>
  <si>
    <t>80907-3820</t>
  </si>
  <si>
    <t>don.burrows@hotmail.com</t>
  </si>
  <si>
    <t>donburrows@mountainworlds.net</t>
  </si>
  <si>
    <t>ALQ1212MF032</t>
  </si>
  <si>
    <t>ALR210204C33</t>
  </si>
  <si>
    <t>Paul G. Wolcott</t>
  </si>
  <si>
    <t>137 Cooper River Rd</t>
  </si>
  <si>
    <t>29588-7424</t>
  </si>
  <si>
    <t>wolcottp@hotmail.com</t>
  </si>
  <si>
    <t>ALQ1212DF008</t>
  </si>
  <si>
    <t>Beall</t>
  </si>
  <si>
    <t>David Beall</t>
  </si>
  <si>
    <t>24 Alton Ln</t>
  </si>
  <si>
    <t>72211-2191</t>
  </si>
  <si>
    <t>laguilan@aol.com</t>
  </si>
  <si>
    <t>ALQ1204GK038</t>
  </si>
  <si>
    <t>Couvreur</t>
  </si>
  <si>
    <t>Robert Couvreur</t>
  </si>
  <si>
    <t>343 Hydesmere Dr</t>
  </si>
  <si>
    <t>Buford</t>
  </si>
  <si>
    <t>30518-5685</t>
  </si>
  <si>
    <t>bobcouv@yahoo.com</t>
  </si>
  <si>
    <t>ALQ1212AF016</t>
  </si>
  <si>
    <t>Tim Miller</t>
  </si>
  <si>
    <t>405 Hickory Grove Ln</t>
  </si>
  <si>
    <t>Wentzville</t>
  </si>
  <si>
    <t>63385-6222</t>
  </si>
  <si>
    <t>millerlite2468@hotmail.com</t>
  </si>
  <si>
    <t>ALQ1212CF024</t>
  </si>
  <si>
    <t>Richard Smith</t>
  </si>
  <si>
    <t>PO Box 661</t>
  </si>
  <si>
    <t>13066-0661</t>
  </si>
  <si>
    <t>ALQ1204FK008</t>
  </si>
  <si>
    <t>ALR230702C23</t>
  </si>
  <si>
    <t>ALR220201C23</t>
  </si>
  <si>
    <t>Ms. Beth Cameron</t>
  </si>
  <si>
    <t>3054 Willowbrook Way</t>
  </si>
  <si>
    <t>45431-7703</t>
  </si>
  <si>
    <t>cameronblc1@gmail.com</t>
  </si>
  <si>
    <t>ALQ1301DG012</t>
  </si>
  <si>
    <t>Galer</t>
  </si>
  <si>
    <t>Kate Galer</t>
  </si>
  <si>
    <t>241 S Russell St</t>
  </si>
  <si>
    <t>17402-3458</t>
  </si>
  <si>
    <t>reelgaler@comcast.net</t>
  </si>
  <si>
    <t>ALQ1301EG011</t>
  </si>
  <si>
    <t>ALR150701023</t>
  </si>
  <si>
    <t>Grauer</t>
  </si>
  <si>
    <t>Mr. Daniel C. Grauer</t>
  </si>
  <si>
    <t>302 S 9th Ave</t>
  </si>
  <si>
    <t>54401-4539</t>
  </si>
  <si>
    <t>thegrauers@charter.net</t>
  </si>
  <si>
    <t>ALQ1301EG017</t>
  </si>
  <si>
    <t>Susan L</t>
  </si>
  <si>
    <t>Schieber</t>
  </si>
  <si>
    <t>Susan L Schieber</t>
  </si>
  <si>
    <t>21416 County 19</t>
  </si>
  <si>
    <t>55974-2449</t>
  </si>
  <si>
    <t>sueschieber@hotmail.com</t>
  </si>
  <si>
    <t>schibs15@hotmail.com</t>
  </si>
  <si>
    <t>ALR14XX00WD1</t>
  </si>
  <si>
    <t>Bendert</t>
  </si>
  <si>
    <t>J. Bendert</t>
  </si>
  <si>
    <t>22718 Port St</t>
  </si>
  <si>
    <t>Saint Clair Shores</t>
  </si>
  <si>
    <t>48082-2482</t>
  </si>
  <si>
    <t>waukerr319@gmail.com</t>
  </si>
  <si>
    <t>ALQ1301EG009</t>
  </si>
  <si>
    <t>ALA23030A13A</t>
  </si>
  <si>
    <t>Sue and Dennis Reid</t>
  </si>
  <si>
    <t>Sue and Dennis</t>
  </si>
  <si>
    <t>1620 Valley Crest Dr</t>
  </si>
  <si>
    <t>43228-9570</t>
  </si>
  <si>
    <t>djreid1620@gmail.com</t>
  </si>
  <si>
    <t>doug_farkas@hotmail.com</t>
  </si>
  <si>
    <t>ALZ130002004</t>
  </si>
  <si>
    <t>ALA1612N0WS2</t>
  </si>
  <si>
    <t>pepper1620@gmail.com</t>
  </si>
  <si>
    <t>Ryburn</t>
  </si>
  <si>
    <t>Mrs. Diane M. Ryburn</t>
  </si>
  <si>
    <t>19308 Foggy Bottom Rd</t>
  </si>
  <si>
    <t>Bluemont</t>
  </si>
  <si>
    <t>20135-1959</t>
  </si>
  <si>
    <t>dianeryburn@gmail.com</t>
  </si>
  <si>
    <t>dryburn@mindspring.com</t>
  </si>
  <si>
    <t>ALQ1301FG030</t>
  </si>
  <si>
    <t>ALA23070B22A</t>
  </si>
  <si>
    <t>ALA21060C23A</t>
  </si>
  <si>
    <t>Vollmecke</t>
  </si>
  <si>
    <t>Ms. Carol R. Vollmecke</t>
  </si>
  <si>
    <t>2520 Mohican Ave</t>
  </si>
  <si>
    <t>64057-2219</t>
  </si>
  <si>
    <t>carol.holliger@yahoo.com</t>
  </si>
  <si>
    <t>ALQ1301EG006</t>
  </si>
  <si>
    <t>ALA24030A34A</t>
  </si>
  <si>
    <t>ALA18050C14A</t>
  </si>
  <si>
    <t>Jack and Betty</t>
  </si>
  <si>
    <t>Jack and Betty and Betty Bailey</t>
  </si>
  <si>
    <t>Jack and Betty and Betty</t>
  </si>
  <si>
    <t>9140 Jasmine Blvd</t>
  </si>
  <si>
    <t>34654-3471</t>
  </si>
  <si>
    <t>bbailey621@gmail.com</t>
  </si>
  <si>
    <t>bbailey8487@comcast.net</t>
  </si>
  <si>
    <t>ALQ1300FBDM1</t>
  </si>
  <si>
    <t>David B. Peterson</t>
  </si>
  <si>
    <t>507 King Charles Cir</t>
  </si>
  <si>
    <t>29485-3429</t>
  </si>
  <si>
    <t>pappafire@gmail.com</t>
  </si>
  <si>
    <t>firecapt7@sc.rr.com</t>
  </si>
  <si>
    <t>ALQ13030WHPE</t>
  </si>
  <si>
    <t>ALR210705C33</t>
  </si>
  <si>
    <t>Polikoff</t>
  </si>
  <si>
    <t>Maureen and Michael</t>
  </si>
  <si>
    <t>1519 Phoenix Ave NW</t>
  </si>
  <si>
    <t>87107-1059</t>
  </si>
  <si>
    <t>mo.polikoff@gmail.com</t>
  </si>
  <si>
    <t>m.polikoff@comcast.net</t>
  </si>
  <si>
    <t>ALQ1301AG010</t>
  </si>
  <si>
    <t>ALL22090C6BM</t>
  </si>
  <si>
    <t>Susan G. Bennett</t>
  </si>
  <si>
    <t>117 W North St</t>
  </si>
  <si>
    <t>Strasburg</t>
  </si>
  <si>
    <t>22657-2136</t>
  </si>
  <si>
    <t>susangbennett@gmail.com</t>
  </si>
  <si>
    <t>ALQ1301BG001</t>
  </si>
  <si>
    <t>Mrs. Marian Campbell</t>
  </si>
  <si>
    <t>100 Covered Bridge Rd</t>
  </si>
  <si>
    <t>Mc Donald</t>
  </si>
  <si>
    <t>15057-3051</t>
  </si>
  <si>
    <t>luvbeef@gmail.com</t>
  </si>
  <si>
    <t>ALQ1301FG023</t>
  </si>
  <si>
    <t>Jerry and Doris Payne</t>
  </si>
  <si>
    <t>Jerry and Doris</t>
  </si>
  <si>
    <t>PO Box 465</t>
  </si>
  <si>
    <t>Henrietta</t>
  </si>
  <si>
    <t>76365-0465</t>
  </si>
  <si>
    <t>dlpayne1165@hotmail.com</t>
  </si>
  <si>
    <t>ALQ1301EG019</t>
  </si>
  <si>
    <t>Haskins</t>
  </si>
  <si>
    <t>Cheryl Haskins</t>
  </si>
  <si>
    <t>PO Box 458</t>
  </si>
  <si>
    <t>13159-0458</t>
  </si>
  <si>
    <t>daytonamike@gmail.com</t>
  </si>
  <si>
    <t>ALA24030B23R</t>
  </si>
  <si>
    <t>Rimkus</t>
  </si>
  <si>
    <t>Maureen and Michael Rimkus</t>
  </si>
  <si>
    <t>543 N 83rd St</t>
  </si>
  <si>
    <t>98103-4307</t>
  </si>
  <si>
    <t>ALQ1302FH031</t>
  </si>
  <si>
    <t>Mr. Larry Douglas</t>
  </si>
  <si>
    <t>16 Cranston St</t>
  </si>
  <si>
    <t>02130-1850</t>
  </si>
  <si>
    <t>ddoug2010@hotmail.com</t>
  </si>
  <si>
    <t>ALQ1302EH032</t>
  </si>
  <si>
    <t>ALS240301WS3</t>
  </si>
  <si>
    <t>ALR140301021</t>
  </si>
  <si>
    <t>Henriksen</t>
  </si>
  <si>
    <t>Ms. Mavis Henriksen</t>
  </si>
  <si>
    <t>635 Hall St Apt 5</t>
  </si>
  <si>
    <t>96130-3744</t>
  </si>
  <si>
    <t>ALQ1302FH022</t>
  </si>
  <si>
    <t>ALA20090A14A</t>
  </si>
  <si>
    <t>Daly</t>
  </si>
  <si>
    <t>Ms. Kathleen Daly</t>
  </si>
  <si>
    <t>7062 Crosswinds Dr</t>
  </si>
  <si>
    <t>48473-9778</t>
  </si>
  <si>
    <t>dkathleen@charter.net</t>
  </si>
  <si>
    <t>ALQ1302BH012</t>
  </si>
  <si>
    <t>ALA1707D1EMC</t>
  </si>
  <si>
    <t>Hearn</t>
  </si>
  <si>
    <t>Ed Hearn</t>
  </si>
  <si>
    <t>2430 Pavilions Place Ln Unit 806</t>
  </si>
  <si>
    <t>95825-4880</t>
  </si>
  <si>
    <t>edward.hearn@kp.org</t>
  </si>
  <si>
    <t>ALQ1302CH001</t>
  </si>
  <si>
    <t>ALR150306044</t>
  </si>
  <si>
    <t>Hawkins</t>
  </si>
  <si>
    <t>Ms. Deborah A. Hawkins</t>
  </si>
  <si>
    <t>85 Route 73</t>
  </si>
  <si>
    <t>Shoreham</t>
  </si>
  <si>
    <t>05770-9510</t>
  </si>
  <si>
    <t>debannehawkins@gmail.com</t>
  </si>
  <si>
    <t>thehawk6767@yahoo.com</t>
  </si>
  <si>
    <t>ALQ1302CH007</t>
  </si>
  <si>
    <t>ATR2401T2EMC</t>
  </si>
  <si>
    <t>Ziemke</t>
  </si>
  <si>
    <t>Jack Ziemke</t>
  </si>
  <si>
    <t>3704 85th Ave NW</t>
  </si>
  <si>
    <t>98502-9642</t>
  </si>
  <si>
    <t>jziemke@gmail.com</t>
  </si>
  <si>
    <t>ALA20110A23A</t>
  </si>
  <si>
    <t>ALA18040E13A</t>
  </si>
  <si>
    <t>Kohl</t>
  </si>
  <si>
    <t>Timothy Kohl</t>
  </si>
  <si>
    <t>101 Cortland Cir</t>
  </si>
  <si>
    <t>53916-9259</t>
  </si>
  <si>
    <t>timothykohl71@yahoo.com</t>
  </si>
  <si>
    <t>kowtimothyl@johndeeve.com</t>
  </si>
  <si>
    <t>ALQ1301CG032</t>
  </si>
  <si>
    <t>Claudine</t>
  </si>
  <si>
    <t>Schweber</t>
  </si>
  <si>
    <t>Ms. Claudine Schweber</t>
  </si>
  <si>
    <t>7004 Sycamore Ave</t>
  </si>
  <si>
    <t>Takoma Park</t>
  </si>
  <si>
    <t>20912-5407</t>
  </si>
  <si>
    <t>pariscs@gmail.com</t>
  </si>
  <si>
    <t>5937 Miakonda Trl</t>
  </si>
  <si>
    <t>43560-2243</t>
  </si>
  <si>
    <t>dlawrence@tft250.org</t>
  </si>
  <si>
    <t>ALQ1302AH010</t>
  </si>
  <si>
    <t>ALR230303C44</t>
  </si>
  <si>
    <t>Ivey</t>
  </si>
  <si>
    <t>Nancy Ivey</t>
  </si>
  <si>
    <t>101 W Village Dr Apt 203</t>
  </si>
  <si>
    <t>Staunton</t>
  </si>
  <si>
    <t>24401-5078</t>
  </si>
  <si>
    <t>ndrew1217@gmail.com</t>
  </si>
  <si>
    <t>ALQ1302FH013</t>
  </si>
  <si>
    <t>ALR220202C33</t>
  </si>
  <si>
    <t>Belinda</t>
  </si>
  <si>
    <t>Jines</t>
  </si>
  <si>
    <t>Belinda Jines</t>
  </si>
  <si>
    <t>6020 Shore Blvd S Apt 608</t>
  </si>
  <si>
    <t>Gulfport</t>
  </si>
  <si>
    <t>33707-5834</t>
  </si>
  <si>
    <t>bjines@gmail.com</t>
  </si>
  <si>
    <t>ALA23020A23A</t>
  </si>
  <si>
    <t>Dianna</t>
  </si>
  <si>
    <t>McNair</t>
  </si>
  <si>
    <t>Mrs. Dianna McNair</t>
  </si>
  <si>
    <t>8651 Foothill Blvd Spc 67</t>
  </si>
  <si>
    <t>91730-3331</t>
  </si>
  <si>
    <t>zets.dm@gmail.com</t>
  </si>
  <si>
    <t>dgzm712@aol.com</t>
  </si>
  <si>
    <t>ALQ1302EH031</t>
  </si>
  <si>
    <t>ALA18020A14A</t>
  </si>
  <si>
    <t>Thomas D. Dennison</t>
  </si>
  <si>
    <t>109 Grove St</t>
  </si>
  <si>
    <t>Farmville</t>
  </si>
  <si>
    <t>23901-1113</t>
  </si>
  <si>
    <t>tomden1938@gmail.com</t>
  </si>
  <si>
    <t>ALQ1303FJ001</t>
  </si>
  <si>
    <t>Renny</t>
  </si>
  <si>
    <t>Mary and Renny Franceschi</t>
  </si>
  <si>
    <t>Mary and Renny</t>
  </si>
  <si>
    <t>2480 Newbury Ct</t>
  </si>
  <si>
    <t>48103-6158</t>
  </si>
  <si>
    <t>mayeleon@yahoo.com</t>
  </si>
  <si>
    <t>ALQ1302FH030</t>
  </si>
  <si>
    <t>rennyf@umich.edu</t>
  </si>
  <si>
    <t>Padilla</t>
  </si>
  <si>
    <t>Alex Padilla</t>
  </si>
  <si>
    <t>1301 La Poblana Rd NW</t>
  </si>
  <si>
    <t>87107-1007</t>
  </si>
  <si>
    <t>hoopz.rugburn@gmail.com</t>
  </si>
  <si>
    <t>ALQ1301EG015</t>
  </si>
  <si>
    <t>ALR231005C33</t>
  </si>
  <si>
    <t>Francoise</t>
  </si>
  <si>
    <t>Groot</t>
  </si>
  <si>
    <t>Ms. Francoise G. Groot</t>
  </si>
  <si>
    <t>7253 E Maritime Dr</t>
  </si>
  <si>
    <t>85756-9014</t>
  </si>
  <si>
    <t>fygbiz@gmail.com</t>
  </si>
  <si>
    <t>fgroot50@gmail.com</t>
  </si>
  <si>
    <t>ALQ0711AE012</t>
  </si>
  <si>
    <t>Ann and Dale Moore</t>
  </si>
  <si>
    <t>Ann and Dale</t>
  </si>
  <si>
    <t>2060 Tabor Dr</t>
  </si>
  <si>
    <t>80215-1116</t>
  </si>
  <si>
    <t>ALQ1303EJ012</t>
  </si>
  <si>
    <t>ALL19090C92S</t>
  </si>
  <si>
    <t>Tiffanie</t>
  </si>
  <si>
    <t>Zimmer</t>
  </si>
  <si>
    <t>Tiffanie Zimmer</t>
  </si>
  <si>
    <t>924 1/2 Garfield St</t>
  </si>
  <si>
    <t>Lander</t>
  </si>
  <si>
    <t>82520-3030</t>
  </si>
  <si>
    <t>ALQ1302EH025</t>
  </si>
  <si>
    <t>ALR150705033</t>
  </si>
  <si>
    <t>D'Entrone</t>
  </si>
  <si>
    <t>Mr. Russell D'Entrone</t>
  </si>
  <si>
    <t>1125 Granite Dr</t>
  </si>
  <si>
    <t>18017-1612</t>
  </si>
  <si>
    <t>dentrone@verizon.net</t>
  </si>
  <si>
    <t>ALQ1304CK016</t>
  </si>
  <si>
    <t>ALA20070B12A</t>
  </si>
  <si>
    <t>ALR200501C13</t>
  </si>
  <si>
    <t>Saia</t>
  </si>
  <si>
    <t>Rebekah Saia</t>
  </si>
  <si>
    <t>9023 Deer Point Dr</t>
  </si>
  <si>
    <t>49337-9250</t>
  </si>
  <si>
    <t>herbert.saia@att.net</t>
  </si>
  <si>
    <t>ALR210901C44</t>
  </si>
  <si>
    <t>Tobin</t>
  </si>
  <si>
    <t>Richard and Cynthia Tobin</t>
  </si>
  <si>
    <t>Richard and Cynthia</t>
  </si>
  <si>
    <t>8089 Trails End Rd</t>
  </si>
  <si>
    <t>Lake</t>
  </si>
  <si>
    <t>48632-8600</t>
  </si>
  <si>
    <t>ALQ1303FJ024</t>
  </si>
  <si>
    <t>Arnberger</t>
  </si>
  <si>
    <t>Mr. Robert Arnberger</t>
  </si>
  <si>
    <t>4621 N Cerritos Dr</t>
  </si>
  <si>
    <t>85745-9555</t>
  </si>
  <si>
    <t>robvera@comcast.net</t>
  </si>
  <si>
    <t>robvera@hotmail.com</t>
  </si>
  <si>
    <t>ALQ17030W001</t>
  </si>
  <si>
    <t>Ms. Nancy and Mr. Kenneth Bliss</t>
  </si>
  <si>
    <t>Nancy and Kenneth</t>
  </si>
  <si>
    <t>412 Maple St</t>
  </si>
  <si>
    <t>Vermilion</t>
  </si>
  <si>
    <t>44089-1413</t>
  </si>
  <si>
    <t>ALQ1303FJ022</t>
  </si>
  <si>
    <t>Lucinda</t>
  </si>
  <si>
    <t>Spaney</t>
  </si>
  <si>
    <t>Lucinda T. Spaney</t>
  </si>
  <si>
    <t>57 Hampton Mdws</t>
  </si>
  <si>
    <t>03842-1814</t>
  </si>
  <si>
    <t>lucints@yahoo.com</t>
  </si>
  <si>
    <t>lts@mitre.org</t>
  </si>
  <si>
    <t>ALQ1304DK015</t>
  </si>
  <si>
    <t>Amelia</t>
  </si>
  <si>
    <t>Ribnick</t>
  </si>
  <si>
    <t>Kleiman</t>
  </si>
  <si>
    <t>Ms. Amelia R. Kleiman</t>
  </si>
  <si>
    <t>5718 Yarwell Dr</t>
  </si>
  <si>
    <t>77096-4835</t>
  </si>
  <si>
    <t>amelia.kleiman@gmail.com</t>
  </si>
  <si>
    <t>melvynk@yahoo.com</t>
  </si>
  <si>
    <t>ALQ13060W001</t>
  </si>
  <si>
    <t>ALS200601WS3</t>
  </si>
  <si>
    <t>Maya</t>
  </si>
  <si>
    <t>Rosloniec</t>
  </si>
  <si>
    <t>Ms. Maya Rosloniec</t>
  </si>
  <si>
    <t>4510 Ashford Dr NE</t>
  </si>
  <si>
    <t>49525-9413</t>
  </si>
  <si>
    <t>mcovarrubias@gmail.com</t>
  </si>
  <si>
    <t>ALQ1304FK023</t>
  </si>
  <si>
    <t>ALR220212C40</t>
  </si>
  <si>
    <t>Carollee</t>
  </si>
  <si>
    <t>Kopocs</t>
  </si>
  <si>
    <t>Mrs. Carollee Kopocs</t>
  </si>
  <si>
    <t>7132 Feather Rd SW</t>
  </si>
  <si>
    <t>Dellroy</t>
  </si>
  <si>
    <t>44620-9751</t>
  </si>
  <si>
    <t>ALQ1305CL011</t>
  </si>
  <si>
    <t>Czapla</t>
  </si>
  <si>
    <t>Lawrence J. Czapla</t>
  </si>
  <si>
    <t>11400 Gold Hill Ct</t>
  </si>
  <si>
    <t>95670-7219</t>
  </si>
  <si>
    <t>wjupson@sbcglobal.net</t>
  </si>
  <si>
    <t>ALQ1304EK002</t>
  </si>
  <si>
    <t>ALS200401WS3</t>
  </si>
  <si>
    <t>Mr. Michael E. Crowe</t>
  </si>
  <si>
    <t>450 Island Beach Blvd</t>
  </si>
  <si>
    <t>Merritt Island</t>
  </si>
  <si>
    <t>32952-5063</t>
  </si>
  <si>
    <t>mcrowe@sunrisesbi.com</t>
  </si>
  <si>
    <t>mikecrowe@sunrisebi.com</t>
  </si>
  <si>
    <t>ALA1507D1DMS</t>
  </si>
  <si>
    <t>Cabral</t>
  </si>
  <si>
    <t>Don Cabral</t>
  </si>
  <si>
    <t>PO Box 6040</t>
  </si>
  <si>
    <t>Corona</t>
  </si>
  <si>
    <t>92878-6040</t>
  </si>
  <si>
    <t>don.cabrall00@gmail.com</t>
  </si>
  <si>
    <t>ALQ1305EL019</t>
  </si>
  <si>
    <t>ALA23070A35R</t>
  </si>
  <si>
    <t>Gretchen Kohl</t>
  </si>
  <si>
    <t>1412 North Pkwy</t>
  </si>
  <si>
    <t>48640-3397</t>
  </si>
  <si>
    <t>npcagift152021@npca.org</t>
  </si>
  <si>
    <t>ALQ1305BL013</t>
  </si>
  <si>
    <t>Charlesworth</t>
  </si>
  <si>
    <t>John and Pam Charlesworth</t>
  </si>
  <si>
    <t>John and Pam</t>
  </si>
  <si>
    <t>199 Waterpoint Ct Unit 207</t>
  </si>
  <si>
    <t>77356-2050</t>
  </si>
  <si>
    <t>johnnpam7@yahoo.com</t>
  </si>
  <si>
    <t>ALQ1305CL013</t>
  </si>
  <si>
    <t>ALA14020C13A</t>
  </si>
  <si>
    <t>Wimmers</t>
  </si>
  <si>
    <t>Hebert</t>
  </si>
  <si>
    <t>Ms. Susan Wimmers and Mr. Paul Hebert</t>
  </si>
  <si>
    <t>Susan and Paul</t>
  </si>
  <si>
    <t>117 Willow Oak Way</t>
  </si>
  <si>
    <t>susanwimmerspc@gmail.com</t>
  </si>
  <si>
    <t>susanwimmers@cfl.rr.com</t>
  </si>
  <si>
    <t>ALQ1307N1DMC</t>
  </si>
  <si>
    <t>ADA210501999</t>
  </si>
  <si>
    <t>Ken Weber</t>
  </si>
  <si>
    <t>7771 E Lee St</t>
  </si>
  <si>
    <t>85715-5020</t>
  </si>
  <si>
    <t>kennchris@msn.com</t>
  </si>
  <si>
    <t>ALQ1304AK007</t>
  </si>
  <si>
    <t>ALR211105C33</t>
  </si>
  <si>
    <t>Wesley V. Jacobs</t>
  </si>
  <si>
    <t>1601 N 3rd St</t>
  </si>
  <si>
    <t>Mc Gehee</t>
  </si>
  <si>
    <t>71654-1509</t>
  </si>
  <si>
    <t>jjacobs4091@live.com</t>
  </si>
  <si>
    <t>ALQ1307BA102</t>
  </si>
  <si>
    <t>ALL21020C53M</t>
  </si>
  <si>
    <t>Beam</t>
  </si>
  <si>
    <t>Lynda Beam</t>
  </si>
  <si>
    <t>300 Vernonburg Rd</t>
  </si>
  <si>
    <t>31419-3026</t>
  </si>
  <si>
    <t>lyndagbeam@gmail.com</t>
  </si>
  <si>
    <t>ALA1808D4EMB</t>
  </si>
  <si>
    <t>Hoffer</t>
  </si>
  <si>
    <t>Ms. Sandra G. Hoffer</t>
  </si>
  <si>
    <t>1495 Hollybrook Dr</t>
  </si>
  <si>
    <t>28906-7312</t>
  </si>
  <si>
    <t>sandyhoffer2001@yahoo.com</t>
  </si>
  <si>
    <t>ALQ1307BA205</t>
  </si>
  <si>
    <t>Victoria Simpson</t>
  </si>
  <si>
    <t>3134 W Hearn Rd</t>
  </si>
  <si>
    <t>85053-5734</t>
  </si>
  <si>
    <t>sweetdemon06@juno.com</t>
  </si>
  <si>
    <t>ALQ1307AA102</t>
  </si>
  <si>
    <t>Edward J. Peterson</t>
  </si>
  <si>
    <t>122 Pinyon Pine Loop</t>
  </si>
  <si>
    <t>29803-1846</t>
  </si>
  <si>
    <t>itsed1935@gmail.com</t>
  </si>
  <si>
    <t>edwardpeterson2@verizon.net</t>
  </si>
  <si>
    <t>ALQ1307CA210</t>
  </si>
  <si>
    <t>Mcgerr</t>
  </si>
  <si>
    <t>Judy Mcgerr</t>
  </si>
  <si>
    <t>511 4th Ave NE</t>
  </si>
  <si>
    <t>56401-2750</t>
  </si>
  <si>
    <t>judymcgerr@yahoo.com</t>
  </si>
  <si>
    <t>macs4@brainerd.net</t>
  </si>
  <si>
    <t>Romer</t>
  </si>
  <si>
    <t>Karen Romer</t>
  </si>
  <si>
    <t>1354 Lomond Dr</t>
  </si>
  <si>
    <t>Midlothian</t>
  </si>
  <si>
    <t>23114-5310</t>
  </si>
  <si>
    <t>dragonred45@hotmail.com</t>
  </si>
  <si>
    <t>ALQ1307DA205</t>
  </si>
  <si>
    <t>rabbiromer@gmail.com</t>
  </si>
  <si>
    <t>John House</t>
  </si>
  <si>
    <t>2500 Hinkle Dr Apt 25</t>
  </si>
  <si>
    <t>76201-0765</t>
  </si>
  <si>
    <t>bigmojao@yahoo.com</t>
  </si>
  <si>
    <t>Shauna</t>
  </si>
  <si>
    <t>McClure</t>
  </si>
  <si>
    <t>Shauna R. McClure</t>
  </si>
  <si>
    <t>229 Hidden Glen Dr</t>
  </si>
  <si>
    <t>46140-1567</t>
  </si>
  <si>
    <t>isabelleandollie@aol.com</t>
  </si>
  <si>
    <t>ALQ1307DA217</t>
  </si>
  <si>
    <t>ALA22080A13R</t>
  </si>
  <si>
    <t>Winning</t>
  </si>
  <si>
    <t>Ms. Roxie Winning</t>
  </si>
  <si>
    <t>664 Elm Ave</t>
  </si>
  <si>
    <t>Reedsport</t>
  </si>
  <si>
    <t>97467-1518</t>
  </si>
  <si>
    <t>ronccw@gmail.com</t>
  </si>
  <si>
    <t>roxiecw@gmail.com</t>
  </si>
  <si>
    <t>ALQ1307CA202</t>
  </si>
  <si>
    <t>ALS230801WS3</t>
  </si>
  <si>
    <t>Joy Armstrong</t>
  </si>
  <si>
    <t>4105 Cleary Ave</t>
  </si>
  <si>
    <t>70002-3103</t>
  </si>
  <si>
    <t>spork1000@hotmail.com</t>
  </si>
  <si>
    <t>ALQ1307BA108</t>
  </si>
  <si>
    <t>Adrien</t>
  </si>
  <si>
    <t>Cathy Adrien</t>
  </si>
  <si>
    <t>8687 Hilltop Ct</t>
  </si>
  <si>
    <t>62520-3307</t>
  </si>
  <si>
    <t>bertstew10@gmail.com</t>
  </si>
  <si>
    <t>ALQ1307AA108</t>
  </si>
  <si>
    <t>Krumrine</t>
  </si>
  <si>
    <t>Ms. June W. Krumrine</t>
  </si>
  <si>
    <t>143 Fairlawn Ave</t>
  </si>
  <si>
    <t>State College</t>
  </si>
  <si>
    <t>16801-7208</t>
  </si>
  <si>
    <t>jerrykrumrine870@gmail.com</t>
  </si>
  <si>
    <t>ALQ1307CA105</t>
  </si>
  <si>
    <t>ALA21070B22C</t>
  </si>
  <si>
    <t>Ms. Elizabeth D. Howell</t>
  </si>
  <si>
    <t>1001 Franklin St Apt 8F</t>
  </si>
  <si>
    <t>94109-6858</t>
  </si>
  <si>
    <t>liz_howell@yahoo.com</t>
  </si>
  <si>
    <t>ALQ1307DA202</t>
  </si>
  <si>
    <t>ALR220703C33</t>
  </si>
  <si>
    <t>Alide</t>
  </si>
  <si>
    <t>Alide Chase</t>
  </si>
  <si>
    <t>25 Harbor View Dr</t>
  </si>
  <si>
    <t>94804-7496</t>
  </si>
  <si>
    <t>achase1911@gmail.com</t>
  </si>
  <si>
    <t>alidechase@gmail.com</t>
  </si>
  <si>
    <t>ALQ1307AA209</t>
  </si>
  <si>
    <t>140 S Hummingbird Pl</t>
  </si>
  <si>
    <t>32164-2350</t>
  </si>
  <si>
    <t>lcssolbeach@gmail.com</t>
  </si>
  <si>
    <t>ALQ13080WAPE</t>
  </si>
  <si>
    <t>ALR211107C54</t>
  </si>
  <si>
    <t>Starr C. Johnson</t>
  </si>
  <si>
    <t>4546 W 16th Pl</t>
  </si>
  <si>
    <t>90019-5801</t>
  </si>
  <si>
    <t>rawajo@aol.com</t>
  </si>
  <si>
    <t>ALQ1307AA101</t>
  </si>
  <si>
    <t>Gerry</t>
  </si>
  <si>
    <t>Silvester</t>
  </si>
  <si>
    <t>Mr. Gerry and Mr. Margaret Silvester</t>
  </si>
  <si>
    <t>Gerry and Margaret</t>
  </si>
  <si>
    <t>8850 N Gadwall Ln</t>
  </si>
  <si>
    <t>Garden City</t>
  </si>
  <si>
    <t>83714-1288</t>
  </si>
  <si>
    <t>psilvest@aol.com</t>
  </si>
  <si>
    <t>Chuck</t>
  </si>
  <si>
    <t>Chuck Moore</t>
  </si>
  <si>
    <t>2933 123rd Cir NE</t>
  </si>
  <si>
    <t>55449-5878</t>
  </si>
  <si>
    <t>chasmoo67@gmail.com</t>
  </si>
  <si>
    <t>starsfbhtr@yahoo.com</t>
  </si>
  <si>
    <t>ALQ1307BA301</t>
  </si>
  <si>
    <t>ALA23090E14A</t>
  </si>
  <si>
    <t>Ali</t>
  </si>
  <si>
    <t>Khonsari</t>
  </si>
  <si>
    <t>Mr. Ali Khonsari</t>
  </si>
  <si>
    <t>34 Red Maple Ave</t>
  </si>
  <si>
    <t>07003-3130</t>
  </si>
  <si>
    <t>ALQ1307DA308</t>
  </si>
  <si>
    <t>ALA23110C55H</t>
  </si>
  <si>
    <t>Gluesenkamp</t>
  </si>
  <si>
    <t>Ray J. Gluesenkamp</t>
  </si>
  <si>
    <t>3616 Reavis Barracks Rd Apt 7</t>
  </si>
  <si>
    <t>63125-2400</t>
  </si>
  <si>
    <t>rgluesenkamp@frontiernet.net</t>
  </si>
  <si>
    <t>ALQ1307DA317</t>
  </si>
  <si>
    <t>ALR220803C33</t>
  </si>
  <si>
    <t>Tonnemacher</t>
  </si>
  <si>
    <t>Stephen Tonnemacher</t>
  </si>
  <si>
    <t>1700 Paisley Rd</t>
  </si>
  <si>
    <t>40205-2754</t>
  </si>
  <si>
    <t>steve.tonnemacher@gmail.com</t>
  </si>
  <si>
    <t>steve.tonnemalher@gmail.com</t>
  </si>
  <si>
    <t>ALQ1307DA307</t>
  </si>
  <si>
    <t>Treat</t>
  </si>
  <si>
    <t>Mr. Treat</t>
  </si>
  <si>
    <t>2 State Street Ste 700</t>
  </si>
  <si>
    <t>14614-1313</t>
  </si>
  <si>
    <t>charleseat@gmail.com</t>
  </si>
  <si>
    <t>ALQ1307DA106</t>
  </si>
  <si>
    <t>ALA17070D23C</t>
  </si>
  <si>
    <t>Graybeal</t>
  </si>
  <si>
    <t>Carolyn Graybeal</t>
  </si>
  <si>
    <t>320 Masonic Home Dr Apt 102</t>
  </si>
  <si>
    <t>Masonic Home</t>
  </si>
  <si>
    <t>40041-9015</t>
  </si>
  <si>
    <t>cagraybeal@bellsouth.net</t>
  </si>
  <si>
    <t>ALQ1307AA306</t>
  </si>
  <si>
    <t>ALR180308033</t>
  </si>
  <si>
    <t>Bev</t>
  </si>
  <si>
    <t>Chandley</t>
  </si>
  <si>
    <t>Ms. Bev Chandley</t>
  </si>
  <si>
    <t>1457 Edgewater Cir</t>
  </si>
  <si>
    <t>33919-6705</t>
  </si>
  <si>
    <t>berchandley1@gmail.com</t>
  </si>
  <si>
    <t>bevchandley1@gmail.com</t>
  </si>
  <si>
    <t>Iwatani</t>
  </si>
  <si>
    <t>1325 Wilder Ave</t>
  </si>
  <si>
    <t>Mauka 8</t>
  </si>
  <si>
    <t>96822-4292</t>
  </si>
  <si>
    <t>cami.iwata@gmail.com</t>
  </si>
  <si>
    <t>leslieiwatani@aol.com</t>
  </si>
  <si>
    <t>ALQ1307EA110</t>
  </si>
  <si>
    <t>ALA16070E21C</t>
  </si>
  <si>
    <t>Rae</t>
  </si>
  <si>
    <t>Bourquein</t>
  </si>
  <si>
    <t>Mrs. Rae Bourquein</t>
  </si>
  <si>
    <t>16 Lake Hunter Dr Apt B205</t>
  </si>
  <si>
    <t>33803-6206</t>
  </si>
  <si>
    <t>raebourquein@hotmail.com</t>
  </si>
  <si>
    <t>ALQ2104AK006</t>
  </si>
  <si>
    <t>Kenneth J. Meyer</t>
  </si>
  <si>
    <t>1090 S Beacon Rd</t>
  </si>
  <si>
    <t>46755-3102</t>
  </si>
  <si>
    <t>buslady_@hotmail.com</t>
  </si>
  <si>
    <t>kenmeyer305@hotmail.com</t>
  </si>
  <si>
    <t>Yant</t>
  </si>
  <si>
    <t>Shirley Yant</t>
  </si>
  <si>
    <t>6159 Factor Rd SW</t>
  </si>
  <si>
    <t>Sherrodsville</t>
  </si>
  <si>
    <t>44675-9707</t>
  </si>
  <si>
    <t>madukes13155@gmail.com</t>
  </si>
  <si>
    <t>ALR220808C33</t>
  </si>
  <si>
    <t>Kapottos</t>
  </si>
  <si>
    <t>Katherine Kapottos</t>
  </si>
  <si>
    <t>9500 Broadview Rd</t>
  </si>
  <si>
    <t>44147-2302</t>
  </si>
  <si>
    <t>ALQ1307MA328</t>
  </si>
  <si>
    <t>ALR140905031</t>
  </si>
  <si>
    <t>Eldon</t>
  </si>
  <si>
    <t>Newmyer</t>
  </si>
  <si>
    <t>Dr. and Mrs. Eldon Newmyer</t>
  </si>
  <si>
    <t>614 W Main St</t>
  </si>
  <si>
    <t>Middleville</t>
  </si>
  <si>
    <t>49333-8660</t>
  </si>
  <si>
    <t>snewmyer@sbcglobal.net</t>
  </si>
  <si>
    <t>ALQ1308DB011</t>
  </si>
  <si>
    <t>Saatkamp</t>
  </si>
  <si>
    <t>Mr. and Mrs. Gary Saatkamp</t>
  </si>
  <si>
    <t>1243 Elizabeth Ave</t>
  </si>
  <si>
    <t>60540-5719</t>
  </si>
  <si>
    <t>gwsaatkamp@gmail.com</t>
  </si>
  <si>
    <t>gwsautkamp@gmail.com</t>
  </si>
  <si>
    <t>ALQ1308AB023</t>
  </si>
  <si>
    <t>ALR171101023</t>
  </si>
  <si>
    <t>Atlas-Sawyer</t>
  </si>
  <si>
    <t>Wendy and Robert</t>
  </si>
  <si>
    <t>4306 E Cherokee St</t>
  </si>
  <si>
    <t>Mr. Gary Kraske</t>
  </si>
  <si>
    <t>4309 Van Buren St</t>
  </si>
  <si>
    <t>20782-1190</t>
  </si>
  <si>
    <t>sweenbee2004@yahoo.com</t>
  </si>
  <si>
    <t>ALQ1308FB010</t>
  </si>
  <si>
    <t>ALL20020B6BM</t>
  </si>
  <si>
    <t>ALR140901021</t>
  </si>
  <si>
    <t>Kuenzi</t>
  </si>
  <si>
    <t>Lowell Kuenzi</t>
  </si>
  <si>
    <t>PO Box 17669</t>
  </si>
  <si>
    <t>97305-7669</t>
  </si>
  <si>
    <t>lowellkuen42@gmail.com</t>
  </si>
  <si>
    <t>ALQ1308EB015</t>
  </si>
  <si>
    <t>ALR230703C44</t>
  </si>
  <si>
    <t>ALR171201054</t>
  </si>
  <si>
    <t>Mr. Mark Fletcher</t>
  </si>
  <si>
    <t>4155 Pond Cypress Ct</t>
  </si>
  <si>
    <t>32310-6357</t>
  </si>
  <si>
    <t>turtlehillclaystudio@yahoo.com</t>
  </si>
  <si>
    <t>Yarborough</t>
  </si>
  <si>
    <t>Sharon and Keith</t>
  </si>
  <si>
    <t>704 Kathy Ave</t>
  </si>
  <si>
    <t>Yerington</t>
  </si>
  <si>
    <t>89447-2191</t>
  </si>
  <si>
    <t>ALQ1408BB006</t>
  </si>
  <si>
    <t>ALQ1907AA108</t>
  </si>
  <si>
    <t>Haney</t>
  </si>
  <si>
    <t>Jacqueline and Harry Haney</t>
  </si>
  <si>
    <t>Jacqueline and Harry</t>
  </si>
  <si>
    <t>PO Box 685167</t>
  </si>
  <si>
    <t>78768-5167</t>
  </si>
  <si>
    <t>hhaney@vt.edu</t>
  </si>
  <si>
    <t>ALL22110C63M</t>
  </si>
  <si>
    <t>ALL22080B63M</t>
  </si>
  <si>
    <t>hhaney@noaddress.ea</t>
  </si>
  <si>
    <t>Ms. Ann Adams</t>
  </si>
  <si>
    <t>2938 Delhay Dr</t>
  </si>
  <si>
    <t>68507-2542</t>
  </si>
  <si>
    <t>annadams647@yahoo.com</t>
  </si>
  <si>
    <t>ALR220404C33</t>
  </si>
  <si>
    <t>Mr. Donald K. Brisson</t>
  </si>
  <si>
    <t>90 Hollow Log Trl</t>
  </si>
  <si>
    <t>38572-3621</t>
  </si>
  <si>
    <t>dkbrisson@att.net</t>
  </si>
  <si>
    <t>keitsab@yahoo.com</t>
  </si>
  <si>
    <t>ALQ161000001</t>
  </si>
  <si>
    <t>Callender</t>
  </si>
  <si>
    <t>John E. Callender</t>
  </si>
  <si>
    <t>173 Far Country Dr</t>
  </si>
  <si>
    <t>25832-9006</t>
  </si>
  <si>
    <t>jecallender2@gmail.com</t>
  </si>
  <si>
    <t>chey_ee@live.com</t>
  </si>
  <si>
    <t>Waterman</t>
  </si>
  <si>
    <t>Lynn Waterman</t>
  </si>
  <si>
    <t>200 Elm Grove St</t>
  </si>
  <si>
    <t>Mckinney</t>
  </si>
  <si>
    <t>75071-4325</t>
  </si>
  <si>
    <t>joyfullynn@sbcglobal.net</t>
  </si>
  <si>
    <t>newhopelynn@gmail.com</t>
  </si>
  <si>
    <t>ALQ1309CC009</t>
  </si>
  <si>
    <t>Follmer</t>
  </si>
  <si>
    <t>Jay Follmer</t>
  </si>
  <si>
    <t>10547 Huntington Way Dr</t>
  </si>
  <si>
    <t>77099-3719</t>
  </si>
  <si>
    <t>bird10547@hotmail.com</t>
  </si>
  <si>
    <t>ALQ1309AC012</t>
  </si>
  <si>
    <t>Mr. and Mrs. Kenneth Mcdonald</t>
  </si>
  <si>
    <t>PO Box 1008</t>
  </si>
  <si>
    <t>Terrell</t>
  </si>
  <si>
    <t>75160-0020</t>
  </si>
  <si>
    <t>kwmc45@yahoo.com</t>
  </si>
  <si>
    <t>ALQ1309DC009</t>
  </si>
  <si>
    <t>Mr. Paul D. Chevalier</t>
  </si>
  <si>
    <t>2125 Yale St Apt 439</t>
  </si>
  <si>
    <t>77008-2679</t>
  </si>
  <si>
    <t>npcagiftgiver822022@npca.org</t>
  </si>
  <si>
    <t>donsown@hotmail.com</t>
  </si>
  <si>
    <t>ALQ1309DC011</t>
  </si>
  <si>
    <t>ALR191002C33</t>
  </si>
  <si>
    <t>1009 Regatta Dr</t>
  </si>
  <si>
    <t>95833-1745</t>
  </si>
  <si>
    <t>herbie50lee1@msn.com</t>
  </si>
  <si>
    <t>herbiesoleel@msn.com</t>
  </si>
  <si>
    <t>ALQ1309DC004</t>
  </si>
  <si>
    <t>ALB160001002</t>
  </si>
  <si>
    <t>ALR141002031</t>
  </si>
  <si>
    <t>Leidy</t>
  </si>
  <si>
    <t>Miss Denise J. Leidy</t>
  </si>
  <si>
    <t>2004 E N Ave</t>
  </si>
  <si>
    <t>97850-3556</t>
  </si>
  <si>
    <t>deniseleidy@frontier.com</t>
  </si>
  <si>
    <t>groundgreentea.denise@gmail.com</t>
  </si>
  <si>
    <t>Mr. Bill Greenwood</t>
  </si>
  <si>
    <t>545 E Buckingham Way</t>
  </si>
  <si>
    <t>93704-4149</t>
  </si>
  <si>
    <t>probono@sbcglobal.net</t>
  </si>
  <si>
    <t>ALQ1308CB017</t>
  </si>
  <si>
    <t>ALR200511C50</t>
  </si>
  <si>
    <t>ALA16110E24A</t>
  </si>
  <si>
    <t>Thisius</t>
  </si>
  <si>
    <t>Laurie Thisius</t>
  </si>
  <si>
    <t>4032 Garden Ln</t>
  </si>
  <si>
    <t>67025-9171</t>
  </si>
  <si>
    <t>tzusfamily@gmail.com</t>
  </si>
  <si>
    <t>minnieal28@gmail.com</t>
  </si>
  <si>
    <t>ALS160901WS3</t>
  </si>
  <si>
    <t>Makey</t>
  </si>
  <si>
    <t>Dean Makey</t>
  </si>
  <si>
    <t>13796 Kenwood Ct</t>
  </si>
  <si>
    <t>56425-8508</t>
  </si>
  <si>
    <t>demakey@charter.net</t>
  </si>
  <si>
    <t>dmakey@me.com</t>
  </si>
  <si>
    <t>Hoare</t>
  </si>
  <si>
    <t>Mrs. Marilyn E. Hoare</t>
  </si>
  <si>
    <t>80 Hill Top Dr</t>
  </si>
  <si>
    <t>Reynoldsville</t>
  </si>
  <si>
    <t>15851-4112</t>
  </si>
  <si>
    <t>dmhoare45@gmail.com</t>
  </si>
  <si>
    <t>Moren</t>
  </si>
  <si>
    <t>Jane Moren</t>
  </si>
  <si>
    <t>624 E Minnehaha Pkwy</t>
  </si>
  <si>
    <t>55417-1060</t>
  </si>
  <si>
    <t>dean_and_jane@q.com</t>
  </si>
  <si>
    <t>ALQ1308BB005</t>
  </si>
  <si>
    <t>Mrs. Rebecca A. and Mr. Wallace Newton</t>
  </si>
  <si>
    <t>Rebecca and Wallace</t>
  </si>
  <si>
    <t>2322 Thunder Rd</t>
  </si>
  <si>
    <t>27712-2452</t>
  </si>
  <si>
    <t>beckynewtonis@frontier.com</t>
  </si>
  <si>
    <t>shpbeck@gmail.com</t>
  </si>
  <si>
    <t>ALQ1304EK010</t>
  </si>
  <si>
    <t>Hartmann</t>
  </si>
  <si>
    <t>Ms. Janet E. Hartmann</t>
  </si>
  <si>
    <t>701 S Ruby Ln</t>
  </si>
  <si>
    <t>Anaheim</t>
  </si>
  <si>
    <t>92807-4898</t>
  </si>
  <si>
    <t>janethartmann58@yahoo.com</t>
  </si>
  <si>
    <t>ALA23110B33R</t>
  </si>
  <si>
    <t>Connie J. Ryan</t>
  </si>
  <si>
    <t>2950 Boone Rd SE</t>
  </si>
  <si>
    <t># 209</t>
  </si>
  <si>
    <t>97306-9399</t>
  </si>
  <si>
    <t>dropitforme@yahoo.com</t>
  </si>
  <si>
    <t>ALQ1309EC014</t>
  </si>
  <si>
    <t>ALA21030A15R</t>
  </si>
  <si>
    <t>ALA16100F5BD</t>
  </si>
  <si>
    <t>Rafferty</t>
  </si>
  <si>
    <t>Phillip and Teresa Rafferty</t>
  </si>
  <si>
    <t>Phillip and Teresa</t>
  </si>
  <si>
    <t>PO Box 1555</t>
  </si>
  <si>
    <t>Soldotna</t>
  </si>
  <si>
    <t>99669-1555</t>
  </si>
  <si>
    <t>stevenrafferty@hotmail.com</t>
  </si>
  <si>
    <t>steven_rafferty@hotmail.com</t>
  </si>
  <si>
    <t>ALQ1307AA307</t>
  </si>
  <si>
    <t>ALL24020A5BM</t>
  </si>
  <si>
    <t>teresarafferty@gmail.com</t>
  </si>
  <si>
    <t>Heisey</t>
  </si>
  <si>
    <t>Virginia Heisey</t>
  </si>
  <si>
    <t>576 Old Town Rd</t>
  </si>
  <si>
    <t>Port Jefferson Station</t>
  </si>
  <si>
    <t>11776-4246</t>
  </si>
  <si>
    <t>vheisey@yahoo.com</t>
  </si>
  <si>
    <t>ALQ1310AD003</t>
  </si>
  <si>
    <t>ALA23050A56H</t>
  </si>
  <si>
    <t>Gary A. Saunders</t>
  </si>
  <si>
    <t>5601 Humbolt Pl</t>
  </si>
  <si>
    <t>Pahrump</t>
  </si>
  <si>
    <t>89060-1339</t>
  </si>
  <si>
    <t>ALQ1310DD005</t>
  </si>
  <si>
    <t>Mrs. Kimberly Prochnio</t>
  </si>
  <si>
    <t>3823 Wright St</t>
  </si>
  <si>
    <t>80033-3815</t>
  </si>
  <si>
    <t>kprochnio@yahoo.com</t>
  </si>
  <si>
    <t>ALR171109044</t>
  </si>
  <si>
    <t>Mr. Walter C. Hunner</t>
  </si>
  <si>
    <t>55203 Bay Area Dr NE</t>
  </si>
  <si>
    <t>99123-9714</t>
  </si>
  <si>
    <t>wshunner@msn.com</t>
  </si>
  <si>
    <t>ALQ1310AD005</t>
  </si>
  <si>
    <t>Blofsky</t>
  </si>
  <si>
    <t>Nancy Blofsky</t>
  </si>
  <si>
    <t>41650 Sunna Ln</t>
  </si>
  <si>
    <t>Chiloquin</t>
  </si>
  <si>
    <t>97624-7607</t>
  </si>
  <si>
    <t>grammanan247@gmail.com</t>
  </si>
  <si>
    <t>ALQ1310AD013</t>
  </si>
  <si>
    <t>ALA22010D33R</t>
  </si>
  <si>
    <t>Mr. Richard Snyder</t>
  </si>
  <si>
    <t>28 Casino Dr</t>
  </si>
  <si>
    <t>12866-9010</t>
  </si>
  <si>
    <t>ressnyder@ymail.com</t>
  </si>
  <si>
    <t>ALQ1305AL013</t>
  </si>
  <si>
    <t>ALA1706N0WSC</t>
  </si>
  <si>
    <t>Haven</t>
  </si>
  <si>
    <t>Dr. David H. Blake</t>
  </si>
  <si>
    <t>700 Hollinshead Spring Rd Apt A101</t>
  </si>
  <si>
    <t>08558-2030</t>
  </si>
  <si>
    <t>dhblake@uci.edu</t>
  </si>
  <si>
    <t>ALQ1310AD002</t>
  </si>
  <si>
    <t>ALA21120B56H</t>
  </si>
  <si>
    <t>Gerrit</t>
  </si>
  <si>
    <t>Cuperus</t>
  </si>
  <si>
    <t>Mr. Gerrit W. Cuperus</t>
  </si>
  <si>
    <t>716 S Willis St</t>
  </si>
  <si>
    <t>74074-4131</t>
  </si>
  <si>
    <t>gerritcup@outlook.com</t>
  </si>
  <si>
    <t>gerritcuperus@sbcglobal.net</t>
  </si>
  <si>
    <t>ALQ1602KH038</t>
  </si>
  <si>
    <t>ALA1905D2EMC</t>
  </si>
  <si>
    <t>Mrs. Debra Spring</t>
  </si>
  <si>
    <t>1221 3 3/4 4th St</t>
  </si>
  <si>
    <t>Turtle Lake</t>
  </si>
  <si>
    <t>54889-8855</t>
  </si>
  <si>
    <t>dmas22859@aol.com</t>
  </si>
  <si>
    <t>dmas32859@aol.com</t>
  </si>
  <si>
    <t>ALQ1311DE004</t>
  </si>
  <si>
    <t>Ms. Linda S. Wilson</t>
  </si>
  <si>
    <t>1814 Linwood Rd</t>
  </si>
  <si>
    <t>Temple</t>
  </si>
  <si>
    <t>76502-2831</t>
  </si>
  <si>
    <t>zinniaacerosa@gmail.com</t>
  </si>
  <si>
    <t>ALQ1311DE011</t>
  </si>
  <si>
    <t>Rogene F. Henderson</t>
  </si>
  <si>
    <t>10500 Academy Rd NE Apt 812</t>
  </si>
  <si>
    <t>87111-7368</t>
  </si>
  <si>
    <t>thenderson50@comcast.net</t>
  </si>
  <si>
    <t>ALQ1308CB019</t>
  </si>
  <si>
    <t>ALR190812C40</t>
  </si>
  <si>
    <t>ALR160408033</t>
  </si>
  <si>
    <t>Mrs. Patricia Boyle</t>
  </si>
  <si>
    <t>510 Sand Hill Cir</t>
  </si>
  <si>
    <t>94025-7108</t>
  </si>
  <si>
    <t>p.boyle@earthlink.net</t>
  </si>
  <si>
    <t>ALQ1311DE020</t>
  </si>
  <si>
    <t>Mrs. Linda L. Utter</t>
  </si>
  <si>
    <t>1605 W 34th Ave</t>
  </si>
  <si>
    <t>Kennewick</t>
  </si>
  <si>
    <t>99337-3054</t>
  </si>
  <si>
    <t>ronlindautter@gmail.com</t>
  </si>
  <si>
    <t>ALQ1311AE016</t>
  </si>
  <si>
    <t>ALA22100E24A</t>
  </si>
  <si>
    <t>Gregory V. LeRoy</t>
  </si>
  <si>
    <t>227 Amohi Way</t>
  </si>
  <si>
    <t>37774-3037</t>
  </si>
  <si>
    <t>nancymleroy@gmail.com</t>
  </si>
  <si>
    <t>vtleroy@gmavt.net</t>
  </si>
  <si>
    <t>ALQ1311DE003</t>
  </si>
  <si>
    <t>ALA2312D9EMC</t>
  </si>
  <si>
    <t>ALR181201023</t>
  </si>
  <si>
    <t>Hehn</t>
  </si>
  <si>
    <t>Mrs. Karen B. Hehn</t>
  </si>
  <si>
    <t>100 Meadowbrook Dr</t>
  </si>
  <si>
    <t>Paris</t>
  </si>
  <si>
    <t>38242-8423</t>
  </si>
  <si>
    <t>rkhehn@charter.net</t>
  </si>
  <si>
    <t>ALQ1311DE008</t>
  </si>
  <si>
    <t>ALR181206033</t>
  </si>
  <si>
    <t>Callihan</t>
  </si>
  <si>
    <t>Ms. Sally Callihan</t>
  </si>
  <si>
    <t>10628 Partridge Ln</t>
  </si>
  <si>
    <t>21030-2622</t>
  </si>
  <si>
    <t>sally_callihan@bd.com</t>
  </si>
  <si>
    <t>saladasp@comcast.net</t>
  </si>
  <si>
    <t>ALQ1311AE013</t>
  </si>
  <si>
    <t>ALA2102D6EMC</t>
  </si>
  <si>
    <t>Bott</t>
  </si>
  <si>
    <t>Howard and Nancy Bott</t>
  </si>
  <si>
    <t>Howard and Nancy</t>
  </si>
  <si>
    <t>25 Turtle Bay Pl</t>
  </si>
  <si>
    <t>94402-4036</t>
  </si>
  <si>
    <t>nbottari@comcast.net</t>
  </si>
  <si>
    <t>ALL22070A8BM</t>
  </si>
  <si>
    <t>nancybott46@gmail.com</t>
  </si>
  <si>
    <t>Towne</t>
  </si>
  <si>
    <t>Gregg and Ann Towne</t>
  </si>
  <si>
    <t>Gregg and Ann</t>
  </si>
  <si>
    <t>1095 Saratoga Rd</t>
  </si>
  <si>
    <t>Gansevoort</t>
  </si>
  <si>
    <t>12831-1146</t>
  </si>
  <si>
    <t>granstow@gmail.com</t>
  </si>
  <si>
    <t>graustowne@gmail.com</t>
  </si>
  <si>
    <t>ALQ1311ME032</t>
  </si>
  <si>
    <t>garf_517@yahoo.com</t>
  </si>
  <si>
    <t>Bonita</t>
  </si>
  <si>
    <t>Bonita J. Benson</t>
  </si>
  <si>
    <t>707 Woodlawn Ave</t>
  </si>
  <si>
    <t>55116-1052</t>
  </si>
  <si>
    <t>bonnielesz010@comcast.net</t>
  </si>
  <si>
    <t>bonnieles2002@yahoo.com</t>
  </si>
  <si>
    <t>ALA22100E14A</t>
  </si>
  <si>
    <t>Ms. Carol A. Phillips</t>
  </si>
  <si>
    <t>1517 Pine Valley Blvd Apt 11</t>
  </si>
  <si>
    <t>48104-6949</t>
  </si>
  <si>
    <t>ALR150102021</t>
  </si>
  <si>
    <t>Mr. Richard Reid</t>
  </si>
  <si>
    <t>3015 Liz Lynn Dr</t>
  </si>
  <si>
    <t>70605-3962</t>
  </si>
  <si>
    <t>r_reid@yahoo.com</t>
  </si>
  <si>
    <t>ALQ1312DF009</t>
  </si>
  <si>
    <t>Mayer-Turner</t>
  </si>
  <si>
    <t>Bonnie Mayer-Turner</t>
  </si>
  <si>
    <t>34 Concord Dr</t>
  </si>
  <si>
    <t>Pittsford</t>
  </si>
  <si>
    <t>14534-4036</t>
  </si>
  <si>
    <t>bkmturner@aol.com</t>
  </si>
  <si>
    <t>ALQ1312AF016</t>
  </si>
  <si>
    <t>ALA24010C22A</t>
  </si>
  <si>
    <t>Sissons</t>
  </si>
  <si>
    <t>Mrs. Karen Sissons</t>
  </si>
  <si>
    <t>901 E 8th St</t>
  </si>
  <si>
    <t>Chouteau</t>
  </si>
  <si>
    <t>74337-3812</t>
  </si>
  <si>
    <t>kesissons@aol.com</t>
  </si>
  <si>
    <t>ALQ1312AF007</t>
  </si>
  <si>
    <t>ALQ2312N4FBC</t>
  </si>
  <si>
    <t>ALA2208D2EMC</t>
  </si>
  <si>
    <t>Booker</t>
  </si>
  <si>
    <t>Ms. Brenda A. Booker</t>
  </si>
  <si>
    <t>445 Graham St</t>
  </si>
  <si>
    <t>53405-2121</t>
  </si>
  <si>
    <t>bbooker1@wi.rr.com</t>
  </si>
  <si>
    <t>ALQ1312CF016</t>
  </si>
  <si>
    <t>Feskens</t>
  </si>
  <si>
    <t>Mrs. Sheryl L. Feskens</t>
  </si>
  <si>
    <t>1111 126th St SE</t>
  </si>
  <si>
    <t>98208-6572</t>
  </si>
  <si>
    <t>sheryl.feskens@frontier.com</t>
  </si>
  <si>
    <t>ALQ1312AF013</t>
  </si>
  <si>
    <t>ALA24010E23R</t>
  </si>
  <si>
    <t>ALR180402023</t>
  </si>
  <si>
    <t>Toby</t>
  </si>
  <si>
    <t>Mr. Brian L. Toby</t>
  </si>
  <si>
    <t>2307 SW Hazelton Ct</t>
  </si>
  <si>
    <t>66606-1720</t>
  </si>
  <si>
    <t>harleywildcat@cox.net</t>
  </si>
  <si>
    <t>Lily</t>
  </si>
  <si>
    <t>Mahurin</t>
  </si>
  <si>
    <t>Lily Mahurin</t>
  </si>
  <si>
    <t>20725 Sunrise Dr</t>
  </si>
  <si>
    <t>95014-2928</t>
  </si>
  <si>
    <t>mnm.is.me@gmail.com</t>
  </si>
  <si>
    <t>ALQ1312AF011</t>
  </si>
  <si>
    <t>ALR230204C54</t>
  </si>
  <si>
    <t>ALR220202C54</t>
  </si>
  <si>
    <t>Mr. Harvey Smith</t>
  </si>
  <si>
    <t>1801 Mcgee Ave</t>
  </si>
  <si>
    <t>94703-1227</t>
  </si>
  <si>
    <t>harveysmithberkeley@yahoo.com</t>
  </si>
  <si>
    <t>ALA16100A50H</t>
  </si>
  <si>
    <t>Mr. Steven Floyd</t>
  </si>
  <si>
    <t>10236 W Calumet Rd</t>
  </si>
  <si>
    <t>53224-3208</t>
  </si>
  <si>
    <t>cooldean15@gmail.com</t>
  </si>
  <si>
    <t>sfloyd78@yahoo.com</t>
  </si>
  <si>
    <t>ALL22120C53M</t>
  </si>
  <si>
    <t>Krentz</t>
  </si>
  <si>
    <t>Mr. Eugene Krentz</t>
  </si>
  <si>
    <t>5700 Boone Ave N Apt 528</t>
  </si>
  <si>
    <t>55428-5508</t>
  </si>
  <si>
    <t>ALQ1308FB032</t>
  </si>
  <si>
    <t>Coffman</t>
  </si>
  <si>
    <t>Jay E. Coffman</t>
  </si>
  <si>
    <t>2504 Gold Leaf Cir</t>
  </si>
  <si>
    <t>Henrico</t>
  </si>
  <si>
    <t>23233-6988</t>
  </si>
  <si>
    <t>jaycoffman65@gmail.com</t>
  </si>
  <si>
    <t>ALQ1401CG008</t>
  </si>
  <si>
    <t>John Collins</t>
  </si>
  <si>
    <t>PO Box 29</t>
  </si>
  <si>
    <t>Avalon</t>
  </si>
  <si>
    <t>08202-0029</t>
  </si>
  <si>
    <t>jtcollins43@aol.com</t>
  </si>
  <si>
    <t>jzcollins43@aol.com</t>
  </si>
  <si>
    <t>ALQ1401BG011</t>
  </si>
  <si>
    <t>Bourgea</t>
  </si>
  <si>
    <t>Ms. Renee Bourgea</t>
  </si>
  <si>
    <t>9916 NE 39th Ave</t>
  </si>
  <si>
    <t>98686-5772</t>
  </si>
  <si>
    <t>rabourgea2@yahoo.com</t>
  </si>
  <si>
    <t>XNILI50NB</t>
  </si>
  <si>
    <t>1644 Magnolia Rd</t>
  </si>
  <si>
    <t>50036-7165</t>
  </si>
  <si>
    <t>aropilot@gmail.com</t>
  </si>
  <si>
    <t>pilot@homehealer.biz</t>
  </si>
  <si>
    <t>ALQ14080W001</t>
  </si>
  <si>
    <t>Wahlers</t>
  </si>
  <si>
    <t>F. and E. Wahlers</t>
  </si>
  <si>
    <t>Wahlers Family</t>
  </si>
  <si>
    <t>5605 Courtyard Dr</t>
  </si>
  <si>
    <t>78731-3303</t>
  </si>
  <si>
    <t>fjwahlers@sbcglobal.net</t>
  </si>
  <si>
    <t>ALQ1401AG008</t>
  </si>
  <si>
    <t>ALA21010D24R</t>
  </si>
  <si>
    <t>Goff</t>
  </si>
  <si>
    <t>Mr. Fraser E. Goff</t>
  </si>
  <si>
    <t>5515 Quemazon</t>
  </si>
  <si>
    <t>87544-3760</t>
  </si>
  <si>
    <t>ALQ1312DF015</t>
  </si>
  <si>
    <t>ALA20100A13R</t>
  </si>
  <si>
    <t>Augusto</t>
  </si>
  <si>
    <t>Erin</t>
  </si>
  <si>
    <t>Mr. Fernando A. Gracia</t>
  </si>
  <si>
    <t>1404 12th St N</t>
  </si>
  <si>
    <t>Apt 21</t>
  </si>
  <si>
    <t>22209-3668</t>
  </si>
  <si>
    <t>fernando_gracia@friendsbrp.org</t>
  </si>
  <si>
    <t>fernandoaugustogracia@gmail.com</t>
  </si>
  <si>
    <t>ALQ14100W001</t>
  </si>
  <si>
    <t>Dr. Sandra L. Christensen</t>
  </si>
  <si>
    <t>2234 S Forest Estates Dr</t>
  </si>
  <si>
    <t>99223-3414</t>
  </si>
  <si>
    <t>sanlouc@gmail.com</t>
  </si>
  <si>
    <t>sandrachr@hotmail.com</t>
  </si>
  <si>
    <t>ALQ1312DF012</t>
  </si>
  <si>
    <t>Marotta</t>
  </si>
  <si>
    <t>Ms. Patricia V. Marotta</t>
  </si>
  <si>
    <t>3438 NW 55th Ct</t>
  </si>
  <si>
    <t>34482-4849</t>
  </si>
  <si>
    <t>33yvg2s7lqsclld@marketplace.amazon.com</t>
  </si>
  <si>
    <t>jjmsgt@cox.net</t>
  </si>
  <si>
    <t>ALQ1312DF025</t>
  </si>
  <si>
    <t>ALR170302033</t>
  </si>
  <si>
    <t>Shrider</t>
  </si>
  <si>
    <t>Daryl and Michael Shrider</t>
  </si>
  <si>
    <t>Daryl and Michael</t>
  </si>
  <si>
    <t>769 Harlech Dr</t>
  </si>
  <si>
    <t>43055-1507</t>
  </si>
  <si>
    <t>rae1128jim@gmail.com</t>
  </si>
  <si>
    <t>ALQ1402DH007</t>
  </si>
  <si>
    <t>ALA15050C13A</t>
  </si>
  <si>
    <t>Victoria Gordon and Robert Bradley</t>
  </si>
  <si>
    <t>Victoria and Robert</t>
  </si>
  <si>
    <t>17670 Mountain View Rd</t>
  </si>
  <si>
    <t>97759-9860</t>
  </si>
  <si>
    <t>ALQ1402DH008</t>
  </si>
  <si>
    <t>bobntg@yahoo.com</t>
  </si>
  <si>
    <t>Julie O'Brien</t>
  </si>
  <si>
    <t>1413 Juliet Ave</t>
  </si>
  <si>
    <t>55105-2566</t>
  </si>
  <si>
    <t>jawob@usfamily.net</t>
  </si>
  <si>
    <t>ALQ1401DG016</t>
  </si>
  <si>
    <t>William Schall</t>
  </si>
  <si>
    <t>2093 Northwestern Pike</t>
  </si>
  <si>
    <t>22603-3969</t>
  </si>
  <si>
    <t>w.e.schall69@gmail.com</t>
  </si>
  <si>
    <t>cschall10@gmail.com</t>
  </si>
  <si>
    <t>ALQ1402EH009</t>
  </si>
  <si>
    <t>Dallas Starr Brown</t>
  </si>
  <si>
    <t>10160 E Willow Dr</t>
  </si>
  <si>
    <t>Cornville</t>
  </si>
  <si>
    <t>86325-5416</t>
  </si>
  <si>
    <t>Ms. Nancy E. White</t>
  </si>
  <si>
    <t>99 Queens River Dr</t>
  </si>
  <si>
    <t>02892-1747</t>
  </si>
  <si>
    <t>neow476@yahoo.com</t>
  </si>
  <si>
    <t>bew985@yahoo.com</t>
  </si>
  <si>
    <t>ALQ1312DF024</t>
  </si>
  <si>
    <t>ALL21090A53M</t>
  </si>
  <si>
    <t>Naim</t>
  </si>
  <si>
    <t>Gudul</t>
  </si>
  <si>
    <t>Mr. Naim Gudul</t>
  </si>
  <si>
    <t>6 Red Pine Ln</t>
  </si>
  <si>
    <t>North Oaks</t>
  </si>
  <si>
    <t>55127-2031</t>
  </si>
  <si>
    <t>ngudul@gmail.com</t>
  </si>
  <si>
    <t>ALQ1601EG036</t>
  </si>
  <si>
    <t>ALR180607044</t>
  </si>
  <si>
    <t>Sokol</t>
  </si>
  <si>
    <t>Sandra and David Sokol</t>
  </si>
  <si>
    <t>222 N Marion St</t>
  </si>
  <si>
    <t>60302-1968</t>
  </si>
  <si>
    <t>sandrasokol@sbcglobal.net</t>
  </si>
  <si>
    <t>ALQ1407FA225</t>
  </si>
  <si>
    <t>ALR230208C33</t>
  </si>
  <si>
    <t>ALR160802022</t>
  </si>
  <si>
    <t>Mr. Ken Earle</t>
  </si>
  <si>
    <t>17 Cagua Rd</t>
  </si>
  <si>
    <t>87508-8116</t>
  </si>
  <si>
    <t>kearle@cybermesa.com</t>
  </si>
  <si>
    <t>ALQ140001001</t>
  </si>
  <si>
    <t>Gillerlain</t>
  </si>
  <si>
    <t>Kathleen Gillerlain</t>
  </si>
  <si>
    <t>2758 Frying Pan Farm Ln</t>
  </si>
  <si>
    <t>23072-3243</t>
  </si>
  <si>
    <t>court512@aol.com</t>
  </si>
  <si>
    <t>ALQ1312DF007</t>
  </si>
  <si>
    <t>ALR240502C64</t>
  </si>
  <si>
    <t>Leuchs</t>
  </si>
  <si>
    <t>Mr. Don Leuchs</t>
  </si>
  <si>
    <t>52 Bog Rd</t>
  </si>
  <si>
    <t>04027-3018</t>
  </si>
  <si>
    <t>dleuchs@gmail.com</t>
  </si>
  <si>
    <t>ALQ1312DF002</t>
  </si>
  <si>
    <t>ALA19110C34C</t>
  </si>
  <si>
    <t>8026 Kolodzik Rd</t>
  </si>
  <si>
    <t>Winneconne</t>
  </si>
  <si>
    <t>54986-9523</t>
  </si>
  <si>
    <t>marthajane1720@gmail.com</t>
  </si>
  <si>
    <t>ALQ1403AJ012</t>
  </si>
  <si>
    <t>Washburn</t>
  </si>
  <si>
    <t>718 Frederick Ave</t>
  </si>
  <si>
    <t>95050-6900</t>
  </si>
  <si>
    <t>patwash648@aol.com</t>
  </si>
  <si>
    <t>ptwash648@aol.com</t>
  </si>
  <si>
    <t>ALQ1403EJ013</t>
  </si>
  <si>
    <t>ALR181102033</t>
  </si>
  <si>
    <t>Hitzman</t>
  </si>
  <si>
    <t>Mr. Lyle F. Hitzman</t>
  </si>
  <si>
    <t>519 Albert Hart Dr</t>
  </si>
  <si>
    <t>Baton Rouge</t>
  </si>
  <si>
    <t>70808-5802</t>
  </si>
  <si>
    <t>lhitzman@hotmail.com</t>
  </si>
  <si>
    <t>ALQ1403FJ025</t>
  </si>
  <si>
    <t>Alexander Hastings</t>
  </si>
  <si>
    <t>Mrs. Maureen Alexander Hastings</t>
  </si>
  <si>
    <t>47 Oak View Dr</t>
  </si>
  <si>
    <t>30540-2091</t>
  </si>
  <si>
    <t>lippidoodle@gmail.com</t>
  </si>
  <si>
    <t>ALQ1403FJ018</t>
  </si>
  <si>
    <t>Ms. Lynne Driver</t>
  </si>
  <si>
    <t>1660 N La Salle Dr Apt 2209</t>
  </si>
  <si>
    <t>60614-6018</t>
  </si>
  <si>
    <t>driver.lynne@gmail.com</t>
  </si>
  <si>
    <t>lynne.driver@searshc.com</t>
  </si>
  <si>
    <t>ALQ1312CF019</t>
  </si>
  <si>
    <t>Millward</t>
  </si>
  <si>
    <t>Ms. Elizabeth Stirling and Mr. Tom Millward</t>
  </si>
  <si>
    <t>Elizabeth and Tom</t>
  </si>
  <si>
    <t>16222 Wake Robin Dr</t>
  </si>
  <si>
    <t>Newbury</t>
  </si>
  <si>
    <t>44065-9164</t>
  </si>
  <si>
    <t>lzjh@aol.com</t>
  </si>
  <si>
    <t>ALQ1403EJ010</t>
  </si>
  <si>
    <t>Pies</t>
  </si>
  <si>
    <t>1084 Via Vera Cruz</t>
  </si>
  <si>
    <t>92078-1377</t>
  </si>
  <si>
    <t>ALQ1403BJ016</t>
  </si>
  <si>
    <t>ALA150100001</t>
  </si>
  <si>
    <t>Jacqueline R. Miller</t>
  </si>
  <si>
    <t>8739 Timberbluff Ct</t>
  </si>
  <si>
    <t>46234-8848</t>
  </si>
  <si>
    <t>pmarcia275@aol.com</t>
  </si>
  <si>
    <t>pmaria275@aol.com</t>
  </si>
  <si>
    <t>ALQ1403FJ019</t>
  </si>
  <si>
    <t>ALL2205L1EMY</t>
  </si>
  <si>
    <t>ALL1912LGEMC</t>
  </si>
  <si>
    <t>Elise</t>
  </si>
  <si>
    <t>Tittle</t>
  </si>
  <si>
    <t>Elise and Michael Tittle</t>
  </si>
  <si>
    <t>Elise and Michael</t>
  </si>
  <si>
    <t>251 E Park Ridge Dr</t>
  </si>
  <si>
    <t>Bolivar</t>
  </si>
  <si>
    <t>65613-7639</t>
  </si>
  <si>
    <t>elisekt@yahoo.com</t>
  </si>
  <si>
    <t>ALR15XX01WD2</t>
  </si>
  <si>
    <t>metittle@hotmail.com</t>
  </si>
  <si>
    <t>15 Canterbury Way</t>
  </si>
  <si>
    <t>Marlborough</t>
  </si>
  <si>
    <t>01752-6084</t>
  </si>
  <si>
    <t>dianelstevens08@gmail.com</t>
  </si>
  <si>
    <t>ALQ1403AJ018</t>
  </si>
  <si>
    <t>ALA22110A15A</t>
  </si>
  <si>
    <t>ALA14070C13N</t>
  </si>
  <si>
    <t>Grizzard</t>
  </si>
  <si>
    <t>Mr. Stephen L. Grizzard</t>
  </si>
  <si>
    <t>1111 SE 14th Ave</t>
  </si>
  <si>
    <t>34471-4537</t>
  </si>
  <si>
    <t>sgrizzard58@gmail.com</t>
  </si>
  <si>
    <t>ALQ1408FB030</t>
  </si>
  <si>
    <t>Hare</t>
  </si>
  <si>
    <t>Ms. Julianne Hare</t>
  </si>
  <si>
    <t>3048 Bell Grove Dr</t>
  </si>
  <si>
    <t>32308-9700</t>
  </si>
  <si>
    <t>histwrtr@comcast.net</t>
  </si>
  <si>
    <t>ALQ1402FH006</t>
  </si>
  <si>
    <t>Shoupe</t>
  </si>
  <si>
    <t>Mrs. Norma Shoupe</t>
  </si>
  <si>
    <t>3309 Parker St</t>
  </si>
  <si>
    <t>65202-1715</t>
  </si>
  <si>
    <t>brandon.shoupe@yahoo.com</t>
  </si>
  <si>
    <t>ALQ1610FD035</t>
  </si>
  <si>
    <t>Ginger</t>
  </si>
  <si>
    <t>Alexakis Davis</t>
  </si>
  <si>
    <t>Ms. Ginger Alexakis Davis</t>
  </si>
  <si>
    <t>3470 Jeanne Dr</t>
  </si>
  <si>
    <t>Parma</t>
  </si>
  <si>
    <t>44134-5233</t>
  </si>
  <si>
    <t>gingerdavis@forestcity.net</t>
  </si>
  <si>
    <t>Roberge</t>
  </si>
  <si>
    <t>Beverly Roberge</t>
  </si>
  <si>
    <t>77 Plains Rd Apt 134</t>
  </si>
  <si>
    <t>06461-2586</t>
  </si>
  <si>
    <t>ALQ1404EK007</t>
  </si>
  <si>
    <t>Layman</t>
  </si>
  <si>
    <t>Mr. Randy S. Layman</t>
  </si>
  <si>
    <t>1028 Almond Dr</t>
  </si>
  <si>
    <t>Vinton</t>
  </si>
  <si>
    <t>24179-2802</t>
  </si>
  <si>
    <t>rangledrab@aol.com</t>
  </si>
  <si>
    <t>Puig</t>
  </si>
  <si>
    <t>Mrs. Karen G. Puig</t>
  </si>
  <si>
    <t>1487 W Horseshoe Bend Dr Lot 39</t>
  </si>
  <si>
    <t>Camp Verde</t>
  </si>
  <si>
    <t>86322-4933</t>
  </si>
  <si>
    <t>kgalep@gmail.com</t>
  </si>
  <si>
    <t>ALQ14050WHPE</t>
  </si>
  <si>
    <t>ALA22070A13A</t>
  </si>
  <si>
    <t>Judith and D. Peterson</t>
  </si>
  <si>
    <t>Peterson Family</t>
  </si>
  <si>
    <t>1028 Kehoe Dr</t>
  </si>
  <si>
    <t>60174-3739</t>
  </si>
  <si>
    <t>dpjkp@comcast.net</t>
  </si>
  <si>
    <t>ALQ1404EK004</t>
  </si>
  <si>
    <t>ALA14110F13N</t>
  </si>
  <si>
    <t>Ruder</t>
  </si>
  <si>
    <t>Ms. Michael H. James and Mr. Brian Ruder</t>
  </si>
  <si>
    <t>Michael and Brian</t>
  </si>
  <si>
    <t>4022 NW Gleneagles Pl</t>
  </si>
  <si>
    <t>97229-8707</t>
  </si>
  <si>
    <t>mhjames@gmail.com</t>
  </si>
  <si>
    <t>ALQ1404BK011</t>
  </si>
  <si>
    <t>ruderb@gmail.com</t>
  </si>
  <si>
    <t>Michael and Sandra Jones</t>
  </si>
  <si>
    <t>Michael and Sandra</t>
  </si>
  <si>
    <t>1305 Loann Ave</t>
  </si>
  <si>
    <t>37082-7101</t>
  </si>
  <si>
    <t>msjones1946@bellsouth.net</t>
  </si>
  <si>
    <t>ALQ1403AJ014</t>
  </si>
  <si>
    <t>Dianna Bell</t>
  </si>
  <si>
    <t>PO Box 187</t>
  </si>
  <si>
    <t>Grand Marais</t>
  </si>
  <si>
    <t>49839-0187</t>
  </si>
  <si>
    <t>jenniferbell13@yahoo.com</t>
  </si>
  <si>
    <t>ALQ1404EK002</t>
  </si>
  <si>
    <t>Woo</t>
  </si>
  <si>
    <t>Michael Woo</t>
  </si>
  <si>
    <t>550 18th Ave</t>
  </si>
  <si>
    <t>94121-3111</t>
  </si>
  <si>
    <t>flywoo@aol.com</t>
  </si>
  <si>
    <t>michaelwoo28@getmail.com</t>
  </si>
  <si>
    <t>ALQ1404BK015</t>
  </si>
  <si>
    <t>Len</t>
  </si>
  <si>
    <t>Uhal</t>
  </si>
  <si>
    <t>Mr. Len Uhal</t>
  </si>
  <si>
    <t>2489 Birchwood Dr</t>
  </si>
  <si>
    <t>Asbury</t>
  </si>
  <si>
    <t>52002-2412</t>
  </si>
  <si>
    <t>luhal@dwci.edu</t>
  </si>
  <si>
    <t>svdalum@mwci.net</t>
  </si>
  <si>
    <t>ALR171003044</t>
  </si>
  <si>
    <t>Digerness</t>
  </si>
  <si>
    <t>Ms. Ann M. Digerness</t>
  </si>
  <si>
    <t>1621 Prairie Ct</t>
  </si>
  <si>
    <t>Hubertus</t>
  </si>
  <si>
    <t>53033-9472</t>
  </si>
  <si>
    <t>adigerness@yahoo.com</t>
  </si>
  <si>
    <t>ALQ1405N3EMC</t>
  </si>
  <si>
    <t>Ms. Barbara Weiner</t>
  </si>
  <si>
    <t>200 Braeburn Rd</t>
  </si>
  <si>
    <t>60035-5002</t>
  </si>
  <si>
    <t>Purkey</t>
  </si>
  <si>
    <t>Ms. Jan Purkey</t>
  </si>
  <si>
    <t>4404 Fulton Dr</t>
  </si>
  <si>
    <t>37918-4410</t>
  </si>
  <si>
    <t>janpurk11@gmail.com</t>
  </si>
  <si>
    <t>janpurk@comcast.net</t>
  </si>
  <si>
    <t>ALL21070B53M</t>
  </si>
  <si>
    <t>Cheryl and Steven Tuttle</t>
  </si>
  <si>
    <t>Cheryl and Steven</t>
  </si>
  <si>
    <t>3030 Lewis River Rd</t>
  </si>
  <si>
    <t>98674-9615</t>
  </si>
  <si>
    <t>slcgtuttle@gmail.com</t>
  </si>
  <si>
    <t>ALQ1404CK011</t>
  </si>
  <si>
    <t>ALR200907C33</t>
  </si>
  <si>
    <t>Drewes</t>
  </si>
  <si>
    <t>Barb Drewes</t>
  </si>
  <si>
    <t>4106 SE 22nd St</t>
  </si>
  <si>
    <t>50320-2624</t>
  </si>
  <si>
    <t>bdrewes@aol.com</t>
  </si>
  <si>
    <t>ALQ1405EL009</t>
  </si>
  <si>
    <t>ALR200204C23</t>
  </si>
  <si>
    <t>Ramage</t>
  </si>
  <si>
    <t>Linda Ramage</t>
  </si>
  <si>
    <t>708 S 27th St</t>
  </si>
  <si>
    <t>54220-4426</t>
  </si>
  <si>
    <t>grandekevin25@yahoo.com</t>
  </si>
  <si>
    <t>ALQ1405EL017</t>
  </si>
  <si>
    <t>ALA24020B13A</t>
  </si>
  <si>
    <t>ALA20110A13A</t>
  </si>
  <si>
    <t>Robert and Marcia Voss</t>
  </si>
  <si>
    <t>Robert and Marcia</t>
  </si>
  <si>
    <t>PO Box 423</t>
  </si>
  <si>
    <t>Monticello</t>
  </si>
  <si>
    <t>53570-0423</t>
  </si>
  <si>
    <t>bobmarciavoss@yahoo.com</t>
  </si>
  <si>
    <t>ALQ1402FH020</t>
  </si>
  <si>
    <t>ALR150603031</t>
  </si>
  <si>
    <t>James and Janet Parkin</t>
  </si>
  <si>
    <t>410 Roses Mill Rd</t>
  </si>
  <si>
    <t>06460-2829</t>
  </si>
  <si>
    <t>ann.adams.yfo@cox.net</t>
  </si>
  <si>
    <t>ALQ0302GH075</t>
  </si>
  <si>
    <t>ALL19030A53M</t>
  </si>
  <si>
    <t>Mr. Steven Thompson</t>
  </si>
  <si>
    <t>201 Morton St</t>
  </si>
  <si>
    <t>53954-9702</t>
  </si>
  <si>
    <t>steveiprint@yahoo.com</t>
  </si>
  <si>
    <t>ALQ1404MK030</t>
  </si>
  <si>
    <t>ALR210707C44</t>
  </si>
  <si>
    <t>Back</t>
  </si>
  <si>
    <t>Mr. Richard Back</t>
  </si>
  <si>
    <t>200 Logsby Pl Apt B</t>
  </si>
  <si>
    <t>45150-8732</t>
  </si>
  <si>
    <t>rickback56@hotmail.com</t>
  </si>
  <si>
    <t>ALQ1405EL010</t>
  </si>
  <si>
    <t>ALA1711D1DMC</t>
  </si>
  <si>
    <t>Cahill</t>
  </si>
  <si>
    <t>Mrs. Judith E. Cahill</t>
  </si>
  <si>
    <t>169 Kilough Ridge Dr</t>
  </si>
  <si>
    <t>Dawsonville</t>
  </si>
  <si>
    <t>30534-6913</t>
  </si>
  <si>
    <t>jcahill1@windstream.net</t>
  </si>
  <si>
    <t>ALQ1405AL020</t>
  </si>
  <si>
    <t>ALA23020B24R</t>
  </si>
  <si>
    <t>ALR180601144</t>
  </si>
  <si>
    <t>Olivier</t>
  </si>
  <si>
    <t>Joseph and Sherry Olivier</t>
  </si>
  <si>
    <t>Joseph and Sherry</t>
  </si>
  <si>
    <t>933 E Royal Ridge Dr</t>
  </si>
  <si>
    <t>85755-8805</t>
  </si>
  <si>
    <t>olivershedrick@yahoo.com</t>
  </si>
  <si>
    <t>ALQ1405EL031</t>
  </si>
  <si>
    <t>ALA23050B24A</t>
  </si>
  <si>
    <t>Charles Warner</t>
  </si>
  <si>
    <t>7100 Terry Rd</t>
  </si>
  <si>
    <t>48609-5262</t>
  </si>
  <si>
    <t>cebw32@charter.net</t>
  </si>
  <si>
    <t>eebw32@charter.net</t>
  </si>
  <si>
    <t>ALQ1405AL004</t>
  </si>
  <si>
    <t>ALA21070A13C</t>
  </si>
  <si>
    <t>Atnip</t>
  </si>
  <si>
    <t>David R. Atnip</t>
  </si>
  <si>
    <t>5125 Sealands Ln</t>
  </si>
  <si>
    <t>76116-8415</t>
  </si>
  <si>
    <t>atnipdr@hotmail.com</t>
  </si>
  <si>
    <t>atnipdr@aol.com</t>
  </si>
  <si>
    <t>ALQ1405AL014</t>
  </si>
  <si>
    <t>ALA21070C25R</t>
  </si>
  <si>
    <t>Gaut</t>
  </si>
  <si>
    <t>Greg Gaut</t>
  </si>
  <si>
    <t>1235 Yale Pl Apt 408</t>
  </si>
  <si>
    <t>55403-1944</t>
  </si>
  <si>
    <t>ALQ1405BL008</t>
  </si>
  <si>
    <t>Bonnie Ballinger</t>
  </si>
  <si>
    <t>11228 Church Grove Ct</t>
  </si>
  <si>
    <t>23233-2764</t>
  </si>
  <si>
    <t>clairace527@gmail.com</t>
  </si>
  <si>
    <t>ALQ1404BK001</t>
  </si>
  <si>
    <t>ALA23050B21A</t>
  </si>
  <si>
    <t>ALR170615030</t>
  </si>
  <si>
    <t>Charles R. Carpenter</t>
  </si>
  <si>
    <t>3917 E Chippewa Trl</t>
  </si>
  <si>
    <t>76048-6010</t>
  </si>
  <si>
    <t>cilla3131@gmail.com</t>
  </si>
  <si>
    <t>ALQ1405CL014</t>
  </si>
  <si>
    <t>ALR230402C33</t>
  </si>
  <si>
    <t>Mr. James E. McGee</t>
  </si>
  <si>
    <t>28850 Pebble Beach Dr</t>
  </si>
  <si>
    <t>92586-2812</t>
  </si>
  <si>
    <t>suncityjim@mediacombb.net</t>
  </si>
  <si>
    <t>jamesemcgee@hotmail.com</t>
  </si>
  <si>
    <t>ALQ1405ML035</t>
  </si>
  <si>
    <t>Devlin</t>
  </si>
  <si>
    <t>Linda Devlin</t>
  </si>
  <si>
    <t>55 Lonesome Trl</t>
  </si>
  <si>
    <t>Waterbury</t>
  </si>
  <si>
    <t>05676-9615</t>
  </si>
  <si>
    <t>Brasseaux</t>
  </si>
  <si>
    <t>Mary Brasseaux</t>
  </si>
  <si>
    <t>11721 Creekside Dr SW</t>
  </si>
  <si>
    <t>98499-1283</t>
  </si>
  <si>
    <t>mbrasseaux@gmail.com</t>
  </si>
  <si>
    <t>ALQ1405EL007</t>
  </si>
  <si>
    <t>ALR211004C44</t>
  </si>
  <si>
    <t>ALR201004C33</t>
  </si>
  <si>
    <t>Latham</t>
  </si>
  <si>
    <t>Jack Latham</t>
  </si>
  <si>
    <t>2026 Beth Ln</t>
  </si>
  <si>
    <t>71118-2708</t>
  </si>
  <si>
    <t>ALQ1405BL003</t>
  </si>
  <si>
    <t>ALS210401302</t>
  </si>
  <si>
    <t>Pavuk</t>
  </si>
  <si>
    <t>Mr. Sandra Pavuk</t>
  </si>
  <si>
    <t>1807 Peppercorn Ct</t>
  </si>
  <si>
    <t>28562-4924</t>
  </si>
  <si>
    <t>apavuk@gmail.com</t>
  </si>
  <si>
    <t>ALQ1407CA105</t>
  </si>
  <si>
    <t>ALR230710C54</t>
  </si>
  <si>
    <t>Kiem</t>
  </si>
  <si>
    <t>Nguyen</t>
  </si>
  <si>
    <t>Kiem and Gregory</t>
  </si>
  <si>
    <t>4435 N Pershing Dr Apt 636</t>
  </si>
  <si>
    <t>22203-2855</t>
  </si>
  <si>
    <t>gregorygregg@msn.com</t>
  </si>
  <si>
    <t>ALQ1407DA215</t>
  </si>
  <si>
    <t>ALR160704032</t>
  </si>
  <si>
    <t>ALR150703021</t>
  </si>
  <si>
    <t>Juli</t>
  </si>
  <si>
    <t>Mrs. Juli Barry</t>
  </si>
  <si>
    <t>515 W Fairview St</t>
  </si>
  <si>
    <t>60005-2301</t>
  </si>
  <si>
    <t>jackbarry25@yahoo.com</t>
  </si>
  <si>
    <t>ALQ1407DA105</t>
  </si>
  <si>
    <t>Magers</t>
  </si>
  <si>
    <t>Scott and Janet Magers</t>
  </si>
  <si>
    <t>Scott and Janet</t>
  </si>
  <si>
    <t>2251 Eisenhower Ave Apt 1609</t>
  </si>
  <si>
    <t>22314-6905</t>
  </si>
  <si>
    <t>sjmagers@aol.com</t>
  </si>
  <si>
    <t>ALQ1407BA107</t>
  </si>
  <si>
    <t>ALA24030B25A</t>
  </si>
  <si>
    <t>Keane</t>
  </si>
  <si>
    <t>PO Box 4485</t>
  </si>
  <si>
    <t>37802-4485</t>
  </si>
  <si>
    <t>ALQ1407AA105</t>
  </si>
  <si>
    <t>Krauhs</t>
  </si>
  <si>
    <t>Mr. Stanley W. Krauhs Jr.</t>
  </si>
  <si>
    <t>31519 Edgewater Dr</t>
  </si>
  <si>
    <t>Magnolia</t>
  </si>
  <si>
    <t>77354-2698</t>
  </si>
  <si>
    <t>stankrauhs@comcast.net</t>
  </si>
  <si>
    <t>stanleykrauhs@att.net</t>
  </si>
  <si>
    <t>ALQ1404GK018</t>
  </si>
  <si>
    <t>Nagel</t>
  </si>
  <si>
    <t>Mr. James Nagel</t>
  </si>
  <si>
    <t>520 Helman St</t>
  </si>
  <si>
    <t>97520-1144</t>
  </si>
  <si>
    <t>jamesnagel9671@outlook.com</t>
  </si>
  <si>
    <t>ALQ1407CA219</t>
  </si>
  <si>
    <t>Ms. Kathy Stone</t>
  </si>
  <si>
    <t>596 Highway M</t>
  </si>
  <si>
    <t>Villa Ridge</t>
  </si>
  <si>
    <t>63089-1980</t>
  </si>
  <si>
    <t>doris.stone@att.net</t>
  </si>
  <si>
    <t>ALA23090E23A</t>
  </si>
  <si>
    <t>Mrs. Grace James</t>
  </si>
  <si>
    <t>11906 Flame Tree Cv</t>
  </si>
  <si>
    <t>78213-1222</t>
  </si>
  <si>
    <t>elinorjames@gmail.com</t>
  </si>
  <si>
    <t>gljames11906@gmail.com</t>
  </si>
  <si>
    <t>ALQ1407DA210</t>
  </si>
  <si>
    <t>Waltz</t>
  </si>
  <si>
    <t>Gene Waltz</t>
  </si>
  <si>
    <t>202 Bennington Rd</t>
  </si>
  <si>
    <t>46227-7500</t>
  </si>
  <si>
    <t>Dr. Robert J. Morton</t>
  </si>
  <si>
    <t>107 Willow Ln</t>
  </si>
  <si>
    <t>Lake Ariel</t>
  </si>
  <si>
    <t>18436-4738</t>
  </si>
  <si>
    <t>bob_morton@aol.com</t>
  </si>
  <si>
    <t>ALA14080W001</t>
  </si>
  <si>
    <t>Boyce</t>
  </si>
  <si>
    <t>Mr. Boyce Fowler</t>
  </si>
  <si>
    <t>1700 Flowerree St</t>
  </si>
  <si>
    <t>59601-5904</t>
  </si>
  <si>
    <t>ALQ1407AA209</t>
  </si>
  <si>
    <t>ALA16070G23R</t>
  </si>
  <si>
    <t>Kipphorn</t>
  </si>
  <si>
    <t>Donna Kipphorn</t>
  </si>
  <si>
    <t>13 Oak Hill Cir</t>
  </si>
  <si>
    <t>19355-2016</t>
  </si>
  <si>
    <t>sewhiker@gmail.com</t>
  </si>
  <si>
    <t>ALQ1404AK009</t>
  </si>
  <si>
    <t>ALR220607C33</t>
  </si>
  <si>
    <t>Ms. Christina Faucett</t>
  </si>
  <si>
    <t>6505 Harvard Ave</t>
  </si>
  <si>
    <t>64133-5423</t>
  </si>
  <si>
    <t>ALQ1407DA101</t>
  </si>
  <si>
    <t>ALR220203C33</t>
  </si>
  <si>
    <t>Kutil</t>
  </si>
  <si>
    <t>Mr. Alvin Kutil</t>
  </si>
  <si>
    <t>5513 County Road Cv # B</t>
  </si>
  <si>
    <t>53704-6153</t>
  </si>
  <si>
    <t>akutil86@gmail.com</t>
  </si>
  <si>
    <t>ALQ1404CK002</t>
  </si>
  <si>
    <t>ALL2307L1EMC</t>
  </si>
  <si>
    <t>ALR160803EMC</t>
  </si>
  <si>
    <t>Jamora</t>
  </si>
  <si>
    <t>Ms. Mary S. Jamora</t>
  </si>
  <si>
    <t>1101 198th Ave NE</t>
  </si>
  <si>
    <t>98290-9611</t>
  </si>
  <si>
    <t>mjamora@gmail.com</t>
  </si>
  <si>
    <t>mjamora@earthlink.net</t>
  </si>
  <si>
    <t>ALQ1407DA301</t>
  </si>
  <si>
    <t>ATA200501001</t>
  </si>
  <si>
    <t>Sidney Mcfarland, Jr.</t>
  </si>
  <si>
    <t>2963 County Line Rd Apt F</t>
  </si>
  <si>
    <t>45430-1975</t>
  </si>
  <si>
    <t>ALQ1407BA304</t>
  </si>
  <si>
    <t>ALA23020A13A</t>
  </si>
  <si>
    <t>ALA16090C13R</t>
  </si>
  <si>
    <t>Sharon Shea</t>
  </si>
  <si>
    <t>409 White Heron Cir</t>
  </si>
  <si>
    <t>13066-9504</t>
  </si>
  <si>
    <t>ALQ1407BA207</t>
  </si>
  <si>
    <t>Hogg</t>
  </si>
  <si>
    <t>Ms. Hogg</t>
  </si>
  <si>
    <t>114 Wood Glenn</t>
  </si>
  <si>
    <t>Boerne</t>
  </si>
  <si>
    <t>78006-5988</t>
  </si>
  <si>
    <t>karens.hogg@att.net</t>
  </si>
  <si>
    <t>ALQ0510DD024</t>
  </si>
  <si>
    <t>ATR181001001</t>
  </si>
  <si>
    <t>Schooler</t>
  </si>
  <si>
    <t>Mr. William T. Schooler</t>
  </si>
  <si>
    <t>352 Bay Rd</t>
  </si>
  <si>
    <t>Atherton</t>
  </si>
  <si>
    <t>94027-1732</t>
  </si>
  <si>
    <t>wtschooler@outlook.com</t>
  </si>
  <si>
    <t>ruthbill@pacbell.net</t>
  </si>
  <si>
    <t>ALQ1408N3EMC</t>
  </si>
  <si>
    <t>ATQ21120W001</t>
  </si>
  <si>
    <t>Eliot</t>
  </si>
  <si>
    <t>Macauley</t>
  </si>
  <si>
    <t>Mr. Mark E. Macauley</t>
  </si>
  <si>
    <t>39W429 W Mallory Dr</t>
  </si>
  <si>
    <t>60134-4913</t>
  </si>
  <si>
    <t>mmacathome@yahoo.com</t>
  </si>
  <si>
    <t>ALQ1404GK015</t>
  </si>
  <si>
    <t>ALA2311D1DMT</t>
  </si>
  <si>
    <t>Bette</t>
  </si>
  <si>
    <t>Dehls</t>
  </si>
  <si>
    <t>Ms. Bette Dehls</t>
  </si>
  <si>
    <t>650 E Windward Cir</t>
  </si>
  <si>
    <t>85704-7334</t>
  </si>
  <si>
    <t>ALQ1407EA104</t>
  </si>
  <si>
    <t>Joan Farrell</t>
  </si>
  <si>
    <t>8043 English Creek Ave</t>
  </si>
  <si>
    <t>08234-7271</t>
  </si>
  <si>
    <t>ocseahag@aol.com</t>
  </si>
  <si>
    <t>ocjoan@comcast.net</t>
  </si>
  <si>
    <t>ALA2312DAEMC</t>
  </si>
  <si>
    <t>ALA1512D1EMC</t>
  </si>
  <si>
    <t>Margot</t>
  </si>
  <si>
    <t>Luedke</t>
  </si>
  <si>
    <t>715 Madison Avenue #4F</t>
  </si>
  <si>
    <t>luedkemargot@gmail.com</t>
  </si>
  <si>
    <t>Mrs. Joyce Crews</t>
  </si>
  <si>
    <t>40 Camino Alto Apt 11304</t>
  </si>
  <si>
    <t>94941-5808</t>
  </si>
  <si>
    <t>joycecrews@gmail.com</t>
  </si>
  <si>
    <t>ALQ1407BA211</t>
  </si>
  <si>
    <t>Anita Andersen</t>
  </si>
  <si>
    <t>1030 Ocean Shell St</t>
  </si>
  <si>
    <t>89052-3904</t>
  </si>
  <si>
    <t>andersena@wilani.com</t>
  </si>
  <si>
    <t>tisinow.still@gmail.com</t>
  </si>
  <si>
    <t>Fousie</t>
  </si>
  <si>
    <t>Michael Fousie</t>
  </si>
  <si>
    <t>1631 NE Broadway St</t>
  </si>
  <si>
    <t># 114</t>
  </si>
  <si>
    <t>97232-1425</t>
  </si>
  <si>
    <t>mike@lightcurve.com</t>
  </si>
  <si>
    <t>ALA2206N0WSC</t>
  </si>
  <si>
    <t>Dabreo</t>
  </si>
  <si>
    <t>Marcia Dabreo</t>
  </si>
  <si>
    <t>10775 Rockside Ct</t>
  </si>
  <si>
    <t>97756-7401</t>
  </si>
  <si>
    <t>mdabreo@yahoo.com</t>
  </si>
  <si>
    <t>ALQ1408CB011</t>
  </si>
  <si>
    <t>ALR220801C44</t>
  </si>
  <si>
    <t>Zubinski</t>
  </si>
  <si>
    <t>Mr. Paul Zubinski</t>
  </si>
  <si>
    <t>969 W Spencer Ct</t>
  </si>
  <si>
    <t>60067-2206</t>
  </si>
  <si>
    <t>pkzenterprises@sbcglobal.net</t>
  </si>
  <si>
    <t>ALQ1408DB010</t>
  </si>
  <si>
    <t>ALR220513C30</t>
  </si>
  <si>
    <t>Steinreich</t>
  </si>
  <si>
    <t>Mr. Steven Steinreich</t>
  </si>
  <si>
    <t>1095 S Belvoir Blvd</t>
  </si>
  <si>
    <t>44121-2966</t>
  </si>
  <si>
    <t>olgasteinreich02@gmail.com</t>
  </si>
  <si>
    <t>ALQ1408CB012</t>
  </si>
  <si>
    <t>ALS200401512</t>
  </si>
  <si>
    <t>ALA150400001</t>
  </si>
  <si>
    <t>Ms. Cheryl Williams</t>
  </si>
  <si>
    <t>650 Riverbank Dr</t>
  </si>
  <si>
    <t>60134-3331</t>
  </si>
  <si>
    <t>cannw2006@att.net</t>
  </si>
  <si>
    <t>ALS150201511</t>
  </si>
  <si>
    <t>ALS190701511</t>
  </si>
  <si>
    <t>ALS180501511</t>
  </si>
  <si>
    <t>Kellmyer</t>
  </si>
  <si>
    <t>Jeff Kellmyer</t>
  </si>
  <si>
    <t>528 Greenwich Rd</t>
  </si>
  <si>
    <t>Bridgeton</t>
  </si>
  <si>
    <t>08302-6255</t>
  </si>
  <si>
    <t>jedmyer@comcast.net</t>
  </si>
  <si>
    <t>ALZ140002005</t>
  </si>
  <si>
    <t>ALA24010E44A</t>
  </si>
  <si>
    <t>Petronell</t>
  </si>
  <si>
    <t>Ms. Petronell E. Koop</t>
  </si>
  <si>
    <t>887 Terrebonne Ter</t>
  </si>
  <si>
    <t>32162-3395</t>
  </si>
  <si>
    <t>koopster1@yahoo.com</t>
  </si>
  <si>
    <t>ALQ1407CA316</t>
  </si>
  <si>
    <t>Sweeney</t>
  </si>
  <si>
    <t>Dr. Mary Sweeney</t>
  </si>
  <si>
    <t>3211 Wynbrooke Cir</t>
  </si>
  <si>
    <t>40241-3126</t>
  </si>
  <si>
    <t>swnyadams@aol.com</t>
  </si>
  <si>
    <t>ALQ1408DB007</t>
  </si>
  <si>
    <t>ALR151002031</t>
  </si>
  <si>
    <t>Higgins</t>
  </si>
  <si>
    <t>Ruth and Richard Higgins</t>
  </si>
  <si>
    <t>Ruth and Richard</t>
  </si>
  <si>
    <t>2505 Herbertsville Rd</t>
  </si>
  <si>
    <t>Point Pleasant Beach</t>
  </si>
  <si>
    <t>08742-2261</t>
  </si>
  <si>
    <t>rehiggins20@hotmail.com</t>
  </si>
  <si>
    <t>rehiggins20@yahoo.com</t>
  </si>
  <si>
    <t>ALQ1409CC009</t>
  </si>
  <si>
    <t>ALR220807C44</t>
  </si>
  <si>
    <t>ALA21050B24A</t>
  </si>
  <si>
    <t>Mr. Michael Blair</t>
  </si>
  <si>
    <t>5160 W 86th Pl</t>
  </si>
  <si>
    <t>Crown Point</t>
  </si>
  <si>
    <t>46307-1608</t>
  </si>
  <si>
    <t>ALQ1409DC010</t>
  </si>
  <si>
    <t>ALA23070A22A</t>
  </si>
  <si>
    <t>ALA21050B23C</t>
  </si>
  <si>
    <t>Nancy L. Rhodes</t>
  </si>
  <si>
    <t>4212 N Ardmore Ave</t>
  </si>
  <si>
    <t>53211-1414</t>
  </si>
  <si>
    <t>ALQ1409DC017</t>
  </si>
  <si>
    <t>ALA23070A43R</t>
  </si>
  <si>
    <t>ALR210406C23</t>
  </si>
  <si>
    <t>Mark F. Brogelman</t>
  </si>
  <si>
    <t>3324 Rosewood Ln</t>
  </si>
  <si>
    <t>Eau Claire</t>
  </si>
  <si>
    <t>54703-4890</t>
  </si>
  <si>
    <t>mbrogelman@yahoo.com</t>
  </si>
  <si>
    <t>cjbrog@yahoo.com</t>
  </si>
  <si>
    <t>ALQ1409DC004</t>
  </si>
  <si>
    <t>Barry and Ann Nathan</t>
  </si>
  <si>
    <t>Barry and Ann</t>
  </si>
  <si>
    <t>5925 Barcelona Dr SE</t>
  </si>
  <si>
    <t>97317-9382</t>
  </si>
  <si>
    <t>barrynathan1952@gmail.com</t>
  </si>
  <si>
    <t>barnatz@alyrica.net</t>
  </si>
  <si>
    <t>ALA22010E56H</t>
  </si>
  <si>
    <t>Albritton</t>
  </si>
  <si>
    <t>Ed Albritton</t>
  </si>
  <si>
    <t>827 Tara Trl</t>
  </si>
  <si>
    <t>29210-4928</t>
  </si>
  <si>
    <t>aiah5951@hotmail.com</t>
  </si>
  <si>
    <t>ed4pots@outlook.com</t>
  </si>
  <si>
    <t>ALQ1409BC006</t>
  </si>
  <si>
    <t>Ms. Katherine Trieller</t>
  </si>
  <si>
    <t>7720 Bodega Ave Apt 27</t>
  </si>
  <si>
    <t>95472-3582</t>
  </si>
  <si>
    <t>ktrieller@yahoo.com</t>
  </si>
  <si>
    <t>donsoileru@hotmail.com</t>
  </si>
  <si>
    <t>ALQ1409CC003</t>
  </si>
  <si>
    <t>ALA21020B23R</t>
  </si>
  <si>
    <t>ALR151001031</t>
  </si>
  <si>
    <t>Suzannah</t>
  </si>
  <si>
    <t>Ms. Suzannah Rose</t>
  </si>
  <si>
    <t>20 Willow St</t>
  </si>
  <si>
    <t>94941-2819</t>
  </si>
  <si>
    <t>s-rose@pacbell.net</t>
  </si>
  <si>
    <t>Ms. Wendy Watkins</t>
  </si>
  <si>
    <t>508 Vendola Dr</t>
  </si>
  <si>
    <t>94903-2935</t>
  </si>
  <si>
    <t>doublew660@gmail.com</t>
  </si>
  <si>
    <t>ydnew40@aol.com</t>
  </si>
  <si>
    <t>ALQ1409AC003</t>
  </si>
  <si>
    <t>Haferkamp</t>
  </si>
  <si>
    <t>Mrs. Gwen Haferkamp</t>
  </si>
  <si>
    <t>136 Sam Leo Rd</t>
  </si>
  <si>
    <t>Miles City</t>
  </si>
  <si>
    <t>59301-5523</t>
  </si>
  <si>
    <t>gwenmrh@midrivers.com</t>
  </si>
  <si>
    <t>ALQ1409CC005</t>
  </si>
  <si>
    <t>ATA1908T5EMC</t>
  </si>
  <si>
    <t>Lillie</t>
  </si>
  <si>
    <t>Joe Lillie</t>
  </si>
  <si>
    <t>PO Box 354</t>
  </si>
  <si>
    <t>Ramona</t>
  </si>
  <si>
    <t>74061-0354</t>
  </si>
  <si>
    <t>suelillie@yahoo.com</t>
  </si>
  <si>
    <t>ALQ1409BC010</t>
  </si>
  <si>
    <t>ALA21050B23A</t>
  </si>
  <si>
    <t>ALA20050A23R</t>
  </si>
  <si>
    <t>Michael and Wendy Miller</t>
  </si>
  <si>
    <t>Michael and Wendy</t>
  </si>
  <si>
    <t>997 E 15th St</t>
  </si>
  <si>
    <t>55972-1677</t>
  </si>
  <si>
    <t>mmillerfc@hotmail.com</t>
  </si>
  <si>
    <t>ALQ1407DA110</t>
  </si>
  <si>
    <t>ALR230603C33</t>
  </si>
  <si>
    <t>Duranso</t>
  </si>
  <si>
    <t>Mrs. Mary Ellen Duranso</t>
  </si>
  <si>
    <t>14055 2nd St</t>
  </si>
  <si>
    <t>54557-8965</t>
  </si>
  <si>
    <t>meduranso56@gmail.com</t>
  </si>
  <si>
    <t>ALZ140002004</t>
  </si>
  <si>
    <t>Tollison</t>
  </si>
  <si>
    <t>Dr. Ronald M. Tollison</t>
  </si>
  <si>
    <t>235 Donington Dr</t>
  </si>
  <si>
    <t>29615-2412</t>
  </si>
  <si>
    <t>ronaldt281@aol.com</t>
  </si>
  <si>
    <t>tollisontonald@bellsouth.net</t>
  </si>
  <si>
    <t>ALQ1410CD003</t>
  </si>
  <si>
    <t>ALA20010A55H</t>
  </si>
  <si>
    <t>Shideler</t>
  </si>
  <si>
    <t>Miss Valerie Shideler</t>
  </si>
  <si>
    <t>1610 Valley Meadows Dr</t>
  </si>
  <si>
    <t>Olivehurst</t>
  </si>
  <si>
    <t>95961-4400</t>
  </si>
  <si>
    <t>vickivgs@yahoo.com</t>
  </si>
  <si>
    <t>breeze509@gmail.com</t>
  </si>
  <si>
    <t>ALR151104021</t>
  </si>
  <si>
    <t>Gundlach</t>
  </si>
  <si>
    <t>Dr. Michelle Gundlach</t>
  </si>
  <si>
    <t>4654 Bohleysville Rd</t>
  </si>
  <si>
    <t>62298-4634</t>
  </si>
  <si>
    <t>hmkgundlach@earthlink.net</t>
  </si>
  <si>
    <t>Stephen Simon</t>
  </si>
  <si>
    <t>3760 Hoyt St</t>
  </si>
  <si>
    <t>80033-5762</t>
  </si>
  <si>
    <t>ssimonlaw@gmail.com</t>
  </si>
  <si>
    <t>ALQ1410CD001</t>
  </si>
  <si>
    <t>DeGroff</t>
  </si>
  <si>
    <t>Ms. Susan C. DeGroff</t>
  </si>
  <si>
    <t>13405 Carroll Rd</t>
  </si>
  <si>
    <t>49228-9510</t>
  </si>
  <si>
    <t>scd1127@yahoo.com</t>
  </si>
  <si>
    <t>ALA1712N0SEC</t>
  </si>
  <si>
    <t>4007 N Harbor City Blvd Apt 205</t>
  </si>
  <si>
    <t>32935-5793</t>
  </si>
  <si>
    <t>rberchtold@sbcglobal.net</t>
  </si>
  <si>
    <t>Orkow</t>
  </si>
  <si>
    <t>2777 S Elmira St Apt 25</t>
  </si>
  <si>
    <t>80231-3940</t>
  </si>
  <si>
    <t>bonnie.orkow@gmail.com</t>
  </si>
  <si>
    <t>XNHSB3102</t>
  </si>
  <si>
    <t>ALA24030A25A</t>
  </si>
  <si>
    <t>Ron Thompson</t>
  </si>
  <si>
    <t>1471 Leafview Rd</t>
  </si>
  <si>
    <t>30033-2112</t>
  </si>
  <si>
    <t>rsthomp@comcast.net</t>
  </si>
  <si>
    <t>LaPontny</t>
  </si>
  <si>
    <t>Robert W. LaPontny</t>
  </si>
  <si>
    <t>409 Westchester Dr</t>
  </si>
  <si>
    <t>32926-6640</t>
  </si>
  <si>
    <t>bojaq@bellsouth.net</t>
  </si>
  <si>
    <t>revcut@bellsouth.net</t>
  </si>
  <si>
    <t>ALQ1410BD004</t>
  </si>
  <si>
    <t>ALR220508C44</t>
  </si>
  <si>
    <t>Lummon</t>
  </si>
  <si>
    <t>Lummon Simmons</t>
  </si>
  <si>
    <t>1235 Scott St</t>
  </si>
  <si>
    <t>24073-3217</t>
  </si>
  <si>
    <t>cpsimmons48@jetbroadband.com</t>
  </si>
  <si>
    <t>ALQ1411BE015</t>
  </si>
  <si>
    <t>ALA22040B14A</t>
  </si>
  <si>
    <t>Schuck</t>
  </si>
  <si>
    <t>Arthur F. Schuck</t>
  </si>
  <si>
    <t>8501 N 300 E</t>
  </si>
  <si>
    <t>Rolling Prairie</t>
  </si>
  <si>
    <t>46371-8879</t>
  </si>
  <si>
    <t>schuckfour@gmail.com</t>
  </si>
  <si>
    <t>ALQ1410BD009</t>
  </si>
  <si>
    <t>ALA21010D11R</t>
  </si>
  <si>
    <t>ALR161205032</t>
  </si>
  <si>
    <t>Ferris</t>
  </si>
  <si>
    <t>Robert Ferris</t>
  </si>
  <si>
    <t>232 Hazelwood Ave</t>
  </si>
  <si>
    <t>Middlesex</t>
  </si>
  <si>
    <t>08846-1128</t>
  </si>
  <si>
    <t>ALQ1411AE015</t>
  </si>
  <si>
    <t>ALR231009C23</t>
  </si>
  <si>
    <t>Edwin and Carol Smith</t>
  </si>
  <si>
    <t>Edwin and Carol</t>
  </si>
  <si>
    <t>PO Box 878</t>
  </si>
  <si>
    <t>Tappahannock</t>
  </si>
  <si>
    <t>22560-0878</t>
  </si>
  <si>
    <t>brett.gormus@yahoo.com</t>
  </si>
  <si>
    <t>ALQ1405EL019</t>
  </si>
  <si>
    <t>ALA24010D43R</t>
  </si>
  <si>
    <t>Allmandinger</t>
  </si>
  <si>
    <t>Mr. Bruce W. Allmandinger</t>
  </si>
  <si>
    <t>231 S Julia Cir</t>
  </si>
  <si>
    <t>St Pete Beach</t>
  </si>
  <si>
    <t>33706-2716</t>
  </si>
  <si>
    <t>dingerbwa7@gmail.com</t>
  </si>
  <si>
    <t>taw9174@aol.com</t>
  </si>
  <si>
    <t>ALQ1411EE021</t>
  </si>
  <si>
    <t>ALA23060A14C</t>
  </si>
  <si>
    <t>ALR230302C23</t>
  </si>
  <si>
    <t>Dumont</t>
  </si>
  <si>
    <t>Robert Dumont</t>
  </si>
  <si>
    <t>7 Great Pond Way</t>
  </si>
  <si>
    <t>01564-1547</t>
  </si>
  <si>
    <t>barbaradumont@comcast.net</t>
  </si>
  <si>
    <t>bdumont@msn.com</t>
  </si>
  <si>
    <t>ALQ1411EE015</t>
  </si>
  <si>
    <t>Ernie</t>
  </si>
  <si>
    <t>Riepe</t>
  </si>
  <si>
    <t>Ernie Riepe</t>
  </si>
  <si>
    <t>302 S 31st St Apt B</t>
  </si>
  <si>
    <t>Fairfield</t>
  </si>
  <si>
    <t>52556-9080</t>
  </si>
  <si>
    <t>debbie.riepe@gmail.com</t>
  </si>
  <si>
    <t>ALQ1411FE020</t>
  </si>
  <si>
    <t>ALR191203C13</t>
  </si>
  <si>
    <t>Bagwell</t>
  </si>
  <si>
    <t>Diana Bagwell</t>
  </si>
  <si>
    <t>615 Laurel Lake Dr Apt A205</t>
  </si>
  <si>
    <t>28722-7426</t>
  </si>
  <si>
    <t>dsbagwell2866@gmail.com</t>
  </si>
  <si>
    <t>dsbagwrll2966@gmail.com</t>
  </si>
  <si>
    <t>ALQ1411BE020</t>
  </si>
  <si>
    <t>ALA19020B34C</t>
  </si>
  <si>
    <t>27886 Peach Orchard Rd</t>
  </si>
  <si>
    <t>21601-8200</t>
  </si>
  <si>
    <t>eugenia@rockisland.com</t>
  </si>
  <si>
    <t>ALA2112D5EM1</t>
  </si>
  <si>
    <t>ALR031004004</t>
  </si>
  <si>
    <t>Alvine</t>
  </si>
  <si>
    <t>Robert Alvine</t>
  </si>
  <si>
    <t>55 N Racebrook Rd</t>
  </si>
  <si>
    <t>06525-1407</t>
  </si>
  <si>
    <t>ialv@aol.com</t>
  </si>
  <si>
    <t>ALQ1407DA306</t>
  </si>
  <si>
    <t>ALL24030C53M</t>
  </si>
  <si>
    <t>ALL24020B53M</t>
  </si>
  <si>
    <t>Marge Zimnes</t>
  </si>
  <si>
    <t>36 Banstead Way</t>
  </si>
  <si>
    <t>ATA190201001</t>
  </si>
  <si>
    <t>Gibson</t>
  </si>
  <si>
    <t>Catherine Gibson</t>
  </si>
  <si>
    <t>45 W 60th St Apt 31G</t>
  </si>
  <si>
    <t>10023-7948</t>
  </si>
  <si>
    <t>cheyann.vandyke@gmail.com</t>
  </si>
  <si>
    <t>cgibsongreen@yahoo.com</t>
  </si>
  <si>
    <t>ALQ1410ED018</t>
  </si>
  <si>
    <t>Mrs. Diane Reba</t>
  </si>
  <si>
    <t>5519 Old National Pike</t>
  </si>
  <si>
    <t>21702-3650</t>
  </si>
  <si>
    <t>dcreba@comcast.net</t>
  </si>
  <si>
    <t>ALQ1501N1WSC</t>
  </si>
  <si>
    <t>ALA24010E54H</t>
  </si>
  <si>
    <t>Alyce</t>
  </si>
  <si>
    <t>Alyce Smith</t>
  </si>
  <si>
    <t>102 Ben Neuis Pl</t>
  </si>
  <si>
    <t>Fredericksbrg</t>
  </si>
  <si>
    <t>22405-2066</t>
  </si>
  <si>
    <t>civwarlady@aol.com</t>
  </si>
  <si>
    <t>ALA20100A42A</t>
  </si>
  <si>
    <t>Noelle</t>
  </si>
  <si>
    <t>Silk</t>
  </si>
  <si>
    <t>Noelle Silk</t>
  </si>
  <si>
    <t>5205 SW 77th Ter</t>
  </si>
  <si>
    <t>32608-4409</t>
  </si>
  <si>
    <t>nsilk04@aol.com</t>
  </si>
  <si>
    <t>ALQ1404FK008</t>
  </si>
  <si>
    <t>Kathleen Sheridan</t>
  </si>
  <si>
    <t>10240 Hendley Rd Apt 138</t>
  </si>
  <si>
    <t>Manassas</t>
  </si>
  <si>
    <t>20110-3402</t>
  </si>
  <si>
    <t>47swimmer@gmail.com</t>
  </si>
  <si>
    <t>ALQ1412FF046</t>
  </si>
  <si>
    <t>Hoefer</t>
  </si>
  <si>
    <t>4704 Valdina Way</t>
  </si>
  <si>
    <t>92124-2433</t>
  </si>
  <si>
    <t>mariehoefer99@gmail.com</t>
  </si>
  <si>
    <t>mawmawandpawpawgool@hotmail.com</t>
  </si>
  <si>
    <t>ALQ1412AF024</t>
  </si>
  <si>
    <t>ALL19120A53M</t>
  </si>
  <si>
    <t>Jeffrey Wood</t>
  </si>
  <si>
    <t>920 E Madison St</t>
  </si>
  <si>
    <t>52353-1854</t>
  </si>
  <si>
    <t>o_e_mastiff@yahoo.com</t>
  </si>
  <si>
    <t>Kaup</t>
  </si>
  <si>
    <t>Ms. Linda Kaup</t>
  </si>
  <si>
    <t>71 Briarwood Dr</t>
  </si>
  <si>
    <t>22405-2825</t>
  </si>
  <si>
    <t>ljkaup@gmail.com</t>
  </si>
  <si>
    <t>ALQ1412BF022</t>
  </si>
  <si>
    <t>ALL22110B4BM</t>
  </si>
  <si>
    <t>ALR160101131</t>
  </si>
  <si>
    <t>Lawrence French</t>
  </si>
  <si>
    <t>3648 Reddington Cir</t>
  </si>
  <si>
    <t>60124-4376</t>
  </si>
  <si>
    <t>larryfrench_1@comcast.net</t>
  </si>
  <si>
    <t>ALQ1412BF006</t>
  </si>
  <si>
    <t>Mcdonough</t>
  </si>
  <si>
    <t>Joel Mcdonough</t>
  </si>
  <si>
    <t>1842 O St</t>
  </si>
  <si>
    <t>95501-3070</t>
  </si>
  <si>
    <t>hrcjoel@yahoo.com</t>
  </si>
  <si>
    <t>kkrishsu@yahoo.com</t>
  </si>
  <si>
    <t>ALQ1412AF011</t>
  </si>
  <si>
    <t>ALR190711C30</t>
  </si>
  <si>
    <t>Held</t>
  </si>
  <si>
    <t>Ms. Susan L. Held</t>
  </si>
  <si>
    <t>4414 Buena Vista St Apt 12</t>
  </si>
  <si>
    <t>75205-4192</t>
  </si>
  <si>
    <t>ALQ1412AF025</t>
  </si>
  <si>
    <t>Nimmo</t>
  </si>
  <si>
    <t>Del W. Nimmo</t>
  </si>
  <si>
    <t>139 Alhambra Dr</t>
  </si>
  <si>
    <t>81005-3909</t>
  </si>
  <si>
    <t>delnimmo@sprynet.com</t>
  </si>
  <si>
    <t>ALQ1412EF015</t>
  </si>
  <si>
    <t>ALA16010D14A</t>
  </si>
  <si>
    <t>Suzanne and Donald Zachary</t>
  </si>
  <si>
    <t>Suzanne and Donald</t>
  </si>
  <si>
    <t>371 Brockmont Dr</t>
  </si>
  <si>
    <t>91202-1302</t>
  </si>
  <si>
    <t>donaldlzachary@gmail.com</t>
  </si>
  <si>
    <t>Ponder</t>
  </si>
  <si>
    <t>Ms. Joann Ponder</t>
  </si>
  <si>
    <t>2422 Willow Ave</t>
  </si>
  <si>
    <t>Rapid City</t>
  </si>
  <si>
    <t>57701-7205</t>
  </si>
  <si>
    <t>joponder@wowway.com</t>
  </si>
  <si>
    <t>ALQ1412MF050</t>
  </si>
  <si>
    <t>Covel</t>
  </si>
  <si>
    <t>Mr. Jeffrey Covel</t>
  </si>
  <si>
    <t>3016 N Underwood St</t>
  </si>
  <si>
    <t>22213-1615</t>
  </si>
  <si>
    <t>covel@verizon.net</t>
  </si>
  <si>
    <t>ALQ1501AG023</t>
  </si>
  <si>
    <t>ALL23110A42M</t>
  </si>
  <si>
    <t>Pete</t>
  </si>
  <si>
    <t>Dunda</t>
  </si>
  <si>
    <t>USAF Ret</t>
  </si>
  <si>
    <t>Lieutenant Colonel Pete D. Dunda USAF Ret</t>
  </si>
  <si>
    <t>6966 County Road 742</t>
  </si>
  <si>
    <t>Almont</t>
  </si>
  <si>
    <t>81210-9703</t>
  </si>
  <si>
    <t>pstaylorriver@gmail.com</t>
  </si>
  <si>
    <t>ALQ1501HG018</t>
  </si>
  <si>
    <t>ALR210407C33</t>
  </si>
  <si>
    <t>Levitan</t>
  </si>
  <si>
    <t>Joanne Levitan</t>
  </si>
  <si>
    <t>23350 Clairwood Street</t>
  </si>
  <si>
    <t>St Clr Shores</t>
  </si>
  <si>
    <t>48080-3415</t>
  </si>
  <si>
    <t>jlevitanmd@sbcglobal.net</t>
  </si>
  <si>
    <t>ALQ1501AG027</t>
  </si>
  <si>
    <t>Brehm</t>
  </si>
  <si>
    <t>Debbie Brehm</t>
  </si>
  <si>
    <t>5710 Cacias Rd</t>
  </si>
  <si>
    <t>78222-5702</t>
  </si>
  <si>
    <t>dbrehm5710@sbcglobal.net</t>
  </si>
  <si>
    <t>ALQ1501HG012</t>
  </si>
  <si>
    <t>ALR2020FBSMC</t>
  </si>
  <si>
    <t>William Albert</t>
  </si>
  <si>
    <t>2451 County Road 132</t>
  </si>
  <si>
    <t>Hutto</t>
  </si>
  <si>
    <t>78634-5208</t>
  </si>
  <si>
    <t>frances.albert@gmail.com</t>
  </si>
  <si>
    <t>ALQ1501HG026</t>
  </si>
  <si>
    <t>ALA22120A23A</t>
  </si>
  <si>
    <t>Spatz</t>
  </si>
  <si>
    <t>Debra K. Spatz</t>
  </si>
  <si>
    <t>1725 Forest Glen Dr</t>
  </si>
  <si>
    <t>Prince Frederick</t>
  </si>
  <si>
    <t>20678-4514</t>
  </si>
  <si>
    <t>spatzdo@comcast.net</t>
  </si>
  <si>
    <t>ALQ1501HG040</t>
  </si>
  <si>
    <t>Cynthia L. Davis</t>
  </si>
  <si>
    <t>1724 Oakmont Dr Apt 2</t>
  </si>
  <si>
    <t>94595-2020</t>
  </si>
  <si>
    <t>cldavis56@gmail.com</t>
  </si>
  <si>
    <t>cynthiadavisfake@npca.org</t>
  </si>
  <si>
    <t>ALQ1502FH004</t>
  </si>
  <si>
    <t>Kuntz</t>
  </si>
  <si>
    <t>Mrs. Susan D. Kuntz</t>
  </si>
  <si>
    <t>590 Hershey Rd</t>
  </si>
  <si>
    <t>17036-9402</t>
  </si>
  <si>
    <t>sueed4@yahoo.com</t>
  </si>
  <si>
    <t>ALA16110C24R</t>
  </si>
  <si>
    <t>Schaejbe</t>
  </si>
  <si>
    <t>Mr. Fred Schaejbe</t>
  </si>
  <si>
    <t>W4871 County Road A</t>
  </si>
  <si>
    <t>Fredonia</t>
  </si>
  <si>
    <t>53021-9226</t>
  </si>
  <si>
    <t>ALQ1502GH023</t>
  </si>
  <si>
    <t>Detharidge</t>
  </si>
  <si>
    <t>Mrs. Melanie Detharidge</t>
  </si>
  <si>
    <t>1978 E Calle De Caballos</t>
  </si>
  <si>
    <t>85284-2534</t>
  </si>
  <si>
    <t>mdetharidge@gmail.com</t>
  </si>
  <si>
    <t>ALQ1502EH009</t>
  </si>
  <si>
    <t>Considine</t>
  </si>
  <si>
    <t>Pat Considine</t>
  </si>
  <si>
    <t>4904 Sunnybrook Dr</t>
  </si>
  <si>
    <t>51106-4235</t>
  </si>
  <si>
    <t>jconsidine18@gmail.com</t>
  </si>
  <si>
    <t>ALQ1502EH018</t>
  </si>
  <si>
    <t>Ms. Mary K. Lewis</t>
  </si>
  <si>
    <t>569 Trout Way</t>
  </si>
  <si>
    <t>94558-3767</t>
  </si>
  <si>
    <t>ALQ1502CH005</t>
  </si>
  <si>
    <t>Ms. Carole Perkins</t>
  </si>
  <si>
    <t>2550 W Thornton Lake Dr NW</t>
  </si>
  <si>
    <t>97321-1370</t>
  </si>
  <si>
    <t>george.perkins@cox.net</t>
  </si>
  <si>
    <t>ALQ1502GH020</t>
  </si>
  <si>
    <t>ALR220106C23</t>
  </si>
  <si>
    <t>Mr. John D. Croes</t>
  </si>
  <si>
    <t>50 Woodmont Ave Unit A108</t>
  </si>
  <si>
    <t>Londonderry</t>
  </si>
  <si>
    <t>03053-3420</t>
  </si>
  <si>
    <t>croesjohn@gmail.com</t>
  </si>
  <si>
    <t>ALQ1404FK019</t>
  </si>
  <si>
    <t>ALA1809D1EMC</t>
  </si>
  <si>
    <t>Elen Costello</t>
  </si>
  <si>
    <t>Patricia Elen Costello</t>
  </si>
  <si>
    <t>202 Brooksby Village Dr Unit 529</t>
  </si>
  <si>
    <t>01960-8506</t>
  </si>
  <si>
    <t>pecostello@verizon.net</t>
  </si>
  <si>
    <t>pat.costello@cancer.org</t>
  </si>
  <si>
    <t>ALQ1410MD023</t>
  </si>
  <si>
    <t>Singler</t>
  </si>
  <si>
    <t>Robert E. Singler</t>
  </si>
  <si>
    <t>359 Main St Unit 24A</t>
  </si>
  <si>
    <t>Easthampton</t>
  </si>
  <si>
    <t>01027-1980</t>
  </si>
  <si>
    <t>resingler@verizon.net</t>
  </si>
  <si>
    <t>ALQ1502CH001</t>
  </si>
  <si>
    <t>Perreault</t>
  </si>
  <si>
    <t>Ben Perreault</t>
  </si>
  <si>
    <t>24 Iroquois Rd</t>
  </si>
  <si>
    <t>Enfield</t>
  </si>
  <si>
    <t>06082-6123</t>
  </si>
  <si>
    <t>bperreault2@cox.net</t>
  </si>
  <si>
    <t>ALQ1503HJ024</t>
  </si>
  <si>
    <t>ALR200708C33</t>
  </si>
  <si>
    <t>754 Lincoln Avenue</t>
  </si>
  <si>
    <t>Lake Bluff</t>
  </si>
  <si>
    <t>Elizabeth Laurence</t>
  </si>
  <si>
    <t>PO Box 2056</t>
  </si>
  <si>
    <t>Tamuk Station</t>
  </si>
  <si>
    <t>78363-8320</t>
  </si>
  <si>
    <t>elizabeth.laurence@hotmail.com</t>
  </si>
  <si>
    <t>ALQ1503HJ012</t>
  </si>
  <si>
    <t>ALL19110D73S</t>
  </si>
  <si>
    <t>Mary Wozniak</t>
  </si>
  <si>
    <t>127 Daketown Rd</t>
  </si>
  <si>
    <t>Greenfield Center</t>
  </si>
  <si>
    <t>12833-1112</t>
  </si>
  <si>
    <t>wozkm@juno.com</t>
  </si>
  <si>
    <t>wozkm@nycap.rr.com</t>
  </si>
  <si>
    <t>ALQ1503HJ005</t>
  </si>
  <si>
    <t>Trisha</t>
  </si>
  <si>
    <t>Pietryzk</t>
  </si>
  <si>
    <t>Trisha Pietryzk</t>
  </si>
  <si>
    <t>1732 Minnesota Ave</t>
  </si>
  <si>
    <t>North Fond Du Lac</t>
  </si>
  <si>
    <t>54937-1033</t>
  </si>
  <si>
    <t>dalelease60@gmail.com</t>
  </si>
  <si>
    <t>ALZ150002004</t>
  </si>
  <si>
    <t>ALR230104C44</t>
  </si>
  <si>
    <t>Crombie</t>
  </si>
  <si>
    <t>Mrs. Maria Crombie</t>
  </si>
  <si>
    <t>6839 Shadowood St</t>
  </si>
  <si>
    <t>92506-6284</t>
  </si>
  <si>
    <t>mcrombie@charter.net</t>
  </si>
  <si>
    <t>ALA1504N8WSC</t>
  </si>
  <si>
    <t>Spagnuolo</t>
  </si>
  <si>
    <t>Peter J. Spagnuolo</t>
  </si>
  <si>
    <t>1517 Washington Blvd</t>
  </si>
  <si>
    <t>Williamsport</t>
  </si>
  <si>
    <t>17701-5426</t>
  </si>
  <si>
    <t>tatquack@aol.com</t>
  </si>
  <si>
    <t>munimula15@aol.com</t>
  </si>
  <si>
    <t>ALQ1501HG008</t>
  </si>
  <si>
    <t>Chadwick</t>
  </si>
  <si>
    <t>Lynn A. Chadwick</t>
  </si>
  <si>
    <t>2190 S Rimrock Dr</t>
  </si>
  <si>
    <t>Idaho Falls</t>
  </si>
  <si>
    <t>83401-8045</t>
  </si>
  <si>
    <t>lynnandsuechad@earthlink.net</t>
  </si>
  <si>
    <t>lynnchad3457@gmail.com</t>
  </si>
  <si>
    <t>ALQ1503HJ040</t>
  </si>
  <si>
    <t>Ransom</t>
  </si>
  <si>
    <t>Mrs. Kelly Ransom</t>
  </si>
  <si>
    <t>30 Old Mill Rd</t>
  </si>
  <si>
    <t>Brocton</t>
  </si>
  <si>
    <t>14716-9739</t>
  </si>
  <si>
    <t>kellykayransom@hotmail.com</t>
  </si>
  <si>
    <t>ALQ15040W001</t>
  </si>
  <si>
    <t>Hudson-Taylor</t>
  </si>
  <si>
    <t>Mrs. Diana E. and Mr. Norman A. Hudson-Taylor</t>
  </si>
  <si>
    <t>Diana and Norman</t>
  </si>
  <si>
    <t>7210 River Crescent Dr</t>
  </si>
  <si>
    <t>21401-7727</t>
  </si>
  <si>
    <t>dhudson_taylor@yahoo.com</t>
  </si>
  <si>
    <t>ALQ1503HJ026</t>
  </si>
  <si>
    <t>Zaruba</t>
  </si>
  <si>
    <t>Robert Zaruba</t>
  </si>
  <si>
    <t>4736 Tonga Dr</t>
  </si>
  <si>
    <t>63128-3122</t>
  </si>
  <si>
    <t>zubie27@yahoo.com</t>
  </si>
  <si>
    <t>ALQ1503GJ020</t>
  </si>
  <si>
    <t>ALR200402C44</t>
  </si>
  <si>
    <t>Damian</t>
  </si>
  <si>
    <t>Damian T. Macey</t>
  </si>
  <si>
    <t>62441-0011</t>
  </si>
  <si>
    <t>bencanswim@gmail.com</t>
  </si>
  <si>
    <t>ALA23110B13A</t>
  </si>
  <si>
    <t>ALR160503031</t>
  </si>
  <si>
    <t>Elchert</t>
  </si>
  <si>
    <t>Carol Elchert</t>
  </si>
  <si>
    <t>PO Box 572</t>
  </si>
  <si>
    <t>Findlay</t>
  </si>
  <si>
    <t>45839-0572</t>
  </si>
  <si>
    <t>william.elchert@yahoo.com</t>
  </si>
  <si>
    <t>ALQ1412FF034</t>
  </si>
  <si>
    <t>ALR231105C44</t>
  </si>
  <si>
    <t>Fry</t>
  </si>
  <si>
    <t>7533 Tom's Way S.E.</t>
  </si>
  <si>
    <t>woodenvalley@hotmail.com</t>
  </si>
  <si>
    <t>Clare</t>
  </si>
  <si>
    <t>Clare A. Whitney</t>
  </si>
  <si>
    <t>9360 E Center Ave Apt 5C</t>
  </si>
  <si>
    <t>80247-1417</t>
  </si>
  <si>
    <t>cla9ken8@gmail.com</t>
  </si>
  <si>
    <t>Ms. Laura Fischer</t>
  </si>
  <si>
    <t>2350 Brentwood St</t>
  </si>
  <si>
    <t>80214-5545</t>
  </si>
  <si>
    <t>ljfischer100@comcast.net</t>
  </si>
  <si>
    <t>ALQ1502GH036</t>
  </si>
  <si>
    <t>ALR160504144</t>
  </si>
  <si>
    <t>London</t>
  </si>
  <si>
    <t>Charles London</t>
  </si>
  <si>
    <t>6252 Turnberry Dr</t>
  </si>
  <si>
    <t>Banning</t>
  </si>
  <si>
    <t>92220-7535</t>
  </si>
  <si>
    <t>dragon39k@gmail.com</t>
  </si>
  <si>
    <t>ALQ1504FK022</t>
  </si>
  <si>
    <t>ALA24020B53H</t>
  </si>
  <si>
    <t>ALA20040B24A</t>
  </si>
  <si>
    <t>Braddock</t>
  </si>
  <si>
    <t>Jane Braddock</t>
  </si>
  <si>
    <t>4835 Graber Rd</t>
  </si>
  <si>
    <t>44627-9736</t>
  </si>
  <si>
    <t>braddockjeb@gmail.com</t>
  </si>
  <si>
    <t>ALQ1504AK018</t>
  </si>
  <si>
    <t>ALR160502131</t>
  </si>
  <si>
    <t>Heiller</t>
  </si>
  <si>
    <t>Ms. Cynthia Heiller</t>
  </si>
  <si>
    <t>3953 Guerneville Rd</t>
  </si>
  <si>
    <t>95401-3832</t>
  </si>
  <si>
    <t>gwpdoc@gmail.com</t>
  </si>
  <si>
    <t>gwpdoc@sbcglobal.net</t>
  </si>
  <si>
    <t>ALQ1504DK003</t>
  </si>
  <si>
    <t>Beryl</t>
  </si>
  <si>
    <t>Beryl and John Rose</t>
  </si>
  <si>
    <t>Beryl and John</t>
  </si>
  <si>
    <t>13149 Zen Gardens Way</t>
  </si>
  <si>
    <t>78732-1657</t>
  </si>
  <si>
    <t>ALQ1504AK017</t>
  </si>
  <si>
    <t>ATN220101001</t>
  </si>
  <si>
    <t>Herzog</t>
  </si>
  <si>
    <t>John Herzog</t>
  </si>
  <si>
    <t>824 Harbor Rd</t>
  </si>
  <si>
    <t>Southport</t>
  </si>
  <si>
    <t>06890-1410</t>
  </si>
  <si>
    <t>john@herzogandco.com</t>
  </si>
  <si>
    <t>ALQ1504CK001</t>
  </si>
  <si>
    <t>ALA19110E54H</t>
  </si>
  <si>
    <t>Dr. Helen Moore</t>
  </si>
  <si>
    <t>421 S 54th St</t>
  </si>
  <si>
    <t>68510-2004</t>
  </si>
  <si>
    <t>hmoore1@unl.edu</t>
  </si>
  <si>
    <t>ABR170001001</t>
  </si>
  <si>
    <t>ALA19070D42R</t>
  </si>
  <si>
    <t>Eagon</t>
  </si>
  <si>
    <t>Diane Eagon</t>
  </si>
  <si>
    <t>7024 Sandwich Ln</t>
  </si>
  <si>
    <t>17222-9285</t>
  </si>
  <si>
    <t>clark5432@gmail.com</t>
  </si>
  <si>
    <t>ALQ1500BHDM1</t>
  </si>
  <si>
    <t>Mr. Scott Chapman</t>
  </si>
  <si>
    <t>511 W 11th St</t>
  </si>
  <si>
    <t>98362-7307</t>
  </si>
  <si>
    <t>uiott423@gmail.com</t>
  </si>
  <si>
    <t>ALQ1505CL013</t>
  </si>
  <si>
    <t>Jolene</t>
  </si>
  <si>
    <t>Wallin</t>
  </si>
  <si>
    <t>Jolene Wallin</t>
  </si>
  <si>
    <t>1390 Lumber Ave</t>
  </si>
  <si>
    <t>Essex</t>
  </si>
  <si>
    <t>51638-4607</t>
  </si>
  <si>
    <t>Elly</t>
  </si>
  <si>
    <t>830 Jonathan Ln</t>
  </si>
  <si>
    <t>48302-2915</t>
  </si>
  <si>
    <t>ellyben2003@comcast.net</t>
  </si>
  <si>
    <t>ALQ1505CL019</t>
  </si>
  <si>
    <t>ALS1601T523N</t>
  </si>
  <si>
    <t>Mrs. Denise Stephens</t>
  </si>
  <si>
    <t>120 Broadway</t>
  </si>
  <si>
    <t>95642-2411</t>
  </si>
  <si>
    <t>denise.stephens@comcast.net</t>
  </si>
  <si>
    <t>denise_stephens@comcast.net</t>
  </si>
  <si>
    <t>ATR200201001</t>
  </si>
  <si>
    <t>Mrs. Marjorie S. Cooper</t>
  </si>
  <si>
    <t>17121 SE 331st St</t>
  </si>
  <si>
    <t>98092-2715</t>
  </si>
  <si>
    <t>mcoopwa@comcast.net</t>
  </si>
  <si>
    <t>ALQ15070W001</t>
  </si>
  <si>
    <t>ALA23070A34R</t>
  </si>
  <si>
    <t>Pfeffer</t>
  </si>
  <si>
    <t>Mr. William H. Pfeffer</t>
  </si>
  <si>
    <t>229 Cook Rd</t>
  </si>
  <si>
    <t>06712-1818</t>
  </si>
  <si>
    <t>whpfeff@aol.com</t>
  </si>
  <si>
    <t>ALQ1507DA224</t>
  </si>
  <si>
    <t>Ms. Susan L. Nigro</t>
  </si>
  <si>
    <t>1095 Pinellas Point Dr S Apt 305</t>
  </si>
  <si>
    <t>33705-6371</t>
  </si>
  <si>
    <t>petct@aol.com</t>
  </si>
  <si>
    <t>ALQ1507DA213</t>
  </si>
  <si>
    <t>ALA180102999</t>
  </si>
  <si>
    <t>Janice Scott</t>
  </si>
  <si>
    <t>1218 Doralee Dr</t>
  </si>
  <si>
    <t>Mogadore</t>
  </si>
  <si>
    <t>44260-9737</t>
  </si>
  <si>
    <t>ALQ1507BA103</t>
  </si>
  <si>
    <t>ALR220104C44</t>
  </si>
  <si>
    <t>Carl H. Fowler</t>
  </si>
  <si>
    <t>178 Meadowrun Rd</t>
  </si>
  <si>
    <t>Williston</t>
  </si>
  <si>
    <t>05495-7507</t>
  </si>
  <si>
    <t>railvt@comcast.net</t>
  </si>
  <si>
    <t>railvt@together.net</t>
  </si>
  <si>
    <t>Sigrist</t>
  </si>
  <si>
    <t>Ronald Sigrist</t>
  </si>
  <si>
    <t>4383 Creekridge Ln</t>
  </si>
  <si>
    <t>27284-9635</t>
  </si>
  <si>
    <t>ronaldsigrist@triad.rr.com</t>
  </si>
  <si>
    <t>ALQ1507CA209</t>
  </si>
  <si>
    <t>Mrs. Kelly and Mr. Michael E. Bean</t>
  </si>
  <si>
    <t>Kelly and Michael</t>
  </si>
  <si>
    <t>Hustonville</t>
  </si>
  <si>
    <t>40437-0412</t>
  </si>
  <si>
    <t>marilynbean@gmail.com</t>
  </si>
  <si>
    <t>revbean@sbcglobal.net</t>
  </si>
  <si>
    <t>ALZ150001001</t>
  </si>
  <si>
    <t>kluo1@yahoo.com</t>
  </si>
  <si>
    <t>Wayne Miller</t>
  </si>
  <si>
    <t>3502 72nd St</t>
  </si>
  <si>
    <t>Moline</t>
  </si>
  <si>
    <t>61265-8038</t>
  </si>
  <si>
    <t>wayneandjoan@mchsi.com</t>
  </si>
  <si>
    <t>ALR190801044</t>
  </si>
  <si>
    <t>Abram</t>
  </si>
  <si>
    <t>Mr. Abram Keating</t>
  </si>
  <si>
    <t>5041 Chinquapin Ln</t>
  </si>
  <si>
    <t>Mayslick</t>
  </si>
  <si>
    <t>41055-9506</t>
  </si>
  <si>
    <t>akeating4@hotmail.com</t>
  </si>
  <si>
    <t>ALQ15080WHPE</t>
  </si>
  <si>
    <t>Juneau</t>
  </si>
  <si>
    <t>Cindi Juneau</t>
  </si>
  <si>
    <t>2950 Estates Ave Apt 9</t>
  </si>
  <si>
    <t>Pinole</t>
  </si>
  <si>
    <t>94564-1437</t>
  </si>
  <si>
    <t>cindijuneau@msn.com</t>
  </si>
  <si>
    <t>ALQ1507JA340</t>
  </si>
  <si>
    <t>ALR191002C23</t>
  </si>
  <si>
    <t>Schumacher</t>
  </si>
  <si>
    <t>Larry and Casey Schumacher</t>
  </si>
  <si>
    <t>Larry and Casey</t>
  </si>
  <si>
    <t>265 Cherry St</t>
  </si>
  <si>
    <t>37403-1011</t>
  </si>
  <si>
    <t>lawrenceschumacher@hotmail.com</t>
  </si>
  <si>
    <t>ALQ1507EA310</t>
  </si>
  <si>
    <t>ALQ2108AB010</t>
  </si>
  <si>
    <t>Mr. Thomas Scott</t>
  </si>
  <si>
    <t>2544 Weddington Ave Apt 2320</t>
  </si>
  <si>
    <t>28204-1007</t>
  </si>
  <si>
    <t>scott.tc127@gmail.com</t>
  </si>
  <si>
    <t>ALA1400LBWD1</t>
  </si>
  <si>
    <t>Rachaele</t>
  </si>
  <si>
    <t>Rachaele Phillips</t>
  </si>
  <si>
    <t>6118 Edith Blvd NE Unit 147</t>
  </si>
  <si>
    <t>87107-5072</t>
  </si>
  <si>
    <t>bobphillips4@msn.com</t>
  </si>
  <si>
    <t>ALQ1507JA335</t>
  </si>
  <si>
    <t>ALA24020A23R</t>
  </si>
  <si>
    <t>Buker</t>
  </si>
  <si>
    <t>Mrs. Julie Buker</t>
  </si>
  <si>
    <t>905 Wornall St</t>
  </si>
  <si>
    <t>Neosho</t>
  </si>
  <si>
    <t>64850-2029</t>
  </si>
  <si>
    <t>julieqb57@gmail.com</t>
  </si>
  <si>
    <t>ron.d.buker@gmail.com</t>
  </si>
  <si>
    <t>ALQ1507CA314</t>
  </si>
  <si>
    <t>Kaukola</t>
  </si>
  <si>
    <t>Steven Kaukola</t>
  </si>
  <si>
    <t>4278 Corn Silk Ln</t>
  </si>
  <si>
    <t>55129-2213</t>
  </si>
  <si>
    <t>kaukolasw@yahoo.com</t>
  </si>
  <si>
    <t>kaukolasw@gmail.com</t>
  </si>
  <si>
    <t>ALQ1507JA334</t>
  </si>
  <si>
    <t>Mcvicker</t>
  </si>
  <si>
    <t>Dr. Maryellen H. Mcvicker</t>
  </si>
  <si>
    <t>22151 Highway 98</t>
  </si>
  <si>
    <t>Boonville</t>
  </si>
  <si>
    <t>65233-3022</t>
  </si>
  <si>
    <t>bahpetdoc@socket.net</t>
  </si>
  <si>
    <t>ALQ1507JA341</t>
  </si>
  <si>
    <t>Porvaznik</t>
  </si>
  <si>
    <t>Mr. Rick Porvaznik</t>
  </si>
  <si>
    <t>3285 Trafalgar Ave</t>
  </si>
  <si>
    <t>East Stroudsburg</t>
  </si>
  <si>
    <t>18302-8463</t>
  </si>
  <si>
    <t>rickporvaznik@gmail.com</t>
  </si>
  <si>
    <t>ALA15XXN1MWC</t>
  </si>
  <si>
    <t>ALR180900EMC</t>
  </si>
  <si>
    <t>Deidre</t>
  </si>
  <si>
    <t>Goulding</t>
  </si>
  <si>
    <t>Ms. Deidre Goulding</t>
  </si>
  <si>
    <t>46 S Pleasant St</t>
  </si>
  <si>
    <t>05060-1365</t>
  </si>
  <si>
    <t>dagoulding@gmail.com</t>
  </si>
  <si>
    <t>ALQ1512N6EMC</t>
  </si>
  <si>
    <t>ALR161200EMC</t>
  </si>
  <si>
    <t>Nowell</t>
  </si>
  <si>
    <t>1526 Club Dr</t>
  </si>
  <si>
    <t>Lynchburg</t>
  </si>
  <si>
    <t>24503-2557</t>
  </si>
  <si>
    <t>nowellpamela1@gmail.com</t>
  </si>
  <si>
    <t>ALQ1510N2EMC</t>
  </si>
  <si>
    <t>Mrs. Mary Parker</t>
  </si>
  <si>
    <t>20212 Old World Dr</t>
  </si>
  <si>
    <t>73045-9138</t>
  </si>
  <si>
    <t>mkqueen54@gmail.com</t>
  </si>
  <si>
    <t>mkqueen@cox.net</t>
  </si>
  <si>
    <t>ALQ1608GB038</t>
  </si>
  <si>
    <t>Mel</t>
  </si>
  <si>
    <t>Yosso</t>
  </si>
  <si>
    <t>Bishop Mel R. Yosso</t>
  </si>
  <si>
    <t>350 W 21st St</t>
  </si>
  <si>
    <t>Wisdom Church</t>
  </si>
  <si>
    <t>10011-3318</t>
  </si>
  <si>
    <t>ALQ1507BA308</t>
  </si>
  <si>
    <t>ALR181214C20</t>
  </si>
  <si>
    <t>ALQ1609GC034</t>
  </si>
  <si>
    <t>Ms. Nancy H. Burns</t>
  </si>
  <si>
    <t>4115 E 119th Pl Apt A</t>
  </si>
  <si>
    <t>80233-1757</t>
  </si>
  <si>
    <t>nancyhburns@comcast.net</t>
  </si>
  <si>
    <t>nancy.burns1@comcast.net</t>
  </si>
  <si>
    <t>ALQ15XX01WS2</t>
  </si>
  <si>
    <t>Coombes</t>
  </si>
  <si>
    <t>Ms. Jill Coombes</t>
  </si>
  <si>
    <t>7628 E Calle Durango</t>
  </si>
  <si>
    <t>92808-1030</t>
  </si>
  <si>
    <t>gcoombes@hotmail.com</t>
  </si>
  <si>
    <t>ALQ1507GA305</t>
  </si>
  <si>
    <t>Sändra</t>
  </si>
  <si>
    <t>Ms. Sändra J. Washington and Ms. Deb L. Cirksena</t>
  </si>
  <si>
    <t>Sändra and Deb</t>
  </si>
  <si>
    <t>2601 S 24th St</t>
  </si>
  <si>
    <t>68502-4009</t>
  </si>
  <si>
    <t>swashing1@aol.com</t>
  </si>
  <si>
    <t>ALQ15090W001</t>
  </si>
  <si>
    <t>CDG240001C01</t>
  </si>
  <si>
    <t>ADA190001001B</t>
  </si>
  <si>
    <t>cirksena1@aol.com</t>
  </si>
  <si>
    <t>Lilienstein</t>
  </si>
  <si>
    <t>Mr. Robert W. Lilienstein</t>
  </si>
  <si>
    <t>506 Kensington Way</t>
  </si>
  <si>
    <t>Lodi</t>
  </si>
  <si>
    <t>95242-3422</t>
  </si>
  <si>
    <t>ALQ1507MA344</t>
  </si>
  <si>
    <t>ALA20020B32A</t>
  </si>
  <si>
    <t>Scheib</t>
  </si>
  <si>
    <t>Mrs. Ann B. Scheib</t>
  </si>
  <si>
    <t>1542 Lackey Rd</t>
  </si>
  <si>
    <t>30075-6369</t>
  </si>
  <si>
    <t>acbs60@hotmail.com</t>
  </si>
  <si>
    <t>ALQ1508HB018</t>
  </si>
  <si>
    <t>ALA20050A14A</t>
  </si>
  <si>
    <t>ALA19010B24N</t>
  </si>
  <si>
    <t>Deborah Bailey</t>
  </si>
  <si>
    <t>202 Blue Ridge Vis</t>
  </si>
  <si>
    <t>28805-9742</t>
  </si>
  <si>
    <t>ALQ1507DA314</t>
  </si>
  <si>
    <t>Eustace-Pedlar</t>
  </si>
  <si>
    <t>1100 N Oak Ridge Dr</t>
  </si>
  <si>
    <t>33857-9501</t>
  </si>
  <si>
    <t>sterlingkatz@yahoo.com</t>
  </si>
  <si>
    <t>ALQ1508GB009</t>
  </si>
  <si>
    <t>Elizabeth McDonald</t>
  </si>
  <si>
    <t>2451 Calle Linda</t>
  </si>
  <si>
    <t>87505-6271</t>
  </si>
  <si>
    <t>bethkeough@comcast.net</t>
  </si>
  <si>
    <t>bethkeough12@gmail.com</t>
  </si>
  <si>
    <t>ALQ15100W001</t>
  </si>
  <si>
    <t>ALR210603C33</t>
  </si>
  <si>
    <t>McKendry</t>
  </si>
  <si>
    <t>Mr. and Mrs. John J. McKendry</t>
  </si>
  <si>
    <t>N5249 Astor Rd</t>
  </si>
  <si>
    <t>Iron Ridge</t>
  </si>
  <si>
    <t>53035-9752</t>
  </si>
  <si>
    <t>johnsuemcken@gmail.com</t>
  </si>
  <si>
    <t>smckendry1@gmail.com</t>
  </si>
  <si>
    <t>ALQ1502GH034</t>
  </si>
  <si>
    <t>Bruce Anderson</t>
  </si>
  <si>
    <t>315 11th St</t>
  </si>
  <si>
    <t>Logansport</t>
  </si>
  <si>
    <t>46947-3207</t>
  </si>
  <si>
    <t>oz265@yahoo.com</t>
  </si>
  <si>
    <t>brand1923@hotmail.com</t>
  </si>
  <si>
    <t>ALQ1508DB009</t>
  </si>
  <si>
    <t>Ms. Marianne C. Hudar</t>
  </si>
  <si>
    <t>7510 Ashby Ln Unit G</t>
  </si>
  <si>
    <t>22315-5210</t>
  </si>
  <si>
    <t>mchudar08@gmail.com</t>
  </si>
  <si>
    <t>ALQ1508AB025</t>
  </si>
  <si>
    <t>ALA17070D15A</t>
  </si>
  <si>
    <t>Ellan</t>
  </si>
  <si>
    <t>Ms. Ellan Swartz</t>
  </si>
  <si>
    <t>1243 Roscoe Veazey Rd</t>
  </si>
  <si>
    <t>Manitou</t>
  </si>
  <si>
    <t>42436-9799</t>
  </si>
  <si>
    <t>eswartz321@gmail.com</t>
  </si>
  <si>
    <t>eswartz@wildblue.net</t>
  </si>
  <si>
    <t>ALQ1803N5EMC</t>
  </si>
  <si>
    <t>Heizer</t>
  </si>
  <si>
    <t>David D. Heizer</t>
  </si>
  <si>
    <t>3455 Rawlings Rd</t>
  </si>
  <si>
    <t>Rawlings</t>
  </si>
  <si>
    <t>23876-2019</t>
  </si>
  <si>
    <t>ddheizer@hotmail.com</t>
  </si>
  <si>
    <t>ALR231004C44</t>
  </si>
  <si>
    <t>ALA2005D2EMC</t>
  </si>
  <si>
    <t>1329 Del Mar Dr</t>
  </si>
  <si>
    <t>34759-6144</t>
  </si>
  <si>
    <t>vlrbkr222@gmail.com</t>
  </si>
  <si>
    <t>ALQ1509AC015</t>
  </si>
  <si>
    <t>ALR201012C40</t>
  </si>
  <si>
    <t>Carder-Jackson</t>
  </si>
  <si>
    <t>Ms. Sharon E. Carder-Jackson</t>
  </si>
  <si>
    <t>1504 Reed Ct</t>
  </si>
  <si>
    <t>64024-8217</t>
  </si>
  <si>
    <t>hikepacker@hotmail.com</t>
  </si>
  <si>
    <t>ALR220105C33</t>
  </si>
  <si>
    <t>Jeanine</t>
  </si>
  <si>
    <t>Gary and Jeanine Mills</t>
  </si>
  <si>
    <t>Gary and Jeanine</t>
  </si>
  <si>
    <t>557 Big Goose Rd</t>
  </si>
  <si>
    <t>82801-8616</t>
  </si>
  <si>
    <t>igod69m2@yahoo.com</t>
  </si>
  <si>
    <t>ALQ1508HB035</t>
  </si>
  <si>
    <t>Ms. Sarah Hatton</t>
  </si>
  <si>
    <t>94 Marvin Ave</t>
  </si>
  <si>
    <t>Upper</t>
  </si>
  <si>
    <t>44302-1071</t>
  </si>
  <si>
    <t>threadwerx@roadrunner.com</t>
  </si>
  <si>
    <t>shatton2@gmail.com</t>
  </si>
  <si>
    <t>ALQ20120W001</t>
  </si>
  <si>
    <t>ALA2102D1DMC</t>
  </si>
  <si>
    <t>Darby</t>
  </si>
  <si>
    <t>Ms. Peggy P. Darby</t>
  </si>
  <si>
    <t>2520 Belle Terre Dr</t>
  </si>
  <si>
    <t>35226-2422</t>
  </si>
  <si>
    <t>muffind626@aol.com</t>
  </si>
  <si>
    <t>ALQ1504AK013</t>
  </si>
  <si>
    <t>ALL23020A73M</t>
  </si>
  <si>
    <t>Swider</t>
  </si>
  <si>
    <t>4651 N Oakview St</t>
  </si>
  <si>
    <t>60656-4109</t>
  </si>
  <si>
    <t>ALQ150001999</t>
  </si>
  <si>
    <t>ALA170100001</t>
  </si>
  <si>
    <t>Edwin Goldberg</t>
  </si>
  <si>
    <t>26 Fitzgerald Ln</t>
  </si>
  <si>
    <t>08022-2387</t>
  </si>
  <si>
    <t>ALQ1510FD001</t>
  </si>
  <si>
    <t>ALL22080A52M</t>
  </si>
  <si>
    <t>Mary Etta</t>
  </si>
  <si>
    <t>Hamzawi</t>
  </si>
  <si>
    <t>Ms. Mary Etta Hamzawi</t>
  </si>
  <si>
    <t>520 Diamond Glen Cir</t>
  </si>
  <si>
    <t>Folsom</t>
  </si>
  <si>
    <t>95630-3167</t>
  </si>
  <si>
    <t>hhamzawi@yahoo.com</t>
  </si>
  <si>
    <t>ALQ1509AC006</t>
  </si>
  <si>
    <t>ALR210504C54</t>
  </si>
  <si>
    <t>6180 Wyndotte Rd #6</t>
  </si>
  <si>
    <t>Oroville</t>
  </si>
  <si>
    <t>juliedraymond@yahoo.com</t>
  </si>
  <si>
    <t>ALQ1510CD014</t>
  </si>
  <si>
    <t>ALQ190001999</t>
  </si>
  <si>
    <t>Ms. Cheryl L. Ulmer</t>
  </si>
  <si>
    <t>PO Box 492</t>
  </si>
  <si>
    <t>Attica</t>
  </si>
  <si>
    <t>44807-0492</t>
  </si>
  <si>
    <t>dulmerwvc@yahoo.com</t>
  </si>
  <si>
    <t>ALQ1508AB017</t>
  </si>
  <si>
    <t>Courtright</t>
  </si>
  <si>
    <t>Mr. Mark Courtright</t>
  </si>
  <si>
    <t>4314 E 118th St</t>
  </si>
  <si>
    <t>74137-8304</t>
  </si>
  <si>
    <t>m-k.courtright@sbcglobal.net</t>
  </si>
  <si>
    <t>ALQ1507CA220</t>
  </si>
  <si>
    <t>Eber</t>
  </si>
  <si>
    <t>Ms. Robin Eber</t>
  </si>
  <si>
    <t>28 Peninsula Rd</t>
  </si>
  <si>
    <t>Belvedere Tiburon</t>
  </si>
  <si>
    <t>94920-2326</t>
  </si>
  <si>
    <t>red07@mac.com</t>
  </si>
  <si>
    <t>ALQ1510AD023</t>
  </si>
  <si>
    <t>Aickin</t>
  </si>
  <si>
    <t>Leslie Aickin</t>
  </si>
  <si>
    <t>320 Meadow Rd</t>
  </si>
  <si>
    <t>98368-9426</t>
  </si>
  <si>
    <t>ALQ1510FD008</t>
  </si>
  <si>
    <t>Lai</t>
  </si>
  <si>
    <t>Ho</t>
  </si>
  <si>
    <t>Ms. Lai M. Ho</t>
  </si>
  <si>
    <t>1040 Algregg St</t>
  </si>
  <si>
    <t>77009-4402</t>
  </si>
  <si>
    <t>lisaheath321@yahoo.com</t>
  </si>
  <si>
    <t>ALQ1510GD011</t>
  </si>
  <si>
    <t>ALA230903999</t>
  </si>
  <si>
    <t>ALL20090B7BS</t>
  </si>
  <si>
    <t>Middlecamp</t>
  </si>
  <si>
    <t>Ms. Cathy Middlecamp</t>
  </si>
  <si>
    <t>5480 Caddis Bnd Apt 301</t>
  </si>
  <si>
    <t>Fitchburg</t>
  </si>
  <si>
    <t>53711-7169</t>
  </si>
  <si>
    <t>chmiddle@wisc.edu</t>
  </si>
  <si>
    <t>ALQ1511AE006</t>
  </si>
  <si>
    <t>Gee</t>
  </si>
  <si>
    <t>Connie Gee</t>
  </si>
  <si>
    <t>1121 Brighton Ave</t>
  </si>
  <si>
    <t>94706-1226</t>
  </si>
  <si>
    <t>ALQ1508BB025</t>
  </si>
  <si>
    <t>Mark Johnson</t>
  </si>
  <si>
    <t>PO Box 1712</t>
  </si>
  <si>
    <t>98111-1712</t>
  </si>
  <si>
    <t>mjohnson4g32@gmail.com</t>
  </si>
  <si>
    <t>ALQ1502EH008</t>
  </si>
  <si>
    <t>ALA23030B13R</t>
  </si>
  <si>
    <t>ALR220801C33</t>
  </si>
  <si>
    <t>Mcgovern</t>
  </si>
  <si>
    <t>Liz Mcgovern and Judy Eckert</t>
  </si>
  <si>
    <t>Liz and Judy</t>
  </si>
  <si>
    <t>119 Rutgers Cir</t>
  </si>
  <si>
    <t>38558-8564</t>
  </si>
  <si>
    <t>mcgoverndreams@gmail.com</t>
  </si>
  <si>
    <t>emcgovern@charter.net</t>
  </si>
  <si>
    <t>ALQ1508HB030</t>
  </si>
  <si>
    <t>ALA22060B24R</t>
  </si>
  <si>
    <t>ALA16090A24N</t>
  </si>
  <si>
    <t>Deborah Dwyer</t>
  </si>
  <si>
    <t>2607 Congress St</t>
  </si>
  <si>
    <t>06824-7118</t>
  </si>
  <si>
    <t>ddsquare@aol.com</t>
  </si>
  <si>
    <t>ALQ1511FE001</t>
  </si>
  <si>
    <t>ALA200001MWC</t>
  </si>
  <si>
    <t>Moran</t>
  </si>
  <si>
    <t>Ms. Patricia A. Moran</t>
  </si>
  <si>
    <t>1909 Westview Ave</t>
  </si>
  <si>
    <t>63122-3427</t>
  </si>
  <si>
    <t>moranpa@gmail.com</t>
  </si>
  <si>
    <t>ALQ1511AE015</t>
  </si>
  <si>
    <t>Rosolowski</t>
  </si>
  <si>
    <t>Dennis and Katy</t>
  </si>
  <si>
    <t>234 Michaels Ridge Blvd</t>
  </si>
  <si>
    <t>37615-4491</t>
  </si>
  <si>
    <t>toasters11@gmail.com</t>
  </si>
  <si>
    <t>ALQ1500FBDM1</t>
  </si>
  <si>
    <t>Niemeyer</t>
  </si>
  <si>
    <t>Lynne Niemeyer</t>
  </si>
  <si>
    <t>2462 Boise Ave</t>
  </si>
  <si>
    <t>80538-4271</t>
  </si>
  <si>
    <t>l.ynnstree@gmail.com</t>
  </si>
  <si>
    <t>lynne.niemeyer@gmail.com</t>
  </si>
  <si>
    <t>ALR231006C64</t>
  </si>
  <si>
    <t>Hodge</t>
  </si>
  <si>
    <t>Ms. Barbara B. Hodge</t>
  </si>
  <si>
    <t>12 Echo Ridge Rd</t>
  </si>
  <si>
    <t>Upper Saddle River</t>
  </si>
  <si>
    <t>07458-1312</t>
  </si>
  <si>
    <t>jmchh2@gmail.com</t>
  </si>
  <si>
    <t>ATR200301001</t>
  </si>
  <si>
    <t>ALA18120A56H</t>
  </si>
  <si>
    <t>Mr. Peter K. Friend</t>
  </si>
  <si>
    <t>6339 Thomas Paine Dr</t>
  </si>
  <si>
    <t>23188-8054</t>
  </si>
  <si>
    <t>pufriend@cox.net</t>
  </si>
  <si>
    <t>pvfriend@cox.net</t>
  </si>
  <si>
    <t>ALQ1511ME031</t>
  </si>
  <si>
    <t>ALR210902C33</t>
  </si>
  <si>
    <t>Czeshinski</t>
  </si>
  <si>
    <t>Mr. Alan Czeshinski</t>
  </si>
  <si>
    <t>N8346 Birch Hill Rd</t>
  </si>
  <si>
    <t>54555-6714</t>
  </si>
  <si>
    <t>alcz@pctcnet.net</t>
  </si>
  <si>
    <t>de Vries</t>
  </si>
  <si>
    <t>David de Vries</t>
  </si>
  <si>
    <t>9053 Lincolnwood Dr</t>
  </si>
  <si>
    <t>60203-1824</t>
  </si>
  <si>
    <t>ddevries67@hotmail.com</t>
  </si>
  <si>
    <t>evantdevries@yahoo.com</t>
  </si>
  <si>
    <t>Ms. Debra Hoover</t>
  </si>
  <si>
    <t>1617 Garnette Dr</t>
  </si>
  <si>
    <t>San Luis Obispo</t>
  </si>
  <si>
    <t>93405-6257</t>
  </si>
  <si>
    <t>deblovesvettes@yahoo.com</t>
  </si>
  <si>
    <t>debbiehoover@charter.net</t>
  </si>
  <si>
    <t>ALQ1512EF014</t>
  </si>
  <si>
    <t>James H. Robertson</t>
  </si>
  <si>
    <t>12422 Normont Dr</t>
  </si>
  <si>
    <t>77070-2455</t>
  </si>
  <si>
    <t>future00@aol.com</t>
  </si>
  <si>
    <t>ALQ1507JA332</t>
  </si>
  <si>
    <t>William and Lora Gill</t>
  </si>
  <si>
    <t>William and Lora</t>
  </si>
  <si>
    <t>634 Mallard St</t>
  </si>
  <si>
    <t>42104-7210</t>
  </si>
  <si>
    <t>loragill@gmail.com</t>
  </si>
  <si>
    <t>ALQ1512DF004</t>
  </si>
  <si>
    <t>Mr. Joseph P. Barrett Jr.</t>
  </si>
  <si>
    <t>2200 Baltusrol Dr</t>
  </si>
  <si>
    <t>78747-1204</t>
  </si>
  <si>
    <t>jpbarrett35@att.net</t>
  </si>
  <si>
    <t>Ms. Carol A. Schmidt</t>
  </si>
  <si>
    <t>2755 Summit Rd</t>
  </si>
  <si>
    <t>54202-9221</t>
  </si>
  <si>
    <t>cschmidtfarm2@gmail.com</t>
  </si>
  <si>
    <t>Mr. Jack Daniel</t>
  </si>
  <si>
    <t>E2933 Benrud Ln</t>
  </si>
  <si>
    <t>54701-8581</t>
  </si>
  <si>
    <t>pctonfire@hotmail.com</t>
  </si>
  <si>
    <t>pcbonfire@hotmail.com</t>
  </si>
  <si>
    <t>ALQ1707EA114</t>
  </si>
  <si>
    <t>Mr. Milton S. McCown</t>
  </si>
  <si>
    <t>529 Browning Ave</t>
  </si>
  <si>
    <t>28791-2003</t>
  </si>
  <si>
    <t>sammcrown600@gmail.com</t>
  </si>
  <si>
    <t>sammccown600@gmail.com</t>
  </si>
  <si>
    <t>ALQ1508BB006</t>
  </si>
  <si>
    <t>Mr. Steve Paulson</t>
  </si>
  <si>
    <t>1024 N 25th St</t>
  </si>
  <si>
    <t>59101-0842</t>
  </si>
  <si>
    <t>hills2prairie@gmail.com</t>
  </si>
  <si>
    <t>cathedralspires@montana.net</t>
  </si>
  <si>
    <t>ALAXXXX00WSC</t>
  </si>
  <si>
    <t>Ms. Katherine L. Martin</t>
  </si>
  <si>
    <t>2210 NW Saint Andrews Dr</t>
  </si>
  <si>
    <t>97128-2454</t>
  </si>
  <si>
    <t>klmart.d@gmail.com</t>
  </si>
  <si>
    <t>ALS1300NFDMC</t>
  </si>
  <si>
    <t>O'Neil</t>
  </si>
  <si>
    <t>Ms. Jill O'Neil</t>
  </si>
  <si>
    <t>259 Asbury West Portal Rd</t>
  </si>
  <si>
    <t>08802-1151</t>
  </si>
  <si>
    <t>luvscrafts@gmail.com</t>
  </si>
  <si>
    <t>ALQ1606N1PDC</t>
  </si>
  <si>
    <t>Arey</t>
  </si>
  <si>
    <t>3802 Keehar Ct</t>
  </si>
  <si>
    <t>20774-5451</t>
  </si>
  <si>
    <t>vharrison203@gmail.com</t>
  </si>
  <si>
    <t>varey@npca.org</t>
  </si>
  <si>
    <t>ALR240232EMC</t>
  </si>
  <si>
    <t>ALL2302L2EMY</t>
  </si>
  <si>
    <t>George Johnson</t>
  </si>
  <si>
    <t>628 S Argenta St</t>
  </si>
  <si>
    <t>59725-2309</t>
  </si>
  <si>
    <t>gwj22@gmail.com</t>
  </si>
  <si>
    <t>ALQ1601CG032</t>
  </si>
  <si>
    <t>Tracey</t>
  </si>
  <si>
    <t>Chalifour</t>
  </si>
  <si>
    <t>Ms. Tracey Chalifour</t>
  </si>
  <si>
    <t>25 Clarks Rd Apt 201</t>
  </si>
  <si>
    <t>Amesbury</t>
  </si>
  <si>
    <t>01913-4213</t>
  </si>
  <si>
    <t>tjchali4@aol.com</t>
  </si>
  <si>
    <t>ALQ1601FG027</t>
  </si>
  <si>
    <t>Frick</t>
  </si>
  <si>
    <t>Sandra Frick</t>
  </si>
  <si>
    <t>1985 Baywood Ter</t>
  </si>
  <si>
    <t>34231-4720</t>
  </si>
  <si>
    <t>slflizard2@aol.com</t>
  </si>
  <si>
    <t>phillas222@aol.com</t>
  </si>
  <si>
    <t>ALQ1601DG032</t>
  </si>
  <si>
    <t>Tarasek</t>
  </si>
  <si>
    <t>Constance Tarasek</t>
  </si>
  <si>
    <t>12166 595th Ave</t>
  </si>
  <si>
    <t>Parkers Prairie</t>
  </si>
  <si>
    <t>56361-4810</t>
  </si>
  <si>
    <t>hilhen7@aol.com</t>
  </si>
  <si>
    <t>ALQ1601FG012</t>
  </si>
  <si>
    <t>Ms. Diana L. Hawes</t>
  </si>
  <si>
    <t>1319 Indian Camp Rd</t>
  </si>
  <si>
    <t>27516-8844</t>
  </si>
  <si>
    <t>hawesd108@gmail.com</t>
  </si>
  <si>
    <t>ALQ1601FG008</t>
  </si>
  <si>
    <t>ALR23J147EMC</t>
  </si>
  <si>
    <t>ALR201232EMC</t>
  </si>
  <si>
    <t>Gelvin</t>
  </si>
  <si>
    <t>Ms. Diane Gelvin</t>
  </si>
  <si>
    <t>8552 Calvin Ave</t>
  </si>
  <si>
    <t>91324-4121</t>
  </si>
  <si>
    <t>ALQ1601FG011</t>
  </si>
  <si>
    <t>Woloszyk</t>
  </si>
  <si>
    <t>Carl A. Woloszyk</t>
  </si>
  <si>
    <t>1050 Linden St</t>
  </si>
  <si>
    <t>49779-1127</t>
  </si>
  <si>
    <t>carlwold1947@gmail.com</t>
  </si>
  <si>
    <t>ALQ1601DG013</t>
  </si>
  <si>
    <t>Howard and Marian Jarrett</t>
  </si>
  <si>
    <t>Howard and Marian</t>
  </si>
  <si>
    <t>200 Forest Dr</t>
  </si>
  <si>
    <t>22046-3625</t>
  </si>
  <si>
    <t>mjarrett@gwmail.gwu.edu</t>
  </si>
  <si>
    <t>ALQ1602FH017</t>
  </si>
  <si>
    <t>Mr. Richard Boyd</t>
  </si>
  <si>
    <t>1629 W North Shore Ave Apt 103</t>
  </si>
  <si>
    <t>60626-6177</t>
  </si>
  <si>
    <t>ALQ1602KH029</t>
  </si>
  <si>
    <t>ALR220101C44</t>
  </si>
  <si>
    <t>ALA20040A14R</t>
  </si>
  <si>
    <t>Fredrick</t>
  </si>
  <si>
    <t>Schoch</t>
  </si>
  <si>
    <t>Fredrick and Joyce Schoch</t>
  </si>
  <si>
    <t>Fredrick and Joyce</t>
  </si>
  <si>
    <t>79 Lake Pointe Cir</t>
  </si>
  <si>
    <t>28792-2847</t>
  </si>
  <si>
    <t>fschoch79@gmail.com</t>
  </si>
  <si>
    <t>fschoch@kenhutch.com</t>
  </si>
  <si>
    <t>ALQ1602AH024</t>
  </si>
  <si>
    <t>Wittke</t>
  </si>
  <si>
    <t>Robert Wittke</t>
  </si>
  <si>
    <t>8843 Fairway Dr</t>
  </si>
  <si>
    <t>60462-2713</t>
  </si>
  <si>
    <t>ALQ1602HH001</t>
  </si>
  <si>
    <t>ALR170301021</t>
  </si>
  <si>
    <t>Reiling</t>
  </si>
  <si>
    <t>Mr. Ross R. Reiling</t>
  </si>
  <si>
    <t>851 Mockingbird Ct</t>
  </si>
  <si>
    <t>61254-1155</t>
  </si>
  <si>
    <t>pam.reiling@gmail.com</t>
  </si>
  <si>
    <t>reiling@gensen.net</t>
  </si>
  <si>
    <t>ALQ1512AF015</t>
  </si>
  <si>
    <t>Strickland</t>
  </si>
  <si>
    <t>Todd Strickland</t>
  </si>
  <si>
    <t>1117 Hillcrest Dr</t>
  </si>
  <si>
    <t>44820-2579</t>
  </si>
  <si>
    <t>todd2@ohiostrickland.org</t>
  </si>
  <si>
    <t>beckyomstricklandfed@gmail.com</t>
  </si>
  <si>
    <t>ALQ1512EF024</t>
  </si>
  <si>
    <t>Patricia Nell</t>
  </si>
  <si>
    <t>23752 NE Twinberry Way</t>
  </si>
  <si>
    <t>98053-1998</t>
  </si>
  <si>
    <t>patriciajnell@gmail.com</t>
  </si>
  <si>
    <t>dannel@gmail.com</t>
  </si>
  <si>
    <t>ALQ1602DH010</t>
  </si>
  <si>
    <t>Ms. Nancy J. Weiss</t>
  </si>
  <si>
    <t>883 Liberty Dr</t>
  </si>
  <si>
    <t>94559-3573</t>
  </si>
  <si>
    <t>nancyw463@gmail.com</t>
  </si>
  <si>
    <t>nancy_weiss@comcast.net</t>
  </si>
  <si>
    <t>ALQ1602AH004</t>
  </si>
  <si>
    <t>ALR2308D1WST</t>
  </si>
  <si>
    <t>ALL17110B43S</t>
  </si>
  <si>
    <t>321 Pleasant Ave</t>
  </si>
  <si>
    <t>44240-2345</t>
  </si>
  <si>
    <t>rabboud@gmail.com</t>
  </si>
  <si>
    <t>ALR180401032</t>
  </si>
  <si>
    <t>Kameenui</t>
  </si>
  <si>
    <t>Ms. Brenda J. Kameenui</t>
  </si>
  <si>
    <t>4003 Dillard Rd</t>
  </si>
  <si>
    <t>97405-4598</t>
  </si>
  <si>
    <t>my240house@yahoo.com</t>
  </si>
  <si>
    <t>ALQ1512EF015</t>
  </si>
  <si>
    <t>ALA1701N2ADC</t>
  </si>
  <si>
    <t>Susan Williams</t>
  </si>
  <si>
    <t>327 Jefferson Dr</t>
  </si>
  <si>
    <t>22963-2701</t>
  </si>
  <si>
    <t>scewilliams@comcast.net</t>
  </si>
  <si>
    <t>ALQ1603AJ013</t>
  </si>
  <si>
    <t>ALA23070B13A</t>
  </si>
  <si>
    <t>Wemmerus</t>
  </si>
  <si>
    <t>Virginia Wemmerus</t>
  </si>
  <si>
    <t>1033 Selma Blvd</t>
  </si>
  <si>
    <t>24401-1919</t>
  </si>
  <si>
    <t>vawemmerus@gmail.com</t>
  </si>
  <si>
    <t>ALQ1602MH041</t>
  </si>
  <si>
    <t>Hofstad</t>
  </si>
  <si>
    <t>Mr. Jim Hofstad</t>
  </si>
  <si>
    <t>7502 Penny Rd</t>
  </si>
  <si>
    <t>32404-5506</t>
  </si>
  <si>
    <t>jhofstad@yahoo.com</t>
  </si>
  <si>
    <t>jmhin11@yahoo.com</t>
  </si>
  <si>
    <t>ALZ160001001</t>
  </si>
  <si>
    <t>Carmen</t>
  </si>
  <si>
    <t>Chiango</t>
  </si>
  <si>
    <t>Mr. Carmen L. Chiango Jr.</t>
  </si>
  <si>
    <t>90 Chamberlain St</t>
  </si>
  <si>
    <t>Holliston</t>
  </si>
  <si>
    <t>01746-1521</t>
  </si>
  <si>
    <t>chiango75@gmail.com</t>
  </si>
  <si>
    <t>ALQ1603EJ017</t>
  </si>
  <si>
    <t>ALR220701C33</t>
  </si>
  <si>
    <t>Diana B. Silva</t>
  </si>
  <si>
    <t>10603 County Highway Mm</t>
  </si>
  <si>
    <t>Viola</t>
  </si>
  <si>
    <t>54664-8834</t>
  </si>
  <si>
    <t>silva@mwt.net</t>
  </si>
  <si>
    <t>silva10603@gmail.com</t>
  </si>
  <si>
    <t>ALA1604N6MWC</t>
  </si>
  <si>
    <t>Morse</t>
  </si>
  <si>
    <t>Loeb</t>
  </si>
  <si>
    <t>Ms. Laura E. Loeb and Mr. Howard Morse</t>
  </si>
  <si>
    <t>Howard and Laura</t>
  </si>
  <si>
    <t>9209 Potomac School Dr</t>
  </si>
  <si>
    <t>20854-5602</t>
  </si>
  <si>
    <t>morsemh@msn.com</t>
  </si>
  <si>
    <t>hmorse@cooley.com</t>
  </si>
  <si>
    <t>ADA240001M03:MARO</t>
  </si>
  <si>
    <t>lauraloeb@loeboil.com</t>
  </si>
  <si>
    <t>Corinne Campbell</t>
  </si>
  <si>
    <t>1301 Kenneth Dr</t>
  </si>
  <si>
    <t>Cloquet</t>
  </si>
  <si>
    <t>55720-3010</t>
  </si>
  <si>
    <t>c10klake@yahoo.com</t>
  </si>
  <si>
    <t>ALZ160002004</t>
  </si>
  <si>
    <t>Mr. Mike Grady</t>
  </si>
  <si>
    <t>3157 Whirlaway Trl</t>
  </si>
  <si>
    <t>32309-1735</t>
  </si>
  <si>
    <t>mikegradygolfer@gmail.com</t>
  </si>
  <si>
    <t>ALQ1603DJ009</t>
  </si>
  <si>
    <t>Warning</t>
  </si>
  <si>
    <t>Mr. Steven Warning</t>
  </si>
  <si>
    <t>41674 Ottawa Rd</t>
  </si>
  <si>
    <t>56082-4206</t>
  </si>
  <si>
    <t>ALQ1604DK008</t>
  </si>
  <si>
    <t>ALA23020B14R</t>
  </si>
  <si>
    <t>Helinski</t>
  </si>
  <si>
    <t>Marlene P. Helinski</t>
  </si>
  <si>
    <t>W220N7319 Town Line Rd</t>
  </si>
  <si>
    <t>Sussex</t>
  </si>
  <si>
    <t>53089-2217</t>
  </si>
  <si>
    <t>mhelinski1@wi.rr.com</t>
  </si>
  <si>
    <t>ALQ1604GK022</t>
  </si>
  <si>
    <t>ALL23030B53M</t>
  </si>
  <si>
    <t>Row</t>
  </si>
  <si>
    <t>Thomas and Patricia Row</t>
  </si>
  <si>
    <t>Thomas and Patricia</t>
  </si>
  <si>
    <t>216 Sweet Gum Ln</t>
  </si>
  <si>
    <t>37830-5666</t>
  </si>
  <si>
    <t>tomhrow@comcast.net</t>
  </si>
  <si>
    <t>ALQ1604AK012</t>
  </si>
  <si>
    <t>ALA1710N0ADC</t>
  </si>
  <si>
    <t>patrow@comcast.net</t>
  </si>
  <si>
    <t>Fong</t>
  </si>
  <si>
    <t>Mr. Edward Fong</t>
  </si>
  <si>
    <t>2518 S Anchovy Ave</t>
  </si>
  <si>
    <t>90732-4536</t>
  </si>
  <si>
    <t>edfong1954@gmail.com</t>
  </si>
  <si>
    <t>ALQ1604AK011</t>
  </si>
  <si>
    <t>ATA220501001</t>
  </si>
  <si>
    <t>Hedger</t>
  </si>
  <si>
    <t>R.N.</t>
  </si>
  <si>
    <t>Ms. M. Hedger R.N.</t>
  </si>
  <si>
    <t>Ms. Hedger</t>
  </si>
  <si>
    <t>P.O. Box 7042</t>
  </si>
  <si>
    <t>93412-70</t>
  </si>
  <si>
    <t>Wilmot</t>
  </si>
  <si>
    <t>Ms. Teresa Wilmot</t>
  </si>
  <si>
    <t>4142 Johns Farm Rd Apt 432G</t>
  </si>
  <si>
    <t>61101-8826</t>
  </si>
  <si>
    <t>teresa.wilmot@gmail.com</t>
  </si>
  <si>
    <t>ALQ1603AJ018</t>
  </si>
  <si>
    <t>ALR211202EMC</t>
  </si>
  <si>
    <t>Allum</t>
  </si>
  <si>
    <t>Lois Allum</t>
  </si>
  <si>
    <t>2104 Shore Rd</t>
  </si>
  <si>
    <t>49779-9501</t>
  </si>
  <si>
    <t>thomasallum42@gmail.com</t>
  </si>
  <si>
    <t>ALQ1604AK010</t>
  </si>
  <si>
    <t>ALA18010B54H</t>
  </si>
  <si>
    <t>Chris Craig</t>
  </si>
  <si>
    <t>21446 Rambla Vis</t>
  </si>
  <si>
    <t>Malibu</t>
  </si>
  <si>
    <t>90265-5122</t>
  </si>
  <si>
    <t>christopher.k.craig@usace.army.mil</t>
  </si>
  <si>
    <t>christopher.k.craig@usac.army.mil</t>
  </si>
  <si>
    <t>ALQ1603AJ019</t>
  </si>
  <si>
    <t>Boudreaux</t>
  </si>
  <si>
    <t>Elizabeth Boudreaux</t>
  </si>
  <si>
    <t>3710 Herald St</t>
  </si>
  <si>
    <t>70131-7124</t>
  </si>
  <si>
    <t>lboudreaux@newmanmathis.com</t>
  </si>
  <si>
    <t>ALQ1509JC019</t>
  </si>
  <si>
    <t>ALA23070A12A</t>
  </si>
  <si>
    <t>ALR230602C23</t>
  </si>
  <si>
    <t>Mr. Martin Taylor</t>
  </si>
  <si>
    <t>14633 Crestridge Dr</t>
  </si>
  <si>
    <t>49233-8604</t>
  </si>
  <si>
    <t>zhat@frontiernet.net</t>
  </si>
  <si>
    <t>ALR200604C33</t>
  </si>
  <si>
    <t>Gartz</t>
  </si>
  <si>
    <t>Ms. Suzanne Gartz</t>
  </si>
  <si>
    <t>71369 Sevison Rd</t>
  </si>
  <si>
    <t>White Pigeon</t>
  </si>
  <si>
    <t>49099-8790</t>
  </si>
  <si>
    <t>turtlelady9@outlook.com</t>
  </si>
  <si>
    <t>ALQ1605EL006</t>
  </si>
  <si>
    <t>ALR170601031</t>
  </si>
  <si>
    <t>10827 Shirley St</t>
  </si>
  <si>
    <t>68144-1846</t>
  </si>
  <si>
    <t>khoffman@mpsomaha.org</t>
  </si>
  <si>
    <t>kahoffman19@gmail.com</t>
  </si>
  <si>
    <t>Costley</t>
  </si>
  <si>
    <t>Turkel</t>
  </si>
  <si>
    <t>Dr. Jennifer Costley and Ms. Judith Turkel</t>
  </si>
  <si>
    <t>Jennifer and Judith</t>
  </si>
  <si>
    <t>64 Beaver Lake Rd</t>
  </si>
  <si>
    <t>Olivebridge</t>
  </si>
  <si>
    <t>jcostley@lycos.com</t>
  </si>
  <si>
    <t>jcostley@nyas.org</t>
  </si>
  <si>
    <t>NEE240001201:FY24STTP</t>
  </si>
  <si>
    <t>judutheturkel@gmail.com</t>
  </si>
  <si>
    <t>Sai</t>
  </si>
  <si>
    <t>Pak</t>
  </si>
  <si>
    <t>Chan</t>
  </si>
  <si>
    <t>Sai and Lucy Chan</t>
  </si>
  <si>
    <t>Sai and Lucy</t>
  </si>
  <si>
    <t>50 E Hartsdale Ave</t>
  </si>
  <si>
    <t>Hartsdale</t>
  </si>
  <si>
    <t>10530-2725</t>
  </si>
  <si>
    <t>chan128b@yahoo.com</t>
  </si>
  <si>
    <t>ALQ1605EL008</t>
  </si>
  <si>
    <t>ALA2306D1EMC</t>
  </si>
  <si>
    <t>ALR210603EMC</t>
  </si>
  <si>
    <t>lucymchan@hotmail.com</t>
  </si>
  <si>
    <t>ALR240601EMC</t>
  </si>
  <si>
    <t>Sertl</t>
  </si>
  <si>
    <t>Ms. Pat Sertl</t>
  </si>
  <si>
    <t>4443 Welford Dr</t>
  </si>
  <si>
    <t>63128-3111</t>
  </si>
  <si>
    <t>patsertl@yahoo.com</t>
  </si>
  <si>
    <t>ALQ1610N2EMC</t>
  </si>
  <si>
    <t>Russell H. Morgan</t>
  </si>
  <si>
    <t>510 Fern Ave</t>
  </si>
  <si>
    <t>Haddon Township</t>
  </si>
  <si>
    <t>08108-2229</t>
  </si>
  <si>
    <t>lorenacrn@yahoo.com</t>
  </si>
  <si>
    <t>ALQ1607BA211</t>
  </si>
  <si>
    <t>ALR231004C23</t>
  </si>
  <si>
    <t>Ms. Carol Waaser</t>
  </si>
  <si>
    <t>345 W 58th St Apt 14B</t>
  </si>
  <si>
    <t>10019-1189</t>
  </si>
  <si>
    <t>bikerc@verizon.net</t>
  </si>
  <si>
    <t>ALR240700ERC</t>
  </si>
  <si>
    <t>Ms. Abby Smith</t>
  </si>
  <si>
    <t>836 Cheshire Castle Way</t>
  </si>
  <si>
    <t>53593-2253</t>
  </si>
  <si>
    <t>wibadger@live.com</t>
  </si>
  <si>
    <t>Wunsch</t>
  </si>
  <si>
    <t>Mr. Ronald W. Wunsch</t>
  </si>
  <si>
    <t>2280 Boeing Dr</t>
  </si>
  <si>
    <t>63010-1702</t>
  </si>
  <si>
    <t>ALQ1607BA212</t>
  </si>
  <si>
    <t>Ms. Carol S. Vaughn</t>
  </si>
  <si>
    <t>1205 Fm 1277</t>
  </si>
  <si>
    <t>San Augustine</t>
  </si>
  <si>
    <t>75972-1641</t>
  </si>
  <si>
    <t>gvaughn61@gmail.com</t>
  </si>
  <si>
    <t>ALQ1607CA217</t>
  </si>
  <si>
    <t>Herbert Holland</t>
  </si>
  <si>
    <t>8104 Asmara Dr</t>
  </si>
  <si>
    <t>78750-7808</t>
  </si>
  <si>
    <t>herbh3@gmail.com</t>
  </si>
  <si>
    <t>ALQ1607DA103</t>
  </si>
  <si>
    <t>Wolford</t>
  </si>
  <si>
    <t>Komar</t>
  </si>
  <si>
    <t>Susan and Delores</t>
  </si>
  <si>
    <t>827 Lachman Ln</t>
  </si>
  <si>
    <t>90272-2206</t>
  </si>
  <si>
    <t>swolford3@aol.com</t>
  </si>
  <si>
    <t>deekomar@gmail.com</t>
  </si>
  <si>
    <t>XNAKB5812</t>
  </si>
  <si>
    <t>ALA2312D1EMC</t>
  </si>
  <si>
    <t>ALA1510D2EMC</t>
  </si>
  <si>
    <t>Kirpan</t>
  </si>
  <si>
    <t>Patty Kirpan</t>
  </si>
  <si>
    <t>5770 Vt Route 100B</t>
  </si>
  <si>
    <t>Moretown</t>
  </si>
  <si>
    <t>05660-9773</t>
  </si>
  <si>
    <t>milagr013k@gmail.com</t>
  </si>
  <si>
    <t>ALQ1607FA306</t>
  </si>
  <si>
    <t>ALR221201C23</t>
  </si>
  <si>
    <t>Balmat</t>
  </si>
  <si>
    <t>Steven and Pam Balmat</t>
  </si>
  <si>
    <t>Steven and Pam</t>
  </si>
  <si>
    <t>8863 S Quemoy Ct</t>
  </si>
  <si>
    <t>80016-7606</t>
  </si>
  <si>
    <t>tbalmat@hotmail.com</t>
  </si>
  <si>
    <t>sbalmat@gmail.com</t>
  </si>
  <si>
    <t>ALQ1607EA302</t>
  </si>
  <si>
    <t>ALA21120A23A</t>
  </si>
  <si>
    <t>Salmassy</t>
  </si>
  <si>
    <t>Ms. Marjorie Salmassy</t>
  </si>
  <si>
    <t>2952 Java Rd</t>
  </si>
  <si>
    <t>92626-3611</t>
  </si>
  <si>
    <t>salmassymls@sbcglobal.net</t>
  </si>
  <si>
    <t>ALQ1607EA323</t>
  </si>
  <si>
    <t>ALL22090C63M</t>
  </si>
  <si>
    <t>Elam</t>
  </si>
  <si>
    <t>Vartorella</t>
  </si>
  <si>
    <t>Mrs. Sandy Vartorella and Mr. Christopher H. Elam</t>
  </si>
  <si>
    <t>Sandy and Christopher</t>
  </si>
  <si>
    <t>3919 Hope Valley Rd</t>
  </si>
  <si>
    <t>27707-5445</t>
  </si>
  <si>
    <t>chris@elavar.net</t>
  </si>
  <si>
    <t>XNLAJ3422</t>
  </si>
  <si>
    <t>XMDMAGIJ9</t>
  </si>
  <si>
    <t>Donna Spencer</t>
  </si>
  <si>
    <t>1003 N Madison St</t>
  </si>
  <si>
    <t>62056-1451</t>
  </si>
  <si>
    <t>dlouse54@hotmail.com</t>
  </si>
  <si>
    <t>ALQ1601EG013</t>
  </si>
  <si>
    <t>ALR240203C44</t>
  </si>
  <si>
    <t>McGough</t>
  </si>
  <si>
    <t>Mr. Daniel McGough</t>
  </si>
  <si>
    <t>3742 Brunswick Ct</t>
  </si>
  <si>
    <t>94080-5205</t>
  </si>
  <si>
    <t>dkmcgough@comcast.net</t>
  </si>
  <si>
    <t>ALQ1607CA312</t>
  </si>
  <si>
    <t>Colleen</t>
  </si>
  <si>
    <t>Bourne</t>
  </si>
  <si>
    <t>Miss Colleen Bourne</t>
  </si>
  <si>
    <t>PO Box 2531</t>
  </si>
  <si>
    <t>Brattleboro</t>
  </si>
  <si>
    <t>05303-2531</t>
  </si>
  <si>
    <t>cdbourne1@comcast.net</t>
  </si>
  <si>
    <t>ALQ1607FA310</t>
  </si>
  <si>
    <t>Wills</t>
  </si>
  <si>
    <t>Ms. Patricia A. Wills</t>
  </si>
  <si>
    <t>1004 Laurel Springs Ln SW</t>
  </si>
  <si>
    <t>30064-3963</t>
  </si>
  <si>
    <t>patriciaawills@aol.com</t>
  </si>
  <si>
    <t>256 S Camilla St Apt B908</t>
  </si>
  <si>
    <t>38104-3321</t>
  </si>
  <si>
    <t>amareushenderson@yahoo.com</t>
  </si>
  <si>
    <t>ALQ1607CA318</t>
  </si>
  <si>
    <t>ALA17050C13A</t>
  </si>
  <si>
    <t>Dr. Peter Bloom</t>
  </si>
  <si>
    <t>13 Wentworth Park</t>
  </si>
  <si>
    <t>06032-1559</t>
  </si>
  <si>
    <t>gpbloom3@hotmail.com</t>
  </si>
  <si>
    <t>ALQ1512MF038</t>
  </si>
  <si>
    <t>ALR180902054</t>
  </si>
  <si>
    <t>Ferne</t>
  </si>
  <si>
    <t>Robert D. Ferne</t>
  </si>
  <si>
    <t>4605 Beverly Ave NE</t>
  </si>
  <si>
    <t>44714-2713</t>
  </si>
  <si>
    <t>j.bleck@yahoo.com</t>
  </si>
  <si>
    <t>bobferne67@gmail.com</t>
  </si>
  <si>
    <t>ALQ1607AA316</t>
  </si>
  <si>
    <t>ALL18120A53S</t>
  </si>
  <si>
    <t>Scott Cunningham</t>
  </si>
  <si>
    <t>930 E Oakside St</t>
  </si>
  <si>
    <t>46614-1312</t>
  </si>
  <si>
    <t>scottcunningham61@gmail.com</t>
  </si>
  <si>
    <t>ralph.cunningham@comcast.net</t>
  </si>
  <si>
    <t>ALQ1607MA336</t>
  </si>
  <si>
    <t>ALR220209C33</t>
  </si>
  <si>
    <t>Mr. &amp; Mrs. Robert Jones</t>
  </si>
  <si>
    <t>5605 Annette Dr</t>
  </si>
  <si>
    <t>Sandston</t>
  </si>
  <si>
    <t>23150-1301</t>
  </si>
  <si>
    <t>ALQ1607FA103</t>
  </si>
  <si>
    <t>ALR220904C33</t>
  </si>
  <si>
    <t>Ms. Sharon Mixon</t>
  </si>
  <si>
    <t>78 Dunivan Dr</t>
  </si>
  <si>
    <t>Rustburg</t>
  </si>
  <si>
    <t>24588-3453</t>
  </si>
  <si>
    <t>mixshar@gmail.com</t>
  </si>
  <si>
    <t>ALR231008C13</t>
  </si>
  <si>
    <t>ALR170902EMC</t>
  </si>
  <si>
    <t>Wakefield</t>
  </si>
  <si>
    <t>Peter Wakefield</t>
  </si>
  <si>
    <t>47 Buckland Way</t>
  </si>
  <si>
    <t>06095-2004</t>
  </si>
  <si>
    <t>Tiffany</t>
  </si>
  <si>
    <t>Tiberi</t>
  </si>
  <si>
    <t>Reuvers</t>
  </si>
  <si>
    <t>Tiffany Tiberi and Meg Reuvers</t>
  </si>
  <si>
    <t>Tiffany and Meg</t>
  </si>
  <si>
    <t>6004 N Marmora Ave</t>
  </si>
  <si>
    <t>60646-3904</t>
  </si>
  <si>
    <t>tiffanytiberi@hotmail.com</t>
  </si>
  <si>
    <t>drtiffanytiberi@gmail.com</t>
  </si>
  <si>
    <t>ALQ1705AL029</t>
  </si>
  <si>
    <t>megreuvers@prodigy.net</t>
  </si>
  <si>
    <t>Muraoka</t>
  </si>
  <si>
    <t>Mr. David L. Muraoka</t>
  </si>
  <si>
    <t>1470 Calle Avellano</t>
  </si>
  <si>
    <t>Thousand Oaks</t>
  </si>
  <si>
    <t>91360-6537</t>
  </si>
  <si>
    <t>ayakogp@aol.com</t>
  </si>
  <si>
    <t>ALQ1608HB020</t>
  </si>
  <si>
    <t>Ms. Kathy Hensley</t>
  </si>
  <si>
    <t>187 Hords Hill Rd</t>
  </si>
  <si>
    <t>Ruckersville</t>
  </si>
  <si>
    <t>22968-3110</t>
  </si>
  <si>
    <t>dl.hensley53@gmail.com</t>
  </si>
  <si>
    <t>ALQ1804BK024</t>
  </si>
  <si>
    <t>Altin</t>
  </si>
  <si>
    <t>Altin R. Paulson</t>
  </si>
  <si>
    <t>2276 Timber Trl E</t>
  </si>
  <si>
    <t>55119-5818</t>
  </si>
  <si>
    <t>apaulson@marketpp.com</t>
  </si>
  <si>
    <t>ALQ1608GB029</t>
  </si>
  <si>
    <t>Elke</t>
  </si>
  <si>
    <t>Armoni</t>
  </si>
  <si>
    <t>30 W Lambert Ln Unit 209</t>
  </si>
  <si>
    <t>85737-7140</t>
  </si>
  <si>
    <t>elarmoni@comcast.net</t>
  </si>
  <si>
    <t>ALQ210702999</t>
  </si>
  <si>
    <t>Stull</t>
  </si>
  <si>
    <t>Mr. Richard Stull</t>
  </si>
  <si>
    <t>256 S Columbus Ave</t>
  </si>
  <si>
    <t>44691-4826</t>
  </si>
  <si>
    <t>x3alliebabii10@gmail.com</t>
  </si>
  <si>
    <t>ALQ1607DA316</t>
  </si>
  <si>
    <t>ALR230314C40</t>
  </si>
  <si>
    <t>ALA22030A23R</t>
  </si>
  <si>
    <t>Weathers</t>
  </si>
  <si>
    <t>Bonnie Weathers</t>
  </si>
  <si>
    <t>PO Box 3991</t>
  </si>
  <si>
    <t>Pagosa Springs</t>
  </si>
  <si>
    <t>81147-3991</t>
  </si>
  <si>
    <t>ALQ1608HB019</t>
  </si>
  <si>
    <t>ALQ2012AF011</t>
  </si>
  <si>
    <t>ALR181002032</t>
  </si>
  <si>
    <t>Hitch</t>
  </si>
  <si>
    <t>Robin Hitch</t>
  </si>
  <si>
    <t>32 Lori Ln</t>
  </si>
  <si>
    <t>28789-9164</t>
  </si>
  <si>
    <t>ALQ1608HB026</t>
  </si>
  <si>
    <t>ALR220805C33</t>
  </si>
  <si>
    <t>Byron</t>
  </si>
  <si>
    <t>Barrington</t>
  </si>
  <si>
    <t>Mr. Byron Barrington</t>
  </si>
  <si>
    <t>102 Pine Crest Ave</t>
  </si>
  <si>
    <t>54401-4038</t>
  </si>
  <si>
    <t>barbarabarrington@gmail.com</t>
  </si>
  <si>
    <t>ALQ1608EB011</t>
  </si>
  <si>
    <t>Jeannine Lawrence</t>
  </si>
  <si>
    <t>1435 8th Ave SW</t>
  </si>
  <si>
    <t>97321-2061</t>
  </si>
  <si>
    <t>jeannine.lawrence00@gmail.com</t>
  </si>
  <si>
    <t>ALQ2210AD033</t>
  </si>
  <si>
    <t>Thomas West</t>
  </si>
  <si>
    <t>1111 Caddell Ln</t>
  </si>
  <si>
    <t>73069-4540</t>
  </si>
  <si>
    <t>ALQ1608GB010</t>
  </si>
  <si>
    <t>Berney</t>
  </si>
  <si>
    <t>Berney Harris</t>
  </si>
  <si>
    <t>40 E 88th St # 11E</t>
  </si>
  <si>
    <t>10128-1176</t>
  </si>
  <si>
    <t>bhthree@gmail.com</t>
  </si>
  <si>
    <t>ALQ1609GC014</t>
  </si>
  <si>
    <t>ALA22070A12R</t>
  </si>
  <si>
    <t>ALL19030A42M</t>
  </si>
  <si>
    <t>Manella</t>
  </si>
  <si>
    <t>Ms. Manella</t>
  </si>
  <si>
    <t>P.O. Box 611</t>
  </si>
  <si>
    <t>46140-0611</t>
  </si>
  <si>
    <t>ALQ1608HB008</t>
  </si>
  <si>
    <t>Otte</t>
  </si>
  <si>
    <t>Richard Otte</t>
  </si>
  <si>
    <t>340 Babbland Dr</t>
  </si>
  <si>
    <t>Paducah</t>
  </si>
  <si>
    <t>42003-9449</t>
  </si>
  <si>
    <t>richardotte@hotmail.com</t>
  </si>
  <si>
    <t>ALQ1608CB016</t>
  </si>
  <si>
    <t>Sandra Moore</t>
  </si>
  <si>
    <t>325 Chateau Dr SW</t>
  </si>
  <si>
    <t>35801-3407</t>
  </si>
  <si>
    <t>sandymoore325@gmail.com</t>
  </si>
  <si>
    <t>ALA20040B13A</t>
  </si>
  <si>
    <t>Mahany</t>
  </si>
  <si>
    <t>Mr. Gary Mahany</t>
  </si>
  <si>
    <t>389 Matadero Ave</t>
  </si>
  <si>
    <t>94306-2833</t>
  </si>
  <si>
    <t>gmahany@aol.com</t>
  </si>
  <si>
    <t>ALQ1207EA234</t>
  </si>
  <si>
    <t>ALR150703033</t>
  </si>
  <si>
    <t>Kirkendall</t>
  </si>
  <si>
    <t>Benjamin E. Kirkendall</t>
  </si>
  <si>
    <t>116 Fairview Ave N Unit 717</t>
  </si>
  <si>
    <t>98109-5364</t>
  </si>
  <si>
    <t>ALQ1609CC024</t>
  </si>
  <si>
    <t>ALA18100B13R</t>
  </si>
  <si>
    <t>Ray Stern</t>
  </si>
  <si>
    <t>13340 Timberlane Dr</t>
  </si>
  <si>
    <t>56425-8361</t>
  </si>
  <si>
    <t>yaknowwhatimsaying@gmail.com</t>
  </si>
  <si>
    <t>tster81@yahoo.com</t>
  </si>
  <si>
    <t>ALQ1609BC004</t>
  </si>
  <si>
    <t>ALA22090A13R</t>
  </si>
  <si>
    <t>Andrus</t>
  </si>
  <si>
    <t>Kim D. Andrus</t>
  </si>
  <si>
    <t>PO Box 867</t>
  </si>
  <si>
    <t>Carencro</t>
  </si>
  <si>
    <t>70520-0867</t>
  </si>
  <si>
    <t>pandrus1@cox.net</t>
  </si>
  <si>
    <t>ALQ1609BC012</t>
  </si>
  <si>
    <t>Mike Thomas</t>
  </si>
  <si>
    <t>7259 S Ivy Ct</t>
  </si>
  <si>
    <t>80112-1506</t>
  </si>
  <si>
    <t>benmike1@comcast.net</t>
  </si>
  <si>
    <t>bsthomas1@comcast.net</t>
  </si>
  <si>
    <t>James Bowman</t>
  </si>
  <si>
    <t>2284 Nestle Quarry Rd</t>
  </si>
  <si>
    <t>Falling Wtrs</t>
  </si>
  <si>
    <t>25419-3769</t>
  </si>
  <si>
    <t>snookersk9@aol.com</t>
  </si>
  <si>
    <t>jebsgtmaj@aol.com</t>
  </si>
  <si>
    <t>ALQ1610FD018</t>
  </si>
  <si>
    <t>ALA24030B13C</t>
  </si>
  <si>
    <t>Art Schroeder</t>
  </si>
  <si>
    <t>2902 Swallow Ln</t>
  </si>
  <si>
    <t>60008-2647</t>
  </si>
  <si>
    <t>aschroeder7784@gmail.com</t>
  </si>
  <si>
    <t>ALQ1607EA330</t>
  </si>
  <si>
    <t>ALR171101031</t>
  </si>
  <si>
    <t>Michael Livingston</t>
  </si>
  <si>
    <t>1923 Camino Rancho</t>
  </si>
  <si>
    <t>85635-5074</t>
  </si>
  <si>
    <t>livingm@hotmail.com</t>
  </si>
  <si>
    <t>ALQ1610BD007</t>
  </si>
  <si>
    <t>ALR211002C13</t>
  </si>
  <si>
    <t>ALR181102022</t>
  </si>
  <si>
    <t>Ackerman</t>
  </si>
  <si>
    <t>Satoko</t>
  </si>
  <si>
    <t>David and Satoko Ackerman</t>
  </si>
  <si>
    <t>David and Satoko</t>
  </si>
  <si>
    <t>3158 Gracefield Rd Apt 301</t>
  </si>
  <si>
    <t>20904-0818</t>
  </si>
  <si>
    <t>davetoko@hotmail.com</t>
  </si>
  <si>
    <t>davetoho@hotmail.com</t>
  </si>
  <si>
    <t>ALQ1610GD019</t>
  </si>
  <si>
    <t>Leigh</t>
  </si>
  <si>
    <t>3460 Mariner Beach Dr</t>
  </si>
  <si>
    <t>89129-6347</t>
  </si>
  <si>
    <t>karen.l.gibson@gmail.com</t>
  </si>
  <si>
    <t>ALQ1705N2EMC</t>
  </si>
  <si>
    <t>ALA2212S6EMC</t>
  </si>
  <si>
    <t>Opl</t>
  </si>
  <si>
    <t>Mr. Dennis Opl</t>
  </si>
  <si>
    <t>1575 S Vaughn Cir</t>
  </si>
  <si>
    <t>80012-5316</t>
  </si>
  <si>
    <t>wthumb@gmail.com</t>
  </si>
  <si>
    <t>dennis.o@comcast.net</t>
  </si>
  <si>
    <t>ALA18100A25A</t>
  </si>
  <si>
    <t>Agnes Bouton</t>
  </si>
  <si>
    <t>17435 Eagle Bend Blvd</t>
  </si>
  <si>
    <t>32226-9500</t>
  </si>
  <si>
    <t>ALQ1607MA117</t>
  </si>
  <si>
    <t>ALA21040A25A</t>
  </si>
  <si>
    <t>Pyorala</t>
  </si>
  <si>
    <t>Dorthey</t>
  </si>
  <si>
    <t>Behrend</t>
  </si>
  <si>
    <t>Dorthey Behrend and Mildred Pyorala</t>
  </si>
  <si>
    <t>Dorthey and Mildred</t>
  </si>
  <si>
    <t>PO Box 21</t>
  </si>
  <si>
    <t>Chassell</t>
  </si>
  <si>
    <t>49916-0021</t>
  </si>
  <si>
    <t>XNDHD22NA</t>
  </si>
  <si>
    <t>ALA22070C54H</t>
  </si>
  <si>
    <t>ALQ1610DD004</t>
  </si>
  <si>
    <t>Ms. Marian Alexander</t>
  </si>
  <si>
    <t>3906 Idlewild Rd</t>
  </si>
  <si>
    <t>78731-6145</t>
  </si>
  <si>
    <t>marianjoan@juno.com</t>
  </si>
  <si>
    <t>ALQ1711N1EM1</t>
  </si>
  <si>
    <t>ALR181001005</t>
  </si>
  <si>
    <t>Bjarne</t>
  </si>
  <si>
    <t>Cindy and Bjarne Henderson</t>
  </si>
  <si>
    <t>Cindy and Bjarne</t>
  </si>
  <si>
    <t>1008 Oak Grove Ct</t>
  </si>
  <si>
    <t>46383-2049</t>
  </si>
  <si>
    <t>tabascopaul@yahoo.com</t>
  </si>
  <si>
    <t>bjarne@juno.com</t>
  </si>
  <si>
    <t>908 Sugarwood Dr</t>
  </si>
  <si>
    <t>37803-1931</t>
  </si>
  <si>
    <t>tterpsu3@gmail.com</t>
  </si>
  <si>
    <t>vroth1@gmail.com</t>
  </si>
  <si>
    <t>ALQ1610FD011</t>
  </si>
  <si>
    <t>ALA20030A24A</t>
  </si>
  <si>
    <t>ALR171202031</t>
  </si>
  <si>
    <t>Hardesten</t>
  </si>
  <si>
    <t>Rebecca Hardesten</t>
  </si>
  <si>
    <t>3210 Orleans St Apt 201</t>
  </si>
  <si>
    <t>98226-1804</t>
  </si>
  <si>
    <t>rhardesten@gmail.com</t>
  </si>
  <si>
    <t>vikinfsconquest1@gmail.com</t>
  </si>
  <si>
    <t>ALQ22060W001</t>
  </si>
  <si>
    <t>Lukasik</t>
  </si>
  <si>
    <t>Mr. Jack J. Lukasik</t>
  </si>
  <si>
    <t>908 W State St</t>
  </si>
  <si>
    <t>54449-1749</t>
  </si>
  <si>
    <t>jjlrak908@gmail.com</t>
  </si>
  <si>
    <t>ginaluka@gmail.com</t>
  </si>
  <si>
    <t>ALA23050A34R</t>
  </si>
  <si>
    <t>Sonderegger</t>
  </si>
  <si>
    <t>Moss</t>
  </si>
  <si>
    <t>Mr. Robert M. Sonderegger and Dr. Joanna C. Moss</t>
  </si>
  <si>
    <t>Robert and Joanna</t>
  </si>
  <si>
    <t>5 Montrose Rd</t>
  </si>
  <si>
    <t>94707-2021</t>
  </si>
  <si>
    <t>rsonderegg@yahoo.it</t>
  </si>
  <si>
    <t>robert.sonderegger@gmail.com</t>
  </si>
  <si>
    <t>joannagmoss@yahoo.com</t>
  </si>
  <si>
    <t>ALSXXXXLBWSC</t>
  </si>
  <si>
    <t>Bratney</t>
  </si>
  <si>
    <t>Ms. Lynn Bratney</t>
  </si>
  <si>
    <t>1470 W Ohio St Apt 2</t>
  </si>
  <si>
    <t>60642-6246</t>
  </si>
  <si>
    <t>lbratney@gmail.com</t>
  </si>
  <si>
    <t>lisam4367@yahoo.com</t>
  </si>
  <si>
    <t>ALQ1611CE013</t>
  </si>
  <si>
    <t>Conforti</t>
  </si>
  <si>
    <t>Frank A. Conforti</t>
  </si>
  <si>
    <t>604 15th St S Apt A</t>
  </si>
  <si>
    <t>22202-5593</t>
  </si>
  <si>
    <t>frankaconforti@aol.com</t>
  </si>
  <si>
    <t>ALQ1611BE001</t>
  </si>
  <si>
    <t>ALA23070A24R</t>
  </si>
  <si>
    <t>Hottinger</t>
  </si>
  <si>
    <t>Mrs. Miriam J. Hottinger</t>
  </si>
  <si>
    <t>14 Irvine Park</t>
  </si>
  <si>
    <t>55102-2531</t>
  </si>
  <si>
    <t>mimihott@comcast.net</t>
  </si>
  <si>
    <t>ALQ1611DE015</t>
  </si>
  <si>
    <t>Ms. Susan Kennedy</t>
  </si>
  <si>
    <t>791 Wallace Hill Rd</t>
  </si>
  <si>
    <t>Wells River</t>
  </si>
  <si>
    <t>05081-9638</t>
  </si>
  <si>
    <t>ALQ1607BA204</t>
  </si>
  <si>
    <t>Cathie</t>
  </si>
  <si>
    <t>Hass</t>
  </si>
  <si>
    <t>Cathie Hass</t>
  </si>
  <si>
    <t>618 N 5th St</t>
  </si>
  <si>
    <t>Sac City</t>
  </si>
  <si>
    <t>50583-1306</t>
  </si>
  <si>
    <t>matthass@hotmail.com</t>
  </si>
  <si>
    <t>ALQ1607FA313</t>
  </si>
  <si>
    <t>ALL22090C53M</t>
  </si>
  <si>
    <t>Jirsa</t>
  </si>
  <si>
    <t>James O. Jirsa</t>
  </si>
  <si>
    <t>4300 Bull Creek Rd Unit 407</t>
  </si>
  <si>
    <t>78731-5972</t>
  </si>
  <si>
    <t>jirsa@att.net</t>
  </si>
  <si>
    <t>ALQ1609HC027</t>
  </si>
  <si>
    <t>Haywood</t>
  </si>
  <si>
    <t>Metz</t>
  </si>
  <si>
    <t>Ms. Mary H. Metz</t>
  </si>
  <si>
    <t>6205 Mineral Point Rd Apt 520</t>
  </si>
  <si>
    <t>53705-4579</t>
  </si>
  <si>
    <t>marymetz@chartermi.net</t>
  </si>
  <si>
    <t>ALQ1611HE009</t>
  </si>
  <si>
    <t>ALR210403C44</t>
  </si>
  <si>
    <t>Eduardo</t>
  </si>
  <si>
    <t>Rodrigue</t>
  </si>
  <si>
    <t>Eduardo R. Rodrigue</t>
  </si>
  <si>
    <t>54 Robins Ln</t>
  </si>
  <si>
    <t>Brownsville</t>
  </si>
  <si>
    <t>78520-7425</t>
  </si>
  <si>
    <t>pht47@aol.com</t>
  </si>
  <si>
    <t>ALQ1611EE029</t>
  </si>
  <si>
    <t>ALA21110B14A</t>
  </si>
  <si>
    <t>Ms. Jane Lutz</t>
  </si>
  <si>
    <t>1065 Pond Ridge Drive</t>
  </si>
  <si>
    <t>17111-4688</t>
  </si>
  <si>
    <t>jll2thebeach@aol.com</t>
  </si>
  <si>
    <t>48 Lynn Rd</t>
  </si>
  <si>
    <t>06442-1149</t>
  </si>
  <si>
    <t>ALQ1611ME033</t>
  </si>
  <si>
    <t>Pfaller</t>
  </si>
  <si>
    <t>Ringenberg</t>
  </si>
  <si>
    <t>Michael Pfaller and Beverly Ringenberg</t>
  </si>
  <si>
    <t>Michael and Beverly</t>
  </si>
  <si>
    <t>PO Box 748</t>
  </si>
  <si>
    <t>Cedar Key</t>
  </si>
  <si>
    <t>32625-0748</t>
  </si>
  <si>
    <t>ALQ1612GF021</t>
  </si>
  <si>
    <t>Litman</t>
  </si>
  <si>
    <t>Mr. Austin K. Litman</t>
  </si>
  <si>
    <t>2537 Havenhurst St</t>
  </si>
  <si>
    <t>75234-6186</t>
  </si>
  <si>
    <t>austin.k.litman@gmail.com</t>
  </si>
  <si>
    <t>ALQ1612BF005</t>
  </si>
  <si>
    <t>Zeis</t>
  </si>
  <si>
    <t>Ms. Mary L. Zeis</t>
  </si>
  <si>
    <t>8691 Park Dr</t>
  </si>
  <si>
    <t>Hamburg</t>
  </si>
  <si>
    <t>14075-7321</t>
  </si>
  <si>
    <t>misssarge6@aol.com</t>
  </si>
  <si>
    <t>jigga8@aol.com</t>
  </si>
  <si>
    <t>ALQ1612GF023</t>
  </si>
  <si>
    <t>ALA17070H13A</t>
  </si>
  <si>
    <t>Puckett</t>
  </si>
  <si>
    <t>Daniel Puckett</t>
  </si>
  <si>
    <t>313 N Olive Ave</t>
  </si>
  <si>
    <t>72701-4317</t>
  </si>
  <si>
    <t>woogirlforgod@gmail.com</t>
  </si>
  <si>
    <t>ALQ1612FF032</t>
  </si>
  <si>
    <t>ALA23010B21A</t>
  </si>
  <si>
    <t>ALR190201022</t>
  </si>
  <si>
    <t>Ms. Meg Justus</t>
  </si>
  <si>
    <t>Ms. Justus</t>
  </si>
  <si>
    <t>4528 Intelco Loop SE #321</t>
  </si>
  <si>
    <t>98503-5910</t>
  </si>
  <si>
    <t>mmjustus@mmjustus.com</t>
  </si>
  <si>
    <t>ALA1701D1DMC</t>
  </si>
  <si>
    <t>Joycanne</t>
  </si>
  <si>
    <t>Hoyem</t>
  </si>
  <si>
    <t>Joycanne Hoyem</t>
  </si>
  <si>
    <t>5922 Sunny Ln</t>
  </si>
  <si>
    <t>55811-9729</t>
  </si>
  <si>
    <t>asgerhoyem@gmail.com</t>
  </si>
  <si>
    <t>ALQ1612AF013</t>
  </si>
  <si>
    <t>Chusmir</t>
  </si>
  <si>
    <t>Michael Chusmir</t>
  </si>
  <si>
    <t>601 N Fairfax St Apt 511</t>
  </si>
  <si>
    <t>22314-2082</t>
  </si>
  <si>
    <t>chusmirmj@outlook.com</t>
  </si>
  <si>
    <t>ALL20040A43M</t>
  </si>
  <si>
    <t>ALR180400001</t>
  </si>
  <si>
    <t>Laura Palmer</t>
  </si>
  <si>
    <t>203 E 27th St Apt 30</t>
  </si>
  <si>
    <t>10016-9120</t>
  </si>
  <si>
    <t>laurakayp@mac.com</t>
  </si>
  <si>
    <t>ALQ1612FF010</t>
  </si>
  <si>
    <t>Kyle</t>
  </si>
  <si>
    <t>Juracek</t>
  </si>
  <si>
    <t>Kyle Juracek</t>
  </si>
  <si>
    <t>3805 Park Pl</t>
  </si>
  <si>
    <t>66049-3574</t>
  </si>
  <si>
    <t>brandonjuracek@hotmail.com</t>
  </si>
  <si>
    <t>kjuracek126@gmail.com</t>
  </si>
  <si>
    <t>ALQ1609GC018</t>
  </si>
  <si>
    <t>Weslynne</t>
  </si>
  <si>
    <t>Weslynne and Donald Sahly</t>
  </si>
  <si>
    <t>Weslynne and Donald</t>
  </si>
  <si>
    <t>173 Ivory Ln</t>
  </si>
  <si>
    <t>27610-8299</t>
  </si>
  <si>
    <t>dr.sahly12@gmail.com</t>
  </si>
  <si>
    <t>Woodill</t>
  </si>
  <si>
    <t>Mr. Alfred Woodill</t>
  </si>
  <si>
    <t>502 19th St</t>
  </si>
  <si>
    <t>90402-3022</t>
  </si>
  <si>
    <t>alwdley@gmail.com</t>
  </si>
  <si>
    <t>ALQ1608MB040</t>
  </si>
  <si>
    <t>Margaret Skillman</t>
  </si>
  <si>
    <t>519 Creek Rd</t>
  </si>
  <si>
    <t>08057-3907</t>
  </si>
  <si>
    <t>cagroves@msn.com</t>
  </si>
  <si>
    <t>ALQ1612FF012</t>
  </si>
  <si>
    <t>ALL23020B53M</t>
  </si>
  <si>
    <t>ALR180201021</t>
  </si>
  <si>
    <t>Roselyn M. Hopkins</t>
  </si>
  <si>
    <t>404 Russell Ave</t>
  </si>
  <si>
    <t>20877-2864</t>
  </si>
  <si>
    <t>murcia301@gmail.com</t>
  </si>
  <si>
    <t>ALQ170001001</t>
  </si>
  <si>
    <t>Barney</t>
  </si>
  <si>
    <t>Kempf</t>
  </si>
  <si>
    <t>Mr. Barney J. Kempf</t>
  </si>
  <si>
    <t>220 Newton Le Ct</t>
  </si>
  <si>
    <t>Kaukauna</t>
  </si>
  <si>
    <t>54130-4540</t>
  </si>
  <si>
    <t>mbkempf@att.net</t>
  </si>
  <si>
    <t>bjkempe@milwpc.com</t>
  </si>
  <si>
    <t>XNFCF3004</t>
  </si>
  <si>
    <t>ALR240400EMC</t>
  </si>
  <si>
    <t>ALR090115002</t>
  </si>
  <si>
    <t>Sheri</t>
  </si>
  <si>
    <t>Angen</t>
  </si>
  <si>
    <t>Sheri Angen</t>
  </si>
  <si>
    <t>9495 Woodridge Way</t>
  </si>
  <si>
    <t>Savage</t>
  </si>
  <si>
    <t>55378-3150</t>
  </si>
  <si>
    <t>flopperstein@gmail.com</t>
  </si>
  <si>
    <t>ALZ170002004</t>
  </si>
  <si>
    <t>Roob</t>
  </si>
  <si>
    <t>Christine Roob</t>
  </si>
  <si>
    <t>4877 28th Ave S Apt 114</t>
  </si>
  <si>
    <t>Fargo</t>
  </si>
  <si>
    <t>58104-8456</t>
  </si>
  <si>
    <t>hwgirlnd@gmail.com</t>
  </si>
  <si>
    <t>ALQ1612EF020</t>
  </si>
  <si>
    <t>ALR221102C44</t>
  </si>
  <si>
    <t>Derrel</t>
  </si>
  <si>
    <t>Derrel Lane</t>
  </si>
  <si>
    <t>10941 Pintail Pl</t>
  </si>
  <si>
    <t>23838-5299</t>
  </si>
  <si>
    <t>mitze23838@comcast.net</t>
  </si>
  <si>
    <t>ALR240304C44</t>
  </si>
  <si>
    <t>ALR190501031</t>
  </si>
  <si>
    <t>Klafta</t>
  </si>
  <si>
    <t>Mr. Ross M. Klafta</t>
  </si>
  <si>
    <t>709 N Sage Creek Cir</t>
  </si>
  <si>
    <t>84780-1689</t>
  </si>
  <si>
    <t>rmklaf56@hotmail.com</t>
  </si>
  <si>
    <t>ALA2204D3EMC</t>
  </si>
  <si>
    <t>Kate Dumont</t>
  </si>
  <si>
    <t>PO Box 1944</t>
  </si>
  <si>
    <t>Fairview</t>
  </si>
  <si>
    <t>28730-1944</t>
  </si>
  <si>
    <t>ksdmont@juno.com</t>
  </si>
  <si>
    <t>ALQ17XX01WS2</t>
  </si>
  <si>
    <t>Kirchberg</t>
  </si>
  <si>
    <t>Julie Kirchberg</t>
  </si>
  <si>
    <t>75 Charles Hill Rd</t>
  </si>
  <si>
    <t>94563-1522</t>
  </si>
  <si>
    <t>jskandjmk@comcast.net</t>
  </si>
  <si>
    <t>Scales</t>
  </si>
  <si>
    <t>Mr. Stuart M. Scales</t>
  </si>
  <si>
    <t>2275 N Glencoe St</t>
  </si>
  <si>
    <t>80207-3834</t>
  </si>
  <si>
    <t>stuartmscales@gmail.com</t>
  </si>
  <si>
    <t>ALA17030W001</t>
  </si>
  <si>
    <t>Suydam</t>
  </si>
  <si>
    <t>Jill Suydam</t>
  </si>
  <si>
    <t>6770 W State Route 89a Unit 32</t>
  </si>
  <si>
    <t>86336-9798</t>
  </si>
  <si>
    <t>jillsuydam3@gmail.com</t>
  </si>
  <si>
    <t>lynnehothair@yahoo.com</t>
  </si>
  <si>
    <t>ALA19110F00S</t>
  </si>
  <si>
    <t>Nordstrom</t>
  </si>
  <si>
    <t>Pam Nordstrom</t>
  </si>
  <si>
    <t>350 N Saint Paul St</t>
  </si>
  <si>
    <t>61326-9601</t>
  </si>
  <si>
    <t>mattfromark@yahoo.com</t>
  </si>
  <si>
    <t>ALQ1701EG009</t>
  </si>
  <si>
    <t>Ketner</t>
  </si>
  <si>
    <t>Mrs. Susanne Ketner</t>
  </si>
  <si>
    <t>2132 Fifth St</t>
  </si>
  <si>
    <t>22645-9568</t>
  </si>
  <si>
    <t>sngketner@hotmail.com</t>
  </si>
  <si>
    <t>susanne.ketner@outlook.com</t>
  </si>
  <si>
    <t>ALQ1701GG018</t>
  </si>
  <si>
    <t>ALL2310L1EMC</t>
  </si>
  <si>
    <t>ALL23090A53M</t>
  </si>
  <si>
    <t>Langford</t>
  </si>
  <si>
    <t>Mr. Steve R. Langford</t>
  </si>
  <si>
    <t>9186 Harbor Ct</t>
  </si>
  <si>
    <t>20187-2408</t>
  </si>
  <si>
    <t>Elmhorst</t>
  </si>
  <si>
    <t>Jill M. Elmhorst</t>
  </si>
  <si>
    <t>613 S Apple Ave</t>
  </si>
  <si>
    <t>54449-4427</t>
  </si>
  <si>
    <t>jjntcelm@charter.net</t>
  </si>
  <si>
    <t>ALQ1701DG009</t>
  </si>
  <si>
    <t>Pouymari</t>
  </si>
  <si>
    <t>Mr. John H. Pouymari</t>
  </si>
  <si>
    <t>4015 170th St</t>
  </si>
  <si>
    <t>11358-2711</t>
  </si>
  <si>
    <t>chalky1@gmail.com</t>
  </si>
  <si>
    <t>ALQ1702HH021</t>
  </si>
  <si>
    <t>ALA22010E54H</t>
  </si>
  <si>
    <t>Loren Lowry</t>
  </si>
  <si>
    <t>3802 18th St N</t>
  </si>
  <si>
    <t>Texas City</t>
  </si>
  <si>
    <t>77590-4065</t>
  </si>
  <si>
    <t>ALQ1701AG006</t>
  </si>
  <si>
    <t>Jackson Brandt</t>
  </si>
  <si>
    <t>900 N Sunset Dr</t>
  </si>
  <si>
    <t>72701-1735</t>
  </si>
  <si>
    <t>jacksonbrandt235@gmail.com</t>
  </si>
  <si>
    <t>ALQ1801DG011</t>
  </si>
  <si>
    <t>ALR190702021</t>
  </si>
  <si>
    <t>Lindsey</t>
  </si>
  <si>
    <t>Hollin</t>
  </si>
  <si>
    <t>Lindsey Hollin</t>
  </si>
  <si>
    <t>110 Paloma Dr</t>
  </si>
  <si>
    <t>78212-1771</t>
  </si>
  <si>
    <t>lindseyhollin@sbcglobal.net</t>
  </si>
  <si>
    <t>ALQ1702HH008</t>
  </si>
  <si>
    <t>Richard and Nancy Urban</t>
  </si>
  <si>
    <t>Richard and Nancy</t>
  </si>
  <si>
    <t>707 Windy Way</t>
  </si>
  <si>
    <t>Signal Mountain</t>
  </si>
  <si>
    <t>37377-2055</t>
  </si>
  <si>
    <t>ALQ1701AG013</t>
  </si>
  <si>
    <t>ALQ1911BE011</t>
  </si>
  <si>
    <t>ALR210101C31</t>
  </si>
  <si>
    <t>Sproat</t>
  </si>
  <si>
    <t>David and Brenda Sproat</t>
  </si>
  <si>
    <t>David and Brenda</t>
  </si>
  <si>
    <t>3640 E 4th St</t>
  </si>
  <si>
    <t>55804-1837</t>
  </si>
  <si>
    <t>bsproat@gmail.com</t>
  </si>
  <si>
    <t>ALA22120A53H</t>
  </si>
  <si>
    <t>Lynnston</t>
  </si>
  <si>
    <t>Stogsdill</t>
  </si>
  <si>
    <t>Mrs. Linda and Mr. Lynnston Stogsdill</t>
  </si>
  <si>
    <t>Linda and Lynnston</t>
  </si>
  <si>
    <t>8303 W 121st St</t>
  </si>
  <si>
    <t>66213-1241</t>
  </si>
  <si>
    <t>skipstogsdill88@gmail.com</t>
  </si>
  <si>
    <t>ALQ1701HG022</t>
  </si>
  <si>
    <t>Deborah Taylor</t>
  </si>
  <si>
    <t>25 Worthen Rd Apt 3304</t>
  </si>
  <si>
    <t>Brookdale</t>
  </si>
  <si>
    <t>03824-4611</t>
  </si>
  <si>
    <t>wtaylord@yahoo.com</t>
  </si>
  <si>
    <t>ALQ1103FJ012</t>
  </si>
  <si>
    <t>ALR180302021</t>
  </si>
  <si>
    <t>Kemp</t>
  </si>
  <si>
    <t>Earl Kemp</t>
  </si>
  <si>
    <t>440 Silo Ct</t>
  </si>
  <si>
    <t>Waxahachie</t>
  </si>
  <si>
    <t>75167-8216</t>
  </si>
  <si>
    <t>kayla18kemp@yahoo.com</t>
  </si>
  <si>
    <t>ALQ1702EH018</t>
  </si>
  <si>
    <t>ALR220303C33</t>
  </si>
  <si>
    <t>Dyczko</t>
  </si>
  <si>
    <t>6215 53rd Avenue #6d</t>
  </si>
  <si>
    <t>Maspeth</t>
  </si>
  <si>
    <t>11378-1303</t>
  </si>
  <si>
    <t>ALQ1702GH034</t>
  </si>
  <si>
    <t>Ruth Spencer</t>
  </si>
  <si>
    <t>78 Davis Ave</t>
  </si>
  <si>
    <t>12603-2417</t>
  </si>
  <si>
    <t>mr.c.spencer@live.com</t>
  </si>
  <si>
    <t>ALQ1701LG040</t>
  </si>
  <si>
    <t>Borst</t>
  </si>
  <si>
    <t>Larry Borst</t>
  </si>
  <si>
    <t>10511 Bladensburg Rd</t>
  </si>
  <si>
    <t>Ottumwa</t>
  </si>
  <si>
    <t>52501-9077</t>
  </si>
  <si>
    <t>ALA24010C45R</t>
  </si>
  <si>
    <t>Teri</t>
  </si>
  <si>
    <t>Teri Grey</t>
  </si>
  <si>
    <t>7913 Tamarind Pl</t>
  </si>
  <si>
    <t>23227-2112</t>
  </si>
  <si>
    <t>tgrey007@gmail.com</t>
  </si>
  <si>
    <t>ALQ1702CH021</t>
  </si>
  <si>
    <t>ALA24020B33R</t>
  </si>
  <si>
    <t>ALA20030A13A</t>
  </si>
  <si>
    <t>Gordon Williams</t>
  </si>
  <si>
    <t>1804 Tramway Terrace Loop NE</t>
  </si>
  <si>
    <t>87122-1300</t>
  </si>
  <si>
    <t>ALQ1701GG035</t>
  </si>
  <si>
    <t>ALA20070B13A</t>
  </si>
  <si>
    <t>Skorupski</t>
  </si>
  <si>
    <t>Ms. Sharon Skorupski</t>
  </si>
  <si>
    <t>27479 Pleasant Dr</t>
  </si>
  <si>
    <t>48088-6072</t>
  </si>
  <si>
    <t>sskorupski@gmail.com</t>
  </si>
  <si>
    <t>ALQ1612GF022</t>
  </si>
  <si>
    <t>ALR180402031</t>
  </si>
  <si>
    <t>Ms. Christine Baughman</t>
  </si>
  <si>
    <t>6230 Edsall Rd Unit 302</t>
  </si>
  <si>
    <t>22312-2649</t>
  </si>
  <si>
    <t>chasbsf@gmail.com</t>
  </si>
  <si>
    <t>ALQ1703AJ018</t>
  </si>
  <si>
    <t>ALL19120A4BM</t>
  </si>
  <si>
    <t>Ridgley and Linda Britton</t>
  </si>
  <si>
    <t>Ridgley and Linda</t>
  </si>
  <si>
    <t>8022 Lancken Dr</t>
  </si>
  <si>
    <t>28277-0267</t>
  </si>
  <si>
    <t>archiginny@hotmail.com</t>
  </si>
  <si>
    <t>ALQ1702GH012</t>
  </si>
  <si>
    <t>Kaufmann</t>
  </si>
  <si>
    <t>Geraldine Kaufmann</t>
  </si>
  <si>
    <t>2950 Highway A</t>
  </si>
  <si>
    <t>Uniontown</t>
  </si>
  <si>
    <t>63783-9132</t>
  </si>
  <si>
    <t>ALQ1703GJ023</t>
  </si>
  <si>
    <t>ALR201005C23</t>
  </si>
  <si>
    <t>Taliercio</t>
  </si>
  <si>
    <t>Robert Taliercio</t>
  </si>
  <si>
    <t>2113 Sheriff Ct</t>
  </si>
  <si>
    <t>22181-3262</t>
  </si>
  <si>
    <t>sotaliercio@gmail.com</t>
  </si>
  <si>
    <t>Ms. Linda Webster and Mr. Will Archer</t>
  </si>
  <si>
    <t>Linda and Will</t>
  </si>
  <si>
    <t>9325 Hollyhock Ln</t>
  </si>
  <si>
    <t>53406-3039</t>
  </si>
  <si>
    <t>linda7612@gmail.com</t>
  </si>
  <si>
    <t>lindaweb10@wi.rr.com</t>
  </si>
  <si>
    <t>ALQ1703AJ021</t>
  </si>
  <si>
    <t>Markstrom</t>
  </si>
  <si>
    <t>Dr. Denise Markstrom</t>
  </si>
  <si>
    <t>37049 Calka Dr</t>
  </si>
  <si>
    <t>48310-3502</t>
  </si>
  <si>
    <t>dmarkstr@comcast.net</t>
  </si>
  <si>
    <t>ALQ17040W001</t>
  </si>
  <si>
    <t>ALR180402054</t>
  </si>
  <si>
    <t>Mottl</t>
  </si>
  <si>
    <t>Paul Mottl</t>
  </si>
  <si>
    <t>3211 Grays Gable Rd</t>
  </si>
  <si>
    <t>Laramie</t>
  </si>
  <si>
    <t>82072-5050</t>
  </si>
  <si>
    <t>stjamesfremont@gmail.com</t>
  </si>
  <si>
    <t>ALQ1703FJ005</t>
  </si>
  <si>
    <t>Mr. Fred Martin</t>
  </si>
  <si>
    <t>7451 Elphick Rd</t>
  </si>
  <si>
    <t>95472-4709</t>
  </si>
  <si>
    <t>amandajanemartin@live.com</t>
  </si>
  <si>
    <t>ALQ1703AJ007</t>
  </si>
  <si>
    <t>ALR220604C44</t>
  </si>
  <si>
    <t>Dezwarte</t>
  </si>
  <si>
    <t>Charles Dezwarte</t>
  </si>
  <si>
    <t>4035 Bordeaux Dr</t>
  </si>
  <si>
    <t>53546-1783</t>
  </si>
  <si>
    <t>cdez321@att.net</t>
  </si>
  <si>
    <t>ALQ1702MH038</t>
  </si>
  <si>
    <t>Wolfram</t>
  </si>
  <si>
    <t>Ms. Cynthia A. Wolfram</t>
  </si>
  <si>
    <t>4507 Apollo St</t>
  </si>
  <si>
    <t>77018-3205</t>
  </si>
  <si>
    <t>cwolframrdld@gmail.com</t>
  </si>
  <si>
    <t>cwolframrdld@att.net</t>
  </si>
  <si>
    <t>Quistorff</t>
  </si>
  <si>
    <t>Mrs. Shannon Quistorff</t>
  </si>
  <si>
    <t>1652 Buffett Cir</t>
  </si>
  <si>
    <t>28602-8223</t>
  </si>
  <si>
    <t>squistorff@aol.com</t>
  </si>
  <si>
    <t>Mcsween</t>
  </si>
  <si>
    <t>Roger Mcsween</t>
  </si>
  <si>
    <t>620 Linwood Dr</t>
  </si>
  <si>
    <t>76209-1169</t>
  </si>
  <si>
    <t>rmcsween@yahoo.com</t>
  </si>
  <si>
    <t>ALQ1702GH018</t>
  </si>
  <si>
    <t>Shadel</t>
  </si>
  <si>
    <t>Steve Shadel</t>
  </si>
  <si>
    <t>1377 Potato Valley Rd</t>
  </si>
  <si>
    <t>Mount Pleasant Mills</t>
  </si>
  <si>
    <t>17853-8418</t>
  </si>
  <si>
    <t>slshadel@verizon.net</t>
  </si>
  <si>
    <t>ALR211211C40</t>
  </si>
  <si>
    <t>Patti</t>
  </si>
  <si>
    <t>Beardsley</t>
  </si>
  <si>
    <t>Patti Beardsley</t>
  </si>
  <si>
    <t>2805 Churchill Rd</t>
  </si>
  <si>
    <t>27607-3712</t>
  </si>
  <si>
    <t>pbeardsley2805@gmail.com</t>
  </si>
  <si>
    <t>dbeardsley@nc.rr.com</t>
  </si>
  <si>
    <t>ALQ1703FJ027</t>
  </si>
  <si>
    <t>Donald and Elaine Fletcher</t>
  </si>
  <si>
    <t>Donald and Elaine</t>
  </si>
  <si>
    <t>3326 Cadenza St</t>
  </si>
  <si>
    <t>27858-6029</t>
  </si>
  <si>
    <t>fletcherd@ecu.edu</t>
  </si>
  <si>
    <t>kathleen.fletcher426@gmail.com</t>
  </si>
  <si>
    <t>ALQ1703LJ034</t>
  </si>
  <si>
    <t>Panola</t>
  </si>
  <si>
    <t>Panola Lucas</t>
  </si>
  <si>
    <t>1309 Main Ave</t>
  </si>
  <si>
    <t>Nitro</t>
  </si>
  <si>
    <t>25143-2307</t>
  </si>
  <si>
    <t>loganlucas97@gmail.com</t>
  </si>
  <si>
    <t>ALQ1704FK009</t>
  </si>
  <si>
    <t>Plantz</t>
  </si>
  <si>
    <t>Patricia A. Plantz</t>
  </si>
  <si>
    <t>728 Trout Creek Ln</t>
  </si>
  <si>
    <t>Allentown</t>
  </si>
  <si>
    <t>18103-4963</t>
  </si>
  <si>
    <t>paplantz09@gmail.com</t>
  </si>
  <si>
    <t>ALQ1703FJ015</t>
  </si>
  <si>
    <t>Al</t>
  </si>
  <si>
    <t>Girard</t>
  </si>
  <si>
    <t>Al Girard</t>
  </si>
  <si>
    <t>1208 E 2850 N</t>
  </si>
  <si>
    <t>North Ogden</t>
  </si>
  <si>
    <t>84414-3409</t>
  </si>
  <si>
    <t>nik103@aol.com</t>
  </si>
  <si>
    <t>ALQ1702GH029</t>
  </si>
  <si>
    <t>Theodore</t>
  </si>
  <si>
    <t>Theodore G. Wilson M.D.</t>
  </si>
  <si>
    <t>128 Central Park S</t>
  </si>
  <si>
    <t># 11A</t>
  </si>
  <si>
    <t>10019-1565</t>
  </si>
  <si>
    <t>kygwcke@gmail.com</t>
  </si>
  <si>
    <t>evelynwilson155@gmail.com</t>
  </si>
  <si>
    <t>ALQ1705CL010</t>
  </si>
  <si>
    <t>Cindi and David Anderson</t>
  </si>
  <si>
    <t>Cindi and David</t>
  </si>
  <si>
    <t>7778 Stockton Ave</t>
  </si>
  <si>
    <t>94530-3013</t>
  </si>
  <si>
    <t>valatina.anderson@yahoo.com</t>
  </si>
  <si>
    <t>ALQ1705CL013</t>
  </si>
  <si>
    <t>ALA23020B55H</t>
  </si>
  <si>
    <t>Ellway</t>
  </si>
  <si>
    <t>Mrs. Bernadette and Mr. Philip A. Ellway</t>
  </si>
  <si>
    <t>Bernadette and Philip</t>
  </si>
  <si>
    <t>6005 E Victory Rd</t>
  </si>
  <si>
    <t>Nampa</t>
  </si>
  <si>
    <t>83687-8909</t>
  </si>
  <si>
    <t>papaphilip2@yahoo.com</t>
  </si>
  <si>
    <t>ALQ1705BL003</t>
  </si>
  <si>
    <t>ALR220606C33</t>
  </si>
  <si>
    <t>ALR190602032</t>
  </si>
  <si>
    <t>hzsteno@gmail.com</t>
  </si>
  <si>
    <t>Reier</t>
  </si>
  <si>
    <t>Rosemary Reier</t>
  </si>
  <si>
    <t>4031 W Morgan Ave</t>
  </si>
  <si>
    <t>53221-1015</t>
  </si>
  <si>
    <t>rreier61@hotmail.com</t>
  </si>
  <si>
    <t>ALR220502C23</t>
  </si>
  <si>
    <t>Scammon</t>
  </si>
  <si>
    <t>Daniel Scammon</t>
  </si>
  <si>
    <t>356 Washington St</t>
  </si>
  <si>
    <t>03820-3635</t>
  </si>
  <si>
    <t>711redsox@gmail.com</t>
  </si>
  <si>
    <t>ALQ1705BL021</t>
  </si>
  <si>
    <t>ALA23080B25A</t>
  </si>
  <si>
    <t>Pure</t>
  </si>
  <si>
    <t>Norm Pure</t>
  </si>
  <si>
    <t>651 Five Mile Dr</t>
  </si>
  <si>
    <t>Ithaca</t>
  </si>
  <si>
    <t>14850-9374</t>
  </si>
  <si>
    <t>normpure@yahoo.com</t>
  </si>
  <si>
    <t>100percentpurecrazy@gmail.com</t>
  </si>
  <si>
    <t>Motta</t>
  </si>
  <si>
    <t>Len Motta</t>
  </si>
  <si>
    <t>178 W Latigo Cir</t>
  </si>
  <si>
    <t>San Tan Valley</t>
  </si>
  <si>
    <t>85143-3003</t>
  </si>
  <si>
    <t>ALQ1705BL026</t>
  </si>
  <si>
    <t>ALA23040C24A</t>
  </si>
  <si>
    <t>Cy</t>
  </si>
  <si>
    <t>Tandy</t>
  </si>
  <si>
    <t>Mr. Cy S. Tandy</t>
  </si>
  <si>
    <t>109 Anna Cv</t>
  </si>
  <si>
    <t>39110-6993</t>
  </si>
  <si>
    <t>cytandy@outlook.com</t>
  </si>
  <si>
    <t>ALQ17060W001</t>
  </si>
  <si>
    <t>ALA2311S3EMC</t>
  </si>
  <si>
    <t>Jean Bliss</t>
  </si>
  <si>
    <t>9486 Steele Dr</t>
  </si>
  <si>
    <t>80229-3924</t>
  </si>
  <si>
    <t>jbliss780@gmail.com</t>
  </si>
  <si>
    <t>babychase827@yahoo.com</t>
  </si>
  <si>
    <t>Ackers</t>
  </si>
  <si>
    <t>Jennifer Ackers</t>
  </si>
  <si>
    <t>14888 SE Gilesford St</t>
  </si>
  <si>
    <t>97015-5351</t>
  </si>
  <si>
    <t>jgackers@frontier.com</t>
  </si>
  <si>
    <t>ALQ1704DK012</t>
  </si>
  <si>
    <t>Gomez</t>
  </si>
  <si>
    <t>Rafael Gomez</t>
  </si>
  <si>
    <t>2842 West Blvd Apt F</t>
  </si>
  <si>
    <t>90016-3655</t>
  </si>
  <si>
    <t>rafael2047@yahoo.com</t>
  </si>
  <si>
    <t>ALA23010A24A</t>
  </si>
  <si>
    <t>Stritter</t>
  </si>
  <si>
    <t>Mrs. Sue and Mr. Dan N. Stritter</t>
  </si>
  <si>
    <t>Sue and Dan</t>
  </si>
  <si>
    <t>03748-0021</t>
  </si>
  <si>
    <t>dstritter@hotmail.com</t>
  </si>
  <si>
    <t>ALQ1408FB007</t>
  </si>
  <si>
    <t>ALA21090A23A</t>
  </si>
  <si>
    <t>dstritter@gmail.com</t>
  </si>
  <si>
    <t>ALR230902C44</t>
  </si>
  <si>
    <t>Hollister</t>
  </si>
  <si>
    <t>Ms. Diana L. Hollister</t>
  </si>
  <si>
    <t>430 Elmgrove Rd</t>
  </si>
  <si>
    <t>14606-3426</t>
  </si>
  <si>
    <t>dlhollister@twc.com</t>
  </si>
  <si>
    <t>ALS170701WS3</t>
  </si>
  <si>
    <t>Alexandra</t>
  </si>
  <si>
    <t>Elnick</t>
  </si>
  <si>
    <t>Alexandra Elnick</t>
  </si>
  <si>
    <t>68601 Cornerstone Dr</t>
  </si>
  <si>
    <t>48095-2926</t>
  </si>
  <si>
    <t>ALQ1704GK001</t>
  </si>
  <si>
    <t>Todt</t>
  </si>
  <si>
    <t>Ms. Mary B. Todt</t>
  </si>
  <si>
    <t>23 State Highway U</t>
  </si>
  <si>
    <t>63801-8124</t>
  </si>
  <si>
    <t>marybethtodt@yahoo.com</t>
  </si>
  <si>
    <t>ALQ1704BK016</t>
  </si>
  <si>
    <t>ALA23080D15R</t>
  </si>
  <si>
    <t>Clerc</t>
  </si>
  <si>
    <t>Karen Clerc</t>
  </si>
  <si>
    <t>2206 Yale Ave</t>
  </si>
  <si>
    <t>63143-1421</t>
  </si>
  <si>
    <t>karenclerc@sbcglobal.net</t>
  </si>
  <si>
    <t>ALQ1707CA212</t>
  </si>
  <si>
    <t>Phyllis Winter</t>
  </si>
  <si>
    <t>6244 S Newland Ave Apt 2S</t>
  </si>
  <si>
    <t>60638-3937</t>
  </si>
  <si>
    <t>ALQ1707DA218</t>
  </si>
  <si>
    <t>ALA23010C23R</t>
  </si>
  <si>
    <t>Finney</t>
  </si>
  <si>
    <t>Robert D. Finney</t>
  </si>
  <si>
    <t>127 Rhododendron Ln</t>
  </si>
  <si>
    <t>28605-9575</t>
  </si>
  <si>
    <t>raider55@hotmail.com</t>
  </si>
  <si>
    <t>finneyb1@mac.com</t>
  </si>
  <si>
    <t>ALQ1707AA107</t>
  </si>
  <si>
    <t>ALR191008C54</t>
  </si>
  <si>
    <t>Mr. Ryan D. Reding</t>
  </si>
  <si>
    <t>8207 Piping Rock St</t>
  </si>
  <si>
    <t>77523-3546</t>
  </si>
  <si>
    <t>ryanreding@yahoo.com</t>
  </si>
  <si>
    <t>ALQ1904BK025</t>
  </si>
  <si>
    <t>Strait</t>
  </si>
  <si>
    <t>Sharon Strait</t>
  </si>
  <si>
    <t>1260 70th St</t>
  </si>
  <si>
    <t>50324-1443</t>
  </si>
  <si>
    <t>strait.uite@yahoo.com</t>
  </si>
  <si>
    <t>ALQ1707CA103</t>
  </si>
  <si>
    <t>ALR240302EMC</t>
  </si>
  <si>
    <t>Ms. Nancy M. Curtis</t>
  </si>
  <si>
    <t>3644 37th Ave S</t>
  </si>
  <si>
    <t>55406-2708</t>
  </si>
  <si>
    <t>nancycurtis@gmail.com</t>
  </si>
  <si>
    <t>ALQ1707CA107</t>
  </si>
  <si>
    <t>Charkins</t>
  </si>
  <si>
    <t>Mrs. Linda J. Charkins</t>
  </si>
  <si>
    <t>PO Box 934</t>
  </si>
  <si>
    <t>Wrightwood</t>
  </si>
  <si>
    <t>92397-0934</t>
  </si>
  <si>
    <t>charkins2@verizon.net</t>
  </si>
  <si>
    <t>ALQ1707AA216</t>
  </si>
  <si>
    <t>ALA2201D1EMC</t>
  </si>
  <si>
    <t>Harland</t>
  </si>
  <si>
    <t>Harland Bagley</t>
  </si>
  <si>
    <t>6002 E Orear Rd</t>
  </si>
  <si>
    <t>65202-8282</t>
  </si>
  <si>
    <t>hbrrt123@aol.com</t>
  </si>
  <si>
    <t>hotredcar2001@yahoo.com</t>
  </si>
  <si>
    <t>ALQ1707BA103</t>
  </si>
  <si>
    <t>ALA24010C23A</t>
  </si>
  <si>
    <t>Valerie D. Phillips</t>
  </si>
  <si>
    <t>PO Box 145</t>
  </si>
  <si>
    <t>Citrus Heights</t>
  </si>
  <si>
    <t>95611-0145</t>
  </si>
  <si>
    <t>rndphllps@comcast.net</t>
  </si>
  <si>
    <t>ALQ1707DA201</t>
  </si>
  <si>
    <t>ALR230801C66</t>
  </si>
  <si>
    <t>Ann Coleman</t>
  </si>
  <si>
    <t>7154 N Ottawa Ave</t>
  </si>
  <si>
    <t>60631-1001</t>
  </si>
  <si>
    <t>amcoleman59@gmail.com</t>
  </si>
  <si>
    <t>amcpkccoleman@comcast.net</t>
  </si>
  <si>
    <t>ALQ1707AA219</t>
  </si>
  <si>
    <t>ALA2403D1DM1</t>
  </si>
  <si>
    <t>Roby</t>
  </si>
  <si>
    <t>Marsha A. Roby</t>
  </si>
  <si>
    <t>PO Box E261</t>
  </si>
  <si>
    <t>95947-0137</t>
  </si>
  <si>
    <t>dawgtown66@yahoo.com</t>
  </si>
  <si>
    <t>ALQ1707AA101</t>
  </si>
  <si>
    <t>Demuth</t>
  </si>
  <si>
    <t>Judith Demuth</t>
  </si>
  <si>
    <t>18 Apple Hill Cir</t>
  </si>
  <si>
    <t>53717-1037</t>
  </si>
  <si>
    <t>jsd@tds.net</t>
  </si>
  <si>
    <t>ALQ1707DA330</t>
  </si>
  <si>
    <t>Mike Nelson</t>
  </si>
  <si>
    <t>32968 N Center Ct</t>
  </si>
  <si>
    <t>Center City</t>
  </si>
  <si>
    <t>55012-9687</t>
  </si>
  <si>
    <t>m.kenelson@frontiernet.net</t>
  </si>
  <si>
    <t>ALQ1707DA319</t>
  </si>
  <si>
    <t>ALL19040A43S</t>
  </si>
  <si>
    <t>Statler</t>
  </si>
  <si>
    <t>Mark Statler</t>
  </si>
  <si>
    <t>1056 Cathy Dr</t>
  </si>
  <si>
    <t>63755-1957</t>
  </si>
  <si>
    <t>tabbisawesome32@gmail.com</t>
  </si>
  <si>
    <t>Youngdale</t>
  </si>
  <si>
    <t>Teresa Youngdale</t>
  </si>
  <si>
    <t>1702 Greenbriar Dr</t>
  </si>
  <si>
    <t>49024-5785</t>
  </si>
  <si>
    <t>tyoungdale@yahoo.com</t>
  </si>
  <si>
    <t>ALQ1707DA337</t>
  </si>
  <si>
    <t>ALA20070B33R</t>
  </si>
  <si>
    <t>Cheri Lawson</t>
  </si>
  <si>
    <t>10595 Stonefield Lndg</t>
  </si>
  <si>
    <t>30097-2027</t>
  </si>
  <si>
    <t>lawsonfrost@att.net</t>
  </si>
  <si>
    <t>ALQ1705BL006</t>
  </si>
  <si>
    <t>ALA21010C14A</t>
  </si>
  <si>
    <t>Schreiner</t>
  </si>
  <si>
    <t>Heiderose</t>
  </si>
  <si>
    <t>Ms. Heiderose M. Wetzel and Mr. John G. Schreiner</t>
  </si>
  <si>
    <t>Heiderose and John</t>
  </si>
  <si>
    <t>7611 Pollys Hill Ln</t>
  </si>
  <si>
    <t>21601-8375</t>
  </si>
  <si>
    <t>jschreiner7611@gmail.com</t>
  </si>
  <si>
    <t>ALQ1507BA319</t>
  </si>
  <si>
    <t>harriscreek@earthlink.net</t>
  </si>
  <si>
    <t>Joni</t>
  </si>
  <si>
    <t>Merrick</t>
  </si>
  <si>
    <t>Joni Merrick</t>
  </si>
  <si>
    <t>4522 Lantern Pl</t>
  </si>
  <si>
    <t>22306-1110</t>
  </si>
  <si>
    <t>merrijo1954@gmail.com</t>
  </si>
  <si>
    <t>mssaft2010@gmail.com</t>
  </si>
  <si>
    <t>ALQ1704AK018</t>
  </si>
  <si>
    <t>ALR190904C54</t>
  </si>
  <si>
    <t>Tarantino</t>
  </si>
  <si>
    <t>Ms. Debbie Tarantino</t>
  </si>
  <si>
    <t>601 Green Bay Rd</t>
  </si>
  <si>
    <t>Thiensville</t>
  </si>
  <si>
    <t>53092-1300</t>
  </si>
  <si>
    <t>tarandl55@gmail.com</t>
  </si>
  <si>
    <t>ALA2109D1EMC</t>
  </si>
  <si>
    <t>Mroszczyk</t>
  </si>
  <si>
    <t>Rose V. Mroszczyk</t>
  </si>
  <si>
    <t>3282 Cox District Rd</t>
  </si>
  <si>
    <t>05091-3708</t>
  </si>
  <si>
    <t>rosevm45@gmail.com</t>
  </si>
  <si>
    <t>ALQ1707FA101</t>
  </si>
  <si>
    <t>Mary W. Hopkins</t>
  </si>
  <si>
    <t>14040 Plantation Mill Ct</t>
  </si>
  <si>
    <t>20155-3147</t>
  </si>
  <si>
    <t>mlwhopkins@comcast.net</t>
  </si>
  <si>
    <t>mwinnhopkins@yahoo.com</t>
  </si>
  <si>
    <t>ALQ1708HB018</t>
  </si>
  <si>
    <t>Wszolek</t>
  </si>
  <si>
    <t>Donald and Amy Wszolek</t>
  </si>
  <si>
    <t>Donald and Amy</t>
  </si>
  <si>
    <t>17 Donnybrook Rd</t>
  </si>
  <si>
    <t>Montvale</t>
  </si>
  <si>
    <t>07645-2006</t>
  </si>
  <si>
    <t>dwszolek@comcast.net</t>
  </si>
  <si>
    <t>ALQ1708FB006</t>
  </si>
  <si>
    <t>Veseth</t>
  </si>
  <si>
    <t>Ms. Claire Veseth</t>
  </si>
  <si>
    <t>3238 N Dove Pl</t>
  </si>
  <si>
    <t>83704-4079</t>
  </si>
  <si>
    <t>cveseth@turbonet.com</t>
  </si>
  <si>
    <t>Golobitsh</t>
  </si>
  <si>
    <t>Erin Golobitsh</t>
  </si>
  <si>
    <t>219 Pembroke Rd</t>
  </si>
  <si>
    <t>60540-5626</t>
  </si>
  <si>
    <t>egolobi@sbcglobal.net</t>
  </si>
  <si>
    <t>ALZ170002005</t>
  </si>
  <si>
    <t>ALR181002022</t>
  </si>
  <si>
    <t>Rory</t>
  </si>
  <si>
    <t>Rory O'Connor</t>
  </si>
  <si>
    <t>808 N 21st St</t>
  </si>
  <si>
    <t>83702-3211</t>
  </si>
  <si>
    <t>roryocon04@gmail.com</t>
  </si>
  <si>
    <t>ALQ1708DB016</t>
  </si>
  <si>
    <t>Mr. Richard J. Thornton</t>
  </si>
  <si>
    <t>21 Cottage St</t>
  </si>
  <si>
    <t>02052-1604</t>
  </si>
  <si>
    <t>rj54btrout@aol.com</t>
  </si>
  <si>
    <t>kirchausenezqzl@hotmail.com</t>
  </si>
  <si>
    <t>ALQ1708GB008</t>
  </si>
  <si>
    <t>Goertz</t>
  </si>
  <si>
    <t>Herbert A. Goertz</t>
  </si>
  <si>
    <t>44 Orchard Rd</t>
  </si>
  <si>
    <t>Tunbridge</t>
  </si>
  <si>
    <t>05077-9677</t>
  </si>
  <si>
    <t>hgoertz042021fake@npca.org</t>
  </si>
  <si>
    <t>Nikola Baumann</t>
  </si>
  <si>
    <t>107 27th St NW</t>
  </si>
  <si>
    <t>55912-4605</t>
  </si>
  <si>
    <t>nikolab6@hotmail.com</t>
  </si>
  <si>
    <t>ALQ1707EA303</t>
  </si>
  <si>
    <t>ALR201009C44</t>
  </si>
  <si>
    <t>Nan Rudolph</t>
  </si>
  <si>
    <t>1596 Lancaster Ter Apt 1C</t>
  </si>
  <si>
    <t>32204-4105</t>
  </si>
  <si>
    <t>nancyrudolph@gmail.com</t>
  </si>
  <si>
    <t>ALQ1707BA201</t>
  </si>
  <si>
    <t>ALA20050A13A</t>
  </si>
  <si>
    <t>Love</t>
  </si>
  <si>
    <t>Cathleen Love</t>
  </si>
  <si>
    <t>265 Post Rd Apt 1</t>
  </si>
  <si>
    <t>Warwick</t>
  </si>
  <si>
    <t>02888-1543</t>
  </si>
  <si>
    <t>ishie6@hotmail.com</t>
  </si>
  <si>
    <t>ishei6@hotmail.com</t>
  </si>
  <si>
    <t>ALQ1709FC020</t>
  </si>
  <si>
    <t>Chuchla</t>
  </si>
  <si>
    <t>Mr. Edward Chuchla</t>
  </si>
  <si>
    <t>13218 Greenleaf Trl</t>
  </si>
  <si>
    <t>Palos Heights</t>
  </si>
  <si>
    <t>60463-3196</t>
  </si>
  <si>
    <t>chuchlae@comcast.net</t>
  </si>
  <si>
    <t>jchuchla@aol.com</t>
  </si>
  <si>
    <t>ALQ1709FC011</t>
  </si>
  <si>
    <t>Henson</t>
  </si>
  <si>
    <t>Ms. Anita Henson</t>
  </si>
  <si>
    <t>N78W17331 Wildwood Dr Apt 624</t>
  </si>
  <si>
    <t>53051-4163</t>
  </si>
  <si>
    <t>anital255@att.net</t>
  </si>
  <si>
    <t>ALQ1709EC022</t>
  </si>
  <si>
    <t>Mozuch</t>
  </si>
  <si>
    <t>Ken Mozuch</t>
  </si>
  <si>
    <t>511 Crueger St</t>
  </si>
  <si>
    <t>Stevens Point</t>
  </si>
  <si>
    <t>54481-5915</t>
  </si>
  <si>
    <t>Flemings</t>
  </si>
  <si>
    <t>Walter L. Flemings</t>
  </si>
  <si>
    <t>5601 E 33rd St</t>
  </si>
  <si>
    <t>85711-6608</t>
  </si>
  <si>
    <t>wlflemings@yahoo.com</t>
  </si>
  <si>
    <t>ALQ1709EC003</t>
  </si>
  <si>
    <t>ALA21010B13C</t>
  </si>
  <si>
    <t>Riegler</t>
  </si>
  <si>
    <t>John Riegler</t>
  </si>
  <si>
    <t>3808 Alexandria Dr</t>
  </si>
  <si>
    <t>78749-3954</t>
  </si>
  <si>
    <t>a1riegler@yahoo.com</t>
  </si>
  <si>
    <t>ALQ1709FC017</t>
  </si>
  <si>
    <t>Nancy S. Hoyle</t>
  </si>
  <si>
    <t>202 Peachtree St</t>
  </si>
  <si>
    <t>28012-2430</t>
  </si>
  <si>
    <t>jesselanehoyle@yahoo.com</t>
  </si>
  <si>
    <t>nhoyle2@aol.com</t>
  </si>
  <si>
    <t>ALQ1709EC017</t>
  </si>
  <si>
    <t>ALA2308D1DMT</t>
  </si>
  <si>
    <t>Francis Wright</t>
  </si>
  <si>
    <t>122 Whittaker Rd</t>
  </si>
  <si>
    <t>Dingmans Ferry</t>
  </si>
  <si>
    <t>18328-9217</t>
  </si>
  <si>
    <t>matt.cross@gmail.com</t>
  </si>
  <si>
    <t>ALQ1709DC011</t>
  </si>
  <si>
    <t>Poeschl</t>
  </si>
  <si>
    <t>Ms. Joyce Poeschl</t>
  </si>
  <si>
    <t>509 Dempsey Rd</t>
  </si>
  <si>
    <t>53714-3017</t>
  </si>
  <si>
    <t>wischeeseop@yahoo.com</t>
  </si>
  <si>
    <t>Chumney</t>
  </si>
  <si>
    <t>Ms. Pat Chumney</t>
  </si>
  <si>
    <t>402 Milla Ln</t>
  </si>
  <si>
    <t>Euless</t>
  </si>
  <si>
    <t>76039-4465</t>
  </si>
  <si>
    <t>pchumney@gmail.com</t>
  </si>
  <si>
    <t>ALQ1602KH035</t>
  </si>
  <si>
    <t>ALR230902C23</t>
  </si>
  <si>
    <t>Fuchiwaki</t>
  </si>
  <si>
    <t>Ms. Donna Fuchiwaki</t>
  </si>
  <si>
    <t>15541 Tilden St</t>
  </si>
  <si>
    <t>San Leandro</t>
  </si>
  <si>
    <t>94579-2316</t>
  </si>
  <si>
    <t>sdfuchiwaki@hotmail.com</t>
  </si>
  <si>
    <t>ALQ1709EC006</t>
  </si>
  <si>
    <t>Recktenwalt</t>
  </si>
  <si>
    <t>Donna M. Recktenwalt</t>
  </si>
  <si>
    <t>4337 Ridgepath Dr</t>
  </si>
  <si>
    <t>45424-4745</t>
  </si>
  <si>
    <t>bucksofosu@aol.com</t>
  </si>
  <si>
    <t>ALQ1709EC002</t>
  </si>
  <si>
    <t>Booher</t>
  </si>
  <si>
    <t>Bob Booher</t>
  </si>
  <si>
    <t>4920 W 15th St</t>
  </si>
  <si>
    <t>Speedway</t>
  </si>
  <si>
    <t>46224-6506</t>
  </si>
  <si>
    <t>lion_bug@att.net</t>
  </si>
  <si>
    <t>lion_boo@att.net</t>
  </si>
  <si>
    <t>ALQ1710ED022</t>
  </si>
  <si>
    <t>Reggie</t>
  </si>
  <si>
    <t>Reggie and Reggie Billings</t>
  </si>
  <si>
    <t>Reggie and Reggie</t>
  </si>
  <si>
    <t>8505 Grandview Ave</t>
  </si>
  <si>
    <t>80002-2307</t>
  </si>
  <si>
    <t>lawbadge1@q.com</t>
  </si>
  <si>
    <t>reginabillings40@gmail.com</t>
  </si>
  <si>
    <t>ALQ1710ED002</t>
  </si>
  <si>
    <t>ALR200214C20</t>
  </si>
  <si>
    <t>ALQ1712FF024</t>
  </si>
  <si>
    <t>Dr. Frank C. Young</t>
  </si>
  <si>
    <t>PO Box 7704</t>
  </si>
  <si>
    <t>22207-0704</t>
  </si>
  <si>
    <t>fcy.coy@earthlink.net</t>
  </si>
  <si>
    <t>ALQ1710BD020</t>
  </si>
  <si>
    <t>ALR181101031</t>
  </si>
  <si>
    <t>Danley</t>
  </si>
  <si>
    <t>Mrs. Sue Danley</t>
  </si>
  <si>
    <t>2016 J St NE</t>
  </si>
  <si>
    <t>98002-2814</t>
  </si>
  <si>
    <t>susandanley@gmail.com</t>
  </si>
  <si>
    <t>ALQ1710FD019</t>
  </si>
  <si>
    <t>ALA24010E13C</t>
  </si>
  <si>
    <t>Cleo</t>
  </si>
  <si>
    <t>Ms. Cleo and Mr. Peter Raulerson</t>
  </si>
  <si>
    <t>Cleo and Peter</t>
  </si>
  <si>
    <t>12126 SE 16th Pl</t>
  </si>
  <si>
    <t>98005-3803</t>
  </si>
  <si>
    <t>cleo@raulerson.net</t>
  </si>
  <si>
    <t>ALQ2311N6EMC</t>
  </si>
  <si>
    <t>pandc.raulerson@gmail.com</t>
  </si>
  <si>
    <t>Ms. Marcia Muller</t>
  </si>
  <si>
    <t>1942 NE 6th Ct Apt G107</t>
  </si>
  <si>
    <t>33304-3852</t>
  </si>
  <si>
    <t>purplecheetahlady@gmail.com</t>
  </si>
  <si>
    <t>ALQ1710DD011</t>
  </si>
  <si>
    <t>Cutler</t>
  </si>
  <si>
    <t>Robert and Leslie Cutler</t>
  </si>
  <si>
    <t>Robert and Leslie</t>
  </si>
  <si>
    <t>1830 Lombardy St</t>
  </si>
  <si>
    <t>80503-3912</t>
  </si>
  <si>
    <t>cutlerleslie@hotmail.com</t>
  </si>
  <si>
    <t>cutlerb17@gmail.com</t>
  </si>
  <si>
    <t>ADA230001T05:MIDLEVEL</t>
  </si>
  <si>
    <t>Haston</t>
  </si>
  <si>
    <t>Mr. George Haston</t>
  </si>
  <si>
    <t>1124 NE 157th Ave</t>
  </si>
  <si>
    <t>97230-5347</t>
  </si>
  <si>
    <t>steven54788@gmail.com</t>
  </si>
  <si>
    <t>ALQ1710AD011</t>
  </si>
  <si>
    <t>Houle</t>
  </si>
  <si>
    <t>Sharon Houle</t>
  </si>
  <si>
    <t>12793 Florida Ln</t>
  </si>
  <si>
    <t>Apple Valley</t>
  </si>
  <si>
    <t>55124-7985</t>
  </si>
  <si>
    <t>sherry.houle@gmail.com</t>
  </si>
  <si>
    <t>ALQ1710BD002</t>
  </si>
  <si>
    <t>ALR231201EMC</t>
  </si>
  <si>
    <t>Sadlier</t>
  </si>
  <si>
    <t>Mr. Robert R. Sadlier</t>
  </si>
  <si>
    <t>52 River Pl</t>
  </si>
  <si>
    <t>29906-9191</t>
  </si>
  <si>
    <t>lazysusan138@aol.com</t>
  </si>
  <si>
    <t>ALQ1707FA107</t>
  </si>
  <si>
    <t>Paine</t>
  </si>
  <si>
    <t>Miss Anne Paine</t>
  </si>
  <si>
    <t>6412 Brownlee Dr</t>
  </si>
  <si>
    <t>37205-3149</t>
  </si>
  <si>
    <t>abpaine@aol.com</t>
  </si>
  <si>
    <t>ALL2206L1EMC</t>
  </si>
  <si>
    <t>Burress</t>
  </si>
  <si>
    <t>Marcia Burress</t>
  </si>
  <si>
    <t>422 E Peru St</t>
  </si>
  <si>
    <t>61356-2153</t>
  </si>
  <si>
    <t>m_burress@yahoo.com</t>
  </si>
  <si>
    <t>ALQ1710FD012</t>
  </si>
  <si>
    <t>Steil</t>
  </si>
  <si>
    <t>8100 Islamabad Pl</t>
  </si>
  <si>
    <t>Dulles</t>
  </si>
  <si>
    <t>20189-1424</t>
  </si>
  <si>
    <t>heathersteil@yahoo.com</t>
  </si>
  <si>
    <t>ALRXXXXT0WSC</t>
  </si>
  <si>
    <t>Dummitt</t>
  </si>
  <si>
    <t>Gregory Dummitt</t>
  </si>
  <si>
    <t>403 N Madison Ave</t>
  </si>
  <si>
    <t>Blanchard</t>
  </si>
  <si>
    <t>73010-5901</t>
  </si>
  <si>
    <t>ddanielprobe@aol.com</t>
  </si>
  <si>
    <t>cscallops@outlook.com</t>
  </si>
  <si>
    <t>ALQ1710MD034</t>
  </si>
  <si>
    <t>ALA22050A14A</t>
  </si>
  <si>
    <t>Melanie Bliss</t>
  </si>
  <si>
    <t>1409 W Dow Rummel St Apt 102</t>
  </si>
  <si>
    <t>57104-7800</t>
  </si>
  <si>
    <t>abliss@worldnet.att.net</t>
  </si>
  <si>
    <t>ALQ1709BC001</t>
  </si>
  <si>
    <t>ALA23090E23C</t>
  </si>
  <si>
    <t>Baillie</t>
  </si>
  <si>
    <t>Thomas and Janet Baillie</t>
  </si>
  <si>
    <t>Thomas and Janet</t>
  </si>
  <si>
    <t>PO Box 522</t>
  </si>
  <si>
    <t>95222-0522</t>
  </si>
  <si>
    <t>PO Box 220</t>
  </si>
  <si>
    <t>17225-0220</t>
  </si>
  <si>
    <t>davidlwoods@centurylink.net</t>
  </si>
  <si>
    <t>ALQ1711GE022</t>
  </si>
  <si>
    <t>Carrie</t>
  </si>
  <si>
    <t>Quatsoe</t>
  </si>
  <si>
    <t>Carrie A. Quatsoe</t>
  </si>
  <si>
    <t>2719 Greenwald St</t>
  </si>
  <si>
    <t>54301-2801</t>
  </si>
  <si>
    <t>carriequatsoe@gmail.com</t>
  </si>
  <si>
    <t>Slack</t>
  </si>
  <si>
    <t>Mrs. Patricia Slack</t>
  </si>
  <si>
    <t>151 Lakeside Rd</t>
  </si>
  <si>
    <t>29036-8236</t>
  </si>
  <si>
    <t>pats1505@yahoo.com</t>
  </si>
  <si>
    <t>ALQ1711FE018</t>
  </si>
  <si>
    <t>Henrich</t>
  </si>
  <si>
    <t>Lynn J. Henrich</t>
  </si>
  <si>
    <t>N1245 Wisconsin River Rd</t>
  </si>
  <si>
    <t>54452-9072</t>
  </si>
  <si>
    <t>dorisgeorge@comcast.net</t>
  </si>
  <si>
    <t>ALQ1711CE002</t>
  </si>
  <si>
    <t>Pierard</t>
  </si>
  <si>
    <t>George E. Pierard</t>
  </si>
  <si>
    <t>1370 Celebration Blvd Apt 254</t>
  </si>
  <si>
    <t>34747-5548</t>
  </si>
  <si>
    <t>gpierard@sbcglobal.net</t>
  </si>
  <si>
    <t>ALQ1711BE003</t>
  </si>
  <si>
    <t>Kent Weiss</t>
  </si>
  <si>
    <t>335 W Maple Ave</t>
  </si>
  <si>
    <t>Van Wert</t>
  </si>
  <si>
    <t>45891-1959</t>
  </si>
  <si>
    <t>golf_bug@yahoo.com</t>
  </si>
  <si>
    <t>ALA1711D1EMB</t>
  </si>
  <si>
    <t>McGinty</t>
  </si>
  <si>
    <t>Mr. John F. McGinty</t>
  </si>
  <si>
    <t>8465 Keystone Xing</t>
  </si>
  <si>
    <t>Ste 160</t>
  </si>
  <si>
    <t>46240-2453</t>
  </si>
  <si>
    <t>myeager2@hotmail.com</t>
  </si>
  <si>
    <t>ALQ1507BA223</t>
  </si>
  <si>
    <t>Forsell</t>
  </si>
  <si>
    <t>Ms. Wendy L. Forsell</t>
  </si>
  <si>
    <t>1232 5th St NW</t>
  </si>
  <si>
    <t>Elk River</t>
  </si>
  <si>
    <t>55330-1812</t>
  </si>
  <si>
    <t>wendy@forsells.net</t>
  </si>
  <si>
    <t>zeta@forsells.net</t>
  </si>
  <si>
    <t>ALQ1812N5EMC</t>
  </si>
  <si>
    <t>ALS230701WS3</t>
  </si>
  <si>
    <t>Elizabeth Cohen</t>
  </si>
  <si>
    <t>329 Golf View Dr</t>
  </si>
  <si>
    <t>Little Egg Harbor Twp</t>
  </si>
  <si>
    <t>08087-4225</t>
  </si>
  <si>
    <t>ecohen159@gmail.com</t>
  </si>
  <si>
    <t>ALR190303031</t>
  </si>
  <si>
    <t>Bjerklie</t>
  </si>
  <si>
    <t>Mr. Leonard Bjerklie</t>
  </si>
  <si>
    <t>302 2nd St N</t>
  </si>
  <si>
    <t>58639-7106</t>
  </si>
  <si>
    <t>bjerklie1@ndsupernet.com</t>
  </si>
  <si>
    <t>ALQ1711FE027</t>
  </si>
  <si>
    <t>Copes</t>
  </si>
  <si>
    <t>Norma L. Copes</t>
  </si>
  <si>
    <t>608 28th St</t>
  </si>
  <si>
    <t>61108-1828</t>
  </si>
  <si>
    <t>ALQ1711FE020</t>
  </si>
  <si>
    <t>Smits</t>
  </si>
  <si>
    <t>Carl M. Smits</t>
  </si>
  <si>
    <t>620 Wewoka Dr</t>
  </si>
  <si>
    <t>80303-4746</t>
  </si>
  <si>
    <t>carl.smits@gmail.com</t>
  </si>
  <si>
    <t>ALQ1711FE012</t>
  </si>
  <si>
    <t>Bruner</t>
  </si>
  <si>
    <t>Jean Bruner</t>
  </si>
  <si>
    <t>13991 E Marina Dr Apt 502</t>
  </si>
  <si>
    <t>80014-5515</t>
  </si>
  <si>
    <t>injeaniusco@gmail.com</t>
  </si>
  <si>
    <t>injeaniusnc@aol.com</t>
  </si>
  <si>
    <t>ALQ1711DE011</t>
  </si>
  <si>
    <t>ALA2311S6EMC</t>
  </si>
  <si>
    <t>Catherine Martin</t>
  </si>
  <si>
    <t>1837 Stonebridge Way</t>
  </si>
  <si>
    <t>48188-6229</t>
  </si>
  <si>
    <t>kieraht@hotmail.com</t>
  </si>
  <si>
    <t>ALQ1711CE011</t>
  </si>
  <si>
    <t>ALR190104031</t>
  </si>
  <si>
    <t>Kevin Dolan</t>
  </si>
  <si>
    <t>700 Columbus Ave Apt 20C</t>
  </si>
  <si>
    <t>10025-6682</t>
  </si>
  <si>
    <t>kdolanv@yahoo.com</t>
  </si>
  <si>
    <t>ALQ1712GF018</t>
  </si>
  <si>
    <t>Hanke</t>
  </si>
  <si>
    <t>Pamela Hanke</t>
  </si>
  <si>
    <t>2075 Federal Ave</t>
  </si>
  <si>
    <t>Alliance</t>
  </si>
  <si>
    <t>44601-4541</t>
  </si>
  <si>
    <t>pamhanke@yahoo.com</t>
  </si>
  <si>
    <t>ALQ1711ME033</t>
  </si>
  <si>
    <t>ALR231003EMC</t>
  </si>
  <si>
    <t>ALR190101031</t>
  </si>
  <si>
    <t>Mr. Daniel Mariani</t>
  </si>
  <si>
    <t>1400 Colorado St Ste C</t>
  </si>
  <si>
    <t>89005-2490</t>
  </si>
  <si>
    <t>dandavinci62@gmail.com</t>
  </si>
  <si>
    <t>ALQ180001001</t>
  </si>
  <si>
    <t>David P. Singer</t>
  </si>
  <si>
    <t>12249 Fairfield House Dr Apt 406</t>
  </si>
  <si>
    <t>22033-3969</t>
  </si>
  <si>
    <t>cantante.ds@gmail.com</t>
  </si>
  <si>
    <t>robertmschumacher@yahoo.com</t>
  </si>
  <si>
    <t>ALQ1712CF002</t>
  </si>
  <si>
    <t>Zundel</t>
  </si>
  <si>
    <t>Ms. Florence A. Zundel</t>
  </si>
  <si>
    <t>1607 17th St W Apt 203</t>
  </si>
  <si>
    <t>59102-2945</t>
  </si>
  <si>
    <t>brad.zundel@gmail.com</t>
  </si>
  <si>
    <t>Petote</t>
  </si>
  <si>
    <t>Melanie Norton and Howard Petote</t>
  </si>
  <si>
    <t>Melanie and Howard</t>
  </si>
  <si>
    <t>96 Cass Ave</t>
  </si>
  <si>
    <t>06492-3115</t>
  </si>
  <si>
    <t>titanium167@yahoo.com</t>
  </si>
  <si>
    <t>ALQ1712FF015</t>
  </si>
  <si>
    <t>Ehrmann</t>
  </si>
  <si>
    <t>Diane Ehrmann</t>
  </si>
  <si>
    <t>33 Holly Ribbons Cir</t>
  </si>
  <si>
    <t>29909-6193</t>
  </si>
  <si>
    <t>ehrmannd@hargray.com</t>
  </si>
  <si>
    <t>Pappas</t>
  </si>
  <si>
    <t>Mr. and Mrs. George Pappas</t>
  </si>
  <si>
    <t>1335 Lakeview Pkwy</t>
  </si>
  <si>
    <t>22508-5310</t>
  </si>
  <si>
    <t>pappasp@gmail.com</t>
  </si>
  <si>
    <t>ALL22090C72S</t>
  </si>
  <si>
    <t>Mr. Michael Farrell</t>
  </si>
  <si>
    <t>9599 Mira Del Rio Dr</t>
  </si>
  <si>
    <t>95827-1143</t>
  </si>
  <si>
    <t>m.issyannb@gmail.com</t>
  </si>
  <si>
    <t>ALQ1712DF006</t>
  </si>
  <si>
    <t>Mr. Charles King III</t>
  </si>
  <si>
    <t>9019 Phita Ln</t>
  </si>
  <si>
    <t>Manassas Park</t>
  </si>
  <si>
    <t>20111-8043</t>
  </si>
  <si>
    <t>charles.king32016@outlook.com</t>
  </si>
  <si>
    <t>ALQ1712MF034</t>
  </si>
  <si>
    <t>Mr. James Harman</t>
  </si>
  <si>
    <t>3655 State Highway A</t>
  </si>
  <si>
    <t>Chaffee</t>
  </si>
  <si>
    <t>63740-9114</t>
  </si>
  <si>
    <t>sampman65203@yahoo.com</t>
  </si>
  <si>
    <t>sandman65203@yahoo.com</t>
  </si>
  <si>
    <t>ALQ1711GE018</t>
  </si>
  <si>
    <t>ALA22070C32C</t>
  </si>
  <si>
    <t>John C. Jordan</t>
  </si>
  <si>
    <t>101 Pinnacle Pl</t>
  </si>
  <si>
    <t>37167-6238</t>
  </si>
  <si>
    <t>jcj1940@hughes.net</t>
  </si>
  <si>
    <t>Bernthal</t>
  </si>
  <si>
    <t>Larry A. Bernthal</t>
  </si>
  <si>
    <t>8280 Townline Rd</t>
  </si>
  <si>
    <t>Bridgeport</t>
  </si>
  <si>
    <t>48722-9721</t>
  </si>
  <si>
    <t>katherine.bernthal@gmail.com</t>
  </si>
  <si>
    <t>ALR190102021</t>
  </si>
  <si>
    <t>Susanna</t>
  </si>
  <si>
    <t>Beatty</t>
  </si>
  <si>
    <t>Susanna Beatty</t>
  </si>
  <si>
    <t>2358 E Kael Cir</t>
  </si>
  <si>
    <t>85213-2264</t>
  </si>
  <si>
    <t>suz.beatty@q.com</t>
  </si>
  <si>
    <t>sudzbeatty@gmail.com</t>
  </si>
  <si>
    <t>ALQ1712FF023</t>
  </si>
  <si>
    <t>Carol and Edward Halter</t>
  </si>
  <si>
    <t>Carol and Edward</t>
  </si>
  <si>
    <t>10524 Barton St</t>
  </si>
  <si>
    <t>66214-3011</t>
  </si>
  <si>
    <t>carolwhalter@gmail.com</t>
  </si>
  <si>
    <t>Jeri</t>
  </si>
  <si>
    <t>Goodspeed-Gross</t>
  </si>
  <si>
    <t>Jeri A. Goodspeed-Gross</t>
  </si>
  <si>
    <t>3880 Big Woods Blvd</t>
  </si>
  <si>
    <t>Chaska</t>
  </si>
  <si>
    <t>55318-2736</t>
  </si>
  <si>
    <t>jagg144@embarqmail.com</t>
  </si>
  <si>
    <t>ALQ1712FF001</t>
  </si>
  <si>
    <t>ALR221005C44</t>
  </si>
  <si>
    <t>ALR190208031</t>
  </si>
  <si>
    <t>Trial</t>
  </si>
  <si>
    <t>Barbara S. Trial</t>
  </si>
  <si>
    <t>14710 Hardtke Dr</t>
  </si>
  <si>
    <t>48906-9207</t>
  </si>
  <si>
    <t>bstrial@sbcglobal.net</t>
  </si>
  <si>
    <t>ALQ1802N2EMT</t>
  </si>
  <si>
    <t>ALR190201031</t>
  </si>
  <si>
    <t>Rounds</t>
  </si>
  <si>
    <t>Mary Rounds</t>
  </si>
  <si>
    <t>225 Baldwin Dr</t>
  </si>
  <si>
    <t>Circle Pines</t>
  </si>
  <si>
    <t>55014-1381</t>
  </si>
  <si>
    <t>ALQ1801AG004</t>
  </si>
  <si>
    <t>Gehlhausen</t>
  </si>
  <si>
    <t>Janet Gehlhausen</t>
  </si>
  <si>
    <t>1926 Stonegate Dr</t>
  </si>
  <si>
    <t>80517-9746</t>
  </si>
  <si>
    <t>jgehlhausen@gmail.com</t>
  </si>
  <si>
    <t>jan@tractorlaw.com</t>
  </si>
  <si>
    <t>ALQ1801DG025</t>
  </si>
  <si>
    <t>Aubrey</t>
  </si>
  <si>
    <t>Mrs. Joan and Mr. Aubrey Perry</t>
  </si>
  <si>
    <t>Joan and Aubrey</t>
  </si>
  <si>
    <t>4501 Meadowview Dr</t>
  </si>
  <si>
    <t>75150-2948</t>
  </si>
  <si>
    <t>judgeperry@att.net</t>
  </si>
  <si>
    <t>judgeperry@comcast.net</t>
  </si>
  <si>
    <t>ALQ0507DA017</t>
  </si>
  <si>
    <t>ALR230303C33</t>
  </si>
  <si>
    <t>ALR190302033</t>
  </si>
  <si>
    <t>Preble</t>
  </si>
  <si>
    <t>Denise Preble</t>
  </si>
  <si>
    <t>1247 Pebble Spgs</t>
  </si>
  <si>
    <t>86301-4473</t>
  </si>
  <si>
    <t>denisepreble@gmail.com</t>
  </si>
  <si>
    <t>ALQ1801DG031</t>
  </si>
  <si>
    <t>2501 California Ln</t>
  </si>
  <si>
    <t>76015-1908</t>
  </si>
  <si>
    <t>robertjowen@att.net</t>
  </si>
  <si>
    <t>Ferry</t>
  </si>
  <si>
    <t>Joe P. Ferry</t>
  </si>
  <si>
    <t>314 Manitou Beach Rd</t>
  </si>
  <si>
    <t>14468-9539</t>
  </si>
  <si>
    <t>jferry5084@aol.com</t>
  </si>
  <si>
    <t>ALQ1801AG002</t>
  </si>
  <si>
    <t>ALA24010A24R</t>
  </si>
  <si>
    <t>Reynard</t>
  </si>
  <si>
    <t>Patricia A. Reynard</t>
  </si>
  <si>
    <t>4155 Spirea Dr Apt B</t>
  </si>
  <si>
    <t>28403-7341</t>
  </si>
  <si>
    <t>ALQ1801DG023</t>
  </si>
  <si>
    <t>Kathy E.</t>
  </si>
  <si>
    <t>Peter and Kathy E. Knight</t>
  </si>
  <si>
    <t>Peter and Kathy E.</t>
  </si>
  <si>
    <t>159 Oneida Rd</t>
  </si>
  <si>
    <t>05828-9781</t>
  </si>
  <si>
    <t>caledonialady14@gmail.com</t>
  </si>
  <si>
    <t>ALR190302044</t>
  </si>
  <si>
    <t>ALZ230002002</t>
  </si>
  <si>
    <t>Kauffunger</t>
  </si>
  <si>
    <t>Richard and Francine Kauffunger</t>
  </si>
  <si>
    <t>Richard and Francine</t>
  </si>
  <si>
    <t>2309 E Gate Dr</t>
  </si>
  <si>
    <t>20906-2206</t>
  </si>
  <si>
    <t>ALQ1802BH018</t>
  </si>
  <si>
    <t>Rupp</t>
  </si>
  <si>
    <t>Mary Anne Rupp</t>
  </si>
  <si>
    <t>12635 Mustard Seed Ct</t>
  </si>
  <si>
    <t>46038-1012</t>
  </si>
  <si>
    <t>Panik</t>
  </si>
  <si>
    <t>Dennis M. Panik</t>
  </si>
  <si>
    <t>610 W 12 Mile Rd</t>
  </si>
  <si>
    <t>Dafter</t>
  </si>
  <si>
    <t>49724-9512</t>
  </si>
  <si>
    <t>dmpanik@gmail.com</t>
  </si>
  <si>
    <t>ALQ1807CA234</t>
  </si>
  <si>
    <t>Mrs. Sally Collins</t>
  </si>
  <si>
    <t>6820 N Martin Williston Rd</t>
  </si>
  <si>
    <t>43412-9606</t>
  </si>
  <si>
    <t>scollinsowens13@gmail.com</t>
  </si>
  <si>
    <t>ALQ1809N1EMC</t>
  </si>
  <si>
    <t>ALR230705C33</t>
  </si>
  <si>
    <t>Vial</t>
  </si>
  <si>
    <t>Peggy A. Vial</t>
  </si>
  <si>
    <t>48075 150th Ave</t>
  </si>
  <si>
    <t>Laurens</t>
  </si>
  <si>
    <t>50554-8616</t>
  </si>
  <si>
    <t>vialerc@evertek.net</t>
  </si>
  <si>
    <t>ALZ180002004</t>
  </si>
  <si>
    <t>Burk</t>
  </si>
  <si>
    <t>Naomi B. Burk</t>
  </si>
  <si>
    <t>P.O. Box 1141</t>
  </si>
  <si>
    <t>98382-1141</t>
  </si>
  <si>
    <t>Slaninka</t>
  </si>
  <si>
    <t>Laurel Slaninka</t>
  </si>
  <si>
    <t>32228 124th St SE</t>
  </si>
  <si>
    <t>Sultan</t>
  </si>
  <si>
    <t>98294-9612</t>
  </si>
  <si>
    <t>Guillemin-Kanawyer</t>
  </si>
  <si>
    <t>Karen Guillemin-Kanawyer</t>
  </si>
  <si>
    <t>34625 Spangle Gold Rd</t>
  </si>
  <si>
    <t>Coarsegold</t>
  </si>
  <si>
    <t>93614-9531</t>
  </si>
  <si>
    <t>clayguillemin@gmail.com</t>
  </si>
  <si>
    <t>ALQ1802AH011</t>
  </si>
  <si>
    <t>Cheffey</t>
  </si>
  <si>
    <t>Patty Cheffey</t>
  </si>
  <si>
    <t>603 Sunset Dr</t>
  </si>
  <si>
    <t>63461-1035</t>
  </si>
  <si>
    <t>mcheffey@yahoo.com</t>
  </si>
  <si>
    <t>pcheffey@hotmail.com</t>
  </si>
  <si>
    <t>ALQ1802CH008</t>
  </si>
  <si>
    <t>Kerckhoff</t>
  </si>
  <si>
    <t>Mr. Arthur F. Kerckhoff III</t>
  </si>
  <si>
    <t>703 Graeser Rd</t>
  </si>
  <si>
    <t>63141-7734</t>
  </si>
  <si>
    <t>artkerckhoffiii@gmail.com</t>
  </si>
  <si>
    <t>ALA21100C56H</t>
  </si>
  <si>
    <t>Vicky</t>
  </si>
  <si>
    <t>Vicky and Robert Murphy</t>
  </si>
  <si>
    <t>Vicky and Robert</t>
  </si>
  <si>
    <t>PO Box 910531</t>
  </si>
  <si>
    <t>40591-0531</t>
  </si>
  <si>
    <t>vmurphy81788@yahoo.com</t>
  </si>
  <si>
    <t>rlmurphy@twc.com</t>
  </si>
  <si>
    <t>Aubert</t>
  </si>
  <si>
    <t>Bonnie Aubert</t>
  </si>
  <si>
    <t>504 Dauphin St</t>
  </si>
  <si>
    <t>54603-1120</t>
  </si>
  <si>
    <t>ALQ1802CH017</t>
  </si>
  <si>
    <t>ALR210411C50</t>
  </si>
  <si>
    <t>Podvent</t>
  </si>
  <si>
    <t>Rebecca L. Podvent</t>
  </si>
  <si>
    <t>PO Box 393</t>
  </si>
  <si>
    <t>Dufur</t>
  </si>
  <si>
    <t>97021-0393</t>
  </si>
  <si>
    <t>spodvent@gmail.com</t>
  </si>
  <si>
    <t>ALQ1802BH013</t>
  </si>
  <si>
    <t>Calebaugh</t>
  </si>
  <si>
    <t>Mr. George Calebaugh</t>
  </si>
  <si>
    <t>4217 Edinbrook Ter</t>
  </si>
  <si>
    <t>Brooklyn Park</t>
  </si>
  <si>
    <t>55443-7902</t>
  </si>
  <si>
    <t>latrena.delgado@gmail.com</t>
  </si>
  <si>
    <t>ALQ1803AJ011</t>
  </si>
  <si>
    <t>Mr. William C. Kunz</t>
  </si>
  <si>
    <t>1167 S Lombard Ave</t>
  </si>
  <si>
    <t>60304-2245</t>
  </si>
  <si>
    <t>betsy.giglio@gmail.com</t>
  </si>
  <si>
    <t>Hilker</t>
  </si>
  <si>
    <t>Brian Hilker</t>
  </si>
  <si>
    <t>2501 Kenton Ct SE</t>
  </si>
  <si>
    <t>Bolivia</t>
  </si>
  <si>
    <t>28422-3810</t>
  </si>
  <si>
    <t>brian.hilker62@gmail.com</t>
  </si>
  <si>
    <t>ALQ1803BJ004</t>
  </si>
  <si>
    <t>Hodgkinson</t>
  </si>
  <si>
    <t>Scott Hodgkinson</t>
  </si>
  <si>
    <t>4609 Wendlis Road</t>
  </si>
  <si>
    <t>Forest Ranch</t>
  </si>
  <si>
    <t>95942-0074</t>
  </si>
  <si>
    <t>ital.scott@gmail.com</t>
  </si>
  <si>
    <t>ALQ1803BJ010</t>
  </si>
  <si>
    <t>Lobdell</t>
  </si>
  <si>
    <t>Elizabeth Scott and Robert Lobdell</t>
  </si>
  <si>
    <t>Elizabeth and Robert</t>
  </si>
  <si>
    <t>8016 70th Avenue Ct SW</t>
  </si>
  <si>
    <t>98499-2013</t>
  </si>
  <si>
    <t>tgcdino@yahoo.com</t>
  </si>
  <si>
    <t>scottea@me.com</t>
  </si>
  <si>
    <t>ALQ1803BJ006</t>
  </si>
  <si>
    <t>ALR220304C44</t>
  </si>
  <si>
    <t>ALA21030B24A</t>
  </si>
  <si>
    <t>northstar194@hotmail.com</t>
  </si>
  <si>
    <t>ALR230700EMC</t>
  </si>
  <si>
    <t>Maclean</t>
  </si>
  <si>
    <t>Ms. Theresa Maclean</t>
  </si>
  <si>
    <t>1122 Clague St</t>
  </si>
  <si>
    <t>48103-5310</t>
  </si>
  <si>
    <t>thomas.j.maclean@gmail.com</t>
  </si>
  <si>
    <t>ALA20070A15A</t>
  </si>
  <si>
    <t>Robert Andrews</t>
  </si>
  <si>
    <t>2018 Grove Ave</t>
  </si>
  <si>
    <t>23220-4534</t>
  </si>
  <si>
    <t>randrews@row.edu</t>
  </si>
  <si>
    <t>ALQ1802MH031</t>
  </si>
  <si>
    <t>ALR220412C50</t>
  </si>
  <si>
    <t>ALA23010B45R</t>
  </si>
  <si>
    <t>Willi</t>
  </si>
  <si>
    <t>Michelle Willi</t>
  </si>
  <si>
    <t>324 W Glencrest Dr</t>
  </si>
  <si>
    <t>61614-6058</t>
  </si>
  <si>
    <t>mwilli51@aol.com</t>
  </si>
  <si>
    <t>ALQ1804BK017</t>
  </si>
  <si>
    <t>Lohmeyer</t>
  </si>
  <si>
    <t>Maryann Lohmeyer</t>
  </si>
  <si>
    <t>1988 10th Rd</t>
  </si>
  <si>
    <t>Greenleaf</t>
  </si>
  <si>
    <t>66943-9443</t>
  </si>
  <si>
    <t>mlzlohmeyer@gmail.com</t>
  </si>
  <si>
    <t>ALQ1804AK018</t>
  </si>
  <si>
    <t>ALA22040D44C</t>
  </si>
  <si>
    <t>Jung</t>
  </si>
  <si>
    <t>Patti Jung</t>
  </si>
  <si>
    <t>31 Blue Heron Ln</t>
  </si>
  <si>
    <t>Wellsville</t>
  </si>
  <si>
    <t>63384-4709</t>
  </si>
  <si>
    <t>pjung@caleres.com</t>
  </si>
  <si>
    <t>Resch</t>
  </si>
  <si>
    <t>Mrs. Joanne C. and Mr. Christopher Resch</t>
  </si>
  <si>
    <t>Joanne and Christopher</t>
  </si>
  <si>
    <t>15 Spring St</t>
  </si>
  <si>
    <t>Fort Plain</t>
  </si>
  <si>
    <t>13339-1216</t>
  </si>
  <si>
    <t>dutchmaster13339@yahoo.com</t>
  </si>
  <si>
    <t>ALQ1804BK022</t>
  </si>
  <si>
    <t>Korpi</t>
  </si>
  <si>
    <t>Mary B. Korpi</t>
  </si>
  <si>
    <t>4332 Aspenwood Ct</t>
  </si>
  <si>
    <t>89519-0619</t>
  </si>
  <si>
    <t>brandtdoreen@gmail.com</t>
  </si>
  <si>
    <t>marykorp@frontiernet.net</t>
  </si>
  <si>
    <t>ALQ1807AA212</t>
  </si>
  <si>
    <t>ALR230704C54</t>
  </si>
  <si>
    <t>Marginia</t>
  </si>
  <si>
    <t>Shockley</t>
  </si>
  <si>
    <t>Marginia K. Shockley</t>
  </si>
  <si>
    <t>23011 L Ermitage Cir</t>
  </si>
  <si>
    <t>33433-7152</t>
  </si>
  <si>
    <t>roxanne1001@gmail.com</t>
  </si>
  <si>
    <t>ALQ1807AA102</t>
  </si>
  <si>
    <t>Noel</t>
  </si>
  <si>
    <t>Barnhill</t>
  </si>
  <si>
    <t>Noel Barnhill</t>
  </si>
  <si>
    <t>PO Box 248</t>
  </si>
  <si>
    <t>Muenster</t>
  </si>
  <si>
    <t>76252-0248</t>
  </si>
  <si>
    <t>noel_barnhill@hotmail.com</t>
  </si>
  <si>
    <t>ALQ1801DG012</t>
  </si>
  <si>
    <t>ALS230501WS3</t>
  </si>
  <si>
    <t>ALR190703031</t>
  </si>
  <si>
    <t>Marsjall</t>
  </si>
  <si>
    <t>Ms. Lisa M. Marsjall</t>
  </si>
  <si>
    <t>2802 Carriage House Way</t>
  </si>
  <si>
    <t>23188-2755</t>
  </si>
  <si>
    <t>hebert1956@gmail.com</t>
  </si>
  <si>
    <t>emesmom@earthlink.net</t>
  </si>
  <si>
    <t>van Blaricom</t>
  </si>
  <si>
    <t>Daniel van Blaricom</t>
  </si>
  <si>
    <t>8839 Vineyard Haven Dr</t>
  </si>
  <si>
    <t>43016-7368</t>
  </si>
  <si>
    <t>fvanblar@yahoo.com</t>
  </si>
  <si>
    <t>ALQ1807BA115</t>
  </si>
  <si>
    <t>ALA23110C5DD</t>
  </si>
  <si>
    <t>Honeycut</t>
  </si>
  <si>
    <t>Ameya</t>
  </si>
  <si>
    <t>Sapre</t>
  </si>
  <si>
    <t>West Honeycut and Ameya Sapre</t>
  </si>
  <si>
    <t>West and Ameya</t>
  </si>
  <si>
    <t>100 Dudley St Apt 2339</t>
  </si>
  <si>
    <t>Jersey City</t>
  </si>
  <si>
    <t>07302-6449</t>
  </si>
  <si>
    <t>west.honeycutt@gmail.com</t>
  </si>
  <si>
    <t>Warren Christensen</t>
  </si>
  <si>
    <t>935 W Avenue 37</t>
  </si>
  <si>
    <t>90065-3241</t>
  </si>
  <si>
    <t>isabellesamaravjuwe34820@gmail.com</t>
  </si>
  <si>
    <t>ALQ1807CA214</t>
  </si>
  <si>
    <t>ALA22120A34A</t>
  </si>
  <si>
    <t>Sapp</t>
  </si>
  <si>
    <t>Mr. Wilbur Sapp</t>
  </si>
  <si>
    <t>4257 Family Tree Apt 3</t>
  </si>
  <si>
    <t>78222-2730</t>
  </si>
  <si>
    <t>joyce.riojas@yahoo.com</t>
  </si>
  <si>
    <t>ALQ1807DA104</t>
  </si>
  <si>
    <t>ALQ240001001</t>
  </si>
  <si>
    <t>Buystedt</t>
  </si>
  <si>
    <t>Mrs. R. J. Buystedt</t>
  </si>
  <si>
    <t>Mrs. Buystedt</t>
  </si>
  <si>
    <t>309 Dayton Rd Unit 311</t>
  </si>
  <si>
    <t>Champlin</t>
  </si>
  <si>
    <t>55316-1341</t>
  </si>
  <si>
    <t>ramabu@msn.com</t>
  </si>
  <si>
    <t>ALQ1807CA102</t>
  </si>
  <si>
    <t>Peter and Karen Hamilton</t>
  </si>
  <si>
    <t>Peter and Karen</t>
  </si>
  <si>
    <t>3116 Bent Dr</t>
  </si>
  <si>
    <t>80538-2427</t>
  </si>
  <si>
    <t>heagleone@gmail.com</t>
  </si>
  <si>
    <t>ALQ1807BA204</t>
  </si>
  <si>
    <t>ALA22110F14A</t>
  </si>
  <si>
    <t>ALR220406C33</t>
  </si>
  <si>
    <t>kquilterh@gmail.com</t>
  </si>
  <si>
    <t>Martagracia</t>
  </si>
  <si>
    <t>Martagracia Young</t>
  </si>
  <si>
    <t>28570 Schroeder St</t>
  </si>
  <si>
    <t>48331-3179</t>
  </si>
  <si>
    <t>stevey@bellsouth.net</t>
  </si>
  <si>
    <t>ALL22070A63S</t>
  </si>
  <si>
    <t>Ferdinand</t>
  </si>
  <si>
    <t>Freisleben</t>
  </si>
  <si>
    <t>Mr. Ferdinand Freisleben</t>
  </si>
  <si>
    <t>1837 Rosser Ln</t>
  </si>
  <si>
    <t>22601-6353</t>
  </si>
  <si>
    <t>freeleben@hotmail.com</t>
  </si>
  <si>
    <t>Hilaman</t>
  </si>
  <si>
    <t>726 Loveville Rd Apt 109</t>
  </si>
  <si>
    <t>Hockessin</t>
  </si>
  <si>
    <t>19707-1503</t>
  </si>
  <si>
    <t>ahilaman2@gmail.com</t>
  </si>
  <si>
    <t>markhilaman@gmail.com</t>
  </si>
  <si>
    <t>Mr. Dee McDonald</t>
  </si>
  <si>
    <t>307 SW Pryor Rd</t>
  </si>
  <si>
    <t>Lees Summit</t>
  </si>
  <si>
    <t>64081-2218</t>
  </si>
  <si>
    <t>mcdonalddee@sbcglobal.net</t>
  </si>
  <si>
    <t>ALQ1807CA219</t>
  </si>
  <si>
    <t>Rosendo</t>
  </si>
  <si>
    <t>Quintana</t>
  </si>
  <si>
    <t>Rosendo O. Quintana</t>
  </si>
  <si>
    <t>PO Box 6685</t>
  </si>
  <si>
    <t>Brandon</t>
  </si>
  <si>
    <t>33508-6011</t>
  </si>
  <si>
    <t>lapdrq1@sbcglobal.net</t>
  </si>
  <si>
    <t>ALQ1807AA202</t>
  </si>
  <si>
    <t>ALA20020B13R</t>
  </si>
  <si>
    <t>Kevin Stone</t>
  </si>
  <si>
    <t>19415 181st Ave NW</t>
  </si>
  <si>
    <t>Big Lake</t>
  </si>
  <si>
    <t>55309-9110</t>
  </si>
  <si>
    <t>create450@aol.com</t>
  </si>
  <si>
    <t>ALQ1807CA308</t>
  </si>
  <si>
    <t>Ms. Suzan Gray</t>
  </si>
  <si>
    <t>7663 Cypress Ct</t>
  </si>
  <si>
    <t>North Richland Hills</t>
  </si>
  <si>
    <t>76182-7053</t>
  </si>
  <si>
    <t>sydnee.crenshaw92@gmail.com</t>
  </si>
  <si>
    <t>ALR220705C23</t>
  </si>
  <si>
    <t>Cudahy</t>
  </si>
  <si>
    <t>Julie Cudahy</t>
  </si>
  <si>
    <t>N9119 Oakwood Ln</t>
  </si>
  <si>
    <t>Mukwonago</t>
  </si>
  <si>
    <t>53149-1813</t>
  </si>
  <si>
    <t>orangejullius@gmail.com</t>
  </si>
  <si>
    <t>ALQ1807AA317</t>
  </si>
  <si>
    <t>Thiele</t>
  </si>
  <si>
    <t>Gerald H. Thiele</t>
  </si>
  <si>
    <t>2504 Jordan Dr</t>
  </si>
  <si>
    <t>61822-6815</t>
  </si>
  <si>
    <t>gerald.thiele@gmail.com</t>
  </si>
  <si>
    <t>gthiele06@gmail.com</t>
  </si>
  <si>
    <t>ALQ1807BA309</t>
  </si>
  <si>
    <t>ALR190701031</t>
  </si>
  <si>
    <t>Fenner</t>
  </si>
  <si>
    <t>Peter R. Fenner</t>
  </si>
  <si>
    <t>600 Goodwin Dr</t>
  </si>
  <si>
    <t>75081-5603</t>
  </si>
  <si>
    <t>4eaglemagic@gmail.com</t>
  </si>
  <si>
    <t>ALQ1807BA314</t>
  </si>
  <si>
    <t>Mr. D. F. Edelman</t>
  </si>
  <si>
    <t>Mr. Edelman</t>
  </si>
  <si>
    <t>108 Buck Dr</t>
  </si>
  <si>
    <t>22968-3157</t>
  </si>
  <si>
    <t>ALQ1807MA118</t>
  </si>
  <si>
    <t>ALA23010A14R</t>
  </si>
  <si>
    <t>Lucy Mabry</t>
  </si>
  <si>
    <t>12847 Spain Dr</t>
  </si>
  <si>
    <t>North Dinwiddie</t>
  </si>
  <si>
    <t>23805-9646</t>
  </si>
  <si>
    <t>22bnfu22@gmail.com</t>
  </si>
  <si>
    <t>delta28ms@yahoo.com</t>
  </si>
  <si>
    <t>ALQ1807AA316</t>
  </si>
  <si>
    <t>ALA23040D35R</t>
  </si>
  <si>
    <t>ALA23030B35A</t>
  </si>
  <si>
    <t>Browning</t>
  </si>
  <si>
    <t>Wayne Browning</t>
  </si>
  <si>
    <t>13482 Skiview Loop</t>
  </si>
  <si>
    <t>96161-6730</t>
  </si>
  <si>
    <t>wabrowning@sbcglobal.net</t>
  </si>
  <si>
    <t>ALQ1807AA326</t>
  </si>
  <si>
    <t>Ms. Angela Smith</t>
  </si>
  <si>
    <t>5364 Waldo Pl</t>
  </si>
  <si>
    <t>90041-1670</t>
  </si>
  <si>
    <t>strongervball@yahoo.com</t>
  </si>
  <si>
    <t>Pehmoeller</t>
  </si>
  <si>
    <t>Susan Pehmoeller</t>
  </si>
  <si>
    <t>10673 County Road J</t>
  </si>
  <si>
    <t>Soldiers Grove</t>
  </si>
  <si>
    <t>54655-8549</t>
  </si>
  <si>
    <t>ashleykellums@gmail.com</t>
  </si>
  <si>
    <t>ALQ1807MA329</t>
  </si>
  <si>
    <t>Barstow</t>
  </si>
  <si>
    <t>Tom Driver and Anne Barstow</t>
  </si>
  <si>
    <t>Tom and Anne</t>
  </si>
  <si>
    <t>22 Meadow Lks Apt 6</t>
  </si>
  <si>
    <t>08520-3331</t>
  </si>
  <si>
    <t>XNJMI3910</t>
  </si>
  <si>
    <t>ALR200904C33</t>
  </si>
  <si>
    <t>Rudy</t>
  </si>
  <si>
    <t>Dale and Nick Rudy</t>
  </si>
  <si>
    <t>Dale and Nick</t>
  </si>
  <si>
    <t>730 Hartley Hill Rd S</t>
  </si>
  <si>
    <t>Putney</t>
  </si>
  <si>
    <t>05346-8002</t>
  </si>
  <si>
    <t>good.d9@gmail.com</t>
  </si>
  <si>
    <t>ALQ1103FJ019</t>
  </si>
  <si>
    <t>ALR201004C32</t>
  </si>
  <si>
    <t>Mr. Tom Spring</t>
  </si>
  <si>
    <t>6306 Royal Springs Dr</t>
  </si>
  <si>
    <t>76001-7630</t>
  </si>
  <si>
    <t>thesprings@aol.com</t>
  </si>
  <si>
    <t>resheata@gmail.com</t>
  </si>
  <si>
    <t>ALQ1808MB032</t>
  </si>
  <si>
    <t>ALA21090A43C</t>
  </si>
  <si>
    <t>Sexson</t>
  </si>
  <si>
    <t>Steve Sexson</t>
  </si>
  <si>
    <t>7436 Glenvista Pl</t>
  </si>
  <si>
    <t>46038-1190</t>
  </si>
  <si>
    <t>ssexson@gmail.com</t>
  </si>
  <si>
    <t>ALQ1808BB018</t>
  </si>
  <si>
    <t>ALA23090C5AD</t>
  </si>
  <si>
    <t>Greg and Pam May</t>
  </si>
  <si>
    <t>Greg and Pam</t>
  </si>
  <si>
    <t>11767 Turkey Run</t>
  </si>
  <si>
    <t>48170-3727</t>
  </si>
  <si>
    <t>gpmay3@wowway.com</t>
  </si>
  <si>
    <t>ALQ0211FE040</t>
  </si>
  <si>
    <t>ALR210904C44</t>
  </si>
  <si>
    <t>Ms. Clarice Holmes</t>
  </si>
  <si>
    <t>11326 W Cindy St</t>
  </si>
  <si>
    <t>67212-6541</t>
  </si>
  <si>
    <t>kassirh2@gmail.com</t>
  </si>
  <si>
    <t>Sarah Hodges</t>
  </si>
  <si>
    <t>100 Oak Crest Hill Dr</t>
  </si>
  <si>
    <t>Colleyville</t>
  </si>
  <si>
    <t>76034-3219</t>
  </si>
  <si>
    <t>sarahh53@msn.com</t>
  </si>
  <si>
    <t>ALQ1809CC017</t>
  </si>
  <si>
    <t>Karin and David Sullivan</t>
  </si>
  <si>
    <t>Karin and David</t>
  </si>
  <si>
    <t>264 Woodcrest Dr</t>
  </si>
  <si>
    <t>45140-7773</t>
  </si>
  <si>
    <t>sullivanbm83@gmail.com</t>
  </si>
  <si>
    <t>ALQ1809CC026</t>
  </si>
  <si>
    <t>ALA23030A56H</t>
  </si>
  <si>
    <t>Stillman</t>
  </si>
  <si>
    <t>Dr. Donald and Mrs. Rita Stillman</t>
  </si>
  <si>
    <t>Donald and Rita</t>
  </si>
  <si>
    <t>7540 N Calle Sin Desengano</t>
  </si>
  <si>
    <t>85718-1264</t>
  </si>
  <si>
    <t>besscatherine@gmail.com</t>
  </si>
  <si>
    <t>Kali</t>
  </si>
  <si>
    <t>Sapounakis</t>
  </si>
  <si>
    <t>Kali Sapounakis</t>
  </si>
  <si>
    <t>2862 Quinlan St</t>
  </si>
  <si>
    <t>10598-2710</t>
  </si>
  <si>
    <t>ALQ1809BC021</t>
  </si>
  <si>
    <t>ALA23020B14A</t>
  </si>
  <si>
    <t>Lee A. Zeigler</t>
  </si>
  <si>
    <t>1500 S Frisco Ave Apt 1B</t>
  </si>
  <si>
    <t>74119-3807</t>
  </si>
  <si>
    <t>lazathome@gmail.com</t>
  </si>
  <si>
    <t>ALQ1809AC009</t>
  </si>
  <si>
    <t>ALR211132EMC</t>
  </si>
  <si>
    <t>ALA2010D1DMC</t>
  </si>
  <si>
    <t>Perrault</t>
  </si>
  <si>
    <t>Lynne Perrault</t>
  </si>
  <si>
    <t>4342 Brooker Creek Dr</t>
  </si>
  <si>
    <t>34685-1526</t>
  </si>
  <si>
    <t>lynne93@tampabay.rr.com</t>
  </si>
  <si>
    <t>ALQ1809CC019</t>
  </si>
  <si>
    <t>ALL21020B52S</t>
  </si>
  <si>
    <t>Mr. Randall Thompson</t>
  </si>
  <si>
    <t>723 Chimney Rock Rd</t>
  </si>
  <si>
    <t>New Tazewell</t>
  </si>
  <si>
    <t>37825-6386</t>
  </si>
  <si>
    <t>robert.thompson@lmunet.edu</t>
  </si>
  <si>
    <t>raynaldthomas@yahoo.com</t>
  </si>
  <si>
    <t>ALR220511C50</t>
  </si>
  <si>
    <t>Mary and John James</t>
  </si>
  <si>
    <t>Mary and John</t>
  </si>
  <si>
    <t>28 Quimby St</t>
  </si>
  <si>
    <t>04330-4437</t>
  </si>
  <si>
    <t>jamilahram@yahoo.com</t>
  </si>
  <si>
    <t>mnespk02@gwi.net</t>
  </si>
  <si>
    <t>jjames006@gwi.net</t>
  </si>
  <si>
    <t>Zakrajsek</t>
  </si>
  <si>
    <t>Stanley F. Zakrajsek</t>
  </si>
  <si>
    <t>2858 Covington Ct</t>
  </si>
  <si>
    <t>44147-3696</t>
  </si>
  <si>
    <t>ohmanstan@gmail.com</t>
  </si>
  <si>
    <t>ALQ1809BC008</t>
  </si>
  <si>
    <t>Barbara Long</t>
  </si>
  <si>
    <t>6506 Jade Trl</t>
  </si>
  <si>
    <t>78249-5001</t>
  </si>
  <si>
    <t>cheri350@hotmail.com</t>
  </si>
  <si>
    <t>ALQ1810BD005</t>
  </si>
  <si>
    <t>ALA23090E24A</t>
  </si>
  <si>
    <t>Widera</t>
  </si>
  <si>
    <t>Mr. Randy Widera</t>
  </si>
  <si>
    <t>108 West Ave</t>
  </si>
  <si>
    <t>95060-5234</t>
  </si>
  <si>
    <t>randy@calparks.org</t>
  </si>
  <si>
    <t>rwwidera@gmail.com</t>
  </si>
  <si>
    <t>Jane Marsh</t>
  </si>
  <si>
    <t>8016 Orangeville Kinsman Rd</t>
  </si>
  <si>
    <t>Kinsman</t>
  </si>
  <si>
    <t>44428-9533</t>
  </si>
  <si>
    <t>4ktrout@gmail.com</t>
  </si>
  <si>
    <t>ALQ1809DC027</t>
  </si>
  <si>
    <t>ALA22060A14C</t>
  </si>
  <si>
    <t>Ms. Simone Cormier</t>
  </si>
  <si>
    <t>23 Goodell Ave</t>
  </si>
  <si>
    <t>05661-8518</t>
  </si>
  <si>
    <t>ALQ1811AE020</t>
  </si>
  <si>
    <t>ATA210702999</t>
  </si>
  <si>
    <t>Claudia Hower</t>
  </si>
  <si>
    <t>3453 W Bath Rd</t>
  </si>
  <si>
    <t>44333-2107</t>
  </si>
  <si>
    <t>Ellis</t>
  </si>
  <si>
    <t>David Ellis</t>
  </si>
  <si>
    <t>PO Box 1470</t>
  </si>
  <si>
    <t>Kamuela</t>
  </si>
  <si>
    <t>96743-1470</t>
  </si>
  <si>
    <t>ALQ1809BC023</t>
  </si>
  <si>
    <t>Weekley</t>
  </si>
  <si>
    <t>Elizabeth C. Weekley</t>
  </si>
  <si>
    <t>7225 Renner Road Suite 200</t>
  </si>
  <si>
    <t>Colin N. Gotham, Trust Attorney</t>
  </si>
  <si>
    <t>Gilles</t>
  </si>
  <si>
    <t>Michael Gilles</t>
  </si>
  <si>
    <t>223366 County Road Kk</t>
  </si>
  <si>
    <t>54401-2591</t>
  </si>
  <si>
    <t>mfgilles@yahoo.com</t>
  </si>
  <si>
    <t>ALQ1812CF005</t>
  </si>
  <si>
    <t>ALR240106C33</t>
  </si>
  <si>
    <t>Penning</t>
  </si>
  <si>
    <t>Julius Penning</t>
  </si>
  <si>
    <t>150 Southwind Rd</t>
  </si>
  <si>
    <t>Center Point</t>
  </si>
  <si>
    <t>78010-5563</t>
  </si>
  <si>
    <t>mmmmjp2000@yahoo.com</t>
  </si>
  <si>
    <t>ALQ1812AF013</t>
  </si>
  <si>
    <t>Ms. Nancy J. Ford</t>
  </si>
  <si>
    <t>620 Clay Dr</t>
  </si>
  <si>
    <t>Blairsville</t>
  </si>
  <si>
    <t>30512-3743</t>
  </si>
  <si>
    <t>njford67@gmail.com</t>
  </si>
  <si>
    <t>ALZ190001001</t>
  </si>
  <si>
    <t>Parker-Palmer</t>
  </si>
  <si>
    <t>Gary Palmer and Janice Parker-Palmer</t>
  </si>
  <si>
    <t>Gary and Janice</t>
  </si>
  <si>
    <t>2530 Skyrocket Ln</t>
  </si>
  <si>
    <t>98802-9075</t>
  </si>
  <si>
    <t>glppalmer@gmail.com</t>
  </si>
  <si>
    <t>ALA2310D1DM3</t>
  </si>
  <si>
    <t>Gerhild</t>
  </si>
  <si>
    <t>Nydegger</t>
  </si>
  <si>
    <t>Heiter</t>
  </si>
  <si>
    <t>1221 La Loma Dr</t>
  </si>
  <si>
    <t>97504-8617</t>
  </si>
  <si>
    <t>Reverend Eric N. Schulze</t>
  </si>
  <si>
    <t>4123 Rive Lane</t>
  </si>
  <si>
    <t>75001-3165</t>
  </si>
  <si>
    <t>eric@calvaryftw.org</t>
  </si>
  <si>
    <t>erie@calvaryfta.org</t>
  </si>
  <si>
    <t>X8A14</t>
  </si>
  <si>
    <t>PO Box 477</t>
  </si>
  <si>
    <t>% Bank Of New Hampshire</t>
  </si>
  <si>
    <t>03302-0477</t>
  </si>
  <si>
    <t>XBQ</t>
  </si>
  <si>
    <t>190 E Michigan Ave</t>
  </si>
  <si>
    <t>49014-4016</t>
  </si>
  <si>
    <t>XBEQ02</t>
  </si>
  <si>
    <t>Fairing</t>
  </si>
  <si>
    <t>941 Village Trl #A208</t>
  </si>
  <si>
    <t>32127-4880</t>
  </si>
  <si>
    <t>XJSFB</t>
  </si>
  <si>
    <t>XBEQ99</t>
  </si>
  <si>
    <t>Ladner</t>
  </si>
  <si>
    <t>The Estate of Dorothy G. Ladner</t>
  </si>
  <si>
    <t>3316 Ridgeline Dr</t>
  </si>
  <si>
    <t>53188-1282</t>
  </si>
  <si>
    <t>X9558</t>
  </si>
  <si>
    <t>PPW070001001</t>
  </si>
  <si>
    <t>H.L.</t>
  </si>
  <si>
    <t>Gurlitz</t>
  </si>
  <si>
    <t>Elizabeth H. Gurlitz</t>
  </si>
  <si>
    <t>310 W 55th St</t>
  </si>
  <si>
    <t>% Stevens L. Frost</t>
  </si>
  <si>
    <t>10019-5133</t>
  </si>
  <si>
    <t>Hicklin</t>
  </si>
  <si>
    <t>5 Hamilton Lndg #200</t>
  </si>
  <si>
    <t>94949-8246</t>
  </si>
  <si>
    <t>PPW030001001</t>
  </si>
  <si>
    <t>XBEQ00</t>
  </si>
  <si>
    <t>Mary S. Watkins</t>
  </si>
  <si>
    <t>100 West Minister Street</t>
  </si>
  <si>
    <t>C/O R Peterson, Fleet Investmt</t>
  </si>
  <si>
    <t>XBEQUEST</t>
  </si>
  <si>
    <t>Mrs. Virginia S. Furrow</t>
  </si>
  <si>
    <t>PO Box 65134</t>
  </si>
  <si>
    <t>Virginia Sugg Furrow Foundation, Inc.</t>
  </si>
  <si>
    <t>Minier Co-Operative Grain Co</t>
  </si>
  <si>
    <t>PO Box 1247</t>
  </si>
  <si>
    <t>61702-1247</t>
  </si>
  <si>
    <t>XBQ97</t>
  </si>
  <si>
    <t>PO Box 1326</t>
  </si>
  <si>
    <t>98273-1326</t>
  </si>
  <si>
    <t>XBQ93</t>
  </si>
  <si>
    <t>Horace</t>
  </si>
  <si>
    <t>Genee</t>
  </si>
  <si>
    <t>Horace E. Genee</t>
  </si>
  <si>
    <t>9500 Stearns Rd</t>
  </si>
  <si>
    <t>49233-9739</t>
  </si>
  <si>
    <t>XM6BEQ</t>
  </si>
  <si>
    <t>Ms. Margaret A. Holfinger</t>
  </si>
  <si>
    <t>2869 N Lake Court</t>
  </si>
  <si>
    <t>43231-4017</t>
  </si>
  <si>
    <t>kenandpegh@aol.com</t>
  </si>
  <si>
    <t>XNDHH1010</t>
  </si>
  <si>
    <t>PPW140001001</t>
  </si>
  <si>
    <t>6929 Poudre River Road #2</t>
  </si>
  <si>
    <t>XNHSC4506</t>
  </si>
  <si>
    <t>Andre</t>
  </si>
  <si>
    <t>Smessaert</t>
  </si>
  <si>
    <t>PO Box 2480</t>
  </si>
  <si>
    <t>08754-2480</t>
  </si>
  <si>
    <t>1500 7th Street #2c</t>
  </si>
  <si>
    <t>95814-5432</t>
  </si>
  <si>
    <t>XNXCF33</t>
  </si>
  <si>
    <t>Moreton</t>
  </si>
  <si>
    <t>1382 Newtown-Langhorne Road</t>
  </si>
  <si>
    <t>Pennswood Village J106</t>
  </si>
  <si>
    <t>mmorewild@verizon.net</t>
  </si>
  <si>
    <t>mmorewild@aol.org</t>
  </si>
  <si>
    <t>Ms. Jean C. Woods</t>
  </si>
  <si>
    <t>1 Kempton Drive</t>
  </si>
  <si>
    <t>27406-9339</t>
  </si>
  <si>
    <t>XNESD3302</t>
  </si>
  <si>
    <t>Merit</t>
  </si>
  <si>
    <t>The Estate of Merit W. Johnston</t>
  </si>
  <si>
    <t>1367 E Lafayette St #C</t>
  </si>
  <si>
    <t>32301-4769</t>
  </si>
  <si>
    <t>PPW050001001</t>
  </si>
  <si>
    <t>Alderman</t>
  </si>
  <si>
    <t>PO Box 4186</t>
  </si>
  <si>
    <t>Oil Equipment Mfg. Corp.</t>
  </si>
  <si>
    <t>06514-2528</t>
  </si>
  <si>
    <t>XBEQ01</t>
  </si>
  <si>
    <t>Hardman</t>
  </si>
  <si>
    <t>Charlotte Hardman</t>
  </si>
  <si>
    <t>633 Concord St S</t>
  </si>
  <si>
    <t>C/o Le Vander Gillen &amp; Miller</t>
  </si>
  <si>
    <t>Suite 402 P.O. Box 298</t>
  </si>
  <si>
    <t>South Saint Paul</t>
  </si>
  <si>
    <t>55075-2423</t>
  </si>
  <si>
    <t>XBQ96</t>
  </si>
  <si>
    <t>Dempsey</t>
  </si>
  <si>
    <t>1753 Avenida Vista Labera</t>
  </si>
  <si>
    <t>Oceanside</t>
  </si>
  <si>
    <t>92056-6512</t>
  </si>
  <si>
    <t>XNMVG25</t>
  </si>
  <si>
    <t>Ammann</t>
  </si>
  <si>
    <t>Werner Ammann</t>
  </si>
  <si>
    <t>P Obx Drawe 13040</t>
  </si>
  <si>
    <t>C/O Landry And Watkins</t>
  </si>
  <si>
    <t>New Iberia</t>
  </si>
  <si>
    <t>70562-2040</t>
  </si>
  <si>
    <t>PO Box 4989</t>
  </si>
  <si>
    <t>33758-4989</t>
  </si>
  <si>
    <t>XNEHD4403</t>
  </si>
  <si>
    <t>PO Box 45038</t>
  </si>
  <si>
    <t>Union Bank Of California</t>
  </si>
  <si>
    <t>94145-0038</t>
  </si>
  <si>
    <t>Jennie</t>
  </si>
  <si>
    <t>Polley</t>
  </si>
  <si>
    <t>Jennie E. Polley</t>
  </si>
  <si>
    <t>101 Market St #309</t>
  </si>
  <si>
    <t>44503-1701</t>
  </si>
  <si>
    <t>XNRAC2603</t>
  </si>
  <si>
    <t>1551 Atlantic Boulevard</t>
  </si>
  <si>
    <t>American National Bank Of Fl</t>
  </si>
  <si>
    <t>XBQ94</t>
  </si>
  <si>
    <t>Phoebe</t>
  </si>
  <si>
    <t>4800 Hampden Ln</t>
  </si>
  <si>
    <t>% Paley, Rothman &amp; Cooper</t>
  </si>
  <si>
    <t>20814-2929</t>
  </si>
  <si>
    <t>Armstrong Chinn, Jr.</t>
  </si>
  <si>
    <t>PO Box 2180</t>
  </si>
  <si>
    <t>C/O Sun Trust Bank-W Florida</t>
  </si>
  <si>
    <t>XMD97</t>
  </si>
  <si>
    <t>Us Bankcorp Trust Company</t>
  </si>
  <si>
    <t>Johnstown</t>
  </si>
  <si>
    <t>XBQ95</t>
  </si>
  <si>
    <t>117 NW 116th Street</t>
  </si>
  <si>
    <t>98177-4722</t>
  </si>
  <si>
    <t>Goldberger</t>
  </si>
  <si>
    <t>Cecelia L. Goldberger</t>
  </si>
  <si>
    <t>39 Chestnut Rd</t>
  </si>
  <si>
    <t>11030-1208</t>
  </si>
  <si>
    <t>X8B10</t>
  </si>
  <si>
    <t>3517 W Circle Dr</t>
  </si>
  <si>
    <t>Pearland</t>
  </si>
  <si>
    <t>77581-6109</t>
  </si>
  <si>
    <t>X1733</t>
  </si>
  <si>
    <t>Rosenkrans</t>
  </si>
  <si>
    <t>1009 N 14th Street</t>
  </si>
  <si>
    <t>Marvin Dumeny Coex</t>
  </si>
  <si>
    <t>34748-3818</t>
  </si>
  <si>
    <t>XNJGJ5403</t>
  </si>
  <si>
    <t>2252 Main St</t>
  </si>
  <si>
    <t>06033-2209</t>
  </si>
  <si>
    <t>Vivian</t>
  </si>
  <si>
    <t>PO Box 2560</t>
  </si>
  <si>
    <t>The American Funds Group</t>
  </si>
  <si>
    <t>Norfolk</t>
  </si>
  <si>
    <t>23501-2560</t>
  </si>
  <si>
    <t>Genevieve</t>
  </si>
  <si>
    <t>475 Sansome St</t>
  </si>
  <si>
    <t>Ezra</t>
  </si>
  <si>
    <t>Castle</t>
  </si>
  <si>
    <t>Ezra S. Castle</t>
  </si>
  <si>
    <t>539 Philip Rd</t>
  </si>
  <si>
    <t>Attn: Philip A. Hadsel</t>
  </si>
  <si>
    <t>49120-1452</t>
  </si>
  <si>
    <t>XALK2</t>
  </si>
  <si>
    <t>213 Washington Street</t>
  </si>
  <si>
    <t>Office Of Servicemen's Group</t>
  </si>
  <si>
    <t>Life Insurance</t>
  </si>
  <si>
    <t>XBEQ98</t>
  </si>
  <si>
    <t>Grace H. Turner</t>
  </si>
  <si>
    <t>8 Vinton Avenue</t>
  </si>
  <si>
    <t>Leland C. Selby</t>
  </si>
  <si>
    <t>Fogarty Cohen Selby &amp; Nemiroff</t>
  </si>
  <si>
    <t>Crafts</t>
  </si>
  <si>
    <t>PO Box 3127</t>
  </si>
  <si>
    <t>Costigan And Wollrab</t>
  </si>
  <si>
    <t>308 East Washington Street</t>
  </si>
  <si>
    <t>61702-3127</t>
  </si>
  <si>
    <t>Cocroft</t>
  </si>
  <si>
    <t>309 Sunshine Rd</t>
  </si>
  <si>
    <t>19601-1021</t>
  </si>
  <si>
    <t>X1750</t>
  </si>
  <si>
    <t>Duke Chinn</t>
  </si>
  <si>
    <t>RR 4 Box 699N</t>
  </si>
  <si>
    <t>32409-9804</t>
  </si>
  <si>
    <t>3401 Beatty Dr</t>
  </si>
  <si>
    <t>El Dorado Hls</t>
  </si>
  <si>
    <t>95762-7001</t>
  </si>
  <si>
    <t>XNFGA4717</t>
  </si>
  <si>
    <t>Helen Culbertso</t>
  </si>
  <si>
    <t>6 Federal Plz W</t>
  </si>
  <si>
    <t>Bnk One Of E. Ohio, % Kampman</t>
  </si>
  <si>
    <t>44503-1410</t>
  </si>
  <si>
    <t>XHSYZ001</t>
  </si>
  <si>
    <t>112 Counors Drive</t>
  </si>
  <si>
    <t>XNERG3903</t>
  </si>
  <si>
    <t>1006 Wellington Dr</t>
  </si>
  <si>
    <t>95350-1228</t>
  </si>
  <si>
    <t>Fehim Sarich</t>
  </si>
  <si>
    <t>513 Timber Ridge Dr</t>
  </si>
  <si>
    <t>60188-2825</t>
  </si>
  <si>
    <t>XNNBB8814</t>
  </si>
  <si>
    <t>Iva</t>
  </si>
  <si>
    <t>151 E Minnehaha Avenue</t>
  </si>
  <si>
    <t>Lake Highland Nursing Center</t>
  </si>
  <si>
    <t>XBEQ</t>
  </si>
  <si>
    <t>Mintz</t>
  </si>
  <si>
    <t>14 Lafayette Sq #837</t>
  </si>
  <si>
    <t>14203-1928</t>
  </si>
  <si>
    <t>XNNAB0310</t>
  </si>
  <si>
    <t>Yourcenar</t>
  </si>
  <si>
    <t>Marguerite Yourcenar</t>
  </si>
  <si>
    <t>109 Main Street</t>
  </si>
  <si>
    <t>PO Box B</t>
  </si>
  <si>
    <t>Fenton, Chapman, Smith &amp; Kane</t>
  </si>
  <si>
    <t>XMD</t>
  </si>
  <si>
    <t>Elinor</t>
  </si>
  <si>
    <t>The Estate of Elinor K. Willis</t>
  </si>
  <si>
    <t>10 Hunting Hill Road</t>
  </si>
  <si>
    <t>06525-1927</t>
  </si>
  <si>
    <t>Jenson</t>
  </si>
  <si>
    <t>Mabel Jenson</t>
  </si>
  <si>
    <t>318 E Main</t>
  </si>
  <si>
    <t>P O Box 255</t>
  </si>
  <si>
    <t>Manozzi</t>
  </si>
  <si>
    <t>RR 9 Box 185</t>
  </si>
  <si>
    <t>C/O Mrs. Olive Whittemore</t>
  </si>
  <si>
    <t>32060-9290</t>
  </si>
  <si>
    <t>XACK94</t>
  </si>
  <si>
    <t>Mac Leod</t>
  </si>
  <si>
    <t>77 W Washington St</t>
  </si>
  <si>
    <t>% Ira D Schultz, Atty</t>
  </si>
  <si>
    <t>60602-2801</t>
  </si>
  <si>
    <t>Miss Nell Willmann</t>
  </si>
  <si>
    <t>4044 Wickersham Ln</t>
  </si>
  <si>
    <t>77027-3923</t>
  </si>
  <si>
    <t>PPW020001001F</t>
  </si>
  <si>
    <t>Dorothy C. Page</t>
  </si>
  <si>
    <t>300 Hot Springs Rd #33</t>
  </si>
  <si>
    <t>93108-2045</t>
  </si>
  <si>
    <t>1231 Lancaster Avenue</t>
  </si>
  <si>
    <t>John T. Curnin</t>
  </si>
  <si>
    <t>Philips, Curtin &amp; Di Giacomo</t>
  </si>
  <si>
    <t>Berwyn</t>
  </si>
  <si>
    <t>19312-1244</t>
  </si>
  <si>
    <t>XNHZH13NH</t>
  </si>
  <si>
    <t>PPW040001001F</t>
  </si>
  <si>
    <t>Senorah</t>
  </si>
  <si>
    <t>2700 Pacific Avenue</t>
  </si>
  <si>
    <t>Rossi Barry Corrado Grassi</t>
  </si>
  <si>
    <t>Wildwood</t>
  </si>
  <si>
    <t>08260-5268</t>
  </si>
  <si>
    <t>Glaser</t>
  </si>
  <si>
    <t>The Estate of Dorothy A. Glaser</t>
  </si>
  <si>
    <t>4714 Brandywine Street NW</t>
  </si>
  <si>
    <t>20016-4450</t>
  </si>
  <si>
    <t>X8E05</t>
  </si>
  <si>
    <t>PPW030001001F</t>
  </si>
  <si>
    <t>Ms. Helen Delano</t>
  </si>
  <si>
    <t>P.O. Box 419248</t>
  </si>
  <si>
    <t>c/o The Commerce Trust Company</t>
  </si>
  <si>
    <t>64741-6248</t>
  </si>
  <si>
    <t>Lila M. Hensley</t>
  </si>
  <si>
    <t>5701 Live Oak Dr #69</t>
  </si>
  <si>
    <t>95451-8911</t>
  </si>
  <si>
    <t>Cordes</t>
  </si>
  <si>
    <t>550 E Arbor Avenue</t>
  </si>
  <si>
    <t>94085-3767</t>
  </si>
  <si>
    <t>john.cordes@live.com</t>
  </si>
  <si>
    <t>johncordes@yahoo.com</t>
  </si>
  <si>
    <t>ALQ0508AB026</t>
  </si>
  <si>
    <t>100 Merrick Road 508 West</t>
  </si>
  <si>
    <t>N.S.</t>
  </si>
  <si>
    <t>Jernigan</t>
  </si>
  <si>
    <t>Eleanor N. Jernigan</t>
  </si>
  <si>
    <t>11449 West Bernardo Court</t>
  </si>
  <si>
    <t>Rancho Bernardo Office #280</t>
  </si>
  <si>
    <t>XMDTR97</t>
  </si>
  <si>
    <t>Dice</t>
  </si>
  <si>
    <t>Ms. Elizabeth J. Dice</t>
  </si>
  <si>
    <t>1060 Rambling Oaks Drive #139</t>
  </si>
  <si>
    <t>73072-4188</t>
  </si>
  <si>
    <t>ejdice19@bellsouth.net</t>
  </si>
  <si>
    <t>ejdice19@att.net</t>
  </si>
  <si>
    <t>ALA091202001</t>
  </si>
  <si>
    <t>Knox</t>
  </si>
  <si>
    <t>4925 Battery Lane #704</t>
  </si>
  <si>
    <t>20814-4926</t>
  </si>
  <si>
    <t>Ms. Muriel A. Austin</t>
  </si>
  <si>
    <t>213 Sheffield Dr</t>
  </si>
  <si>
    <t>53402-3640</t>
  </si>
  <si>
    <t>5013 Pacifica Drive</t>
  </si>
  <si>
    <t>92109-1503</t>
  </si>
  <si>
    <t>elinskeep@aol.com</t>
  </si>
  <si>
    <t>Newgent</t>
  </si>
  <si>
    <t>Ms. Teresa L. Newgent</t>
  </si>
  <si>
    <t>551 S Commerce Avenue</t>
  </si>
  <si>
    <t>33870-3869</t>
  </si>
  <si>
    <t>newgt@msn.com</t>
  </si>
  <si>
    <t>ALQ0908BB007</t>
  </si>
  <si>
    <t>Minna</t>
  </si>
  <si>
    <t>2936 Cambridge St</t>
  </si>
  <si>
    <t>19130-1116</t>
  </si>
  <si>
    <t>Elizabeth Leslie</t>
  </si>
  <si>
    <t>909 Sheridan Rd</t>
  </si>
  <si>
    <t>Winnetka</t>
  </si>
  <si>
    <t>60093-1533</t>
  </si>
  <si>
    <t>X54AA</t>
  </si>
  <si>
    <t>441 E California Blvd</t>
  </si>
  <si>
    <t>91106-3744</t>
  </si>
  <si>
    <t>03/28/1875</t>
  </si>
  <si>
    <t>Gde</t>
  </si>
  <si>
    <t>Charles and Mary Goethe</t>
  </si>
  <si>
    <t>Charles and Mary</t>
  </si>
  <si>
    <t>P.O. Box 24116</t>
  </si>
  <si>
    <t>Rdi Royalty Distributors, Inc</t>
  </si>
  <si>
    <t>Carneros Energy, Inc</t>
  </si>
  <si>
    <t>RDI Royalty Distributors Inc</t>
  </si>
  <si>
    <t>The Estate of Marion C. Craig</t>
  </si>
  <si>
    <t>426 S 1000 E #404</t>
  </si>
  <si>
    <t>84102-3045</t>
  </si>
  <si>
    <t>XNAWB7617</t>
  </si>
  <si>
    <t>Inez</t>
  </si>
  <si>
    <t>847 Fifth Street</t>
  </si>
  <si>
    <t>Law Offices Of Waner &amp; Boyer</t>
  </si>
  <si>
    <t>Spaulding</t>
  </si>
  <si>
    <t>5065 Grove St</t>
  </si>
  <si>
    <t>Rocklin</t>
  </si>
  <si>
    <t>95677-2730</t>
  </si>
  <si>
    <t>Bernice</t>
  </si>
  <si>
    <t>The Estate of Bernice E. Harper</t>
  </si>
  <si>
    <t>86 Skillings Corner Rd</t>
  </si>
  <si>
    <t>Helen T. Jilovec</t>
  </si>
  <si>
    <t>The Terminal Tower #1900</t>
  </si>
  <si>
    <t>C/O Donald E. Caravon &amp; Assoc.</t>
  </si>
  <si>
    <t>Tibor A. Varhelyi</t>
  </si>
  <si>
    <t>59 Washington Rd</t>
  </si>
  <si>
    <t>21157-5626</t>
  </si>
  <si>
    <t>X1101</t>
  </si>
  <si>
    <t>Strout</t>
  </si>
  <si>
    <t>1808 N Hwy 2646</t>
  </si>
  <si>
    <t>Becky Tilton, Per. Rep.</t>
  </si>
  <si>
    <t>Levelland</t>
  </si>
  <si>
    <t>191 S Kingsboro Ave</t>
  </si>
  <si>
    <t>12078-4616</t>
  </si>
  <si>
    <t>XNCLI1106</t>
  </si>
  <si>
    <t>Personal Financial Services</t>
  </si>
  <si>
    <t>% Barbara Cosgrove, Vp</t>
  </si>
  <si>
    <t>Core States/New Jersey Natl Bk</t>
  </si>
  <si>
    <t>51 Muschopauge Road</t>
  </si>
  <si>
    <t>01543-1907</t>
  </si>
  <si>
    <t>mcj951crm@yaoo.com</t>
  </si>
  <si>
    <t>mjordan713@aol.com</t>
  </si>
  <si>
    <t>X9525</t>
  </si>
  <si>
    <t>70 Seery Rd</t>
  </si>
  <si>
    <t>06716-1328</t>
  </si>
  <si>
    <t>Halteman</t>
  </si>
  <si>
    <t>119 N High St</t>
  </si>
  <si>
    <t>% Kevin Holleran, Gawthorp,</t>
  </si>
  <si>
    <t>Greenwood, Halsted/Po Box 562</t>
  </si>
  <si>
    <t>XBQ98</t>
  </si>
  <si>
    <t>146 Valdivia Dr</t>
  </si>
  <si>
    <t>93110-1727</t>
  </si>
  <si>
    <t>XNCAD7022</t>
  </si>
  <si>
    <t>Ms. Martha L. Shoup</t>
  </si>
  <si>
    <t>10330 W Thunderbird Boulevard #B313</t>
  </si>
  <si>
    <t>85351-3042</t>
  </si>
  <si>
    <t>mertshoup@hotmail.com</t>
  </si>
  <si>
    <t>ALQ0610AD015</t>
  </si>
  <si>
    <t>5905 S Crestwood Ave</t>
  </si>
  <si>
    <t>23226-2402</t>
  </si>
  <si>
    <t>X4044</t>
  </si>
  <si>
    <t>Herbert Newark</t>
  </si>
  <si>
    <t>65-65 Wetherole St #2K</t>
  </si>
  <si>
    <t>Harry Panish, Executor</t>
  </si>
  <si>
    <t>Joseph and Alice Randles</t>
  </si>
  <si>
    <t>Joseph and Alice</t>
  </si>
  <si>
    <t>5392 Pebble Creek Lane</t>
  </si>
  <si>
    <t>44077-5177</t>
  </si>
  <si>
    <t>joerandles@aol.com</t>
  </si>
  <si>
    <t>XNPHK4407</t>
  </si>
  <si>
    <t>Chesneau</t>
  </si>
  <si>
    <t>130 Church Street #33</t>
  </si>
  <si>
    <t>South Lee</t>
  </si>
  <si>
    <t>XNARF5902</t>
  </si>
  <si>
    <t>5817 Dorr St #7</t>
  </si>
  <si>
    <t>43615-3440</t>
  </si>
  <si>
    <t>X84AA</t>
  </si>
  <si>
    <t>Younglund</t>
  </si>
  <si>
    <t>PO Box 454</t>
  </si>
  <si>
    <t>Stromsburg</t>
  </si>
  <si>
    <t>68666-0454</t>
  </si>
  <si>
    <t>Santic</t>
  </si>
  <si>
    <t>Ms. Eleanor M. Santic</t>
  </si>
  <si>
    <t>4737 Helios Path</t>
  </si>
  <si>
    <t>22923-1714</t>
  </si>
  <si>
    <t>emsduk@att.net</t>
  </si>
  <si>
    <t>emsduk@hotmail.com</t>
  </si>
  <si>
    <t>162 Woodville Rd</t>
  </si>
  <si>
    <t>Maurertown</t>
  </si>
  <si>
    <t>22644-2802</t>
  </si>
  <si>
    <t>The Estate of Marjorie R. Schoch</t>
  </si>
  <si>
    <t>1026 E Garfield Dr</t>
  </si>
  <si>
    <t>46203-4216</t>
  </si>
  <si>
    <t>Deana</t>
  </si>
  <si>
    <t>Pino</t>
  </si>
  <si>
    <t>2351 Landa St</t>
  </si>
  <si>
    <t>90039-3723</t>
  </si>
  <si>
    <t>Harold N. Gilbert, Jr.</t>
  </si>
  <si>
    <t>4712 Vista View Ln</t>
  </si>
  <si>
    <t>Colorado Spgs.</t>
  </si>
  <si>
    <t>80915-1040</t>
  </si>
  <si>
    <t>Jean A. Talbot</t>
  </si>
  <si>
    <t>8593 Peters Rd</t>
  </si>
  <si>
    <t>Cranberry Twp</t>
  </si>
  <si>
    <t>16066-3819</t>
  </si>
  <si>
    <t>XNBSS5001</t>
  </si>
  <si>
    <t>12213 Bradbury Drive</t>
  </si>
  <si>
    <t>X59AA</t>
  </si>
  <si>
    <t>Beatrix</t>
  </si>
  <si>
    <t>Lagarde</t>
  </si>
  <si>
    <t>26415 Carmel Rancho Blvd</t>
  </si>
  <si>
    <t>% Sara Aster</t>
  </si>
  <si>
    <t>Stewart, Green &amp; McGowan</t>
  </si>
  <si>
    <t>2216 Winona Blvd</t>
  </si>
  <si>
    <t>90027-1043</t>
  </si>
  <si>
    <t>Rimoldi</t>
  </si>
  <si>
    <t>1464 Urbino Ave</t>
  </si>
  <si>
    <t>Coral Gables</t>
  </si>
  <si>
    <t>33146-1928</t>
  </si>
  <si>
    <t>Leesa</t>
  </si>
  <si>
    <t>2228 Cottondale Lane #300</t>
  </si>
  <si>
    <t>C/O Haley Law Firm P.A.</t>
  </si>
  <si>
    <t>72203-3730</t>
  </si>
  <si>
    <t>Merriam P. Sargent</t>
  </si>
  <si>
    <t>1610 Cougar Ridge Rd</t>
  </si>
  <si>
    <t>93427-9416</t>
  </si>
  <si>
    <t>Anna L. Ellsworth</t>
  </si>
  <si>
    <t>10837 Washington Blvd</t>
  </si>
  <si>
    <t>% Charles-Terry Goldstein-Atty</t>
  </si>
  <si>
    <t>90232-3618</t>
  </si>
  <si>
    <t>PO Box 255</t>
  </si>
  <si>
    <t>C/O David W Wheeler</t>
  </si>
  <si>
    <t>Estrid</t>
  </si>
  <si>
    <t>51 Drew Wya</t>
  </si>
  <si>
    <t>%Robert W. Olson, Executor</t>
  </si>
  <si>
    <t>Iselin</t>
  </si>
  <si>
    <t>Witte</t>
  </si>
  <si>
    <t>6300 Seven Seas Ave</t>
  </si>
  <si>
    <t>Bakersfield</t>
  </si>
  <si>
    <t>93308-5132</t>
  </si>
  <si>
    <t>XHHNN</t>
  </si>
  <si>
    <t>XBQ92</t>
  </si>
  <si>
    <t>Sanger</t>
  </si>
  <si>
    <t>7506 Old Pump Rd</t>
  </si>
  <si>
    <t>36117-3918</t>
  </si>
  <si>
    <t>XNLDA8914</t>
  </si>
  <si>
    <t>Chapek</t>
  </si>
  <si>
    <t>424 Canterberry Ln</t>
  </si>
  <si>
    <t>Oak Brook</t>
  </si>
  <si>
    <t>60523-2309</t>
  </si>
  <si>
    <t>X5ZBB</t>
  </si>
  <si>
    <t>One Madison Avenue</t>
  </si>
  <si>
    <t>C/O Law Office Of Cary Frieze</t>
  </si>
  <si>
    <t>Morristown</t>
  </si>
  <si>
    <t>Ms. Patricia Kaspar</t>
  </si>
  <si>
    <t>347 Merlot Drive</t>
  </si>
  <si>
    <t>95361-8281</t>
  </si>
  <si>
    <t>trishka1@earthlink.net</t>
  </si>
  <si>
    <t>XNLDA4401</t>
  </si>
  <si>
    <t>Mountin</t>
  </si>
  <si>
    <t>730 Courtside Dr</t>
  </si>
  <si>
    <t>34105-7136</t>
  </si>
  <si>
    <t>X1044</t>
  </si>
  <si>
    <t>Ann Bradulov</t>
  </si>
  <si>
    <t>1741 Park Ave #24</t>
  </si>
  <si>
    <t>90815-3846</t>
  </si>
  <si>
    <t>290 Maple Ct #130</t>
  </si>
  <si>
    <t>% Linda L. Conner</t>
  </si>
  <si>
    <t>Attorney At Law</t>
  </si>
  <si>
    <t>Ventura</t>
  </si>
  <si>
    <t>Lois Little</t>
  </si>
  <si>
    <t>PO Box 147</t>
  </si>
  <si>
    <t>51102-0147</t>
  </si>
  <si>
    <t>Biscoe</t>
  </si>
  <si>
    <t>12 Porter Street</t>
  </si>
  <si>
    <t>C/O Stuyvestant Bearns Exec</t>
  </si>
  <si>
    <t>06039-1829</t>
  </si>
  <si>
    <t>16 Valle Pinon</t>
  </si>
  <si>
    <t>87506-1239</t>
  </si>
  <si>
    <t>cgrabo@yahoo.com</t>
  </si>
  <si>
    <t>XNAKE2701</t>
  </si>
  <si>
    <t>430 Ruddell Drive</t>
  </si>
  <si>
    <t>46901-4247</t>
  </si>
  <si>
    <t>jeffreypepper@yahoo.com</t>
  </si>
  <si>
    <t>ALQ1101FG024</t>
  </si>
  <si>
    <t>Conrad</t>
  </si>
  <si>
    <t>PO Box 574</t>
  </si>
  <si>
    <t>02738-0574</t>
  </si>
  <si>
    <t>Fetzer</t>
  </si>
  <si>
    <t>1420 Matthias Drive</t>
  </si>
  <si>
    <t>Phyllis A. Hayes</t>
  </si>
  <si>
    <t>2129 4th St</t>
  </si>
  <si>
    <t>95404-3248</t>
  </si>
  <si>
    <t>Blackford</t>
  </si>
  <si>
    <t>% Mary M Armes, Executor</t>
  </si>
  <si>
    <t>97495-0883</t>
  </si>
  <si>
    <t>Adelaide Kolvoord</t>
  </si>
  <si>
    <t>PO Box 2530</t>
  </si>
  <si>
    <t>C/O Charter Trust Company</t>
  </si>
  <si>
    <t>03302-2530</t>
  </si>
  <si>
    <t>1010A S Houston Lake Rd #126</t>
  </si>
  <si>
    <t>Warner Robins</t>
  </si>
  <si>
    <t>31088-2626</t>
  </si>
  <si>
    <t>XNYEE6402</t>
  </si>
  <si>
    <t>Ehrbar</t>
  </si>
  <si>
    <t>Paramus</t>
  </si>
  <si>
    <t>07653-0241</t>
  </si>
  <si>
    <t>Beittel</t>
  </si>
  <si>
    <t>5901 Encina Rd #B3</t>
  </si>
  <si>
    <t>93117-2271</t>
  </si>
  <si>
    <t>XNPRA3602</t>
  </si>
  <si>
    <t>ALA23060B15N</t>
  </si>
  <si>
    <t>Seidel</t>
  </si>
  <si>
    <t>Elinor Seidel</t>
  </si>
  <si>
    <t>43 Soundview Dr</t>
  </si>
  <si>
    <t>11743-1462</t>
  </si>
  <si>
    <t>1015 31st St NW</t>
  </si>
  <si>
    <t>% Npca</t>
  </si>
  <si>
    <t>20007-4406</t>
  </si>
  <si>
    <t>Munro</t>
  </si>
  <si>
    <t>Lynn C. Munro</t>
  </si>
  <si>
    <t>16603 Kentucky Rd</t>
  </si>
  <si>
    <t>64012-3312</t>
  </si>
  <si>
    <t>pda-lynn@worldnet.att.net</t>
  </si>
  <si>
    <t>3050 Military Road NW</t>
  </si>
  <si>
    <t>20015-1344</t>
  </si>
  <si>
    <t>XDAA2  99</t>
  </si>
  <si>
    <t>W. W. Smith</t>
  </si>
  <si>
    <t>3500 W Chester Pike #F109</t>
  </si>
  <si>
    <t>19073-4168</t>
  </si>
  <si>
    <t>wennersmit@verizon.net</t>
  </si>
  <si>
    <t>Hendrik</t>
  </si>
  <si>
    <t>Sindram</t>
  </si>
  <si>
    <t>6634 Klein St NW</t>
  </si>
  <si>
    <t>98502-3360</t>
  </si>
  <si>
    <t>XNAKL6801</t>
  </si>
  <si>
    <t>16010 89th Ave #9A</t>
  </si>
  <si>
    <t>% Walter A Wilson</t>
  </si>
  <si>
    <t>Jamaica</t>
  </si>
  <si>
    <t>11432-3911</t>
  </si>
  <si>
    <t>PO Box 60147</t>
  </si>
  <si>
    <t>marcus_davis123@yahoo.com</t>
  </si>
  <si>
    <t>ALQ1309EC018</t>
  </si>
  <si>
    <t>Youcum</t>
  </si>
  <si>
    <t>1601 Montclair Dr</t>
  </si>
  <si>
    <t>Richard Schaffer, Exectuor</t>
  </si>
  <si>
    <t>47591-5902</t>
  </si>
  <si>
    <t>Norah</t>
  </si>
  <si>
    <t>PO Box 7848</t>
  </si>
  <si>
    <t>Tahoe City</t>
  </si>
  <si>
    <t>96145-7848</t>
  </si>
  <si>
    <t>XNSAD2801</t>
  </si>
  <si>
    <t>Marie Dela-Volpe</t>
  </si>
  <si>
    <t>70 Grand Ave</t>
  </si>
  <si>
    <t>C/0 Rosner &amp; Feltman</t>
  </si>
  <si>
    <t>07661-1935</t>
  </si>
  <si>
    <t>Mr. Glenn L. Snyder</t>
  </si>
  <si>
    <t>20401 Soledad Canyon Rd Spc 646</t>
  </si>
  <si>
    <t>91351-7259</t>
  </si>
  <si>
    <t>Elsie</t>
  </si>
  <si>
    <t>Keasling</t>
  </si>
  <si>
    <t>705 18th St E #414</t>
  </si>
  <si>
    <t>Glencoe</t>
  </si>
  <si>
    <t>55336-1432</t>
  </si>
  <si>
    <t>50 S La Salle St #B-6</t>
  </si>
  <si>
    <t>60603-1006</t>
  </si>
  <si>
    <t>Morel</t>
  </si>
  <si>
    <t>Anna C. Morel</t>
  </si>
  <si>
    <t>2107 12th Ave E</t>
  </si>
  <si>
    <t>% Delos Morel</t>
  </si>
  <si>
    <t>98102-4115</t>
  </si>
  <si>
    <t>Denz</t>
  </si>
  <si>
    <t>Vera Denz</t>
  </si>
  <si>
    <t>9109 Jennings Rd</t>
  </si>
  <si>
    <t>14057-9510</t>
  </si>
  <si>
    <t>dondeskie@aol.com</t>
  </si>
  <si>
    <t>dondeski@aol.com</t>
  </si>
  <si>
    <t>ALR220204C54</t>
  </si>
  <si>
    <t>Clopine</t>
  </si>
  <si>
    <t>Betsey</t>
  </si>
  <si>
    <t>Betsey Clopine</t>
  </si>
  <si>
    <t>3880 Nobel Dr #1708</t>
  </si>
  <si>
    <t>X611</t>
  </si>
  <si>
    <t>bclopine@yahoo.com</t>
  </si>
  <si>
    <t>Mrs. Mary D. Mason</t>
  </si>
  <si>
    <t>PO Box 177</t>
  </si>
  <si>
    <t>83422-0177</t>
  </si>
  <si>
    <t>masegrace@hotmail.com</t>
  </si>
  <si>
    <t>ALR208K47EMC</t>
  </si>
  <si>
    <t>ALR22J147EMT</t>
  </si>
  <si>
    <t>Joanna Miller</t>
  </si>
  <si>
    <t>2320 N Buchanan St</t>
  </si>
  <si>
    <t>22207-2534</t>
  </si>
  <si>
    <t>jamb14@juno.com</t>
  </si>
  <si>
    <t>ADA220701001</t>
  </si>
  <si>
    <t>Mrs. Mary Cargan</t>
  </si>
  <si>
    <t>4 Cedar Ct</t>
  </si>
  <si>
    <t>45387-1958</t>
  </si>
  <si>
    <t>X9A10</t>
  </si>
  <si>
    <t>marycargan@gmail.com</t>
  </si>
  <si>
    <t>Ms. Carol F. Aten</t>
  </si>
  <si>
    <t>2845 Arizona Ter NW</t>
  </si>
  <si>
    <t>20016-2642</t>
  </si>
  <si>
    <t>carolaten@aol.com</t>
  </si>
  <si>
    <t>ATRXXXX00WSC</t>
  </si>
  <si>
    <t>Mr. John Wurr</t>
  </si>
  <si>
    <t>14500 Fruitvale Ave</t>
  </si>
  <si>
    <t>Apt 2034</t>
  </si>
  <si>
    <t>95070-6168</t>
  </si>
  <si>
    <t>esimp@comcast.net</t>
  </si>
  <si>
    <t>wurrsimp@msn.com</t>
  </si>
  <si>
    <t>XNBSF2010</t>
  </si>
  <si>
    <t>ALR161009023</t>
  </si>
  <si>
    <t>Marie June</t>
  </si>
  <si>
    <t>Eger</t>
  </si>
  <si>
    <t>Osborne</t>
  </si>
  <si>
    <t>200 Rugby Road</t>
  </si>
  <si>
    <t>13203-1441</t>
  </si>
  <si>
    <t>XNAKM4609</t>
  </si>
  <si>
    <t>Mrs. Eileen Klonglan</t>
  </si>
  <si>
    <t>2305 Northcrest Pkwy Unit 207</t>
  </si>
  <si>
    <t>50010-5076</t>
  </si>
  <si>
    <t>XNMFA1810</t>
  </si>
  <si>
    <t>Gardiner</t>
  </si>
  <si>
    <t>Bernice Gardiner</t>
  </si>
  <si>
    <t>1722 W Market St</t>
  </si>
  <si>
    <t>18018-6422</t>
  </si>
  <si>
    <t>XNAKA4204</t>
  </si>
  <si>
    <t>ALR160902054</t>
  </si>
  <si>
    <t>ALR141000001</t>
  </si>
  <si>
    <t>J. and Sandy Carter</t>
  </si>
  <si>
    <t>Carter Family</t>
  </si>
  <si>
    <t>1244 Sunset Dr</t>
  </si>
  <si>
    <t>cog07@aol.com</t>
  </si>
  <si>
    <t>ALQ2401AG019</t>
  </si>
  <si>
    <t>rpc051769@aol.com</t>
  </si>
  <si>
    <t>Mr. Joseph F. Grinnell</t>
  </si>
  <si>
    <t>3710 American Way</t>
  </si>
  <si>
    <t>Apt  117</t>
  </si>
  <si>
    <t>59808-1925</t>
  </si>
  <si>
    <t>ATA100301001</t>
  </si>
  <si>
    <t>Malinovsky</t>
  </si>
  <si>
    <t>940 Astern Way #607</t>
  </si>
  <si>
    <t>21401-7505</t>
  </si>
  <si>
    <t>emalinovsky1@verizon.net</t>
  </si>
  <si>
    <t>XNPSA1501</t>
  </si>
  <si>
    <t>emalinovsky@yahoo.com</t>
  </si>
  <si>
    <t>emalinosisky@yahoo.com</t>
  </si>
  <si>
    <t>Wiggers</t>
  </si>
  <si>
    <t>Doreen</t>
  </si>
  <si>
    <t>Ms. Doreen Badger and Harold Wiggers</t>
  </si>
  <si>
    <t>Doreen and Harold</t>
  </si>
  <si>
    <t>9033 District Line Rd</t>
  </si>
  <si>
    <t>98233-9782</t>
  </si>
  <si>
    <t>hdwiggers@comcast.net</t>
  </si>
  <si>
    <t>ATR201201001</t>
  </si>
  <si>
    <t>Berard</t>
  </si>
  <si>
    <t>Ms. Valerie Alexander</t>
  </si>
  <si>
    <t>1972 Valley Rd</t>
  </si>
  <si>
    <t>21401-6715</t>
  </si>
  <si>
    <t>thelittlepeopleuts@hotmail.com</t>
  </si>
  <si>
    <t>ALL23040B5BM</t>
  </si>
  <si>
    <t>yankybrit@hotmail.com</t>
  </si>
  <si>
    <t>Winniford</t>
  </si>
  <si>
    <t>McCool</t>
  </si>
  <si>
    <t>Dr. Daniel C. McCool and Dr. Jan C. Winniford</t>
  </si>
  <si>
    <t>Daniel and Jan</t>
  </si>
  <si>
    <t>5468 Skyline Pkwy</t>
  </si>
  <si>
    <t>84403-4843</t>
  </si>
  <si>
    <t>jwinniford@weber.edu</t>
  </si>
  <si>
    <t>jwinniford@gmail.com</t>
  </si>
  <si>
    <t>NEE210004101:FY21STTP</t>
  </si>
  <si>
    <t>dan.mccool@poli-sci.utah.edu</t>
  </si>
  <si>
    <t>dan.mccool@polic-sci.utah.edu</t>
  </si>
  <si>
    <t>NEE230001001:FY23STTP</t>
  </si>
  <si>
    <t>Jo-Anne</t>
  </si>
  <si>
    <t>Earl Blair</t>
  </si>
  <si>
    <t>8022 Sea Hero Run</t>
  </si>
  <si>
    <t>40383-9199</t>
  </si>
  <si>
    <t>XBJF94</t>
  </si>
  <si>
    <t>ALQ1708CB005</t>
  </si>
  <si>
    <t>ALQ1707DA206</t>
  </si>
  <si>
    <t>earldblair@gmail.com</t>
  </si>
  <si>
    <t>ALL22040C73M</t>
  </si>
  <si>
    <t>Dan Hoffman</t>
  </si>
  <si>
    <t>100 Joseph Walker Dr</t>
  </si>
  <si>
    <t>West Columbia</t>
  </si>
  <si>
    <t>29169-6971</t>
  </si>
  <si>
    <t>martinda@appstate.edu</t>
  </si>
  <si>
    <t>doeotheamartin@att.net</t>
  </si>
  <si>
    <t>XNPVC6603</t>
  </si>
  <si>
    <t>guayiya@gmail.com</t>
  </si>
  <si>
    <t>Mr. Eric Pinkerton</t>
  </si>
  <si>
    <t>Shelley</t>
  </si>
  <si>
    <t>2100 Arch St</t>
  </si>
  <si>
    <t>19103-1300</t>
  </si>
  <si>
    <t>rosenwrite@comcast.net</t>
  </si>
  <si>
    <t>krosenberg47@comcast.net</t>
  </si>
  <si>
    <t>XNMNB6509</t>
  </si>
  <si>
    <t>ATR181201001</t>
  </si>
  <si>
    <t>Cotton</t>
  </si>
  <si>
    <t>Backman</t>
  </si>
  <si>
    <t>Stephen Cotton and Rebecca Backman</t>
  </si>
  <si>
    <t>Stephen and Rebecca</t>
  </si>
  <si>
    <t>19 Pomeroy Rd</t>
  </si>
  <si>
    <t>01810-6008</t>
  </si>
  <si>
    <t>ALR210402EMC</t>
  </si>
  <si>
    <t>Hila</t>
  </si>
  <si>
    <t>Michaelsen</t>
  </si>
  <si>
    <t>Jacob B. Michaelsen</t>
  </si>
  <si>
    <t>3400 Paul Sweet Rd Unit D202</t>
  </si>
  <si>
    <t>95065-1543</t>
  </si>
  <si>
    <t>jake@ucsc.edu</t>
  </si>
  <si>
    <t>hila331@comcast.net</t>
  </si>
  <si>
    <t>XNCLI1401</t>
  </si>
  <si>
    <t>ALR210211C40</t>
  </si>
  <si>
    <t>ALR120702004</t>
  </si>
  <si>
    <t>14029 Sedona Dr</t>
  </si>
  <si>
    <t>46032-8360</t>
  </si>
  <si>
    <t>XMEM98</t>
  </si>
  <si>
    <t>ALR201001C66</t>
  </si>
  <si>
    <t>XL2ERACEC</t>
  </si>
  <si>
    <t>Bitzel</t>
  </si>
  <si>
    <t>3547 Dempsey Road</t>
  </si>
  <si>
    <t>Westerville</t>
  </si>
  <si>
    <t>43081-3927</t>
  </si>
  <si>
    <t>XNQBC3706</t>
  </si>
  <si>
    <t>ALA15110H23A</t>
  </si>
  <si>
    <t>Ms. Katharine Messenger</t>
  </si>
  <si>
    <t>9172 N 81st St</t>
  </si>
  <si>
    <t>85258-1737</t>
  </si>
  <si>
    <t>dgelfand@cox.net</t>
  </si>
  <si>
    <t>kmessenger@prodigy.net</t>
  </si>
  <si>
    <t>XNQEK1409</t>
  </si>
  <si>
    <t>kmessenger1@cox.net</t>
  </si>
  <si>
    <t>kmessenger1@prodigy.net</t>
  </si>
  <si>
    <t>ALA23080A16A</t>
  </si>
  <si>
    <t>Reverend Gail A. Wells</t>
  </si>
  <si>
    <t>2544 Greenside Dr</t>
  </si>
  <si>
    <t>45431-8602</t>
  </si>
  <si>
    <t>wellsjstu@gmail.com</t>
  </si>
  <si>
    <t>wellsga@aol.com</t>
  </si>
  <si>
    <t>ALQ0311AE029</t>
  </si>
  <si>
    <t>Oberst</t>
  </si>
  <si>
    <t>Carol Oberst</t>
  </si>
  <si>
    <t>6209 50th Ave</t>
  </si>
  <si>
    <t>53142-1332</t>
  </si>
  <si>
    <t>carol.oberst@yahoo.com</t>
  </si>
  <si>
    <t>2099 Summers Avenue</t>
  </si>
  <si>
    <t>Mrs. Margaret M. and Mr. David S. Gordon</t>
  </si>
  <si>
    <t>maggi@maggigordon.com</t>
  </si>
  <si>
    <t>Pam Williamson</t>
  </si>
  <si>
    <t>806 Montgomery Ave</t>
  </si>
  <si>
    <t>62049-1030</t>
  </si>
  <si>
    <t>ALQ0607AA012</t>
  </si>
  <si>
    <t>ALA22010E23C</t>
  </si>
  <si>
    <t>Springs</t>
  </si>
  <si>
    <t>Sheila Springs</t>
  </si>
  <si>
    <t>386 Trabecca Cir</t>
  </si>
  <si>
    <t>Hot Springs National Park</t>
  </si>
  <si>
    <t>71913-8182</t>
  </si>
  <si>
    <t>ssprigs@jontandshe.org</t>
  </si>
  <si>
    <t>ssprings@jontandshe.org</t>
  </si>
  <si>
    <t>ALA23030B13A</t>
  </si>
  <si>
    <t>ALR200203C23</t>
  </si>
  <si>
    <t>Grad</t>
  </si>
  <si>
    <t>Mrs. Robyn and Mr. Philip Grad</t>
  </si>
  <si>
    <t>Philip and Robyn</t>
  </si>
  <si>
    <t>2580 Crestmont Pl W</t>
  </si>
  <si>
    <t>98199-3716</t>
  </si>
  <si>
    <t>robyngrad@icloud.com</t>
  </si>
  <si>
    <t>robyngrad@earthlink.net</t>
  </si>
  <si>
    <t>ALQ070001005</t>
  </si>
  <si>
    <t>ALQXXXXN2FBR</t>
  </si>
  <si>
    <t>philipgrad@earthlink.net</t>
  </si>
  <si>
    <t>NEE200003101:FY20STTP</t>
  </si>
  <si>
    <t>Ms. Isobel Grad</t>
  </si>
  <si>
    <t>Aleksandra</t>
  </si>
  <si>
    <t>Srdanovic</t>
  </si>
  <si>
    <t>Ms. Aleksandra Srdanovic and Mr. Harrison Grad</t>
  </si>
  <si>
    <t>Aleksandra and Harrison</t>
  </si>
  <si>
    <t>600 H St NE Apt 204</t>
  </si>
  <si>
    <t>20002-5145</t>
  </si>
  <si>
    <t>harrison.c.grad@gmail.com</t>
  </si>
  <si>
    <t>Mrs. Judith B. Hofmann</t>
  </si>
  <si>
    <t>945 Shepherd Dr</t>
  </si>
  <si>
    <t>Fostoria</t>
  </si>
  <si>
    <t>44830-3272</t>
  </si>
  <si>
    <t>ALQ0710ED018</t>
  </si>
  <si>
    <t>ALA21020B34C</t>
  </si>
  <si>
    <t>Barbara Smith</t>
  </si>
  <si>
    <t>3333 W 4630 S</t>
  </si>
  <si>
    <t>West Valley City</t>
  </si>
  <si>
    <t>84119-5920</t>
  </si>
  <si>
    <t>ALA24010D33A</t>
  </si>
  <si>
    <t>Sara Thomas</t>
  </si>
  <si>
    <t>501 S Shore Dr</t>
  </si>
  <si>
    <t>28461-8809</t>
  </si>
  <si>
    <t>sallythomas@ec.rr.com</t>
  </si>
  <si>
    <t>Mr. Carl California</t>
  </si>
  <si>
    <t>117 Felicity Lane</t>
  </si>
  <si>
    <t>Mr. Tom Miller</t>
  </si>
  <si>
    <t>1040 Rohlers Church Rd</t>
  </si>
  <si>
    <t>tmiller524@aol.com</t>
  </si>
  <si>
    <t>Ms. Kathleen Sawyer</t>
  </si>
  <si>
    <t>2224 N Kentucky St</t>
  </si>
  <si>
    <t>vfazio@akingump.com</t>
  </si>
  <si>
    <t>ADA130001001F</t>
  </si>
  <si>
    <t>kathy.sawyer@verizon.net</t>
  </si>
  <si>
    <t>ALQ2205N2EMC</t>
  </si>
  <si>
    <t>Lavonne</t>
  </si>
  <si>
    <t>Mrs. Dennis R. Harwood</t>
  </si>
  <si>
    <t>1615 W 5th St</t>
  </si>
  <si>
    <t>51103-3428</t>
  </si>
  <si>
    <t>dhar1615@hotmail.com</t>
  </si>
  <si>
    <t>ALQ1405CL020</t>
  </si>
  <si>
    <t>ALL22120A5BM</t>
  </si>
  <si>
    <t>logstu@yahoo.com</t>
  </si>
  <si>
    <t>Wilfred</t>
  </si>
  <si>
    <t>Kimball</t>
  </si>
  <si>
    <t>P.O. Box 303</t>
  </si>
  <si>
    <t>01464-0303</t>
  </si>
  <si>
    <t>Maxton</t>
  </si>
  <si>
    <t>28 John Wise Lane</t>
  </si>
  <si>
    <t>lesmoore@tiac.net</t>
  </si>
  <si>
    <t>Bensen</t>
  </si>
  <si>
    <t>2 Alden Pl Apt 1</t>
  </si>
  <si>
    <t>Vergennes</t>
  </si>
  <si>
    <t>05491-1101</t>
  </si>
  <si>
    <t>ALA090400001</t>
  </si>
  <si>
    <t>2317 Hailey Dr</t>
  </si>
  <si>
    <t>08053-4344</t>
  </si>
  <si>
    <t>A C</t>
  </si>
  <si>
    <t>Bossers</t>
  </si>
  <si>
    <t>340 East 64th Street #3P</t>
  </si>
  <si>
    <t>10065-7530</t>
  </si>
  <si>
    <t>X84B</t>
  </si>
  <si>
    <t>Steidle</t>
  </si>
  <si>
    <t>308 N Greenbrier Street</t>
  </si>
  <si>
    <t>22203-1340</t>
  </si>
  <si>
    <t>784 Columbus Ave #8E</t>
  </si>
  <si>
    <t>10025-5922</t>
  </si>
  <si>
    <t>Leventritt</t>
  </si>
  <si>
    <t>The Estate of Frances Leventritt</t>
  </si>
  <si>
    <t>19 West 44th Street #711</t>
  </si>
  <si>
    <t>C/O Rembar &amp; Curtis</t>
  </si>
  <si>
    <t>Cummings</t>
  </si>
  <si>
    <t>The Estate of Ruth Cummings</t>
  </si>
  <si>
    <t>PO Box 168</t>
  </si>
  <si>
    <t>Hudson Falls</t>
  </si>
  <si>
    <t>12839-0168</t>
  </si>
  <si>
    <t>O'Boyle</t>
  </si>
  <si>
    <t>PO Box 642</t>
  </si>
  <si>
    <t>Shelter Is Ht</t>
  </si>
  <si>
    <t>11965-0642</t>
  </si>
  <si>
    <t>Irving James</t>
  </si>
  <si>
    <t>Gottlieb</t>
  </si>
  <si>
    <t>3151 S Palm Aire Drive Apt 105</t>
  </si>
  <si>
    <t>33069-4246</t>
  </si>
  <si>
    <t>X1042</t>
  </si>
  <si>
    <t>Maury</t>
  </si>
  <si>
    <t>500 Route 909</t>
  </si>
  <si>
    <t>15147-3831</t>
  </si>
  <si>
    <t>Haugh</t>
  </si>
  <si>
    <t>535 Trolley Road</t>
  </si>
  <si>
    <t>17366-8984</t>
  </si>
  <si>
    <t>XNKAD3115</t>
  </si>
  <si>
    <t>27B Terrace Drive</t>
  </si>
  <si>
    <t>17601-3423</t>
  </si>
  <si>
    <t>R. Grice</t>
  </si>
  <si>
    <t>Kennelly</t>
  </si>
  <si>
    <t>Ellen Bayard</t>
  </si>
  <si>
    <t>Mrs. R. Grice Kennelly</t>
  </si>
  <si>
    <t>Mrs. Kennelly</t>
  </si>
  <si>
    <t>300 Hot Springs Road # J-193</t>
  </si>
  <si>
    <t>93108-2038</t>
  </si>
  <si>
    <t>PPW210001P02</t>
  </si>
  <si>
    <t>Bloecker</t>
  </si>
  <si>
    <t>24 North Court Street</t>
  </si>
  <si>
    <t>Law Offices Hoffman, Comfort, Offutt &amp; Scott, LLP</t>
  </si>
  <si>
    <t>Bridenstine</t>
  </si>
  <si>
    <t>6003 Kelley Ct</t>
  </si>
  <si>
    <t>22312-3034</t>
  </si>
  <si>
    <t>Von Briesen</t>
  </si>
  <si>
    <t>501 Ves Rd #C703</t>
  </si>
  <si>
    <t>24503-4636</t>
  </si>
  <si>
    <t>X6XAB</t>
  </si>
  <si>
    <t>Gwendolyn</t>
  </si>
  <si>
    <t>Erb</t>
  </si>
  <si>
    <t>8620 NW 13th St #384</t>
  </si>
  <si>
    <t>32653-798</t>
  </si>
  <si>
    <t>Winnie</t>
  </si>
  <si>
    <t>2541 Morton Road</t>
  </si>
  <si>
    <t>Benjamin Morton, Executor</t>
  </si>
  <si>
    <t>XDAA2</t>
  </si>
  <si>
    <t>Tutt</t>
  </si>
  <si>
    <t>805 Shannondale Way #131</t>
  </si>
  <si>
    <t>37803-5972</t>
  </si>
  <si>
    <t>XJTC1</t>
  </si>
  <si>
    <t>ADA090001001</t>
  </si>
  <si>
    <t>NEE070001010</t>
  </si>
  <si>
    <t>Geza</t>
  </si>
  <si>
    <t>Horvath</t>
  </si>
  <si>
    <t>5953 Fox Hollow Cir</t>
  </si>
  <si>
    <t>North Ridgeville</t>
  </si>
  <si>
    <t>44039-2525</t>
  </si>
  <si>
    <t>XF6EA</t>
  </si>
  <si>
    <t>Kossuth</t>
  </si>
  <si>
    <t>2841 5th Avenue</t>
  </si>
  <si>
    <t>76110-3006</t>
  </si>
  <si>
    <t>Lapeer</t>
  </si>
  <si>
    <t>Harken</t>
  </si>
  <si>
    <t>32981 130th Street</t>
  </si>
  <si>
    <t>50613-9803</t>
  </si>
  <si>
    <t>Appel</t>
  </si>
  <si>
    <t>605 17th St N # 29C</t>
  </si>
  <si>
    <t>55792-2171</t>
  </si>
  <si>
    <t>2411 Hwy 281 South</t>
  </si>
  <si>
    <t>Joseph F. Larson II, Attorney at Law</t>
  </si>
  <si>
    <t>58401-6605</t>
  </si>
  <si>
    <t>Finklin</t>
  </si>
  <si>
    <t>PO Box 7795</t>
  </si>
  <si>
    <t>59807-7795</t>
  </si>
  <si>
    <t>Gerloff</t>
  </si>
  <si>
    <t>601 North 10th Street</t>
  </si>
  <si>
    <t>59840-2378</t>
  </si>
  <si>
    <t>Domer</t>
  </si>
  <si>
    <t>805 Old West Harbor Road</t>
  </si>
  <si>
    <t>Washington Is</t>
  </si>
  <si>
    <t>54246-9199</t>
  </si>
  <si>
    <t>Wessels</t>
  </si>
  <si>
    <t>400 S 12th St</t>
  </si>
  <si>
    <t>62301-4304</t>
  </si>
  <si>
    <t>XBVBI</t>
  </si>
  <si>
    <t>Strandberg</t>
  </si>
  <si>
    <t>1200 Main St #14TH-FLR</t>
  </si>
  <si>
    <t>64105-2122</t>
  </si>
  <si>
    <t>Ammon</t>
  </si>
  <si>
    <t>2106 S M St</t>
  </si>
  <si>
    <t>72901-5252</t>
  </si>
  <si>
    <t>X84B7</t>
  </si>
  <si>
    <t>210 Clayton Street Uppr 1</t>
  </si>
  <si>
    <t>80206-4827</t>
  </si>
  <si>
    <t>X1015</t>
  </si>
  <si>
    <t>Layton</t>
  </si>
  <si>
    <t>Frank and Lois Layton</t>
  </si>
  <si>
    <t>Frank and Lois</t>
  </si>
  <si>
    <t>P.O. Box 40</t>
  </si>
  <si>
    <t>82602-0040</t>
  </si>
  <si>
    <t>Clarence</t>
  </si>
  <si>
    <t>Palen</t>
  </si>
  <si>
    <t>8265 Coolidge Street</t>
  </si>
  <si>
    <t>Attn: Cherie Snarr</t>
  </si>
  <si>
    <t>Midvale</t>
  </si>
  <si>
    <t>Glade</t>
  </si>
  <si>
    <t>2008 Green Street</t>
  </si>
  <si>
    <t>South Daytona</t>
  </si>
  <si>
    <t>32119-2702</t>
  </si>
  <si>
    <t>gkoch@cfl.rr.com</t>
  </si>
  <si>
    <t>clecras@aol.com</t>
  </si>
  <si>
    <t>Jenkins</t>
  </si>
  <si>
    <t>13250 Philadelphia St #115</t>
  </si>
  <si>
    <t>90601-4344</t>
  </si>
  <si>
    <t>X83A</t>
  </si>
  <si>
    <t>MacKenzie</t>
  </si>
  <si>
    <t>27030 Mountain Meadow Road</t>
  </si>
  <si>
    <t>C/o Mark Mauerman</t>
  </si>
  <si>
    <t>92026-7901</t>
  </si>
  <si>
    <t>X4018</t>
  </si>
  <si>
    <t>Asche</t>
  </si>
  <si>
    <t>300 Hot Springs Road #D86</t>
  </si>
  <si>
    <t>Medwin</t>
  </si>
  <si>
    <t>PO Box 786</t>
  </si>
  <si>
    <t>Pebble Beach</t>
  </si>
  <si>
    <t>93953-0786</t>
  </si>
  <si>
    <t>McInerney</t>
  </si>
  <si>
    <t>320 San Miguel Ave</t>
  </si>
  <si>
    <t>94403-2958</t>
  </si>
  <si>
    <t>Beaver</t>
  </si>
  <si>
    <t>2739 Georgia Street</t>
  </si>
  <si>
    <t>94591-6501</t>
  </si>
  <si>
    <t>13021 SE River Road Ste 4000</t>
  </si>
  <si>
    <t>97222-8077</t>
  </si>
  <si>
    <t>XCCCC</t>
  </si>
  <si>
    <t>Caren</t>
  </si>
  <si>
    <t>Mershon</t>
  </si>
  <si>
    <t>The Estate of Caren Mershon</t>
  </si>
  <si>
    <t>9046 Ferncliff Avenue NE</t>
  </si>
  <si>
    <t>98110-2942</t>
  </si>
  <si>
    <t>Polly</t>
  </si>
  <si>
    <t>13245 40th Ave NE</t>
  </si>
  <si>
    <t>98125-4617</t>
  </si>
  <si>
    <t>X3NPJ</t>
  </si>
  <si>
    <t>Hounsell</t>
  </si>
  <si>
    <t>P.O. Box 30928</t>
  </si>
  <si>
    <t>87190-0928</t>
  </si>
  <si>
    <t>Ruth A.</t>
  </si>
  <si>
    <t>3018 Alder Circle</t>
  </si>
  <si>
    <t>99508-3256</t>
  </si>
  <si>
    <t>Aileen</t>
  </si>
  <si>
    <t>32 Blossom Road</t>
  </si>
  <si>
    <t>08827-2708</t>
  </si>
  <si>
    <t>X9561</t>
  </si>
  <si>
    <t>McCann</t>
  </si>
  <si>
    <t>10574 La Fuente Street</t>
  </si>
  <si>
    <t>Fountain Vly</t>
  </si>
  <si>
    <t>92708-4813</t>
  </si>
  <si>
    <t>X1113</t>
  </si>
  <si>
    <t>4125 Hamilton Avenue</t>
  </si>
  <si>
    <t>45223-2246</t>
  </si>
  <si>
    <t>barbarawhw@aol.com</t>
  </si>
  <si>
    <t>X906</t>
  </si>
  <si>
    <t>12009 Hilloway Road W</t>
  </si>
  <si>
    <t>55305-2599</t>
  </si>
  <si>
    <t>X417</t>
  </si>
  <si>
    <t>7308 Oxmoor Rd</t>
  </si>
  <si>
    <t>37931-1825</t>
  </si>
  <si>
    <t>X3737</t>
  </si>
  <si>
    <t>Putnam</t>
  </si>
  <si>
    <t>P.O. Box 333</t>
  </si>
  <si>
    <t>Staatsburg</t>
  </si>
  <si>
    <t>12580-0333</t>
  </si>
  <si>
    <t>X1728</t>
  </si>
  <si>
    <t>216 San Luis Ave #4</t>
  </si>
  <si>
    <t>San Bruno</t>
  </si>
  <si>
    <t>94066-5533</t>
  </si>
  <si>
    <t>503 Brightwood Club Drive</t>
  </si>
  <si>
    <t>X9957</t>
  </si>
  <si>
    <t>2206 Evergreen Ridge Dr</t>
  </si>
  <si>
    <t>45215-5715</t>
  </si>
  <si>
    <t>Knapple</t>
  </si>
  <si>
    <t>PO Box 81</t>
  </si>
  <si>
    <t>12421-0081</t>
  </si>
  <si>
    <t>X8B01</t>
  </si>
  <si>
    <t>Thelma</t>
  </si>
  <si>
    <t>1920 Nacogdoches Rd #100</t>
  </si>
  <si>
    <t>Richard P Corrigan</t>
  </si>
  <si>
    <t>78209-2241</t>
  </si>
  <si>
    <t>1650 Market Street Ste 1800</t>
  </si>
  <si>
    <t>19103-7304</t>
  </si>
  <si>
    <t>gmf218@webtv.net</t>
  </si>
  <si>
    <t>X8C10</t>
  </si>
  <si>
    <t>Teitelbaum</t>
  </si>
  <si>
    <t>P.O. Box 1865</t>
  </si>
  <si>
    <t>20915-1865</t>
  </si>
  <si>
    <t>david.teitebaum@erols.com</t>
  </si>
  <si>
    <t>X8C26</t>
  </si>
  <si>
    <t>Korman</t>
  </si>
  <si>
    <t>9133 Oriole Avenue</t>
  </si>
  <si>
    <t>Morton Grove</t>
  </si>
  <si>
    <t>60053-1781</t>
  </si>
  <si>
    <t>electricgreek@hotmail.com</t>
  </si>
  <si>
    <t>electricgreek222@aol.com</t>
  </si>
  <si>
    <t>Bulent</t>
  </si>
  <si>
    <t>Jajuli</t>
  </si>
  <si>
    <t>P.O. Box 22456</t>
  </si>
  <si>
    <t>64113-0456</t>
  </si>
  <si>
    <t>Wynne</t>
  </si>
  <si>
    <t>Wister</t>
  </si>
  <si>
    <t>400 Seabury Dr #2114</t>
  </si>
  <si>
    <t>06002-2667</t>
  </si>
  <si>
    <t>XNASF1101</t>
  </si>
  <si>
    <t>Gentieu</t>
  </si>
  <si>
    <t>30 W Tulpehocken St</t>
  </si>
  <si>
    <t>19144-2608</t>
  </si>
  <si>
    <t>XNAET2506</t>
  </si>
  <si>
    <t>11 Choctaw Lane</t>
  </si>
  <si>
    <t>Greenwich</t>
  </si>
  <si>
    <t>06831-3203</t>
  </si>
  <si>
    <t>XNAET25</t>
  </si>
  <si>
    <t>XGP02X</t>
  </si>
  <si>
    <t>The Estate of Dorothea L. Fee</t>
  </si>
  <si>
    <t>5206 Jean Dr</t>
  </si>
  <si>
    <t>Amarillo</t>
  </si>
  <si>
    <t>79109-4127</t>
  </si>
  <si>
    <t>P.O. Box 2165</t>
  </si>
  <si>
    <t>Ocean Shores</t>
  </si>
  <si>
    <t>98569-2165</t>
  </si>
  <si>
    <t>XNBSF48</t>
  </si>
  <si>
    <t>Axelrad</t>
  </si>
  <si>
    <t>207 Garry Drive</t>
  </si>
  <si>
    <t>06052-1105</t>
  </si>
  <si>
    <t>Thorner</t>
  </si>
  <si>
    <t>The Estate of Nancy L. Thorner</t>
  </si>
  <si>
    <t>1440 Veteran Ave #358</t>
  </si>
  <si>
    <t>90024-4832</t>
  </si>
  <si>
    <t>Flora</t>
  </si>
  <si>
    <t>11 Avery Heights</t>
  </si>
  <si>
    <t>Askman</t>
  </si>
  <si>
    <t>The Estate of Beatrice A. Askman</t>
  </si>
  <si>
    <t>1114 State Street #271</t>
  </si>
  <si>
    <t>93101-2733</t>
  </si>
  <si>
    <t>Ada Marie</t>
  </si>
  <si>
    <t>Ms. Ada Marie Bowers</t>
  </si>
  <si>
    <t>P.O. Box 1048</t>
  </si>
  <si>
    <t>Carpinteria</t>
  </si>
  <si>
    <t>93014-1048</t>
  </si>
  <si>
    <t>Segal</t>
  </si>
  <si>
    <t>Adolph and Majorie Segal</t>
  </si>
  <si>
    <t>Adolph and Marjorie</t>
  </si>
  <si>
    <t>1619 Hopkins Street # 205</t>
  </si>
  <si>
    <t>94707-2701</t>
  </si>
  <si>
    <t>Glidden</t>
  </si>
  <si>
    <t>2115 1st Avenue SE #3312</t>
  </si>
  <si>
    <t>52402-6358</t>
  </si>
  <si>
    <t>4N324 Briar Ln</t>
  </si>
  <si>
    <t>Bensenville</t>
  </si>
  <si>
    <t>60106-2921</t>
  </si>
  <si>
    <t>Veda</t>
  </si>
  <si>
    <t>5047 N Avers Ave</t>
  </si>
  <si>
    <t>60625-6012</t>
  </si>
  <si>
    <t>Fairchild</t>
  </si>
  <si>
    <t>Ms. Bonnie J. Fairchild</t>
  </si>
  <si>
    <t>9101 W Sahara Avenue Ste 105</t>
  </si>
  <si>
    <t>89117-5799</t>
  </si>
  <si>
    <t>601 Montgomery Ave #401</t>
  </si>
  <si>
    <t>19010-3529</t>
  </si>
  <si>
    <t>XNAKB4406</t>
  </si>
  <si>
    <t>3057 E Warm Springs Road #400</t>
  </si>
  <si>
    <t>89120-3763</t>
  </si>
  <si>
    <t>Friberg</t>
  </si>
  <si>
    <t>680 W Prairie Street Apt 249</t>
  </si>
  <si>
    <t>98382-3627</t>
  </si>
  <si>
    <t>XNJSA2402</t>
  </si>
  <si>
    <t>971 Baird Road</t>
  </si>
  <si>
    <t>95409-2710</t>
  </si>
  <si>
    <t>Lerch</t>
  </si>
  <si>
    <t>3750 Joseph Siewick Drive #321</t>
  </si>
  <si>
    <t>22033-1742</t>
  </si>
  <si>
    <t>173 S Lake Road</t>
  </si>
  <si>
    <t>12775-7017</t>
  </si>
  <si>
    <t>XNMFC2502</t>
  </si>
  <si>
    <t>Semonian</t>
  </si>
  <si>
    <t>17 Willow St</t>
  </si>
  <si>
    <t>Sayville</t>
  </si>
  <si>
    <t>11782-3215</t>
  </si>
  <si>
    <t>George David</t>
  </si>
  <si>
    <t>Spainhower</t>
  </si>
  <si>
    <t>11588 Via Rancho San Diego</t>
  </si>
  <si>
    <t>92019-5277</t>
  </si>
  <si>
    <t>Gerig</t>
  </si>
  <si>
    <t>The Estate of Edith I. Gerig</t>
  </si>
  <si>
    <t>PO Box 218</t>
  </si>
  <si>
    <t>44691-0218</t>
  </si>
  <si>
    <t>Bane</t>
  </si>
  <si>
    <t>900 N. Taylor Street #1220</t>
  </si>
  <si>
    <t>22203-1704</t>
  </si>
  <si>
    <t>XNRAB1804</t>
  </si>
  <si>
    <t>Brandeis</t>
  </si>
  <si>
    <t>8431 SW 93rd Pl #D</t>
  </si>
  <si>
    <t>34481-8588</t>
  </si>
  <si>
    <t>Geiger</t>
  </si>
  <si>
    <t>3 Cardinal Way</t>
  </si>
  <si>
    <t>Hebron</t>
  </si>
  <si>
    <t>43025-9751</t>
  </si>
  <si>
    <t>Weems</t>
  </si>
  <si>
    <t>7524 Forrest Drive</t>
  </si>
  <si>
    <t>39305-9515</t>
  </si>
  <si>
    <t>XNJSK5102</t>
  </si>
  <si>
    <t>Fabrikant</t>
  </si>
  <si>
    <t>1101 Ivy Ct</t>
  </si>
  <si>
    <t>94530-2745</t>
  </si>
  <si>
    <t>Johns</t>
  </si>
  <si>
    <t>824 Helm Drive</t>
  </si>
  <si>
    <t>28560-6480</t>
  </si>
  <si>
    <t>XNGBA2103</t>
  </si>
  <si>
    <t>Groff</t>
  </si>
  <si>
    <t>1570 East Avenue #305</t>
  </si>
  <si>
    <t>Valley Manor Apartments</t>
  </si>
  <si>
    <t>14610-1637</t>
  </si>
  <si>
    <t>XNWAB6014</t>
  </si>
  <si>
    <t>Deon</t>
  </si>
  <si>
    <t>52 Lovers Lane</t>
  </si>
  <si>
    <t>Groton</t>
  </si>
  <si>
    <t>01450-1832</t>
  </si>
  <si>
    <t>Alta</t>
  </si>
  <si>
    <t>Stumpf</t>
  </si>
  <si>
    <t>N. 9168 Humphrey Ln.</t>
  </si>
  <si>
    <t>East Troy</t>
  </si>
  <si>
    <t>53120-9468</t>
  </si>
  <si>
    <t>altamary@hotmail.com</t>
  </si>
  <si>
    <t>XNWAC3112</t>
  </si>
  <si>
    <t>1375 S Acacia Avenue #A</t>
  </si>
  <si>
    <t>The Baker Family Trust</t>
  </si>
  <si>
    <t>Eric Fults, Trustee</t>
  </si>
  <si>
    <t>Mendez</t>
  </si>
  <si>
    <t>44 Sycamore Road</t>
  </si>
  <si>
    <t>08050-1541</t>
  </si>
  <si>
    <t>Hickman</t>
  </si>
  <si>
    <t>933 E Madison St</t>
  </si>
  <si>
    <t>Barbara A. Hyde, Executor</t>
  </si>
  <si>
    <t>61832-6038</t>
  </si>
  <si>
    <t>XNMPG23</t>
  </si>
  <si>
    <t>Axline</t>
  </si>
  <si>
    <t>1615 Akron Peninsula Road Ste 101</t>
  </si>
  <si>
    <t>44313-5194</t>
  </si>
  <si>
    <t>XNXAF36</t>
  </si>
  <si>
    <t>ALR081012001</t>
  </si>
  <si>
    <t>Duff</t>
  </si>
  <si>
    <t>9 Crescent Drive</t>
  </si>
  <si>
    <t>Cortlandt Mnr</t>
  </si>
  <si>
    <t>10567-2607</t>
  </si>
  <si>
    <t>XNUSA92</t>
  </si>
  <si>
    <t>Drazy</t>
  </si>
  <si>
    <t>PO Box 415</t>
  </si>
  <si>
    <t>Lovelock</t>
  </si>
  <si>
    <t>89419-0415</t>
  </si>
  <si>
    <t>XNMEM92</t>
  </si>
  <si>
    <t>Mary Virginia</t>
  </si>
  <si>
    <t>201 W 9th North St #CMR3</t>
  </si>
  <si>
    <t>29483-6721</t>
  </si>
  <si>
    <t>811 E Central Road # 548</t>
  </si>
  <si>
    <t>60005-3281</t>
  </si>
  <si>
    <t>XNEJD2904</t>
  </si>
  <si>
    <t>Ying</t>
  </si>
  <si>
    <t>1511 Miller Place Drive</t>
  </si>
  <si>
    <t>72022-2388</t>
  </si>
  <si>
    <t>XNRMF6203</t>
  </si>
  <si>
    <t>204 Scotland Street</t>
  </si>
  <si>
    <t>Deborah A Bushnell</t>
  </si>
  <si>
    <t>Dunedin</t>
  </si>
  <si>
    <t>XNREF5405</t>
  </si>
  <si>
    <t>Kuskowski</t>
  </si>
  <si>
    <t>111 E Wisconsin Ave #1500</t>
  </si>
  <si>
    <t>53202-4808</t>
  </si>
  <si>
    <t>XNPRA4710</t>
  </si>
  <si>
    <t>Hathcock</t>
  </si>
  <si>
    <t>101 Knob Hill Road</t>
  </si>
  <si>
    <t>Valdosta</t>
  </si>
  <si>
    <t>31602-4220</t>
  </si>
  <si>
    <t>bhhathco@earthlink.net</t>
  </si>
  <si>
    <t>Ossi</t>
  </si>
  <si>
    <t>The Estate of Olga Ossi</t>
  </si>
  <si>
    <t>6647 El Colegio Rd #A324</t>
  </si>
  <si>
    <t>93117-4200</t>
  </si>
  <si>
    <t>XNAFC8501</t>
  </si>
  <si>
    <t>The Estate of Thomas W. Martin</t>
  </si>
  <si>
    <t>137 Elsworth Drive</t>
  </si>
  <si>
    <t>14615-1013</t>
  </si>
  <si>
    <t>XNSAD4110</t>
  </si>
  <si>
    <t>Schumann</t>
  </si>
  <si>
    <t>9209 Caddyshack Circle</t>
  </si>
  <si>
    <t>63127-1944</t>
  </si>
  <si>
    <t>Mary Betty</t>
  </si>
  <si>
    <t>Fish</t>
  </si>
  <si>
    <t>1495 S Vrain Way</t>
  </si>
  <si>
    <t>80219-3721</t>
  </si>
  <si>
    <t>XPAXC0221</t>
  </si>
  <si>
    <t>The Estate of Caryl L. Langford</t>
  </si>
  <si>
    <t>8054 2775 North Avenue</t>
  </si>
  <si>
    <t>61376-9174</t>
  </si>
  <si>
    <t>XPAYB0521</t>
  </si>
  <si>
    <t>31816 Avenue E #59</t>
  </si>
  <si>
    <t>Yucaipa</t>
  </si>
  <si>
    <t>92399-1645</t>
  </si>
  <si>
    <t>Winterhalder</t>
  </si>
  <si>
    <t>50 New Portland Road</t>
  </si>
  <si>
    <t>Gorham</t>
  </si>
  <si>
    <t>04038-1542</t>
  </si>
  <si>
    <t>Bekins</t>
  </si>
  <si>
    <t>9321 Bigby Street</t>
  </si>
  <si>
    <t>Downey</t>
  </si>
  <si>
    <t>90241-2902</t>
  </si>
  <si>
    <t>XNSAD4509</t>
  </si>
  <si>
    <t>Ms. Regina B. Pasche</t>
  </si>
  <si>
    <t>868 Montezuma Drive</t>
  </si>
  <si>
    <t>94044-4150</t>
  </si>
  <si>
    <t>XNNHE4102</t>
  </si>
  <si>
    <t>Nelda</t>
  </si>
  <si>
    <t>Simpkins</t>
  </si>
  <si>
    <t>RR 1 Box 309A</t>
  </si>
  <si>
    <t>Williford</t>
  </si>
  <si>
    <t>7373 University Avenue #115</t>
  </si>
  <si>
    <t>C/O Rodney T. Herring , Esq.</t>
  </si>
  <si>
    <t>Herrick</t>
  </si>
  <si>
    <t>P.O. Box 21518</t>
  </si>
  <si>
    <t>Ft Lauderdale</t>
  </si>
  <si>
    <t>33335-1518</t>
  </si>
  <si>
    <t>6590 Woodbury Road</t>
  </si>
  <si>
    <t>Laingsburg</t>
  </si>
  <si>
    <t>48848-9650</t>
  </si>
  <si>
    <t>XNBKF8103</t>
  </si>
  <si>
    <t>Herron</t>
  </si>
  <si>
    <t>12805 Astonwood Dr #305</t>
  </si>
  <si>
    <t>33626-3130</t>
  </si>
  <si>
    <t>Ridnour</t>
  </si>
  <si>
    <t>Haak</t>
  </si>
  <si>
    <t>909 Poydras Street Ste 2300</t>
  </si>
  <si>
    <t>70112-4024</t>
  </si>
  <si>
    <t>XNEPG5417</t>
  </si>
  <si>
    <t>2319 Boyer Avenue E</t>
  </si>
  <si>
    <t>98112-2116</t>
  </si>
  <si>
    <t>Ihlenfeld</t>
  </si>
  <si>
    <t>860 Union Road</t>
  </si>
  <si>
    <t>West Seneca</t>
  </si>
  <si>
    <t>14224-3448</t>
  </si>
  <si>
    <t>The Estate of Aileen Watson</t>
  </si>
  <si>
    <t>59 N Park Blvd</t>
  </si>
  <si>
    <t>61032-3742</t>
  </si>
  <si>
    <t>Graefe</t>
  </si>
  <si>
    <t>3120 Independence Street #401</t>
  </si>
  <si>
    <t>63703-5043</t>
  </si>
  <si>
    <t>XNYAX4605</t>
  </si>
  <si>
    <t>458 America Street</t>
  </si>
  <si>
    <t>XNYAX3010</t>
  </si>
  <si>
    <t>Mary Ann Sanderson</t>
  </si>
  <si>
    <t>Noe</t>
  </si>
  <si>
    <t>4700 W 95th Street Ste 204</t>
  </si>
  <si>
    <t>60453-2574</t>
  </si>
  <si>
    <t>Mickels</t>
  </si>
  <si>
    <t>67 Lookout Point Rd</t>
  </si>
  <si>
    <t>02360-1321</t>
  </si>
  <si>
    <t>XNLWL4507</t>
  </si>
  <si>
    <t>Axe</t>
  </si>
  <si>
    <t>PO Box 17187</t>
  </si>
  <si>
    <t>34276-0187</t>
  </si>
  <si>
    <t>6602 E Calle De San Alberto</t>
  </si>
  <si>
    <t>85710-2104</t>
  </si>
  <si>
    <t>XNACJ1308</t>
  </si>
  <si>
    <t>Grillo</t>
  </si>
  <si>
    <t>26 Seaview Drive S</t>
  </si>
  <si>
    <t>Rolling Hill Estate</t>
  </si>
  <si>
    <t>90274-5705</t>
  </si>
  <si>
    <t>aerowizardusc@msn.com</t>
  </si>
  <si>
    <t>XNNBB2109</t>
  </si>
  <si>
    <t>3354 Fuller Avenue SE</t>
  </si>
  <si>
    <t>49508-2443</t>
  </si>
  <si>
    <t>XNNAB2904</t>
  </si>
  <si>
    <t>3102 E. Clarendon #102</t>
  </si>
  <si>
    <t>85016-7098</t>
  </si>
  <si>
    <t>busse60@msn.com</t>
  </si>
  <si>
    <t>bbusse2@cox.net</t>
  </si>
  <si>
    <t>Kahrs</t>
  </si>
  <si>
    <t>RR 1 Box 254</t>
  </si>
  <si>
    <t>Elkader</t>
  </si>
  <si>
    <t>52043-9774</t>
  </si>
  <si>
    <t>marykahrs@aol.com</t>
  </si>
  <si>
    <t>XNPVC5902</t>
  </si>
  <si>
    <t>Dill</t>
  </si>
  <si>
    <t>2340 W Seltice #212</t>
  </si>
  <si>
    <t>Coeur D'Alene</t>
  </si>
  <si>
    <t>15915 SW Greens Way</t>
  </si>
  <si>
    <t>97224-4663</t>
  </si>
  <si>
    <t>XNKEE3804</t>
  </si>
  <si>
    <t>XL8UCBDNA</t>
  </si>
  <si>
    <t>Wiessner</t>
  </si>
  <si>
    <t>148 Tenney Hill Road</t>
  </si>
  <si>
    <t>05655-9334</t>
  </si>
  <si>
    <t>XNBKG0801</t>
  </si>
  <si>
    <t>Kauffmann</t>
  </si>
  <si>
    <t>80 Gloucester Hill Road</t>
  </si>
  <si>
    <t>New Gloucestr</t>
  </si>
  <si>
    <t>04260-3846</t>
  </si>
  <si>
    <t>1711 Massachusetts Avenue NW #711</t>
  </si>
  <si>
    <t>The Boston House</t>
  </si>
  <si>
    <t>20036-2136</t>
  </si>
  <si>
    <t>Weir</t>
  </si>
  <si>
    <t>4721 La Villa Marina #A</t>
  </si>
  <si>
    <t>Marina Dl Rey</t>
  </si>
  <si>
    <t>90292-7015</t>
  </si>
  <si>
    <t>XNFLJ2809</t>
  </si>
  <si>
    <t>Menconi</t>
  </si>
  <si>
    <t>23730 7th Pl W</t>
  </si>
  <si>
    <t>98021-8507</t>
  </si>
  <si>
    <t>XNHKK6712</t>
  </si>
  <si>
    <t>Szekely</t>
  </si>
  <si>
    <t>31 Deep Well Lane</t>
  </si>
  <si>
    <t>XBMJ95</t>
  </si>
  <si>
    <t>Prather</t>
  </si>
  <si>
    <t>61 Highland Avenue</t>
  </si>
  <si>
    <t>N Dartmouth</t>
  </si>
  <si>
    <t>02747-1105</t>
  </si>
  <si>
    <t>XNMJB5512</t>
  </si>
  <si>
    <t>Lucile</t>
  </si>
  <si>
    <t>1217 Greenfield Lane</t>
  </si>
  <si>
    <t>Skaneateles</t>
  </si>
  <si>
    <t>13152-9704</t>
  </si>
  <si>
    <t>Woodger</t>
  </si>
  <si>
    <t>PO Box 222</t>
  </si>
  <si>
    <t>01034-0222</t>
  </si>
  <si>
    <t>XNRBX5208</t>
  </si>
  <si>
    <t>Appell</t>
  </si>
  <si>
    <t>Ms. Barbara F. Appell</t>
  </si>
  <si>
    <t>306 W Princess Street</t>
  </si>
  <si>
    <t>17404-3836</t>
  </si>
  <si>
    <t>Florsheim</t>
  </si>
  <si>
    <t>620 Sand Hill Road #316-D</t>
  </si>
  <si>
    <t>mflorsheim@comcast.net</t>
  </si>
  <si>
    <t>Downing</t>
  </si>
  <si>
    <t>6306 S Macdill Ave #1104</t>
  </si>
  <si>
    <t>33611-5052</t>
  </si>
  <si>
    <t>Klasson</t>
  </si>
  <si>
    <t>1034A Liberty Park Dr #318</t>
  </si>
  <si>
    <t>78746-6853</t>
  </si>
  <si>
    <t>XNYHEC1NH</t>
  </si>
  <si>
    <t>ALA090402004</t>
  </si>
  <si>
    <t>Olewin</t>
  </si>
  <si>
    <t>16351 Rotunda Drive #220B</t>
  </si>
  <si>
    <t>48120-1137</t>
  </si>
  <si>
    <t>Coppinger</t>
  </si>
  <si>
    <t>P.O. Box 222</t>
  </si>
  <si>
    <t>10509-0222</t>
  </si>
  <si>
    <t>XSBI31221</t>
  </si>
  <si>
    <t>1973 Maryland Avenue E</t>
  </si>
  <si>
    <t>55119-3327</t>
  </si>
  <si>
    <t>XNAMI3703</t>
  </si>
  <si>
    <t>Hunnikin</t>
  </si>
  <si>
    <t>The Estate of Ellen K. Hunnikin</t>
  </si>
  <si>
    <t>210 Orchard Street</t>
  </si>
  <si>
    <t>Law Offices of Thomson, Peek &amp; Phelan</t>
  </si>
  <si>
    <t>P.O. Box 2038</t>
  </si>
  <si>
    <t>Baptie</t>
  </si>
  <si>
    <t>4213 Pineridge Drive</t>
  </si>
  <si>
    <t>22003-2339</t>
  </si>
  <si>
    <t>XNCTL3304</t>
  </si>
  <si>
    <t>Durflinger</t>
  </si>
  <si>
    <t>4950 N Ashland Avenue #575</t>
  </si>
  <si>
    <t>XPBLI022Q</t>
  </si>
  <si>
    <t>O'Rourke</t>
  </si>
  <si>
    <t>212 N. Liberty Street</t>
  </si>
  <si>
    <t>22203-1051</t>
  </si>
  <si>
    <t>XNBBB6401</t>
  </si>
  <si>
    <t>Conry</t>
  </si>
  <si>
    <t>8306 W 102nd Street</t>
  </si>
  <si>
    <t>66212-3420</t>
  </si>
  <si>
    <t>XNBFX3803</t>
  </si>
  <si>
    <t>Astarita</t>
  </si>
  <si>
    <t>The Estate of Joseph E. Astarita</t>
  </si>
  <si>
    <t>32 Lakeview Drive</t>
  </si>
  <si>
    <t>Manorville</t>
  </si>
  <si>
    <t>11949-2847</t>
  </si>
  <si>
    <t>PPW050001001F</t>
  </si>
  <si>
    <t>Barbara M.</t>
  </si>
  <si>
    <t>Fauser</t>
  </si>
  <si>
    <t>183 St Thomas Circle N</t>
  </si>
  <si>
    <t>Apollo Beach</t>
  </si>
  <si>
    <t>33572-2245</t>
  </si>
  <si>
    <t>XNDBD55NH</t>
  </si>
  <si>
    <t>Winona M.</t>
  </si>
  <si>
    <t>Schoefer</t>
  </si>
  <si>
    <t>3825 Chestnut Street</t>
  </si>
  <si>
    <t>70115-2648</t>
  </si>
  <si>
    <t>XNDHD56NP</t>
  </si>
  <si>
    <t>4408 Westdale Court</t>
  </si>
  <si>
    <t>76109-4928</t>
  </si>
  <si>
    <t>XNEHE3206</t>
  </si>
  <si>
    <t>Hartwig</t>
  </si>
  <si>
    <t>133 Sea Street</t>
  </si>
  <si>
    <t>New Smyrna Beach</t>
  </si>
  <si>
    <t>32168-6122</t>
  </si>
  <si>
    <t>Rush</t>
  </si>
  <si>
    <t>1755 Karchner Road</t>
  </si>
  <si>
    <t>95648-8926</t>
  </si>
  <si>
    <t>Searle</t>
  </si>
  <si>
    <t>Faith A. Searle</t>
  </si>
  <si>
    <t>4878 N Sunset Avenue</t>
  </si>
  <si>
    <t>93704-3027</t>
  </si>
  <si>
    <t>XNGZG48NS</t>
  </si>
  <si>
    <t>Patuelli</t>
  </si>
  <si>
    <t>229 Flocktown Road</t>
  </si>
  <si>
    <t>Long Valley</t>
  </si>
  <si>
    <t>07853-3827</t>
  </si>
  <si>
    <t>XNKPK66CC</t>
  </si>
  <si>
    <t>2101 Sunset Point Rd #201</t>
  </si>
  <si>
    <t>33765-1245</t>
  </si>
  <si>
    <t>XNPCB1901</t>
  </si>
  <si>
    <t>XMTGF313</t>
  </si>
  <si>
    <t>Lowthian</t>
  </si>
  <si>
    <t>960 Garlington Circle</t>
  </si>
  <si>
    <t>19380-7213</t>
  </si>
  <si>
    <t>Milda</t>
  </si>
  <si>
    <t>708 Court Street Ste 101</t>
  </si>
  <si>
    <t>95642-2153</t>
  </si>
  <si>
    <t>XNYCJ1401</t>
  </si>
  <si>
    <t>ALQ0407FA031</t>
  </si>
  <si>
    <t>Geiss</t>
  </si>
  <si>
    <t>Mr. Anthony Geiss</t>
  </si>
  <si>
    <t>37 W 12th Street</t>
  </si>
  <si>
    <t>XNZMK4503</t>
  </si>
  <si>
    <t>400 Wannamaker Court</t>
  </si>
  <si>
    <t>29302-3250</t>
  </si>
  <si>
    <t>XNZKK4603</t>
  </si>
  <si>
    <t>McCormack</t>
  </si>
  <si>
    <t>White Horse Village #A110</t>
  </si>
  <si>
    <t>Newtown Square</t>
  </si>
  <si>
    <t>19073-2815</t>
  </si>
  <si>
    <t>XNALL5317</t>
  </si>
  <si>
    <t>The Estate of Richard P. Turner</t>
  </si>
  <si>
    <t>136 North Le Doux Road</t>
  </si>
  <si>
    <t>Beverly Hills</t>
  </si>
  <si>
    <t>90211-2211</t>
  </si>
  <si>
    <t>XNDCC3503</t>
  </si>
  <si>
    <t>John Robert</t>
  </si>
  <si>
    <t>Bleistein</t>
  </si>
  <si>
    <t>Schramm Bleistein</t>
  </si>
  <si>
    <t>1601 Cornwall Road</t>
  </si>
  <si>
    <t>17042-7406</t>
  </si>
  <si>
    <t>XNFPE2606</t>
  </si>
  <si>
    <t>ALA12090A15A</t>
  </si>
  <si>
    <t>Lautner</t>
  </si>
  <si>
    <t>12500 Edgewater Drive #508</t>
  </si>
  <si>
    <t>44107-1673</t>
  </si>
  <si>
    <t>Spitzbart</t>
  </si>
  <si>
    <t>1590 S Milwaukee Avenue #310</t>
  </si>
  <si>
    <t>Robert F Moore, Attorney at Law</t>
  </si>
  <si>
    <t>XNGRF3402</t>
  </si>
  <si>
    <t>4101 W 109th Avenue</t>
  </si>
  <si>
    <t>46307-3621</t>
  </si>
  <si>
    <t>XNKFI2703</t>
  </si>
  <si>
    <t>6250 N 19th Avenue #262</t>
  </si>
  <si>
    <t>85015-1560</t>
  </si>
  <si>
    <t>XNQFK4012</t>
  </si>
  <si>
    <t>Fallon</t>
  </si>
  <si>
    <t>John F. Fallon</t>
  </si>
  <si>
    <t>4 Western View Road</t>
  </si>
  <si>
    <t>Holyoke</t>
  </si>
  <si>
    <t>01040-9782</t>
  </si>
  <si>
    <t>XNQAA1201</t>
  </si>
  <si>
    <t>PO Box 351</t>
  </si>
  <si>
    <t>Sprague River</t>
  </si>
  <si>
    <t>97639-0351</t>
  </si>
  <si>
    <t>XNQNA75CA</t>
  </si>
  <si>
    <t>Klippert</t>
  </si>
  <si>
    <t>7621 Holly Drive</t>
  </si>
  <si>
    <t>Mentor On Lk</t>
  </si>
  <si>
    <t>44060-3220</t>
  </si>
  <si>
    <t>XNQLC3416</t>
  </si>
  <si>
    <t>Hauer</t>
  </si>
  <si>
    <t>James G. Hauer</t>
  </si>
  <si>
    <t>2800 Fox Run NW</t>
  </si>
  <si>
    <t>55372-3238</t>
  </si>
  <si>
    <t>james_hauer@hotmail.com</t>
  </si>
  <si>
    <t>Buchman</t>
  </si>
  <si>
    <t>Blue Hill</t>
  </si>
  <si>
    <t>XNHBG1702</t>
  </si>
  <si>
    <t>1105 Somerset Court</t>
  </si>
  <si>
    <t>Mt Pleasant</t>
  </si>
  <si>
    <t>29464-5189</t>
  </si>
  <si>
    <t>728 Florsheim Drive #13</t>
  </si>
  <si>
    <t>XN1CC3016</t>
  </si>
  <si>
    <t>25241 Calero Avenue</t>
  </si>
  <si>
    <t>92653-5345</t>
  </si>
  <si>
    <t>Ida</t>
  </si>
  <si>
    <t>Raisbeck</t>
  </si>
  <si>
    <t>435 East 57th Street #4B</t>
  </si>
  <si>
    <t>XBRCH2001</t>
  </si>
  <si>
    <t>Swantz</t>
  </si>
  <si>
    <t>H Eugene</t>
  </si>
  <si>
    <t>1443 Vue Du Bay Court</t>
  </si>
  <si>
    <t>92109-1931</t>
  </si>
  <si>
    <t>geneswantz@aol.com</t>
  </si>
  <si>
    <t>XN2BC6422</t>
  </si>
  <si>
    <t>1016 W Devonshire Road</t>
  </si>
  <si>
    <t>Delafield</t>
  </si>
  <si>
    <t>53018-1924</t>
  </si>
  <si>
    <t>ALQ0207AA053</t>
  </si>
  <si>
    <t>818 N Doheny Dr</t>
  </si>
  <si>
    <t>90069-4801</t>
  </si>
  <si>
    <t>Tenney</t>
  </si>
  <si>
    <t>311 S Nicollet Street #12</t>
  </si>
  <si>
    <t>Blue Earth</t>
  </si>
  <si>
    <t>56013-1347</t>
  </si>
  <si>
    <t>695 N Brookfield Road #107</t>
  </si>
  <si>
    <t>53045-5821</t>
  </si>
  <si>
    <t>ALQ0401FG009</t>
  </si>
  <si>
    <t>58 McGuffey Lane</t>
  </si>
  <si>
    <t>12054-4238</t>
  </si>
  <si>
    <t>eleanorrosenberg@gmail.com</t>
  </si>
  <si>
    <t>ALQ0408AB039</t>
  </si>
  <si>
    <t>Fellows</t>
  </si>
  <si>
    <t>770 Gage Boulevard # 104</t>
  </si>
  <si>
    <t>99352-9703</t>
  </si>
  <si>
    <t>ALQ0503DI028</t>
  </si>
  <si>
    <t>3633 S Harris Avenue</t>
  </si>
  <si>
    <t>64052-2323</t>
  </si>
  <si>
    <t>elizsut@comcast.net</t>
  </si>
  <si>
    <t>elizsut@yahoo.com</t>
  </si>
  <si>
    <t>ALQ0508DB020</t>
  </si>
  <si>
    <t>Billie</t>
  </si>
  <si>
    <t>Slotnick</t>
  </si>
  <si>
    <t>2718 Sterling Fields Drive</t>
  </si>
  <si>
    <t>77584-8160</t>
  </si>
  <si>
    <t>XNZPF5402</t>
  </si>
  <si>
    <t>Welke</t>
  </si>
  <si>
    <t>410 Clemons Avenue</t>
  </si>
  <si>
    <t>53704-5504</t>
  </si>
  <si>
    <t>mwelke@wmmb.org</t>
  </si>
  <si>
    <t>Anna Marie</t>
  </si>
  <si>
    <t>Putti</t>
  </si>
  <si>
    <t>27083 Matheson Avenue #107</t>
  </si>
  <si>
    <t>34135-5887</t>
  </si>
  <si>
    <t>am.putti@yahoo.com</t>
  </si>
  <si>
    <t>ALQ0607AA017</t>
  </si>
  <si>
    <t>Plumley</t>
  </si>
  <si>
    <t>2705 Deschepper Drive</t>
  </si>
  <si>
    <t>55744-8647</t>
  </si>
  <si>
    <t>Maillet</t>
  </si>
  <si>
    <t>5904 19th Street</t>
  </si>
  <si>
    <t>33542-3814</t>
  </si>
  <si>
    <t>ALQ0608FB049</t>
  </si>
  <si>
    <t>1414 Raleigh Road Ste 150</t>
  </si>
  <si>
    <t>27517-8834</t>
  </si>
  <si>
    <t>ALQ0710ED017</t>
  </si>
  <si>
    <t>Yohn</t>
  </si>
  <si>
    <t>1418 D Street SW</t>
  </si>
  <si>
    <t>98823-2128</t>
  </si>
  <si>
    <t>ALQ0710DD029</t>
  </si>
  <si>
    <t>Salome</t>
  </si>
  <si>
    <t>Gleim</t>
  </si>
  <si>
    <t>22 Carlton Avenue</t>
  </si>
  <si>
    <t>Carlisle</t>
  </si>
  <si>
    <t>17013-3114</t>
  </si>
  <si>
    <t>ALQ0801CG035</t>
  </si>
  <si>
    <t>Mayer</t>
  </si>
  <si>
    <t>3644 N Camino Rio Soleado</t>
  </si>
  <si>
    <t>lowputts@comcast.net</t>
  </si>
  <si>
    <t>Reinbold</t>
  </si>
  <si>
    <t>160 N 200 E</t>
  </si>
  <si>
    <t>84738-6100</t>
  </si>
  <si>
    <t>creinbold@infowest.com</t>
  </si>
  <si>
    <t>ALQ0808AB008</t>
  </si>
  <si>
    <t>Kittendorf</t>
  </si>
  <si>
    <t>1320 W Hill Road</t>
  </si>
  <si>
    <t>Flint</t>
  </si>
  <si>
    <t>48507-4737</t>
  </si>
  <si>
    <t>ALQ0905AL018</t>
  </si>
  <si>
    <t>Dee Ann</t>
  </si>
  <si>
    <t>Alder</t>
  </si>
  <si>
    <t>1404 N 110 W</t>
  </si>
  <si>
    <t>Orem</t>
  </si>
  <si>
    <t>84057-8301</t>
  </si>
  <si>
    <t>ALA090700001</t>
  </si>
  <si>
    <t>Johnsen</t>
  </si>
  <si>
    <t>501 Riverside Avenue Ste 600</t>
  </si>
  <si>
    <t>32202-4937</t>
  </si>
  <si>
    <t>ALQ0905DL005</t>
  </si>
  <si>
    <t>Lowe</t>
  </si>
  <si>
    <t>4600 Duckhorn Drive</t>
  </si>
  <si>
    <t>95834-2591</t>
  </si>
  <si>
    <t>williams-lowe@comcast.net</t>
  </si>
  <si>
    <t>808 Massachusetts Street</t>
  </si>
  <si>
    <t>P.O. Box B</t>
  </si>
  <si>
    <t>Vorwith</t>
  </si>
  <si>
    <t>1906 Northbrook Court</t>
  </si>
  <si>
    <t>Vista</t>
  </si>
  <si>
    <t>92083-7734</t>
  </si>
  <si>
    <t>ALQ0812CF007</t>
  </si>
  <si>
    <t>104 East Independence Mail</t>
  </si>
  <si>
    <t>De Backer</t>
  </si>
  <si>
    <t>1321 Bayview Drive #230</t>
  </si>
  <si>
    <t>93035-2365</t>
  </si>
  <si>
    <t>ALQ1400FBDM1</t>
  </si>
  <si>
    <t>Schwarzer</t>
  </si>
  <si>
    <t>2102 Hopi Trail</t>
  </si>
  <si>
    <t>78703-2226</t>
  </si>
  <si>
    <t>rschwarzer@hotmail.com</t>
  </si>
  <si>
    <t>ALQ1210BD022</t>
  </si>
  <si>
    <t>1400 NE 2nd Avenue #1108</t>
  </si>
  <si>
    <t>97232-1145</t>
  </si>
  <si>
    <t>jamesabe6@gmail.com</t>
  </si>
  <si>
    <t>ALQ1407DA108</t>
  </si>
  <si>
    <t>Ahart</t>
  </si>
  <si>
    <t>1255 SE Estates Pl</t>
  </si>
  <si>
    <t>Palm City</t>
  </si>
  <si>
    <t>34990-1700</t>
  </si>
  <si>
    <t>440 Buck Ridge Road</t>
  </si>
  <si>
    <t>17053-9400</t>
  </si>
  <si>
    <t>KerryLynn</t>
  </si>
  <si>
    <t>Blau</t>
  </si>
  <si>
    <t>Ms. KerryLynn Blau</t>
  </si>
  <si>
    <t>21265 Ocean View Drive</t>
  </si>
  <si>
    <t>94541-1541</t>
  </si>
  <si>
    <t>klblau@aol.com</t>
  </si>
  <si>
    <t>ALA1412N2WST</t>
  </si>
  <si>
    <t>0505 Waterloo-Geneva Rd.</t>
  </si>
  <si>
    <t>Rec</t>
  </si>
  <si>
    <t>1309 Saybrook Road</t>
  </si>
  <si>
    <t>Ashley</t>
  </si>
  <si>
    <t>Bush</t>
  </si>
  <si>
    <t>PO Box 14299</t>
  </si>
  <si>
    <t>The Hartford Group</t>
  </si>
  <si>
    <t>40512-4299</t>
  </si>
  <si>
    <t>natalie.standish@thehartford.com</t>
  </si>
  <si>
    <t>9350 Singletree Lane</t>
  </si>
  <si>
    <t>palaback@gmail.com</t>
  </si>
  <si>
    <t>Balon</t>
  </si>
  <si>
    <t>Mary K. Balon</t>
  </si>
  <si>
    <t>1822 18 Mile Rd NE</t>
  </si>
  <si>
    <t>Cedar Springs</t>
  </si>
  <si>
    <t>49319-8622</t>
  </si>
  <si>
    <t>jgillow@hotmail.com</t>
  </si>
  <si>
    <t>ALQ1905AL001</t>
  </si>
  <si>
    <t>Masters</t>
  </si>
  <si>
    <t>Mrs. Carol Masters</t>
  </si>
  <si>
    <t>3455 Claremore Ave</t>
  </si>
  <si>
    <t>carol.masters130@gmail.com</t>
  </si>
  <si>
    <t>mande@charter.net</t>
  </si>
  <si>
    <t>XNREF5509</t>
  </si>
  <si>
    <t>ALR170402044</t>
  </si>
  <si>
    <t>felixakat@gmail.com</t>
  </si>
  <si>
    <t>Geoff</t>
  </si>
  <si>
    <t>Goodenow</t>
  </si>
  <si>
    <t>William G. Goodenow</t>
  </si>
  <si>
    <t>1906 Madison Ave</t>
  </si>
  <si>
    <t>17837-1637</t>
  </si>
  <si>
    <t>geoffgw2@hotmail.com</t>
  </si>
  <si>
    <t>XNUAF</t>
  </si>
  <si>
    <t>ALR230703EMC</t>
  </si>
  <si>
    <t>Ng</t>
  </si>
  <si>
    <t>Carol Mawhinney and Cheryl Ng</t>
  </si>
  <si>
    <t>Carol and Cheryl</t>
  </si>
  <si>
    <t>49 Glenbrook Rd Apt 211</t>
  </si>
  <si>
    <t>06902-2997</t>
  </si>
  <si>
    <t>cjmawhinney@gmail.com</t>
  </si>
  <si>
    <t>carolma@vwti.com</t>
  </si>
  <si>
    <t>XNHNH6602</t>
  </si>
  <si>
    <t>ALR190301054</t>
  </si>
  <si>
    <t>Ms. Rosemarie Null</t>
  </si>
  <si>
    <t>236 N Mary Street</t>
  </si>
  <si>
    <t>rmnull35@gmail.com</t>
  </si>
  <si>
    <t>Julie Ball</t>
  </si>
  <si>
    <t>5285 S Overlook Trl</t>
  </si>
  <si>
    <t>85118-5878</t>
  </si>
  <si>
    <t>julie.carter.ball@gmail.com</t>
  </si>
  <si>
    <t>julie.ball@gulfstream.com</t>
  </si>
  <si>
    <t>ALQ1907N1DMC</t>
  </si>
  <si>
    <t>ALR231032EMC</t>
  </si>
  <si>
    <t>Leadley</t>
  </si>
  <si>
    <t>Ellen Hing and Chris Leadley</t>
  </si>
  <si>
    <t>Ellen and Chris</t>
  </si>
  <si>
    <t>6311 N Bay Ridge Ave</t>
  </si>
  <si>
    <t>53217-4330</t>
  </si>
  <si>
    <t>leadley.hing@gmail.com</t>
  </si>
  <si>
    <t>leadleyhing@gmail.com</t>
  </si>
  <si>
    <t>48 Rawson Rd</t>
  </si>
  <si>
    <t>02170-2040</t>
  </si>
  <si>
    <t>timothy.lanham@comcast.net</t>
  </si>
  <si>
    <t>ALQ1907AA209</t>
  </si>
  <si>
    <t>ALA24010E33A</t>
  </si>
  <si>
    <t>Litalien</t>
  </si>
  <si>
    <t>765 Rolling Green Dr</t>
  </si>
  <si>
    <t>Bethel Park</t>
  </si>
  <si>
    <t>15102-3711</t>
  </si>
  <si>
    <t>ALR240202C23</t>
  </si>
  <si>
    <t>McGill</t>
  </si>
  <si>
    <t>Joyce and Kenneth</t>
  </si>
  <si>
    <t>12536 Medalist Pkwy</t>
  </si>
  <si>
    <t>46033-8934</t>
  </si>
  <si>
    <t>mcgill@myexcell.com</t>
  </si>
  <si>
    <t>mcgill@execelonline.com</t>
  </si>
  <si>
    <t>XNLFA4904</t>
  </si>
  <si>
    <t>ALR121002044</t>
  </si>
  <si>
    <t>jason.j.mcgill@gmail.com</t>
  </si>
  <si>
    <t>ALA19110651T</t>
  </si>
  <si>
    <t>Treevana</t>
  </si>
  <si>
    <t>Treevana Mack</t>
  </si>
  <si>
    <t>4304 Castle Dr</t>
  </si>
  <si>
    <t>48640-3490</t>
  </si>
  <si>
    <t>bmack02@charter.net</t>
  </si>
  <si>
    <t>ALQ1907BA111</t>
  </si>
  <si>
    <t>ALA20110A32N</t>
  </si>
  <si>
    <t>Mahmood</t>
  </si>
  <si>
    <t>Cynthia K. Mahmood</t>
  </si>
  <si>
    <t>410 Peace St</t>
  </si>
  <si>
    <t>50219-1941</t>
  </si>
  <si>
    <t>naintaramahmood@gmail.com</t>
  </si>
  <si>
    <t>ALQ1907AA218</t>
  </si>
  <si>
    <t>Judy Monroe</t>
  </si>
  <si>
    <t>huzzah1981@yahoo.com</t>
  </si>
  <si>
    <t>Andrew Zanartu</t>
  </si>
  <si>
    <t>azanartu@cox.net</t>
  </si>
  <si>
    <t>1443 Spring Valley Dr</t>
  </si>
  <si>
    <t>53405-1634</t>
  </si>
  <si>
    <t>XNHBH5007</t>
  </si>
  <si>
    <t>ALL060702053</t>
  </si>
  <si>
    <t>XRD8A43S</t>
  </si>
  <si>
    <t>kanju2@yahoo.com</t>
  </si>
  <si>
    <t>ALQ2001N1EMC</t>
  </si>
  <si>
    <t>ALQ2206N1EMC</t>
  </si>
  <si>
    <t>Mehmed</t>
  </si>
  <si>
    <t>Nick Mehmed</t>
  </si>
  <si>
    <t>10436 Villa Dr</t>
  </si>
  <si>
    <t>48114-9617</t>
  </si>
  <si>
    <t>nickmehmed@gmail.com</t>
  </si>
  <si>
    <t>ALQ1912N6EMA</t>
  </si>
  <si>
    <t>ALR211232EMC</t>
  </si>
  <si>
    <t>Amanda G. Wood</t>
  </si>
  <si>
    <t>1412 Flowers Dr</t>
  </si>
  <si>
    <t>75007-1200</t>
  </si>
  <si>
    <t>amandagwood@gmail.com</t>
  </si>
  <si>
    <t>ALQ1800LTDMC</t>
  </si>
  <si>
    <t>Leslie Eric E. Kyser</t>
  </si>
  <si>
    <t>10204 E White Feather Ln</t>
  </si>
  <si>
    <t>85262-3626</t>
  </si>
  <si>
    <t>kysline@aol.com</t>
  </si>
  <si>
    <t>Gessner</t>
  </si>
  <si>
    <t>Kurt Gessner</t>
  </si>
  <si>
    <t>312 Elizabeth Ave</t>
  </si>
  <si>
    <t>07016-2410</t>
  </si>
  <si>
    <t>kurtgessner@yahoo.com</t>
  </si>
  <si>
    <t>joseanotavares@gmail.com</t>
  </si>
  <si>
    <t>ALQ1907CA321</t>
  </si>
  <si>
    <t>ALA2107D2EMC</t>
  </si>
  <si>
    <t>Barbara Sampson</t>
  </si>
  <si>
    <t>170 S Main St Apt 343</t>
  </si>
  <si>
    <t>Mars Hill</t>
  </si>
  <si>
    <t>28754-6629</t>
  </si>
  <si>
    <t>ALQ1907BA312</t>
  </si>
  <si>
    <t>ALA20100A14A</t>
  </si>
  <si>
    <t>Hagstrom</t>
  </si>
  <si>
    <t>Nancy Hagstrom</t>
  </si>
  <si>
    <t>54 Glen Ave</t>
  </si>
  <si>
    <t>94611-4929</t>
  </si>
  <si>
    <t>susanhagstrom@yahoo.com</t>
  </si>
  <si>
    <t>ALQ1209AC019</t>
  </si>
  <si>
    <t>ALA19020A15C</t>
  </si>
  <si>
    <t>Stanley Adler</t>
  </si>
  <si>
    <t>1054 S Walker Ave</t>
  </si>
  <si>
    <t>sadler_jr@hotmail.com</t>
  </si>
  <si>
    <t>Meriam</t>
  </si>
  <si>
    <t>Mrs. Sarah M. Collins</t>
  </si>
  <si>
    <t>75 Great Pond Road</t>
  </si>
  <si>
    <t>06070-1980</t>
  </si>
  <si>
    <t>XNBAX3502</t>
  </si>
  <si>
    <t>ALR190402013</t>
  </si>
  <si>
    <t>Cody</t>
  </si>
  <si>
    <t>Natalya</t>
  </si>
  <si>
    <t>Cody and Natalya Gallo</t>
  </si>
  <si>
    <t>Cody and Natalya</t>
  </si>
  <si>
    <t>300 Adair St</t>
  </si>
  <si>
    <t>30030-2941</t>
  </si>
  <si>
    <t>codygallo@gmail.com</t>
  </si>
  <si>
    <t>ALQ1907BA304</t>
  </si>
  <si>
    <t>natalya.gallo@gmail.com</t>
  </si>
  <si>
    <t>Ms. Jane Halperin</t>
  </si>
  <si>
    <t>343 Tillou Rd</t>
  </si>
  <si>
    <t>South Orange</t>
  </si>
  <si>
    <t>07079-1521</t>
  </si>
  <si>
    <t>janeehalperin@gmail.com</t>
  </si>
  <si>
    <t>ALQ19110W001</t>
  </si>
  <si>
    <t>Huffer</t>
  </si>
  <si>
    <t>Dr. Jeff L. Huffer</t>
  </si>
  <si>
    <t>2911 Wild Juniper Trl</t>
  </si>
  <si>
    <t>Traverse City</t>
  </si>
  <si>
    <t>49686-3855</t>
  </si>
  <si>
    <t>lance22@aol.com</t>
  </si>
  <si>
    <t>ALQ1302AH014</t>
  </si>
  <si>
    <t>ALR191203C44</t>
  </si>
  <si>
    <t>Mr. Paul A. Marmon</t>
  </si>
  <si>
    <t>1116 Robeson St</t>
  </si>
  <si>
    <t>Apt # 1</t>
  </si>
  <si>
    <t>19604-2134</t>
  </si>
  <si>
    <t>pmarmon62320fake@npca.org</t>
  </si>
  <si>
    <t>Ms. Ruth V. Getz</t>
  </si>
  <si>
    <t>431 Timberline Ridge Ct</t>
  </si>
  <si>
    <t>27106-3080</t>
  </si>
  <si>
    <t>sparklesunshine55@yahoo.com</t>
  </si>
  <si>
    <t>ALQ1908CB017</t>
  </si>
  <si>
    <t>Jane Godfroy</t>
  </si>
  <si>
    <t>5600 Mockingbird Ln</t>
  </si>
  <si>
    <t>Ms. Dorene Wynkoop</t>
  </si>
  <si>
    <t>2111 Yosemite Rd</t>
  </si>
  <si>
    <t>81507-1023</t>
  </si>
  <si>
    <t>ALQ1908AB017</t>
  </si>
  <si>
    <t>Bach</t>
  </si>
  <si>
    <t>George Bach</t>
  </si>
  <si>
    <t>590 Baker St Apt 3</t>
  </si>
  <si>
    <t>94117-1479</t>
  </si>
  <si>
    <t>georgebachnm@gmail.com</t>
  </si>
  <si>
    <t>bach@law.unm.edu</t>
  </si>
  <si>
    <t>ALR201003EMC</t>
  </si>
  <si>
    <t>Merelice Kundratis</t>
  </si>
  <si>
    <t>Cason</t>
  </si>
  <si>
    <t>Polak</t>
  </si>
  <si>
    <t>P.O. Box 17002</t>
  </si>
  <si>
    <t>2 Hopkins Plaza</t>
  </si>
  <si>
    <t>Vesper</t>
  </si>
  <si>
    <t>PO Box 42148</t>
  </si>
  <si>
    <t>C/o Cathy Vesper Wilson</t>
  </si>
  <si>
    <t>97404-0581</t>
  </si>
  <si>
    <t>Capper</t>
  </si>
  <si>
    <t>P.O. Box 22191</t>
  </si>
  <si>
    <t>C/O Lewis Bryan Coover, III</t>
  </si>
  <si>
    <t>2647 S.E. Lake Road</t>
  </si>
  <si>
    <t>Milwaukie</t>
  </si>
  <si>
    <t>97269-0791</t>
  </si>
  <si>
    <t>Ian R. Walker</t>
  </si>
  <si>
    <t>640 Ocean Ave Apt 203</t>
  </si>
  <si>
    <t>04103-2831</t>
  </si>
  <si>
    <t>diwalk@acadia.net</t>
  </si>
  <si>
    <t>nkhoyiahcole06@yahoo.com</t>
  </si>
  <si>
    <t>Haldeman</t>
  </si>
  <si>
    <t>140 East Butler Avenue</t>
  </si>
  <si>
    <t>Ambler</t>
  </si>
  <si>
    <t>Mcaliley</t>
  </si>
  <si>
    <t>8801 Indian Hill Drive</t>
  </si>
  <si>
    <t>Jefferson Pilot Financial Insurance Company</t>
  </si>
  <si>
    <t>Schmitz</t>
  </si>
  <si>
    <t>17429 Otsego Rd</t>
  </si>
  <si>
    <t>Sandra Green, Personal Representative</t>
  </si>
  <si>
    <t>Vanderbilt</t>
  </si>
  <si>
    <t>49795-9610</t>
  </si>
  <si>
    <t>P.O Box 3200</t>
  </si>
  <si>
    <t>Catherine`</t>
  </si>
  <si>
    <t>2750 Ringling Blvd #3</t>
  </si>
  <si>
    <t>Carol L</t>
  </si>
  <si>
    <t>Ms. Carol L Hans</t>
  </si>
  <si>
    <t>7709 Broadway Apt 118</t>
  </si>
  <si>
    <t>78209-3206</t>
  </si>
  <si>
    <t>hanscarol59@gmail.com</t>
  </si>
  <si>
    <t>Lorraine Olszyk</t>
  </si>
  <si>
    <t>802 SE 7th St Apt E201</t>
  </si>
  <si>
    <t>33441-4891</t>
  </si>
  <si>
    <t>nextlonj@aol.com</t>
  </si>
  <si>
    <t>ALQ1909BC017</t>
  </si>
  <si>
    <t>512 S 8th St</t>
  </si>
  <si>
    <t>Oppen</t>
  </si>
  <si>
    <t>1456 Court Street NE</t>
  </si>
  <si>
    <t>P.O Box 6000</t>
  </si>
  <si>
    <t>125 N State Street</t>
  </si>
  <si>
    <t>Clarks Summit</t>
  </si>
  <si>
    <t>Erika</t>
  </si>
  <si>
    <t>Hilliker</t>
  </si>
  <si>
    <t>1927 Reading Blvd</t>
  </si>
  <si>
    <t>Buttell</t>
  </si>
  <si>
    <t>Hottat</t>
  </si>
  <si>
    <t>2398 East Camelback Road</t>
  </si>
  <si>
    <t>c/o Anita Hill</t>
  </si>
  <si>
    <t>Foard</t>
  </si>
  <si>
    <t>4130 Grennoch Ln</t>
  </si>
  <si>
    <t>Hille</t>
  </si>
  <si>
    <t>The Crocker Bank</t>
  </si>
  <si>
    <t>Trust Office</t>
  </si>
  <si>
    <t>Stebbins</t>
  </si>
  <si>
    <t>Bank of America, Thea E. Katsounakis</t>
  </si>
  <si>
    <t>One Monarch Place</t>
  </si>
  <si>
    <t>370 Main Street</t>
  </si>
  <si>
    <t>Mountain, Dearborn &amp; Whiting LLP</t>
  </si>
  <si>
    <t>c/o Thrivent Financial</t>
  </si>
  <si>
    <t>PO Box 2817</t>
  </si>
  <si>
    <t>Robert Salisbury</t>
  </si>
  <si>
    <t>17416 County Road 34</t>
  </si>
  <si>
    <t>46528-7513</t>
  </si>
  <si>
    <t>sariegos@hotmail.com</t>
  </si>
  <si>
    <t>robert39@centralrubberinc.com</t>
  </si>
  <si>
    <t>ALQ1910BD015</t>
  </si>
  <si>
    <t>Ann Hill</t>
  </si>
  <si>
    <t>5605 Montero Ct</t>
  </si>
  <si>
    <t>95677-4404</t>
  </si>
  <si>
    <t>zacharyhill43@yahoo.com</t>
  </si>
  <si>
    <t>ALQ1909CC027</t>
  </si>
  <si>
    <t>ALR210414C20</t>
  </si>
  <si>
    <t>Debra K. Von Hofmann</t>
  </si>
  <si>
    <t>5681 S. Madeline Ave</t>
  </si>
  <si>
    <t>Kathlene</t>
  </si>
  <si>
    <t>Kathlene Swanson</t>
  </si>
  <si>
    <t>2890 S Stockton St Apt 203</t>
  </si>
  <si>
    <t>95240-8921</t>
  </si>
  <si>
    <t>jimnkaty@gmail.com</t>
  </si>
  <si>
    <t>ALS220101511</t>
  </si>
  <si>
    <t>ALS200301WS3</t>
  </si>
  <si>
    <t>Labonte</t>
  </si>
  <si>
    <t>Paula Labonte</t>
  </si>
  <si>
    <t>4035 Albert Ln</t>
  </si>
  <si>
    <t>Bargersville</t>
  </si>
  <si>
    <t>46106-9637</t>
  </si>
  <si>
    <t>labonte.p@hotmail.com</t>
  </si>
  <si>
    <t>labonte.j@hotmail.com</t>
  </si>
  <si>
    <t>ALQ1910CD014</t>
  </si>
  <si>
    <t>2003 Veterans Blvd</t>
  </si>
  <si>
    <t>Ms. Marcia M. Wyderko</t>
  </si>
  <si>
    <t>2939 W Telluride</t>
  </si>
  <si>
    <t>48114-7471</t>
  </si>
  <si>
    <t>trailsendbay@aol.com</t>
  </si>
  <si>
    <t>ALQ0605EL018</t>
  </si>
  <si>
    <t>Ms. Chris Williams</t>
  </si>
  <si>
    <t>Esq.</t>
  </si>
  <si>
    <t>3747 Peachtree Rd NE</t>
  </si>
  <si>
    <t>Apt F156</t>
  </si>
  <si>
    <t>30319-4403</t>
  </si>
  <si>
    <t>memax@hotmail.com</t>
  </si>
  <si>
    <t>ALR191203C54</t>
  </si>
  <si>
    <t>dfr@att.net</t>
  </si>
  <si>
    <t>PPG200001001</t>
  </si>
  <si>
    <t>Perrie</t>
  </si>
  <si>
    <t>Mr. Alan Perrie</t>
  </si>
  <si>
    <t>8 Brightwood Rd</t>
  </si>
  <si>
    <t>06085-1005</t>
  </si>
  <si>
    <t>sherper.per1@gmail.com</t>
  </si>
  <si>
    <t>perriesr@snet.net</t>
  </si>
  <si>
    <t>Christine Smith</t>
  </si>
  <si>
    <t>2245 Wesley Way Apt B</t>
  </si>
  <si>
    <t>Reynoldsburg</t>
  </si>
  <si>
    <t>43068-8043</t>
  </si>
  <si>
    <t>casmith1949@hotmail.com</t>
  </si>
  <si>
    <t>Aquilina</t>
  </si>
  <si>
    <t>Cantu</t>
  </si>
  <si>
    <t>David Aquilina and Linda Cantu</t>
  </si>
  <si>
    <t>David and Linda</t>
  </si>
  <si>
    <t>6701 Lake Shore Dr</t>
  </si>
  <si>
    <t>Apt 105</t>
  </si>
  <si>
    <t>david_aquilina@comcast.net</t>
  </si>
  <si>
    <t>ALS200101512YE</t>
  </si>
  <si>
    <t>Ms. Eva Burns</t>
  </si>
  <si>
    <t>117 Hiawatha Ct</t>
  </si>
  <si>
    <t>East Palatka</t>
  </si>
  <si>
    <t>32131-4044</t>
  </si>
  <si>
    <t>XNCDB3202</t>
  </si>
  <si>
    <t>Mr. Richard Hogan</t>
  </si>
  <si>
    <t>W185N Appleton Avenue</t>
  </si>
  <si>
    <t>Ms. Angie Landry</t>
  </si>
  <si>
    <t>23 Warrick Ct</t>
  </si>
  <si>
    <t>alandry1434@comcast.net</t>
  </si>
  <si>
    <t>Dennis Ertz</t>
  </si>
  <si>
    <t>10926 160th St</t>
  </si>
  <si>
    <t>52601-8839</t>
  </si>
  <si>
    <t>carolyn.ertz@hotmail.com</t>
  </si>
  <si>
    <t>ALQ1912BF011</t>
  </si>
  <si>
    <t>Mrs. Gertrude C. Bourque</t>
  </si>
  <si>
    <t>3255 Vanderbilt Beach Rd Unit 113</t>
  </si>
  <si>
    <t>34109-3401</t>
  </si>
  <si>
    <t>beauce38@icloud.com</t>
  </si>
  <si>
    <t>canuk38@comcast.net</t>
  </si>
  <si>
    <t>Margrit</t>
  </si>
  <si>
    <t>Draugelat</t>
  </si>
  <si>
    <t>Mrs. Margrit Draugelat</t>
  </si>
  <si>
    <t>124 Cypress Grove Ln</t>
  </si>
  <si>
    <t>32174-8235</t>
  </si>
  <si>
    <t>ramyajazzy007@gmail.com</t>
  </si>
  <si>
    <t>karmadraugelat@gmail.com</t>
  </si>
  <si>
    <t>Addesa</t>
  </si>
  <si>
    <t>Frances M. Addesa</t>
  </si>
  <si>
    <t>352 Cross Hill Rd</t>
  </si>
  <si>
    <t>06468-2707</t>
  </si>
  <si>
    <t>ALQ1911BE003</t>
  </si>
  <si>
    <t>Hange</t>
  </si>
  <si>
    <t>Hank Hange</t>
  </si>
  <si>
    <t>3013 Walnut Ln</t>
  </si>
  <si>
    <t>Telford</t>
  </si>
  <si>
    <t>hjhange@msn.com</t>
  </si>
  <si>
    <t>Zak</t>
  </si>
  <si>
    <t>Diane Zak</t>
  </si>
  <si>
    <t>1216 Zitkala-Sa Trl</t>
  </si>
  <si>
    <t>Vermillion</t>
  </si>
  <si>
    <t>57069-7071</t>
  </si>
  <si>
    <t>dianezak@gmail.com</t>
  </si>
  <si>
    <t>ALQ1604FK006</t>
  </si>
  <si>
    <t>ALR240303C64</t>
  </si>
  <si>
    <t>Wojcik</t>
  </si>
  <si>
    <t>Mr. Martin H. Wojcik</t>
  </si>
  <si>
    <t>65 E University Dr Unit 544</t>
  </si>
  <si>
    <t>85281-0983</t>
  </si>
  <si>
    <t>mhwojcik@hotmail.com</t>
  </si>
  <si>
    <t>XNPDB5204</t>
  </si>
  <si>
    <t>ALR071103204</t>
  </si>
  <si>
    <t>Schuster</t>
  </si>
  <si>
    <t>Steven Schuster</t>
  </si>
  <si>
    <t>1226 Noyes Dr</t>
  </si>
  <si>
    <t>20910-2717</t>
  </si>
  <si>
    <t>ciudadreal1993@gmail.com</t>
  </si>
  <si>
    <t>childent1@yahoo.com</t>
  </si>
  <si>
    <t>John Saurwein</t>
  </si>
  <si>
    <t>Chris and Dave Miller</t>
  </si>
  <si>
    <t>Chris and Dave</t>
  </si>
  <si>
    <t>5336 Raymond Way</t>
  </si>
  <si>
    <t>Central Point</t>
  </si>
  <si>
    <t>97502-9457</t>
  </si>
  <si>
    <t>gpu@att.net</t>
  </si>
  <si>
    <t>ALQ2103CJ029</t>
  </si>
  <si>
    <t>Violet Abad</t>
  </si>
  <si>
    <t>5550 W 72nd Pl</t>
  </si>
  <si>
    <t>80003-3304</t>
  </si>
  <si>
    <t>violetabad@hotmail.com</t>
  </si>
  <si>
    <t>ALQ2002CH022</t>
  </si>
  <si>
    <t>ALR220601C64</t>
  </si>
  <si>
    <t>David D. Peterson</t>
  </si>
  <si>
    <t>1510 Casa Real Ln</t>
  </si>
  <si>
    <t>92069-2218</t>
  </si>
  <si>
    <t>dpete3@pacbell.net</t>
  </si>
  <si>
    <t>Theophilopoulos</t>
  </si>
  <si>
    <t>Mr. Dean Theophilopoulos</t>
  </si>
  <si>
    <t>150 N Spring Blvd</t>
  </si>
  <si>
    <t>34689-3247</t>
  </si>
  <si>
    <t>deantheo@hotmail.com</t>
  </si>
  <si>
    <t>ALQ2003CJ020</t>
  </si>
  <si>
    <t>Anne Cowley</t>
  </si>
  <si>
    <t>413 Eton Ct</t>
  </si>
  <si>
    <t>51104-1105</t>
  </si>
  <si>
    <t>amuske@comcast.net</t>
  </si>
  <si>
    <t>Kendall March</t>
  </si>
  <si>
    <t>5200 Brittany Dr S Apt 1304</t>
  </si>
  <si>
    <t>33715-1551</t>
  </si>
  <si>
    <t>kendallmarch@gmail.com</t>
  </si>
  <si>
    <t>ALQ2002MH039</t>
  </si>
  <si>
    <t>ALA21010B11A</t>
  </si>
  <si>
    <t>Steve Simonson</t>
  </si>
  <si>
    <t>326 Chapel St</t>
  </si>
  <si>
    <t>98815-1208</t>
  </si>
  <si>
    <t>ALQ2003CJ021</t>
  </si>
  <si>
    <t>ALR210408C31</t>
  </si>
  <si>
    <t>Libby</t>
  </si>
  <si>
    <t>Krochalis</t>
  </si>
  <si>
    <t>Libby A. Krochalis</t>
  </si>
  <si>
    <t>7031 51st Ave NE</t>
  </si>
  <si>
    <t>98115-6131</t>
  </si>
  <si>
    <t>libbyhk@comcast.net</t>
  </si>
  <si>
    <t>XNLFA6303</t>
  </si>
  <si>
    <t>Kylie</t>
  </si>
  <si>
    <t>Comba</t>
  </si>
  <si>
    <t>Kylie Comba</t>
  </si>
  <si>
    <t>2218 S 14st Plaza</t>
  </si>
  <si>
    <t>Apt 18</t>
  </si>
  <si>
    <t>combalkylie@gmail.com</t>
  </si>
  <si>
    <t>ALQ2003CJ016</t>
  </si>
  <si>
    <t>ALA21070A13A</t>
  </si>
  <si>
    <t>Mr. Richard Sherman</t>
  </si>
  <si>
    <t>2041 NW Adams St</t>
  </si>
  <si>
    <t>97128-2631</t>
  </si>
  <si>
    <t>gennedick@gmail.com</t>
  </si>
  <si>
    <t>gennedick@frontier.com</t>
  </si>
  <si>
    <t>XNZBK5709</t>
  </si>
  <si>
    <t>Flath</t>
  </si>
  <si>
    <t>James A. Flath</t>
  </si>
  <si>
    <t>1739 Round Mountain Cir</t>
  </si>
  <si>
    <t>89434-8091</t>
  </si>
  <si>
    <t>renobikerboy@yahoo.com</t>
  </si>
  <si>
    <t>renobikeboy@yahoo.com</t>
  </si>
  <si>
    <t>ALQ2004AK015</t>
  </si>
  <si>
    <t>Mr. Thomas A. Wright</t>
  </si>
  <si>
    <t>393 Delaware St</t>
  </si>
  <si>
    <t>Tonawanda</t>
  </si>
  <si>
    <t>14150-3951</t>
  </si>
  <si>
    <t>thomas.wright@yahoo.com</t>
  </si>
  <si>
    <t>thomasa.wright@yahoo.com</t>
  </si>
  <si>
    <t>ALQ1510FD010</t>
  </si>
  <si>
    <t>ALA22030A24A</t>
  </si>
  <si>
    <t>Lahowetz</t>
  </si>
  <si>
    <t>Andrea Lahowetz</t>
  </si>
  <si>
    <t>4319 Fieldcrest Dr Apt 2C</t>
  </si>
  <si>
    <t>51103-5723</t>
  </si>
  <si>
    <t>andrealahowetz@gmail.com</t>
  </si>
  <si>
    <t>ALQ2005BL023</t>
  </si>
  <si>
    <t>C. Diane</t>
  </si>
  <si>
    <t>C. Diane Patrick</t>
  </si>
  <si>
    <t>6645 Wyoming St</t>
  </si>
  <si>
    <t>64113-1860</t>
  </si>
  <si>
    <t>cdpatric@aol.com</t>
  </si>
  <si>
    <t>ALR220603C44</t>
  </si>
  <si>
    <t>Ruthanne</t>
  </si>
  <si>
    <t>Leishman</t>
  </si>
  <si>
    <t>Ruthanne Leishman</t>
  </si>
  <si>
    <t>2607 Western Ave Apt 902</t>
  </si>
  <si>
    <t>98121-1385</t>
  </si>
  <si>
    <t>raleish@icloud.com</t>
  </si>
  <si>
    <t>ALQ16XXN2EMC</t>
  </si>
  <si>
    <t>Dr. Margaret J. Miller</t>
  </si>
  <si>
    <t>1670 W Chateau Dr</t>
  </si>
  <si>
    <t>83646-1348</t>
  </si>
  <si>
    <t>ALQ2004AK034</t>
  </si>
  <si>
    <t>ALQ1609GC033</t>
  </si>
  <si>
    <t>Haffner</t>
  </si>
  <si>
    <t>Mary N. Haffner</t>
  </si>
  <si>
    <t>1271 Forest Walk Dr</t>
  </si>
  <si>
    <t>45459-4913</t>
  </si>
  <si>
    <t>billhaf193@gmail.com</t>
  </si>
  <si>
    <t>ALR200700001</t>
  </si>
  <si>
    <t>ALA23020A15A</t>
  </si>
  <si>
    <t>Lotta</t>
  </si>
  <si>
    <t>Newman</t>
  </si>
  <si>
    <t>Lotta Newman</t>
  </si>
  <si>
    <t>44 Pine St</t>
  </si>
  <si>
    <t>Neptune</t>
  </si>
  <si>
    <t>07753-7710</t>
  </si>
  <si>
    <t>ALQ2007BA102</t>
  </si>
  <si>
    <t>Mr. Scott Zimmerman</t>
  </si>
  <si>
    <t>2900 Lora Ln</t>
  </si>
  <si>
    <t>Burley</t>
  </si>
  <si>
    <t>83318-3342</t>
  </si>
  <si>
    <t>hzimmerman1@gmail.com</t>
  </si>
  <si>
    <t>ALQ2005BL006</t>
  </si>
  <si>
    <t>Bello</t>
  </si>
  <si>
    <t>Carolyn Bello</t>
  </si>
  <si>
    <t>37 Harper Rd</t>
  </si>
  <si>
    <t>14226-4047</t>
  </si>
  <si>
    <t>carolynzee@yahoo.com</t>
  </si>
  <si>
    <t>Barbara Foster</t>
  </si>
  <si>
    <t>Janet and Clifford Mowrey</t>
  </si>
  <si>
    <t>Janet and Clifford</t>
  </si>
  <si>
    <t>200 Bridle Way Unit 262</t>
  </si>
  <si>
    <t>98901-8121</t>
  </si>
  <si>
    <t>yakimajan@gmail.com</t>
  </si>
  <si>
    <t>ALQ2007BA214</t>
  </si>
  <si>
    <t>ALR210804C31</t>
  </si>
  <si>
    <t>Rahtz</t>
  </si>
  <si>
    <t>Howard Rahtz</t>
  </si>
  <si>
    <t>6436 Cary Ave</t>
  </si>
  <si>
    <t>45224-2037</t>
  </si>
  <si>
    <t>smilekat@gmail.com</t>
  </si>
  <si>
    <t>ALQ2007BA213</t>
  </si>
  <si>
    <t>189 Terning Dr E</t>
  </si>
  <si>
    <t>59917-9535</t>
  </si>
  <si>
    <t>steph2008rob@yahoo.com</t>
  </si>
  <si>
    <t>ALQ2007BA220</t>
  </si>
  <si>
    <t>ALR221106C33</t>
  </si>
  <si>
    <t>Stephen Ruth</t>
  </si>
  <si>
    <t>14034 E Laneden Dr</t>
  </si>
  <si>
    <t>48442-9708</t>
  </si>
  <si>
    <t>smruth88@gmail.com</t>
  </si>
  <si>
    <t>ALQ2106N4EMC</t>
  </si>
  <si>
    <t>Lewis Orr</t>
  </si>
  <si>
    <t>3811 Great Neck Ct</t>
  </si>
  <si>
    <t>22309-2635</t>
  </si>
  <si>
    <t>ALQ2402CH004</t>
  </si>
  <si>
    <t>Ms. Tracye Hanson</t>
  </si>
  <si>
    <t>825 33rd Avenue North</t>
  </si>
  <si>
    <t>56303-2235</t>
  </si>
  <si>
    <t>hansontracye@gmail.com</t>
  </si>
  <si>
    <t>Roger Werner</t>
  </si>
  <si>
    <t>rhw200513@gmail.com</t>
  </si>
  <si>
    <t>Zackery</t>
  </si>
  <si>
    <t>Jefcoats</t>
  </si>
  <si>
    <t>Zackery R. Jefcoats</t>
  </si>
  <si>
    <t>1007 Lombard St</t>
  </si>
  <si>
    <t>Muscatine</t>
  </si>
  <si>
    <t>52761-4523</t>
  </si>
  <si>
    <t>taboojefcoats@hotmail.com</t>
  </si>
  <si>
    <t>ALQ2008BB029</t>
  </si>
  <si>
    <t>Michelle Marsh</t>
  </si>
  <si>
    <t>2 Perkins Road</t>
  </si>
  <si>
    <t>Eastport</t>
  </si>
  <si>
    <t>04631-3854</t>
  </si>
  <si>
    <t>jazzyshell1@gmail.com</t>
  </si>
  <si>
    <t>Russell Richall</t>
  </si>
  <si>
    <t>130 Florence Blvd.</t>
  </si>
  <si>
    <t>russrichall228@gmail.com</t>
  </si>
  <si>
    <t>Romig</t>
  </si>
  <si>
    <t>Ms. Kathryn Beck and Mr. Mark N. Romig</t>
  </si>
  <si>
    <t>Kathryn and Mark</t>
  </si>
  <si>
    <t>56 W Oakwood Dr</t>
  </si>
  <si>
    <t>17015-9383</t>
  </si>
  <si>
    <t>kathrynbeckc@comcast.net</t>
  </si>
  <si>
    <t>ALA2012DGEM1</t>
  </si>
  <si>
    <t>ALR200501EMC</t>
  </si>
  <si>
    <t>Gail Hadley</t>
  </si>
  <si>
    <t>140 Forest Ave</t>
  </si>
  <si>
    <t>50702-3625</t>
  </si>
  <si>
    <t>rdnyy@aol.com</t>
  </si>
  <si>
    <t>ALQ2007BA311</t>
  </si>
  <si>
    <t>ALR221003C32</t>
  </si>
  <si>
    <t>Carney</t>
  </si>
  <si>
    <t>Tom Carney and Carrie Wagner</t>
  </si>
  <si>
    <t>Tom and Carrie</t>
  </si>
  <si>
    <t>629 Smith St</t>
  </si>
  <si>
    <t>80524-3120</t>
  </si>
  <si>
    <t>carneytv@gmail.com</t>
  </si>
  <si>
    <t>ALL2212L9EMC</t>
  </si>
  <si>
    <t>Quinoz</t>
  </si>
  <si>
    <t>Stephanie Quinoz</t>
  </si>
  <si>
    <t>3222 Knights Bridge Road</t>
  </si>
  <si>
    <t>stephanie.quinoz@gmail.com</t>
  </si>
  <si>
    <t>Helrich</t>
  </si>
  <si>
    <t>Craig Helrich</t>
  </si>
  <si>
    <t>40 Nives Ct</t>
  </si>
  <si>
    <t>89441-7215</t>
  </si>
  <si>
    <t>helrich@hotmail.com</t>
  </si>
  <si>
    <t>ALQ2010AD016</t>
  </si>
  <si>
    <t>ALL24020B62S</t>
  </si>
  <si>
    <t>Family</t>
  </si>
  <si>
    <t>The Hansford Family</t>
  </si>
  <si>
    <t>32 Shirley St</t>
  </si>
  <si>
    <t>01463-1610</t>
  </si>
  <si>
    <t>megs16@msn.com</t>
  </si>
  <si>
    <t>Parobek</t>
  </si>
  <si>
    <t>Uresela</t>
  </si>
  <si>
    <t>Uresela Parobek</t>
  </si>
  <si>
    <t>269 W Stroop Rd</t>
  </si>
  <si>
    <t>45429-1662</t>
  </si>
  <si>
    <t>XN2DJ3201</t>
  </si>
  <si>
    <t>curtisblue15@gmail.com</t>
  </si>
  <si>
    <t>Ceciel</t>
  </si>
  <si>
    <t>Lumpkins</t>
  </si>
  <si>
    <t>Ceciel Lumpkins II</t>
  </si>
  <si>
    <t>1291 Doris St</t>
  </si>
  <si>
    <t>Mount Morris</t>
  </si>
  <si>
    <t>48458-1773</t>
  </si>
  <si>
    <t>ceciel2@chozenfew.ws</t>
  </si>
  <si>
    <t>choozylover@chozenfew.ws</t>
  </si>
  <si>
    <t>ALQ20110WHPE</t>
  </si>
  <si>
    <t>Elf</t>
  </si>
  <si>
    <t>Gwen Elf</t>
  </si>
  <si>
    <t>1169 Sundance Dr</t>
  </si>
  <si>
    <t>28027-3378</t>
  </si>
  <si>
    <t>gwenelf@msn.com</t>
  </si>
  <si>
    <t>gwen@bridesandbraids.com</t>
  </si>
  <si>
    <t>XNDHH7307</t>
  </si>
  <si>
    <t>ALR051203204</t>
  </si>
  <si>
    <t>Mike Little</t>
  </si>
  <si>
    <t>4175 Nopone Road</t>
  </si>
  <si>
    <t>mlittle@hallcounty.org</t>
  </si>
  <si>
    <t>Rosenthal</t>
  </si>
  <si>
    <t>Rosemary Rosenthal</t>
  </si>
  <si>
    <t>25 N Central Ave Apt 422</t>
  </si>
  <si>
    <t>63105-4098</t>
  </si>
  <si>
    <t>Haugen</t>
  </si>
  <si>
    <t>Mr. Terry L. Haugen</t>
  </si>
  <si>
    <t>1337 Lakeshore Dr</t>
  </si>
  <si>
    <t>59923-9671</t>
  </si>
  <si>
    <t>tvhaugen@outlook.com</t>
  </si>
  <si>
    <t>ALR231007C33</t>
  </si>
  <si>
    <t>ALA22120A13R</t>
  </si>
  <si>
    <t>Jason Moore</t>
  </si>
  <si>
    <t>185 W 12th St Ste D</t>
  </si>
  <si>
    <t>84404-5522</t>
  </si>
  <si>
    <t>lonewolf223@protonmail.com</t>
  </si>
  <si>
    <t>ALQ2010AD012</t>
  </si>
  <si>
    <t>Follis</t>
  </si>
  <si>
    <t>Gene Follis</t>
  </si>
  <si>
    <t>133 Kenberry Dr</t>
  </si>
  <si>
    <t>48823-4618</t>
  </si>
  <si>
    <t>ALA140201999</t>
  </si>
  <si>
    <t>ALR220101C54</t>
  </si>
  <si>
    <t>Gary A. Gray</t>
  </si>
  <si>
    <t>410 Thistle Way</t>
  </si>
  <si>
    <t>94582-5577</t>
  </si>
  <si>
    <t>kggray@comcast.net</t>
  </si>
  <si>
    <t>ALQ2011AE017</t>
  </si>
  <si>
    <t>ALA22030A15A</t>
  </si>
  <si>
    <t>Joe and Nancy Graham</t>
  </si>
  <si>
    <t>Joe and Nancy</t>
  </si>
  <si>
    <t>2750 Emerald St</t>
  </si>
  <si>
    <t>97403-1635</t>
  </si>
  <si>
    <t>j4graham@mac.com</t>
  </si>
  <si>
    <t>ALQ2101N0WSC</t>
  </si>
  <si>
    <t>32699 E Riga Dr</t>
  </si>
  <si>
    <t>Ocean View</t>
  </si>
  <si>
    <t>19970-3158</t>
  </si>
  <si>
    <t>ruthmcneill@gmail.com</t>
  </si>
  <si>
    <t>ALQ2012AF019</t>
  </si>
  <si>
    <t>Westervelt</t>
  </si>
  <si>
    <t>Mr. Thomas Westervelt</t>
  </si>
  <si>
    <t>Po Box 2607</t>
  </si>
  <si>
    <t>81302-2607</t>
  </si>
  <si>
    <t>D'Esposito</t>
  </si>
  <si>
    <t>John D'Esposito</t>
  </si>
  <si>
    <t>4412 SW 5th Ave</t>
  </si>
  <si>
    <t>33914-7559</t>
  </si>
  <si>
    <t>jade6384@aol.com</t>
  </si>
  <si>
    <t>ALQ2101BG001</t>
  </si>
  <si>
    <t>Gabriel</t>
  </si>
  <si>
    <t>Ms. Mary F. and Mr. Stephen R. Gabriel</t>
  </si>
  <si>
    <t>Mary and Stephen</t>
  </si>
  <si>
    <t>403 West Ave</t>
  </si>
  <si>
    <t>Ocean City</t>
  </si>
  <si>
    <t>08226-3925</t>
  </si>
  <si>
    <t>leonard.gabriel@hotmail.com</t>
  </si>
  <si>
    <t>ALQ2012AF021</t>
  </si>
  <si>
    <t>stephengabriel@comcast.net</t>
  </si>
  <si>
    <t>ALA2112D2EMC</t>
  </si>
  <si>
    <t>Cindy Hall</t>
  </si>
  <si>
    <t>168 Woodhaven Circle</t>
  </si>
  <si>
    <t>Lake Ozark</t>
  </si>
  <si>
    <t>chwork6@gmail.com</t>
  </si>
  <si>
    <t>E. M.</t>
  </si>
  <si>
    <t>Wheelock</t>
  </si>
  <si>
    <t>Mr. Franklin K. Wheelock</t>
  </si>
  <si>
    <t>98 Lynbrook Circle</t>
  </si>
  <si>
    <t>13214-2189</t>
  </si>
  <si>
    <t>asdfrtvunpdfwheelo@verizon.net</t>
  </si>
  <si>
    <t>XNMFA3302</t>
  </si>
  <si>
    <t>fwheelock@gmail.com</t>
  </si>
  <si>
    <t>Maia</t>
  </si>
  <si>
    <t>Leppo</t>
  </si>
  <si>
    <t>Maia Leppo</t>
  </si>
  <si>
    <t>maialeppo@gmail.com</t>
  </si>
  <si>
    <t>Allen Simmons</t>
  </si>
  <si>
    <t>R2040 Geiger Road</t>
  </si>
  <si>
    <t>aljude@yahoo.com</t>
  </si>
  <si>
    <t>XNKPJ7422</t>
  </si>
  <si>
    <t>ALL22110A43M</t>
  </si>
  <si>
    <t>ALL031201003</t>
  </si>
  <si>
    <t>Biamonti</t>
  </si>
  <si>
    <t>Ms. Sandra Biamonti</t>
  </si>
  <si>
    <t>5220 E Minnesota St</t>
  </si>
  <si>
    <t>46203-3780</t>
  </si>
  <si>
    <t>s.biamonti@hotmail.com</t>
  </si>
  <si>
    <t>Minck</t>
  </si>
  <si>
    <t>Mr. Ken C. Minck</t>
  </si>
  <si>
    <t>2143 Polly Hubbard Rd</t>
  </si>
  <si>
    <t>05478-3011</t>
  </si>
  <si>
    <t>kcminck@gmail.com</t>
  </si>
  <si>
    <t>ALR230402C32</t>
  </si>
  <si>
    <t>Delfa and Terry Quinn</t>
  </si>
  <si>
    <t>Delfa and Terry</t>
  </si>
  <si>
    <t>32621 6th Avenue SW</t>
  </si>
  <si>
    <t>quinndj@comcast.net</t>
  </si>
  <si>
    <t>Summers</t>
  </si>
  <si>
    <t>Maria Summers</t>
  </si>
  <si>
    <t>5608 Waverly Ave</t>
  </si>
  <si>
    <t>92037-7547</t>
  </si>
  <si>
    <t>sheron_summers@excite.com</t>
  </si>
  <si>
    <t>ALQ2102BH004</t>
  </si>
  <si>
    <t>Margaret and David Glynn</t>
  </si>
  <si>
    <t>19 West St</t>
  </si>
  <si>
    <t>01007-9621</t>
  </si>
  <si>
    <t>glynn.peg@gmail.com</t>
  </si>
  <si>
    <t>ALQ2106N1EMC</t>
  </si>
  <si>
    <t>Mr. Michael J. Imber</t>
  </si>
  <si>
    <t>2944 Aldrin Ct</t>
  </si>
  <si>
    <t>48360-1700</t>
  </si>
  <si>
    <t>mimber@msn.com</t>
  </si>
  <si>
    <t>ALQ2102CH018</t>
  </si>
  <si>
    <t>ALR220301C21</t>
  </si>
  <si>
    <t>Mary J. Driscoll</t>
  </si>
  <si>
    <t>44 Beverly Rd</t>
  </si>
  <si>
    <t>Wellesley Hills</t>
  </si>
  <si>
    <t>02481-1154</t>
  </si>
  <si>
    <t>sdriscoll168@gmail.com</t>
  </si>
  <si>
    <t>ALQ2102BH008</t>
  </si>
  <si>
    <t>ALA23110B24A</t>
  </si>
  <si>
    <t>Dar</t>
  </si>
  <si>
    <t>Darlayn Delboca</t>
  </si>
  <si>
    <t>P.O. Box 32355</t>
  </si>
  <si>
    <t>Laura Patterson</t>
  </si>
  <si>
    <t>162 High St</t>
  </si>
  <si>
    <t>South Paris</t>
  </si>
  <si>
    <t>04281-1124</t>
  </si>
  <si>
    <t>ljs100368@gmail.com</t>
  </si>
  <si>
    <t>maymay4157@gmail.com</t>
  </si>
  <si>
    <t>ALQ2111AE023</t>
  </si>
  <si>
    <t>Serena</t>
  </si>
  <si>
    <t>Foxworthy</t>
  </si>
  <si>
    <t>Ms. Serena W. Foxworthy</t>
  </si>
  <si>
    <t>2436 Stanton Hill Rd</t>
  </si>
  <si>
    <t>94546-5209</t>
  </si>
  <si>
    <t>kumarsandeepbains@gmail.com</t>
  </si>
  <si>
    <t>serenafoxworthy@comcast.net</t>
  </si>
  <si>
    <t>ALQ0311AE018</t>
  </si>
  <si>
    <t>ALA23020A11A</t>
  </si>
  <si>
    <t>Yousey</t>
  </si>
  <si>
    <t>Yvonne Yousey and Jim Dunn</t>
  </si>
  <si>
    <t>Yvonne and Jim</t>
  </si>
  <si>
    <t>48 Willowcroft Dr</t>
  </si>
  <si>
    <t>80123-7908</t>
  </si>
  <si>
    <t>ykyousey@comcast.net</t>
  </si>
  <si>
    <t>ALQ2103N0DAL</t>
  </si>
  <si>
    <t>Matchett</t>
  </si>
  <si>
    <t>James and Brenda Matchett</t>
  </si>
  <si>
    <t>James and Brenda</t>
  </si>
  <si>
    <t>25 Blackstone Cir</t>
  </si>
  <si>
    <t>North Little Rock</t>
  </si>
  <si>
    <t>72118-2617</t>
  </si>
  <si>
    <t>ALQ2103CJ017</t>
  </si>
  <si>
    <t>ALA22070B33N</t>
  </si>
  <si>
    <t>Blume</t>
  </si>
  <si>
    <t>Fredrick Blume</t>
  </si>
  <si>
    <t>903 Nelson Dr</t>
  </si>
  <si>
    <t>62062-5725</t>
  </si>
  <si>
    <t>frederickblume29@gmail.com</t>
  </si>
  <si>
    <t>ALQ2107BA224</t>
  </si>
  <si>
    <t>Margaret L. Bauer-Scandin</t>
  </si>
  <si>
    <t>1670 Legacy Pkwy E Apt 426</t>
  </si>
  <si>
    <t>55109-5486</t>
  </si>
  <si>
    <t>woofer2000@yahoo.com</t>
  </si>
  <si>
    <t>ALQ1608EB016</t>
  </si>
  <si>
    <t>ALQ2104AK001</t>
  </si>
  <si>
    <t>Parchym</t>
  </si>
  <si>
    <t>Mary Parchym</t>
  </si>
  <si>
    <t>2102 43rd St</t>
  </si>
  <si>
    <t>53108-9402</t>
  </si>
  <si>
    <t>maparchym@gmail.com</t>
  </si>
  <si>
    <t>ALQ2104CK011</t>
  </si>
  <si>
    <t>ALA22070B22C</t>
  </si>
  <si>
    <t>Owens</t>
  </si>
  <si>
    <t>Mrs. Terri Owens</t>
  </si>
  <si>
    <t>307 Seneca River Dr</t>
  </si>
  <si>
    <t>29485-8948</t>
  </si>
  <si>
    <t>terriowens0429@gmail.com</t>
  </si>
  <si>
    <t>Mauceri</t>
  </si>
  <si>
    <t>Michael Mauceri</t>
  </si>
  <si>
    <t>16625 Powells Cove Blvd Apt 17D</t>
  </si>
  <si>
    <t>Whitestone</t>
  </si>
  <si>
    <t>11357-1522</t>
  </si>
  <si>
    <t>charlesmauceri@gmail.com</t>
  </si>
  <si>
    <t>Hessler</t>
  </si>
  <si>
    <t>Mary and George Hessler</t>
  </si>
  <si>
    <t>Mary and George</t>
  </si>
  <si>
    <t>17 Fogland Ln</t>
  </si>
  <si>
    <t>19970-3495</t>
  </si>
  <si>
    <t>mhears@yahoo.com</t>
  </si>
  <si>
    <t>ALQ2105DL016</t>
  </si>
  <si>
    <t>ALR220602C31</t>
  </si>
  <si>
    <t>Gasc</t>
  </si>
  <si>
    <t>Pedro Gasc</t>
  </si>
  <si>
    <t>2649 Creekway Dr</t>
  </si>
  <si>
    <t>75010-4228</t>
  </si>
  <si>
    <t>pedro.gas@yahoo.com</t>
  </si>
  <si>
    <t>ALQ2105DL018</t>
  </si>
  <si>
    <t>ALA21080C13N</t>
  </si>
  <si>
    <t>Hause</t>
  </si>
  <si>
    <t>Mr. George H. Hause</t>
  </si>
  <si>
    <t>527 Bridgetowne Ct</t>
  </si>
  <si>
    <t>29365-1256</t>
  </si>
  <si>
    <t>ghause@yahoo.com</t>
  </si>
  <si>
    <t>Lynn Badger</t>
  </si>
  <si>
    <t>322 Pico De La Loma</t>
  </si>
  <si>
    <t>92029-7912</t>
  </si>
  <si>
    <t>Jose</t>
  </si>
  <si>
    <t>Fidel</t>
  </si>
  <si>
    <t>Dr. Jose T. Fidel</t>
  </si>
  <si>
    <t>5650 Stratford Cir Apt 28</t>
  </si>
  <si>
    <t>95207-5039</t>
  </si>
  <si>
    <t>XNQBL2109</t>
  </si>
  <si>
    <t>ALQ2106CM013</t>
  </si>
  <si>
    <t>Burkhart</t>
  </si>
  <si>
    <t>Mr. James Burkhart</t>
  </si>
  <si>
    <t>10205 NE Cornell Rd Apt 324</t>
  </si>
  <si>
    <t>97124-9227</t>
  </si>
  <si>
    <t>burkhartjames4@gmail.com</t>
  </si>
  <si>
    <t>XNFLG8322</t>
  </si>
  <si>
    <t>Klassen</t>
  </si>
  <si>
    <t>Hannah Klassen</t>
  </si>
  <si>
    <t>2316 Kingston Trce</t>
  </si>
  <si>
    <t>76209-7946</t>
  </si>
  <si>
    <t>ALQ2107BA102</t>
  </si>
  <si>
    <t>Kanishka</t>
  </si>
  <si>
    <t>Misra</t>
  </si>
  <si>
    <t>Kanishka Misra</t>
  </si>
  <si>
    <t>3809 Blossom Dr</t>
  </si>
  <si>
    <t>53406-6906</t>
  </si>
  <si>
    <t>smisra@gmail.com</t>
  </si>
  <si>
    <t>ALQ2107AA107</t>
  </si>
  <si>
    <t>Hoy</t>
  </si>
  <si>
    <t>Lorraine A. Hoy</t>
  </si>
  <si>
    <t>4703 Carnation Grove Ln</t>
  </si>
  <si>
    <t>77469-5728</t>
  </si>
  <si>
    <t>lorihoy09@gmail.com</t>
  </si>
  <si>
    <t>Milko</t>
  </si>
  <si>
    <t>Robert Milko</t>
  </si>
  <si>
    <t>14470 Otis Dr</t>
  </si>
  <si>
    <t>15642-1052</t>
  </si>
  <si>
    <t>rmmgto@aol.com</t>
  </si>
  <si>
    <t>ALQ2106MM028</t>
  </si>
  <si>
    <t>David Jacobson</t>
  </si>
  <si>
    <t>712 US Highway 1 Ste 301</t>
  </si>
  <si>
    <t>North Palm Beach</t>
  </si>
  <si>
    <t>33408-4521</t>
  </si>
  <si>
    <t>david.jacobson@att.net</t>
  </si>
  <si>
    <t>ALQ2107AA201</t>
  </si>
  <si>
    <t>ALA23030A24R</t>
  </si>
  <si>
    <t>Leicht</t>
  </si>
  <si>
    <t>Ms. Helga Leicht</t>
  </si>
  <si>
    <t>425 Kinsley Ct</t>
  </si>
  <si>
    <t>11572-1709</t>
  </si>
  <si>
    <t>ALQ2107BA109</t>
  </si>
  <si>
    <t>Linda Morris</t>
  </si>
  <si>
    <t>13901 Moorestown Rd SE</t>
  </si>
  <si>
    <t>49633-7003</t>
  </si>
  <si>
    <t>lindawhite104@yahoo.com</t>
  </si>
  <si>
    <t>ALQ2107AA105</t>
  </si>
  <si>
    <t>Rocco</t>
  </si>
  <si>
    <t>Karen Rocco</t>
  </si>
  <si>
    <t>1587 2nd St # 2</t>
  </si>
  <si>
    <t>Cuyahoga Falls</t>
  </si>
  <si>
    <t>44221-4778</t>
  </si>
  <si>
    <t>kdrocco6@aol.com</t>
  </si>
  <si>
    <t>ALQ2205AL012</t>
  </si>
  <si>
    <t>153 E Cowpen Lake Point Rd</t>
  </si>
  <si>
    <t>32640-5704</t>
  </si>
  <si>
    <t>buffalodale33@gmail.com</t>
  </si>
  <si>
    <t>ALQ2107AA308</t>
  </si>
  <si>
    <t>Bourget</t>
  </si>
  <si>
    <t>Alfred Bourget</t>
  </si>
  <si>
    <t>50 David St</t>
  </si>
  <si>
    <t>02864-2028</t>
  </si>
  <si>
    <t>donnab5863@icloud.com</t>
  </si>
  <si>
    <t>ALQ2107AA312</t>
  </si>
  <si>
    <t>ALR220803C31</t>
  </si>
  <si>
    <t>Falcone</t>
  </si>
  <si>
    <t>James Falcone</t>
  </si>
  <si>
    <t>133 Twombly Ave</t>
  </si>
  <si>
    <t>10306-3741</t>
  </si>
  <si>
    <t>jfalcone0911@npca.org</t>
  </si>
  <si>
    <t>ALQ21090W005</t>
  </si>
  <si>
    <t>ALQ2105N1WSC</t>
  </si>
  <si>
    <t>Estate of Barbara Gittings</t>
  </si>
  <si>
    <t>1000 North King Street</t>
  </si>
  <si>
    <t>tmaureryct.com</t>
  </si>
  <si>
    <t>Heather Allmandinger</t>
  </si>
  <si>
    <t>5301 Glendale St</t>
  </si>
  <si>
    <t>55804-1112</t>
  </si>
  <si>
    <t>heather@hainfosec.com</t>
  </si>
  <si>
    <t>ALQ2110N1EMC</t>
  </si>
  <si>
    <t>ALA2112D7EM2</t>
  </si>
  <si>
    <t>Michael D. Brown</t>
  </si>
  <si>
    <t>12640 Stanley Road</t>
  </si>
  <si>
    <t>Van Buren Township</t>
  </si>
  <si>
    <t>Mr. Art E. Egerton</t>
  </si>
  <si>
    <t>413 Center St</t>
  </si>
  <si>
    <t>02359-3204</t>
  </si>
  <si>
    <t>artegerton@gmail.com</t>
  </si>
  <si>
    <t>McCleskey</t>
  </si>
  <si>
    <t>Marsha McCleskey</t>
  </si>
  <si>
    <t>3308 Wendover Ct</t>
  </si>
  <si>
    <t>76021-6501</t>
  </si>
  <si>
    <t>mccleske@flash.net</t>
  </si>
  <si>
    <t>ALA2202D1DMC</t>
  </si>
  <si>
    <t>Maura</t>
  </si>
  <si>
    <t>Ms. Maura D. Mack</t>
  </si>
  <si>
    <t>2702 Nordic Ln</t>
  </si>
  <si>
    <t>dmack_ua@yahoo.com</t>
  </si>
  <si>
    <t>ALA2110D2EMC</t>
  </si>
  <si>
    <t>mauradmack@gmail.com</t>
  </si>
  <si>
    <t>XNQMC5312</t>
  </si>
  <si>
    <t>ATA160001002</t>
  </si>
  <si>
    <t>Emily Taylor</t>
  </si>
  <si>
    <t>8266 Thurman Dr</t>
  </si>
  <si>
    <t>70806-7755</t>
  </si>
  <si>
    <t>ALQ2109BC029</t>
  </si>
  <si>
    <t>Rich Hoffman</t>
  </si>
  <si>
    <t>11033 Sedlak Ln</t>
  </si>
  <si>
    <t>46229-2431</t>
  </si>
  <si>
    <t>hoffman.r.l.1@gmail.com</t>
  </si>
  <si>
    <t>Jerry Burton</t>
  </si>
  <si>
    <t>8093 W Greensleeves Way</t>
  </si>
  <si>
    <t>85743-5501</t>
  </si>
  <si>
    <t>jerburton@comcast.net</t>
  </si>
  <si>
    <t>Frank Shue</t>
  </si>
  <si>
    <t>P.O. Box</t>
  </si>
  <si>
    <t>Paul and Patricia Patterson</t>
  </si>
  <si>
    <t>Paul and Patricia</t>
  </si>
  <si>
    <t>412 Waverly Rd</t>
  </si>
  <si>
    <t>Wyncote</t>
  </si>
  <si>
    <t>19095-1212</t>
  </si>
  <si>
    <t>pattersonpaul7313@gmail.com</t>
  </si>
  <si>
    <t>Ringer</t>
  </si>
  <si>
    <t>Lisa Ringer</t>
  </si>
  <si>
    <t>2145 S Via Mazatlan</t>
  </si>
  <si>
    <t>92264-0506</t>
  </si>
  <si>
    <t>lisaringer13@yahoo.com</t>
  </si>
  <si>
    <t>Dahlberg</t>
  </si>
  <si>
    <t>Constance W. Dahlberg</t>
  </si>
  <si>
    <t>14928 Botetourt Rd</t>
  </si>
  <si>
    <t>Eagle Rock</t>
  </si>
  <si>
    <t>24085-3001</t>
  </si>
  <si>
    <t>sjgault@gmail.com</t>
  </si>
  <si>
    <t>ALR230102C32</t>
  </si>
  <si>
    <t>Goodbody</t>
  </si>
  <si>
    <t>Elizabeth Goodbody and Ralph Beck</t>
  </si>
  <si>
    <t>Elizabeth and Ralph</t>
  </si>
  <si>
    <t>2653 Stewart Ave</t>
  </si>
  <si>
    <t>60201-1438</t>
  </si>
  <si>
    <t>elg1383@gmail.com</t>
  </si>
  <si>
    <t>Boilard</t>
  </si>
  <si>
    <t>John P. Boilard</t>
  </si>
  <si>
    <t>10113 Erwin Trl</t>
  </si>
  <si>
    <t>78717-5386</t>
  </si>
  <si>
    <t>ALQ220001001</t>
  </si>
  <si>
    <t>Padgett</t>
  </si>
  <si>
    <t>Pamela Padgett</t>
  </si>
  <si>
    <t>113 Sweet Gum Dr</t>
  </si>
  <si>
    <t>29693-6120</t>
  </si>
  <si>
    <t>pcpadgett@hotmail.com</t>
  </si>
  <si>
    <t>ALQ2111AE016</t>
  </si>
  <si>
    <t>Strong</t>
  </si>
  <si>
    <t>Ms. Julie L. Strong</t>
  </si>
  <si>
    <t>24420 224th Ave SE</t>
  </si>
  <si>
    <t>98038-6073</t>
  </si>
  <si>
    <t>julie.l.strong81@gmail.com</t>
  </si>
  <si>
    <t>Kierzek</t>
  </si>
  <si>
    <t>Chet Kierzek</t>
  </si>
  <si>
    <t>9410 S 81st Ave</t>
  </si>
  <si>
    <t>Hickory Hills</t>
  </si>
  <si>
    <t>60457-1904</t>
  </si>
  <si>
    <t>chetlynn@comcast.net</t>
  </si>
  <si>
    <t>ALQ0512DF011</t>
  </si>
  <si>
    <t>Yeldell</t>
  </si>
  <si>
    <t>Stanley Yeldell</t>
  </si>
  <si>
    <t>15 Greenleigh Dr</t>
  </si>
  <si>
    <t>08080-3213</t>
  </si>
  <si>
    <t>ALQ2111BE001</t>
  </si>
  <si>
    <t>James T. Kirk</t>
  </si>
  <si>
    <t>13 Fox Lane</t>
  </si>
  <si>
    <t>Glen Head</t>
  </si>
  <si>
    <t>hillarybloz@aol.com</t>
  </si>
  <si>
    <t>Barto</t>
  </si>
  <si>
    <t>Judy Barto</t>
  </si>
  <si>
    <t>5303 E 7th St</t>
  </si>
  <si>
    <t>74112-4305</t>
  </si>
  <si>
    <t>ALQ2112BF012</t>
  </si>
  <si>
    <t>ALR240204C32</t>
  </si>
  <si>
    <t>Bartock</t>
  </si>
  <si>
    <t>Mr. Brian V. Bartock</t>
  </si>
  <si>
    <t>296 Walnuttown Rd</t>
  </si>
  <si>
    <t>Fleetwood</t>
  </si>
  <si>
    <t>19522-8850</t>
  </si>
  <si>
    <t>ALQ2108DB022</t>
  </si>
  <si>
    <t>Domning</t>
  </si>
  <si>
    <t>Tony Domning</t>
  </si>
  <si>
    <t>tdomn266@att.net</t>
  </si>
  <si>
    <t>Champ</t>
  </si>
  <si>
    <t>William Champ</t>
  </si>
  <si>
    <t>133 Saratoga Dr</t>
  </si>
  <si>
    <t>Bostic</t>
  </si>
  <si>
    <t>28018-5731</t>
  </si>
  <si>
    <t>chamwo@hotmail.com</t>
  </si>
  <si>
    <t>Ms. Nancy Holmes</t>
  </si>
  <si>
    <t>410 Breanna Ct</t>
  </si>
  <si>
    <t>30011-2704</t>
  </si>
  <si>
    <t>nmholmes@bellsouth.net</t>
  </si>
  <si>
    <t>nmholmes@mindspring.com</t>
  </si>
  <si>
    <t>XNAGF1502</t>
  </si>
  <si>
    <t>Lehrmann</t>
  </si>
  <si>
    <t>Gail Lehrmann</t>
  </si>
  <si>
    <t>9745 Derby Way</t>
  </si>
  <si>
    <t>80134-5510</t>
  </si>
  <si>
    <t>glehrmann@aol.com</t>
  </si>
  <si>
    <t>ALQ2202AH007</t>
  </si>
  <si>
    <t>ALA24020A24A</t>
  </si>
  <si>
    <t>Claymore</t>
  </si>
  <si>
    <t>Wayne Claymore</t>
  </si>
  <si>
    <t>617 Cardinal Dr Apt 6</t>
  </si>
  <si>
    <t>57719-9523</t>
  </si>
  <si>
    <t>ALQ1608DB010</t>
  </si>
  <si>
    <t>ALR210215C30</t>
  </si>
  <si>
    <t>LCPC</t>
  </si>
  <si>
    <t>Elizabeth M. Stone LCPC</t>
  </si>
  <si>
    <t>PO Box 735</t>
  </si>
  <si>
    <t>Three Forks</t>
  </si>
  <si>
    <t>59752-0735</t>
  </si>
  <si>
    <t>livingstonlady27@gmail.com</t>
  </si>
  <si>
    <t>ALQ1705BL014</t>
  </si>
  <si>
    <t>ALL22090C82S</t>
  </si>
  <si>
    <t>Clement</t>
  </si>
  <si>
    <t>Karen Clement</t>
  </si>
  <si>
    <t>578 Blue Springs Blvd.</t>
  </si>
  <si>
    <t>Cadiz</t>
  </si>
  <si>
    <t>karen-rick@hotmail.com</t>
  </si>
  <si>
    <t>Mrs. Mary M. Norman</t>
  </si>
  <si>
    <t>5049 Bloomington Ave</t>
  </si>
  <si>
    <t>55417-1157</t>
  </si>
  <si>
    <t>marymnorman7@gmail.com</t>
  </si>
  <si>
    <t>ocean_waves_us@yahoo.com</t>
  </si>
  <si>
    <t>ALQ0501BG033</t>
  </si>
  <si>
    <t>ALA060201004</t>
  </si>
  <si>
    <t>Malthesen</t>
  </si>
  <si>
    <t>Pam Malthesen</t>
  </si>
  <si>
    <t>2309 Dominic Ct</t>
  </si>
  <si>
    <t>76712-2107</t>
  </si>
  <si>
    <t>kmalthesen@gmail.com</t>
  </si>
  <si>
    <t>ALQ1709AC011</t>
  </si>
  <si>
    <t>ALA2206D3EMC</t>
  </si>
  <si>
    <t>ALR210400EMC</t>
  </si>
  <si>
    <t>Susan Simmons</t>
  </si>
  <si>
    <t>12065 W Josephine Dr</t>
  </si>
  <si>
    <t>Mokena</t>
  </si>
  <si>
    <t>sibrnhsky@gmail.com</t>
  </si>
  <si>
    <t>Jocelyn Shaffer</t>
  </si>
  <si>
    <t>Scott Wilson</t>
  </si>
  <si>
    <t>233 Apache Drive</t>
  </si>
  <si>
    <t>Eastanollee</t>
  </si>
  <si>
    <t>Dr. Paul Brewer</t>
  </si>
  <si>
    <t>10 Bowdoin St Unit 314</t>
  </si>
  <si>
    <t>02114-4252</t>
  </si>
  <si>
    <t>paulandruby99@gmail.com</t>
  </si>
  <si>
    <t>ALQ2205AL018</t>
  </si>
  <si>
    <t>Ricci</t>
  </si>
  <si>
    <t>Joseph T. Ricci</t>
  </si>
  <si>
    <t>111512 N 147th Ln</t>
  </si>
  <si>
    <t>jericci@cox.net</t>
  </si>
  <si>
    <t>ALQ1604BK007</t>
  </si>
  <si>
    <t>ALR170506031</t>
  </si>
  <si>
    <t>Ms. Maria Brooks</t>
  </si>
  <si>
    <t>wfsoundings@aol.com</t>
  </si>
  <si>
    <t>Lucy Carroll</t>
  </si>
  <si>
    <t>Kade</t>
  </si>
  <si>
    <t>Karen and Paul Kade</t>
  </si>
  <si>
    <t>13643 Classico Ct</t>
  </si>
  <si>
    <t>34293-2396</t>
  </si>
  <si>
    <t>kade.karen@gmail.com</t>
  </si>
  <si>
    <t>ALQ2206AM027</t>
  </si>
  <si>
    <t>Anhalt</t>
  </si>
  <si>
    <t>Mary Jo J. Anhalt</t>
  </si>
  <si>
    <t>1463 N 450 W</t>
  </si>
  <si>
    <t>Cedar City</t>
  </si>
  <si>
    <t>84721-8613</t>
  </si>
  <si>
    <t>maryjo@anhalt.org</t>
  </si>
  <si>
    <t>ctanhalt@gmail.com</t>
  </si>
  <si>
    <t>ALQ1607FA318</t>
  </si>
  <si>
    <t>ALR190802033</t>
  </si>
  <si>
    <t>Ritter</t>
  </si>
  <si>
    <t>Mrs. L. Ritter</t>
  </si>
  <si>
    <t>Mrs. Ritter</t>
  </si>
  <si>
    <t>PO Box 178</t>
  </si>
  <si>
    <t>53178-0178</t>
  </si>
  <si>
    <t>Skip</t>
  </si>
  <si>
    <t>Skip Clark</t>
  </si>
  <si>
    <t>ADA230001T02:113603</t>
  </si>
  <si>
    <t>Kiolbasa</t>
  </si>
  <si>
    <t>Camille Kiolbasa</t>
  </si>
  <si>
    <t>7 River Heights Drive</t>
  </si>
  <si>
    <t>camillekiolbasa@gmail.com</t>
  </si>
  <si>
    <t>Safarik</t>
  </si>
  <si>
    <t>Cynthia Safarik</t>
  </si>
  <si>
    <t>918 S Ruby Dr</t>
  </si>
  <si>
    <t>Key Largo</t>
  </si>
  <si>
    <t>33037-3890</t>
  </si>
  <si>
    <t>truitt318@gmail.com</t>
  </si>
  <si>
    <t>XNREF3305</t>
  </si>
  <si>
    <t>ALQ2206AM006</t>
  </si>
  <si>
    <t>XA5DBCB1M</t>
  </si>
  <si>
    <t>McClellan</t>
  </si>
  <si>
    <t>Linda McClellan</t>
  </si>
  <si>
    <t>522 29th Avenue Dr NW</t>
  </si>
  <si>
    <t>28601-9095</t>
  </si>
  <si>
    <t>imesfreeman59@gmail.com</t>
  </si>
  <si>
    <t>ALQ2207BA113</t>
  </si>
  <si>
    <t>Reffett</t>
  </si>
  <si>
    <t>John and Nancy Reffett</t>
  </si>
  <si>
    <t>John and Nancy</t>
  </si>
  <si>
    <t>461 Wolcott Ln</t>
  </si>
  <si>
    <t>Batavia</t>
  </si>
  <si>
    <t>60510-2836</t>
  </si>
  <si>
    <t>johnreffett75@gmail.com</t>
  </si>
  <si>
    <t>jreffett1@comcast.net</t>
  </si>
  <si>
    <t>ALR230902EMC</t>
  </si>
  <si>
    <t>ALA070202041</t>
  </si>
  <si>
    <t>McCollum</t>
  </si>
  <si>
    <t>Mr. Roger McCollum</t>
  </si>
  <si>
    <t>259 Pineland Rd NW</t>
  </si>
  <si>
    <t>30342-4018</t>
  </si>
  <si>
    <t>rmccollum@nawilliams.com</t>
  </si>
  <si>
    <t>ALQ2208AB012</t>
  </si>
  <si>
    <t>ALR231005C54</t>
  </si>
  <si>
    <t>Schleigh</t>
  </si>
  <si>
    <t>J. and Barbara Schleigh</t>
  </si>
  <si>
    <t>Schleigh Family</t>
  </si>
  <si>
    <t>49 Cascade Rd</t>
  </si>
  <si>
    <t>West Henrietta</t>
  </si>
  <si>
    <t>14586-9740</t>
  </si>
  <si>
    <t>jrs444@frontiernet.net</t>
  </si>
  <si>
    <t>XNWAC99</t>
  </si>
  <si>
    <t>XRL2Q12</t>
  </si>
  <si>
    <t>Mr. Philip Sheridan</t>
  </si>
  <si>
    <t>112 Millstone St</t>
  </si>
  <si>
    <t>22812-1048</t>
  </si>
  <si>
    <t>sheridann@gmail.com</t>
  </si>
  <si>
    <t>Skinner</t>
  </si>
  <si>
    <t>Carol L Skinner</t>
  </si>
  <si>
    <t>PO Box 276</t>
  </si>
  <si>
    <t>Gothenburg</t>
  </si>
  <si>
    <t>69138-0276</t>
  </si>
  <si>
    <t>clsfritz@gburgfiber.com</t>
  </si>
  <si>
    <t>carol.l.skinner@gmail.com</t>
  </si>
  <si>
    <t>ALR240400ERC</t>
  </si>
  <si>
    <t>Ms. Deborah Nelson</t>
  </si>
  <si>
    <t>495 E Putnam Ave</t>
  </si>
  <si>
    <t>Porterville</t>
  </si>
  <si>
    <t>93257-4063</t>
  </si>
  <si>
    <t>kraft_nelson@hotmail.com</t>
  </si>
  <si>
    <t>XNWKL3509</t>
  </si>
  <si>
    <t>ALR231101EMC</t>
  </si>
  <si>
    <t>Martinson</t>
  </si>
  <si>
    <t>Mr. Dean Martinson</t>
  </si>
  <si>
    <t>1008 N Hillcrest Dr</t>
  </si>
  <si>
    <t>85541-3318</t>
  </si>
  <si>
    <t>martinson.bus47@yahoo.com</t>
  </si>
  <si>
    <t>donnamartinson0@gmail.com</t>
  </si>
  <si>
    <t>Kumudinie</t>
  </si>
  <si>
    <t>Fonseka</t>
  </si>
  <si>
    <t>Kumudinie Fonseka</t>
  </si>
  <si>
    <t>8040 Royal Birkdale Cir</t>
  </si>
  <si>
    <t>34202-2533</t>
  </si>
  <si>
    <t>ALQ1705CL018</t>
  </si>
  <si>
    <t>Winckler</t>
  </si>
  <si>
    <t>Mr. Douglas K. Winckler</t>
  </si>
  <si>
    <t>1791 Ramsgate Dr</t>
  </si>
  <si>
    <t>86305-5003</t>
  </si>
  <si>
    <t>dwinckle@hotmail.com</t>
  </si>
  <si>
    <t>ALQ12040WAPE</t>
  </si>
  <si>
    <t>Binkele</t>
  </si>
  <si>
    <t>Mrs. Theresa and Mr. John Binkele</t>
  </si>
  <si>
    <t>28377 N 127th Ave</t>
  </si>
  <si>
    <t>85383-5389</t>
  </si>
  <si>
    <t>binkele@cox.net</t>
  </si>
  <si>
    <t>johnbinkele@me.com</t>
  </si>
  <si>
    <t>ALQ1601N1WSC</t>
  </si>
  <si>
    <t>Elena M</t>
  </si>
  <si>
    <t>Guerra</t>
  </si>
  <si>
    <t>Elena M Guerra</t>
  </si>
  <si>
    <t>13051 Gran Bay Pkwy Unit 3332</t>
  </si>
  <si>
    <t>32258-6527</t>
  </si>
  <si>
    <t>guerraem09@gmail.com</t>
  </si>
  <si>
    <t>ALQ2212N0WSC</t>
  </si>
  <si>
    <t>L.D.</t>
  </si>
  <si>
    <t>Kroger</t>
  </si>
  <si>
    <t>James L. Kroger</t>
  </si>
  <si>
    <t>Apartment A</t>
  </si>
  <si>
    <t>685 Rankin Mill Lane</t>
  </si>
  <si>
    <t>Booneville</t>
  </si>
  <si>
    <t>65233-2876</t>
  </si>
  <si>
    <t>Rebecca and William Bourne</t>
  </si>
  <si>
    <t>Rebecca and William</t>
  </si>
  <si>
    <t>516 Heatherwood Rd</t>
  </si>
  <si>
    <t>29571-6574</t>
  </si>
  <si>
    <t>rataylor4@gmail.com</t>
  </si>
  <si>
    <t>Jrene</t>
  </si>
  <si>
    <t>Rolli</t>
  </si>
  <si>
    <t>Jrene Rolli</t>
  </si>
  <si>
    <t>Polygonstrasse 25</t>
  </si>
  <si>
    <t>Bern</t>
  </si>
  <si>
    <t>CH</t>
  </si>
  <si>
    <t>say@hellojrene.ch</t>
  </si>
  <si>
    <t>ALQ2212N1WSC</t>
  </si>
  <si>
    <t>Rebecca Burwell</t>
  </si>
  <si>
    <t>5490 S Shore Dr Apt 6N</t>
  </si>
  <si>
    <t>60615-5981</t>
  </si>
  <si>
    <t>rjburwell@sbcglobal.net</t>
  </si>
  <si>
    <t>familyhecht@aol.com</t>
  </si>
  <si>
    <t>XCE9VIL26</t>
  </si>
  <si>
    <t>ALA040501107</t>
  </si>
  <si>
    <t>Mueth</t>
  </si>
  <si>
    <t>Jonathan Mueth</t>
  </si>
  <si>
    <t>4815 Ledgestone Dr</t>
  </si>
  <si>
    <t>Smithton</t>
  </si>
  <si>
    <t>62285-3038</t>
  </si>
  <si>
    <t>jonathan.mueth@gmail.com</t>
  </si>
  <si>
    <t>ajmueth4@gmail.com</t>
  </si>
  <si>
    <t>James Mitchell</t>
  </si>
  <si>
    <t>PO Box 100</t>
  </si>
  <si>
    <t>Slidell</t>
  </si>
  <si>
    <t>76267-0100</t>
  </si>
  <si>
    <t>jmitchell@noaddress.ea</t>
  </si>
  <si>
    <t>npcarenewal3282022@npca.org</t>
  </si>
  <si>
    <t>ALQ1010CD020</t>
  </si>
  <si>
    <t>Nancy Clark</t>
  </si>
  <si>
    <t>1506 Glen Cannon Dr</t>
  </si>
  <si>
    <t>Pisgah Forest</t>
  </si>
  <si>
    <t>28768-8952</t>
  </si>
  <si>
    <t>nancyhclark@bellsouth.net</t>
  </si>
  <si>
    <t>asphyxious@gmail.com</t>
  </si>
  <si>
    <t>Burnett</t>
  </si>
  <si>
    <t>Margaret E. Burnett</t>
  </si>
  <si>
    <t>3900 Beethoven St Apt 302</t>
  </si>
  <si>
    <t>90066-7502</t>
  </si>
  <si>
    <t>meehstarburst@hotmail.com</t>
  </si>
  <si>
    <t>ALQ2212BF017</t>
  </si>
  <si>
    <t>Mrs. Rebekah K. Caruso</t>
  </si>
  <si>
    <t>100 Beech St</t>
  </si>
  <si>
    <t>Black Mountain</t>
  </si>
  <si>
    <t>28711-3052</t>
  </si>
  <si>
    <t>bandbcaruso79@gmail.com</t>
  </si>
  <si>
    <t>bcaruso@bellsouth.net</t>
  </si>
  <si>
    <t>XN1BE1722</t>
  </si>
  <si>
    <t>Mrs. Mary Peterson</t>
  </si>
  <si>
    <t>2711 Soundview Dr W</t>
  </si>
  <si>
    <t>98466-1725</t>
  </si>
  <si>
    <t>missmamattt@gmail.com</t>
  </si>
  <si>
    <t>ALQ0609CC008</t>
  </si>
  <si>
    <t>Mrs. Roger Bergere</t>
  </si>
  <si>
    <t>4834 Wales St</t>
  </si>
  <si>
    <t>33859-8744</t>
  </si>
  <si>
    <t>drivinsouth65@yahoo.com</t>
  </si>
  <si>
    <t>ALQ1307DA321</t>
  </si>
  <si>
    <t>Ditman</t>
  </si>
  <si>
    <t>William F. Ditman</t>
  </si>
  <si>
    <t>105 Knotline Rd</t>
  </si>
  <si>
    <t>28562-8863</t>
  </si>
  <si>
    <t>wditman@gmail.com</t>
  </si>
  <si>
    <t>ALQ2302AH001</t>
  </si>
  <si>
    <t>ALR150101033</t>
  </si>
  <si>
    <t>Gonsalves</t>
  </si>
  <si>
    <t>Mr. Gilbert Gonsalves</t>
  </si>
  <si>
    <t>227 Verrazano Pl</t>
  </si>
  <si>
    <t>27520-7395</t>
  </si>
  <si>
    <t>gilgonsalves3@gmail.com</t>
  </si>
  <si>
    <t>ALQ0209EC022</t>
  </si>
  <si>
    <t>Hoisington</t>
  </si>
  <si>
    <t>Roxanne</t>
  </si>
  <si>
    <t>Mrs. Roxanne A. and Mr. Michael Hoisington</t>
  </si>
  <si>
    <t>Roxanne and Michael</t>
  </si>
  <si>
    <t>116 Branch Ct</t>
  </si>
  <si>
    <t>22655-2923</t>
  </si>
  <si>
    <t>rockitty@comcast.net</t>
  </si>
  <si>
    <t>Robert and Jocelyn Shaffer</t>
  </si>
  <si>
    <t>Robert and Jocelyn</t>
  </si>
  <si>
    <t>3121 Portsmouth Ave</t>
  </si>
  <si>
    <t>45208-1612</t>
  </si>
  <si>
    <t>CDG230001C01</t>
  </si>
  <si>
    <t>Lystra</t>
  </si>
  <si>
    <t>Janet P. Lystra</t>
  </si>
  <si>
    <t>Pliske</t>
  </si>
  <si>
    <t>Janet S. Pliske</t>
  </si>
  <si>
    <t>Van Fleet</t>
  </si>
  <si>
    <t>Christopher Van Fleet</t>
  </si>
  <si>
    <t>Cibik</t>
  </si>
  <si>
    <t>Jeff and Melissa Cibik</t>
  </si>
  <si>
    <t>Jeff and Melissa</t>
  </si>
  <si>
    <t>jmcibik03@gmail.com</t>
  </si>
  <si>
    <t>Ms. Leslie Johnson</t>
  </si>
  <si>
    <t>13 Vineyard Rd</t>
  </si>
  <si>
    <t>Branford</t>
  </si>
  <si>
    <t>06405-6246</t>
  </si>
  <si>
    <t>leslielougee76@gmail.com</t>
  </si>
  <si>
    <t>leslielougee6@gmail.com</t>
  </si>
  <si>
    <t>Stoudt-McRae</t>
  </si>
  <si>
    <t>Prudence Stoudt-McRae</t>
  </si>
  <si>
    <t>5211 35th Ave SW</t>
  </si>
  <si>
    <t>98126-2803</t>
  </si>
  <si>
    <t>prudy4@comcast.net</t>
  </si>
  <si>
    <t>X609</t>
  </si>
  <si>
    <t>Cockerham</t>
  </si>
  <si>
    <t>Charlene Cockerham</t>
  </si>
  <si>
    <t>51 W Arcadia Dr Apt 402</t>
  </si>
  <si>
    <t>19468-2675</t>
  </si>
  <si>
    <t>chicoby5@gmail.com</t>
  </si>
  <si>
    <t>ALQ2305AL005</t>
  </si>
  <si>
    <t>Robert Foster</t>
  </si>
  <si>
    <t>Lois Moss</t>
  </si>
  <si>
    <t>Dorothy L. Swanson</t>
  </si>
  <si>
    <t>Robert J</t>
  </si>
  <si>
    <t>Mr. Robert J J. Krumenaker</t>
  </si>
  <si>
    <t>1847 Lanette Dr</t>
  </si>
  <si>
    <t>88220-4717</t>
  </si>
  <si>
    <t>krumenaker@aya.yale.edu</t>
  </si>
  <si>
    <t>ALR230802EMC</t>
  </si>
  <si>
    <t>Pioch</t>
  </si>
  <si>
    <t>James Pioch</t>
  </si>
  <si>
    <t>27 North Bennett Street</t>
  </si>
  <si>
    <t>Apartment</t>
  </si>
  <si>
    <t>Sofia</t>
  </si>
  <si>
    <t>Sofia Rodriguez</t>
  </si>
  <si>
    <t>4617 E Beverly Lane</t>
  </si>
  <si>
    <t>sof49er@gmail.com</t>
  </si>
  <si>
    <t>Dougall</t>
  </si>
  <si>
    <t>Casey Dougall</t>
  </si>
  <si>
    <t>7535 Quiet Pond Pl</t>
  </si>
  <si>
    <t>80923-5433</t>
  </si>
  <si>
    <t>casey.dougall@gmail.com</t>
  </si>
  <si>
    <t>ALQ1910XDOX</t>
  </si>
  <si>
    <t>K. C.</t>
  </si>
  <si>
    <t>K. C. Boren</t>
  </si>
  <si>
    <t>106 Tropical Dr</t>
  </si>
  <si>
    <t>77904-1145</t>
  </si>
  <si>
    <t>charlieboren@suddenlink.net</t>
  </si>
  <si>
    <t>ALQ1207AA309</t>
  </si>
  <si>
    <t>Terri Stark</t>
  </si>
  <si>
    <t>444 Penn Avenue South</t>
  </si>
  <si>
    <t>Mr. Bobby N. Duck</t>
  </si>
  <si>
    <t>224 Three Point Rd</t>
  </si>
  <si>
    <t>38237-5469</t>
  </si>
  <si>
    <t>bobduck@frontiernet.net</t>
  </si>
  <si>
    <t>beveridgecod95@gmail.com</t>
  </si>
  <si>
    <t>ALQ1611EE028</t>
  </si>
  <si>
    <t>Strehlau</t>
  </si>
  <si>
    <t>Richard and Joann Strehlau</t>
  </si>
  <si>
    <t>Richard and Joann</t>
  </si>
  <si>
    <t>1322 S Wright Blvd</t>
  </si>
  <si>
    <t>99019-9738</t>
  </si>
  <si>
    <t>Di Mattio</t>
  </si>
  <si>
    <t>Terry Di Mattio</t>
  </si>
  <si>
    <t>1044 Miller Ranch Rd</t>
  </si>
  <si>
    <t>83422-5335</t>
  </si>
  <si>
    <t>tnjintv@gmail.com</t>
  </si>
  <si>
    <t>XNHMH3704</t>
  </si>
  <si>
    <t>ALR080903203</t>
  </si>
  <si>
    <t>Zminkowski</t>
  </si>
  <si>
    <t>Kim Zminkowski</t>
  </si>
  <si>
    <t>kzminkowski@cox.net</t>
  </si>
  <si>
    <t>Mcgill</t>
  </si>
  <si>
    <t>Mr. Donald Mcgill</t>
  </si>
  <si>
    <t>930 28th St Apt 264</t>
  </si>
  <si>
    <t>80303-2291</t>
  </si>
  <si>
    <t>themcgills5@gmail.com</t>
  </si>
  <si>
    <t>geminiunltd@msn.com</t>
  </si>
  <si>
    <t>ALQ0712AF008</t>
  </si>
  <si>
    <t>ORGANIZATION</t>
  </si>
  <si>
    <t>Mark Hall</t>
  </si>
  <si>
    <t>6900 Skillman Street</t>
  </si>
  <si>
    <t>406 D</t>
  </si>
  <si>
    <t>Stowell</t>
  </si>
  <si>
    <t>Mary R. Stowell</t>
  </si>
  <si>
    <t>3292 Rivercrest Dr</t>
  </si>
  <si>
    <t>97527-4100</t>
  </si>
  <si>
    <t>eetstowell@gmail.com</t>
  </si>
  <si>
    <t>Steven Ratner</t>
  </si>
  <si>
    <t>22 Trent Lane</t>
  </si>
  <si>
    <t>remarks22@aol.com</t>
  </si>
  <si>
    <t>Litwin</t>
  </si>
  <si>
    <t>Date</t>
  </si>
  <si>
    <t>Kirby Date and Richard Litwin</t>
  </si>
  <si>
    <t>Kirby and Richard</t>
  </si>
  <si>
    <t>21116 Halburton Rd</t>
  </si>
  <si>
    <t>Beachwood</t>
  </si>
  <si>
    <t>44122-3855</t>
  </si>
  <si>
    <t>rglitwin@sbcglobal.net</t>
  </si>
  <si>
    <t>k.miriam.date@gmail.com</t>
  </si>
  <si>
    <t>Mary E</t>
  </si>
  <si>
    <t>Skiles</t>
  </si>
  <si>
    <t>Ms. Mary E E. Skiles</t>
  </si>
  <si>
    <t>40 Flack Valley Rd</t>
  </si>
  <si>
    <t>28787-9511</t>
  </si>
  <si>
    <t>dosgecos5@gmail.com</t>
  </si>
  <si>
    <t>ALQ1012DF021</t>
  </si>
  <si>
    <t>J M</t>
  </si>
  <si>
    <t>Freeman</t>
  </si>
  <si>
    <t>J M M. Freeman</t>
  </si>
  <si>
    <t>14733 Voltaire Dr</t>
  </si>
  <si>
    <t>Frazier Park</t>
  </si>
  <si>
    <t>93225-9525</t>
  </si>
  <si>
    <t>7135pits4u2@gmail.com</t>
  </si>
  <si>
    <t>Charles and Nancy Little</t>
  </si>
  <si>
    <t>Charles and Nancy</t>
  </si>
  <si>
    <t>46 Howe Pl</t>
  </si>
  <si>
    <t>Yonkers</t>
  </si>
  <si>
    <t>10708-2125</t>
  </si>
  <si>
    <t>nlittle96@gmail.com</t>
  </si>
  <si>
    <t>charles.little@metmuseum.org</t>
  </si>
  <si>
    <t>ALQ1403BJ010</t>
  </si>
  <si>
    <t>ALA21040A55H</t>
  </si>
  <si>
    <t>Bartsch</t>
  </si>
  <si>
    <t>David Bartsch</t>
  </si>
  <si>
    <t>13647 W San Miguel Ave</t>
  </si>
  <si>
    <t>Litchfield Park</t>
  </si>
  <si>
    <t>85340-8374</t>
  </si>
  <si>
    <t>dbaz8769@hotmail.com</t>
  </si>
  <si>
    <t>mbartsch1@cox.net</t>
  </si>
  <si>
    <t>McAdam</t>
  </si>
  <si>
    <t>Carol C. McAdam</t>
  </si>
  <si>
    <t>15901 Longmeadow St</t>
  </si>
  <si>
    <t>48120-1031</t>
  </si>
  <si>
    <t>carmac271@aol.com</t>
  </si>
  <si>
    <t>mcadams050906@gmail.com</t>
  </si>
  <si>
    <t>John Francis</t>
  </si>
  <si>
    <t>909 Crittenden St NW</t>
  </si>
  <si>
    <t>jlf202@yahoo.com</t>
  </si>
  <si>
    <t>Schoning</t>
  </si>
  <si>
    <t>Mr. Mark W. Schoning</t>
  </si>
  <si>
    <t>1421 Michael Ct</t>
  </si>
  <si>
    <t>93436-8228</t>
  </si>
  <si>
    <t>mschoning022224fake@noaddress.ea</t>
  </si>
  <si>
    <t>mwschoning0309@npca.org</t>
  </si>
  <si>
    <t>XNCSK6122</t>
  </si>
  <si>
    <t>Barba</t>
  </si>
  <si>
    <t>Katharine Barba</t>
  </si>
  <si>
    <t>775 Alamo Ln</t>
  </si>
  <si>
    <t>92025-7651</t>
  </si>
  <si>
    <t>ALQ2401BG010</t>
  </si>
  <si>
    <t>Sharon Vogt</t>
  </si>
  <si>
    <t>1093 New Galena Road</t>
  </si>
  <si>
    <t>18901-5523</t>
  </si>
  <si>
    <t>maggiev12@comcast.net</t>
  </si>
  <si>
    <t>Hank Smith</t>
  </si>
  <si>
    <t>1800 W Charleston Blvd</t>
  </si>
  <si>
    <t>hgar55@aol.com</t>
  </si>
  <si>
    <t>Marybeth</t>
  </si>
  <si>
    <t>Steven and Marybeth Dyer</t>
  </si>
  <si>
    <t>Steven and Marybeth</t>
  </si>
  <si>
    <t>6410 Valley Oak Plz</t>
  </si>
  <si>
    <t>94553-6122</t>
  </si>
  <si>
    <t>smbdyer@live.com</t>
  </si>
  <si>
    <t>ALZ180002002</t>
  </si>
  <si>
    <t>Caroll</t>
  </si>
  <si>
    <t>Ms. Caroll Campbell</t>
  </si>
  <si>
    <t>710 Reagan Hts Apt 114</t>
  </si>
  <si>
    <t>80921-2587</t>
  </si>
  <si>
    <t>clc2223.cc@gmail.com</t>
  </si>
  <si>
    <t>clc2223@caprock-spur.com</t>
  </si>
  <si>
    <t>ALQ1310CD005</t>
  </si>
  <si>
    <t>ALA2403D1DMC</t>
  </si>
  <si>
    <t>Hunter</t>
  </si>
  <si>
    <t>Brad Hunter</t>
  </si>
  <si>
    <t>1586 Idle Drive</t>
  </si>
  <si>
    <t>bvh041958@gmail.com</t>
  </si>
  <si>
    <t>Blunt</t>
  </si>
  <si>
    <t>Janet Blunt</t>
  </si>
  <si>
    <t>janet.h.blunt@gmail.com</t>
  </si>
  <si>
    <t>Arthur Hawley</t>
  </si>
  <si>
    <t>750 Weaver Dairy Rd</t>
  </si>
  <si>
    <t>Apt.5128</t>
  </si>
  <si>
    <t>arthur.hawley251@gmail.com</t>
  </si>
  <si>
    <t>Carino</t>
  </si>
  <si>
    <t>Susan Carino</t>
  </si>
  <si>
    <t>33891 Mello Way</t>
  </si>
  <si>
    <t>94555-1468</t>
  </si>
  <si>
    <t>secarino@mail.com</t>
  </si>
  <si>
    <t>Janet Daniels</t>
  </si>
  <si>
    <t>114 Maury Way</t>
  </si>
  <si>
    <t>22602-7710</t>
  </si>
  <si>
    <t>natekate80@yahoo.com</t>
  </si>
  <si>
    <t>Mary Shaw</t>
  </si>
  <si>
    <t>74 Wagon Trail</t>
  </si>
  <si>
    <t>bonrsrl@aol.com</t>
  </si>
  <si>
    <t>Brollier</t>
  </si>
  <si>
    <t>Mrs. Catherine Brollier</t>
  </si>
  <si>
    <t>1512 S Chrisway Dr</t>
  </si>
  <si>
    <t>83706-3119</t>
  </si>
  <si>
    <t>boisebolt55@aol.com</t>
  </si>
  <si>
    <t>emmettbrollier@hotmail.com</t>
  </si>
  <si>
    <t>XN2DJ2901</t>
  </si>
  <si>
    <t>ALA24030B25R</t>
  </si>
  <si>
    <t>Margie Barth</t>
  </si>
  <si>
    <t>2813 Sorority Ct</t>
  </si>
  <si>
    <t>Crestview Hills</t>
  </si>
  <si>
    <t>41017-2513</t>
  </si>
  <si>
    <t>p.barth@twc.com</t>
  </si>
  <si>
    <t>Conversion Survey</t>
  </si>
  <si>
    <t>PROSPECTS</t>
  </si>
  <si>
    <t>Magazine Ads</t>
  </si>
  <si>
    <t xml:space="preserve">Newsletter </t>
  </si>
  <si>
    <t>Tax Letter Insert + Conversion Survey</t>
  </si>
  <si>
    <t>MATHER LEGACY SOCIETY</t>
  </si>
  <si>
    <t>MLS Calendar Mailing</t>
  </si>
  <si>
    <t>Thanksgiving Cards</t>
  </si>
  <si>
    <t>Annual Report</t>
  </si>
  <si>
    <t>MLS Survey</t>
  </si>
  <si>
    <t>Centennial Messaging</t>
  </si>
  <si>
    <t>INTENDERS</t>
  </si>
  <si>
    <t>NATIONAL PARKS MAGAZINE</t>
  </si>
  <si>
    <t>CGA &amp; Legacy Gift Ads</t>
  </si>
  <si>
    <t>CGA &amp; Life Insurance Ads</t>
  </si>
  <si>
    <t>EMAIL BLAST</t>
  </si>
  <si>
    <t>Checklist Email</t>
  </si>
  <si>
    <t>TFP NEWSLETTER</t>
  </si>
  <si>
    <t>PG Blurb</t>
  </si>
  <si>
    <t>PG Blurg</t>
  </si>
  <si>
    <t>ANNUITANTS</t>
  </si>
  <si>
    <t>CGA Email</t>
  </si>
  <si>
    <t>Tax Letter Insert</t>
  </si>
  <si>
    <t>Second CGA Mailing</t>
  </si>
  <si>
    <t>DONOR ADVISED FUNDS</t>
  </si>
  <si>
    <t>SOCIAL MEDIA</t>
  </si>
  <si>
    <t>BLOG POSTS</t>
  </si>
  <si>
    <t>ONLINE ADVERTISING</t>
  </si>
  <si>
    <t>FY 2020</t>
  </si>
  <si>
    <t> </t>
  </si>
  <si>
    <t>Survey Drop 2</t>
  </si>
  <si>
    <t>Survey Drop 3</t>
  </si>
  <si>
    <t>Tax Letter Insert &amp; Magazine Ads</t>
  </si>
  <si>
    <t>Survey Drop 4</t>
  </si>
  <si>
    <t>FY20 Survey Drop 1</t>
  </si>
  <si>
    <t>TFP Newsletter</t>
  </si>
  <si>
    <t>MLS Calendar</t>
  </si>
  <si>
    <t>Thanksgiving Cards + TFP Newsletter</t>
  </si>
  <si>
    <t>National Make a Will Month</t>
  </si>
  <si>
    <t>Planning for Pets</t>
  </si>
  <si>
    <t>CGA Letter</t>
  </si>
  <si>
    <t>DAF Mailing</t>
  </si>
  <si>
    <t>DAF Email</t>
  </si>
  <si>
    <t>End of Year Giving</t>
  </si>
  <si>
    <t>How to Talk to Family Guide</t>
  </si>
  <si>
    <t>FY 2021</t>
  </si>
  <si>
    <t>Survey Drop 1</t>
  </si>
  <si>
    <t>FY20 Survey Drop 4</t>
  </si>
  <si>
    <t>New MLS Survey</t>
  </si>
  <si>
    <t>Gifts of Real Estate Email</t>
  </si>
  <si>
    <t>National Make a Will Month Email  +  Survey Drop 1 Email</t>
  </si>
  <si>
    <t>Survey Drop 2 Email</t>
  </si>
  <si>
    <t>IRA Distribution Email</t>
  </si>
  <si>
    <t>DAF Email + Survey Drop 3 Email</t>
  </si>
  <si>
    <t>Planning Quiz + Survey Drop 4 Email</t>
  </si>
  <si>
    <t>Planning for Pets Email</t>
  </si>
  <si>
    <t>Talk to Your Family About Philanthropy Email</t>
  </si>
  <si>
    <t>CGA Prospect Letter</t>
  </si>
  <si>
    <t>CGA Remarketing Letter</t>
  </si>
  <si>
    <t>Newsletter</t>
  </si>
  <si>
    <t>Thanksgiving Cards + Newsletter</t>
  </si>
  <si>
    <t>New Years Card</t>
  </si>
  <si>
    <t>Planning Quiz</t>
  </si>
  <si>
    <t>INT 65</t>
  </si>
  <si>
    <t>CON 65</t>
  </si>
  <si>
    <t>MLS 65</t>
  </si>
  <si>
    <t>PG SCORE</t>
  </si>
  <si>
    <t>RAW SCORE</t>
  </si>
  <si>
    <t>ALL</t>
  </si>
  <si>
    <t>NONE</t>
  </si>
  <si>
    <t>AA</t>
  </si>
  <si>
    <t>Bequests</t>
  </si>
  <si>
    <t>Gift Annuities</t>
  </si>
  <si>
    <t>Mailing/Shipping Services</t>
  </si>
  <si>
    <t>FY Budget</t>
  </si>
  <si>
    <t>Proposed</t>
  </si>
  <si>
    <t>YTD Budget</t>
  </si>
  <si>
    <t>Annuities</t>
  </si>
  <si>
    <t>Temporary Staff</t>
  </si>
  <si>
    <t>Travel &amp; Meals (Out of Town)</t>
  </si>
  <si>
    <t>Meals &amp; Entertainment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</si>
</sst>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8" formatCode="&quot;$&quot;#,##0.00_);[Red]\(&quot;$&quot;#,##0.00\)"/>
    <numFmt numFmtId="44" formatCode="_(&quot;$&quot;* #,##0.00_);_(&quot;$&quot;* \(#,##0.00\);_(&quot;$&quot;* &quot;-&quot;??_);_(@_)"/>
    <numFmt numFmtId="43" formatCode="_(* #,##0.00_);_(* \(#,##0.00\);_(* &quot;-&quot;??_);_(@_)"/>
    <numFmt numFmtId="164" formatCode="mm/dd/yy"/>
    <numFmt numFmtId="165" formatCode="_([$$-409]* #,##0.00_);_([$$-409]* \(#,##0.00\);_([$$-409]* &quot;-&quot;??_);_(@_)"/>
    <numFmt numFmtId="166" formatCode="&quot;$&quot;#,##0.00"/>
    <numFmt numFmtId="167" formatCode="\(###\)\ ###\-####"/>
    <numFmt numFmtId="168" formatCode="_(* #,##0_);_(* \(#,##0\);_(* &quot;-&quot;??_);_(@_)"/>
    <numFmt numFmtId="169" formatCode="m/d/yyyy;@"/>
  </numFmts>
  <fonts count="55">
    <font>
      <sz val="11"/>
      <color theme="1"/>
      <name val="Calibri"/>
      <family val="2"/>
      <scheme val="minor"/>
    </font>
    <font>
      <b/>
      <sz val="11"/>
      <color theme="1"/>
      <name val="Calibri"/>
      <family val="2"/>
      <scheme val="minor"/>
    </font>
    <font>
      <sz val="11"/>
      <color theme="1"/>
      <name val="Calibri"/>
      <family val="2"/>
      <scheme val="minor"/>
    </font>
    <font>
      <b/>
      <sz val="10"/>
      <name val="Calibri"/>
      <family val="2"/>
      <scheme val="minor"/>
    </font>
    <font>
      <sz val="10"/>
      <color theme="1"/>
      <name val="Calibri"/>
      <family val="2"/>
      <scheme val="minor"/>
    </font>
    <font>
      <sz val="10"/>
      <name val="Calibri"/>
      <family val="2"/>
      <scheme val="minor"/>
    </font>
    <font>
      <sz val="10"/>
      <color rgb="FF000000"/>
      <name val="Calibri"/>
      <family val="2"/>
      <scheme val="minor"/>
    </font>
    <font>
      <b/>
      <sz val="10"/>
      <color theme="1"/>
      <name val="Calibri"/>
      <family val="2"/>
      <scheme val="minor"/>
    </font>
    <font>
      <b/>
      <i/>
      <sz val="10"/>
      <color rgb="FFFFFFFF"/>
      <name val="Calibri"/>
      <family val="2"/>
      <scheme val="minor"/>
    </font>
    <font>
      <b/>
      <i/>
      <sz val="10"/>
      <color theme="0"/>
      <name val="Calibri"/>
      <family val="2"/>
      <scheme val="minor"/>
    </font>
    <font>
      <b/>
      <sz val="11"/>
      <color rgb="FF000000"/>
      <name val="Calibri"/>
      <family val="2"/>
    </font>
    <font>
      <sz val="10"/>
      <color theme="1"/>
      <name val="Arial"/>
      <family val="2"/>
    </font>
    <font>
      <sz val="11"/>
      <color rgb="FF000000"/>
      <name val="Calibri"/>
      <family val="2"/>
    </font>
    <font>
      <i/>
      <sz val="10"/>
      <color theme="1"/>
      <name val="Calibri"/>
      <family val="2"/>
      <scheme val="minor"/>
    </font>
    <font>
      <u/>
      <sz val="11"/>
      <color theme="10"/>
      <name val="Calibri"/>
      <family val="2"/>
      <scheme val="minor"/>
    </font>
    <font>
      <sz val="9"/>
      <color indexed="81"/>
      <name val="Tahoma"/>
      <family val="2"/>
    </font>
    <font>
      <b/>
      <sz val="9"/>
      <color indexed="81"/>
      <name val="Tahoma"/>
      <family val="2"/>
    </font>
    <font>
      <b/>
      <sz val="11"/>
      <color theme="0"/>
      <name val="Calibri"/>
      <family val="2"/>
      <scheme val="minor"/>
    </font>
    <font>
      <b/>
      <sz val="11"/>
      <color theme="0"/>
      <name val="Calibri"/>
      <family val="2"/>
    </font>
    <font>
      <b/>
      <sz val="10"/>
      <color theme="0"/>
      <name val="Arial"/>
      <family val="2"/>
    </font>
    <font>
      <sz val="11"/>
      <color theme="1"/>
      <name val="Calibri"/>
      <family val="2"/>
    </font>
    <font>
      <sz val="11"/>
      <color rgb="FFFF0000"/>
      <name val="Calibri"/>
      <family val="2"/>
      <scheme val="minor"/>
    </font>
    <font>
      <i/>
      <sz val="11"/>
      <color theme="1"/>
      <name val="Calibri"/>
      <family val="2"/>
      <scheme val="minor"/>
    </font>
    <font>
      <sz val="11"/>
      <name val="Calibri"/>
      <family val="2"/>
      <scheme val="minor"/>
    </font>
    <font>
      <b/>
      <i/>
      <sz val="11"/>
      <color theme="1"/>
      <name val="Calibri"/>
      <family val="2"/>
      <scheme val="minor"/>
    </font>
    <font>
      <b/>
      <i/>
      <sz val="10"/>
      <color theme="1"/>
      <name val="Calibri"/>
      <family val="2"/>
      <scheme val="minor"/>
    </font>
    <font>
      <b/>
      <sz val="11"/>
      <name val="Calibri"/>
      <family val="2"/>
      <scheme val="minor"/>
    </font>
    <font>
      <sz val="10"/>
      <color rgb="FFFFFFFF"/>
      <name val="Calibri"/>
      <family val="2"/>
      <scheme val="minor"/>
    </font>
    <font>
      <b/>
      <sz val="10"/>
      <color rgb="FFFF0000"/>
      <name val="Calibri"/>
      <family val="2"/>
      <scheme val="minor"/>
    </font>
    <font>
      <b/>
      <sz val="11"/>
      <color rgb="FFFFFFFF"/>
      <name val="Calibri"/>
      <family val="2"/>
      <scheme val="minor"/>
    </font>
    <font>
      <sz val="10"/>
      <color theme="1"/>
      <name val="Calibri"/>
      <family val="2"/>
    </font>
    <font>
      <sz val="10"/>
      <name val="Calibri"/>
      <family val="2"/>
    </font>
    <font>
      <sz val="9"/>
      <color rgb="FF000000"/>
      <name val="Open Sans"/>
      <family val="2"/>
      <charset val="1"/>
    </font>
    <font>
      <u/>
      <sz val="10"/>
      <color theme="10"/>
      <name val="Calibri"/>
      <family val="2"/>
      <scheme val="minor"/>
    </font>
    <font>
      <sz val="10"/>
      <color rgb="FFFF0000"/>
      <name val="Calibri"/>
      <family val="2"/>
      <scheme val="minor"/>
    </font>
    <font>
      <sz val="10"/>
      <color rgb="FF000000"/>
      <name val="Calibri"/>
      <family val="2"/>
    </font>
    <font>
      <sz val="8"/>
      <color theme="1"/>
      <name val="Calibri"/>
      <family val="2"/>
      <scheme val="minor"/>
    </font>
    <font>
      <sz val="8"/>
      <name val="Calibri"/>
      <family val="2"/>
      <scheme val="minor"/>
    </font>
    <font>
      <sz val="9"/>
      <color rgb="FF000000"/>
      <name val="Arial"/>
      <family val="2"/>
      <charset val="1"/>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i/>
      <sz val="11"/>
      <color rgb="FF7F7F7F"/>
      <name val="Calibri"/>
      <family val="2"/>
      <scheme val="minor"/>
    </font>
    <font>
      <sz val="11"/>
      <color theme="0"/>
      <name val="Calibri"/>
      <family val="2"/>
      <scheme val="minor"/>
    </font>
    <font>
      <sz val="10"/>
      <color rgb="FF323130"/>
      <name val="Calibri"/>
      <family val="2"/>
    </font>
    <font>
      <sz val="10.5"/>
      <name val="Calibri"/>
      <family val="2"/>
      <scheme val="minor"/>
    </font>
    <font>
      <sz val="11"/>
      <color rgb="FF242424"/>
      <name val="Calibri"/>
      <family val="2"/>
      <charset val="1"/>
    </font>
  </fonts>
  <fills count="62">
    <fill>
      <patternFill patternType="none"/>
    </fill>
    <fill>
      <patternFill patternType="gray125"/>
    </fill>
    <fill>
      <patternFill patternType="solid">
        <fgColor rgb="FFEDEDED"/>
        <bgColor indexed="64"/>
      </patternFill>
    </fill>
    <fill>
      <patternFill patternType="solid">
        <fgColor rgb="FFFFFF00"/>
        <bgColor indexed="64"/>
      </patternFill>
    </fill>
    <fill>
      <patternFill patternType="solid">
        <fgColor rgb="FFBDD7EE"/>
        <bgColor indexed="64"/>
      </patternFill>
    </fill>
    <fill>
      <patternFill patternType="solid">
        <fgColor rgb="FFA6A6A6"/>
        <bgColor indexed="64"/>
      </patternFill>
    </fill>
    <fill>
      <patternFill patternType="solid">
        <fgColor theme="8" tint="0.59999389629810485"/>
        <bgColor indexed="64"/>
      </patternFill>
    </fill>
    <fill>
      <patternFill patternType="solid">
        <fgColor theme="8" tint="-0.249977111117893"/>
        <bgColor indexed="64"/>
      </patternFill>
    </fill>
    <fill>
      <patternFill patternType="solid">
        <fgColor theme="8" tint="0.79998168889431442"/>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rgb="FFD9D9D9"/>
        <bgColor indexed="64"/>
      </patternFill>
    </fill>
    <fill>
      <patternFill patternType="solid">
        <fgColor rgb="FFFFF2CC"/>
        <bgColor indexed="64"/>
      </patternFill>
    </fill>
    <fill>
      <patternFill patternType="solid">
        <fgColor rgb="FFF2F2F2"/>
        <bgColor indexed="64"/>
      </patternFill>
    </fill>
    <fill>
      <patternFill patternType="solid">
        <fgColor rgb="FFE2EFDA"/>
        <bgColor indexed="64"/>
      </patternFill>
    </fill>
    <fill>
      <patternFill patternType="solid">
        <fgColor theme="8" tint="0.39997558519241921"/>
        <bgColor indexed="64"/>
      </patternFill>
    </fill>
    <fill>
      <patternFill patternType="solid">
        <fgColor theme="0" tint="-4.9989318521683403E-2"/>
        <bgColor indexed="64"/>
      </patternFill>
    </fill>
    <fill>
      <patternFill patternType="solid">
        <fgColor rgb="FF000000"/>
        <bgColor indexed="64"/>
      </patternFill>
    </fill>
    <fill>
      <patternFill patternType="solid">
        <fgColor theme="0"/>
        <bgColor indexed="64"/>
      </patternFill>
    </fill>
    <fill>
      <patternFill patternType="solid">
        <fgColor theme="9" tint="0.39997558519241921"/>
        <bgColor indexed="64"/>
      </patternFill>
    </fill>
    <fill>
      <patternFill patternType="solid">
        <fgColor rgb="FFFFFFFF"/>
        <bgColor indexed="64"/>
      </patternFill>
    </fill>
    <fill>
      <patternFill patternType="solid">
        <fgColor theme="8"/>
        <bgColor indexed="64"/>
      </patternFill>
    </fill>
    <fill>
      <patternFill patternType="solid">
        <fgColor theme="4"/>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rgb="FFAEAAAA"/>
        <bgColor indexed="64"/>
      </patternFill>
    </fill>
    <fill>
      <patternFill patternType="solid">
        <fgColor rgb="FF2F75B5"/>
        <bgColor indexed="64"/>
      </patternFill>
    </fill>
    <fill>
      <patternFill patternType="solid">
        <fgColor theme="6"/>
        <bgColor indexed="64"/>
      </patternFill>
    </fill>
    <fill>
      <patternFill patternType="solid">
        <fgColor theme="7"/>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34998626667073579"/>
        <bgColor indexed="64"/>
      </patternFill>
    </fill>
  </fills>
  <borders count="90">
    <border>
      <left/>
      <right/>
      <top/>
      <bottom/>
      <diagonal/>
    </border>
    <border>
      <left/>
      <right/>
      <top/>
      <bottom style="medium">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thin">
        <color indexed="64"/>
      </left>
      <right/>
      <top style="medium">
        <color indexed="64"/>
      </top>
      <bottom style="medium">
        <color indexed="64"/>
      </bottom>
      <diagonal/>
    </border>
    <border>
      <left/>
      <right/>
      <top style="medium">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top style="medium">
        <color indexed="64"/>
      </top>
      <bottom/>
      <diagonal/>
    </border>
    <border>
      <left/>
      <right style="thin">
        <color indexed="64"/>
      </right>
      <top style="medium">
        <color indexed="64"/>
      </top>
      <bottom style="medium">
        <color indexed="64"/>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style="dotted">
        <color theme="0" tint="-0.249977111117893"/>
      </left>
      <right style="dotted">
        <color theme="0" tint="-0.249977111117893"/>
      </right>
      <top style="dotted">
        <color theme="0" tint="-0.249977111117893"/>
      </top>
      <bottom style="dotted">
        <color theme="0" tint="-0.249977111117893"/>
      </bottom>
      <diagonal/>
    </border>
    <border>
      <left/>
      <right/>
      <top style="dotted">
        <color theme="0" tint="-0.249977111117893"/>
      </top>
      <bottom style="dotted">
        <color theme="0" tint="-0.249977111117893"/>
      </bottom>
      <diagonal/>
    </border>
    <border>
      <left style="dotted">
        <color theme="0" tint="-0.249977111117893"/>
      </left>
      <right style="dotted">
        <color theme="0" tint="-0.249977111117893"/>
      </right>
      <top/>
      <bottom/>
      <diagonal/>
    </border>
    <border>
      <left style="dotted">
        <color theme="0" tint="-0.249977111117893"/>
      </left>
      <right style="dotted">
        <color theme="0" tint="-0.249977111117893"/>
      </right>
      <top/>
      <bottom style="dotted">
        <color theme="0" tint="-0.249977111117893"/>
      </bottom>
      <diagonal/>
    </border>
    <border>
      <left/>
      <right/>
      <top/>
      <bottom style="dotted">
        <color theme="0" tint="-0.249977111117893"/>
      </bottom>
      <diagonal/>
    </border>
    <border>
      <left style="dotted">
        <color theme="0" tint="-0.249977111117893"/>
      </left>
      <right style="thin">
        <color indexed="64"/>
      </right>
      <top style="dotted">
        <color theme="0" tint="-0.249977111117893"/>
      </top>
      <bottom style="dotted">
        <color theme="0" tint="-0.249977111117893"/>
      </bottom>
      <diagonal/>
    </border>
    <border>
      <left style="dotted">
        <color theme="0" tint="-0.249977111117893"/>
      </left>
      <right style="thin">
        <color indexed="64"/>
      </right>
      <top/>
      <bottom/>
      <diagonal/>
    </border>
    <border>
      <left style="dotted">
        <color theme="0" tint="-0.249977111117893"/>
      </left>
      <right style="thin">
        <color indexed="64"/>
      </right>
      <top/>
      <bottom style="dotted">
        <color theme="0" tint="-0.249977111117893"/>
      </bottom>
      <diagonal/>
    </border>
    <border>
      <left style="dotted">
        <color theme="0" tint="-0.249977111117893"/>
      </left>
      <right style="dotted">
        <color theme="0" tint="-0.249977111117893"/>
      </right>
      <top/>
      <bottom style="thin">
        <color indexed="64"/>
      </bottom>
      <diagonal/>
    </border>
    <border>
      <left style="dotted">
        <color theme="0" tint="-0.249977111117893"/>
      </left>
      <right style="thin">
        <color indexed="64"/>
      </right>
      <top style="dotted">
        <color theme="0" tint="-0.249977111117893"/>
      </top>
      <bottom style="thin">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indexed="64"/>
      </left>
      <right/>
      <top style="medium">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medium">
        <color indexed="64"/>
      </bottom>
      <diagonal/>
    </border>
    <border>
      <left/>
      <right style="thin">
        <color rgb="FF000000"/>
      </right>
      <top/>
      <bottom/>
      <diagonal/>
    </border>
    <border>
      <left/>
      <right style="thick">
        <color rgb="FF000000"/>
      </right>
      <top/>
      <bottom/>
      <diagonal/>
    </border>
    <border>
      <left/>
      <right style="medium">
        <color rgb="FF000000"/>
      </right>
      <top/>
      <bottom/>
      <diagonal/>
    </border>
    <border>
      <left/>
      <right style="thick">
        <color rgb="FF000000"/>
      </right>
      <top/>
      <bottom style="medium">
        <color indexed="64"/>
      </bottom>
      <diagonal/>
    </border>
    <border>
      <left/>
      <right style="medium">
        <color rgb="FF000000"/>
      </right>
      <top/>
      <bottom style="medium">
        <color indexed="64"/>
      </bottom>
      <diagonal/>
    </border>
    <border>
      <left style="thin">
        <color rgb="FF000000"/>
      </left>
      <right style="thin">
        <color rgb="FF000000"/>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style="medium">
        <color indexed="64"/>
      </left>
      <right/>
      <top style="medium">
        <color indexed="64"/>
      </top>
      <bottom style="medium">
        <color indexed="64"/>
      </bottom>
      <diagonal/>
    </border>
    <border>
      <left style="thin">
        <color rgb="FF000000"/>
      </left>
      <right style="thin">
        <color indexed="64"/>
      </right>
      <top/>
      <bottom/>
      <diagonal/>
    </border>
    <border>
      <left style="thin">
        <color indexed="64"/>
      </left>
      <right style="thin">
        <color indexed="64"/>
      </right>
      <top style="thin">
        <color indexed="64"/>
      </top>
      <bottom/>
      <diagonal/>
    </border>
    <border>
      <left style="thin">
        <color rgb="FF000000"/>
      </left>
      <right/>
      <top/>
      <bottom/>
      <diagonal/>
    </border>
    <border>
      <left/>
      <right style="thin">
        <color indexed="64"/>
      </right>
      <top/>
      <bottom style="thin">
        <color rgb="FF000000"/>
      </bottom>
      <diagonal/>
    </border>
    <border>
      <left style="thin">
        <color indexed="64"/>
      </left>
      <right style="thin">
        <color indexed="64"/>
      </right>
      <top/>
      <bottom style="thin">
        <color rgb="FF000000"/>
      </bottom>
      <diagonal/>
    </border>
    <border>
      <left style="dotted">
        <color indexed="64"/>
      </left>
      <right/>
      <top style="dotted">
        <color indexed="64"/>
      </top>
      <bottom style="dotted">
        <color indexed="64"/>
      </bottom>
      <diagonal/>
    </border>
    <border>
      <left/>
      <right/>
      <top style="dotted">
        <color indexed="64"/>
      </top>
      <bottom style="dotted">
        <color indexed="64"/>
      </bottom>
      <diagonal/>
    </border>
    <border>
      <left style="dotted">
        <color indexed="64"/>
      </left>
      <right/>
      <top/>
      <bottom style="dotted">
        <color indexed="64"/>
      </bottom>
      <diagonal/>
    </border>
    <border>
      <left/>
      <right/>
      <top/>
      <bottom style="dotted">
        <color indexed="64"/>
      </bottom>
      <diagonal/>
    </border>
    <border>
      <left/>
      <right style="thin">
        <color indexed="64"/>
      </right>
      <top style="medium">
        <color indexed="64"/>
      </top>
      <bottom style="dotted">
        <color indexed="64"/>
      </bottom>
      <diagonal/>
    </border>
    <border>
      <left/>
      <right style="thin">
        <color indexed="64"/>
      </right>
      <top style="dotted">
        <color indexed="64"/>
      </top>
      <bottom style="dotted">
        <color indexed="64"/>
      </bottom>
      <diagonal/>
    </border>
    <border>
      <left style="thin">
        <color indexed="64"/>
      </left>
      <right style="thin">
        <color rgb="FF000000"/>
      </right>
      <top/>
      <bottom/>
      <diagonal/>
    </border>
    <border>
      <left style="thin">
        <color indexed="64"/>
      </left>
      <right style="thin">
        <color rgb="FF000000"/>
      </right>
      <top style="medium">
        <color indexed="64"/>
      </top>
      <bottom/>
      <diagonal/>
    </border>
    <border>
      <left style="thin">
        <color indexed="64"/>
      </left>
      <right style="thin">
        <color rgb="FF000000"/>
      </right>
      <top/>
      <bottom style="thin">
        <color indexed="64"/>
      </bottom>
      <diagonal/>
    </border>
    <border>
      <left style="dotted">
        <color indexed="64"/>
      </left>
      <right/>
      <top style="dotted">
        <color indexed="64"/>
      </top>
      <bottom style="thin">
        <color indexed="64"/>
      </bottom>
      <diagonal/>
    </border>
    <border>
      <left/>
      <right/>
      <top style="dotted">
        <color indexed="64"/>
      </top>
      <bottom style="thin">
        <color indexed="64"/>
      </bottom>
      <diagonal/>
    </border>
    <border>
      <left/>
      <right style="thin">
        <color indexed="64"/>
      </right>
      <top style="dotted">
        <color indexed="64"/>
      </top>
      <bottom style="thin">
        <color indexed="64"/>
      </bottom>
      <diagonal/>
    </border>
    <border>
      <left style="dotted">
        <color theme="0" tint="-0.249977111117893"/>
      </left>
      <right style="dotted">
        <color theme="0" tint="-0.249977111117893"/>
      </right>
      <top/>
      <bottom style="dotted">
        <color rgb="FFD0CECE"/>
      </bottom>
      <diagonal/>
    </border>
    <border>
      <left/>
      <right/>
      <top/>
      <bottom style="dotted">
        <color rgb="FFD0CECE"/>
      </bottom>
      <diagonal/>
    </border>
    <border>
      <left style="thin">
        <color rgb="FF000000"/>
      </left>
      <right/>
      <top/>
      <bottom style="medium">
        <color indexed="64"/>
      </bottom>
      <diagonal/>
    </border>
    <border>
      <left style="thin">
        <color rgb="FF000000"/>
      </left>
      <right/>
      <top/>
      <bottom style="thin">
        <color indexed="64"/>
      </bottom>
      <diagonal/>
    </border>
    <border>
      <left style="thin">
        <color rgb="FF000000"/>
      </left>
      <right style="thin">
        <color rgb="FF000000"/>
      </right>
      <top style="thin">
        <color indexed="64"/>
      </top>
      <bottom/>
      <diagonal/>
    </border>
    <border>
      <left style="thin">
        <color indexed="64"/>
      </left>
      <right/>
      <top style="thin">
        <color rgb="FF000000"/>
      </top>
      <bottom/>
      <diagonal/>
    </border>
    <border>
      <left style="thin">
        <color rgb="FF000000"/>
      </left>
      <right/>
      <top style="thin">
        <color indexed="64"/>
      </top>
      <bottom/>
      <diagonal/>
    </border>
    <border>
      <left style="thin">
        <color rgb="FFDDDDDD"/>
      </left>
      <right style="thin">
        <color rgb="FFEBEBEB"/>
      </right>
      <top style="thin">
        <color rgb="FFDDDDDD"/>
      </top>
      <bottom style="thin">
        <color rgb="FFDDDDDD"/>
      </bottom>
      <diagonal/>
    </border>
    <border>
      <left/>
      <right style="thin">
        <color rgb="FF000000"/>
      </right>
      <top/>
      <bottom style="thin">
        <color indexed="64"/>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6">
    <xf numFmtId="0" fontId="0" fillId="0" borderId="0"/>
    <xf numFmtId="43" fontId="2" fillId="0" borderId="0" applyFont="0" applyFill="0" applyBorder="0" applyAlignment="0" applyProtection="0"/>
    <xf numFmtId="44" fontId="2" fillId="0" borderId="0" applyFont="0" applyFill="0" applyBorder="0" applyAlignment="0" applyProtection="0"/>
    <xf numFmtId="0" fontId="14" fillId="0" borderId="0" applyNumberFormat="0" applyFill="0" applyBorder="0" applyAlignment="0" applyProtection="0"/>
    <xf numFmtId="9" fontId="2" fillId="0" borderId="0" applyFont="0" applyFill="0" applyBorder="0" applyAlignment="0" applyProtection="0"/>
    <xf numFmtId="0" fontId="39" fillId="0" borderId="0" applyNumberFormat="0" applyFill="0" applyBorder="0" applyAlignment="0" applyProtection="0"/>
    <xf numFmtId="0" fontId="40" fillId="0" borderId="81" applyNumberFormat="0" applyFill="0" applyAlignment="0" applyProtection="0"/>
    <xf numFmtId="0" fontId="41" fillId="0" borderId="82" applyNumberFormat="0" applyFill="0" applyAlignment="0" applyProtection="0"/>
    <xf numFmtId="0" fontId="42" fillId="0" borderId="83" applyNumberFormat="0" applyFill="0" applyAlignment="0" applyProtection="0"/>
    <xf numFmtId="0" fontId="42" fillId="0" borderId="0" applyNumberFormat="0" applyFill="0" applyBorder="0" applyAlignment="0" applyProtection="0"/>
    <xf numFmtId="0" fontId="43" fillId="30" borderId="0" applyNumberFormat="0" applyBorder="0" applyAlignment="0" applyProtection="0"/>
    <xf numFmtId="0" fontId="44" fillId="31" borderId="0" applyNumberFormat="0" applyBorder="0" applyAlignment="0" applyProtection="0"/>
    <xf numFmtId="0" fontId="45" fillId="32" borderId="0" applyNumberFormat="0" applyBorder="0" applyAlignment="0" applyProtection="0"/>
    <xf numFmtId="0" fontId="46" fillId="33" borderId="84" applyNumberFormat="0" applyAlignment="0" applyProtection="0"/>
    <xf numFmtId="0" fontId="47" fillId="34" borderId="85" applyNumberFormat="0" applyAlignment="0" applyProtection="0"/>
    <xf numFmtId="0" fontId="48" fillId="34" borderId="84" applyNumberFormat="0" applyAlignment="0" applyProtection="0"/>
    <xf numFmtId="0" fontId="49" fillId="0" borderId="86" applyNumberFormat="0" applyFill="0" applyAlignment="0" applyProtection="0"/>
    <xf numFmtId="0" fontId="17" fillId="35" borderId="87" applyNumberFormat="0" applyAlignment="0" applyProtection="0"/>
    <xf numFmtId="0" fontId="21" fillId="0" borderId="0" applyNumberFormat="0" applyFill="0" applyBorder="0" applyAlignment="0" applyProtection="0"/>
    <xf numFmtId="0" fontId="2" fillId="36" borderId="88" applyNumberFormat="0" applyFont="0" applyAlignment="0" applyProtection="0"/>
    <xf numFmtId="0" fontId="50" fillId="0" borderId="0" applyNumberFormat="0" applyFill="0" applyBorder="0" applyAlignment="0" applyProtection="0"/>
    <xf numFmtId="0" fontId="1" fillId="0" borderId="89" applyNumberFormat="0" applyFill="0" applyAlignment="0" applyProtection="0"/>
    <xf numFmtId="0" fontId="51" fillId="37" borderId="0" applyNumberFormat="0" applyBorder="0" applyAlignment="0" applyProtection="0"/>
    <xf numFmtId="0" fontId="2"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51" fillId="41" borderId="0" applyNumberFormat="0" applyBorder="0" applyAlignment="0" applyProtection="0"/>
    <xf numFmtId="0" fontId="2"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51" fillId="45" borderId="0" applyNumberFormat="0" applyBorder="0" applyAlignment="0" applyProtection="0"/>
    <xf numFmtId="0" fontId="2"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51"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2" fillId="52" borderId="0" applyNumberFormat="0" applyBorder="0" applyAlignment="0" applyProtection="0"/>
    <xf numFmtId="0" fontId="51" fillId="53" borderId="0" applyNumberFormat="0" applyBorder="0" applyAlignment="0" applyProtection="0"/>
    <xf numFmtId="0" fontId="2" fillId="54" borderId="0" applyNumberFormat="0" applyBorder="0" applyAlignment="0" applyProtection="0"/>
    <xf numFmtId="0" fontId="2" fillId="55" borderId="0" applyNumberFormat="0" applyBorder="0" applyAlignment="0" applyProtection="0"/>
    <xf numFmtId="0" fontId="2" fillId="56" borderId="0" applyNumberFormat="0" applyBorder="0" applyAlignment="0" applyProtection="0"/>
    <xf numFmtId="0" fontId="51" fillId="57" borderId="0" applyNumberFormat="0" applyBorder="0" applyAlignment="0" applyProtection="0"/>
    <xf numFmtId="0" fontId="2" fillId="58"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cellStyleXfs>
  <cellXfs count="1038">
    <xf numFmtId="0" fontId="0" fillId="0" borderId="0" xfId="0"/>
    <xf numFmtId="0" fontId="0" fillId="0" borderId="1" xfId="0" applyBorder="1"/>
    <xf numFmtId="0" fontId="4" fillId="0" borderId="5" xfId="0" applyFont="1" applyBorder="1" applyAlignment="1">
      <alignment horizontal="center" vertical="center"/>
    </xf>
    <xf numFmtId="0" fontId="5" fillId="0" borderId="9" xfId="0" applyFont="1" applyBorder="1" applyAlignment="1">
      <alignment horizontal="center" vertical="center"/>
    </xf>
    <xf numFmtId="1" fontId="5" fillId="0" borderId="9" xfId="0" applyNumberFormat="1" applyFont="1" applyBorder="1" applyAlignment="1">
      <alignment horizontal="center" vertical="center"/>
    </xf>
    <xf numFmtId="14" fontId="5" fillId="0" borderId="9" xfId="0" applyNumberFormat="1" applyFont="1" applyBorder="1" applyAlignment="1">
      <alignment horizontal="right" vertical="center"/>
    </xf>
    <xf numFmtId="14" fontId="5" fillId="0" borderId="9" xfId="0" applyNumberFormat="1" applyFont="1" applyBorder="1" applyAlignment="1">
      <alignment horizontal="center" vertical="center"/>
    </xf>
    <xf numFmtId="14" fontId="5" fillId="0" borderId="9" xfId="1" applyNumberFormat="1" applyFont="1" applyBorder="1" applyAlignment="1">
      <alignment horizontal="right" vertical="center"/>
    </xf>
    <xf numFmtId="0" fontId="4" fillId="0" borderId="9" xfId="0" applyFont="1" applyBorder="1" applyAlignment="1">
      <alignment horizontal="center" vertical="center"/>
    </xf>
    <xf numFmtId="14" fontId="4" fillId="0" borderId="9" xfId="0" applyNumberFormat="1" applyFont="1" applyBorder="1" applyAlignment="1">
      <alignment horizontal="right" vertical="center"/>
    </xf>
    <xf numFmtId="1" fontId="4" fillId="0" borderId="9" xfId="0" applyNumberFormat="1" applyFont="1" applyBorder="1" applyAlignment="1">
      <alignment horizontal="center" vertical="center"/>
    </xf>
    <xf numFmtId="49" fontId="5" fillId="0" borderId="9" xfId="0" applyNumberFormat="1" applyFont="1" applyBorder="1" applyAlignment="1">
      <alignment horizontal="center" vertical="center"/>
    </xf>
    <xf numFmtId="164" fontId="5" fillId="0" borderId="9" xfId="0" applyNumberFormat="1" applyFont="1" applyBorder="1" applyAlignment="1">
      <alignment horizontal="center" vertical="center"/>
    </xf>
    <xf numFmtId="44" fontId="4" fillId="0" borderId="9" xfId="0" applyNumberFormat="1" applyFont="1" applyBorder="1" applyAlignment="1">
      <alignment vertical="center"/>
    </xf>
    <xf numFmtId="49" fontId="4" fillId="0" borderId="9" xfId="2" applyNumberFormat="1" applyFont="1" applyBorder="1" applyAlignment="1">
      <alignment horizontal="center" vertical="center"/>
    </xf>
    <xf numFmtId="1" fontId="4" fillId="0" borderId="9" xfId="2" applyNumberFormat="1" applyFont="1" applyBorder="1" applyAlignment="1">
      <alignment horizontal="center" vertical="center"/>
    </xf>
    <xf numFmtId="165" fontId="4" fillId="0" borderId="9" xfId="2" applyNumberFormat="1" applyFont="1" applyBorder="1" applyAlignment="1">
      <alignment horizontal="center" vertical="center"/>
    </xf>
    <xf numFmtId="14" fontId="4" fillId="0" borderId="9" xfId="2" applyNumberFormat="1" applyFont="1" applyBorder="1" applyAlignment="1">
      <alignment horizontal="right" vertical="center"/>
    </xf>
    <xf numFmtId="165" fontId="4" fillId="0" borderId="9" xfId="2" applyNumberFormat="1" applyFont="1" applyBorder="1" applyAlignment="1">
      <alignment horizontal="right" vertical="center"/>
    </xf>
    <xf numFmtId="49" fontId="4" fillId="0" borderId="9" xfId="2" applyNumberFormat="1" applyFont="1" applyBorder="1" applyAlignment="1">
      <alignment horizontal="right" vertical="center"/>
    </xf>
    <xf numFmtId="0" fontId="4" fillId="0" borderId="5" xfId="0" applyFont="1" applyBorder="1" applyAlignment="1">
      <alignment vertical="center"/>
    </xf>
    <xf numFmtId="0" fontId="4" fillId="0" borderId="9" xfId="0" applyFont="1" applyBorder="1" applyAlignment="1">
      <alignment vertical="center"/>
    </xf>
    <xf numFmtId="0" fontId="4" fillId="0" borderId="0" xfId="0" applyFont="1" applyAlignment="1">
      <alignment vertical="center"/>
    </xf>
    <xf numFmtId="14" fontId="4" fillId="0" borderId="0" xfId="0" applyNumberFormat="1" applyFont="1" applyAlignment="1">
      <alignment vertical="center"/>
    </xf>
    <xf numFmtId="0" fontId="4" fillId="2" borderId="5" xfId="0" applyFont="1" applyFill="1" applyBorder="1" applyAlignment="1">
      <alignment vertical="center"/>
    </xf>
    <xf numFmtId="0" fontId="4" fillId="2" borderId="9" xfId="0" applyFont="1" applyFill="1" applyBorder="1" applyAlignment="1">
      <alignment vertical="center"/>
    </xf>
    <xf numFmtId="0" fontId="4" fillId="2" borderId="0" xfId="0" applyFont="1" applyFill="1" applyAlignment="1">
      <alignment vertical="center"/>
    </xf>
    <xf numFmtId="14" fontId="4" fillId="0" borderId="5" xfId="0" applyNumberFormat="1" applyFont="1" applyBorder="1" applyAlignment="1">
      <alignment vertical="center"/>
    </xf>
    <xf numFmtId="0" fontId="4" fillId="0" borderId="3" xfId="0" applyFont="1" applyBorder="1" applyAlignment="1">
      <alignment vertical="center"/>
    </xf>
    <xf numFmtId="0" fontId="0" fillId="0" borderId="5" xfId="0" applyBorder="1" applyAlignment="1">
      <alignment horizontal="center" vertical="center"/>
    </xf>
    <xf numFmtId="0" fontId="7" fillId="6" borderId="1" xfId="0" applyFont="1" applyFill="1" applyBorder="1" applyAlignment="1">
      <alignment vertical="center"/>
    </xf>
    <xf numFmtId="0" fontId="7" fillId="6" borderId="1" xfId="0" applyFont="1" applyFill="1" applyBorder="1" applyAlignment="1">
      <alignment horizontal="center" vertical="center"/>
    </xf>
    <xf numFmtId="0" fontId="4" fillId="7" borderId="0" xfId="0" applyFont="1" applyFill="1" applyAlignment="1">
      <alignment vertical="center"/>
    </xf>
    <xf numFmtId="0" fontId="4" fillId="6" borderId="1" xfId="0" applyFont="1" applyFill="1" applyBorder="1"/>
    <xf numFmtId="0" fontId="4" fillId="0" borderId="0" xfId="0" applyFont="1"/>
    <xf numFmtId="0" fontId="7" fillId="4" borderId="12" xfId="0" applyFont="1" applyFill="1" applyBorder="1"/>
    <xf numFmtId="8" fontId="4" fillId="0" borderId="11" xfId="0" applyNumberFormat="1" applyFont="1" applyBorder="1"/>
    <xf numFmtId="0" fontId="7" fillId="4" borderId="11" xfId="0" applyFont="1" applyFill="1" applyBorder="1"/>
    <xf numFmtId="8" fontId="4" fillId="0" borderId="8" xfId="0" applyNumberFormat="1" applyFont="1" applyBorder="1"/>
    <xf numFmtId="0" fontId="7" fillId="5" borderId="12" xfId="0" applyFont="1" applyFill="1" applyBorder="1"/>
    <xf numFmtId="0" fontId="4" fillId="0" borderId="11" xfId="0" applyFont="1" applyBorder="1"/>
    <xf numFmtId="0" fontId="7" fillId="5" borderId="11" xfId="0" applyFont="1" applyFill="1" applyBorder="1"/>
    <xf numFmtId="44" fontId="7" fillId="6" borderId="1" xfId="2" applyFont="1" applyFill="1" applyBorder="1" applyAlignment="1">
      <alignment horizontal="center" vertical="center"/>
    </xf>
    <xf numFmtId="10" fontId="7" fillId="6" borderId="1" xfId="0" applyNumberFormat="1" applyFont="1" applyFill="1" applyBorder="1" applyAlignment="1">
      <alignment horizontal="center" vertical="center"/>
    </xf>
    <xf numFmtId="0" fontId="7" fillId="6" borderId="12" xfId="0" applyFont="1" applyFill="1" applyBorder="1" applyAlignment="1">
      <alignment vertical="center"/>
    </xf>
    <xf numFmtId="44" fontId="4" fillId="0" borderId="0" xfId="2" applyFont="1" applyAlignment="1">
      <alignment vertical="center"/>
    </xf>
    <xf numFmtId="10" fontId="4" fillId="0" borderId="0" xfId="0" applyNumberFormat="1" applyFont="1" applyAlignment="1">
      <alignment vertical="center"/>
    </xf>
    <xf numFmtId="0" fontId="7" fillId="6" borderId="14" xfId="0" applyFont="1" applyFill="1" applyBorder="1" applyAlignment="1">
      <alignment vertical="center"/>
    </xf>
    <xf numFmtId="0" fontId="4" fillId="0" borderId="0" xfId="0" applyFont="1" applyAlignment="1">
      <alignment horizontal="center" vertical="center"/>
    </xf>
    <xf numFmtId="0" fontId="7" fillId="10" borderId="0" xfId="0" applyFont="1" applyFill="1" applyAlignment="1">
      <alignment vertical="center"/>
    </xf>
    <xf numFmtId="44" fontId="7" fillId="10" borderId="0" xfId="2" applyFont="1" applyFill="1" applyAlignment="1">
      <alignment vertical="center"/>
    </xf>
    <xf numFmtId="0" fontId="7" fillId="9" borderId="0" xfId="0" applyFont="1" applyFill="1" applyAlignment="1">
      <alignment vertical="center"/>
    </xf>
    <xf numFmtId="44" fontId="7" fillId="9" borderId="0" xfId="2" applyFont="1" applyFill="1" applyAlignment="1">
      <alignment vertical="center"/>
    </xf>
    <xf numFmtId="44" fontId="4" fillId="0" borderId="3" xfId="2" applyFont="1" applyBorder="1" applyAlignment="1">
      <alignment vertical="center"/>
    </xf>
    <xf numFmtId="0" fontId="7" fillId="10" borderId="5" xfId="0" applyFont="1" applyFill="1" applyBorder="1" applyAlignment="1">
      <alignment horizontal="left" vertical="center"/>
    </xf>
    <xf numFmtId="0" fontId="7" fillId="9" borderId="5" xfId="0" applyFont="1" applyFill="1" applyBorder="1" applyAlignment="1">
      <alignment horizontal="left" vertical="center"/>
    </xf>
    <xf numFmtId="0" fontId="4" fillId="0" borderId="6" xfId="0" applyFont="1" applyBorder="1" applyAlignment="1">
      <alignment horizontal="center" vertical="center"/>
    </xf>
    <xf numFmtId="44" fontId="7" fillId="10" borderId="9" xfId="2" applyFont="1" applyFill="1" applyBorder="1" applyAlignment="1">
      <alignment vertical="center"/>
    </xf>
    <xf numFmtId="44" fontId="4" fillId="0" borderId="9" xfId="2" applyFont="1" applyBorder="1" applyAlignment="1">
      <alignment vertical="center"/>
    </xf>
    <xf numFmtId="44" fontId="7" fillId="9" borderId="9" xfId="2" applyFont="1" applyFill="1" applyBorder="1" applyAlignment="1">
      <alignment vertical="center"/>
    </xf>
    <xf numFmtId="44" fontId="4" fillId="0" borderId="10" xfId="2" applyFont="1" applyBorder="1" applyAlignment="1">
      <alignment vertical="center"/>
    </xf>
    <xf numFmtId="10" fontId="7" fillId="10" borderId="9" xfId="0" applyNumberFormat="1" applyFont="1" applyFill="1" applyBorder="1" applyAlignment="1">
      <alignment vertical="center"/>
    </xf>
    <xf numFmtId="10" fontId="4" fillId="0" borderId="9" xfId="0" applyNumberFormat="1" applyFont="1" applyBorder="1" applyAlignment="1">
      <alignment vertical="center"/>
    </xf>
    <xf numFmtId="10" fontId="7" fillId="9" borderId="9" xfId="0" applyNumberFormat="1" applyFont="1" applyFill="1" applyBorder="1" applyAlignment="1">
      <alignment vertical="center"/>
    </xf>
    <xf numFmtId="10" fontId="4" fillId="0" borderId="10" xfId="0" applyNumberFormat="1" applyFont="1" applyBorder="1" applyAlignment="1">
      <alignment vertical="center"/>
    </xf>
    <xf numFmtId="0" fontId="9" fillId="7" borderId="15" xfId="0" applyFont="1" applyFill="1" applyBorder="1" applyAlignment="1">
      <alignment horizontal="left" vertical="center"/>
    </xf>
    <xf numFmtId="0" fontId="9" fillId="7" borderId="16" xfId="0" applyFont="1" applyFill="1" applyBorder="1" applyAlignment="1">
      <alignment vertical="center"/>
    </xf>
    <xf numFmtId="44" fontId="9" fillId="7" borderId="16" xfId="2" applyFont="1" applyFill="1" applyBorder="1" applyAlignment="1">
      <alignment vertical="center"/>
    </xf>
    <xf numFmtId="10" fontId="9" fillId="7" borderId="16" xfId="0" applyNumberFormat="1" applyFont="1" applyFill="1" applyBorder="1" applyAlignment="1">
      <alignment vertical="center"/>
    </xf>
    <xf numFmtId="0" fontId="9" fillId="7" borderId="17" xfId="0" applyFont="1" applyFill="1" applyBorder="1" applyAlignment="1">
      <alignment horizontal="left" vertical="center"/>
    </xf>
    <xf numFmtId="0" fontId="9" fillId="7" borderId="18" xfId="0" applyFont="1" applyFill="1" applyBorder="1" applyAlignment="1">
      <alignment vertical="center"/>
    </xf>
    <xf numFmtId="44" fontId="9" fillId="7" borderId="18" xfId="2" applyFont="1" applyFill="1" applyBorder="1" applyAlignment="1">
      <alignment vertical="center"/>
    </xf>
    <xf numFmtId="10" fontId="9" fillId="7" borderId="18" xfId="0" applyNumberFormat="1" applyFont="1" applyFill="1" applyBorder="1" applyAlignment="1">
      <alignment vertical="center"/>
    </xf>
    <xf numFmtId="44" fontId="4" fillId="0" borderId="14" xfId="0" applyNumberFormat="1" applyFont="1" applyBorder="1" applyAlignment="1">
      <alignment vertical="center"/>
    </xf>
    <xf numFmtId="44" fontId="4" fillId="0" borderId="11" xfId="0" applyNumberFormat="1" applyFont="1" applyBorder="1"/>
    <xf numFmtId="44" fontId="4" fillId="0" borderId="11" xfId="2" applyFont="1" applyBorder="1"/>
    <xf numFmtId="1" fontId="4" fillId="0" borderId="13" xfId="0" applyNumberFormat="1" applyFont="1" applyBorder="1"/>
    <xf numFmtId="8" fontId="4" fillId="0" borderId="0" xfId="0" applyNumberFormat="1" applyFont="1"/>
    <xf numFmtId="44" fontId="4" fillId="0" borderId="13" xfId="2" applyFont="1" applyBorder="1"/>
    <xf numFmtId="44" fontId="4" fillId="0" borderId="8" xfId="0" applyNumberFormat="1" applyFont="1" applyBorder="1" applyAlignment="1">
      <alignment vertical="center"/>
    </xf>
    <xf numFmtId="8" fontId="4" fillId="0" borderId="9" xfId="2" applyNumberFormat="1" applyFont="1" applyBorder="1" applyAlignment="1">
      <alignment vertical="center"/>
    </xf>
    <xf numFmtId="8" fontId="7" fillId="10" borderId="9" xfId="2" applyNumberFormat="1" applyFont="1" applyFill="1" applyBorder="1" applyAlignment="1">
      <alignment vertical="center"/>
    </xf>
    <xf numFmtId="0" fontId="4" fillId="7" borderId="1" xfId="0" applyFont="1" applyFill="1" applyBorder="1" applyAlignment="1">
      <alignment horizontal="center" vertical="center"/>
    </xf>
    <xf numFmtId="0" fontId="4" fillId="7" borderId="19" xfId="0" applyFont="1" applyFill="1" applyBorder="1" applyAlignment="1">
      <alignment vertical="center"/>
    </xf>
    <xf numFmtId="0" fontId="4" fillId="7" borderId="16" xfId="0" applyFont="1" applyFill="1" applyBorder="1" applyAlignment="1">
      <alignment horizontal="center" vertical="center"/>
    </xf>
    <xf numFmtId="0" fontId="4" fillId="0" borderId="3" xfId="0" applyFont="1" applyBorder="1" applyAlignment="1">
      <alignment horizontal="center" vertical="center"/>
    </xf>
    <xf numFmtId="0" fontId="4" fillId="7" borderId="20" xfId="0" applyFont="1" applyFill="1" applyBorder="1" applyAlignment="1">
      <alignment horizontal="center" vertical="center"/>
    </xf>
    <xf numFmtId="0" fontId="4" fillId="0" borderId="2" xfId="0" applyFont="1" applyBorder="1" applyAlignment="1">
      <alignment horizontal="center" vertical="center"/>
    </xf>
    <xf numFmtId="0" fontId="4" fillId="7" borderId="7" xfId="0" applyFont="1" applyFill="1" applyBorder="1" applyAlignment="1">
      <alignment horizontal="center" vertical="center"/>
    </xf>
    <xf numFmtId="0" fontId="4" fillId="0" borderId="4" xfId="0" applyFont="1" applyBorder="1" applyAlignment="1">
      <alignment horizontal="center" vertical="center"/>
    </xf>
    <xf numFmtId="0" fontId="4" fillId="0" borderId="10" xfId="0" applyFont="1" applyBorder="1" applyAlignment="1">
      <alignment horizontal="center" vertical="center"/>
    </xf>
    <xf numFmtId="0" fontId="4" fillId="9" borderId="21" xfId="0" applyFont="1" applyFill="1" applyBorder="1" applyAlignment="1">
      <alignment horizontal="center" vertical="center"/>
    </xf>
    <xf numFmtId="0" fontId="4" fillId="9" borderId="0" xfId="0" applyFont="1" applyFill="1" applyAlignment="1">
      <alignment horizontal="center" vertical="center"/>
    </xf>
    <xf numFmtId="0" fontId="4" fillId="9" borderId="22" xfId="0" applyFont="1" applyFill="1" applyBorder="1" applyAlignment="1">
      <alignment horizontal="center" vertical="center"/>
    </xf>
    <xf numFmtId="0" fontId="4" fillId="9" borderId="2" xfId="0" applyFont="1" applyFill="1" applyBorder="1" applyAlignment="1">
      <alignment horizontal="center" vertical="center"/>
    </xf>
    <xf numFmtId="0" fontId="4" fillId="7" borderId="9" xfId="0" applyFont="1" applyFill="1" applyBorder="1" applyAlignment="1">
      <alignment vertical="center"/>
    </xf>
    <xf numFmtId="0" fontId="4" fillId="7" borderId="10" xfId="0" applyFont="1" applyFill="1" applyBorder="1" applyAlignment="1">
      <alignment vertical="center"/>
    </xf>
    <xf numFmtId="0" fontId="8" fillId="7" borderId="1" xfId="0" applyFont="1" applyFill="1" applyBorder="1" applyAlignment="1">
      <alignment vertical="center"/>
    </xf>
    <xf numFmtId="0" fontId="4" fillId="7" borderId="1" xfId="0" applyFont="1" applyFill="1" applyBorder="1" applyAlignment="1">
      <alignment vertical="center"/>
    </xf>
    <xf numFmtId="44" fontId="4" fillId="7" borderId="1" xfId="2" applyFont="1" applyFill="1" applyBorder="1" applyAlignment="1">
      <alignment vertical="center"/>
    </xf>
    <xf numFmtId="0" fontId="8" fillId="7" borderId="23" xfId="0" applyFont="1" applyFill="1" applyBorder="1" applyAlignment="1">
      <alignment vertical="center"/>
    </xf>
    <xf numFmtId="0" fontId="10" fillId="11" borderId="0" xfId="0" applyFont="1" applyFill="1" applyAlignment="1">
      <alignment horizontal="center" wrapText="1"/>
    </xf>
    <xf numFmtId="0" fontId="10" fillId="12" borderId="0" xfId="0" applyFont="1" applyFill="1" applyAlignment="1">
      <alignment horizontal="center" wrapText="1"/>
    </xf>
    <xf numFmtId="0" fontId="11" fillId="0" borderId="0" xfId="0" applyFont="1" applyAlignment="1">
      <alignment wrapText="1"/>
    </xf>
    <xf numFmtId="0" fontId="10" fillId="13" borderId="0" xfId="0" applyFont="1" applyFill="1" applyAlignment="1">
      <alignment horizontal="center" wrapText="1"/>
    </xf>
    <xf numFmtId="0" fontId="12" fillId="11" borderId="0" xfId="0" applyFont="1" applyFill="1" applyAlignment="1">
      <alignment horizontal="center" wrapText="1"/>
    </xf>
    <xf numFmtId="0" fontId="12" fillId="12" borderId="0" xfId="0" applyFont="1" applyFill="1" applyAlignment="1">
      <alignment horizontal="center" wrapText="1"/>
    </xf>
    <xf numFmtId="0" fontId="12" fillId="13" borderId="0" xfId="0" applyFont="1" applyFill="1" applyAlignment="1">
      <alignment horizontal="center" wrapText="1"/>
    </xf>
    <xf numFmtId="0" fontId="10" fillId="0" borderId="0" xfId="0" applyFont="1" applyAlignment="1">
      <alignment horizontal="center" wrapText="1"/>
    </xf>
    <xf numFmtId="0" fontId="0" fillId="0" borderId="0" xfId="0" applyAlignment="1">
      <alignment horizontal="center"/>
    </xf>
    <xf numFmtId="0" fontId="10" fillId="0" borderId="1" xfId="0" applyFont="1" applyBorder="1" applyAlignment="1">
      <alignment horizontal="center" wrapText="1"/>
    </xf>
    <xf numFmtId="0" fontId="10" fillId="13" borderId="1" xfId="0" applyFont="1" applyFill="1" applyBorder="1" applyAlignment="1">
      <alignment horizontal="center" wrapText="1"/>
    </xf>
    <xf numFmtId="0" fontId="10" fillId="11" borderId="1" xfId="0" applyFont="1" applyFill="1" applyBorder="1" applyAlignment="1">
      <alignment horizontal="center" wrapText="1"/>
    </xf>
    <xf numFmtId="0" fontId="10" fillId="12" borderId="1" xfId="0" applyFont="1" applyFill="1" applyBorder="1" applyAlignment="1">
      <alignment horizontal="center" wrapText="1"/>
    </xf>
    <xf numFmtId="0" fontId="11" fillId="0" borderId="1" xfId="0" applyFont="1" applyBorder="1" applyAlignment="1">
      <alignment wrapText="1"/>
    </xf>
    <xf numFmtId="0" fontId="10" fillId="14" borderId="1" xfId="0" applyFont="1" applyFill="1" applyBorder="1" applyAlignment="1">
      <alignment horizontal="center" wrapText="1"/>
    </xf>
    <xf numFmtId="0" fontId="10" fillId="4" borderId="1" xfId="0" applyFont="1" applyFill="1" applyBorder="1" applyAlignment="1">
      <alignment horizontal="center" wrapText="1"/>
    </xf>
    <xf numFmtId="0" fontId="4" fillId="0" borderId="1" xfId="0" applyFont="1" applyBorder="1" applyAlignment="1">
      <alignment horizontal="center"/>
    </xf>
    <xf numFmtId="0" fontId="7" fillId="0" borderId="1" xfId="0" applyFont="1" applyBorder="1" applyAlignment="1">
      <alignment horizontal="center"/>
    </xf>
    <xf numFmtId="0" fontId="13" fillId="0" borderId="0" xfId="0" applyFont="1" applyAlignment="1">
      <alignment vertical="center"/>
    </xf>
    <xf numFmtId="0" fontId="4" fillId="8" borderId="0" xfId="0" applyFont="1" applyFill="1" applyAlignment="1">
      <alignment horizontal="center" vertical="center"/>
    </xf>
    <xf numFmtId="0" fontId="13" fillId="0" borderId="5" xfId="0" applyFont="1" applyBorder="1" applyAlignment="1">
      <alignment horizontal="center" vertical="center"/>
    </xf>
    <xf numFmtId="0" fontId="13" fillId="15" borderId="3" xfId="0" applyFont="1" applyFill="1" applyBorder="1" applyAlignment="1">
      <alignment vertical="center"/>
    </xf>
    <xf numFmtId="14" fontId="4" fillId="15" borderId="4" xfId="0" applyNumberFormat="1" applyFont="1" applyFill="1" applyBorder="1" applyAlignment="1">
      <alignment vertical="center"/>
    </xf>
    <xf numFmtId="0" fontId="7" fillId="0" borderId="1" xfId="0" applyFont="1" applyBorder="1"/>
    <xf numFmtId="8" fontId="4" fillId="8" borderId="3" xfId="0" applyNumberFormat="1" applyFont="1" applyFill="1" applyBorder="1" applyAlignment="1">
      <alignment horizontal="center" vertical="center"/>
    </xf>
    <xf numFmtId="0" fontId="13" fillId="0" borderId="3" xfId="0" applyFont="1" applyBorder="1" applyAlignment="1">
      <alignment vertical="center"/>
    </xf>
    <xf numFmtId="0" fontId="4" fillId="8" borderId="3" xfId="0" applyFont="1" applyFill="1" applyBorder="1" applyAlignment="1">
      <alignment horizontal="center" vertical="center"/>
    </xf>
    <xf numFmtId="0" fontId="13" fillId="0" borderId="6" xfId="0" applyFont="1" applyBorder="1" applyAlignment="1">
      <alignment horizontal="center" vertical="center"/>
    </xf>
    <xf numFmtId="0" fontId="0" fillId="0" borderId="5" xfId="0" applyBorder="1"/>
    <xf numFmtId="0" fontId="0" fillId="0" borderId="9" xfId="0" applyBorder="1"/>
    <xf numFmtId="44" fontId="4" fillId="0" borderId="9" xfId="0" applyNumberFormat="1" applyFont="1" applyBorder="1" applyAlignment="1">
      <alignment horizontal="center" vertical="center"/>
    </xf>
    <xf numFmtId="14" fontId="5" fillId="0" borderId="9" xfId="0" applyNumberFormat="1" applyFont="1" applyBorder="1" applyAlignment="1">
      <alignment vertical="center"/>
    </xf>
    <xf numFmtId="14" fontId="4" fillId="0" borderId="9" xfId="0" applyNumberFormat="1" applyFont="1" applyBorder="1" applyAlignment="1">
      <alignment vertical="center"/>
    </xf>
    <xf numFmtId="49" fontId="5" fillId="0" borderId="9" xfId="0" applyNumberFormat="1" applyFont="1" applyBorder="1" applyAlignment="1">
      <alignment horizontal="right" vertical="center"/>
    </xf>
    <xf numFmtId="14" fontId="4" fillId="0" borderId="9" xfId="0" applyNumberFormat="1" applyFont="1" applyBorder="1" applyAlignment="1">
      <alignment horizontal="center" vertical="center"/>
    </xf>
    <xf numFmtId="14" fontId="4" fillId="0" borderId="9" xfId="2" applyNumberFormat="1" applyFont="1" applyBorder="1" applyAlignment="1">
      <alignment vertical="center"/>
    </xf>
    <xf numFmtId="44" fontId="5" fillId="0" borderId="9" xfId="0" applyNumberFormat="1" applyFont="1" applyBorder="1" applyAlignment="1">
      <alignment horizontal="center" vertical="center"/>
    </xf>
    <xf numFmtId="44" fontId="5" fillId="0" borderId="9" xfId="0" applyNumberFormat="1" applyFont="1" applyBorder="1" applyAlignment="1">
      <alignment vertical="center"/>
    </xf>
    <xf numFmtId="44" fontId="4" fillId="0" borderId="9" xfId="0" applyNumberFormat="1" applyFont="1" applyBorder="1" applyAlignment="1" applyProtection="1">
      <alignment horizontal="right" vertical="center"/>
      <protection locked="0"/>
    </xf>
    <xf numFmtId="44" fontId="5" fillId="0" borderId="9" xfId="0" applyNumberFormat="1" applyFont="1" applyBorder="1" applyAlignment="1">
      <alignment horizontal="right" vertical="center"/>
    </xf>
    <xf numFmtId="44" fontId="4" fillId="0" borderId="9" xfId="0" applyNumberFormat="1" applyFont="1" applyBorder="1" applyAlignment="1">
      <alignment horizontal="right" vertical="center"/>
    </xf>
    <xf numFmtId="0" fontId="5" fillId="0" borderId="9" xfId="0" applyFont="1" applyBorder="1" applyAlignment="1">
      <alignment horizontal="left" vertical="center"/>
    </xf>
    <xf numFmtId="0" fontId="4" fillId="0" borderId="9" xfId="0" applyFont="1" applyBorder="1" applyAlignment="1">
      <alignment horizontal="left" vertical="center"/>
    </xf>
    <xf numFmtId="0" fontId="4" fillId="0" borderId="9" xfId="0" applyFont="1" applyBorder="1" applyAlignment="1" applyProtection="1">
      <alignment horizontal="left" vertical="center"/>
      <protection locked="0"/>
    </xf>
    <xf numFmtId="49" fontId="5" fillId="0" borderId="9" xfId="0" applyNumberFormat="1" applyFont="1" applyBorder="1" applyAlignment="1">
      <alignment horizontal="left" vertical="center"/>
    </xf>
    <xf numFmtId="165" fontId="4" fillId="0" borderId="9" xfId="2" applyNumberFormat="1" applyFont="1" applyBorder="1" applyAlignment="1">
      <alignment horizontal="left" vertical="center"/>
    </xf>
    <xf numFmtId="165" fontId="4" fillId="0" borderId="9" xfId="0" applyNumberFormat="1" applyFont="1" applyBorder="1" applyAlignment="1">
      <alignment horizontal="left" vertical="center"/>
    </xf>
    <xf numFmtId="165" fontId="5" fillId="0" borderId="9" xfId="1" applyNumberFormat="1" applyFont="1" applyBorder="1" applyAlignment="1">
      <alignment horizontal="left" vertical="center"/>
    </xf>
    <xf numFmtId="44" fontId="4" fillId="8" borderId="0" xfId="2" applyFont="1" applyFill="1" applyAlignment="1">
      <alignment horizontal="center" vertical="center"/>
    </xf>
    <xf numFmtId="0" fontId="4" fillId="15" borderId="1" xfId="0" applyFont="1" applyFill="1" applyBorder="1"/>
    <xf numFmtId="0" fontId="0" fillId="15" borderId="1" xfId="0" applyFill="1" applyBorder="1"/>
    <xf numFmtId="49" fontId="3" fillId="15" borderId="1" xfId="0" applyNumberFormat="1" applyFont="1" applyFill="1" applyBorder="1" applyAlignment="1">
      <alignment horizontal="center" vertical="center"/>
    </xf>
    <xf numFmtId="165" fontId="3" fillId="15" borderId="1" xfId="0" applyNumberFormat="1" applyFont="1" applyFill="1" applyBorder="1" applyAlignment="1">
      <alignment horizontal="center" vertical="center"/>
    </xf>
    <xf numFmtId="1" fontId="3" fillId="15" borderId="1" xfId="0" applyNumberFormat="1" applyFont="1" applyFill="1" applyBorder="1" applyAlignment="1">
      <alignment horizontal="center" vertical="center"/>
    </xf>
    <xf numFmtId="44" fontId="3" fillId="15" borderId="1" xfId="0" applyNumberFormat="1" applyFont="1" applyFill="1" applyBorder="1" applyAlignment="1">
      <alignment horizontal="center" vertical="center"/>
    </xf>
    <xf numFmtId="14" fontId="3" fillId="15" borderId="1" xfId="0" applyNumberFormat="1" applyFont="1" applyFill="1" applyBorder="1" applyAlignment="1">
      <alignment horizontal="center" vertical="center"/>
    </xf>
    <xf numFmtId="164" fontId="3" fillId="15" borderId="1" xfId="0" applyNumberFormat="1" applyFont="1" applyFill="1" applyBorder="1" applyAlignment="1">
      <alignment horizontal="center" vertical="center"/>
    </xf>
    <xf numFmtId="44" fontId="4" fillId="2" borderId="0" xfId="2" applyFont="1" applyFill="1" applyAlignment="1">
      <alignment vertical="center"/>
    </xf>
    <xf numFmtId="44" fontId="4" fillId="2" borderId="9" xfId="2" applyFont="1" applyFill="1" applyBorder="1" applyAlignment="1">
      <alignment vertical="center"/>
    </xf>
    <xf numFmtId="8" fontId="4" fillId="0" borderId="14" xfId="0" applyNumberFormat="1" applyFont="1" applyBorder="1" applyAlignment="1">
      <alignment vertical="center"/>
    </xf>
    <xf numFmtId="8" fontId="7" fillId="10" borderId="22" xfId="2" applyNumberFormat="1" applyFont="1" applyFill="1" applyBorder="1" applyAlignment="1">
      <alignment vertical="center"/>
    </xf>
    <xf numFmtId="44" fontId="7" fillId="9" borderId="22" xfId="2" applyFont="1" applyFill="1" applyBorder="1" applyAlignment="1">
      <alignment vertical="center"/>
    </xf>
    <xf numFmtId="0" fontId="4" fillId="8" borderId="19" xfId="0" applyFont="1" applyFill="1" applyBorder="1" applyAlignment="1">
      <alignment horizontal="center" vertical="center"/>
    </xf>
    <xf numFmtId="0" fontId="0" fillId="15" borderId="1" xfId="0" applyFill="1" applyBorder="1" applyAlignment="1">
      <alignment horizontal="center" vertical="center"/>
    </xf>
    <xf numFmtId="14" fontId="0" fillId="0" borderId="9" xfId="0" applyNumberFormat="1" applyBorder="1"/>
    <xf numFmtId="8" fontId="4" fillId="0" borderId="0" xfId="0" applyNumberFormat="1" applyFont="1" applyAlignment="1">
      <alignment horizontal="center" vertical="center"/>
    </xf>
    <xf numFmtId="0" fontId="13" fillId="0" borderId="0" xfId="0" applyFont="1" applyAlignment="1">
      <alignment horizontal="left" vertical="center"/>
    </xf>
    <xf numFmtId="166" fontId="4" fillId="8" borderId="0" xfId="2" applyNumberFormat="1" applyFont="1" applyFill="1" applyAlignment="1">
      <alignment horizontal="center" vertical="center"/>
    </xf>
    <xf numFmtId="0" fontId="0" fillId="0" borderId="24" xfId="0" applyBorder="1" applyAlignment="1">
      <alignment horizontal="center" vertical="center" wrapText="1"/>
    </xf>
    <xf numFmtId="0" fontId="0" fillId="0" borderId="25" xfId="0" applyBorder="1" applyAlignment="1">
      <alignment horizontal="center" vertical="center" wrapText="1"/>
    </xf>
    <xf numFmtId="0" fontId="0" fillId="0" borderId="26" xfId="0" applyBorder="1" applyAlignment="1">
      <alignment horizontal="center" vertical="center" wrapText="1"/>
    </xf>
    <xf numFmtId="0" fontId="0" fillId="0" borderId="0" xfId="0" applyAlignment="1">
      <alignment horizontal="center" vertical="center" wrapText="1"/>
    </xf>
    <xf numFmtId="0" fontId="0" fillId="0" borderId="27" xfId="0" applyBorder="1" applyAlignment="1">
      <alignment horizontal="center" vertical="center" wrapText="1"/>
    </xf>
    <xf numFmtId="0" fontId="0" fillId="0" borderId="28" xfId="0" applyBorder="1" applyAlignment="1">
      <alignment horizontal="center" vertical="center" wrapText="1"/>
    </xf>
    <xf numFmtId="0" fontId="1" fillId="16" borderId="5" xfId="0" applyFont="1" applyFill="1" applyBorder="1" applyAlignment="1">
      <alignment wrapText="1"/>
    </xf>
    <xf numFmtId="0" fontId="0" fillId="0" borderId="29" xfId="0" applyBorder="1" applyAlignment="1">
      <alignment horizontal="center" vertical="center" wrapText="1"/>
    </xf>
    <xf numFmtId="0" fontId="0" fillId="0" borderId="30" xfId="0" applyBorder="1" applyAlignment="1">
      <alignment horizontal="center" vertical="center" wrapText="1"/>
    </xf>
    <xf numFmtId="0" fontId="0" fillId="0" borderId="31" xfId="0" applyBorder="1" applyAlignment="1">
      <alignment horizontal="center" vertical="center" wrapText="1"/>
    </xf>
    <xf numFmtId="0" fontId="1" fillId="16" borderId="6" xfId="0" applyFont="1" applyFill="1" applyBorder="1" applyAlignment="1">
      <alignment wrapText="1"/>
    </xf>
    <xf numFmtId="0" fontId="0" fillId="0" borderId="32" xfId="0" applyBorder="1" applyAlignment="1">
      <alignment horizontal="center" vertical="center" wrapText="1"/>
    </xf>
    <xf numFmtId="0" fontId="3" fillId="15" borderId="1" xfId="0" applyFont="1" applyFill="1" applyBorder="1" applyAlignment="1">
      <alignment vertical="center"/>
    </xf>
    <xf numFmtId="0" fontId="3" fillId="15" borderId="1" xfId="0" applyFont="1" applyFill="1" applyBorder="1" applyAlignment="1">
      <alignment horizontal="center" vertical="center"/>
    </xf>
    <xf numFmtId="0" fontId="0" fillId="0" borderId="33" xfId="0" applyBorder="1" applyAlignment="1">
      <alignment horizontal="center" vertical="center" wrapText="1"/>
    </xf>
    <xf numFmtId="14" fontId="0" fillId="0" borderId="0" xfId="0" applyNumberFormat="1"/>
    <xf numFmtId="0" fontId="4" fillId="0" borderId="19" xfId="0" applyFont="1" applyBorder="1" applyAlignment="1">
      <alignment horizontal="center" vertical="center"/>
    </xf>
    <xf numFmtId="0" fontId="0" fillId="0" borderId="2" xfId="0" applyBorder="1" applyAlignment="1">
      <alignment horizontal="left"/>
    </xf>
    <xf numFmtId="0" fontId="4" fillId="6" borderId="0" xfId="0" applyFont="1" applyFill="1"/>
    <xf numFmtId="167" fontId="4" fillId="7" borderId="1" xfId="0" applyNumberFormat="1" applyFont="1" applyFill="1" applyBorder="1" applyAlignment="1">
      <alignment vertical="center"/>
    </xf>
    <xf numFmtId="0" fontId="4" fillId="0" borderId="2" xfId="0" applyFont="1" applyBorder="1" applyAlignment="1">
      <alignment horizontal="left" vertical="center"/>
    </xf>
    <xf numFmtId="0" fontId="4" fillId="2" borderId="2" xfId="0" applyFont="1" applyFill="1" applyBorder="1" applyAlignment="1">
      <alignment horizontal="left" vertical="center"/>
    </xf>
    <xf numFmtId="0" fontId="4" fillId="7" borderId="1" xfId="0" applyFont="1" applyFill="1" applyBorder="1" applyAlignment="1">
      <alignment horizontal="left" vertical="center"/>
    </xf>
    <xf numFmtId="0" fontId="4" fillId="2" borderId="9" xfId="0" applyFont="1" applyFill="1" applyBorder="1" applyAlignment="1">
      <alignment horizontal="left" vertical="center"/>
    </xf>
    <xf numFmtId="167" fontId="4" fillId="0" borderId="0" xfId="0" applyNumberFormat="1" applyFont="1" applyAlignment="1">
      <alignment horizontal="center" vertical="center"/>
    </xf>
    <xf numFmtId="167" fontId="4" fillId="2" borderId="0" xfId="0" applyNumberFormat="1" applyFont="1" applyFill="1" applyAlignment="1">
      <alignment horizontal="center" vertical="center"/>
    </xf>
    <xf numFmtId="167" fontId="4" fillId="7" borderId="1" xfId="0" applyNumberFormat="1" applyFont="1" applyFill="1" applyBorder="1" applyAlignment="1">
      <alignment horizontal="center" vertical="center"/>
    </xf>
    <xf numFmtId="0" fontId="4" fillId="2" borderId="9" xfId="0" applyFont="1" applyFill="1" applyBorder="1" applyAlignment="1">
      <alignment horizontal="center" vertical="center"/>
    </xf>
    <xf numFmtId="0" fontId="4" fillId="10" borderId="9" xfId="0" applyFont="1" applyFill="1" applyBorder="1" applyAlignment="1">
      <alignment horizontal="center" vertical="center"/>
    </xf>
    <xf numFmtId="0" fontId="4" fillId="10" borderId="5" xfId="0" applyFont="1" applyFill="1" applyBorder="1" applyAlignment="1">
      <alignment vertical="center"/>
    </xf>
    <xf numFmtId="0" fontId="4" fillId="10" borderId="9" xfId="0" applyFont="1" applyFill="1" applyBorder="1" applyAlignment="1">
      <alignment vertical="center"/>
    </xf>
    <xf numFmtId="0" fontId="4" fillId="10" borderId="0" xfId="0" applyFont="1" applyFill="1" applyAlignment="1">
      <alignment vertical="center"/>
    </xf>
    <xf numFmtId="44" fontId="4" fillId="10" borderId="9" xfId="2" applyFont="1" applyFill="1" applyBorder="1" applyAlignment="1">
      <alignment vertical="center"/>
    </xf>
    <xf numFmtId="44" fontId="4" fillId="10" borderId="0" xfId="2" applyFont="1" applyFill="1" applyAlignment="1">
      <alignment vertical="center"/>
    </xf>
    <xf numFmtId="14" fontId="4" fillId="10" borderId="5" xfId="0" applyNumberFormat="1" applyFont="1" applyFill="1" applyBorder="1" applyAlignment="1">
      <alignment vertical="center"/>
    </xf>
    <xf numFmtId="14" fontId="4" fillId="10" borderId="9" xfId="0" applyNumberFormat="1" applyFont="1" applyFill="1" applyBorder="1" applyAlignment="1">
      <alignment vertical="center"/>
    </xf>
    <xf numFmtId="167" fontId="4" fillId="10" borderId="0" xfId="0" applyNumberFormat="1" applyFont="1" applyFill="1" applyAlignment="1">
      <alignment horizontal="center" vertical="center"/>
    </xf>
    <xf numFmtId="0" fontId="4" fillId="10" borderId="9" xfId="0" applyFont="1" applyFill="1" applyBorder="1" applyAlignment="1">
      <alignment horizontal="left" vertical="center"/>
    </xf>
    <xf numFmtId="0" fontId="4" fillId="10" borderId="2" xfId="0" applyFont="1" applyFill="1" applyBorder="1" applyAlignment="1">
      <alignment horizontal="left" vertical="center"/>
    </xf>
    <xf numFmtId="0" fontId="4" fillId="18" borderId="0" xfId="0" applyFont="1" applyFill="1" applyAlignment="1">
      <alignment vertical="center"/>
    </xf>
    <xf numFmtId="44" fontId="4" fillId="18" borderId="9" xfId="2" applyFont="1" applyFill="1" applyBorder="1" applyAlignment="1">
      <alignment vertical="center"/>
    </xf>
    <xf numFmtId="44" fontId="4" fillId="18" borderId="0" xfId="2" applyFont="1" applyFill="1" applyAlignment="1">
      <alignment vertical="center"/>
    </xf>
    <xf numFmtId="0" fontId="4" fillId="2" borderId="5" xfId="0" applyFont="1" applyFill="1" applyBorder="1" applyAlignment="1">
      <alignment horizontal="center" vertical="center"/>
    </xf>
    <xf numFmtId="0" fontId="4" fillId="10" borderId="5" xfId="0" applyFont="1" applyFill="1" applyBorder="1" applyAlignment="1">
      <alignment horizontal="center" vertical="center"/>
    </xf>
    <xf numFmtId="0" fontId="4" fillId="0" borderId="1" xfId="0" applyFont="1" applyBorder="1"/>
    <xf numFmtId="14" fontId="4" fillId="2" borderId="9" xfId="0" applyNumberFormat="1" applyFont="1" applyFill="1" applyBorder="1" applyAlignment="1">
      <alignment vertical="center"/>
    </xf>
    <xf numFmtId="0" fontId="4" fillId="0" borderId="9" xfId="0" applyFont="1" applyBorder="1" applyAlignment="1">
      <alignment horizontal="right" vertical="center"/>
    </xf>
    <xf numFmtId="0" fontId="7" fillId="6" borderId="1" xfId="0" applyFont="1" applyFill="1" applyBorder="1" applyAlignment="1">
      <alignment horizontal="left" vertical="center"/>
    </xf>
    <xf numFmtId="0" fontId="4" fillId="0" borderId="0" xfId="0" applyFont="1" applyAlignment="1">
      <alignment horizontal="left" vertical="center"/>
    </xf>
    <xf numFmtId="0" fontId="4" fillId="2" borderId="0" xfId="0" applyFont="1" applyFill="1" applyAlignment="1">
      <alignment horizontal="left" vertical="center"/>
    </xf>
    <xf numFmtId="0" fontId="4" fillId="10" borderId="0" xfId="0" applyFont="1" applyFill="1" applyAlignment="1">
      <alignment horizontal="left" vertical="center"/>
    </xf>
    <xf numFmtId="44" fontId="3" fillId="15" borderId="1" xfId="1" applyNumberFormat="1" applyFont="1" applyFill="1" applyBorder="1" applyAlignment="1">
      <alignment horizontal="center" vertical="center"/>
    </xf>
    <xf numFmtId="44" fontId="5" fillId="0" borderId="9" xfId="1" applyNumberFormat="1" applyFont="1" applyBorder="1" applyAlignment="1">
      <alignment horizontal="center" vertical="center"/>
    </xf>
    <xf numFmtId="44" fontId="4" fillId="0" borderId="9" xfId="2" applyFont="1" applyBorder="1" applyAlignment="1">
      <alignment horizontal="center" vertical="center"/>
    </xf>
    <xf numFmtId="44" fontId="7" fillId="18" borderId="2" xfId="2" applyFont="1" applyFill="1" applyBorder="1" applyAlignment="1">
      <alignment vertical="center"/>
    </xf>
    <xf numFmtId="44" fontId="4" fillId="9" borderId="21" xfId="2" applyFont="1" applyFill="1" applyBorder="1" applyAlignment="1">
      <alignment horizontal="center" vertical="center"/>
    </xf>
    <xf numFmtId="44" fontId="4" fillId="9" borderId="0" xfId="2" applyFont="1" applyFill="1" applyAlignment="1">
      <alignment horizontal="center" vertical="center"/>
    </xf>
    <xf numFmtId="44" fontId="4" fillId="9" borderId="22" xfId="2" applyFont="1" applyFill="1" applyBorder="1" applyAlignment="1">
      <alignment horizontal="center" vertical="center"/>
    </xf>
    <xf numFmtId="44" fontId="4" fillId="9" borderId="2" xfId="2" applyFont="1" applyFill="1" applyBorder="1" applyAlignment="1">
      <alignment horizontal="center" vertical="center"/>
    </xf>
    <xf numFmtId="44" fontId="4" fillId="0" borderId="2" xfId="2" applyFont="1" applyBorder="1" applyAlignment="1">
      <alignment horizontal="center" vertical="center"/>
    </xf>
    <xf numFmtId="44" fontId="4" fillId="0" borderId="0" xfId="2" applyFont="1" applyAlignment="1">
      <alignment horizontal="center" vertical="center"/>
    </xf>
    <xf numFmtId="44" fontId="4" fillId="0" borderId="4" xfId="2" applyFont="1" applyBorder="1" applyAlignment="1">
      <alignment horizontal="center" vertical="center"/>
    </xf>
    <xf numFmtId="44" fontId="4" fillId="0" borderId="3" xfId="2" applyFont="1" applyBorder="1" applyAlignment="1">
      <alignment horizontal="center" vertical="center"/>
    </xf>
    <xf numFmtId="44" fontId="4" fillId="0" borderId="10" xfId="2" applyFont="1" applyBorder="1" applyAlignment="1">
      <alignment horizontal="center" vertical="center"/>
    </xf>
    <xf numFmtId="9" fontId="4" fillId="0" borderId="9" xfId="4" applyFont="1" applyBorder="1" applyAlignment="1">
      <alignment vertical="center"/>
    </xf>
    <xf numFmtId="44" fontId="4" fillId="10" borderId="2" xfId="2" applyFont="1" applyFill="1" applyBorder="1" applyAlignment="1">
      <alignment horizontal="center" vertical="center"/>
    </xf>
    <xf numFmtId="44" fontId="4" fillId="10" borderId="0" xfId="2" applyFont="1" applyFill="1" applyAlignment="1">
      <alignment horizontal="center" vertical="center"/>
    </xf>
    <xf numFmtId="44" fontId="4" fillId="10" borderId="9" xfId="2" applyFont="1" applyFill="1" applyBorder="1" applyAlignment="1">
      <alignment horizontal="center" vertical="center"/>
    </xf>
    <xf numFmtId="44" fontId="7" fillId="10" borderId="2" xfId="2" applyFont="1" applyFill="1" applyBorder="1" applyAlignment="1">
      <alignment vertical="center"/>
    </xf>
    <xf numFmtId="0" fontId="5" fillId="10" borderId="9" xfId="0" applyFont="1" applyFill="1" applyBorder="1" applyAlignment="1">
      <alignment horizontal="center" vertical="center"/>
    </xf>
    <xf numFmtId="0" fontId="5" fillId="10" borderId="5" xfId="0" applyFont="1" applyFill="1" applyBorder="1" applyAlignment="1">
      <alignment horizontal="center" vertical="center"/>
    </xf>
    <xf numFmtId="0" fontId="5" fillId="10" borderId="5" xfId="0" applyFont="1" applyFill="1" applyBorder="1" applyAlignment="1">
      <alignment vertical="center"/>
    </xf>
    <xf numFmtId="0" fontId="5" fillId="10" borderId="9" xfId="0" applyFont="1" applyFill="1" applyBorder="1" applyAlignment="1">
      <alignment vertical="center"/>
    </xf>
    <xf numFmtId="0" fontId="5" fillId="10" borderId="0" xfId="0" applyFont="1" applyFill="1" applyAlignment="1">
      <alignment horizontal="left" vertical="center"/>
    </xf>
    <xf numFmtId="44" fontId="5" fillId="10" borderId="9" xfId="2" applyFont="1" applyFill="1" applyBorder="1" applyAlignment="1">
      <alignment vertical="center"/>
    </xf>
    <xf numFmtId="44" fontId="5" fillId="10" borderId="0" xfId="2" applyFont="1" applyFill="1" applyAlignment="1">
      <alignment vertical="center"/>
    </xf>
    <xf numFmtId="14" fontId="5" fillId="10" borderId="5" xfId="0" applyNumberFormat="1" applyFont="1" applyFill="1" applyBorder="1" applyAlignment="1">
      <alignment vertical="center"/>
    </xf>
    <xf numFmtId="14" fontId="5" fillId="10" borderId="9" xfId="0" applyNumberFormat="1" applyFont="1" applyFill="1" applyBorder="1" applyAlignment="1">
      <alignment vertical="center"/>
    </xf>
    <xf numFmtId="0" fontId="5" fillId="10" borderId="0" xfId="0" applyFont="1" applyFill="1" applyAlignment="1">
      <alignment vertical="center"/>
    </xf>
    <xf numFmtId="167" fontId="5" fillId="10" borderId="0" xfId="0" applyNumberFormat="1" applyFont="1" applyFill="1" applyAlignment="1">
      <alignment horizontal="center" vertical="center"/>
    </xf>
    <xf numFmtId="0" fontId="5" fillId="10" borderId="9" xfId="0" applyFont="1" applyFill="1" applyBorder="1" applyAlignment="1">
      <alignment horizontal="left" vertical="center"/>
    </xf>
    <xf numFmtId="0" fontId="5" fillId="10" borderId="2" xfId="0" applyFont="1" applyFill="1" applyBorder="1" applyAlignment="1">
      <alignment horizontal="left" vertical="center"/>
    </xf>
    <xf numFmtId="0" fontId="4" fillId="0" borderId="2" xfId="0" applyFont="1" applyBorder="1" applyAlignment="1">
      <alignment horizontal="left" vertical="center" wrapText="1"/>
    </xf>
    <xf numFmtId="44" fontId="5" fillId="0" borderId="9" xfId="2" applyFont="1" applyBorder="1" applyAlignment="1">
      <alignment vertical="center"/>
    </xf>
    <xf numFmtId="44" fontId="5" fillId="0" borderId="0" xfId="2" applyFont="1" applyAlignment="1">
      <alignment vertical="center"/>
    </xf>
    <xf numFmtId="0" fontId="7" fillId="6" borderId="11" xfId="0" applyFont="1" applyFill="1" applyBorder="1"/>
    <xf numFmtId="0" fontId="7" fillId="0" borderId="5" xfId="0" applyFont="1" applyBorder="1" applyAlignment="1">
      <alignment vertical="center"/>
    </xf>
    <xf numFmtId="0" fontId="1" fillId="0" borderId="1" xfId="0" applyFont="1" applyBorder="1" applyAlignment="1">
      <alignment horizontal="center"/>
    </xf>
    <xf numFmtId="44" fontId="4" fillId="0" borderId="13" xfId="0" applyNumberFormat="1" applyFont="1" applyBorder="1"/>
    <xf numFmtId="44" fontId="4" fillId="0" borderId="5" xfId="2" applyFont="1" applyBorder="1" applyAlignment="1">
      <alignment vertical="center"/>
    </xf>
    <xf numFmtId="0" fontId="4" fillId="18" borderId="0" xfId="0" applyFont="1" applyFill="1"/>
    <xf numFmtId="44" fontId="5" fillId="16" borderId="9" xfId="2" applyFont="1" applyFill="1" applyBorder="1" applyAlignment="1">
      <alignment vertical="center"/>
    </xf>
    <xf numFmtId="44" fontId="5" fillId="16" borderId="0" xfId="2" applyFont="1" applyFill="1" applyAlignment="1">
      <alignment vertical="center"/>
    </xf>
    <xf numFmtId="14" fontId="5" fillId="0" borderId="9" xfId="2" applyNumberFormat="1" applyFont="1" applyBorder="1" applyAlignment="1">
      <alignment vertical="center"/>
    </xf>
    <xf numFmtId="0" fontId="13" fillId="15" borderId="6" xfId="0" applyFont="1" applyFill="1" applyBorder="1" applyAlignment="1">
      <alignment vertical="center"/>
    </xf>
    <xf numFmtId="0" fontId="13" fillId="15" borderId="38" xfId="0" applyFont="1" applyFill="1" applyBorder="1" applyAlignment="1">
      <alignment vertical="center"/>
    </xf>
    <xf numFmtId="14" fontId="4" fillId="15" borderId="39" xfId="0" applyNumberFormat="1" applyFont="1" applyFill="1" applyBorder="1" applyAlignment="1">
      <alignment vertical="center"/>
    </xf>
    <xf numFmtId="0" fontId="13" fillId="15" borderId="37" xfId="0" applyFont="1" applyFill="1" applyBorder="1" applyAlignment="1">
      <alignment vertical="center"/>
    </xf>
    <xf numFmtId="14" fontId="4" fillId="0" borderId="5" xfId="2" applyNumberFormat="1" applyFont="1" applyBorder="1" applyAlignment="1">
      <alignment vertical="center"/>
    </xf>
    <xf numFmtId="44" fontId="13" fillId="0" borderId="0" xfId="2" applyFont="1" applyAlignment="1">
      <alignment vertical="center"/>
    </xf>
    <xf numFmtId="0" fontId="4" fillId="0" borderId="6" xfId="0" applyFont="1" applyBorder="1" applyAlignment="1">
      <alignment vertical="center"/>
    </xf>
    <xf numFmtId="0" fontId="4" fillId="0" borderId="10" xfId="0" applyFont="1" applyBorder="1" applyAlignment="1">
      <alignment vertical="center"/>
    </xf>
    <xf numFmtId="0" fontId="4" fillId="0" borderId="3" xfId="0" applyFont="1" applyBorder="1" applyAlignment="1">
      <alignment horizontal="left" vertical="center"/>
    </xf>
    <xf numFmtId="0" fontId="4" fillId="0" borderId="10" xfId="0" applyFont="1" applyBorder="1" applyAlignment="1">
      <alignment horizontal="left" vertical="center"/>
    </xf>
    <xf numFmtId="14" fontId="4" fillId="0" borderId="6" xfId="0" applyNumberFormat="1" applyFont="1" applyBorder="1" applyAlignment="1">
      <alignment vertical="center"/>
    </xf>
    <xf numFmtId="14" fontId="4" fillId="0" borderId="10" xfId="0" applyNumberFormat="1" applyFont="1" applyBorder="1" applyAlignment="1">
      <alignment vertical="center"/>
    </xf>
    <xf numFmtId="167" fontId="4" fillId="0" borderId="3" xfId="0" applyNumberFormat="1" applyFont="1" applyBorder="1" applyAlignment="1">
      <alignment horizontal="center" vertical="center"/>
    </xf>
    <xf numFmtId="0" fontId="4" fillId="0" borderId="4" xfId="0" applyFont="1" applyBorder="1" applyAlignment="1">
      <alignment horizontal="left" vertical="center"/>
    </xf>
    <xf numFmtId="0" fontId="4" fillId="0" borderId="9" xfId="0" applyFont="1" applyBorder="1"/>
    <xf numFmtId="14" fontId="4" fillId="0" borderId="5" xfId="0" applyNumberFormat="1" applyFont="1" applyBorder="1" applyAlignment="1">
      <alignment horizontal="center" vertical="center"/>
    </xf>
    <xf numFmtId="14" fontId="4" fillId="0" borderId="5" xfId="0" applyNumberFormat="1" applyFont="1" applyBorder="1" applyAlignment="1">
      <alignment horizontal="right" vertical="center"/>
    </xf>
    <xf numFmtId="0" fontId="4" fillId="7" borderId="40" xfId="0" applyFont="1" applyFill="1" applyBorder="1" applyAlignment="1">
      <alignment vertical="center"/>
    </xf>
    <xf numFmtId="0" fontId="4" fillId="0" borderId="5" xfId="0" applyFont="1" applyBorder="1" applyAlignment="1">
      <alignment horizontal="left" vertical="center"/>
    </xf>
    <xf numFmtId="0" fontId="4" fillId="2" borderId="2" xfId="0" applyFont="1" applyFill="1" applyBorder="1" applyAlignment="1">
      <alignment horizontal="center" vertical="center"/>
    </xf>
    <xf numFmtId="0" fontId="4" fillId="10" borderId="2" xfId="0" applyFont="1" applyFill="1" applyBorder="1" applyAlignment="1">
      <alignment horizontal="center" vertical="center"/>
    </xf>
    <xf numFmtId="0" fontId="5" fillId="10" borderId="2" xfId="0" applyFont="1" applyFill="1" applyBorder="1" applyAlignment="1">
      <alignment horizontal="center" vertical="center"/>
    </xf>
    <xf numFmtId="44" fontId="5" fillId="0" borderId="2" xfId="2" applyFont="1" applyBorder="1" applyAlignment="1">
      <alignment vertical="center"/>
    </xf>
    <xf numFmtId="44" fontId="4" fillId="0" borderId="2" xfId="2" applyFont="1" applyBorder="1" applyAlignment="1">
      <alignment vertical="center"/>
    </xf>
    <xf numFmtId="44" fontId="5" fillId="0" borderId="2" xfId="2" applyFont="1" applyBorder="1" applyAlignment="1">
      <alignment horizontal="center" vertical="center"/>
    </xf>
    <xf numFmtId="44" fontId="4" fillId="0" borderId="4" xfId="2" applyFont="1" applyBorder="1" applyAlignment="1">
      <alignment vertical="center"/>
    </xf>
    <xf numFmtId="44" fontId="4" fillId="0" borderId="5" xfId="2" applyFont="1" applyBorder="1" applyAlignment="1">
      <alignment horizontal="left" vertical="center"/>
    </xf>
    <xf numFmtId="0" fontId="4" fillId="7" borderId="16" xfId="0" applyFont="1" applyFill="1" applyBorder="1" applyAlignment="1">
      <alignment horizontal="left" vertical="center"/>
    </xf>
    <xf numFmtId="44" fontId="4" fillId="2" borderId="5" xfId="2" applyFont="1" applyFill="1" applyBorder="1" applyAlignment="1">
      <alignment horizontal="left" vertical="center"/>
    </xf>
    <xf numFmtId="44" fontId="4" fillId="10" borderId="5" xfId="2" applyFont="1" applyFill="1" applyBorder="1" applyAlignment="1">
      <alignment horizontal="left" vertical="center"/>
    </xf>
    <xf numFmtId="44" fontId="4" fillId="0" borderId="6" xfId="2" applyFont="1" applyBorder="1" applyAlignment="1">
      <alignment horizontal="left" vertical="center"/>
    </xf>
    <xf numFmtId="44" fontId="4" fillId="0" borderId="36" xfId="2" applyFont="1" applyBorder="1" applyAlignment="1">
      <alignment horizontal="left" vertical="center"/>
    </xf>
    <xf numFmtId="44" fontId="4" fillId="0" borderId="36" xfId="2" applyFont="1" applyBorder="1" applyAlignment="1">
      <alignment vertical="center"/>
    </xf>
    <xf numFmtId="44" fontId="5" fillId="0" borderId="5" xfId="2" applyFont="1" applyBorder="1" applyAlignment="1">
      <alignment vertical="center"/>
    </xf>
    <xf numFmtId="1" fontId="4" fillId="2" borderId="9" xfId="0" applyNumberFormat="1" applyFont="1" applyFill="1" applyBorder="1" applyAlignment="1">
      <alignment horizontal="center" vertical="center"/>
    </xf>
    <xf numFmtId="1" fontId="4" fillId="7" borderId="1" xfId="0" applyNumberFormat="1" applyFont="1" applyFill="1" applyBorder="1" applyAlignment="1">
      <alignment horizontal="center" vertical="center"/>
    </xf>
    <xf numFmtId="1" fontId="4" fillId="10" borderId="9" xfId="0" applyNumberFormat="1" applyFont="1" applyFill="1" applyBorder="1" applyAlignment="1">
      <alignment horizontal="center" vertical="center"/>
    </xf>
    <xf numFmtId="1" fontId="5" fillId="10" borderId="9" xfId="0" applyNumberFormat="1" applyFont="1" applyFill="1" applyBorder="1" applyAlignment="1">
      <alignment horizontal="center" vertical="center"/>
    </xf>
    <xf numFmtId="1" fontId="4" fillId="0" borderId="10" xfId="0" applyNumberFormat="1" applyFont="1" applyBorder="1" applyAlignment="1">
      <alignment horizontal="center" vertical="center"/>
    </xf>
    <xf numFmtId="0" fontId="4" fillId="0" borderId="14" xfId="0" applyFont="1" applyBorder="1"/>
    <xf numFmtId="44" fontId="4" fillId="0" borderId="14" xfId="0" applyNumberFormat="1" applyFont="1" applyBorder="1"/>
    <xf numFmtId="1" fontId="4" fillId="0" borderId="14" xfId="0" applyNumberFormat="1" applyFont="1" applyBorder="1"/>
    <xf numFmtId="44" fontId="4" fillId="0" borderId="9" xfId="0" applyNumberFormat="1" applyFont="1" applyBorder="1"/>
    <xf numFmtId="0" fontId="4" fillId="0" borderId="9" xfId="0" applyFont="1" applyBorder="1" applyAlignment="1">
      <alignment horizontal="center"/>
    </xf>
    <xf numFmtId="44" fontId="4" fillId="0" borderId="5" xfId="0" applyNumberFormat="1" applyFont="1" applyBorder="1" applyAlignment="1">
      <alignment horizontal="left" vertical="center"/>
    </xf>
    <xf numFmtId="0" fontId="0" fillId="3" borderId="5" xfId="0" applyFill="1" applyBorder="1" applyAlignment="1">
      <alignment horizontal="center" vertical="center"/>
    </xf>
    <xf numFmtId="0" fontId="4" fillId="3" borderId="9" xfId="0" applyFont="1" applyFill="1" applyBorder="1" applyAlignment="1">
      <alignment horizontal="center" vertical="center"/>
    </xf>
    <xf numFmtId="44" fontId="4" fillId="3" borderId="9" xfId="0" applyNumberFormat="1" applyFont="1" applyFill="1" applyBorder="1" applyAlignment="1">
      <alignment horizontal="center" vertical="center"/>
    </xf>
    <xf numFmtId="0" fontId="4" fillId="3" borderId="9" xfId="0" applyFont="1" applyFill="1" applyBorder="1" applyAlignment="1">
      <alignment vertical="center"/>
    </xf>
    <xf numFmtId="1" fontId="4" fillId="3" borderId="9" xfId="0" applyNumberFormat="1" applyFont="1" applyFill="1" applyBorder="1" applyAlignment="1">
      <alignment horizontal="center" vertical="center"/>
    </xf>
    <xf numFmtId="0" fontId="4" fillId="3" borderId="9" xfId="0" applyFont="1" applyFill="1" applyBorder="1" applyAlignment="1">
      <alignment horizontal="left" vertical="center"/>
    </xf>
    <xf numFmtId="14" fontId="4" fillId="3" borderId="9" xfId="0" applyNumberFormat="1" applyFont="1" applyFill="1" applyBorder="1" applyAlignment="1">
      <alignment horizontal="right" vertical="center"/>
    </xf>
    <xf numFmtId="0" fontId="4" fillId="3" borderId="9" xfId="0" applyFont="1" applyFill="1" applyBorder="1" applyAlignment="1">
      <alignment horizontal="right" vertical="center"/>
    </xf>
    <xf numFmtId="14" fontId="4" fillId="3" borderId="9" xfId="0" applyNumberFormat="1" applyFont="1" applyFill="1" applyBorder="1" applyAlignment="1">
      <alignment vertical="center"/>
    </xf>
    <xf numFmtId="14" fontId="5" fillId="3" borderId="9" xfId="0" applyNumberFormat="1" applyFont="1" applyFill="1" applyBorder="1" applyAlignment="1">
      <alignment horizontal="right" vertical="center"/>
    </xf>
    <xf numFmtId="44" fontId="4" fillId="0" borderId="8" xfId="0" applyNumberFormat="1" applyFont="1" applyBorder="1"/>
    <xf numFmtId="44" fontId="4" fillId="16" borderId="9" xfId="2" applyFont="1" applyFill="1" applyBorder="1" applyAlignment="1">
      <alignment vertical="center"/>
    </xf>
    <xf numFmtId="44" fontId="4" fillId="3" borderId="9" xfId="0" applyNumberFormat="1" applyFont="1" applyFill="1" applyBorder="1" applyAlignment="1">
      <alignment vertical="center"/>
    </xf>
    <xf numFmtId="0" fontId="4" fillId="10" borderId="2" xfId="0" applyFont="1" applyFill="1" applyBorder="1" applyAlignment="1">
      <alignment horizontal="left" vertical="center" wrapText="1"/>
    </xf>
    <xf numFmtId="9" fontId="7" fillId="9" borderId="9" xfId="4" applyFont="1" applyFill="1" applyBorder="1" applyAlignment="1">
      <alignment vertical="center"/>
    </xf>
    <xf numFmtId="9" fontId="7" fillId="6" borderId="1" xfId="4" applyFont="1" applyFill="1" applyBorder="1" applyAlignment="1">
      <alignment horizontal="center" vertical="center"/>
    </xf>
    <xf numFmtId="9" fontId="9" fillId="7" borderId="16" xfId="4" applyFont="1" applyFill="1" applyBorder="1" applyAlignment="1">
      <alignment vertical="center"/>
    </xf>
    <xf numFmtId="9" fontId="7" fillId="10" borderId="9" xfId="4" applyFont="1" applyFill="1" applyBorder="1" applyAlignment="1">
      <alignment vertical="center"/>
    </xf>
    <xf numFmtId="9" fontId="9" fillId="7" borderId="18" xfId="4" applyFont="1" applyFill="1" applyBorder="1" applyAlignment="1">
      <alignment vertical="center"/>
    </xf>
    <xf numFmtId="9" fontId="4" fillId="10" borderId="9" xfId="4" applyFont="1" applyFill="1" applyBorder="1" applyAlignment="1">
      <alignment vertical="center"/>
    </xf>
    <xf numFmtId="9" fontId="4" fillId="0" borderId="10" xfId="4" applyFont="1" applyBorder="1" applyAlignment="1">
      <alignment vertical="center"/>
    </xf>
    <xf numFmtId="9" fontId="4" fillId="0" borderId="0" xfId="4" applyFont="1" applyAlignment="1">
      <alignment vertical="center"/>
    </xf>
    <xf numFmtId="44" fontId="5" fillId="10" borderId="5" xfId="2" applyFont="1" applyFill="1" applyBorder="1" applyAlignment="1">
      <alignment horizontal="left" vertical="center"/>
    </xf>
    <xf numFmtId="44" fontId="4" fillId="0" borderId="5" xfId="2" applyFont="1" applyFill="1" applyBorder="1" applyAlignment="1">
      <alignment horizontal="left" vertical="center"/>
    </xf>
    <xf numFmtId="44" fontId="4" fillId="0" borderId="9" xfId="2" applyFont="1" applyFill="1" applyBorder="1" applyAlignment="1">
      <alignment vertical="center"/>
    </xf>
    <xf numFmtId="44" fontId="4" fillId="0" borderId="0" xfId="2" applyFont="1" applyFill="1" applyAlignment="1">
      <alignment vertical="center"/>
    </xf>
    <xf numFmtId="0" fontId="4" fillId="0" borderId="0" xfId="0" applyFont="1" applyAlignment="1">
      <alignment horizontal="center"/>
    </xf>
    <xf numFmtId="44" fontId="4" fillId="0" borderId="6" xfId="2" applyFont="1" applyBorder="1" applyAlignment="1">
      <alignment vertical="center"/>
    </xf>
    <xf numFmtId="44" fontId="4" fillId="0" borderId="0" xfId="2" applyFont="1" applyBorder="1" applyAlignment="1">
      <alignment vertical="center"/>
    </xf>
    <xf numFmtId="44" fontId="4" fillId="0" borderId="0" xfId="2" applyFont="1" applyFill="1" applyBorder="1" applyAlignment="1">
      <alignment vertical="center"/>
    </xf>
    <xf numFmtId="44" fontId="4" fillId="10" borderId="0" xfId="2" applyFont="1" applyFill="1" applyBorder="1" applyAlignment="1">
      <alignment vertical="center"/>
    </xf>
    <xf numFmtId="44" fontId="4" fillId="2" borderId="5" xfId="2" applyFont="1" applyFill="1" applyBorder="1" applyAlignment="1">
      <alignment vertical="center"/>
    </xf>
    <xf numFmtId="44" fontId="4" fillId="0" borderId="5" xfId="2" applyFont="1" applyFill="1" applyBorder="1" applyAlignment="1">
      <alignment vertical="center"/>
    </xf>
    <xf numFmtId="44" fontId="4" fillId="10" borderId="5" xfId="2" applyFont="1" applyFill="1" applyBorder="1" applyAlignment="1">
      <alignment vertical="center"/>
    </xf>
    <xf numFmtId="44" fontId="5" fillId="10" borderId="5" xfId="2" applyFont="1" applyFill="1" applyBorder="1" applyAlignment="1">
      <alignment vertical="center"/>
    </xf>
    <xf numFmtId="0" fontId="4" fillId="7" borderId="23" xfId="0" applyFont="1" applyFill="1" applyBorder="1" applyAlignment="1">
      <alignment vertical="center"/>
    </xf>
    <xf numFmtId="14" fontId="4" fillId="10" borderId="0" xfId="0" applyNumberFormat="1" applyFont="1" applyFill="1" applyAlignment="1">
      <alignment vertical="center"/>
    </xf>
    <xf numFmtId="14" fontId="4" fillId="0" borderId="2" xfId="0" applyNumberFormat="1" applyFont="1" applyBorder="1" applyAlignment="1">
      <alignment vertical="center"/>
    </xf>
    <xf numFmtId="44" fontId="4" fillId="0" borderId="14" xfId="2" applyFont="1" applyBorder="1"/>
    <xf numFmtId="0" fontId="12" fillId="0" borderId="0" xfId="0" applyFont="1" applyAlignment="1">
      <alignment horizontal="center" wrapText="1"/>
    </xf>
    <xf numFmtId="14" fontId="12" fillId="0" borderId="0" xfId="0" applyNumberFormat="1" applyFont="1" applyAlignment="1">
      <alignment horizontal="center" wrapText="1"/>
    </xf>
    <xf numFmtId="0" fontId="10" fillId="8" borderId="1" xfId="0" applyFont="1" applyFill="1" applyBorder="1" applyAlignment="1">
      <alignment horizontal="center" textRotation="90" wrapText="1"/>
    </xf>
    <xf numFmtId="0" fontId="10" fillId="8" borderId="45" xfId="0" applyFont="1" applyFill="1" applyBorder="1" applyAlignment="1">
      <alignment horizontal="center" textRotation="90" wrapText="1"/>
    </xf>
    <xf numFmtId="0" fontId="10" fillId="8" borderId="45" xfId="0" applyFont="1" applyFill="1" applyBorder="1" applyAlignment="1">
      <alignment horizontal="center" wrapText="1"/>
    </xf>
    <xf numFmtId="0" fontId="12" fillId="8" borderId="0" xfId="0" applyFont="1" applyFill="1" applyAlignment="1">
      <alignment horizontal="center" wrapText="1"/>
    </xf>
    <xf numFmtId="0" fontId="12" fillId="8" borderId="43" xfId="0" applyFont="1" applyFill="1" applyBorder="1" applyAlignment="1">
      <alignment horizontal="center" wrapText="1"/>
    </xf>
    <xf numFmtId="0" fontId="11" fillId="8" borderId="43" xfId="0" applyFont="1" applyFill="1" applyBorder="1" applyAlignment="1">
      <alignment wrapText="1"/>
    </xf>
    <xf numFmtId="14" fontId="12" fillId="8" borderId="43" xfId="0" applyNumberFormat="1" applyFont="1" applyFill="1" applyBorder="1" applyAlignment="1">
      <alignment horizontal="center" wrapText="1"/>
    </xf>
    <xf numFmtId="0" fontId="0" fillId="8" borderId="0" xfId="0" applyFill="1"/>
    <xf numFmtId="0" fontId="18" fillId="17" borderId="44" xfId="0" applyFont="1" applyFill="1" applyBorder="1" applyAlignment="1">
      <alignment horizontal="center" textRotation="90" wrapText="1"/>
    </xf>
    <xf numFmtId="0" fontId="19" fillId="17" borderId="42" xfId="0" applyFont="1" applyFill="1" applyBorder="1" applyAlignment="1">
      <alignment horizontal="center" wrapText="1"/>
    </xf>
    <xf numFmtId="0" fontId="19" fillId="17" borderId="0" xfId="0" applyFont="1" applyFill="1" applyAlignment="1">
      <alignment horizontal="center" wrapText="1"/>
    </xf>
    <xf numFmtId="0" fontId="17" fillId="0" borderId="0" xfId="0" applyFont="1" applyAlignment="1">
      <alignment horizontal="center"/>
    </xf>
    <xf numFmtId="0" fontId="20" fillId="0" borderId="0" xfId="0" applyFont="1" applyAlignment="1">
      <alignment horizontal="center" wrapText="1"/>
    </xf>
    <xf numFmtId="0" fontId="20" fillId="0" borderId="0" xfId="0" applyFont="1" applyAlignment="1">
      <alignment horizontal="center"/>
    </xf>
    <xf numFmtId="14" fontId="4" fillId="2" borderId="5" xfId="0" applyNumberFormat="1" applyFont="1" applyFill="1" applyBorder="1" applyAlignment="1">
      <alignment vertical="center"/>
    </xf>
    <xf numFmtId="0" fontId="4" fillId="2" borderId="2" xfId="0" applyFont="1" applyFill="1" applyBorder="1" applyAlignment="1">
      <alignment horizontal="left" vertical="center" wrapText="1"/>
    </xf>
    <xf numFmtId="0" fontId="5" fillId="2" borderId="9" xfId="3" applyFont="1" applyFill="1" applyBorder="1" applyAlignment="1">
      <alignment horizontal="left" vertical="center"/>
    </xf>
    <xf numFmtId="44" fontId="4" fillId="8" borderId="19" xfId="0" applyNumberFormat="1" applyFont="1" applyFill="1" applyBorder="1"/>
    <xf numFmtId="44" fontId="4" fillId="8" borderId="3" xfId="2" applyFont="1" applyFill="1" applyBorder="1"/>
    <xf numFmtId="167" fontId="4" fillId="0" borderId="41" xfId="0" applyNumberFormat="1" applyFont="1" applyBorder="1" applyAlignment="1">
      <alignment horizontal="center" vertical="center"/>
    </xf>
    <xf numFmtId="0" fontId="1" fillId="0" borderId="0" xfId="0" applyFont="1" applyAlignment="1">
      <alignment horizontal="center"/>
    </xf>
    <xf numFmtId="0" fontId="0" fillId="0" borderId="47" xfId="0" applyBorder="1" applyAlignment="1">
      <alignment horizontal="center" vertical="center"/>
    </xf>
    <xf numFmtId="0" fontId="0" fillId="8" borderId="19" xfId="0" applyFill="1" applyBorder="1" applyAlignment="1">
      <alignment horizontal="center" vertical="center"/>
    </xf>
    <xf numFmtId="0" fontId="0" fillId="0" borderId="48" xfId="0" applyBorder="1" applyAlignment="1">
      <alignment horizontal="center" vertical="center"/>
    </xf>
    <xf numFmtId="0" fontId="0" fillId="8" borderId="47" xfId="0" applyFill="1" applyBorder="1" applyAlignment="1">
      <alignment horizontal="center" vertical="center"/>
    </xf>
    <xf numFmtId="0" fontId="0" fillId="0" borderId="19" xfId="0" applyBorder="1" applyAlignment="1">
      <alignment horizontal="center" vertical="center"/>
    </xf>
    <xf numFmtId="0" fontId="0" fillId="8" borderId="48" xfId="0" applyFill="1" applyBorder="1" applyAlignment="1">
      <alignment horizontal="center" vertical="center"/>
    </xf>
    <xf numFmtId="0" fontId="23" fillId="0" borderId="49" xfId="0" applyFont="1" applyBorder="1" applyAlignment="1">
      <alignment horizontal="center" vertical="center"/>
    </xf>
    <xf numFmtId="0" fontId="23" fillId="8" borderId="0" xfId="0" applyFont="1" applyFill="1" applyAlignment="1">
      <alignment horizontal="center" vertical="center"/>
    </xf>
    <xf numFmtId="0" fontId="23" fillId="0" borderId="50" xfId="0" applyFont="1" applyBorder="1" applyAlignment="1">
      <alignment horizontal="center" vertical="center"/>
    </xf>
    <xf numFmtId="0" fontId="23" fillId="8" borderId="49" xfId="0" applyFont="1" applyFill="1" applyBorder="1" applyAlignment="1">
      <alignment horizontal="center" vertical="center"/>
    </xf>
    <xf numFmtId="0" fontId="23" fillId="0" borderId="0" xfId="0" applyFont="1" applyAlignment="1">
      <alignment horizontal="center" vertical="center"/>
    </xf>
    <xf numFmtId="0" fontId="23" fillId="8" borderId="50" xfId="0" applyFont="1" applyFill="1" applyBorder="1" applyAlignment="1">
      <alignment horizontal="center" vertical="center"/>
    </xf>
    <xf numFmtId="0" fontId="0" fillId="0" borderId="49" xfId="0" applyBorder="1" applyAlignment="1">
      <alignment horizontal="center" vertical="center"/>
    </xf>
    <xf numFmtId="0" fontId="0" fillId="8" borderId="0" xfId="0" applyFill="1" applyAlignment="1">
      <alignment horizontal="center" vertical="center"/>
    </xf>
    <xf numFmtId="0" fontId="0" fillId="0" borderId="50" xfId="0" applyBorder="1" applyAlignment="1">
      <alignment horizontal="center" vertical="center"/>
    </xf>
    <xf numFmtId="0" fontId="0" fillId="8" borderId="49" xfId="0" applyFill="1" applyBorder="1" applyAlignment="1">
      <alignment horizontal="center" vertical="center"/>
    </xf>
    <xf numFmtId="0" fontId="0" fillId="0" borderId="0" xfId="0" applyAlignment="1">
      <alignment horizontal="center" vertical="center"/>
    </xf>
    <xf numFmtId="0" fontId="0" fillId="8" borderId="50" xfId="0" applyFill="1" applyBorder="1" applyAlignment="1">
      <alignment horizontal="center" vertical="center"/>
    </xf>
    <xf numFmtId="0" fontId="0" fillId="0" borderId="51" xfId="0" applyBorder="1" applyAlignment="1">
      <alignment horizontal="center" vertical="center"/>
    </xf>
    <xf numFmtId="0" fontId="0" fillId="8" borderId="1" xfId="0" applyFill="1" applyBorder="1" applyAlignment="1">
      <alignment horizontal="center" vertical="center"/>
    </xf>
    <xf numFmtId="0" fontId="0" fillId="0" borderId="35" xfId="0" applyBorder="1" applyAlignment="1">
      <alignment horizontal="center" vertical="center"/>
    </xf>
    <xf numFmtId="0" fontId="0" fillId="8" borderId="51" xfId="0" applyFill="1" applyBorder="1" applyAlignment="1">
      <alignment horizontal="center" vertical="center"/>
    </xf>
    <xf numFmtId="0" fontId="0" fillId="0" borderId="1" xfId="0" applyBorder="1" applyAlignment="1">
      <alignment horizontal="center" vertical="center"/>
    </xf>
    <xf numFmtId="0" fontId="0" fillId="8" borderId="35" xfId="0" applyFill="1" applyBorder="1" applyAlignment="1">
      <alignment horizontal="center" vertical="center"/>
    </xf>
    <xf numFmtId="0" fontId="22" fillId="0" borderId="51" xfId="0" applyFont="1" applyBorder="1" applyAlignment="1">
      <alignment horizontal="center" vertical="center"/>
    </xf>
    <xf numFmtId="16" fontId="21" fillId="0" borderId="47" xfId="0" applyNumberFormat="1" applyFont="1" applyBorder="1" applyAlignment="1">
      <alignment horizontal="center" vertical="center"/>
    </xf>
    <xf numFmtId="0" fontId="21" fillId="8" borderId="0" xfId="0" applyFont="1" applyFill="1" applyAlignment="1">
      <alignment horizontal="center" vertical="center"/>
    </xf>
    <xf numFmtId="0" fontId="22" fillId="0" borderId="50" xfId="0" applyFont="1" applyBorder="1" applyAlignment="1">
      <alignment horizontal="center" vertical="center"/>
    </xf>
    <xf numFmtId="0" fontId="17" fillId="21" borderId="16" xfId="0" applyFont="1" applyFill="1" applyBorder="1"/>
    <xf numFmtId="168" fontId="0" fillId="0" borderId="0" xfId="1" applyNumberFormat="1" applyFont="1"/>
    <xf numFmtId="14" fontId="17" fillId="21" borderId="16" xfId="0" applyNumberFormat="1" applyFont="1" applyFill="1" applyBorder="1" applyAlignment="1">
      <alignment horizontal="center"/>
    </xf>
    <xf numFmtId="0" fontId="1" fillId="8" borderId="47" xfId="0" applyFont="1" applyFill="1" applyBorder="1" applyAlignment="1">
      <alignment horizontal="center"/>
    </xf>
    <xf numFmtId="0" fontId="1" fillId="8" borderId="49" xfId="0" applyFont="1" applyFill="1" applyBorder="1" applyAlignment="1">
      <alignment horizontal="center"/>
    </xf>
    <xf numFmtId="0" fontId="1" fillId="8" borderId="51" xfId="0" applyFont="1" applyFill="1" applyBorder="1" applyAlignment="1">
      <alignment horizontal="center"/>
    </xf>
    <xf numFmtId="0" fontId="1" fillId="0" borderId="47" xfId="0" applyFont="1" applyBorder="1" applyAlignment="1">
      <alignment horizontal="center"/>
    </xf>
    <xf numFmtId="0" fontId="1" fillId="0" borderId="49" xfId="0" applyFont="1" applyBorder="1" applyAlignment="1">
      <alignment horizontal="center"/>
    </xf>
    <xf numFmtId="0" fontId="1" fillId="0" borderId="51" xfId="0" applyFont="1" applyBorder="1" applyAlignment="1">
      <alignment horizontal="center"/>
    </xf>
    <xf numFmtId="0" fontId="0" fillId="8" borderId="48" xfId="0" applyFill="1" applyBorder="1" applyAlignment="1">
      <alignment horizontal="center"/>
    </xf>
    <xf numFmtId="0" fontId="0" fillId="8" borderId="50" xfId="0" applyFill="1" applyBorder="1" applyAlignment="1">
      <alignment horizontal="center"/>
    </xf>
    <xf numFmtId="0" fontId="0" fillId="8" borderId="35" xfId="0" applyFill="1" applyBorder="1" applyAlignment="1">
      <alignment horizontal="center"/>
    </xf>
    <xf numFmtId="0" fontId="0" fillId="0" borderId="48" xfId="0" applyBorder="1" applyAlignment="1">
      <alignment horizontal="center"/>
    </xf>
    <xf numFmtId="0" fontId="0" fillId="0" borderId="50" xfId="0" applyBorder="1" applyAlignment="1">
      <alignment horizontal="center"/>
    </xf>
    <xf numFmtId="0" fontId="0" fillId="0" borderId="35" xfId="0" applyBorder="1" applyAlignment="1">
      <alignment horizontal="center"/>
    </xf>
    <xf numFmtId="0" fontId="21" fillId="8" borderId="47" xfId="0" applyFont="1" applyFill="1" applyBorder="1" applyAlignment="1">
      <alignment horizontal="center" vertical="center"/>
    </xf>
    <xf numFmtId="0" fontId="22" fillId="8" borderId="50" xfId="0" applyFont="1" applyFill="1" applyBorder="1" applyAlignment="1">
      <alignment horizontal="center" vertical="center"/>
    </xf>
    <xf numFmtId="0" fontId="21" fillId="8" borderId="35" xfId="0" applyFont="1" applyFill="1" applyBorder="1" applyAlignment="1">
      <alignment horizontal="center" vertical="center"/>
    </xf>
    <xf numFmtId="0" fontId="21" fillId="0" borderId="0" xfId="0" applyFont="1" applyAlignment="1">
      <alignment horizontal="center" vertical="center"/>
    </xf>
    <xf numFmtId="0" fontId="22" fillId="8" borderId="0" xfId="0" applyFont="1" applyFill="1" applyAlignment="1">
      <alignment horizontal="center" vertical="center"/>
    </xf>
    <xf numFmtId="14" fontId="17" fillId="21" borderId="52" xfId="0" applyNumberFormat="1" applyFont="1" applyFill="1" applyBorder="1" applyAlignment="1">
      <alignment horizontal="center"/>
    </xf>
    <xf numFmtId="14" fontId="17" fillId="21" borderId="34" xfId="0" applyNumberFormat="1" applyFont="1" applyFill="1" applyBorder="1" applyAlignment="1">
      <alignment horizontal="center"/>
    </xf>
    <xf numFmtId="0" fontId="24" fillId="0" borderId="0" xfId="0" applyFont="1" applyAlignment="1">
      <alignment vertical="center"/>
    </xf>
    <xf numFmtId="1" fontId="0" fillId="8" borderId="19" xfId="1" applyNumberFormat="1" applyFont="1" applyFill="1" applyBorder="1" applyAlignment="1">
      <alignment horizontal="center"/>
    </xf>
    <xf numFmtId="1" fontId="0" fillId="8" borderId="0" xfId="1" applyNumberFormat="1" applyFont="1" applyFill="1" applyBorder="1" applyAlignment="1">
      <alignment horizontal="center"/>
    </xf>
    <xf numFmtId="1" fontId="0" fillId="8" borderId="1" xfId="1" applyNumberFormat="1" applyFont="1" applyFill="1" applyBorder="1" applyAlignment="1">
      <alignment horizontal="center"/>
    </xf>
    <xf numFmtId="1" fontId="17" fillId="21" borderId="16" xfId="1" applyNumberFormat="1" applyFont="1" applyFill="1" applyBorder="1" applyAlignment="1">
      <alignment horizontal="center"/>
    </xf>
    <xf numFmtId="1" fontId="0" fillId="0" borderId="19" xfId="1" applyNumberFormat="1" applyFont="1" applyBorder="1" applyAlignment="1">
      <alignment horizontal="center"/>
    </xf>
    <xf numFmtId="1" fontId="0" fillId="0" borderId="0" xfId="1" applyNumberFormat="1" applyFont="1" applyBorder="1" applyAlignment="1">
      <alignment horizontal="center"/>
    </xf>
    <xf numFmtId="1" fontId="0" fillId="0" borderId="1" xfId="1" applyNumberFormat="1" applyFont="1" applyBorder="1" applyAlignment="1">
      <alignment horizontal="center"/>
    </xf>
    <xf numFmtId="1" fontId="0" fillId="0" borderId="19" xfId="1" applyNumberFormat="1" applyFont="1" applyFill="1" applyBorder="1" applyAlignment="1">
      <alignment horizontal="center"/>
    </xf>
    <xf numFmtId="6" fontId="4" fillId="10" borderId="0" xfId="0" applyNumberFormat="1" applyFont="1" applyFill="1" applyAlignment="1">
      <alignment horizontal="left" vertical="center"/>
    </xf>
    <xf numFmtId="6" fontId="4" fillId="10" borderId="2" xfId="0" applyNumberFormat="1" applyFont="1" applyFill="1" applyBorder="1" applyAlignment="1">
      <alignment horizontal="center" vertical="center"/>
    </xf>
    <xf numFmtId="6" fontId="4" fillId="10" borderId="9" xfId="0" applyNumberFormat="1" applyFont="1" applyFill="1" applyBorder="1" applyAlignment="1">
      <alignment horizontal="left" vertical="center"/>
    </xf>
    <xf numFmtId="44" fontId="7" fillId="10" borderId="22" xfId="2" applyFont="1" applyFill="1" applyBorder="1" applyAlignment="1">
      <alignment vertical="center"/>
    </xf>
    <xf numFmtId="0" fontId="5" fillId="18" borderId="9" xfId="0" applyFont="1" applyFill="1" applyBorder="1" applyAlignment="1">
      <alignment horizontal="center" vertical="center"/>
    </xf>
    <xf numFmtId="0" fontId="5" fillId="18" borderId="5" xfId="0" applyFont="1" applyFill="1" applyBorder="1" applyAlignment="1">
      <alignment horizontal="center" vertical="center"/>
    </xf>
    <xf numFmtId="0" fontId="5" fillId="18" borderId="5" xfId="0" applyFont="1" applyFill="1" applyBorder="1" applyAlignment="1">
      <alignment vertical="center"/>
    </xf>
    <xf numFmtId="0" fontId="5" fillId="18" borderId="9" xfId="0" applyFont="1" applyFill="1" applyBorder="1" applyAlignment="1">
      <alignment vertical="center"/>
    </xf>
    <xf numFmtId="44" fontId="4" fillId="18" borderId="5" xfId="2" applyFont="1" applyFill="1" applyBorder="1" applyAlignment="1">
      <alignment horizontal="left" vertical="center"/>
    </xf>
    <xf numFmtId="44" fontId="5" fillId="18" borderId="9" xfId="2" applyFont="1" applyFill="1" applyBorder="1" applyAlignment="1">
      <alignment vertical="center"/>
    </xf>
    <xf numFmtId="44" fontId="5" fillId="18" borderId="0" xfId="2" applyFont="1" applyFill="1" applyAlignment="1">
      <alignment vertical="center"/>
    </xf>
    <xf numFmtId="44" fontId="5" fillId="18" borderId="5" xfId="2" applyFont="1" applyFill="1" applyBorder="1" applyAlignment="1">
      <alignment vertical="center"/>
    </xf>
    <xf numFmtId="14" fontId="5" fillId="18" borderId="5" xfId="0" applyNumberFormat="1" applyFont="1" applyFill="1" applyBorder="1" applyAlignment="1">
      <alignment vertical="center"/>
    </xf>
    <xf numFmtId="14" fontId="5" fillId="18" borderId="9" xfId="0" applyNumberFormat="1" applyFont="1" applyFill="1" applyBorder="1" applyAlignment="1">
      <alignment vertical="center"/>
    </xf>
    <xf numFmtId="1" fontId="5" fillId="18" borderId="9" xfId="0" applyNumberFormat="1" applyFont="1" applyFill="1" applyBorder="1" applyAlignment="1">
      <alignment horizontal="center" vertical="center"/>
    </xf>
    <xf numFmtId="0" fontId="5" fillId="18" borderId="0" xfId="0" applyFont="1" applyFill="1" applyAlignment="1">
      <alignment vertical="center"/>
    </xf>
    <xf numFmtId="167" fontId="5" fillId="18" borderId="0" xfId="0" applyNumberFormat="1" applyFont="1" applyFill="1" applyAlignment="1">
      <alignment horizontal="center" vertical="center"/>
    </xf>
    <xf numFmtId="0" fontId="5" fillId="18" borderId="2" xfId="0" applyFont="1" applyFill="1" applyBorder="1" applyAlignment="1">
      <alignment horizontal="left" vertical="center"/>
    </xf>
    <xf numFmtId="0" fontId="4" fillId="18" borderId="9" xfId="0" applyFont="1" applyFill="1" applyBorder="1" applyAlignment="1">
      <alignment horizontal="center" vertical="center"/>
    </xf>
    <xf numFmtId="0" fontId="4" fillId="18" borderId="5" xfId="0" applyFont="1" applyFill="1" applyBorder="1" applyAlignment="1">
      <alignment horizontal="center" vertical="center"/>
    </xf>
    <xf numFmtId="0" fontId="4" fillId="18" borderId="5" xfId="0" applyFont="1" applyFill="1" applyBorder="1" applyAlignment="1">
      <alignment vertical="center"/>
    </xf>
    <xf numFmtId="0" fontId="4" fillId="18" borderId="9" xfId="0" applyFont="1" applyFill="1" applyBorder="1" applyAlignment="1">
      <alignment vertical="center"/>
    </xf>
    <xf numFmtId="0" fontId="4" fillId="18" borderId="0" xfId="0" applyFont="1" applyFill="1" applyAlignment="1">
      <alignment horizontal="left" vertical="center"/>
    </xf>
    <xf numFmtId="0" fontId="4" fillId="18" borderId="2" xfId="0" applyFont="1" applyFill="1" applyBorder="1" applyAlignment="1">
      <alignment horizontal="center" vertical="center"/>
    </xf>
    <xf numFmtId="0" fontId="4" fillId="18" borderId="9" xfId="0" applyFont="1" applyFill="1" applyBorder="1" applyAlignment="1">
      <alignment horizontal="left" vertical="center"/>
    </xf>
    <xf numFmtId="44" fontId="4" fillId="18" borderId="5" xfId="2" applyFont="1" applyFill="1" applyBorder="1" applyAlignment="1">
      <alignment vertical="center"/>
    </xf>
    <xf numFmtId="14" fontId="4" fillId="18" borderId="5" xfId="0" applyNumberFormat="1" applyFont="1" applyFill="1" applyBorder="1" applyAlignment="1">
      <alignment vertical="center"/>
    </xf>
    <xf numFmtId="14" fontId="4" fillId="18" borderId="9" xfId="0" applyNumberFormat="1" applyFont="1" applyFill="1" applyBorder="1" applyAlignment="1">
      <alignment vertical="center"/>
    </xf>
    <xf numFmtId="1" fontId="4" fillId="18" borderId="9" xfId="0" applyNumberFormat="1" applyFont="1" applyFill="1" applyBorder="1" applyAlignment="1">
      <alignment horizontal="center" vertical="center"/>
    </xf>
    <xf numFmtId="167" fontId="4" fillId="18" borderId="0" xfId="0" applyNumberFormat="1" applyFont="1" applyFill="1" applyAlignment="1">
      <alignment horizontal="center" vertical="center"/>
    </xf>
    <xf numFmtId="0" fontId="4" fillId="18" borderId="2" xfId="0" applyFont="1" applyFill="1" applyBorder="1" applyAlignment="1">
      <alignment horizontal="left" vertical="center"/>
    </xf>
    <xf numFmtId="0" fontId="5" fillId="18" borderId="0" xfId="0" applyFont="1" applyFill="1" applyAlignment="1">
      <alignment horizontal="left" vertical="center"/>
    </xf>
    <xf numFmtId="44" fontId="5" fillId="18" borderId="5" xfId="2" applyFont="1" applyFill="1" applyBorder="1" applyAlignment="1">
      <alignment horizontal="left" vertical="center"/>
    </xf>
    <xf numFmtId="0" fontId="5" fillId="18" borderId="2" xfId="0" applyFont="1" applyFill="1" applyBorder="1" applyAlignment="1">
      <alignment horizontal="center" vertical="center"/>
    </xf>
    <xf numFmtId="0" fontId="5" fillId="18" borderId="9" xfId="0" applyFont="1" applyFill="1" applyBorder="1" applyAlignment="1">
      <alignment horizontal="left" vertical="center"/>
    </xf>
    <xf numFmtId="0" fontId="5" fillId="10" borderId="2" xfId="0" applyFont="1" applyFill="1" applyBorder="1" applyAlignment="1">
      <alignment horizontal="left" vertical="center" wrapText="1"/>
    </xf>
    <xf numFmtId="0" fontId="4" fillId="0" borderId="53" xfId="0" applyFont="1" applyBorder="1" applyAlignment="1">
      <alignment vertical="center"/>
    </xf>
    <xf numFmtId="44" fontId="7" fillId="10" borderId="0" xfId="2" applyFont="1" applyFill="1" applyBorder="1" applyAlignment="1">
      <alignment vertical="center"/>
    </xf>
    <xf numFmtId="44" fontId="7" fillId="9" borderId="0" xfId="2" applyFont="1" applyFill="1" applyBorder="1" applyAlignment="1">
      <alignment vertical="center"/>
    </xf>
    <xf numFmtId="44" fontId="4" fillId="10" borderId="2" xfId="2" applyFont="1" applyFill="1" applyBorder="1" applyAlignment="1">
      <alignment vertical="center"/>
    </xf>
    <xf numFmtId="0" fontId="8" fillId="7" borderId="0" xfId="0" applyFont="1" applyFill="1" applyAlignment="1">
      <alignment vertical="center"/>
    </xf>
    <xf numFmtId="0" fontId="4" fillId="7" borderId="0" xfId="0" applyFont="1" applyFill="1" applyAlignment="1">
      <alignment horizontal="left" vertical="center"/>
    </xf>
    <xf numFmtId="0" fontId="4" fillId="7" borderId="0" xfId="0" applyFont="1" applyFill="1" applyAlignment="1">
      <alignment horizontal="center" vertical="center"/>
    </xf>
    <xf numFmtId="44" fontId="4" fillId="7" borderId="0" xfId="2" applyFont="1" applyFill="1" applyAlignment="1">
      <alignment vertical="center"/>
    </xf>
    <xf numFmtId="1" fontId="4" fillId="7" borderId="0" xfId="0" applyNumberFormat="1" applyFont="1" applyFill="1" applyAlignment="1">
      <alignment horizontal="center" vertical="center"/>
    </xf>
    <xf numFmtId="167" fontId="4" fillId="7" borderId="0" xfId="0" applyNumberFormat="1" applyFont="1" applyFill="1" applyAlignment="1">
      <alignment horizontal="center" vertical="center"/>
    </xf>
    <xf numFmtId="0" fontId="5" fillId="0" borderId="5" xfId="0" applyFont="1" applyBorder="1" applyAlignment="1">
      <alignment vertical="center"/>
    </xf>
    <xf numFmtId="0" fontId="5" fillId="0" borderId="9" xfId="0" applyFont="1" applyBorder="1" applyAlignment="1">
      <alignment vertical="center"/>
    </xf>
    <xf numFmtId="0" fontId="5" fillId="0" borderId="0" xfId="0" applyFont="1" applyAlignment="1">
      <alignment horizontal="left" vertical="center"/>
    </xf>
    <xf numFmtId="44" fontId="5" fillId="0" borderId="5" xfId="2" applyFont="1" applyBorder="1" applyAlignment="1">
      <alignment horizontal="left" vertical="center"/>
    </xf>
    <xf numFmtId="0" fontId="5" fillId="0" borderId="2" xfId="0" applyFont="1" applyBorder="1" applyAlignment="1">
      <alignment horizontal="center" vertical="center"/>
    </xf>
    <xf numFmtId="14" fontId="5" fillId="0" borderId="5" xfId="0" applyNumberFormat="1" applyFont="1" applyBorder="1" applyAlignment="1">
      <alignment vertical="center"/>
    </xf>
    <xf numFmtId="0" fontId="5" fillId="0" borderId="0" xfId="0" applyFont="1" applyAlignment="1">
      <alignment vertical="center"/>
    </xf>
    <xf numFmtId="0" fontId="5" fillId="0" borderId="2" xfId="0" applyFont="1" applyBorder="1" applyAlignment="1">
      <alignment horizontal="left" vertical="center"/>
    </xf>
    <xf numFmtId="0" fontId="5" fillId="0" borderId="5" xfId="0" applyFont="1" applyBorder="1" applyAlignment="1">
      <alignment horizontal="center" vertical="center"/>
    </xf>
    <xf numFmtId="167" fontId="5" fillId="0" borderId="0" xfId="0" applyNumberFormat="1" applyFont="1" applyAlignment="1">
      <alignment horizontal="center" vertical="center"/>
    </xf>
    <xf numFmtId="0" fontId="5" fillId="0" borderId="9" xfId="3" applyFont="1" applyBorder="1" applyAlignment="1">
      <alignment horizontal="left" vertical="center"/>
    </xf>
    <xf numFmtId="44" fontId="7" fillId="18" borderId="56" xfId="2" applyFont="1" applyFill="1" applyBorder="1" applyAlignment="1">
      <alignment vertical="center"/>
    </xf>
    <xf numFmtId="0" fontId="12" fillId="8" borderId="43" xfId="0" applyFont="1" applyFill="1" applyBorder="1" applyAlignment="1">
      <alignment wrapText="1"/>
    </xf>
    <xf numFmtId="0" fontId="11" fillId="8" borderId="43" xfId="0" applyFont="1" applyFill="1" applyBorder="1" applyAlignment="1">
      <alignment horizontal="center" wrapText="1"/>
    </xf>
    <xf numFmtId="0" fontId="4" fillId="9" borderId="5" xfId="0" applyFont="1" applyFill="1" applyBorder="1" applyAlignment="1">
      <alignment horizontal="center" vertical="center"/>
    </xf>
    <xf numFmtId="0" fontId="4" fillId="9" borderId="0" xfId="0" applyFont="1" applyFill="1" applyAlignment="1">
      <alignment vertical="center"/>
    </xf>
    <xf numFmtId="44" fontId="4" fillId="9" borderId="9" xfId="2" applyFont="1" applyFill="1" applyBorder="1" applyAlignment="1">
      <alignment vertical="center"/>
    </xf>
    <xf numFmtId="44" fontId="4" fillId="9" borderId="2" xfId="2" applyFont="1" applyFill="1" applyBorder="1" applyAlignment="1">
      <alignment vertical="center"/>
    </xf>
    <xf numFmtId="44" fontId="7" fillId="9" borderId="2" xfId="2" applyFont="1" applyFill="1" applyBorder="1" applyAlignment="1">
      <alignment vertical="center"/>
    </xf>
    <xf numFmtId="9" fontId="4" fillId="9" borderId="9" xfId="4" applyFont="1" applyFill="1" applyBorder="1" applyAlignment="1">
      <alignment vertical="center"/>
    </xf>
    <xf numFmtId="44" fontId="4" fillId="9" borderId="9" xfId="2" applyFont="1" applyFill="1" applyBorder="1" applyAlignment="1">
      <alignment horizontal="center" vertical="center"/>
    </xf>
    <xf numFmtId="0" fontId="4" fillId="22" borderId="9" xfId="0" applyFont="1" applyFill="1" applyBorder="1" applyAlignment="1">
      <alignment vertical="center"/>
    </xf>
    <xf numFmtId="0" fontId="4" fillId="0" borderId="0" xfId="0" applyFont="1" applyAlignment="1">
      <alignment horizontal="right" vertical="center"/>
    </xf>
    <xf numFmtId="0" fontId="13" fillId="10" borderId="0" xfId="0" applyFont="1" applyFill="1" applyAlignment="1">
      <alignment horizontal="right" vertical="center"/>
    </xf>
    <xf numFmtId="0" fontId="13" fillId="9" borderId="0" xfId="0" applyFont="1" applyFill="1" applyAlignment="1">
      <alignment horizontal="right" vertical="center"/>
    </xf>
    <xf numFmtId="0" fontId="4" fillId="20" borderId="0" xfId="0" applyFont="1" applyFill="1" applyAlignment="1">
      <alignment horizontal="center" vertical="center"/>
    </xf>
    <xf numFmtId="0" fontId="4" fillId="20" borderId="0" xfId="0" applyFont="1" applyFill="1" applyAlignment="1">
      <alignment horizontal="left" vertical="center"/>
    </xf>
    <xf numFmtId="44" fontId="4" fillId="20" borderId="0" xfId="2" applyFont="1" applyFill="1" applyBorder="1" applyAlignment="1">
      <alignment vertical="center"/>
    </xf>
    <xf numFmtId="0" fontId="4" fillId="13" borderId="5" xfId="0" applyFont="1" applyFill="1" applyBorder="1" applyAlignment="1">
      <alignment vertical="center"/>
    </xf>
    <xf numFmtId="8" fontId="4" fillId="0" borderId="0" xfId="2" applyNumberFormat="1" applyFont="1" applyBorder="1" applyAlignment="1">
      <alignment vertical="center"/>
    </xf>
    <xf numFmtId="6" fontId="4" fillId="18" borderId="0" xfId="0" applyNumberFormat="1" applyFont="1" applyFill="1" applyAlignment="1">
      <alignment horizontal="left" vertical="center"/>
    </xf>
    <xf numFmtId="0" fontId="4" fillId="10" borderId="55" xfId="0" applyFont="1" applyFill="1" applyBorder="1" applyAlignment="1">
      <alignment horizontal="center" vertical="center"/>
    </xf>
    <xf numFmtId="0" fontId="4" fillId="10" borderId="55" xfId="0" applyFont="1" applyFill="1" applyBorder="1" applyAlignment="1">
      <alignment vertical="center"/>
    </xf>
    <xf numFmtId="0" fontId="4" fillId="10" borderId="55" xfId="0" applyFont="1" applyFill="1" applyBorder="1" applyAlignment="1">
      <alignment horizontal="left" vertical="center"/>
    </xf>
    <xf numFmtId="0" fontId="4" fillId="10" borderId="0" xfId="0" applyFont="1" applyFill="1" applyAlignment="1">
      <alignment horizontal="center" vertical="center"/>
    </xf>
    <xf numFmtId="44" fontId="4" fillId="10" borderId="55" xfId="2" applyFont="1" applyFill="1" applyBorder="1" applyAlignment="1">
      <alignment vertical="center"/>
    </xf>
    <xf numFmtId="14" fontId="4" fillId="10" borderId="55" xfId="0" applyNumberFormat="1" applyFont="1" applyFill="1" applyBorder="1" applyAlignment="1">
      <alignment vertical="center"/>
    </xf>
    <xf numFmtId="1" fontId="4" fillId="10" borderId="55" xfId="0" applyNumberFormat="1" applyFont="1" applyFill="1" applyBorder="1" applyAlignment="1">
      <alignment horizontal="center" vertical="center"/>
    </xf>
    <xf numFmtId="167" fontId="5" fillId="10" borderId="55" xfId="0" applyNumberFormat="1" applyFont="1" applyFill="1" applyBorder="1" applyAlignment="1">
      <alignment horizontal="center" vertical="center"/>
    </xf>
    <xf numFmtId="0" fontId="4" fillId="10" borderId="46" xfId="0" applyFont="1" applyFill="1" applyBorder="1" applyAlignment="1">
      <alignment vertical="center" wrapText="1"/>
    </xf>
    <xf numFmtId="0" fontId="7" fillId="0" borderId="0" xfId="0" applyFont="1" applyAlignment="1">
      <alignment horizontal="center"/>
    </xf>
    <xf numFmtId="0" fontId="25" fillId="0" borderId="60" xfId="0" applyFont="1" applyBorder="1" applyAlignment="1">
      <alignment vertical="center"/>
    </xf>
    <xf numFmtId="0" fontId="25" fillId="0" borderId="58" xfId="0" applyFont="1" applyBorder="1" applyAlignment="1">
      <alignment vertical="center"/>
    </xf>
    <xf numFmtId="0" fontId="7" fillId="8" borderId="61" xfId="0" applyFont="1" applyFill="1" applyBorder="1" applyAlignment="1">
      <alignment horizontal="center" vertical="center"/>
    </xf>
    <xf numFmtId="0" fontId="7" fillId="0" borderId="61" xfId="0" applyFont="1" applyBorder="1" applyAlignment="1">
      <alignment horizontal="center" vertical="center"/>
    </xf>
    <xf numFmtId="0" fontId="7" fillId="0" borderId="62" xfId="0" applyFont="1" applyBorder="1" applyAlignment="1">
      <alignment horizontal="center" vertical="center"/>
    </xf>
    <xf numFmtId="0" fontId="7" fillId="8" borderId="59" xfId="0" applyFont="1" applyFill="1" applyBorder="1" applyAlignment="1">
      <alignment horizontal="center" vertical="center"/>
    </xf>
    <xf numFmtId="0" fontId="7" fillId="0" borderId="59" xfId="0" applyFont="1" applyBorder="1" applyAlignment="1">
      <alignment horizontal="center" vertical="center"/>
    </xf>
    <xf numFmtId="0" fontId="7" fillId="0" borderId="63" xfId="0" applyFont="1" applyBorder="1" applyAlignment="1">
      <alignment horizontal="center" vertical="center"/>
    </xf>
    <xf numFmtId="0" fontId="10" fillId="6" borderId="0" xfId="0" applyFont="1" applyFill="1" applyAlignment="1">
      <alignment horizontal="center" wrapText="1"/>
    </xf>
    <xf numFmtId="0" fontId="12" fillId="6" borderId="0" xfId="0" applyFont="1" applyFill="1" applyAlignment="1">
      <alignment horizontal="center" wrapText="1"/>
    </xf>
    <xf numFmtId="0" fontId="1" fillId="23" borderId="0" xfId="0" applyFont="1" applyFill="1" applyAlignment="1">
      <alignment horizontal="center"/>
    </xf>
    <xf numFmtId="0" fontId="4" fillId="18" borderId="2" xfId="0" applyFont="1" applyFill="1" applyBorder="1" applyAlignment="1">
      <alignment horizontal="left" vertical="center" wrapText="1"/>
    </xf>
    <xf numFmtId="0" fontId="13" fillId="18" borderId="36" xfId="0" applyFont="1" applyFill="1" applyBorder="1"/>
    <xf numFmtId="44" fontId="4" fillId="18" borderId="19" xfId="0" applyNumberFormat="1" applyFont="1" applyFill="1" applyBorder="1"/>
    <xf numFmtId="44" fontId="4" fillId="18" borderId="21" xfId="0" applyNumberFormat="1" applyFont="1" applyFill="1" applyBorder="1"/>
    <xf numFmtId="0" fontId="13" fillId="18" borderId="6" xfId="0" applyFont="1" applyFill="1" applyBorder="1"/>
    <xf numFmtId="44" fontId="4" fillId="18" borderId="3" xfId="2" applyFont="1" applyFill="1" applyBorder="1"/>
    <xf numFmtId="44" fontId="4" fillId="18" borderId="4" xfId="0" applyNumberFormat="1" applyFont="1" applyFill="1" applyBorder="1"/>
    <xf numFmtId="10" fontId="4" fillId="8" borderId="0" xfId="4" applyNumberFormat="1" applyFont="1" applyFill="1" applyAlignment="1">
      <alignment horizontal="center" vertical="center"/>
    </xf>
    <xf numFmtId="14" fontId="20" fillId="0" borderId="0" xfId="0" applyNumberFormat="1" applyFont="1" applyAlignment="1">
      <alignment horizontal="center"/>
    </xf>
    <xf numFmtId="0" fontId="20" fillId="0" borderId="0" xfId="0" applyFont="1"/>
    <xf numFmtId="44" fontId="10" fillId="8" borderId="45" xfId="2" applyFont="1" applyFill="1" applyBorder="1" applyAlignment="1">
      <alignment horizontal="center" wrapText="1"/>
    </xf>
    <xf numFmtId="44" fontId="20" fillId="8" borderId="43" xfId="2" applyFont="1" applyFill="1" applyBorder="1" applyAlignment="1">
      <alignment wrapText="1"/>
    </xf>
    <xf numFmtId="44" fontId="12" fillId="8" borderId="43" xfId="2" applyFont="1" applyFill="1" applyBorder="1" applyAlignment="1">
      <alignment horizontal="center" wrapText="1"/>
    </xf>
    <xf numFmtId="44" fontId="20" fillId="8" borderId="0" xfId="2" applyFont="1" applyFill="1"/>
    <xf numFmtId="0" fontId="4" fillId="18" borderId="46" xfId="0" applyFont="1" applyFill="1" applyBorder="1" applyAlignment="1">
      <alignment vertical="center" wrapText="1"/>
    </xf>
    <xf numFmtId="44" fontId="5" fillId="0" borderId="9" xfId="2" applyFont="1" applyFill="1" applyBorder="1" applyAlignment="1">
      <alignment vertical="center"/>
    </xf>
    <xf numFmtId="44" fontId="5" fillId="0" borderId="0" xfId="2" applyFont="1" applyFill="1" applyAlignment="1">
      <alignment vertical="center"/>
    </xf>
    <xf numFmtId="44" fontId="5" fillId="0" borderId="5" xfId="2" applyFont="1" applyFill="1" applyBorder="1" applyAlignment="1">
      <alignment vertical="center"/>
    </xf>
    <xf numFmtId="6" fontId="5" fillId="0" borderId="0" xfId="0" applyNumberFormat="1" applyFont="1" applyAlignment="1">
      <alignment horizontal="left" vertical="center"/>
    </xf>
    <xf numFmtId="6" fontId="5" fillId="0" borderId="2" xfId="0" applyNumberFormat="1" applyFont="1" applyBorder="1" applyAlignment="1">
      <alignment horizontal="center" vertical="center"/>
    </xf>
    <xf numFmtId="6" fontId="5" fillId="0" borderId="9" xfId="0" applyNumberFormat="1" applyFont="1" applyBorder="1" applyAlignment="1">
      <alignment horizontal="left" vertical="center"/>
    </xf>
    <xf numFmtId="44" fontId="4" fillId="2" borderId="9" xfId="2" applyFont="1" applyFill="1" applyBorder="1" applyAlignment="1">
      <alignment horizontal="left" vertical="center"/>
    </xf>
    <xf numFmtId="14" fontId="0" fillId="0" borderId="2" xfId="0" applyNumberFormat="1" applyBorder="1" applyAlignment="1">
      <alignment horizontal="left"/>
    </xf>
    <xf numFmtId="0" fontId="0" fillId="0" borderId="9" xfId="0" applyBorder="1" applyAlignment="1">
      <alignment horizontal="center"/>
    </xf>
    <xf numFmtId="14" fontId="0" fillId="0" borderId="9" xfId="0" applyNumberFormat="1" applyBorder="1" applyAlignment="1">
      <alignment horizontal="center"/>
    </xf>
    <xf numFmtId="14" fontId="0" fillId="0" borderId="9" xfId="0" applyNumberFormat="1" applyBorder="1" applyAlignment="1">
      <alignment horizontal="center" vertical="center"/>
    </xf>
    <xf numFmtId="14" fontId="0" fillId="0" borderId="9" xfId="0" applyNumberFormat="1" applyBorder="1" applyAlignment="1">
      <alignment horizontal="right"/>
    </xf>
    <xf numFmtId="0" fontId="0" fillId="0" borderId="2" xfId="0" applyBorder="1" applyAlignment="1">
      <alignment horizontal="left" wrapText="1"/>
    </xf>
    <xf numFmtId="14" fontId="0" fillId="0" borderId="2" xfId="0" applyNumberFormat="1" applyBorder="1" applyAlignment="1">
      <alignment horizontal="left" wrapText="1"/>
    </xf>
    <xf numFmtId="0" fontId="0" fillId="0" borderId="9" xfId="0" applyBorder="1" applyAlignment="1">
      <alignment wrapText="1"/>
    </xf>
    <xf numFmtId="0" fontId="0" fillId="0" borderId="9" xfId="0" applyBorder="1" applyAlignment="1">
      <alignment horizontal="center" wrapText="1"/>
    </xf>
    <xf numFmtId="14" fontId="0" fillId="0" borderId="9" xfId="0" applyNumberFormat="1" applyBorder="1" applyAlignment="1">
      <alignment wrapText="1"/>
    </xf>
    <xf numFmtId="14" fontId="0" fillId="0" borderId="9" xfId="0" applyNumberFormat="1" applyBorder="1" applyAlignment="1">
      <alignment horizontal="center" wrapText="1"/>
    </xf>
    <xf numFmtId="14" fontId="0" fillId="0" borderId="9" xfId="0" applyNumberFormat="1" applyBorder="1" applyAlignment="1">
      <alignment horizontal="center" vertical="center" wrapText="1"/>
    </xf>
    <xf numFmtId="0" fontId="0" fillId="0" borderId="0" xfId="0" applyAlignment="1">
      <alignment wrapText="1"/>
    </xf>
    <xf numFmtId="0" fontId="0" fillId="0" borderId="9" xfId="0" applyBorder="1" applyAlignment="1">
      <alignment vertical="center" wrapText="1"/>
    </xf>
    <xf numFmtId="0" fontId="0" fillId="0" borderId="0" xfId="0" applyAlignment="1">
      <alignment horizontal="left"/>
    </xf>
    <xf numFmtId="14" fontId="0" fillId="0" borderId="46" xfId="0" applyNumberFormat="1" applyBorder="1" applyAlignment="1">
      <alignment horizontal="center"/>
    </xf>
    <xf numFmtId="0" fontId="0" fillId="0" borderId="41" xfId="0" applyBorder="1"/>
    <xf numFmtId="0" fontId="0" fillId="0" borderId="2" xfId="0" applyBorder="1"/>
    <xf numFmtId="14" fontId="0" fillId="0" borderId="46" xfId="0" applyNumberFormat="1" applyBorder="1" applyAlignment="1">
      <alignment horizontal="left"/>
    </xf>
    <xf numFmtId="14" fontId="0" fillId="0" borderId="55" xfId="0" applyNumberFormat="1" applyBorder="1" applyAlignment="1">
      <alignment horizontal="left"/>
    </xf>
    <xf numFmtId="0" fontId="0" fillId="0" borderId="55" xfId="0" applyBorder="1" applyAlignment="1">
      <alignment horizontal="left"/>
    </xf>
    <xf numFmtId="0" fontId="0" fillId="0" borderId="46" xfId="0" applyBorder="1"/>
    <xf numFmtId="0" fontId="0" fillId="0" borderId="41" xfId="0" applyBorder="1" applyAlignment="1">
      <alignment horizontal="left"/>
    </xf>
    <xf numFmtId="14" fontId="0" fillId="0" borderId="0" xfId="0" applyNumberFormat="1" applyAlignment="1">
      <alignment horizontal="left"/>
    </xf>
    <xf numFmtId="0" fontId="0" fillId="0" borderId="46" xfId="0" applyBorder="1" applyAlignment="1">
      <alignment horizontal="left"/>
    </xf>
    <xf numFmtId="0" fontId="0" fillId="0" borderId="9" xfId="0" applyBorder="1" applyAlignment="1">
      <alignment horizontal="left"/>
    </xf>
    <xf numFmtId="14" fontId="0" fillId="0" borderId="9" xfId="0" applyNumberFormat="1" applyBorder="1" applyAlignment="1">
      <alignment horizontal="left"/>
    </xf>
    <xf numFmtId="0" fontId="0" fillId="0" borderId="2" xfId="0" applyBorder="1" applyAlignment="1">
      <alignment horizontal="center"/>
    </xf>
    <xf numFmtId="0" fontId="0" fillId="0" borderId="55" xfId="0" applyBorder="1"/>
    <xf numFmtId="0" fontId="0" fillId="0" borderId="53" xfId="0" applyBorder="1" applyAlignment="1">
      <alignment horizontal="center"/>
    </xf>
    <xf numFmtId="0" fontId="0" fillId="0" borderId="55" xfId="0" applyBorder="1" applyAlignment="1">
      <alignment horizontal="center"/>
    </xf>
    <xf numFmtId="0" fontId="1" fillId="15" borderId="1" xfId="0" applyFont="1" applyFill="1" applyBorder="1" applyAlignment="1">
      <alignment horizontal="left"/>
    </xf>
    <xf numFmtId="14" fontId="1" fillId="15" borderId="1" xfId="0" applyNumberFormat="1" applyFont="1" applyFill="1" applyBorder="1" applyAlignment="1">
      <alignment horizontal="left"/>
    </xf>
    <xf numFmtId="0" fontId="1" fillId="15" borderId="1" xfId="0" applyFont="1" applyFill="1" applyBorder="1"/>
    <xf numFmtId="0" fontId="1" fillId="15" borderId="1" xfId="0" applyFont="1" applyFill="1" applyBorder="1" applyAlignment="1">
      <alignment horizontal="left" vertical="center"/>
    </xf>
    <xf numFmtId="49" fontId="26" fillId="15" borderId="1" xfId="0" applyNumberFormat="1" applyFont="1" applyFill="1" applyBorder="1" applyAlignment="1">
      <alignment horizontal="left" vertical="center"/>
    </xf>
    <xf numFmtId="49" fontId="26" fillId="15" borderId="1" xfId="0" applyNumberFormat="1" applyFont="1" applyFill="1" applyBorder="1" applyAlignment="1">
      <alignment horizontal="center" vertical="center"/>
    </xf>
    <xf numFmtId="165" fontId="26" fillId="15" borderId="1" xfId="1" applyNumberFormat="1" applyFont="1" applyFill="1" applyBorder="1" applyAlignment="1">
      <alignment horizontal="left" vertical="center"/>
    </xf>
    <xf numFmtId="14" fontId="26" fillId="15" borderId="1" xfId="1" applyNumberFormat="1" applyFont="1" applyFill="1" applyBorder="1" applyAlignment="1">
      <alignment horizontal="center" vertical="center"/>
    </xf>
    <xf numFmtId="14" fontId="26" fillId="15" borderId="1" xfId="1" applyNumberFormat="1" applyFont="1" applyFill="1" applyBorder="1" applyAlignment="1">
      <alignment horizontal="center"/>
    </xf>
    <xf numFmtId="1" fontId="26" fillId="15" borderId="1" xfId="0" applyNumberFormat="1" applyFont="1" applyFill="1" applyBorder="1" applyAlignment="1">
      <alignment horizontal="left" vertical="center"/>
    </xf>
    <xf numFmtId="0" fontId="0" fillId="18" borderId="9" xfId="0" applyFill="1" applyBorder="1" applyAlignment="1">
      <alignment horizontal="left" vertical="center"/>
    </xf>
    <xf numFmtId="14" fontId="0" fillId="18" borderId="9" xfId="0" applyNumberFormat="1" applyFill="1" applyBorder="1" applyAlignment="1">
      <alignment horizontal="left" vertical="center"/>
    </xf>
    <xf numFmtId="0" fontId="0" fillId="18" borderId="9" xfId="0" applyFill="1" applyBorder="1" applyAlignment="1">
      <alignment vertical="center"/>
    </xf>
    <xf numFmtId="0" fontId="0" fillId="18" borderId="9" xfId="0" applyFill="1" applyBorder="1" applyAlignment="1">
      <alignment horizontal="center" vertical="center"/>
    </xf>
    <xf numFmtId="44" fontId="4" fillId="18" borderId="0" xfId="2" applyFont="1" applyFill="1" applyBorder="1" applyAlignment="1">
      <alignment vertical="center"/>
    </xf>
    <xf numFmtId="0" fontId="4" fillId="18" borderId="0" xfId="0" applyFont="1" applyFill="1" applyAlignment="1">
      <alignment horizontal="center" vertical="center"/>
    </xf>
    <xf numFmtId="167" fontId="4" fillId="10" borderId="3" xfId="0" applyNumberFormat="1" applyFont="1" applyFill="1" applyBorder="1" applyAlignment="1">
      <alignment horizontal="center" vertical="center"/>
    </xf>
    <xf numFmtId="0" fontId="4" fillId="10" borderId="4" xfId="0" applyFont="1" applyFill="1" applyBorder="1" applyAlignment="1">
      <alignment horizontal="left" vertical="center"/>
    </xf>
    <xf numFmtId="0" fontId="4" fillId="10" borderId="4" xfId="0" applyFont="1" applyFill="1" applyBorder="1" applyAlignment="1">
      <alignment horizontal="left" vertical="center" wrapText="1"/>
    </xf>
    <xf numFmtId="44" fontId="4" fillId="20" borderId="9" xfId="2" applyFont="1" applyFill="1" applyBorder="1" applyAlignment="1">
      <alignment horizontal="left" vertical="center"/>
    </xf>
    <xf numFmtId="0" fontId="0" fillId="0" borderId="64" xfId="0" applyBorder="1"/>
    <xf numFmtId="0" fontId="0" fillId="0" borderId="9" xfId="0" applyBorder="1" applyAlignment="1">
      <alignment horizontal="center" vertical="center"/>
    </xf>
    <xf numFmtId="0" fontId="4" fillId="20" borderId="41" xfId="0" applyFont="1" applyFill="1" applyBorder="1" applyAlignment="1">
      <alignment vertical="center" wrapText="1"/>
    </xf>
    <xf numFmtId="0" fontId="4" fillId="0" borderId="46" xfId="0" applyFont="1" applyBorder="1" applyAlignment="1">
      <alignment horizontal="center" vertical="center"/>
    </xf>
    <xf numFmtId="0" fontId="4" fillId="0" borderId="41" xfId="0" applyFont="1" applyBorder="1" applyAlignment="1">
      <alignment horizontal="center" vertical="center"/>
    </xf>
    <xf numFmtId="0" fontId="4" fillId="20" borderId="41" xfId="0" applyFont="1" applyFill="1" applyBorder="1" applyAlignment="1">
      <alignment vertical="center"/>
    </xf>
    <xf numFmtId="0" fontId="4" fillId="20" borderId="41" xfId="0" applyFont="1" applyFill="1" applyBorder="1" applyAlignment="1">
      <alignment horizontal="left" vertical="center"/>
    </xf>
    <xf numFmtId="44" fontId="4" fillId="20" borderId="41" xfId="2" applyFont="1" applyFill="1" applyBorder="1" applyAlignment="1">
      <alignment vertical="center"/>
    </xf>
    <xf numFmtId="14" fontId="4" fillId="20" borderId="41" xfId="0" applyNumberFormat="1" applyFont="1" applyFill="1" applyBorder="1" applyAlignment="1">
      <alignment vertical="center"/>
    </xf>
    <xf numFmtId="1" fontId="4" fillId="20" borderId="41" xfId="0" applyNumberFormat="1" applyFont="1" applyFill="1" applyBorder="1" applyAlignment="1">
      <alignment horizontal="center" vertical="center"/>
    </xf>
    <xf numFmtId="0" fontId="5" fillId="20" borderId="41" xfId="0" applyFont="1" applyFill="1" applyBorder="1" applyAlignment="1">
      <alignment vertical="center" wrapText="1"/>
    </xf>
    <xf numFmtId="14" fontId="4" fillId="10" borderId="9" xfId="0" applyNumberFormat="1" applyFont="1" applyFill="1" applyBorder="1" applyAlignment="1">
      <alignment horizontal="right" vertical="center"/>
    </xf>
    <xf numFmtId="0" fontId="5" fillId="10" borderId="55" xfId="0" applyFont="1" applyFill="1" applyBorder="1" applyAlignment="1">
      <alignment vertical="center" wrapText="1"/>
    </xf>
    <xf numFmtId="0" fontId="4" fillId="18" borderId="55" xfId="0" applyFont="1" applyFill="1" applyBorder="1" applyAlignment="1">
      <alignment horizontal="center" vertical="center"/>
    </xf>
    <xf numFmtId="0" fontId="4" fillId="18" borderId="55" xfId="0" applyFont="1" applyFill="1" applyBorder="1" applyAlignment="1">
      <alignment vertical="center"/>
    </xf>
    <xf numFmtId="0" fontId="4" fillId="18" borderId="55" xfId="0" applyFont="1" applyFill="1" applyBorder="1" applyAlignment="1">
      <alignment horizontal="left" vertical="center"/>
    </xf>
    <xf numFmtId="44" fontId="4" fillId="18" borderId="55" xfId="2" applyFont="1" applyFill="1" applyBorder="1" applyAlignment="1">
      <alignment vertical="center"/>
    </xf>
    <xf numFmtId="14" fontId="4" fillId="18" borderId="55" xfId="0" applyNumberFormat="1" applyFont="1" applyFill="1" applyBorder="1" applyAlignment="1">
      <alignment vertical="center"/>
    </xf>
    <xf numFmtId="1" fontId="4" fillId="18" borderId="55" xfId="0" applyNumberFormat="1" applyFont="1" applyFill="1" applyBorder="1" applyAlignment="1">
      <alignment horizontal="center" vertical="center"/>
    </xf>
    <xf numFmtId="0" fontId="5" fillId="18" borderId="55" xfId="0" applyFont="1" applyFill="1" applyBorder="1" applyAlignment="1">
      <alignment vertical="center"/>
    </xf>
    <xf numFmtId="167" fontId="5" fillId="18" borderId="55" xfId="0" applyNumberFormat="1" applyFont="1" applyFill="1" applyBorder="1" applyAlignment="1">
      <alignment horizontal="center" vertical="center"/>
    </xf>
    <xf numFmtId="14" fontId="4" fillId="18" borderId="0" xfId="0" applyNumberFormat="1" applyFont="1" applyFill="1" applyAlignment="1">
      <alignment vertical="center"/>
    </xf>
    <xf numFmtId="44" fontId="7" fillId="9" borderId="41" xfId="2" applyFont="1" applyFill="1" applyBorder="1" applyAlignment="1">
      <alignment vertical="center"/>
    </xf>
    <xf numFmtId="44" fontId="7" fillId="10" borderId="55" xfId="2" applyFont="1" applyFill="1" applyBorder="1" applyAlignment="1">
      <alignment vertical="center"/>
    </xf>
    <xf numFmtId="44" fontId="4" fillId="0" borderId="55" xfId="2" applyFont="1" applyBorder="1" applyAlignment="1">
      <alignment vertical="center"/>
    </xf>
    <xf numFmtId="44" fontId="7" fillId="10" borderId="65" xfId="2" applyFont="1" applyFill="1" applyBorder="1" applyAlignment="1">
      <alignment vertical="center"/>
    </xf>
    <xf numFmtId="44" fontId="4" fillId="0" borderId="64" xfId="2" applyFont="1" applyBorder="1" applyAlignment="1">
      <alignment vertical="center"/>
    </xf>
    <xf numFmtId="44" fontId="4" fillId="0" borderId="66" xfId="2" applyFont="1" applyBorder="1" applyAlignment="1">
      <alignment vertical="center"/>
    </xf>
    <xf numFmtId="44" fontId="7" fillId="9" borderId="21" xfId="2" applyFont="1" applyFill="1" applyBorder="1" applyAlignment="1">
      <alignment horizontal="center" vertical="center"/>
    </xf>
    <xf numFmtId="44" fontId="7" fillId="9" borderId="0" xfId="2" applyFont="1" applyFill="1" applyAlignment="1">
      <alignment horizontal="center" vertical="center"/>
    </xf>
    <xf numFmtId="44" fontId="7" fillId="9" borderId="22" xfId="2" applyFont="1" applyFill="1" applyBorder="1" applyAlignment="1">
      <alignment horizontal="center" vertical="center"/>
    </xf>
    <xf numFmtId="44" fontId="7" fillId="9" borderId="2" xfId="2" applyFont="1" applyFill="1" applyBorder="1" applyAlignment="1">
      <alignment horizontal="center" vertical="center"/>
    </xf>
    <xf numFmtId="44" fontId="4" fillId="24" borderId="2" xfId="2" applyFont="1" applyFill="1" applyBorder="1" applyAlignment="1">
      <alignment vertical="center"/>
    </xf>
    <xf numFmtId="0" fontId="4" fillId="18" borderId="9" xfId="0" applyFont="1" applyFill="1" applyBorder="1" applyAlignment="1">
      <alignment horizontal="left" vertical="center" wrapText="1"/>
    </xf>
    <xf numFmtId="6" fontId="4" fillId="18" borderId="2" xfId="0" applyNumberFormat="1" applyFont="1" applyFill="1" applyBorder="1" applyAlignment="1">
      <alignment horizontal="center" vertical="center"/>
    </xf>
    <xf numFmtId="6" fontId="4" fillId="18" borderId="9" xfId="0" applyNumberFormat="1" applyFont="1" applyFill="1" applyBorder="1" applyAlignment="1">
      <alignment horizontal="left" vertical="center"/>
    </xf>
    <xf numFmtId="0" fontId="4" fillId="10" borderId="10" xfId="0" applyFont="1" applyFill="1" applyBorder="1" applyAlignment="1">
      <alignment horizontal="center" vertical="top"/>
    </xf>
    <xf numFmtId="0" fontId="4" fillId="10" borderId="6" xfId="0" applyFont="1" applyFill="1" applyBorder="1" applyAlignment="1">
      <alignment horizontal="center" vertical="top"/>
    </xf>
    <xf numFmtId="0" fontId="4" fillId="10" borderId="6" xfId="0" applyFont="1" applyFill="1" applyBorder="1" applyAlignment="1">
      <alignment vertical="top"/>
    </xf>
    <xf numFmtId="0" fontId="4" fillId="10" borderId="10" xfId="0" applyFont="1" applyFill="1" applyBorder="1" applyAlignment="1">
      <alignment vertical="top"/>
    </xf>
    <xf numFmtId="0" fontId="4" fillId="10" borderId="3" xfId="0" applyFont="1" applyFill="1" applyBorder="1" applyAlignment="1">
      <alignment horizontal="left" vertical="top"/>
    </xf>
    <xf numFmtId="44" fontId="5" fillId="10" borderId="5" xfId="2" applyFont="1" applyFill="1" applyBorder="1" applyAlignment="1">
      <alignment horizontal="left" vertical="top"/>
    </xf>
    <xf numFmtId="0" fontId="4" fillId="10" borderId="4" xfId="0" applyFont="1" applyFill="1" applyBorder="1" applyAlignment="1">
      <alignment horizontal="center" vertical="top"/>
    </xf>
    <xf numFmtId="0" fontId="4" fillId="10" borderId="10" xfId="0" applyFont="1" applyFill="1" applyBorder="1" applyAlignment="1">
      <alignment horizontal="left" vertical="top"/>
    </xf>
    <xf numFmtId="44" fontId="4" fillId="10" borderId="10" xfId="2" applyFont="1" applyFill="1" applyBorder="1" applyAlignment="1">
      <alignment vertical="top"/>
    </xf>
    <xf numFmtId="44" fontId="4" fillId="10" borderId="3" xfId="2" applyFont="1" applyFill="1" applyBorder="1" applyAlignment="1">
      <alignment vertical="top"/>
    </xf>
    <xf numFmtId="44" fontId="4" fillId="10" borderId="6" xfId="2" applyFont="1" applyFill="1" applyBorder="1" applyAlignment="1">
      <alignment vertical="top"/>
    </xf>
    <xf numFmtId="14" fontId="4" fillId="10" borderId="6" xfId="0" applyNumberFormat="1" applyFont="1" applyFill="1" applyBorder="1" applyAlignment="1">
      <alignment vertical="top"/>
    </xf>
    <xf numFmtId="14" fontId="4" fillId="10" borderId="10" xfId="0" applyNumberFormat="1" applyFont="1" applyFill="1" applyBorder="1" applyAlignment="1">
      <alignment vertical="top"/>
    </xf>
    <xf numFmtId="0" fontId="4" fillId="10" borderId="3" xfId="0" applyFont="1" applyFill="1" applyBorder="1" applyAlignment="1">
      <alignment vertical="top"/>
    </xf>
    <xf numFmtId="0" fontId="4" fillId="8" borderId="21" xfId="0" applyFont="1" applyFill="1" applyBorder="1" applyAlignment="1">
      <alignment horizontal="center" vertical="center"/>
    </xf>
    <xf numFmtId="0" fontId="4" fillId="8" borderId="2" xfId="0" applyFont="1" applyFill="1" applyBorder="1" applyAlignment="1">
      <alignment horizontal="center" vertical="center"/>
    </xf>
    <xf numFmtId="44" fontId="4" fillId="8" borderId="2" xfId="2" applyFont="1" applyFill="1" applyBorder="1" applyAlignment="1">
      <alignment horizontal="center" vertical="center"/>
    </xf>
    <xf numFmtId="10" fontId="4" fillId="8" borderId="2" xfId="4" applyNumberFormat="1" applyFont="1" applyFill="1" applyBorder="1" applyAlignment="1">
      <alignment horizontal="center" vertical="center"/>
    </xf>
    <xf numFmtId="0" fontId="4" fillId="8" borderId="4" xfId="0" applyFont="1" applyFill="1" applyBorder="1" applyAlignment="1">
      <alignment horizontal="center" vertical="center"/>
    </xf>
    <xf numFmtId="0" fontId="4" fillId="18" borderId="19" xfId="0" applyFont="1" applyFill="1" applyBorder="1" applyAlignment="1">
      <alignment horizontal="center" vertical="center"/>
    </xf>
    <xf numFmtId="44" fontId="4" fillId="18" borderId="0" xfId="2" applyFont="1" applyFill="1" applyAlignment="1">
      <alignment horizontal="center" vertical="center"/>
    </xf>
    <xf numFmtId="10" fontId="4" fillId="18" borderId="0" xfId="4" applyNumberFormat="1" applyFont="1" applyFill="1" applyAlignment="1">
      <alignment horizontal="center" vertical="center"/>
    </xf>
    <xf numFmtId="0" fontId="4" fillId="18" borderId="3" xfId="0" applyFont="1" applyFill="1" applyBorder="1" applyAlignment="1">
      <alignment horizontal="center" vertical="center"/>
    </xf>
    <xf numFmtId="166" fontId="4" fillId="18" borderId="0" xfId="2" applyNumberFormat="1" applyFont="1" applyFill="1" applyAlignment="1">
      <alignment horizontal="center" vertical="center"/>
    </xf>
    <xf numFmtId="8" fontId="4" fillId="18" borderId="3" xfId="0" applyNumberFormat="1" applyFont="1" applyFill="1" applyBorder="1" applyAlignment="1">
      <alignment horizontal="center" vertical="center"/>
    </xf>
    <xf numFmtId="2" fontId="4" fillId="18" borderId="0" xfId="0" applyNumberFormat="1" applyFont="1" applyFill="1" applyAlignment="1">
      <alignment horizontal="center" vertical="center"/>
    </xf>
    <xf numFmtId="8" fontId="4" fillId="18" borderId="0" xfId="2" applyNumberFormat="1" applyFont="1" applyFill="1" applyAlignment="1">
      <alignment horizontal="center" vertical="center"/>
    </xf>
    <xf numFmtId="10" fontId="4" fillId="18" borderId="0" xfId="2" applyNumberFormat="1" applyFont="1" applyFill="1" applyAlignment="1">
      <alignment horizontal="center" vertical="center"/>
    </xf>
    <xf numFmtId="44" fontId="4" fillId="18" borderId="3" xfId="2" applyFont="1" applyFill="1" applyBorder="1" applyAlignment="1">
      <alignment horizontal="center" vertical="center"/>
    </xf>
    <xf numFmtId="44" fontId="4" fillId="0" borderId="0" xfId="0" applyNumberFormat="1" applyFont="1"/>
    <xf numFmtId="1" fontId="4" fillId="0" borderId="11" xfId="0" applyNumberFormat="1" applyFont="1" applyBorder="1"/>
    <xf numFmtId="0" fontId="7" fillId="25" borderId="12" xfId="0" applyFont="1" applyFill="1" applyBorder="1"/>
    <xf numFmtId="44" fontId="4" fillId="10" borderId="36" xfId="2" applyFont="1" applyFill="1" applyBorder="1" applyAlignment="1">
      <alignment vertical="center"/>
    </xf>
    <xf numFmtId="44" fontId="5" fillId="20" borderId="9" xfId="2" applyFont="1" applyFill="1" applyBorder="1" applyAlignment="1">
      <alignment vertical="center"/>
    </xf>
    <xf numFmtId="0" fontId="4" fillId="20" borderId="9" xfId="0" applyFont="1" applyFill="1" applyBorder="1" applyAlignment="1">
      <alignment horizontal="center" vertical="center"/>
    </xf>
    <xf numFmtId="0" fontId="4" fillId="20" borderId="5" xfId="0" applyFont="1" applyFill="1" applyBorder="1" applyAlignment="1">
      <alignment horizontal="center" vertical="center"/>
    </xf>
    <xf numFmtId="0" fontId="4" fillId="20" borderId="5" xfId="0" applyFont="1" applyFill="1" applyBorder="1" applyAlignment="1">
      <alignment vertical="center"/>
    </xf>
    <xf numFmtId="0" fontId="4" fillId="20" borderId="9" xfId="0" applyFont="1" applyFill="1" applyBorder="1" applyAlignment="1">
      <alignment vertical="center"/>
    </xf>
    <xf numFmtId="0" fontId="4" fillId="20" borderId="2" xfId="0" applyFont="1" applyFill="1" applyBorder="1" applyAlignment="1">
      <alignment horizontal="center" vertical="center"/>
    </xf>
    <xf numFmtId="0" fontId="4" fillId="20" borderId="9" xfId="0" applyFont="1" applyFill="1" applyBorder="1" applyAlignment="1">
      <alignment horizontal="left" vertical="center"/>
    </xf>
    <xf numFmtId="44" fontId="4" fillId="20" borderId="9" xfId="2" applyFont="1" applyFill="1" applyBorder="1" applyAlignment="1">
      <alignment vertical="center"/>
    </xf>
    <xf numFmtId="44" fontId="4" fillId="20" borderId="0" xfId="2" applyFont="1" applyFill="1" applyAlignment="1">
      <alignment vertical="center"/>
    </xf>
    <xf numFmtId="44" fontId="4" fillId="20" borderId="5" xfId="2" applyFont="1" applyFill="1" applyBorder="1" applyAlignment="1">
      <alignment vertical="center"/>
    </xf>
    <xf numFmtId="14" fontId="4" fillId="20" borderId="5" xfId="0" applyNumberFormat="1" applyFont="1" applyFill="1" applyBorder="1" applyAlignment="1">
      <alignment vertical="center"/>
    </xf>
    <xf numFmtId="14" fontId="4" fillId="20" borderId="9" xfId="0" applyNumberFormat="1" applyFont="1" applyFill="1" applyBorder="1" applyAlignment="1">
      <alignment vertical="center"/>
    </xf>
    <xf numFmtId="1" fontId="4" fillId="20" borderId="9" xfId="0" applyNumberFormat="1" applyFont="1" applyFill="1" applyBorder="1" applyAlignment="1">
      <alignment horizontal="center" vertical="center"/>
    </xf>
    <xf numFmtId="0" fontId="4" fillId="20" borderId="0" xfId="0" applyFont="1" applyFill="1" applyAlignment="1">
      <alignment vertical="center"/>
    </xf>
    <xf numFmtId="0" fontId="4" fillId="20" borderId="2" xfId="0" applyFont="1" applyFill="1" applyBorder="1" applyAlignment="1">
      <alignment horizontal="left" vertical="center"/>
    </xf>
    <xf numFmtId="167" fontId="4" fillId="20" borderId="0" xfId="0" applyNumberFormat="1" applyFont="1" applyFill="1" applyAlignment="1">
      <alignment horizontal="center" vertical="center"/>
    </xf>
    <xf numFmtId="17" fontId="0" fillId="0" borderId="9" xfId="0" applyNumberFormat="1" applyBorder="1"/>
    <xf numFmtId="169" fontId="0" fillId="0" borderId="9" xfId="0" applyNumberFormat="1" applyBorder="1" applyAlignment="1">
      <alignment horizontal="left"/>
    </xf>
    <xf numFmtId="6" fontId="4" fillId="20" borderId="0" xfId="0" applyNumberFormat="1" applyFont="1" applyFill="1" applyAlignment="1">
      <alignment horizontal="left" vertical="center"/>
    </xf>
    <xf numFmtId="0" fontId="4" fillId="20" borderId="2" xfId="0" applyFont="1" applyFill="1" applyBorder="1" applyAlignment="1">
      <alignment horizontal="left" vertical="center" wrapText="1"/>
    </xf>
    <xf numFmtId="0" fontId="13" fillId="0" borderId="67" xfId="0" applyFont="1" applyBorder="1" applyAlignment="1">
      <alignment vertical="center"/>
    </xf>
    <xf numFmtId="0" fontId="4" fillId="8" borderId="68" xfId="0" applyFont="1" applyFill="1" applyBorder="1" applyAlignment="1">
      <alignment horizontal="center" vertical="center"/>
    </xf>
    <xf numFmtId="0" fontId="4" fillId="0" borderId="68" xfId="0" applyFont="1" applyBorder="1" applyAlignment="1">
      <alignment horizontal="center" vertical="center"/>
    </xf>
    <xf numFmtId="0" fontId="4" fillId="0" borderId="69" xfId="0" applyFont="1" applyBorder="1" applyAlignment="1">
      <alignment horizontal="center" vertical="center"/>
    </xf>
    <xf numFmtId="0" fontId="27" fillId="0" borderId="0" xfId="0" applyFont="1"/>
    <xf numFmtId="0" fontId="0" fillId="0" borderId="70" xfId="0" applyBorder="1" applyAlignment="1">
      <alignment horizontal="center" vertical="center" wrapText="1"/>
    </xf>
    <xf numFmtId="0" fontId="0" fillId="0" borderId="71" xfId="0" applyBorder="1" applyAlignment="1">
      <alignment horizontal="center" vertical="center" wrapText="1"/>
    </xf>
    <xf numFmtId="10" fontId="4" fillId="2" borderId="0" xfId="0" applyNumberFormat="1" applyFont="1" applyFill="1" applyAlignment="1">
      <alignment horizontal="left" vertical="center"/>
    </xf>
    <xf numFmtId="0" fontId="8" fillId="7" borderId="72" xfId="0" applyFont="1" applyFill="1" applyBorder="1" applyAlignment="1">
      <alignment vertical="center"/>
    </xf>
    <xf numFmtId="14" fontId="4" fillId="20" borderId="5" xfId="0" applyNumberFormat="1" applyFont="1" applyFill="1" applyBorder="1" applyAlignment="1">
      <alignment horizontal="right" vertical="center"/>
    </xf>
    <xf numFmtId="0" fontId="8" fillId="7" borderId="55" xfId="0" applyFont="1" applyFill="1" applyBorder="1" applyAlignment="1">
      <alignment vertical="center"/>
    </xf>
    <xf numFmtId="44" fontId="4" fillId="0" borderId="2" xfId="2" applyFont="1" applyFill="1" applyBorder="1" applyAlignment="1">
      <alignment vertical="center"/>
    </xf>
    <xf numFmtId="44" fontId="5" fillId="0" borderId="55" xfId="2" applyFont="1" applyFill="1" applyBorder="1" applyAlignment="1">
      <alignment vertical="center"/>
    </xf>
    <xf numFmtId="6" fontId="4" fillId="10" borderId="55" xfId="2" applyNumberFormat="1" applyFont="1" applyFill="1" applyBorder="1" applyAlignment="1">
      <alignment vertical="center"/>
    </xf>
    <xf numFmtId="44" fontId="5" fillId="18" borderId="55" xfId="2" applyFont="1" applyFill="1" applyBorder="1" applyAlignment="1">
      <alignment vertical="center"/>
    </xf>
    <xf numFmtId="44" fontId="4" fillId="2" borderId="55" xfId="2" applyFont="1" applyFill="1" applyBorder="1" applyAlignment="1">
      <alignment vertical="center"/>
    </xf>
    <xf numFmtId="44" fontId="5" fillId="0" borderId="55" xfId="2" applyFont="1" applyBorder="1" applyAlignment="1">
      <alignment vertical="center"/>
    </xf>
    <xf numFmtId="44" fontId="5" fillId="10" borderId="55" xfId="2" applyFont="1" applyFill="1" applyBorder="1" applyAlignment="1">
      <alignment vertical="center"/>
    </xf>
    <xf numFmtId="6" fontId="4" fillId="18" borderId="55" xfId="2" applyNumberFormat="1" applyFont="1" applyFill="1" applyBorder="1" applyAlignment="1">
      <alignment vertical="center"/>
    </xf>
    <xf numFmtId="44" fontId="4" fillId="10" borderId="73" xfId="2" applyFont="1" applyFill="1" applyBorder="1" applyAlignment="1">
      <alignment vertical="top"/>
    </xf>
    <xf numFmtId="44" fontId="4" fillId="10" borderId="46" xfId="2" applyFont="1" applyFill="1" applyBorder="1" applyAlignment="1">
      <alignment vertical="center"/>
    </xf>
    <xf numFmtId="44" fontId="4" fillId="18" borderId="46" xfId="2" applyFont="1" applyFill="1" applyBorder="1" applyAlignment="1">
      <alignment vertical="center"/>
    </xf>
    <xf numFmtId="44" fontId="5" fillId="18" borderId="46" xfId="2" applyFont="1" applyFill="1" applyBorder="1" applyAlignment="1">
      <alignment vertical="center"/>
    </xf>
    <xf numFmtId="44" fontId="4" fillId="2" borderId="46" xfId="2" applyFont="1" applyFill="1" applyBorder="1" applyAlignment="1">
      <alignment vertical="center"/>
    </xf>
    <xf numFmtId="44" fontId="5" fillId="10" borderId="46" xfId="2" applyFont="1" applyFill="1" applyBorder="1" applyAlignment="1">
      <alignment vertical="center"/>
    </xf>
    <xf numFmtId="44" fontId="4" fillId="0" borderId="55" xfId="2" applyFont="1" applyFill="1" applyBorder="1" applyAlignment="1">
      <alignment vertical="center"/>
    </xf>
    <xf numFmtId="44" fontId="4" fillId="20" borderId="55" xfId="2" applyFont="1" applyFill="1" applyBorder="1" applyAlignment="1">
      <alignment vertical="center"/>
    </xf>
    <xf numFmtId="44" fontId="4" fillId="20" borderId="46" xfId="2" applyFont="1" applyFill="1" applyBorder="1" applyAlignment="1">
      <alignment vertical="center"/>
    </xf>
    <xf numFmtId="44" fontId="4" fillId="20" borderId="5" xfId="2" applyFont="1" applyFill="1" applyBorder="1" applyAlignment="1">
      <alignment horizontal="left" vertical="center"/>
    </xf>
    <xf numFmtId="14" fontId="4" fillId="20" borderId="0" xfId="0" applyNumberFormat="1" applyFont="1" applyFill="1" applyAlignment="1">
      <alignment vertical="center"/>
    </xf>
    <xf numFmtId="10" fontId="4" fillId="2" borderId="2" xfId="0" applyNumberFormat="1" applyFont="1" applyFill="1" applyBorder="1" applyAlignment="1">
      <alignment horizontal="center" vertical="center"/>
    </xf>
    <xf numFmtId="10" fontId="4" fillId="2" borderId="9" xfId="0" applyNumberFormat="1" applyFont="1" applyFill="1" applyBorder="1" applyAlignment="1">
      <alignment horizontal="left" vertical="center"/>
    </xf>
    <xf numFmtId="44" fontId="4" fillId="27" borderId="75" xfId="2" applyFont="1" applyFill="1" applyBorder="1" applyAlignment="1">
      <alignment horizontal="left" vertical="center"/>
    </xf>
    <xf numFmtId="44" fontId="4" fillId="0" borderId="73" xfId="2" applyFont="1" applyBorder="1" applyAlignment="1">
      <alignment vertical="center"/>
    </xf>
    <xf numFmtId="44" fontId="4" fillId="8" borderId="0" xfId="0" applyNumberFormat="1" applyFont="1" applyFill="1" applyAlignment="1">
      <alignment horizontal="center" vertical="center"/>
    </xf>
    <xf numFmtId="0" fontId="10" fillId="20" borderId="1" xfId="0" applyFont="1" applyFill="1" applyBorder="1" applyAlignment="1">
      <alignment wrapText="1"/>
    </xf>
    <xf numFmtId="0" fontId="20" fillId="20" borderId="0" xfId="0" applyFont="1" applyFill="1"/>
    <xf numFmtId="0" fontId="20" fillId="20" borderId="0" xfId="0" applyFont="1" applyFill="1" applyAlignment="1">
      <alignment wrapText="1"/>
    </xf>
    <xf numFmtId="0" fontId="12" fillId="20" borderId="0" xfId="0" applyFont="1" applyFill="1" applyAlignment="1">
      <alignment wrapText="1"/>
    </xf>
    <xf numFmtId="0" fontId="0" fillId="20" borderId="0" xfId="0" applyFill="1"/>
    <xf numFmtId="0" fontId="0" fillId="0" borderId="41" xfId="0" applyBorder="1" applyAlignment="1">
      <alignment horizontal="center"/>
    </xf>
    <xf numFmtId="6" fontId="0" fillId="0" borderId="0" xfId="0" applyNumberFormat="1" applyAlignment="1">
      <alignment horizontal="center"/>
    </xf>
    <xf numFmtId="14" fontId="0" fillId="0" borderId="41" xfId="0" applyNumberFormat="1" applyBorder="1" applyAlignment="1">
      <alignment horizontal="center"/>
    </xf>
    <xf numFmtId="0" fontId="0" fillId="2" borderId="0" xfId="0" applyFill="1" applyAlignment="1">
      <alignment horizontal="left"/>
    </xf>
    <xf numFmtId="0" fontId="0" fillId="2" borderId="0" xfId="0" applyFill="1"/>
    <xf numFmtId="0" fontId="0" fillId="2" borderId="0" xfId="0" applyFill="1" applyAlignment="1">
      <alignment horizontal="center"/>
    </xf>
    <xf numFmtId="0" fontId="0" fillId="2" borderId="41" xfId="0" applyFill="1" applyBorder="1" applyAlignment="1">
      <alignment horizontal="center"/>
    </xf>
    <xf numFmtId="0" fontId="13" fillId="13" borderId="5" xfId="0" applyFont="1" applyFill="1" applyBorder="1" applyAlignment="1">
      <alignment horizontal="center" vertical="center"/>
    </xf>
    <xf numFmtId="0" fontId="13" fillId="13" borderId="0" xfId="0" applyFont="1" applyFill="1" applyAlignment="1">
      <alignment vertical="center"/>
    </xf>
    <xf numFmtId="44" fontId="13" fillId="13" borderId="9" xfId="2" applyFont="1" applyFill="1" applyBorder="1" applyAlignment="1">
      <alignment vertical="center"/>
    </xf>
    <xf numFmtId="44" fontId="13" fillId="13" borderId="0" xfId="2" applyFont="1" applyFill="1" applyBorder="1" applyAlignment="1">
      <alignment vertical="center"/>
    </xf>
    <xf numFmtId="44" fontId="13" fillId="13" borderId="64" xfId="2" applyFont="1" applyFill="1" applyBorder="1" applyAlignment="1">
      <alignment vertical="center"/>
    </xf>
    <xf numFmtId="44" fontId="13" fillId="13" borderId="55" xfId="2" applyFont="1" applyFill="1" applyBorder="1" applyAlignment="1">
      <alignment vertical="center"/>
    </xf>
    <xf numFmtId="44" fontId="13" fillId="13" borderId="2" xfId="2" applyFont="1" applyFill="1" applyBorder="1" applyAlignment="1">
      <alignment horizontal="center" vertical="center"/>
    </xf>
    <xf numFmtId="44" fontId="13" fillId="13" borderId="0" xfId="2" applyFont="1" applyFill="1" applyAlignment="1">
      <alignment horizontal="center" vertical="center"/>
    </xf>
    <xf numFmtId="44" fontId="13" fillId="13" borderId="9" xfId="2" applyFont="1" applyFill="1" applyBorder="1" applyAlignment="1">
      <alignment horizontal="center" vertical="center"/>
    </xf>
    <xf numFmtId="14" fontId="20" fillId="0" borderId="0" xfId="0" applyNumberFormat="1" applyFont="1" applyAlignment="1">
      <alignment horizontal="center" wrapText="1"/>
    </xf>
    <xf numFmtId="0" fontId="32" fillId="0" borderId="0" xfId="0" applyFont="1"/>
    <xf numFmtId="14" fontId="32" fillId="20" borderId="77" xfId="0" applyNumberFormat="1" applyFont="1" applyFill="1" applyBorder="1" applyAlignment="1">
      <alignment wrapText="1"/>
    </xf>
    <xf numFmtId="0" fontId="4" fillId="8" borderId="41" xfId="0" applyFont="1" applyFill="1" applyBorder="1" applyAlignment="1">
      <alignment horizontal="center" vertical="center"/>
    </xf>
    <xf numFmtId="0" fontId="4" fillId="8" borderId="41" xfId="0" applyFont="1" applyFill="1" applyBorder="1" applyAlignment="1">
      <alignment horizontal="center" vertical="center" wrapText="1"/>
    </xf>
    <xf numFmtId="166" fontId="4" fillId="8" borderId="41" xfId="2" applyNumberFormat="1" applyFont="1" applyFill="1" applyBorder="1" applyAlignment="1">
      <alignment horizontal="center" vertical="center"/>
    </xf>
    <xf numFmtId="44" fontId="4" fillId="8" borderId="41" xfId="2" applyFont="1" applyFill="1" applyBorder="1" applyAlignment="1">
      <alignment horizontal="center" vertical="center"/>
    </xf>
    <xf numFmtId="10" fontId="4" fillId="8" borderId="41" xfId="4" applyNumberFormat="1" applyFont="1" applyFill="1" applyBorder="1" applyAlignment="1">
      <alignment horizontal="center" vertical="center"/>
    </xf>
    <xf numFmtId="16" fontId="4" fillId="8" borderId="41" xfId="0" applyNumberFormat="1" applyFont="1" applyFill="1" applyBorder="1" applyAlignment="1">
      <alignment horizontal="center" vertical="center"/>
    </xf>
    <xf numFmtId="1" fontId="4" fillId="8" borderId="41" xfId="0" applyNumberFormat="1" applyFont="1" applyFill="1" applyBorder="1" applyAlignment="1">
      <alignment horizontal="center" vertical="center"/>
    </xf>
    <xf numFmtId="44" fontId="4" fillId="8" borderId="78" xfId="0" applyNumberFormat="1" applyFont="1" applyFill="1" applyBorder="1" applyAlignment="1">
      <alignment horizontal="center" vertical="center"/>
    </xf>
    <xf numFmtId="0" fontId="7" fillId="25" borderId="11" xfId="0" applyFont="1" applyFill="1" applyBorder="1" applyAlignment="1">
      <alignment vertical="center"/>
    </xf>
    <xf numFmtId="1" fontId="4" fillId="0" borderId="13" xfId="0" applyNumberFormat="1" applyFont="1" applyBorder="1" applyAlignment="1">
      <alignment vertical="center"/>
    </xf>
    <xf numFmtId="0" fontId="7" fillId="5" borderId="12" xfId="0" applyFont="1" applyFill="1" applyBorder="1" applyAlignment="1">
      <alignment vertical="center"/>
    </xf>
    <xf numFmtId="44" fontId="4" fillId="0" borderId="11" xfId="2" applyFont="1" applyBorder="1" applyAlignment="1">
      <alignment vertical="center"/>
    </xf>
    <xf numFmtId="0" fontId="7" fillId="5" borderId="11" xfId="0" applyFont="1" applyFill="1" applyBorder="1" applyAlignment="1">
      <alignment vertical="center"/>
    </xf>
    <xf numFmtId="0" fontId="7" fillId="26" borderId="11" xfId="0" applyFont="1" applyFill="1" applyBorder="1" applyAlignment="1">
      <alignment vertical="center"/>
    </xf>
    <xf numFmtId="0" fontId="7" fillId="19" borderId="11" xfId="0" applyFont="1" applyFill="1" applyBorder="1" applyAlignment="1">
      <alignment vertical="center"/>
    </xf>
    <xf numFmtId="44" fontId="4" fillId="0" borderId="13" xfId="2" applyFont="1" applyBorder="1" applyAlignment="1">
      <alignment vertical="center"/>
    </xf>
    <xf numFmtId="44" fontId="34" fillId="0" borderId="2" xfId="2" applyFont="1" applyBorder="1" applyAlignment="1">
      <alignment vertical="center"/>
    </xf>
    <xf numFmtId="0" fontId="0" fillId="0" borderId="53" xfId="0" applyBorder="1" applyAlignment="1">
      <alignment horizontal="left"/>
    </xf>
    <xf numFmtId="0" fontId="35" fillId="0" borderId="0" xfId="0" applyFont="1" applyAlignment="1">
      <alignment horizontal="left" vertical="center" wrapText="1"/>
    </xf>
    <xf numFmtId="0" fontId="0" fillId="0" borderId="3" xfId="0" applyBorder="1"/>
    <xf numFmtId="0" fontId="29" fillId="22" borderId="0" xfId="0" applyFont="1" applyFill="1" applyAlignment="1">
      <alignment horizontal="left"/>
    </xf>
    <xf numFmtId="0" fontId="29" fillId="22" borderId="0" xfId="0" applyFont="1" applyFill="1"/>
    <xf numFmtId="0" fontId="29" fillId="22" borderId="0" xfId="0" applyFont="1" applyFill="1" applyAlignment="1">
      <alignment horizontal="center"/>
    </xf>
    <xf numFmtId="0" fontId="29" fillId="22" borderId="41" xfId="0" applyFont="1" applyFill="1" applyBorder="1" applyAlignment="1">
      <alignment horizontal="center"/>
    </xf>
    <xf numFmtId="0" fontId="0" fillId="22" borderId="0" xfId="0" applyFill="1"/>
    <xf numFmtId="0" fontId="17" fillId="22" borderId="0" xfId="0" applyFont="1" applyFill="1" applyAlignment="1">
      <alignment horizontal="left"/>
    </xf>
    <xf numFmtId="0" fontId="17" fillId="22" borderId="0" xfId="0" applyFont="1" applyFill="1"/>
    <xf numFmtId="0" fontId="17" fillId="22" borderId="0" xfId="0" applyFont="1" applyFill="1" applyAlignment="1">
      <alignment horizontal="center"/>
    </xf>
    <xf numFmtId="0" fontId="0" fillId="22" borderId="9" xfId="0" applyFill="1" applyBorder="1"/>
    <xf numFmtId="0" fontId="0" fillId="20" borderId="9" xfId="0" applyFill="1" applyBorder="1"/>
    <xf numFmtId="0" fontId="0" fillId="0" borderId="73" xfId="0" applyBorder="1"/>
    <xf numFmtId="0" fontId="0" fillId="0" borderId="10" xfId="0" applyBorder="1"/>
    <xf numFmtId="0" fontId="36" fillId="0" borderId="10" xfId="0" applyFont="1" applyBorder="1"/>
    <xf numFmtId="49" fontId="0" fillId="0" borderId="0" xfId="0" applyNumberFormat="1"/>
    <xf numFmtId="49" fontId="0" fillId="0" borderId="9" xfId="0" applyNumberFormat="1" applyBorder="1"/>
    <xf numFmtId="49" fontId="0" fillId="22" borderId="0" xfId="0" applyNumberFormat="1" applyFill="1"/>
    <xf numFmtId="49" fontId="0" fillId="22" borderId="9" xfId="0" applyNumberFormat="1" applyFill="1" applyBorder="1"/>
    <xf numFmtId="49" fontId="0" fillId="20" borderId="0" xfId="0" applyNumberFormat="1" applyFill="1"/>
    <xf numFmtId="49" fontId="0" fillId="0" borderId="3" xfId="0" applyNumberFormat="1" applyBorder="1"/>
    <xf numFmtId="49" fontId="0" fillId="0" borderId="10" xfId="0" applyNumberFormat="1" applyBorder="1"/>
    <xf numFmtId="0" fontId="36" fillId="0" borderId="9" xfId="0" applyFont="1" applyBorder="1"/>
    <xf numFmtId="0" fontId="36" fillId="22" borderId="9" xfId="0" applyFont="1" applyFill="1" applyBorder="1"/>
    <xf numFmtId="0" fontId="37" fillId="0" borderId="9" xfId="0" applyFont="1" applyBorder="1"/>
    <xf numFmtId="0" fontId="36" fillId="0" borderId="5" xfId="0" applyFont="1" applyBorder="1"/>
    <xf numFmtId="0" fontId="36" fillId="22" borderId="5" xfId="0" applyFont="1" applyFill="1" applyBorder="1"/>
    <xf numFmtId="0" fontId="36" fillId="0" borderId="6" xfId="0" applyFont="1" applyBorder="1"/>
    <xf numFmtId="0" fontId="0" fillId="0" borderId="3" xfId="0" applyBorder="1" applyAlignment="1">
      <alignment horizontal="left"/>
    </xf>
    <xf numFmtId="0" fontId="0" fillId="0" borderId="3" xfId="0" applyBorder="1" applyAlignment="1">
      <alignment horizontal="center"/>
    </xf>
    <xf numFmtId="6" fontId="0" fillId="0" borderId="3" xfId="0" applyNumberFormat="1" applyBorder="1" applyAlignment="1">
      <alignment horizontal="center"/>
    </xf>
    <xf numFmtId="14" fontId="0" fillId="0" borderId="78" xfId="0" applyNumberFormat="1" applyBorder="1" applyAlignment="1">
      <alignment horizontal="center"/>
    </xf>
    <xf numFmtId="0" fontId="4" fillId="10" borderId="46" xfId="0" applyFont="1" applyFill="1" applyBorder="1" applyAlignment="1">
      <alignment vertical="center"/>
    </xf>
    <xf numFmtId="0" fontId="4" fillId="10" borderId="46" xfId="0" applyFont="1" applyFill="1" applyBorder="1" applyAlignment="1">
      <alignment horizontal="left" vertical="center" wrapText="1"/>
    </xf>
    <xf numFmtId="0" fontId="4" fillId="10" borderId="46" xfId="0" applyFont="1" applyFill="1" applyBorder="1" applyAlignment="1">
      <alignment horizontal="left" vertical="center"/>
    </xf>
    <xf numFmtId="9" fontId="4" fillId="10" borderId="0" xfId="0" applyNumberFormat="1" applyFont="1" applyFill="1" applyAlignment="1">
      <alignment horizontal="left" vertical="center"/>
    </xf>
    <xf numFmtId="10" fontId="4" fillId="10" borderId="0" xfId="0" applyNumberFormat="1" applyFont="1" applyFill="1" applyAlignment="1">
      <alignment horizontal="left" vertical="center"/>
    </xf>
    <xf numFmtId="0" fontId="4" fillId="18" borderId="46" xfId="0" applyFont="1" applyFill="1" applyBorder="1" applyAlignment="1">
      <alignment horizontal="left" vertical="center" wrapText="1"/>
    </xf>
    <xf numFmtId="0" fontId="4" fillId="18" borderId="46" xfId="0" applyFont="1" applyFill="1" applyBorder="1" applyAlignment="1">
      <alignment horizontal="left" vertical="center"/>
    </xf>
    <xf numFmtId="9" fontId="4" fillId="18" borderId="0" xfId="0" applyNumberFormat="1" applyFont="1" applyFill="1" applyAlignment="1">
      <alignment horizontal="left" vertical="center"/>
    </xf>
    <xf numFmtId="44" fontId="4" fillId="18" borderId="2" xfId="2" applyFont="1" applyFill="1" applyBorder="1" applyAlignment="1">
      <alignment vertical="center"/>
    </xf>
    <xf numFmtId="0" fontId="4" fillId="18" borderId="46" xfId="0" applyFont="1" applyFill="1" applyBorder="1" applyAlignment="1">
      <alignment vertical="center"/>
    </xf>
    <xf numFmtId="10" fontId="4" fillId="18" borderId="0" xfId="0" applyNumberFormat="1" applyFont="1" applyFill="1" applyAlignment="1">
      <alignment horizontal="left" vertical="center"/>
    </xf>
    <xf numFmtId="0" fontId="30" fillId="10" borderId="9" xfId="0" applyFont="1" applyFill="1" applyBorder="1" applyAlignment="1">
      <alignment vertical="center"/>
    </xf>
    <xf numFmtId="14" fontId="4" fillId="18" borderId="5" xfId="0" applyNumberFormat="1" applyFont="1" applyFill="1" applyBorder="1" applyAlignment="1">
      <alignment horizontal="right" vertical="center"/>
    </xf>
    <xf numFmtId="0" fontId="30" fillId="18" borderId="9" xfId="0" applyFont="1" applyFill="1" applyBorder="1" applyAlignment="1">
      <alignment horizontal="left" vertical="center"/>
    </xf>
    <xf numFmtId="44" fontId="4" fillId="10" borderId="9" xfId="2" applyFont="1" applyFill="1" applyBorder="1" applyAlignment="1">
      <alignment horizontal="left" vertical="center"/>
    </xf>
    <xf numFmtId="9" fontId="4" fillId="10" borderId="2" xfId="0" applyNumberFormat="1" applyFont="1" applyFill="1" applyBorder="1" applyAlignment="1">
      <alignment horizontal="center" vertical="center"/>
    </xf>
    <xf numFmtId="9" fontId="4" fillId="10" borderId="9" xfId="0" applyNumberFormat="1" applyFont="1" applyFill="1" applyBorder="1" applyAlignment="1">
      <alignment horizontal="left" vertical="center"/>
    </xf>
    <xf numFmtId="0" fontId="4" fillId="18" borderId="0" xfId="0" applyFont="1" applyFill="1" applyAlignment="1">
      <alignment horizontal="left" vertical="center" wrapText="1"/>
    </xf>
    <xf numFmtId="0" fontId="4" fillId="18" borderId="53" xfId="0" applyFont="1" applyFill="1" applyBorder="1" applyAlignment="1">
      <alignment horizontal="left" vertical="center" wrapText="1"/>
    </xf>
    <xf numFmtId="0" fontId="30" fillId="18" borderId="9" xfId="0" applyFont="1" applyFill="1" applyBorder="1" applyAlignment="1">
      <alignment vertical="center"/>
    </xf>
    <xf numFmtId="9" fontId="4" fillId="18" borderId="2" xfId="0" applyNumberFormat="1" applyFont="1" applyFill="1" applyBorder="1" applyAlignment="1">
      <alignment horizontal="center" vertical="center"/>
    </xf>
    <xf numFmtId="9" fontId="4" fillId="18" borderId="9" xfId="0" applyNumberFormat="1" applyFont="1" applyFill="1" applyBorder="1" applyAlignment="1">
      <alignment horizontal="left" vertical="center"/>
    </xf>
    <xf numFmtId="0" fontId="4" fillId="10" borderId="0" xfId="0" applyFont="1" applyFill="1" applyAlignment="1">
      <alignment horizontal="left" vertical="center" wrapText="1"/>
    </xf>
    <xf numFmtId="0" fontId="4" fillId="10" borderId="53" xfId="0" applyFont="1" applyFill="1" applyBorder="1" applyAlignment="1">
      <alignment horizontal="left" vertical="center" wrapText="1"/>
    </xf>
    <xf numFmtId="44" fontId="5" fillId="18" borderId="0" xfId="2" applyFont="1" applyFill="1" applyBorder="1" applyAlignment="1">
      <alignment vertical="center"/>
    </xf>
    <xf numFmtId="0" fontId="5" fillId="18" borderId="46" xfId="0" applyFont="1" applyFill="1" applyBorder="1" applyAlignment="1">
      <alignment horizontal="left" vertical="center" wrapText="1"/>
    </xf>
    <xf numFmtId="0" fontId="31" fillId="18" borderId="9" xfId="0" applyFont="1" applyFill="1" applyBorder="1" applyAlignment="1">
      <alignment horizontal="left" vertical="center"/>
    </xf>
    <xf numFmtId="0" fontId="5" fillId="18" borderId="46" xfId="0" applyFont="1" applyFill="1" applyBorder="1" applyAlignment="1">
      <alignment horizontal="left" vertical="center"/>
    </xf>
    <xf numFmtId="44" fontId="5" fillId="18" borderId="2" xfId="2" applyFont="1" applyFill="1" applyBorder="1" applyAlignment="1">
      <alignment vertical="center"/>
    </xf>
    <xf numFmtId="6" fontId="5" fillId="18" borderId="0" xfId="0" applyNumberFormat="1" applyFont="1" applyFill="1" applyAlignment="1">
      <alignment horizontal="left" vertical="center"/>
    </xf>
    <xf numFmtId="8" fontId="4" fillId="18" borderId="0" xfId="0" applyNumberFormat="1" applyFont="1" applyFill="1" applyAlignment="1">
      <alignment horizontal="left" vertical="center"/>
    </xf>
    <xf numFmtId="44" fontId="5" fillId="10" borderId="0" xfId="2" applyFont="1" applyFill="1" applyBorder="1" applyAlignment="1">
      <alignment vertical="center"/>
    </xf>
    <xf numFmtId="0" fontId="31" fillId="10" borderId="9" xfId="0" applyFont="1" applyFill="1" applyBorder="1" applyAlignment="1">
      <alignment horizontal="left" vertical="center"/>
    </xf>
    <xf numFmtId="0" fontId="5" fillId="10" borderId="46" xfId="0" applyFont="1" applyFill="1" applyBorder="1" applyAlignment="1">
      <alignment horizontal="left" vertical="center"/>
    </xf>
    <xf numFmtId="0" fontId="5" fillId="10" borderId="46" xfId="0" applyFont="1" applyFill="1" applyBorder="1" applyAlignment="1">
      <alignment horizontal="left" vertical="center" wrapText="1"/>
    </xf>
    <xf numFmtId="6" fontId="5" fillId="10" borderId="0" xfId="0" applyNumberFormat="1" applyFont="1" applyFill="1" applyAlignment="1">
      <alignment horizontal="left" vertical="center"/>
    </xf>
    <xf numFmtId="0" fontId="30" fillId="10" borderId="9" xfId="0" applyFont="1" applyFill="1" applyBorder="1" applyAlignment="1">
      <alignment horizontal="left" vertical="center"/>
    </xf>
    <xf numFmtId="4" fontId="4" fillId="0" borderId="9" xfId="0" applyNumberFormat="1" applyFont="1" applyBorder="1" applyAlignment="1">
      <alignment vertical="center"/>
    </xf>
    <xf numFmtId="0" fontId="11" fillId="20" borderId="0" xfId="0" applyFont="1" applyFill="1" applyAlignment="1">
      <alignment wrapText="1"/>
    </xf>
    <xf numFmtId="0" fontId="12" fillId="0" borderId="0" xfId="0" applyFont="1" applyAlignment="1">
      <alignment wrapText="1"/>
    </xf>
    <xf numFmtId="0" fontId="20" fillId="0" borderId="0" xfId="0" applyFont="1" applyAlignment="1">
      <alignment wrapText="1"/>
    </xf>
    <xf numFmtId="4" fontId="12" fillId="20" borderId="0" xfId="0" applyNumberFormat="1" applyFont="1" applyFill="1" applyAlignment="1">
      <alignment wrapText="1"/>
    </xf>
    <xf numFmtId="4" fontId="12" fillId="0" borderId="0" xfId="0" applyNumberFormat="1" applyFont="1" applyAlignment="1">
      <alignment wrapText="1"/>
    </xf>
    <xf numFmtId="0" fontId="11" fillId="8" borderId="0" xfId="0" applyFont="1" applyFill="1" applyAlignment="1">
      <alignment wrapText="1"/>
    </xf>
    <xf numFmtId="0" fontId="12" fillId="20" borderId="0" xfId="0" applyFont="1" applyFill="1" applyAlignment="1">
      <alignment horizontal="center" wrapText="1"/>
    </xf>
    <xf numFmtId="8" fontId="20" fillId="8" borderId="43" xfId="2" applyNumberFormat="1" applyFont="1" applyFill="1" applyBorder="1" applyAlignment="1">
      <alignment wrapText="1"/>
    </xf>
    <xf numFmtId="0" fontId="20" fillId="20" borderId="0" xfId="0" applyFont="1" applyFill="1" applyAlignment="1">
      <alignment horizontal="center" vertical="top" wrapText="1"/>
    </xf>
    <xf numFmtId="0" fontId="10" fillId="16" borderId="0" xfId="0" applyFont="1" applyFill="1" applyAlignment="1">
      <alignment horizontal="center" wrapText="1"/>
    </xf>
    <xf numFmtId="0" fontId="12" fillId="16" borderId="0" xfId="0" applyFont="1" applyFill="1" applyAlignment="1">
      <alignment horizontal="center" wrapText="1"/>
    </xf>
    <xf numFmtId="0" fontId="5" fillId="10" borderId="53" xfId="0" applyFont="1" applyFill="1" applyBorder="1" applyAlignment="1">
      <alignment horizontal="left" vertical="center" wrapText="1"/>
    </xf>
    <xf numFmtId="8" fontId="4" fillId="10" borderId="0" xfId="0" applyNumberFormat="1" applyFont="1" applyFill="1" applyAlignment="1">
      <alignment horizontal="left" vertical="center"/>
    </xf>
    <xf numFmtId="8" fontId="4" fillId="10" borderId="2" xfId="0" applyNumberFormat="1" applyFont="1" applyFill="1" applyBorder="1" applyAlignment="1">
      <alignment horizontal="center" vertical="center"/>
    </xf>
    <xf numFmtId="8" fontId="4" fillId="10" borderId="9" xfId="0" applyNumberFormat="1" applyFont="1" applyFill="1" applyBorder="1" applyAlignment="1">
      <alignment horizontal="left" vertical="center"/>
    </xf>
    <xf numFmtId="0" fontId="4" fillId="10" borderId="0" xfId="0" applyFont="1" applyFill="1" applyAlignment="1">
      <alignment horizontal="right" vertical="center"/>
    </xf>
    <xf numFmtId="8" fontId="4" fillId="18" borderId="2" xfId="0" applyNumberFormat="1" applyFont="1" applyFill="1" applyBorder="1" applyAlignment="1">
      <alignment horizontal="center" vertical="center"/>
    </xf>
    <xf numFmtId="8" fontId="4" fillId="18" borderId="9" xfId="0" applyNumberFormat="1" applyFont="1" applyFill="1" applyBorder="1" applyAlignment="1">
      <alignment horizontal="left" vertical="center"/>
    </xf>
    <xf numFmtId="0" fontId="5" fillId="18" borderId="53" xfId="0" applyFont="1" applyFill="1" applyBorder="1" applyAlignment="1">
      <alignment horizontal="left" vertical="center" wrapText="1"/>
    </xf>
    <xf numFmtId="0" fontId="6" fillId="10" borderId="54" xfId="0" applyFont="1" applyFill="1" applyBorder="1" applyAlignment="1">
      <alignment horizontal="center" vertical="center"/>
    </xf>
    <xf numFmtId="0" fontId="5" fillId="10" borderId="39" xfId="0" applyFont="1" applyFill="1" applyBorder="1" applyAlignment="1">
      <alignment horizontal="center" vertical="center"/>
    </xf>
    <xf numFmtId="0" fontId="5" fillId="10" borderId="54" xfId="0" applyFont="1" applyFill="1" applyBorder="1" applyAlignment="1">
      <alignment vertical="center"/>
    </xf>
    <xf numFmtId="0" fontId="4" fillId="10" borderId="54" xfId="0" applyFont="1" applyFill="1" applyBorder="1" applyAlignment="1">
      <alignment vertical="center"/>
    </xf>
    <xf numFmtId="0" fontId="4" fillId="10" borderId="37" xfId="0" applyFont="1" applyFill="1" applyBorder="1" applyAlignment="1">
      <alignment horizontal="left" vertical="center" wrapText="1"/>
    </xf>
    <xf numFmtId="44" fontId="4" fillId="10" borderId="54" xfId="2" applyFont="1" applyFill="1" applyBorder="1" applyAlignment="1">
      <alignment horizontal="left" vertical="center"/>
    </xf>
    <xf numFmtId="0" fontId="4" fillId="10" borderId="39" xfId="0" applyFont="1" applyFill="1" applyBorder="1" applyAlignment="1">
      <alignment horizontal="center" vertical="center"/>
    </xf>
    <xf numFmtId="0" fontId="4" fillId="10" borderId="54" xfId="0" applyFont="1" applyFill="1" applyBorder="1" applyAlignment="1">
      <alignment horizontal="left" vertical="center"/>
    </xf>
    <xf numFmtId="44" fontId="4" fillId="10" borderId="54" xfId="2" applyFont="1" applyFill="1" applyBorder="1" applyAlignment="1">
      <alignment vertical="center"/>
    </xf>
    <xf numFmtId="44" fontId="4" fillId="10" borderId="37" xfId="2" applyFont="1" applyFill="1" applyBorder="1" applyAlignment="1">
      <alignment vertical="center"/>
    </xf>
    <xf numFmtId="44" fontId="4" fillId="10" borderId="76" xfId="2" applyFont="1" applyFill="1" applyBorder="1" applyAlignment="1">
      <alignment vertical="center"/>
    </xf>
    <xf numFmtId="44" fontId="4" fillId="10" borderId="74" xfId="2" applyFont="1" applyFill="1" applyBorder="1" applyAlignment="1">
      <alignment vertical="center"/>
    </xf>
    <xf numFmtId="44" fontId="4" fillId="10" borderId="39" xfId="2" applyFont="1" applyFill="1" applyBorder="1" applyAlignment="1">
      <alignment vertical="center"/>
    </xf>
    <xf numFmtId="14" fontId="4" fillId="10" borderId="54" xfId="0" applyNumberFormat="1" applyFont="1" applyFill="1" applyBorder="1" applyAlignment="1">
      <alignment vertical="center"/>
    </xf>
    <xf numFmtId="1" fontId="4" fillId="10" borderId="54" xfId="0" applyNumberFormat="1" applyFont="1" applyFill="1" applyBorder="1" applyAlignment="1">
      <alignment horizontal="center" vertical="center"/>
    </xf>
    <xf numFmtId="167" fontId="4" fillId="10" borderId="37" xfId="0" applyNumberFormat="1" applyFont="1" applyFill="1" applyBorder="1" applyAlignment="1">
      <alignment horizontal="center" vertical="center"/>
    </xf>
    <xf numFmtId="0" fontId="4" fillId="10" borderId="39" xfId="0" applyFont="1" applyFill="1" applyBorder="1" applyAlignment="1">
      <alignment horizontal="left" vertical="center"/>
    </xf>
    <xf numFmtId="0" fontId="4" fillId="10" borderId="54" xfId="0" applyFont="1" applyFill="1" applyBorder="1" applyAlignment="1">
      <alignment horizontal="left" vertical="center" wrapText="1"/>
    </xf>
    <xf numFmtId="166" fontId="5" fillId="10" borderId="0" xfId="0" applyNumberFormat="1" applyFont="1" applyFill="1" applyAlignment="1">
      <alignment horizontal="left" vertical="center"/>
    </xf>
    <xf numFmtId="44" fontId="4" fillId="18" borderId="9" xfId="2" applyFont="1" applyFill="1" applyBorder="1" applyAlignment="1">
      <alignment horizontal="left" vertical="center"/>
    </xf>
    <xf numFmtId="0" fontId="4" fillId="18" borderId="41" xfId="0" applyFont="1" applyFill="1" applyBorder="1" applyAlignment="1">
      <alignment vertical="center"/>
    </xf>
    <xf numFmtId="0" fontId="4" fillId="18" borderId="0" xfId="0" applyFont="1" applyFill="1" applyAlignment="1">
      <alignment horizontal="right" vertical="center"/>
    </xf>
    <xf numFmtId="0" fontId="4" fillId="18" borderId="53" xfId="0" applyFont="1" applyFill="1" applyBorder="1" applyAlignment="1">
      <alignment vertical="center"/>
    </xf>
    <xf numFmtId="0" fontId="4" fillId="18" borderId="9" xfId="0" applyFont="1" applyFill="1" applyBorder="1" applyAlignment="1">
      <alignment vertical="center" wrapText="1"/>
    </xf>
    <xf numFmtId="0" fontId="5" fillId="18" borderId="2" xfId="0" applyFont="1" applyFill="1" applyBorder="1" applyAlignment="1">
      <alignment horizontal="left" vertical="center" wrapText="1"/>
    </xf>
    <xf numFmtId="0" fontId="6" fillId="10" borderId="9" xfId="0" applyFont="1" applyFill="1" applyBorder="1" applyAlignment="1">
      <alignment vertical="center"/>
    </xf>
    <xf numFmtId="44" fontId="4" fillId="18" borderId="0" xfId="0" applyNumberFormat="1" applyFont="1" applyFill="1"/>
    <xf numFmtId="44" fontId="4" fillId="18" borderId="0" xfId="0" applyNumberFormat="1" applyFont="1" applyFill="1" applyAlignment="1">
      <alignment horizontal="center" vertical="center"/>
    </xf>
    <xf numFmtId="6" fontId="0" fillId="0" borderId="0" xfId="0" applyNumberFormat="1"/>
    <xf numFmtId="0" fontId="0" fillId="18" borderId="0" xfId="0" applyFill="1" applyAlignment="1">
      <alignment horizontal="center"/>
    </xf>
    <xf numFmtId="0" fontId="0" fillId="18" borderId="0" xfId="0" applyFill="1" applyAlignment="1">
      <alignment horizontal="left"/>
    </xf>
    <xf numFmtId="0" fontId="0" fillId="18" borderId="0" xfId="0" applyFill="1"/>
    <xf numFmtId="0" fontId="0" fillId="18" borderId="41" xfId="0" applyFill="1" applyBorder="1" applyAlignment="1">
      <alignment horizontal="center"/>
    </xf>
    <xf numFmtId="14" fontId="4" fillId="10" borderId="5" xfId="0" applyNumberFormat="1" applyFont="1" applyFill="1" applyBorder="1" applyAlignment="1">
      <alignment horizontal="right" vertical="center"/>
    </xf>
    <xf numFmtId="0" fontId="7" fillId="0" borderId="0" xfId="0" applyFont="1"/>
    <xf numFmtId="6" fontId="7" fillId="0" borderId="0" xfId="0" applyNumberFormat="1" applyFont="1"/>
    <xf numFmtId="6" fontId="4" fillId="0" borderId="0" xfId="0" applyNumberFormat="1" applyFont="1"/>
    <xf numFmtId="0" fontId="7" fillId="28" borderId="11" xfId="0" applyFont="1" applyFill="1" applyBorder="1" applyAlignment="1">
      <alignment vertical="center"/>
    </xf>
    <xf numFmtId="0" fontId="7" fillId="29" borderId="11" xfId="0" applyFont="1" applyFill="1" applyBorder="1" applyAlignment="1">
      <alignment vertical="center"/>
    </xf>
    <xf numFmtId="0" fontId="0" fillId="10" borderId="0" xfId="0" applyFill="1" applyAlignment="1">
      <alignment horizontal="left"/>
    </xf>
    <xf numFmtId="0" fontId="0" fillId="0" borderId="79" xfId="0" applyBorder="1"/>
    <xf numFmtId="14" fontId="0" fillId="0" borderId="5" xfId="0" applyNumberFormat="1" applyBorder="1" applyAlignment="1">
      <alignment horizontal="center" vertical="center"/>
    </xf>
    <xf numFmtId="0" fontId="0" fillId="0" borderId="80" xfId="0" applyBorder="1"/>
    <xf numFmtId="0" fontId="28" fillId="0" borderId="0" xfId="0" applyFont="1"/>
    <xf numFmtId="0" fontId="13" fillId="0" borderId="0" xfId="0" applyFont="1"/>
    <xf numFmtId="44" fontId="4" fillId="0" borderId="0" xfId="2" applyFont="1" applyFill="1" applyBorder="1"/>
    <xf numFmtId="167" fontId="5" fillId="10" borderId="0" xfId="0" applyNumberFormat="1" applyFont="1" applyFill="1" applyAlignment="1">
      <alignment horizontal="center" vertical="center" wrapText="1"/>
    </xf>
    <xf numFmtId="14" fontId="4" fillId="18" borderId="64" xfId="0" applyNumberFormat="1" applyFont="1" applyFill="1" applyBorder="1" applyAlignment="1">
      <alignment vertical="center"/>
    </xf>
    <xf numFmtId="0" fontId="6" fillId="18" borderId="9" xfId="0" applyFont="1" applyFill="1" applyBorder="1" applyAlignment="1">
      <alignment vertical="center"/>
    </xf>
    <xf numFmtId="14" fontId="4" fillId="10" borderId="64" xfId="0" applyNumberFormat="1" applyFont="1" applyFill="1" applyBorder="1" applyAlignment="1">
      <alignment vertical="center"/>
    </xf>
    <xf numFmtId="0" fontId="6" fillId="10" borderId="9" xfId="3" applyFont="1" applyFill="1" applyBorder="1" applyAlignment="1">
      <alignment vertical="center"/>
    </xf>
    <xf numFmtId="0" fontId="4" fillId="10" borderId="9" xfId="0" applyFont="1" applyFill="1" applyBorder="1"/>
    <xf numFmtId="0" fontId="4" fillId="10" borderId="9" xfId="0" applyFont="1" applyFill="1" applyBorder="1" applyAlignment="1">
      <alignment horizontal="left" vertical="center" wrapText="1"/>
    </xf>
    <xf numFmtId="6" fontId="7" fillId="0" borderId="0" xfId="0" applyNumberFormat="1" applyFont="1" applyAlignment="1">
      <alignment horizontal="center"/>
    </xf>
    <xf numFmtId="6" fontId="4" fillId="0" borderId="0" xfId="0" applyNumberFormat="1" applyFont="1" applyAlignment="1">
      <alignment horizontal="center" vertical="center"/>
    </xf>
    <xf numFmtId="8" fontId="4" fillId="0" borderId="9" xfId="0" applyNumberFormat="1" applyFont="1" applyBorder="1" applyAlignment="1">
      <alignment vertical="center"/>
    </xf>
    <xf numFmtId="6" fontId="5" fillId="10" borderId="2" xfId="0" applyNumberFormat="1" applyFont="1" applyFill="1" applyBorder="1" applyAlignment="1">
      <alignment horizontal="center" vertical="center"/>
    </xf>
    <xf numFmtId="6" fontId="5" fillId="10" borderId="9" xfId="0" applyNumberFormat="1" applyFont="1" applyFill="1" applyBorder="1" applyAlignment="1">
      <alignment horizontal="left" vertical="center"/>
    </xf>
    <xf numFmtId="0" fontId="7" fillId="18" borderId="0" xfId="0" applyFont="1" applyFill="1" applyAlignment="1">
      <alignment vertical="center"/>
    </xf>
    <xf numFmtId="166" fontId="4" fillId="0" borderId="9" xfId="0" applyNumberFormat="1" applyFont="1" applyBorder="1" applyAlignment="1">
      <alignment vertical="center"/>
    </xf>
    <xf numFmtId="167" fontId="4" fillId="18" borderId="5" xfId="0" applyNumberFormat="1" applyFont="1" applyFill="1" applyBorder="1" applyAlignment="1">
      <alignment horizontal="center" vertical="center"/>
    </xf>
    <xf numFmtId="0" fontId="4" fillId="7" borderId="9" xfId="0" applyFont="1" applyFill="1" applyBorder="1" applyAlignment="1">
      <alignment horizontal="left" vertical="center"/>
    </xf>
    <xf numFmtId="6" fontId="5" fillId="10" borderId="55" xfId="2" applyNumberFormat="1" applyFont="1" applyFill="1" applyBorder="1" applyAlignment="1">
      <alignment vertical="center"/>
    </xf>
    <xf numFmtId="0" fontId="4" fillId="18" borderId="53" xfId="0" applyFont="1" applyFill="1" applyBorder="1" applyAlignment="1">
      <alignment horizontal="left" vertical="center"/>
    </xf>
    <xf numFmtId="0" fontId="4" fillId="10" borderId="53" xfId="0" applyFont="1" applyFill="1" applyBorder="1" applyAlignment="1">
      <alignment horizontal="left" vertical="center"/>
    </xf>
    <xf numFmtId="0" fontId="6" fillId="10" borderId="0" xfId="0" applyFont="1" applyFill="1" applyAlignment="1">
      <alignment vertical="center"/>
    </xf>
    <xf numFmtId="0" fontId="53" fillId="18" borderId="0" xfId="0" applyFont="1" applyFill="1" applyAlignment="1">
      <alignment horizontal="left" vertical="center"/>
    </xf>
    <xf numFmtId="0" fontId="53" fillId="10" borderId="0" xfId="0" applyFont="1" applyFill="1" applyAlignment="1">
      <alignment horizontal="left" vertical="center"/>
    </xf>
    <xf numFmtId="8" fontId="4" fillId="18" borderId="9" xfId="2" applyNumberFormat="1" applyFont="1" applyFill="1" applyBorder="1" applyAlignment="1">
      <alignment vertical="center"/>
    </xf>
    <xf numFmtId="0" fontId="7" fillId="61" borderId="11" xfId="0" applyFont="1" applyFill="1" applyBorder="1" applyAlignment="1">
      <alignment vertical="center"/>
    </xf>
    <xf numFmtId="0" fontId="5" fillId="18" borderId="53" xfId="0" applyFont="1" applyFill="1" applyBorder="1" applyAlignment="1">
      <alignment horizontal="left" vertical="center"/>
    </xf>
    <xf numFmtId="0" fontId="6" fillId="18" borderId="2" xfId="0" applyFont="1" applyFill="1" applyBorder="1" applyAlignment="1">
      <alignment vertical="center"/>
    </xf>
    <xf numFmtId="0" fontId="4" fillId="10" borderId="41" xfId="0" applyFont="1" applyFill="1" applyBorder="1" applyAlignment="1">
      <alignment horizontal="left" vertical="center"/>
    </xf>
    <xf numFmtId="14" fontId="4" fillId="10" borderId="2" xfId="0" applyNumberFormat="1" applyFont="1" applyFill="1" applyBorder="1" applyAlignment="1">
      <alignment vertical="center"/>
    </xf>
    <xf numFmtId="0" fontId="4" fillId="10" borderId="2" xfId="0" applyFont="1" applyFill="1" applyBorder="1" applyAlignment="1">
      <alignment vertical="center"/>
    </xf>
    <xf numFmtId="44" fontId="4" fillId="0" borderId="1" xfId="0" applyNumberFormat="1" applyFont="1" applyBorder="1"/>
    <xf numFmtId="0" fontId="4" fillId="18" borderId="2" xfId="0" applyFont="1" applyFill="1" applyBorder="1" applyAlignment="1">
      <alignment vertical="center"/>
    </xf>
    <xf numFmtId="44" fontId="4" fillId="10" borderId="3" xfId="2" applyFont="1" applyFill="1" applyBorder="1" applyAlignment="1">
      <alignment vertical="center"/>
    </xf>
    <xf numFmtId="44" fontId="4" fillId="10" borderId="6" xfId="2" applyFont="1" applyFill="1" applyBorder="1" applyAlignment="1">
      <alignment vertical="center"/>
    </xf>
    <xf numFmtId="14" fontId="4" fillId="10" borderId="10" xfId="0" applyNumberFormat="1" applyFont="1" applyFill="1" applyBorder="1" applyAlignment="1">
      <alignment vertical="center"/>
    </xf>
    <xf numFmtId="14" fontId="4" fillId="10" borderId="3" xfId="0" applyNumberFormat="1" applyFont="1" applyFill="1" applyBorder="1" applyAlignment="1">
      <alignment vertical="center"/>
    </xf>
    <xf numFmtId="0" fontId="4" fillId="10" borderId="10" xfId="0" applyFont="1" applyFill="1" applyBorder="1" applyAlignment="1">
      <alignment vertical="center"/>
    </xf>
    <xf numFmtId="1" fontId="4" fillId="10" borderId="10" xfId="0" applyNumberFormat="1" applyFont="1" applyFill="1" applyBorder="1" applyAlignment="1">
      <alignment horizontal="center" vertical="center"/>
    </xf>
    <xf numFmtId="0" fontId="4" fillId="10" borderId="3" xfId="0" applyFont="1" applyFill="1" applyBorder="1" applyAlignment="1">
      <alignment vertical="center"/>
    </xf>
    <xf numFmtId="44" fontId="4" fillId="10" borderId="10" xfId="0" applyNumberFormat="1" applyFont="1" applyFill="1" applyBorder="1" applyAlignment="1">
      <alignment horizontal="center" vertical="center"/>
    </xf>
    <xf numFmtId="0" fontId="4" fillId="10" borderId="6" xfId="0" applyFont="1" applyFill="1" applyBorder="1" applyAlignment="1">
      <alignment horizontal="center" vertical="center"/>
    </xf>
    <xf numFmtId="0" fontId="4" fillId="10" borderId="6" xfId="0" applyFont="1" applyFill="1" applyBorder="1" applyAlignment="1">
      <alignment vertical="center"/>
    </xf>
    <xf numFmtId="0" fontId="4" fillId="10" borderId="3" xfId="0" applyFont="1" applyFill="1" applyBorder="1" applyAlignment="1">
      <alignment horizontal="left" vertical="center"/>
    </xf>
    <xf numFmtId="0" fontId="4" fillId="10" borderId="4" xfId="0" applyFont="1" applyFill="1" applyBorder="1" applyAlignment="1">
      <alignment horizontal="center" vertical="center"/>
    </xf>
    <xf numFmtId="0" fontId="4" fillId="10" borderId="10" xfId="0" applyFont="1" applyFill="1" applyBorder="1" applyAlignment="1">
      <alignment horizontal="left" vertical="center"/>
    </xf>
    <xf numFmtId="44" fontId="4" fillId="10" borderId="10" xfId="2" applyFont="1" applyFill="1" applyBorder="1" applyAlignment="1">
      <alignment vertical="center"/>
    </xf>
    <xf numFmtId="44" fontId="4" fillId="10" borderId="73" xfId="2" applyFont="1" applyFill="1" applyBorder="1" applyAlignment="1">
      <alignment vertical="center"/>
    </xf>
    <xf numFmtId="14" fontId="4" fillId="18" borderId="41" xfId="0" applyNumberFormat="1" applyFont="1" applyFill="1" applyBorder="1" applyAlignment="1">
      <alignment vertical="center"/>
    </xf>
    <xf numFmtId="167" fontId="4" fillId="10" borderId="0" xfId="0" applyNumberFormat="1" applyFont="1" applyFill="1" applyAlignment="1">
      <alignment horizontal="center" vertical="center" wrapText="1"/>
    </xf>
    <xf numFmtId="44" fontId="4" fillId="10" borderId="9" xfId="0" applyNumberFormat="1" applyFont="1" applyFill="1" applyBorder="1" applyAlignment="1">
      <alignment vertical="center"/>
    </xf>
    <xf numFmtId="0" fontId="4" fillId="24" borderId="0" xfId="0" applyFont="1" applyFill="1" applyAlignment="1">
      <alignment vertical="center"/>
    </xf>
    <xf numFmtId="0" fontId="13" fillId="24" borderId="0" xfId="0" applyFont="1" applyFill="1" applyAlignment="1">
      <alignment horizontal="right" vertical="center"/>
    </xf>
    <xf numFmtId="0" fontId="4" fillId="24" borderId="5" xfId="0" applyFont="1" applyFill="1" applyBorder="1" applyAlignment="1">
      <alignment horizontal="center" vertical="center"/>
    </xf>
    <xf numFmtId="44" fontId="4" fillId="24" borderId="9" xfId="2" applyFont="1" applyFill="1" applyBorder="1" applyAlignment="1">
      <alignment vertical="center"/>
    </xf>
    <xf numFmtId="44" fontId="7" fillId="24" borderId="2" xfId="2" applyFont="1" applyFill="1" applyBorder="1" applyAlignment="1">
      <alignment vertical="center"/>
    </xf>
    <xf numFmtId="44" fontId="4" fillId="24" borderId="2" xfId="2" applyFont="1" applyFill="1" applyBorder="1" applyAlignment="1">
      <alignment horizontal="center" vertical="center"/>
    </xf>
    <xf numFmtId="44" fontId="4" fillId="24" borderId="0" xfId="2" applyFont="1" applyFill="1" applyAlignment="1">
      <alignment horizontal="center" vertical="center"/>
    </xf>
    <xf numFmtId="44" fontId="4" fillId="24" borderId="9" xfId="2" applyFont="1" applyFill="1" applyBorder="1" applyAlignment="1">
      <alignment horizontal="center" vertical="center"/>
    </xf>
    <xf numFmtId="44" fontId="4" fillId="0" borderId="9" xfId="0" applyNumberFormat="1" applyFont="1" applyBorder="1" applyAlignment="1">
      <alignment horizontal="right"/>
    </xf>
    <xf numFmtId="0" fontId="4" fillId="10" borderId="9" xfId="0" applyFont="1" applyFill="1" applyBorder="1" applyAlignment="1">
      <alignment horizontal="left"/>
    </xf>
    <xf numFmtId="0" fontId="4" fillId="18" borderId="9" xfId="0" applyFont="1" applyFill="1" applyBorder="1" applyAlignment="1">
      <alignment horizontal="left"/>
    </xf>
    <xf numFmtId="0" fontId="4" fillId="0" borderId="9" xfId="0" applyFont="1" applyBorder="1" applyAlignment="1">
      <alignment horizontal="left"/>
    </xf>
    <xf numFmtId="0" fontId="4" fillId="18" borderId="9" xfId="0" applyFont="1" applyFill="1" applyBorder="1"/>
    <xf numFmtId="0" fontId="4" fillId="10" borderId="57" xfId="0" applyFont="1" applyFill="1" applyBorder="1"/>
    <xf numFmtId="167" fontId="5" fillId="20" borderId="0" xfId="0" applyNumberFormat="1" applyFont="1" applyFill="1" applyAlignment="1">
      <alignment horizontal="center" vertical="center"/>
    </xf>
    <xf numFmtId="0" fontId="4" fillId="10" borderId="22" xfId="0" applyFont="1" applyFill="1" applyBorder="1" applyAlignment="1">
      <alignment horizontal="left"/>
    </xf>
    <xf numFmtId="0" fontId="30" fillId="10" borderId="9" xfId="0" applyFont="1" applyFill="1" applyBorder="1"/>
    <xf numFmtId="0" fontId="30" fillId="18" borderId="9" xfId="0" applyFont="1" applyFill="1" applyBorder="1"/>
    <xf numFmtId="0" fontId="31" fillId="10" borderId="9" xfId="3" applyFont="1" applyFill="1" applyBorder="1" applyAlignment="1">
      <alignment horizontal="left"/>
    </xf>
    <xf numFmtId="0" fontId="5" fillId="10" borderId="53" xfId="0" applyFont="1" applyFill="1" applyBorder="1" applyAlignment="1">
      <alignment horizontal="left" vertical="center"/>
    </xf>
    <xf numFmtId="0" fontId="4" fillId="10" borderId="53" xfId="0" applyFont="1" applyFill="1" applyBorder="1" applyAlignment="1">
      <alignment vertical="center"/>
    </xf>
    <xf numFmtId="0" fontId="8" fillId="22" borderId="1" xfId="0" applyFont="1" applyFill="1" applyBorder="1" applyAlignment="1">
      <alignment vertical="center"/>
    </xf>
    <xf numFmtId="0" fontId="4" fillId="22" borderId="1" xfId="0" applyFont="1" applyFill="1" applyBorder="1" applyAlignment="1">
      <alignment vertical="center"/>
    </xf>
    <xf numFmtId="0" fontId="4" fillId="22" borderId="1" xfId="0" applyFont="1" applyFill="1" applyBorder="1" applyAlignment="1">
      <alignment horizontal="left" vertical="center"/>
    </xf>
    <xf numFmtId="0" fontId="4" fillId="22" borderId="1" xfId="0" applyFont="1" applyFill="1" applyBorder="1" applyAlignment="1">
      <alignment horizontal="center" vertical="center"/>
    </xf>
    <xf numFmtId="44" fontId="4" fillId="22" borderId="1" xfId="2" applyFont="1" applyFill="1" applyBorder="1" applyAlignment="1">
      <alignment vertical="center"/>
    </xf>
    <xf numFmtId="0" fontId="4" fillId="22" borderId="23" xfId="0" applyFont="1" applyFill="1" applyBorder="1" applyAlignment="1">
      <alignment vertical="center"/>
    </xf>
    <xf numFmtId="0" fontId="38" fillId="10" borderId="0" xfId="0" applyFont="1" applyFill="1" applyAlignment="1">
      <alignment horizontal="center" vertical="center"/>
    </xf>
    <xf numFmtId="0" fontId="30" fillId="18" borderId="9" xfId="0" applyFont="1" applyFill="1" applyBorder="1" applyAlignment="1">
      <alignment horizontal="left"/>
    </xf>
    <xf numFmtId="0" fontId="6" fillId="18" borderId="0" xfId="0" applyFont="1" applyFill="1" applyAlignment="1">
      <alignment vertical="center"/>
    </xf>
    <xf numFmtId="6" fontId="5" fillId="18" borderId="2" xfId="0" applyNumberFormat="1" applyFont="1" applyFill="1" applyBorder="1" applyAlignment="1">
      <alignment horizontal="center" vertical="center"/>
    </xf>
    <xf numFmtId="6" fontId="5" fillId="18" borderId="9" xfId="0" applyNumberFormat="1" applyFont="1" applyFill="1" applyBorder="1" applyAlignment="1">
      <alignment horizontal="left" vertical="center"/>
    </xf>
    <xf numFmtId="0" fontId="4" fillId="18" borderId="41" xfId="0" applyFont="1" applyFill="1" applyBorder="1" applyAlignment="1">
      <alignment horizontal="left" vertical="center"/>
    </xf>
    <xf numFmtId="44" fontId="4" fillId="3" borderId="0" xfId="2" applyFont="1" applyFill="1" applyBorder="1" applyAlignment="1">
      <alignment vertical="center"/>
    </xf>
    <xf numFmtId="44" fontId="4" fillId="3" borderId="41" xfId="2" applyFont="1" applyFill="1" applyBorder="1" applyAlignment="1">
      <alignment vertical="center"/>
    </xf>
    <xf numFmtId="44" fontId="4" fillId="3" borderId="3" xfId="2" applyFont="1" applyFill="1" applyBorder="1" applyAlignment="1">
      <alignment vertical="center"/>
    </xf>
    <xf numFmtId="44" fontId="5" fillId="3" borderId="0" xfId="2" applyFont="1" applyFill="1" applyAlignment="1">
      <alignment vertical="center"/>
    </xf>
    <xf numFmtId="44" fontId="5" fillId="3" borderId="0" xfId="2" applyFont="1" applyFill="1" applyBorder="1" applyAlignment="1">
      <alignment vertical="center"/>
    </xf>
    <xf numFmtId="44" fontId="4" fillId="3" borderId="0" xfId="2" applyFont="1" applyFill="1" applyAlignment="1">
      <alignment vertical="center"/>
    </xf>
    <xf numFmtId="0" fontId="4" fillId="3" borderId="0" xfId="0" applyFont="1" applyFill="1" applyAlignment="1">
      <alignment vertical="center"/>
    </xf>
    <xf numFmtId="44" fontId="4" fillId="18" borderId="5" xfId="0" applyNumberFormat="1" applyFont="1" applyFill="1" applyBorder="1" applyAlignment="1">
      <alignment vertical="center"/>
    </xf>
    <xf numFmtId="44" fontId="4" fillId="7" borderId="5" xfId="2" applyFont="1" applyFill="1" applyBorder="1" applyAlignment="1">
      <alignment vertical="center"/>
    </xf>
    <xf numFmtId="6" fontId="5" fillId="10" borderId="5" xfId="2" applyNumberFormat="1" applyFont="1" applyFill="1" applyBorder="1" applyAlignment="1">
      <alignment vertical="center"/>
    </xf>
    <xf numFmtId="6" fontId="4" fillId="18" borderId="5" xfId="2" applyNumberFormat="1" applyFont="1" applyFill="1" applyBorder="1" applyAlignment="1">
      <alignment vertical="center"/>
    </xf>
    <xf numFmtId="6" fontId="4" fillId="10" borderId="5" xfId="2" applyNumberFormat="1" applyFont="1" applyFill="1" applyBorder="1" applyAlignment="1">
      <alignment vertical="center"/>
    </xf>
    <xf numFmtId="44" fontId="5" fillId="0" borderId="36" xfId="2" applyFont="1" applyFill="1" applyBorder="1" applyAlignment="1">
      <alignment vertical="center"/>
    </xf>
    <xf numFmtId="44" fontId="4" fillId="18" borderId="5" xfId="0" applyNumberFormat="1" applyFont="1" applyFill="1" applyBorder="1" applyAlignment="1">
      <alignment horizontal="left" vertical="center"/>
    </xf>
    <xf numFmtId="44" fontId="4" fillId="18" borderId="9" xfId="0" applyNumberFormat="1" applyFont="1" applyFill="1" applyBorder="1" applyAlignment="1">
      <alignment vertical="center"/>
    </xf>
    <xf numFmtId="1" fontId="4" fillId="10" borderId="0" xfId="0" applyNumberFormat="1" applyFont="1" applyFill="1" applyAlignment="1">
      <alignment horizontal="center" vertical="center"/>
    </xf>
    <xf numFmtId="0" fontId="1" fillId="0" borderId="0" xfId="0" applyFont="1"/>
    <xf numFmtId="44" fontId="4" fillId="3" borderId="0" xfId="0" applyNumberFormat="1" applyFont="1" applyFill="1" applyAlignment="1">
      <alignment vertical="center"/>
    </xf>
    <xf numFmtId="44" fontId="4" fillId="3" borderId="9" xfId="2" applyFont="1" applyFill="1" applyBorder="1" applyAlignment="1">
      <alignment vertical="center"/>
    </xf>
    <xf numFmtId="0" fontId="6" fillId="0" borderId="9" xfId="0" applyFont="1" applyBorder="1" applyAlignment="1">
      <alignment horizontal="left" vertical="center"/>
    </xf>
    <xf numFmtId="49" fontId="4" fillId="0" borderId="9" xfId="2" applyNumberFormat="1" applyFont="1" applyBorder="1" applyAlignment="1">
      <alignment horizontal="left" vertical="center"/>
    </xf>
    <xf numFmtId="0" fontId="35" fillId="0" borderId="55" xfId="0" applyFont="1" applyBorder="1" applyAlignment="1">
      <alignment horizontal="left"/>
    </xf>
    <xf numFmtId="0" fontId="4" fillId="10" borderId="9" xfId="0" applyFont="1" applyFill="1" applyBorder="1" applyAlignment="1">
      <alignment vertical="center" wrapText="1"/>
    </xf>
    <xf numFmtId="0" fontId="5" fillId="10" borderId="9" xfId="0" applyFont="1" applyFill="1" applyBorder="1" applyAlignment="1">
      <alignment horizontal="left" vertical="center" wrapText="1"/>
    </xf>
    <xf numFmtId="0" fontId="5" fillId="18" borderId="9" xfId="0" applyFont="1" applyFill="1" applyBorder="1" applyAlignment="1">
      <alignment horizontal="left" vertical="center" wrapText="1"/>
    </xf>
    <xf numFmtId="0" fontId="33" fillId="10" borderId="9" xfId="3" applyFont="1" applyFill="1" applyBorder="1" applyAlignment="1">
      <alignment horizontal="left" vertical="center"/>
    </xf>
    <xf numFmtId="44" fontId="4" fillId="3" borderId="41" xfId="0" applyNumberFormat="1" applyFont="1" applyFill="1" applyBorder="1" applyAlignment="1">
      <alignment vertical="center"/>
    </xf>
    <xf numFmtId="44" fontId="4" fillId="27" borderId="0" xfId="2" applyFont="1" applyFill="1" applyBorder="1" applyAlignment="1">
      <alignment horizontal="left" vertical="center"/>
    </xf>
    <xf numFmtId="8" fontId="5" fillId="10" borderId="9" xfId="0" applyNumberFormat="1" applyFont="1" applyFill="1" applyBorder="1" applyAlignment="1">
      <alignment horizontal="left" vertical="center"/>
    </xf>
    <xf numFmtId="0" fontId="54" fillId="18" borderId="0" xfId="0" applyFont="1" applyFill="1"/>
    <xf numFmtId="0" fontId="4" fillId="10" borderId="41" xfId="0" applyFont="1" applyFill="1" applyBorder="1" applyAlignment="1">
      <alignment vertical="center"/>
    </xf>
    <xf numFmtId="6" fontId="4" fillId="0" borderId="0" xfId="2" applyNumberFormat="1" applyFont="1" applyAlignment="1">
      <alignment vertical="center"/>
    </xf>
    <xf numFmtId="4" fontId="4" fillId="3" borderId="0" xfId="0" applyNumberFormat="1" applyFont="1" applyFill="1" applyAlignment="1">
      <alignment vertical="center"/>
    </xf>
    <xf numFmtId="0" fontId="31" fillId="10" borderId="9" xfId="0" applyFont="1" applyFill="1" applyBorder="1" applyAlignment="1">
      <alignment horizontal="left" wrapText="1"/>
    </xf>
    <xf numFmtId="0" fontId="30" fillId="0" borderId="9" xfId="0" applyFont="1" applyBorder="1"/>
    <xf numFmtId="0" fontId="5" fillId="0" borderId="53" xfId="0" applyFont="1" applyBorder="1" applyAlignment="1">
      <alignment horizontal="left" vertical="center" wrapText="1"/>
    </xf>
    <xf numFmtId="165" fontId="4" fillId="0" borderId="9" xfId="0" applyNumberFormat="1" applyFont="1" applyBorder="1" applyAlignment="1">
      <alignment vertical="center"/>
    </xf>
    <xf numFmtId="1" fontId="4" fillId="18" borderId="0" xfId="0" applyNumberFormat="1" applyFont="1" applyFill="1" applyAlignment="1">
      <alignment horizontal="center" vertical="center"/>
    </xf>
    <xf numFmtId="1" fontId="5" fillId="10" borderId="0" xfId="0" applyNumberFormat="1" applyFont="1" applyFill="1" applyAlignment="1">
      <alignment horizontal="center" vertical="center"/>
    </xf>
    <xf numFmtId="44" fontId="4" fillId="0" borderId="0" xfId="2" applyFont="1" applyBorder="1" applyAlignment="1">
      <alignment horizontal="center" vertical="center"/>
    </xf>
    <xf numFmtId="0" fontId="4" fillId="8" borderId="5" xfId="0" applyFont="1" applyFill="1" applyBorder="1" applyAlignment="1">
      <alignment vertical="center"/>
    </xf>
    <xf numFmtId="0" fontId="4" fillId="8" borderId="6" xfId="0" applyFont="1" applyFill="1" applyBorder="1" applyAlignment="1">
      <alignment vertical="center"/>
    </xf>
    <xf numFmtId="44" fontId="4" fillId="8" borderId="5" xfId="2" applyFont="1" applyFill="1" applyBorder="1" applyAlignment="1">
      <alignment vertical="center"/>
    </xf>
    <xf numFmtId="1" fontId="4" fillId="0" borderId="0" xfId="0" applyNumberFormat="1" applyFont="1" applyAlignment="1">
      <alignment vertical="center"/>
    </xf>
    <xf numFmtId="8" fontId="5" fillId="18" borderId="9" xfId="0" applyNumberFormat="1" applyFont="1" applyFill="1" applyBorder="1" applyAlignment="1">
      <alignment horizontal="left" vertical="center"/>
    </xf>
    <xf numFmtId="167" fontId="5" fillId="18" borderId="0" xfId="0" applyNumberFormat="1" applyFont="1" applyFill="1" applyAlignment="1">
      <alignment horizontal="center" vertical="center" wrapText="1"/>
    </xf>
    <xf numFmtId="8" fontId="5" fillId="18" borderId="9" xfId="2" applyNumberFormat="1" applyFont="1" applyFill="1" applyBorder="1" applyAlignment="1">
      <alignment vertical="center"/>
    </xf>
    <xf numFmtId="0" fontId="38" fillId="18" borderId="0" xfId="0" applyFont="1" applyFill="1" applyAlignment="1">
      <alignment horizontal="center" vertical="center"/>
    </xf>
    <xf numFmtId="0" fontId="33" fillId="18" borderId="9" xfId="3" applyFont="1" applyFill="1" applyBorder="1" applyAlignment="1">
      <alignment horizontal="left" vertical="center"/>
    </xf>
    <xf numFmtId="0" fontId="31" fillId="18" borderId="9" xfId="0" applyFont="1" applyFill="1" applyBorder="1" applyAlignment="1">
      <alignment horizontal="left" vertical="center" wrapText="1"/>
    </xf>
    <xf numFmtId="0" fontId="31" fillId="18" borderId="9" xfId="3" applyFont="1" applyFill="1" applyBorder="1" applyAlignment="1">
      <alignment horizontal="left" vertical="center"/>
    </xf>
    <xf numFmtId="0" fontId="31" fillId="10" borderId="9" xfId="3" applyFont="1" applyFill="1" applyBorder="1" applyAlignment="1">
      <alignment horizontal="left" vertical="center"/>
    </xf>
    <xf numFmtId="0" fontId="52" fillId="18" borderId="9" xfId="0" applyFont="1" applyFill="1" applyBorder="1" applyAlignment="1">
      <alignment vertical="center"/>
    </xf>
    <xf numFmtId="0" fontId="4" fillId="8" borderId="5" xfId="0" applyFont="1" applyFill="1" applyBorder="1" applyAlignment="1">
      <alignment horizontal="center" vertical="center"/>
    </xf>
    <xf numFmtId="44" fontId="4" fillId="8" borderId="5" xfId="2" applyFont="1" applyFill="1" applyBorder="1" applyAlignment="1">
      <alignment horizontal="center" vertical="center"/>
    </xf>
  </cellXfs>
  <cellStyles count="46">
    <cellStyle name="20% - Accent1" xfId="23" builtinId="30" customBuiltin="1"/>
    <cellStyle name="20% - Accent2" xfId="27" builtinId="34" customBuiltin="1"/>
    <cellStyle name="20% - Accent3" xfId="31" builtinId="38" customBuiltin="1"/>
    <cellStyle name="20% - Accent4" xfId="35" builtinId="42" customBuiltin="1"/>
    <cellStyle name="20% - Accent5" xfId="39" builtinId="46" customBuiltin="1"/>
    <cellStyle name="20% - Accent6" xfId="43" builtinId="50" customBuiltin="1"/>
    <cellStyle name="40% - Accent1" xfId="24" builtinId="31" customBuiltin="1"/>
    <cellStyle name="40% - Accent2" xfId="28" builtinId="35" customBuiltin="1"/>
    <cellStyle name="40% - Accent3" xfId="32" builtinId="39" customBuiltin="1"/>
    <cellStyle name="40% - Accent4" xfId="36" builtinId="43" customBuiltin="1"/>
    <cellStyle name="40% - Accent5" xfId="40" builtinId="47" customBuiltin="1"/>
    <cellStyle name="40% - Accent6" xfId="44" builtinId="51" customBuiltin="1"/>
    <cellStyle name="60% - Accent1" xfId="25" builtinId="32" customBuiltin="1"/>
    <cellStyle name="60% - Accent2" xfId="29" builtinId="36" customBuiltin="1"/>
    <cellStyle name="60% - Accent3" xfId="33" builtinId="40" customBuiltin="1"/>
    <cellStyle name="60% - Accent4" xfId="37" builtinId="44" customBuiltin="1"/>
    <cellStyle name="60% - Accent5" xfId="41" builtinId="48" customBuiltin="1"/>
    <cellStyle name="60% - Accent6" xfId="45" builtinId="52" customBuiltin="1"/>
    <cellStyle name="Accent1" xfId="22" builtinId="29" customBuiltin="1"/>
    <cellStyle name="Accent2" xfId="26" builtinId="33" customBuiltin="1"/>
    <cellStyle name="Accent3" xfId="30" builtinId="37" customBuiltin="1"/>
    <cellStyle name="Accent4" xfId="34" builtinId="41" customBuiltin="1"/>
    <cellStyle name="Accent5" xfId="38" builtinId="45" customBuiltin="1"/>
    <cellStyle name="Accent6" xfId="42" builtinId="49" customBuiltin="1"/>
    <cellStyle name="Bad" xfId="11" builtinId="27" customBuiltin="1"/>
    <cellStyle name="Calculation" xfId="15" builtinId="22" customBuiltin="1"/>
    <cellStyle name="Check Cell" xfId="17" builtinId="23" customBuiltin="1"/>
    <cellStyle name="Comma" xfId="1" builtinId="3"/>
    <cellStyle name="Currency" xfId="2" builtinId="4"/>
    <cellStyle name="Explanatory Text" xfId="20" builtinId="53" customBuiltin="1"/>
    <cellStyle name="Good" xfId="10" builtinId="26" customBuiltin="1"/>
    <cellStyle name="Heading 1" xfId="6" builtinId="16" customBuiltin="1"/>
    <cellStyle name="Heading 2" xfId="7" builtinId="17" customBuiltin="1"/>
    <cellStyle name="Heading 3" xfId="8" builtinId="18" customBuiltin="1"/>
    <cellStyle name="Heading 4" xfId="9" builtinId="19" customBuiltin="1"/>
    <cellStyle name="Hyperlink" xfId="3" builtinId="8"/>
    <cellStyle name="Input" xfId="13" builtinId="20" customBuiltin="1"/>
    <cellStyle name="Linked Cell" xfId="16" builtinId="24" customBuiltin="1"/>
    <cellStyle name="Neutral" xfId="12" builtinId="28" customBuiltin="1"/>
    <cellStyle name="Normal" xfId="0" builtinId="0"/>
    <cellStyle name="Note" xfId="19" builtinId="10" customBuiltin="1"/>
    <cellStyle name="Output" xfId="14" builtinId="21" customBuiltin="1"/>
    <cellStyle name="Percent" xfId="4" builtinId="5"/>
    <cellStyle name="Title" xfId="5" builtinId="15" customBuiltin="1"/>
    <cellStyle name="Total" xfId="21" builtinId="25" customBuiltin="1"/>
    <cellStyle name="Warning Text" xfId="18" builtinId="11" customBuiltin="1"/>
  </cellStyles>
  <dxfs count="39">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ont>
        <color theme="9"/>
      </font>
    </dxf>
    <dxf>
      <font>
        <color rgb="FF9C0006"/>
      </font>
    </dxf>
  </dxfs>
  <tableStyles count="0" defaultTableStyle="TableStyleMedium2" defaultPivotStyle="PivotStyleMedium9"/>
  <colors>
    <mruColors>
      <color rgb="FFFF4F4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person displayName="Vonda Harrison Arey" id="{F5764046-0C7C-439F-9FAF-C853D0A8A113}" userId="Vonda Harrison Arey" providerId="None"/>
  <person displayName="Vonda M. Arey" id="{6EAB3778-1AC2-4984-8B4C-7545F01C9601}" userId="S::varey@npca.org::85ff23a1-58fb-462f-8ce6-94b5329f6e4b" providerId="AD"/>
  <person displayName="Vonda Harrison Arey" id="{8E316B4F-9842-4D71-B8C0-E4BC3E890C47}" userId="S::vharrison@npca.org::85ff23a1-58fb-462f-8ce6-94b5329f6e4b" providerId="AD"/>
  <person displayName="West Honeycutt" id="{AEA299FB-720C-435E-80AE-678E405FE59E}" userId="S::whoneycutt@npca.org::1f5fe1e0-f3de-418a-b584-90455845f63a"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3" dT="2022-12-08T16:39:34.07" personId="{8E316B4F-9842-4D71-B8C0-E4BC3E890C47}" id="{3930FF99-9127-412A-8E69-AA9AD1735262}">
    <text xml:space="preserve">Note to file: a final distribution for approximately $4,000. will be sent in FY24. This will be the last distribution from the trust. </text>
  </threadedComment>
  <threadedComment ref="E3" dT="2023-09-26T18:35:58.67" personId="{8E316B4F-9842-4D71-B8C0-E4BC3E890C47}" id="{24B39F36-807E-4E77-A683-3FD3BA0BEBBB}" parentId="{3930FF99-9127-412A-8E69-AA9AD1735262}">
    <text xml:space="preserve">Update from the estate attorney, Stephen Frank: this year trust distribution will be the final payment as the trust will be closed. A small residual payment will be issued after taxes are filed early 2024.  </text>
  </threadedComment>
  <threadedComment ref="E10" dT="2021-02-18T15:12:00.75" personId="{8E316B4F-9842-4D71-B8C0-E4BC3E890C47}" id="{9AA8D286-DCE7-4244-A4BC-4262A977F6D3}">
    <text>Surety Life Insurance</text>
  </threadedComment>
  <threadedComment ref="E12" dT="2020-01-08T17:38:14.88" personId="{8E316B4F-9842-4D71-B8C0-E4BC3E890C47}" id="{2F5A0638-2A69-44AD-8922-AAF88DB43757}">
    <text xml:space="preserve">NPCA is a beneficiary of the Kennelly CLT, and have received annual  distributions from BNY Mellon Wealth Mgmt., approx. $15k annually since 2014. Awaiting additional information from BNY Mellon regarding the time frame of future distributions. 
</text>
  </threadedComment>
  <threadedComment ref="E19" dT="2020-06-11T14:08:57.17" personId="{AEA299FB-720C-435E-80AE-678E405FE59E}" id="{E77B6A59-7AE3-49FE-B984-0F47B2ADD3E2}">
    <text xml:space="preserve">We will always receive a letter in January stating what we will receive over the calenday year based on net income of trust. In some years, we will receive additional payment to fulfill private foundation minimum payout law
</text>
  </threadedComment>
  <threadedComment ref="E26" dT="2023-10-10T20:51:26.69" personId="{8E316B4F-9842-4D71-B8C0-E4BC3E890C47}" id="{D83E8F9B-E291-4219-B79F-2E842E707A79}">
    <text xml:space="preserve">The bequest distribution will come from a family trust in which the husband's death on 2/15/23 has initiated the closing of the trust and disbursements to charitable beneficiaries. NPCA will receive approximately $80k. A small residual will be distributed after taxes and fees are paid from the trust. </text>
  </threadedComment>
  <threadedComment ref="E30" dT="2020-12-10T20:58:03.52" personId="{8E316B4F-9842-4D71-B8C0-E4BC3E890C47}" id="{CCA46CD9-681D-43D3-8C77-1E0809435F84}">
    <text>NPCA anticipates receipt of $9,000 as a "preliminary" distribution per Ms. Barr's Trust. Also, Ms. Barr's estate attorney, Sarah Gilson, has indicated there's a judgement of $14.6 million filed in Alameda County Superior Court (Case No. RG17880698) on behalf of Ms. Barr's estate to which the estate trust could receive an excess of $1 million as a net reward. The judgement has been appealed by the defendant. However, if the judgement is sustained, the CRT could potentially be entitled to between $4.4 million and $9.24 million. Therefore, NPCA could potentially receive another gift in the future from this CRT.</text>
  </threadedComment>
  <threadedComment ref="E30" dT="2021-05-20T19:06:29.22" personId="{8E316B4F-9842-4D71-B8C0-E4BC3E890C47}" id="{047A8086-8879-4535-94DC-1C42FE32BDAD}" parentId="{CCA46CD9-681D-43D3-8C77-1E0809435F84}">
    <text>Status Update - 5/20/21:
Sasha Collins &lt;Collins@lawofficeinc.com&gt;
Thu 5/20/2021 8:12 AM
Vonda, 
I do not expect that the trustee will make distributions prior to June 30, 2021 due to some unanticipated tax issues relating to the taxation of damages awarded to the Estate of Barbara J. Barr. The Trustee has engaged tax counsel and we are working with the Estate to resolve the issues as quickly as possible. Once we have resolved the tax issues, the Trustee will make distributions from the Charitable Remainder Unitrust.
I am copying my legal assistant, Marisa Glass, on this email. Marisa can schedule a call to discuss any questions you may have. You can reach Marisa at 916-920-5983.
Sasha Oberle Collins, JD, LL.M
Meissner Joseph Palley &amp; Ruggles, Inc.
510 4th Street, Davis, CA 95616 
cell: (530) 601-3311
office: (530) 419-0660
fax: (916) 920-9379
collins@lawofficeinc.com</text>
  </threadedComment>
  <threadedComment ref="E33" dT="2022-11-07T05:41:22.12" personId="{8E316B4F-9842-4D71-B8C0-E4BC3E890C47}" id="{E6C33E2A-D512-4910-8F36-62B4372B14EE}">
    <text>Anticipate residual payment in 2023; approximately $10k</text>
  </threadedComment>
  <threadedComment ref="E35" dT="2023-07-11T16:05:13.19" personId="{8E316B4F-9842-4D71-B8C0-E4BC3E890C47}" id="{849C1517-90D5-4C38-B9F3-A4DEF3E79BF2}">
    <text xml:space="preserve">UPDATE: Partial distribution received from trust, 7/11/23. Anticipate receipt of small residual after trust is finalized and closed. </text>
  </threadedComment>
  <threadedComment ref="E36" dT="2024-03-05T19:08:56.83" personId="{6EAB3778-1AC2-4984-8B4C-7545F01C9601}" id="{FA8BE67A-D7F7-4BF3-BB08-6EBB9BD93011}">
    <text xml:space="preserve">NPCA received a partial distribution today in the amount of $423,075.11; another distribution is scheduled to be disbursed later this year. </text>
  </threadedComment>
  <threadedComment ref="E38" dT="2022-02-25T23:08:38.13" personId="{8E316B4F-9842-4D71-B8C0-E4BC3E890C47}" id="{2052FD70-4C08-4E06-8D9F-32B94CB668EE}">
    <text xml:space="preserve">NPCA received partial distribution; anticipate residual after fed and state taxes are complete. </text>
  </threadedComment>
  <threadedComment ref="E39" dT="2022-07-22T20:28:39.66" personId="{8E316B4F-9842-4D71-B8C0-E4BC3E890C47}" id="{F5441336-1E2F-44AF-A904-6E553169D64A}">
    <text xml:space="preserve">NPCA has been named sole beneficiary of two life insurance policies from the Estate of Dallas Brown. The distributions will be come from Allianz Life Insurance of North America in the amount of $1MM, and the other from Lafayette Life Insurance for $200k. NPCA could possibly be the recipient of a third asset, ($200k); this will need to be determined by the estate. Dallas Brown did not solidify in writing his wishes for NPCA to receive the third asset. Therefore, the estate will have to determine, possibly through the courts, who should receive the third asset.   </text>
  </threadedComment>
  <threadedComment ref="E40" dT="2021-05-10T15:17:57.63" personId="{AEA299FB-720C-435E-80AE-678E405FE59E}" id="{6F533520-EBEB-435A-8628-F68C21576753}">
    <text>WAH spoke w/ atty on 5/10. Prev trustee died of covid. New trustee, Tim does not officially represent. Has been pressing trustee. Trustee is accountant and Tim will press again in June after tax season. Should west contact jewish philanthropies (25% bene)?</text>
  </threadedComment>
  <threadedComment ref="E41" dT="2023-07-11T22:50:10.21" personId="{8E316B4F-9842-4D71-B8C0-E4BC3E890C47}" id="{F29B3542-7FA6-403A-BE25-EBB13B876C59}">
    <text>NPCA received a partial distribution from the estate. There will be a second and final distribution of a much smaller amount estimated to be ten percent of the enclosed distribution at closing of the estate. </text>
  </threadedComment>
  <threadedComment ref="E44" dT="2020-02-19T05:56:21.66" personId="{8E316B4F-9842-4D71-B8C0-E4BC3E890C47}" id="{7B939E1C-9571-482A-8ACE-CBC141D9163D}">
    <text xml:space="preserve">NPCA to receive portion of trust. 
</text>
  </threadedComment>
  <threadedComment ref="E47" dT="2021-05-05T22:56:27.22" personId="{AEA299FB-720C-435E-80AE-678E405FE59E}" id="{4C269D62-7935-452B-871E-206E9625AC33}">
    <text>1/29/21 awaiting timeline and amount</text>
  </threadedComment>
  <threadedComment ref="E47" dT="2021-06-20T20:04:52.14" personId="{AEA299FB-720C-435E-80AE-678E405FE59E}" id="{F7C70547-0377-47DC-97B1-FDF29FEB8B29}" parentId="{4C269D62-7935-452B-871E-206E9625AC33}">
    <text>awaiting small final distribution; partial received 6/17/21</text>
  </threadedComment>
  <threadedComment ref="E50" dT="2021-02-04T15:06:54.89" personId="{8E316B4F-9842-4D71-B8C0-E4BC3E890C47}" id="{B9AB7C58-D52E-404B-9F37-F6CAF42D693A}">
    <text xml:space="preserve">Rough estimate of current trust value is $3 million, and 3% of that is approximately $40k. The trustee will provide further details as he receives them. Date of distribution TBD.  </text>
  </threadedComment>
  <threadedComment ref="E51" dT="2021-05-20T20:44:56.17" personId="{8E316B4F-9842-4D71-B8C0-E4BC3E890C47}" id="{F1C26477-7DA4-4610-8543-9E7C05D24160}">
    <text xml:space="preserve">UPDATE: Richard Buhrman &lt;rwb@buhrmanlaw.com&gt;
Thu 5/20/2021 3:58 PM
"Ms. Arey
Distribution will be prior to May 31. Estimate each of the five charitable beneficiaries will receive $47,000".
"Mr. Buhrman, 
Thank you for your response. I will keep an eye out for the documentation you sent and follow up with any questions. However, I do have a quick question about the distribution timeline. For record keeping purposes, could you kindly provide an approximate date of distribution from the estate as well as the approximate amount NPCA will receive? Thank you for any information you can provide".
"Ms Arey
Met with Executor Tuesday; final court documents, summary of transactions sent to you and other four charitable beneficiaries .
After you review these items, call with questions". 
Richard Buhrman </text>
  </threadedComment>
  <threadedComment ref="E60" dT="2020-09-14T23:16:50.27" personId="{8E316B4F-9842-4D71-B8C0-E4BC3E890C47}" id="{780D180F-FEC7-43F3-BF77-34F7E5127DC9}">
    <text xml:space="preserve">Estimated bequest distribution $25k - $30k; anticipated date of distribution end of first quarter of 2021 (March). </text>
  </threadedComment>
  <threadedComment ref="E65" dT="2022-04-25T18:42:40.38" personId="{8E316B4F-9842-4D71-B8C0-E4BC3E890C47}" id="{8E29A12B-7752-457E-A253-1A62C471617A}">
    <text xml:space="preserve">NPCA has been named as a beneficiary of the estate, and will receive one-fifth of the estate's liquidated assets. </text>
  </threadedComment>
  <threadedComment ref="E68" dT="2021-09-29T03:04:49.34" personId="{8E316B4F-9842-4D71-B8C0-E4BC3E890C47}" id="{85DCBB53-BB95-48D4-B704-674640B6EE8E}">
    <text xml:space="preserve">NPCA will receive a split of 7% of residual of trust amongst other charities. </text>
  </threadedComment>
  <threadedComment ref="E68" dT="2021-10-14T18:47:11.71" personId="{8E316B4F-9842-4D71-B8C0-E4BC3E890C47}" id="{B0D8DDBB-5DA5-4E2B-8C73-E7732F2FC4FB}" parentId="{85DCBB53-BB95-48D4-B704-674640B6EE8E}">
    <text xml:space="preserve">FYI:  Maurer, Travis G. &lt;tmaurer@ycst.com&gt;
Thu 10/14/2021 10:56 AM
To: Vonda M. Arey
Hello, Vonda.
Unfortunately, at this time I am not able to give you an estimate of the amount or timing of distributions from the trust. We are still gathering necessary information. Accordingly, I do not anticipate that there will be any distributions prior to the end of the year. If this should change, I will be sure to let you know. Please let me know if you have any additional questions.
 Kind regards,
Travis
</text>
  </threadedComment>
  <threadedComment ref="E70" dT="2020-02-19T05:40:51.10" personId="{8E316B4F-9842-4D71-B8C0-E4BC3E890C47}" id="{0CF2235F-2492-41BA-A824-52E59F40193B}">
    <text xml:space="preserve">NPCA to receive a portion of residual from trust. 
</text>
  </threadedComment>
  <threadedComment ref="E70" dT="2020-03-11T18:21:17.33" personId="{8E316B4F-9842-4D71-B8C0-E4BC3E890C47}" id="{DB43ED26-9227-40A6-BFA5-0CD339E1FA9B}" parentId="{0CF2235F-2492-41BA-A824-52E59F40193B}">
    <text xml:space="preserve">11/18/2019 - Valuation of distribution unknown at this time. Some estate assets, (bank deposits and stock), were not intially placed in the trust. Therefore, a petition to the court to determine all assets of the trust was initiated.  
03/02/2020 - Court hearing scheduled 
April 21, 2020, to determine trust administration, after which the value of trust can better be estimated
</text>
  </threadedComment>
  <threadedComment ref="E70" dT="2020-04-23T22:56:27.76" personId="{8E316B4F-9842-4D71-B8C0-E4BC3E890C47}" id="{66510CFC-2CF7-4346-8AD5-941764512102}" parentId="{0CF2235F-2492-41BA-A824-52E59F40193B}">
    <text xml:space="preserve">April 23, 2020 - Update from estate attorney: Court hearing continued through 6/23/20. Approx. value of estate is $289,375. Estimate of distribution to NPCA TBD. 
</text>
  </threadedComment>
  <threadedComment ref="E70" dT="2022-01-20T20:33:57.74" personId="{8E316B4F-9842-4D71-B8C0-E4BC3E890C47}" id="{A032F5B9-0196-4762-98A6-093E502E69B4}" parentId="{0CF2235F-2492-41BA-A824-52E59F40193B}">
    <text xml:space="preserve">01/20/2022 - NPCA anticipate another distribution after estate taxes are filed. </text>
  </threadedComment>
  <threadedComment ref="E74" dT="2022-03-29T21:15:04.76" personId="{8E316B4F-9842-4D71-B8C0-E4BC3E890C47}" id="{8D3B20E6-03C2-445E-8C3D-6B943B12602E}">
    <text xml:space="preserve">I called Christine Halchak early March to obtain additional information regarding the bequest distribution. Ms. Halchak was not available so I left a voicemail. Followed up again 3/29/22, Ms. Halchak still not available, left voicemail again along with sending an email message requesting additional information regarding NPCA's portion of the estate. </text>
  </threadedComment>
  <threadedComment ref="E75" dT="2021-07-07T20:29:47.35" personId="{8E316B4F-9842-4D71-B8C0-E4BC3E890C47}" id="{149789CD-38C4-41C0-BE49-D29CC095B093}">
    <text>NPCA named as a beneficiary of 1/4 of residue split between 6 other charities. Value of estate unknown as of 7/7/2021.</text>
  </threadedComment>
  <threadedComment ref="E75" dT="2021-10-01T18:52:38.84" personId="{8E316B4F-9842-4D71-B8C0-E4BC3E890C47}" id="{89003B01-1E12-4F0D-B673-52DC85DCB617}" parentId="{149789CD-38C4-41C0-BE49-D29CC095B093}">
    <text>Update from Susan Coombs, 7/29/21: "Hello Vonda,
I am assisting James Jacquette with the administration of Mary E. Jacquette’s estate... 
We are in the process of administering Mary’s estate and will provide you with the estimate of the gift to NPCA in the near future. The PA Inheritance tax return is required to be filed nine (9) months after death or December 30, 2021 and shortly thereafter, the estate will prepare and forward an accounting to all beneficiaries... Thank you and please do not hesitate to contact me with any questions. – Susan Coombs"</text>
  </threadedComment>
  <threadedComment ref="E75" dT="2022-06-28T19:27:24.17" personId="{8E316B4F-9842-4D71-B8C0-E4BC3E890C47}" id="{F8A451DD-89BE-4E55-B3F8-DDE39671804F}" parentId="{149789CD-38C4-41C0-BE49-D29CC095B093}">
    <text>Partial distribution received 6/27/2022 in the amount of $71,000.</text>
  </threadedComment>
  <threadedComment ref="E75" dT="2022-09-28T21:44:57.92" personId="{8E316B4F-9842-4D71-B8C0-E4BC3E890C47}" id="{3304FD41-ADDE-4A53-8F14-14B1BF8FCBF7}" parentId="{149789CD-38C4-41C0-BE49-D29CC095B093}">
    <text>Update: NPCA anticipate second partial distribution from Estate in the amount of $32,142.85</text>
  </threadedComment>
  <threadedComment ref="E79" dT="2022-03-07T22:05:47.35" personId="{8E316B4F-9842-4D71-B8C0-E4BC3E890C47}" id="{6EEBB1E5-1192-4CB7-99BF-A37D9D2E9308}">
    <text>Potential duplicate bequest on spreadsheet. Do research to determine if this bequest is the same as Shirley Anne Kaub's bequest distribution received in FY2021.</text>
  </threadedComment>
  <threadedComment ref="E80" dT="2022-02-10T01:46:04.22" personId="{8E316B4F-9842-4D71-B8C0-E4BC3E890C47}" id="{49941FE1-1AF2-4692-B379-6160C0B354EA}">
    <text xml:space="preserve">Partial distribution received from the trust. NPCA anticipated residual distribution. Date TBD.  </text>
  </threadedComment>
  <threadedComment ref="E80" dT="2022-02-10T17:39:34.58" personId="{8E316B4F-9842-4D71-B8C0-E4BC3E890C47}" id="{75E8B22F-6D5D-41B8-9C7C-A88EF1CF4330}" parentId="{49941FE1-1AF2-4692-B379-6160C0B354EA}">
    <text xml:space="preserve">Received confirmation from trust attorney: residual is estimated at $25,000, anticipate receipt before end of 2022. </text>
  </threadedComment>
  <threadedComment ref="E84" dT="2024-04-04T03:25:35.00" personId="{6EAB3778-1AC2-4984-8B4C-7545F01C9601}" id="{2EBC4051-4026-4819-AEA0-CE9AB2B60D28}">
    <text xml:space="preserve"> Anticipated bequest distribution being sent via wire transfer in April 2024. </text>
  </threadedComment>
  <threadedComment ref="E85" dT="2022-03-04T05:51:10.40" personId="{8E316B4F-9842-4D71-B8C0-E4BC3E890C47}" id="{7E300ECD-F3CC-433E-BFD3-1135172573A8}">
    <text xml:space="preserve">Anticipated residual to be received after estate taxes are filed. </text>
  </threadedComment>
  <threadedComment ref="E85" dT="2022-12-05T17:36:37.46" personId="{8E316B4F-9842-4D71-B8C0-E4BC3E890C47}" id="{ADFD8F0E-1DA9-4A78-991F-6040384E5E09}" parentId="{7E300ECD-F3CC-433E-BFD3-1135172573A8}">
    <text>12052022 - Note to file: Approved final distribution based on court approval, $15,726.92</text>
  </threadedComment>
  <threadedComment ref="E86" dT="2020-09-11T00:31:59.18" personId="{8E316B4F-9842-4D71-B8C0-E4BC3E890C47}" id="{50E5E3BD-2C5E-4A4E-BA7A-E96BC60B9C49}">
    <text xml:space="preserve">9/10/20 - estate valuation to be determined after inventory is complete; inventory should be readily available in 4 - 6 weeks from to-date.  </text>
  </threadedComment>
  <threadedComment ref="E86" dT="2022-12-20T21:12:31.24" personId="{8E316B4F-9842-4D71-B8C0-E4BC3E890C47}" id="{3254BC84-6637-4824-AD15-4125D5F07BA9}" parentId="{50E5E3BD-2C5E-4A4E-BA7A-E96BC60B9C49}">
    <text xml:space="preserve">Received interim distribution check dated 12/13/2022, in the amount of $5,000. Anticipate residual distribution after 2022 taxes have been filed. </text>
  </threadedComment>
  <threadedComment ref="E87" dT="2021-08-04T20:12:27.72" personId="{8E316B4F-9842-4D71-B8C0-E4BC3E890C47}" id="{633E9D64-690C-42F9-BE9A-39787D699642}">
    <text xml:space="preserve">8/4/21 - NPCA has been named as a beneficiary amongst two other charities, and will receive approximately $500k from the trust. Administration is in beginning stages and updates will be provided upon receipt from the trust attorney. </text>
  </threadedComment>
  <threadedComment ref="E87" dT="2021-10-07T01:22:13.17" personId="{8E316B4F-9842-4D71-B8C0-E4BC3E890C47}" id="{0298A9D9-A4E8-4E9E-9533-3E444E884930}" parentId="{633E9D64-690C-42F9-BE9A-39787D699642}">
    <text>UPDATE : 10/06/2021 - hearing date for account filings could take up to 6 months. Anticipate receipt of gift early 2022.</text>
  </threadedComment>
  <threadedComment ref="E87" dT="2021-10-12T04:58:29.43" personId="{8E316B4F-9842-4D71-B8C0-E4BC3E890C47}" id="{40FDBBF9-B548-4A7D-8FBE-5E06AAF73AE5}" parentId="{633E9D64-690C-42F9-BE9A-39787D699642}">
    <text>UPDATE: Rebecca
Weisman &lt;rebecca@fwlawoffices.com&gt; Mon 10/11/2021 6:55 PM
To: Vonda M. Arey
Cc:Jessica M. Britt &lt;jmbritt@live.com&gt;+1 other
 "Hi Vonda, we are working on and need to file accountings, get those approved, clean up clear out and sell a house. It's taking 5 to 6 months to get hearing dates. So, a very optimistic time frame would be at least a year. 
Rebecca"</text>
  </threadedComment>
  <threadedComment ref="E87" dT="2022-06-25T20:57:03.99" personId="{8E316B4F-9842-4D71-B8C0-E4BC3E890C47}" id="{D682B09C-6965-4843-ABD1-5C10D7A4C5AE}" parentId="{633E9D64-690C-42F9-BE9A-39787D699642}">
    <text xml:space="preserve">NPCA received notice of petition to administer estate 6/21/22. Estate still in administration; anticipate receipt of distribution towards calendar year end, 12/31/2022. </text>
  </threadedComment>
  <threadedComment ref="E90" dT="2023-08-22T18:13:39.09" personId="{8E316B4F-9842-4D71-B8C0-E4BC3E890C47}" id="{C5CDBBCB-C996-47AF-A459-57BFDF375E18}">
    <text>UPDATE 082223: Spoke with the Capital Group/American Funds Insurance Company today about the bequest distribution from Robert Bartholomew's account. They are requiring us to complete specific claim paperwork in order to create an internal beneficiary account with CG/AF on behalf of NPCA. However, because these forms demand us to submit sensitive information about our executive team, (i.e. SSN, DOB, home address info., etc.), NPCA is reluctant to complete and submit the required forms. Planned Giving will create a letter to CG/AF general counsel requesting distribution of the allotted bequest from Mr. Bartholomew without creating an internal beneficiary account.</text>
  </threadedComment>
  <threadedComment ref="E95" dT="2023-12-20T00:23:53.70" personId="{8E316B4F-9842-4D71-B8C0-E4BC3E890C47}" id="{3C1E861E-0784-48F0-91CB-07C820F9556D}">
    <text xml:space="preserve">Contacted Kristen Simon to inquire about whether the Ordway Trust is ongoing or if the 2023 distribution is final. </text>
  </threadedComment>
  <threadedComment ref="E96" dT="2023-12-20T00:24:34.39" personId="{8E316B4F-9842-4D71-B8C0-E4BC3E890C47}" id="{5CBDEF54-0D46-4EC5-850E-D6EAE91A6DE7}">
    <text>Is this for FY22?</text>
  </threadedComment>
  <threadedComment ref="E99" dT="2020-12-04T19:10:32.47" personId="{8E316B4F-9842-4D71-B8C0-E4BC3E890C47}" id="{B5AAB438-F0FE-4994-817F-A000AAC631E3}">
    <text xml:space="preserve">Have made several attempts to email Walter Bieber regarding the status of the distribution. I haven't received a response to-date. Called and left a voicemail message and awaiting a response; will follow-up by email as well. </text>
  </threadedComment>
  <threadedComment ref="E99" dT="2021-03-30T13:37:54.23" personId="{8E316B4F-9842-4D71-B8C0-E4BC3E890C47}" id="{8294B1C4-C6A2-4813-82A1-48E56E979010}" parentId="{B5AAB438-F0FE-4994-817F-A000AAC631E3}">
    <text>RE: Estate/Trust of Diane Pick
    National Parks
Ms. Arey,
We will not be making a distribution this year (2020). We must first pay taxes and all administrative expenses, which can't be calculated until after the taxes are computed by April 15, 2021, before there are distributions to beneficiaries. So you shouldn't expect to hear from us until May/June, 2021. I hope to distribute all the assets in July/August, 2021.
Wally Bieber
BIEBER &amp; CZECHOWSKI, PLLC
26224 Van Dyke
Center Line MI 48015
586-754-1450
wbieber@bcbestlawfirm.com</text>
  </threadedComment>
  <threadedComment ref="E102" dT="2024-02-16T02:26:19.11" personId="{8E316B4F-9842-4D71-B8C0-E4BC3E890C47}" id="{87FDB780-3757-4980-B118-A52A2C97C029}">
    <text xml:space="preserve">NPCA received a partial distribution of $10k and anticipate another $120k. A residual distribution will be sent after estate taxes are filed.  </text>
  </threadedComment>
  <threadedComment ref="E108" dT="2021-05-05T23:12:04.64" personId="{AEA299FB-720C-435E-80AE-678E405FE59E}" id="{116661E5-FFC1-41E1-BC5D-75A0EE0C6E0A}">
    <text>Problem estate. Emailed Beth Golden at Docs without borders again on 5/5/21</text>
  </threadedComment>
  <threadedComment ref="E108" dT="2024-03-05T19:06:27.07" personId="{6EAB3778-1AC2-4984-8B4C-7545F01C9601}" id="{651F3B5F-99EC-446E-8101-B0CAF2E08F77}" parentId="{116661E5-FFC1-41E1-BC5D-75A0EE0C6E0A}">
    <text xml:space="preserve">Update: NPCA received a distribution today for $42k with a residual amount anticipated to be received before 6/30/24. </text>
  </threadedComment>
  <threadedComment ref="E111" dT="2021-05-05T23:13:04.88" personId="{AEA299FB-720C-435E-80AE-678E405FE59E}" id="{E263E7A2-89CF-469F-864E-A81338C1EE72}">
    <text>Problem estate. Emailed with Lori Sullivan and Ciana Phann on 5/4/21. Waiting on Sierra Club outside legal counsel to advise so we can petition for appointing a trustee</text>
  </threadedComment>
  <threadedComment ref="E112" dT="2023-08-31T16:41:54.83" personId="{8E316B4F-9842-4D71-B8C0-E4BC3E890C47}" id="{887936B4-A5EE-4BE8-A0E4-43C40811C167}">
    <text xml:space="preserve">Second distribution received today (8/31/23); anticipate receipt of residual distribution from Trust towards year end, 2023. </text>
  </threadedComment>
  <threadedComment ref="E113" dT="2023-08-31T16:43:07.86" personId="{8E316B4F-9842-4D71-B8C0-E4BC3E890C47}" id="{8E034E6F-836E-481E-91B2-8826CB42CFF6}">
    <text xml:space="preserve">Last distribution received today from trust on behalf of Robert Shaffer. </text>
  </threadedComment>
  <threadedComment ref="E115" dT="2021-05-05T23:14:48.78" personId="{AEA299FB-720C-435E-80AE-678E405FE59E}" id="{6EADF19D-BC20-45ED-A0D5-AFFA847104DD}">
    <text>Trustee letter 12/21/20 hoped for final distribution in early 2021. Nothing as of 5/5/21</text>
  </threadedComment>
  <threadedComment ref="E116" dT="2023-05-17T18:32:01.91" personId="{AEA299FB-720C-435E-80AE-678E405FE59E}" id="{5DD3CCE8-9F9D-4768-B3CF-966FF1D4D99F}">
    <text>Notified by atty of potential contest to estate; awaiting notice for parties to contest and to see if person actually contests 5/17/23</text>
  </threadedComment>
  <threadedComment ref="E120" dT="2023-11-07T04:40:55.12" personId="{8E316B4F-9842-4D71-B8C0-E4BC3E890C47}" id="{E8E0981C-75E4-47F5-A862-76CABB018799}">
    <text xml:space="preserve">NPCA received an unexpected $500k bequest today with an anticipated residual coming from the estate after taxes are filed and administrative fees paid. </text>
  </threadedComment>
  <threadedComment ref="E121" dT="2021-04-07T14:31:48.91" personId="{8E316B4F-9842-4D71-B8C0-E4BC3E890C47}" id="{8A21FC86-5626-4089-8327-C70EE427B6F9}">
    <text>From: Ten Lin Lee Wyatt &lt;twyatt@wilkauslander.com&gt;
Sent: Wednesday, March 31, 2021 11:26 AM
To: Vonda M. Arey &lt;varey@npca.org&gt;
Cc: 'Anne Donaghy' &lt;annetdonaghy@gmail.com&gt;; Thomas Amlicke &lt;tamlicke@wilkauslander.com&gt;; Bruce C. Johnson &lt;bjohnson@wilkauslander.com&gt;
Subject: RE: NPCA - Following Up on the Estate of Lowell Thomas, Jr.
Dear Ms. Arey, 
Thank you for your email below.  I am doing well and hope you are, too.
This is in response to your inquiry as to the status of the Estate of Lowell Thomas, Jr. Please be advised that we followed-up on numerous occasions with the Internal Revenue Service (“IRS”) after we filed the Estate’s Federal Estate Tax Return (Form 706) on December 27, 2017. During the pandemic, which began more than a year ago, we continued to follow-up with the IRS but were unsuccessful in reaching anyone as the IRS offices were closed. Then, on December 14, 2020, we filed an Amended Form 706. We are waiting to receive the refund requested on the Amended Form 706. We are also waiting to hear whether there will be an audit of the 706 or waiting for a Federal Closing Letter approving the 706 as filed. We were hoping that filing an Amended Form 706 would “shake” the IRS a bit. It is difficult to determine the timeframe as to how much longer we have to wait before we hear from the IRS because the timing is totally in the hands of the IRS. However, we were informed that we could follow-up in connection with the status of the requested refund in mid-June, 2021, which we will do. When we ultimately hear from the IRS and the Federal estate tax issue has been settled, we will prepare a Receipt and Release and Final Accounting. After all of the beneficiaries (and there are many) have signed off on the Receipt and Release and Final Accounting, we will make distributions to the beneficiaries. That being said, I am sorry to say it is very unlikely that the National Parks and Conservation Association will receive its bequest by June 30, 2021. As you stated in the first sentence of your email, these are challenging times. Thus, everything is taking longer, especially since most IRS workers are working remotely. Please feel free to follow-up with me at any time.
Best wishes,
Mrs. Wyatt  </text>
  </threadedComment>
  <threadedComment ref="E121" dT="2021-04-08T20:47:47.37" personId="{8E316B4F-9842-4D71-B8C0-E4BC3E890C47}" id="{FF3D42C8-315B-4D69-80A2-DDBC53F5D609}" parentId="{8A21FC86-5626-4089-8327-C70EE427B6F9}">
    <text xml:space="preserve">Update - 04/08/2021
NPCA to receive approx. $400k from the trust after taxes and fees are complete. Anticipate receipt of distribution by end of 2021. Will follow up with estate Fall 2021. 
</text>
  </threadedComment>
  <threadedComment ref="E121" dT="2021-09-29T04:18:09.85" personId="{8E316B4F-9842-4D71-B8C0-E4BC3E890C47}" id="{4B6192E6-7C2B-40CE-B459-E8F4AFFD1C1F}" parentId="{8A21FC86-5626-4089-8327-C70EE427B6F9}">
    <text xml:space="preserve">UPDATE : 09/23/2021 - Estate is still awaiting completion of tax return. </text>
  </threadedComment>
  <threadedComment ref="E124" dT="2022-07-19T15:43:11.97" personId="{8E316B4F-9842-4D71-B8C0-E4BC3E890C47}" id="{7DEF4A95-DD46-4240-9C1B-5C0AD9CBA31B}">
    <text xml:space="preserve">NPCA received a partial distribution in the amount of $50k; residual will be distributed in 2023 after estate taxes have been filed. </text>
  </threadedComment>
  <threadedComment ref="E126" dT="2023-08-15T20:26:22.23" personId="{8E316B4F-9842-4D71-B8C0-E4BC3E890C47}" id="{CC7ACDDF-104A-4FC1-8E41-7E397905E79C}">
    <text xml:space="preserve">NPCA received a first distribution of $51k. A residual amount will be sent later. </text>
  </threadedComment>
  <threadedComment ref="E134" dT="2022-11-07T04:25:22.47" personId="{8E316B4F-9842-4D71-B8C0-E4BC3E890C47}" id="{826B5F60-596C-4B19-9A4F-F0D03883C123}">
    <text xml:space="preserve">No additional residual received. </text>
  </threadedComment>
  <threadedComment ref="G135" dT="2020-01-24T01:51:06.37" personId="{8E316B4F-9842-4D71-B8C0-E4BC3E890C47}" id="{B269D495-995A-417E-BA0D-B51215B37DE0}">
    <text xml:space="preserve">NPCA named as a beneficiary to receive 1% of the estate; current estate value $2.5MM. 
</text>
  </threadedComment>
  <threadedComment ref="G135" dT="2020-10-05T10:44:09.60" personId="{8E316B4F-9842-4D71-B8C0-E4BC3E890C47}" id="{7534700A-6553-44AD-B3AE-388B1C3D11B7}" parentId="{B269D495-995A-417E-BA0D-B51215B37DE0}">
    <text xml:space="preserve">Update as of 10/02 - Estate attorney filed notice for final distributions with court and should be approved soon; distributions will be mailed shortly afterwards, within 30 days. </text>
  </threadedComment>
  <threadedComment ref="E136" dT="2021-12-28T20:55:14.84" personId="{8E316B4F-9842-4D71-B8C0-E4BC3E890C47}" id="{D5931302-4B62-4AD7-B880-10D4DFF5B874}">
    <text xml:space="preserve">NPCA received partial distribution from estate today. Residual will follow sometime next year after taxes have been filed.  </text>
  </threadedComment>
  <threadedComment ref="E136" dT="2022-04-26T23:06:43.42" personId="{8E316B4F-9842-4D71-B8C0-E4BC3E890C47}" id="{A3A59E33-AD24-412E-8763-2EE63FF447BB}" parentId="{D5931302-4B62-4AD7-B880-10D4DFF5B874}">
    <text xml:space="preserve">NPCA anticipate receipt of 2nd partial distribution from the estate and trust in the amount of $396,496.82. Waiting to confirm timeline for this gift. </text>
  </threadedComment>
  <threadedComment ref="E140" dT="2021-02-04T15:06:54.89" personId="{8E316B4F-9842-4D71-B8C0-E4BC3E890C47}" id="{55281333-12C6-4E60-ABBF-B095C19EA562}">
    <text xml:space="preserve">Rough estimate of current trust value is $3 million, and 3% of that is approximately $40k. The trustee will provide further details as he receives them. Date of distribution TBD.  </text>
  </threadedComment>
  <threadedComment ref="E152" dT="2020-02-26T04:31:18.38" personId="{8E316B4F-9842-4D71-B8C0-E4BC3E890C47}" id="{209B4374-8B93-46E3-A44E-748A8481B195}">
    <text xml:space="preserve">Pamela Valentine, former trustee of the Sallie Moron Trust, died August 8, 2019. Candice Morton has been appointed the sole trustee. Proposed distribution to NPCA is $1,341.18. 
</text>
  </threadedComment>
  <threadedComment ref="E152" dT="2020-05-14T14:39:45.32" personId="{8E316B4F-9842-4D71-B8C0-E4BC3E890C47}" id="{05F6B436-5E30-4FFA-BD9C-9540511011AA}" parentId="{209B4374-8B93-46E3-A44E-748A8481B195}">
    <text xml:space="preserve">NPCA recently received partial distribution from the Trust in the amount of $1,341.18., dated 4/28/2020, ck#3012. Additional distribution to follow late 2020.
</text>
  </threadedComment>
  <threadedComment ref="E157" dT="2022-03-14T16:57:45.06" personId="{8E316B4F-9842-4D71-B8C0-E4BC3E890C47}" id="{08C75A7E-FC62-4971-A06C-E0599AAD2A3B}">
    <text xml:space="preserve">NPCA received bulk of trust distribution. A residual distribution will be received towards the end of 2022. </text>
  </threadedComment>
  <threadedComment ref="E157" dT="2022-12-06T19:48:32.46" personId="{8E316B4F-9842-4D71-B8C0-E4BC3E890C47}" id="{023E9FC9-C205-4C9D-8D91-F666F740771D}" parentId="{08C75A7E-FC62-4971-A06C-E0599AAD2A3B}">
    <text xml:space="preserve">Residual and final distribution in the amount of $315.00 was received on 11/22/2022. </text>
  </threadedComment>
  <threadedComment ref="E160" dT="2023-01-18T18:56:45.70" personId="{8E316B4F-9842-4D71-B8C0-E4BC3E890C47}" id="{D3B4BD5C-C666-47C9-AE65-749E594D179F}">
    <text xml:space="preserve">Note: this bequest is a final distribution from the trust after a lengthy trust administration due the sale of real estate property. </text>
  </threadedComment>
  <threadedComment ref="E174" dT="2021-08-05T18:45:54.62" personId="{8E316B4F-9842-4D71-B8C0-E4BC3E890C47}" id="{62FBB17B-3297-4045-B12A-ECA4B7AFAC3E}">
    <text xml:space="preserve">Update 8/5/2021 - all assets in IRA account have been liquidated. A distribution check will be sent to NPCA on Mon., 8/9. </text>
  </threadedComment>
  <threadedComment ref="E179" dT="2021-06-16T17:03:15.54" personId="{8E316B4F-9842-4D71-B8C0-E4BC3E890C47}" id="{B4278AB2-2337-4D4B-8F9A-FF4A9DA1D342}">
    <text>Anticipated date of distribution 6/30/2021.</text>
  </threadedComment>
  <threadedComment ref="E180" dT="2021-09-14T22:17:27.10" personId="{8E316B4F-9842-4D71-B8C0-E4BC3E890C47}" id="{5A4BBEB9-AFD3-40D2-8595-9B29AA300410}">
    <text>UPDATE 9/14/21 - anticipate estate distribution end of October or mid Nov. 2021.</text>
  </threadedComment>
  <threadedComment ref="E180" dT="2021-10-03T15:26:41.71" personId="{8E316B4F-9842-4D71-B8C0-E4BC3E890C47}" id="{ED9CF3AD-D827-42E7-8AF5-50A4011B5CBA}" parentId="{5A4BBEB9-AFD3-40D2-8595-9B29AA300410}">
    <text xml:space="preserve">Court proceedings for final acctg. continued through Nov. 9, 2021. Anticipate receipt of distribution by 12/31/2021. </text>
  </threadedComment>
  <threadedComment ref="E181" dT="2019-10-18T21:22:38.23" personId="{8E316B4F-9842-4D71-B8C0-E4BC3E890C47}" id="{2603F79B-5718-4603-9E59-3FBAE4619A06}">
    <text xml:space="preserve">Note from West Honeycutt: 
$1.6MM estate, NPCA at 7.5% residuary beneficiary
</text>
  </threadedComment>
  <threadedComment ref="E181" dT="2021-05-05T23:00:58.01" personId="{AEA299FB-720C-435E-80AE-678E405FE59E}" id="{10CF5651-7004-4F0F-B53F-B780F70814D6}" parentId="{2603F79B-5718-4603-9E59-3FBAE4619A06}">
    <text>10/19/2020 estate was dealing with IRS issues with no final distribution timeline (email from Laura Sayler to Vonda)</text>
  </threadedComment>
  <threadedComment ref="E182" dT="2021-03-26T00:53:28.54" personId="{8E316B4F-9842-4D71-B8C0-E4BC3E890C47}" id="{3FD1618E-A0EC-40E6-B688-4076A61B8443}">
    <text>UPDATE From Wells Fargo:                      Fri 3/19/2021 1:59 PM
Good morning Ms. Arey,
I am so sorry for my late reply. I had thought I had previously replied to your query. My sincere apologies for the oversight. 
Currently, we are awaiting the 2019 1040 tax clearance from the IRS. Once we have tax clearance, we can move forward with closing the account and making final distributions. Unfortunately, we do not have a time-frame on obtaining the tax clearance from the IRS as it is currently tax season, and the fact that in the last few weeks, the IRS has been gearing up to send stimulus payments to taxpayers. We are not surprised that the IRS pushed tax day to May 15th of this year, instead of the usual April 15th deadline. Our guess is that the IRS is overwhelmed and understaffed. As soon as we obtain the tax clearance, we will be able to close the account and make final distributions.
Thank you for your patience and if you should have further questions, please do not hesitate to reach out to me. 
Sincerely,
Mario Factor, CTFA
Investment and Fiduciary Services Associate
Estate Settlement Services 
Wells Fargo Wealth Management | 420 Montgomery 7th Floor | San Francisco, CA 94104 | 415.396.2820
MAC A0101-075 
mario.factor@wellsfargo.com</text>
  </threadedComment>
  <threadedComment ref="E191" dT="2021-05-05T23:09:15.69" personId="{AEA299FB-720C-435E-80AE-678E405FE59E}" id="{C3FA154D-85A7-4F13-8033-D36A2FFB3B85}">
    <text>likely full distribution received in July 2020; still waiting on accounting from estate and have not signed receipt and release</text>
  </threadedComment>
  <threadedComment ref="E194" dT="2020-08-03T13:20:05.37" personId="{8E316B4F-9842-4D71-B8C0-E4BC3E890C47}" id="{6639B632-FEF4-45E8-8042-8EA3476A5573}">
    <text xml:space="preserve">Update: court granted petition for partial distribution on Mon., 7/27/20. Distribution check to NPCA will be sent in the mail soon. </text>
  </threadedComment>
  <threadedComment ref="E194" dT="2020-08-17T17:36:18.42" personId="{8E316B4F-9842-4D71-B8C0-E4BC3E890C47}" id="{7F3D923A-2769-434C-8561-3117C0E6E294}" parentId="{6639B632-FEF4-45E8-8042-8EA3476A5573}">
    <text xml:space="preserve">Update: received $25,000 check from the Raven trust dated 7/27/20; ck #3150. Anticipate receipt of $25k residual sometime in FY21.  </text>
  </threadedComment>
  <threadedComment ref="E194" dT="2021-03-26T17:16:31.50" personId="{8E316B4F-9842-4D71-B8C0-E4BC3E890C47}" id="{AF95BF51-22CC-4BEA-9C1F-359000ED4424}" parentId="{6639B632-FEF4-45E8-8042-8EA3476A5573}">
    <text>UPDATE: Fri 3/26/2021 12:33 PM
Ms. Arey, 
We hope to be in a position within the next month or so when we will be filing our petition for approval of the trust administration and final distributions. A copy of that petition will be mailed to all of the beneficiaries once it is filed. At the same time, we will request a hearing, which I presume will be set 4 to 6 weeks out. Assuming the petition is approved at the hearing, we will then make the final distributions.</text>
  </threadedComment>
  <threadedComment ref="E194" dT="2021-05-03T18:32:56.31" personId="{8E316B4F-9842-4D71-B8C0-E4BC3E890C47}" id="{85AE6DD1-A0F1-4BB8-B9C5-FCF97B5FB017}" parentId="{6639B632-FEF4-45E8-8042-8EA3476A5573}">
    <text xml:space="preserve">UPDATE 05/03/21: 
Trish C. Gallegos &lt;tgallegos@pbwslaw.com&gt;
Sun 5/2/2021 11:12 AM
"Hello, attached for your information is a petition for final distribution and request for hearing. Please feel free to contact our office if you have questions". We're closer to receipt of final distribution...could possibly receive by 06/30/21. </text>
  </threadedComment>
  <threadedComment ref="E194" dT="2021-07-21T20:18:04.30" personId="{8E316B4F-9842-4D71-B8C0-E4BC3E890C47}" id="{0789906F-92F2-4322-8FF6-8B318234BAB3}" parentId="{6639B632-FEF4-45E8-8042-8EA3476A5573}">
    <text xml:space="preserve">Estate executor has informed NPCA the final distribution check will be sent in the mail week of July 19, 2021. </text>
  </threadedComment>
  <threadedComment ref="E195" dT="2021-09-22T20:18:16.67" personId="{8E316B4F-9842-4D71-B8C0-E4BC3E890C47}" id="{1CB4632F-C3E2-4592-B7D6-EAAD717CE859}">
    <text xml:space="preserve">UPDATE: 9/22/21 - NPCA receive notification from Tom Mourar, estate administrator; distribution check in the amount of $22,354 will be sent week of 9/27/21. </text>
  </threadedComment>
  <threadedComment ref="E198" dT="2021-01-04T19:40:40.32" personId="{8E316B4F-9842-4D71-B8C0-E4BC3E890C47}" id="{41D1FE9D-A1D7-4EF7-8FF2-274FECAC2143}">
    <text xml:space="preserve">NPCA received a partial distribution from the estate in the amount of $56k. A residual distribution forthcoming later in 2021; anticipated amount $20k. </text>
  </threadedComment>
  <threadedComment ref="E198" dT="2021-07-26T14:21:31.55" personId="{8E316B4F-9842-4D71-B8C0-E4BC3E890C47}" id="{522B278B-0EE3-4375-90FE-EF79DC01BDDD}" parentId="{41D1FE9D-A1D7-4EF7-8FF2-274FECAC2143}">
    <text>Update 7/26/21 - final distribution received; a small residual will be forwarded to beneficiaries after the estate has been closed.</text>
  </threadedComment>
  <threadedComment ref="E201" dT="2020-02-27T22:19:54.93" personId="{8E316B4F-9842-4D71-B8C0-E4BC3E890C47}" id="{17F0C789-0EFE-4170-8A6A-E4D71E02E592}">
    <text xml:space="preserve">NPCA was named beneficiary of the trust to receive 10%. 
</text>
  </threadedComment>
  <threadedComment ref="E201" dT="2021-02-03T14:24:00.95" personId="{8E316B4F-9842-4D71-B8C0-E4BC3E890C47}" id="{84B40496-E9E7-423A-8024-DB9FFF1F4072}" parentId="{17F0C789-0EFE-4170-8A6A-E4D71E02E592}">
    <text xml:space="preserve">Received notification from estate executor; NPCA will receive a partial distribution of $35k before end of Feb. 2021. A residual final distribution will be disbursed after trust taxes have been filed and all fees paid.  </text>
  </threadedComment>
  <threadedComment ref="E201" dT="2021-03-24T17:17:40.05" personId="{8E316B4F-9842-4D71-B8C0-E4BC3E890C47}" id="{EE63F262-CF89-4743-A5E7-6091A226CD73}" parentId="{17F0C789-0EFE-4170-8A6A-E4D71E02E592}">
    <text xml:space="preserve">Note: please see the following update from trustee regarding residual distribution. We anticipate receipt of payment in FY22:  "In response to your inquiry, below, we will be sending you an accounting of the Trust in the next couple months. The Trustee should be able to make another distribution once the accounting is approved by all beneficiaries and the 2020 tax returns have been filed and taxes paid. At this time, I do not know the amount of that distribution yet, but will let you know once that is determined".     </text>
  </threadedComment>
  <threadedComment ref="E211" dT="2020-09-11T14:16:11.97" personId="{8E316B4F-9842-4D71-B8C0-E4BC3E890C47}" id="{C7216B1E-0003-4B53-AA13-7BECCDBA58BD}">
    <text>NPCA will receive 5% of net trust if it exceeds $300k. However, if the net trust is less than $300k, we will receive 10% of net trust.</text>
  </threadedComment>
  <threadedComment ref="E211" dT="2020-09-25T20:18:55.13" personId="{8E316B4F-9842-4D71-B8C0-E4BC3E890C47}" id="{EE332635-4973-4FF4-BF02-750353018E82}" parentId="{C7216B1E-0003-4B53-AA13-7BECCDBA58BD}">
    <text xml:space="preserve">9/25/2020 - Estimated trust distributions are not available at this time; trust administrators are still compiling trust assets. However, one of the assets in the trust is worth $1M, all other assets are less in value. Sue Bloedorn, Trust Administrator, has informed us there could possibly be a significant partial distribution initiated soon, after 2019 taxes are complete. </text>
  </threadedComment>
  <threadedComment ref="E214" dT="2021-05-20T15:51:32.54" personId="{8E316B4F-9842-4D71-B8C0-E4BC3E890C47}" id="{8AEF2D4A-0F96-4153-B4FB-8A9650975A89}">
    <text xml:space="preserve">Lio, Alexandra &lt;alexandra.lio@bofa.com&gt;
Thu 5/20/2021 11:17 AM
Reply all
Forward
Good morning Vonda,
In reviewing the account it looks account was fully distributed. There is a small cash balance currently in the account of $416 which will be distributed to the remainder beneficiaries in accordance with the plan of distribution so it would result in a final distribution in the amount of approximately $2.91. 
Thank you,
Alex </text>
  </threadedComment>
  <threadedComment ref="E214" dT="2021-05-29T04:20:10.45" personId="{8E316B4F-9842-4D71-B8C0-E4BC3E890C47}" id="{591B23A1-3D06-47B2-AD3A-31B615F24B7C}" parentId="{8AEF2D4A-0F96-4153-B4FB-8A9650975A89}">
    <text xml:space="preserve">Email update: 
RE: Nancy B. Crutchfield CRUT From: Shaw, Brendon To: Vonda M. Arey Cc:
Sent: 5/28/2021 1:54:51 PM"Good Afternoon Vonda, 
There will be a final distribution sometime in June. I do not know the final amount, but it will be a relatively small income payment.
Regards, 
Settlement Officer II
 Assistant Vice President
RI1-536-02-07, 100 Westminster Street, Providence, RI 02903
T 401.278.3745 F 800.977.0554 Brendon Shaw
 </text>
  </threadedComment>
  <threadedComment ref="E220" dT="2020-08-05T22:39:18.51" personId="{8E316B4F-9842-4D71-B8C0-E4BC3E890C47}" id="{2D3BE353-498A-4E0B-B789-4623A38E794A}">
    <text>Update-080520: Received final notice of hearing and final accounting from David A. Furrow, Commissioner of Accounts for Franklin County. NPCA will receive 10% of estate, $32,889.23</text>
  </threadedComment>
  <threadedComment ref="E221" dT="2020-01-17T00:23:37.87" personId="{8E316B4F-9842-4D71-B8C0-E4BC3E890C47}" id="{6393F40F-BEA3-422D-90CF-BBF67DFECCBC}">
    <text xml:space="preserve">NPCA has been named as a beneficiary of the estate to receive approx. $4k from a life insurance distribution.; 
</text>
  </threadedComment>
  <threadedComment ref="E233" dT="2020-12-04T19:19:10.46" personId="{8E316B4F-9842-4D71-B8C0-E4BC3E890C47}" id="{3AB7E50B-7F8B-4C5D-BA95-BAF1551C50BF}">
    <text xml:space="preserve">NPCA sent a letter to Fidelity's general counsel on 12/02/20, requesting a direct distribution of funds in Dr. Oertel's Inherited IRA account to avoid creating an internal IRA account at Fidelity.  The letter was signed by Robin McKenna and Adam Siegel; awaiting a response from Fidelity.  </text>
  </threadedComment>
  <threadedComment ref="E233" dT="2021-03-31T01:16:24.33" personId="{8E316B4F-9842-4D71-B8C0-E4BC3E890C47}" id="{24549E72-00B8-41DF-AC07-2092F33B1FC5}" parentId="{3AB7E50B-7F8B-4C5D-BA95-BAF1551C50BF}">
    <text>Update: Fidelity Investment confirmed the IRA distribution should be sent by check on Friday, March 26, 2021. NPCA should receive the check in about 7 - 10 business days.</text>
  </threadedComment>
  <threadedComment ref="E233" dT="2021-04-16T15:23:29.01" personId="{8E316B4F-9842-4D71-B8C0-E4BC3E890C47}" id="{BBC7E98C-238F-4FA5-BA66-0A08CBE7FAC0}" parentId="{3AB7E50B-7F8B-4C5D-BA95-BAF1551C50BF}">
    <text xml:space="preserve">4/15/2021 - Received residual from IRA account in the amount of $1,492.91. </text>
  </threadedComment>
  <threadedComment ref="E238" personId="{F5764046-0C7C-439F-9FAF-C853D0A8A113}" id="{1260EA9C-354F-4B60-BD74-F33B7CED25E6}">
    <text xml:space="preserve">NPCA to receive a distribution from remainder of estate after expenses; approx. estate value $231,293.09. Update 10/28/19: NPCA received a check today in the amount of $212,500 as an innitial distribution from the estate. A residual check will be distriburted to all beneficiaries after taxes have been filed beginningh of 2020; anticpated residual amount around $10k. </text>
  </threadedComment>
  <threadedComment ref="E238" dT="2020-06-04T22:28:19.94" personId="{8E316B4F-9842-4D71-B8C0-E4BC3E890C47}" id="{D0879859-979D-480D-BA84-703C8D3BE9EF}" parentId="{1260EA9C-354F-4B60-BD74-F33B7CED25E6}">
    <text xml:space="preserve">Final distribution and accounting received 5/29/20. Amount of distribution $15,131.93. 
</text>
  </threadedComment>
  <threadedComment ref="E240" dT="2021-03-29T19:55:34.30" personId="{8E316B4F-9842-4D71-B8C0-E4BC3E890C47}" id="{5D3E0E19-F961-49DB-8A14-77E890272DDE}">
    <text xml:space="preserve">Sylvia Scudder, Trustee, is sending a copy of trust and accounting, as it becomes available; bequest amount to be determined. </text>
  </threadedComment>
  <threadedComment ref="E243" dT="2020-09-24T02:57:19.40" personId="{8E316B4F-9842-4D71-B8C0-E4BC3E890C47}" id="{C7B2BE9E-7ED0-4E67-A4D2-C421A439B101}">
    <text>Morgan Stanley confirmed today that NPCA will receive an additional residual check from this estate. Anticipated date and amount of residual has not been determined at this time.</text>
  </threadedComment>
  <threadedComment ref="E244" dT="2020-09-09T04:11:40.53" personId="{8E316B4F-9842-4D71-B8C0-E4BC3E890C47}" id="{E1408A7C-3478-4AC7-8EA1-8A489F30CCCF}">
    <text>NPCA has been named as a beneficiary to receive $30k from the Soucek Trust; anticipate receipt of distribution March 2021.</text>
  </threadedComment>
  <threadedComment ref="E244" dT="2021-03-26T21:23:11.84" personId="{8E316B4F-9842-4D71-B8C0-E4BC3E890C47}" id="{EBC1493F-68B0-4F58-BC0B-BA1CEAACD045}" parentId="{E1408A7C-3478-4AC7-8EA1-8A489F30CCCF}">
    <text>UPDATE; From: Csakai, Charles &lt;CCsakai@wintrustwealth.com
Sent: Friday, March 26, 2021 
To: Vonda M. Arey 
Subject: RE: Gladys R. Soucek Declaration of Trust
Dear Ms. Arey:
I think we will be making a full distributions to your organization by the end of April. There are one or two things that I need to resolve, but I am confident they will be taken care of in time to do an April distribution.
 Should there be a delay, I will let you know.
Sincerely,
Charles W. Csakai, J.D., CFP®</text>
  </threadedComment>
  <threadedComment ref="E245" dT="2020-04-23T22:39:28.33" personId="{8E316B4F-9842-4D71-B8C0-E4BC3E890C47}" id="{D2C17B4B-8E56-4453-A318-2C4042232325}">
    <text xml:space="preserve">NPCA to receive 0.05 % of estate/trust, approx. $401 bequest distribution. Anticipate receipt early FY21. 
</text>
  </threadedComment>
  <threadedComment ref="E255" dT="2019-10-18T22:27:27.71" personId="{8E316B4F-9842-4D71-B8C0-E4BC3E890C47}" id="{1F639828-DC12-4D97-9330-D75EB8D83B9C}">
    <text xml:space="preserve">Received Donor's Codicil and Application for Independent Administration and Waiver of Notice; requires authorized signature and notary; documentation submitted to Executive office for required signatures; Upadate: Independent Administration and Waiver form was signed and returned to attorney's office; Update 101719 - the estate executors reported the house is currently on the market for sale, and they need to sell the car as well. These are the final two parts of the estate. Not sure of timeline for distribution at this point, the house was just listed on the market.
</text>
  </threadedComment>
  <threadedComment ref="E269" personId="{F5764046-0C7C-439F-9FAF-C853D0A8A113}" id="{4A1806FD-BD77-40D4-9900-0616DDA2C629}">
    <text xml:space="preserve">Bequest distributions will take place mid to late summer; Update as of 08/14/19 - NPCA received a copy of the first and final accounting report of the trust, and has petitioned the court for it's settlement, along with approval of overall expenses to the trust. NPCA anticipates receipt of $30,054.02A by end of 2019, or shortly thereafter. A hearing is scheduled for 9/3/2019. Possibly a residual disbursement will come in 2020 after taxes are filed. </text>
  </threadedComment>
  <threadedComment ref="E269" dT="2020-03-20T00:12:21.59" personId="{8E316B4F-9842-4D71-B8C0-E4BC3E890C47}" id="{37FAF926-970B-4960-88D1-00B2363A519C}" parentId="{4A1806FD-BD77-40D4-9900-0616DDA2C629}">
    <text xml:space="preserve">Final distribution check received 3/19/20. Estate now closed. 
</text>
  </threadedComment>
</ThreadedComments>
</file>

<file path=xl/threadedComments/threadedComment2.xml><?xml version="1.0" encoding="utf-8"?>
<ThreadedComments xmlns="http://schemas.microsoft.com/office/spreadsheetml/2018/threadedcomments" xmlns:x="http://schemas.openxmlformats.org/spreadsheetml/2006/main">
  <threadedComment ref="O325" dT="2020-10-07T12:30:22.44" personId="{8E316B4F-9842-4D71-B8C0-E4BC3E890C47}" id="{9EDBFE79-E952-421A-8065-9721064E75C6}">
    <text xml:space="preserve">Jane Lanham is the donor, and Lawrence Lanham is her son/annuitant. </text>
  </threadedComment>
  <threadedComment ref="S325" dT="2020-10-08T03:11:55.28" personId="{8E316B4F-9842-4D71-B8C0-E4BC3E890C47}" id="{C2853A1F-ADE3-4DD1-BA7B-929FBC56F1A2}">
    <text xml:space="preserve">Jane Lanham is the mother of Lawrence Lanham and has established this annuity in support of her son who is the beneficiary. This is a single-life annuity, not a two-life annuity. </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autoPageBreaks="0"/>
  </sheetPr>
  <dimension ref="A1:AD94"/>
  <sheetViews>
    <sheetView showGridLines="0" tabSelected="1" zoomScale="85" zoomScaleNormal="85" workbookViewId="0">
      <selection activeCell="E10" sqref="E10"/>
    </sheetView>
  </sheetViews>
  <sheetFormatPr defaultColWidth="9.140625" defaultRowHeight="24.6" customHeight="1"/>
  <cols>
    <col min="1" max="1" width="15.7109375" style="34" bestFit="1" customWidth="1"/>
    <col min="2" max="2" width="17.7109375" style="34" customWidth="1"/>
    <col min="3" max="12" width="14.42578125" style="34" customWidth="1"/>
    <col min="13" max="13" width="14.42578125" customWidth="1"/>
    <col min="14" max="28" width="14.42578125" style="34" customWidth="1"/>
    <col min="29" max="16384" width="9.140625" style="34"/>
  </cols>
  <sheetData>
    <row r="1" spans="1:30" ht="24.6" customHeight="1" thickBot="1">
      <c r="A1" s="124"/>
      <c r="B1" s="118" t="s">
        <v>0</v>
      </c>
      <c r="C1" s="118" t="s">
        <v>1</v>
      </c>
      <c r="D1" s="118" t="s">
        <v>2</v>
      </c>
      <c r="E1" s="118" t="s">
        <v>3</v>
      </c>
      <c r="F1" s="118" t="s">
        <v>4</v>
      </c>
      <c r="G1" s="118" t="s">
        <v>5</v>
      </c>
      <c r="H1" s="118" t="s">
        <v>6</v>
      </c>
      <c r="I1" s="118" t="s">
        <v>7</v>
      </c>
      <c r="J1" s="118" t="s">
        <v>8</v>
      </c>
      <c r="K1" s="118" t="s">
        <v>9</v>
      </c>
      <c r="L1" s="118" t="s">
        <v>10</v>
      </c>
      <c r="M1" s="118" t="s">
        <v>11</v>
      </c>
      <c r="N1" s="118" t="s">
        <v>12</v>
      </c>
      <c r="O1" s="118" t="s">
        <v>13</v>
      </c>
      <c r="P1" s="118" t="s">
        <v>14</v>
      </c>
      <c r="Q1" s="118" t="s">
        <v>15</v>
      </c>
      <c r="R1" s="118" t="s">
        <v>16</v>
      </c>
      <c r="S1" s="118" t="s">
        <v>17</v>
      </c>
      <c r="T1" s="118" t="s">
        <v>18</v>
      </c>
      <c r="U1" s="118" t="s">
        <v>19</v>
      </c>
      <c r="V1" s="118" t="s">
        <v>20</v>
      </c>
      <c r="W1" s="118" t="s">
        <v>21</v>
      </c>
      <c r="X1" s="118" t="s">
        <v>22</v>
      </c>
      <c r="Y1" s="118" t="s">
        <v>23</v>
      </c>
      <c r="Z1" s="118" t="s">
        <v>24</v>
      </c>
      <c r="AA1" s="118" t="s">
        <v>25</v>
      </c>
      <c r="AB1" s="118" t="s">
        <v>26</v>
      </c>
      <c r="AC1" s="118" t="s">
        <v>27</v>
      </c>
      <c r="AD1" s="118" t="s">
        <v>28</v>
      </c>
    </row>
    <row r="2" spans="1:30" ht="24.6" customHeight="1">
      <c r="A2" s="119" t="s">
        <v>29</v>
      </c>
      <c r="B2" s="1036" t="s">
        <v>30</v>
      </c>
      <c r="C2" s="185" t="str">
        <f>SUM(COUNTIFS(TOTAL!K:K,"&gt;=" &amp;DATE(2023,7,1), TOTAL!K:K,"&lt;=" &amp;DATE(2024,6,30))+COUNTIFS(TOTAL!O:O,"&gt;=" &amp;DATE(2023,7,1), TOTAL!O:O,"&lt;=" &amp;DATE(2024,6,30)))&amp;"/150"</f>
        <v>83/150</v>
      </c>
      <c r="D2" s="120" t="str">
        <f>SUM(COUNTIFS(TOTAL!K:K,"&gt;=" &amp;DATE(2022,7,1), TOTAL!K:K,"&lt;=" &amp;DATE(2023,6,30))+COUNTIFS(TOTAL!O:O,"&gt;=" &amp;DATE(2022,7,1), TOTAL!O:O,"&lt;=" &amp;DATE(2023,6,30)))&amp;"/100"</f>
        <v>63/100</v>
      </c>
      <c r="E2" s="595" t="str">
        <f>SUM(COUNTIFS(TOTAL!K:K,"&gt;=" &amp;DATE(2021,7,1), TOTAL!K:K,"&lt;=" &amp;DATE(2022,6,30))+COUNTIFS(TOTAL!O:O,"&gt;=" &amp;DATE(2021,7,1), TOTAL!O:O,"&lt;=" &amp;DATE(2022,6,30)))&amp;"/150"</f>
        <v>127/150</v>
      </c>
      <c r="F2" s="120" t="str">
        <f>SUM(COUNTIFS(TOTAL!K:K,"&gt;=" &amp;DATE(2020,7,1), TOTAL!K:K,"&lt;=" &amp;DATE(2021,6,30))+COUNTIFS(TOTAL!O:O,"&gt;=" &amp;DATE(2020,7,1), TOTAL!O:O,"&lt;=" &amp;DATE(2021,6,30)))&amp;"/120"</f>
        <v>241/120</v>
      </c>
      <c r="G2" s="655" t="str">
        <f>SUM(COUNTIFS(TOTAL!K:K,"&gt;=" &amp;DATE(2019,7,1), TOTAL!K:K,"&lt;=" &amp;DATE(2020,6,30))+COUNTIFS(TOTAL!O:O,"&gt;=" &amp;DATE(2019,7,1), TOTAL!O:O,"&lt;=" &amp;DATE(2020,6,30)))&amp;"/75"</f>
        <v>266/75</v>
      </c>
      <c r="H2" s="748" t="str">
        <f>SUM(COUNTIFS(TOTAL!K:K,"&gt;=" &amp;DATE(2018,7,1), TOTAL!K:K,"&lt;=" &amp;DATE(2019,6,30))+COUNTIFS(TOTAL!O:O,"&gt;=" &amp;DATE(2018,7,1), TOTAL!O:O,"&lt;=" &amp;DATE(2019,6,30)))&amp;"/50"</f>
        <v>97/50</v>
      </c>
      <c r="I2" s="595" t="str">
        <f>SUM(COUNTIFS(TOTAL!K:K,"&gt;=" &amp;DATE(2017,7,1), TOTAL!K:K,"&lt;=" &amp;DATE(2018,6,30))+COUNTIFS(TOTAL!O:O,"&gt;=" &amp;DATE(2017,7,1), TOTAL!O:O,"&lt;=" &amp;DATE(2018,6,30)))&amp;"/75"</f>
        <v>66/75</v>
      </c>
      <c r="J2" s="120" t="str">
        <f>SUM(COUNTIFS(TOTAL!K:K,"&gt;=" &amp;DATE(2016,7,1), TOTAL!K:K,"&lt;=" &amp;DATE(2017,6,30))+COUNTIFS(TOTAL!O:O,"&gt;=" &amp;DATE(2016,7,1), TOTAL!O:O,"&lt;=" &amp;DATE(2017,6,30)))&amp;"/150"</f>
        <v>86/150</v>
      </c>
      <c r="K2" s="595" t="str">
        <f>SUM(COUNTIFS(TOTAL!K:K,"&gt;=" &amp;DATE(2015,7,1), TOTAL!K:K,"&lt;=" &amp;DATE(2016,6,30))+COUNTIFS(TOTAL!O:O,"&gt;=" &amp;DATE(2015,7,1), TOTAL!O:O,"&lt;=" &amp;DATE(2016,6,30)))&amp;"/125"</f>
        <v>114/125</v>
      </c>
      <c r="L2" s="120" t="str">
        <f>SUM(COUNTIFS(TOTAL!K:K,"&gt;=" &amp;DATE(2014,7,1), TOTAL!K:K,"&lt;=" &amp;DATE(2015,6,30))+COUNTIFS(TOTAL!O:O,"&gt;=" &amp;DATE(2014,7,1), TOTAL!O:O,"&lt;=" &amp;DATE(2015,6,30)))&amp;"/60"</f>
        <v>130/60</v>
      </c>
      <c r="M2" s="595">
        <f>SUM(COUNTIFS(TOTAL!K:K,"&gt;=" &amp;DATE(2013,7,1), TOTAL!K:K,"&lt;=" &amp;DATE(2014,6,30))+COUNTIFS(TOTAL!O:O,"&gt;=" &amp;DATE(2013,7,1), TOTAL!O:O,"&lt;=" &amp;DATE(2014,6,30)))</f>
        <v>87</v>
      </c>
      <c r="N2" s="163">
        <f>SUM(COUNTIFS(TOTAL!K:K,"&gt;=" &amp;DATE(2012,7,1), TOTAL!K:K,"&lt;=" &amp;DATE(2013,6,30))+COUNTIFS(TOTAL!O:O,"&gt;=" &amp;DATE(2012,7,1), TOTAL!O:O,"&lt;=" &amp;DATE(2013,6,30)))</f>
        <v>79</v>
      </c>
      <c r="O2" s="595">
        <f>SUM(COUNTIFS(TOTAL!K:K,"&gt;=" &amp;DATE(2011,7,1), TOTAL!K:K,"&lt;=" &amp;DATE(2012,6,30))+COUNTIFS(TOTAL!O:O,"&gt;=" &amp;DATE(2011,7,1), TOTAL!O:O,"&lt;=" &amp;DATE(2012,6,30)))</f>
        <v>75</v>
      </c>
      <c r="P2" s="120">
        <f>SUM(COUNTIFS(TOTAL!K:K,"&gt;=" &amp;DATE(2010,7,1), TOTAL!K:K,"&lt;=" &amp;DATE(2011,6,30))+COUNTIFS(TOTAL!O:O,"&gt;=" &amp;DATE(2010,7,1), TOTAL!O:O,"&lt;=" &amp;DATE(2011,6,30)))</f>
        <v>69</v>
      </c>
      <c r="Q2" s="595">
        <f>SUM(COUNTIFS(TOTAL!K:K,"&gt;=" &amp;DATE(2009,7,1), TOTAL!K:K,"&lt;=" &amp;DATE(2010,6,30))+COUNTIFS(TOTAL!O:O,"&gt;=" &amp;DATE(2009,7,1), TOTAL!O:O,"&lt;=" &amp;DATE(2010,6,30)))</f>
        <v>51</v>
      </c>
      <c r="R2" s="120">
        <f>SUM(COUNTIFS(TOTAL!K:K,"&gt;=" &amp;DATE(2008,7,1), TOTAL!K:K,"&lt;=" &amp;DATE(2009,6,30))+COUNTIFS(TOTAL!O:O,"&gt;=" &amp;DATE(2008,7,1), TOTAL!O:O,"&lt;=" &amp;DATE(2009,6,30)))</f>
        <v>43</v>
      </c>
      <c r="S2" s="595">
        <f>SUM(COUNTIFS(TOTAL!K:K,"&gt;=" &amp;DATE(2007,7,1), TOTAL!K:K,"&lt;=" &amp;DATE(2008,6,30))+COUNTIFS(TOTAL!O:O,"&gt;=" &amp;DATE(2007,7,1), TOTAL!O:O,"&lt;=" &amp;DATE(2008,6,30)))</f>
        <v>71</v>
      </c>
      <c r="T2" s="120">
        <f>SUM(COUNTIFS(TOTAL!K:K,"&gt;=" &amp;DATE(2006,7,1), TOTAL!K:K,"&lt;=" &amp;DATE(2007,6,30))+COUNTIFS(TOTAL!O:O,"&gt;=" &amp;DATE(2006,7,1), TOTAL!O:O,"&lt;=" &amp;DATE(2007,6,30)))</f>
        <v>59</v>
      </c>
      <c r="U2" s="595">
        <f>SUM(COUNTIFS(TOTAL!K:K,"&gt;=" &amp;DATE(2005,7,1), TOTAL!K:K,"&lt;=" &amp;DATE(2006,6,30))+COUNTIFS(TOTAL!O:O,"&gt;=" &amp;DATE(2005,7,1), TOTAL!O:O,"&lt;=" &amp;DATE(2006,6,30)))</f>
        <v>50</v>
      </c>
      <c r="V2" s="120">
        <f>SUM(COUNTIFS(TOTAL!K:K,"&gt;=" &amp;DATE(2004,7,1), TOTAL!K:K,"&lt;=" &amp;DATE(2005,6,30))+COUNTIFS(TOTAL!O:O,"&gt;=" &amp;DATE(2004,7,1), TOTAL!O:O,"&lt;=" &amp;DATE(2005,6,30)))</f>
        <v>67</v>
      </c>
      <c r="W2" s="655">
        <f>SUM(COUNTIFS(TOTAL!K:K,"&gt;=" &amp;DATE(2003,7,1), TOTAL!K:K,"&lt;=" &amp;DATE(2004,6,30))+COUNTIFS(TOTAL!O:O,"&gt;=" &amp;DATE(2003,7,1), TOTAL!O:O,"&lt;=" &amp;DATE(2004,6,30)))</f>
        <v>41</v>
      </c>
      <c r="X2" s="163">
        <f>SUM(COUNTIFS(TOTAL!K:K,"&gt;=" &amp;DATE(2002,7,1), TOTAL!K:K,"&lt;=" &amp;DATE(2003,6,30))+COUNTIFS(TOTAL!O:O,"&gt;=" &amp;DATE(2002,7,1), TOTAL!O:O,"&lt;=" &amp;DATE(2003,6,30)))</f>
        <v>77</v>
      </c>
      <c r="Y2" s="655">
        <f>SUM(COUNTIFS(TOTAL!K:K,"&gt;=" &amp;DATE(2001,7,1), TOTAL!K:K,"&lt;=" &amp;DATE(2002,6,30))+COUNTIFS(TOTAL!O:O,"&gt;=" &amp;DATE(2001,7,1), TOTAL!O:O,"&lt;=" &amp;DATE(2002,6,30)))</f>
        <v>82</v>
      </c>
      <c r="Z2" s="163">
        <f>SUM(COUNTIFS(TOTAL!K:K,"&gt;=" &amp;DATE(2000,7,1), TOTAL!K:K,"&lt;=" &amp;DATE(2001,6,30))+COUNTIFS(TOTAL!O:O,"&gt;=" &amp;DATE(2000,7,1), TOTAL!O:O,"&lt;=" &amp;DATE(2001,6,30)))</f>
        <v>27</v>
      </c>
      <c r="AA2" s="655">
        <f>SUM(COUNTIFS(TOTAL!K:K,"&gt;=" &amp;DATE(1999,7,1), TOTAL!K:K,"&lt;=" &amp;DATE(2000,6,30))+COUNTIFS(TOTAL!O:O,"&gt;=" &amp;DATE(1999,7,1), TOTAL!O:O,"&lt;=" &amp;DATE(2000,6,30)))</f>
        <v>17</v>
      </c>
      <c r="AB2" s="163">
        <f>SUM(COUNTIFS(TOTAL!K:K,"&gt;=" &amp;DATE(1998,7,1), TOTAL!K:K,"&lt;=" &amp;DATE(1999,6,30))+COUNTIFS(TOTAL!O:O,"&gt;=" &amp;DATE(1998,7,1), TOTAL!O:O,"&lt;=" &amp;DATE(1999,6,30)))</f>
        <v>26</v>
      </c>
      <c r="AC2" s="655">
        <f>SUM(COUNTIFS(TOTAL!K:K,"&gt;=" &amp;DATE(1997,7,1), TOTAL!K:K,"&lt;=" &amp;DATE(1998,6,30))+COUNTIFS(TOTAL!O:O,"&gt;=" &amp;DATE(1997,7,1), TOTAL!O:O,"&lt;=" &amp;DATE(1998,6,30)))</f>
        <v>10</v>
      </c>
      <c r="AD2" s="650">
        <f>SUM(COUNTIFS(TOTAL!K:K,"&gt;=" &amp;DATE(1996,7,1), TOTAL!K:K,"&lt;=" &amp;DATE(1997,6,30))+COUNTIFS(TOTAL!O:O,"&gt;=" &amp;DATE(1996,7,1), TOTAL!O:O,"&lt;=" &amp;DATE(1997,6,30)))</f>
        <v>13</v>
      </c>
    </row>
    <row r="3" spans="1:30" ht="24.6" customHeight="1">
      <c r="A3" s="119" t="s">
        <v>31</v>
      </c>
      <c r="B3" s="1036"/>
      <c r="C3" s="48">
        <f>COUNTIFS(TOTAL!K:K,"&gt;=" &amp;DATE(2023,7,1), TOTAL!K:K,"&lt;=" &amp;DATE(2024,6,30))</f>
        <v>75</v>
      </c>
      <c r="D3" s="120">
        <f>COUNTIFS(TOTAL!K:K,"&gt;=" &amp;DATE(2022,7,1), TOTAL!K:K,"&lt;=" &amp;DATE(2023,6,30))</f>
        <v>55</v>
      </c>
      <c r="E3" s="595">
        <f>COUNTIFS(TOTAL!K:K,"&gt;=" &amp;DATE(2021,7,1), TOTAL!K:K,"&lt;=" &amp;DATE(2022,6,30))</f>
        <v>113</v>
      </c>
      <c r="F3" s="120">
        <f>COUNTIFS(TOTAL!K:K,"&gt;=" &amp;DATE(2020,7,1), TOTAL!K:K,"&lt;=" &amp;DATE(2021,6,30))</f>
        <v>233</v>
      </c>
      <c r="G3" s="595">
        <f>COUNTIFS(TOTAL!K:K,"&gt;=" &amp;DATE(2019,7,1), TOTAL!K:K,"&lt;=" &amp;DATE(2020,6,30))</f>
        <v>256</v>
      </c>
      <c r="H3" s="748">
        <f>COUNTIFS(TOTAL!K:K,"&gt;=" &amp;DATE(2018,7,1), TOTAL!K:K,"&lt;=" &amp;DATE(2019,6,30))</f>
        <v>88</v>
      </c>
      <c r="I3" s="595">
        <f>COUNTIFS(TOTAL!K:K,"&gt;=" &amp;DATE(2017,7,1), TOTAL!K:K,"&lt;=" &amp;DATE(2018,6,30))</f>
        <v>50</v>
      </c>
      <c r="J3" s="120">
        <f>COUNTIFS(TOTAL!K:K,"&gt;=" &amp;DATE(2016,7,1), TOTAL!K:K,"&lt;=" &amp;DATE(2017,6,30))</f>
        <v>70</v>
      </c>
      <c r="K3" s="595">
        <f>COUNTIFS(TOTAL!K:K,"&gt;=" &amp;DATE(2015,7,1), TOTAL!K:K,"&lt;=" &amp;DATE(2016,6,30))</f>
        <v>97</v>
      </c>
      <c r="L3" s="120">
        <f>COUNTIFS(TOTAL!K:K,"&gt;=" &amp;DATE(2014,7,1), TOTAL!K:K,"&lt;=" &amp;DATE(2015,6,30))</f>
        <v>118</v>
      </c>
      <c r="M3" s="595">
        <f>COUNTIFS(TOTAL!K:K,"&gt;=" &amp;DATE(2013,7,1), TOTAL!K:K,"&lt;=" &amp;DATE(2014,6,30))</f>
        <v>70</v>
      </c>
      <c r="N3" s="120">
        <f>COUNTIFS(TOTAL!K:K,"&gt;=" &amp;DATE(2012,7,1), TOTAL!K:K,"&lt;=" &amp;DATE(2013,6,30))</f>
        <v>70</v>
      </c>
      <c r="O3" s="595">
        <f>COUNTIFS(TOTAL!K:K,"&gt;=" &amp;DATE(2011,7,1), TOTAL!K:K,"&lt;=" &amp;DATE(2012,6,30))</f>
        <v>67</v>
      </c>
      <c r="P3" s="120">
        <f>COUNTIFS(TOTAL!K:K,"&gt;=" &amp;DATE(2010,7,1), TOTAL!K:K,"&lt;=" &amp;DATE(2011,6,30))</f>
        <v>46</v>
      </c>
      <c r="Q3" s="595">
        <f>COUNTIFS(TOTAL!K:K,"&gt;=" &amp;DATE(2009,7,1), TOTAL!K:K,"&lt;=" &amp;DATE(2010,6,30))</f>
        <v>41</v>
      </c>
      <c r="R3" s="120">
        <f>COUNTIFS(TOTAL!K:K,"&gt;=" &amp;DATE(2008,7,1), TOTAL!K:K,"&lt;=" &amp;DATE(2009,6,3))</f>
        <v>28</v>
      </c>
      <c r="S3" s="595">
        <f>COUNTIFS(TOTAL!K:K,"&gt;=" &amp;DATE(2007,7,1), TOTAL!K:K,"&lt;=" &amp;DATE(2008,6,30))</f>
        <v>55</v>
      </c>
      <c r="T3" s="120">
        <f>COUNTIFS(TOTAL!K:K,"&gt;=" &amp;DATE(2006,7,1), TOTAL!K:K,"&lt;=" &amp;DATE(2007,6,30))</f>
        <v>47</v>
      </c>
      <c r="U3" s="595">
        <f>COUNTIFS(TOTAL!K:K,"&gt;=" &amp;DATE(2005,7,1), TOTAL!K:K,"&lt;=" &amp;DATE(2006,6,30))</f>
        <v>36</v>
      </c>
      <c r="V3" s="120">
        <f>COUNTIFS(TOTAL!K:K,"&gt;=" &amp;DATE(2004,7,1), TOTAL!K:K,"&lt;=" &amp;DATE(2005,6,30))</f>
        <v>49</v>
      </c>
      <c r="W3" s="595">
        <f>COUNTIFS(TOTAL!K:K,"&gt;=" &amp;DATE(2003,7,1), TOTAL!K:K,"&lt;=" &amp;DATE(2004,6,30))</f>
        <v>36</v>
      </c>
      <c r="X3" s="120">
        <f>COUNTIFS(TOTAL!K:K,"&gt;=" &amp;DATE(2002,7,1), TOTAL!K:K,"&lt;=" &amp;DATE(2003,6,30))</f>
        <v>63</v>
      </c>
      <c r="Y3" s="595">
        <f>COUNTIFS(TOTAL!K:K,"&gt;=" &amp;DATE(2001,7,1), TOTAL!K:K,"&lt;=" &amp;DATE(2002,6,30))</f>
        <v>70</v>
      </c>
      <c r="Z3" s="120">
        <f>COUNTIFS(TOTAL!K:K,"&gt;=" &amp;DATE(2000,7,1), TOTAL!K:K,"&lt;=" &amp;DATE(2001,6,30))</f>
        <v>12</v>
      </c>
      <c r="AA3" s="595">
        <f>COUNTIFS(TOTAL!K:K,"&gt;=" &amp;DATE(1999,7,1), TOTAL!K:K,"&lt;=" &amp;DATE(2000,6,30))</f>
        <v>13</v>
      </c>
      <c r="AB3" s="120">
        <f>COUNTIFS(TOTAL!K:K,"&gt;=" &amp;DATE(1998,7,1), TOTAL!K:K,"&lt;=" &amp;DATE(1999,6,30))</f>
        <v>14</v>
      </c>
      <c r="AC3" s="595">
        <f>COUNTIFS(TOTAL!K:K,"&gt;=" &amp;DATE(1997,7,1), TOTAL!K:K,"&lt;=" &amp;DATE(1998,6,30))</f>
        <v>6</v>
      </c>
      <c r="AD3" s="651">
        <f>COUNTIFS(TOTAL!K:K,"&gt;=" &amp;DATE(1996,7,1), TOTAL!K:K,"&lt;=" &amp;DATE(1997,6,30))</f>
        <v>12</v>
      </c>
    </row>
    <row r="4" spans="1:30" ht="24.6" customHeight="1">
      <c r="A4" s="119" t="s">
        <v>32</v>
      </c>
      <c r="B4" s="1036"/>
      <c r="C4" s="48"/>
      <c r="D4" s="120"/>
      <c r="E4" s="595">
        <v>0</v>
      </c>
      <c r="F4" s="120">
        <v>0</v>
      </c>
      <c r="G4" s="595">
        <v>0</v>
      </c>
      <c r="H4" s="748" t="s">
        <v>33</v>
      </c>
      <c r="I4" s="595" t="s">
        <v>33</v>
      </c>
      <c r="J4" s="120" t="s">
        <v>33</v>
      </c>
      <c r="K4" s="595" t="s">
        <v>33</v>
      </c>
      <c r="L4" s="120" t="s">
        <v>33</v>
      </c>
      <c r="M4" s="595" t="s">
        <v>33</v>
      </c>
      <c r="N4" s="120" t="s">
        <v>33</v>
      </c>
      <c r="O4" s="595" t="s">
        <v>33</v>
      </c>
      <c r="P4" s="120" t="s">
        <v>33</v>
      </c>
      <c r="Q4" s="595" t="s">
        <v>33</v>
      </c>
      <c r="R4" s="120" t="s">
        <v>33</v>
      </c>
      <c r="S4" s="595" t="s">
        <v>33</v>
      </c>
      <c r="T4" s="120" t="s">
        <v>33</v>
      </c>
      <c r="U4" s="595" t="s">
        <v>33</v>
      </c>
      <c r="V4" s="120" t="s">
        <v>33</v>
      </c>
      <c r="W4" s="595" t="s">
        <v>33</v>
      </c>
      <c r="X4" s="120" t="s">
        <v>33</v>
      </c>
      <c r="Y4" s="595" t="s">
        <v>33</v>
      </c>
      <c r="Z4" s="120" t="s">
        <v>33</v>
      </c>
      <c r="AA4" s="595" t="s">
        <v>33</v>
      </c>
      <c r="AB4" s="120" t="s">
        <v>33</v>
      </c>
      <c r="AC4" s="595" t="s">
        <v>33</v>
      </c>
      <c r="AD4" s="651" t="s">
        <v>33</v>
      </c>
    </row>
    <row r="5" spans="1:30" ht="24.6" customHeight="1">
      <c r="A5" s="119" t="s">
        <v>34</v>
      </c>
      <c r="B5" s="1036"/>
      <c r="C5" s="48">
        <f>SUM(COUNTIF(TOTAL!K:K,"&lt;" &amp;DATE(2024,7,1))+COUNTIF(TOTAL!O:O,"&lt;" &amp;DATE(2024,7,1))+23)</f>
        <v>2276</v>
      </c>
      <c r="D5" s="120">
        <f>SUM(COUNTIF(TOTAL!K:K,"&lt;" &amp;DATE(2023,7,1))+COUNTIF(TOTAL!O:O,"&lt;" &amp;DATE(2023,7,1))+23)</f>
        <v>2193</v>
      </c>
      <c r="E5" s="595">
        <f>SUM(COUNTIF(TOTAL!K:K,"&lt;" &amp;DATE(2022,7,1))+COUNTIF(TOTAL!O:O,"&lt;" &amp;DATE(2022,7,1))+23)</f>
        <v>2130</v>
      </c>
      <c r="F5" s="120">
        <f>SUM(COUNTIF(TOTAL!K:K,"&lt;" &amp;DATE(2021,7,1))+COUNTIF(TOTAL!O:O,"&lt;" &amp;DATE(2021,7,1))+23)</f>
        <v>2003</v>
      </c>
      <c r="G5" s="595">
        <f>SUM(COUNTIF(TOTAL!K:K,"&lt;" &amp;DATE(2020,7,1))+COUNTIF(TOTAL!O:O,"&lt;" &amp;DATE(2020,7,1))+23)</f>
        <v>1762</v>
      </c>
      <c r="H5" s="748">
        <f>SUM(COUNTIF(TOTAL!K:K,"&lt;" &amp;DATE(2019,7,1))+COUNTIF(TOTAL!O:O,"&lt;" &amp;DATE(2019,7,1))+23)</f>
        <v>1496</v>
      </c>
      <c r="I5" s="595">
        <f>SUM(COUNTIF(TOTAL!K:K,"&lt;" &amp;DATE(2018,7,1))+COUNTIF(TOTAL!O:O,"&lt;" &amp;DATE(2018,7,1))+23)</f>
        <v>1399</v>
      </c>
      <c r="J5" s="120">
        <f>SUM(COUNTIF(TOTAL!K:K,"&lt;" &amp;DATE(2017,7,1))+COUNTIF(TOTAL!O:O,"&lt;" &amp;DATE(2017,7,1))+23)</f>
        <v>1333</v>
      </c>
      <c r="K5" s="595">
        <f>SUM(COUNTIF(TOTAL!K:K,"&lt;" &amp;DATE(2016,7,1))+COUNTIF(TOTAL!O:O,"&lt;" &amp;DATE(2016,7,1))+23)</f>
        <v>1247</v>
      </c>
      <c r="L5" s="120">
        <f>SUM(COUNTIF(TOTAL!K:K,"&lt;" &amp;DATE(2015,7,1))+COUNTIF(TOTAL!O:O,"&lt;" &amp;DATE(2015,7,1))+23)</f>
        <v>1133</v>
      </c>
      <c r="M5" s="595">
        <f>SUM(COUNTIF(TOTAL!K:K,"&lt;" &amp;DATE(2014,7,1))+COUNTIF(TOTAL!O:O,"&lt;" &amp;DATE(2014,7,1))+23)</f>
        <v>1003</v>
      </c>
      <c r="N5" s="120">
        <f>SUM(COUNTIF(TOTAL!K:K,"&lt;" &amp;DATE(2013,7,1))+COUNTIF(TOTAL!O:O,"&lt;" &amp;DATE(2013,7,1))+23)</f>
        <v>916</v>
      </c>
      <c r="O5" s="595">
        <f>SUM(COUNTIF(TOTAL!K:K,"&lt;" &amp;DATE(2012,7,1))+COUNTIF(TOTAL!O:O,"&lt;" &amp;DATE(2012,7,1))+23)</f>
        <v>837</v>
      </c>
      <c r="P5" s="120">
        <f>SUM(COUNTIF(TOTAL!K:K,"&lt;" &amp;DATE(2011,7,1))+COUNTIF(TOTAL!O:O,"&lt;" &amp;DATE(2011,7,1))+23)</f>
        <v>762</v>
      </c>
      <c r="Q5" s="595">
        <f>SUM(COUNTIF(TOTAL!K:K,"&lt;" &amp;DATE(2010,7,1))+COUNTIF(TOTAL!O:O,"&lt;" &amp;DATE(2010,7,1))+23)</f>
        <v>693</v>
      </c>
      <c r="R5" s="120">
        <f>SUM(COUNTIF(TOTAL!K:K,"&lt;" &amp;DATE(2009,7,1))+COUNTIF(TOTAL!O:O,"&lt;" &amp;DATE(2009,7,1))+23)</f>
        <v>642</v>
      </c>
      <c r="S5" s="595">
        <f>SUM(COUNTIF(TOTAL!K:K,"&lt;" &amp;DATE(2008,7,1))+COUNTIF(TOTAL!O:O,"&lt;" &amp;DATE(2008,7,1))+23)</f>
        <v>599</v>
      </c>
      <c r="T5" s="120">
        <f>SUM(COUNTIF(TOTAL!K:K,"&lt;" &amp;DATE(2007,7,1))+COUNTIF(TOTAL!O:O,"&lt;" &amp;DATE(2007,7,1))+23)</f>
        <v>528</v>
      </c>
      <c r="U5" s="595">
        <f>SUM(COUNTIF(TOTAL!K:K,"&lt;" &amp;DATE(2006,7,1))+COUNTIF(TOTAL!O:O,"&lt;" &amp;DATE(2006,7,1))+23)</f>
        <v>469</v>
      </c>
      <c r="V5" s="120">
        <f>SUM(COUNTIF(TOTAL!K:K,"&lt;" &amp;DATE(2005,7,1))+COUNTIF(TOTAL!O:O,"&lt;" &amp;DATE(2005,7,1))+23)</f>
        <v>419</v>
      </c>
      <c r="W5" s="595">
        <f>SUM(COUNTIF(TOTAL!K:K,"&lt;" &amp;DATE(2004,7,1))+COUNTIF(TOTAL!O:O,"&lt;" &amp;DATE(2004,7,1))+23)</f>
        <v>352</v>
      </c>
      <c r="X5" s="120">
        <f>SUM(COUNTIF(TOTAL!K:K,"&lt;" &amp;DATE(2003,7,1))+COUNTIF(TOTAL!O:O,"&lt;" &amp;DATE(2003,7,1))+23)</f>
        <v>311</v>
      </c>
      <c r="Y5" s="595">
        <f>SUM(COUNTIF(TOTAL!K:K,"&lt;" &amp;DATE(2002,7,1))+COUNTIF(TOTAL!O:O,"&lt;" &amp;DATE(2002,7,1))+23)</f>
        <v>234</v>
      </c>
      <c r="Z5" s="120">
        <f>SUM(COUNTIF(TOTAL!K:K,"&lt;" &amp;DATE(2001,7,1))+COUNTIF(TOTAL!O:O,"&lt;" &amp;DATE(2001,7,1))+23)</f>
        <v>152</v>
      </c>
      <c r="AA5" s="595">
        <f>SUM(COUNTIF(TOTAL!K:K,"&lt;" &amp;DATE(2000,7,1))+COUNTIF(TOTAL!O:O,"&lt;" &amp;DATE(2000,7,1))+23)</f>
        <v>125</v>
      </c>
      <c r="AB5" s="120">
        <f>SUM(COUNTIF(TOTAL!K:K,"&lt;" &amp;DATE(1999,7,1))+COUNTIF(TOTAL!O:O,"&lt;" &amp;DATE(1999,7,1))+23)</f>
        <v>108</v>
      </c>
      <c r="AC5" s="595">
        <f>SUM(COUNTIF(TOTAL!K:K,"&lt;" &amp;DATE(1998,7,1))+COUNTIF(TOTAL!O:O,"&lt;" &amp;DATE(1998,7,1))+23)</f>
        <v>82</v>
      </c>
      <c r="AD5" s="651">
        <f>SUM(COUNTIF(TOTAL!K:K,"&lt;" &amp;DATE(1997,7,1))+COUNTIF(TOTAL!O:O,"&lt;" &amp;DATE(1997,7,1))+23)</f>
        <v>72</v>
      </c>
    </row>
    <row r="6" spans="1:30" ht="24.6" customHeight="1">
      <c r="A6" s="119" t="s">
        <v>35</v>
      </c>
      <c r="B6" s="1036" t="s">
        <v>36</v>
      </c>
      <c r="C6" s="48" t="str">
        <f>COUNTIFS(ANNUITIES!H:H,"&gt;=" &amp;DATE(2023,7,1), ANNUITIES!H:H,"&lt;=" &amp;DATE(2024,6,30))&amp;"/15"</f>
        <v>8/15</v>
      </c>
      <c r="D6" s="120" t="str">
        <f>COUNTIFS(ANNUITIES!H:H,"&gt;=" &amp;DATE(2022,7,1), ANNUITIES!H:H,"&lt;=" &amp;DATE(2023,6,30))&amp;"/35"</f>
        <v>12/35</v>
      </c>
      <c r="E6" s="595" t="str">
        <f>COUNTIFS(ANNUITIES!H:H,"&gt;=" &amp;DATE(2021,7,1), ANNUITIES!H:H,"&lt;=" &amp;DATE(2022,6,30))&amp;"/35"</f>
        <v>14/35</v>
      </c>
      <c r="F6" s="120" t="str">
        <f>COUNTIFS(ANNUITIES!H:H,"&gt;=" &amp;DATE(2020,7,1), ANNUITIES!H:H,"&lt;=" &amp;DATE(2021,6,31))&amp;"/35"</f>
        <v>14/35</v>
      </c>
      <c r="G6" s="595" t="str">
        <f>COUNTIFS(ANNUITIES!H:H,"&gt;=" &amp;DATE(2019,7,1), ANNUITIES!H:H,"&lt;=" &amp;DATE(2020,6,31))&amp;"/35"</f>
        <v>12/35</v>
      </c>
      <c r="H6" s="749" t="str">
        <f>COUNTIFS(ANNUITIES!H:H,"&gt;=" &amp;DATE(2018,7,1), ANNUITIES!H:H,"&lt;=" &amp;DATE(2019,6,31))&amp;"/35"</f>
        <v>18/35</v>
      </c>
      <c r="I6" s="595" t="str">
        <f>COUNTIFS(ANNUITIES!H:H,"&gt;=" &amp;DATE(2017,7,1), ANNUITIES!H:H,"&lt;=" &amp;DATE(2018,6,31))&amp;"/35"</f>
        <v>15/35</v>
      </c>
      <c r="J6" s="120" t="str">
        <f>COUNTIFS(ANNUITIES!H:H,"&gt;=" &amp;DATE(2016,7,1), ANNUITIES!H:H,"&lt;=" &amp;DATE(2017,6,31))&amp;"/35"</f>
        <v>27/35</v>
      </c>
      <c r="K6" s="595" t="str">
        <f>COUNTIFS(ANNUITIES!H:H,"&gt;=" &amp;DATE(2015,7,1), ANNUITIES!H:H,"&lt;=" &amp;DATE(2016,6,31))&amp;"/30"</f>
        <v>22/30</v>
      </c>
      <c r="L6" s="120" t="str">
        <f>COUNTIFS(ANNUITIES!H:H,"&gt;=" &amp;DATE(2014,7,1), ANNUITIES!H:H,"&lt;=" &amp;DATE(2015,6,31))&amp;"/16"</f>
        <v>25/16</v>
      </c>
      <c r="M6" s="595">
        <f>COUNTIFS(ANNUITIES!H:H,"&gt;=" &amp;DATE(2013,7,1), ANNUITIES!H:H,"&lt;=" &amp;DATE(2014,6,31))</f>
        <v>21</v>
      </c>
      <c r="N6" s="120">
        <f>COUNTIFS(ANNUITIES!H:H,"&gt;=" &amp;DATE(2012,7,1), ANNUITIES!H:H,"&lt;=" &amp;DATE(2013,6,31))</f>
        <v>10</v>
      </c>
      <c r="O6" s="595">
        <f>COUNTIFS(ANNUITIES!H:H,"&gt;=" &amp;DATE(2011,7,1), ANNUITIES!H:H,"&lt;=" &amp;DATE(2012,6,31))</f>
        <v>15</v>
      </c>
      <c r="P6" s="120">
        <f>COUNTIFS(ANNUITIES!H:H,"&gt;=" &amp;DATE(2010,7,1), ANNUITIES!H:H,"&lt;=" &amp;DATE(2011,6,31))</f>
        <v>23</v>
      </c>
      <c r="Q6" s="595">
        <f>COUNTIFS(ANNUITIES!H:H,"&gt;=" &amp;DATE(2009,7,1), ANNUITIES!H:H,"&lt;=" &amp;DATE(2010,6,31))</f>
        <v>10</v>
      </c>
      <c r="R6" s="120">
        <f>COUNTIFS(ANNUITIES!H:H,"&gt;=" &amp;DATE(2008,7,1), ANNUITIES!H:H,"&lt;=" &amp;DATE(2009,6,31))</f>
        <v>9</v>
      </c>
      <c r="S6" s="595">
        <f>COUNTIFS(ANNUITIES!H:H,"&gt;=" &amp;DATE(2007,7,1), ANNUITIES!H:H,"&lt;=" &amp;DATE(2008,6,31))</f>
        <v>16</v>
      </c>
      <c r="T6" s="120">
        <f>COUNTIFS(ANNUITIES!H:H,"&gt;=" &amp;DATE(2006,7,1), ANNUITIES!H:H,"&lt;=" &amp;DATE(2007,6,31))</f>
        <v>11</v>
      </c>
      <c r="U6" s="595">
        <f>COUNTIFS(ANNUITIES!H:H,"&gt;=" &amp;DATE(2005,7,1), ANNUITIES!H:H,"&lt;=" &amp;DATE(2006,6,31))</f>
        <v>11</v>
      </c>
      <c r="V6" s="120">
        <f>COUNTIFS(ANNUITIES!H:H,"&gt;=" &amp;DATE(2004,7,1), ANNUITIES!H:H,"&lt;=" &amp;DATE(2005,6,31))</f>
        <v>14</v>
      </c>
      <c r="W6" s="595">
        <f>COUNTIFS(ANNUITIES!H:H,"&gt;=" &amp;DATE(2003,7,1), ANNUITIES!H:H,"&lt;=" &amp;DATE(2004,6,31))</f>
        <v>6</v>
      </c>
      <c r="X6" s="120">
        <f>COUNTIFS(ANNUITIES!H:H,"&gt;=" &amp;DATE(2002,7,1), ANNUITIES!H:H,"&lt;=" &amp;DATE(2003,6,31))</f>
        <v>18</v>
      </c>
      <c r="Y6" s="595">
        <f>COUNTIFS(ANNUITIES!H:H,"&gt;=" &amp;DATE(2001,7,1), ANNUITIES!H:H,"&lt;=" &amp;DATE(2002,6,31))</f>
        <v>8</v>
      </c>
      <c r="Z6" s="120">
        <f>COUNTIFS(ANNUITIES!H:H,"&gt;=" &amp;DATE(2000,7,1), ANNUITIES!H:H,"&lt;=" &amp;DATE(2001,6,31))</f>
        <v>11</v>
      </c>
      <c r="AA6" s="595">
        <f>COUNTIFS(ANNUITIES!H:H,"&gt;=" &amp;DATE(1999,7,1), ANNUITIES!H:H,"&lt;=" &amp;DATE(2000,6,31))</f>
        <v>7</v>
      </c>
      <c r="AB6" s="120">
        <f>COUNTIFS(ANNUITIES!H:H,"&gt;=" &amp;DATE(1998,7,1), ANNUITIES!H:H,"&lt;=" &amp;DATE(1999,6,31))</f>
        <v>9</v>
      </c>
      <c r="AC6" s="595">
        <f>COUNTIFS(ANNUITIES!H:H,"&gt;=" &amp;DATE(1997,7,1), ANNUITIES!H:H,"&lt;=" &amp;DATE(1998,6,31))</f>
        <v>3</v>
      </c>
      <c r="AD6" s="651">
        <f>COUNTIFS(ANNUITIES!H:H,"&gt;=" &amp;DATE(1996,7,1), ANNUITIES!H:H,"&lt;=" &amp;DATE(1997,6,31))</f>
        <v>1</v>
      </c>
    </row>
    <row r="7" spans="1:30" ht="24.6" customHeight="1">
      <c r="A7" s="119" t="s">
        <v>37</v>
      </c>
      <c r="B7" s="1036"/>
      <c r="C7" s="1022">
        <f>ANNUITIES!A56</f>
        <v>510565.91000000003</v>
      </c>
      <c r="D7" s="723">
        <f>ANNUITIES!A54</f>
        <v>505751.25</v>
      </c>
      <c r="E7" s="882">
        <f>ANNUITIES!A52</f>
        <v>852146</v>
      </c>
      <c r="F7" s="723">
        <f>ANNUITIES!A50</f>
        <v>513340.65</v>
      </c>
      <c r="G7" s="656">
        <f>ANNUITIES!A48</f>
        <v>475000</v>
      </c>
      <c r="H7" s="750">
        <f>ANNUITIES!A46</f>
        <v>588348.37</v>
      </c>
      <c r="I7" s="659">
        <v>327409.28000000003</v>
      </c>
      <c r="J7" s="168">
        <v>567975.93999999994</v>
      </c>
      <c r="K7" s="659">
        <v>326417.55</v>
      </c>
      <c r="L7" s="168">
        <v>772680.42</v>
      </c>
      <c r="M7" s="659">
        <v>527033.77</v>
      </c>
      <c r="N7" s="168">
        <v>160000</v>
      </c>
      <c r="O7" s="659">
        <v>366269.6</v>
      </c>
      <c r="P7" s="149">
        <f>SUMIFS(ANNUITIES!F:F,ANNUITIES!H:H,"&gt;=" &amp;DATE(2010,7,1), ANNUITIES!H:H,"&lt;=" &amp;DATE(2011,6,31))</f>
        <v>739986.29999999993</v>
      </c>
      <c r="Q7" s="656">
        <f>SUMIFS(ANNUITIES!F:F,ANNUITIES!H:H,"&gt;=" &amp;DATE(2009,7,1), ANNUITIES!H:H,"&lt;=" &amp;DATE(2010,6,31))</f>
        <v>325304.55</v>
      </c>
      <c r="R7" s="149">
        <f>SUMIFS(ANNUITIES!F:F,ANNUITIES!H:H,"&gt;=" &amp;DATE(2008,7,1), ANNUITIES!H:H,"&lt;=" &amp;DATE(2009,6,31))</f>
        <v>170000</v>
      </c>
      <c r="S7" s="656">
        <f>SUMIFS(ANNUITIES!F:F,ANNUITIES!H:H,"&gt;=" &amp;DATE(2007,7,1), ANNUITIES!H:H,"&lt;=" &amp;DATE(2008,6,31))</f>
        <v>213053</v>
      </c>
      <c r="T7" s="149">
        <f>SUMIFS(ANNUITIES!F:F,ANNUITIES!H:H,"&gt;=" &amp;DATE(2006,7,1), ANNUITIES!H:H,"&lt;=" &amp;DATE(2007,6,31))</f>
        <v>238253.2</v>
      </c>
      <c r="U7" s="656">
        <f>SUMIFS(ANNUITIES!F:F,ANNUITIES!H:H,"&gt;=" &amp;DATE(2005,7,1), ANNUITIES!H:H,"&lt;=" &amp;DATE(2006,6,31))</f>
        <v>177695.56</v>
      </c>
      <c r="V7" s="149">
        <f>SUMIFS(ANNUITIES!F:F,ANNUITIES!H:H,"&gt;=" &amp;DATE(2004,7,1), ANNUITIES!H:H,"&lt;=" &amp;DATE(2005,6,31))</f>
        <v>198006.2</v>
      </c>
      <c r="W7" s="656">
        <f>SUMIFS(ANNUITIES!F:F,ANNUITIES!H:H,"&gt;=" &amp;DATE(2003,7,1), ANNUITIES!H:H,"&lt;=" &amp;DATE(2004,6,31))</f>
        <v>131406.88</v>
      </c>
      <c r="X7" s="149">
        <f>SUMIFS(ANNUITIES!F:F,ANNUITIES!H:H,"&gt;=" &amp;DATE(2002,7,1), ANNUITIES!H:H,"&lt;=" &amp;DATE(2003,6,31))</f>
        <v>383682.38</v>
      </c>
      <c r="Y7" s="656">
        <f>SUMIFS(ANNUITIES!F:F,ANNUITIES!H:H,"&gt;=" &amp;DATE(2001,7,1), ANNUITIES!H:H,"&lt;=" &amp;DATE(2002,6,31))</f>
        <v>144098.6</v>
      </c>
      <c r="Z7" s="149">
        <f>SUMIFS(ANNUITIES!F:F,ANNUITIES!H:H,"&gt;=" &amp;DATE(2000,7,1), ANNUITIES!H:H,"&lt;=" &amp;DATE(2001,6,31))</f>
        <v>248793.12</v>
      </c>
      <c r="AA7" s="656">
        <f>SUMIFS(ANNUITIES!F:F,ANNUITIES!H:H,"&gt;=" &amp;DATE(1999,7,1), ANNUITIES!H:H,"&lt;=" &amp;DATE(2000,6,31))</f>
        <v>142181.25</v>
      </c>
      <c r="AB7" s="149">
        <f>SUMIFS(ANNUITIES!F:F,ANNUITIES!H:H,"&gt;=" &amp;DATE(1998,7,1), ANNUITIES!H:H,"&lt;=" &amp;DATE(1999,6,31))</f>
        <v>175437.5</v>
      </c>
      <c r="AC7" s="656">
        <f>SUMIFS(ANNUITIES!F:F,ANNUITIES!H:H,"&gt;=" &amp;DATE(1997,7,1), ANNUITIES!H:H,"&lt;=" &amp;DATE(1998,6,31))</f>
        <v>39638.06</v>
      </c>
      <c r="AD7" s="652">
        <f>SUMIFS(ANNUITIES!F:F,ANNUITIES!H:H,"&gt;=" &amp;DATE(1996,7,1), ANNUITIES!H:H,"&lt;=" &amp;DATE(1997,6,31))</f>
        <v>20337.5</v>
      </c>
    </row>
    <row r="8" spans="1:30" ht="24.6" customHeight="1">
      <c r="A8" s="119" t="s">
        <v>38</v>
      </c>
      <c r="B8" s="1037">
        <v>1250000</v>
      </c>
      <c r="C8" s="1022">
        <v>1250000</v>
      </c>
      <c r="D8" s="149">
        <v>1000000</v>
      </c>
      <c r="E8" s="656">
        <v>750000</v>
      </c>
      <c r="F8" s="149">
        <v>400000</v>
      </c>
      <c r="G8" s="662">
        <v>350000</v>
      </c>
      <c r="H8" s="750">
        <v>350000</v>
      </c>
      <c r="I8" s="659">
        <v>250000</v>
      </c>
      <c r="J8" s="168">
        <v>250000</v>
      </c>
      <c r="K8" s="659">
        <v>225000</v>
      </c>
      <c r="L8" s="168">
        <v>200000</v>
      </c>
      <c r="M8" s="659"/>
      <c r="N8" s="168"/>
      <c r="O8" s="659"/>
      <c r="P8" s="149"/>
      <c r="Q8" s="656"/>
      <c r="R8" s="149"/>
      <c r="S8" s="656"/>
      <c r="T8" s="149"/>
      <c r="U8" s="656"/>
      <c r="V8" s="149"/>
      <c r="W8" s="656"/>
      <c r="X8" s="149"/>
      <c r="Y8" s="656"/>
      <c r="Z8" s="149"/>
      <c r="AA8" s="656"/>
      <c r="AB8" s="149"/>
      <c r="AC8" s="656"/>
      <c r="AD8" s="652"/>
    </row>
    <row r="9" spans="1:30" ht="24.6" customHeight="1">
      <c r="A9" s="119" t="s">
        <v>39</v>
      </c>
      <c r="B9" s="1036"/>
      <c r="C9" s="1022">
        <v>250864.33</v>
      </c>
      <c r="D9" s="723">
        <v>285822.19</v>
      </c>
      <c r="E9" s="882">
        <f>SUMIFS(ANNUITIES!L:L,ANNUITIES!H:H,"&gt;=" &amp;DATE(2021,7,1), ANNUITIES!H:H,"&lt;=" &amp;DATE(2022,6,30))</f>
        <v>421544.82999999996</v>
      </c>
      <c r="F9" s="723">
        <f>SUMIFS(ANNUITIES!L:L,ANNUITIES!H:H,"&gt;=" &amp;DATE(2020,7,1), ANNUITIES!H:H,"&lt;=" &amp;DATE(2021,6,31))</f>
        <v>249074.27000000002</v>
      </c>
      <c r="G9" s="662">
        <f>SUMIFS(ANNUITIES!L:L,ANNUITIES!H:H,"&gt;=" &amp;DATE(2019,7,1), ANNUITIES!H:H,"&lt;=" &amp;DATE(2020,6,31))</f>
        <v>216591.7</v>
      </c>
      <c r="H9" s="750">
        <f>SUMIFS(ANNUITIES!L:L,ANNUITIES!H:H,"&gt;=" &amp;DATE(2018,7,1), ANNUITIES!H:H,"&lt;=" &amp;DATE(2019,6,31))</f>
        <v>288965.88</v>
      </c>
      <c r="I9" s="659">
        <f>SUMIFS(ANNUITIES!L:L,ANNUITIES!H:H,"&gt;=" &amp;DATE(2017,7,1), ANNUITIES!H:H,"&lt;=" &amp;DATE(2018,6,31))</f>
        <v>162267.94</v>
      </c>
      <c r="J9" s="168">
        <f>SUMIFS(ANNUITIES!L:L,ANNUITIES!H:H,"&gt;=" &amp;DATE(2016,7,1), ANNUITIES!H:H,"&lt;=" &amp;DATE(2017,6,31))</f>
        <v>247260.07</v>
      </c>
      <c r="K9" s="659">
        <f>SUMIFS(ANNUITIES!L:L,ANNUITIES!H:H,"&gt;=" &amp;DATE(2015,7,1), ANNUITIES!H:H,"&lt;=" &amp;DATE(2016,6,31))</f>
        <v>158064.63999999998</v>
      </c>
      <c r="L9" s="168">
        <f>SUMIFS(ANNUITIES!L:L,ANNUITIES!H:H,"&gt;=" &amp;DATE(2014,7,1), ANNUITIES!H:H,"&lt;=" &amp;DATE(2015,6,31))</f>
        <v>370865.06999999995</v>
      </c>
      <c r="M9" s="659">
        <f>SUMIFS(ANNUITIES!L:L,ANNUITIES!H:H,"&gt;=" &amp;DATE(2013,7,1), ANNUITIES!H:H,"&lt;=" &amp;DATE(2014,6,31))</f>
        <v>213267.43</v>
      </c>
      <c r="N9" s="168">
        <f>SUMIFS(ANNUITIES!L:L,ANNUITIES!H:H,"&gt;=" &amp;DATE(2012,7,1), ANNUITIES!H:H,"&lt;=" &amp;DATE(2013,6,31))</f>
        <v>72505.849999999991</v>
      </c>
      <c r="O9" s="659">
        <f>SUMIFS(ANNUITIES!L:L,ANNUITIES!H:H,"&gt;=" &amp;DATE(2011,7,1), ANNUITIES!H:H,"&lt;=" &amp;DATE(2012,6,31))</f>
        <v>148992.02000000002</v>
      </c>
      <c r="P9" s="149">
        <f>SUMIFS(ANNUITIES!L:L,ANNUITIES!H:H,"&gt;=" &amp;DATE(2010,7,1), ANNUITIES!H:H,"&lt;=" &amp;DATE(2011,6,31))</f>
        <v>271644.39</v>
      </c>
      <c r="Q9" s="656">
        <f>SUMIFS(ANNUITIES!L:L,ANNUITIES!H:H,"&gt;=" &amp;DATE(2009,7,1), ANNUITIES!H:H,"&lt;=" &amp;DATE(2010,6,31))</f>
        <v>127103.14</v>
      </c>
      <c r="R9" s="149">
        <f>SUMIFS(ANNUITIES!L:L,ANNUITIES!H:H,"&gt;=" &amp;DATE(2008,7,1), ANNUITIES!H:H,"&lt;=" &amp;DATE(2009,6,31))</f>
        <v>75976.600000000006</v>
      </c>
      <c r="S9" s="656">
        <f>SUMIFS(ANNUITIES!L:L,ANNUITIES!H:H,"&gt;=" &amp;DATE(2007,7,1), ANNUITIES!H:H,"&lt;=" &amp;DATE(2008,6,31))</f>
        <v>99080.670000000027</v>
      </c>
      <c r="T9" s="149">
        <f>SUMIFS(ANNUITIES!L:L,ANNUITIES!H:H,"&gt;=" &amp;DATE(2006,7,1), ANNUITIES!H:H,"&lt;=" &amp;DATE(2007,6,31))</f>
        <v>119966.68000000001</v>
      </c>
      <c r="U9" s="656">
        <f>SUMIFS(ANNUITIES!L:L,ANNUITIES!H:H,"&gt;=" &amp;DATE(2005,7,1), ANNUITIES!H:H,"&lt;=" &amp;DATE(2006,6,31))</f>
        <v>86406.64</v>
      </c>
      <c r="V9" s="149">
        <f>SUMIFS(ANNUITIES!L:L,ANNUITIES!H:H,"&gt;=" &amp;DATE(2004,7,1), ANNUITIES!H:H,"&lt;=" &amp;DATE(2005,6,31))</f>
        <v>91117.62999999999</v>
      </c>
      <c r="W9" s="656">
        <f>SUMIFS(ANNUITIES!L:L,ANNUITIES!H:H,"&gt;=" &amp;DATE(2003,7,1), ANNUITIES!H:H,"&lt;=" &amp;DATE(2004,6,31))</f>
        <v>51772.14</v>
      </c>
      <c r="X9" s="149">
        <f>SUMIFS(ANNUITIES!L:L,ANNUITIES!H:H,"&gt;=" &amp;DATE(2002,7,1), ANNUITIES!H:H,"&lt;=" &amp;DATE(2003,6,31))</f>
        <v>134211.41000000003</v>
      </c>
      <c r="Y9" s="656">
        <f>SUMIFS(ANNUITIES!L:L,ANNUITIES!H:H,"&gt;=" &amp;DATE(2001,7,1), ANNUITIES!H:H,"&lt;=" &amp;DATE(2002,6,31))</f>
        <v>49806.8</v>
      </c>
      <c r="Z9" s="149">
        <f>SUMIFS(ANNUITIES!L:L,ANNUITIES!H:H,"&gt;=" &amp;DATE(2000,7,1), ANNUITIES!H:H,"&lt;=" &amp;DATE(2001,6,31))</f>
        <v>88825.77</v>
      </c>
      <c r="AA9" s="656">
        <f>SUMIFS(ANNUITIES!L:L,ANNUITIES!H:H,"&gt;=" &amp;DATE(1999,7,1), ANNUITIES!H:H,"&lt;=" &amp;DATE(2000,6,31))</f>
        <v>35089.75</v>
      </c>
      <c r="AB9" s="149">
        <f>SUMIFS(ANNUITIES!L:L,ANNUITIES!H:H,"&gt;=" &amp;DATE(1998,7,1), ANNUITIES!H:H,"&lt;=" &amp;DATE(1999,6,31))</f>
        <v>66647.89</v>
      </c>
      <c r="AC9" s="656">
        <f>SUMIFS(ANNUITIES!L:L,ANNUITIES!H:H,"&gt;=" &amp;DATE(1997,7,1), ANNUITIES!H:H,"&lt;=" &amp;DATE(1998,6,31))</f>
        <v>15947.95</v>
      </c>
      <c r="AD9" s="652">
        <f>SUMIFS(ANNUITIES!L:L,ANNUITIES!H:H,"&gt;=" &amp;DATE(1996,7,1), ANNUITIES!H:H,"&lt;=" &amp;DATE(1997,6,31))</f>
        <v>9527.1</v>
      </c>
    </row>
    <row r="10" spans="1:30" ht="24.6" customHeight="1">
      <c r="A10" s="119" t="s">
        <v>40</v>
      </c>
      <c r="B10" s="1025">
        <v>143425</v>
      </c>
      <c r="C10" s="1022">
        <v>131000</v>
      </c>
      <c r="D10" s="149">
        <v>121000</v>
      </c>
      <c r="E10" s="656" t="s">
        <v>33</v>
      </c>
      <c r="F10" s="149" t="s">
        <v>33</v>
      </c>
      <c r="G10" s="659" t="s">
        <v>33</v>
      </c>
      <c r="H10" s="751" t="s">
        <v>33</v>
      </c>
      <c r="I10" s="656" t="s">
        <v>33</v>
      </c>
      <c r="J10" s="149" t="s">
        <v>33</v>
      </c>
      <c r="K10" s="656" t="s">
        <v>33</v>
      </c>
      <c r="L10" s="149" t="s">
        <v>33</v>
      </c>
      <c r="M10" s="656" t="s">
        <v>33</v>
      </c>
      <c r="N10" s="149" t="s">
        <v>33</v>
      </c>
      <c r="O10" s="656" t="s">
        <v>33</v>
      </c>
      <c r="P10" s="149" t="s">
        <v>33</v>
      </c>
      <c r="Q10" s="656" t="s">
        <v>33</v>
      </c>
      <c r="R10" s="149" t="s">
        <v>33</v>
      </c>
      <c r="S10" s="656" t="s">
        <v>33</v>
      </c>
      <c r="T10" s="149" t="s">
        <v>33</v>
      </c>
      <c r="U10" s="656" t="s">
        <v>33</v>
      </c>
      <c r="V10" s="149" t="s">
        <v>33</v>
      </c>
      <c r="W10" s="656" t="s">
        <v>33</v>
      </c>
      <c r="X10" s="149" t="s">
        <v>33</v>
      </c>
      <c r="Y10" s="656" t="s">
        <v>33</v>
      </c>
      <c r="Z10" s="149" t="s">
        <v>33</v>
      </c>
      <c r="AA10" s="656" t="s">
        <v>33</v>
      </c>
      <c r="AB10" s="149" t="s">
        <v>33</v>
      </c>
      <c r="AC10" s="656" t="s">
        <v>33</v>
      </c>
      <c r="AD10" s="652" t="s">
        <v>33</v>
      </c>
    </row>
    <row r="11" spans="1:30" ht="24.6" customHeight="1">
      <c r="A11" s="119" t="s">
        <v>41</v>
      </c>
      <c r="B11" s="1023"/>
      <c r="C11" s="48"/>
      <c r="D11" s="120"/>
      <c r="E11" s="595" t="s">
        <v>33</v>
      </c>
      <c r="F11" s="120" t="s">
        <v>33</v>
      </c>
      <c r="G11" s="663">
        <v>-0.193</v>
      </c>
      <c r="H11" s="752">
        <v>0.14829999999999999</v>
      </c>
      <c r="I11" s="657">
        <v>-5.6300000000000003E-2</v>
      </c>
      <c r="J11" s="534">
        <v>0.25080000000000002</v>
      </c>
      <c r="K11" s="657">
        <v>0.13420000000000001</v>
      </c>
      <c r="L11" s="534">
        <v>-2.23E-2</v>
      </c>
      <c r="M11" s="657">
        <v>7.5200000000000003E-2</v>
      </c>
      <c r="N11" s="534">
        <v>0.26500000000000001</v>
      </c>
      <c r="O11" s="657">
        <v>7.2599999999999998E-2</v>
      </c>
      <c r="P11" s="534">
        <v>5.5300000000000002E-2</v>
      </c>
      <c r="Q11" s="657">
        <v>0.11020000000000001</v>
      </c>
      <c r="R11" s="534">
        <v>0.18820000000000001</v>
      </c>
      <c r="S11" s="657">
        <v>-0.33839999999999998</v>
      </c>
      <c r="T11" s="534">
        <v>6.4299999999999996E-2</v>
      </c>
      <c r="U11" s="657">
        <v>0.16289999999999999</v>
      </c>
      <c r="V11" s="534">
        <v>-6.1000000000000004E-3</v>
      </c>
      <c r="W11" s="657">
        <v>3.15E-2</v>
      </c>
      <c r="X11" s="534">
        <v>0.25319999999999998</v>
      </c>
      <c r="Y11" s="657">
        <v>-0.1676</v>
      </c>
      <c r="Z11" s="534">
        <v>-7.0999999999999994E-2</v>
      </c>
      <c r="AA11" s="657">
        <v>-6.1699999999999998E-2</v>
      </c>
      <c r="AB11" s="534">
        <v>0.25219999999999998</v>
      </c>
      <c r="AC11" s="657">
        <v>0.161</v>
      </c>
      <c r="AD11" s="653">
        <v>0.22639999999999999</v>
      </c>
    </row>
    <row r="12" spans="1:30" ht="24.6" customHeight="1">
      <c r="A12" s="119" t="s">
        <v>42</v>
      </c>
      <c r="B12" s="1023"/>
      <c r="C12" s="48"/>
      <c r="D12" s="120"/>
      <c r="E12" s="595" t="s">
        <v>33</v>
      </c>
      <c r="F12" s="120" t="s">
        <v>33</v>
      </c>
      <c r="G12" s="663">
        <v>-0.1479</v>
      </c>
      <c r="H12" s="752">
        <v>0.1832</v>
      </c>
      <c r="I12" s="657">
        <v>-6.2399999999999997E-2</v>
      </c>
      <c r="J12" s="534">
        <v>0.19420000000000001</v>
      </c>
      <c r="K12" s="657">
        <v>9.5399999999999999E-2</v>
      </c>
      <c r="L12" s="534">
        <v>-7.3000000000000001E-3</v>
      </c>
      <c r="M12" s="657">
        <v>0.1139</v>
      </c>
      <c r="N12" s="534">
        <v>0.29599999999999999</v>
      </c>
      <c r="O12" s="657">
        <v>0.1341</v>
      </c>
      <c r="P12" s="534">
        <v>0</v>
      </c>
      <c r="Q12" s="657">
        <v>0.1278</v>
      </c>
      <c r="R12" s="534">
        <v>0.23449999999999999</v>
      </c>
      <c r="S12" s="657">
        <v>-0.38490000000000002</v>
      </c>
      <c r="T12" s="534">
        <v>3.5299999999999998E-2</v>
      </c>
      <c r="U12" s="657">
        <v>0.13619999999999999</v>
      </c>
      <c r="V12" s="534">
        <v>0.03</v>
      </c>
      <c r="W12" s="657">
        <v>8.9899999999999994E-2</v>
      </c>
      <c r="X12" s="534">
        <v>0.26379999999999998</v>
      </c>
      <c r="Y12" s="657">
        <v>-0.23369999999999999</v>
      </c>
      <c r="Z12" s="534">
        <v>-0.13039999999999999</v>
      </c>
      <c r="AA12" s="657">
        <v>-0.1014</v>
      </c>
      <c r="AB12" s="534">
        <v>0.1953</v>
      </c>
      <c r="AC12" s="657">
        <v>0.26669999999999999</v>
      </c>
      <c r="AD12" s="653">
        <v>0.31009999999999999</v>
      </c>
    </row>
    <row r="13" spans="1:30" ht="24.6" customHeight="1">
      <c r="A13" s="119" t="s">
        <v>43</v>
      </c>
      <c r="B13" s="1036" t="s">
        <v>44</v>
      </c>
      <c r="C13" s="48" t="str">
        <f>SUM(COUNTIFS(TOTAL!E:E,"&gt;=" &amp;DATE(2023,7,1), TOTAL!E:E,"&lt;=" &amp;DATE(2024,6,30))+COUNTIFS(TOTAL!G:G,"&gt;=" &amp;DATE(2023,7,1), TOTAL!G:G,"&lt;=" &amp;DATE(2024,6,30)))&amp;"/400"</f>
        <v>870/400</v>
      </c>
      <c r="D13" s="120" t="str">
        <f>SUM(COUNTIFS(TOTAL!E:E,"&gt;=" &amp;DATE(2022,7,1), TOTAL!E:E,"&lt;=" &amp;DATE(2023,6,30))+COUNTIFS(TOTAL!G:G,"&gt;=" &amp;DATE(2022,7,1), TOTAL!G:G,"&lt;=" &amp;DATE(2023,6,30)))&amp;"/400"</f>
        <v>60/400</v>
      </c>
      <c r="E13" s="595" t="str">
        <f>SUM(COUNTIFS(TOTAL!E:E,"&gt;=" &amp;DATE(2021,7,1), TOTAL!E:E,"&lt;=" &amp;DATE(2022,6,30))+COUNTIFS(TOTAL!G:G,"&gt;=" &amp;DATE(2021,7,1), TOTAL!G:G,"&lt;=" &amp;DATE(2022,6,30)))&amp;"/400"</f>
        <v>381/400</v>
      </c>
      <c r="F13" s="120" t="str">
        <f>SUM(COUNTIFS(TOTAL!E:E,"&gt;=" &amp;DATE(2020,7,1), TOTAL!E:E,"&lt;=" &amp;DATE(2021,6,30))+COUNTIFS(TOTAL!G:G,"&gt;=" &amp;DATE(2020,7,1), TOTAL!G:G,"&lt;=" &amp;DATE(2021,6,30)))&amp;"/400"</f>
        <v>1232/400</v>
      </c>
      <c r="G13" s="595" t="str">
        <f>SUM(COUNTIFS(TOTAL!E:E,"&gt;=" &amp;DATE(2019,7,1), TOTAL!E:E,"&lt;=" &amp;DATE(2020,6,30))+COUNTIFS(TOTAL!G:G,"&gt;=" &amp;DATE(2019,7,1), TOTAL!G:G,"&lt;=" &amp;DATE(2020,6,30)))&amp;"/400"</f>
        <v>804/400</v>
      </c>
      <c r="H13" s="748" t="str">
        <f>COUNTIFS(MOVES!I:I,"&gt;="&amp;DATE(2018,7,1),MOVES!I:I,"&lt;="&amp;DATE(2019,6,30),MOVES!K:K,"CON")+COUNTIFS(MOVES!I:I,"&gt;="&amp;DATE(2018,7,1),MOVES!I:I,"&lt;="&amp;DATE(2019,6,30),MOVES!K:K,"INT")+COUNTIFS(MOVES!I:I,"&gt;="&amp;DATE(2018,7,1),MOVES!I:I,"&lt;="&amp;DATE(2019,6,30),MOVES!K:K,"INT-a")&amp;"/25"</f>
        <v>279/25</v>
      </c>
      <c r="I13" s="595" t="s">
        <v>33</v>
      </c>
      <c r="J13" s="120" t="s">
        <v>33</v>
      </c>
      <c r="K13" s="595" t="s">
        <v>33</v>
      </c>
      <c r="L13" s="120" t="s">
        <v>33</v>
      </c>
      <c r="M13" s="595" t="s">
        <v>33</v>
      </c>
      <c r="N13" s="120" t="s">
        <v>33</v>
      </c>
      <c r="O13" s="595" t="s">
        <v>33</v>
      </c>
      <c r="P13" s="120" t="s">
        <v>33</v>
      </c>
      <c r="Q13" s="595" t="s">
        <v>33</v>
      </c>
      <c r="R13" s="120" t="s">
        <v>33</v>
      </c>
      <c r="S13" s="595" t="s">
        <v>33</v>
      </c>
      <c r="T13" s="120" t="s">
        <v>33</v>
      </c>
      <c r="U13" s="595" t="s">
        <v>33</v>
      </c>
      <c r="V13" s="120" t="s">
        <v>33</v>
      </c>
      <c r="W13" s="595" t="s">
        <v>33</v>
      </c>
      <c r="X13" s="120" t="s">
        <v>33</v>
      </c>
      <c r="Y13" s="595" t="s">
        <v>33</v>
      </c>
      <c r="Z13" s="120" t="s">
        <v>33</v>
      </c>
      <c r="AA13" s="595" t="s">
        <v>33</v>
      </c>
      <c r="AB13" s="120" t="s">
        <v>33</v>
      </c>
      <c r="AC13" s="595" t="s">
        <v>33</v>
      </c>
      <c r="AD13" s="651" t="s">
        <v>33</v>
      </c>
    </row>
    <row r="14" spans="1:30" ht="24.6" customHeight="1">
      <c r="A14" s="119" t="s">
        <v>45</v>
      </c>
      <c r="B14" s="1036" t="s">
        <v>46</v>
      </c>
      <c r="C14" s="48" t="str">
        <f>COUNTIF(ESTATES!C3:C133,"x")&amp;"/40"</f>
        <v>31/40</v>
      </c>
      <c r="D14" s="120" t="str">
        <f>COUNTIF(ESTATES!C134:C166,"x")&amp;"/40"</f>
        <v>32/40</v>
      </c>
      <c r="E14" s="595" t="str">
        <f>COUNTIF(ESTATES!C167:C206,"x")&amp;"/40"</f>
        <v>40/40</v>
      </c>
      <c r="F14" s="120" t="str">
        <f>COUNTIF(ESTATES!C208:C251,"x")&amp;"/40"</f>
        <v>44/40</v>
      </c>
      <c r="G14" s="595" t="str">
        <f>COUNTIF(ESTATES!C253:C283,"x")&amp;"/40"</f>
        <v>31/40</v>
      </c>
      <c r="H14" s="748" t="str">
        <f>COUNTIF(ESTATES!C284:C307,"x")&amp;"/20"</f>
        <v>23/20</v>
      </c>
      <c r="I14" s="595">
        <v>47</v>
      </c>
      <c r="J14" s="120">
        <v>34</v>
      </c>
      <c r="K14" s="595">
        <v>23</v>
      </c>
      <c r="L14" s="120">
        <v>37</v>
      </c>
      <c r="M14" s="595">
        <v>24</v>
      </c>
      <c r="N14" s="120">
        <v>37</v>
      </c>
      <c r="O14" s="595">
        <v>29</v>
      </c>
      <c r="P14" s="120">
        <v>35</v>
      </c>
      <c r="Q14" s="595">
        <v>24</v>
      </c>
      <c r="R14" s="120">
        <v>36</v>
      </c>
      <c r="S14" s="595">
        <v>32</v>
      </c>
      <c r="T14" s="120">
        <v>26</v>
      </c>
      <c r="U14" s="595">
        <v>27</v>
      </c>
      <c r="V14" s="120" t="s">
        <v>33</v>
      </c>
      <c r="W14" s="595" t="s">
        <v>33</v>
      </c>
      <c r="X14" s="120" t="s">
        <v>33</v>
      </c>
      <c r="Y14" s="595" t="s">
        <v>33</v>
      </c>
      <c r="Z14" s="120" t="s">
        <v>33</v>
      </c>
      <c r="AA14" s="595" t="s">
        <v>33</v>
      </c>
      <c r="AB14" s="120" t="s">
        <v>33</v>
      </c>
      <c r="AC14" s="595" t="s">
        <v>33</v>
      </c>
      <c r="AD14" s="651" t="s">
        <v>33</v>
      </c>
    </row>
    <row r="15" spans="1:30" ht="24.6" customHeight="1">
      <c r="A15" s="119" t="s">
        <v>47</v>
      </c>
      <c r="B15" s="1036"/>
      <c r="C15" s="1022">
        <f>ESTATES!A8</f>
        <v>8765967.3430000022</v>
      </c>
      <c r="D15" s="723">
        <f>ESTATES!A80</f>
        <v>5296580.43</v>
      </c>
      <c r="E15" s="882">
        <f>ESTATES!A78</f>
        <v>4594696.09</v>
      </c>
      <c r="F15" s="723">
        <f>ESTATES!A76</f>
        <v>2681416.7799999998</v>
      </c>
      <c r="G15" s="656">
        <f>ESTATES!A74</f>
        <v>3785517.21</v>
      </c>
      <c r="H15" s="750">
        <f>ESTATES!A72</f>
        <v>3445420.13</v>
      </c>
      <c r="I15" s="659">
        <v>2071583</v>
      </c>
      <c r="J15" s="168">
        <v>1767878.23</v>
      </c>
      <c r="K15" s="659">
        <v>1364422</v>
      </c>
      <c r="L15" s="168">
        <v>2303603</v>
      </c>
      <c r="M15" s="659">
        <v>1334855</v>
      </c>
      <c r="N15" s="168">
        <v>2305163</v>
      </c>
      <c r="O15" s="659">
        <v>1388542</v>
      </c>
      <c r="P15" s="149">
        <f>ESTATES!A56</f>
        <v>877490</v>
      </c>
      <c r="Q15" s="656">
        <f>ESTATES!A54</f>
        <v>1927493</v>
      </c>
      <c r="R15" s="149">
        <f>ESTATES!A52</f>
        <v>1480170</v>
      </c>
      <c r="S15" s="656">
        <f>ESTATES!A50</f>
        <v>1627336</v>
      </c>
      <c r="T15" s="149">
        <f>ESTATES!A48</f>
        <v>1840315</v>
      </c>
      <c r="U15" s="656">
        <f>ESTATES!A46</f>
        <v>906601</v>
      </c>
      <c r="V15" s="149">
        <f>ESTATES!A44</f>
        <v>1733235</v>
      </c>
      <c r="W15" s="656">
        <f>ESTATES!A42</f>
        <v>797280</v>
      </c>
      <c r="X15" s="149">
        <f>ESTATES!A40</f>
        <v>855278</v>
      </c>
      <c r="Y15" s="656">
        <f>ESTATES!A38</f>
        <v>1273153</v>
      </c>
      <c r="Z15" s="149">
        <f>ESTATES!A36</f>
        <v>680660.64</v>
      </c>
      <c r="AA15" s="656" t="s">
        <v>33</v>
      </c>
      <c r="AB15" s="149" t="s">
        <v>33</v>
      </c>
      <c r="AC15" s="656" t="s">
        <v>33</v>
      </c>
      <c r="AD15" s="652" t="s">
        <v>33</v>
      </c>
    </row>
    <row r="16" spans="1:30" ht="24.6" customHeight="1">
      <c r="A16" s="119" t="s">
        <v>48</v>
      </c>
      <c r="B16" s="1025">
        <v>5000000</v>
      </c>
      <c r="C16" s="1022">
        <v>2828000</v>
      </c>
      <c r="D16" s="149">
        <v>2607000</v>
      </c>
      <c r="E16" s="656">
        <v>1900000</v>
      </c>
      <c r="F16" s="149">
        <v>1900000</v>
      </c>
      <c r="G16" s="656">
        <v>2250000</v>
      </c>
      <c r="H16" s="750">
        <v>1500000</v>
      </c>
      <c r="I16" s="659">
        <v>1300000</v>
      </c>
      <c r="J16" s="168">
        <v>1300000</v>
      </c>
      <c r="K16" s="659">
        <v>1922000</v>
      </c>
      <c r="L16" s="168">
        <v>1824325</v>
      </c>
      <c r="M16" s="659">
        <v>1800000</v>
      </c>
      <c r="N16" s="168">
        <v>2200000</v>
      </c>
      <c r="O16" s="659">
        <v>1400000</v>
      </c>
      <c r="P16" s="149">
        <v>1200000</v>
      </c>
      <c r="Q16" s="656"/>
      <c r="R16" s="149"/>
      <c r="S16" s="656"/>
      <c r="T16" s="149"/>
      <c r="U16" s="656"/>
      <c r="V16" s="149"/>
      <c r="W16" s="656"/>
      <c r="X16" s="149"/>
      <c r="Y16" s="656"/>
      <c r="Z16" s="149"/>
      <c r="AA16" s="656"/>
      <c r="AB16" s="149"/>
      <c r="AC16" s="656"/>
      <c r="AD16" s="652"/>
    </row>
    <row r="17" spans="1:30" ht="24.6" customHeight="1">
      <c r="A17" s="119" t="s">
        <v>49</v>
      </c>
      <c r="B17" s="1025">
        <v>0</v>
      </c>
      <c r="C17" s="1022">
        <v>0</v>
      </c>
      <c r="D17" s="723">
        <v>0</v>
      </c>
      <c r="E17" s="882">
        <v>215531.51999999999</v>
      </c>
      <c r="F17" s="723">
        <v>245878.52000000002</v>
      </c>
      <c r="G17" s="656">
        <v>260587</v>
      </c>
      <c r="H17" s="750">
        <v>237562</v>
      </c>
      <c r="I17" s="656">
        <v>237652</v>
      </c>
      <c r="J17" s="149">
        <v>199892</v>
      </c>
      <c r="K17" s="656">
        <v>213050.33</v>
      </c>
      <c r="L17" s="149">
        <v>334154.12</v>
      </c>
      <c r="M17" s="656">
        <v>289443.95</v>
      </c>
      <c r="N17" s="149">
        <v>243734.07</v>
      </c>
      <c r="O17" s="656">
        <v>271072.05</v>
      </c>
      <c r="P17" s="149">
        <v>236414.36</v>
      </c>
      <c r="Q17" s="656">
        <v>186780.27</v>
      </c>
      <c r="R17" s="149">
        <v>247631.69</v>
      </c>
      <c r="S17" s="656">
        <v>240073.92</v>
      </c>
      <c r="T17" s="149">
        <v>259747.05</v>
      </c>
      <c r="U17" s="656">
        <v>224254.8</v>
      </c>
      <c r="V17" s="149">
        <v>187290</v>
      </c>
      <c r="W17" s="656">
        <v>128170</v>
      </c>
      <c r="X17" s="149">
        <v>134670</v>
      </c>
      <c r="Y17" s="656">
        <v>179180</v>
      </c>
      <c r="Z17" s="149">
        <v>240595</v>
      </c>
      <c r="AA17" s="656">
        <v>143925</v>
      </c>
      <c r="AB17" s="149" t="s">
        <v>33</v>
      </c>
      <c r="AC17" s="656" t="s">
        <v>33</v>
      </c>
      <c r="AD17" s="652" t="s">
        <v>33</v>
      </c>
    </row>
    <row r="18" spans="1:30" ht="24.6" customHeight="1">
      <c r="A18" s="119" t="s">
        <v>50</v>
      </c>
      <c r="B18" s="1025">
        <v>0</v>
      </c>
      <c r="C18" s="1022">
        <v>0</v>
      </c>
      <c r="D18" s="149">
        <v>0</v>
      </c>
      <c r="E18" s="656">
        <v>179365.52</v>
      </c>
      <c r="F18" s="149">
        <f>F17-35219</f>
        <v>210659.52000000002</v>
      </c>
      <c r="G18" s="656">
        <v>220836</v>
      </c>
      <c r="H18" s="750">
        <v>198506.76</v>
      </c>
      <c r="I18" s="656">
        <v>201400</v>
      </c>
      <c r="J18" s="149">
        <v>169400</v>
      </c>
      <c r="K18" s="656">
        <v>174931.36</v>
      </c>
      <c r="L18" s="149">
        <v>254670.53</v>
      </c>
      <c r="M18" s="656">
        <v>210233.12</v>
      </c>
      <c r="N18" s="149">
        <v>181577.07</v>
      </c>
      <c r="O18" s="656">
        <v>202479.05</v>
      </c>
      <c r="P18" s="149">
        <v>167878.36</v>
      </c>
      <c r="Q18" s="656">
        <v>119305.27</v>
      </c>
      <c r="R18" s="149">
        <v>163989.64000000001</v>
      </c>
      <c r="S18" s="656">
        <v>161160.57999999999</v>
      </c>
      <c r="T18" s="149">
        <v>181654.05</v>
      </c>
      <c r="U18" s="656">
        <v>147992.79999999999</v>
      </c>
      <c r="V18" s="149"/>
      <c r="W18" s="656"/>
      <c r="X18" s="149"/>
      <c r="Y18" s="656"/>
      <c r="Z18" s="149"/>
      <c r="AA18" s="656"/>
      <c r="AB18" s="149"/>
      <c r="AC18" s="656"/>
      <c r="AD18" s="652"/>
    </row>
    <row r="19" spans="1:30" ht="24.6" customHeight="1">
      <c r="A19" s="119" t="s">
        <v>51</v>
      </c>
      <c r="B19" s="1023"/>
      <c r="C19" s="48"/>
      <c r="D19" s="120"/>
      <c r="E19" s="595">
        <f>SUMIFS(PIPELINE!K:K,PIPELINE!G:G,"&gt;=" &amp;DATE(2021,7,1), H:H,"&lt;=" &amp;DATE(2022,6,31))</f>
        <v>0</v>
      </c>
      <c r="F19" s="120">
        <f>SUMIFS(PIPELINE!K:K,PIPELINE!G:G,"&gt;=" &amp;DATE(2020,7,1), H:H,"&lt;=" &amp;DATE(2021,6,31))</f>
        <v>0</v>
      </c>
      <c r="G19" s="656">
        <f>SUMIFS(PIPELINE!K:K,PIPELINE!G:G,"&gt;=" &amp;DATE(2019,7,1), H:H,"&lt;=" &amp;DATE(2020,6,31))</f>
        <v>789991</v>
      </c>
      <c r="H19" s="751">
        <f>SUMIFS(PIPELINE!K:K,PIPELINE!G:G,"&gt;=" &amp;DATE(2018,7,1), H:H,"&lt;=" &amp;DATE(2019,6,31))</f>
        <v>933478.22</v>
      </c>
      <c r="I19" s="656">
        <f>SUMIFS(PIPELINE!K:K,PIPELINE!G:G,"&gt;=" &amp;DATE(2017,7,1), H:H,"&lt;=" &amp;DATE(2018,6,31))</f>
        <v>1010636.72</v>
      </c>
      <c r="J19" s="149">
        <f>SUMIFS(PIPELINE!K:K,PIPELINE!G:G,"&gt;=" &amp;DATE(2016,7,1), H:H,"&lt;=" &amp;DATE(2017,6,31))</f>
        <v>1030634.72</v>
      </c>
      <c r="K19" s="656">
        <f>SUMIFS(PIPELINE!K:K,PIPELINE!G:G,"&gt;=" &amp;DATE(2017,7,1), H:H,"&lt;=" &amp;DATE(2016,6,31))</f>
        <v>1010636.72</v>
      </c>
      <c r="L19" s="149">
        <f>SUMIFS(PIPELINE!K:K,PIPELINE!G:G,"&gt;=" &amp;DATE(2016,7,1), H:H,"&lt;=" &amp;DATE(2015,6,31))</f>
        <v>1030634.72</v>
      </c>
      <c r="M19" s="656">
        <f>SUMIFS(PIPELINE!K:K,PIPELINE!G:G,"&gt;=" &amp;DATE(2015,7,1), H:H,"&lt;=" &amp;DATE(2014,6,31))</f>
        <v>1080629.72</v>
      </c>
      <c r="N19" s="149">
        <f>SUMIFS(PIPELINE!K:K,PIPELINE!G:G,"&gt;=" &amp;DATE(2014,7,1), H:H,"&lt;=" &amp;DATE(2013,6,31))</f>
        <v>1142109.22</v>
      </c>
      <c r="O19" s="656">
        <f>SUMIFS(PIPELINE!K:K,PIPELINE!G:G,"&gt;=" &amp;DATE(2013,7,1), H:H,"&lt;=" &amp;DATE(2012,6,31))</f>
        <v>1268177.97</v>
      </c>
      <c r="P19" s="149">
        <f>SUMIFS(PIPELINE!K:K,PIPELINE!G:G,"&gt;=" &amp;DATE(2012,7,1), H:H,"&lt;=" &amp;DATE(2011,6,31))</f>
        <v>1288175.97</v>
      </c>
      <c r="Q19" s="656">
        <f>SUMIFS(PIPELINE!K:K,PIPELINE!G:G,"&gt;=" &amp;DATE(2011,7,1), H:H,"&lt;=" &amp;DATE(2010,6,31))</f>
        <v>1338175.97</v>
      </c>
      <c r="R19" s="149">
        <f>SUMIFS(PIPELINE!K:K,PIPELINE!G:G,"&gt;=" &amp;DATE(2010,7,1), H:H,"&lt;=" &amp;DATE(2009,6,31))</f>
        <v>1348174.97</v>
      </c>
      <c r="S19" s="656">
        <f>SUMIFS(PIPELINE!K:K,PIPELINE!G:G,"&gt;=" &amp;DATE(2009,7,1), H:H,"&lt;=" &amp;DATE(2008,6,31))</f>
        <v>1348174.97</v>
      </c>
      <c r="T19" s="149">
        <f>SUMIFS(PIPELINE!K:K,PIPELINE!G:G,"&gt;=" &amp;DATE(2008,7,1), H:H,"&lt;=" &amp;DATE(2007,6,31))</f>
        <v>1348174.97</v>
      </c>
      <c r="U19" s="656">
        <f>SUMIFS(PIPELINE!K:K,PIPELINE!G:G,"&gt;=" &amp;DATE(2007,7,1), H:H,"&lt;=" &amp;DATE(2006,6,31))</f>
        <v>1358173.97</v>
      </c>
      <c r="V19" s="149">
        <f>SUMIFS(PIPELINE!K:K,PIPELINE!G:G,"&gt;=" &amp;DATE(2006,7,1), H:H,"&lt;=" &amp;DATE(2005,6,31))</f>
        <v>1952544.52</v>
      </c>
      <c r="W19" s="656">
        <f>SUMIFS(PIPELINE!K:K,PIPELINE!G:G,"&gt;=" &amp;DATE(2005,7,1), H:H,"&lt;=" &amp;DATE(2004,6,31))</f>
        <v>2030767.43</v>
      </c>
      <c r="X19" s="149">
        <f>SUMIFS(PIPELINE!K:K,PIPELINE!G:G,"&gt;=" &amp;DATE(2004,7,1), H:H,"&lt;=" &amp;DATE(2003,6,31))</f>
        <v>2086552.53</v>
      </c>
      <c r="Y19" s="656">
        <f>SUMIFS(PIPELINE!K:K,PIPELINE!G:G,"&gt;=" &amp;DATE(2003,7,1), H:H,"&lt;=" &amp;DATE(2002,6,31))</f>
        <v>2096551.53</v>
      </c>
      <c r="Z19" s="149">
        <f>SUMIFS(PIPELINE!K:K,PIPELINE!G:G,"&gt;=" &amp;DATE(2002,7,1), H:H,"&lt;=" &amp;DATE(2001,6,31))</f>
        <v>2116549.5300000003</v>
      </c>
      <c r="AA19" s="656">
        <f>SUMIFS(PIPELINE!K:K,PIPELINE!G:G,"&gt;=" &amp;DATE(2001,7,1), H:H,"&lt;=" &amp;DATE(2000,6,31))</f>
        <v>2156545.5300000003</v>
      </c>
      <c r="AB19" s="149">
        <f>SUMIFS(PIPELINE!K:K,PIPELINE!G:G,"&gt;=" &amp;DATE(2000,7,1), H:H,"&lt;=" &amp;DATE(1999,6,31))</f>
        <v>2200955.4899999998</v>
      </c>
      <c r="AC19" s="656">
        <f>SUMIFS(PIPELINE!K:K,PIPELINE!G:G,"&gt;=" &amp;DATE(1999,7,1), H:H,"&lt;=" &amp;DATE(1998,6,31))</f>
        <v>2210954.4899999998</v>
      </c>
      <c r="AD19" s="652">
        <f>SUMIFS(PIPELINE!K:K,PIPELINE!G:G,"&gt;=" &amp;DATE(1998,7,1), H:H,"&lt;=" &amp;DATE(1997,6,31))</f>
        <v>2219750.89</v>
      </c>
    </row>
    <row r="20" spans="1:30" ht="24.6" customHeight="1">
      <c r="A20" s="119" t="s">
        <v>52</v>
      </c>
      <c r="B20" s="1023"/>
      <c r="C20" s="48"/>
      <c r="D20" s="120"/>
      <c r="E20" s="595" t="s">
        <v>33</v>
      </c>
      <c r="F20" s="120" t="str">
        <f>COUNTIFS(MOVES!I:I,"&gt;=" &amp;DATE(2020,7,1), MOVES!I:I,"&lt;=" &amp;DATE(2021,6,31))&amp;"/800"</f>
        <v>147/800</v>
      </c>
      <c r="G20" s="595" t="str">
        <f>COUNTIFS(MOVES!I:I,"&gt;=" &amp;DATE(2019,7,1), MOVES!I:I,"&lt;=" &amp;DATE(2020,6,31))&amp;"/400"</f>
        <v>753/400</v>
      </c>
      <c r="H20" s="748" t="str">
        <f>COUNTIFS(MOVES!I:I,"&gt;=" &amp;DATE(2018,7,1), MOVES!I:I,"&lt;=" &amp;DATE(2019,6,31))&amp;"/100"</f>
        <v>444/100</v>
      </c>
      <c r="I20" s="595" t="s">
        <v>33</v>
      </c>
      <c r="J20" s="120" t="s">
        <v>33</v>
      </c>
      <c r="K20" s="595" t="s">
        <v>33</v>
      </c>
      <c r="L20" s="120" t="s">
        <v>33</v>
      </c>
      <c r="M20" s="595" t="s">
        <v>33</v>
      </c>
      <c r="N20" s="120" t="s">
        <v>33</v>
      </c>
      <c r="O20" s="595" t="s">
        <v>33</v>
      </c>
      <c r="P20" s="120" t="s">
        <v>33</v>
      </c>
      <c r="Q20" s="595" t="s">
        <v>33</v>
      </c>
      <c r="R20" s="120" t="s">
        <v>33</v>
      </c>
      <c r="S20" s="595" t="s">
        <v>33</v>
      </c>
      <c r="T20" s="120" t="s">
        <v>33</v>
      </c>
      <c r="U20" s="595" t="s">
        <v>33</v>
      </c>
      <c r="V20" s="120" t="s">
        <v>33</v>
      </c>
      <c r="W20" s="595" t="s">
        <v>33</v>
      </c>
      <c r="X20" s="120" t="s">
        <v>33</v>
      </c>
      <c r="Y20" s="595" t="s">
        <v>33</v>
      </c>
      <c r="Z20" s="120" t="s">
        <v>33</v>
      </c>
      <c r="AA20" s="595" t="s">
        <v>33</v>
      </c>
      <c r="AB20" s="120" t="s">
        <v>33</v>
      </c>
      <c r="AC20" s="595" t="s">
        <v>33</v>
      </c>
      <c r="AD20" s="651" t="s">
        <v>33</v>
      </c>
    </row>
    <row r="21" spans="1:30" ht="24.6" customHeight="1">
      <c r="A21" s="119" t="s">
        <v>53</v>
      </c>
      <c r="B21" s="1023"/>
      <c r="C21" s="48"/>
      <c r="D21" s="120"/>
      <c r="E21" s="882" t="s">
        <v>33</v>
      </c>
      <c r="F21" s="723">
        <f>6000+5000+3000+20000+10000+5000</f>
        <v>49000</v>
      </c>
      <c r="G21" s="661" t="s">
        <v>33</v>
      </c>
      <c r="H21" s="748" t="s">
        <v>33</v>
      </c>
      <c r="I21" s="595" t="s">
        <v>33</v>
      </c>
      <c r="J21" s="120" t="s">
        <v>33</v>
      </c>
      <c r="K21" s="595" t="s">
        <v>33</v>
      </c>
      <c r="L21" s="120" t="s">
        <v>33</v>
      </c>
      <c r="M21" s="595" t="s">
        <v>33</v>
      </c>
      <c r="N21" s="120" t="s">
        <v>33</v>
      </c>
      <c r="O21" s="595" t="s">
        <v>33</v>
      </c>
      <c r="P21" s="120" t="s">
        <v>33</v>
      </c>
      <c r="Q21" s="595" t="s">
        <v>33</v>
      </c>
      <c r="R21" s="120" t="s">
        <v>33</v>
      </c>
      <c r="S21" s="595" t="s">
        <v>33</v>
      </c>
      <c r="T21" s="120" t="s">
        <v>33</v>
      </c>
      <c r="U21" s="595" t="s">
        <v>33</v>
      </c>
      <c r="V21" s="120" t="s">
        <v>33</v>
      </c>
      <c r="W21" s="595" t="s">
        <v>33</v>
      </c>
      <c r="X21" s="120" t="s">
        <v>33</v>
      </c>
      <c r="Y21" s="595" t="s">
        <v>33</v>
      </c>
      <c r="Z21" s="120" t="s">
        <v>33</v>
      </c>
      <c r="AA21" s="595" t="s">
        <v>33</v>
      </c>
      <c r="AB21" s="120" t="s">
        <v>33</v>
      </c>
      <c r="AC21" s="595" t="s">
        <v>33</v>
      </c>
      <c r="AD21" s="651" t="s">
        <v>33</v>
      </c>
    </row>
    <row r="22" spans="1:30" ht="24.6" customHeight="1">
      <c r="A22" s="119" t="s">
        <v>54</v>
      </c>
      <c r="B22" s="1023"/>
      <c r="C22" s="48"/>
      <c r="D22" s="120"/>
      <c r="E22" s="656">
        <v>250000</v>
      </c>
      <c r="F22" s="149">
        <v>200000</v>
      </c>
      <c r="G22" s="595" t="s">
        <v>33</v>
      </c>
      <c r="H22" s="753" t="s">
        <v>33</v>
      </c>
      <c r="I22" s="595" t="s">
        <v>33</v>
      </c>
      <c r="J22" s="120" t="s">
        <v>33</v>
      </c>
      <c r="K22" s="595" t="s">
        <v>33</v>
      </c>
      <c r="L22" s="120" t="s">
        <v>33</v>
      </c>
      <c r="M22" s="595" t="s">
        <v>33</v>
      </c>
      <c r="N22" s="120" t="s">
        <v>33</v>
      </c>
      <c r="O22" s="595" t="s">
        <v>33</v>
      </c>
      <c r="P22" s="120" t="s">
        <v>33</v>
      </c>
      <c r="Q22" s="595" t="s">
        <v>33</v>
      </c>
      <c r="R22" s="120" t="s">
        <v>33</v>
      </c>
      <c r="S22" s="595" t="s">
        <v>33</v>
      </c>
      <c r="T22" s="120" t="s">
        <v>33</v>
      </c>
      <c r="U22" s="595" t="s">
        <v>33</v>
      </c>
      <c r="V22" s="120" t="s">
        <v>33</v>
      </c>
      <c r="W22" s="595" t="s">
        <v>33</v>
      </c>
      <c r="X22" s="120" t="s">
        <v>33</v>
      </c>
      <c r="Y22" s="595" t="s">
        <v>33</v>
      </c>
      <c r="Z22" s="120" t="s">
        <v>33</v>
      </c>
      <c r="AA22" s="595" t="s">
        <v>33</v>
      </c>
      <c r="AB22" s="120" t="s">
        <v>33</v>
      </c>
      <c r="AC22" s="595" t="s">
        <v>33</v>
      </c>
      <c r="AD22" s="651" t="s">
        <v>33</v>
      </c>
    </row>
    <row r="23" spans="1:30" ht="24.6" customHeight="1">
      <c r="A23" s="119" t="s">
        <v>55</v>
      </c>
      <c r="B23" s="1023"/>
      <c r="C23" s="48"/>
      <c r="D23" s="120"/>
      <c r="E23" s="595" t="s">
        <v>33</v>
      </c>
      <c r="F23" s="120" t="s">
        <v>33</v>
      </c>
      <c r="G23" s="595" t="s">
        <v>56</v>
      </c>
      <c r="H23" s="748" t="s">
        <v>56</v>
      </c>
      <c r="I23" s="595" t="s">
        <v>33</v>
      </c>
      <c r="J23" s="120" t="s">
        <v>33</v>
      </c>
      <c r="K23" s="595" t="s">
        <v>33</v>
      </c>
      <c r="L23" s="120" t="s">
        <v>33</v>
      </c>
      <c r="M23" s="595" t="s">
        <v>33</v>
      </c>
      <c r="N23" s="120" t="s">
        <v>33</v>
      </c>
      <c r="O23" s="595" t="s">
        <v>33</v>
      </c>
      <c r="P23" s="120" t="s">
        <v>33</v>
      </c>
      <c r="Q23" s="595" t="s">
        <v>33</v>
      </c>
      <c r="R23" s="120" t="s">
        <v>33</v>
      </c>
      <c r="S23" s="595" t="s">
        <v>33</v>
      </c>
      <c r="T23" s="120" t="s">
        <v>33</v>
      </c>
      <c r="U23" s="595" t="s">
        <v>33</v>
      </c>
      <c r="V23" s="120" t="s">
        <v>33</v>
      </c>
      <c r="W23" s="595" t="s">
        <v>33</v>
      </c>
      <c r="X23" s="120" t="s">
        <v>33</v>
      </c>
      <c r="Y23" s="595" t="s">
        <v>33</v>
      </c>
      <c r="Z23" s="120" t="s">
        <v>33</v>
      </c>
      <c r="AA23" s="595" t="s">
        <v>33</v>
      </c>
      <c r="AB23" s="120" t="s">
        <v>33</v>
      </c>
      <c r="AC23" s="595" t="s">
        <v>33</v>
      </c>
      <c r="AD23" s="651" t="s">
        <v>33</v>
      </c>
    </row>
    <row r="24" spans="1:30" ht="24.6" customHeight="1">
      <c r="A24" s="119" t="s">
        <v>57</v>
      </c>
      <c r="B24" s="1023"/>
      <c r="C24" s="48"/>
      <c r="D24" s="120">
        <v>82</v>
      </c>
      <c r="E24" s="595">
        <v>1856</v>
      </c>
      <c r="F24" s="120">
        <v>2004</v>
      </c>
      <c r="G24" s="595">
        <v>1685</v>
      </c>
      <c r="H24" s="754">
        <f>SUM(911+333)</f>
        <v>1244</v>
      </c>
      <c r="I24" s="595">
        <v>1022</v>
      </c>
      <c r="J24" s="120" t="s">
        <v>33</v>
      </c>
      <c r="K24" s="595" t="s">
        <v>33</v>
      </c>
      <c r="L24" s="120" t="s">
        <v>33</v>
      </c>
      <c r="M24" s="595" t="s">
        <v>33</v>
      </c>
      <c r="N24" s="120" t="s">
        <v>33</v>
      </c>
      <c r="O24" s="595" t="s">
        <v>33</v>
      </c>
      <c r="P24" s="120" t="s">
        <v>33</v>
      </c>
      <c r="Q24" s="595" t="s">
        <v>33</v>
      </c>
      <c r="R24" s="120" t="s">
        <v>33</v>
      </c>
      <c r="S24" s="595" t="s">
        <v>33</v>
      </c>
      <c r="T24" s="120" t="s">
        <v>33</v>
      </c>
      <c r="U24" s="595" t="s">
        <v>33</v>
      </c>
      <c r="V24" s="120" t="s">
        <v>33</v>
      </c>
      <c r="W24" s="595" t="s">
        <v>33</v>
      </c>
      <c r="X24" s="120" t="s">
        <v>33</v>
      </c>
      <c r="Y24" s="595" t="s">
        <v>33</v>
      </c>
      <c r="Z24" s="120" t="s">
        <v>33</v>
      </c>
      <c r="AA24" s="595" t="s">
        <v>33</v>
      </c>
      <c r="AB24" s="120" t="s">
        <v>33</v>
      </c>
      <c r="AC24" s="595" t="s">
        <v>33</v>
      </c>
      <c r="AD24" s="651" t="s">
        <v>33</v>
      </c>
    </row>
    <row r="25" spans="1:30" ht="24.6" customHeight="1">
      <c r="A25" s="126" t="s">
        <v>58</v>
      </c>
      <c r="B25" s="1024"/>
      <c r="C25" s="85"/>
      <c r="D25" s="127"/>
      <c r="E25" s="658" t="s">
        <v>33</v>
      </c>
      <c r="F25" s="127" t="s">
        <v>33</v>
      </c>
      <c r="G25" s="664" t="s">
        <v>33</v>
      </c>
      <c r="H25" s="755" t="s">
        <v>33</v>
      </c>
      <c r="I25" s="660" t="s">
        <v>33</v>
      </c>
      <c r="J25" s="125" t="s">
        <v>33</v>
      </c>
      <c r="K25" s="658" t="s">
        <v>33</v>
      </c>
      <c r="L25" s="127" t="s">
        <v>33</v>
      </c>
      <c r="M25" s="658" t="s">
        <v>33</v>
      </c>
      <c r="N25" s="127" t="s">
        <v>33</v>
      </c>
      <c r="O25" s="658" t="s">
        <v>33</v>
      </c>
      <c r="P25" s="127" t="s">
        <v>33</v>
      </c>
      <c r="Q25" s="658" t="s">
        <v>33</v>
      </c>
      <c r="R25" s="127" t="s">
        <v>33</v>
      </c>
      <c r="S25" s="658" t="s">
        <v>33</v>
      </c>
      <c r="T25" s="127" t="s">
        <v>33</v>
      </c>
      <c r="U25" s="658" t="s">
        <v>33</v>
      </c>
      <c r="V25" s="127" t="s">
        <v>33</v>
      </c>
      <c r="W25" s="658" t="s">
        <v>33</v>
      </c>
      <c r="X25" s="127" t="s">
        <v>33</v>
      </c>
      <c r="Y25" s="658" t="s">
        <v>33</v>
      </c>
      <c r="Z25" s="127" t="s">
        <v>33</v>
      </c>
      <c r="AA25" s="658" t="s">
        <v>33</v>
      </c>
      <c r="AB25" s="127" t="s">
        <v>33</v>
      </c>
      <c r="AC25" s="658" t="s">
        <v>33</v>
      </c>
      <c r="AD25" s="654" t="s">
        <v>33</v>
      </c>
    </row>
    <row r="27" spans="1:30" ht="24.6" customHeight="1" thickBot="1">
      <c r="A27" s="117"/>
      <c r="B27" s="118" t="s">
        <v>59</v>
      </c>
      <c r="C27" s="118" t="s">
        <v>60</v>
      </c>
      <c r="D27" s="118" t="s">
        <v>61</v>
      </c>
      <c r="E27" s="118" t="s">
        <v>62</v>
      </c>
      <c r="F27" s="118" t="s">
        <v>63</v>
      </c>
      <c r="G27" s="118" t="s">
        <v>64</v>
      </c>
      <c r="H27" s="118" t="s">
        <v>65</v>
      </c>
      <c r="I27" s="515" t="s">
        <v>66</v>
      </c>
      <c r="J27" s="334"/>
      <c r="K27" s="515"/>
      <c r="L27" s="908"/>
      <c r="M27" s="34"/>
    </row>
    <row r="28" spans="1:30" ht="24.6" customHeight="1">
      <c r="A28" s="516" t="s">
        <v>67</v>
      </c>
      <c r="B28" s="518">
        <f>COUNTIFS(TOTAL!J:J,"X",TOTAL!BO:BO,"&lt;&gt;x")+COUNTIFS(TOTAL!N:N,"x",TOTAL!BO:BO,"&lt;&gt;x")+COUNTIFS(TOTAL!L:L,"x",TOTAL!BO:BO,"&lt;&gt;x")</f>
        <v>1619</v>
      </c>
      <c r="C28" s="519">
        <f ca="1">COUNTIFS(TOTAL!J:J,"X",TOTAL!BO:BO,"&lt;&gt;x",TOTAL!R:R,"&lt;="&amp;I39)+COUNTIFS(TOTAL!N:N,"x",TOTAL!BO:BO,"&lt;&gt;x",TOTAL!R:R,"&lt;="&amp;I39)+COUNTIFS(TOTAL!L:L,"x",TOTAL!BO:BO,"&lt;&gt;x",TOTAL!R:R,"&lt;="&amp;I39)</f>
        <v>1342</v>
      </c>
      <c r="D28" s="518">
        <f>SUM(D29:D30)-F38</f>
        <v>1173</v>
      </c>
      <c r="E28" s="519">
        <f>COUNTIFS(TOTAL!J:J,"X",TOTAL!BO:BO,"&lt;&gt;x",TOTAL!R:R,"")+COUNTIFS(TOTAL!N:N,"x",TOTAL!BO:BO,"&lt;&gt;x",TOTAL!R:R,"")+COUNTIFS(TOTAL!L:L,"x",TOTAL!BO:BO,"&lt;&gt;x",TOTAL!R:R,"")</f>
        <v>125</v>
      </c>
      <c r="F28" s="518">
        <f>COUNTIFS(TOTAL!J:J,"X",TOTAL!BO:BO,"x")+COUNTIFS(TOTAL!N:N,"x",TOTAL!BO:BO,"x")+COUNTIFS(TOTAL!L:L,"x",TOTAL!BO:BO,"x")</f>
        <v>790</v>
      </c>
      <c r="G28" s="519">
        <f>COUNTIFS(TOTAL!J:J,"X",TOTAL!BO:BO,"&lt;&gt;x",TOTAL!P:P,"TFP_MEMBERSHIP")+COUNTIFS(TOTAL!N:N,"x",TOTAL!BO:BO,"&lt;&gt;x",TOTAL!P:P,"TFP_MEMBERSHIP")+COUNTIFS(TOTAL!L:L,"x",TOTAL!BO:BO,"&lt;&gt;x",TOTAL!P:P,"TFP_MEMBERSHIP")</f>
        <v>240</v>
      </c>
      <c r="H28" s="518">
        <f>COUNTIFS(TOTAL!J:J,"X",TOTAL!BO:BO,"&lt;&gt;x",TOTAL!P:P,"MAJOR_DONOR")+COUNTIFS(TOTAL!N:N,"x",TOTAL!BO:BO,"&lt;&gt;x",TOTAL!P:P,"MAJOR_DONOR")+COUNTIFS(TOTAL!L:L,"x",TOTAL!BO:BO,"&lt;&gt;x",TOTAL!P:P,"MAJOR_DONOR")</f>
        <v>51</v>
      </c>
      <c r="I28" s="520">
        <f>COUNTIF(TOTAL!J:J,"X")+COUNTIF(TOTAL!N:N,"X")+COUNTIF(TOTAL!L:L,"X")</f>
        <v>2409</v>
      </c>
      <c r="J28" s="48"/>
      <c r="K28" s="48"/>
      <c r="L28" s="909"/>
      <c r="M28" s="34"/>
    </row>
    <row r="29" spans="1:30" ht="24.6" customHeight="1">
      <c r="A29" s="119" t="s">
        <v>68</v>
      </c>
      <c r="B29" s="120">
        <f>COUNTIFS(TOTAL!J:J,"X",TOTAL!BO:BO,"&lt;&gt;x")</f>
        <v>1303</v>
      </c>
      <c r="C29" s="48">
        <f ca="1">COUNTIFS(TOTAL!J:J,"X",TOTAL!BO:BO,"&lt;&gt;x",TOTAL!R:R,"&lt;="&amp;I39)</f>
        <v>1050</v>
      </c>
      <c r="D29" s="120" cm="1">
        <f t="array" ref="D29">SUM(IF(("x"=TOTAL!J1:J9000)*(TOTAL!BO1:BO9000=""),1/COUNTIFS(TOTAL!J1:J9000,"x",TOTAL!B1:B9000,TOTAL!B1:B9000,TOTAL!BO1:BO9000,"")),0)</f>
        <v>1055</v>
      </c>
      <c r="E29" s="48">
        <f>COUNTIFS(TOTAL!R:R,"", TOTAL!J:J,"X")</f>
        <v>340</v>
      </c>
      <c r="F29" s="120">
        <f>COUNTIFS(TOTAL!J:J,"X",TOTAL!BO:BO,"x")</f>
        <v>649</v>
      </c>
      <c r="G29" s="48">
        <f>COUNTIFS(TOTAL!J:J,"X",TOTAL!P:P,"TFP_MEMBERSHIP")</f>
        <v>202</v>
      </c>
      <c r="H29" s="120">
        <f>COUNTIFS(TOTAL!J:J,"X",TOTAL!P:P,"MAJOR_DONOR")</f>
        <v>150</v>
      </c>
      <c r="I29" s="87">
        <f>COUNTIF(TOTAL!J:J,"X")</f>
        <v>1952</v>
      </c>
      <c r="J29" s="48"/>
      <c r="K29" s="48"/>
      <c r="L29" s="909"/>
      <c r="M29" s="34"/>
    </row>
    <row r="30" spans="1:30" ht="24.6" customHeight="1">
      <c r="A30" s="119" t="s">
        <v>69</v>
      </c>
      <c r="B30" s="120">
        <f>COUNTIFS(TOTAL!N:N,"x",TOTAL!BO:BO,"&lt;&gt;x")</f>
        <v>190</v>
      </c>
      <c r="C30" s="48">
        <f ca="1">COUNTIFS(TOTAL!N:N,"x",TOTAL!BO:BO,"&lt;&gt;x",TOTAL!R:R,"&lt;="&amp;I39)</f>
        <v>179</v>
      </c>
      <c r="D30" s="120">
        <f t="array" ref="D30">SUM(IF(("x"=TOTAL!N1:N9000)*(TOTAL!BO1:BO9000=""),1/COUNTIFS(TOTAL!N1:N9000,"x",TOTAL!B1:B9000,TOTAL!B1:B9000,TOTAL!BO1:BO9000,"")),0)</f>
        <v>156</v>
      </c>
      <c r="E30" s="48">
        <f>COUNTIFS(TOTAL!N:N,"x",TOTAL!R:R,"")</f>
        <v>14</v>
      </c>
      <c r="F30" s="120">
        <f>COUNTIFS(TOTAL!N:N,"x",TOTAL!BO:BO,"x")</f>
        <v>134</v>
      </c>
      <c r="G30" s="48">
        <f>COUNTIFS(TOTAL!N:N,"x",TOTAL!P:P,"TFP_MEMBERSHIP")</f>
        <v>39</v>
      </c>
      <c r="H30" s="120">
        <f>COUNTIFS(TOTAL!N:N,"x",TOTAL!P:P,"MAJOR_DONOR")</f>
        <v>8</v>
      </c>
      <c r="I30" s="87">
        <f>COUNTIF(TOTAL!N:N,"x")</f>
        <v>324</v>
      </c>
      <c r="J30" s="48"/>
      <c r="K30" s="48"/>
      <c r="L30" s="909"/>
      <c r="M30" s="34"/>
    </row>
    <row r="31" spans="1:30" ht="24.6" customHeight="1">
      <c r="A31" s="119" t="s">
        <v>70</v>
      </c>
      <c r="B31" s="120">
        <f>COUNTIFS(TOTAL!L:L,"x",TOTAL!BO:BO,"&lt;&gt;x")</f>
        <v>126</v>
      </c>
      <c r="C31" s="48">
        <f ca="1">COUNTIFS(TOTAL!L:L,"x",TOTAL!BO:BO,"&lt;&gt;x",TOTAL!R:R,"&lt;="&amp;I39)</f>
        <v>113</v>
      </c>
      <c r="D31" s="120">
        <f t="array" ref="D31">SUM(IF(("x"=TOTAL!L1:L9000)*(TOTAL!BO1:BO9000=""),1/COUNTIFS(TOTAL!L1:L9000,"x",TOTAL!B1:B9000,TOTAL!B1:B9000,TOTAL!BO1:BO9000,"")),0)</f>
        <v>98</v>
      </c>
      <c r="E31" s="48">
        <f>COUNTIFS(TOTAL!L:L,"x",TOTAL!R:R,"")</f>
        <v>10</v>
      </c>
      <c r="F31" s="120">
        <f>COUNTIFS(TOTAL!L:L,"x",TOTAL!BO:BO,"x")</f>
        <v>7</v>
      </c>
      <c r="G31" s="48">
        <f>COUNTIFS(TOTAL!L:L,"x",TOTAL!P:P,"TFP_MEMBERSHIP")</f>
        <v>32</v>
      </c>
      <c r="H31" s="120">
        <f>COUNTIFS(TOTAL!L:L,"x",TOTAL!P:P,"MAJOR_DONOR")</f>
        <v>9</v>
      </c>
      <c r="I31" s="87">
        <f>COUNTIF(TOTAL!L:L,"x")</f>
        <v>133</v>
      </c>
      <c r="J31" s="48"/>
      <c r="K31" s="48"/>
      <c r="L31" s="909"/>
      <c r="M31" s="34"/>
    </row>
    <row r="32" spans="1:30" ht="24.6" customHeight="1">
      <c r="A32" s="517" t="s">
        <v>71</v>
      </c>
      <c r="B32" s="521">
        <f>SUM(B33:B34)</f>
        <v>3463</v>
      </c>
      <c r="C32" s="522">
        <f t="shared" ref="C32:I32" ca="1" si="0">SUM(C33:C34)</f>
        <v>2949</v>
      </c>
      <c r="D32" s="521">
        <f t="shared" si="0"/>
        <v>3031</v>
      </c>
      <c r="E32" s="522">
        <f t="shared" si="0"/>
        <v>87</v>
      </c>
      <c r="F32" s="521">
        <f t="shared" si="0"/>
        <v>78</v>
      </c>
      <c r="G32" s="522">
        <f t="shared" si="0"/>
        <v>167</v>
      </c>
      <c r="H32" s="521">
        <f t="shared" si="0"/>
        <v>22</v>
      </c>
      <c r="I32" s="523">
        <f t="shared" si="0"/>
        <v>3541</v>
      </c>
      <c r="J32" s="48"/>
      <c r="K32" s="48"/>
      <c r="L32" s="909"/>
      <c r="M32" s="34"/>
    </row>
    <row r="33" spans="1:18" ht="24.6" customHeight="1">
      <c r="A33" s="119" t="s">
        <v>72</v>
      </c>
      <c r="B33" s="120">
        <f>COUNTIFS(TOTAL!F:F,"x",TOTAL!BO:BO,"&lt;&gt;x")</f>
        <v>413</v>
      </c>
      <c r="C33" s="48">
        <f ca="1">COUNTIFS(TOTAL!F:F,"x",TOTAL!BO:BO,"&lt;&gt;x",TOTAL!R:R,"&lt;="&amp;I39)</f>
        <v>373</v>
      </c>
      <c r="D33" s="120">
        <f t="array" ref="D33">SUM(IF(("x"=TOTAL!F1:F9000)*(TOTAL!BO1:BO9000=""),1/COUNTIFS(TOTAL!F1:F9000,"x",TOTAL!B1:B9000,TOTAL!B1:B9000,TOTAL!BO1:BO9000,"")),0)</f>
        <v>362</v>
      </c>
      <c r="E33" s="48">
        <f>COUNTIFS(TOTAL!F:F,"x",TOTAL!R:R,"")</f>
        <v>6</v>
      </c>
      <c r="F33" s="120">
        <f>COUNTIFS(TOTAL!F:F,"x",TOTAL!BO:BO,"x")</f>
        <v>8</v>
      </c>
      <c r="G33" s="48">
        <f>COUNTIFS(TOTAL!F:F,"x",TOTAL!P:P,"TFP_MEMBERSHIP")</f>
        <v>25</v>
      </c>
      <c r="H33" s="120">
        <f>COUNTIFS(TOTAL!F:F,"x",TOTAL!P:P,"MAJOR_DONOR")</f>
        <v>3</v>
      </c>
      <c r="I33" s="87">
        <f>COUNTIF(TOTAL!F:F,"x")</f>
        <v>421</v>
      </c>
      <c r="M33" s="34"/>
    </row>
    <row r="34" spans="1:18" ht="24.6" customHeight="1">
      <c r="A34" s="119" t="s">
        <v>73</v>
      </c>
      <c r="B34" s="120">
        <f>COUNTIFS(TOTAL!D:D,"x",TOTAL!BO:BO,"&lt;&gt;x")</f>
        <v>3050</v>
      </c>
      <c r="C34" s="48">
        <f ca="1">COUNTIFS(TOTAL!D:D,"x",TOTAL!BO:BO,"&lt;&gt;x",TOTAL!R:R,"&lt;="&amp;I39)</f>
        <v>2576</v>
      </c>
      <c r="D34" s="120" cm="1">
        <f t="array" ref="D34">SUM(IF(("x"=TOTAL!D1:D9000)*(TOTAL!BO1:BO9000=""),1/COUNTIFS(TOTAL!D1:D9000,"x",TOTAL!B1:B9000,TOTAL!B1:B9000,TOTAL!BO1:BO9000,"")),0)</f>
        <v>2669</v>
      </c>
      <c r="E34" s="48">
        <f>COUNTIFS(TOTAL!D:D,"x",TOTAL!R:R,"")</f>
        <v>81</v>
      </c>
      <c r="F34" s="120">
        <f t="array" ref="F34">COUNTIFS(TOTAL!D:D,"x",TOTAL!BO:BO,"x")</f>
        <v>70</v>
      </c>
      <c r="G34" s="48">
        <f>COUNTIFS(TOTAL!D:D,"x",TOTAL!P:P,"TFP_MEMBERSHIP")</f>
        <v>142</v>
      </c>
      <c r="H34" s="120">
        <f>COUNTIFS(TOTAL!D:D,"x",TOTAL!P:P,"MAJOR_DONOR")</f>
        <v>19</v>
      </c>
      <c r="I34" s="87">
        <f>COUNTIF(TOTAL!D:D,"x")</f>
        <v>3120</v>
      </c>
      <c r="M34" s="34"/>
    </row>
    <row r="35" spans="1:18" ht="24.6" customHeight="1">
      <c r="A35" s="689" t="s">
        <v>74</v>
      </c>
      <c r="B35" s="690">
        <f>COUNTIFS(TOTAL!H:H,"x",TOTAL!BO:BO,"&lt;&gt;x")</f>
        <v>432</v>
      </c>
      <c r="C35" s="691">
        <f ca="1">COUNTIFS(TOTAL!H:H,"x",TOTAL!BO:BO,"&lt;&gt;x",TOTAL!R:R,"&lt;="&amp;I39)</f>
        <v>353</v>
      </c>
      <c r="D35" s="690">
        <f t="array" ref="D35">SUM(IF(("x"=TOTAL!H1:H9000)*(TOTAL!BO1:BO9000=""),1/COUNTIFS(TOTAL!H1:H9000,"x",TOTAL!B1:B9000,TOTAL!B1:B9000,TOTAL!BO1:BO9000,"")),0)</f>
        <v>360</v>
      </c>
      <c r="E35" s="691">
        <f>COUNTIFS(TOTAL!H:H,"x",TOTAL!R:R,"")</f>
        <v>22</v>
      </c>
      <c r="F35" s="690">
        <f>COUNTIFS(TOTAL!D:D,"x",TOTAL!BO:BO,"x")</f>
        <v>70</v>
      </c>
      <c r="G35" s="691">
        <f>COUNTIFS(TOTAL!H:H,"x",TOTAL!P:P,"TFP_MEMBERSHIP")</f>
        <v>31</v>
      </c>
      <c r="H35" s="690">
        <f>COUNTIFS(TOTAL!H:H,"x",TOTAL!P:P,"MAJOR_DONOR")</f>
        <v>0</v>
      </c>
      <c r="I35" s="692">
        <f>COUNTIF(TOTAL!H:H,"x")</f>
        <v>443</v>
      </c>
      <c r="M35" s="34"/>
    </row>
    <row r="36" spans="1:18" ht="24.6" customHeight="1">
      <c r="E36" s="34" t="s">
        <v>75</v>
      </c>
      <c r="F36" s="167"/>
      <c r="G36" s="166"/>
      <c r="H36" s="48"/>
      <c r="I36" s="166"/>
      <c r="M36" s="34"/>
    </row>
    <row r="37" spans="1:18" ht="24.6" customHeight="1" thickBot="1">
      <c r="A37" s="213"/>
      <c r="B37" s="118" t="s">
        <v>76</v>
      </c>
      <c r="C37" s="118" t="s">
        <v>77</v>
      </c>
      <c r="D37" s="118" t="s">
        <v>78</v>
      </c>
      <c r="M37" s="898"/>
      <c r="N37" s="515"/>
      <c r="O37" s="515"/>
      <c r="P37" s="515"/>
      <c r="Q37" s="515"/>
    </row>
    <row r="38" spans="1:18" ht="24.6" customHeight="1">
      <c r="A38" s="528" t="s">
        <v>79</v>
      </c>
      <c r="B38" s="366">
        <v>644255.32999999996</v>
      </c>
      <c r="C38" s="529">
        <v>6556696.3899999997</v>
      </c>
      <c r="D38" s="530">
        <f>SUM(B38:C38)</f>
        <v>7200951.7199999997</v>
      </c>
      <c r="E38" s="881"/>
      <c r="F38" s="693">
        <f>COUNTIFS(TOTAL!J:J,"x",TOTAL!N:N,"x")</f>
        <v>38</v>
      </c>
      <c r="G38" s="266" t="s">
        <v>80</v>
      </c>
      <c r="H38" s="264"/>
      <c r="I38" s="265">
        <f ca="1">TODAY()-25567</f>
        <v>19860</v>
      </c>
      <c r="M38" s="34"/>
      <c r="N38" s="899"/>
      <c r="O38" s="665"/>
      <c r="P38" s="665"/>
      <c r="Q38" s="665"/>
      <c r="R38" s="665"/>
    </row>
    <row r="39" spans="1:18" ht="24.6" customHeight="1">
      <c r="A39" s="531" t="s">
        <v>81</v>
      </c>
      <c r="B39" s="367">
        <f>SUMIFS(ANNUITIES!L:L, ANNUITIES!K:K, "CA")</f>
        <v>461234.89000000007</v>
      </c>
      <c r="C39" s="532">
        <f>SUMIFS(ANNUITIES!L:L, ANNUITIES!K:K, "&lt;&gt;*CA*")</f>
        <v>3936101.2400000021</v>
      </c>
      <c r="D39" s="533">
        <f>SUM(B39:C39)</f>
        <v>4397336.1300000018</v>
      </c>
      <c r="E39" s="881"/>
      <c r="G39" s="263" t="s">
        <v>60</v>
      </c>
      <c r="H39" s="122"/>
      <c r="I39" s="123">
        <f ca="1">TODAY()-23741</f>
        <v>21686</v>
      </c>
      <c r="M39" s="34"/>
      <c r="N39" s="899"/>
      <c r="O39" s="900"/>
      <c r="P39" s="900"/>
      <c r="Q39" s="665"/>
      <c r="R39" s="665"/>
    </row>
    <row r="40" spans="1:18" ht="24.6" customHeight="1">
      <c r="M40" s="34"/>
    </row>
    <row r="41" spans="1:18" ht="24.6" customHeight="1" thickBot="1">
      <c r="A41" s="118" t="s">
        <v>82</v>
      </c>
      <c r="B41" s="118" t="s">
        <v>83</v>
      </c>
      <c r="C41" s="118" t="s">
        <v>60</v>
      </c>
      <c r="D41" s="118" t="s">
        <v>64</v>
      </c>
      <c r="E41" s="118" t="s">
        <v>67</v>
      </c>
      <c r="F41" s="118" t="s">
        <v>84</v>
      </c>
      <c r="G41" s="118" t="s">
        <v>85</v>
      </c>
      <c r="H41" s="118" t="s">
        <v>86</v>
      </c>
      <c r="I41" s="118" t="s">
        <v>87</v>
      </c>
      <c r="K41" s="34" t="s">
        <v>88</v>
      </c>
      <c r="M41" s="34"/>
    </row>
    <row r="42" spans="1:18" ht="24.6" customHeight="1">
      <c r="A42" s="121" t="str">
        <f>STATES!A4</f>
        <v>CA</v>
      </c>
      <c r="B42" s="120">
        <f>STATES!B4+STATES!C4</f>
        <v>298</v>
      </c>
      <c r="C42" s="48">
        <f ca="1">STATES!F4+STATES!G4</f>
        <v>260</v>
      </c>
      <c r="D42" s="120">
        <f>COUNTIFS(TOTAL!J:J,"X",TOTAL!BO:BO,"&lt;&gt;x",TOTAL!P:P,"TFP_MEMBERSHIP",TOTAL!AN:AN,A42)+COUNTIFS(TOTAL!N:N,"x",TOTAL!BO:BO,"&lt;&gt;x",TOTAL!P:P,"TFP_MEMBERSHIP",TOTAL!AN:AN,A42)+COUNTIFS(TOTAL!L:L,"x",TOTAL!BO:BO,"&lt;&gt;x",TOTAL!P:P,"TFP_MEMBERSHIP",TOTAL!AN:AN,A42)</f>
        <v>17</v>
      </c>
      <c r="E42" s="185">
        <f>STATES!D4</f>
        <v>173</v>
      </c>
      <c r="F42" s="120">
        <f>COUNTIFS(ANNUITIES!K2:K1000,A42,ANNUITIES!C2:C1000,"&lt;&gt;x")</f>
        <v>24</v>
      </c>
      <c r="G42" s="229">
        <f>SUMIFS(ANNUITIES!F2:F1000,ANNUITIES!K2:K1000,A42,ANNUITIES!C2:C1000,"&lt;&gt;x")</f>
        <v>528315.25</v>
      </c>
      <c r="H42" s="120">
        <f>COUNTIFS(ANNUITIES!K2:K1000,A42)</f>
        <v>46</v>
      </c>
      <c r="I42" s="228">
        <f>SUMIF(ANNUITIES!K2:K1000,A42,ANNUITIES!F2:F1000)</f>
        <v>1015034.4</v>
      </c>
      <c r="M42" s="34"/>
    </row>
    <row r="43" spans="1:18" ht="24.6" customHeight="1">
      <c r="A43" s="121" t="str">
        <f>STATES!A5</f>
        <v>FL</v>
      </c>
      <c r="B43" s="120">
        <f>STATES!B5+STATES!C5</f>
        <v>144</v>
      </c>
      <c r="C43" s="48">
        <f ca="1">STATES!F5+STATES!G5</f>
        <v>131</v>
      </c>
      <c r="D43" s="120">
        <f>COUNTIFS(TOTAL!J:J,"X",TOTAL!BO:BO,"&lt;&gt;x",TOTAL!P:P,"TFP_MEMBERSHIP",TOTAL!AN:AN,A43)+COUNTIFS(TOTAL!N:N,"x",TOTAL!BO:BO,"&lt;&gt;x",TOTAL!P:P,"TFP_MEMBERSHIP",TOTAL!AN:AN,A43)+COUNTIFS(TOTAL!L:L,"x",TOTAL!BO:BO,"&lt;&gt;x",TOTAL!P:P,"TFP_MEMBERSHIP",TOTAL!AN:AN,A43)</f>
        <v>6</v>
      </c>
      <c r="E43" s="48">
        <f>STATES!D5</f>
        <v>97</v>
      </c>
      <c r="F43" s="120">
        <f>COUNTIFS(ANNUITIES!K2:K1000,A43,ANNUITIES!C2:C1000,"&lt;&gt;x")</f>
        <v>17</v>
      </c>
      <c r="G43" s="229">
        <f>SUMIFS(ANNUITIES!F2:F1000,ANNUITIES!K2:K1000,A43,ANNUITIES!C2:C1000,"&lt;&gt;x")</f>
        <v>1843012.92</v>
      </c>
      <c r="H43" s="120">
        <f>COUNTIFS(ANNUITIES!K2:K1000,A43)</f>
        <v>29</v>
      </c>
      <c r="I43" s="228">
        <f>SUMIF(ANNUITIES!K2:K1000,A43,ANNUITIES!F2:F1000)</f>
        <v>2107728.15</v>
      </c>
      <c r="L43" s="889"/>
      <c r="M43" s="890"/>
    </row>
    <row r="44" spans="1:18" ht="24.6" customHeight="1">
      <c r="A44" s="121" t="str">
        <f>STATES!A6</f>
        <v>AZ</v>
      </c>
      <c r="B44" s="120">
        <f>STATES!B6+STATES!C6</f>
        <v>91</v>
      </c>
      <c r="C44" s="48">
        <f ca="1">STATES!F6+STATES!G6</f>
        <v>74</v>
      </c>
      <c r="D44" s="120">
        <f>COUNTIFS(TOTAL!J:J,"X",TOTAL!BO:BO,"&lt;&gt;x",TOTAL!P:P,"TFP_MEMBERSHIP",TOTAL!AN:AN,A44)+COUNTIFS(TOTAL!N:N,"x",TOTAL!BO:BO,"&lt;&gt;x",TOTAL!P:P,"TFP_MEMBERSHIP",TOTAL!AN:AN,A44)+COUNTIFS(TOTAL!L:L,"x",TOTAL!BO:BO,"&lt;&gt;x",TOTAL!P:P,"TFP_MEMBERSHIP",TOTAL!AN:AN,A44)</f>
        <v>11</v>
      </c>
      <c r="E44" s="48">
        <f>STATES!D6</f>
        <v>60</v>
      </c>
      <c r="F44" s="120">
        <f>COUNTIFS(ANNUITIES!K2:K1000,A44,ANNUITIES!C2:C1000,"&lt;&gt;x")</f>
        <v>6</v>
      </c>
      <c r="G44" s="229">
        <f>SUMIFS(ANNUITIES!F2:F1000,ANNUITIES!K2:K1000,A44,ANNUITIES!C2:C1000,"&lt;&gt;x")</f>
        <v>165158.39999999999</v>
      </c>
      <c r="H44" s="120">
        <f>COUNTIFS(ANNUITIES!K2:K1000,A44)</f>
        <v>11</v>
      </c>
      <c r="I44" s="228">
        <f>SUMIF(ANNUITIES!K2:K1000,A44,ANNUITIES!F2:F1000)</f>
        <v>285158.40000000002</v>
      </c>
      <c r="M44" s="891"/>
    </row>
    <row r="45" spans="1:18" ht="24.6" customHeight="1">
      <c r="A45" s="121" t="str">
        <f>STATES!A7</f>
        <v>NY</v>
      </c>
      <c r="B45" s="120">
        <f>STATES!B7+STATES!C7</f>
        <v>151</v>
      </c>
      <c r="C45" s="48">
        <f ca="1">STATES!F7+STATES!G7</f>
        <v>125</v>
      </c>
      <c r="D45" s="120">
        <f>COUNTIFS(TOTAL!J:J,"X",TOTAL!BO:BO,"&lt;&gt;x",TOTAL!P:P,"TFP_MEMBERSHIP",TOTAL!AN:AN,A45)+COUNTIFS(TOTAL!N:N,"x",TOTAL!BO:BO,"&lt;&gt;x",TOTAL!P:P,"TFP_MEMBERSHIP",TOTAL!AN:AN,A45)+COUNTIFS(TOTAL!L:L,"x",TOTAL!BO:BO,"&lt;&gt;x",TOTAL!P:P,"TFP_MEMBERSHIP",TOTAL!AN:AN,A45)</f>
        <v>4</v>
      </c>
      <c r="E45" s="48">
        <f>STATES!D7</f>
        <v>55</v>
      </c>
      <c r="F45" s="120">
        <f>COUNTIFS(ANNUITIES!K2:K1000,A45,ANNUITIES!C2:C1000,"&lt;&gt;x")</f>
        <v>16</v>
      </c>
      <c r="G45" s="229">
        <f>SUMIFS(ANNUITIES!F2:F1000,ANNUITIES!K2:K1000,A45,ANNUITIES!C2:C1000,"&lt;&gt;x")</f>
        <v>324856.56</v>
      </c>
      <c r="H45" s="120">
        <f>COUNTIFS(ANNUITIES!K2:K1000,A45)</f>
        <v>19</v>
      </c>
      <c r="I45" s="228">
        <f>SUMIF(ANNUITIES!K2:K1000,A45,ANNUITIES!F2:F1000)</f>
        <v>355313.62</v>
      </c>
      <c r="M45" s="891"/>
    </row>
    <row r="46" spans="1:18" ht="24.6" customHeight="1">
      <c r="A46" s="121" t="str">
        <f>STATES!A8</f>
        <v>TX</v>
      </c>
      <c r="B46" s="120">
        <f>STATES!B8+STATES!C8</f>
        <v>199</v>
      </c>
      <c r="C46" s="48">
        <f ca="1">STATES!F8+STATES!G8</f>
        <v>165</v>
      </c>
      <c r="D46" s="120">
        <f>COUNTIFS(TOTAL!J:J,"X",TOTAL!BO:BO,"&lt;&gt;x",TOTAL!P:P,"TFP_MEMBERSHIP",TOTAL!AN:AN,A46)+COUNTIFS(TOTAL!N:N,"x",TOTAL!BO:BO,"&lt;&gt;x",TOTAL!P:P,"TFP_MEMBERSHIP",TOTAL!AN:AN,A46)+COUNTIFS(TOTAL!L:L,"x",TOTAL!BO:BO,"&lt;&gt;x",TOTAL!P:P,"TFP_MEMBERSHIP",TOTAL!AN:AN,A46)</f>
        <v>7</v>
      </c>
      <c r="E46" s="48">
        <f>STATES!D8</f>
        <v>60</v>
      </c>
      <c r="F46" s="120">
        <f>COUNTIFS(ANNUITIES!K2:K1000,A46,ANNUITIES!C2:C1000,"&lt;&gt;x")</f>
        <v>20</v>
      </c>
      <c r="G46" s="229">
        <f>SUMIFS(ANNUITIES!F2:F1000,ANNUITIES!K2:K1000,A46,ANNUITIES!C2:C1000,"&lt;&gt;x")</f>
        <v>300932.65000000002</v>
      </c>
      <c r="H46" s="120">
        <f>COUNTIFS(ANNUITIES!K2:K1000,A46)</f>
        <v>29</v>
      </c>
      <c r="I46" s="228">
        <f>SUMIF(ANNUITIES!K2:K1000,A46,ANNUITIES!F2:F1000)</f>
        <v>590932.65</v>
      </c>
      <c r="M46" s="891"/>
    </row>
    <row r="47" spans="1:18" ht="24.6" customHeight="1">
      <c r="A47" s="121" t="str">
        <f>STATES!A9</f>
        <v>VA</v>
      </c>
      <c r="B47" s="120">
        <f>STATES!B9+STATES!C9</f>
        <v>142</v>
      </c>
      <c r="C47" s="48">
        <f ca="1">STATES!F9+STATES!G9</f>
        <v>119</v>
      </c>
      <c r="D47" s="120">
        <f>COUNTIFS(TOTAL!J:J,"X",TOTAL!BO:BO,"&lt;&gt;x",TOTAL!P:P,"TFP_MEMBERSHIP",TOTAL!AN:AN,A47)+COUNTIFS(TOTAL!N:N,"x",TOTAL!BO:BO,"&lt;&gt;x",TOTAL!P:P,"TFP_MEMBERSHIP",TOTAL!AN:AN,A47)+COUNTIFS(TOTAL!L:L,"x",TOTAL!BO:BO,"&lt;&gt;x",TOTAL!P:P,"TFP_MEMBERSHIP",TOTAL!AN:AN,A47)</f>
        <v>14</v>
      </c>
      <c r="E47" s="48">
        <f>STATES!D9</f>
        <v>64</v>
      </c>
      <c r="F47" s="120">
        <f>COUNTIFS(ANNUITIES!K2:K1000,A47,ANNUITIES!C2:C1000,"&lt;&gt;x")</f>
        <v>10</v>
      </c>
      <c r="G47" s="229">
        <f>SUMIFS(ANNUITIES!F2:F1000,ANNUITIES!K2:K1000,A47,ANNUITIES!C2:C1000,"&lt;&gt;x")</f>
        <v>122437.5</v>
      </c>
      <c r="H47" s="120">
        <f>COUNTIFS(ANNUITIES!K2:K1000,A47)</f>
        <v>15</v>
      </c>
      <c r="I47" s="228">
        <f>SUMIF(ANNUITIES!K2:K1000,A47,ANNUITIES!F2:F1000)</f>
        <v>172437.5</v>
      </c>
      <c r="M47" s="891"/>
    </row>
    <row r="48" spans="1:18" ht="24.6" customHeight="1">
      <c r="A48" s="121" t="str">
        <f>STATES!A10</f>
        <v>WA</v>
      </c>
      <c r="B48" s="120">
        <f>STATES!B10+STATES!C10</f>
        <v>163</v>
      </c>
      <c r="C48" s="48">
        <f ca="1">STATES!F10+STATES!G10</f>
        <v>142</v>
      </c>
      <c r="D48" s="120">
        <f>COUNTIFS(TOTAL!J:J,"X",TOTAL!BO:BO,"&lt;&gt;x",TOTAL!P:P,"TFP_MEMBERSHIP",TOTAL!AN:AN,A48)+COUNTIFS(TOTAL!N:N,"x",TOTAL!BO:BO,"&lt;&gt;x",TOTAL!P:P,"TFP_MEMBERSHIP",TOTAL!AN:AN,A48)+COUNTIFS(TOTAL!L:L,"x",TOTAL!BO:BO,"&lt;&gt;x",TOTAL!P:P,"TFP_MEMBERSHIP",TOTAL!AN:AN,A48)</f>
        <v>17</v>
      </c>
      <c r="E48" s="48">
        <f>STATES!D10</f>
        <v>92</v>
      </c>
      <c r="F48" s="120">
        <f>COUNTIFS(ANNUITIES!K2:K1000,A48,ANNUITIES!C2:C1000,"&lt;&gt;x")</f>
        <v>5</v>
      </c>
      <c r="G48" s="229">
        <f>SUMIFS(ANNUITIES!F2:F1000,ANNUITIES!K2:K1000,A48,ANNUITIES!C2:C1000,"&lt;&gt;x")</f>
        <v>168740</v>
      </c>
      <c r="H48" s="120">
        <f>COUNTIFS(ANNUITIES!K2:K1000,A48)</f>
        <v>9</v>
      </c>
      <c r="I48" s="228">
        <f>SUMIF(ANNUITIES!K2:K1000,A48,ANNUITIES!F2:F1000)</f>
        <v>307959.31</v>
      </c>
      <c r="M48" s="891"/>
    </row>
    <row r="49" spans="1:13" ht="24.6" customHeight="1">
      <c r="A49" s="121" t="str">
        <f>STATES!A11</f>
        <v>CO</v>
      </c>
      <c r="B49" s="120">
        <f>STATES!B11+STATES!C11</f>
        <v>110</v>
      </c>
      <c r="C49" s="48">
        <f ca="1">STATES!F11+STATES!G11</f>
        <v>99</v>
      </c>
      <c r="D49" s="120">
        <f>COUNTIFS(TOTAL!J:J,"X",TOTAL!BO:BO,"&lt;&gt;x",TOTAL!P:P,"TFP_MEMBERSHIP",TOTAL!AN:AN,A49)+COUNTIFS(TOTAL!N:N,"x",TOTAL!BO:BO,"&lt;&gt;x",TOTAL!P:P,"TFP_MEMBERSHIP",TOTAL!AN:AN,A49)+COUNTIFS(TOTAL!L:L,"x",TOTAL!BO:BO,"&lt;&gt;x",TOTAL!P:P,"TFP_MEMBERSHIP",TOTAL!AN:AN,A49)</f>
        <v>10</v>
      </c>
      <c r="E49" s="48">
        <f>STATES!D11</f>
        <v>55</v>
      </c>
      <c r="F49" s="120">
        <f>COUNTIFS(ANNUITIES!K2:K1000,A49,ANNUITIES!C2:C1000,"&lt;&gt;x")</f>
        <v>5</v>
      </c>
      <c r="G49" s="229">
        <f>SUMIFS(ANNUITIES!F2:F1000,ANNUITIES!K2:K1000,A49,ANNUITIES!C2:C1000,"&lt;&gt;x")</f>
        <v>145000</v>
      </c>
      <c r="H49" s="120">
        <f>COUNTIFS(ANNUITIES!K2:K1000,A49)</f>
        <v>6</v>
      </c>
      <c r="I49" s="228">
        <f>SUMIF(ANNUITIES!K2:K1000,A49,ANNUITIES!F2:F1000)</f>
        <v>165000</v>
      </c>
      <c r="M49" s="891"/>
    </row>
    <row r="50" spans="1:13" ht="24.6" customHeight="1">
      <c r="A50" s="121" t="str">
        <f>STATES!A12</f>
        <v>PA</v>
      </c>
      <c r="B50" s="120">
        <f>STATES!B12+STATES!C12</f>
        <v>126</v>
      </c>
      <c r="C50" s="48">
        <f ca="1">STATES!F12+STATES!G12</f>
        <v>108</v>
      </c>
      <c r="D50" s="120">
        <f>COUNTIFS(TOTAL!J:J,"X",TOTAL!BO:BO,"&lt;&gt;x",TOTAL!P:P,"TFP_MEMBERSHIP",TOTAL!AN:AN,A50)+COUNTIFS(TOTAL!N:N,"x",TOTAL!BO:BO,"&lt;&gt;x",TOTAL!P:P,"TFP_MEMBERSHIP",TOTAL!AN:AN,A50)+COUNTIFS(TOTAL!L:L,"x",TOTAL!BO:BO,"&lt;&gt;x",TOTAL!P:P,"TFP_MEMBERSHIP",TOTAL!AN:AN,A50)</f>
        <v>9</v>
      </c>
      <c r="E50" s="48">
        <f>STATES!D12</f>
        <v>67</v>
      </c>
      <c r="F50" s="120">
        <f>COUNTIFS(ANNUITIES!K2:K1000,A50,ANNUITIES!C2:C1000,"&lt;&gt;x")</f>
        <v>11</v>
      </c>
      <c r="G50" s="229">
        <f>SUMIFS(ANNUITIES!F2:F1000,ANNUITIES!K2:K1000,A50,ANNUITIES!C2:C1000,"&lt;&gt;x")</f>
        <v>167428.32</v>
      </c>
      <c r="H50" s="120">
        <f>COUNTIFS(ANNUITIES!K2:K1000,A50)</f>
        <v>16</v>
      </c>
      <c r="I50" s="228">
        <f>SUMIF(ANNUITIES!K2:K1000,A50,ANNUITIES!F2:F1000)</f>
        <v>242428.32</v>
      </c>
      <c r="M50" s="891"/>
    </row>
    <row r="51" spans="1:13" ht="24.6" customHeight="1">
      <c r="A51" s="121" t="str">
        <f>STATES!A13</f>
        <v>MI</v>
      </c>
      <c r="B51" s="120">
        <f>STATES!B13+STATES!C13</f>
        <v>153</v>
      </c>
      <c r="C51" s="48">
        <f ca="1">STATES!F13+STATES!G13</f>
        <v>128</v>
      </c>
      <c r="D51" s="120">
        <f>COUNTIFS(TOTAL!J:J,"X",TOTAL!BO:BO,"&lt;&gt;x",TOTAL!P:P,"TFP_MEMBERSHIP",TOTAL!AN:AN,A51)+COUNTIFS(TOTAL!N:N,"x",TOTAL!BO:BO,"&lt;&gt;x",TOTAL!P:P,"TFP_MEMBERSHIP",TOTAL!AN:AN,A51)+COUNTIFS(TOTAL!L:L,"x",TOTAL!BO:BO,"&lt;&gt;x",TOTAL!P:P,"TFP_MEMBERSHIP",TOTAL!AN:AN,A51)</f>
        <v>8</v>
      </c>
      <c r="E51" s="48">
        <f>STATES!D13</f>
        <v>55</v>
      </c>
      <c r="F51" s="120">
        <f>COUNTIFS(ANNUITIES!K2:K1000,A51,ANNUITIES!C2:C1000,"&lt;&gt;x")</f>
        <v>8</v>
      </c>
      <c r="G51" s="229">
        <f>SUMIFS(ANNUITIES!F2:F1000,ANNUITIES!K2:K1000,A51,ANNUITIES!C2:C1000,"&lt;&gt;x")</f>
        <v>111504.27</v>
      </c>
      <c r="H51" s="120">
        <f>COUNTIFS(ANNUITIES!K2:K1000,A51)</f>
        <v>11</v>
      </c>
      <c r="I51" s="228">
        <f>SUMIF(ANNUITIES!K2:K1000,A51,ANNUITIES!F2:F1000)</f>
        <v>156504.27000000002</v>
      </c>
      <c r="M51" s="891"/>
    </row>
    <row r="52" spans="1:13" ht="24.6" customHeight="1">
      <c r="A52" s="121" t="str">
        <f>STATES!A14</f>
        <v>MD</v>
      </c>
      <c r="B52" s="120">
        <f>STATES!B14+STATES!C14</f>
        <v>54</v>
      </c>
      <c r="C52" s="48">
        <f ca="1">STATES!F14+STATES!G14</f>
        <v>46</v>
      </c>
      <c r="D52" s="120">
        <f>COUNTIFS(TOTAL!J:J,"X",TOTAL!BO:BO,"&lt;&gt;x",TOTAL!P:P,"TFP_MEMBERSHIP",TOTAL!AN:AN,A52)+COUNTIFS(TOTAL!N:N,"x",TOTAL!BO:BO,"&lt;&gt;x",TOTAL!P:P,"TFP_MEMBERSHIP",TOTAL!AN:AN,A52)+COUNTIFS(TOTAL!L:L,"x",TOTAL!BO:BO,"&lt;&gt;x",TOTAL!P:P,"TFP_MEMBERSHIP",TOTAL!AN:AN,A52)</f>
        <v>12</v>
      </c>
      <c r="E52" s="48">
        <f>STATES!D14</f>
        <v>63</v>
      </c>
      <c r="F52" s="120">
        <f>COUNTIFS(ANNUITIES!K2:K1000,A52,ANNUITIES!C2:C1000,"&lt;&gt;x")</f>
        <v>14</v>
      </c>
      <c r="G52" s="229">
        <f>SUMIFS(ANNUITIES!F2:F1000,ANNUITIES!K2:K1000,A52,ANNUITIES!C2:C1000,"&lt;&gt;x")</f>
        <v>317271.91000000003</v>
      </c>
      <c r="H52" s="120">
        <f>COUNTIFS(ANNUITIES!K2:K1000,A52)</f>
        <v>16</v>
      </c>
      <c r="I52" s="228">
        <f>SUMIF(ANNUITIES!K2:K1000,A52,ANNUITIES!F2:F1000)</f>
        <v>337271.91000000003</v>
      </c>
      <c r="M52" s="891"/>
    </row>
    <row r="53" spans="1:13" ht="24.6" customHeight="1">
      <c r="A53" s="121" t="str">
        <f>STATES!A15</f>
        <v>MA</v>
      </c>
      <c r="B53" s="120">
        <f>STATES!B15+STATES!C15</f>
        <v>73</v>
      </c>
      <c r="C53" s="48">
        <f ca="1">STATES!F15+STATES!G15</f>
        <v>62</v>
      </c>
      <c r="D53" s="120">
        <f>COUNTIFS(TOTAL!J:J,"X",TOTAL!BO:BO,"&lt;&gt;x",TOTAL!P:P,"TFP_MEMBERSHIP",TOTAL!AN:AN,A53)+COUNTIFS(TOTAL!N:N,"x",TOTAL!BO:BO,"&lt;&gt;x",TOTAL!P:P,"TFP_MEMBERSHIP",TOTAL!AN:AN,A53)+COUNTIFS(TOTAL!L:L,"x",TOTAL!BO:BO,"&lt;&gt;x",TOTAL!P:P,"TFP_MEMBERSHIP",TOTAL!AN:AN,A53)</f>
        <v>15</v>
      </c>
      <c r="E53" s="48">
        <f>STATES!D15</f>
        <v>47</v>
      </c>
      <c r="F53" s="120">
        <f>COUNTIFS(ANNUITIES!K2:K1000,A53,ANNUITIES!C2:C1000,"&lt;&gt;x")</f>
        <v>8</v>
      </c>
      <c r="G53" s="229">
        <f>SUMIFS(ANNUITIES!F2:F1000,ANNUITIES!K2:K1000,A53,ANNUITIES!C2:C1000,"&lt;&gt;x")</f>
        <v>188995.24</v>
      </c>
      <c r="H53" s="120">
        <f>COUNTIFS(ANNUITIES!K2:K1000,A53)</f>
        <v>12</v>
      </c>
      <c r="I53" s="228">
        <f>SUMIF(ANNUITIES!K2:K1000,A53,ANNUITIES!F2:F1000)</f>
        <v>288995.24</v>
      </c>
      <c r="M53" s="891"/>
    </row>
    <row r="54" spans="1:13" ht="24.6" customHeight="1">
      <c r="A54" s="121" t="str">
        <f>STATES!A16</f>
        <v>IL</v>
      </c>
      <c r="B54" s="120">
        <f>STATES!B16+STATES!C16</f>
        <v>180</v>
      </c>
      <c r="C54" s="48">
        <f ca="1">STATES!F16+STATES!G16</f>
        <v>144</v>
      </c>
      <c r="D54" s="120">
        <f>COUNTIFS(TOTAL!J:J,"X",TOTAL!BO:BO,"&lt;&gt;x",TOTAL!P:P,"TFP_MEMBERSHIP",TOTAL!AN:AN,A54)+COUNTIFS(TOTAL!N:N,"x",TOTAL!BO:BO,"&lt;&gt;x",TOTAL!P:P,"TFP_MEMBERSHIP",TOTAL!AN:AN,A54)+COUNTIFS(TOTAL!L:L,"x",TOTAL!BO:BO,"&lt;&gt;x",TOTAL!P:P,"TFP_MEMBERSHIP",TOTAL!AN:AN,A54)</f>
        <v>8</v>
      </c>
      <c r="E54" s="48">
        <f>STATES!D16</f>
        <v>64</v>
      </c>
      <c r="F54" s="120">
        <f>COUNTIFS(ANNUITIES!K2:K1000,A54,ANNUITIES!C2:C1000,"&lt;&gt;x")</f>
        <v>4</v>
      </c>
      <c r="G54" s="229">
        <f>SUMIFS(ANNUITIES!F2:F1000,ANNUITIES!K2:K1000,A54,ANNUITIES!C2:C1000,"&lt;&gt;x")</f>
        <v>60000</v>
      </c>
      <c r="H54" s="120">
        <f>COUNTIFS(ANNUITIES!K2:K1000,A54)</f>
        <v>4</v>
      </c>
      <c r="I54" s="228">
        <f>SUMIF(ANNUITIES!K2:K1000,A54,ANNUITIES!F2:F1000)</f>
        <v>60000</v>
      </c>
      <c r="M54" s="34"/>
    </row>
    <row r="55" spans="1:13" ht="24.6" customHeight="1">
      <c r="A55" s="121" t="str">
        <f>STATES!A17</f>
        <v>MN</v>
      </c>
      <c r="B55" s="120">
        <f>STATES!B17+STATES!C17</f>
        <v>127</v>
      </c>
      <c r="C55" s="48">
        <f ca="1">STATES!F17+STATES!G17</f>
        <v>102</v>
      </c>
      <c r="D55" s="120">
        <f>COUNTIFS(TOTAL!J:J,"X",TOTAL!BO:BO,"&lt;&gt;x",TOTAL!P:P,"TFP_MEMBERSHIP",TOTAL!AN:AN,A55)+COUNTIFS(TOTAL!N:N,"x",TOTAL!BO:BO,"&lt;&gt;x",TOTAL!P:P,"TFP_MEMBERSHIP",TOTAL!AN:AN,A55)+COUNTIFS(TOTAL!L:L,"x",TOTAL!BO:BO,"&lt;&gt;x",TOTAL!P:P,"TFP_MEMBERSHIP",TOTAL!AN:AN,A55)</f>
        <v>7</v>
      </c>
      <c r="E55" s="48">
        <f>STATES!D17</f>
        <v>48</v>
      </c>
      <c r="F55" s="120">
        <f>COUNTIFS(ANNUITIES!K2:K1000,A55,ANNUITIES!C2:C1000,"&lt;&gt;x")</f>
        <v>6</v>
      </c>
      <c r="G55" s="229">
        <f>SUMIFS(ANNUITIES!F2:F1000,ANNUITIES!K2:K1000,A55,ANNUITIES!C2:C1000,"&lt;&gt;x")</f>
        <v>82960.820000000007</v>
      </c>
      <c r="H55" s="120">
        <f>COUNTIFS(ANNUITIES!K2:K1000,A55)</f>
        <v>9</v>
      </c>
      <c r="I55" s="228">
        <f>SUMIF(ANNUITIES!K2:K1000,A55,ANNUITIES!F2:F1000)</f>
        <v>122936.82</v>
      </c>
      <c r="M55" s="34"/>
    </row>
    <row r="56" spans="1:13" ht="24.6" customHeight="1">
      <c r="A56" s="121" t="str">
        <f>STATES!A18</f>
        <v>OH</v>
      </c>
      <c r="B56" s="120">
        <f>STATES!B18+STATES!C18</f>
        <v>163</v>
      </c>
      <c r="C56" s="48">
        <f ca="1">STATES!F18+STATES!G18</f>
        <v>145</v>
      </c>
      <c r="D56" s="120">
        <f>COUNTIFS(TOTAL!J:J,"X",TOTAL!BO:BO,"&lt;&gt;x",TOTAL!P:P,"TFP_MEMBERSHIP",TOTAL!AN:AN,A56)+COUNTIFS(TOTAL!N:N,"x",TOTAL!BO:BO,"&lt;&gt;x",TOTAL!P:P,"TFP_MEMBERSHIP",TOTAL!AN:AN,A56)+COUNTIFS(TOTAL!L:L,"x",TOTAL!BO:BO,"&lt;&gt;x",TOTAL!P:P,"TFP_MEMBERSHIP",TOTAL!AN:AN,A56)</f>
        <v>8</v>
      </c>
      <c r="E56" s="48">
        <f>STATES!D18</f>
        <v>57</v>
      </c>
      <c r="F56" s="120">
        <f>COUNTIFS(ANNUITIES!K2:K1000,A56,ANNUITIES!C2:C1000,"&lt;&gt;x")</f>
        <v>11</v>
      </c>
      <c r="G56" s="229">
        <f>SUMIFS(ANNUITIES!F2:F1000,ANNUITIES!K2:K1000,A56,ANNUITIES!C2:C1000,"&lt;&gt;x")</f>
        <v>244740</v>
      </c>
      <c r="H56" s="120">
        <f>COUNTIFS(ANNUITIES!K2:K1000,A56)</f>
        <v>24</v>
      </c>
      <c r="I56" s="228">
        <f>SUMIF(ANNUITIES!K2:K1000,A56,ANNUITIES!F2:F1000)</f>
        <v>506048</v>
      </c>
      <c r="M56" s="34"/>
    </row>
    <row r="57" spans="1:13" ht="24.6" customHeight="1">
      <c r="A57" s="121" t="str">
        <f>STATES!A19</f>
        <v>OR</v>
      </c>
      <c r="B57" s="120">
        <f>STATES!B19+STATES!C19</f>
        <v>86</v>
      </c>
      <c r="C57" s="48">
        <f ca="1">STATES!F19+STATES!G19</f>
        <v>77</v>
      </c>
      <c r="D57" s="120">
        <f>COUNTIFS(TOTAL!J:J,"X",TOTAL!BO:BO,"&lt;&gt;x",TOTAL!P:P,"TFP_MEMBERSHIP",TOTAL!AN:AN,A57)+COUNTIFS(TOTAL!N:N,"x",TOTAL!BO:BO,"&lt;&gt;x",TOTAL!P:P,"TFP_MEMBERSHIP",TOTAL!AN:AN,A57)+COUNTIFS(TOTAL!L:L,"x",TOTAL!BO:BO,"&lt;&gt;x",TOTAL!P:P,"TFP_MEMBERSHIP",TOTAL!AN:AN,A57)</f>
        <v>5</v>
      </c>
      <c r="E57" s="48">
        <f>STATES!D19</f>
        <v>39</v>
      </c>
      <c r="F57" s="120">
        <f>COUNTIFS(ANNUITIES!K2:K1000,A57,ANNUITIES!C2:C1000,"&lt;&gt;x")</f>
        <v>2</v>
      </c>
      <c r="G57" s="229">
        <f>SUMIFS(ANNUITIES!F2:F1000,ANNUITIES!K2:K1000,A57,ANNUITIES!C2:C1000,"&lt;&gt;x")</f>
        <v>40000</v>
      </c>
      <c r="H57" s="120">
        <f>COUNTIFS(ANNUITIES!K2:K1000,A57)</f>
        <v>3</v>
      </c>
      <c r="I57" s="228">
        <f>SUMIF(ANNUITIES!K2:K1000,A57,ANNUITIES!F2:F1000)</f>
        <v>60000</v>
      </c>
      <c r="M57" s="34"/>
    </row>
    <row r="58" spans="1:13" ht="24.6" customHeight="1">
      <c r="A58" s="121" t="str">
        <f>STATES!A20</f>
        <v>NJ</v>
      </c>
      <c r="B58" s="120">
        <f>STATES!B20+STATES!C20</f>
        <v>60</v>
      </c>
      <c r="C58" s="48">
        <f ca="1">STATES!F20+STATES!G20</f>
        <v>52</v>
      </c>
      <c r="D58" s="120">
        <f>COUNTIFS(TOTAL!J:J,"X",TOTAL!BO:BO,"&lt;&gt;x",TOTAL!P:P,"TFP_MEMBERSHIP",TOTAL!AN:AN,A58)+COUNTIFS(TOTAL!N:N,"x",TOTAL!BO:BO,"&lt;&gt;x",TOTAL!P:P,"TFP_MEMBERSHIP",TOTAL!AN:AN,A58)+COUNTIFS(TOTAL!L:L,"x",TOTAL!BO:BO,"&lt;&gt;x",TOTAL!P:P,"TFP_MEMBERSHIP",TOTAL!AN:AN,A58)</f>
        <v>4</v>
      </c>
      <c r="E58" s="48">
        <f>STATES!D20</f>
        <v>29</v>
      </c>
      <c r="F58" s="120">
        <f>COUNTIFS(ANNUITIES!K2:K1000,A58,ANNUITIES!C2:C1000,"&lt;&gt;x")</f>
        <v>11</v>
      </c>
      <c r="G58" s="229">
        <f>SUMIFS(ANNUITIES!F2:F1000,ANNUITIES!K2:K1000,A58,ANNUITIES!C2:C1000,"&lt;&gt;x")</f>
        <v>509113.53</v>
      </c>
      <c r="H58" s="120">
        <f>COUNTIFS(ANNUITIES!K2:K1000,A58)</f>
        <v>14</v>
      </c>
      <c r="I58" s="228">
        <f>SUMIF(ANNUITIES!K2:K1000,A58,ANNUITIES!F2:F1000)</f>
        <v>549113.53</v>
      </c>
      <c r="M58" s="34"/>
    </row>
    <row r="59" spans="1:13" ht="24.6" customHeight="1">
      <c r="A59" s="121" t="str">
        <f>STATES!A21</f>
        <v>MO</v>
      </c>
      <c r="B59" s="120">
        <f>STATES!B21+STATES!C21</f>
        <v>82</v>
      </c>
      <c r="C59" s="48">
        <f ca="1">STATES!F21+STATES!G21</f>
        <v>62</v>
      </c>
      <c r="D59" s="120">
        <f>COUNTIFS(TOTAL!J:J,"X",TOTAL!BO:BO,"&lt;&gt;x",TOTAL!P:P,"TFP_MEMBERSHIP",TOTAL!AN:AN,A59)+COUNTIFS(TOTAL!N:N,"x",TOTAL!BO:BO,"&lt;&gt;x",TOTAL!P:P,"TFP_MEMBERSHIP",TOTAL!AN:AN,A59)+COUNTIFS(TOTAL!L:L,"x",TOTAL!BO:BO,"&lt;&gt;x",TOTAL!P:P,"TFP_MEMBERSHIP",TOTAL!AN:AN,A59)</f>
        <v>6</v>
      </c>
      <c r="E59" s="48">
        <f>STATES!D21</f>
        <v>28</v>
      </c>
      <c r="F59" s="120">
        <f>COUNTIFS(ANNUITIES!K2:K1000,A59,ANNUITIES!C2:C1000,"&lt;&gt;x")</f>
        <v>2</v>
      </c>
      <c r="G59" s="229">
        <f>SUMIFS(ANNUITIES!F2:F1000,ANNUITIES!K2:K1000,A59,ANNUITIES!C2:C1000,"&lt;&gt;x")</f>
        <v>40000</v>
      </c>
      <c r="H59" s="120">
        <f>COUNTIFS(ANNUITIES!K2:K1000,A59)</f>
        <v>4</v>
      </c>
      <c r="I59" s="228">
        <f>SUMIF(ANNUITIES!K2:K1000,A59,ANNUITIES!F2:F1000)</f>
        <v>100000</v>
      </c>
      <c r="M59" s="34"/>
    </row>
    <row r="60" spans="1:13" ht="24.6" customHeight="1">
      <c r="A60" s="121" t="str">
        <f>STATES!A22</f>
        <v>NC</v>
      </c>
      <c r="B60" s="120">
        <f>STATES!B22+STATES!C22</f>
        <v>99</v>
      </c>
      <c r="C60" s="48">
        <f ca="1">STATES!F22+STATES!G22</f>
        <v>86</v>
      </c>
      <c r="D60" s="120">
        <f>COUNTIFS(TOTAL!J:J,"X",TOTAL!BO:BO,"&lt;&gt;x",TOTAL!P:P,"TFP_MEMBERSHIP",TOTAL!AN:AN,A60)+COUNTIFS(TOTAL!N:N,"x",TOTAL!BO:BO,"&lt;&gt;x",TOTAL!P:P,"TFP_MEMBERSHIP",TOTAL!AN:AN,A60)+COUNTIFS(TOTAL!L:L,"x",TOTAL!BO:BO,"&lt;&gt;x",TOTAL!P:P,"TFP_MEMBERSHIP",TOTAL!AN:AN,A60)</f>
        <v>13</v>
      </c>
      <c r="E60" s="48">
        <f>STATES!D22</f>
        <v>56</v>
      </c>
      <c r="F60" s="120">
        <f>COUNTIFS(ANNUITIES!K2:K1000,A60,ANNUITIES!C2:C1000,"&lt;&gt;x")</f>
        <v>4</v>
      </c>
      <c r="G60" s="229">
        <f>SUMIFS(ANNUITIES!F2:F1000,ANNUITIES!K2:K1000,A60,ANNUITIES!C2:C1000,"&lt;&gt;x")</f>
        <v>570000</v>
      </c>
      <c r="H60" s="120">
        <f>COUNTIFS(ANNUITIES!K2:K1000,A60)</f>
        <v>5</v>
      </c>
      <c r="I60" s="228">
        <f>SUMIF(ANNUITIES!K2:K1000,A60,ANNUITIES!F2:F1000)</f>
        <v>580000</v>
      </c>
      <c r="M60" s="34"/>
    </row>
    <row r="61" spans="1:13" ht="24.6" customHeight="1">
      <c r="A61" s="121" t="str">
        <f>STATES!A23</f>
        <v>NM</v>
      </c>
      <c r="B61" s="120">
        <f>STATES!B23+STATES!C23</f>
        <v>41</v>
      </c>
      <c r="C61" s="48">
        <f ca="1">STATES!F23+STATES!G23</f>
        <v>32</v>
      </c>
      <c r="D61" s="120">
        <f>COUNTIFS(TOTAL!J:J,"X",TOTAL!BO:BO,"&lt;&gt;x",TOTAL!P:P,"TFP_MEMBERSHIP",TOTAL!AN:AN,A61)+COUNTIFS(TOTAL!N:N,"x",TOTAL!BO:BO,"&lt;&gt;x",TOTAL!P:P,"TFP_MEMBERSHIP",TOTAL!AN:AN,A61)+COUNTIFS(TOTAL!L:L,"x",TOTAL!BO:BO,"&lt;&gt;x",TOTAL!P:P,"TFP_MEMBERSHIP",TOTAL!AN:AN,A61)</f>
        <v>4</v>
      </c>
      <c r="E61" s="48">
        <f>STATES!D23</f>
        <v>32</v>
      </c>
      <c r="F61" s="120">
        <f>COUNTIFS(ANNUITIES!K2:K1000,A61,ANNUITIES!C2:C1000,"&lt;&gt;x")</f>
        <v>5</v>
      </c>
      <c r="G61" s="229">
        <f>SUMIFS(ANNUITIES!F2:F1000,ANNUITIES!K2:K1000,A61,ANNUITIES!C2:C1000,"&lt;&gt;x")</f>
        <v>200000</v>
      </c>
      <c r="H61" s="120">
        <f>COUNTIFS(ANNUITIES!K2:K1000,A61)</f>
        <v>5</v>
      </c>
      <c r="I61" s="228">
        <f>SUMIF(ANNUITIES!K2:K1000,A61,ANNUITIES!F2:F1000)</f>
        <v>200000</v>
      </c>
      <c r="M61" s="34"/>
    </row>
    <row r="62" spans="1:13" ht="24.6" customHeight="1">
      <c r="A62" s="121" t="str">
        <f>STATES!A24</f>
        <v>IA</v>
      </c>
      <c r="B62" s="120">
        <f>STATES!B24+STATES!C24</f>
        <v>65</v>
      </c>
      <c r="C62" s="48">
        <f ca="1">STATES!F24+STATES!G24</f>
        <v>56</v>
      </c>
      <c r="D62" s="120">
        <f>COUNTIFS(TOTAL!J:J,"X",TOTAL!BO:BO,"&lt;&gt;x",TOTAL!P:P,"TFP_MEMBERSHIP",TOTAL!AN:AN,A62)+COUNTIFS(TOTAL!N:N,"x",TOTAL!BO:BO,"&lt;&gt;x",TOTAL!P:P,"TFP_MEMBERSHIP",TOTAL!AN:AN,A62)+COUNTIFS(TOTAL!L:L,"x",TOTAL!BO:BO,"&lt;&gt;x",TOTAL!P:P,"TFP_MEMBERSHIP",TOTAL!AN:AN,A62)</f>
        <v>4</v>
      </c>
      <c r="E62" s="48">
        <f>STATES!D24</f>
        <v>25</v>
      </c>
      <c r="F62" s="120">
        <f>COUNTIFS(ANNUITIES!K2:K1000,A62,ANNUITIES!C2:C1000,"&lt;&gt;x")</f>
        <v>15</v>
      </c>
      <c r="G62" s="229">
        <f>SUMIFS(ANNUITIES!F2:F1000,ANNUITIES!K2:K1000,A62,ANNUITIES!C2:C1000,"&lt;&gt;x")</f>
        <v>225000</v>
      </c>
      <c r="H62" s="120">
        <f>COUNTIFS(ANNUITIES!K2:K1000,A62)</f>
        <v>16</v>
      </c>
      <c r="I62" s="228">
        <f>SUMIF(ANNUITIES!K2:K1000,A62,ANNUITIES!F2:F1000)</f>
        <v>235000</v>
      </c>
      <c r="M62" s="34"/>
    </row>
    <row r="63" spans="1:13" ht="24.6" customHeight="1">
      <c r="A63" s="121" t="str">
        <f>STATES!A25</f>
        <v>GA</v>
      </c>
      <c r="B63" s="120">
        <f>STATES!B25+STATES!C25</f>
        <v>46</v>
      </c>
      <c r="C63" s="48">
        <f ca="1">STATES!F25+STATES!G25</f>
        <v>37</v>
      </c>
      <c r="D63" s="120">
        <f>COUNTIFS(TOTAL!J:J,"X",TOTAL!BO:BO,"&lt;&gt;x",TOTAL!P:P,"TFP_MEMBERSHIP",TOTAL!AN:AN,A63)+COUNTIFS(TOTAL!N:N,"x",TOTAL!BO:BO,"&lt;&gt;x",TOTAL!P:P,"TFP_MEMBERSHIP",TOTAL!AN:AN,A63)+COUNTIFS(TOTAL!L:L,"x",TOTAL!BO:BO,"&lt;&gt;x",TOTAL!P:P,"TFP_MEMBERSHIP",TOTAL!AN:AN,A63)</f>
        <v>3</v>
      </c>
      <c r="E63" s="48">
        <f>STATES!D25</f>
        <v>28</v>
      </c>
      <c r="F63" s="120">
        <f>COUNTIFS(ANNUITIES!K2:K1000,A63,ANNUITIES!C2:C1000,"&lt;&gt;x")</f>
        <v>4</v>
      </c>
      <c r="G63" s="229">
        <f>SUMIFS(ANNUITIES!F2:F1000,ANNUITIES!K2:K1000,A63,ANNUITIES!C2:C1000,"&lt;&gt;x")</f>
        <v>85341.98</v>
      </c>
      <c r="H63" s="120">
        <f>COUNTIFS(ANNUITIES!K2:K1000,A63)</f>
        <v>4</v>
      </c>
      <c r="I63" s="228">
        <f>SUMIF(ANNUITIES!K2:K1000,A63,ANNUITIES!F2:F1000)</f>
        <v>85341.98</v>
      </c>
      <c r="M63" s="34"/>
    </row>
    <row r="64" spans="1:13" ht="24.6" customHeight="1">
      <c r="A64" s="121" t="str">
        <f>STATES!A26</f>
        <v>WI</v>
      </c>
      <c r="B64" s="120">
        <f>STATES!B26+STATES!C26</f>
        <v>155</v>
      </c>
      <c r="C64" s="48">
        <f ca="1">STATES!F26+STATES!G26</f>
        <v>136</v>
      </c>
      <c r="D64" s="120">
        <f>COUNTIFS(TOTAL!J:J,"X",TOTAL!BO:BO,"&lt;&gt;x",TOTAL!P:P,"TFP_MEMBERSHIP",TOTAL!AN:AN,A64)+COUNTIFS(TOTAL!N:N,"x",TOTAL!BO:BO,"&lt;&gt;x",TOTAL!P:P,"TFP_MEMBERSHIP",TOTAL!AN:AN,A64)+COUNTIFS(TOTAL!L:L,"x",TOTAL!BO:BO,"&lt;&gt;x",TOTAL!P:P,"TFP_MEMBERSHIP",TOTAL!AN:AN,A64)</f>
        <v>2</v>
      </c>
      <c r="E64" s="48">
        <f>STATES!D26</f>
        <v>37</v>
      </c>
      <c r="F64" s="120">
        <f>COUNTIFS(ANNUITIES!K2:K1000,A64,ANNUITIES!C2:C1000,"&lt;&gt;x")</f>
        <v>5</v>
      </c>
      <c r="G64" s="229">
        <f>SUMIFS(ANNUITIES!F2:F1000,ANNUITIES!K2:K1000,A64,ANNUITIES!C2:C1000,"&lt;&gt;x")</f>
        <v>71142.899999999994</v>
      </c>
      <c r="H64" s="120">
        <f>COUNTIFS(ANNUITIES!K2:K1000,A64)</f>
        <v>5</v>
      </c>
      <c r="I64" s="228">
        <f>SUMIF(ANNUITIES!K2:K1000,A64,ANNUITIES!F2:F1000)</f>
        <v>71142.899999999994</v>
      </c>
      <c r="M64" s="34"/>
    </row>
    <row r="65" spans="1:13" ht="24.6" customHeight="1">
      <c r="A65" s="121" t="str">
        <f>STATES!A27</f>
        <v>DC</v>
      </c>
      <c r="B65" s="120">
        <f>STATES!B27+STATES!C27</f>
        <v>9</v>
      </c>
      <c r="C65" s="48">
        <f ca="1">STATES!F27+STATES!G27</f>
        <v>7</v>
      </c>
      <c r="D65" s="120">
        <f>COUNTIFS(TOTAL!J:J,"X",TOTAL!BO:BO,"&lt;&gt;x",TOTAL!P:P,"TFP_MEMBERSHIP",TOTAL!AN:AN,A65)+COUNTIFS(TOTAL!N:N,"x",TOTAL!BO:BO,"&lt;&gt;x",TOTAL!P:P,"TFP_MEMBERSHIP",TOTAL!AN:AN,A65)+COUNTIFS(TOTAL!L:L,"x",TOTAL!BO:BO,"&lt;&gt;x",TOTAL!P:P,"TFP_MEMBERSHIP",TOTAL!AN:AN,A65)</f>
        <v>4</v>
      </c>
      <c r="E65" s="48">
        <f>STATES!D27</f>
        <v>16</v>
      </c>
      <c r="F65" s="120">
        <f>COUNTIFS(ANNUITIES!K2:K1000,A65,ANNUITIES!C2:C1000,"&lt;&gt;x")</f>
        <v>1</v>
      </c>
      <c r="G65" s="229">
        <f>SUMIFS(ANNUITIES!F2:F1000,ANNUITIES!K2:K1000,A65,ANNUITIES!C2:C1000,"&lt;&gt;x")</f>
        <v>100000</v>
      </c>
      <c r="H65" s="120">
        <f>COUNTIFS(ANNUITIES!K2:K1000,A65)</f>
        <v>1</v>
      </c>
      <c r="I65" s="228">
        <f>SUMIF(ANNUITIES!K2:K1000,A65,ANNUITIES!F2:F1000)</f>
        <v>100000</v>
      </c>
      <c r="M65" s="34"/>
    </row>
    <row r="66" spans="1:13" ht="24.6" customHeight="1">
      <c r="A66" s="121" t="str">
        <f>STATES!A28</f>
        <v>CT</v>
      </c>
      <c r="B66" s="120">
        <f>STATES!B28+STATES!C28</f>
        <v>35</v>
      </c>
      <c r="C66" s="48">
        <f ca="1">STATES!F28+STATES!G28</f>
        <v>34</v>
      </c>
      <c r="D66" s="120">
        <f>COUNTIFS(TOTAL!J:J,"X",TOTAL!BO:BO,"&lt;&gt;x",TOTAL!P:P,"TFP_MEMBERSHIP",TOTAL!AN:AN,A66)+COUNTIFS(TOTAL!N:N,"x",TOTAL!BO:BO,"&lt;&gt;x",TOTAL!P:P,"TFP_MEMBERSHIP",TOTAL!AN:AN,A66)+COUNTIFS(TOTAL!L:L,"x",TOTAL!BO:BO,"&lt;&gt;x",TOTAL!P:P,"TFP_MEMBERSHIP",TOTAL!AN:AN,A66)</f>
        <v>5</v>
      </c>
      <c r="E66" s="48">
        <f>STATES!D28</f>
        <v>16</v>
      </c>
      <c r="F66" s="120">
        <f>COUNTIFS(ANNUITIES!K2:K1000,A66,ANNUITIES!C2:C1000,"&lt;&gt;x")</f>
        <v>12</v>
      </c>
      <c r="G66" s="229">
        <f>SUMIFS(ANNUITIES!F2:F1000,ANNUITIES!K2:K1000,A66,ANNUITIES!C2:C1000,"&lt;&gt;x")</f>
        <v>365000</v>
      </c>
      <c r="H66" s="120">
        <f>COUNTIFS(ANNUITIES!K2:K1000,A66)</f>
        <v>14</v>
      </c>
      <c r="I66" s="228">
        <f>SUMIF(ANNUITIES!K2:K1000,A66,ANNUITIES!F2:F1000)</f>
        <v>400000</v>
      </c>
      <c r="M66" s="34"/>
    </row>
    <row r="67" spans="1:13" ht="24.6" customHeight="1">
      <c r="A67" s="121" t="str">
        <f>STATES!A29</f>
        <v>TN</v>
      </c>
      <c r="B67" s="120">
        <f>STATES!B29+STATES!C29</f>
        <v>67</v>
      </c>
      <c r="C67" s="48">
        <f ca="1">STATES!F29+STATES!G29</f>
        <v>58</v>
      </c>
      <c r="D67" s="120">
        <f>COUNTIFS(TOTAL!J:J,"X",TOTAL!BO:BO,"&lt;&gt;x",TOTAL!P:P,"TFP_MEMBERSHIP",TOTAL!AN:AN,A67)+COUNTIFS(TOTAL!N:N,"x",TOTAL!BO:BO,"&lt;&gt;x",TOTAL!P:P,"TFP_MEMBERSHIP",TOTAL!AN:AN,A67)+COUNTIFS(TOTAL!L:L,"x",TOTAL!BO:BO,"&lt;&gt;x",TOTAL!P:P,"TFP_MEMBERSHIP",TOTAL!AN:AN,A67)</f>
        <v>3</v>
      </c>
      <c r="E67" s="48">
        <f>STATES!D29</f>
        <v>27</v>
      </c>
      <c r="F67" s="120">
        <f>COUNTIFS(ANNUITIES!K2:K1000,A67,ANNUITIES!C2:C1000,"&lt;&gt;x")</f>
        <v>2</v>
      </c>
      <c r="G67" s="229">
        <f>SUMIFS(ANNUITIES!F2:F1000,ANNUITIES!K2:K1000,A67,ANNUITIES!C2:C1000,"&lt;&gt;x")</f>
        <v>22000</v>
      </c>
      <c r="H67" s="120">
        <f>COUNTIFS(ANNUITIES!K2:K1000,A67)</f>
        <v>3</v>
      </c>
      <c r="I67" s="228">
        <f>SUMIF(ANNUITIES!K2:K1000,A67,ANNUITIES!F2:F1000)</f>
        <v>32000</v>
      </c>
      <c r="M67" s="34"/>
    </row>
    <row r="68" spans="1:13" ht="24.6" customHeight="1">
      <c r="A68" s="121" t="str">
        <f>STATES!A30</f>
        <v>IN</v>
      </c>
      <c r="B68" s="120">
        <f>STATES!B30+STATES!C30</f>
        <v>76</v>
      </c>
      <c r="C68" s="48">
        <f ca="1">STATES!F30+STATES!G30</f>
        <v>59</v>
      </c>
      <c r="D68" s="120">
        <f>COUNTIFS(TOTAL!J:J,"X",TOTAL!BO:BO,"&lt;&gt;x",TOTAL!P:P,"TFP_MEMBERSHIP",TOTAL!AN:AN,A68)+COUNTIFS(TOTAL!N:N,"x",TOTAL!BO:BO,"&lt;&gt;x",TOTAL!P:P,"TFP_MEMBERSHIP",TOTAL!AN:AN,A68)+COUNTIFS(TOTAL!L:L,"x",TOTAL!BO:BO,"&lt;&gt;x",TOTAL!P:P,"TFP_MEMBERSHIP",TOTAL!AN:AN,A68)</f>
        <v>4</v>
      </c>
      <c r="E68" s="48">
        <f>STATES!D30</f>
        <v>25</v>
      </c>
      <c r="F68" s="120">
        <f>COUNTIFS(ANNUITIES!K2:K1000,A68,ANNUITIES!C2:C1000,"&lt;&gt;x")</f>
        <v>0</v>
      </c>
      <c r="G68" s="229">
        <f>SUMIFS(ANNUITIES!F2:F1000,ANNUITIES!K2:K1000,A68,ANNUITIES!C2:C1000,"&lt;&gt;x")</f>
        <v>0</v>
      </c>
      <c r="H68" s="120">
        <f>COUNTIFS(ANNUITIES!K2:K1000,A68)</f>
        <v>2</v>
      </c>
      <c r="I68" s="228">
        <f>SUMIF(ANNUITIES!K2:K1000,A68,ANNUITIES!F2:F1000)</f>
        <v>20000</v>
      </c>
      <c r="M68" s="34"/>
    </row>
    <row r="69" spans="1:13" ht="24.6" customHeight="1">
      <c r="A69" s="121" t="str">
        <f>STATES!A31</f>
        <v>SC</v>
      </c>
      <c r="B69" s="120">
        <f>STATES!B31+STATES!C31</f>
        <v>46</v>
      </c>
      <c r="C69" s="48">
        <f ca="1">STATES!F31+STATES!G31</f>
        <v>44</v>
      </c>
      <c r="D69" s="120">
        <f>COUNTIFS(TOTAL!J:J,"X",TOTAL!BO:BO,"&lt;&gt;x",TOTAL!P:P,"TFP_MEMBERSHIP",TOTAL!AN:AN,A69)+COUNTIFS(TOTAL!N:N,"x",TOTAL!BO:BO,"&lt;&gt;x",TOTAL!P:P,"TFP_MEMBERSHIP",TOTAL!AN:AN,A69)+COUNTIFS(TOTAL!L:L,"x",TOTAL!BO:BO,"&lt;&gt;x",TOTAL!P:P,"TFP_MEMBERSHIP",TOTAL!AN:AN,A69)</f>
        <v>0</v>
      </c>
      <c r="E69" s="48">
        <f>STATES!D31</f>
        <v>17</v>
      </c>
      <c r="F69" s="120">
        <f>COUNTIFS(ANNUITIES!K2:K1000,A69,ANNUITIES!C2:C1000,"&lt;&gt;x")</f>
        <v>1</v>
      </c>
      <c r="G69" s="229">
        <f>SUMIFS(ANNUITIES!F2:F1000,ANNUITIES!K2:K1000,A69,ANNUITIES!C2:C1000,"&lt;&gt;x")</f>
        <v>10000</v>
      </c>
      <c r="H69" s="120">
        <f>COUNTIFS(ANNUITIES!K2:K1000,A69)</f>
        <v>1</v>
      </c>
      <c r="I69" s="228">
        <f>SUMIF(ANNUITIES!K2:K1000,A69,ANNUITIES!F2:F1000)</f>
        <v>10000</v>
      </c>
      <c r="M69" s="34"/>
    </row>
    <row r="70" spans="1:13" ht="24.6" customHeight="1">
      <c r="A70" s="121" t="str">
        <f>STATES!A32</f>
        <v>NV</v>
      </c>
      <c r="B70" s="120">
        <f>STATES!B32+STATES!C32</f>
        <v>24</v>
      </c>
      <c r="C70" s="48">
        <f ca="1">STATES!F32+STATES!G32</f>
        <v>24</v>
      </c>
      <c r="D70" s="120">
        <f>COUNTIFS(TOTAL!J:J,"X",TOTAL!BO:BO,"&lt;&gt;x",TOTAL!P:P,"TFP_MEMBERSHIP",TOTAL!AN:AN,A70)+COUNTIFS(TOTAL!N:N,"x",TOTAL!BO:BO,"&lt;&gt;x",TOTAL!P:P,"TFP_MEMBERSHIP",TOTAL!AN:AN,A70)+COUNTIFS(TOTAL!L:L,"x",TOTAL!BO:BO,"&lt;&gt;x",TOTAL!P:P,"TFP_MEMBERSHIP",TOTAL!AN:AN,A70)</f>
        <v>1</v>
      </c>
      <c r="E70" s="48">
        <f>STATES!D32</f>
        <v>14</v>
      </c>
      <c r="F70" s="120">
        <f>COUNTIFS(ANNUITIES!K2:K1000,A70,ANNUITIES!C2:C1000,"&lt;&gt;x")</f>
        <v>0</v>
      </c>
      <c r="G70" s="229">
        <f>SUMIFS(ANNUITIES!F2:F1000,ANNUITIES!K2:K1000,A70,ANNUITIES!C2:C1000,"&lt;&gt;x")</f>
        <v>0</v>
      </c>
      <c r="H70" s="120">
        <f>COUNTIFS(ANNUITIES!K2:K1000,A70)</f>
        <v>0</v>
      </c>
      <c r="I70" s="228">
        <f>SUMIF(ANNUITIES!K2:K1000,A70,ANNUITIES!F2:F1000)</f>
        <v>0</v>
      </c>
      <c r="M70" s="34"/>
    </row>
    <row r="71" spans="1:13" ht="24.6" customHeight="1">
      <c r="A71" s="121" t="str">
        <f>STATES!A33</f>
        <v>KY</v>
      </c>
      <c r="B71" s="120">
        <f>STATES!B33+STATES!C33</f>
        <v>29</v>
      </c>
      <c r="C71" s="48">
        <f ca="1">STATES!F33+STATES!G33</f>
        <v>24</v>
      </c>
      <c r="D71" s="120">
        <f>COUNTIFS(TOTAL!J:J,"X",TOTAL!BO:BO,"&lt;&gt;x",TOTAL!P:P,"TFP_MEMBERSHIP",TOTAL!AN:AN,A71)+COUNTIFS(TOTAL!N:N,"x",TOTAL!BO:BO,"&lt;&gt;x",TOTAL!P:P,"TFP_MEMBERSHIP",TOTAL!AN:AN,A71)+COUNTIFS(TOTAL!L:L,"x",TOTAL!BO:BO,"&lt;&gt;x",TOTAL!P:P,"TFP_MEMBERSHIP",TOTAL!AN:AN,A71)</f>
        <v>1</v>
      </c>
      <c r="E71" s="48">
        <f>STATES!D33</f>
        <v>10</v>
      </c>
      <c r="F71" s="120">
        <f>COUNTIFS(ANNUITIES!K2:K1000,A71,ANNUITIES!C2:C1000,"&lt;&gt;x")</f>
        <v>0</v>
      </c>
      <c r="G71" s="229">
        <f>SUMIFS(ANNUITIES!F2:F1000,ANNUITIES!K2:K1000,A71,ANNUITIES!C2:C1000,"&lt;&gt;x")</f>
        <v>0</v>
      </c>
      <c r="H71" s="120">
        <f>COUNTIFS(ANNUITIES!K2:K1000,A71)</f>
        <v>0</v>
      </c>
      <c r="I71" s="228">
        <f>SUMIF(ANNUITIES!K2:K1000,A71,ANNUITIES!F2:F1000)</f>
        <v>0</v>
      </c>
      <c r="M71" s="34"/>
    </row>
    <row r="72" spans="1:13" ht="24.6" customHeight="1">
      <c r="A72" s="121" t="str">
        <f>STATES!A34</f>
        <v>WV</v>
      </c>
      <c r="B72" s="120">
        <f>STATES!B34+STATES!C34</f>
        <v>16</v>
      </c>
      <c r="C72" s="48">
        <f ca="1">STATES!F34+STATES!G34</f>
        <v>16</v>
      </c>
      <c r="D72" s="120">
        <f>COUNTIFS(TOTAL!J:J,"X",TOTAL!BO:BO,"&lt;&gt;x",TOTAL!P:P,"TFP_MEMBERSHIP",TOTAL!AN:AN,A72)+COUNTIFS(TOTAL!N:N,"x",TOTAL!BO:BO,"&lt;&gt;x",TOTAL!P:P,"TFP_MEMBERSHIP",TOTAL!AN:AN,A72)+COUNTIFS(TOTAL!L:L,"x",TOTAL!BO:BO,"&lt;&gt;x",TOTAL!P:P,"TFP_MEMBERSHIP",TOTAL!AN:AN,A72)</f>
        <v>4</v>
      </c>
      <c r="E72" s="48">
        <f>STATES!D34</f>
        <v>10</v>
      </c>
      <c r="F72" s="120">
        <f>COUNTIFS(ANNUITIES!K2:K1000,A72,ANNUITIES!C2:C1000,"&lt;&gt;x")</f>
        <v>2</v>
      </c>
      <c r="G72" s="229">
        <f>SUMIFS(ANNUITIES!F2:F1000,ANNUITIES!K2:K1000,A72,ANNUITIES!C2:C1000,"&lt;&gt;x")</f>
        <v>20000</v>
      </c>
      <c r="H72" s="120">
        <f>COUNTIFS(ANNUITIES!K2:K1000,A72)</f>
        <v>2</v>
      </c>
      <c r="I72" s="228">
        <f>SUMIF(ANNUITIES!K2:K1000,A72,ANNUITIES!F2:F1000)</f>
        <v>20000</v>
      </c>
      <c r="M72" s="34"/>
    </row>
    <row r="73" spans="1:13" ht="24.6" customHeight="1">
      <c r="A73" s="121" t="str">
        <f>STATES!A35</f>
        <v>DE</v>
      </c>
      <c r="B73" s="120">
        <f>STATES!B35+STATES!C35</f>
        <v>5</v>
      </c>
      <c r="C73" s="48">
        <f ca="1">STATES!F35+STATES!G35</f>
        <v>4</v>
      </c>
      <c r="D73" s="120">
        <f>COUNTIFS(TOTAL!J:J,"X",TOTAL!BO:BO,"&lt;&gt;x",TOTAL!P:P,"TFP_MEMBERSHIP",TOTAL!AN:AN,A73)+COUNTIFS(TOTAL!N:N,"x",TOTAL!BO:BO,"&lt;&gt;x",TOTAL!P:P,"TFP_MEMBERSHIP",TOTAL!AN:AN,A73)+COUNTIFS(TOTAL!L:L,"x",TOTAL!BO:BO,"&lt;&gt;x",TOTAL!P:P,"TFP_MEMBERSHIP",TOTAL!AN:AN,A73)</f>
        <v>0</v>
      </c>
      <c r="E73" s="48">
        <f>STATES!D35</f>
        <v>12</v>
      </c>
      <c r="F73" s="120">
        <f>COUNTIFS(ANNUITIES!K2:K1000,A73,ANNUITIES!C2:C1000,"&lt;&gt;x")</f>
        <v>2</v>
      </c>
      <c r="G73" s="229">
        <f>SUMIFS(ANNUITIES!F2:F1000,ANNUITIES!K2:K1000,A73,ANNUITIES!C2:C1000,"&lt;&gt;x")</f>
        <v>60000</v>
      </c>
      <c r="H73" s="120">
        <f>COUNTIFS(ANNUITIES!K2:K1000,A73)</f>
        <v>3</v>
      </c>
      <c r="I73" s="228">
        <f>SUMIF(ANNUITIES!K2:K1000,A73,ANNUITIES!F2:F1000)</f>
        <v>71371</v>
      </c>
      <c r="M73" s="34"/>
    </row>
    <row r="74" spans="1:13" ht="24.6" customHeight="1">
      <c r="A74" s="121" t="str">
        <f>STATES!A36</f>
        <v>AL</v>
      </c>
      <c r="B74" s="120">
        <f>STATES!B36+STATES!C36</f>
        <v>17</v>
      </c>
      <c r="C74" s="48">
        <f ca="1">STATES!F36+STATES!G36</f>
        <v>15</v>
      </c>
      <c r="D74" s="120">
        <f>COUNTIFS(TOTAL!J:J,"X",TOTAL!BO:BO,"&lt;&gt;x",TOTAL!P:P,"TFP_MEMBERSHIP",TOTAL!AN:AN,A74)+COUNTIFS(TOTAL!N:N,"x",TOTAL!BO:BO,"&lt;&gt;x",TOTAL!P:P,"TFP_MEMBERSHIP",TOTAL!AN:AN,A74)+COUNTIFS(TOTAL!L:L,"x",TOTAL!BO:BO,"&lt;&gt;x",TOTAL!P:P,"TFP_MEMBERSHIP",TOTAL!AN:AN,A74)</f>
        <v>2</v>
      </c>
      <c r="E74" s="48">
        <f>STATES!D36</f>
        <v>12</v>
      </c>
      <c r="F74" s="120">
        <f>COUNTIFS(ANNUITIES!K2:K1000,A74,ANNUITIES!C2:C1000,"&lt;&gt;x")</f>
        <v>3</v>
      </c>
      <c r="G74" s="229">
        <f>SUMIFS(ANNUITIES!F2:F1000,ANNUITIES!K2:K1000,A74,ANNUITIES!C2:C1000,"&lt;&gt;x")</f>
        <v>50000</v>
      </c>
      <c r="H74" s="120">
        <f>COUNTIFS(ANNUITIES!K2:K1000,A74)</f>
        <v>4</v>
      </c>
      <c r="I74" s="228">
        <f>SUMIF(ANNUITIES!K2:K1000,A74,ANNUITIES!F2:F1000)</f>
        <v>60000</v>
      </c>
      <c r="M74" s="34"/>
    </row>
    <row r="75" spans="1:13" ht="24.6" customHeight="1">
      <c r="A75" s="121" t="str">
        <f>STATES!A37</f>
        <v>ID</v>
      </c>
      <c r="B75" s="120">
        <f>STATES!B37+STATES!C37</f>
        <v>17</v>
      </c>
      <c r="C75" s="48">
        <f ca="1">STATES!F37+STATES!G37</f>
        <v>15</v>
      </c>
      <c r="D75" s="120">
        <f>COUNTIFS(TOTAL!J:J,"X",TOTAL!BO:BO,"&lt;&gt;x",TOTAL!P:P,"TFP_MEMBERSHIP",TOTAL!AN:AN,A75)+COUNTIFS(TOTAL!N:N,"x",TOTAL!BO:BO,"&lt;&gt;x",TOTAL!P:P,"TFP_MEMBERSHIP",TOTAL!AN:AN,A75)+COUNTIFS(TOTAL!L:L,"x",TOTAL!BO:BO,"&lt;&gt;x",TOTAL!P:P,"TFP_MEMBERSHIP",TOTAL!AN:AN,A75)</f>
        <v>4</v>
      </c>
      <c r="E75" s="48">
        <f>STATES!D37</f>
        <v>9</v>
      </c>
      <c r="F75" s="120">
        <f>COUNTIFS(ANNUITIES!K2:K1000,A75,ANNUITIES!C2:C1000,"&lt;&gt;x")</f>
        <v>0</v>
      </c>
      <c r="G75" s="229">
        <f>SUMIFS(ANNUITIES!F2:F1000,ANNUITIES!K2:K1000,A75,ANNUITIES!C2:C1000,"&lt;&gt;x")</f>
        <v>0</v>
      </c>
      <c r="H75" s="120">
        <f>COUNTIFS(ANNUITIES!K2:K1000,A75)</f>
        <v>1</v>
      </c>
      <c r="I75" s="228">
        <f>SUMIF(ANNUITIES!K2:K1000,A75,ANNUITIES!F2:F1000)</f>
        <v>10000</v>
      </c>
      <c r="M75" s="34"/>
    </row>
    <row r="76" spans="1:13" ht="24.6" customHeight="1">
      <c r="A76" s="121" t="str">
        <f>STATES!A38</f>
        <v>SD</v>
      </c>
      <c r="B76" s="120">
        <f>STATES!B38+STATES!C38</f>
        <v>14</v>
      </c>
      <c r="C76" s="48">
        <f ca="1">STATES!F38+STATES!G38</f>
        <v>9</v>
      </c>
      <c r="D76" s="120">
        <f>COUNTIFS(TOTAL!J:J,"X",TOTAL!BO:BO,"&lt;&gt;x",TOTAL!P:P,"TFP_MEMBERSHIP",TOTAL!AN:AN,A76)+COUNTIFS(TOTAL!N:N,"x",TOTAL!BO:BO,"&lt;&gt;x",TOTAL!P:P,"TFP_MEMBERSHIP",TOTAL!AN:AN,A76)+COUNTIFS(TOTAL!L:L,"x",TOTAL!BO:BO,"&lt;&gt;x",TOTAL!P:P,"TFP_MEMBERSHIP",TOTAL!AN:AN,A76)</f>
        <v>0</v>
      </c>
      <c r="E76" s="48">
        <f>STATES!D38</f>
        <v>5</v>
      </c>
      <c r="F76" s="120">
        <f>COUNTIFS(ANNUITIES!K2:K1000,A76,ANNUITIES!C2:C1000,"&lt;&gt;x")</f>
        <v>1</v>
      </c>
      <c r="G76" s="229">
        <f>SUMIFS(ANNUITIES!F2:F1000,ANNUITIES!K2:K1000,A76,ANNUITIES!C2:C1000,"&lt;&gt;x")</f>
        <v>10000</v>
      </c>
      <c r="H76" s="120">
        <f>COUNTIFS(ANNUITIES!K2:K1000,A76)</f>
        <v>1</v>
      </c>
      <c r="I76" s="228">
        <f>SUMIF(ANNUITIES!K2:K1000,A76,ANNUITIES!F2:F1000)</f>
        <v>10000</v>
      </c>
      <c r="M76" s="34"/>
    </row>
    <row r="77" spans="1:13" ht="24.6" customHeight="1">
      <c r="A77" s="121" t="str">
        <f>STATES!A39</f>
        <v>UT</v>
      </c>
      <c r="B77" s="120">
        <f>STATES!B39+STATES!C39</f>
        <v>32</v>
      </c>
      <c r="C77" s="48">
        <f ca="1">STATES!F39+STATES!G39</f>
        <v>26</v>
      </c>
      <c r="D77" s="120">
        <f>COUNTIFS(TOTAL!J:J,"X",TOTAL!BO:BO,"&lt;&gt;x",TOTAL!P:P,"TFP_MEMBERSHIP",TOTAL!AN:AN,A77)+COUNTIFS(TOTAL!N:N,"x",TOTAL!BO:BO,"&lt;&gt;x",TOTAL!P:P,"TFP_MEMBERSHIP",TOTAL!AN:AN,A77)+COUNTIFS(TOTAL!L:L,"x",TOTAL!BO:BO,"&lt;&gt;x",TOTAL!P:P,"TFP_MEMBERSHIP",TOTAL!AN:AN,A77)</f>
        <v>4</v>
      </c>
      <c r="E77" s="48">
        <f>STATES!D39</f>
        <v>11</v>
      </c>
      <c r="F77" s="120">
        <f>COUNTIFS(ANNUITIES!K2:K1000,A77,ANNUITIES!C2:C1000,"&lt;&gt;x")</f>
        <v>0</v>
      </c>
      <c r="G77" s="229">
        <f>SUMIFS(ANNUITIES!F2:F1000,ANNUITIES!K2:K1000,A77,ANNUITIES!C2:C1000,"&lt;&gt;x")</f>
        <v>0</v>
      </c>
      <c r="H77" s="120">
        <f>COUNTIFS(ANNUITIES!K2:K1000,A77)</f>
        <v>0</v>
      </c>
      <c r="I77" s="228">
        <f>SUMIF(ANNUITIES!K2:K1000,A77,ANNUITIES!F2:F1000)</f>
        <v>0</v>
      </c>
      <c r="M77" s="34"/>
    </row>
    <row r="78" spans="1:13" ht="24.6" customHeight="1">
      <c r="A78" s="121" t="str">
        <f>STATES!A40</f>
        <v>AR</v>
      </c>
      <c r="B78" s="120">
        <f>STATES!B40+STATES!C40</f>
        <v>15</v>
      </c>
      <c r="C78" s="48">
        <f ca="1">STATES!F40+STATES!G40</f>
        <v>13</v>
      </c>
      <c r="D78" s="120">
        <f>COUNTIFS(TOTAL!J:J,"X",TOTAL!BO:BO,"&lt;&gt;x",TOTAL!P:P,"TFP_MEMBERSHIP",TOTAL!AN:AN,A78)+COUNTIFS(TOTAL!N:N,"x",TOTAL!BO:BO,"&lt;&gt;x",TOTAL!P:P,"TFP_MEMBERSHIP",TOTAL!AN:AN,A78)+COUNTIFS(TOTAL!L:L,"x",TOTAL!BO:BO,"&lt;&gt;x",TOTAL!P:P,"TFP_MEMBERSHIP",TOTAL!AN:AN,A78)</f>
        <v>0</v>
      </c>
      <c r="E78" s="48">
        <f>STATES!D40</f>
        <v>8</v>
      </c>
      <c r="F78" s="120">
        <f>COUNTIFS(ANNUITIES!K2:K1000,A78,ANNUITIES!C2:C1000,"&lt;&gt;x")</f>
        <v>0</v>
      </c>
      <c r="G78" s="229">
        <f>SUMIFS(ANNUITIES!F2:F1000,ANNUITIES!K2:K1000,A78,ANNUITIES!C2:C1000,"&lt;&gt;x")</f>
        <v>0</v>
      </c>
      <c r="H78" s="120">
        <f>COUNTIFS(ANNUITIES!K2:K1000,A78)</f>
        <v>0</v>
      </c>
      <c r="I78" s="228">
        <f>SUMIF(ANNUITIES!K2:K1000,A78,ANNUITIES!F2:F1000)</f>
        <v>0</v>
      </c>
      <c r="M78" s="34"/>
    </row>
    <row r="79" spans="1:13" ht="24.6" customHeight="1">
      <c r="A79" s="121" t="str">
        <f>STATES!A41</f>
        <v>KS</v>
      </c>
      <c r="B79" s="120">
        <f>STATES!B41+STATES!C41</f>
        <v>40</v>
      </c>
      <c r="C79" s="48">
        <f ca="1">STATES!F41+STATES!G41</f>
        <v>34</v>
      </c>
      <c r="D79" s="120">
        <f>COUNTIFS(TOTAL!J:J,"X",TOTAL!BO:BO,"&lt;&gt;x",TOTAL!P:P,"TFP_MEMBERSHIP",TOTAL!AN:AN,A79)+COUNTIFS(TOTAL!N:N,"x",TOTAL!BO:BO,"&lt;&gt;x",TOTAL!P:P,"TFP_MEMBERSHIP",TOTAL!AN:AN,A79)+COUNTIFS(TOTAL!L:L,"x",TOTAL!BO:BO,"&lt;&gt;x",TOTAL!P:P,"TFP_MEMBERSHIP",TOTAL!AN:AN,A79)</f>
        <v>0</v>
      </c>
      <c r="E79" s="48">
        <f>STATES!D41</f>
        <v>6</v>
      </c>
      <c r="F79" s="120">
        <f>COUNTIFS(ANNUITIES!K2:K1000,A79,ANNUITIES!C2:C1000,"&lt;&gt;x")</f>
        <v>0</v>
      </c>
      <c r="G79" s="229">
        <f>SUMIFS(ANNUITIES!F2:F1000,ANNUITIES!K2:K1000,A79,ANNUITIES!C2:C1000,"&lt;&gt;x")</f>
        <v>0</v>
      </c>
      <c r="H79" s="120">
        <f>COUNTIFS(ANNUITIES!K2:K1000,A79)</f>
        <v>2</v>
      </c>
      <c r="I79" s="228">
        <f>SUMIF(ANNUITIES!K2:K1000,A79,ANNUITIES!F2:F1000)</f>
        <v>20000</v>
      </c>
      <c r="M79" s="34"/>
    </row>
    <row r="80" spans="1:13" ht="24.6" customHeight="1">
      <c r="A80" s="121" t="str">
        <f>STATES!A42</f>
        <v>OK</v>
      </c>
      <c r="B80" s="120">
        <f>STATES!B42+STATES!C42</f>
        <v>25</v>
      </c>
      <c r="C80" s="48">
        <f ca="1">STATES!F42+STATES!G42</f>
        <v>21</v>
      </c>
      <c r="D80" s="120">
        <f>COUNTIFS(TOTAL!J:J,"X",TOTAL!BO:BO,"&lt;&gt;x",TOTAL!P:P,"TFP_MEMBERSHIP",TOTAL!AN:AN,A80)+COUNTIFS(TOTAL!N:N,"x",TOTAL!BO:BO,"&lt;&gt;x",TOTAL!P:P,"TFP_MEMBERSHIP",TOTAL!AN:AN,A80)+COUNTIFS(TOTAL!L:L,"x",TOTAL!BO:BO,"&lt;&gt;x",TOTAL!P:P,"TFP_MEMBERSHIP",TOTAL!AN:AN,A80)</f>
        <v>0</v>
      </c>
      <c r="E80" s="48">
        <f>STATES!D42</f>
        <v>7</v>
      </c>
      <c r="F80" s="120">
        <f>COUNTIFS(ANNUITIES!K2:K1000,A80,ANNUITIES!C2:C1000,"&lt;&gt;x")</f>
        <v>1</v>
      </c>
      <c r="G80" s="229">
        <f>SUMIFS(ANNUITIES!F2:F1000,ANNUITIES!K2:K1000,A80,ANNUITIES!C2:C1000,"&lt;&gt;x")</f>
        <v>10000</v>
      </c>
      <c r="H80" s="120">
        <f>COUNTIFS(ANNUITIES!K2:K1000,A80)</f>
        <v>1</v>
      </c>
      <c r="I80" s="228">
        <f>SUMIF(ANNUITIES!K2:K1000,A80,ANNUITIES!F2:F1000)</f>
        <v>10000</v>
      </c>
      <c r="M80" s="34"/>
    </row>
    <row r="81" spans="1:13" ht="24.6" customHeight="1">
      <c r="A81" s="121" t="str">
        <f>STATES!A43</f>
        <v>ME</v>
      </c>
      <c r="B81" s="120">
        <f>STATES!B43+STATES!C43</f>
        <v>19</v>
      </c>
      <c r="C81" s="48">
        <f ca="1">STATES!F43+STATES!G43</f>
        <v>17</v>
      </c>
      <c r="D81" s="120">
        <f>COUNTIFS(TOTAL!J:J,"X",TOTAL!BO:BO,"&lt;&gt;x",TOTAL!P:P,"TFP_MEMBERSHIP",TOTAL!AN:AN,A81)+COUNTIFS(TOTAL!N:N,"x",TOTAL!BO:BO,"&lt;&gt;x",TOTAL!P:P,"TFP_MEMBERSHIP",TOTAL!AN:AN,A81)+COUNTIFS(TOTAL!L:L,"x",TOTAL!BO:BO,"&lt;&gt;x",TOTAL!P:P,"TFP_MEMBERSHIP",TOTAL!AN:AN,A81)</f>
        <v>2</v>
      </c>
      <c r="E81" s="48">
        <f>STATES!D43</f>
        <v>7</v>
      </c>
      <c r="F81" s="120">
        <f>COUNTIFS(ANNUITIES!K2:K1000,A81,ANNUITIES!C2:C1000,"&lt;&gt;x")</f>
        <v>1</v>
      </c>
      <c r="G81" s="229">
        <f>SUMIFS(ANNUITIES!F2:F1000,ANNUITIES!K2:K1000,A81,ANNUITIES!C2:C1000,"&lt;&gt;x")</f>
        <v>37975.35</v>
      </c>
      <c r="H81" s="120">
        <f>COUNTIFS(ANNUITIES!K2:K1000,A81)</f>
        <v>2</v>
      </c>
      <c r="I81" s="228">
        <f>SUMIF(ANNUITIES!K2:K1000,A81,ANNUITIES!F2:F1000)</f>
        <v>67975.350000000006</v>
      </c>
      <c r="M81" s="34"/>
    </row>
    <row r="82" spans="1:13" ht="24.6" customHeight="1">
      <c r="A82" s="121" t="str">
        <f>STATES!A44</f>
        <v>NH</v>
      </c>
      <c r="B82" s="120">
        <f>STATES!B44+STATES!C44</f>
        <v>36</v>
      </c>
      <c r="C82" s="48">
        <f ca="1">STATES!F44+STATES!G44</f>
        <v>32</v>
      </c>
      <c r="D82" s="120">
        <f>COUNTIFS(TOTAL!J:J,"X",TOTAL!BO:BO,"&lt;&gt;x",TOTAL!P:P,"TFP_MEMBERSHIP",TOTAL!AN:AN,A82)+COUNTIFS(TOTAL!N:N,"x",TOTAL!BO:BO,"&lt;&gt;x",TOTAL!P:P,"TFP_MEMBERSHIP",TOTAL!AN:AN,A82)+COUNTIFS(TOTAL!L:L,"x",TOTAL!BO:BO,"&lt;&gt;x",TOTAL!P:P,"TFP_MEMBERSHIP",TOTAL!AN:AN,A82)</f>
        <v>2</v>
      </c>
      <c r="E82" s="48">
        <f>STATES!D44</f>
        <v>9</v>
      </c>
      <c r="F82" s="120">
        <f>COUNTIFS(ANNUITIES!K2:K1000,A82,ANNUITIES!C2:C1000,"&lt;&gt;x")</f>
        <v>1</v>
      </c>
      <c r="G82" s="229">
        <f>SUMIFS(ANNUITIES!F2:F1000,ANNUITIES!K2:K1000,A82,ANNUITIES!C2:C1000,"&lt;&gt;x")</f>
        <v>10000</v>
      </c>
      <c r="H82" s="120">
        <f>COUNTIFS(ANNUITIES!K2:K1000,A82)</f>
        <v>1</v>
      </c>
      <c r="I82" s="228">
        <f>SUMIF(ANNUITIES!K2:K1000,A82,ANNUITIES!F2:F1000)</f>
        <v>10000</v>
      </c>
    </row>
    <row r="83" spans="1:13" ht="24.6" customHeight="1">
      <c r="A83" s="121" t="str">
        <f>STATES!A45</f>
        <v>NE</v>
      </c>
      <c r="B83" s="120">
        <f>STATES!B45+STATES!C45</f>
        <v>17</v>
      </c>
      <c r="C83" s="48">
        <f ca="1">STATES!F45+STATES!G45</f>
        <v>16</v>
      </c>
      <c r="D83" s="120">
        <f>COUNTIFS(TOTAL!J:J,"X",TOTAL!BO:BO,"&lt;&gt;x",TOTAL!P:P,"TFP_MEMBERSHIP",TOTAL!AN:AN,A83)+COUNTIFS(TOTAL!N:N,"x",TOTAL!BO:BO,"&lt;&gt;x",TOTAL!P:P,"TFP_MEMBERSHIP",TOTAL!AN:AN,A83)+COUNTIFS(TOTAL!L:L,"x",TOTAL!BO:BO,"&lt;&gt;x",TOTAL!P:P,"TFP_MEMBERSHIP",TOTAL!AN:AN,A83)</f>
        <v>2</v>
      </c>
      <c r="E83" s="48">
        <f>STATES!D45</f>
        <v>9</v>
      </c>
      <c r="F83" s="120">
        <f>COUNTIFS(ANNUITIES!K2:K1000,A83,ANNUITIES!C2:C1000,"&lt;&gt;x")</f>
        <v>0</v>
      </c>
      <c r="G83" s="229">
        <f>SUMIFS(ANNUITIES!F2:F1000,ANNUITIES!K2:K1000,A83,ANNUITIES!C2:C1000,"&lt;&gt;x")</f>
        <v>0</v>
      </c>
      <c r="H83" s="120">
        <f>COUNTIFS(ANNUITIES!K2:K1000,A83)</f>
        <v>1</v>
      </c>
      <c r="I83" s="228">
        <f>SUMIF(ANNUITIES!K2:K1000,A83,ANNUITIES!F2:F1000)</f>
        <v>10000</v>
      </c>
    </row>
    <row r="84" spans="1:13" ht="24.6" customHeight="1">
      <c r="A84" s="121" t="str">
        <f>STATES!A46</f>
        <v>VT</v>
      </c>
      <c r="B84" s="120">
        <f>STATES!B46+STATES!C46</f>
        <v>23</v>
      </c>
      <c r="C84" s="48">
        <f ca="1">STATES!F46+STATES!G46</f>
        <v>19</v>
      </c>
      <c r="D84" s="120">
        <f>COUNTIFS(TOTAL!J:J,"X",TOTAL!BO:BO,"&lt;&gt;x",TOTAL!P:P,"TFP_MEMBERSHIP",TOTAL!AN:AN,A84)+COUNTIFS(TOTAL!N:N,"x",TOTAL!BO:BO,"&lt;&gt;x",TOTAL!P:P,"TFP_MEMBERSHIP",TOTAL!AN:AN,A84)+COUNTIFS(TOTAL!L:L,"x",TOTAL!BO:BO,"&lt;&gt;x",TOTAL!P:P,"TFP_MEMBERSHIP",TOTAL!AN:AN,A84)</f>
        <v>0</v>
      </c>
      <c r="E84" s="48">
        <f>STATES!D46</f>
        <v>7</v>
      </c>
      <c r="F84" s="120">
        <f>COUNTIFS(ANNUITIES!K2:K1000,A84,ANNUITIES!C2:C1000,"&lt;&gt;x")</f>
        <v>1</v>
      </c>
      <c r="G84" s="229">
        <f>SUMIFS(ANNUITIES!F2:F1000,ANNUITIES!K2:K1000,A84,ANNUITIES!C2:C1000,"&lt;&gt;x")</f>
        <v>10000</v>
      </c>
      <c r="H84" s="120">
        <f>COUNTIFS(ANNUITIES!K2:K1000,A84)</f>
        <v>2</v>
      </c>
      <c r="I84" s="228">
        <f>SUMIF(ANNUITIES!K2:K1000,A84,ANNUITIES!F2:F1000)</f>
        <v>110099.34</v>
      </c>
    </row>
    <row r="85" spans="1:13" ht="24.6" customHeight="1">
      <c r="A85" s="121" t="str">
        <f>STATES!A47</f>
        <v>MT</v>
      </c>
      <c r="B85" s="120">
        <f>STATES!B47+STATES!C47</f>
        <v>22</v>
      </c>
      <c r="C85" s="48">
        <f ca="1">STATES!F47+STATES!G47</f>
        <v>18</v>
      </c>
      <c r="D85" s="120">
        <f>COUNTIFS(TOTAL!J:J,"X",TOTAL!BO:BO,"&lt;&gt;x",TOTAL!P:P,"TFP_MEMBERSHIP",TOTAL!AN:AN,A85)+COUNTIFS(TOTAL!N:N,"x",TOTAL!BO:BO,"&lt;&gt;x",TOTAL!P:P,"TFP_MEMBERSHIP",TOTAL!AN:AN,A85)+COUNTIFS(TOTAL!L:L,"x",TOTAL!BO:BO,"&lt;&gt;x",TOTAL!P:P,"TFP_MEMBERSHIP",TOTAL!AN:AN,A85)</f>
        <v>2</v>
      </c>
      <c r="E85" s="48">
        <f>STATES!D47</f>
        <v>12</v>
      </c>
      <c r="F85" s="120">
        <f>COUNTIFS(ANNUITIES!K2:K1000,A85,ANNUITIES!C2:C1000,"&lt;&gt;x")</f>
        <v>0</v>
      </c>
      <c r="G85" s="229">
        <f>SUMIFS(ANNUITIES!F2:F1000,ANNUITIES!K2:K1000,A85,ANNUITIES!C2:C1000,"&lt;&gt;x")</f>
        <v>0</v>
      </c>
      <c r="H85" s="120">
        <f>COUNTIFS(ANNUITIES!K2:K1000,A85)</f>
        <v>1</v>
      </c>
      <c r="I85" s="228">
        <f>SUMIF(ANNUITIES!K2:K1000,A85,ANNUITIES!F2:F1000)</f>
        <v>10000</v>
      </c>
    </row>
    <row r="86" spans="1:13" ht="24.6" customHeight="1">
      <c r="A86" s="121" t="str">
        <f>STATES!A48</f>
        <v>LA</v>
      </c>
      <c r="B86" s="120">
        <f>STATES!B48+STATES!C48</f>
        <v>20</v>
      </c>
      <c r="C86" s="48">
        <f ca="1">STATES!F48+STATES!G48</f>
        <v>17</v>
      </c>
      <c r="D86" s="120">
        <f>COUNTIFS(TOTAL!J:J,"X",TOTAL!BO:BO,"&lt;&gt;x",TOTAL!P:P,"TFP_MEMBERSHIP",TOTAL!AN:AN,A86)+COUNTIFS(TOTAL!N:N,"x",TOTAL!BO:BO,"&lt;&gt;x",TOTAL!P:P,"TFP_MEMBERSHIP",TOTAL!AN:AN,A86)+COUNTIFS(TOTAL!L:L,"x",TOTAL!BO:BO,"&lt;&gt;x",TOTAL!P:P,"TFP_MEMBERSHIP",TOTAL!AN:AN,A86)</f>
        <v>0</v>
      </c>
      <c r="E86" s="48">
        <f>STATES!D48</f>
        <v>4</v>
      </c>
      <c r="F86" s="120">
        <f>COUNTIFS(ANNUITIES!K2:K1000,A86,ANNUITIES!C2:C1000,"&lt;&gt;x")</f>
        <v>0</v>
      </c>
      <c r="G86" s="229">
        <f>SUMIFS(ANNUITIES!F2:F1000,ANNUITIES!K2:K1000,A86,ANNUITIES!C2:C1000,"&lt;&gt;x")</f>
        <v>0</v>
      </c>
      <c r="H86" s="120">
        <f>COUNTIFS(ANNUITIES!K2:K1000,A86)</f>
        <v>0</v>
      </c>
      <c r="I86" s="228">
        <f>SUMIF(ANNUITIES!K2:K1000,A86,ANNUITIES!F2:F1000)</f>
        <v>0</v>
      </c>
    </row>
    <row r="87" spans="1:13" ht="24.6" customHeight="1">
      <c r="A87" s="121" t="str">
        <f>STATES!A49</f>
        <v>HI</v>
      </c>
      <c r="B87" s="120">
        <f>STATES!B49+STATES!C49</f>
        <v>8</v>
      </c>
      <c r="C87" s="48">
        <f ca="1">STATES!F49+STATES!G49</f>
        <v>6</v>
      </c>
      <c r="D87" s="120">
        <f>COUNTIFS(TOTAL!J:J,"X",TOTAL!BO:BO,"&lt;&gt;x",TOTAL!P:P,"TFP_MEMBERSHIP",TOTAL!AN:AN,A87)+COUNTIFS(TOTAL!N:N,"x",TOTAL!BO:BO,"&lt;&gt;x",TOTAL!P:P,"TFP_MEMBERSHIP",TOTAL!AN:AN,A87)+COUNTIFS(TOTAL!L:L,"x",TOTAL!BO:BO,"&lt;&gt;x",TOTAL!P:P,"TFP_MEMBERSHIP",TOTAL!AN:AN,A87)</f>
        <v>0</v>
      </c>
      <c r="E87" s="48">
        <f>STATES!D49</f>
        <v>6</v>
      </c>
      <c r="F87" s="120">
        <f>COUNTIFS(ANNUITIES!K2:K1000,A87,ANNUITIES!C2:C1000,"&lt;&gt;x")</f>
        <v>0</v>
      </c>
      <c r="G87" s="229">
        <f>SUMIFS(ANNUITIES!F2:F1000,ANNUITIES!K2:K1000,A87,ANNUITIES!C2:C1000,"&lt;&gt;x")</f>
        <v>0</v>
      </c>
      <c r="H87" s="120">
        <f>COUNTIFS(ANNUITIES!K2:K1000,A87)</f>
        <v>1</v>
      </c>
      <c r="I87" s="228">
        <f>SUMIF(ANNUITIES!K2:K1000,A87,ANNUITIES!F2:F1000)</f>
        <v>10000</v>
      </c>
    </row>
    <row r="88" spans="1:13" ht="24.6" customHeight="1">
      <c r="A88" s="121" t="str">
        <f>STATES!A50</f>
        <v>RI</v>
      </c>
      <c r="B88" s="120">
        <f>STATES!B50+STATES!C50</f>
        <v>12</v>
      </c>
      <c r="C88" s="48">
        <f ca="1">STATES!F50+STATES!G50</f>
        <v>11</v>
      </c>
      <c r="D88" s="120">
        <f>COUNTIFS(TOTAL!J:J,"X",TOTAL!BO:BO,"&lt;&gt;x",TOTAL!P:P,"TFP_MEMBERSHIP",TOTAL!AN:AN,A88)+COUNTIFS(TOTAL!N:N,"x",TOTAL!BO:BO,"&lt;&gt;x",TOTAL!P:P,"TFP_MEMBERSHIP",TOTAL!AN:AN,A88)+COUNTIFS(TOTAL!L:L,"x",TOTAL!BO:BO,"&lt;&gt;x",TOTAL!P:P,"TFP_MEMBERSHIP",TOTAL!AN:AN,A88)</f>
        <v>0</v>
      </c>
      <c r="E88" s="48">
        <f>STATES!D50</f>
        <v>4</v>
      </c>
      <c r="F88" s="120">
        <f>COUNTIFS(ANNUITIES!K2:K1000,A88,ANNUITIES!C2:C1000,"&lt;&gt;x")</f>
        <v>2</v>
      </c>
      <c r="G88" s="229">
        <f>SUMIFS(ANNUITIES!F2:F1000,ANNUITIES!K2:K1000,A88,ANNUITIES!C2:C1000,"&lt;&gt;x")</f>
        <v>22310</v>
      </c>
      <c r="H88" s="120">
        <f>COUNTIFS(ANNUITIES!K2:K1000,A88)</f>
        <v>2</v>
      </c>
      <c r="I88" s="228">
        <f>SUMIF(ANNUITIES!K2:K1000,A88,ANNUITIES!F2:F1000)</f>
        <v>22310</v>
      </c>
    </row>
    <row r="89" spans="1:13" ht="24.6" customHeight="1">
      <c r="A89" s="121" t="str">
        <f>STATES!A51</f>
        <v>MS</v>
      </c>
      <c r="B89" s="120">
        <f>STATES!B51+STATES!C51</f>
        <v>6</v>
      </c>
      <c r="C89" s="48">
        <f ca="1">STATES!F51+STATES!G51</f>
        <v>5</v>
      </c>
      <c r="D89" s="120">
        <f>COUNTIFS(TOTAL!J:J,"X",TOTAL!BO:BO,"&lt;&gt;x",TOTAL!P:P,"TFP_MEMBERSHIP",TOTAL!AN:AN,A89)+COUNTIFS(TOTAL!N:N,"x",TOTAL!BO:BO,"&lt;&gt;x",TOTAL!P:P,"TFP_MEMBERSHIP",TOTAL!AN:AN,A89)+COUNTIFS(TOTAL!L:L,"x",TOTAL!BO:BO,"&lt;&gt;x",TOTAL!P:P,"TFP_MEMBERSHIP",TOTAL!AN:AN,A89)</f>
        <v>0</v>
      </c>
      <c r="E89" s="48">
        <f>STATES!D51</f>
        <v>3</v>
      </c>
      <c r="F89" s="120">
        <f>COUNTIFS(ANNUITIES!K2:K1000,A89,ANNUITIES!C2:C1000,"&lt;&gt;x")</f>
        <v>1</v>
      </c>
      <c r="G89" s="229">
        <f>SUMIFS(ANNUITIES!F2:F1000,ANNUITIES!K2:K1000,A89,ANNUITIES!C2:C1000,"&lt;&gt;x")</f>
        <v>10000</v>
      </c>
      <c r="H89" s="120">
        <f>COUNTIFS(ANNUITIES!K2:K1000,A89)</f>
        <v>1</v>
      </c>
      <c r="I89" s="228">
        <f>SUMIF(ANNUITIES!K2:K1000,A89,ANNUITIES!F2:F1000)</f>
        <v>10000</v>
      </c>
    </row>
    <row r="90" spans="1:13" ht="24.6" customHeight="1">
      <c r="A90" s="121" t="str">
        <f>STATES!A52</f>
        <v>AK</v>
      </c>
      <c r="B90" s="120">
        <f>STATES!B52+STATES!C52</f>
        <v>6</v>
      </c>
      <c r="C90" s="48">
        <f ca="1">STATES!F52+STATES!G52</f>
        <v>6</v>
      </c>
      <c r="D90" s="120">
        <f>COUNTIFS(TOTAL!J:J,"X",TOTAL!BO:BO,"&lt;&gt;x",TOTAL!P:P,"TFP_MEMBERSHIP",TOTAL!AN:AN,A90)+COUNTIFS(TOTAL!N:N,"x",TOTAL!BO:BO,"&lt;&gt;x",TOTAL!P:P,"TFP_MEMBERSHIP",TOTAL!AN:AN,A90)+COUNTIFS(TOTAL!L:L,"x",TOTAL!BO:BO,"&lt;&gt;x",TOTAL!P:P,"TFP_MEMBERSHIP",TOTAL!AN:AN,A90)</f>
        <v>2</v>
      </c>
      <c r="E90" s="48">
        <f>STATES!D52</f>
        <v>9</v>
      </c>
      <c r="F90" s="120">
        <f>COUNTIFS(ANNUITIES!K2:K1000,A90,ANNUITIES!C2:C1000,"&lt;&gt;x")</f>
        <v>1</v>
      </c>
      <c r="G90" s="229">
        <f>SUMIFS(ANNUITIES!F2:F1000,ANNUITIES!K2:K1000,A90,ANNUITIES!C2:C1000,"&lt;&gt;x")</f>
        <v>10000</v>
      </c>
      <c r="H90" s="120">
        <f>COUNTIFS(ANNUITIES!K2:K1000,A90)</f>
        <v>2</v>
      </c>
      <c r="I90" s="228">
        <f>SUMIF(ANNUITIES!K2:K1000,A90,ANNUITIES!F2:F1000)</f>
        <v>30839</v>
      </c>
    </row>
    <row r="91" spans="1:13" ht="24.6" customHeight="1">
      <c r="A91" s="121" t="str">
        <f>STATES!A53</f>
        <v>ND</v>
      </c>
      <c r="B91" s="120">
        <f>STATES!B53+STATES!C53</f>
        <v>2</v>
      </c>
      <c r="C91" s="48">
        <f ca="1">STATES!F53+STATES!G53</f>
        <v>1</v>
      </c>
      <c r="D91" s="120">
        <f>COUNTIFS(TOTAL!J:J,"X",TOTAL!BO:BO,"&lt;&gt;x",TOTAL!P:P,"TFP_MEMBERSHIP",TOTAL!AN:AN,A91)+COUNTIFS(TOTAL!N:N,"x",TOTAL!BO:BO,"&lt;&gt;x",TOTAL!P:P,"TFP_MEMBERSHIP",TOTAL!AN:AN,A91)+COUNTIFS(TOTAL!L:L,"x",TOTAL!BO:BO,"&lt;&gt;x",TOTAL!P:P,"TFP_MEMBERSHIP",TOTAL!AN:AN,A91)</f>
        <v>0</v>
      </c>
      <c r="E91" s="48">
        <f>STATES!D53</f>
        <v>1</v>
      </c>
      <c r="F91" s="120">
        <f>COUNTIFS(ANNUITIES!K2:K1000,A91,ANNUITIES!C2:C1000,"&lt;&gt;x")</f>
        <v>0</v>
      </c>
      <c r="G91" s="229">
        <f>SUMIFS(ANNUITIES!F2:F1000,ANNUITIES!K2:K1000,A91,ANNUITIES!C2:C1000,"&lt;&gt;x")</f>
        <v>0</v>
      </c>
      <c r="H91" s="120">
        <f>COUNTIFS(ANNUITIES!K2:K1000,A91)</f>
        <v>0</v>
      </c>
      <c r="I91" s="228">
        <f>SUMIF(ANNUITIES!K2:K1000,A91,ANNUITIES!F2:F1000)</f>
        <v>0</v>
      </c>
    </row>
    <row r="92" spans="1:13" ht="24.6" customHeight="1">
      <c r="A92" s="121" t="str">
        <f>STATES!A54</f>
        <v>WY</v>
      </c>
      <c r="B92" s="120">
        <f>STATES!B54+STATES!C54</f>
        <v>10</v>
      </c>
      <c r="C92" s="48">
        <f ca="1">STATES!F54+STATES!G54</f>
        <v>9</v>
      </c>
      <c r="D92" s="120">
        <f>COUNTIFS(TOTAL!J:J,"X",TOTAL!BO:BO,"&lt;&gt;x",TOTAL!P:P,"TFP_MEMBERSHIP",TOTAL!AN:AN,A92)+COUNTIFS(TOTAL!N:N,"x",TOTAL!BO:BO,"&lt;&gt;x",TOTAL!P:P,"TFP_MEMBERSHIP",TOTAL!AN:AN,A92)+COUNTIFS(TOTAL!L:L,"x",TOTAL!BO:BO,"&lt;&gt;x",TOTAL!P:P,"TFP_MEMBERSHIP",TOTAL!AN:AN,A92)</f>
        <v>4</v>
      </c>
      <c r="E92" s="48">
        <f>STATES!D54</f>
        <v>5</v>
      </c>
      <c r="F92" s="120">
        <f>COUNTIFS(ANNUITIES!K2:K1000,A92,ANNUITIES!C2:C1000,"&lt;&gt;x")</f>
        <v>0</v>
      </c>
      <c r="G92" s="229">
        <f>SUMIFS(ANNUITIES!F2:F1000,ANNUITIES!K2:K1000,A92,ANNUITIES!C2:C1000,"&lt;&gt;x")</f>
        <v>0</v>
      </c>
      <c r="H92" s="120">
        <f>COUNTIFS(ANNUITIES!K2:K1000,A92)</f>
        <v>0</v>
      </c>
      <c r="I92" s="228">
        <f>SUMIF(ANNUITIES!K2:K1000,A92,ANNUITIES!F2:F1000)</f>
        <v>0</v>
      </c>
    </row>
    <row r="93" spans="1:13" ht="24.6" customHeight="1">
      <c r="A93" s="121" t="str">
        <f>STATES!A55</f>
        <v>PR</v>
      </c>
      <c r="B93" s="120">
        <f>STATES!B55+STATES!C55</f>
        <v>1</v>
      </c>
      <c r="C93" s="48">
        <f ca="1">STATES!F55+STATES!G55</f>
        <v>1</v>
      </c>
      <c r="D93" s="120">
        <f>COUNTIFS(TOTAL!J:J,"X",TOTAL!BO:BO,"&lt;&gt;x",TOTAL!P:P,"TFP_MEMBERSHIP",TOTAL!AN:AN,A93)+COUNTIFS(TOTAL!N:N,"x",TOTAL!BO:BO,"&lt;&gt;x",TOTAL!P:P,"TFP_MEMBERSHIP",TOTAL!AN:AN,A93)+COUNTIFS(TOTAL!L:L,"x",TOTAL!BO:BO,"&lt;&gt;x",TOTAL!P:P,"TFP_MEMBERSHIP",TOTAL!AN:AN,A93)</f>
        <v>0</v>
      </c>
      <c r="E93" s="48">
        <f>STATES!D55</f>
        <v>0</v>
      </c>
      <c r="F93" s="120">
        <f>COUNTIFS(ANNUITIES!K2:K1000,A93,ANNUITIES!C2:C1000,"&lt;&gt;x")</f>
        <v>0</v>
      </c>
      <c r="G93" s="229">
        <f>SUMIFS(ANNUITIES!F2:F1000,ANNUITIES!K2:K1000,A93,ANNUITIES!C2:C1000,"&lt;&gt;x")</f>
        <v>0</v>
      </c>
      <c r="H93" s="120">
        <f>COUNTIFS(ANNUITIES!K2:K1000,A93)</f>
        <v>0</v>
      </c>
      <c r="I93" s="228">
        <f>SUMIF(ANNUITIES!K2:K1000,A93,ANNUITIES!F2:F1000)</f>
        <v>0</v>
      </c>
    </row>
    <row r="94" spans="1:13" ht="24.6" customHeight="1">
      <c r="A94" s="128" t="str">
        <f>STATES!A56</f>
        <v>AA</v>
      </c>
      <c r="B94" s="127">
        <f>STATES!B56+STATES!C56</f>
        <v>0</v>
      </c>
      <c r="C94" s="85">
        <f ca="1">STATES!F56+STATES!G56</f>
        <v>0</v>
      </c>
      <c r="D94" s="127">
        <f>COUNTIFS(TOTAL!J:J,"X",TOTAL!BO:BO,"&lt;&gt;x",TOTAL!P:P,"TFP_MEMBERSHIP",TOTAL!AN:AN,A94)+COUNTIFS(TOTAL!N:N,"x",TOTAL!BO:BO,"&lt;&gt;x",TOTAL!P:P,"TFP_MEMBERSHIP",TOTAL!AN:AN,A94)+COUNTIFS(TOTAL!L:L,"x",TOTAL!BO:BO,"&lt;&gt;x",TOTAL!P:P,"TFP_MEMBERSHIP",TOTAL!AN:AN,A94)</f>
        <v>0</v>
      </c>
      <c r="E94" s="85">
        <f>STATES!D56</f>
        <v>0</v>
      </c>
      <c r="F94" s="127">
        <f>COUNTIFS(ANNUITIES!K2:K1000,A94,ANNUITIES!C2:C1000,"&lt;&gt;x")</f>
        <v>0</v>
      </c>
      <c r="G94" s="231">
        <f>SUMIFS(ANNUITIES!F2:F1000,ANNUITIES!K2:K1000,A94,ANNUITIES!C2:C1000,"&lt;&gt;x")</f>
        <v>0</v>
      </c>
      <c r="H94" s="127">
        <f>COUNTIFS(ANNUITIES!K2:K1000,A94)</f>
        <v>0</v>
      </c>
      <c r="I94" s="230">
        <f>SUMIF(ANNUITIES!K2:K1000,A94,ANNUITIES!F2:F1000)</f>
        <v>0</v>
      </c>
    </row>
  </sheetData>
  <conditionalFormatting sqref="G11:AD12">
    <cfRule type="cellIs" dxfId="38" priority="1" operator="lessThan">
      <formula>0</formula>
    </cfRule>
    <cfRule type="cellIs" dxfId="37" priority="2" operator="greaterThan">
      <formula>0</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76844-ED0B-474D-984C-DAE24C14F10B}">
  <sheetPr>
    <pageSetUpPr autoPageBreaks="0"/>
  </sheetPr>
  <dimension ref="A1:AR729"/>
  <sheetViews>
    <sheetView showGridLines="0" zoomScale="80" zoomScaleNormal="80" workbookViewId="0">
      <pane ySplit="1" topLeftCell="A2" activePane="bottomLeft" state="frozen"/>
      <selection pane="bottomLeft" activeCell="AM20" sqref="AM20"/>
      <selection activeCell="X1" sqref="X1"/>
    </sheetView>
  </sheetViews>
  <sheetFormatPr defaultColWidth="8.7109375" defaultRowHeight="17.25" customHeight="1"/>
  <cols>
    <col min="1" max="1" width="21.42578125" style="34" customWidth="1"/>
    <col min="2" max="2" width="3.42578125" style="34" customWidth="1"/>
    <col min="3" max="4" width="3.28515625" style="34" customWidth="1"/>
    <col min="5" max="5" width="36.28515625" style="22" customWidth="1"/>
    <col min="6" max="6" width="11.5703125" style="22" bestFit="1" customWidth="1"/>
    <col min="7" max="7" width="23.42578125" style="217" customWidth="1"/>
    <col min="8" max="8" width="19.5703125" style="217" bestFit="1" customWidth="1"/>
    <col min="9" max="9" width="17.28515625" style="48" hidden="1" customWidth="1"/>
    <col min="10" max="12" width="13.140625" style="217" hidden="1" customWidth="1"/>
    <col min="13" max="13" width="16.140625" style="217" hidden="1" customWidth="1"/>
    <col min="14" max="14" width="14.42578125" style="217" hidden="1" customWidth="1"/>
    <col min="15" max="15" width="15.85546875" style="217" hidden="1" customWidth="1"/>
    <col min="16" max="16" width="15.42578125" style="217" hidden="1" customWidth="1"/>
    <col min="17" max="19" width="12.85546875" style="217" hidden="1" customWidth="1"/>
    <col min="20" max="20" width="16.28515625" style="45" hidden="1" customWidth="1"/>
    <col min="21" max="21" width="16.85546875" style="45" hidden="1" customWidth="1"/>
    <col min="22" max="22" width="18.7109375" style="45" hidden="1" customWidth="1"/>
    <col min="23" max="25" width="19.85546875" style="22" hidden="1" customWidth="1"/>
    <col min="26" max="31" width="19.85546875" style="22" customWidth="1"/>
    <col min="32" max="32" width="14.42578125" style="22" bestFit="1" customWidth="1"/>
    <col min="33" max="33" width="16.7109375" style="22" customWidth="1"/>
    <col min="34" max="34" width="14.140625" style="22" customWidth="1"/>
    <col min="35" max="35" width="20" style="48" bestFit="1" customWidth="1"/>
    <col min="36" max="37" width="12.5703125" style="22" customWidth="1"/>
    <col min="38" max="38" width="46" style="22" customWidth="1"/>
    <col min="39" max="39" width="30.140625" style="22" customWidth="1"/>
    <col min="40" max="40" width="39.7109375" style="22" customWidth="1"/>
    <col min="41" max="41" width="79" style="22" customWidth="1"/>
    <col min="42" max="42" width="72.7109375" style="22" customWidth="1"/>
    <col min="43" max="16384" width="8.7109375" style="34"/>
  </cols>
  <sheetData>
    <row r="1" spans="1:44" s="187" customFormat="1" ht="17.25" customHeight="1" thickBot="1">
      <c r="A1" s="33"/>
      <c r="B1" s="33"/>
      <c r="C1" s="33"/>
      <c r="D1" s="33"/>
      <c r="E1" s="30" t="s">
        <v>89</v>
      </c>
      <c r="F1" s="31" t="s">
        <v>90</v>
      </c>
      <c r="G1" s="216" t="s">
        <v>91</v>
      </c>
      <c r="H1" s="31" t="s">
        <v>92</v>
      </c>
      <c r="I1" s="31" t="s">
        <v>19</v>
      </c>
      <c r="J1" s="31" t="s">
        <v>18</v>
      </c>
      <c r="K1" s="31" t="s">
        <v>17</v>
      </c>
      <c r="L1" s="31" t="s">
        <v>16</v>
      </c>
      <c r="M1" s="31" t="s">
        <v>15</v>
      </c>
      <c r="N1" s="31" t="s">
        <v>14</v>
      </c>
      <c r="O1" s="31" t="s">
        <v>13</v>
      </c>
      <c r="P1" s="31" t="s">
        <v>12</v>
      </c>
      <c r="Q1" s="31" t="s">
        <v>11</v>
      </c>
      <c r="R1" s="31" t="s">
        <v>10</v>
      </c>
      <c r="S1" s="31" t="s">
        <v>9</v>
      </c>
      <c r="T1" s="42" t="s">
        <v>8</v>
      </c>
      <c r="U1" s="42" t="s">
        <v>7</v>
      </c>
      <c r="V1" s="42" t="s">
        <v>93</v>
      </c>
      <c r="W1" s="31" t="s">
        <v>94</v>
      </c>
      <c r="X1" s="31" t="s">
        <v>95</v>
      </c>
      <c r="Y1" s="31" t="s">
        <v>96</v>
      </c>
      <c r="Z1" s="31" t="s">
        <v>97</v>
      </c>
      <c r="AA1" s="31" t="s">
        <v>98</v>
      </c>
      <c r="AB1" s="31" t="s">
        <v>99</v>
      </c>
      <c r="AC1" s="31" t="s">
        <v>0</v>
      </c>
      <c r="AD1" s="31" t="s">
        <v>100</v>
      </c>
      <c r="AE1" s="31" t="s">
        <v>101</v>
      </c>
      <c r="AF1" s="31" t="s">
        <v>102</v>
      </c>
      <c r="AG1" s="31" t="s">
        <v>103</v>
      </c>
      <c r="AH1" s="31" t="s">
        <v>104</v>
      </c>
      <c r="AI1" s="31" t="s">
        <v>105</v>
      </c>
      <c r="AJ1" s="31" t="s">
        <v>106</v>
      </c>
      <c r="AK1" s="31" t="s">
        <v>107</v>
      </c>
      <c r="AL1" s="30" t="s">
        <v>108</v>
      </c>
      <c r="AM1" s="30" t="s">
        <v>109</v>
      </c>
      <c r="AN1" s="30" t="s">
        <v>110</v>
      </c>
      <c r="AO1" s="30" t="s">
        <v>111</v>
      </c>
      <c r="AP1" s="30" t="s">
        <v>112</v>
      </c>
    </row>
    <row r="2" spans="1:44" ht="17.25" customHeight="1" thickBot="1">
      <c r="C2" s="100" t="s">
        <v>113</v>
      </c>
      <c r="D2" s="97"/>
      <c r="E2" s="97"/>
      <c r="F2" s="98"/>
      <c r="G2" s="191"/>
      <c r="H2" s="290"/>
      <c r="I2" s="82"/>
      <c r="J2" s="191"/>
      <c r="K2" s="191"/>
      <c r="L2" s="191"/>
      <c r="M2" s="191"/>
      <c r="N2" s="191"/>
      <c r="O2" s="191"/>
      <c r="P2" s="191"/>
      <c r="Q2" s="191"/>
      <c r="R2" s="191"/>
      <c r="S2" s="191"/>
      <c r="T2" s="99"/>
      <c r="U2" s="99"/>
      <c r="V2" s="99"/>
      <c r="W2" s="98"/>
      <c r="X2" s="98"/>
      <c r="Y2" s="98"/>
      <c r="Z2" s="98"/>
      <c r="AA2" s="98"/>
      <c r="AB2" s="98"/>
      <c r="AC2" s="98"/>
      <c r="AD2" s="98"/>
      <c r="AE2" s="98"/>
      <c r="AF2" s="98"/>
      <c r="AG2" s="98"/>
      <c r="AH2" s="98"/>
      <c r="AI2" s="82"/>
      <c r="AJ2" s="98"/>
      <c r="AK2" s="98"/>
      <c r="AL2" s="98"/>
      <c r="AM2" s="188"/>
      <c r="AN2" s="98"/>
      <c r="AO2" s="98"/>
      <c r="AP2" s="98"/>
    </row>
    <row r="3" spans="1:44" ht="17.25" customHeight="1">
      <c r="A3" s="35" t="s">
        <v>114</v>
      </c>
      <c r="C3" s="197"/>
      <c r="D3" s="212" t="s">
        <v>115</v>
      </c>
      <c r="E3" s="198" t="s">
        <v>116</v>
      </c>
      <c r="F3" s="199" t="s">
        <v>117</v>
      </c>
      <c r="G3" s="219" t="s">
        <v>118</v>
      </c>
      <c r="H3" s="292">
        <f t="shared" ref="H3:H23" si="0">SUM(I3:Z3)</f>
        <v>25495</v>
      </c>
      <c r="I3" s="283"/>
      <c r="J3" s="206"/>
      <c r="K3" s="206"/>
      <c r="L3" s="206"/>
      <c r="M3" s="206"/>
      <c r="N3" s="206"/>
      <c r="O3" s="206"/>
      <c r="P3" s="206"/>
      <c r="Q3" s="206"/>
      <c r="R3" s="206"/>
      <c r="S3" s="206"/>
      <c r="T3" s="201"/>
      <c r="U3" s="202"/>
      <c r="V3" s="341">
        <v>4200</v>
      </c>
      <c r="W3" s="704">
        <v>4850</v>
      </c>
      <c r="X3" s="510">
        <v>4970</v>
      </c>
      <c r="Y3" s="341">
        <v>6250</v>
      </c>
      <c r="Z3" s="201">
        <v>5225</v>
      </c>
      <c r="AA3" s="983">
        <v>3500</v>
      </c>
      <c r="AB3" s="668"/>
      <c r="AC3" s="341"/>
      <c r="AD3" s="341"/>
      <c r="AE3" s="341"/>
      <c r="AF3" s="204">
        <v>37907</v>
      </c>
      <c r="AG3" s="344">
        <v>38701</v>
      </c>
      <c r="AH3" s="199"/>
      <c r="AI3" s="299"/>
      <c r="AJ3" s="199">
        <v>100174567</v>
      </c>
      <c r="AK3" s="200">
        <v>3097904</v>
      </c>
      <c r="AL3" s="199" t="s">
        <v>119</v>
      </c>
      <c r="AM3" s="205" t="s">
        <v>120</v>
      </c>
      <c r="AN3" s="965"/>
      <c r="AO3" s="207" t="s">
        <v>121</v>
      </c>
      <c r="AP3" s="321" t="s">
        <v>122</v>
      </c>
    </row>
    <row r="4" spans="1:44" ht="17.25" customHeight="1">
      <c r="A4" s="74">
        <v>2828000</v>
      </c>
      <c r="C4" s="447"/>
      <c r="D4" s="448" t="s">
        <v>115</v>
      </c>
      <c r="E4" s="449" t="s">
        <v>123</v>
      </c>
      <c r="F4" s="450" t="s">
        <v>124</v>
      </c>
      <c r="G4" s="451" t="s">
        <v>125</v>
      </c>
      <c r="H4" s="717">
        <f t="shared" si="0"/>
        <v>3159.5699999999997</v>
      </c>
      <c r="I4" s="452"/>
      <c r="J4" s="453"/>
      <c r="K4" s="453"/>
      <c r="L4" s="453"/>
      <c r="M4" s="453"/>
      <c r="N4" s="453"/>
      <c r="O4" s="453"/>
      <c r="P4" s="453"/>
      <c r="Q4" s="453"/>
      <c r="R4" s="453"/>
      <c r="S4" s="453"/>
      <c r="T4" s="209"/>
      <c r="U4" s="210"/>
      <c r="V4" s="454"/>
      <c r="W4" s="715">
        <v>571.87</v>
      </c>
      <c r="X4" s="616">
        <f>570.97+570.97</f>
        <v>1141.94</v>
      </c>
      <c r="Y4" s="454">
        <v>705.26</v>
      </c>
      <c r="Z4" s="209">
        <v>740.5</v>
      </c>
      <c r="AA4" s="983">
        <v>725.62</v>
      </c>
      <c r="AB4" s="454"/>
      <c r="AC4" s="454"/>
      <c r="AD4" s="454"/>
      <c r="AE4" s="454"/>
      <c r="AF4" s="456">
        <v>42350</v>
      </c>
      <c r="AG4" s="621">
        <v>43900</v>
      </c>
      <c r="AH4" s="450"/>
      <c r="AI4" s="457" t="s">
        <v>88</v>
      </c>
      <c r="AJ4" s="450">
        <v>100358033</v>
      </c>
      <c r="AK4" s="208"/>
      <c r="AL4" s="450" t="s">
        <v>126</v>
      </c>
      <c r="AM4" s="458">
        <v>2066222294</v>
      </c>
      <c r="AN4" s="960"/>
      <c r="AO4" s="459" t="s">
        <v>127</v>
      </c>
      <c r="AP4" s="527" t="s">
        <v>128</v>
      </c>
    </row>
    <row r="5" spans="1:44" ht="17.25" customHeight="1">
      <c r="A5" s="37" t="s">
        <v>129</v>
      </c>
      <c r="C5" s="197"/>
      <c r="D5" s="212" t="s">
        <v>115</v>
      </c>
      <c r="E5" s="198" t="s">
        <v>130</v>
      </c>
      <c r="F5" s="199"/>
      <c r="G5" s="219"/>
      <c r="H5" s="292">
        <f t="shared" si="0"/>
        <v>1050</v>
      </c>
      <c r="I5" s="283"/>
      <c r="J5" s="206"/>
      <c r="K5" s="206"/>
      <c r="L5" s="206"/>
      <c r="M5" s="206"/>
      <c r="N5" s="206"/>
      <c r="O5" s="206"/>
      <c r="P5" s="206"/>
      <c r="Q5" s="206"/>
      <c r="R5" s="206"/>
      <c r="S5" s="206"/>
      <c r="T5" s="201"/>
      <c r="U5" s="202"/>
      <c r="V5" s="341">
        <f>SUM(150+150)</f>
        <v>300</v>
      </c>
      <c r="W5" s="704">
        <v>150</v>
      </c>
      <c r="X5" s="510">
        <v>150</v>
      </c>
      <c r="Y5" s="341">
        <v>150</v>
      </c>
      <c r="Z5" s="201">
        <f>150+150</f>
        <v>300</v>
      </c>
      <c r="AA5" s="983">
        <v>150</v>
      </c>
      <c r="AB5" s="341"/>
      <c r="AC5" s="341" t="s">
        <v>88</v>
      </c>
      <c r="AD5" s="341"/>
      <c r="AE5" s="341"/>
      <c r="AF5" s="204">
        <v>37165</v>
      </c>
      <c r="AG5" s="200"/>
      <c r="AH5" s="199"/>
      <c r="AI5" s="299"/>
      <c r="AJ5" s="199"/>
      <c r="AK5" s="200">
        <v>11254</v>
      </c>
      <c r="AL5" s="199"/>
      <c r="AM5" s="205"/>
      <c r="AN5" s="959"/>
      <c r="AO5" s="207"/>
      <c r="AP5" s="207"/>
    </row>
    <row r="6" spans="1:44" ht="17.25" customHeight="1">
      <c r="A6" s="74">
        <f>SUM(AA3:AA23)+SUM(AA25:AA165)+SUM(AB3:AB23)+SUM(AB25:AB165)</f>
        <v>9926635.643000003</v>
      </c>
      <c r="C6" s="447"/>
      <c r="D6" s="448" t="s">
        <v>115</v>
      </c>
      <c r="E6" s="449" t="s">
        <v>131</v>
      </c>
      <c r="F6" s="450"/>
      <c r="G6" s="451"/>
      <c r="H6" s="717">
        <f t="shared" si="0"/>
        <v>265.39</v>
      </c>
      <c r="I6" s="452"/>
      <c r="J6" s="453"/>
      <c r="K6" s="453"/>
      <c r="L6" s="453"/>
      <c r="M6" s="453"/>
      <c r="N6" s="453"/>
      <c r="O6" s="453"/>
      <c r="P6" s="453"/>
      <c r="Q6" s="453"/>
      <c r="R6" s="453"/>
      <c r="S6" s="453"/>
      <c r="T6" s="209"/>
      <c r="U6" s="210"/>
      <c r="V6" s="454">
        <v>265.39</v>
      </c>
      <c r="W6" s="715"/>
      <c r="X6" s="616"/>
      <c r="Y6" s="454"/>
      <c r="Z6" s="209"/>
      <c r="AA6" s="983"/>
      <c r="AB6" s="454" t="s">
        <v>88</v>
      </c>
      <c r="AC6" s="454"/>
      <c r="AD6" s="454"/>
      <c r="AE6" s="454"/>
      <c r="AF6" s="456">
        <v>42106</v>
      </c>
      <c r="AG6" s="208"/>
      <c r="AH6" s="450"/>
      <c r="AI6" s="457" t="s">
        <v>88</v>
      </c>
      <c r="AJ6" s="450"/>
      <c r="AK6" s="208">
        <v>90176835</v>
      </c>
      <c r="AL6" s="450"/>
      <c r="AM6" s="458"/>
      <c r="AN6" s="960"/>
      <c r="AO6" s="459"/>
      <c r="AP6" s="459" t="s">
        <v>132</v>
      </c>
    </row>
    <row r="7" spans="1:44" ht="17.25" customHeight="1">
      <c r="A7" s="37" t="s">
        <v>133</v>
      </c>
      <c r="C7" s="197"/>
      <c r="D7" s="212" t="s">
        <v>115</v>
      </c>
      <c r="E7" s="198" t="s">
        <v>134</v>
      </c>
      <c r="F7" s="199" t="s">
        <v>117</v>
      </c>
      <c r="G7" s="219" t="s">
        <v>135</v>
      </c>
      <c r="H7" s="292">
        <f t="shared" si="0"/>
        <v>0</v>
      </c>
      <c r="I7" s="283"/>
      <c r="J7" s="206"/>
      <c r="K7" s="206"/>
      <c r="L7" s="206"/>
      <c r="M7" s="206"/>
      <c r="N7" s="206"/>
      <c r="O7" s="206"/>
      <c r="P7" s="206"/>
      <c r="Q7" s="206"/>
      <c r="R7" s="206"/>
      <c r="S7" s="206"/>
      <c r="T7" s="201"/>
      <c r="U7" s="202"/>
      <c r="V7" s="341">
        <v>0</v>
      </c>
      <c r="W7" s="704"/>
      <c r="X7" s="510"/>
      <c r="Y7" s="341"/>
      <c r="Z7" s="201"/>
      <c r="AA7" s="983"/>
      <c r="AB7" s="341"/>
      <c r="AC7" s="341"/>
      <c r="AD7" s="341"/>
      <c r="AE7" s="341"/>
      <c r="AF7" s="611">
        <v>32371</v>
      </c>
      <c r="AG7" s="344">
        <v>31394</v>
      </c>
      <c r="AH7" s="199"/>
      <c r="AI7" s="299"/>
      <c r="AJ7" s="199"/>
      <c r="AK7" s="200">
        <v>37429115</v>
      </c>
      <c r="AL7" s="199" t="s">
        <v>136</v>
      </c>
      <c r="AM7" s="205">
        <v>4064545004</v>
      </c>
      <c r="AN7" s="959" t="s">
        <v>137</v>
      </c>
      <c r="AO7" s="207" t="s">
        <v>138</v>
      </c>
      <c r="AP7" s="207" t="s">
        <v>139</v>
      </c>
    </row>
    <row r="8" spans="1:44" ht="17.25" customHeight="1" thickBot="1">
      <c r="A8" s="257">
        <f>SUM(AA3:AA165)</f>
        <v>8765967.3430000022</v>
      </c>
      <c r="C8" s="447"/>
      <c r="D8" s="448" t="s">
        <v>115</v>
      </c>
      <c r="E8" s="449" t="s">
        <v>140</v>
      </c>
      <c r="F8" s="450" t="s">
        <v>117</v>
      </c>
      <c r="G8" s="451" t="s">
        <v>141</v>
      </c>
      <c r="H8" s="717">
        <f t="shared" si="0"/>
        <v>0</v>
      </c>
      <c r="I8" s="452"/>
      <c r="J8" s="453"/>
      <c r="K8" s="453"/>
      <c r="L8" s="453"/>
      <c r="M8" s="453"/>
      <c r="N8" s="453"/>
      <c r="O8" s="453"/>
      <c r="P8" s="453"/>
      <c r="Q8" s="453"/>
      <c r="R8" s="453"/>
      <c r="S8" s="453"/>
      <c r="T8" s="209"/>
      <c r="U8" s="210"/>
      <c r="V8" s="454">
        <v>0</v>
      </c>
      <c r="W8" s="715">
        <v>0</v>
      </c>
      <c r="X8" s="616"/>
      <c r="Y8" s="454"/>
      <c r="Z8" s="209"/>
      <c r="AA8" s="983"/>
      <c r="AB8" s="454">
        <v>0</v>
      </c>
      <c r="AC8" s="454">
        <v>0</v>
      </c>
      <c r="AD8" s="454"/>
      <c r="AE8" s="454"/>
      <c r="AF8" s="456">
        <v>40661</v>
      </c>
      <c r="AG8" s="621">
        <v>43444</v>
      </c>
      <c r="AH8" s="450"/>
      <c r="AI8" s="457"/>
      <c r="AJ8" s="450"/>
      <c r="AK8" s="208">
        <v>136259</v>
      </c>
      <c r="AL8" s="450" t="s">
        <v>142</v>
      </c>
      <c r="AM8" s="458">
        <v>2674671297</v>
      </c>
      <c r="AN8" s="960" t="s">
        <v>143</v>
      </c>
      <c r="AO8" s="459" t="s">
        <v>144</v>
      </c>
      <c r="AP8" s="459" t="s">
        <v>145</v>
      </c>
      <c r="AR8" s="34" t="s">
        <v>88</v>
      </c>
    </row>
    <row r="9" spans="1:44" ht="17.25" customHeight="1" thickBot="1">
      <c r="A9" s="930"/>
      <c r="C9" s="197"/>
      <c r="D9" s="212" t="s">
        <v>115</v>
      </c>
      <c r="E9" s="198" t="s">
        <v>146</v>
      </c>
      <c r="F9" s="199"/>
      <c r="G9" s="219"/>
      <c r="H9" s="292">
        <f t="shared" si="0"/>
        <v>0</v>
      </c>
      <c r="I9" s="283"/>
      <c r="J9" s="206"/>
      <c r="K9" s="206"/>
      <c r="L9" s="206"/>
      <c r="M9" s="206"/>
      <c r="N9" s="206"/>
      <c r="O9" s="206"/>
      <c r="P9" s="206"/>
      <c r="Q9" s="206"/>
      <c r="R9" s="206"/>
      <c r="S9" s="206"/>
      <c r="T9" s="201"/>
      <c r="U9" s="202"/>
      <c r="V9" s="341">
        <v>0</v>
      </c>
      <c r="W9" s="704"/>
      <c r="X9" s="510"/>
      <c r="Y9" s="341"/>
      <c r="Z9" s="201"/>
      <c r="AA9" s="983"/>
      <c r="AB9" s="341"/>
      <c r="AC9" s="341"/>
      <c r="AD9" s="341"/>
      <c r="AE9" s="341"/>
      <c r="AF9" s="204">
        <v>42615</v>
      </c>
      <c r="AG9" s="200"/>
      <c r="AH9" s="199"/>
      <c r="AI9" s="299"/>
      <c r="AJ9" s="199"/>
      <c r="AK9" s="200">
        <v>23359508</v>
      </c>
      <c r="AL9" s="199"/>
      <c r="AM9" s="205"/>
      <c r="AN9" s="959"/>
      <c r="AO9" s="207"/>
      <c r="AP9" s="207"/>
    </row>
    <row r="10" spans="1:44" ht="17.25" customHeight="1">
      <c r="A10" s="37" t="s">
        <v>147</v>
      </c>
      <c r="C10" s="613"/>
      <c r="D10" s="613" t="s">
        <v>115</v>
      </c>
      <c r="E10" s="614" t="s">
        <v>148</v>
      </c>
      <c r="F10" s="614" t="s">
        <v>149</v>
      </c>
      <c r="G10" s="615" t="s">
        <v>150</v>
      </c>
      <c r="H10" s="717">
        <f t="shared" si="0"/>
        <v>847.05000000000007</v>
      </c>
      <c r="I10" s="595"/>
      <c r="J10" s="451"/>
      <c r="K10" s="451"/>
      <c r="L10" s="451"/>
      <c r="M10" s="451"/>
      <c r="N10" s="451"/>
      <c r="O10" s="451"/>
      <c r="P10" s="451"/>
      <c r="Q10" s="451"/>
      <c r="R10" s="451"/>
      <c r="S10" s="451"/>
      <c r="T10" s="594"/>
      <c r="U10" s="594"/>
      <c r="V10" s="616">
        <v>226.37</v>
      </c>
      <c r="W10" s="715">
        <f>167.94+226.37</f>
        <v>394.31</v>
      </c>
      <c r="X10" s="616"/>
      <c r="Y10" s="454">
        <f>226.37</f>
        <v>226.37</v>
      </c>
      <c r="Z10" s="450"/>
      <c r="AA10" s="311"/>
      <c r="AB10" s="594">
        <v>3621.92</v>
      </c>
      <c r="AC10" s="616"/>
      <c r="AD10" s="616"/>
      <c r="AE10" s="616"/>
      <c r="AF10" s="617">
        <v>43061</v>
      </c>
      <c r="AG10" s="617">
        <v>43646</v>
      </c>
      <c r="AH10" s="614"/>
      <c r="AI10" s="618"/>
      <c r="AJ10" s="614">
        <v>100384853</v>
      </c>
      <c r="AK10" s="614">
        <v>95974564</v>
      </c>
      <c r="AL10" s="619" t="s">
        <v>151</v>
      </c>
      <c r="AM10" s="620" t="s">
        <v>152</v>
      </c>
      <c r="AN10" s="962"/>
      <c r="AO10" s="208" t="s">
        <v>153</v>
      </c>
      <c r="AP10" s="541" t="s">
        <v>154</v>
      </c>
    </row>
    <row r="11" spans="1:44" ht="17.25" customHeight="1">
      <c r="A11" s="303">
        <f>A8-A4</f>
        <v>5937967.3430000022</v>
      </c>
      <c r="C11" s="506"/>
      <c r="D11" s="506" t="s">
        <v>115</v>
      </c>
      <c r="E11" s="507" t="s">
        <v>148</v>
      </c>
      <c r="F11" s="507" t="s">
        <v>149</v>
      </c>
      <c r="G11" s="508" t="s">
        <v>155</v>
      </c>
      <c r="H11" s="292">
        <f t="shared" si="0"/>
        <v>12480.93</v>
      </c>
      <c r="I11" s="509"/>
      <c r="J11" s="219"/>
      <c r="K11" s="219"/>
      <c r="L11" s="219"/>
      <c r="M11" s="219"/>
      <c r="N11" s="219"/>
      <c r="O11" s="219"/>
      <c r="P11" s="219"/>
      <c r="Q11" s="219"/>
      <c r="R11" s="219"/>
      <c r="S11" s="219"/>
      <c r="T11" s="338"/>
      <c r="U11" s="338"/>
      <c r="V11" s="510"/>
      <c r="W11" s="704">
        <f>2269.26+1134.63+1134.63</f>
        <v>4538.5200000000004</v>
      </c>
      <c r="X11" s="510">
        <f>1134.63+1134.63+1134.63+1134.63</f>
        <v>4538.5200000000004</v>
      </c>
      <c r="Y11" s="341">
        <f>1134.63+1134.63+1134.63</f>
        <v>3403.8900000000003</v>
      </c>
      <c r="Z11" s="199"/>
      <c r="AA11" s="311"/>
      <c r="AB11" s="338">
        <v>3403.89</v>
      </c>
      <c r="AC11" s="510"/>
      <c r="AD11" s="510"/>
      <c r="AE11" s="510"/>
      <c r="AF11" s="511">
        <v>43061</v>
      </c>
      <c r="AG11" s="511">
        <v>43646</v>
      </c>
      <c r="AH11" s="507"/>
      <c r="AI11" s="512"/>
      <c r="AJ11" s="507">
        <v>100435671</v>
      </c>
      <c r="AK11" s="507">
        <v>95974564</v>
      </c>
      <c r="AL11" s="612" t="s">
        <v>156</v>
      </c>
      <c r="AM11" s="513" t="s">
        <v>157</v>
      </c>
      <c r="AN11" s="906"/>
      <c r="AO11" s="200"/>
      <c r="AP11" s="514"/>
    </row>
    <row r="12" spans="1:44" ht="17.25" customHeight="1">
      <c r="A12" s="254" t="s">
        <v>158</v>
      </c>
      <c r="C12" s="603"/>
      <c r="D12" s="604" t="s">
        <v>115</v>
      </c>
      <c r="E12" s="605" t="s">
        <v>159</v>
      </c>
      <c r="F12" s="605" t="s">
        <v>160</v>
      </c>
      <c r="G12" s="606"/>
      <c r="H12" s="717">
        <f t="shared" si="0"/>
        <v>24422</v>
      </c>
      <c r="I12" s="500"/>
      <c r="J12" s="501"/>
      <c r="K12" s="501"/>
      <c r="L12" s="501"/>
      <c r="M12" s="501"/>
      <c r="N12" s="501"/>
      <c r="O12" s="501"/>
      <c r="P12" s="501"/>
      <c r="Q12" s="501"/>
      <c r="R12" s="501"/>
      <c r="S12" s="501"/>
      <c r="T12" s="502"/>
      <c r="U12" s="502"/>
      <c r="V12" s="715"/>
      <c r="W12" s="715">
        <v>13817.73</v>
      </c>
      <c r="X12" s="616">
        <v>10604.27</v>
      </c>
      <c r="Y12" s="454"/>
      <c r="Z12" s="209"/>
      <c r="AA12" s="984"/>
      <c r="AB12" s="607"/>
      <c r="AC12" s="607"/>
      <c r="AD12" s="607"/>
      <c r="AE12" s="607"/>
      <c r="AF12" s="608"/>
      <c r="AG12" s="608">
        <v>42004</v>
      </c>
      <c r="AH12" s="605"/>
      <c r="AI12" s="609"/>
      <c r="AJ12" s="605">
        <v>100336190</v>
      </c>
      <c r="AK12" s="605">
        <v>148528</v>
      </c>
      <c r="AL12" s="610" t="s">
        <v>161</v>
      </c>
      <c r="AM12" s="964" t="s">
        <v>162</v>
      </c>
      <c r="AN12" s="277" t="s">
        <v>163</v>
      </c>
      <c r="AO12" s="605" t="s">
        <v>164</v>
      </c>
      <c r="AP12" s="602"/>
    </row>
    <row r="13" spans="1:44" ht="17.25" customHeight="1">
      <c r="A13" s="302">
        <f>COUNTBLANK(C3:C132)</f>
        <v>97</v>
      </c>
      <c r="C13" s="197"/>
      <c r="D13" s="212" t="s">
        <v>115</v>
      </c>
      <c r="E13" s="503" t="s">
        <v>165</v>
      </c>
      <c r="F13" s="199"/>
      <c r="G13" s="219"/>
      <c r="H13" s="292">
        <f t="shared" si="0"/>
        <v>5257.5599999999995</v>
      </c>
      <c r="I13" s="283"/>
      <c r="J13" s="206"/>
      <c r="K13" s="206"/>
      <c r="L13" s="206"/>
      <c r="M13" s="206"/>
      <c r="N13" s="206"/>
      <c r="O13" s="206"/>
      <c r="P13" s="206"/>
      <c r="Q13" s="206"/>
      <c r="R13" s="206"/>
      <c r="S13" s="206"/>
      <c r="T13" s="201"/>
      <c r="U13" s="202"/>
      <c r="V13" s="341">
        <v>0</v>
      </c>
      <c r="W13" s="704">
        <v>2638.95</v>
      </c>
      <c r="X13" s="510">
        <v>2618.61</v>
      </c>
      <c r="Y13" s="341"/>
      <c r="Z13" s="201"/>
      <c r="AA13" s="983"/>
      <c r="AB13" s="341"/>
      <c r="AC13" s="341"/>
      <c r="AD13" s="341"/>
      <c r="AE13" s="341"/>
      <c r="AF13" s="198"/>
      <c r="AG13" s="198"/>
      <c r="AH13" s="199"/>
      <c r="AI13" s="299"/>
      <c r="AJ13" s="199"/>
      <c r="AK13" s="200">
        <v>117952</v>
      </c>
      <c r="AL13" s="199" t="s">
        <v>166</v>
      </c>
      <c r="AM13" s="205">
        <v>8772258345</v>
      </c>
      <c r="AN13" s="959"/>
      <c r="AO13" s="207" t="s">
        <v>167</v>
      </c>
      <c r="AP13" s="207"/>
    </row>
    <row r="14" spans="1:44" ht="17.25" customHeight="1">
      <c r="A14" s="37" t="s">
        <v>168</v>
      </c>
      <c r="C14" s="8"/>
      <c r="D14" s="2" t="s">
        <v>115</v>
      </c>
      <c r="E14" s="20" t="s">
        <v>169</v>
      </c>
      <c r="F14" s="21"/>
      <c r="H14" s="717">
        <f t="shared" si="0"/>
        <v>0</v>
      </c>
      <c r="I14" s="87"/>
      <c r="J14" s="143"/>
      <c r="K14" s="143"/>
      <c r="L14" s="143"/>
      <c r="M14" s="143"/>
      <c r="N14" s="143"/>
      <c r="O14" s="143"/>
      <c r="P14" s="143"/>
      <c r="Q14" s="143"/>
      <c r="R14" s="143"/>
      <c r="S14" s="143"/>
      <c r="T14" s="332"/>
      <c r="U14" s="333"/>
      <c r="V14" s="340">
        <v>0</v>
      </c>
      <c r="W14" s="715"/>
      <c r="X14" s="616"/>
      <c r="Y14" s="454"/>
      <c r="Z14" s="209"/>
      <c r="AA14" s="983"/>
      <c r="AB14" s="332"/>
      <c r="AC14" s="700"/>
      <c r="AD14" s="700"/>
      <c r="AE14" s="700"/>
      <c r="AF14" s="345">
        <v>42757</v>
      </c>
      <c r="AH14" s="21"/>
      <c r="AI14" s="10"/>
      <c r="AJ14" s="21"/>
      <c r="AK14" s="22">
        <v>68660380</v>
      </c>
      <c r="AL14" s="21"/>
      <c r="AM14" s="193"/>
      <c r="AN14" s="961"/>
      <c r="AO14" s="189"/>
      <c r="AP14" s="189" t="s">
        <v>88</v>
      </c>
    </row>
    <row r="15" spans="1:44" ht="17.25" customHeight="1">
      <c r="A15" s="303">
        <f>SUM(SUMIF(H1:H1231,"&lt;2000000")/600)</f>
        <v>58939.651300000027</v>
      </c>
      <c r="C15" s="197"/>
      <c r="D15" s="212" t="s">
        <v>115</v>
      </c>
      <c r="E15" s="198" t="s">
        <v>170</v>
      </c>
      <c r="F15" s="199" t="s">
        <v>124</v>
      </c>
      <c r="G15" s="219"/>
      <c r="H15" s="292">
        <f t="shared" si="0"/>
        <v>3770.8</v>
      </c>
      <c r="I15" s="283"/>
      <c r="J15" s="206"/>
      <c r="K15" s="206"/>
      <c r="L15" s="206"/>
      <c r="M15" s="206"/>
      <c r="N15" s="206"/>
      <c r="O15" s="206"/>
      <c r="P15" s="206"/>
      <c r="Q15" s="206"/>
      <c r="R15" s="206"/>
      <c r="S15" s="206"/>
      <c r="T15" s="201"/>
      <c r="U15" s="202"/>
      <c r="V15" s="341">
        <v>1864.22</v>
      </c>
      <c r="W15" s="510">
        <v>1906.58</v>
      </c>
      <c r="X15" s="510"/>
      <c r="Y15" s="341"/>
      <c r="Z15" s="201"/>
      <c r="AA15" s="983">
        <v>2182.4299999999998</v>
      </c>
      <c r="AB15" s="341"/>
      <c r="AC15" s="341"/>
      <c r="AD15" s="341"/>
      <c r="AE15" s="341"/>
      <c r="AF15" s="199"/>
      <c r="AG15" s="200"/>
      <c r="AH15" s="199"/>
      <c r="AI15" s="299"/>
      <c r="AJ15" s="199"/>
      <c r="AK15" s="200">
        <v>335232</v>
      </c>
      <c r="AL15" s="199"/>
      <c r="AM15" s="205"/>
      <c r="AN15" s="959"/>
      <c r="AO15" s="207"/>
      <c r="AP15" s="207"/>
    </row>
    <row r="16" spans="1:44" ht="17.25" customHeight="1">
      <c r="A16" s="37" t="s">
        <v>171</v>
      </c>
      <c r="C16" s="447"/>
      <c r="D16" s="448" t="s">
        <v>115</v>
      </c>
      <c r="E16" s="449" t="s">
        <v>172</v>
      </c>
      <c r="F16" s="450" t="s">
        <v>117</v>
      </c>
      <c r="G16" s="451"/>
      <c r="H16" s="437">
        <f t="shared" si="0"/>
        <v>0</v>
      </c>
      <c r="I16" s="452"/>
      <c r="J16" s="453"/>
      <c r="K16" s="453"/>
      <c r="L16" s="453"/>
      <c r="M16" s="453"/>
      <c r="N16" s="453"/>
      <c r="O16" s="453"/>
      <c r="P16" s="453"/>
      <c r="Q16" s="453"/>
      <c r="R16" s="453"/>
      <c r="S16" s="453"/>
      <c r="T16" s="209"/>
      <c r="U16" s="594"/>
      <c r="V16" s="454">
        <v>0</v>
      </c>
      <c r="W16" s="616"/>
      <c r="X16" s="616"/>
      <c r="Y16" s="454"/>
      <c r="Z16" s="209"/>
      <c r="AA16" s="983"/>
      <c r="AB16" s="454"/>
      <c r="AC16" s="454"/>
      <c r="AD16" s="454"/>
      <c r="AE16" s="454"/>
      <c r="AF16" s="450"/>
      <c r="AG16" s="208"/>
      <c r="AH16" s="450"/>
      <c r="AI16" s="457"/>
      <c r="AJ16" s="450"/>
      <c r="AK16" s="208"/>
      <c r="AL16" s="450"/>
      <c r="AM16" s="458"/>
      <c r="AN16" s="960"/>
      <c r="AO16" s="459"/>
      <c r="AP16" s="459"/>
    </row>
    <row r="17" spans="1:42" ht="17.25" customHeight="1">
      <c r="A17" s="304">
        <f>AVERAGE(AI25:AI206)</f>
        <v>12.469135802469136</v>
      </c>
      <c r="C17" s="197"/>
      <c r="D17" s="212" t="s">
        <v>115</v>
      </c>
      <c r="E17" s="198" t="s">
        <v>173</v>
      </c>
      <c r="F17" s="199"/>
      <c r="G17" s="219"/>
      <c r="H17" s="292">
        <f t="shared" si="0"/>
        <v>1183.33</v>
      </c>
      <c r="I17" s="283"/>
      <c r="J17" s="206"/>
      <c r="K17" s="206"/>
      <c r="L17" s="206"/>
      <c r="M17" s="206"/>
      <c r="N17" s="206"/>
      <c r="O17" s="206"/>
      <c r="P17" s="206"/>
      <c r="Q17" s="206"/>
      <c r="R17" s="206"/>
      <c r="S17" s="206"/>
      <c r="T17" s="201"/>
      <c r="U17" s="202"/>
      <c r="V17" s="341">
        <v>583.33000000000004</v>
      </c>
      <c r="W17" s="510">
        <v>600</v>
      </c>
      <c r="X17" s="510"/>
      <c r="Y17" s="341"/>
      <c r="Z17" s="201"/>
      <c r="AA17" s="983"/>
      <c r="AB17" s="341"/>
      <c r="AC17" s="341"/>
      <c r="AD17" s="341"/>
      <c r="AE17" s="341"/>
      <c r="AF17" s="199"/>
      <c r="AG17" s="200"/>
      <c r="AH17" s="199"/>
      <c r="AI17" s="299"/>
      <c r="AJ17" s="199"/>
      <c r="AK17" s="200">
        <v>6312</v>
      </c>
      <c r="AL17" s="199"/>
      <c r="AM17" s="205"/>
      <c r="AN17" s="959"/>
      <c r="AO17" s="207" t="s">
        <v>88</v>
      </c>
      <c r="AP17" s="207"/>
    </row>
    <row r="18" spans="1:42" ht="17.25" customHeight="1">
      <c r="A18" s="37" t="s">
        <v>174</v>
      </c>
      <c r="C18" s="447"/>
      <c r="D18" s="448" t="s">
        <v>115</v>
      </c>
      <c r="E18" s="449" t="s">
        <v>175</v>
      </c>
      <c r="F18" s="450" t="s">
        <v>124</v>
      </c>
      <c r="G18" s="451" t="s">
        <v>125</v>
      </c>
      <c r="H18" s="437">
        <f t="shared" si="0"/>
        <v>141.81</v>
      </c>
      <c r="I18" s="452"/>
      <c r="J18" s="453"/>
      <c r="K18" s="453"/>
      <c r="L18" s="453"/>
      <c r="M18" s="453"/>
      <c r="N18" s="453"/>
      <c r="O18" s="453"/>
      <c r="P18" s="453"/>
      <c r="Q18" s="453"/>
      <c r="R18" s="453"/>
      <c r="S18" s="453"/>
      <c r="T18" s="209"/>
      <c r="U18" s="210"/>
      <c r="V18" s="454"/>
      <c r="W18" s="616"/>
      <c r="X18" s="616">
        <v>141.81</v>
      </c>
      <c r="Y18" s="454"/>
      <c r="Z18" s="209"/>
      <c r="AA18" s="983"/>
      <c r="AB18" s="454"/>
      <c r="AC18" s="454"/>
      <c r="AD18" s="454"/>
      <c r="AE18" s="454"/>
      <c r="AF18" s="456">
        <v>41554</v>
      </c>
      <c r="AG18" s="621">
        <v>44287</v>
      </c>
      <c r="AH18" s="450"/>
      <c r="AI18" s="457"/>
      <c r="AJ18" s="450">
        <v>35924455</v>
      </c>
      <c r="AK18" s="208">
        <v>100174643</v>
      </c>
      <c r="AL18" s="450" t="s">
        <v>176</v>
      </c>
      <c r="AM18" s="458">
        <v>6192352300</v>
      </c>
      <c r="AN18" s="960" t="s">
        <v>177</v>
      </c>
      <c r="AO18" s="459" t="s">
        <v>178</v>
      </c>
      <c r="AP18" s="453" t="s">
        <v>179</v>
      </c>
    </row>
    <row r="19" spans="1:42" ht="17.25" customHeight="1">
      <c r="A19" s="304">
        <f>AVERAGE(AI1:AI10229)</f>
        <v>13.878504672897197</v>
      </c>
      <c r="C19" s="197"/>
      <c r="D19" s="212" t="s">
        <v>115</v>
      </c>
      <c r="E19" s="198" t="s">
        <v>180</v>
      </c>
      <c r="F19" s="199" t="s">
        <v>117</v>
      </c>
      <c r="G19" s="219"/>
      <c r="H19" s="292">
        <f t="shared" si="0"/>
        <v>27420.15</v>
      </c>
      <c r="I19" s="283"/>
      <c r="J19" s="206"/>
      <c r="K19" s="206"/>
      <c r="L19" s="206"/>
      <c r="M19" s="206"/>
      <c r="N19" s="206"/>
      <c r="O19" s="206"/>
      <c r="P19" s="206"/>
      <c r="Q19" s="206"/>
      <c r="R19" s="206"/>
      <c r="S19" s="206"/>
      <c r="T19" s="201"/>
      <c r="U19" s="202"/>
      <c r="V19" s="341">
        <f>SUM(1375.67+1375.67+885.8)</f>
        <v>3637.1400000000003</v>
      </c>
      <c r="W19" s="510">
        <f>1118.78+551.25+1118.78+1386.5+1386.5</f>
        <v>5561.8099999999995</v>
      </c>
      <c r="X19" s="510">
        <f>1386.5+1751.1+1386.5+1538.25</f>
        <v>6062.35</v>
      </c>
      <c r="Y19" s="341">
        <f>1538.25+1195.1+1538.25+1665.5+1609</f>
        <v>7546.1</v>
      </c>
      <c r="Z19" s="201">
        <f>1665.5+1665.5+1281.75</f>
        <v>4612.75</v>
      </c>
      <c r="AA19" s="983">
        <f>1281.75+1281.75+1281.75+1477.42</f>
        <v>5322.67</v>
      </c>
      <c r="AB19" s="341"/>
      <c r="AC19" s="341">
        <v>2000</v>
      </c>
      <c r="AD19" s="341"/>
      <c r="AE19" s="341"/>
      <c r="AF19" s="204">
        <v>39086</v>
      </c>
      <c r="AG19" s="344">
        <v>39086</v>
      </c>
      <c r="AH19" s="199"/>
      <c r="AI19" s="299"/>
      <c r="AJ19" s="199">
        <v>20511770</v>
      </c>
      <c r="AK19" s="200">
        <v>20511770</v>
      </c>
      <c r="AL19" s="199" t="s">
        <v>181</v>
      </c>
      <c r="AM19" s="205" t="s">
        <v>182</v>
      </c>
      <c r="AN19" s="277" t="s">
        <v>183</v>
      </c>
      <c r="AO19" s="207" t="s">
        <v>184</v>
      </c>
      <c r="AP19" s="927" t="s">
        <v>185</v>
      </c>
    </row>
    <row r="20" spans="1:42" ht="17.25" customHeight="1">
      <c r="A20" s="37" t="s">
        <v>186</v>
      </c>
      <c r="C20" s="447"/>
      <c r="D20" s="448" t="s">
        <v>115</v>
      </c>
      <c r="E20" s="449" t="s">
        <v>187</v>
      </c>
      <c r="F20" s="450" t="s">
        <v>117</v>
      </c>
      <c r="G20" s="451"/>
      <c r="H20" s="437">
        <f t="shared" si="0"/>
        <v>15050.05</v>
      </c>
      <c r="I20" s="452"/>
      <c r="J20" s="453"/>
      <c r="K20" s="453"/>
      <c r="L20" s="453"/>
      <c r="M20" s="453"/>
      <c r="N20" s="453"/>
      <c r="O20" s="453"/>
      <c r="P20" s="453"/>
      <c r="Q20" s="453"/>
      <c r="R20" s="453"/>
      <c r="S20" s="453"/>
      <c r="T20" s="209"/>
      <c r="U20" s="210"/>
      <c r="V20" s="454">
        <f>SUM(2230.25+569+551.25)</f>
        <v>3350.5</v>
      </c>
      <c r="W20" s="616">
        <f>1102.5+551.25+511.75</f>
        <v>2165.5</v>
      </c>
      <c r="X20" s="616">
        <f>511.75+472+440.5+511.75+511.75+681.5</f>
        <v>3129.25</v>
      </c>
      <c r="Y20" s="454">
        <f>947.32+681.5+681.5+681.5+595.25</f>
        <v>3587.07</v>
      </c>
      <c r="Z20" s="209">
        <f>595.25+466.98+595.25+595.25+565</f>
        <v>2817.73</v>
      </c>
      <c r="AA20" s="983">
        <f>565+397.5+565</f>
        <v>1527.5</v>
      </c>
      <c r="AB20" s="454">
        <v>2000</v>
      </c>
      <c r="AC20" s="454">
        <v>2000</v>
      </c>
      <c r="AD20" s="454"/>
      <c r="AE20" s="454"/>
      <c r="AF20" s="449"/>
      <c r="AG20" s="455">
        <v>39129</v>
      </c>
      <c r="AH20" s="450"/>
      <c r="AI20" s="457" t="s">
        <v>88</v>
      </c>
      <c r="AJ20" s="450">
        <v>11403</v>
      </c>
      <c r="AK20" s="208">
        <v>100325862</v>
      </c>
      <c r="AL20" s="450" t="s">
        <v>188</v>
      </c>
      <c r="AM20" s="458" t="s">
        <v>189</v>
      </c>
      <c r="AN20" s="277" t="s">
        <v>190</v>
      </c>
      <c r="AO20" s="207" t="s">
        <v>184</v>
      </c>
      <c r="AP20" s="459"/>
    </row>
    <row r="21" spans="1:42" ht="17.25" customHeight="1">
      <c r="A21" s="666">
        <f>AVERAGE(AI208:AI10229)</f>
        <v>14.354166666666666</v>
      </c>
      <c r="C21" s="197" t="s">
        <v>191</v>
      </c>
      <c r="D21" s="212" t="s">
        <v>115</v>
      </c>
      <c r="E21" s="198" t="s">
        <v>192</v>
      </c>
      <c r="F21" s="199" t="s">
        <v>117</v>
      </c>
      <c r="G21" s="219" t="s">
        <v>88</v>
      </c>
      <c r="H21" s="292">
        <f t="shared" si="0"/>
        <v>45275</v>
      </c>
      <c r="I21" s="283"/>
      <c r="J21" s="206"/>
      <c r="K21" s="206"/>
      <c r="L21" s="206"/>
      <c r="M21" s="206"/>
      <c r="N21" s="206">
        <v>44000</v>
      </c>
      <c r="O21" s="812"/>
      <c r="P21" s="206"/>
      <c r="Q21" s="206"/>
      <c r="R21" s="206"/>
      <c r="S21" s="206">
        <v>1275</v>
      </c>
      <c r="T21" s="201"/>
      <c r="U21" s="202"/>
      <c r="V21" s="341">
        <v>0</v>
      </c>
      <c r="W21" s="510" t="s">
        <v>88</v>
      </c>
      <c r="X21" s="510"/>
      <c r="Y21" s="341"/>
      <c r="Z21" s="201"/>
      <c r="AA21" s="983"/>
      <c r="AB21" s="341"/>
      <c r="AC21" s="341"/>
      <c r="AD21" s="341"/>
      <c r="AE21" s="341"/>
      <c r="AF21" s="204">
        <v>39905</v>
      </c>
      <c r="AG21" s="928">
        <v>40066</v>
      </c>
      <c r="AH21" s="929"/>
      <c r="AI21" s="299"/>
      <c r="AJ21" s="199"/>
      <c r="AK21" s="200">
        <v>6596886</v>
      </c>
      <c r="AL21" s="199" t="s">
        <v>193</v>
      </c>
      <c r="AM21" s="205" t="s">
        <v>194</v>
      </c>
      <c r="AN21" s="959" t="s">
        <v>195</v>
      </c>
      <c r="AO21" s="207" t="s">
        <v>196</v>
      </c>
      <c r="AP21" s="206" t="s">
        <v>197</v>
      </c>
    </row>
    <row r="22" spans="1:42" ht="17.25" customHeight="1">
      <c r="A22" s="37" t="s">
        <v>198</v>
      </c>
      <c r="C22" s="447"/>
      <c r="D22" s="448" t="s">
        <v>115</v>
      </c>
      <c r="E22" s="449" t="s">
        <v>199</v>
      </c>
      <c r="F22" s="450" t="s">
        <v>200</v>
      </c>
      <c r="G22" s="451"/>
      <c r="H22" s="437">
        <f t="shared" si="0"/>
        <v>0</v>
      </c>
      <c r="I22" s="452"/>
      <c r="J22" s="453"/>
      <c r="K22" s="453"/>
      <c r="L22" s="453"/>
      <c r="M22" s="453"/>
      <c r="N22" s="453"/>
      <c r="O22" s="874"/>
      <c r="P22" s="453"/>
      <c r="Q22" s="453"/>
      <c r="R22" s="453"/>
      <c r="S22" s="453"/>
      <c r="T22" s="209"/>
      <c r="U22" s="210"/>
      <c r="V22" s="454"/>
      <c r="W22" s="616"/>
      <c r="X22" s="616"/>
      <c r="Y22" s="454"/>
      <c r="Z22" s="209"/>
      <c r="AA22" s="983"/>
      <c r="AB22" s="454"/>
      <c r="AC22" s="454"/>
      <c r="AD22" s="454"/>
      <c r="AE22" s="454"/>
      <c r="AF22" s="456">
        <v>44598</v>
      </c>
      <c r="AG22" s="947">
        <v>44818</v>
      </c>
      <c r="AH22" s="931"/>
      <c r="AI22" s="457"/>
      <c r="AJ22" s="450">
        <v>100978789</v>
      </c>
      <c r="AK22" s="208">
        <v>28215374</v>
      </c>
      <c r="AL22" s="450" t="s">
        <v>201</v>
      </c>
      <c r="AM22" s="458" t="s">
        <v>202</v>
      </c>
      <c r="AN22" s="962" t="s">
        <v>203</v>
      </c>
      <c r="AO22" s="459" t="s">
        <v>204</v>
      </c>
      <c r="AP22" s="459"/>
    </row>
    <row r="23" spans="1:42" ht="17.25" customHeight="1">
      <c r="A23" s="666">
        <f>AVERAGE(AI309:AI10229)</f>
        <v>15.647887323943662</v>
      </c>
      <c r="C23" s="939"/>
      <c r="D23" s="940" t="s">
        <v>205</v>
      </c>
      <c r="E23" s="941" t="s">
        <v>206</v>
      </c>
      <c r="F23" s="936" t="s">
        <v>200</v>
      </c>
      <c r="G23" s="942" t="s">
        <v>88</v>
      </c>
      <c r="H23" s="292">
        <f t="shared" si="0"/>
        <v>92.67</v>
      </c>
      <c r="I23" s="943"/>
      <c r="J23" s="944"/>
      <c r="K23" s="944"/>
      <c r="L23" s="944"/>
      <c r="M23" s="944"/>
      <c r="N23" s="944"/>
      <c r="O23" s="944"/>
      <c r="P23" s="944"/>
      <c r="Q23" s="944"/>
      <c r="R23" s="944"/>
      <c r="S23" s="944"/>
      <c r="T23" s="945"/>
      <c r="U23" s="932"/>
      <c r="V23" s="933">
        <v>0</v>
      </c>
      <c r="W23" s="946" t="s">
        <v>88</v>
      </c>
      <c r="X23" s="946">
        <v>92.67</v>
      </c>
      <c r="Y23" s="933"/>
      <c r="Z23" s="945"/>
      <c r="AA23" s="985"/>
      <c r="AB23" s="933"/>
      <c r="AC23" s="933"/>
      <c r="AD23" s="933"/>
      <c r="AE23" s="933"/>
      <c r="AF23" s="934"/>
      <c r="AG23" s="935">
        <v>44195</v>
      </c>
      <c r="AH23" s="936"/>
      <c r="AI23" s="937"/>
      <c r="AJ23" s="936"/>
      <c r="AK23" s="938">
        <v>25017567</v>
      </c>
      <c r="AL23" s="936" t="s">
        <v>207</v>
      </c>
      <c r="AM23" s="596">
        <v>8552725519</v>
      </c>
      <c r="AN23" s="963" t="s">
        <v>208</v>
      </c>
      <c r="AO23" s="597" t="s">
        <v>209</v>
      </c>
      <c r="AP23" s="598" t="s">
        <v>210</v>
      </c>
    </row>
    <row r="24" spans="1:42" s="22" customFormat="1" ht="18.75" customHeight="1">
      <c r="A24" s="37" t="s">
        <v>211</v>
      </c>
      <c r="C24" s="699" t="s">
        <v>212</v>
      </c>
      <c r="D24" s="469"/>
      <c r="E24" s="469"/>
      <c r="F24" s="32"/>
      <c r="G24" s="470"/>
      <c r="H24" s="721"/>
      <c r="I24" s="471"/>
      <c r="J24" s="470"/>
      <c r="K24" s="470"/>
      <c r="L24" s="470"/>
      <c r="M24" s="470"/>
      <c r="N24" s="470"/>
      <c r="O24" s="470"/>
      <c r="P24" s="470"/>
      <c r="Q24" s="470"/>
      <c r="R24" s="470"/>
      <c r="S24" s="470"/>
      <c r="T24" s="472"/>
      <c r="U24" s="472"/>
      <c r="V24" s="472"/>
      <c r="W24" s="472"/>
      <c r="X24" s="472"/>
      <c r="Y24" s="472"/>
      <c r="Z24" s="472"/>
      <c r="AA24" s="472"/>
      <c r="AB24" s="472"/>
      <c r="AC24" s="472"/>
      <c r="AD24" s="472"/>
      <c r="AE24" s="472"/>
      <c r="AF24" s="32"/>
      <c r="AG24" s="32"/>
      <c r="AH24" s="32"/>
      <c r="AI24" s="473"/>
      <c r="AJ24" s="32"/>
      <c r="AK24" s="32"/>
      <c r="AL24" s="32"/>
      <c r="AM24" s="474"/>
      <c r="AN24" s="470"/>
      <c r="AO24" s="470" t="s">
        <v>213</v>
      </c>
      <c r="AP24" s="470"/>
    </row>
    <row r="25" spans="1:42" s="22" customFormat="1" ht="17.25" customHeight="1" thickBot="1">
      <c r="A25" s="257">
        <f>SUM(H3:H10230)</f>
        <v>146713898.77999982</v>
      </c>
      <c r="B25" s="22" t="s">
        <v>191</v>
      </c>
      <c r="C25" s="447"/>
      <c r="D25" s="448" t="s">
        <v>205</v>
      </c>
      <c r="E25" s="449" t="s">
        <v>214</v>
      </c>
      <c r="F25" s="450" t="s">
        <v>215</v>
      </c>
      <c r="G25" s="451" t="s">
        <v>216</v>
      </c>
      <c r="H25" s="437">
        <f>SUM(I25:Z25)</f>
        <v>40981.85</v>
      </c>
      <c r="I25" s="452"/>
      <c r="J25" s="453"/>
      <c r="K25" s="453"/>
      <c r="L25" s="453"/>
      <c r="M25" s="453"/>
      <c r="N25" s="453"/>
      <c r="O25" s="453"/>
      <c r="P25" s="453"/>
      <c r="Q25" s="453"/>
      <c r="R25" s="453"/>
      <c r="S25" s="453"/>
      <c r="T25" s="209"/>
      <c r="U25" s="210"/>
      <c r="V25" s="454"/>
      <c r="W25" s="616"/>
      <c r="X25" s="616"/>
      <c r="Y25" s="454">
        <f>38000+2981.85</f>
        <v>40981.85</v>
      </c>
      <c r="Z25" s="209"/>
      <c r="AA25" s="988"/>
      <c r="AB25" s="209"/>
      <c r="AC25" s="454"/>
      <c r="AD25" s="454"/>
      <c r="AE25" s="454"/>
      <c r="AF25" s="455">
        <v>43231</v>
      </c>
      <c r="AG25" s="455">
        <v>44069</v>
      </c>
      <c r="AH25" s="456"/>
      <c r="AI25" s="457" t="s">
        <v>88</v>
      </c>
      <c r="AJ25" s="450">
        <v>100467200</v>
      </c>
      <c r="AK25" s="208">
        <v>51790970</v>
      </c>
      <c r="AL25" s="450" t="s">
        <v>217</v>
      </c>
      <c r="AM25" s="458">
        <v>8059630755</v>
      </c>
      <c r="AN25" s="450" t="s">
        <v>218</v>
      </c>
      <c r="AO25" s="815" t="s">
        <v>219</v>
      </c>
      <c r="AP25" s="633" t="s">
        <v>220</v>
      </c>
    </row>
    <row r="26" spans="1:42" s="22" customFormat="1" ht="17.25" customHeight="1">
      <c r="A26" s="665"/>
      <c r="C26" s="197"/>
      <c r="D26" s="212" t="s">
        <v>115</v>
      </c>
      <c r="E26" s="198" t="s">
        <v>221</v>
      </c>
      <c r="F26" s="199" t="s">
        <v>215</v>
      </c>
      <c r="G26" s="219" t="s">
        <v>222</v>
      </c>
      <c r="H26" s="292">
        <f>SUM(I26:Z26)</f>
        <v>0</v>
      </c>
      <c r="I26" s="283"/>
      <c r="J26" s="206"/>
      <c r="K26" s="206"/>
      <c r="L26" s="206"/>
      <c r="M26" s="206"/>
      <c r="N26" s="206"/>
      <c r="O26" s="206"/>
      <c r="P26" s="206"/>
      <c r="Q26" s="206"/>
      <c r="R26" s="206"/>
      <c r="S26" s="206"/>
      <c r="T26" s="201"/>
      <c r="U26" s="202"/>
      <c r="V26" s="341"/>
      <c r="W26" s="510"/>
      <c r="X26" s="510"/>
      <c r="Y26" s="341"/>
      <c r="Z26" s="201"/>
      <c r="AA26" s="988">
        <v>77067.05</v>
      </c>
      <c r="AB26" s="201"/>
      <c r="AC26" s="341"/>
      <c r="AD26" s="341"/>
      <c r="AE26" s="341"/>
      <c r="AF26" s="203">
        <v>40449</v>
      </c>
      <c r="AG26" s="203">
        <v>45156</v>
      </c>
      <c r="AH26" s="204"/>
      <c r="AI26" s="299"/>
      <c r="AJ26" s="199">
        <v>101183126</v>
      </c>
      <c r="AK26" s="200"/>
      <c r="AL26" s="199" t="s">
        <v>223</v>
      </c>
      <c r="AM26" s="205" t="s">
        <v>224</v>
      </c>
      <c r="AN26" s="199" t="s">
        <v>225</v>
      </c>
      <c r="AO26" s="820" t="s">
        <v>226</v>
      </c>
      <c r="AP26" s="907"/>
    </row>
    <row r="27" spans="1:42" s="22" customFormat="1" ht="17.25" customHeight="1" thickBot="1">
      <c r="A27" s="665"/>
      <c r="C27" s="447"/>
      <c r="D27" s="448" t="s">
        <v>115</v>
      </c>
      <c r="E27" s="435" t="s">
        <v>227</v>
      </c>
      <c r="F27" s="436" t="s">
        <v>215</v>
      </c>
      <c r="G27" s="460"/>
      <c r="H27" s="437">
        <f t="shared" ref="H27:H108" si="1">SUM(I27:Z27)</f>
        <v>0</v>
      </c>
      <c r="I27" s="462"/>
      <c r="J27" s="463"/>
      <c r="K27" s="463"/>
      <c r="L27" s="463"/>
      <c r="M27" s="463"/>
      <c r="N27" s="463"/>
      <c r="O27" s="463"/>
      <c r="P27" s="463"/>
      <c r="Q27" s="463"/>
      <c r="R27" s="463"/>
      <c r="S27" s="463"/>
      <c r="T27" s="438"/>
      <c r="U27" s="439"/>
      <c r="V27" s="440"/>
      <c r="W27" s="703"/>
      <c r="X27" s="703"/>
      <c r="Y27" s="440"/>
      <c r="Z27" s="438"/>
      <c r="AA27" s="986"/>
      <c r="AB27" s="438"/>
      <c r="AC27" s="440"/>
      <c r="AD27" s="440"/>
      <c r="AE27" s="440"/>
      <c r="AF27" s="441">
        <v>41914</v>
      </c>
      <c r="AG27" s="441">
        <v>42257</v>
      </c>
      <c r="AH27" s="436"/>
      <c r="AI27" s="443"/>
      <c r="AJ27" s="436">
        <v>100610511</v>
      </c>
      <c r="AK27" s="444">
        <v>20178604</v>
      </c>
      <c r="AL27" s="436" t="s">
        <v>228</v>
      </c>
      <c r="AM27" s="1028" t="s">
        <v>229</v>
      </c>
      <c r="AN27" s="1032" t="s">
        <v>230</v>
      </c>
      <c r="AO27" s="460" t="s">
        <v>231</v>
      </c>
      <c r="AP27" s="463"/>
    </row>
    <row r="28" spans="1:42" s="22" customFormat="1" ht="17.25" customHeight="1">
      <c r="A28" s="667" t="s">
        <v>232</v>
      </c>
      <c r="C28" s="197"/>
      <c r="D28" s="212" t="s">
        <v>115</v>
      </c>
      <c r="E28" s="240" t="s">
        <v>233</v>
      </c>
      <c r="F28" s="241" t="s">
        <v>215</v>
      </c>
      <c r="G28" s="242"/>
      <c r="H28" s="292">
        <f t="shared" si="1"/>
        <v>0</v>
      </c>
      <c r="I28" s="284"/>
      <c r="J28" s="249"/>
      <c r="K28" s="249"/>
      <c r="L28" s="249"/>
      <c r="M28" s="249"/>
      <c r="N28" s="249"/>
      <c r="O28" s="249"/>
      <c r="P28" s="249"/>
      <c r="Q28" s="249"/>
      <c r="R28" s="249"/>
      <c r="S28" s="249"/>
      <c r="T28" s="243"/>
      <c r="U28" s="244"/>
      <c r="V28" s="342"/>
      <c r="W28" s="706"/>
      <c r="X28" s="706"/>
      <c r="Y28" s="342"/>
      <c r="Z28" s="243"/>
      <c r="AA28" s="986"/>
      <c r="AB28" s="243">
        <v>5000</v>
      </c>
      <c r="AC28" s="342"/>
      <c r="AD28" s="342"/>
      <c r="AE28" s="342"/>
      <c r="AF28" s="245">
        <v>44901</v>
      </c>
      <c r="AG28" s="245">
        <v>44994</v>
      </c>
      <c r="AH28" s="241"/>
      <c r="AI28" s="300" t="s">
        <v>88</v>
      </c>
      <c r="AJ28" s="241">
        <v>101091951</v>
      </c>
      <c r="AK28" s="247">
        <v>100056233</v>
      </c>
      <c r="AL28" s="241" t="s">
        <v>234</v>
      </c>
      <c r="AM28" s="901" t="s">
        <v>235</v>
      </c>
      <c r="AN28" s="199" t="s">
        <v>236</v>
      </c>
      <c r="AO28" s="242" t="s">
        <v>237</v>
      </c>
      <c r="AP28" s="249"/>
    </row>
    <row r="29" spans="1:42" s="22" customFormat="1" ht="17.25" customHeight="1">
      <c r="A29" s="666">
        <f>COUNTIFS(D3:D307, "W",C3:C307, "&lt;&gt;x")</f>
        <v>17</v>
      </c>
      <c r="C29" s="447" t="s">
        <v>238</v>
      </c>
      <c r="D29" s="448" t="s">
        <v>115</v>
      </c>
      <c r="E29" s="435" t="s">
        <v>239</v>
      </c>
      <c r="F29" s="436" t="s">
        <v>149</v>
      </c>
      <c r="G29" s="460" t="s">
        <v>240</v>
      </c>
      <c r="H29" s="437">
        <f t="shared" si="1"/>
        <v>0</v>
      </c>
      <c r="I29" s="462"/>
      <c r="J29" s="463"/>
      <c r="K29" s="463"/>
      <c r="L29" s="463"/>
      <c r="M29" s="463"/>
      <c r="N29" s="463"/>
      <c r="O29" s="463"/>
      <c r="P29" s="463"/>
      <c r="Q29" s="463"/>
      <c r="R29" s="463"/>
      <c r="S29" s="463"/>
      <c r="T29" s="438"/>
      <c r="U29" s="439"/>
      <c r="V29" s="440"/>
      <c r="W29" s="703"/>
      <c r="X29" s="703"/>
      <c r="Y29" s="440"/>
      <c r="Z29" s="438"/>
      <c r="AA29" s="986">
        <f>55336.07+53707.01</f>
        <v>109043.08</v>
      </c>
      <c r="AB29" s="438"/>
      <c r="AC29" s="440"/>
      <c r="AD29" s="440"/>
      <c r="AE29" s="440"/>
      <c r="AF29" s="441">
        <v>45202</v>
      </c>
      <c r="AG29" s="441">
        <v>45243</v>
      </c>
      <c r="AH29" s="442">
        <v>45414</v>
      </c>
      <c r="AI29" s="443">
        <v>6</v>
      </c>
      <c r="AJ29" s="436">
        <v>101253571</v>
      </c>
      <c r="AK29" s="444">
        <v>472464</v>
      </c>
      <c r="AL29" s="436" t="s">
        <v>241</v>
      </c>
      <c r="AM29" s="1028" t="s">
        <v>242</v>
      </c>
      <c r="AN29" s="450"/>
      <c r="AO29" s="460" t="s">
        <v>243</v>
      </c>
      <c r="AP29" s="463"/>
    </row>
    <row r="30" spans="1:42" s="22" customFormat="1" ht="17.25" customHeight="1">
      <c r="A30" s="756" t="s">
        <v>244</v>
      </c>
      <c r="C30" s="197"/>
      <c r="D30" s="212" t="s">
        <v>115</v>
      </c>
      <c r="E30" s="198" t="s">
        <v>245</v>
      </c>
      <c r="F30" s="199" t="s">
        <v>117</v>
      </c>
      <c r="G30" s="801" t="s">
        <v>246</v>
      </c>
      <c r="H30" s="292">
        <f t="shared" si="1"/>
        <v>135300</v>
      </c>
      <c r="I30" s="813"/>
      <c r="J30" s="814"/>
      <c r="K30" s="814"/>
      <c r="L30" s="814"/>
      <c r="M30" s="814"/>
      <c r="N30" s="814"/>
      <c r="O30" s="814"/>
      <c r="P30" s="814"/>
      <c r="Q30" s="814"/>
      <c r="R30" s="814"/>
      <c r="S30" s="814"/>
      <c r="T30" s="201"/>
      <c r="U30" s="202"/>
      <c r="V30" s="341"/>
      <c r="W30" s="510">
        <v>300</v>
      </c>
      <c r="X30" s="510"/>
      <c r="Y30" s="341"/>
      <c r="Z30" s="949">
        <v>135000</v>
      </c>
      <c r="AA30" s="989"/>
      <c r="AB30" s="201"/>
      <c r="AC30" s="341"/>
      <c r="AD30" s="341"/>
      <c r="AE30" s="341"/>
      <c r="AF30" s="203">
        <v>41914</v>
      </c>
      <c r="AG30" s="203">
        <v>43894</v>
      </c>
      <c r="AH30" s="204"/>
      <c r="AI30" s="299" t="s">
        <v>88</v>
      </c>
      <c r="AJ30" s="199">
        <v>100372999</v>
      </c>
      <c r="AK30" s="200">
        <v>39920251</v>
      </c>
      <c r="AL30" s="1005" t="s">
        <v>247</v>
      </c>
      <c r="AM30" s="205" t="s">
        <v>248</v>
      </c>
      <c r="AN30" s="199" t="s">
        <v>249</v>
      </c>
      <c r="AO30" s="219" t="s">
        <v>250</v>
      </c>
      <c r="AP30" s="1006"/>
    </row>
    <row r="31" spans="1:42" s="22" customFormat="1" ht="17.25" customHeight="1" thickBot="1">
      <c r="A31" s="757">
        <f>COUNTIFS(D3:D206, "V",C3:C206, "&lt;&gt;x")</f>
        <v>80</v>
      </c>
      <c r="C31" s="447" t="s">
        <v>238</v>
      </c>
      <c r="D31" s="448" t="s">
        <v>115</v>
      </c>
      <c r="E31" s="449" t="s">
        <v>251</v>
      </c>
      <c r="F31" s="450" t="s">
        <v>149</v>
      </c>
      <c r="G31" s="805"/>
      <c r="H31" s="437">
        <f t="shared" si="1"/>
        <v>0</v>
      </c>
      <c r="I31" s="818"/>
      <c r="J31" s="819"/>
      <c r="K31" s="819"/>
      <c r="L31" s="819"/>
      <c r="M31" s="819"/>
      <c r="N31" s="819"/>
      <c r="O31" s="819"/>
      <c r="P31" s="819"/>
      <c r="Q31" s="819"/>
      <c r="R31" s="819"/>
      <c r="S31" s="819"/>
      <c r="T31" s="209"/>
      <c r="U31" s="210"/>
      <c r="V31" s="454"/>
      <c r="W31" s="616"/>
      <c r="X31" s="616"/>
      <c r="Y31" s="454"/>
      <c r="Z31" s="997"/>
      <c r="AA31" s="1000">
        <v>20101.669999999998</v>
      </c>
      <c r="AB31" s="209"/>
      <c r="AC31" s="454"/>
      <c r="AD31" s="454"/>
      <c r="AE31" s="454"/>
      <c r="AF31" s="455">
        <v>44995</v>
      </c>
      <c r="AG31" s="455">
        <v>45136</v>
      </c>
      <c r="AH31" s="456"/>
      <c r="AI31" s="457"/>
      <c r="AJ31" s="450">
        <v>101152766</v>
      </c>
      <c r="AK31" s="208">
        <v>95850798</v>
      </c>
      <c r="AL31" s="878" t="s">
        <v>252</v>
      </c>
      <c r="AM31" s="458" t="s">
        <v>253</v>
      </c>
      <c r="AN31" s="450" t="s">
        <v>254</v>
      </c>
      <c r="AO31" s="451" t="s">
        <v>255</v>
      </c>
      <c r="AP31" s="1007"/>
    </row>
    <row r="32" spans="1:42" s="22" customFormat="1" ht="17.25" customHeight="1">
      <c r="A32" s="1026"/>
      <c r="C32" s="197" t="s">
        <v>238</v>
      </c>
      <c r="D32" s="212" t="s">
        <v>115</v>
      </c>
      <c r="E32" s="198" t="s">
        <v>256</v>
      </c>
      <c r="F32" s="199" t="s">
        <v>215</v>
      </c>
      <c r="G32" s="801"/>
      <c r="H32" s="292"/>
      <c r="I32" s="813"/>
      <c r="J32" s="814"/>
      <c r="K32" s="814"/>
      <c r="L32" s="814"/>
      <c r="M32" s="814"/>
      <c r="N32" s="814"/>
      <c r="O32" s="814"/>
      <c r="P32" s="814"/>
      <c r="Q32" s="814"/>
      <c r="R32" s="814"/>
      <c r="S32" s="814"/>
      <c r="T32" s="201"/>
      <c r="U32" s="202"/>
      <c r="V32" s="341"/>
      <c r="W32" s="510"/>
      <c r="X32" s="510"/>
      <c r="Y32" s="341"/>
      <c r="Z32" s="949"/>
      <c r="AA32" s="1000">
        <v>8334</v>
      </c>
      <c r="AB32" s="201"/>
      <c r="AC32" s="341"/>
      <c r="AD32" s="341"/>
      <c r="AE32" s="341"/>
      <c r="AF32" s="203">
        <v>42589</v>
      </c>
      <c r="AG32" s="203">
        <v>45390</v>
      </c>
      <c r="AH32" s="204">
        <v>45397</v>
      </c>
      <c r="AI32" s="299">
        <v>0</v>
      </c>
      <c r="AJ32" s="199">
        <v>25566357</v>
      </c>
      <c r="AK32" s="200">
        <v>101354436</v>
      </c>
      <c r="AL32" s="1005" t="s">
        <v>257</v>
      </c>
      <c r="AM32" s="205" t="s">
        <v>258</v>
      </c>
      <c r="AN32" s="199" t="s">
        <v>259</v>
      </c>
      <c r="AO32" s="219" t="s">
        <v>260</v>
      </c>
      <c r="AP32" s="1006"/>
    </row>
    <row r="33" spans="1:42" s="22" customFormat="1" ht="17.25" customHeight="1" thickBot="1">
      <c r="C33" s="433" t="s">
        <v>238</v>
      </c>
      <c r="D33" s="434" t="s">
        <v>115</v>
      </c>
      <c r="E33" s="435" t="s">
        <v>261</v>
      </c>
      <c r="F33" s="436" t="s">
        <v>215</v>
      </c>
      <c r="G33" s="460" t="s">
        <v>262</v>
      </c>
      <c r="H33" s="437">
        <f t="shared" si="1"/>
        <v>33500</v>
      </c>
      <c r="I33" s="462"/>
      <c r="J33" s="463"/>
      <c r="K33" s="463"/>
      <c r="L33" s="463"/>
      <c r="M33" s="463"/>
      <c r="N33" s="463"/>
      <c r="O33" s="463"/>
      <c r="P33" s="463"/>
      <c r="Q33" s="463"/>
      <c r="R33" s="463"/>
      <c r="S33" s="463"/>
      <c r="T33" s="438"/>
      <c r="U33" s="439"/>
      <c r="V33" s="440"/>
      <c r="W33" s="703"/>
      <c r="X33" s="703"/>
      <c r="Y33" s="440">
        <v>33500</v>
      </c>
      <c r="Z33" s="438"/>
      <c r="AA33" s="1000">
        <v>3636.87</v>
      </c>
      <c r="AB33" s="438"/>
      <c r="AC33" s="440"/>
      <c r="AD33" s="440"/>
      <c r="AE33" s="440"/>
      <c r="AF33" s="441">
        <v>44546</v>
      </c>
      <c r="AG33" s="441">
        <v>44690</v>
      </c>
      <c r="AH33" s="442">
        <v>45295</v>
      </c>
      <c r="AI33" s="443">
        <f>(YEAR(AH33)-YEAR(AG33))*12+MONTH(AH33)-MONTH(AG33)</f>
        <v>20</v>
      </c>
      <c r="AJ33" s="436">
        <v>100831297</v>
      </c>
      <c r="AK33" s="444">
        <v>6770937</v>
      </c>
      <c r="AL33" s="436" t="s">
        <v>263</v>
      </c>
      <c r="AM33" s="445" t="s">
        <v>264</v>
      </c>
      <c r="AN33" s="450" t="s">
        <v>265</v>
      </c>
      <c r="AO33" s="460" t="s">
        <v>266</v>
      </c>
      <c r="AP33" s="1007"/>
    </row>
    <row r="34" spans="1:42" s="22" customFormat="1" ht="17.25" customHeight="1">
      <c r="C34" s="238" t="s">
        <v>238</v>
      </c>
      <c r="D34" s="239" t="s">
        <v>115</v>
      </c>
      <c r="E34" s="240" t="s">
        <v>267</v>
      </c>
      <c r="F34" s="241" t="s">
        <v>215</v>
      </c>
      <c r="G34" s="242"/>
      <c r="H34" s="292">
        <f t="shared" si="1"/>
        <v>0</v>
      </c>
      <c r="I34" s="284"/>
      <c r="J34" s="249"/>
      <c r="K34" s="249"/>
      <c r="L34" s="249"/>
      <c r="M34" s="249"/>
      <c r="N34" s="249"/>
      <c r="O34" s="249"/>
      <c r="P34" s="249"/>
      <c r="Q34" s="249"/>
      <c r="R34" s="249"/>
      <c r="S34" s="249"/>
      <c r="T34" s="243"/>
      <c r="U34" s="244"/>
      <c r="V34" s="342"/>
      <c r="W34" s="706"/>
      <c r="X34" s="706"/>
      <c r="Y34" s="342"/>
      <c r="Z34" s="243"/>
      <c r="AA34" s="1000">
        <f>29336.78+150000</f>
        <v>179336.78</v>
      </c>
      <c r="AB34" s="243"/>
      <c r="AC34" s="342"/>
      <c r="AD34" s="342"/>
      <c r="AE34" s="342"/>
      <c r="AF34" s="245">
        <v>45114</v>
      </c>
      <c r="AG34" s="245">
        <v>45267</v>
      </c>
      <c r="AH34" s="246">
        <v>45383</v>
      </c>
      <c r="AI34" s="300">
        <v>4</v>
      </c>
      <c r="AJ34" s="241">
        <v>101258788</v>
      </c>
      <c r="AK34" s="247">
        <v>4808082</v>
      </c>
      <c r="AL34" s="241" t="s">
        <v>268</v>
      </c>
      <c r="AM34" s="248" t="s">
        <v>269</v>
      </c>
      <c r="AN34" s="199" t="s">
        <v>270</v>
      </c>
      <c r="AO34" s="242" t="s">
        <v>271</v>
      </c>
      <c r="AP34" s="1006"/>
    </row>
    <row r="35" spans="1:42" s="22" customFormat="1" ht="17.25" customHeight="1">
      <c r="A35" s="758" t="s">
        <v>272</v>
      </c>
      <c r="C35" s="447"/>
      <c r="D35" s="448" t="s">
        <v>115</v>
      </c>
      <c r="E35" s="449" t="s">
        <v>273</v>
      </c>
      <c r="F35" s="450" t="s">
        <v>215</v>
      </c>
      <c r="G35" s="828" t="s">
        <v>274</v>
      </c>
      <c r="H35" s="437">
        <f t="shared" si="1"/>
        <v>0</v>
      </c>
      <c r="I35" s="852"/>
      <c r="J35" s="853"/>
      <c r="K35" s="853"/>
      <c r="L35" s="853"/>
      <c r="M35" s="853"/>
      <c r="N35" s="853"/>
      <c r="O35" s="853"/>
      <c r="P35" s="853"/>
      <c r="Q35" s="853"/>
      <c r="R35" s="853"/>
      <c r="S35" s="853"/>
      <c r="T35" s="209"/>
      <c r="U35" s="594"/>
      <c r="V35" s="454"/>
      <c r="W35" s="616"/>
      <c r="X35" s="616"/>
      <c r="Y35" s="454"/>
      <c r="Z35" s="209"/>
      <c r="AA35" s="983">
        <v>141049.89000000001</v>
      </c>
      <c r="AB35" s="209"/>
      <c r="AC35" s="454"/>
      <c r="AD35" s="454"/>
      <c r="AE35" s="454"/>
      <c r="AF35" s="455">
        <v>44045</v>
      </c>
      <c r="AG35" s="455">
        <v>43859</v>
      </c>
      <c r="AH35" s="456"/>
      <c r="AI35" s="443" t="s">
        <v>88</v>
      </c>
      <c r="AJ35" s="450">
        <v>100591222</v>
      </c>
      <c r="AK35" s="208">
        <v>3949500</v>
      </c>
      <c r="AL35" s="450" t="s">
        <v>275</v>
      </c>
      <c r="AM35" s="458" t="s">
        <v>276</v>
      </c>
      <c r="AN35" s="450" t="s">
        <v>277</v>
      </c>
      <c r="AO35" s="451" t="s">
        <v>278</v>
      </c>
      <c r="AP35" s="633"/>
    </row>
    <row r="36" spans="1:42" s="22" customFormat="1" ht="17.25" customHeight="1" thickBot="1">
      <c r="A36" s="759">
        <v>680660.64</v>
      </c>
      <c r="C36" s="197"/>
      <c r="D36" s="212" t="s">
        <v>115</v>
      </c>
      <c r="E36" s="198" t="s">
        <v>279</v>
      </c>
      <c r="F36" s="199" t="s">
        <v>215</v>
      </c>
      <c r="G36" s="848" t="s">
        <v>280</v>
      </c>
      <c r="H36" s="292"/>
      <c r="I36" s="849"/>
      <c r="J36" s="850"/>
      <c r="K36" s="850"/>
      <c r="L36" s="850"/>
      <c r="M36" s="850"/>
      <c r="N36" s="850"/>
      <c r="O36" s="850"/>
      <c r="P36" s="850"/>
      <c r="Q36" s="850"/>
      <c r="R36" s="850"/>
      <c r="S36" s="850"/>
      <c r="T36" s="201"/>
      <c r="U36" s="338"/>
      <c r="V36" s="341"/>
      <c r="W36" s="510"/>
      <c r="X36" s="510"/>
      <c r="Y36" s="341"/>
      <c r="Z36" s="201"/>
      <c r="AA36" s="983">
        <v>423075.11</v>
      </c>
      <c r="AB36" s="201"/>
      <c r="AC36" s="341"/>
      <c r="AD36" s="341"/>
      <c r="AE36" s="341"/>
      <c r="AF36" s="203">
        <v>44629</v>
      </c>
      <c r="AG36" s="203">
        <v>45310</v>
      </c>
      <c r="AH36" s="204"/>
      <c r="AI36" s="300"/>
      <c r="AJ36" s="199">
        <v>101316365</v>
      </c>
      <c r="AK36" s="200">
        <v>23797624</v>
      </c>
      <c r="AL36" s="199" t="s">
        <v>281</v>
      </c>
      <c r="AM36" s="205" t="s">
        <v>282</v>
      </c>
      <c r="AN36" s="21" t="s">
        <v>283</v>
      </c>
      <c r="AO36" s="219" t="s">
        <v>284</v>
      </c>
      <c r="AP36" s="907"/>
    </row>
    <row r="37" spans="1:42" s="22" customFormat="1" ht="17.25" customHeight="1">
      <c r="A37" s="758" t="s">
        <v>285</v>
      </c>
      <c r="C37" s="447"/>
      <c r="D37" s="448" t="s">
        <v>115</v>
      </c>
      <c r="E37" s="449" t="s">
        <v>286</v>
      </c>
      <c r="F37" s="450" t="s">
        <v>91</v>
      </c>
      <c r="G37" s="828"/>
      <c r="H37" s="437">
        <f t="shared" si="1"/>
        <v>20000</v>
      </c>
      <c r="I37" s="852"/>
      <c r="J37" s="853"/>
      <c r="K37" s="853"/>
      <c r="L37" s="853"/>
      <c r="M37" s="853"/>
      <c r="N37" s="853"/>
      <c r="O37" s="853"/>
      <c r="P37" s="853"/>
      <c r="Q37" s="853"/>
      <c r="R37" s="853"/>
      <c r="S37" s="853"/>
      <c r="T37" s="209"/>
      <c r="U37" s="594"/>
      <c r="V37" s="454"/>
      <c r="W37" s="616"/>
      <c r="X37" s="616"/>
      <c r="Y37" s="454">
        <v>20000</v>
      </c>
      <c r="Z37" s="209"/>
      <c r="AA37" s="983">
        <v>20000</v>
      </c>
      <c r="AB37" s="209"/>
      <c r="AC37" s="454"/>
      <c r="AD37" s="454"/>
      <c r="AE37" s="454"/>
      <c r="AF37" s="455">
        <v>43991</v>
      </c>
      <c r="AG37" s="455">
        <v>44558</v>
      </c>
      <c r="AH37" s="456" t="s">
        <v>88</v>
      </c>
      <c r="AI37" s="443"/>
      <c r="AJ37" s="450">
        <v>58068792</v>
      </c>
      <c r="AK37" s="208">
        <v>41019787</v>
      </c>
      <c r="AL37" s="450" t="s">
        <v>287</v>
      </c>
      <c r="AM37" s="458" t="s">
        <v>88</v>
      </c>
      <c r="AN37" s="450"/>
      <c r="AO37" s="451"/>
      <c r="AP37" s="633" t="s">
        <v>288</v>
      </c>
    </row>
    <row r="38" spans="1:42" s="22" customFormat="1" ht="17.25" customHeight="1" thickBot="1">
      <c r="A38" s="759">
        <v>1273153</v>
      </c>
      <c r="C38" s="197"/>
      <c r="D38" s="212" t="s">
        <v>115</v>
      </c>
      <c r="E38" s="198" t="s">
        <v>289</v>
      </c>
      <c r="F38" s="199" t="s">
        <v>215</v>
      </c>
      <c r="G38" s="848"/>
      <c r="H38" s="292">
        <f t="shared" si="1"/>
        <v>8304.01</v>
      </c>
      <c r="I38" s="849"/>
      <c r="J38" s="850"/>
      <c r="K38" s="850"/>
      <c r="L38" s="850"/>
      <c r="M38" s="850"/>
      <c r="N38" s="850"/>
      <c r="O38" s="850"/>
      <c r="P38" s="850"/>
      <c r="Q38" s="850"/>
      <c r="R38" s="850"/>
      <c r="S38" s="850"/>
      <c r="T38" s="201"/>
      <c r="U38" s="338"/>
      <c r="V38" s="341"/>
      <c r="W38" s="510"/>
      <c r="X38" s="510"/>
      <c r="Y38" s="341">
        <v>8304.01</v>
      </c>
      <c r="Z38" s="201"/>
      <c r="AA38" s="983"/>
      <c r="AB38" s="201"/>
      <c r="AC38" s="341"/>
      <c r="AD38" s="341"/>
      <c r="AE38" s="341"/>
      <c r="AF38" s="203">
        <v>44335</v>
      </c>
      <c r="AG38" s="203">
        <v>44582</v>
      </c>
      <c r="AH38" s="204"/>
      <c r="AI38" s="300"/>
      <c r="AJ38" s="199">
        <v>100799255</v>
      </c>
      <c r="AK38" s="200">
        <v>90704321</v>
      </c>
      <c r="AL38" s="199" t="s">
        <v>290</v>
      </c>
      <c r="AM38" s="205" t="s">
        <v>291</v>
      </c>
      <c r="AN38" s="199" t="s">
        <v>292</v>
      </c>
      <c r="AO38" s="219" t="s">
        <v>293</v>
      </c>
      <c r="AP38" s="907"/>
    </row>
    <row r="39" spans="1:42" s="22" customFormat="1" ht="17.25" customHeight="1">
      <c r="A39" s="758" t="s">
        <v>294</v>
      </c>
      <c r="C39" s="447"/>
      <c r="D39" s="448" t="s">
        <v>115</v>
      </c>
      <c r="E39" s="449" t="s">
        <v>295</v>
      </c>
      <c r="F39" s="450" t="s">
        <v>215</v>
      </c>
      <c r="G39" s="828" t="s">
        <v>296</v>
      </c>
      <c r="H39" s="437">
        <f t="shared" si="1"/>
        <v>1194793.43</v>
      </c>
      <c r="I39" s="852"/>
      <c r="J39" s="853"/>
      <c r="K39" s="853"/>
      <c r="L39" s="853"/>
      <c r="M39" s="853"/>
      <c r="N39" s="853"/>
      <c r="O39" s="853"/>
      <c r="P39" s="853"/>
      <c r="Q39" s="853"/>
      <c r="R39" s="853"/>
      <c r="S39" s="853"/>
      <c r="T39" s="209"/>
      <c r="U39" s="594"/>
      <c r="V39" s="454"/>
      <c r="W39" s="616"/>
      <c r="X39" s="616"/>
      <c r="Y39" s="454"/>
      <c r="Z39" s="209">
        <f>1000000.01+194793.42</f>
        <v>1194793.43</v>
      </c>
      <c r="AA39" s="983"/>
      <c r="AB39" s="209"/>
      <c r="AC39" s="454"/>
      <c r="AD39" s="454"/>
      <c r="AE39" s="454"/>
      <c r="AF39" s="455">
        <v>44601</v>
      </c>
      <c r="AG39" s="455">
        <v>44669</v>
      </c>
      <c r="AH39" s="456"/>
      <c r="AI39" s="443"/>
      <c r="AJ39" s="450">
        <v>100819224</v>
      </c>
      <c r="AK39" s="208">
        <v>90959578</v>
      </c>
      <c r="AL39" s="450" t="s">
        <v>297</v>
      </c>
      <c r="AM39" s="458" t="s">
        <v>298</v>
      </c>
      <c r="AN39" s="450" t="s">
        <v>299</v>
      </c>
      <c r="AO39" s="451" t="s">
        <v>300</v>
      </c>
      <c r="AP39" s="633" t="s">
        <v>301</v>
      </c>
    </row>
    <row r="40" spans="1:42" s="22" customFormat="1" ht="17.25" customHeight="1" thickBot="1">
      <c r="A40" s="759">
        <v>855278</v>
      </c>
      <c r="C40" s="238"/>
      <c r="D40" s="239" t="s">
        <v>205</v>
      </c>
      <c r="E40" s="240" t="s">
        <v>302</v>
      </c>
      <c r="F40" s="241" t="s">
        <v>215</v>
      </c>
      <c r="G40" s="242"/>
      <c r="H40" s="292">
        <f t="shared" si="1"/>
        <v>17000</v>
      </c>
      <c r="I40" s="284"/>
      <c r="J40" s="249"/>
      <c r="K40" s="249"/>
      <c r="L40" s="249"/>
      <c r="M40" s="249"/>
      <c r="N40" s="249"/>
      <c r="O40" s="249"/>
      <c r="P40" s="249"/>
      <c r="Q40" s="249"/>
      <c r="R40" s="249"/>
      <c r="S40" s="249"/>
      <c r="T40" s="243"/>
      <c r="U40" s="829"/>
      <c r="V40" s="342"/>
      <c r="W40" s="706">
        <v>17000</v>
      </c>
      <c r="X40" s="706"/>
      <c r="Y40" s="342"/>
      <c r="Z40" s="243"/>
      <c r="AA40" s="987"/>
      <c r="AB40" s="243"/>
      <c r="AC40" s="342"/>
      <c r="AD40" s="342"/>
      <c r="AE40" s="342"/>
      <c r="AF40" s="245">
        <v>43313</v>
      </c>
      <c r="AG40" s="245">
        <v>43480</v>
      </c>
      <c r="AH40" s="246"/>
      <c r="AI40" s="300"/>
      <c r="AJ40" s="241">
        <v>100246417</v>
      </c>
      <c r="AK40" s="247">
        <v>76365170</v>
      </c>
      <c r="AL40" s="241" t="s">
        <v>303</v>
      </c>
      <c r="AM40" s="248">
        <v>6173327021</v>
      </c>
      <c r="AN40" s="830" t="s">
        <v>304</v>
      </c>
      <c r="AO40" s="242" t="s">
        <v>305</v>
      </c>
      <c r="AP40" s="249"/>
    </row>
    <row r="41" spans="1:42" s="22" customFormat="1" ht="17.25" customHeight="1">
      <c r="A41" s="758" t="s">
        <v>306</v>
      </c>
      <c r="C41" s="433"/>
      <c r="D41" s="434" t="s">
        <v>115</v>
      </c>
      <c r="E41" s="435" t="s">
        <v>307</v>
      </c>
      <c r="F41" s="436" t="s">
        <v>215</v>
      </c>
      <c r="G41" s="460"/>
      <c r="H41" s="437">
        <f t="shared" si="1"/>
        <v>10000</v>
      </c>
      <c r="I41" s="462"/>
      <c r="J41" s="463"/>
      <c r="K41" s="463"/>
      <c r="L41" s="463"/>
      <c r="M41" s="463"/>
      <c r="N41" s="463"/>
      <c r="O41" s="463"/>
      <c r="P41" s="463"/>
      <c r="Q41" s="463"/>
      <c r="R41" s="463"/>
      <c r="S41" s="463"/>
      <c r="T41" s="438"/>
      <c r="U41" s="822"/>
      <c r="V41" s="440"/>
      <c r="W41" s="703"/>
      <c r="X41" s="703"/>
      <c r="Y41" s="440"/>
      <c r="Z41" s="438">
        <v>10000</v>
      </c>
      <c r="AA41" s="987"/>
      <c r="AB41" s="438"/>
      <c r="AC41" s="440"/>
      <c r="AD41" s="440"/>
      <c r="AE41" s="440"/>
      <c r="AF41" s="441"/>
      <c r="AG41" s="441">
        <v>45113</v>
      </c>
      <c r="AH41" s="442"/>
      <c r="AI41" s="443"/>
      <c r="AJ41" s="436">
        <v>101140090</v>
      </c>
      <c r="AK41" s="444"/>
      <c r="AL41" s="436" t="s">
        <v>308</v>
      </c>
      <c r="AM41" s="445" t="s">
        <v>309</v>
      </c>
      <c r="AN41" s="450" t="s">
        <v>310</v>
      </c>
      <c r="AO41" s="460" t="s">
        <v>311</v>
      </c>
      <c r="AP41" s="463"/>
    </row>
    <row r="42" spans="1:42" s="22" customFormat="1" ht="17.25" customHeight="1" thickBot="1">
      <c r="A42" s="759">
        <v>797280</v>
      </c>
      <c r="C42" s="197"/>
      <c r="D42" s="212" t="s">
        <v>205</v>
      </c>
      <c r="E42" s="198" t="s">
        <v>312</v>
      </c>
      <c r="F42" s="199" t="s">
        <v>215</v>
      </c>
      <c r="G42" s="848"/>
      <c r="H42" s="292">
        <f t="shared" si="1"/>
        <v>100000</v>
      </c>
      <c r="I42" s="849"/>
      <c r="J42" s="850"/>
      <c r="K42" s="850"/>
      <c r="L42" s="850"/>
      <c r="M42" s="850"/>
      <c r="N42" s="850"/>
      <c r="O42" s="850"/>
      <c r="P42" s="850"/>
      <c r="Q42" s="850"/>
      <c r="R42" s="850"/>
      <c r="S42" s="850"/>
      <c r="T42" s="201"/>
      <c r="U42" s="338"/>
      <c r="V42" s="341"/>
      <c r="W42" s="510"/>
      <c r="X42" s="510"/>
      <c r="Y42" s="341">
        <v>100000</v>
      </c>
      <c r="Z42" s="201"/>
      <c r="AA42" s="983"/>
      <c r="AB42" s="201"/>
      <c r="AC42" s="341"/>
      <c r="AD42" s="341"/>
      <c r="AE42" s="341"/>
      <c r="AF42" s="203">
        <v>43963</v>
      </c>
      <c r="AG42" s="203">
        <v>44103</v>
      </c>
      <c r="AH42" s="204"/>
      <c r="AI42" s="300" t="s">
        <v>88</v>
      </c>
      <c r="AJ42" s="199">
        <v>100542968</v>
      </c>
      <c r="AK42" s="200">
        <v>25890708</v>
      </c>
      <c r="AL42" s="199" t="s">
        <v>313</v>
      </c>
      <c r="AM42" s="205" t="s">
        <v>314</v>
      </c>
      <c r="AN42" s="199" t="s">
        <v>315</v>
      </c>
      <c r="AO42" s="219" t="s">
        <v>316</v>
      </c>
      <c r="AP42" s="907"/>
    </row>
    <row r="43" spans="1:42" s="22" customFormat="1" ht="17.25" customHeight="1">
      <c r="A43" s="758" t="s">
        <v>317</v>
      </c>
      <c r="C43" s="447" t="s">
        <v>238</v>
      </c>
      <c r="D43" s="448" t="s">
        <v>115</v>
      </c>
      <c r="E43" s="449" t="s">
        <v>318</v>
      </c>
      <c r="F43" s="450" t="s">
        <v>215</v>
      </c>
      <c r="G43" s="828"/>
      <c r="H43" s="437">
        <f t="shared" si="1"/>
        <v>0</v>
      </c>
      <c r="I43" s="852"/>
      <c r="J43" s="853"/>
      <c r="K43" s="853"/>
      <c r="L43" s="853"/>
      <c r="M43" s="853"/>
      <c r="N43" s="853"/>
      <c r="O43" s="853"/>
      <c r="P43" s="853"/>
      <c r="Q43" s="853"/>
      <c r="R43" s="853"/>
      <c r="S43" s="853"/>
      <c r="T43" s="209"/>
      <c r="U43" s="594"/>
      <c r="V43" s="454"/>
      <c r="W43" s="616"/>
      <c r="X43" s="616"/>
      <c r="Y43" s="454"/>
      <c r="Z43" s="209"/>
      <c r="AA43" s="983">
        <v>10536</v>
      </c>
      <c r="AB43" s="209"/>
      <c r="AC43" s="454"/>
      <c r="AD43" s="454"/>
      <c r="AE43" s="454"/>
      <c r="AF43" s="455"/>
      <c r="AG43" s="455">
        <v>45224</v>
      </c>
      <c r="AH43" s="456">
        <v>45224</v>
      </c>
      <c r="AI43" s="443">
        <v>0</v>
      </c>
      <c r="AJ43" s="1012">
        <v>101187437</v>
      </c>
      <c r="AK43" s="1012">
        <v>100337119</v>
      </c>
      <c r="AL43" s="450" t="s">
        <v>319</v>
      </c>
      <c r="AM43" s="458"/>
      <c r="AN43" s="450"/>
      <c r="AO43" s="451" t="s">
        <v>320</v>
      </c>
      <c r="AP43" s="633"/>
    </row>
    <row r="44" spans="1:42" s="22" customFormat="1" ht="17.25" customHeight="1" thickBot="1">
      <c r="A44" s="759">
        <v>1733235</v>
      </c>
      <c r="C44" s="197"/>
      <c r="D44" s="212" t="s">
        <v>115</v>
      </c>
      <c r="E44" s="198" t="s">
        <v>321</v>
      </c>
      <c r="F44" s="199" t="s">
        <v>117</v>
      </c>
      <c r="G44" s="429">
        <v>2500</v>
      </c>
      <c r="H44" s="292">
        <f t="shared" si="1"/>
        <v>2500</v>
      </c>
      <c r="I44" s="283"/>
      <c r="J44" s="206"/>
      <c r="K44" s="206"/>
      <c r="L44" s="206"/>
      <c r="M44" s="206"/>
      <c r="N44" s="206"/>
      <c r="O44" s="206"/>
      <c r="P44" s="206"/>
      <c r="Q44" s="206"/>
      <c r="R44" s="206"/>
      <c r="S44" s="206"/>
      <c r="T44" s="201"/>
      <c r="U44" s="338"/>
      <c r="V44" s="341"/>
      <c r="W44" s="510"/>
      <c r="X44" s="510">
        <v>2500</v>
      </c>
      <c r="Y44" s="341"/>
      <c r="Z44" s="201"/>
      <c r="AA44" s="983"/>
      <c r="AB44" s="201"/>
      <c r="AC44" s="341"/>
      <c r="AD44" s="341"/>
      <c r="AE44" s="341"/>
      <c r="AF44" s="203">
        <v>43817</v>
      </c>
      <c r="AG44" s="203">
        <v>43872</v>
      </c>
      <c r="AH44" s="204"/>
      <c r="AI44" s="300" t="s">
        <v>88</v>
      </c>
      <c r="AJ44" s="199">
        <v>100351698</v>
      </c>
      <c r="AK44" s="200">
        <v>96911102</v>
      </c>
      <c r="AL44" s="199" t="s">
        <v>322</v>
      </c>
      <c r="AM44" s="248" t="s">
        <v>323</v>
      </c>
      <c r="AN44" s="809" t="s">
        <v>324</v>
      </c>
      <c r="AO44" s="242" t="s">
        <v>325</v>
      </c>
      <c r="AP44" s="206" t="s">
        <v>326</v>
      </c>
    </row>
    <row r="45" spans="1:42" s="22" customFormat="1" ht="17.25" customHeight="1">
      <c r="A45" s="758" t="s">
        <v>327</v>
      </c>
      <c r="C45" s="447" t="s">
        <v>238</v>
      </c>
      <c r="D45" s="448" t="s">
        <v>205</v>
      </c>
      <c r="E45" s="449" t="s">
        <v>328</v>
      </c>
      <c r="F45" s="450" t="s">
        <v>215</v>
      </c>
      <c r="G45" s="505"/>
      <c r="H45" s="437">
        <f>SUM(I45:Z45)</f>
        <v>379883.27</v>
      </c>
      <c r="I45" s="452"/>
      <c r="J45" s="453"/>
      <c r="K45" s="453"/>
      <c r="L45" s="453"/>
      <c r="M45" s="453"/>
      <c r="N45" s="453"/>
      <c r="O45" s="453"/>
      <c r="P45" s="451"/>
      <c r="Q45" s="453"/>
      <c r="R45" s="451"/>
      <c r="S45" s="453"/>
      <c r="T45" s="594"/>
      <c r="U45" s="594"/>
      <c r="V45" s="454"/>
      <c r="W45" s="616"/>
      <c r="X45" s="616"/>
      <c r="Y45" s="454">
        <f>158931.83+43726.6+153000</f>
        <v>355658.43</v>
      </c>
      <c r="Z45" s="209">
        <v>24224.84</v>
      </c>
      <c r="AA45" s="983">
        <v>1714.63</v>
      </c>
      <c r="AB45" s="209"/>
      <c r="AC45" s="454"/>
      <c r="AD45" s="454"/>
      <c r="AE45" s="454"/>
      <c r="AF45" s="455">
        <v>44408</v>
      </c>
      <c r="AG45" s="455">
        <v>44516</v>
      </c>
      <c r="AH45" s="456">
        <v>45300</v>
      </c>
      <c r="AI45" s="443">
        <f>(YEAR(AH45)-YEAR(AG45))*12+MONTH(AH45)-MONTH(AG45)</f>
        <v>26</v>
      </c>
      <c r="AJ45" s="450">
        <v>100781646</v>
      </c>
      <c r="AK45" s="208">
        <v>4627972</v>
      </c>
      <c r="AL45" s="450" t="s">
        <v>329</v>
      </c>
      <c r="AM45" s="445">
        <v>5037225470</v>
      </c>
      <c r="AN45" s="817" t="s">
        <v>330</v>
      </c>
      <c r="AO45" s="460" t="s">
        <v>331</v>
      </c>
      <c r="AP45" s="918"/>
    </row>
    <row r="46" spans="1:42" s="22" customFormat="1" ht="17.25" customHeight="1" thickBot="1">
      <c r="A46" s="759">
        <v>906601</v>
      </c>
      <c r="C46" s="197" t="s">
        <v>238</v>
      </c>
      <c r="D46" s="212" t="s">
        <v>115</v>
      </c>
      <c r="E46" s="198" t="s">
        <v>332</v>
      </c>
      <c r="F46" s="199" t="s">
        <v>149</v>
      </c>
      <c r="G46" s="429" t="s">
        <v>333</v>
      </c>
      <c r="H46" s="292">
        <f t="shared" si="1"/>
        <v>0</v>
      </c>
      <c r="I46" s="283"/>
      <c r="J46" s="206"/>
      <c r="K46" s="206"/>
      <c r="L46" s="206"/>
      <c r="M46" s="206"/>
      <c r="N46" s="206"/>
      <c r="O46" s="206"/>
      <c r="P46" s="219"/>
      <c r="Q46" s="206"/>
      <c r="R46" s="219"/>
      <c r="S46" s="206"/>
      <c r="T46" s="338"/>
      <c r="U46" s="338"/>
      <c r="V46" s="341"/>
      <c r="W46" s="510"/>
      <c r="X46" s="510"/>
      <c r="Y46" s="341"/>
      <c r="Z46" s="201"/>
      <c r="AA46" s="983">
        <v>251572.83</v>
      </c>
      <c r="AB46" s="201"/>
      <c r="AC46" s="341"/>
      <c r="AD46" s="341"/>
      <c r="AE46" s="341"/>
      <c r="AF46" s="203">
        <v>44748</v>
      </c>
      <c r="AG46" s="203">
        <v>44813</v>
      </c>
      <c r="AH46" s="204">
        <v>45141</v>
      </c>
      <c r="AI46" s="300">
        <f>(YEAR(AH46)-YEAR(AG46))*12+MONTH(AH46)-MONTH(AG46)</f>
        <v>11</v>
      </c>
      <c r="AJ46" s="199">
        <v>101045505</v>
      </c>
      <c r="AK46" s="200">
        <v>100968065</v>
      </c>
      <c r="AL46" s="199" t="s">
        <v>334</v>
      </c>
      <c r="AM46" s="248" t="s">
        <v>335</v>
      </c>
      <c r="AN46" s="199" t="s">
        <v>336</v>
      </c>
      <c r="AO46" s="242" t="s">
        <v>337</v>
      </c>
      <c r="AP46" s="206"/>
    </row>
    <row r="47" spans="1:42" s="22" customFormat="1" ht="17.25" customHeight="1">
      <c r="A47" s="758" t="s">
        <v>338</v>
      </c>
      <c r="C47" s="447" t="s">
        <v>238</v>
      </c>
      <c r="D47" s="448" t="s">
        <v>205</v>
      </c>
      <c r="E47" s="449" t="s">
        <v>339</v>
      </c>
      <c r="F47" s="450" t="s">
        <v>215</v>
      </c>
      <c r="G47" s="451" t="s">
        <v>340</v>
      </c>
      <c r="H47" s="437">
        <f t="shared" si="1"/>
        <v>43578.8</v>
      </c>
      <c r="I47" s="452"/>
      <c r="J47" s="453"/>
      <c r="K47" s="438"/>
      <c r="L47" s="438"/>
      <c r="M47" s="209"/>
      <c r="N47" s="438"/>
      <c r="O47" s="438"/>
      <c r="P47" s="822"/>
      <c r="Q47" s="438"/>
      <c r="R47" s="822"/>
      <c r="S47" s="438"/>
      <c r="T47" s="822"/>
      <c r="U47" s="822"/>
      <c r="V47" s="454"/>
      <c r="W47" s="616"/>
      <c r="X47" s="616">
        <v>43578.8</v>
      </c>
      <c r="Y47" s="454"/>
      <c r="Z47" s="450"/>
      <c r="AA47" s="988">
        <v>30876.09</v>
      </c>
      <c r="AB47" s="209"/>
      <c r="AC47" s="454"/>
      <c r="AD47" s="454"/>
      <c r="AE47" s="454"/>
      <c r="AF47" s="455">
        <v>43792</v>
      </c>
      <c r="AG47" s="455">
        <v>43836</v>
      </c>
      <c r="AH47" s="456">
        <v>45294</v>
      </c>
      <c r="AI47" s="443">
        <f>(YEAR(AH47)-YEAR(AG47))*12+MONTH(AH47)-MONTH(AG47)</f>
        <v>48</v>
      </c>
      <c r="AJ47" s="450">
        <v>100335183</v>
      </c>
      <c r="AK47" s="876">
        <v>40281990</v>
      </c>
      <c r="AL47" s="450" t="s">
        <v>341</v>
      </c>
      <c r="AM47" s="458">
        <v>3033292206</v>
      </c>
      <c r="AN47" s="817" t="s">
        <v>342</v>
      </c>
      <c r="AO47" s="208" t="s">
        <v>343</v>
      </c>
      <c r="AP47" s="450" t="s">
        <v>344</v>
      </c>
    </row>
    <row r="48" spans="1:42" s="22" customFormat="1" ht="17.25" customHeight="1" thickBot="1">
      <c r="A48" s="759">
        <v>1840315</v>
      </c>
      <c r="C48" s="197"/>
      <c r="D48" s="212" t="s">
        <v>205</v>
      </c>
      <c r="E48" s="198" t="s">
        <v>345</v>
      </c>
      <c r="F48" s="199" t="s">
        <v>117</v>
      </c>
      <c r="G48" s="219"/>
      <c r="H48" s="292"/>
      <c r="I48" s="283"/>
      <c r="J48" s="206"/>
      <c r="K48" s="243"/>
      <c r="L48" s="243"/>
      <c r="M48" s="201"/>
      <c r="N48" s="243"/>
      <c r="O48" s="243"/>
      <c r="P48" s="829"/>
      <c r="Q48" s="243"/>
      <c r="R48" s="829"/>
      <c r="S48" s="243"/>
      <c r="T48" s="829"/>
      <c r="U48" s="829"/>
      <c r="V48" s="341"/>
      <c r="W48" s="510"/>
      <c r="X48" s="510"/>
      <c r="Y48" s="341"/>
      <c r="Z48" s="199"/>
      <c r="AA48" s="988"/>
      <c r="AB48" s="201"/>
      <c r="AC48" s="341">
        <v>16000</v>
      </c>
      <c r="AD48" s="341"/>
      <c r="AE48" s="341"/>
      <c r="AF48" s="203">
        <v>45168</v>
      </c>
      <c r="AG48" s="203">
        <v>45315</v>
      </c>
      <c r="AH48" s="204"/>
      <c r="AI48" s="300"/>
      <c r="AJ48" s="199">
        <v>101306451</v>
      </c>
      <c r="AK48" s="851">
        <v>367003</v>
      </c>
      <c r="AL48" s="199" t="s">
        <v>346</v>
      </c>
      <c r="AM48" s="205" t="s">
        <v>347</v>
      </c>
      <c r="AN48" s="206" t="s">
        <v>348</v>
      </c>
      <c r="AO48" s="200" t="s">
        <v>349</v>
      </c>
      <c r="AP48" s="199"/>
    </row>
    <row r="49" spans="1:42" s="22" customFormat="1" ht="17.25" customHeight="1">
      <c r="A49" s="758" t="s">
        <v>350</v>
      </c>
      <c r="C49" s="447"/>
      <c r="D49" s="448" t="s">
        <v>205</v>
      </c>
      <c r="E49" s="449" t="s">
        <v>351</v>
      </c>
      <c r="F49" s="450" t="s">
        <v>117</v>
      </c>
      <c r="G49" s="451"/>
      <c r="H49" s="437"/>
      <c r="I49" s="452"/>
      <c r="J49" s="453"/>
      <c r="K49" s="438"/>
      <c r="L49" s="438"/>
      <c r="M49" s="209"/>
      <c r="N49" s="438"/>
      <c r="O49" s="438"/>
      <c r="P49" s="822"/>
      <c r="Q49" s="438"/>
      <c r="R49" s="822"/>
      <c r="S49" s="438"/>
      <c r="T49" s="822"/>
      <c r="U49" s="822"/>
      <c r="V49" s="454"/>
      <c r="W49" s="616"/>
      <c r="X49" s="616"/>
      <c r="Y49" s="454"/>
      <c r="Z49" s="450"/>
      <c r="AA49" s="988"/>
      <c r="AB49" s="209"/>
      <c r="AC49" s="454">
        <v>16000</v>
      </c>
      <c r="AD49" s="454"/>
      <c r="AE49" s="454"/>
      <c r="AF49" s="455"/>
      <c r="AG49" s="455">
        <v>45315</v>
      </c>
      <c r="AH49" s="456"/>
      <c r="AI49" s="443"/>
      <c r="AJ49" s="450">
        <v>101306453</v>
      </c>
      <c r="AK49" s="876"/>
      <c r="AL49" s="450" t="s">
        <v>346</v>
      </c>
      <c r="AM49" s="458" t="s">
        <v>347</v>
      </c>
      <c r="AN49" s="453" t="s">
        <v>348</v>
      </c>
      <c r="AO49" s="208" t="s">
        <v>349</v>
      </c>
      <c r="AP49" s="450"/>
    </row>
    <row r="50" spans="1:42" s="22" customFormat="1" ht="17.25" customHeight="1" thickBot="1">
      <c r="A50" s="759">
        <v>1627336</v>
      </c>
      <c r="C50" s="197" t="s">
        <v>238</v>
      </c>
      <c r="D50" s="212" t="s">
        <v>115</v>
      </c>
      <c r="E50" s="198" t="s">
        <v>352</v>
      </c>
      <c r="F50" s="199" t="s">
        <v>215</v>
      </c>
      <c r="G50" s="801" t="s">
        <v>353</v>
      </c>
      <c r="H50" s="292">
        <f t="shared" ref="H50" si="2">SUM(I50:Z50)</f>
        <v>62143.85</v>
      </c>
      <c r="I50" s="283"/>
      <c r="J50" s="206"/>
      <c r="K50" s="243"/>
      <c r="L50" s="243"/>
      <c r="M50" s="201"/>
      <c r="N50" s="243"/>
      <c r="O50" s="243"/>
      <c r="P50" s="829"/>
      <c r="Q50" s="243"/>
      <c r="R50" s="829"/>
      <c r="S50" s="243"/>
      <c r="T50" s="829"/>
      <c r="U50" s="829"/>
      <c r="V50" s="341"/>
      <c r="W50" s="510"/>
      <c r="X50" s="510"/>
      <c r="Y50" s="341"/>
      <c r="Z50" s="201">
        <f>62024.17+119.68</f>
        <v>62143.85</v>
      </c>
      <c r="AA50" s="983">
        <v>6231.34</v>
      </c>
      <c r="AB50" s="201"/>
      <c r="AC50" s="341"/>
      <c r="AD50" s="341"/>
      <c r="AE50" s="341"/>
      <c r="AF50" s="203">
        <v>44190</v>
      </c>
      <c r="AG50" s="203">
        <v>44216</v>
      </c>
      <c r="AH50" s="204">
        <v>44830</v>
      </c>
      <c r="AI50" s="300">
        <f>(YEAR(AH50)-YEAR(AG50))*12+MONTH(AH50)-MONTH(AG50)</f>
        <v>20</v>
      </c>
      <c r="AJ50" s="199">
        <v>100589366</v>
      </c>
      <c r="AK50" s="851">
        <v>7065741</v>
      </c>
      <c r="AL50" s="199" t="s">
        <v>354</v>
      </c>
      <c r="AM50" s="205" t="s">
        <v>355</v>
      </c>
      <c r="AN50" s="199" t="s">
        <v>356</v>
      </c>
      <c r="AO50" s="200" t="s">
        <v>357</v>
      </c>
      <c r="AP50" s="970"/>
    </row>
    <row r="51" spans="1:42" s="22" customFormat="1" ht="16.5" customHeight="1">
      <c r="A51" s="758" t="s">
        <v>358</v>
      </c>
      <c r="C51" s="433"/>
      <c r="D51" s="434" t="s">
        <v>115</v>
      </c>
      <c r="E51" s="435" t="s">
        <v>359</v>
      </c>
      <c r="F51" s="436" t="s">
        <v>215</v>
      </c>
      <c r="G51" s="460" t="s">
        <v>360</v>
      </c>
      <c r="H51" s="437">
        <f t="shared" si="1"/>
        <v>47642</v>
      </c>
      <c r="I51" s="462"/>
      <c r="J51" s="463"/>
      <c r="K51" s="463"/>
      <c r="L51" s="463"/>
      <c r="M51" s="463"/>
      <c r="N51" s="463"/>
      <c r="O51" s="463"/>
      <c r="P51" s="463"/>
      <c r="Q51" s="463"/>
      <c r="R51" s="463"/>
      <c r="S51" s="463"/>
      <c r="T51" s="438"/>
      <c r="U51" s="822"/>
      <c r="V51" s="440"/>
      <c r="W51" s="703"/>
      <c r="X51" s="703"/>
      <c r="Y51" s="449"/>
      <c r="Z51" s="997">
        <v>47642</v>
      </c>
      <c r="AA51" s="987"/>
      <c r="AB51" s="438"/>
      <c r="AC51" s="440"/>
      <c r="AD51" s="440"/>
      <c r="AE51" s="440"/>
      <c r="AF51" s="441">
        <v>43322</v>
      </c>
      <c r="AG51" s="441">
        <v>43409</v>
      </c>
      <c r="AH51" s="442"/>
      <c r="AI51" s="443"/>
      <c r="AJ51" s="436">
        <v>100334490</v>
      </c>
      <c r="AK51" s="444">
        <v>33506536</v>
      </c>
      <c r="AL51" s="436" t="s">
        <v>361</v>
      </c>
      <c r="AM51" s="445">
        <v>4232665691</v>
      </c>
      <c r="AN51" s="1033" t="s">
        <v>362</v>
      </c>
      <c r="AO51" s="460" t="s">
        <v>363</v>
      </c>
      <c r="AP51" s="463" t="s">
        <v>364</v>
      </c>
    </row>
    <row r="52" spans="1:42" s="22" customFormat="1" ht="16.5" customHeight="1" thickBot="1">
      <c r="A52" s="759">
        <v>1480170</v>
      </c>
      <c r="C52" s="238"/>
      <c r="D52" s="239" t="s">
        <v>205</v>
      </c>
      <c r="E52" s="240" t="s">
        <v>365</v>
      </c>
      <c r="F52" s="241" t="s">
        <v>215</v>
      </c>
      <c r="G52" s="242"/>
      <c r="H52" s="292"/>
      <c r="I52" s="284"/>
      <c r="J52" s="249"/>
      <c r="K52" s="249"/>
      <c r="L52" s="249"/>
      <c r="M52" s="249"/>
      <c r="N52" s="249"/>
      <c r="O52" s="249"/>
      <c r="P52" s="249"/>
      <c r="Q52" s="249"/>
      <c r="R52" s="249"/>
      <c r="S52" s="249"/>
      <c r="T52" s="243"/>
      <c r="U52" s="829"/>
      <c r="V52" s="342"/>
      <c r="W52" s="706"/>
      <c r="X52" s="706"/>
      <c r="Y52" s="198"/>
      <c r="Z52" s="949"/>
      <c r="AA52" s="987">
        <v>137125.76999999999</v>
      </c>
      <c r="AB52" s="243"/>
      <c r="AC52" s="342"/>
      <c r="AD52" s="342"/>
      <c r="AE52" s="342"/>
      <c r="AF52" s="245"/>
      <c r="AG52" s="245">
        <v>45397</v>
      </c>
      <c r="AH52" s="246"/>
      <c r="AI52" s="300"/>
      <c r="AJ52" s="241">
        <v>101354306</v>
      </c>
      <c r="AK52" s="247">
        <v>1210269</v>
      </c>
      <c r="AL52" s="241" t="s">
        <v>366</v>
      </c>
      <c r="AM52" s="248"/>
      <c r="AN52" s="1034"/>
      <c r="AO52" s="242" t="s">
        <v>367</v>
      </c>
      <c r="AP52" s="249"/>
    </row>
    <row r="53" spans="1:42" s="22" customFormat="1" ht="16.5" customHeight="1">
      <c r="A53" s="758" t="s">
        <v>368</v>
      </c>
      <c r="C53" s="433"/>
      <c r="D53" s="434" t="s">
        <v>115</v>
      </c>
      <c r="E53" s="435" t="s">
        <v>369</v>
      </c>
      <c r="F53" s="436" t="s">
        <v>215</v>
      </c>
      <c r="G53" s="460"/>
      <c r="H53" s="437"/>
      <c r="I53" s="462"/>
      <c r="J53" s="463"/>
      <c r="K53" s="463"/>
      <c r="L53" s="463"/>
      <c r="M53" s="463"/>
      <c r="N53" s="463"/>
      <c r="O53" s="463"/>
      <c r="P53" s="463"/>
      <c r="Q53" s="463"/>
      <c r="R53" s="463"/>
      <c r="S53" s="463"/>
      <c r="T53" s="438"/>
      <c r="U53" s="822"/>
      <c r="V53" s="440"/>
      <c r="W53" s="703"/>
      <c r="X53" s="703"/>
      <c r="Y53" s="449"/>
      <c r="Z53" s="997"/>
      <c r="AA53" s="987"/>
      <c r="AB53" s="438"/>
      <c r="AC53" s="440"/>
      <c r="AD53" s="440"/>
      <c r="AE53" s="440"/>
      <c r="AF53" s="441">
        <v>45365</v>
      </c>
      <c r="AG53" s="441">
        <v>45405</v>
      </c>
      <c r="AH53" s="442"/>
      <c r="AI53" s="443"/>
      <c r="AJ53" s="436"/>
      <c r="AK53" s="444"/>
      <c r="AL53" s="436" t="s">
        <v>370</v>
      </c>
      <c r="AM53" s="445" t="s">
        <v>371</v>
      </c>
      <c r="AN53" s="21" t="s">
        <v>372</v>
      </c>
      <c r="AO53" s="460" t="s">
        <v>373</v>
      </c>
      <c r="AP53" s="463"/>
    </row>
    <row r="54" spans="1:42" s="22" customFormat="1" ht="16.5" customHeight="1" thickBot="1">
      <c r="A54" s="759">
        <v>1927493</v>
      </c>
      <c r="C54" s="238"/>
      <c r="D54" s="239" t="s">
        <v>115</v>
      </c>
      <c r="E54" s="240" t="s">
        <v>374</v>
      </c>
      <c r="F54" s="241" t="s">
        <v>215</v>
      </c>
      <c r="G54" s="242"/>
      <c r="H54" s="292">
        <f t="shared" si="1"/>
        <v>12500</v>
      </c>
      <c r="I54" s="284"/>
      <c r="J54" s="249"/>
      <c r="K54" s="249"/>
      <c r="L54" s="249"/>
      <c r="M54" s="249"/>
      <c r="N54" s="249"/>
      <c r="O54" s="249"/>
      <c r="P54" s="249"/>
      <c r="Q54" s="249"/>
      <c r="R54" s="249"/>
      <c r="S54" s="249"/>
      <c r="T54" s="243"/>
      <c r="U54" s="829"/>
      <c r="V54" s="342"/>
      <c r="W54" s="706">
        <v>12500</v>
      </c>
      <c r="X54" s="706"/>
      <c r="Y54" s="342"/>
      <c r="Z54" s="243"/>
      <c r="AA54" s="987"/>
      <c r="AB54" s="243" t="s">
        <v>88</v>
      </c>
      <c r="AC54" s="342"/>
      <c r="AD54" s="342"/>
      <c r="AE54" s="342"/>
      <c r="AF54" s="245">
        <v>43124</v>
      </c>
      <c r="AG54" s="245">
        <v>43690</v>
      </c>
      <c r="AH54" s="246"/>
      <c r="AI54" s="300"/>
      <c r="AJ54" s="241">
        <v>100230275</v>
      </c>
      <c r="AK54" s="247">
        <v>38124228</v>
      </c>
      <c r="AL54" s="241" t="s">
        <v>375</v>
      </c>
      <c r="AM54" s="248" t="s">
        <v>191</v>
      </c>
      <c r="AN54" s="1034"/>
      <c r="AO54" s="242" t="s">
        <v>376</v>
      </c>
      <c r="AP54" s="1006" t="s">
        <v>377</v>
      </c>
    </row>
    <row r="55" spans="1:42" s="22" customFormat="1" ht="16.5" customHeight="1">
      <c r="A55" s="758" t="s">
        <v>378</v>
      </c>
      <c r="C55" s="433"/>
      <c r="D55" s="434" t="s">
        <v>115</v>
      </c>
      <c r="E55" s="435" t="s">
        <v>379</v>
      </c>
      <c r="F55" s="436" t="s">
        <v>215</v>
      </c>
      <c r="G55" s="460"/>
      <c r="H55" s="437"/>
      <c r="I55" s="462"/>
      <c r="J55" s="463"/>
      <c r="K55" s="463"/>
      <c r="L55" s="463"/>
      <c r="M55" s="463"/>
      <c r="N55" s="463"/>
      <c r="O55" s="463"/>
      <c r="P55" s="463"/>
      <c r="Q55" s="463"/>
      <c r="R55" s="463"/>
      <c r="S55" s="463"/>
      <c r="T55" s="438"/>
      <c r="U55" s="822"/>
      <c r="V55" s="440"/>
      <c r="W55" s="703"/>
      <c r="X55" s="703"/>
      <c r="Y55" s="440"/>
      <c r="Z55" s="438"/>
      <c r="AA55" s="987"/>
      <c r="AB55" s="438">
        <v>50000</v>
      </c>
      <c r="AC55" s="440"/>
      <c r="AD55" s="440"/>
      <c r="AE55" s="440"/>
      <c r="AF55" s="441">
        <v>45210</v>
      </c>
      <c r="AG55" s="441">
        <v>45267</v>
      </c>
      <c r="AH55" s="442"/>
      <c r="AI55" s="443"/>
      <c r="AJ55" s="436">
        <v>101299311</v>
      </c>
      <c r="AK55" s="444">
        <v>111641</v>
      </c>
      <c r="AL55" s="436" t="s">
        <v>380</v>
      </c>
      <c r="AM55" s="445" t="s">
        <v>381</v>
      </c>
      <c r="AN55" s="450" t="s">
        <v>382</v>
      </c>
      <c r="AO55" s="460" t="s">
        <v>383</v>
      </c>
      <c r="AP55" s="1007"/>
    </row>
    <row r="56" spans="1:42" s="22" customFormat="1" ht="16.5" customHeight="1">
      <c r="A56" s="759">
        <v>877490</v>
      </c>
      <c r="C56" s="238"/>
      <c r="D56" s="239" t="s">
        <v>115</v>
      </c>
      <c r="E56" s="240" t="s">
        <v>384</v>
      </c>
      <c r="F56" s="241" t="s">
        <v>215</v>
      </c>
      <c r="G56" s="242" t="s">
        <v>280</v>
      </c>
      <c r="H56" s="292"/>
      <c r="I56" s="284"/>
      <c r="J56" s="249"/>
      <c r="K56" s="249"/>
      <c r="L56" s="249"/>
      <c r="M56" s="249"/>
      <c r="N56" s="249"/>
      <c r="O56" s="249"/>
      <c r="P56" s="249"/>
      <c r="Q56" s="249"/>
      <c r="R56" s="249"/>
      <c r="S56" s="249"/>
      <c r="T56" s="243"/>
      <c r="U56" s="829"/>
      <c r="V56" s="342"/>
      <c r="W56" s="706"/>
      <c r="X56" s="706"/>
      <c r="Y56" s="342"/>
      <c r="Z56" s="243"/>
      <c r="AA56" s="987">
        <v>600</v>
      </c>
      <c r="AB56" s="243"/>
      <c r="AC56" s="342"/>
      <c r="AD56" s="342"/>
      <c r="AE56" s="342"/>
      <c r="AF56" s="245">
        <v>44982</v>
      </c>
      <c r="AG56" s="245">
        <v>45397</v>
      </c>
      <c r="AH56" s="246"/>
      <c r="AI56" s="300"/>
      <c r="AJ56" s="241">
        <v>101354304</v>
      </c>
      <c r="AK56" s="247">
        <v>913707</v>
      </c>
      <c r="AL56" s="241" t="s">
        <v>385</v>
      </c>
      <c r="AM56" s="248" t="s">
        <v>386</v>
      </c>
      <c r="AN56" s="199" t="s">
        <v>387</v>
      </c>
      <c r="AO56" s="242" t="s">
        <v>388</v>
      </c>
      <c r="AP56" s="1006"/>
    </row>
    <row r="57" spans="1:42" s="22" customFormat="1" ht="16.5" customHeight="1">
      <c r="A57" s="760" t="s">
        <v>389</v>
      </c>
      <c r="C57" s="433" t="s">
        <v>238</v>
      </c>
      <c r="D57" s="434" t="s">
        <v>115</v>
      </c>
      <c r="E57" s="435" t="s">
        <v>390</v>
      </c>
      <c r="F57" s="436" t="s">
        <v>215</v>
      </c>
      <c r="G57" s="460"/>
      <c r="H57" s="437">
        <f t="shared" si="1"/>
        <v>0</v>
      </c>
      <c r="I57" s="462"/>
      <c r="J57" s="463"/>
      <c r="K57" s="463"/>
      <c r="L57" s="463"/>
      <c r="M57" s="463"/>
      <c r="N57" s="463"/>
      <c r="O57" s="463"/>
      <c r="P57" s="463"/>
      <c r="Q57" s="463"/>
      <c r="R57" s="463"/>
      <c r="S57" s="463"/>
      <c r="T57" s="438"/>
      <c r="U57" s="822"/>
      <c r="V57" s="440"/>
      <c r="W57" s="703"/>
      <c r="X57" s="703"/>
      <c r="Y57" s="440"/>
      <c r="Z57" s="438"/>
      <c r="AA57" s="987">
        <v>5000</v>
      </c>
      <c r="AB57" s="438"/>
      <c r="AC57" s="440"/>
      <c r="AD57" s="440"/>
      <c r="AE57" s="440"/>
      <c r="AF57" s="441">
        <v>44838</v>
      </c>
      <c r="AG57" s="441">
        <v>45266</v>
      </c>
      <c r="AH57" s="442">
        <v>45287</v>
      </c>
      <c r="AI57" s="443">
        <v>0</v>
      </c>
      <c r="AJ57" s="436">
        <v>101289244</v>
      </c>
      <c r="AK57" s="444">
        <v>35893676</v>
      </c>
      <c r="AL57" s="436" t="s">
        <v>391</v>
      </c>
      <c r="AM57" s="445" t="s">
        <v>392</v>
      </c>
      <c r="AN57" s="450" t="s">
        <v>393</v>
      </c>
      <c r="AO57" s="460" t="s">
        <v>394</v>
      </c>
      <c r="AP57" s="1007"/>
    </row>
    <row r="58" spans="1:42" s="22" customFormat="1" ht="16.5" customHeight="1">
      <c r="A58" s="759">
        <v>1388542</v>
      </c>
      <c r="C58" s="238" t="s">
        <v>238</v>
      </c>
      <c r="D58" s="239" t="s">
        <v>115</v>
      </c>
      <c r="E58" s="240" t="s">
        <v>395</v>
      </c>
      <c r="F58" s="241" t="s">
        <v>215</v>
      </c>
      <c r="G58" s="242"/>
      <c r="H58" s="292">
        <f t="shared" si="1"/>
        <v>107546383</v>
      </c>
      <c r="I58" s="284"/>
      <c r="J58" s="1011">
        <v>50000</v>
      </c>
      <c r="K58" s="249"/>
      <c r="L58" s="249"/>
      <c r="M58" s="249"/>
      <c r="N58" s="249"/>
      <c r="O58" s="249"/>
      <c r="P58" s="249"/>
      <c r="Q58" s="249"/>
      <c r="R58" s="249"/>
      <c r="S58" s="249">
        <v>101284740</v>
      </c>
      <c r="T58" s="243">
        <v>6211643</v>
      </c>
      <c r="U58" s="829"/>
      <c r="V58" s="342"/>
      <c r="W58" s="706"/>
      <c r="X58" s="706"/>
      <c r="Y58" s="342"/>
      <c r="Z58" s="243"/>
      <c r="AA58" s="987">
        <v>50000</v>
      </c>
      <c r="AB58" s="243"/>
      <c r="AC58" s="342"/>
      <c r="AD58" s="342"/>
      <c r="AE58" s="342"/>
      <c r="AF58" s="245">
        <v>44924</v>
      </c>
      <c r="AG58" s="245">
        <v>45261</v>
      </c>
      <c r="AH58" s="246">
        <v>45278</v>
      </c>
      <c r="AI58" s="300">
        <v>0</v>
      </c>
      <c r="AJ58" s="241">
        <v>101284740</v>
      </c>
      <c r="AK58" s="247">
        <v>6211643</v>
      </c>
      <c r="AL58" s="241" t="s">
        <v>396</v>
      </c>
      <c r="AM58" s="248" t="s">
        <v>397</v>
      </c>
      <c r="AN58" s="1034"/>
      <c r="AO58" s="242" t="s">
        <v>398</v>
      </c>
      <c r="AP58" s="1006"/>
    </row>
    <row r="59" spans="1:42" s="22" customFormat="1" ht="16.5" customHeight="1">
      <c r="A59" s="760" t="s">
        <v>399</v>
      </c>
      <c r="C59" s="433"/>
      <c r="D59" s="434" t="s">
        <v>115</v>
      </c>
      <c r="E59" s="435" t="s">
        <v>400</v>
      </c>
      <c r="F59" s="436" t="s">
        <v>215</v>
      </c>
      <c r="G59" s="460"/>
      <c r="H59" s="437"/>
      <c r="I59" s="462"/>
      <c r="J59" s="1027"/>
      <c r="K59" s="463"/>
      <c r="L59" s="463"/>
      <c r="M59" s="463"/>
      <c r="N59" s="463"/>
      <c r="O59" s="463"/>
      <c r="P59" s="463"/>
      <c r="Q59" s="463"/>
      <c r="R59" s="463"/>
      <c r="S59" s="463"/>
      <c r="T59" s="438"/>
      <c r="U59" s="822"/>
      <c r="V59" s="440"/>
      <c r="W59" s="703"/>
      <c r="X59" s="703"/>
      <c r="Y59" s="440"/>
      <c r="Z59" s="438"/>
      <c r="AA59" s="987"/>
      <c r="AB59" s="438"/>
      <c r="AC59" s="440"/>
      <c r="AD59" s="440"/>
      <c r="AE59" s="440"/>
      <c r="AF59" s="441"/>
      <c r="AG59" s="441">
        <v>45364</v>
      </c>
      <c r="AH59" s="442"/>
      <c r="AI59" s="443"/>
      <c r="AJ59" s="436">
        <v>101326821</v>
      </c>
      <c r="AK59" s="444">
        <v>93434462</v>
      </c>
      <c r="AL59" s="436" t="s">
        <v>401</v>
      </c>
      <c r="AM59" s="445" t="s">
        <v>402</v>
      </c>
      <c r="AN59" s="21" t="s">
        <v>403</v>
      </c>
      <c r="AO59" s="460" t="s">
        <v>404</v>
      </c>
      <c r="AP59" s="1007"/>
    </row>
    <row r="60" spans="1:42" s="22" customFormat="1" ht="17.25" customHeight="1">
      <c r="A60" s="759">
        <v>2305163</v>
      </c>
      <c r="C60" s="238"/>
      <c r="D60" s="239" t="s">
        <v>115</v>
      </c>
      <c r="E60" s="240" t="s">
        <v>405</v>
      </c>
      <c r="F60" s="241" t="s">
        <v>215</v>
      </c>
      <c r="G60" s="242" t="s">
        <v>406</v>
      </c>
      <c r="H60" s="292">
        <f t="shared" si="1"/>
        <v>38401.96</v>
      </c>
      <c r="I60" s="284"/>
      <c r="J60" s="249"/>
      <c r="K60" s="249"/>
      <c r="L60" s="249"/>
      <c r="M60" s="249"/>
      <c r="N60" s="249"/>
      <c r="O60" s="249"/>
      <c r="P60" s="249"/>
      <c r="Q60" s="249"/>
      <c r="R60" s="249"/>
      <c r="S60" s="249"/>
      <c r="T60" s="243"/>
      <c r="U60" s="244"/>
      <c r="V60" s="342"/>
      <c r="W60" s="706"/>
      <c r="X60" s="706">
        <v>38401.96</v>
      </c>
      <c r="Y60" s="342"/>
      <c r="Z60" s="199"/>
      <c r="AA60" s="989"/>
      <c r="AB60" s="243"/>
      <c r="AC60" s="342">
        <v>1000</v>
      </c>
      <c r="AD60" s="342"/>
      <c r="AE60" s="342"/>
      <c r="AF60" s="245">
        <v>44033</v>
      </c>
      <c r="AG60" s="245">
        <v>44069</v>
      </c>
      <c r="AH60" s="246"/>
      <c r="AI60" s="300"/>
      <c r="AJ60" s="241">
        <v>100468119</v>
      </c>
      <c r="AK60" s="247">
        <v>4800603</v>
      </c>
      <c r="AL60" s="241" t="s">
        <v>407</v>
      </c>
      <c r="AM60" s="248">
        <v>3109932664</v>
      </c>
      <c r="AN60" s="809"/>
      <c r="AO60" s="242" t="s">
        <v>408</v>
      </c>
      <c r="AP60" s="1006" t="s">
        <v>409</v>
      </c>
    </row>
    <row r="61" spans="1:42" s="22" customFormat="1" ht="17.25" customHeight="1">
      <c r="A61" s="760" t="s">
        <v>410</v>
      </c>
      <c r="C61" s="433"/>
      <c r="D61" s="434" t="s">
        <v>115</v>
      </c>
      <c r="E61" s="435" t="s">
        <v>411</v>
      </c>
      <c r="F61" s="436" t="s">
        <v>91</v>
      </c>
      <c r="G61" s="460" t="s">
        <v>412</v>
      </c>
      <c r="H61" s="437">
        <f t="shared" si="1"/>
        <v>0</v>
      </c>
      <c r="I61" s="462"/>
      <c r="J61" s="463"/>
      <c r="K61" s="463"/>
      <c r="L61" s="463"/>
      <c r="M61" s="463"/>
      <c r="N61" s="463"/>
      <c r="O61" s="463"/>
      <c r="P61" s="463"/>
      <c r="Q61" s="463"/>
      <c r="R61" s="463"/>
      <c r="S61" s="463"/>
      <c r="T61" s="438"/>
      <c r="U61" s="439"/>
      <c r="V61" s="440"/>
      <c r="W61" s="703"/>
      <c r="X61" s="703"/>
      <c r="Y61" s="440"/>
      <c r="Z61" s="209"/>
      <c r="AA61" s="987"/>
      <c r="AB61" s="438"/>
      <c r="AC61" s="440"/>
      <c r="AD61" s="440"/>
      <c r="AE61" s="440"/>
      <c r="AF61" s="441">
        <v>44885</v>
      </c>
      <c r="AG61" s="441">
        <v>44967</v>
      </c>
      <c r="AH61" s="442"/>
      <c r="AI61" s="443"/>
      <c r="AJ61" s="436">
        <v>101295379</v>
      </c>
      <c r="AK61" s="444">
        <v>2929941</v>
      </c>
      <c r="AL61" s="436" t="s">
        <v>413</v>
      </c>
      <c r="AM61" s="445">
        <v>3142594773</v>
      </c>
      <c r="AN61" s="450" t="s">
        <v>414</v>
      </c>
      <c r="AO61" s="460" t="s">
        <v>415</v>
      </c>
      <c r="AP61" s="1007" t="s">
        <v>416</v>
      </c>
    </row>
    <row r="62" spans="1:42" s="22" customFormat="1" ht="17.25" customHeight="1">
      <c r="A62" s="759">
        <v>1334855</v>
      </c>
      <c r="C62" s="238"/>
      <c r="D62" s="239" t="s">
        <v>205</v>
      </c>
      <c r="E62" s="240" t="s">
        <v>411</v>
      </c>
      <c r="F62" s="241" t="s">
        <v>215</v>
      </c>
      <c r="G62" s="242" t="s">
        <v>417</v>
      </c>
      <c r="H62" s="292">
        <f t="shared" si="1"/>
        <v>0</v>
      </c>
      <c r="I62" s="284"/>
      <c r="J62" s="249"/>
      <c r="K62" s="249"/>
      <c r="L62" s="249"/>
      <c r="M62" s="249"/>
      <c r="N62" s="249"/>
      <c r="O62" s="249"/>
      <c r="P62" s="249"/>
      <c r="Q62" s="249"/>
      <c r="R62" s="249"/>
      <c r="S62" s="249"/>
      <c r="T62" s="243"/>
      <c r="U62" s="244"/>
      <c r="V62" s="342"/>
      <c r="W62" s="706"/>
      <c r="X62" s="706"/>
      <c r="Y62" s="342"/>
      <c r="Z62" s="201"/>
      <c r="AA62" s="987"/>
      <c r="AB62" s="243"/>
      <c r="AC62" s="342"/>
      <c r="AD62" s="342"/>
      <c r="AE62" s="342"/>
      <c r="AF62" s="245">
        <v>44885</v>
      </c>
      <c r="AG62" s="245">
        <v>45275</v>
      </c>
      <c r="AH62" s="246"/>
      <c r="AI62" s="300"/>
      <c r="AJ62" s="241">
        <v>101295379</v>
      </c>
      <c r="AK62" s="247">
        <v>2929941</v>
      </c>
      <c r="AL62" s="241" t="s">
        <v>413</v>
      </c>
      <c r="AM62" s="248">
        <v>3142594773</v>
      </c>
      <c r="AN62" s="199" t="s">
        <v>414</v>
      </c>
      <c r="AO62" s="242" t="s">
        <v>415</v>
      </c>
      <c r="AP62" s="1006" t="s">
        <v>418</v>
      </c>
    </row>
    <row r="63" spans="1:42" s="22" customFormat="1" ht="17.25" customHeight="1">
      <c r="A63" s="760" t="s">
        <v>419</v>
      </c>
      <c r="C63" s="433"/>
      <c r="D63" s="434" t="s">
        <v>205</v>
      </c>
      <c r="E63" s="435" t="s">
        <v>420</v>
      </c>
      <c r="F63" s="436" t="s">
        <v>91</v>
      </c>
      <c r="G63" s="460" t="s">
        <v>421</v>
      </c>
      <c r="H63" s="437">
        <f t="shared" si="1"/>
        <v>18951.23</v>
      </c>
      <c r="I63" s="462"/>
      <c r="J63" s="463"/>
      <c r="K63" s="463"/>
      <c r="L63" s="463"/>
      <c r="M63" s="463"/>
      <c r="N63" s="463"/>
      <c r="O63" s="463"/>
      <c r="P63" s="463"/>
      <c r="Q63" s="463"/>
      <c r="R63" s="463"/>
      <c r="S63" s="463"/>
      <c r="T63" s="438"/>
      <c r="U63" s="439"/>
      <c r="V63" s="440"/>
      <c r="W63" s="703"/>
      <c r="X63" s="703"/>
      <c r="Y63" s="454">
        <v>18951.23</v>
      </c>
      <c r="Z63" s="438"/>
      <c r="AA63" s="987"/>
      <c r="AB63" s="438"/>
      <c r="AC63" s="440"/>
      <c r="AD63" s="440"/>
      <c r="AE63" s="440"/>
      <c r="AF63" s="441"/>
      <c r="AG63" s="441"/>
      <c r="AH63" s="442"/>
      <c r="AI63" s="443"/>
      <c r="AJ63" s="436"/>
      <c r="AK63" s="444"/>
      <c r="AL63" s="436"/>
      <c r="AM63" s="445"/>
      <c r="AN63" s="450"/>
      <c r="AO63" s="460"/>
      <c r="AP63" s="1007"/>
    </row>
    <row r="64" spans="1:42" s="22" customFormat="1" ht="17.25" customHeight="1">
      <c r="A64" s="759">
        <v>2303603</v>
      </c>
      <c r="C64" s="238"/>
      <c r="D64" s="239" t="s">
        <v>115</v>
      </c>
      <c r="E64" s="240" t="s">
        <v>422</v>
      </c>
      <c r="F64" s="241" t="s">
        <v>215</v>
      </c>
      <c r="G64" s="242"/>
      <c r="H64" s="292">
        <f t="shared" si="1"/>
        <v>0</v>
      </c>
      <c r="I64" s="284"/>
      <c r="J64" s="249"/>
      <c r="K64" s="249"/>
      <c r="L64" s="249"/>
      <c r="M64" s="249"/>
      <c r="N64" s="249"/>
      <c r="O64" s="249"/>
      <c r="P64" s="249"/>
      <c r="Q64" s="249"/>
      <c r="R64" s="249"/>
      <c r="S64" s="249"/>
      <c r="T64" s="243"/>
      <c r="U64" s="829"/>
      <c r="V64" s="342"/>
      <c r="W64" s="706" t="s">
        <v>88</v>
      </c>
      <c r="X64" s="706"/>
      <c r="Y64" s="342" t="s">
        <v>88</v>
      </c>
      <c r="Z64" s="243"/>
      <c r="AA64" s="987"/>
      <c r="AB64" s="243"/>
      <c r="AC64" s="342"/>
      <c r="AD64" s="342"/>
      <c r="AE64" s="342"/>
      <c r="AF64" s="245">
        <v>43545</v>
      </c>
      <c r="AG64" s="245">
        <v>43278</v>
      </c>
      <c r="AH64" s="241"/>
      <c r="AI64" s="300"/>
      <c r="AJ64" s="241"/>
      <c r="AK64" s="247">
        <v>9208745</v>
      </c>
      <c r="AL64" s="241" t="s">
        <v>423</v>
      </c>
      <c r="AM64" s="248">
        <v>9106925100</v>
      </c>
      <c r="AN64" s="830" t="s">
        <v>88</v>
      </c>
      <c r="AO64" s="242"/>
      <c r="AP64" s="249"/>
    </row>
    <row r="65" spans="1:42" s="22" customFormat="1" ht="17.25" customHeight="1">
      <c r="A65" s="760" t="s">
        <v>424</v>
      </c>
      <c r="C65" s="433"/>
      <c r="D65" s="434" t="s">
        <v>115</v>
      </c>
      <c r="E65" s="435" t="s">
        <v>425</v>
      </c>
      <c r="F65" s="436" t="s">
        <v>215</v>
      </c>
      <c r="G65" s="921" t="s">
        <v>426</v>
      </c>
      <c r="H65" s="437">
        <f t="shared" si="1"/>
        <v>0</v>
      </c>
      <c r="I65" s="462"/>
      <c r="J65" s="463"/>
      <c r="K65" s="463"/>
      <c r="L65" s="463"/>
      <c r="M65" s="463"/>
      <c r="N65" s="463"/>
      <c r="O65" s="463"/>
      <c r="P65" s="463"/>
      <c r="Q65" s="463"/>
      <c r="R65" s="463"/>
      <c r="S65" s="463"/>
      <c r="T65" s="438"/>
      <c r="U65" s="822"/>
      <c r="V65" s="440"/>
      <c r="W65" s="703"/>
      <c r="X65" s="703"/>
      <c r="Y65" s="440"/>
      <c r="Z65" s="438"/>
      <c r="AA65" s="987"/>
      <c r="AB65" s="438" t="s">
        <v>88</v>
      </c>
      <c r="AC65" s="440"/>
      <c r="AD65" s="440"/>
      <c r="AE65" s="440"/>
      <c r="AF65" s="441">
        <v>44340</v>
      </c>
      <c r="AG65" s="441">
        <v>44657</v>
      </c>
      <c r="AH65" s="436"/>
      <c r="AI65" s="443"/>
      <c r="AJ65" s="436">
        <v>100821100</v>
      </c>
      <c r="AK65" s="444">
        <v>5018593</v>
      </c>
      <c r="AL65" s="436" t="s">
        <v>427</v>
      </c>
      <c r="AM65" s="445" t="s">
        <v>428</v>
      </c>
      <c r="AN65" s="450"/>
      <c r="AO65" s="460" t="s">
        <v>429</v>
      </c>
      <c r="AP65" s="463" t="s">
        <v>88</v>
      </c>
    </row>
    <row r="66" spans="1:42" s="22" customFormat="1" ht="17.25" customHeight="1">
      <c r="A66" s="759">
        <v>1364422</v>
      </c>
      <c r="C66" s="238"/>
      <c r="D66" s="239" t="s">
        <v>115</v>
      </c>
      <c r="E66" s="240" t="s">
        <v>430</v>
      </c>
      <c r="F66" s="241" t="s">
        <v>215</v>
      </c>
      <c r="G66" s="922"/>
      <c r="H66" s="292">
        <f t="shared" si="1"/>
        <v>47382.34</v>
      </c>
      <c r="I66" s="284"/>
      <c r="J66" s="249"/>
      <c r="K66" s="249"/>
      <c r="L66" s="249"/>
      <c r="M66" s="249"/>
      <c r="N66" s="249"/>
      <c r="O66" s="249"/>
      <c r="P66" s="249"/>
      <c r="Q66" s="249"/>
      <c r="R66" s="249"/>
      <c r="S66" s="249"/>
      <c r="T66" s="243"/>
      <c r="U66" s="829"/>
      <c r="V66" s="342"/>
      <c r="W66" s="706"/>
      <c r="X66" s="706"/>
      <c r="Y66" s="342">
        <v>47382.34</v>
      </c>
      <c r="Z66" s="243"/>
      <c r="AA66" s="987"/>
      <c r="AB66" s="243"/>
      <c r="AC66" s="342"/>
      <c r="AD66" s="342"/>
      <c r="AE66" s="342"/>
      <c r="AF66" s="245"/>
      <c r="AG66" s="245"/>
      <c r="AH66" s="241"/>
      <c r="AI66" s="300"/>
      <c r="AJ66" s="241"/>
      <c r="AK66" s="247"/>
      <c r="AL66" s="241"/>
      <c r="AM66" s="248"/>
      <c r="AN66" s="1008"/>
      <c r="AO66" s="242"/>
      <c r="AP66" s="249"/>
    </row>
    <row r="67" spans="1:42" s="22" customFormat="1" ht="17.25" customHeight="1">
      <c r="A67" s="760" t="s">
        <v>431</v>
      </c>
      <c r="C67" s="433"/>
      <c r="D67" s="434" t="s">
        <v>115</v>
      </c>
      <c r="E67" s="435" t="s">
        <v>432</v>
      </c>
      <c r="F67" s="436" t="s">
        <v>117</v>
      </c>
      <c r="G67" s="460" t="s">
        <v>433</v>
      </c>
      <c r="H67" s="437">
        <f t="shared" si="1"/>
        <v>3419.07</v>
      </c>
      <c r="I67" s="462"/>
      <c r="J67" s="463"/>
      <c r="K67" s="463"/>
      <c r="L67" s="463"/>
      <c r="M67" s="463"/>
      <c r="N67" s="463"/>
      <c r="O67" s="463"/>
      <c r="P67" s="463"/>
      <c r="Q67" s="463"/>
      <c r="R67" s="463"/>
      <c r="S67" s="463"/>
      <c r="T67" s="438"/>
      <c r="U67" s="822"/>
      <c r="V67" s="440"/>
      <c r="W67" s="703"/>
      <c r="X67" s="703"/>
      <c r="Y67" s="440">
        <v>3419.07</v>
      </c>
      <c r="Z67" s="438"/>
      <c r="AA67" s="987"/>
      <c r="AB67" s="438"/>
      <c r="AC67" s="440"/>
      <c r="AD67" s="440"/>
      <c r="AE67" s="440"/>
      <c r="AF67" s="441">
        <v>37539</v>
      </c>
      <c r="AG67" s="441">
        <v>44602</v>
      </c>
      <c r="AH67" s="436"/>
      <c r="AI67" s="443" t="s">
        <v>88</v>
      </c>
      <c r="AJ67" s="436">
        <v>100809069</v>
      </c>
      <c r="AK67" s="444">
        <v>6450738</v>
      </c>
      <c r="AL67" s="436" t="s">
        <v>434</v>
      </c>
      <c r="AM67" s="445" t="s">
        <v>435</v>
      </c>
      <c r="AN67" s="450" t="s">
        <v>436</v>
      </c>
      <c r="AO67" s="460" t="s">
        <v>437</v>
      </c>
      <c r="AP67" s="463"/>
    </row>
    <row r="68" spans="1:42" s="22" customFormat="1" ht="17.25" customHeight="1">
      <c r="A68" s="759">
        <v>1767878.23</v>
      </c>
      <c r="C68" s="238" t="s">
        <v>238</v>
      </c>
      <c r="D68" s="239" t="s">
        <v>205</v>
      </c>
      <c r="E68" s="240" t="s">
        <v>438</v>
      </c>
      <c r="F68" s="241" t="s">
        <v>117</v>
      </c>
      <c r="G68" s="242"/>
      <c r="H68" s="292">
        <f t="shared" si="1"/>
        <v>104255.32</v>
      </c>
      <c r="I68" s="284"/>
      <c r="J68" s="249"/>
      <c r="K68" s="249"/>
      <c r="L68" s="249"/>
      <c r="M68" s="249"/>
      <c r="N68" s="249"/>
      <c r="O68" s="249"/>
      <c r="P68" s="249"/>
      <c r="Q68" s="249"/>
      <c r="R68" s="249"/>
      <c r="S68" s="249"/>
      <c r="T68" s="243"/>
      <c r="U68" s="829"/>
      <c r="V68" s="342"/>
      <c r="W68" s="706"/>
      <c r="X68" s="706"/>
      <c r="Y68" s="342">
        <v>104255.32</v>
      </c>
      <c r="Z68" s="243"/>
      <c r="AA68" s="987">
        <v>17191.53</v>
      </c>
      <c r="AB68" s="243"/>
      <c r="AC68" s="342"/>
      <c r="AD68" s="342"/>
      <c r="AE68" s="342"/>
      <c r="AF68" s="245">
        <v>39131</v>
      </c>
      <c r="AG68" s="245">
        <v>44467</v>
      </c>
      <c r="AH68" s="246">
        <v>45195</v>
      </c>
      <c r="AI68" s="300">
        <f>(YEAR(AH68)-YEAR(AG68))*12+MONTH(AH68)-MONTH(AG68)</f>
        <v>24</v>
      </c>
      <c r="AJ68" s="241">
        <v>100744111</v>
      </c>
      <c r="AK68" s="247">
        <v>140483</v>
      </c>
      <c r="AL68" s="241" t="s">
        <v>439</v>
      </c>
      <c r="AM68" s="248" t="s">
        <v>440</v>
      </c>
      <c r="AN68" s="199" t="s">
        <v>441</v>
      </c>
      <c r="AO68" s="242" t="s">
        <v>442</v>
      </c>
      <c r="AP68" s="249"/>
    </row>
    <row r="69" spans="1:42" s="22" customFormat="1" ht="17.25" customHeight="1">
      <c r="A69" s="760" t="s">
        <v>443</v>
      </c>
      <c r="C69" s="433"/>
      <c r="D69" s="434" t="s">
        <v>115</v>
      </c>
      <c r="E69" s="435" t="s">
        <v>444</v>
      </c>
      <c r="F69" s="436" t="s">
        <v>215</v>
      </c>
      <c r="G69" s="460"/>
      <c r="H69" s="437">
        <f t="shared" si="1"/>
        <v>25000</v>
      </c>
      <c r="I69" s="462"/>
      <c r="J69" s="463"/>
      <c r="K69" s="463"/>
      <c r="L69" s="463"/>
      <c r="M69" s="463"/>
      <c r="N69" s="463"/>
      <c r="O69" s="463"/>
      <c r="P69" s="463"/>
      <c r="Q69" s="463"/>
      <c r="R69" s="463"/>
      <c r="S69" s="463"/>
      <c r="T69" s="438"/>
      <c r="U69" s="822"/>
      <c r="V69" s="440"/>
      <c r="W69" s="703"/>
      <c r="X69" s="703"/>
      <c r="Y69" s="440"/>
      <c r="Z69" s="438">
        <v>25000</v>
      </c>
      <c r="AA69" s="987"/>
      <c r="AB69" s="438"/>
      <c r="AC69" s="440"/>
      <c r="AD69" s="440"/>
      <c r="AE69" s="440"/>
      <c r="AF69" s="441"/>
      <c r="AG69" s="441">
        <v>45107</v>
      </c>
      <c r="AH69" s="442">
        <v>45107</v>
      </c>
      <c r="AI69" s="443">
        <v>0</v>
      </c>
      <c r="AJ69" s="436">
        <v>101140089</v>
      </c>
      <c r="AK69" s="444"/>
      <c r="AL69" s="436" t="s">
        <v>445</v>
      </c>
      <c r="AM69" s="445" t="s">
        <v>446</v>
      </c>
      <c r="AN69" s="450" t="s">
        <v>447</v>
      </c>
      <c r="AO69" s="460" t="s">
        <v>448</v>
      </c>
      <c r="AP69" s="463"/>
    </row>
    <row r="70" spans="1:42" s="22" customFormat="1" ht="17.25" customHeight="1">
      <c r="A70" s="759">
        <v>2071583</v>
      </c>
      <c r="C70" s="238"/>
      <c r="D70" s="239" t="s">
        <v>115</v>
      </c>
      <c r="E70" s="240" t="s">
        <v>449</v>
      </c>
      <c r="F70" s="241" t="s">
        <v>215</v>
      </c>
      <c r="G70" s="242"/>
      <c r="H70" s="292">
        <f t="shared" si="1"/>
        <v>30000</v>
      </c>
      <c r="I70" s="284"/>
      <c r="J70" s="249"/>
      <c r="K70" s="249"/>
      <c r="L70" s="249"/>
      <c r="M70" s="249"/>
      <c r="N70" s="249"/>
      <c r="O70" s="249"/>
      <c r="P70" s="249"/>
      <c r="Q70" s="249"/>
      <c r="R70" s="249"/>
      <c r="S70" s="249"/>
      <c r="T70" s="243"/>
      <c r="U70" s="829"/>
      <c r="V70" s="342"/>
      <c r="W70" s="706"/>
      <c r="X70" s="706"/>
      <c r="Y70" s="342">
        <v>30000</v>
      </c>
      <c r="Z70" s="243"/>
      <c r="AA70" s="987"/>
      <c r="AB70" s="243"/>
      <c r="AC70" s="342"/>
      <c r="AD70" s="342"/>
      <c r="AE70" s="342"/>
      <c r="AF70" s="245">
        <v>43734</v>
      </c>
      <c r="AG70" s="245">
        <v>43879</v>
      </c>
      <c r="AH70" s="241"/>
      <c r="AI70" s="300"/>
      <c r="AJ70" s="241">
        <v>100351553</v>
      </c>
      <c r="AK70" s="247">
        <v>39199427</v>
      </c>
      <c r="AL70" s="241" t="s">
        <v>450</v>
      </c>
      <c r="AM70" s="248" t="s">
        <v>451</v>
      </c>
      <c r="AN70" s="809" t="s">
        <v>452</v>
      </c>
      <c r="AO70" s="242" t="s">
        <v>453</v>
      </c>
      <c r="AP70" s="1006"/>
    </row>
    <row r="71" spans="1:42" s="22" customFormat="1" ht="16.5" customHeight="1">
      <c r="A71" s="760" t="s">
        <v>93</v>
      </c>
      <c r="C71" s="433" t="s">
        <v>238</v>
      </c>
      <c r="D71" s="434" t="s">
        <v>115</v>
      </c>
      <c r="E71" s="435" t="s">
        <v>454</v>
      </c>
      <c r="F71" s="436" t="s">
        <v>215</v>
      </c>
      <c r="G71" s="460"/>
      <c r="H71" s="437">
        <f t="shared" si="1"/>
        <v>0</v>
      </c>
      <c r="I71" s="462"/>
      <c r="J71" s="463"/>
      <c r="K71" s="463"/>
      <c r="L71" s="463"/>
      <c r="M71" s="463"/>
      <c r="N71" s="463"/>
      <c r="O71" s="463"/>
      <c r="P71" s="463"/>
      <c r="Q71" s="463"/>
      <c r="R71" s="463"/>
      <c r="S71" s="463"/>
      <c r="T71" s="438"/>
      <c r="U71" s="822"/>
      <c r="V71" s="440"/>
      <c r="W71" s="703"/>
      <c r="X71" s="703"/>
      <c r="Y71" s="440"/>
      <c r="Z71" s="438"/>
      <c r="AA71" s="987">
        <v>20000</v>
      </c>
      <c r="AB71" s="438"/>
      <c r="AC71" s="440"/>
      <c r="AD71" s="440"/>
      <c r="AE71" s="440"/>
      <c r="AF71" s="441"/>
      <c r="AG71" s="441">
        <v>45113</v>
      </c>
      <c r="AH71" s="442">
        <v>45113</v>
      </c>
      <c r="AI71" s="443">
        <v>0</v>
      </c>
      <c r="AJ71" s="436">
        <v>101138315</v>
      </c>
      <c r="AK71" s="444">
        <v>101101399</v>
      </c>
      <c r="AL71" s="436" t="s">
        <v>455</v>
      </c>
      <c r="AM71" s="445"/>
      <c r="AN71" s="817"/>
      <c r="AO71" s="460" t="s">
        <v>456</v>
      </c>
      <c r="AP71" s="1007"/>
    </row>
    <row r="72" spans="1:42" s="22" customFormat="1" ht="16.5" customHeight="1">
      <c r="A72" s="759">
        <f>SUM(V3:V307)</f>
        <v>3445420.13</v>
      </c>
      <c r="C72" s="238"/>
      <c r="D72" s="239" t="s">
        <v>115</v>
      </c>
      <c r="E72" s="240" t="s">
        <v>457</v>
      </c>
      <c r="F72" s="241" t="s">
        <v>215</v>
      </c>
      <c r="G72" s="242"/>
      <c r="H72" s="292">
        <f t="shared" si="1"/>
        <v>0</v>
      </c>
      <c r="I72" s="284"/>
      <c r="J72" s="249"/>
      <c r="K72" s="249"/>
      <c r="L72" s="249"/>
      <c r="M72" s="249"/>
      <c r="N72" s="249"/>
      <c r="O72" s="249"/>
      <c r="P72" s="249"/>
      <c r="Q72" s="249"/>
      <c r="R72" s="249"/>
      <c r="S72" s="249"/>
      <c r="T72" s="243"/>
      <c r="U72" s="829"/>
      <c r="V72" s="342"/>
      <c r="W72" s="706"/>
      <c r="X72" s="706"/>
      <c r="Y72" s="342"/>
      <c r="Z72" s="243"/>
      <c r="AA72" s="987"/>
      <c r="AB72" s="243"/>
      <c r="AC72" s="342"/>
      <c r="AD72" s="342"/>
      <c r="AE72" s="342"/>
      <c r="AF72" s="245">
        <v>44443</v>
      </c>
      <c r="AG72" s="245">
        <v>45223</v>
      </c>
      <c r="AH72" s="246"/>
      <c r="AI72" s="300"/>
      <c r="AJ72" s="241">
        <v>101187167</v>
      </c>
      <c r="AK72" s="247">
        <v>101187167</v>
      </c>
      <c r="AL72" s="241" t="s">
        <v>458</v>
      </c>
      <c r="AM72" s="248" t="s">
        <v>459</v>
      </c>
      <c r="AN72" s="809"/>
      <c r="AO72" s="242" t="s">
        <v>460</v>
      </c>
      <c r="AP72" s="1006"/>
    </row>
    <row r="73" spans="1:42" s="22" customFormat="1" ht="16.5" customHeight="1">
      <c r="A73" s="761" t="s">
        <v>94</v>
      </c>
      <c r="C73" s="433" t="s">
        <v>238</v>
      </c>
      <c r="D73" s="434" t="s">
        <v>205</v>
      </c>
      <c r="E73" s="435" t="s">
        <v>461</v>
      </c>
      <c r="F73" s="436" t="s">
        <v>215</v>
      </c>
      <c r="G73" s="460" t="s">
        <v>462</v>
      </c>
      <c r="H73" s="437">
        <f t="shared" si="1"/>
        <v>0</v>
      </c>
      <c r="I73" s="462"/>
      <c r="J73" s="463"/>
      <c r="K73" s="463"/>
      <c r="L73" s="463"/>
      <c r="M73" s="463"/>
      <c r="N73" s="463"/>
      <c r="O73" s="463"/>
      <c r="P73" s="463"/>
      <c r="Q73" s="463"/>
      <c r="R73" s="463"/>
      <c r="S73" s="463"/>
      <c r="T73" s="438"/>
      <c r="U73" s="822"/>
      <c r="V73" s="440"/>
      <c r="W73" s="703"/>
      <c r="X73" s="703"/>
      <c r="Y73" s="440"/>
      <c r="Z73" s="438"/>
      <c r="AA73" s="987">
        <v>3854899.12</v>
      </c>
      <c r="AB73" s="1029"/>
      <c r="AC73" s="440"/>
      <c r="AD73" s="440"/>
      <c r="AE73" s="440"/>
      <c r="AF73" s="441">
        <v>44750</v>
      </c>
      <c r="AG73" s="441">
        <v>45274</v>
      </c>
      <c r="AH73" s="442">
        <v>45288</v>
      </c>
      <c r="AI73" s="443">
        <v>1</v>
      </c>
      <c r="AJ73" s="436">
        <v>101288463</v>
      </c>
      <c r="AK73" s="444">
        <v>101272159</v>
      </c>
      <c r="AL73" s="436" t="s">
        <v>463</v>
      </c>
      <c r="AM73" s="445" t="s">
        <v>464</v>
      </c>
      <c r="AN73" s="450" t="s">
        <v>465</v>
      </c>
      <c r="AO73" s="460" t="s">
        <v>466</v>
      </c>
      <c r="AP73" s="1007"/>
    </row>
    <row r="74" spans="1:42" s="22" customFormat="1" ht="16.5" customHeight="1">
      <c r="A74" s="759">
        <f>SUM(W3:W283)</f>
        <v>3785517.21</v>
      </c>
      <c r="C74" s="238"/>
      <c r="D74" s="239" t="s">
        <v>115</v>
      </c>
      <c r="E74" s="240" t="s">
        <v>467</v>
      </c>
      <c r="F74" s="241" t="s">
        <v>91</v>
      </c>
      <c r="G74" s="242" t="s">
        <v>468</v>
      </c>
      <c r="H74" s="292">
        <f t="shared" si="1"/>
        <v>0</v>
      </c>
      <c r="I74" s="284"/>
      <c r="J74" s="249"/>
      <c r="K74" s="249"/>
      <c r="L74" s="249"/>
      <c r="M74" s="249"/>
      <c r="N74" s="249"/>
      <c r="O74" s="249"/>
      <c r="P74" s="249"/>
      <c r="Q74" s="249"/>
      <c r="R74" s="249"/>
      <c r="S74" s="249"/>
      <c r="T74" s="243"/>
      <c r="U74" s="829"/>
      <c r="V74" s="342"/>
      <c r="W74" s="706"/>
      <c r="X74" s="706"/>
      <c r="Y74" s="342"/>
      <c r="Z74" s="243"/>
      <c r="AA74" s="987"/>
      <c r="AB74" s="243"/>
      <c r="AC74" s="342"/>
      <c r="AD74" s="342"/>
      <c r="AE74" s="342"/>
      <c r="AF74" s="245">
        <v>44574</v>
      </c>
      <c r="AG74" s="245">
        <v>44606</v>
      </c>
      <c r="AH74" s="246"/>
      <c r="AI74" s="300"/>
      <c r="AJ74" s="241">
        <v>100809071</v>
      </c>
      <c r="AK74" s="247">
        <v>568723</v>
      </c>
      <c r="AL74" s="241" t="s">
        <v>469</v>
      </c>
      <c r="AM74" s="248" t="s">
        <v>470</v>
      </c>
      <c r="AN74" s="199" t="s">
        <v>471</v>
      </c>
      <c r="AO74" s="242" t="s">
        <v>472</v>
      </c>
      <c r="AP74" s="1006" t="s">
        <v>468</v>
      </c>
    </row>
    <row r="75" spans="1:42" s="22" customFormat="1" ht="17.25" customHeight="1">
      <c r="A75" s="892" t="s">
        <v>95</v>
      </c>
      <c r="C75" s="433"/>
      <c r="D75" s="434" t="s">
        <v>115</v>
      </c>
      <c r="E75" s="435" t="s">
        <v>473</v>
      </c>
      <c r="F75" s="436" t="s">
        <v>215</v>
      </c>
      <c r="G75" s="827" t="s">
        <v>474</v>
      </c>
      <c r="H75" s="437">
        <f t="shared" si="1"/>
        <v>103142.86</v>
      </c>
      <c r="I75" s="462"/>
      <c r="J75" s="463"/>
      <c r="K75" s="463"/>
      <c r="L75" s="463"/>
      <c r="M75" s="463"/>
      <c r="N75" s="463"/>
      <c r="O75" s="463"/>
      <c r="P75" s="463"/>
      <c r="Q75" s="463"/>
      <c r="R75" s="463"/>
      <c r="S75" s="463"/>
      <c r="T75" s="438"/>
      <c r="U75" s="822"/>
      <c r="V75" s="440"/>
      <c r="W75" s="703"/>
      <c r="X75" s="703"/>
      <c r="Y75" s="440">
        <v>71000</v>
      </c>
      <c r="Z75" s="438">
        <v>32142.86</v>
      </c>
      <c r="AA75" s="987"/>
      <c r="AB75" s="614"/>
      <c r="AC75" s="438">
        <v>85033.64</v>
      </c>
      <c r="AD75" s="440"/>
      <c r="AE75" s="440"/>
      <c r="AF75" s="441">
        <v>44285</v>
      </c>
      <c r="AG75" s="441">
        <v>44372</v>
      </c>
      <c r="AH75" s="442"/>
      <c r="AI75" s="443" t="s">
        <v>88</v>
      </c>
      <c r="AJ75" s="436">
        <v>100659423</v>
      </c>
      <c r="AK75" s="444">
        <v>10422657</v>
      </c>
      <c r="AL75" s="436" t="s">
        <v>475</v>
      </c>
      <c r="AM75" s="1030" t="s">
        <v>476</v>
      </c>
      <c r="AN75" s="1035" t="s">
        <v>477</v>
      </c>
      <c r="AO75" s="460" t="s">
        <v>478</v>
      </c>
      <c r="AP75" s="1007"/>
    </row>
    <row r="76" spans="1:42" s="22" customFormat="1" ht="17.25" customHeight="1">
      <c r="A76" s="759">
        <f>SUM(X3:X251)</f>
        <v>2681416.7799999998</v>
      </c>
      <c r="C76" s="238"/>
      <c r="D76" s="239" t="s">
        <v>115</v>
      </c>
      <c r="E76" s="240" t="s">
        <v>479</v>
      </c>
      <c r="F76" s="241" t="s">
        <v>215</v>
      </c>
      <c r="G76" s="833" t="s">
        <v>480</v>
      </c>
      <c r="H76" s="292">
        <f t="shared" si="1"/>
        <v>0</v>
      </c>
      <c r="I76" s="284"/>
      <c r="J76" s="249"/>
      <c r="K76" s="249"/>
      <c r="L76" s="249"/>
      <c r="M76" s="249"/>
      <c r="N76" s="249"/>
      <c r="O76" s="249"/>
      <c r="P76" s="249"/>
      <c r="Q76" s="249"/>
      <c r="R76" s="249"/>
      <c r="S76" s="249"/>
      <c r="T76" s="243"/>
      <c r="U76" s="829"/>
      <c r="V76" s="342"/>
      <c r="W76" s="706"/>
      <c r="X76" s="706"/>
      <c r="Y76" s="342"/>
      <c r="Z76" s="243"/>
      <c r="AA76" s="987"/>
      <c r="AB76" s="243">
        <v>3000</v>
      </c>
      <c r="AC76" s="342"/>
      <c r="AD76" s="342"/>
      <c r="AE76" s="342"/>
      <c r="AF76" s="245">
        <v>45162</v>
      </c>
      <c r="AG76" s="245">
        <v>45190</v>
      </c>
      <c r="AH76" s="246"/>
      <c r="AI76" s="300"/>
      <c r="AJ76" s="241">
        <v>101178924</v>
      </c>
      <c r="AK76" s="247">
        <v>16475600</v>
      </c>
      <c r="AL76" s="241" t="s">
        <v>481</v>
      </c>
      <c r="AM76" s="977" t="s">
        <v>482</v>
      </c>
      <c r="AN76" s="199" t="s">
        <v>483</v>
      </c>
      <c r="AO76" s="242" t="s">
        <v>484</v>
      </c>
      <c r="AP76" s="1006"/>
    </row>
    <row r="77" spans="1:42" s="22" customFormat="1" ht="17.25" customHeight="1">
      <c r="A77" s="924" t="s">
        <v>96</v>
      </c>
      <c r="C77" s="433"/>
      <c r="D77" s="434" t="s">
        <v>115</v>
      </c>
      <c r="E77" s="435" t="s">
        <v>485</v>
      </c>
      <c r="F77" s="436" t="s">
        <v>117</v>
      </c>
      <c r="G77" s="460"/>
      <c r="H77" s="437">
        <f t="shared" si="1"/>
        <v>0</v>
      </c>
      <c r="I77" s="462"/>
      <c r="J77" s="463"/>
      <c r="K77" s="463"/>
      <c r="L77" s="463"/>
      <c r="M77" s="463"/>
      <c r="N77" s="463"/>
      <c r="O77" s="463"/>
      <c r="P77" s="463"/>
      <c r="Q77" s="463"/>
      <c r="R77" s="463"/>
      <c r="S77" s="463"/>
      <c r="T77" s="438"/>
      <c r="U77" s="822"/>
      <c r="V77" s="440"/>
      <c r="W77" s="703"/>
      <c r="X77" s="703"/>
      <c r="Y77" s="440"/>
      <c r="Z77" s="438"/>
      <c r="AA77" s="987"/>
      <c r="AB77" s="438"/>
      <c r="AC77" s="440"/>
      <c r="AD77" s="440"/>
      <c r="AE77" s="440"/>
      <c r="AF77" s="441">
        <v>41451</v>
      </c>
      <c r="AG77" s="441">
        <v>42836</v>
      </c>
      <c r="AH77" s="436"/>
      <c r="AI77" s="443"/>
      <c r="AJ77" s="436">
        <v>100334492</v>
      </c>
      <c r="AK77" s="444">
        <v>525451</v>
      </c>
      <c r="AL77" s="436" t="s">
        <v>486</v>
      </c>
      <c r="AM77" s="445" t="s">
        <v>487</v>
      </c>
      <c r="AN77" s="817" t="s">
        <v>488</v>
      </c>
      <c r="AO77" s="460" t="s">
        <v>489</v>
      </c>
      <c r="AP77" s="1031"/>
    </row>
    <row r="78" spans="1:42" s="22" customFormat="1" ht="17.25" customHeight="1">
      <c r="A78" s="759">
        <f>SUM(Y3:Y251)</f>
        <v>4594696.09</v>
      </c>
      <c r="C78" s="238"/>
      <c r="D78" s="239" t="s">
        <v>115</v>
      </c>
      <c r="E78" s="240" t="s">
        <v>490</v>
      </c>
      <c r="F78" s="241" t="s">
        <v>215</v>
      </c>
      <c r="G78" s="833">
        <v>30000</v>
      </c>
      <c r="H78" s="292">
        <f t="shared" si="1"/>
        <v>67127.180000000008</v>
      </c>
      <c r="I78" s="284"/>
      <c r="J78" s="249"/>
      <c r="K78" s="249"/>
      <c r="L78" s="249"/>
      <c r="M78" s="249"/>
      <c r="N78" s="249"/>
      <c r="O78" s="249"/>
      <c r="P78" s="249"/>
      <c r="Q78" s="249"/>
      <c r="R78" s="249"/>
      <c r="S78" s="249"/>
      <c r="T78" s="243"/>
      <c r="U78" s="829"/>
      <c r="V78" s="342"/>
      <c r="W78" s="706"/>
      <c r="X78" s="706"/>
      <c r="Y78" s="342"/>
      <c r="Z78" s="201">
        <f>67118.57+2.89+5.72</f>
        <v>67127.180000000008</v>
      </c>
      <c r="AA78" s="987"/>
      <c r="AB78" s="243"/>
      <c r="AC78" s="342"/>
      <c r="AD78" s="342"/>
      <c r="AE78" s="342"/>
      <c r="AF78" s="245">
        <v>43963</v>
      </c>
      <c r="AG78" s="245">
        <v>44012</v>
      </c>
      <c r="AH78" s="241"/>
      <c r="AI78" s="300"/>
      <c r="AJ78" s="241">
        <v>100643731</v>
      </c>
      <c r="AK78" s="247">
        <v>57035172</v>
      </c>
      <c r="AL78" s="241" t="s">
        <v>491</v>
      </c>
      <c r="AM78" s="248">
        <v>4156930550</v>
      </c>
      <c r="AN78" s="199" t="s">
        <v>492</v>
      </c>
      <c r="AO78" s="242" t="s">
        <v>493</v>
      </c>
      <c r="AP78" s="249" t="s">
        <v>494</v>
      </c>
    </row>
    <row r="79" spans="1:42" s="22" customFormat="1" ht="17.25" customHeight="1">
      <c r="A79" s="924" t="s">
        <v>97</v>
      </c>
      <c r="C79" s="447"/>
      <c r="D79" s="448" t="s">
        <v>115</v>
      </c>
      <c r="E79" s="449" t="s">
        <v>495</v>
      </c>
      <c r="F79" s="450" t="s">
        <v>215</v>
      </c>
      <c r="G79" s="451" t="s">
        <v>496</v>
      </c>
      <c r="H79" s="437">
        <f t="shared" si="1"/>
        <v>0</v>
      </c>
      <c r="I79" s="452"/>
      <c r="J79" s="453"/>
      <c r="K79" s="453"/>
      <c r="L79" s="453"/>
      <c r="M79" s="453"/>
      <c r="N79" s="453"/>
      <c r="O79" s="453"/>
      <c r="P79" s="453"/>
      <c r="Q79" s="453"/>
      <c r="R79" s="453"/>
      <c r="S79" s="453"/>
      <c r="T79" s="209"/>
      <c r="U79" s="594"/>
      <c r="V79" s="454"/>
      <c r="W79" s="616"/>
      <c r="X79" s="616"/>
      <c r="Y79" s="449"/>
      <c r="Z79" s="450"/>
      <c r="AA79" s="989"/>
      <c r="AB79" s="614"/>
      <c r="AC79" s="209">
        <v>100000</v>
      </c>
      <c r="AD79" s="454"/>
      <c r="AE79" s="454"/>
      <c r="AF79" s="455">
        <v>43633</v>
      </c>
      <c r="AG79" s="455">
        <v>43661</v>
      </c>
      <c r="AH79" s="450"/>
      <c r="AI79" s="457"/>
      <c r="AJ79" s="450">
        <v>100220825</v>
      </c>
      <c r="AK79" s="208">
        <v>35200096</v>
      </c>
      <c r="AL79" s="450" t="s">
        <v>497</v>
      </c>
      <c r="AM79" s="458" t="s">
        <v>498</v>
      </c>
      <c r="AN79" s="817" t="s">
        <v>499</v>
      </c>
      <c r="AO79" s="451" t="s">
        <v>500</v>
      </c>
      <c r="AP79" s="453" t="s">
        <v>501</v>
      </c>
    </row>
    <row r="80" spans="1:42" s="22" customFormat="1" ht="17.25" customHeight="1">
      <c r="A80" s="759">
        <f>SUM(Z3:Z206)</f>
        <v>5296580.43</v>
      </c>
      <c r="C80" s="197" t="s">
        <v>238</v>
      </c>
      <c r="D80" s="212" t="s">
        <v>115</v>
      </c>
      <c r="E80" s="198" t="s">
        <v>502</v>
      </c>
      <c r="F80" s="199" t="s">
        <v>215</v>
      </c>
      <c r="G80" s="219" t="s">
        <v>503</v>
      </c>
      <c r="H80" s="292">
        <f t="shared" si="1"/>
        <v>181178.73</v>
      </c>
      <c r="I80" s="283"/>
      <c r="J80" s="206"/>
      <c r="K80" s="206"/>
      <c r="L80" s="206"/>
      <c r="M80" s="206"/>
      <c r="N80" s="206"/>
      <c r="O80" s="206"/>
      <c r="P80" s="206"/>
      <c r="Q80" s="206"/>
      <c r="R80" s="206"/>
      <c r="S80" s="206"/>
      <c r="T80" s="201"/>
      <c r="U80" s="338"/>
      <c r="V80" s="341"/>
      <c r="W80" s="510"/>
      <c r="X80" s="510"/>
      <c r="Y80" s="341">
        <v>150000</v>
      </c>
      <c r="Z80" s="201">
        <v>31178.73</v>
      </c>
      <c r="AA80" s="989"/>
      <c r="AB80" s="201"/>
      <c r="AC80" s="341">
        <v>25000</v>
      </c>
      <c r="AD80" s="341"/>
      <c r="AE80" s="341"/>
      <c r="AF80" s="203">
        <v>44300</v>
      </c>
      <c r="AG80" s="203">
        <v>44364</v>
      </c>
      <c r="AH80" s="204"/>
      <c r="AI80" s="299"/>
      <c r="AJ80" s="199">
        <v>100653181</v>
      </c>
      <c r="AK80" s="200">
        <v>28457265</v>
      </c>
      <c r="AL80" s="199" t="s">
        <v>504</v>
      </c>
      <c r="AM80" s="205" t="s">
        <v>505</v>
      </c>
      <c r="AN80" s="199" t="s">
        <v>506</v>
      </c>
      <c r="AO80" s="219" t="s">
        <v>507</v>
      </c>
      <c r="AP80" s="907"/>
    </row>
    <row r="81" spans="1:42" s="22" customFormat="1" ht="17.25" customHeight="1">
      <c r="A81" s="893" t="s">
        <v>508</v>
      </c>
      <c r="C81" s="447"/>
      <c r="D81" s="448" t="s">
        <v>115</v>
      </c>
      <c r="E81" s="449" t="s">
        <v>509</v>
      </c>
      <c r="F81" s="450" t="s">
        <v>215</v>
      </c>
      <c r="G81" s="451"/>
      <c r="H81" s="437">
        <f t="shared" si="1"/>
        <v>0</v>
      </c>
      <c r="I81" s="452"/>
      <c r="J81" s="453"/>
      <c r="K81" s="453"/>
      <c r="L81" s="453"/>
      <c r="M81" s="453"/>
      <c r="N81" s="453"/>
      <c r="O81" s="453"/>
      <c r="P81" s="453"/>
      <c r="Q81" s="453"/>
      <c r="R81" s="453"/>
      <c r="S81" s="453"/>
      <c r="T81" s="209"/>
      <c r="U81" s="594"/>
      <c r="V81" s="454"/>
      <c r="W81" s="616"/>
      <c r="X81" s="616"/>
      <c r="Y81" s="454"/>
      <c r="Z81" s="209"/>
      <c r="AA81" s="1000">
        <v>28801.99</v>
      </c>
      <c r="AB81" s="209"/>
      <c r="AC81" s="454"/>
      <c r="AD81" s="454"/>
      <c r="AE81" s="454"/>
      <c r="AF81" s="455">
        <v>44908</v>
      </c>
      <c r="AG81" s="455">
        <v>45117</v>
      </c>
      <c r="AH81" s="456"/>
      <c r="AI81" s="1020"/>
      <c r="AJ81" s="450">
        <v>101143472</v>
      </c>
      <c r="AK81" s="208">
        <v>16614760</v>
      </c>
      <c r="AL81" s="450" t="s">
        <v>510</v>
      </c>
      <c r="AM81" s="458" t="s">
        <v>511</v>
      </c>
      <c r="AN81" s="450" t="s">
        <v>512</v>
      </c>
      <c r="AO81" s="451" t="s">
        <v>513</v>
      </c>
      <c r="AP81" s="633"/>
    </row>
    <row r="82" spans="1:42" s="22" customFormat="1" ht="17.25" customHeight="1" thickBot="1">
      <c r="A82" s="763">
        <f>SUM(AA3:AA14)+SUM(AA15:AA23)+SUM(AA25:AA251)</f>
        <v>8765967.3430000022</v>
      </c>
      <c r="C82" s="197" t="s">
        <v>238</v>
      </c>
      <c r="D82" s="212" t="s">
        <v>115</v>
      </c>
      <c r="E82" s="198" t="s">
        <v>514</v>
      </c>
      <c r="F82" s="199" t="s">
        <v>215</v>
      </c>
      <c r="G82" s="219"/>
      <c r="H82" s="292"/>
      <c r="I82" s="283"/>
      <c r="J82" s="206"/>
      <c r="K82" s="206"/>
      <c r="L82" s="206"/>
      <c r="M82" s="206"/>
      <c r="N82" s="206"/>
      <c r="O82" s="206"/>
      <c r="P82" s="206"/>
      <c r="Q82" s="206"/>
      <c r="R82" s="206"/>
      <c r="S82" s="206"/>
      <c r="T82" s="201"/>
      <c r="U82" s="338"/>
      <c r="V82" s="341"/>
      <c r="W82" s="510"/>
      <c r="X82" s="510"/>
      <c r="Y82" s="341"/>
      <c r="Z82" s="201"/>
      <c r="AA82" s="1015">
        <v>41903.133000000002</v>
      </c>
      <c r="AB82" s="201"/>
      <c r="AC82" s="341"/>
      <c r="AD82" s="341"/>
      <c r="AE82" s="341"/>
      <c r="AF82" s="203">
        <v>44233</v>
      </c>
      <c r="AG82" s="203">
        <v>45287</v>
      </c>
      <c r="AH82" s="204">
        <v>45287</v>
      </c>
      <c r="AI82" s="998">
        <v>0</v>
      </c>
      <c r="AJ82" s="199">
        <v>101297637</v>
      </c>
      <c r="AK82" s="199">
        <v>92574045</v>
      </c>
      <c r="AL82" s="199" t="s">
        <v>515</v>
      </c>
      <c r="AM82" s="205" t="s">
        <v>516</v>
      </c>
      <c r="AN82" s="199" t="s">
        <v>517</v>
      </c>
      <c r="AO82" s="219" t="s">
        <v>518</v>
      </c>
      <c r="AP82" s="907"/>
    </row>
    <row r="83" spans="1:42" s="22" customFormat="1" ht="17.25" customHeight="1">
      <c r="A83" s="762" t="s">
        <v>99</v>
      </c>
      <c r="C83" s="447"/>
      <c r="D83" s="448" t="s">
        <v>115</v>
      </c>
      <c r="E83" s="449" t="s">
        <v>519</v>
      </c>
      <c r="F83" s="450" t="s">
        <v>215</v>
      </c>
      <c r="G83" s="451"/>
      <c r="H83" s="437">
        <f t="shared" si="1"/>
        <v>10000</v>
      </c>
      <c r="I83" s="452"/>
      <c r="J83" s="453"/>
      <c r="K83" s="453"/>
      <c r="L83" s="453"/>
      <c r="M83" s="453"/>
      <c r="N83" s="453"/>
      <c r="O83" s="453"/>
      <c r="P83" s="453"/>
      <c r="Q83" s="453"/>
      <c r="R83" s="453"/>
      <c r="S83" s="453"/>
      <c r="T83" s="209"/>
      <c r="U83" s="594"/>
      <c r="V83" s="454"/>
      <c r="W83" s="616"/>
      <c r="X83" s="616"/>
      <c r="Y83" s="454"/>
      <c r="Z83" s="209">
        <v>10000</v>
      </c>
      <c r="AA83" s="983"/>
      <c r="AB83" s="209"/>
      <c r="AC83" s="454"/>
      <c r="AD83" s="454"/>
      <c r="AE83" s="454"/>
      <c r="AF83" s="455"/>
      <c r="AG83" s="455"/>
      <c r="AH83" s="456"/>
      <c r="AI83" s="595"/>
      <c r="AJ83" s="450">
        <v>101078978</v>
      </c>
      <c r="AK83" s="208">
        <v>6517387</v>
      </c>
      <c r="AL83" s="450"/>
      <c r="AM83" s="458"/>
      <c r="AN83" s="450"/>
      <c r="AO83" s="451"/>
      <c r="AP83" s="633"/>
    </row>
    <row r="84" spans="1:42" s="22" customFormat="1" ht="17.25" customHeight="1" thickBot="1">
      <c r="A84" s="763">
        <f>SUM(AA3:AB23)+SUM(AA25:AB132)</f>
        <v>9926163.6429999992</v>
      </c>
      <c r="C84" s="197"/>
      <c r="D84" s="212"/>
      <c r="E84" s="198" t="s">
        <v>520</v>
      </c>
      <c r="F84" s="199" t="s">
        <v>215</v>
      </c>
      <c r="G84" s="219" t="s">
        <v>521</v>
      </c>
      <c r="H84" s="292"/>
      <c r="I84" s="283"/>
      <c r="J84" s="206"/>
      <c r="K84" s="206"/>
      <c r="L84" s="206"/>
      <c r="M84" s="206"/>
      <c r="N84" s="206"/>
      <c r="O84" s="206"/>
      <c r="P84" s="206"/>
      <c r="Q84" s="206"/>
      <c r="R84" s="206"/>
      <c r="S84" s="206"/>
      <c r="T84" s="201"/>
      <c r="U84" s="338"/>
      <c r="V84" s="341"/>
      <c r="W84" s="510"/>
      <c r="X84" s="510"/>
      <c r="Y84" s="341"/>
      <c r="Z84" s="201"/>
      <c r="AA84" s="983"/>
      <c r="AB84" s="201">
        <v>250000</v>
      </c>
      <c r="AC84" s="341"/>
      <c r="AD84" s="341"/>
      <c r="AE84" s="341"/>
      <c r="AF84" s="203">
        <v>44692</v>
      </c>
      <c r="AG84" s="203">
        <v>45378</v>
      </c>
      <c r="AH84" s="204"/>
      <c r="AI84" s="509"/>
      <c r="AJ84" s="199">
        <v>10333037</v>
      </c>
      <c r="AK84" s="200"/>
      <c r="AL84" s="199" t="s">
        <v>522</v>
      </c>
      <c r="AM84" s="205" t="s">
        <v>523</v>
      </c>
      <c r="AN84" s="199" t="s">
        <v>524</v>
      </c>
      <c r="AO84" s="219" t="s">
        <v>525</v>
      </c>
      <c r="AP84" s="907" t="s">
        <v>526</v>
      </c>
    </row>
    <row r="85" spans="1:42" s="22" customFormat="1" ht="17.25" customHeight="1">
      <c r="A85" s="762" t="s">
        <v>527</v>
      </c>
      <c r="C85" s="447" t="s">
        <v>238</v>
      </c>
      <c r="D85" s="448" t="s">
        <v>115</v>
      </c>
      <c r="E85" s="449" t="s">
        <v>528</v>
      </c>
      <c r="F85" s="450" t="s">
        <v>215</v>
      </c>
      <c r="G85" s="451"/>
      <c r="H85" s="437">
        <f t="shared" si="1"/>
        <v>490502.5</v>
      </c>
      <c r="I85" s="452"/>
      <c r="J85" s="453"/>
      <c r="K85" s="453"/>
      <c r="L85" s="453"/>
      <c r="M85" s="453"/>
      <c r="N85" s="453"/>
      <c r="O85" s="453"/>
      <c r="P85" s="453"/>
      <c r="Q85" s="453"/>
      <c r="R85" s="453"/>
      <c r="S85" s="453"/>
      <c r="T85" s="209"/>
      <c r="U85" s="594"/>
      <c r="V85" s="454"/>
      <c r="W85" s="616"/>
      <c r="X85" s="616"/>
      <c r="Y85" s="454">
        <v>475000</v>
      </c>
      <c r="Z85" s="209">
        <v>15502.5</v>
      </c>
      <c r="AA85" s="983"/>
      <c r="AB85" s="209"/>
      <c r="AC85" s="454"/>
      <c r="AD85" s="454"/>
      <c r="AE85" s="454"/>
      <c r="AF85" s="455">
        <v>44231</v>
      </c>
      <c r="AG85" s="455">
        <v>44403</v>
      </c>
      <c r="AH85" s="456"/>
      <c r="AI85" s="595" t="s">
        <v>88</v>
      </c>
      <c r="AJ85" s="450">
        <v>100662691</v>
      </c>
      <c r="AK85" s="208">
        <v>23614</v>
      </c>
      <c r="AL85" s="450" t="s">
        <v>529</v>
      </c>
      <c r="AM85" s="458">
        <v>6039243050</v>
      </c>
      <c r="AN85" s="817" t="s">
        <v>530</v>
      </c>
      <c r="AO85" s="451" t="s">
        <v>531</v>
      </c>
      <c r="AP85" s="453" t="s">
        <v>532</v>
      </c>
    </row>
    <row r="86" spans="1:42" s="22" customFormat="1" ht="17.25" customHeight="1" thickBot="1">
      <c r="A86" s="763">
        <f>SUM(AC3:AC23)+SUM(AC25:AC132)</f>
        <v>972957.01</v>
      </c>
      <c r="C86" s="197"/>
      <c r="D86" s="212" t="s">
        <v>115</v>
      </c>
      <c r="E86" s="198" t="s">
        <v>533</v>
      </c>
      <c r="F86" s="199" t="s">
        <v>215</v>
      </c>
      <c r="G86" s="801" t="s">
        <v>274</v>
      </c>
      <c r="H86" s="292">
        <f t="shared" si="1"/>
        <v>25202.02</v>
      </c>
      <c r="I86" s="283"/>
      <c r="J86" s="206"/>
      <c r="K86" s="206"/>
      <c r="L86" s="206"/>
      <c r="M86" s="206"/>
      <c r="N86" s="206"/>
      <c r="O86" s="206"/>
      <c r="P86" s="206"/>
      <c r="Q86" s="206"/>
      <c r="R86" s="206"/>
      <c r="S86" s="206"/>
      <c r="T86" s="201"/>
      <c r="U86" s="338"/>
      <c r="V86" s="341"/>
      <c r="W86" s="510"/>
      <c r="X86" s="510">
        <v>20202.02</v>
      </c>
      <c r="Y86" s="341"/>
      <c r="Z86" s="201">
        <v>5000</v>
      </c>
      <c r="AA86" s="983"/>
      <c r="AB86" s="201"/>
      <c r="AC86" s="341"/>
      <c r="AD86" s="341"/>
      <c r="AE86" s="341"/>
      <c r="AF86" s="203">
        <v>43913</v>
      </c>
      <c r="AG86" s="203">
        <v>44069</v>
      </c>
      <c r="AH86" s="204"/>
      <c r="AI86" s="300"/>
      <c r="AJ86" s="199">
        <v>100468120</v>
      </c>
      <c r="AK86" s="200">
        <v>97576706</v>
      </c>
      <c r="AL86" s="199" t="s">
        <v>534</v>
      </c>
      <c r="AM86" s="205">
        <v>3174661852</v>
      </c>
      <c r="AN86" s="199" t="s">
        <v>535</v>
      </c>
      <c r="AO86" s="219" t="s">
        <v>536</v>
      </c>
      <c r="AP86" s="206"/>
    </row>
    <row r="87" spans="1:42" s="22" customFormat="1" ht="17.25" customHeight="1">
      <c r="A87" s="762" t="s">
        <v>537</v>
      </c>
      <c r="C87" s="447"/>
      <c r="D87" s="448" t="s">
        <v>115</v>
      </c>
      <c r="E87" s="449" t="s">
        <v>538</v>
      </c>
      <c r="F87" s="450" t="s">
        <v>215</v>
      </c>
      <c r="G87" s="805" t="s">
        <v>539</v>
      </c>
      <c r="H87" s="437">
        <f t="shared" si="1"/>
        <v>333333.33</v>
      </c>
      <c r="I87" s="452"/>
      <c r="J87" s="453"/>
      <c r="K87" s="453"/>
      <c r="L87" s="453"/>
      <c r="M87" s="453"/>
      <c r="N87" s="453"/>
      <c r="O87" s="453"/>
      <c r="P87" s="453"/>
      <c r="Q87" s="453"/>
      <c r="R87" s="453"/>
      <c r="S87" s="453"/>
      <c r="T87" s="209"/>
      <c r="U87" s="594"/>
      <c r="V87" s="454"/>
      <c r="W87" s="616"/>
      <c r="X87" s="616"/>
      <c r="Y87" s="454"/>
      <c r="Z87" s="209">
        <v>333333.33</v>
      </c>
      <c r="AA87" s="989"/>
      <c r="AB87" s="209"/>
      <c r="AC87" s="454">
        <v>50000</v>
      </c>
      <c r="AD87" s="454"/>
      <c r="AE87" s="454"/>
      <c r="AF87" s="455">
        <v>44384</v>
      </c>
      <c r="AG87" s="455">
        <v>44410</v>
      </c>
      <c r="AH87" s="456"/>
      <c r="AI87" s="443" t="s">
        <v>88</v>
      </c>
      <c r="AJ87" s="450">
        <v>100763799</v>
      </c>
      <c r="AK87" s="208">
        <v>100723191</v>
      </c>
      <c r="AL87" s="450" t="s">
        <v>540</v>
      </c>
      <c r="AM87" s="458" t="s">
        <v>541</v>
      </c>
      <c r="AN87" s="450" t="s">
        <v>542</v>
      </c>
      <c r="AO87" s="451" t="s">
        <v>543</v>
      </c>
      <c r="AP87" s="453"/>
    </row>
    <row r="88" spans="1:42" s="22" customFormat="1" ht="17.25" customHeight="1" thickBot="1">
      <c r="A88" s="763">
        <f>SUM(AD3:AD23)+SUM(AD25:AD132)</f>
        <v>0</v>
      </c>
      <c r="C88" s="197"/>
      <c r="D88" s="212" t="s">
        <v>115</v>
      </c>
      <c r="E88" s="198" t="s">
        <v>544</v>
      </c>
      <c r="F88" s="199" t="s">
        <v>215</v>
      </c>
      <c r="G88" s="219"/>
      <c r="H88" s="292">
        <f t="shared" si="1"/>
        <v>11252.16</v>
      </c>
      <c r="I88" s="283"/>
      <c r="J88" s="206"/>
      <c r="K88" s="206"/>
      <c r="L88" s="206"/>
      <c r="M88" s="206"/>
      <c r="N88" s="206"/>
      <c r="O88" s="206"/>
      <c r="P88" s="206"/>
      <c r="Q88" s="206"/>
      <c r="R88" s="206"/>
      <c r="S88" s="206"/>
      <c r="T88" s="201"/>
      <c r="U88" s="338"/>
      <c r="V88" s="341"/>
      <c r="W88" s="510"/>
      <c r="X88" s="510"/>
      <c r="Y88" s="341"/>
      <c r="Z88" s="949">
        <v>11252.16</v>
      </c>
      <c r="AA88" s="983"/>
      <c r="AB88" s="201"/>
      <c r="AC88" s="341"/>
      <c r="AD88" s="341"/>
      <c r="AE88" s="341"/>
      <c r="AF88" s="203"/>
      <c r="AG88" s="203">
        <v>44945</v>
      </c>
      <c r="AH88" s="199"/>
      <c r="AI88" s="1021"/>
      <c r="AJ88" s="199">
        <v>101078975</v>
      </c>
      <c r="AK88" s="200"/>
      <c r="AL88" s="199" t="s">
        <v>545</v>
      </c>
      <c r="AM88" s="205" t="s">
        <v>546</v>
      </c>
      <c r="AN88" s="199" t="s">
        <v>547</v>
      </c>
      <c r="AO88" s="219" t="s">
        <v>548</v>
      </c>
      <c r="AP88" s="206"/>
    </row>
    <row r="89" spans="1:42" s="22" customFormat="1" ht="17.25" customHeight="1">
      <c r="A89" s="762" t="s">
        <v>549</v>
      </c>
      <c r="B89" s="913"/>
      <c r="C89" s="447" t="s">
        <v>238</v>
      </c>
      <c r="D89" s="448" t="s">
        <v>115</v>
      </c>
      <c r="E89" s="449" t="s">
        <v>550</v>
      </c>
      <c r="F89" s="450" t="s">
        <v>215</v>
      </c>
      <c r="G89" s="451" t="s">
        <v>551</v>
      </c>
      <c r="H89" s="437">
        <f t="shared" si="1"/>
        <v>15466.39</v>
      </c>
      <c r="I89" s="452"/>
      <c r="J89" s="453"/>
      <c r="K89" s="453"/>
      <c r="L89" s="453"/>
      <c r="M89" s="453"/>
      <c r="N89" s="453"/>
      <c r="O89" s="453"/>
      <c r="P89" s="453"/>
      <c r="Q89" s="453"/>
      <c r="R89" s="453"/>
      <c r="S89" s="453"/>
      <c r="T89" s="209"/>
      <c r="U89" s="594"/>
      <c r="V89" s="454"/>
      <c r="W89" s="616"/>
      <c r="X89" s="616"/>
      <c r="Y89" s="454"/>
      <c r="Z89" s="997">
        <v>15466.39</v>
      </c>
      <c r="AA89" s="989"/>
      <c r="AB89" s="209"/>
      <c r="AC89" s="454"/>
      <c r="AD89" s="454"/>
      <c r="AE89" s="454"/>
      <c r="AF89" s="455">
        <v>43942</v>
      </c>
      <c r="AG89" s="455">
        <v>44069</v>
      </c>
      <c r="AH89" s="456">
        <v>45103</v>
      </c>
      <c r="AI89" s="595">
        <f>(YEAR(AH89)-YEAR(AG89))*12+MONTH(AH89)-MONTH(AG89)</f>
        <v>34</v>
      </c>
      <c r="AJ89" s="450">
        <v>100468121</v>
      </c>
      <c r="AK89" s="208">
        <v>50056860</v>
      </c>
      <c r="AL89" s="450" t="s">
        <v>552</v>
      </c>
      <c r="AM89" s="458">
        <v>7138007750</v>
      </c>
      <c r="AN89" s="450" t="s">
        <v>553</v>
      </c>
      <c r="AO89" s="451" t="s">
        <v>554</v>
      </c>
      <c r="AP89" s="633" t="s">
        <v>555</v>
      </c>
    </row>
    <row r="90" spans="1:42" s="22" customFormat="1" ht="17.25" customHeight="1" thickBot="1">
      <c r="A90" s="763">
        <f>SUM(AE3:AE23)+SUM(AE25:AE132)</f>
        <v>0</v>
      </c>
      <c r="B90" s="913"/>
      <c r="C90" s="197"/>
      <c r="D90" s="212" t="s">
        <v>115</v>
      </c>
      <c r="E90" s="198" t="s">
        <v>556</v>
      </c>
      <c r="F90" s="199" t="s">
        <v>215</v>
      </c>
      <c r="G90" s="219" t="s">
        <v>480</v>
      </c>
      <c r="H90" s="292">
        <f t="shared" si="1"/>
        <v>0</v>
      </c>
      <c r="I90" s="283"/>
      <c r="J90" s="206"/>
      <c r="K90" s="206"/>
      <c r="L90" s="206"/>
      <c r="M90" s="206"/>
      <c r="N90" s="206"/>
      <c r="O90" s="206"/>
      <c r="P90" s="206"/>
      <c r="Q90" s="206"/>
      <c r="R90" s="206"/>
      <c r="S90" s="206"/>
      <c r="T90" s="201"/>
      <c r="U90" s="338"/>
      <c r="V90" s="341"/>
      <c r="W90" s="510"/>
      <c r="X90" s="510"/>
      <c r="Y90" s="341"/>
      <c r="Z90" s="949"/>
      <c r="AA90" s="989"/>
      <c r="AB90" s="201">
        <v>100000</v>
      </c>
      <c r="AC90" s="341"/>
      <c r="AD90" s="341"/>
      <c r="AE90" s="341"/>
      <c r="AF90" s="203">
        <v>44598</v>
      </c>
      <c r="AG90" s="203">
        <v>45497</v>
      </c>
      <c r="AH90" s="204"/>
      <c r="AI90" s="509"/>
      <c r="AJ90" s="199">
        <v>100978789</v>
      </c>
      <c r="AK90" s="200">
        <v>28215374</v>
      </c>
      <c r="AL90" s="199" t="s">
        <v>557</v>
      </c>
      <c r="AM90" s="205" t="s">
        <v>202</v>
      </c>
      <c r="AN90" s="199" t="s">
        <v>203</v>
      </c>
      <c r="AO90" s="219" t="s">
        <v>558</v>
      </c>
      <c r="AP90" s="907"/>
    </row>
    <row r="91" spans="1:42" s="22" customFormat="1" ht="17.25" customHeight="1">
      <c r="A91" s="762" t="s">
        <v>559</v>
      </c>
      <c r="C91" s="447"/>
      <c r="D91" s="448" t="s">
        <v>115</v>
      </c>
      <c r="E91" s="449" t="s">
        <v>560</v>
      </c>
      <c r="F91" s="450" t="s">
        <v>215</v>
      </c>
      <c r="G91" s="451" t="s">
        <v>561</v>
      </c>
      <c r="H91" s="437">
        <f t="shared" si="1"/>
        <v>0</v>
      </c>
      <c r="I91" s="452"/>
      <c r="J91" s="453"/>
      <c r="K91" s="453"/>
      <c r="L91" s="453"/>
      <c r="M91" s="453"/>
      <c r="N91" s="453"/>
      <c r="O91" s="453"/>
      <c r="P91" s="453"/>
      <c r="Q91" s="453"/>
      <c r="R91" s="453"/>
      <c r="S91" s="453"/>
      <c r="T91" s="209"/>
      <c r="U91" s="594"/>
      <c r="V91" s="454"/>
      <c r="W91" s="616"/>
      <c r="X91" s="616"/>
      <c r="Y91" s="454"/>
      <c r="Z91" s="450"/>
      <c r="AA91" s="983">
        <v>16542.990000000002</v>
      </c>
      <c r="AB91" s="209"/>
      <c r="AC91" s="454"/>
      <c r="AD91" s="454"/>
      <c r="AE91" s="454"/>
      <c r="AF91" s="455">
        <v>44800</v>
      </c>
      <c r="AG91" s="455">
        <v>44956</v>
      </c>
      <c r="AH91" s="450"/>
      <c r="AI91" s="595"/>
      <c r="AJ91" s="450">
        <v>101082084</v>
      </c>
      <c r="AK91" s="208">
        <v>366518</v>
      </c>
      <c r="AL91" s="450" t="s">
        <v>562</v>
      </c>
      <c r="AM91" s="458" t="s">
        <v>563</v>
      </c>
      <c r="AN91" s="450" t="s">
        <v>564</v>
      </c>
      <c r="AO91" s="451" t="s">
        <v>565</v>
      </c>
      <c r="AP91" s="633"/>
    </row>
    <row r="92" spans="1:42" s="22" customFormat="1" ht="17.25" customHeight="1" thickBot="1">
      <c r="A92" s="763"/>
      <c r="C92" s="197"/>
      <c r="D92" s="212" t="s">
        <v>115</v>
      </c>
      <c r="E92" s="198" t="s">
        <v>566</v>
      </c>
      <c r="F92" s="199" t="s">
        <v>215</v>
      </c>
      <c r="G92" s="219"/>
      <c r="H92" s="292">
        <f t="shared" si="1"/>
        <v>0</v>
      </c>
      <c r="I92" s="283"/>
      <c r="J92" s="206"/>
      <c r="K92" s="206"/>
      <c r="L92" s="206"/>
      <c r="M92" s="206"/>
      <c r="N92" s="206"/>
      <c r="O92" s="206"/>
      <c r="P92" s="206"/>
      <c r="Q92" s="206"/>
      <c r="R92" s="206"/>
      <c r="S92" s="206"/>
      <c r="T92" s="201"/>
      <c r="U92" s="338"/>
      <c r="V92" s="341"/>
      <c r="W92" s="510"/>
      <c r="X92" s="510"/>
      <c r="Y92" s="341"/>
      <c r="Z92" s="199"/>
      <c r="AA92" s="983">
        <v>10000</v>
      </c>
      <c r="AB92" s="201"/>
      <c r="AC92" s="341"/>
      <c r="AD92" s="341"/>
      <c r="AE92" s="341"/>
      <c r="AF92" s="203">
        <v>45156</v>
      </c>
      <c r="AG92" s="203">
        <v>45243</v>
      </c>
      <c r="AH92" s="204">
        <v>45243</v>
      </c>
      <c r="AI92" s="509">
        <v>0</v>
      </c>
      <c r="AJ92" s="199">
        <v>101218864</v>
      </c>
      <c r="AK92" s="200">
        <v>60587516</v>
      </c>
      <c r="AL92" s="199" t="s">
        <v>567</v>
      </c>
      <c r="AM92" s="205" t="s">
        <v>568</v>
      </c>
      <c r="AN92" s="199"/>
      <c r="AO92" s="219" t="s">
        <v>569</v>
      </c>
      <c r="AP92" s="907"/>
    </row>
    <row r="93" spans="1:42" s="22" customFormat="1" ht="17.25" customHeight="1">
      <c r="C93" s="447" t="s">
        <v>238</v>
      </c>
      <c r="D93" s="448" t="s">
        <v>115</v>
      </c>
      <c r="E93" s="449" t="s">
        <v>570</v>
      </c>
      <c r="F93" s="450" t="s">
        <v>215</v>
      </c>
      <c r="G93" s="451" t="s">
        <v>571</v>
      </c>
      <c r="H93" s="437">
        <f t="shared" si="1"/>
        <v>0</v>
      </c>
      <c r="I93" s="452"/>
      <c r="J93" s="453"/>
      <c r="K93" s="453"/>
      <c r="L93" s="453"/>
      <c r="M93" s="453"/>
      <c r="N93" s="453"/>
      <c r="O93" s="453"/>
      <c r="P93" s="453"/>
      <c r="Q93" s="453"/>
      <c r="R93" s="453"/>
      <c r="S93" s="453"/>
      <c r="T93" s="209"/>
      <c r="U93" s="594"/>
      <c r="V93" s="454"/>
      <c r="W93" s="616"/>
      <c r="X93" s="616"/>
      <c r="Y93" s="454"/>
      <c r="Z93" s="209"/>
      <c r="AA93" s="1000">
        <v>1574523.61</v>
      </c>
      <c r="AB93" s="209"/>
      <c r="AC93" s="454"/>
      <c r="AD93" s="454"/>
      <c r="AE93" s="454"/>
      <c r="AF93" s="455"/>
      <c r="AG93" s="455">
        <v>44151</v>
      </c>
      <c r="AH93" s="456">
        <v>45279</v>
      </c>
      <c r="AI93" s="595">
        <f>(YEAR(AH93)-YEAR(AG93))*12+MONTH(AH93)-MONTH(AG93)</f>
        <v>37</v>
      </c>
      <c r="AJ93" s="450">
        <v>100967988</v>
      </c>
      <c r="AK93" s="208">
        <v>35282425</v>
      </c>
      <c r="AL93" s="450" t="s">
        <v>572</v>
      </c>
      <c r="AM93" s="458" t="s">
        <v>573</v>
      </c>
      <c r="AN93" s="450" t="s">
        <v>574</v>
      </c>
      <c r="AO93" s="451" t="s">
        <v>575</v>
      </c>
      <c r="AP93" s="633" t="s">
        <v>576</v>
      </c>
    </row>
    <row r="94" spans="1:42" s="22" customFormat="1" ht="17.25" customHeight="1">
      <c r="C94" s="197"/>
      <c r="D94" s="212" t="s">
        <v>115</v>
      </c>
      <c r="E94" s="198" t="s">
        <v>577</v>
      </c>
      <c r="F94" s="199" t="s">
        <v>215</v>
      </c>
      <c r="G94" s="219"/>
      <c r="H94" s="292">
        <f t="shared" si="1"/>
        <v>0</v>
      </c>
      <c r="I94" s="283"/>
      <c r="J94" s="206"/>
      <c r="K94" s="206"/>
      <c r="L94" s="206"/>
      <c r="M94" s="206"/>
      <c r="N94" s="206"/>
      <c r="O94" s="206"/>
      <c r="P94" s="206"/>
      <c r="Q94" s="206"/>
      <c r="R94" s="206"/>
      <c r="S94" s="206"/>
      <c r="T94" s="201"/>
      <c r="U94" s="338"/>
      <c r="V94" s="341"/>
      <c r="W94" s="510"/>
      <c r="X94" s="510"/>
      <c r="Y94" s="341"/>
      <c r="Z94" s="201"/>
      <c r="AA94" s="1009">
        <v>25328.560000000001</v>
      </c>
      <c r="AB94" s="338"/>
      <c r="AC94" s="341"/>
      <c r="AD94" s="341"/>
      <c r="AE94" s="341"/>
      <c r="AF94" s="203">
        <v>44795</v>
      </c>
      <c r="AG94" s="203">
        <v>45259</v>
      </c>
      <c r="AH94" s="204">
        <v>45259</v>
      </c>
      <c r="AI94" s="509">
        <v>0</v>
      </c>
      <c r="AJ94" s="199">
        <v>101236373</v>
      </c>
      <c r="AK94" s="200">
        <v>35255629</v>
      </c>
      <c r="AL94" s="199" t="s">
        <v>578</v>
      </c>
      <c r="AM94" s="205" t="s">
        <v>579</v>
      </c>
      <c r="AN94" s="199"/>
      <c r="AO94" s="219" t="s">
        <v>580</v>
      </c>
      <c r="AP94" s="907"/>
    </row>
    <row r="95" spans="1:42" s="22" customFormat="1" ht="17.25" customHeight="1">
      <c r="C95" s="447"/>
      <c r="D95" s="448" t="s">
        <v>205</v>
      </c>
      <c r="E95" s="449" t="s">
        <v>581</v>
      </c>
      <c r="F95" s="450" t="s">
        <v>160</v>
      </c>
      <c r="G95" s="451"/>
      <c r="H95" s="437">
        <f t="shared" si="1"/>
        <v>33797.68</v>
      </c>
      <c r="I95" s="452"/>
      <c r="J95" s="453"/>
      <c r="K95" s="453"/>
      <c r="L95" s="453"/>
      <c r="M95" s="453"/>
      <c r="N95" s="453"/>
      <c r="O95" s="453"/>
      <c r="P95" s="453"/>
      <c r="Q95" s="453"/>
      <c r="R95" s="453"/>
      <c r="S95" s="453"/>
      <c r="T95" s="209"/>
      <c r="U95" s="594"/>
      <c r="V95" s="454"/>
      <c r="W95" s="616"/>
      <c r="X95" s="616"/>
      <c r="Y95" s="454"/>
      <c r="Z95" s="209">
        <v>33797.68</v>
      </c>
      <c r="AA95" s="1001">
        <v>21616.84</v>
      </c>
      <c r="AB95" s="208"/>
      <c r="AC95" s="454"/>
      <c r="AD95" s="454"/>
      <c r="AE95" s="454"/>
      <c r="AF95" s="455">
        <v>9259</v>
      </c>
      <c r="AG95" s="455">
        <v>44865</v>
      </c>
      <c r="AH95" s="450"/>
      <c r="AI95" s="595"/>
      <c r="AJ95" s="450">
        <v>100994457</v>
      </c>
      <c r="AK95" s="450">
        <v>481556</v>
      </c>
      <c r="AL95" s="450" t="s">
        <v>582</v>
      </c>
      <c r="AM95" s="458">
        <v>6514668213</v>
      </c>
      <c r="AN95" s="450"/>
      <c r="AO95" s="451" t="s">
        <v>583</v>
      </c>
      <c r="AP95" s="633"/>
    </row>
    <row r="96" spans="1:42" s="22" customFormat="1" ht="17.25" customHeight="1">
      <c r="C96" s="197"/>
      <c r="D96" s="212" t="s">
        <v>115</v>
      </c>
      <c r="E96" s="198" t="s">
        <v>584</v>
      </c>
      <c r="F96" s="199" t="s">
        <v>215</v>
      </c>
      <c r="G96" s="219" t="s">
        <v>585</v>
      </c>
      <c r="H96" s="292">
        <f t="shared" si="1"/>
        <v>500000</v>
      </c>
      <c r="I96" s="283"/>
      <c r="J96" s="206"/>
      <c r="K96" s="206"/>
      <c r="L96" s="206"/>
      <c r="M96" s="206"/>
      <c r="N96" s="206"/>
      <c r="O96" s="206"/>
      <c r="P96" s="206"/>
      <c r="Q96" s="206"/>
      <c r="R96" s="206"/>
      <c r="S96" s="206"/>
      <c r="T96" s="201"/>
      <c r="U96" s="338"/>
      <c r="V96" s="341"/>
      <c r="W96" s="510"/>
      <c r="X96" s="510"/>
      <c r="Y96" s="341">
        <v>500000</v>
      </c>
      <c r="Z96" s="201"/>
      <c r="AA96" s="989"/>
      <c r="AB96" s="201"/>
      <c r="AC96" s="341">
        <v>250000</v>
      </c>
      <c r="AD96" s="341"/>
      <c r="AE96" s="341"/>
      <c r="AF96" s="203">
        <v>44563</v>
      </c>
      <c r="AG96" s="203">
        <v>44616</v>
      </c>
      <c r="AH96" s="204"/>
      <c r="AI96" s="509"/>
      <c r="AJ96" s="199">
        <v>100805883</v>
      </c>
      <c r="AK96" s="200">
        <v>40581506</v>
      </c>
      <c r="AL96" s="199" t="s">
        <v>586</v>
      </c>
      <c r="AM96" s="205" t="s">
        <v>587</v>
      </c>
      <c r="AN96" s="199" t="s">
        <v>588</v>
      </c>
      <c r="AO96" s="200" t="s">
        <v>589</v>
      </c>
      <c r="AP96" s="206"/>
    </row>
    <row r="97" spans="1:42" s="22" customFormat="1" ht="17.25" customHeight="1">
      <c r="C97" s="447"/>
      <c r="D97" s="448" t="s">
        <v>115</v>
      </c>
      <c r="E97" s="449" t="s">
        <v>590</v>
      </c>
      <c r="F97" s="450" t="s">
        <v>215</v>
      </c>
      <c r="G97" s="451"/>
      <c r="H97" s="437">
        <f t="shared" si="1"/>
        <v>0</v>
      </c>
      <c r="I97" s="452"/>
      <c r="J97" s="453"/>
      <c r="K97" s="453"/>
      <c r="L97" s="453"/>
      <c r="M97" s="453"/>
      <c r="N97" s="453"/>
      <c r="O97" s="453"/>
      <c r="P97" s="453"/>
      <c r="Q97" s="453"/>
      <c r="R97" s="453"/>
      <c r="S97" s="453"/>
      <c r="T97" s="209"/>
      <c r="U97" s="594"/>
      <c r="V97" s="454"/>
      <c r="W97" s="616"/>
      <c r="X97" s="616"/>
      <c r="Y97" s="454"/>
      <c r="Z97" s="209"/>
      <c r="AA97" s="983"/>
      <c r="AB97" s="209"/>
      <c r="AC97" s="454"/>
      <c r="AD97" s="454"/>
      <c r="AE97" s="454"/>
      <c r="AF97" s="455">
        <v>43451</v>
      </c>
      <c r="AG97" s="455">
        <v>43467</v>
      </c>
      <c r="AH97" s="450"/>
      <c r="AI97" s="595" t="s">
        <v>88</v>
      </c>
      <c r="AJ97" s="450">
        <v>100352923</v>
      </c>
      <c r="AK97" s="208">
        <v>8230823</v>
      </c>
      <c r="AL97" s="450" t="s">
        <v>591</v>
      </c>
      <c r="AM97" s="458" t="s">
        <v>592</v>
      </c>
      <c r="AN97" s="811" t="s">
        <v>88</v>
      </c>
      <c r="AO97" s="451" t="s">
        <v>593</v>
      </c>
      <c r="AP97" s="633" t="s">
        <v>594</v>
      </c>
    </row>
    <row r="98" spans="1:42" s="22" customFormat="1" ht="17.25" customHeight="1">
      <c r="C98" s="197" t="s">
        <v>595</v>
      </c>
      <c r="D98" s="212" t="s">
        <v>115</v>
      </c>
      <c r="E98" s="198" t="s">
        <v>596</v>
      </c>
      <c r="F98" s="199" t="s">
        <v>149</v>
      </c>
      <c r="G98" s="219"/>
      <c r="H98" s="292"/>
      <c r="I98" s="283"/>
      <c r="J98" s="206"/>
      <c r="K98" s="206"/>
      <c r="L98" s="206"/>
      <c r="M98" s="206"/>
      <c r="N98" s="206"/>
      <c r="O98" s="219"/>
      <c r="P98" s="206"/>
      <c r="Q98" s="219"/>
      <c r="R98" s="206"/>
      <c r="S98" s="206"/>
      <c r="T98" s="201"/>
      <c r="U98" s="338"/>
      <c r="V98" s="341"/>
      <c r="W98" s="510"/>
      <c r="X98" s="510"/>
      <c r="Y98" s="341"/>
      <c r="Z98" s="201"/>
      <c r="AA98" s="983">
        <v>444548.01</v>
      </c>
      <c r="AB98" s="201"/>
      <c r="AC98" s="341"/>
      <c r="AD98" s="341"/>
      <c r="AE98" s="341"/>
      <c r="AF98" s="904">
        <v>44932</v>
      </c>
      <c r="AG98" s="344">
        <v>45316</v>
      </c>
      <c r="AH98" s="204">
        <v>45328</v>
      </c>
      <c r="AI98" s="509">
        <v>0</v>
      </c>
      <c r="AJ98" s="199">
        <v>101312595</v>
      </c>
      <c r="AK98" s="200">
        <v>6709570</v>
      </c>
      <c r="AL98" s="199" t="s">
        <v>597</v>
      </c>
      <c r="AM98" s="205" t="s">
        <v>598</v>
      </c>
      <c r="AN98" s="199" t="s">
        <v>599</v>
      </c>
      <c r="AO98" s="219" t="s">
        <v>600</v>
      </c>
      <c r="AP98" s="907"/>
    </row>
    <row r="99" spans="1:42" s="22" customFormat="1" ht="17.25" customHeight="1">
      <c r="C99" s="447"/>
      <c r="D99" s="448" t="s">
        <v>115</v>
      </c>
      <c r="E99" s="449" t="s">
        <v>601</v>
      </c>
      <c r="F99" s="450" t="s">
        <v>91</v>
      </c>
      <c r="G99" s="451" t="s">
        <v>602</v>
      </c>
      <c r="H99" s="437">
        <f t="shared" si="1"/>
        <v>364346.86</v>
      </c>
      <c r="I99" s="452"/>
      <c r="J99" s="453"/>
      <c r="K99" s="453"/>
      <c r="L99" s="453"/>
      <c r="M99" s="453"/>
      <c r="N99" s="453"/>
      <c r="O99" s="451"/>
      <c r="P99" s="453"/>
      <c r="Q99" s="451"/>
      <c r="R99" s="453"/>
      <c r="S99" s="453"/>
      <c r="T99" s="209"/>
      <c r="U99" s="594"/>
      <c r="V99" s="454"/>
      <c r="W99" s="616"/>
      <c r="X99" s="616"/>
      <c r="Y99" s="454">
        <v>364346.86</v>
      </c>
      <c r="Z99" s="209"/>
      <c r="AA99" s="983"/>
      <c r="AB99" s="209"/>
      <c r="AC99" s="454"/>
      <c r="AD99" s="454"/>
      <c r="AE99" s="454"/>
      <c r="AF99" s="902">
        <v>44000</v>
      </c>
      <c r="AG99" s="621">
        <v>44047</v>
      </c>
      <c r="AH99" s="450"/>
      <c r="AI99" s="595"/>
      <c r="AJ99" s="450">
        <v>100467824</v>
      </c>
      <c r="AK99" s="208">
        <v>299255</v>
      </c>
      <c r="AL99" s="450" t="s">
        <v>603</v>
      </c>
      <c r="AM99" s="458">
        <v>5867541450</v>
      </c>
      <c r="AN99" s="817" t="s">
        <v>604</v>
      </c>
      <c r="AO99" s="451" t="s">
        <v>605</v>
      </c>
      <c r="AP99" s="633" t="s">
        <v>606</v>
      </c>
    </row>
    <row r="100" spans="1:42" s="22" customFormat="1" ht="17.25" customHeight="1">
      <c r="C100" s="197"/>
      <c r="D100" s="212" t="s">
        <v>115</v>
      </c>
      <c r="E100" s="198" t="s">
        <v>607</v>
      </c>
      <c r="F100" s="199" t="s">
        <v>91</v>
      </c>
      <c r="G100" s="219" t="s">
        <v>480</v>
      </c>
      <c r="H100" s="292">
        <f t="shared" si="1"/>
        <v>0</v>
      </c>
      <c r="I100" s="283"/>
      <c r="J100" s="206"/>
      <c r="K100" s="206"/>
      <c r="L100" s="206"/>
      <c r="M100" s="206"/>
      <c r="N100" s="206"/>
      <c r="O100" s="219"/>
      <c r="P100" s="206"/>
      <c r="Q100" s="219"/>
      <c r="R100" s="206"/>
      <c r="S100" s="206"/>
      <c r="T100" s="201"/>
      <c r="U100" s="338"/>
      <c r="V100" s="341"/>
      <c r="W100" s="510"/>
      <c r="X100" s="510"/>
      <c r="Y100" s="341"/>
      <c r="Z100" s="201"/>
      <c r="AA100" s="983"/>
      <c r="AB100" s="201">
        <v>12500</v>
      </c>
      <c r="AC100" s="341"/>
      <c r="AD100" s="341"/>
      <c r="AE100" s="341"/>
      <c r="AF100" s="904"/>
      <c r="AG100" s="344">
        <v>45051</v>
      </c>
      <c r="AH100" s="199"/>
      <c r="AI100" s="509"/>
      <c r="AJ100" s="199">
        <v>101112596</v>
      </c>
      <c r="AK100" s="200">
        <v>101112595</v>
      </c>
      <c r="AL100" s="199" t="s">
        <v>608</v>
      </c>
      <c r="AM100" s="205">
        <v>3607799005</v>
      </c>
      <c r="AN100" s="809" t="s">
        <v>609</v>
      </c>
      <c r="AO100" s="219" t="s">
        <v>610</v>
      </c>
      <c r="AP100" s="907" t="s">
        <v>611</v>
      </c>
    </row>
    <row r="101" spans="1:42" s="22" customFormat="1" ht="17.25" customHeight="1">
      <c r="A101" s="34"/>
      <c r="C101" s="447"/>
      <c r="D101" s="448" t="s">
        <v>115</v>
      </c>
      <c r="E101" s="449" t="s">
        <v>612</v>
      </c>
      <c r="F101" s="450" t="s">
        <v>91</v>
      </c>
      <c r="G101" s="451" t="s">
        <v>613</v>
      </c>
      <c r="H101" s="437">
        <f t="shared" si="1"/>
        <v>0</v>
      </c>
      <c r="I101" s="452"/>
      <c r="J101" s="453"/>
      <c r="K101" s="453"/>
      <c r="L101" s="453"/>
      <c r="M101" s="453"/>
      <c r="N101" s="453"/>
      <c r="O101" s="451"/>
      <c r="P101" s="453"/>
      <c r="Q101" s="451"/>
      <c r="R101" s="453"/>
      <c r="S101" s="453"/>
      <c r="T101" s="209"/>
      <c r="U101" s="594"/>
      <c r="V101" s="454"/>
      <c r="W101" s="616"/>
      <c r="X101" s="616"/>
      <c r="Y101" s="454"/>
      <c r="Z101" s="209"/>
      <c r="AA101" s="983"/>
      <c r="AB101" s="209">
        <v>3900</v>
      </c>
      <c r="AC101" s="454"/>
      <c r="AD101" s="454"/>
      <c r="AE101" s="454"/>
      <c r="AF101" s="902"/>
      <c r="AG101" s="621">
        <v>45051</v>
      </c>
      <c r="AH101" s="450"/>
      <c r="AI101" s="595"/>
      <c r="AJ101" s="450">
        <v>101112596</v>
      </c>
      <c r="AK101" s="208">
        <v>101112595</v>
      </c>
      <c r="AL101" s="450" t="s">
        <v>608</v>
      </c>
      <c r="AM101" s="458">
        <v>3607799005</v>
      </c>
      <c r="AN101" s="817" t="s">
        <v>609</v>
      </c>
      <c r="AO101" s="451" t="s">
        <v>610</v>
      </c>
      <c r="AP101" s="633" t="s">
        <v>611</v>
      </c>
    </row>
    <row r="102" spans="1:42" s="22" customFormat="1" ht="17.25" customHeight="1">
      <c r="A102" s="34"/>
      <c r="C102" s="197"/>
      <c r="D102" s="212" t="s">
        <v>115</v>
      </c>
      <c r="E102" s="198" t="s">
        <v>614</v>
      </c>
      <c r="F102" s="199" t="s">
        <v>215</v>
      </c>
      <c r="G102" s="219"/>
      <c r="H102" s="292">
        <f t="shared" si="1"/>
        <v>0</v>
      </c>
      <c r="I102" s="283"/>
      <c r="J102" s="206"/>
      <c r="K102" s="206"/>
      <c r="L102" s="206"/>
      <c r="M102" s="206"/>
      <c r="N102" s="206"/>
      <c r="O102" s="219"/>
      <c r="P102" s="206"/>
      <c r="Q102" s="219"/>
      <c r="R102" s="206"/>
      <c r="S102" s="206"/>
      <c r="T102" s="201"/>
      <c r="U102" s="338"/>
      <c r="V102" s="341"/>
      <c r="W102" s="510"/>
      <c r="X102" s="510"/>
      <c r="Y102" s="341"/>
      <c r="Z102" s="201"/>
      <c r="AA102" s="983">
        <v>120000</v>
      </c>
      <c r="AB102" s="201"/>
      <c r="AC102" s="341">
        <v>100</v>
      </c>
      <c r="AD102" s="341"/>
      <c r="AE102" s="341"/>
      <c r="AF102" s="904"/>
      <c r="AG102" s="344">
        <v>45051</v>
      </c>
      <c r="AH102" s="199"/>
      <c r="AI102" s="509"/>
      <c r="AJ102" s="199">
        <v>101112596</v>
      </c>
      <c r="AK102" s="200">
        <v>101112595</v>
      </c>
      <c r="AL102" s="199" t="s">
        <v>615</v>
      </c>
      <c r="AM102" s="205">
        <v>2064848212</v>
      </c>
      <c r="AN102" s="809" t="s">
        <v>616</v>
      </c>
      <c r="AO102" s="219" t="s">
        <v>617</v>
      </c>
      <c r="AP102" s="907" t="s">
        <v>618</v>
      </c>
    </row>
    <row r="103" spans="1:42" s="22" customFormat="1" ht="17.25" customHeight="1">
      <c r="A103" s="34"/>
      <c r="C103" s="447" t="s">
        <v>238</v>
      </c>
      <c r="D103" s="448" t="s">
        <v>115</v>
      </c>
      <c r="E103" s="449" t="s">
        <v>619</v>
      </c>
      <c r="F103" s="450" t="s">
        <v>117</v>
      </c>
      <c r="G103" s="451" t="s">
        <v>620</v>
      </c>
      <c r="H103" s="437">
        <f t="shared" si="1"/>
        <v>15000</v>
      </c>
      <c r="I103" s="452"/>
      <c r="J103" s="453"/>
      <c r="K103" s="453"/>
      <c r="L103" s="453"/>
      <c r="M103" s="453"/>
      <c r="N103" s="453"/>
      <c r="O103" s="451"/>
      <c r="P103" s="453"/>
      <c r="Q103" s="451"/>
      <c r="R103" s="453"/>
      <c r="S103" s="453"/>
      <c r="T103" s="209"/>
      <c r="U103" s="594"/>
      <c r="V103" s="454"/>
      <c r="W103" s="616"/>
      <c r="X103" s="616"/>
      <c r="Y103" s="454"/>
      <c r="Z103" s="209">
        <v>15000</v>
      </c>
      <c r="AA103" s="983">
        <v>10500</v>
      </c>
      <c r="AB103" s="209"/>
      <c r="AC103" s="454"/>
      <c r="AD103" s="454"/>
      <c r="AE103" s="454"/>
      <c r="AF103" s="902">
        <v>44435</v>
      </c>
      <c r="AG103" s="621">
        <v>44978</v>
      </c>
      <c r="AH103" s="450"/>
      <c r="AI103" s="595" t="s">
        <v>88</v>
      </c>
      <c r="AJ103" s="450">
        <v>101093148</v>
      </c>
      <c r="AK103" s="208">
        <v>28832855</v>
      </c>
      <c r="AL103" s="450" t="s">
        <v>621</v>
      </c>
      <c r="AM103" s="458" t="s">
        <v>622</v>
      </c>
      <c r="AN103" s="450" t="s">
        <v>623</v>
      </c>
      <c r="AO103" s="451" t="s">
        <v>624</v>
      </c>
      <c r="AP103" s="633"/>
    </row>
    <row r="104" spans="1:42" s="22" customFormat="1" ht="17.25" customHeight="1">
      <c r="A104" s="34"/>
      <c r="C104" s="197"/>
      <c r="D104" s="212" t="s">
        <v>115</v>
      </c>
      <c r="E104" s="198" t="s">
        <v>625</v>
      </c>
      <c r="F104" s="199" t="s">
        <v>215</v>
      </c>
      <c r="G104" s="219"/>
      <c r="H104" s="292"/>
      <c r="I104" s="283"/>
      <c r="J104" s="206"/>
      <c r="K104" s="206"/>
      <c r="L104" s="206"/>
      <c r="M104" s="206"/>
      <c r="N104" s="206"/>
      <c r="O104" s="219"/>
      <c r="P104" s="206"/>
      <c r="Q104" s="219"/>
      <c r="R104" s="206"/>
      <c r="S104" s="206"/>
      <c r="T104" s="201"/>
      <c r="U104" s="338"/>
      <c r="V104" s="341"/>
      <c r="W104" s="510"/>
      <c r="X104" s="510"/>
      <c r="Y104" s="341"/>
      <c r="Z104" s="201"/>
      <c r="AA104" s="983"/>
      <c r="AB104" s="201">
        <v>9390.26</v>
      </c>
      <c r="AC104" s="341"/>
      <c r="AD104" s="341"/>
      <c r="AE104" s="341"/>
      <c r="AF104" s="203">
        <v>44411</v>
      </c>
      <c r="AG104" s="204">
        <v>45226</v>
      </c>
      <c r="AH104" s="199"/>
      <c r="AI104" s="509"/>
      <c r="AJ104" s="199">
        <v>101303400</v>
      </c>
      <c r="AK104" s="200">
        <v>27852128</v>
      </c>
      <c r="AL104" s="199" t="s">
        <v>626</v>
      </c>
      <c r="AM104" s="205" t="s">
        <v>627</v>
      </c>
      <c r="AN104" s="199" t="s">
        <v>628</v>
      </c>
      <c r="AO104" s="219" t="s">
        <v>629</v>
      </c>
      <c r="AP104" s="907"/>
    </row>
    <row r="105" spans="1:42" s="22" customFormat="1" ht="17.25" customHeight="1">
      <c r="A105" s="34"/>
      <c r="C105" s="447" t="s">
        <v>238</v>
      </c>
      <c r="D105" s="448" t="s">
        <v>115</v>
      </c>
      <c r="E105" s="449" t="s">
        <v>630</v>
      </c>
      <c r="F105" s="450" t="s">
        <v>91</v>
      </c>
      <c r="G105" s="451" t="s">
        <v>631</v>
      </c>
      <c r="H105" s="437"/>
      <c r="I105" s="452"/>
      <c r="J105" s="453"/>
      <c r="K105" s="453"/>
      <c r="L105" s="453"/>
      <c r="M105" s="453"/>
      <c r="N105" s="453"/>
      <c r="O105" s="451"/>
      <c r="P105" s="453"/>
      <c r="Q105" s="451"/>
      <c r="R105" s="453"/>
      <c r="S105" s="453"/>
      <c r="T105" s="209"/>
      <c r="U105" s="594"/>
      <c r="V105" s="454"/>
      <c r="W105" s="616"/>
      <c r="X105" s="616"/>
      <c r="Y105" s="454"/>
      <c r="Z105" s="209"/>
      <c r="AA105" s="983">
        <v>29303.599999999999</v>
      </c>
      <c r="AB105" s="209"/>
      <c r="AC105" s="454"/>
      <c r="AD105" s="454"/>
      <c r="AE105" s="454"/>
      <c r="AF105" s="455">
        <v>45246</v>
      </c>
      <c r="AG105" s="456">
        <v>45327</v>
      </c>
      <c r="AH105" s="450"/>
      <c r="AI105" s="595"/>
      <c r="AJ105" s="450">
        <v>101326323</v>
      </c>
      <c r="AK105" s="208">
        <v>1394808</v>
      </c>
      <c r="AL105" s="450" t="s">
        <v>632</v>
      </c>
      <c r="AM105" s="458" t="s">
        <v>633</v>
      </c>
      <c r="AN105" s="450" t="s">
        <v>634</v>
      </c>
      <c r="AO105" s="451" t="s">
        <v>635</v>
      </c>
      <c r="AP105" s="633"/>
    </row>
    <row r="106" spans="1:42" s="22" customFormat="1" ht="17.25" customHeight="1">
      <c r="A106" s="34" t="s">
        <v>88</v>
      </c>
      <c r="C106" s="197"/>
      <c r="D106" s="212" t="s">
        <v>115</v>
      </c>
      <c r="E106" s="198" t="s">
        <v>630</v>
      </c>
      <c r="F106" s="199" t="s">
        <v>91</v>
      </c>
      <c r="G106" s="219" t="s">
        <v>636</v>
      </c>
      <c r="H106" s="292"/>
      <c r="I106" s="283"/>
      <c r="J106" s="206"/>
      <c r="K106" s="206"/>
      <c r="L106" s="206"/>
      <c r="M106" s="206"/>
      <c r="N106" s="206"/>
      <c r="O106" s="219"/>
      <c r="P106" s="206"/>
      <c r="Q106" s="219"/>
      <c r="R106" s="206"/>
      <c r="S106" s="206"/>
      <c r="T106" s="201"/>
      <c r="U106" s="338"/>
      <c r="V106" s="341"/>
      <c r="W106" s="510"/>
      <c r="X106" s="510"/>
      <c r="Y106" s="341"/>
      <c r="Z106" s="201"/>
      <c r="AA106" s="983"/>
      <c r="AB106" s="201">
        <v>650000</v>
      </c>
      <c r="AC106" s="341"/>
      <c r="AD106" s="341"/>
      <c r="AE106" s="341"/>
      <c r="AF106" s="203">
        <v>45246</v>
      </c>
      <c r="AG106" s="204">
        <v>45327</v>
      </c>
      <c r="AH106" s="199"/>
      <c r="AI106" s="509"/>
      <c r="AJ106" s="199">
        <v>101326323</v>
      </c>
      <c r="AK106" s="200">
        <v>1394808</v>
      </c>
      <c r="AL106" s="199" t="s">
        <v>637</v>
      </c>
      <c r="AM106" s="205" t="s">
        <v>638</v>
      </c>
      <c r="AN106" s="199"/>
      <c r="AO106" s="219" t="s">
        <v>639</v>
      </c>
      <c r="AP106" s="907"/>
    </row>
    <row r="107" spans="1:42" s="22" customFormat="1" ht="17.25" customHeight="1">
      <c r="A107" s="34"/>
      <c r="C107" s="447"/>
      <c r="D107" s="448" t="s">
        <v>115</v>
      </c>
      <c r="E107" s="449" t="s">
        <v>630</v>
      </c>
      <c r="F107" s="450" t="s">
        <v>91</v>
      </c>
      <c r="G107" s="451" t="s">
        <v>640</v>
      </c>
      <c r="H107" s="437"/>
      <c r="I107" s="452"/>
      <c r="J107" s="453"/>
      <c r="K107" s="453"/>
      <c r="L107" s="453"/>
      <c r="M107" s="453"/>
      <c r="N107" s="453"/>
      <c r="O107" s="451"/>
      <c r="P107" s="453"/>
      <c r="Q107" s="451"/>
      <c r="R107" s="453"/>
      <c r="S107" s="453"/>
      <c r="T107" s="209"/>
      <c r="U107" s="594"/>
      <c r="V107" s="454"/>
      <c r="W107" s="616"/>
      <c r="X107" s="616"/>
      <c r="Y107" s="454"/>
      <c r="Z107" s="209"/>
      <c r="AA107" s="983"/>
      <c r="AB107" s="209">
        <v>67852.23</v>
      </c>
      <c r="AC107" s="454"/>
      <c r="AD107" s="454"/>
      <c r="AE107" s="454"/>
      <c r="AF107" s="455">
        <v>45246</v>
      </c>
      <c r="AG107" s="456">
        <v>45327</v>
      </c>
      <c r="AH107" s="450"/>
      <c r="AI107" s="595"/>
      <c r="AJ107" s="450">
        <v>101326323</v>
      </c>
      <c r="AK107" s="208">
        <v>1394808</v>
      </c>
      <c r="AL107" s="450" t="s">
        <v>641</v>
      </c>
      <c r="AM107" s="458" t="s">
        <v>642</v>
      </c>
      <c r="AN107" s="450"/>
      <c r="AO107" s="451" t="s">
        <v>643</v>
      </c>
      <c r="AP107" s="633"/>
    </row>
    <row r="108" spans="1:42" s="22" customFormat="1" ht="17.25" customHeight="1">
      <c r="A108" s="34"/>
      <c r="C108" s="197" t="s">
        <v>238</v>
      </c>
      <c r="D108" s="212" t="s">
        <v>205</v>
      </c>
      <c r="E108" s="198" t="s">
        <v>644</v>
      </c>
      <c r="F108" s="199" t="s">
        <v>215</v>
      </c>
      <c r="G108" s="219" t="s">
        <v>645</v>
      </c>
      <c r="H108" s="292">
        <f t="shared" si="1"/>
        <v>0</v>
      </c>
      <c r="I108" s="283"/>
      <c r="J108" s="206"/>
      <c r="K108" s="206"/>
      <c r="L108" s="206"/>
      <c r="M108" s="206"/>
      <c r="N108" s="206"/>
      <c r="O108" s="206"/>
      <c r="P108" s="206"/>
      <c r="Q108" s="206"/>
      <c r="R108" s="206"/>
      <c r="S108" s="206"/>
      <c r="T108" s="201"/>
      <c r="U108" s="338"/>
      <c r="V108" s="341"/>
      <c r="W108" s="510"/>
      <c r="X108" s="510"/>
      <c r="Y108" s="341"/>
      <c r="Z108" s="201"/>
      <c r="AA108" s="983">
        <v>42000</v>
      </c>
      <c r="AB108" s="201"/>
      <c r="AC108" s="341"/>
      <c r="AD108" s="341"/>
      <c r="AE108" s="341"/>
      <c r="AF108" s="203">
        <v>43349</v>
      </c>
      <c r="AG108" s="203">
        <v>43437</v>
      </c>
      <c r="AH108" s="204">
        <v>45348</v>
      </c>
      <c r="AI108" s="509">
        <v>63</v>
      </c>
      <c r="AJ108" s="199">
        <v>100604252</v>
      </c>
      <c r="AK108" s="200">
        <v>40937336</v>
      </c>
      <c r="AL108" s="199" t="s">
        <v>646</v>
      </c>
      <c r="AM108" s="205">
        <v>4808169985</v>
      </c>
      <c r="AN108" s="834" t="s">
        <v>647</v>
      </c>
      <c r="AO108" s="219" t="s">
        <v>648</v>
      </c>
      <c r="AP108" s="206" t="s">
        <v>649</v>
      </c>
    </row>
    <row r="109" spans="1:42" s="22" customFormat="1" ht="17.25" customHeight="1">
      <c r="A109" s="34"/>
      <c r="C109" s="447"/>
      <c r="D109" s="448" t="s">
        <v>205</v>
      </c>
      <c r="E109" s="449" t="s">
        <v>650</v>
      </c>
      <c r="F109" s="450" t="s">
        <v>215</v>
      </c>
      <c r="G109" s="451"/>
      <c r="H109" s="437">
        <f t="shared" ref="H109:H165" si="3">SUM(I109:Z109)</f>
        <v>1025000</v>
      </c>
      <c r="I109" s="452"/>
      <c r="J109" s="453"/>
      <c r="K109" s="453"/>
      <c r="L109" s="453"/>
      <c r="M109" s="453"/>
      <c r="N109" s="453"/>
      <c r="O109" s="453"/>
      <c r="P109" s="453"/>
      <c r="Q109" s="453"/>
      <c r="R109" s="453"/>
      <c r="S109" s="453"/>
      <c r="T109" s="209"/>
      <c r="U109" s="594"/>
      <c r="V109" s="454"/>
      <c r="W109" s="616"/>
      <c r="X109" s="616"/>
      <c r="Y109" s="454"/>
      <c r="Z109" s="209">
        <f>1000000+25000</f>
        <v>1025000</v>
      </c>
      <c r="AA109" s="983"/>
      <c r="AB109" s="209"/>
      <c r="AC109" s="454"/>
      <c r="AD109" s="454"/>
      <c r="AE109" s="454"/>
      <c r="AF109" s="455">
        <v>45033</v>
      </c>
      <c r="AG109" s="455">
        <v>45097</v>
      </c>
      <c r="AH109" s="450"/>
      <c r="AI109" s="595"/>
      <c r="AJ109" s="450">
        <v>101133680</v>
      </c>
      <c r="AK109" s="208">
        <v>16496630</v>
      </c>
      <c r="AL109" s="450" t="s">
        <v>651</v>
      </c>
      <c r="AM109" s="458">
        <v>9547823000</v>
      </c>
      <c r="AN109" s="450" t="s">
        <v>652</v>
      </c>
      <c r="AO109" s="451" t="s">
        <v>653</v>
      </c>
      <c r="AP109" s="453"/>
    </row>
    <row r="110" spans="1:42" ht="17.25" customHeight="1">
      <c r="C110" s="197"/>
      <c r="D110" s="212" t="s">
        <v>115</v>
      </c>
      <c r="E110" s="198" t="s">
        <v>654</v>
      </c>
      <c r="F110" s="199" t="s">
        <v>91</v>
      </c>
      <c r="G110" s="219" t="s">
        <v>480</v>
      </c>
      <c r="H110" s="292">
        <f t="shared" si="3"/>
        <v>83412.009999999995</v>
      </c>
      <c r="I110" s="283"/>
      <c r="J110" s="206"/>
      <c r="K110" s="206"/>
      <c r="L110" s="206"/>
      <c r="M110" s="206"/>
      <c r="N110" s="206"/>
      <c r="O110" s="206"/>
      <c r="P110" s="206"/>
      <c r="Q110" s="206"/>
      <c r="R110" s="206"/>
      <c r="S110" s="206"/>
      <c r="T110" s="201"/>
      <c r="U110" s="338"/>
      <c r="V110" s="341"/>
      <c r="W110" s="510"/>
      <c r="X110" s="510"/>
      <c r="Y110" s="341"/>
      <c r="Z110" s="201">
        <f>4660.25+78751.76</f>
        <v>83412.009999999995</v>
      </c>
      <c r="AA110" s="983"/>
      <c r="AB110" s="201"/>
      <c r="AC110" s="341"/>
      <c r="AD110" s="341"/>
      <c r="AE110" s="341"/>
      <c r="AF110" s="203">
        <v>44958</v>
      </c>
      <c r="AG110" s="203">
        <v>44986</v>
      </c>
      <c r="AH110" s="204"/>
      <c r="AI110" s="509" t="s">
        <v>88</v>
      </c>
      <c r="AJ110" s="199">
        <v>101101398</v>
      </c>
      <c r="AK110" s="200">
        <v>64889777</v>
      </c>
      <c r="AL110" s="199" t="s">
        <v>655</v>
      </c>
      <c r="AM110" s="205" t="s">
        <v>656</v>
      </c>
      <c r="AN110" s="199" t="s">
        <v>657</v>
      </c>
      <c r="AO110" s="219" t="s">
        <v>658</v>
      </c>
      <c r="AP110" s="206"/>
    </row>
    <row r="111" spans="1:42" s="22" customFormat="1" ht="17.25" customHeight="1">
      <c r="A111" s="34"/>
      <c r="C111" s="447"/>
      <c r="D111" s="448" t="s">
        <v>205</v>
      </c>
      <c r="E111" s="449" t="s">
        <v>659</v>
      </c>
      <c r="F111" s="450" t="s">
        <v>215</v>
      </c>
      <c r="G111" s="451" t="s">
        <v>660</v>
      </c>
      <c r="H111" s="437">
        <f t="shared" si="3"/>
        <v>0</v>
      </c>
      <c r="I111" s="452"/>
      <c r="J111" s="453"/>
      <c r="K111" s="453"/>
      <c r="L111" s="453"/>
      <c r="M111" s="453"/>
      <c r="N111" s="453"/>
      <c r="O111" s="453"/>
      <c r="P111" s="453"/>
      <c r="Q111" s="453"/>
      <c r="R111" s="453"/>
      <c r="S111" s="453"/>
      <c r="T111" s="209"/>
      <c r="U111" s="594"/>
      <c r="V111" s="454"/>
      <c r="W111" s="616"/>
      <c r="X111" s="616"/>
      <c r="Y111" s="454"/>
      <c r="Z111" s="209"/>
      <c r="AA111" s="983"/>
      <c r="AB111" s="209"/>
      <c r="AC111" s="454"/>
      <c r="AD111" s="454"/>
      <c r="AE111" s="454"/>
      <c r="AF111" s="449"/>
      <c r="AG111" s="455">
        <v>44281</v>
      </c>
      <c r="AH111" s="456"/>
      <c r="AI111" s="595"/>
      <c r="AJ111" s="903">
        <v>100604083</v>
      </c>
      <c r="AK111" s="208">
        <v>32653107</v>
      </c>
      <c r="AL111" s="450"/>
      <c r="AM111" s="458"/>
      <c r="AN111" s="811"/>
      <c r="AO111" s="451"/>
      <c r="AP111" s="453"/>
    </row>
    <row r="112" spans="1:42" s="22" customFormat="1" ht="17.25" customHeight="1">
      <c r="A112" s="34"/>
      <c r="C112" s="197" t="s">
        <v>238</v>
      </c>
      <c r="D112" s="212" t="s">
        <v>205</v>
      </c>
      <c r="E112" s="198" t="s">
        <v>661</v>
      </c>
      <c r="F112" s="199" t="s">
        <v>215</v>
      </c>
      <c r="G112" s="219"/>
      <c r="H112" s="292">
        <f t="shared" si="3"/>
        <v>0</v>
      </c>
      <c r="I112" s="283"/>
      <c r="J112" s="206"/>
      <c r="K112" s="206"/>
      <c r="L112" s="206"/>
      <c r="M112" s="206"/>
      <c r="N112" s="206"/>
      <c r="O112" s="206"/>
      <c r="P112" s="206"/>
      <c r="Q112" s="206"/>
      <c r="R112" s="206"/>
      <c r="S112" s="206"/>
      <c r="T112" s="201"/>
      <c r="U112" s="338"/>
      <c r="V112" s="341"/>
      <c r="W112" s="510"/>
      <c r="X112" s="510"/>
      <c r="Y112" s="341"/>
      <c r="Z112" s="201"/>
      <c r="AA112" s="983">
        <v>1129.68</v>
      </c>
      <c r="AB112" s="201"/>
      <c r="AC112" s="341"/>
      <c r="AD112" s="341"/>
      <c r="AE112" s="341"/>
      <c r="AF112" s="203">
        <v>44507</v>
      </c>
      <c r="AG112" s="203">
        <v>44816</v>
      </c>
      <c r="AH112" s="204">
        <v>45300</v>
      </c>
      <c r="AI112" s="509">
        <f>(YEAR(AH112)-YEAR(AG112))*12+MONTH(AH112)-MONTH(AG112)</f>
        <v>16</v>
      </c>
      <c r="AJ112" s="880">
        <v>100963395</v>
      </c>
      <c r="AK112" s="200">
        <v>100963395</v>
      </c>
      <c r="AL112" s="199" t="s">
        <v>662</v>
      </c>
      <c r="AM112" s="205" t="s">
        <v>663</v>
      </c>
      <c r="AN112" s="199" t="s">
        <v>664</v>
      </c>
      <c r="AO112" s="219" t="s">
        <v>665</v>
      </c>
      <c r="AP112" s="206"/>
    </row>
    <row r="113" spans="1:42" s="22" customFormat="1" ht="17.25" customHeight="1">
      <c r="A113" s="34"/>
      <c r="C113" s="447" t="s">
        <v>238</v>
      </c>
      <c r="D113" s="448" t="s">
        <v>205</v>
      </c>
      <c r="E113" s="449" t="s">
        <v>666</v>
      </c>
      <c r="F113" s="450" t="s">
        <v>215</v>
      </c>
      <c r="G113" s="451"/>
      <c r="H113" s="437">
        <f t="shared" si="3"/>
        <v>114117.73</v>
      </c>
      <c r="I113" s="452"/>
      <c r="J113" s="453"/>
      <c r="K113" s="453"/>
      <c r="L113" s="453"/>
      <c r="M113" s="453"/>
      <c r="N113" s="453"/>
      <c r="O113" s="453"/>
      <c r="P113" s="453"/>
      <c r="Q113" s="453"/>
      <c r="R113" s="453"/>
      <c r="S113" s="453"/>
      <c r="T113" s="209"/>
      <c r="U113" s="594"/>
      <c r="V113" s="454"/>
      <c r="W113" s="616"/>
      <c r="X113" s="616"/>
      <c r="Y113" s="454"/>
      <c r="Z113" s="209">
        <v>114117.73</v>
      </c>
      <c r="AA113" s="983">
        <f>1027.79+244827.83</f>
        <v>245855.62</v>
      </c>
      <c r="AB113" s="209"/>
      <c r="AC113" s="454"/>
      <c r="AD113" s="454"/>
      <c r="AE113" s="454"/>
      <c r="AF113" s="455">
        <v>44759</v>
      </c>
      <c r="AG113" s="455">
        <v>44816</v>
      </c>
      <c r="AH113" s="456"/>
      <c r="AI113" s="595"/>
      <c r="AJ113" s="903">
        <v>101112588</v>
      </c>
      <c r="AK113" s="208">
        <v>101112587</v>
      </c>
      <c r="AL113" s="450" t="s">
        <v>662</v>
      </c>
      <c r="AM113" s="458" t="s">
        <v>663</v>
      </c>
      <c r="AN113" s="811" t="s">
        <v>664</v>
      </c>
      <c r="AO113" s="451" t="s">
        <v>665</v>
      </c>
      <c r="AP113" s="453"/>
    </row>
    <row r="114" spans="1:42" s="22" customFormat="1" ht="17.25" customHeight="1">
      <c r="A114" s="34"/>
      <c r="C114" s="197"/>
      <c r="D114" s="212" t="s">
        <v>115</v>
      </c>
      <c r="E114" s="198" t="s">
        <v>667</v>
      </c>
      <c r="F114" s="199" t="s">
        <v>91</v>
      </c>
      <c r="G114" s="801">
        <v>0.05</v>
      </c>
      <c r="H114" s="292">
        <f t="shared" si="3"/>
        <v>0</v>
      </c>
      <c r="I114" s="283"/>
      <c r="J114" s="206"/>
      <c r="K114" s="206"/>
      <c r="L114" s="206"/>
      <c r="M114" s="206"/>
      <c r="N114" s="206"/>
      <c r="O114" s="206"/>
      <c r="P114" s="206"/>
      <c r="Q114" s="206"/>
      <c r="R114" s="206"/>
      <c r="S114" s="206"/>
      <c r="T114" s="201"/>
      <c r="U114" s="338"/>
      <c r="V114" s="341"/>
      <c r="W114" s="510"/>
      <c r="X114" s="510"/>
      <c r="Y114" s="341"/>
      <c r="Z114" s="201"/>
      <c r="AA114" s="983">
        <v>4500</v>
      </c>
      <c r="AB114" s="201"/>
      <c r="AC114" s="341"/>
      <c r="AD114" s="341"/>
      <c r="AE114" s="341"/>
      <c r="AF114" s="203">
        <v>44946</v>
      </c>
      <c r="AG114" s="203">
        <v>44992</v>
      </c>
      <c r="AH114" s="204"/>
      <c r="AI114" s="509"/>
      <c r="AJ114" s="199">
        <v>101105619</v>
      </c>
      <c r="AK114" s="920"/>
      <c r="AL114" s="199" t="s">
        <v>668</v>
      </c>
      <c r="AM114" s="205">
        <v>8474338140</v>
      </c>
      <c r="AN114" s="199" t="s">
        <v>669</v>
      </c>
      <c r="AO114" s="219" t="s">
        <v>670</v>
      </c>
      <c r="AP114" s="206" t="s">
        <v>671</v>
      </c>
    </row>
    <row r="115" spans="1:42" s="22" customFormat="1" ht="17.25" customHeight="1">
      <c r="A115" s="34"/>
      <c r="C115" s="447"/>
      <c r="D115" s="448" t="s">
        <v>205</v>
      </c>
      <c r="E115" s="449" t="s">
        <v>672</v>
      </c>
      <c r="F115" s="450" t="s">
        <v>215</v>
      </c>
      <c r="G115" s="451" t="s">
        <v>673</v>
      </c>
      <c r="H115" s="437">
        <f t="shared" si="3"/>
        <v>32000</v>
      </c>
      <c r="I115" s="452"/>
      <c r="J115" s="453"/>
      <c r="K115" s="453"/>
      <c r="L115" s="453"/>
      <c r="M115" s="453"/>
      <c r="N115" s="453"/>
      <c r="O115" s="453"/>
      <c r="P115" s="453"/>
      <c r="Q115" s="453"/>
      <c r="R115" s="453"/>
      <c r="S115" s="453"/>
      <c r="T115" s="209"/>
      <c r="U115" s="594"/>
      <c r="V115" s="454"/>
      <c r="W115" s="616">
        <v>12000</v>
      </c>
      <c r="X115" s="616">
        <v>10000</v>
      </c>
      <c r="Y115" s="454">
        <v>10000</v>
      </c>
      <c r="Z115" s="209"/>
      <c r="AA115" s="983">
        <v>13334</v>
      </c>
      <c r="AB115" s="209"/>
      <c r="AC115" s="454"/>
      <c r="AD115" s="454"/>
      <c r="AE115" s="454"/>
      <c r="AF115" s="455">
        <v>36454</v>
      </c>
      <c r="AG115" s="455">
        <v>43892</v>
      </c>
      <c r="AH115" s="450"/>
      <c r="AI115" s="457"/>
      <c r="AJ115" s="450">
        <v>100353721</v>
      </c>
      <c r="AK115" s="208">
        <v>889626</v>
      </c>
      <c r="AL115" s="450" t="s">
        <v>674</v>
      </c>
      <c r="AM115" s="458">
        <v>8188464448</v>
      </c>
      <c r="AN115" s="817" t="s">
        <v>675</v>
      </c>
      <c r="AO115" s="451" t="s">
        <v>676</v>
      </c>
      <c r="AP115" s="633" t="s">
        <v>677</v>
      </c>
    </row>
    <row r="116" spans="1:42" s="22" customFormat="1" ht="17.25" customHeight="1">
      <c r="A116" s="34"/>
      <c r="C116" s="197"/>
      <c r="D116" s="212" t="s">
        <v>205</v>
      </c>
      <c r="E116" s="198" t="s">
        <v>678</v>
      </c>
      <c r="F116" s="199" t="s">
        <v>215</v>
      </c>
      <c r="G116" s="219" t="s">
        <v>679</v>
      </c>
      <c r="H116" s="292">
        <f t="shared" si="3"/>
        <v>0</v>
      </c>
      <c r="I116" s="283"/>
      <c r="J116" s="206"/>
      <c r="K116" s="206"/>
      <c r="L116" s="206"/>
      <c r="M116" s="206"/>
      <c r="N116" s="206"/>
      <c r="O116" s="206"/>
      <c r="P116" s="206"/>
      <c r="Q116" s="206"/>
      <c r="R116" s="206"/>
      <c r="S116" s="206"/>
      <c r="T116" s="201"/>
      <c r="U116" s="338"/>
      <c r="V116" s="341"/>
      <c r="W116" s="510"/>
      <c r="X116" s="510"/>
      <c r="Y116" s="341"/>
      <c r="Z116" s="201"/>
      <c r="AA116" s="983"/>
      <c r="AB116" s="201"/>
      <c r="AC116" s="201">
        <v>24533.62</v>
      </c>
      <c r="AD116" s="341"/>
      <c r="AE116" s="341"/>
      <c r="AF116" s="203"/>
      <c r="AG116" s="203">
        <v>44894</v>
      </c>
      <c r="AH116" s="199"/>
      <c r="AI116" s="299"/>
      <c r="AJ116" s="199"/>
      <c r="AK116" s="200"/>
      <c r="AL116" s="199" t="s">
        <v>680</v>
      </c>
      <c r="AM116" s="205">
        <v>5105226900</v>
      </c>
      <c r="AN116" s="809" t="s">
        <v>681</v>
      </c>
      <c r="AO116" s="219" t="s">
        <v>682</v>
      </c>
      <c r="AP116" s="907" t="s">
        <v>683</v>
      </c>
    </row>
    <row r="117" spans="1:42" s="22" customFormat="1" ht="17.25" customHeight="1">
      <c r="A117" s="34"/>
      <c r="C117" s="447"/>
      <c r="D117" s="448" t="s">
        <v>115</v>
      </c>
      <c r="E117" s="449" t="s">
        <v>684</v>
      </c>
      <c r="F117" s="450" t="s">
        <v>215</v>
      </c>
      <c r="G117" s="451"/>
      <c r="H117" s="437">
        <f t="shared" si="3"/>
        <v>0</v>
      </c>
      <c r="I117" s="452"/>
      <c r="J117" s="453"/>
      <c r="K117" s="453"/>
      <c r="L117" s="453"/>
      <c r="M117" s="453"/>
      <c r="N117" s="453"/>
      <c r="O117" s="453"/>
      <c r="P117" s="453"/>
      <c r="Q117" s="453"/>
      <c r="R117" s="453"/>
      <c r="S117" s="453"/>
      <c r="T117" s="209"/>
      <c r="U117" s="594"/>
      <c r="V117" s="454"/>
      <c r="W117" s="616"/>
      <c r="X117" s="616"/>
      <c r="Y117" s="454"/>
      <c r="Z117" s="209"/>
      <c r="AA117" s="983"/>
      <c r="AB117" s="209"/>
      <c r="AC117" s="454"/>
      <c r="AD117" s="454"/>
      <c r="AE117" s="454"/>
      <c r="AF117" s="455">
        <v>44668</v>
      </c>
      <c r="AG117" s="455">
        <v>44789</v>
      </c>
      <c r="AH117" s="450"/>
      <c r="AI117" s="457"/>
      <c r="AJ117" s="450">
        <v>100968923</v>
      </c>
      <c r="AK117" s="208">
        <v>22680557</v>
      </c>
      <c r="AL117" s="450" t="s">
        <v>685</v>
      </c>
      <c r="AM117" s="458" t="s">
        <v>686</v>
      </c>
      <c r="AN117" s="450" t="s">
        <v>687</v>
      </c>
      <c r="AO117" s="451" t="s">
        <v>688</v>
      </c>
      <c r="AP117" s="633"/>
    </row>
    <row r="118" spans="1:42" s="22" customFormat="1" ht="17.25" customHeight="1">
      <c r="A118" s="34"/>
      <c r="C118" s="197"/>
      <c r="D118" s="212" t="s">
        <v>205</v>
      </c>
      <c r="E118" s="198" t="s">
        <v>689</v>
      </c>
      <c r="F118" s="199" t="s">
        <v>215</v>
      </c>
      <c r="G118" s="219" t="s">
        <v>690</v>
      </c>
      <c r="H118" s="292">
        <f t="shared" si="3"/>
        <v>0</v>
      </c>
      <c r="I118" s="283"/>
      <c r="J118" s="206"/>
      <c r="K118" s="206"/>
      <c r="L118" s="206"/>
      <c r="M118" s="206"/>
      <c r="N118" s="206"/>
      <c r="O118" s="206"/>
      <c r="P118" s="206"/>
      <c r="Q118" s="206"/>
      <c r="R118" s="206"/>
      <c r="S118" s="206"/>
      <c r="T118" s="201"/>
      <c r="U118" s="338"/>
      <c r="V118" s="341"/>
      <c r="W118" s="510"/>
      <c r="X118" s="510"/>
      <c r="Y118" s="341"/>
      <c r="Z118" s="201"/>
      <c r="AA118" s="983">
        <v>67510</v>
      </c>
      <c r="AB118" s="201"/>
      <c r="AC118" s="341">
        <v>100</v>
      </c>
      <c r="AD118" s="341"/>
      <c r="AE118" s="341"/>
      <c r="AF118" s="203">
        <v>44965</v>
      </c>
      <c r="AG118" s="203">
        <v>45287</v>
      </c>
      <c r="AH118" s="199"/>
      <c r="AI118" s="299"/>
      <c r="AJ118" s="199">
        <v>101310245</v>
      </c>
      <c r="AK118" s="200">
        <v>99076416</v>
      </c>
      <c r="AL118" s="199" t="s">
        <v>691</v>
      </c>
      <c r="AM118" s="205">
        <v>8187096400</v>
      </c>
      <c r="AN118" s="199" t="s">
        <v>692</v>
      </c>
      <c r="AO118" s="219" t="s">
        <v>693</v>
      </c>
      <c r="AP118" s="907" t="s">
        <v>694</v>
      </c>
    </row>
    <row r="119" spans="1:42" s="22" customFormat="1" ht="17.25" customHeight="1">
      <c r="A119" s="34"/>
      <c r="C119" s="447"/>
      <c r="D119" s="448" t="s">
        <v>115</v>
      </c>
      <c r="E119" s="449" t="s">
        <v>695</v>
      </c>
      <c r="F119" s="450" t="s">
        <v>215</v>
      </c>
      <c r="G119" s="505"/>
      <c r="H119" s="437">
        <f t="shared" si="3"/>
        <v>0</v>
      </c>
      <c r="I119" s="452"/>
      <c r="J119" s="453"/>
      <c r="K119" s="453"/>
      <c r="L119" s="453"/>
      <c r="M119" s="453"/>
      <c r="N119" s="453"/>
      <c r="O119" s="453"/>
      <c r="P119" s="453"/>
      <c r="Q119" s="453"/>
      <c r="R119" s="453"/>
      <c r="S119" s="453"/>
      <c r="T119" s="209"/>
      <c r="U119" s="594"/>
      <c r="V119" s="454"/>
      <c r="W119" s="616"/>
      <c r="X119" s="616"/>
      <c r="Y119" s="454"/>
      <c r="Z119" s="209"/>
      <c r="AA119" s="983"/>
      <c r="AB119" s="209"/>
      <c r="AC119" s="454"/>
      <c r="AD119" s="454"/>
      <c r="AE119" s="454"/>
      <c r="AF119" s="810">
        <v>44412</v>
      </c>
      <c r="AG119" s="455">
        <v>44482</v>
      </c>
      <c r="AH119" s="456"/>
      <c r="AI119" s="457"/>
      <c r="AJ119" s="450">
        <v>100757379</v>
      </c>
      <c r="AK119" s="208">
        <v>100095943</v>
      </c>
      <c r="AL119" s="450" t="s">
        <v>696</v>
      </c>
      <c r="AM119" s="458" t="s">
        <v>697</v>
      </c>
      <c r="AN119" s="450" t="s">
        <v>698</v>
      </c>
      <c r="AO119" s="451" t="s">
        <v>699</v>
      </c>
      <c r="AP119" s="633"/>
    </row>
    <row r="120" spans="1:42" s="22" customFormat="1" ht="17.25" customHeight="1">
      <c r="A120" s="34"/>
      <c r="B120" s="208"/>
      <c r="C120" s="197"/>
      <c r="D120" s="212" t="s">
        <v>115</v>
      </c>
      <c r="E120" s="198" t="s">
        <v>700</v>
      </c>
      <c r="F120" s="199" t="s">
        <v>215</v>
      </c>
      <c r="G120" s="429"/>
      <c r="H120" s="292">
        <f t="shared" si="3"/>
        <v>0</v>
      </c>
      <c r="I120" s="283"/>
      <c r="J120" s="206"/>
      <c r="K120" s="206"/>
      <c r="L120" s="206"/>
      <c r="M120" s="206"/>
      <c r="N120" s="206"/>
      <c r="O120" s="206"/>
      <c r="P120" s="206"/>
      <c r="Q120" s="206"/>
      <c r="R120" s="206"/>
      <c r="S120" s="206"/>
      <c r="T120" s="201"/>
      <c r="U120" s="338"/>
      <c r="V120" s="341"/>
      <c r="W120" s="510"/>
      <c r="X120" s="510"/>
      <c r="Y120" s="341"/>
      <c r="Z120" s="201"/>
      <c r="AA120" s="983">
        <v>500000</v>
      </c>
      <c r="AB120" s="201"/>
      <c r="AC120" s="341"/>
      <c r="AD120" s="341"/>
      <c r="AE120" s="341"/>
      <c r="AF120" s="888">
        <v>44979</v>
      </c>
      <c r="AG120" s="203">
        <v>45236</v>
      </c>
      <c r="AH120" s="204"/>
      <c r="AI120" s="299"/>
      <c r="AJ120" s="199">
        <v>101190316</v>
      </c>
      <c r="AK120" s="200">
        <v>100108827</v>
      </c>
      <c r="AL120" s="199" t="s">
        <v>701</v>
      </c>
      <c r="AM120" s="205" t="s">
        <v>702</v>
      </c>
      <c r="AN120" s="199" t="s">
        <v>703</v>
      </c>
      <c r="AO120" s="219" t="s">
        <v>704</v>
      </c>
      <c r="AP120" s="907"/>
    </row>
    <row r="121" spans="1:42" s="22" customFormat="1" ht="17.25" customHeight="1">
      <c r="A121" s="34"/>
      <c r="B121" s="208"/>
      <c r="C121" s="447"/>
      <c r="D121" s="448" t="s">
        <v>115</v>
      </c>
      <c r="E121" s="449" t="s">
        <v>705</v>
      </c>
      <c r="F121" s="450" t="s">
        <v>215</v>
      </c>
      <c r="G121" s="451" t="s">
        <v>706</v>
      </c>
      <c r="H121" s="437">
        <f t="shared" si="3"/>
        <v>0</v>
      </c>
      <c r="I121" s="452"/>
      <c r="J121" s="453"/>
      <c r="K121" s="453"/>
      <c r="L121" s="453"/>
      <c r="M121" s="453"/>
      <c r="N121" s="453"/>
      <c r="O121" s="453"/>
      <c r="P121" s="453"/>
      <c r="Q121" s="453"/>
      <c r="R121" s="453"/>
      <c r="S121" s="453"/>
      <c r="T121" s="209"/>
      <c r="U121" s="594"/>
      <c r="V121" s="454"/>
      <c r="W121" s="616"/>
      <c r="X121" s="616"/>
      <c r="Y121" s="454"/>
      <c r="Z121" s="450"/>
      <c r="AA121" s="989"/>
      <c r="AB121" s="209"/>
      <c r="AC121" s="454">
        <v>400000</v>
      </c>
      <c r="AD121" s="454"/>
      <c r="AE121" s="454"/>
      <c r="AF121" s="455">
        <v>42644</v>
      </c>
      <c r="AG121" s="455">
        <v>42746</v>
      </c>
      <c r="AH121" s="450"/>
      <c r="AI121" s="457" t="s">
        <v>88</v>
      </c>
      <c r="AJ121" s="450">
        <v>100782836</v>
      </c>
      <c r="AK121" s="208">
        <v>985887</v>
      </c>
      <c r="AL121" s="450" t="s">
        <v>707</v>
      </c>
      <c r="AM121" s="458">
        <v>6463757669</v>
      </c>
      <c r="AN121" s="811" t="s">
        <v>708</v>
      </c>
      <c r="AO121" s="451" t="s">
        <v>709</v>
      </c>
      <c r="AP121" s="633" t="s">
        <v>710</v>
      </c>
    </row>
    <row r="122" spans="1:42" s="22" customFormat="1" ht="17.25" customHeight="1">
      <c r="A122" s="34"/>
      <c r="B122" s="208"/>
      <c r="C122" s="197" t="s">
        <v>238</v>
      </c>
      <c r="D122" s="212" t="s">
        <v>205</v>
      </c>
      <c r="E122" s="198" t="s">
        <v>711</v>
      </c>
      <c r="F122" s="199" t="s">
        <v>215</v>
      </c>
      <c r="G122" s="219" t="s">
        <v>712</v>
      </c>
      <c r="H122" s="292">
        <f t="shared" si="3"/>
        <v>40000</v>
      </c>
      <c r="I122" s="283"/>
      <c r="J122" s="206"/>
      <c r="K122" s="206"/>
      <c r="L122" s="206"/>
      <c r="M122" s="206"/>
      <c r="N122" s="206"/>
      <c r="O122" s="206"/>
      <c r="P122" s="206"/>
      <c r="Q122" s="206"/>
      <c r="R122" s="206"/>
      <c r="S122" s="206"/>
      <c r="T122" s="201"/>
      <c r="U122" s="338"/>
      <c r="V122" s="341"/>
      <c r="W122" s="510"/>
      <c r="X122" s="510"/>
      <c r="Y122" s="341"/>
      <c r="Z122" s="949">
        <v>40000</v>
      </c>
      <c r="AA122" s="983">
        <v>7167.49</v>
      </c>
      <c r="AB122" s="201"/>
      <c r="AC122" s="341"/>
      <c r="AD122" s="341"/>
      <c r="AE122" s="341"/>
      <c r="AF122" s="203">
        <v>44741</v>
      </c>
      <c r="AG122" s="203">
        <v>44756</v>
      </c>
      <c r="AH122" s="199"/>
      <c r="AI122" s="299"/>
      <c r="AJ122" s="1013">
        <v>101105623</v>
      </c>
      <c r="AK122" s="200">
        <v>30336408</v>
      </c>
      <c r="AL122" s="199" t="s">
        <v>713</v>
      </c>
      <c r="AM122" s="205" t="s">
        <v>714</v>
      </c>
      <c r="AN122" s="199" t="s">
        <v>715</v>
      </c>
      <c r="AO122" s="219" t="s">
        <v>716</v>
      </c>
      <c r="AP122" s="907"/>
    </row>
    <row r="123" spans="1:42" s="22" customFormat="1" ht="17.25" customHeight="1">
      <c r="A123" s="34"/>
      <c r="B123" s="208"/>
      <c r="C123" s="447"/>
      <c r="D123" s="448" t="s">
        <v>115</v>
      </c>
      <c r="E123" s="449" t="s">
        <v>717</v>
      </c>
      <c r="F123" s="450" t="s">
        <v>215</v>
      </c>
      <c r="G123" s="451" t="s">
        <v>718</v>
      </c>
      <c r="H123" s="437"/>
      <c r="I123" s="452"/>
      <c r="J123" s="453"/>
      <c r="K123" s="453"/>
      <c r="L123" s="453"/>
      <c r="M123" s="453"/>
      <c r="N123" s="453"/>
      <c r="O123" s="453"/>
      <c r="P123" s="453"/>
      <c r="Q123" s="453"/>
      <c r="R123" s="453"/>
      <c r="S123" s="453"/>
      <c r="T123" s="209"/>
      <c r="U123" s="594"/>
      <c r="V123" s="454"/>
      <c r="W123" s="616"/>
      <c r="X123" s="616"/>
      <c r="Y123" s="454"/>
      <c r="Z123" s="997"/>
      <c r="AA123" s="983">
        <v>88709.17</v>
      </c>
      <c r="AB123" s="209"/>
      <c r="AC123" s="454"/>
      <c r="AD123" s="454"/>
      <c r="AE123" s="454"/>
      <c r="AF123" s="455">
        <v>44885</v>
      </c>
      <c r="AG123" s="455">
        <v>45274</v>
      </c>
      <c r="AH123" s="450"/>
      <c r="AI123" s="457"/>
      <c r="AJ123" s="875">
        <v>101296424</v>
      </c>
      <c r="AK123" s="208">
        <v>274183</v>
      </c>
      <c r="AL123" s="450" t="s">
        <v>719</v>
      </c>
      <c r="AM123" s="458" t="s">
        <v>720</v>
      </c>
      <c r="AN123" s="450" t="s">
        <v>721</v>
      </c>
      <c r="AO123" s="451" t="s">
        <v>722</v>
      </c>
      <c r="AP123" s="633"/>
    </row>
    <row r="124" spans="1:42" s="22" customFormat="1" ht="17.25" customHeight="1">
      <c r="A124" s="34"/>
      <c r="B124" s="208"/>
      <c r="C124" s="197" t="s">
        <v>238</v>
      </c>
      <c r="D124" s="212" t="s">
        <v>115</v>
      </c>
      <c r="E124" s="198" t="s">
        <v>723</v>
      </c>
      <c r="F124" s="199" t="s">
        <v>215</v>
      </c>
      <c r="G124" s="429"/>
      <c r="H124" s="292">
        <f t="shared" si="3"/>
        <v>50000</v>
      </c>
      <c r="I124" s="283"/>
      <c r="J124" s="206"/>
      <c r="K124" s="206"/>
      <c r="L124" s="206"/>
      <c r="M124" s="206"/>
      <c r="N124" s="206"/>
      <c r="O124" s="206"/>
      <c r="P124" s="206"/>
      <c r="Q124" s="206"/>
      <c r="R124" s="206"/>
      <c r="S124" s="206"/>
      <c r="T124" s="201"/>
      <c r="U124" s="338"/>
      <c r="V124" s="341"/>
      <c r="W124" s="510"/>
      <c r="X124" s="510"/>
      <c r="Y124" s="341"/>
      <c r="Z124" s="201">
        <v>50000</v>
      </c>
      <c r="AA124" s="983">
        <v>7107.46</v>
      </c>
      <c r="AB124" s="201"/>
      <c r="AC124" s="341"/>
      <c r="AD124" s="341"/>
      <c r="AE124" s="341"/>
      <c r="AF124" s="203">
        <v>44493</v>
      </c>
      <c r="AG124" s="203">
        <v>44602</v>
      </c>
      <c r="AH124" s="204">
        <v>45288</v>
      </c>
      <c r="AI124" s="299">
        <f>(YEAR(AH124)-YEAR(AG124))*12+MONTH(AH124)-MONTH(AG124)</f>
        <v>22</v>
      </c>
      <c r="AJ124" s="199">
        <v>100802917</v>
      </c>
      <c r="AK124" s="200">
        <v>8394538</v>
      </c>
      <c r="AL124" s="199" t="s">
        <v>724</v>
      </c>
      <c r="AM124" s="205" t="s">
        <v>725</v>
      </c>
      <c r="AN124" s="199" t="s">
        <v>726</v>
      </c>
      <c r="AO124" s="219" t="s">
        <v>727</v>
      </c>
      <c r="AP124" s="907"/>
    </row>
    <row r="125" spans="1:42" s="22" customFormat="1" ht="17.25" customHeight="1">
      <c r="A125" s="34"/>
      <c r="C125" s="447" t="s">
        <v>238</v>
      </c>
      <c r="D125" s="448" t="s">
        <v>205</v>
      </c>
      <c r="E125" s="449" t="s">
        <v>728</v>
      </c>
      <c r="F125" s="450" t="s">
        <v>215</v>
      </c>
      <c r="G125" s="451"/>
      <c r="H125" s="874">
        <f>SUM(I125:AA125)</f>
        <v>3803725</v>
      </c>
      <c r="I125" s="452"/>
      <c r="J125" s="453"/>
      <c r="K125" s="453"/>
      <c r="L125" s="453"/>
      <c r="M125" s="453"/>
      <c r="N125" s="453"/>
      <c r="O125" s="453"/>
      <c r="P125" s="453"/>
      <c r="Q125" s="453"/>
      <c r="R125" s="453"/>
      <c r="S125" s="453"/>
      <c r="T125" s="209"/>
      <c r="U125" s="594"/>
      <c r="V125" s="454">
        <v>1694225</v>
      </c>
      <c r="W125" s="616">
        <v>1625000</v>
      </c>
      <c r="X125" s="616"/>
      <c r="Y125" s="454">
        <v>455000</v>
      </c>
      <c r="Z125" s="209"/>
      <c r="AA125" s="983">
        <v>29500</v>
      </c>
      <c r="AB125" s="454"/>
      <c r="AC125" s="454"/>
      <c r="AD125" s="454"/>
      <c r="AE125" s="454"/>
      <c r="AF125" s="455">
        <v>43323</v>
      </c>
      <c r="AG125" s="455">
        <v>43480</v>
      </c>
      <c r="AH125" s="456">
        <v>45349</v>
      </c>
      <c r="AI125" s="457">
        <f>(YEAR(AH125)-YEAR(AG125))*12+MONTH(AH125)-MONTH(AG125)</f>
        <v>61</v>
      </c>
      <c r="AJ125" s="450">
        <v>100338068</v>
      </c>
      <c r="AK125" s="208">
        <v>66655176</v>
      </c>
      <c r="AL125" s="450" t="s">
        <v>729</v>
      </c>
      <c r="AM125" s="458" t="s">
        <v>730</v>
      </c>
      <c r="AN125" s="453" t="s">
        <v>731</v>
      </c>
      <c r="AO125" s="459" t="s">
        <v>732</v>
      </c>
      <c r="AP125" s="459"/>
    </row>
    <row r="126" spans="1:42" s="22" customFormat="1" ht="17.25" customHeight="1">
      <c r="A126" s="34"/>
      <c r="C126" s="197"/>
      <c r="D126" s="212" t="s">
        <v>115</v>
      </c>
      <c r="E126" s="198" t="s">
        <v>733</v>
      </c>
      <c r="F126" s="199" t="s">
        <v>215</v>
      </c>
      <c r="G126" s="429" t="s">
        <v>734</v>
      </c>
      <c r="H126" s="292">
        <f t="shared" si="3"/>
        <v>0</v>
      </c>
      <c r="I126" s="283"/>
      <c r="J126" s="206"/>
      <c r="K126" s="206"/>
      <c r="L126" s="206"/>
      <c r="M126" s="206"/>
      <c r="N126" s="206"/>
      <c r="O126" s="206"/>
      <c r="P126" s="206"/>
      <c r="Q126" s="206"/>
      <c r="R126" s="206"/>
      <c r="S126" s="206"/>
      <c r="T126" s="201"/>
      <c r="U126" s="338"/>
      <c r="V126" s="341"/>
      <c r="W126" s="510"/>
      <c r="X126" s="510"/>
      <c r="Y126" s="341"/>
      <c r="Z126" s="201"/>
      <c r="AA126" s="983">
        <v>51000</v>
      </c>
      <c r="AB126" s="201"/>
      <c r="AC126" s="341" t="s">
        <v>88</v>
      </c>
      <c r="AD126" s="341"/>
      <c r="AE126" s="341"/>
      <c r="AF126" s="203">
        <v>44193</v>
      </c>
      <c r="AG126" s="203">
        <v>45142</v>
      </c>
      <c r="AH126" s="204"/>
      <c r="AI126" s="299" t="s">
        <v>88</v>
      </c>
      <c r="AJ126" s="199">
        <v>101143470</v>
      </c>
      <c r="AK126" s="200">
        <v>63516405</v>
      </c>
      <c r="AL126" s="199" t="s">
        <v>735</v>
      </c>
      <c r="AM126" s="205" t="s">
        <v>736</v>
      </c>
      <c r="AN126" s="199" t="s">
        <v>737</v>
      </c>
      <c r="AO126" s="219" t="s">
        <v>738</v>
      </c>
      <c r="AP126" s="907"/>
    </row>
    <row r="127" spans="1:42" s="22" customFormat="1" ht="17.25" customHeight="1">
      <c r="A127" s="34"/>
      <c r="C127" s="447"/>
      <c r="D127" s="448" t="s">
        <v>115</v>
      </c>
      <c r="E127" s="449" t="s">
        <v>739</v>
      </c>
      <c r="F127" s="450" t="s">
        <v>215</v>
      </c>
      <c r="G127" s="451"/>
      <c r="H127" s="331"/>
      <c r="I127" s="452"/>
      <c r="J127" s="453"/>
      <c r="K127" s="453"/>
      <c r="L127" s="453"/>
      <c r="M127" s="453"/>
      <c r="N127" s="453"/>
      <c r="O127" s="453"/>
      <c r="P127" s="453"/>
      <c r="Q127" s="453"/>
      <c r="R127" s="453"/>
      <c r="S127" s="453"/>
      <c r="T127" s="209"/>
      <c r="U127" s="594"/>
      <c r="V127" s="454"/>
      <c r="W127" s="616"/>
      <c r="X127" s="616"/>
      <c r="Y127" s="454"/>
      <c r="Z127" s="209"/>
      <c r="AA127" s="983">
        <v>2500</v>
      </c>
      <c r="AB127" s="209"/>
      <c r="AC127" s="454"/>
      <c r="AD127" s="454"/>
      <c r="AE127" s="454"/>
      <c r="AF127" s="455">
        <v>45025</v>
      </c>
      <c r="AG127" s="455">
        <v>45393</v>
      </c>
      <c r="AH127" s="456"/>
      <c r="AI127" s="457"/>
      <c r="AJ127" s="450">
        <v>101337934</v>
      </c>
      <c r="AK127" s="208">
        <v>449780</v>
      </c>
      <c r="AL127" s="450" t="s">
        <v>740</v>
      </c>
      <c r="AM127" s="458" t="s">
        <v>741</v>
      </c>
      <c r="AN127" s="450"/>
      <c r="AO127" s="451" t="s">
        <v>742</v>
      </c>
      <c r="AP127" s="453"/>
    </row>
    <row r="128" spans="1:42" s="22" customFormat="1" ht="17.25" customHeight="1">
      <c r="A128" s="34"/>
      <c r="C128" s="197"/>
      <c r="D128" s="212" t="s">
        <v>205</v>
      </c>
      <c r="E128" s="198" t="s">
        <v>743</v>
      </c>
      <c r="F128" s="199" t="s">
        <v>215</v>
      </c>
      <c r="G128" s="429"/>
      <c r="H128" s="292">
        <f t="shared" si="3"/>
        <v>0</v>
      </c>
      <c r="I128" s="283"/>
      <c r="J128" s="206"/>
      <c r="K128" s="206"/>
      <c r="L128" s="206"/>
      <c r="M128" s="206"/>
      <c r="N128" s="206"/>
      <c r="O128" s="206"/>
      <c r="P128" s="206"/>
      <c r="Q128" s="206"/>
      <c r="R128" s="206"/>
      <c r="S128" s="206"/>
      <c r="T128" s="201"/>
      <c r="U128" s="338"/>
      <c r="V128" s="341"/>
      <c r="W128" s="510"/>
      <c r="X128" s="510"/>
      <c r="Y128" s="341"/>
      <c r="Z128" s="201"/>
      <c r="AA128" s="983"/>
      <c r="AB128" s="201"/>
      <c r="AC128" s="341"/>
      <c r="AD128" s="341"/>
      <c r="AE128" s="341"/>
      <c r="AF128" s="203"/>
      <c r="AG128" s="203">
        <v>45258</v>
      </c>
      <c r="AH128" s="204"/>
      <c r="AI128" s="299"/>
      <c r="AJ128" s="199">
        <v>101236356</v>
      </c>
      <c r="AK128" s="200">
        <v>20569760</v>
      </c>
      <c r="AL128" s="199" t="s">
        <v>744</v>
      </c>
      <c r="AM128" s="205">
        <v>5306627101</v>
      </c>
      <c r="AN128" s="199" t="s">
        <v>745</v>
      </c>
      <c r="AO128" s="219" t="s">
        <v>746</v>
      </c>
      <c r="AP128" s="907"/>
    </row>
    <row r="129" spans="1:42" s="22" customFormat="1" ht="17.25" customHeight="1">
      <c r="A129" s="34"/>
      <c r="C129" s="447" t="s">
        <v>238</v>
      </c>
      <c r="D129" s="448" t="s">
        <v>115</v>
      </c>
      <c r="E129" s="449" t="s">
        <v>747</v>
      </c>
      <c r="F129" s="450" t="s">
        <v>215</v>
      </c>
      <c r="G129" s="451" t="s">
        <v>748</v>
      </c>
      <c r="H129" s="437"/>
      <c r="I129" s="452"/>
      <c r="J129" s="453"/>
      <c r="K129" s="453"/>
      <c r="L129" s="453"/>
      <c r="M129" s="453"/>
      <c r="N129" s="453"/>
      <c r="O129" s="451"/>
      <c r="P129" s="453"/>
      <c r="Q129" s="451"/>
      <c r="R129" s="453"/>
      <c r="S129" s="453"/>
      <c r="T129" s="209"/>
      <c r="U129" s="594"/>
      <c r="V129" s="454"/>
      <c r="W129" s="616"/>
      <c r="X129" s="616"/>
      <c r="Y129" s="454"/>
      <c r="Z129" s="209"/>
      <c r="AA129" s="983">
        <f>687.44+610.77</f>
        <v>1298.21</v>
      </c>
      <c r="AB129" s="209"/>
      <c r="AC129" s="454"/>
      <c r="AD129" s="454"/>
      <c r="AE129" s="454"/>
      <c r="AF129" s="902">
        <v>45036</v>
      </c>
      <c r="AG129" s="621">
        <v>45322</v>
      </c>
      <c r="AH129" s="450"/>
      <c r="AI129" s="595"/>
      <c r="AJ129" s="450">
        <v>101310746</v>
      </c>
      <c r="AK129" s="208">
        <v>16770497</v>
      </c>
      <c r="AL129" s="450" t="s">
        <v>749</v>
      </c>
      <c r="AM129" s="458" t="s">
        <v>750</v>
      </c>
      <c r="AN129" s="811"/>
      <c r="AO129" s="451" t="s">
        <v>751</v>
      </c>
      <c r="AP129" s="633" t="s">
        <v>752</v>
      </c>
    </row>
    <row r="130" spans="1:42" s="22" customFormat="1" ht="17.25" customHeight="1">
      <c r="A130" s="34"/>
      <c r="C130" s="197"/>
      <c r="D130" s="212" t="s">
        <v>115</v>
      </c>
      <c r="E130" s="198" t="s">
        <v>747</v>
      </c>
      <c r="F130" s="199" t="s">
        <v>215</v>
      </c>
      <c r="G130" s="219" t="s">
        <v>753</v>
      </c>
      <c r="H130" s="292"/>
      <c r="I130" s="283"/>
      <c r="J130" s="206"/>
      <c r="K130" s="206"/>
      <c r="L130" s="206"/>
      <c r="M130" s="206"/>
      <c r="N130" s="206"/>
      <c r="O130" s="219"/>
      <c r="P130" s="206"/>
      <c r="Q130" s="219"/>
      <c r="R130" s="206"/>
      <c r="S130" s="206"/>
      <c r="T130" s="201"/>
      <c r="U130" s="338"/>
      <c r="V130" s="341"/>
      <c r="W130" s="510"/>
      <c r="X130" s="510"/>
      <c r="Y130" s="341"/>
      <c r="Z130" s="201"/>
      <c r="AA130" s="983"/>
      <c r="AB130" s="201"/>
      <c r="AC130" s="341"/>
      <c r="AD130" s="341"/>
      <c r="AE130" s="341"/>
      <c r="AF130" s="904">
        <v>45036</v>
      </c>
      <c r="AG130" s="344">
        <v>44957</v>
      </c>
      <c r="AH130" s="199"/>
      <c r="AI130" s="509"/>
      <c r="AJ130" s="199">
        <v>101310746</v>
      </c>
      <c r="AK130" s="200">
        <v>16770497</v>
      </c>
      <c r="AL130" s="199" t="s">
        <v>754</v>
      </c>
      <c r="AM130" s="205" t="s">
        <v>755</v>
      </c>
      <c r="AN130" s="199" t="s">
        <v>756</v>
      </c>
      <c r="AO130" s="219" t="s">
        <v>757</v>
      </c>
      <c r="AP130" s="907" t="s">
        <v>758</v>
      </c>
    </row>
    <row r="131" spans="1:42" s="22" customFormat="1" ht="17.25" customHeight="1">
      <c r="A131" s="34" t="s">
        <v>88</v>
      </c>
      <c r="C131" s="447"/>
      <c r="D131" s="448" t="s">
        <v>205</v>
      </c>
      <c r="E131" s="449" t="s">
        <v>759</v>
      </c>
      <c r="F131" s="450" t="s">
        <v>215</v>
      </c>
      <c r="G131" s="451" t="s">
        <v>760</v>
      </c>
      <c r="H131" s="437">
        <f>SUM(I131:Z131)</f>
        <v>0</v>
      </c>
      <c r="I131" s="452"/>
      <c r="J131" s="453"/>
      <c r="K131" s="453"/>
      <c r="L131" s="453"/>
      <c r="M131" s="453"/>
      <c r="N131" s="453"/>
      <c r="O131" s="453"/>
      <c r="P131" s="453"/>
      <c r="Q131" s="453"/>
      <c r="R131" s="453"/>
      <c r="S131" s="453"/>
      <c r="T131" s="209"/>
      <c r="U131" s="594"/>
      <c r="V131" s="454"/>
      <c r="W131" s="616"/>
      <c r="X131" s="616"/>
      <c r="Y131" s="454"/>
      <c r="Z131" s="209"/>
      <c r="AA131" s="989"/>
      <c r="AB131" s="209"/>
      <c r="AC131" s="454">
        <v>1189.75</v>
      </c>
      <c r="AD131" s="454"/>
      <c r="AE131" s="454"/>
      <c r="AF131" s="455"/>
      <c r="AG131" s="455">
        <v>45054</v>
      </c>
      <c r="AH131" s="456"/>
      <c r="AI131" s="457"/>
      <c r="AJ131" s="450">
        <v>101112602</v>
      </c>
      <c r="AK131" s="208">
        <v>101112599</v>
      </c>
      <c r="AL131" s="450" t="s">
        <v>761</v>
      </c>
      <c r="AM131" s="458">
        <v>6263563900</v>
      </c>
      <c r="AN131" s="450" t="s">
        <v>762</v>
      </c>
      <c r="AO131" s="451" t="s">
        <v>763</v>
      </c>
      <c r="AP131" s="453"/>
    </row>
    <row r="132" spans="1:42" s="22" customFormat="1" ht="17.25" customHeight="1">
      <c r="A132" s="34"/>
      <c r="C132" s="197" t="s">
        <v>238</v>
      </c>
      <c r="D132" s="212" t="s">
        <v>115</v>
      </c>
      <c r="E132" s="198" t="s">
        <v>764</v>
      </c>
      <c r="F132" s="199" t="s">
        <v>215</v>
      </c>
      <c r="G132" s="219" t="s">
        <v>765</v>
      </c>
      <c r="H132" s="292"/>
      <c r="I132" s="283"/>
      <c r="J132" s="206"/>
      <c r="K132" s="206"/>
      <c r="L132" s="206"/>
      <c r="M132" s="206"/>
      <c r="N132" s="206"/>
      <c r="O132" s="206"/>
      <c r="P132" s="206"/>
      <c r="Q132" s="206"/>
      <c r="R132" s="206"/>
      <c r="S132" s="206"/>
      <c r="T132" s="201"/>
      <c r="U132" s="338"/>
      <c r="V132" s="341"/>
      <c r="W132" s="510"/>
      <c r="X132" s="510"/>
      <c r="Y132" s="341"/>
      <c r="Z132" s="949"/>
      <c r="AA132" s="983">
        <v>15</v>
      </c>
      <c r="AB132" s="201"/>
      <c r="AC132" s="341"/>
      <c r="AD132" s="341"/>
      <c r="AE132" s="341"/>
      <c r="AF132" s="203">
        <v>44128</v>
      </c>
      <c r="AG132" s="203">
        <v>45363</v>
      </c>
      <c r="AH132" s="204">
        <v>45363</v>
      </c>
      <c r="AI132" s="299">
        <v>0</v>
      </c>
      <c r="AJ132" s="199">
        <v>33951</v>
      </c>
      <c r="AK132" s="200">
        <v>33951</v>
      </c>
      <c r="AL132" s="199" t="s">
        <v>766</v>
      </c>
      <c r="AM132" s="205">
        <v>8608121740</v>
      </c>
      <c r="AN132" s="834" t="s">
        <v>767</v>
      </c>
      <c r="AO132" s="219" t="s">
        <v>768</v>
      </c>
      <c r="AP132" s="821" t="s">
        <v>769</v>
      </c>
    </row>
    <row r="133" spans="1:42" s="22" customFormat="1" ht="17.25" customHeight="1">
      <c r="A133" s="34"/>
      <c r="C133" s="699" t="s">
        <v>770</v>
      </c>
      <c r="D133" s="469"/>
      <c r="E133" s="469"/>
      <c r="F133" s="32"/>
      <c r="G133" s="470"/>
      <c r="H133" s="470"/>
      <c r="I133" s="471"/>
      <c r="J133" s="470"/>
      <c r="K133" s="470"/>
      <c r="L133" s="470"/>
      <c r="M133" s="470"/>
      <c r="N133" s="470"/>
      <c r="O133" s="470"/>
      <c r="P133" s="470"/>
      <c r="Q133" s="470"/>
      <c r="R133" s="470"/>
      <c r="S133" s="470"/>
      <c r="T133" s="472"/>
      <c r="U133" s="472"/>
      <c r="V133" s="472"/>
      <c r="W133" s="472"/>
      <c r="X133" s="472"/>
      <c r="Y133" s="472"/>
      <c r="Z133" s="472"/>
      <c r="AA133" s="472"/>
      <c r="AB133" s="472"/>
      <c r="AC133" s="472"/>
      <c r="AD133" s="472"/>
      <c r="AE133" s="472"/>
      <c r="AF133" s="32"/>
      <c r="AG133" s="32"/>
      <c r="AH133" s="32"/>
      <c r="AI133" s="473"/>
      <c r="AJ133" s="32"/>
      <c r="AK133" s="32"/>
      <c r="AL133" s="32"/>
      <c r="AM133" s="474"/>
      <c r="AN133" s="470"/>
      <c r="AO133" s="470" t="s">
        <v>213</v>
      </c>
      <c r="AP133" s="470"/>
    </row>
    <row r="134" spans="1:42" s="22" customFormat="1" ht="17.25" customHeight="1">
      <c r="A134" s="34"/>
      <c r="C134" s="197" t="s">
        <v>238</v>
      </c>
      <c r="D134" s="212" t="s">
        <v>115</v>
      </c>
      <c r="E134" s="240" t="s">
        <v>771</v>
      </c>
      <c r="F134" s="241" t="s">
        <v>215</v>
      </c>
      <c r="G134" s="242"/>
      <c r="H134" s="812">
        <f>SUM(I134:Z134)</f>
        <v>1000</v>
      </c>
      <c r="I134" s="284"/>
      <c r="J134" s="249"/>
      <c r="K134" s="249"/>
      <c r="L134" s="249"/>
      <c r="M134" s="249"/>
      <c r="N134" s="249"/>
      <c r="O134" s="249"/>
      <c r="P134" s="249"/>
      <c r="Q134" s="249"/>
      <c r="R134" s="249"/>
      <c r="S134" s="249"/>
      <c r="T134" s="243"/>
      <c r="U134" s="244"/>
      <c r="V134" s="342"/>
      <c r="W134" s="706"/>
      <c r="X134" s="706"/>
      <c r="Y134" s="342">
        <v>1000</v>
      </c>
      <c r="Z134" s="243"/>
      <c r="AA134" s="986"/>
      <c r="AB134" s="243"/>
      <c r="AC134" s="342"/>
      <c r="AD134" s="342"/>
      <c r="AE134" s="342"/>
      <c r="AF134" s="245">
        <v>44154</v>
      </c>
      <c r="AG134" s="245">
        <v>44473</v>
      </c>
      <c r="AH134" s="246">
        <v>44473</v>
      </c>
      <c r="AI134" s="300">
        <v>1</v>
      </c>
      <c r="AJ134" s="241">
        <v>100751478</v>
      </c>
      <c r="AK134" s="247">
        <v>100751477</v>
      </c>
      <c r="AL134" s="241" t="s">
        <v>772</v>
      </c>
      <c r="AM134" s="901" t="s">
        <v>88</v>
      </c>
      <c r="AN134" s="1016"/>
      <c r="AO134" s="242" t="s">
        <v>773</v>
      </c>
      <c r="AP134" s="249"/>
    </row>
    <row r="135" spans="1:42" s="22" customFormat="1" ht="17.25" customHeight="1">
      <c r="A135" s="34"/>
      <c r="C135" s="3" t="s">
        <v>238</v>
      </c>
      <c r="D135" s="483" t="s">
        <v>115</v>
      </c>
      <c r="E135" s="475" t="s">
        <v>774</v>
      </c>
      <c r="F135" s="476" t="s">
        <v>215</v>
      </c>
      <c r="G135" s="477" t="s">
        <v>775</v>
      </c>
      <c r="H135" s="331">
        <f t="shared" si="3"/>
        <v>14247.42</v>
      </c>
      <c r="I135" s="479"/>
      <c r="J135" s="142"/>
      <c r="K135" s="142"/>
      <c r="L135" s="142"/>
      <c r="M135" s="142"/>
      <c r="N135" s="142"/>
      <c r="O135" s="142"/>
      <c r="P135" s="142"/>
      <c r="Q135" s="142"/>
      <c r="R135" s="142"/>
      <c r="S135" s="142"/>
      <c r="T135" s="542"/>
      <c r="U135" s="543"/>
      <c r="V135" s="544"/>
      <c r="W135" s="701"/>
      <c r="X135" s="701">
        <v>14247.42</v>
      </c>
      <c r="Y135" s="544"/>
      <c r="Z135" s="542"/>
      <c r="AA135" s="986"/>
      <c r="AB135" s="542"/>
      <c r="AC135" s="544"/>
      <c r="AD135" s="544"/>
      <c r="AE135" s="544"/>
      <c r="AF135" s="480">
        <v>43753</v>
      </c>
      <c r="AG135" s="480">
        <v>43773</v>
      </c>
      <c r="AH135" s="476"/>
      <c r="AI135" s="4"/>
      <c r="AJ135" s="476">
        <v>100319090</v>
      </c>
      <c r="AK135" s="481">
        <v>91676684</v>
      </c>
      <c r="AL135" s="476" t="s">
        <v>776</v>
      </c>
      <c r="AM135" s="484" t="s">
        <v>777</v>
      </c>
      <c r="AN135" s="1017" t="s">
        <v>778</v>
      </c>
      <c r="AO135" s="477" t="s">
        <v>779</v>
      </c>
      <c r="AP135" s="1018" t="s">
        <v>780</v>
      </c>
    </row>
    <row r="136" spans="1:42" s="22" customFormat="1" ht="17.25" customHeight="1">
      <c r="A136" s="34"/>
      <c r="C136" s="238" t="s">
        <v>238</v>
      </c>
      <c r="D136" s="239" t="s">
        <v>115</v>
      </c>
      <c r="E136" s="240" t="s">
        <v>781</v>
      </c>
      <c r="F136" s="241" t="s">
        <v>215</v>
      </c>
      <c r="G136" s="242" t="s">
        <v>782</v>
      </c>
      <c r="H136" s="292">
        <f t="shared" si="3"/>
        <v>528660.70000000007</v>
      </c>
      <c r="I136" s="284"/>
      <c r="J136" s="249"/>
      <c r="K136" s="249"/>
      <c r="L136" s="249"/>
      <c r="M136" s="249"/>
      <c r="N136" s="249"/>
      <c r="O136" s="249"/>
      <c r="P136" s="249"/>
      <c r="Q136" s="249"/>
      <c r="R136" s="249"/>
      <c r="S136" s="249"/>
      <c r="T136" s="243"/>
      <c r="U136" s="244"/>
      <c r="V136" s="342"/>
      <c r="W136" s="706"/>
      <c r="X136" s="706"/>
      <c r="Y136" s="342">
        <v>69406.33</v>
      </c>
      <c r="Z136" s="243">
        <f>396496.82+62489.72+267.83</f>
        <v>459254.37000000005</v>
      </c>
      <c r="AA136" s="986"/>
      <c r="AB136" s="243"/>
      <c r="AC136" s="342"/>
      <c r="AD136" s="342"/>
      <c r="AE136" s="342"/>
      <c r="AF136" s="245">
        <v>44259</v>
      </c>
      <c r="AG136" s="245">
        <v>44378</v>
      </c>
      <c r="AH136" s="246">
        <v>44555</v>
      </c>
      <c r="AI136" s="300">
        <f>(YEAR(AH136)-YEAR(AG136))*12+MONTH(AH136)-MONTH(AG136)</f>
        <v>5</v>
      </c>
      <c r="AJ136" s="241">
        <v>100660468</v>
      </c>
      <c r="AK136" s="247">
        <v>9895749</v>
      </c>
      <c r="AL136" s="241" t="s">
        <v>783</v>
      </c>
      <c r="AM136" s="248" t="s">
        <v>784</v>
      </c>
      <c r="AN136" s="906" t="s">
        <v>785</v>
      </c>
      <c r="AO136" s="242" t="s">
        <v>786</v>
      </c>
      <c r="AP136" s="847"/>
    </row>
    <row r="137" spans="1:42" s="22" customFormat="1" ht="17.25" customHeight="1">
      <c r="A137" s="34"/>
      <c r="C137" s="3" t="s">
        <v>238</v>
      </c>
      <c r="D137" s="483" t="s">
        <v>115</v>
      </c>
      <c r="E137" s="475" t="s">
        <v>787</v>
      </c>
      <c r="F137" s="476" t="s">
        <v>91</v>
      </c>
      <c r="G137" s="477"/>
      <c r="H137" s="331">
        <f t="shared" si="3"/>
        <v>55657.81</v>
      </c>
      <c r="I137" s="479"/>
      <c r="J137" s="142"/>
      <c r="K137" s="142"/>
      <c r="L137" s="142"/>
      <c r="M137" s="142"/>
      <c r="N137" s="142"/>
      <c r="O137" s="142"/>
      <c r="P137" s="142"/>
      <c r="Q137" s="142"/>
      <c r="R137" s="142"/>
      <c r="S137" s="142"/>
      <c r="T137" s="542"/>
      <c r="U137" s="543"/>
      <c r="V137" s="544"/>
      <c r="W137" s="701"/>
      <c r="X137" s="701"/>
      <c r="Y137" s="544"/>
      <c r="Z137" s="13">
        <v>55657.81</v>
      </c>
      <c r="AA137" s="987"/>
      <c r="AB137" s="542"/>
      <c r="AC137" s="544"/>
      <c r="AD137" s="544"/>
      <c r="AE137" s="544"/>
      <c r="AF137" s="480">
        <v>43726</v>
      </c>
      <c r="AG137" s="480">
        <v>44364</v>
      </c>
      <c r="AH137" s="132">
        <v>44909</v>
      </c>
      <c r="AI137" s="4">
        <v>18</v>
      </c>
      <c r="AJ137" s="476">
        <v>100653179</v>
      </c>
      <c r="AK137" s="481">
        <v>40719320</v>
      </c>
      <c r="AL137" s="476" t="s">
        <v>788</v>
      </c>
      <c r="AM137" s="484" t="s">
        <v>789</v>
      </c>
      <c r="AN137" s="277" t="s">
        <v>790</v>
      </c>
      <c r="AO137" s="477" t="s">
        <v>791</v>
      </c>
      <c r="AP137" s="1018"/>
    </row>
    <row r="138" spans="1:42" ht="17.25" customHeight="1">
      <c r="C138" s="238" t="s">
        <v>238</v>
      </c>
      <c r="D138" s="239" t="s">
        <v>115</v>
      </c>
      <c r="E138" s="240" t="s">
        <v>792</v>
      </c>
      <c r="F138" s="241" t="s">
        <v>215</v>
      </c>
      <c r="G138" s="242"/>
      <c r="H138" s="292">
        <f t="shared" si="3"/>
        <v>32023.559999999998</v>
      </c>
      <c r="I138" s="284"/>
      <c r="J138" s="249"/>
      <c r="K138" s="249"/>
      <c r="L138" s="249"/>
      <c r="M138" s="249"/>
      <c r="N138" s="249"/>
      <c r="O138" s="249"/>
      <c r="P138" s="249"/>
      <c r="Q138" s="249"/>
      <c r="R138" s="249"/>
      <c r="S138" s="249"/>
      <c r="T138" s="243"/>
      <c r="U138" s="244"/>
      <c r="V138" s="342"/>
      <c r="W138" s="706"/>
      <c r="X138" s="706"/>
      <c r="Y138" s="342"/>
      <c r="Z138" s="243">
        <f>14833.46+17190.1</f>
        <v>32023.559999999998</v>
      </c>
      <c r="AA138" s="986"/>
      <c r="AB138" s="243"/>
      <c r="AC138" s="342"/>
      <c r="AD138" s="342"/>
      <c r="AE138" s="342"/>
      <c r="AF138" s="245">
        <v>44553</v>
      </c>
      <c r="AG138" s="245">
        <v>44915</v>
      </c>
      <c r="AH138" s="246">
        <v>44970</v>
      </c>
      <c r="AI138" s="300">
        <v>14</v>
      </c>
      <c r="AJ138" s="241">
        <v>101086531</v>
      </c>
      <c r="AK138" s="247">
        <v>23964117</v>
      </c>
      <c r="AL138" s="241" t="s">
        <v>793</v>
      </c>
      <c r="AM138" s="248" t="s">
        <v>794</v>
      </c>
      <c r="AN138" s="906" t="s">
        <v>795</v>
      </c>
      <c r="AO138" s="242" t="s">
        <v>796</v>
      </c>
      <c r="AP138" s="847"/>
    </row>
    <row r="139" spans="1:42" s="22" customFormat="1" ht="17.25" customHeight="1">
      <c r="A139" s="34"/>
      <c r="C139" s="447" t="s">
        <v>238</v>
      </c>
      <c r="D139" s="448" t="s">
        <v>205</v>
      </c>
      <c r="E139" s="449" t="s">
        <v>797</v>
      </c>
      <c r="F139" s="450" t="s">
        <v>91</v>
      </c>
      <c r="G139" s="451" t="s">
        <v>798</v>
      </c>
      <c r="H139" s="331">
        <f t="shared" si="3"/>
        <v>5000</v>
      </c>
      <c r="I139" s="452"/>
      <c r="J139" s="453"/>
      <c r="K139" s="438"/>
      <c r="L139" s="438"/>
      <c r="M139" s="209"/>
      <c r="N139" s="438"/>
      <c r="O139" s="438"/>
      <c r="P139" s="822"/>
      <c r="Q139" s="438"/>
      <c r="R139" s="822"/>
      <c r="S139" s="438"/>
      <c r="T139" s="822"/>
      <c r="U139" s="822"/>
      <c r="V139" s="454"/>
      <c r="W139" s="616"/>
      <c r="X139" s="616"/>
      <c r="Y139" s="454"/>
      <c r="Z139" s="209">
        <v>5000</v>
      </c>
      <c r="AA139" s="983"/>
      <c r="AB139" s="209"/>
      <c r="AC139" s="454"/>
      <c r="AD139" s="454"/>
      <c r="AE139" s="454"/>
      <c r="AF139" s="455"/>
      <c r="AG139" s="455">
        <v>44760</v>
      </c>
      <c r="AH139" s="456">
        <v>44797</v>
      </c>
      <c r="AI139" s="443">
        <f>(YEAR(AH139)-YEAR(AG139))*12+MONTH(AH139)-MONTH(AG139)</f>
        <v>1</v>
      </c>
      <c r="AJ139" s="450" t="s">
        <v>799</v>
      </c>
      <c r="AK139" s="876">
        <v>100973187</v>
      </c>
      <c r="AL139" s="450" t="s">
        <v>800</v>
      </c>
      <c r="AM139" s="458"/>
      <c r="AN139" s="962" t="s">
        <v>801</v>
      </c>
      <c r="AO139" s="208"/>
      <c r="AP139" s="877" t="s">
        <v>802</v>
      </c>
    </row>
    <row r="140" spans="1:42" s="22" customFormat="1" ht="17.25" customHeight="1">
      <c r="A140" s="34"/>
      <c r="C140" s="197" t="s">
        <v>238</v>
      </c>
      <c r="D140" s="212" t="s">
        <v>115</v>
      </c>
      <c r="E140" s="198" t="s">
        <v>352</v>
      </c>
      <c r="F140" s="199" t="s">
        <v>215</v>
      </c>
      <c r="G140" s="801">
        <v>0.03</v>
      </c>
      <c r="H140" s="292">
        <f t="shared" si="3"/>
        <v>62143.85</v>
      </c>
      <c r="I140" s="283"/>
      <c r="J140" s="206"/>
      <c r="K140" s="243"/>
      <c r="L140" s="243"/>
      <c r="M140" s="201"/>
      <c r="N140" s="243"/>
      <c r="O140" s="243"/>
      <c r="P140" s="829"/>
      <c r="Q140" s="243"/>
      <c r="R140" s="829"/>
      <c r="S140" s="243"/>
      <c r="T140" s="829"/>
      <c r="U140" s="829"/>
      <c r="V140" s="341"/>
      <c r="W140" s="510"/>
      <c r="X140" s="510"/>
      <c r="Y140" s="341"/>
      <c r="Z140" s="201">
        <f>62024.17+119.68</f>
        <v>62143.85</v>
      </c>
      <c r="AA140" s="983"/>
      <c r="AB140" s="201"/>
      <c r="AC140" s="341"/>
      <c r="AD140" s="341"/>
      <c r="AE140" s="341"/>
      <c r="AF140" s="203">
        <v>44190</v>
      </c>
      <c r="AG140" s="203">
        <v>44216</v>
      </c>
      <c r="AH140" s="204">
        <v>44830</v>
      </c>
      <c r="AI140" s="300">
        <f>(YEAR(AH140)-YEAR(AG140))*12+MONTH(AH140)-MONTH(AG140)</f>
        <v>20</v>
      </c>
      <c r="AJ140" s="199">
        <v>100589366</v>
      </c>
      <c r="AK140" s="851">
        <v>7065741</v>
      </c>
      <c r="AL140" s="199" t="s">
        <v>354</v>
      </c>
      <c r="AM140" s="205" t="s">
        <v>355</v>
      </c>
      <c r="AN140" s="906" t="s">
        <v>356</v>
      </c>
      <c r="AO140" s="200" t="s">
        <v>357</v>
      </c>
      <c r="AP140" s="970"/>
    </row>
    <row r="141" spans="1:42" s="22" customFormat="1" ht="17.25" customHeight="1">
      <c r="A141" s="34"/>
      <c r="C141" s="433" t="s">
        <v>238</v>
      </c>
      <c r="D141" s="434" t="s">
        <v>115</v>
      </c>
      <c r="E141" s="435" t="s">
        <v>803</v>
      </c>
      <c r="F141" s="436" t="s">
        <v>215</v>
      </c>
      <c r="G141" s="827" t="s">
        <v>804</v>
      </c>
      <c r="H141" s="331">
        <f t="shared" si="3"/>
        <v>9199.42</v>
      </c>
      <c r="I141" s="980"/>
      <c r="J141" s="981"/>
      <c r="K141" s="981"/>
      <c r="L141" s="981"/>
      <c r="M141" s="981"/>
      <c r="N141" s="981"/>
      <c r="O141" s="981"/>
      <c r="P141" s="981"/>
      <c r="Q141" s="981"/>
      <c r="R141" s="981"/>
      <c r="S141" s="981"/>
      <c r="T141" s="438"/>
      <c r="U141" s="822"/>
      <c r="V141" s="440" t="s">
        <v>88</v>
      </c>
      <c r="W141" s="703">
        <f>6100+2812.78</f>
        <v>8912.7800000000007</v>
      </c>
      <c r="X141" s="703"/>
      <c r="Y141" s="440" t="s">
        <v>88</v>
      </c>
      <c r="Z141" s="438">
        <v>286.64</v>
      </c>
      <c r="AA141" s="987"/>
      <c r="AB141" s="438"/>
      <c r="AC141" s="440"/>
      <c r="AD141" s="440"/>
      <c r="AE141" s="440"/>
      <c r="AF141" s="441">
        <v>43371</v>
      </c>
      <c r="AG141" s="441">
        <v>43698</v>
      </c>
      <c r="AH141" s="442">
        <v>45089</v>
      </c>
      <c r="AI141" s="443">
        <f>(YEAR(AH141)-YEAR(AG141))*12+MONTH(AH141)-MONTH(AG141)</f>
        <v>46</v>
      </c>
      <c r="AJ141" s="436">
        <v>100246418</v>
      </c>
      <c r="AK141" s="444">
        <v>56384381</v>
      </c>
      <c r="AL141" s="436" t="s">
        <v>805</v>
      </c>
      <c r="AM141" s="445" t="s">
        <v>806</v>
      </c>
      <c r="AN141" s="967" t="s">
        <v>807</v>
      </c>
      <c r="AO141" s="460" t="s">
        <v>808</v>
      </c>
      <c r="AP141" s="854" t="s">
        <v>809</v>
      </c>
    </row>
    <row r="142" spans="1:42" s="22" customFormat="1" ht="17.25" customHeight="1">
      <c r="A142" s="34"/>
      <c r="C142" s="238" t="s">
        <v>238</v>
      </c>
      <c r="D142" s="239" t="s">
        <v>205</v>
      </c>
      <c r="E142" s="240" t="s">
        <v>810</v>
      </c>
      <c r="F142" s="241" t="s">
        <v>215</v>
      </c>
      <c r="G142" s="242"/>
      <c r="H142" s="292">
        <f t="shared" si="3"/>
        <v>17919.11</v>
      </c>
      <c r="I142" s="284"/>
      <c r="J142" s="249"/>
      <c r="K142" s="249"/>
      <c r="L142" s="249"/>
      <c r="M142" s="249"/>
      <c r="N142" s="249"/>
      <c r="O142" s="249"/>
      <c r="P142" s="249"/>
      <c r="Q142" s="249"/>
      <c r="R142" s="249"/>
      <c r="S142" s="249"/>
      <c r="T142" s="243"/>
      <c r="U142" s="829"/>
      <c r="V142" s="342"/>
      <c r="W142" s="706"/>
      <c r="X142" s="706"/>
      <c r="Y142" s="342"/>
      <c r="Z142" s="243">
        <v>17919.11</v>
      </c>
      <c r="AA142" s="987"/>
      <c r="AB142" s="243"/>
      <c r="AC142" s="342"/>
      <c r="AD142" s="342"/>
      <c r="AE142" s="342"/>
      <c r="AF142" s="245">
        <v>42494</v>
      </c>
      <c r="AG142" s="245">
        <v>44782</v>
      </c>
      <c r="AH142" s="246">
        <v>44782</v>
      </c>
      <c r="AI142" s="300">
        <v>1</v>
      </c>
      <c r="AJ142" s="241">
        <v>100968912</v>
      </c>
      <c r="AK142" s="247">
        <v>4046132</v>
      </c>
      <c r="AL142" s="241" t="s">
        <v>811</v>
      </c>
      <c r="AM142" s="248"/>
      <c r="AN142" s="968"/>
      <c r="AO142" s="242" t="s">
        <v>812</v>
      </c>
      <c r="AP142" s="847"/>
    </row>
    <row r="143" spans="1:42" s="22" customFormat="1" ht="17.25" customHeight="1">
      <c r="A143" s="34"/>
      <c r="C143" s="433" t="s">
        <v>238</v>
      </c>
      <c r="D143" s="434" t="s">
        <v>205</v>
      </c>
      <c r="E143" s="435" t="s">
        <v>813</v>
      </c>
      <c r="F143" s="436" t="s">
        <v>117</v>
      </c>
      <c r="G143" s="460" t="s">
        <v>814</v>
      </c>
      <c r="H143" s="331">
        <f t="shared" si="3"/>
        <v>502171.60000000003</v>
      </c>
      <c r="I143" s="462"/>
      <c r="J143" s="463"/>
      <c r="K143" s="463"/>
      <c r="L143" s="463"/>
      <c r="M143" s="463"/>
      <c r="N143" s="463"/>
      <c r="O143" s="463"/>
      <c r="P143" s="463"/>
      <c r="Q143" s="463"/>
      <c r="R143" s="463"/>
      <c r="S143" s="463"/>
      <c r="T143" s="438"/>
      <c r="U143" s="439"/>
      <c r="V143" s="440"/>
      <c r="W143" s="703"/>
      <c r="X143" s="703"/>
      <c r="Y143" s="440"/>
      <c r="Z143" s="209">
        <f>500000+2043.84+127.76</f>
        <v>502171.60000000003</v>
      </c>
      <c r="AA143" s="987"/>
      <c r="AB143" s="438"/>
      <c r="AC143" s="440"/>
      <c r="AD143" s="440"/>
      <c r="AE143" s="440"/>
      <c r="AF143" s="441">
        <v>44636</v>
      </c>
      <c r="AG143" s="441">
        <v>44790</v>
      </c>
      <c r="AH143" s="442">
        <v>44887</v>
      </c>
      <c r="AI143" s="443">
        <f>(YEAR(AH143)-YEAR(AG143))*12+MONTH(AH143)-MONTH(AG143)</f>
        <v>3</v>
      </c>
      <c r="AJ143" s="436">
        <v>101012209</v>
      </c>
      <c r="AK143" s="444">
        <v>62816574</v>
      </c>
      <c r="AL143" s="436" t="s">
        <v>815</v>
      </c>
      <c r="AM143" s="445" t="s">
        <v>816</v>
      </c>
      <c r="AN143" s="962" t="s">
        <v>817</v>
      </c>
      <c r="AO143" s="460" t="s">
        <v>818</v>
      </c>
      <c r="AP143" s="854"/>
    </row>
    <row r="144" spans="1:42" ht="17.25" customHeight="1">
      <c r="C144" s="238" t="s">
        <v>238</v>
      </c>
      <c r="D144" s="239" t="s">
        <v>115</v>
      </c>
      <c r="E144" s="240" t="s">
        <v>819</v>
      </c>
      <c r="F144" s="241" t="s">
        <v>215</v>
      </c>
      <c r="G144" s="242"/>
      <c r="H144" s="292">
        <f t="shared" si="3"/>
        <v>10472</v>
      </c>
      <c r="I144" s="284"/>
      <c r="J144" s="249"/>
      <c r="K144" s="249"/>
      <c r="L144" s="249"/>
      <c r="M144" s="249"/>
      <c r="N144" s="249"/>
      <c r="O144" s="249"/>
      <c r="P144" s="249"/>
      <c r="Q144" s="249"/>
      <c r="R144" s="249"/>
      <c r="S144" s="249"/>
      <c r="T144" s="243"/>
      <c r="U144" s="244"/>
      <c r="V144" s="342"/>
      <c r="W144" s="706"/>
      <c r="X144" s="706"/>
      <c r="Y144" s="198"/>
      <c r="Z144" s="243">
        <f>10000+472</f>
        <v>10472</v>
      </c>
      <c r="AA144" s="987">
        <v>472</v>
      </c>
      <c r="AB144" s="243"/>
      <c r="AC144" s="342"/>
      <c r="AD144" s="342"/>
      <c r="AE144" s="342"/>
      <c r="AF144" s="245">
        <v>44558</v>
      </c>
      <c r="AG144" s="245">
        <v>44664</v>
      </c>
      <c r="AH144" s="246">
        <v>45023</v>
      </c>
      <c r="AI144" s="300">
        <f>(YEAR(AH144)-YEAR(AG144))*12+MONTH(AH144)-MONTH(AG144)</f>
        <v>12</v>
      </c>
      <c r="AJ144" s="241">
        <v>100822142</v>
      </c>
      <c r="AK144" s="247">
        <v>100573295</v>
      </c>
      <c r="AL144" s="241" t="s">
        <v>820</v>
      </c>
      <c r="AM144" s="248" t="s">
        <v>821</v>
      </c>
      <c r="AN144" s="906"/>
      <c r="AO144" s="242" t="s">
        <v>822</v>
      </c>
      <c r="AP144" s="847"/>
    </row>
    <row r="145" spans="1:42" s="22" customFormat="1" ht="17.25" customHeight="1">
      <c r="A145" s="34"/>
      <c r="C145" s="433" t="s">
        <v>238</v>
      </c>
      <c r="D145" s="434" t="s">
        <v>115</v>
      </c>
      <c r="E145" s="435" t="s">
        <v>823</v>
      </c>
      <c r="F145" s="436" t="s">
        <v>215</v>
      </c>
      <c r="G145" s="460"/>
      <c r="H145" s="331">
        <f t="shared" si="3"/>
        <v>24000</v>
      </c>
      <c r="I145" s="462"/>
      <c r="J145" s="463"/>
      <c r="K145" s="463"/>
      <c r="L145" s="463"/>
      <c r="M145" s="463"/>
      <c r="N145" s="463"/>
      <c r="O145" s="463"/>
      <c r="P145" s="463"/>
      <c r="Q145" s="463"/>
      <c r="R145" s="463"/>
      <c r="S145" s="463"/>
      <c r="T145" s="438"/>
      <c r="U145" s="439"/>
      <c r="V145" s="440"/>
      <c r="W145" s="703"/>
      <c r="X145" s="703"/>
      <c r="Y145" s="454"/>
      <c r="Z145" s="438">
        <v>24000</v>
      </c>
      <c r="AA145" s="987"/>
      <c r="AB145" s="438"/>
      <c r="AC145" s="440"/>
      <c r="AD145" s="440"/>
      <c r="AE145" s="440"/>
      <c r="AF145" s="441"/>
      <c r="AG145" s="441">
        <v>44839</v>
      </c>
      <c r="AH145" s="442"/>
      <c r="AI145" s="443" t="s">
        <v>88</v>
      </c>
      <c r="AJ145" s="436"/>
      <c r="AK145" s="444"/>
      <c r="AL145" s="436" t="s">
        <v>824</v>
      </c>
      <c r="AM145" s="445" t="s">
        <v>825</v>
      </c>
      <c r="AN145" s="962"/>
      <c r="AO145" s="460"/>
      <c r="AP145" s="854"/>
    </row>
    <row r="146" spans="1:42" s="22" customFormat="1" ht="17.25" customHeight="1">
      <c r="A146" s="34"/>
      <c r="C146" s="238" t="s">
        <v>238</v>
      </c>
      <c r="D146" s="239" t="s">
        <v>115</v>
      </c>
      <c r="E146" s="240" t="s">
        <v>826</v>
      </c>
      <c r="F146" s="241" t="s">
        <v>117</v>
      </c>
      <c r="G146" s="242"/>
      <c r="H146" s="292">
        <f t="shared" si="3"/>
        <v>2000</v>
      </c>
      <c r="I146" s="284"/>
      <c r="J146" s="249"/>
      <c r="K146" s="249"/>
      <c r="L146" s="249"/>
      <c r="M146" s="249"/>
      <c r="N146" s="249"/>
      <c r="O146" s="249"/>
      <c r="P146" s="249"/>
      <c r="Q146" s="249"/>
      <c r="R146" s="249"/>
      <c r="S146" s="249"/>
      <c r="T146" s="243"/>
      <c r="U146" s="829"/>
      <c r="V146" s="342"/>
      <c r="W146" s="706"/>
      <c r="X146" s="706"/>
      <c r="Y146" s="342"/>
      <c r="Z146" s="243">
        <v>2000</v>
      </c>
      <c r="AA146" s="987"/>
      <c r="AB146" s="243"/>
      <c r="AC146" s="342"/>
      <c r="AD146" s="342"/>
      <c r="AE146" s="342"/>
      <c r="AF146" s="245">
        <v>44642</v>
      </c>
      <c r="AG146" s="245">
        <v>44950</v>
      </c>
      <c r="AH146" s="246">
        <v>44950</v>
      </c>
      <c r="AI146" s="300">
        <v>0</v>
      </c>
      <c r="AJ146" s="241">
        <v>101078973</v>
      </c>
      <c r="AK146" s="247">
        <v>27199777</v>
      </c>
      <c r="AL146" s="241" t="s">
        <v>827</v>
      </c>
      <c r="AM146" s="248" t="s">
        <v>828</v>
      </c>
      <c r="AN146" s="906"/>
      <c r="AO146" s="242" t="s">
        <v>829</v>
      </c>
      <c r="AP146" s="969"/>
    </row>
    <row r="147" spans="1:42" s="22" customFormat="1" ht="16.5" customHeight="1">
      <c r="A147" s="34"/>
      <c r="C147" s="433" t="s">
        <v>238</v>
      </c>
      <c r="D147" s="434" t="s">
        <v>115</v>
      </c>
      <c r="E147" s="435" t="s">
        <v>830</v>
      </c>
      <c r="F147" s="436" t="s">
        <v>215</v>
      </c>
      <c r="G147" s="460"/>
      <c r="H147" s="331">
        <f t="shared" si="3"/>
        <v>74419.37</v>
      </c>
      <c r="I147" s="462"/>
      <c r="J147" s="463"/>
      <c r="K147" s="463"/>
      <c r="L147" s="463"/>
      <c r="M147" s="463"/>
      <c r="N147" s="463"/>
      <c r="O147" s="463"/>
      <c r="P147" s="463"/>
      <c r="Q147" s="463"/>
      <c r="R147" s="463"/>
      <c r="S147" s="463"/>
      <c r="T147" s="438"/>
      <c r="U147" s="822"/>
      <c r="V147" s="440"/>
      <c r="W147" s="703"/>
      <c r="X147" s="703"/>
      <c r="Y147" s="440"/>
      <c r="Z147" s="438">
        <v>74419.37</v>
      </c>
      <c r="AA147" s="987"/>
      <c r="AB147" s="438"/>
      <c r="AC147" s="440"/>
      <c r="AD147" s="440"/>
      <c r="AE147" s="440"/>
      <c r="AF147" s="441"/>
      <c r="AG147" s="441">
        <v>44747</v>
      </c>
      <c r="AH147" s="442">
        <v>44887</v>
      </c>
      <c r="AI147" s="443">
        <f>(YEAR(AH147)-YEAR(AG147))*12+MONTH(AH147)-MONTH(AG147)</f>
        <v>4</v>
      </c>
      <c r="AJ147" s="436">
        <v>100984404</v>
      </c>
      <c r="AK147" s="444">
        <v>335133</v>
      </c>
      <c r="AL147" s="436" t="s">
        <v>831</v>
      </c>
      <c r="AM147" s="445" t="s">
        <v>832</v>
      </c>
      <c r="AN147" s="962" t="s">
        <v>833</v>
      </c>
      <c r="AO147" s="460" t="s">
        <v>834</v>
      </c>
      <c r="AP147" s="925"/>
    </row>
    <row r="148" spans="1:42" s="22" customFormat="1" ht="16.5" customHeight="1">
      <c r="A148" s="34"/>
      <c r="C148" s="197" t="s">
        <v>238</v>
      </c>
      <c r="D148" s="212" t="s">
        <v>205</v>
      </c>
      <c r="E148" s="198" t="s">
        <v>835</v>
      </c>
      <c r="F148" s="199" t="s">
        <v>215</v>
      </c>
      <c r="G148" s="801">
        <v>0.1</v>
      </c>
      <c r="H148" s="292">
        <f t="shared" si="3"/>
        <v>34550.82</v>
      </c>
      <c r="I148" s="813"/>
      <c r="J148" s="814"/>
      <c r="K148" s="814"/>
      <c r="L148" s="814"/>
      <c r="M148" s="814"/>
      <c r="N148" s="814"/>
      <c r="O148" s="814"/>
      <c r="P148" s="814"/>
      <c r="Q148" s="814"/>
      <c r="R148" s="814"/>
      <c r="S148" s="814"/>
      <c r="T148" s="201"/>
      <c r="U148" s="338"/>
      <c r="V148" s="341"/>
      <c r="W148" s="510"/>
      <c r="X148" s="510">
        <v>34263.129999999997</v>
      </c>
      <c r="Y148" s="201"/>
      <c r="Z148" s="201">
        <v>287.69</v>
      </c>
      <c r="AA148" s="983"/>
      <c r="AB148" s="201"/>
      <c r="AC148" s="341"/>
      <c r="AD148" s="341"/>
      <c r="AE148" s="341"/>
      <c r="AF148" s="203">
        <v>43756</v>
      </c>
      <c r="AG148" s="203">
        <v>43782</v>
      </c>
      <c r="AH148" s="204">
        <v>44952</v>
      </c>
      <c r="AI148" s="299">
        <f>(YEAR(AH148)-YEAR(AG148))*12+MONTH(AH148)-MONTH(AG148)</f>
        <v>38</v>
      </c>
      <c r="AJ148" s="199">
        <v>100321169</v>
      </c>
      <c r="AK148" s="200">
        <v>79756599</v>
      </c>
      <c r="AL148" s="199" t="s">
        <v>836</v>
      </c>
      <c r="AM148" s="205">
        <v>6266837234</v>
      </c>
      <c r="AN148" s="906" t="s">
        <v>837</v>
      </c>
      <c r="AO148" s="219" t="s">
        <v>838</v>
      </c>
      <c r="AP148" s="919" t="s">
        <v>839</v>
      </c>
    </row>
    <row r="149" spans="1:42" s="22" customFormat="1" ht="16.5" customHeight="1">
      <c r="A149" s="34"/>
      <c r="C149" s="447" t="s">
        <v>238</v>
      </c>
      <c r="D149" s="448" t="s">
        <v>115</v>
      </c>
      <c r="E149" s="449" t="s">
        <v>840</v>
      </c>
      <c r="F149" s="450" t="s">
        <v>215</v>
      </c>
      <c r="G149" s="451"/>
      <c r="H149" s="331">
        <f t="shared" si="3"/>
        <v>20000</v>
      </c>
      <c r="I149" s="452"/>
      <c r="J149" s="453"/>
      <c r="K149" s="453"/>
      <c r="L149" s="453"/>
      <c r="M149" s="453"/>
      <c r="N149" s="453"/>
      <c r="O149" s="453"/>
      <c r="P149" s="453"/>
      <c r="Q149" s="453"/>
      <c r="R149" s="453"/>
      <c r="S149" s="453"/>
      <c r="T149" s="209"/>
      <c r="U149" s="594"/>
      <c r="V149" s="454"/>
      <c r="W149" s="616"/>
      <c r="X149" s="616"/>
      <c r="Y149" s="454"/>
      <c r="Z149" s="209">
        <v>20000</v>
      </c>
      <c r="AA149" s="983"/>
      <c r="AB149" s="209"/>
      <c r="AC149" s="454"/>
      <c r="AD149" s="454"/>
      <c r="AE149" s="454"/>
      <c r="AF149" s="455">
        <v>44000</v>
      </c>
      <c r="AG149" s="455">
        <v>44685</v>
      </c>
      <c r="AH149" s="456"/>
      <c r="AI149" s="595" t="s">
        <v>88</v>
      </c>
      <c r="AJ149" s="450">
        <v>100967932</v>
      </c>
      <c r="AK149" s="208">
        <v>92472778</v>
      </c>
      <c r="AL149" s="450" t="s">
        <v>841</v>
      </c>
      <c r="AM149" s="458" t="s">
        <v>842</v>
      </c>
      <c r="AN149" s="962" t="s">
        <v>843</v>
      </c>
      <c r="AO149" s="451" t="s">
        <v>844</v>
      </c>
      <c r="AP149" s="816"/>
    </row>
    <row r="150" spans="1:42" s="22" customFormat="1" ht="16.5" customHeight="1">
      <c r="A150" s="34"/>
      <c r="C150" s="197" t="s">
        <v>238</v>
      </c>
      <c r="D150" s="212" t="s">
        <v>115</v>
      </c>
      <c r="E150" s="198" t="s">
        <v>845</v>
      </c>
      <c r="F150" s="199" t="s">
        <v>117</v>
      </c>
      <c r="G150" s="219" t="s">
        <v>846</v>
      </c>
      <c r="H150" s="292">
        <f t="shared" si="3"/>
        <v>5000</v>
      </c>
      <c r="I150" s="283"/>
      <c r="J150" s="206"/>
      <c r="K150" s="206"/>
      <c r="L150" s="206"/>
      <c r="M150" s="206"/>
      <c r="N150" s="206"/>
      <c r="O150" s="206"/>
      <c r="P150" s="206"/>
      <c r="Q150" s="206"/>
      <c r="R150" s="206"/>
      <c r="S150" s="206"/>
      <c r="T150" s="201"/>
      <c r="U150" s="338"/>
      <c r="V150" s="341"/>
      <c r="W150" s="510"/>
      <c r="X150" s="510"/>
      <c r="Y150" s="341"/>
      <c r="Z150" s="201">
        <v>5000</v>
      </c>
      <c r="AA150" s="983"/>
      <c r="AB150" s="201"/>
      <c r="AC150" s="341"/>
      <c r="AD150" s="341"/>
      <c r="AE150" s="341"/>
      <c r="AF150" s="203"/>
      <c r="AG150" s="203">
        <v>45050</v>
      </c>
      <c r="AH150" s="204">
        <v>45063</v>
      </c>
      <c r="AI150" s="509"/>
      <c r="AJ150" s="199">
        <v>101108352</v>
      </c>
      <c r="AK150" s="200">
        <v>101112594</v>
      </c>
      <c r="AL150" s="199" t="s">
        <v>847</v>
      </c>
      <c r="AM150" s="205">
        <v>3608822250</v>
      </c>
      <c r="AN150" s="906"/>
      <c r="AO150" s="219" t="s">
        <v>848</v>
      </c>
      <c r="AP150" s="821" t="s">
        <v>849</v>
      </c>
    </row>
    <row r="151" spans="1:42" s="22" customFormat="1" ht="16.5" customHeight="1">
      <c r="A151" s="34"/>
      <c r="C151" s="447" t="s">
        <v>238</v>
      </c>
      <c r="D151" s="448" t="s">
        <v>205</v>
      </c>
      <c r="E151" s="449" t="s">
        <v>850</v>
      </c>
      <c r="F151" s="450" t="s">
        <v>215</v>
      </c>
      <c r="G151" s="451"/>
      <c r="H151" s="331">
        <f t="shared" si="3"/>
        <v>0</v>
      </c>
      <c r="I151" s="452"/>
      <c r="J151" s="453"/>
      <c r="K151" s="453"/>
      <c r="L151" s="453"/>
      <c r="M151" s="453"/>
      <c r="N151" s="453"/>
      <c r="O151" s="453"/>
      <c r="P151" s="453"/>
      <c r="Q151" s="453"/>
      <c r="R151" s="453"/>
      <c r="S151" s="453"/>
      <c r="T151" s="209"/>
      <c r="U151" s="594"/>
      <c r="V151" s="454"/>
      <c r="W151" s="616"/>
      <c r="X151" s="616"/>
      <c r="Y151" s="454"/>
      <c r="Z151" s="209"/>
      <c r="AA151" s="983"/>
      <c r="AB151" s="209"/>
      <c r="AC151" s="454"/>
      <c r="AD151" s="454"/>
      <c r="AE151" s="454"/>
      <c r="AF151" s="455"/>
      <c r="AG151" s="455">
        <v>44852</v>
      </c>
      <c r="AH151" s="456">
        <v>45034</v>
      </c>
      <c r="AI151" s="595"/>
      <c r="AJ151" s="450"/>
      <c r="AK151" s="208"/>
      <c r="AL151" s="450" t="s">
        <v>851</v>
      </c>
      <c r="AM151" s="458">
        <v>7067450032</v>
      </c>
      <c r="AN151" s="962" t="s">
        <v>852</v>
      </c>
      <c r="AO151" s="451" t="s">
        <v>853</v>
      </c>
      <c r="AP151" s="816"/>
    </row>
    <row r="152" spans="1:42" s="22" customFormat="1" ht="16.5" customHeight="1">
      <c r="A152" s="34"/>
      <c r="C152" s="197" t="s">
        <v>238</v>
      </c>
      <c r="D152" s="212" t="s">
        <v>115</v>
      </c>
      <c r="E152" s="198" t="s">
        <v>854</v>
      </c>
      <c r="F152" s="199" t="s">
        <v>215</v>
      </c>
      <c r="G152" s="219"/>
      <c r="H152" s="292">
        <f t="shared" si="3"/>
        <v>1674.15</v>
      </c>
      <c r="I152" s="283"/>
      <c r="J152" s="206"/>
      <c r="K152" s="206"/>
      <c r="L152" s="206"/>
      <c r="M152" s="206"/>
      <c r="N152" s="206"/>
      <c r="O152" s="206"/>
      <c r="P152" s="206"/>
      <c r="Q152" s="206"/>
      <c r="R152" s="206"/>
      <c r="S152" s="206"/>
      <c r="T152" s="201"/>
      <c r="U152" s="338"/>
      <c r="V152" s="341"/>
      <c r="W152" s="510">
        <v>1341.18</v>
      </c>
      <c r="X152" s="510"/>
      <c r="Y152" s="341"/>
      <c r="Z152" s="949">
        <v>332.97</v>
      </c>
      <c r="AA152" s="983"/>
      <c r="AB152" s="201"/>
      <c r="AC152" s="341"/>
      <c r="AD152" s="341"/>
      <c r="AE152" s="341"/>
      <c r="AF152" s="203">
        <v>43032</v>
      </c>
      <c r="AG152" s="203">
        <v>43179</v>
      </c>
      <c r="AH152" s="199"/>
      <c r="AI152" s="300"/>
      <c r="AJ152" s="199">
        <v>100383661</v>
      </c>
      <c r="AK152" s="200">
        <v>24100174</v>
      </c>
      <c r="AL152" s="199" t="s">
        <v>855</v>
      </c>
      <c r="AM152" s="205" t="s">
        <v>856</v>
      </c>
      <c r="AN152" s="966" t="s">
        <v>857</v>
      </c>
      <c r="AO152" s="219" t="s">
        <v>858</v>
      </c>
      <c r="AP152" s="919"/>
    </row>
    <row r="153" spans="1:42" s="22" customFormat="1" ht="16.5" customHeight="1">
      <c r="A153" s="34"/>
      <c r="C153" s="447" t="s">
        <v>238</v>
      </c>
      <c r="D153" s="448" t="s">
        <v>205</v>
      </c>
      <c r="E153" s="449" t="s">
        <v>859</v>
      </c>
      <c r="F153" s="450" t="s">
        <v>215</v>
      </c>
      <c r="G153" s="451"/>
      <c r="H153" s="331">
        <f t="shared" si="3"/>
        <v>200000</v>
      </c>
      <c r="I153" s="452"/>
      <c r="J153" s="453"/>
      <c r="K153" s="453"/>
      <c r="L153" s="453"/>
      <c r="M153" s="453"/>
      <c r="N153" s="453"/>
      <c r="O153" s="453"/>
      <c r="P153" s="453"/>
      <c r="Q153" s="453"/>
      <c r="R153" s="453"/>
      <c r="S153" s="453"/>
      <c r="T153" s="209"/>
      <c r="U153" s="594"/>
      <c r="V153" s="454"/>
      <c r="W153" s="616"/>
      <c r="X153" s="616"/>
      <c r="Y153" s="454"/>
      <c r="Z153" s="209">
        <f>200000</f>
        <v>200000</v>
      </c>
      <c r="AA153" s="983"/>
      <c r="AB153" s="209"/>
      <c r="AC153" s="454"/>
      <c r="AD153" s="454"/>
      <c r="AE153" s="454"/>
      <c r="AF153" s="455">
        <v>9259</v>
      </c>
      <c r="AG153" s="455">
        <v>44782</v>
      </c>
      <c r="AH153" s="456">
        <v>44782</v>
      </c>
      <c r="AI153" s="595">
        <v>1</v>
      </c>
      <c r="AJ153" s="450">
        <v>100967986</v>
      </c>
      <c r="AK153" s="450">
        <v>481556</v>
      </c>
      <c r="AL153" s="450" t="s">
        <v>860</v>
      </c>
      <c r="AM153" s="458" t="s">
        <v>861</v>
      </c>
      <c r="AN153" s="962" t="s">
        <v>862</v>
      </c>
      <c r="AO153" s="451" t="s">
        <v>863</v>
      </c>
      <c r="AP153" s="633"/>
    </row>
    <row r="154" spans="1:42" s="22" customFormat="1" ht="17.25" customHeight="1">
      <c r="A154" s="34"/>
      <c r="C154" s="197" t="s">
        <v>238</v>
      </c>
      <c r="D154" s="212" t="s">
        <v>115</v>
      </c>
      <c r="E154" s="198" t="s">
        <v>864</v>
      </c>
      <c r="F154" s="199" t="s">
        <v>160</v>
      </c>
      <c r="G154" s="219" t="s">
        <v>865</v>
      </c>
      <c r="H154" s="292">
        <f t="shared" si="3"/>
        <v>35000</v>
      </c>
      <c r="I154" s="283"/>
      <c r="J154" s="206"/>
      <c r="K154" s="206"/>
      <c r="L154" s="206"/>
      <c r="M154" s="206"/>
      <c r="N154" s="206"/>
      <c r="O154" s="206"/>
      <c r="P154" s="206"/>
      <c r="Q154" s="206"/>
      <c r="R154" s="206"/>
      <c r="S154" s="206"/>
      <c r="T154" s="201"/>
      <c r="U154" s="338"/>
      <c r="V154" s="341"/>
      <c r="W154" s="510"/>
      <c r="X154" s="510"/>
      <c r="Y154" s="341"/>
      <c r="Z154" s="201">
        <v>35000</v>
      </c>
      <c r="AA154" s="983"/>
      <c r="AB154" s="201"/>
      <c r="AC154" s="341"/>
      <c r="AD154" s="341"/>
      <c r="AE154" s="341"/>
      <c r="AF154" s="203">
        <v>44777</v>
      </c>
      <c r="AG154" s="203">
        <v>44966</v>
      </c>
      <c r="AH154" s="204">
        <v>44994</v>
      </c>
      <c r="AI154" s="509">
        <v>1</v>
      </c>
      <c r="AJ154" s="880">
        <v>101092958</v>
      </c>
      <c r="AK154" s="200">
        <v>3048626</v>
      </c>
      <c r="AL154" s="199" t="s">
        <v>866</v>
      </c>
      <c r="AM154" s="205" t="s">
        <v>867</v>
      </c>
      <c r="AN154" s="906" t="s">
        <v>868</v>
      </c>
      <c r="AO154" s="219" t="s">
        <v>869</v>
      </c>
      <c r="AP154" s="919"/>
    </row>
    <row r="155" spans="1:42" s="22" customFormat="1" ht="17.25" customHeight="1">
      <c r="A155" s="34"/>
      <c r="C155" s="447" t="s">
        <v>238</v>
      </c>
      <c r="D155" s="448" t="s">
        <v>205</v>
      </c>
      <c r="E155" s="449" t="s">
        <v>870</v>
      </c>
      <c r="F155" s="450" t="s">
        <v>215</v>
      </c>
      <c r="G155" s="451" t="s">
        <v>871</v>
      </c>
      <c r="H155" s="331">
        <f t="shared" si="3"/>
        <v>17977.84</v>
      </c>
      <c r="I155" s="452"/>
      <c r="J155" s="453"/>
      <c r="K155" s="453"/>
      <c r="L155" s="453"/>
      <c r="M155" s="453"/>
      <c r="N155" s="453"/>
      <c r="O155" s="453"/>
      <c r="P155" s="453"/>
      <c r="Q155" s="453"/>
      <c r="R155" s="453"/>
      <c r="S155" s="453"/>
      <c r="T155" s="209"/>
      <c r="U155" s="594"/>
      <c r="V155" s="454"/>
      <c r="W155" s="616"/>
      <c r="X155" s="616"/>
      <c r="Y155" s="454"/>
      <c r="Z155" s="209">
        <f>14940+3037.84</f>
        <v>17977.84</v>
      </c>
      <c r="AA155" s="983"/>
      <c r="AB155" s="209"/>
      <c r="AC155" s="454"/>
      <c r="AD155" s="454"/>
      <c r="AE155" s="454"/>
      <c r="AF155" s="455">
        <v>44337</v>
      </c>
      <c r="AG155" s="455">
        <v>44558</v>
      </c>
      <c r="AH155" s="456">
        <v>45063</v>
      </c>
      <c r="AI155" s="595">
        <f>(YEAR(AH155)-YEAR(AG155))*12+MONTH(AH155)-MONTH(AG155)</f>
        <v>17</v>
      </c>
      <c r="AJ155" s="450">
        <v>100793400</v>
      </c>
      <c r="AK155" s="979">
        <v>22751739</v>
      </c>
      <c r="AL155" s="450" t="s">
        <v>872</v>
      </c>
      <c r="AM155" s="458">
        <v>3128554052</v>
      </c>
      <c r="AN155" s="962" t="s">
        <v>873</v>
      </c>
      <c r="AO155" s="451" t="s">
        <v>874</v>
      </c>
      <c r="AP155" s="918" t="s">
        <v>875</v>
      </c>
    </row>
    <row r="156" spans="1:42" s="22" customFormat="1" ht="17.25" customHeight="1">
      <c r="A156" s="34"/>
      <c r="C156" s="197" t="s">
        <v>238</v>
      </c>
      <c r="D156" s="212" t="s">
        <v>205</v>
      </c>
      <c r="E156" s="198" t="s">
        <v>876</v>
      </c>
      <c r="F156" s="199" t="s">
        <v>215</v>
      </c>
      <c r="G156" s="219"/>
      <c r="H156" s="292">
        <f t="shared" si="3"/>
        <v>15000</v>
      </c>
      <c r="I156" s="283"/>
      <c r="J156" s="206"/>
      <c r="K156" s="206"/>
      <c r="L156" s="206"/>
      <c r="M156" s="206"/>
      <c r="N156" s="206"/>
      <c r="O156" s="206"/>
      <c r="P156" s="206"/>
      <c r="Q156" s="206"/>
      <c r="R156" s="206"/>
      <c r="S156" s="206"/>
      <c r="T156" s="201"/>
      <c r="U156" s="338"/>
      <c r="V156" s="341"/>
      <c r="W156" s="510"/>
      <c r="X156" s="510"/>
      <c r="Y156" s="341"/>
      <c r="Z156" s="201">
        <v>15000</v>
      </c>
      <c r="AA156" s="983"/>
      <c r="AB156" s="201"/>
      <c r="AC156" s="341"/>
      <c r="AD156" s="341"/>
      <c r="AE156" s="341"/>
      <c r="AF156" s="203">
        <v>44946</v>
      </c>
      <c r="AG156" s="203">
        <v>45032</v>
      </c>
      <c r="AH156" s="204">
        <v>45043</v>
      </c>
      <c r="AI156" s="509">
        <f>(YEAR(AH156)-YEAR(AG156))*12+MONTH(AH156)-MONTH(AG156)</f>
        <v>0</v>
      </c>
      <c r="AJ156" s="199">
        <v>101105619</v>
      </c>
      <c r="AK156" s="920"/>
      <c r="AL156" s="199" t="s">
        <v>877</v>
      </c>
      <c r="AM156" s="205">
        <v>6306907415</v>
      </c>
      <c r="AN156" s="906" t="s">
        <v>878</v>
      </c>
      <c r="AO156" s="219" t="s">
        <v>879</v>
      </c>
      <c r="AP156" s="919"/>
    </row>
    <row r="157" spans="1:42" s="22" customFormat="1" ht="17.25" customHeight="1">
      <c r="A157" s="34"/>
      <c r="C157" s="447" t="s">
        <v>238</v>
      </c>
      <c r="D157" s="448" t="s">
        <v>115</v>
      </c>
      <c r="E157" s="449" t="s">
        <v>880</v>
      </c>
      <c r="F157" s="450" t="s">
        <v>215</v>
      </c>
      <c r="G157" s="451" t="s">
        <v>881</v>
      </c>
      <c r="H157" s="331">
        <f t="shared" si="3"/>
        <v>26065</v>
      </c>
      <c r="I157" s="452"/>
      <c r="J157" s="453"/>
      <c r="K157" s="453"/>
      <c r="L157" s="453"/>
      <c r="M157" s="453"/>
      <c r="N157" s="453"/>
      <c r="O157" s="453"/>
      <c r="P157" s="453"/>
      <c r="Q157" s="453"/>
      <c r="R157" s="453"/>
      <c r="S157" s="453"/>
      <c r="T157" s="209"/>
      <c r="U157" s="594"/>
      <c r="V157" s="454"/>
      <c r="W157" s="616"/>
      <c r="X157" s="616"/>
      <c r="Y157" s="454">
        <v>25750</v>
      </c>
      <c r="Z157" s="209">
        <v>315</v>
      </c>
      <c r="AA157" s="983"/>
      <c r="AB157" s="209"/>
      <c r="AC157" s="454"/>
      <c r="AD157" s="454"/>
      <c r="AE157" s="454"/>
      <c r="AF157" s="455">
        <v>44470</v>
      </c>
      <c r="AG157" s="455">
        <v>44608</v>
      </c>
      <c r="AH157" s="456">
        <v>44901</v>
      </c>
      <c r="AI157" s="595">
        <f>(YEAR(AH157)-YEAR(AG157))*12+MONTH(AH157)-MONTH(AG157)</f>
        <v>10</v>
      </c>
      <c r="AJ157" s="450">
        <v>100803138</v>
      </c>
      <c r="AK157" s="979">
        <v>24029506</v>
      </c>
      <c r="AL157" s="450" t="s">
        <v>882</v>
      </c>
      <c r="AM157" s="458" t="s">
        <v>883</v>
      </c>
      <c r="AN157" s="962" t="s">
        <v>884</v>
      </c>
      <c r="AO157" s="451" t="s">
        <v>885</v>
      </c>
      <c r="AP157" s="918"/>
    </row>
    <row r="158" spans="1:42" s="22" customFormat="1" ht="17.25" customHeight="1">
      <c r="A158" s="34"/>
      <c r="C158" s="197" t="s">
        <v>238</v>
      </c>
      <c r="D158" s="212" t="s">
        <v>115</v>
      </c>
      <c r="E158" s="198" t="s">
        <v>886</v>
      </c>
      <c r="F158" s="199" t="s">
        <v>215</v>
      </c>
      <c r="G158" s="219"/>
      <c r="H158" s="292">
        <f t="shared" si="3"/>
        <v>1669.78</v>
      </c>
      <c r="I158" s="283"/>
      <c r="J158" s="206"/>
      <c r="K158" s="206"/>
      <c r="L158" s="206"/>
      <c r="M158" s="206"/>
      <c r="N158" s="206"/>
      <c r="O158" s="206"/>
      <c r="P158" s="206"/>
      <c r="Q158" s="206"/>
      <c r="R158" s="206"/>
      <c r="S158" s="206"/>
      <c r="T158" s="201"/>
      <c r="U158" s="338"/>
      <c r="V158" s="341"/>
      <c r="W158" s="510"/>
      <c r="X158" s="510"/>
      <c r="Y158" s="341"/>
      <c r="Z158" s="201">
        <v>1669.78</v>
      </c>
      <c r="AA158" s="983"/>
      <c r="AB158" s="201"/>
      <c r="AC158" s="341"/>
      <c r="AD158" s="341"/>
      <c r="AE158" s="341"/>
      <c r="AF158" s="203">
        <v>44247</v>
      </c>
      <c r="AG158" s="203">
        <v>44812</v>
      </c>
      <c r="AH158" s="204">
        <v>44833</v>
      </c>
      <c r="AI158" s="299">
        <v>1</v>
      </c>
      <c r="AJ158" s="199">
        <v>100978597</v>
      </c>
      <c r="AK158" s="200">
        <v>22636948</v>
      </c>
      <c r="AL158" s="199" t="s">
        <v>887</v>
      </c>
      <c r="AM158" s="205" t="s">
        <v>888</v>
      </c>
      <c r="AN158" s="906" t="s">
        <v>889</v>
      </c>
      <c r="AO158" s="219" t="s">
        <v>890</v>
      </c>
      <c r="AP158" s="821"/>
    </row>
    <row r="159" spans="1:42" s="22" customFormat="1" ht="17.25" customHeight="1">
      <c r="A159" s="34"/>
      <c r="C159" s="447" t="s">
        <v>238</v>
      </c>
      <c r="D159" s="448" t="s">
        <v>115</v>
      </c>
      <c r="E159" s="449" t="s">
        <v>891</v>
      </c>
      <c r="F159" s="450" t="s">
        <v>215</v>
      </c>
      <c r="G159" s="505"/>
      <c r="H159" s="331">
        <f t="shared" si="3"/>
        <v>4576.16</v>
      </c>
      <c r="I159" s="452"/>
      <c r="J159" s="453"/>
      <c r="K159" s="453"/>
      <c r="L159" s="453"/>
      <c r="M159" s="453"/>
      <c r="N159" s="453"/>
      <c r="O159" s="453"/>
      <c r="P159" s="453"/>
      <c r="Q159" s="453"/>
      <c r="R159" s="453"/>
      <c r="S159" s="453"/>
      <c r="T159" s="209"/>
      <c r="U159" s="594"/>
      <c r="V159" s="454"/>
      <c r="W159" s="616"/>
      <c r="X159" s="616"/>
      <c r="Y159" s="454"/>
      <c r="Z159" s="209">
        <v>4576.16</v>
      </c>
      <c r="AA159" s="983"/>
      <c r="AB159" s="209"/>
      <c r="AC159" s="454"/>
      <c r="AD159" s="454"/>
      <c r="AE159" s="454"/>
      <c r="AF159" s="810">
        <v>44706</v>
      </c>
      <c r="AG159" s="455">
        <v>44775</v>
      </c>
      <c r="AH159" s="456">
        <v>44986</v>
      </c>
      <c r="AI159" s="457">
        <v>7</v>
      </c>
      <c r="AJ159" s="450">
        <v>100967212</v>
      </c>
      <c r="AK159" s="208">
        <v>5252471</v>
      </c>
      <c r="AL159" s="450" t="s">
        <v>892</v>
      </c>
      <c r="AM159" s="458" t="s">
        <v>893</v>
      </c>
      <c r="AN159" s="962" t="s">
        <v>894</v>
      </c>
      <c r="AO159" s="982" t="s">
        <v>895</v>
      </c>
      <c r="AP159" s="527"/>
    </row>
    <row r="160" spans="1:42" s="22" customFormat="1" ht="17.25" customHeight="1">
      <c r="A160" s="34"/>
      <c r="C160" s="197" t="s">
        <v>238</v>
      </c>
      <c r="D160" s="212" t="s">
        <v>115</v>
      </c>
      <c r="E160" s="198" t="s">
        <v>896</v>
      </c>
      <c r="F160" s="199" t="s">
        <v>215</v>
      </c>
      <c r="G160" s="429"/>
      <c r="H160" s="292">
        <f t="shared" si="3"/>
        <v>19389.439999999999</v>
      </c>
      <c r="I160" s="283"/>
      <c r="J160" s="206"/>
      <c r="K160" s="206"/>
      <c r="L160" s="206"/>
      <c r="M160" s="206"/>
      <c r="N160" s="206"/>
      <c r="O160" s="206"/>
      <c r="P160" s="206"/>
      <c r="Q160" s="206"/>
      <c r="R160" s="206"/>
      <c r="S160" s="206"/>
      <c r="T160" s="201"/>
      <c r="U160" s="338"/>
      <c r="V160" s="341"/>
      <c r="W160" s="510"/>
      <c r="X160" s="510"/>
      <c r="Y160" s="341"/>
      <c r="Z160" s="201">
        <v>19389.439999999999</v>
      </c>
      <c r="AA160" s="983"/>
      <c r="AB160" s="201"/>
      <c r="AC160" s="341"/>
      <c r="AD160" s="341"/>
      <c r="AE160" s="341"/>
      <c r="AF160" s="888">
        <v>43013</v>
      </c>
      <c r="AG160" s="203">
        <v>43061</v>
      </c>
      <c r="AH160" s="204">
        <v>44936</v>
      </c>
      <c r="AI160" s="299">
        <v>60</v>
      </c>
      <c r="AJ160" s="199">
        <v>100331701</v>
      </c>
      <c r="AK160" s="200">
        <v>100024767</v>
      </c>
      <c r="AL160" s="199" t="s">
        <v>897</v>
      </c>
      <c r="AM160" s="205" t="s">
        <v>898</v>
      </c>
      <c r="AN160" s="906"/>
      <c r="AO160" s="927" t="s">
        <v>899</v>
      </c>
      <c r="AP160" s="321"/>
    </row>
    <row r="161" spans="1:42" s="22" customFormat="1" ht="17.25" customHeight="1">
      <c r="A161" s="34"/>
      <c r="C161" s="447" t="s">
        <v>238</v>
      </c>
      <c r="D161" s="448" t="s">
        <v>115</v>
      </c>
      <c r="E161" s="449" t="s">
        <v>900</v>
      </c>
      <c r="F161" s="450" t="s">
        <v>215</v>
      </c>
      <c r="G161" s="451"/>
      <c r="H161" s="331">
        <f t="shared" si="3"/>
        <v>208443.47</v>
      </c>
      <c r="I161" s="452"/>
      <c r="J161" s="453"/>
      <c r="K161" s="453"/>
      <c r="L161" s="453"/>
      <c r="M161" s="453"/>
      <c r="N161" s="453"/>
      <c r="O161" s="453"/>
      <c r="P161" s="453"/>
      <c r="Q161" s="453"/>
      <c r="R161" s="453"/>
      <c r="S161" s="453"/>
      <c r="T161" s="209"/>
      <c r="U161" s="594"/>
      <c r="V161" s="454"/>
      <c r="W161" s="616"/>
      <c r="X161" s="616"/>
      <c r="Y161" s="454">
        <v>204703</v>
      </c>
      <c r="Z161" s="209">
        <v>3740.47</v>
      </c>
      <c r="AA161" s="983"/>
      <c r="AB161" s="209" t="s">
        <v>88</v>
      </c>
      <c r="AC161" s="454"/>
      <c r="AD161" s="454"/>
      <c r="AE161" s="454"/>
      <c r="AF161" s="455">
        <v>43825</v>
      </c>
      <c r="AG161" s="455">
        <v>44510</v>
      </c>
      <c r="AH161" s="456">
        <v>44887</v>
      </c>
      <c r="AI161" s="457">
        <f>(YEAR(AH161)-YEAR(AG161))*12+MONTH(AH161)-MONTH(AG161)</f>
        <v>12</v>
      </c>
      <c r="AJ161" s="208">
        <v>100778748</v>
      </c>
      <c r="AK161" s="450">
        <v>21242722</v>
      </c>
      <c r="AL161" s="450" t="s">
        <v>901</v>
      </c>
      <c r="AM161" s="458">
        <v>7133330555</v>
      </c>
      <c r="AN161" s="962"/>
      <c r="AO161" s="451" t="s">
        <v>902</v>
      </c>
      <c r="AP161" s="633" t="s">
        <v>903</v>
      </c>
    </row>
    <row r="162" spans="1:42" s="22" customFormat="1" ht="17.25" customHeight="1">
      <c r="A162" s="34"/>
      <c r="C162" s="197" t="s">
        <v>238</v>
      </c>
      <c r="D162" s="212" t="s">
        <v>115</v>
      </c>
      <c r="E162" s="198" t="s">
        <v>904</v>
      </c>
      <c r="F162" s="199" t="s">
        <v>215</v>
      </c>
      <c r="G162" s="219" t="s">
        <v>905</v>
      </c>
      <c r="H162" s="292">
        <f t="shared" si="3"/>
        <v>24393.800000000003</v>
      </c>
      <c r="I162" s="283"/>
      <c r="J162" s="206"/>
      <c r="K162" s="206"/>
      <c r="L162" s="206"/>
      <c r="M162" s="206"/>
      <c r="N162" s="206"/>
      <c r="O162" s="206"/>
      <c r="P162" s="206"/>
      <c r="Q162" s="206"/>
      <c r="R162" s="206"/>
      <c r="S162" s="206"/>
      <c r="T162" s="201"/>
      <c r="U162" s="338"/>
      <c r="V162" s="341"/>
      <c r="W162" s="510"/>
      <c r="X162" s="510"/>
      <c r="Y162" s="341"/>
      <c r="Z162" s="201">
        <f>7310.77+9541.77+7541.26</f>
        <v>24393.800000000003</v>
      </c>
      <c r="AA162" s="983"/>
      <c r="AB162" s="201"/>
      <c r="AC162" s="341"/>
      <c r="AD162" s="341"/>
      <c r="AE162" s="341"/>
      <c r="AF162" s="203">
        <v>44646</v>
      </c>
      <c r="AG162" s="203">
        <v>44737</v>
      </c>
      <c r="AH162" s="204"/>
      <c r="AI162" s="299"/>
      <c r="AJ162" s="199">
        <v>100960530</v>
      </c>
      <c r="AK162" s="200">
        <v>24024283</v>
      </c>
      <c r="AL162" s="199" t="s">
        <v>906</v>
      </c>
      <c r="AM162" s="948" t="s">
        <v>907</v>
      </c>
      <c r="AN162" s="906" t="s">
        <v>908</v>
      </c>
      <c r="AO162" s="219" t="s">
        <v>909</v>
      </c>
      <c r="AP162" s="206" t="s">
        <v>910</v>
      </c>
    </row>
    <row r="163" spans="1:42" s="22" customFormat="1" ht="17.25" customHeight="1">
      <c r="A163" s="34"/>
      <c r="C163" s="447" t="s">
        <v>238</v>
      </c>
      <c r="D163" s="448" t="s">
        <v>205</v>
      </c>
      <c r="E163" s="449" t="s">
        <v>911</v>
      </c>
      <c r="F163" s="450" t="s">
        <v>215</v>
      </c>
      <c r="G163" s="451"/>
      <c r="H163" s="331">
        <f t="shared" si="3"/>
        <v>300000</v>
      </c>
      <c r="I163" s="452"/>
      <c r="J163" s="453"/>
      <c r="K163" s="453"/>
      <c r="L163" s="453"/>
      <c r="M163" s="453"/>
      <c r="N163" s="453"/>
      <c r="O163" s="453"/>
      <c r="P163" s="453"/>
      <c r="Q163" s="453"/>
      <c r="R163" s="453"/>
      <c r="S163" s="453"/>
      <c r="T163" s="209"/>
      <c r="U163" s="594"/>
      <c r="V163" s="454"/>
      <c r="W163" s="616"/>
      <c r="X163" s="616"/>
      <c r="Y163" s="454"/>
      <c r="Z163" s="209">
        <v>300000</v>
      </c>
      <c r="AA163" s="983"/>
      <c r="AB163" s="209"/>
      <c r="AC163" s="454"/>
      <c r="AD163" s="454"/>
      <c r="AE163" s="454"/>
      <c r="AF163" s="455">
        <v>44646</v>
      </c>
      <c r="AG163" s="455">
        <v>44714</v>
      </c>
      <c r="AH163" s="456">
        <v>44823</v>
      </c>
      <c r="AI163" s="457">
        <f>(YEAR(AH163)-YEAR(AG163))*12+MONTH(AH163)-MONTH(AG163)</f>
        <v>3</v>
      </c>
      <c r="AJ163" s="450">
        <v>100831512</v>
      </c>
      <c r="AK163" s="208">
        <v>11400553</v>
      </c>
      <c r="AL163" s="450" t="s">
        <v>912</v>
      </c>
      <c r="AM163" s="458" t="s">
        <v>913</v>
      </c>
      <c r="AN163" s="962" t="s">
        <v>914</v>
      </c>
      <c r="AO163" s="451" t="s">
        <v>915</v>
      </c>
      <c r="AP163" s="453"/>
    </row>
    <row r="164" spans="1:42" s="22" customFormat="1" ht="17.25" customHeight="1">
      <c r="A164" s="34"/>
      <c r="C164" s="197" t="s">
        <v>238</v>
      </c>
      <c r="D164" s="212" t="s">
        <v>115</v>
      </c>
      <c r="E164" s="198" t="s">
        <v>916</v>
      </c>
      <c r="F164" s="199" t="s">
        <v>215</v>
      </c>
      <c r="G164" s="219"/>
      <c r="H164" s="292">
        <f t="shared" si="3"/>
        <v>5000</v>
      </c>
      <c r="I164" s="283"/>
      <c r="J164" s="206"/>
      <c r="K164" s="206"/>
      <c r="L164" s="206"/>
      <c r="M164" s="206"/>
      <c r="N164" s="206"/>
      <c r="O164" s="206"/>
      <c r="P164" s="206"/>
      <c r="Q164" s="206"/>
      <c r="R164" s="206"/>
      <c r="S164" s="206"/>
      <c r="T164" s="201"/>
      <c r="U164" s="338"/>
      <c r="V164" s="341"/>
      <c r="W164" s="510"/>
      <c r="X164" s="510"/>
      <c r="Y164" s="341"/>
      <c r="Z164" s="201">
        <v>5000</v>
      </c>
      <c r="AA164" s="983"/>
      <c r="AB164" s="201"/>
      <c r="AC164" s="341"/>
      <c r="AD164" s="341"/>
      <c r="AE164" s="341"/>
      <c r="AF164" s="203"/>
      <c r="AG164" s="203">
        <v>44834</v>
      </c>
      <c r="AH164" s="204">
        <v>44834</v>
      </c>
      <c r="AI164" s="299">
        <v>1</v>
      </c>
      <c r="AJ164" s="199">
        <v>100988008</v>
      </c>
      <c r="AK164" s="200">
        <v>96029178</v>
      </c>
      <c r="AL164" s="199" t="s">
        <v>917</v>
      </c>
      <c r="AM164" s="205"/>
      <c r="AN164" s="906"/>
      <c r="AO164" s="219" t="s">
        <v>918</v>
      </c>
      <c r="AP164" s="206"/>
    </row>
    <row r="165" spans="1:42" s="22" customFormat="1" ht="17.25" customHeight="1">
      <c r="A165" s="34"/>
      <c r="C165" s="447" t="s">
        <v>238</v>
      </c>
      <c r="D165" s="448" t="s">
        <v>115</v>
      </c>
      <c r="E165" s="449" t="s">
        <v>764</v>
      </c>
      <c r="F165" s="450" t="s">
        <v>215</v>
      </c>
      <c r="G165" s="451" t="s">
        <v>919</v>
      </c>
      <c r="H165" s="331">
        <f t="shared" si="3"/>
        <v>3315.8</v>
      </c>
      <c r="I165" s="452"/>
      <c r="J165" s="453"/>
      <c r="K165" s="453"/>
      <c r="L165" s="453"/>
      <c r="M165" s="453"/>
      <c r="N165" s="453"/>
      <c r="O165" s="453"/>
      <c r="P165" s="453"/>
      <c r="Q165" s="453"/>
      <c r="R165" s="453"/>
      <c r="S165" s="453"/>
      <c r="T165" s="209"/>
      <c r="U165" s="594"/>
      <c r="V165" s="454"/>
      <c r="W165" s="616"/>
      <c r="X165" s="616"/>
      <c r="Y165" s="454"/>
      <c r="Z165" s="997">
        <v>3315.8</v>
      </c>
      <c r="AA165" s="983"/>
      <c r="AB165" s="209"/>
      <c r="AC165" s="454"/>
      <c r="AD165" s="454"/>
      <c r="AE165" s="454"/>
      <c r="AF165" s="455">
        <v>44128</v>
      </c>
      <c r="AG165" s="455">
        <v>44223</v>
      </c>
      <c r="AH165" s="456">
        <v>44978</v>
      </c>
      <c r="AI165" s="457">
        <v>24</v>
      </c>
      <c r="AJ165" s="450">
        <v>33951</v>
      </c>
      <c r="AK165" s="208">
        <v>33951</v>
      </c>
      <c r="AL165" s="450" t="s">
        <v>766</v>
      </c>
      <c r="AM165" s="458">
        <v>8608121740</v>
      </c>
      <c r="AN165" s="978" t="s">
        <v>767</v>
      </c>
      <c r="AO165" s="451" t="s">
        <v>768</v>
      </c>
      <c r="AP165" s="816" t="s">
        <v>769</v>
      </c>
    </row>
    <row r="166" spans="1:42" ht="17.25" customHeight="1">
      <c r="C166" s="699" t="s">
        <v>920</v>
      </c>
      <c r="D166" s="469"/>
      <c r="E166" s="469"/>
      <c r="F166" s="32"/>
      <c r="G166" s="470"/>
      <c r="H166" s="1010"/>
      <c r="I166" s="471"/>
      <c r="J166" s="470"/>
      <c r="K166" s="470"/>
      <c r="L166" s="470"/>
      <c r="M166" s="470"/>
      <c r="N166" s="470"/>
      <c r="O166" s="470"/>
      <c r="P166" s="470"/>
      <c r="Q166" s="470"/>
      <c r="R166" s="470"/>
      <c r="S166" s="470"/>
      <c r="T166" s="472"/>
      <c r="U166" s="472"/>
      <c r="V166" s="472"/>
      <c r="W166" s="472"/>
      <c r="X166" s="472"/>
      <c r="Y166" s="472"/>
      <c r="Z166" s="472"/>
      <c r="AA166" s="472"/>
      <c r="AB166" s="472"/>
      <c r="AC166" s="472"/>
      <c r="AD166" s="472"/>
      <c r="AE166" s="472"/>
      <c r="AF166" s="32"/>
      <c r="AG166" s="32"/>
      <c r="AH166" s="32"/>
      <c r="AI166" s="473"/>
      <c r="AJ166" s="32"/>
      <c r="AK166" s="32"/>
      <c r="AL166" s="32"/>
      <c r="AM166" s="474"/>
      <c r="AN166" s="470"/>
      <c r="AO166" s="470"/>
      <c r="AP166" s="470"/>
    </row>
    <row r="167" spans="1:42" ht="17.25" customHeight="1">
      <c r="C167" s="433" t="s">
        <v>238</v>
      </c>
      <c r="D167" s="434" t="s">
        <v>115</v>
      </c>
      <c r="E167" s="435" t="s">
        <v>921</v>
      </c>
      <c r="F167" s="436" t="s">
        <v>215</v>
      </c>
      <c r="G167" s="460" t="s">
        <v>922</v>
      </c>
      <c r="H167" s="437">
        <f t="shared" ref="H167:H183" si="4">SUM(I167:Y167)</f>
        <v>11459.58</v>
      </c>
      <c r="I167" s="462"/>
      <c r="J167" s="463"/>
      <c r="K167" s="463"/>
      <c r="L167" s="463"/>
      <c r="M167" s="463"/>
      <c r="N167" s="463"/>
      <c r="O167" s="463"/>
      <c r="P167" s="463"/>
      <c r="Q167" s="463"/>
      <c r="R167" s="463"/>
      <c r="S167" s="463"/>
      <c r="T167" s="438"/>
      <c r="U167" s="439"/>
      <c r="V167" s="440"/>
      <c r="W167" s="703"/>
      <c r="X167" s="703"/>
      <c r="Y167" s="440">
        <v>11459.58</v>
      </c>
      <c r="Z167" s="438"/>
      <c r="AA167" s="439"/>
      <c r="AB167" s="440"/>
      <c r="AC167" s="440"/>
      <c r="AD167" s="440"/>
      <c r="AE167" s="440"/>
      <c r="AF167" s="441">
        <v>43764</v>
      </c>
      <c r="AG167" s="441">
        <v>44363</v>
      </c>
      <c r="AH167" s="442">
        <v>44410</v>
      </c>
      <c r="AI167" s="443">
        <v>1</v>
      </c>
      <c r="AJ167" s="436">
        <v>100670061</v>
      </c>
      <c r="AK167" s="444"/>
      <c r="AL167" s="436" t="s">
        <v>923</v>
      </c>
      <c r="AM167" s="445" t="s">
        <v>924</v>
      </c>
      <c r="AN167" s="450" t="s">
        <v>925</v>
      </c>
      <c r="AO167" s="460" t="s">
        <v>926</v>
      </c>
      <c r="AP167" s="854"/>
    </row>
    <row r="168" spans="1:42" ht="17.25" customHeight="1">
      <c r="C168" s="197" t="s">
        <v>238</v>
      </c>
      <c r="D168" s="212" t="s">
        <v>115</v>
      </c>
      <c r="E168" s="198" t="s">
        <v>927</v>
      </c>
      <c r="F168" s="199" t="s">
        <v>215</v>
      </c>
      <c r="G168" s="848"/>
      <c r="H168" s="292">
        <f t="shared" si="4"/>
        <v>6724.55</v>
      </c>
      <c r="I168" s="849"/>
      <c r="J168" s="850"/>
      <c r="K168" s="850"/>
      <c r="L168" s="850"/>
      <c r="M168" s="850"/>
      <c r="N168" s="850"/>
      <c r="O168" s="850"/>
      <c r="P168" s="850"/>
      <c r="Q168" s="850"/>
      <c r="R168" s="850"/>
      <c r="S168" s="850"/>
      <c r="T168" s="201"/>
      <c r="U168" s="338"/>
      <c r="V168" s="341"/>
      <c r="W168" s="510">
        <v>6724.55</v>
      </c>
      <c r="X168" s="510"/>
      <c r="Y168" s="341"/>
      <c r="Z168" s="201"/>
      <c r="AA168" s="338"/>
      <c r="AB168" s="341"/>
      <c r="AC168" s="341"/>
      <c r="AD168" s="341"/>
      <c r="AE168" s="341"/>
      <c r="AF168" s="203">
        <v>42934</v>
      </c>
      <c r="AG168" s="203">
        <v>43509</v>
      </c>
      <c r="AH168" s="204"/>
      <c r="AI168" s="300"/>
      <c r="AJ168" s="199">
        <v>100313859</v>
      </c>
      <c r="AK168" s="200">
        <v>75408</v>
      </c>
      <c r="AL168" s="199" t="s">
        <v>928</v>
      </c>
      <c r="AM168" s="205" t="s">
        <v>929</v>
      </c>
      <c r="AN168" s="809" t="s">
        <v>930</v>
      </c>
      <c r="AO168" s="219" t="s">
        <v>931</v>
      </c>
      <c r="AP168" s="799" t="s">
        <v>932</v>
      </c>
    </row>
    <row r="169" spans="1:42" ht="17.25" customHeight="1">
      <c r="C169" s="433" t="s">
        <v>238</v>
      </c>
      <c r="D169" s="434" t="s">
        <v>115</v>
      </c>
      <c r="E169" s="435" t="s">
        <v>933</v>
      </c>
      <c r="F169" s="436" t="s">
        <v>117</v>
      </c>
      <c r="G169" s="460" t="s">
        <v>934</v>
      </c>
      <c r="H169" s="437">
        <v>13800.23</v>
      </c>
      <c r="I169" s="462"/>
      <c r="J169" s="463"/>
      <c r="K169" s="463"/>
      <c r="L169" s="463"/>
      <c r="M169" s="463"/>
      <c r="N169" s="463"/>
      <c r="O169" s="463"/>
      <c r="P169" s="463"/>
      <c r="Q169" s="463"/>
      <c r="R169" s="463"/>
      <c r="S169" s="463"/>
      <c r="T169" s="438"/>
      <c r="U169" s="822"/>
      <c r="V169" s="440"/>
      <c r="W169" s="703"/>
      <c r="X169" s="703"/>
      <c r="Y169" s="990">
        <v>13800.23</v>
      </c>
      <c r="Z169" s="438"/>
      <c r="AA169" s="822"/>
      <c r="AB169" s="440" t="s">
        <v>88</v>
      </c>
      <c r="AC169" s="440"/>
      <c r="AD169" s="440"/>
      <c r="AE169" s="440"/>
      <c r="AF169" s="441">
        <v>44245</v>
      </c>
      <c r="AG169" s="441">
        <v>44532</v>
      </c>
      <c r="AH169" s="442"/>
      <c r="AI169" s="443"/>
      <c r="AJ169" s="436">
        <v>100784217</v>
      </c>
      <c r="AK169" s="444">
        <v>35180959</v>
      </c>
      <c r="AL169" s="436" t="s">
        <v>935</v>
      </c>
      <c r="AM169" s="445" t="s">
        <v>936</v>
      </c>
      <c r="AN169" s="450" t="s">
        <v>937</v>
      </c>
      <c r="AO169" s="460" t="s">
        <v>938</v>
      </c>
      <c r="AP169" s="825"/>
    </row>
    <row r="170" spans="1:42" ht="17.25" customHeight="1">
      <c r="B170" s="259"/>
      <c r="C170" s="238" t="s">
        <v>238</v>
      </c>
      <c r="D170" s="239" t="s">
        <v>115</v>
      </c>
      <c r="E170" s="240" t="s">
        <v>939</v>
      </c>
      <c r="F170" s="241" t="s">
        <v>215</v>
      </c>
      <c r="G170" s="242" t="s">
        <v>940</v>
      </c>
      <c r="H170" s="292">
        <f t="shared" si="4"/>
        <v>55431.11</v>
      </c>
      <c r="I170" s="284"/>
      <c r="J170" s="249"/>
      <c r="K170" s="249"/>
      <c r="L170" s="249"/>
      <c r="M170" s="249"/>
      <c r="N170" s="249"/>
      <c r="O170" s="249"/>
      <c r="P170" s="249"/>
      <c r="Q170" s="249"/>
      <c r="R170" s="249"/>
      <c r="S170" s="249"/>
      <c r="T170" s="243"/>
      <c r="U170" s="829"/>
      <c r="V170" s="342"/>
      <c r="W170" s="706"/>
      <c r="X170" s="706"/>
      <c r="Y170" s="243">
        <v>55431.11</v>
      </c>
      <c r="Z170" s="243"/>
      <c r="AA170" s="829"/>
      <c r="AB170" s="342"/>
      <c r="AC170" s="342"/>
      <c r="AD170" s="342"/>
      <c r="AE170" s="342"/>
      <c r="AF170" s="245">
        <v>43470</v>
      </c>
      <c r="AG170" s="245">
        <v>43537</v>
      </c>
      <c r="AH170" s="246"/>
      <c r="AI170" s="300"/>
      <c r="AJ170" s="241">
        <v>100334491</v>
      </c>
      <c r="AK170" s="247">
        <v>1865187</v>
      </c>
      <c r="AL170" s="241" t="s">
        <v>941</v>
      </c>
      <c r="AM170" s="248" t="s">
        <v>942</v>
      </c>
      <c r="AN170" s="809" t="s">
        <v>943</v>
      </c>
      <c r="AO170" s="242" t="s">
        <v>944</v>
      </c>
      <c r="AP170" s="832" t="s">
        <v>945</v>
      </c>
    </row>
    <row r="171" spans="1:42" ht="17.25" customHeight="1">
      <c r="C171" s="433" t="s">
        <v>238</v>
      </c>
      <c r="D171" s="434" t="s">
        <v>115</v>
      </c>
      <c r="E171" s="435" t="s">
        <v>946</v>
      </c>
      <c r="F171" s="436" t="s">
        <v>215</v>
      </c>
      <c r="G171" s="460"/>
      <c r="H171" s="437">
        <v>3000</v>
      </c>
      <c r="I171" s="462"/>
      <c r="J171" s="463"/>
      <c r="K171" s="463"/>
      <c r="L171" s="463"/>
      <c r="M171" s="463"/>
      <c r="N171" s="463"/>
      <c r="O171" s="463"/>
      <c r="P171" s="463"/>
      <c r="Q171" s="463"/>
      <c r="R171" s="463"/>
      <c r="S171" s="463"/>
      <c r="T171" s="438"/>
      <c r="U171" s="822"/>
      <c r="V171" s="440"/>
      <c r="W171" s="703"/>
      <c r="X171" s="703"/>
      <c r="Y171" s="440">
        <v>3000</v>
      </c>
      <c r="Z171" s="438"/>
      <c r="AA171" s="822"/>
      <c r="AB171" s="440"/>
      <c r="AC171" s="440"/>
      <c r="AD171" s="440"/>
      <c r="AE171" s="440"/>
      <c r="AF171" s="441">
        <v>44228</v>
      </c>
      <c r="AG171" s="441">
        <v>44574</v>
      </c>
      <c r="AH171" s="442">
        <v>44574</v>
      </c>
      <c r="AI171" s="443">
        <v>0</v>
      </c>
      <c r="AJ171" s="436">
        <v>100799240</v>
      </c>
      <c r="AK171" s="444">
        <v>27758416</v>
      </c>
      <c r="AL171" s="436" t="s">
        <v>947</v>
      </c>
      <c r="AM171" s="445"/>
      <c r="AN171" s="817"/>
      <c r="AO171" s="460" t="s">
        <v>948</v>
      </c>
      <c r="AP171" s="823"/>
    </row>
    <row r="172" spans="1:42" ht="17.25" customHeight="1">
      <c r="C172" s="238" t="s">
        <v>238</v>
      </c>
      <c r="D172" s="239" t="s">
        <v>115</v>
      </c>
      <c r="E172" s="240" t="s">
        <v>949</v>
      </c>
      <c r="F172" s="241" t="s">
        <v>215</v>
      </c>
      <c r="G172" s="242"/>
      <c r="H172" s="292">
        <v>5000</v>
      </c>
      <c r="I172" s="284"/>
      <c r="J172" s="249"/>
      <c r="K172" s="249"/>
      <c r="L172" s="249"/>
      <c r="M172" s="249"/>
      <c r="N172" s="249"/>
      <c r="O172" s="249"/>
      <c r="P172" s="249"/>
      <c r="Q172" s="249"/>
      <c r="R172" s="249"/>
      <c r="S172" s="249"/>
      <c r="T172" s="243"/>
      <c r="U172" s="829"/>
      <c r="V172" s="342"/>
      <c r="W172" s="706"/>
      <c r="X172" s="706"/>
      <c r="Y172" s="342">
        <v>5000</v>
      </c>
      <c r="Z172" s="243"/>
      <c r="AA172" s="829"/>
      <c r="AB172" s="342"/>
      <c r="AC172" s="342"/>
      <c r="AD172" s="342"/>
      <c r="AE172" s="342"/>
      <c r="AF172" s="245"/>
      <c r="AG172" s="245">
        <v>44621</v>
      </c>
      <c r="AH172" s="246"/>
      <c r="AI172" s="300"/>
      <c r="AJ172" s="241">
        <v>100809067</v>
      </c>
      <c r="AK172" s="247">
        <v>26501023</v>
      </c>
      <c r="AL172" s="241" t="s">
        <v>950</v>
      </c>
      <c r="AM172" s="248"/>
      <c r="AN172" s="809"/>
      <c r="AO172" s="242" t="s">
        <v>951</v>
      </c>
      <c r="AP172" s="832"/>
    </row>
    <row r="173" spans="1:42" ht="17.25" customHeight="1">
      <c r="C173" s="433" t="s">
        <v>238</v>
      </c>
      <c r="D173" s="434" t="s">
        <v>115</v>
      </c>
      <c r="E173" s="435" t="s">
        <v>952</v>
      </c>
      <c r="F173" s="436" t="s">
        <v>215</v>
      </c>
      <c r="G173" s="460" t="s">
        <v>953</v>
      </c>
      <c r="H173" s="437">
        <f t="shared" si="4"/>
        <v>68695.33</v>
      </c>
      <c r="I173" s="462"/>
      <c r="J173" s="463"/>
      <c r="K173" s="463"/>
      <c r="L173" s="463"/>
      <c r="M173" s="463"/>
      <c r="N173" s="463"/>
      <c r="O173" s="463"/>
      <c r="P173" s="463"/>
      <c r="Q173" s="463"/>
      <c r="R173" s="463"/>
      <c r="S173" s="463"/>
      <c r="T173" s="438"/>
      <c r="U173" s="439"/>
      <c r="V173" s="440"/>
      <c r="W173" s="703"/>
      <c r="X173" s="703"/>
      <c r="Y173" s="990">
        <v>68695.33</v>
      </c>
      <c r="Z173" s="438"/>
      <c r="AA173" s="822"/>
      <c r="AB173" s="440"/>
      <c r="AC173" s="440"/>
      <c r="AD173" s="440"/>
      <c r="AE173" s="440"/>
      <c r="AF173" s="441">
        <v>44016</v>
      </c>
      <c r="AG173" s="441">
        <v>44179</v>
      </c>
      <c r="AH173" s="442">
        <v>44693</v>
      </c>
      <c r="AI173" s="443">
        <f>(YEAR(AH173)-YEAR(AG173))*12+MONTH(AH173)-MONTH(AG173)</f>
        <v>17</v>
      </c>
      <c r="AJ173" s="436">
        <v>100583690</v>
      </c>
      <c r="AK173" s="444">
        <v>30082457</v>
      </c>
      <c r="AL173" s="436" t="s">
        <v>954</v>
      </c>
      <c r="AM173" s="445" t="s">
        <v>955</v>
      </c>
      <c r="AN173" s="450" t="s">
        <v>956</v>
      </c>
      <c r="AO173" s="460" t="s">
        <v>957</v>
      </c>
      <c r="AP173" s="823" t="s">
        <v>958</v>
      </c>
    </row>
    <row r="174" spans="1:42" ht="17.25" customHeight="1">
      <c r="C174" s="238" t="s">
        <v>238</v>
      </c>
      <c r="D174" s="239" t="s">
        <v>115</v>
      </c>
      <c r="E174" s="240" t="s">
        <v>959</v>
      </c>
      <c r="F174" s="241" t="s">
        <v>91</v>
      </c>
      <c r="G174" s="242" t="s">
        <v>960</v>
      </c>
      <c r="H174" s="292">
        <f t="shared" si="4"/>
        <v>97203.87</v>
      </c>
      <c r="I174" s="284"/>
      <c r="J174" s="249"/>
      <c r="K174" s="249"/>
      <c r="L174" s="249"/>
      <c r="M174" s="249"/>
      <c r="N174" s="249"/>
      <c r="O174" s="249"/>
      <c r="P174" s="249"/>
      <c r="Q174" s="249"/>
      <c r="R174" s="249"/>
      <c r="S174" s="249"/>
      <c r="T174" s="243"/>
      <c r="U174" s="829"/>
      <c r="V174" s="342"/>
      <c r="W174" s="706"/>
      <c r="X174" s="706"/>
      <c r="Y174" s="342">
        <f>97203.79+0.08</f>
        <v>97203.87</v>
      </c>
      <c r="Z174" s="243"/>
      <c r="AA174" s="829"/>
      <c r="AB174" s="342"/>
      <c r="AC174" s="342"/>
      <c r="AD174" s="342"/>
      <c r="AE174" s="342"/>
      <c r="AF174" s="245">
        <v>44234</v>
      </c>
      <c r="AG174" s="245">
        <v>44270</v>
      </c>
      <c r="AH174" s="241"/>
      <c r="AI174" s="300" t="s">
        <v>88</v>
      </c>
      <c r="AJ174" s="241">
        <v>100604248</v>
      </c>
      <c r="AK174" s="247">
        <v>75389775</v>
      </c>
      <c r="AL174" s="241" t="s">
        <v>961</v>
      </c>
      <c r="AM174" s="248">
        <v>8032720700</v>
      </c>
      <c r="AN174" s="830" t="s">
        <v>962</v>
      </c>
      <c r="AO174" s="242" t="s">
        <v>963</v>
      </c>
      <c r="AP174" s="831" t="s">
        <v>964</v>
      </c>
    </row>
    <row r="175" spans="1:42" ht="17.25" customHeight="1">
      <c r="C175" s="433" t="s">
        <v>238</v>
      </c>
      <c r="D175" s="434" t="s">
        <v>115</v>
      </c>
      <c r="E175" s="435" t="s">
        <v>965</v>
      </c>
      <c r="F175" s="436" t="s">
        <v>215</v>
      </c>
      <c r="G175" s="460"/>
      <c r="H175" s="437">
        <f t="shared" si="4"/>
        <v>1000</v>
      </c>
      <c r="I175" s="462"/>
      <c r="J175" s="463"/>
      <c r="K175" s="463"/>
      <c r="L175" s="463"/>
      <c r="M175" s="463"/>
      <c r="N175" s="463"/>
      <c r="O175" s="463"/>
      <c r="P175" s="463"/>
      <c r="Q175" s="463"/>
      <c r="R175" s="463"/>
      <c r="S175" s="463"/>
      <c r="T175" s="438"/>
      <c r="U175" s="822"/>
      <c r="V175" s="440"/>
      <c r="W175" s="703"/>
      <c r="X175" s="703"/>
      <c r="Y175" s="440">
        <v>1000</v>
      </c>
      <c r="Z175" s="438"/>
      <c r="AA175" s="822"/>
      <c r="AB175" s="440"/>
      <c r="AC175" s="440"/>
      <c r="AD175" s="440"/>
      <c r="AE175" s="440"/>
      <c r="AF175" s="441">
        <v>44381</v>
      </c>
      <c r="AG175" s="441">
        <v>44459</v>
      </c>
      <c r="AH175" s="442">
        <v>44459</v>
      </c>
      <c r="AI175" s="443">
        <v>1</v>
      </c>
      <c r="AJ175" s="436">
        <v>100733335</v>
      </c>
      <c r="AK175" s="444">
        <v>56649973</v>
      </c>
      <c r="AL175" s="436" t="s">
        <v>966</v>
      </c>
      <c r="AM175" s="445" t="s">
        <v>88</v>
      </c>
      <c r="AN175" s="824"/>
      <c r="AO175" s="460" t="s">
        <v>967</v>
      </c>
      <c r="AP175" s="825"/>
    </row>
    <row r="176" spans="1:42" ht="17.25" customHeight="1">
      <c r="C176" s="238" t="s">
        <v>238</v>
      </c>
      <c r="D176" s="239" t="s">
        <v>115</v>
      </c>
      <c r="E176" s="240" t="s">
        <v>968</v>
      </c>
      <c r="F176" s="241" t="s">
        <v>117</v>
      </c>
      <c r="G176" s="242" t="s">
        <v>969</v>
      </c>
      <c r="H176" s="292">
        <f t="shared" si="4"/>
        <v>24585.05</v>
      </c>
      <c r="I176" s="284"/>
      <c r="J176" s="249"/>
      <c r="K176" s="249"/>
      <c r="L176" s="249"/>
      <c r="M176" s="249"/>
      <c r="N176" s="249"/>
      <c r="O176" s="249"/>
      <c r="P176" s="249"/>
      <c r="Q176" s="249"/>
      <c r="R176" s="249"/>
      <c r="S176" s="249"/>
      <c r="T176" s="243"/>
      <c r="U176" s="829"/>
      <c r="V176" s="342"/>
      <c r="W176" s="706"/>
      <c r="X176" s="706"/>
      <c r="Y176" s="342">
        <v>24585.05</v>
      </c>
      <c r="Z176" s="243"/>
      <c r="AA176" s="829"/>
      <c r="AB176" s="342"/>
      <c r="AC176" s="342"/>
      <c r="AD176" s="342"/>
      <c r="AE176" s="342"/>
      <c r="AF176" s="245"/>
      <c r="AG176" s="245">
        <v>44466</v>
      </c>
      <c r="AH176" s="246">
        <v>44466</v>
      </c>
      <c r="AI176" s="300">
        <v>1</v>
      </c>
      <c r="AJ176" s="241">
        <v>100751479</v>
      </c>
      <c r="AK176" s="247">
        <v>16681983</v>
      </c>
      <c r="AL176" s="241" t="s">
        <v>970</v>
      </c>
      <c r="AM176" s="248"/>
      <c r="AN176" s="809"/>
      <c r="AO176" s="242" t="s">
        <v>971</v>
      </c>
      <c r="AP176" s="832"/>
    </row>
    <row r="177" spans="3:42" ht="17.25" customHeight="1">
      <c r="C177" s="447" t="s">
        <v>238</v>
      </c>
      <c r="D177" s="447" t="s">
        <v>205</v>
      </c>
      <c r="E177" s="208" t="s">
        <v>972</v>
      </c>
      <c r="F177" s="450" t="s">
        <v>117</v>
      </c>
      <c r="G177" s="805">
        <v>0.5</v>
      </c>
      <c r="H177" s="437">
        <f t="shared" ref="H177" si="5">SUM(I177:Y177)</f>
        <v>84982.87999999999</v>
      </c>
      <c r="I177" s="595"/>
      <c r="J177" s="451"/>
      <c r="K177" s="451"/>
      <c r="L177" s="451"/>
      <c r="M177" s="451"/>
      <c r="N177" s="451"/>
      <c r="O177" s="451"/>
      <c r="P177" s="451"/>
      <c r="Q177" s="451"/>
      <c r="R177" s="451"/>
      <c r="S177" s="451"/>
      <c r="T177" s="594"/>
      <c r="U177" s="210"/>
      <c r="V177" s="594"/>
      <c r="W177" s="616"/>
      <c r="X177" s="616">
        <f>84452.68+530.2</f>
        <v>84982.87999999999</v>
      </c>
      <c r="Y177" s="454"/>
      <c r="Z177" s="454"/>
      <c r="AA177" s="209"/>
      <c r="AB177" s="454"/>
      <c r="AC177" s="209"/>
      <c r="AD177" s="209"/>
      <c r="AE177" s="209"/>
      <c r="AF177" s="456">
        <v>42363</v>
      </c>
      <c r="AG177" s="456">
        <v>44300</v>
      </c>
      <c r="AH177" s="456">
        <v>44319</v>
      </c>
      <c r="AI177" s="457">
        <f t="shared" ref="AI177" si="6">(YEAR(AH177)-YEAR(AG177))*12+MONTH(AH177)-MONTH(AG177)</f>
        <v>1</v>
      </c>
      <c r="AJ177" s="450">
        <v>100605101</v>
      </c>
      <c r="AK177" s="450">
        <v>275792</v>
      </c>
      <c r="AL177" s="450" t="s">
        <v>973</v>
      </c>
      <c r="AM177" s="915">
        <v>8555947236</v>
      </c>
      <c r="AN177" s="453" t="s">
        <v>974</v>
      </c>
      <c r="AO177" s="459" t="s">
        <v>975</v>
      </c>
      <c r="AP177" s="453" t="s">
        <v>976</v>
      </c>
    </row>
    <row r="178" spans="3:42" ht="17.25" customHeight="1">
      <c r="C178" s="238" t="s">
        <v>238</v>
      </c>
      <c r="D178" s="239" t="s">
        <v>205</v>
      </c>
      <c r="E178" s="240" t="s">
        <v>977</v>
      </c>
      <c r="F178" s="241" t="s">
        <v>91</v>
      </c>
      <c r="G178" s="242"/>
      <c r="H178" s="292">
        <f t="shared" si="4"/>
        <v>20000</v>
      </c>
      <c r="I178" s="284"/>
      <c r="J178" s="249"/>
      <c r="K178" s="249"/>
      <c r="L178" s="249"/>
      <c r="M178" s="249"/>
      <c r="N178" s="249"/>
      <c r="O178" s="249"/>
      <c r="P178" s="249"/>
      <c r="Q178" s="249"/>
      <c r="R178" s="249"/>
      <c r="S178" s="249"/>
      <c r="T178" s="243"/>
      <c r="U178" s="829"/>
      <c r="V178" s="342"/>
      <c r="W178" s="706"/>
      <c r="X178" s="706"/>
      <c r="Y178" s="342">
        <v>20000</v>
      </c>
      <c r="Z178" s="243"/>
      <c r="AA178" s="829"/>
      <c r="AB178" s="342"/>
      <c r="AC178" s="342"/>
      <c r="AD178" s="342"/>
      <c r="AE178" s="342"/>
      <c r="AF178" s="245">
        <v>44357</v>
      </c>
      <c r="AG178" s="245">
        <v>44431</v>
      </c>
      <c r="AH178" s="246">
        <v>44575</v>
      </c>
      <c r="AI178" s="300">
        <f>(YEAR(AH178)-YEAR(AG178))*12+MONTH(AH178)-MONTH(AG178)</f>
        <v>5</v>
      </c>
      <c r="AJ178" s="241">
        <v>2589000</v>
      </c>
      <c r="AK178" s="247">
        <v>100799227</v>
      </c>
      <c r="AL178" s="241" t="s">
        <v>978</v>
      </c>
      <c r="AM178" s="248" t="s">
        <v>979</v>
      </c>
      <c r="AN178" s="199" t="s">
        <v>980</v>
      </c>
      <c r="AO178" s="242" t="s">
        <v>981</v>
      </c>
      <c r="AP178" s="832"/>
    </row>
    <row r="179" spans="3:42" ht="17.25" customHeight="1">
      <c r="C179" s="433" t="s">
        <v>238</v>
      </c>
      <c r="D179" s="434" t="s">
        <v>115</v>
      </c>
      <c r="E179" s="435" t="s">
        <v>982</v>
      </c>
      <c r="F179" s="436" t="s">
        <v>215</v>
      </c>
      <c r="G179" s="827"/>
      <c r="H179" s="437">
        <f t="shared" si="4"/>
        <v>250</v>
      </c>
      <c r="I179" s="462"/>
      <c r="J179" s="463"/>
      <c r="K179" s="463"/>
      <c r="L179" s="463"/>
      <c r="M179" s="463"/>
      <c r="N179" s="463"/>
      <c r="O179" s="463"/>
      <c r="P179" s="463"/>
      <c r="Q179" s="463"/>
      <c r="R179" s="463"/>
      <c r="S179" s="463"/>
      <c r="T179" s="438"/>
      <c r="U179" s="822"/>
      <c r="V179" s="440"/>
      <c r="W179" s="703"/>
      <c r="X179" s="703"/>
      <c r="Y179" s="440">
        <v>250</v>
      </c>
      <c r="Z179" s="438"/>
      <c r="AA179" s="822"/>
      <c r="AB179" s="440"/>
      <c r="AC179" s="440"/>
      <c r="AD179" s="440"/>
      <c r="AE179" s="440"/>
      <c r="AF179" s="441">
        <v>43540</v>
      </c>
      <c r="AG179" s="441">
        <v>44362</v>
      </c>
      <c r="AH179" s="442"/>
      <c r="AI179" s="443"/>
      <c r="AJ179" s="436">
        <v>100649837</v>
      </c>
      <c r="AK179" s="444">
        <v>87723789</v>
      </c>
      <c r="AL179" s="436" t="s">
        <v>983</v>
      </c>
      <c r="AM179" s="445" t="s">
        <v>984</v>
      </c>
      <c r="AN179" s="450" t="s">
        <v>985</v>
      </c>
      <c r="AO179" s="460" t="s">
        <v>986</v>
      </c>
      <c r="AP179" s="823"/>
    </row>
    <row r="180" spans="3:42" ht="17.25" customHeight="1">
      <c r="C180" s="238" t="s">
        <v>238</v>
      </c>
      <c r="D180" s="239" t="s">
        <v>115</v>
      </c>
      <c r="E180" s="240" t="s">
        <v>987</v>
      </c>
      <c r="F180" s="241" t="s">
        <v>215</v>
      </c>
      <c r="G180" s="833" t="s">
        <v>988</v>
      </c>
      <c r="H180" s="292">
        <f t="shared" si="4"/>
        <v>55839.73</v>
      </c>
      <c r="I180" s="284"/>
      <c r="J180" s="249"/>
      <c r="K180" s="249"/>
      <c r="L180" s="249"/>
      <c r="M180" s="249"/>
      <c r="N180" s="249"/>
      <c r="O180" s="249"/>
      <c r="P180" s="249"/>
      <c r="Q180" s="249"/>
      <c r="R180" s="249"/>
      <c r="S180" s="249"/>
      <c r="T180" s="243"/>
      <c r="U180" s="829"/>
      <c r="V180" s="342"/>
      <c r="W180" s="706"/>
      <c r="X180" s="706"/>
      <c r="Y180" s="243">
        <v>55839.73</v>
      </c>
      <c r="Z180" s="243"/>
      <c r="AA180" s="829"/>
      <c r="AB180" s="342"/>
      <c r="AC180" s="342"/>
      <c r="AD180" s="342"/>
      <c r="AE180" s="342"/>
      <c r="AF180" s="245">
        <v>43534</v>
      </c>
      <c r="AG180" s="245">
        <v>43608</v>
      </c>
      <c r="AH180" s="246">
        <v>44663</v>
      </c>
      <c r="AI180" s="300">
        <f>(YEAR(AH180)-YEAR(AG180))*12+MONTH(AH180)-MONTH(AG180)</f>
        <v>35</v>
      </c>
      <c r="AJ180" s="241">
        <v>100211215</v>
      </c>
      <c r="AK180" s="247">
        <v>19405984</v>
      </c>
      <c r="AL180" s="241" t="s">
        <v>989</v>
      </c>
      <c r="AM180" s="248" t="s">
        <v>990</v>
      </c>
      <c r="AN180" s="199" t="s">
        <v>991</v>
      </c>
      <c r="AO180" s="200" t="s">
        <v>992</v>
      </c>
      <c r="AP180" s="798" t="s">
        <v>993</v>
      </c>
    </row>
    <row r="181" spans="3:42" ht="17.25" customHeight="1">
      <c r="C181" s="433" t="s">
        <v>238</v>
      </c>
      <c r="D181" s="434" t="s">
        <v>205</v>
      </c>
      <c r="E181" s="435" t="s">
        <v>994</v>
      </c>
      <c r="F181" s="436" t="s">
        <v>215</v>
      </c>
      <c r="G181" s="827" t="s">
        <v>995</v>
      </c>
      <c r="H181" s="437">
        <f t="shared" si="4"/>
        <v>130407.62</v>
      </c>
      <c r="I181" s="462"/>
      <c r="J181" s="463"/>
      <c r="K181" s="463"/>
      <c r="L181" s="463"/>
      <c r="M181" s="463"/>
      <c r="N181" s="463"/>
      <c r="O181" s="463"/>
      <c r="P181" s="463"/>
      <c r="Q181" s="463"/>
      <c r="R181" s="463"/>
      <c r="S181" s="463"/>
      <c r="T181" s="438"/>
      <c r="U181" s="822"/>
      <c r="V181" s="440"/>
      <c r="W181" s="703">
        <v>3710.04</v>
      </c>
      <c r="X181" s="703">
        <v>90000</v>
      </c>
      <c r="Y181" s="438">
        <v>36697.58</v>
      </c>
      <c r="Z181" s="438"/>
      <c r="AA181" s="822"/>
      <c r="AB181" s="440"/>
      <c r="AC181" s="440"/>
      <c r="AD181" s="440"/>
      <c r="AE181" s="440"/>
      <c r="AF181" s="441">
        <v>43311</v>
      </c>
      <c r="AG181" s="441">
        <v>43391</v>
      </c>
      <c r="AH181" s="442">
        <v>44509</v>
      </c>
      <c r="AI181" s="443">
        <f>(YEAR(AH181)-YEAR(AG181))*12+MONTH(AH181)-MONTH(AG181)</f>
        <v>37</v>
      </c>
      <c r="AJ181" s="436"/>
      <c r="AK181" s="444">
        <v>51338572</v>
      </c>
      <c r="AL181" s="436" t="s">
        <v>996</v>
      </c>
      <c r="AM181" s="445" t="s">
        <v>997</v>
      </c>
      <c r="AN181" s="817" t="s">
        <v>998</v>
      </c>
      <c r="AO181" s="208" t="s">
        <v>999</v>
      </c>
      <c r="AP181" s="541" t="s">
        <v>1000</v>
      </c>
    </row>
    <row r="182" spans="3:42" ht="17.25" customHeight="1">
      <c r="C182" s="197" t="s">
        <v>238</v>
      </c>
      <c r="D182" s="212" t="s">
        <v>115</v>
      </c>
      <c r="E182" s="198" t="s">
        <v>1001</v>
      </c>
      <c r="F182" s="199" t="s">
        <v>215</v>
      </c>
      <c r="G182" s="219" t="s">
        <v>1002</v>
      </c>
      <c r="H182" s="292">
        <f t="shared" si="4"/>
        <v>94759.360000000001</v>
      </c>
      <c r="I182" s="283"/>
      <c r="J182" s="206"/>
      <c r="K182" s="206"/>
      <c r="L182" s="206"/>
      <c r="M182" s="206"/>
      <c r="N182" s="206"/>
      <c r="O182" s="206"/>
      <c r="P182" s="206"/>
      <c r="Q182" s="206"/>
      <c r="R182" s="206"/>
      <c r="S182" s="206"/>
      <c r="T182" s="201"/>
      <c r="U182" s="338"/>
      <c r="V182" s="341"/>
      <c r="W182" s="510">
        <v>78686.02</v>
      </c>
      <c r="X182" s="510"/>
      <c r="Y182" s="341">
        <f>13862.6+2210.74</f>
        <v>16073.34</v>
      </c>
      <c r="Z182" s="201">
        <v>0.16</v>
      </c>
      <c r="AA182" s="338"/>
      <c r="AB182" s="341"/>
      <c r="AC182" s="341"/>
      <c r="AD182" s="341"/>
      <c r="AE182" s="341"/>
      <c r="AF182" s="203">
        <v>43527</v>
      </c>
      <c r="AG182" s="203">
        <v>43594</v>
      </c>
      <c r="AH182" s="204">
        <v>44501</v>
      </c>
      <c r="AI182" s="509">
        <f>(YEAR(AH182)-YEAR(AG182))*12+MONTH(AH182)-MONTH(AG182)</f>
        <v>30</v>
      </c>
      <c r="AJ182" s="199">
        <v>100320302</v>
      </c>
      <c r="AK182" s="200">
        <v>581421</v>
      </c>
      <c r="AL182" s="199" t="s">
        <v>1003</v>
      </c>
      <c r="AM182" s="205">
        <v>4152222425</v>
      </c>
      <c r="AN182" s="834" t="s">
        <v>1004</v>
      </c>
      <c r="AO182" s="219" t="s">
        <v>1005</v>
      </c>
      <c r="AP182" s="799" t="s">
        <v>1006</v>
      </c>
    </row>
    <row r="183" spans="3:42" ht="17.25" customHeight="1">
      <c r="C183" s="447" t="s">
        <v>238</v>
      </c>
      <c r="D183" s="448" t="s">
        <v>115</v>
      </c>
      <c r="E183" s="449" t="s">
        <v>1007</v>
      </c>
      <c r="F183" s="450" t="s">
        <v>215</v>
      </c>
      <c r="G183" s="451" t="s">
        <v>88</v>
      </c>
      <c r="H183" s="437">
        <f t="shared" si="4"/>
        <v>5000</v>
      </c>
      <c r="I183" s="452"/>
      <c r="J183" s="453"/>
      <c r="K183" s="453"/>
      <c r="L183" s="453"/>
      <c r="M183" s="453"/>
      <c r="N183" s="453"/>
      <c r="O183" s="453"/>
      <c r="P183" s="453"/>
      <c r="Q183" s="453"/>
      <c r="R183" s="453"/>
      <c r="S183" s="453"/>
      <c r="T183" s="209"/>
      <c r="U183" s="594"/>
      <c r="V183" s="454"/>
      <c r="W183" s="616">
        <v>5000</v>
      </c>
      <c r="X183" s="616"/>
      <c r="Y183" s="454"/>
      <c r="Z183" s="209"/>
      <c r="AA183" s="594"/>
      <c r="AB183" s="454"/>
      <c r="AC183" s="454"/>
      <c r="AD183" s="454"/>
      <c r="AE183" s="454"/>
      <c r="AF183" s="455">
        <v>43663</v>
      </c>
      <c r="AG183" s="455">
        <v>43733</v>
      </c>
      <c r="AH183" s="456"/>
      <c r="AI183" s="595"/>
      <c r="AJ183" s="450">
        <v>100304038</v>
      </c>
      <c r="AK183" s="208">
        <v>92747807</v>
      </c>
      <c r="AL183" s="450" t="s">
        <v>1008</v>
      </c>
      <c r="AM183" s="458" t="s">
        <v>1009</v>
      </c>
      <c r="AN183" s="817" t="s">
        <v>1010</v>
      </c>
      <c r="AO183" s="451" t="s">
        <v>1011</v>
      </c>
      <c r="AP183" s="804"/>
    </row>
    <row r="184" spans="3:42" ht="17.25" customHeight="1">
      <c r="C184" s="238" t="s">
        <v>238</v>
      </c>
      <c r="D184" s="239" t="s">
        <v>205</v>
      </c>
      <c r="E184" s="240" t="s">
        <v>1012</v>
      </c>
      <c r="F184" s="241" t="s">
        <v>215</v>
      </c>
      <c r="G184" s="242" t="s">
        <v>1013</v>
      </c>
      <c r="H184" s="292">
        <f>SUM(I184:V184)</f>
        <v>136530.74</v>
      </c>
      <c r="I184" s="284"/>
      <c r="J184" s="249"/>
      <c r="K184" s="249"/>
      <c r="L184" s="249"/>
      <c r="M184" s="249"/>
      <c r="N184" s="249"/>
      <c r="O184" s="249"/>
      <c r="P184" s="249"/>
      <c r="Q184" s="249"/>
      <c r="R184" s="249"/>
      <c r="S184" s="249"/>
      <c r="T184" s="243"/>
      <c r="U184" s="244"/>
      <c r="V184" s="342">
        <f>SUM(78932.97+57597.77)</f>
        <v>136530.74</v>
      </c>
      <c r="W184" s="706"/>
      <c r="X184" s="706"/>
      <c r="Y184" s="342">
        <f>3067.35+1385.72</f>
        <v>4453.07</v>
      </c>
      <c r="Z184" s="243"/>
      <c r="AA184" s="244"/>
      <c r="AB184" s="342"/>
      <c r="AC184" s="342"/>
      <c r="AD184" s="342"/>
      <c r="AE184" s="342"/>
      <c r="AF184" s="245">
        <v>43236</v>
      </c>
      <c r="AG184" s="245">
        <v>43217</v>
      </c>
      <c r="AH184" s="246">
        <v>43437</v>
      </c>
      <c r="AI184" s="300">
        <f>(YEAR(AH184)-YEAR(AG184))*12+MONTH(AH184)-MONTH(AG184)</f>
        <v>8</v>
      </c>
      <c r="AJ184" s="241" t="s">
        <v>88</v>
      </c>
      <c r="AK184" s="247">
        <v>24100885</v>
      </c>
      <c r="AL184" s="241" t="s">
        <v>1014</v>
      </c>
      <c r="AM184" s="248" t="s">
        <v>88</v>
      </c>
      <c r="AN184" s="249"/>
      <c r="AO184" s="250" t="s">
        <v>1015</v>
      </c>
      <c r="AP184" s="464" t="s">
        <v>1016</v>
      </c>
    </row>
    <row r="185" spans="3:42" ht="17.25" customHeight="1">
      <c r="C185" s="447" t="s">
        <v>238</v>
      </c>
      <c r="D185" s="448" t="s">
        <v>205</v>
      </c>
      <c r="E185" s="449" t="s">
        <v>1017</v>
      </c>
      <c r="F185" s="450" t="s">
        <v>91</v>
      </c>
      <c r="G185" s="451" t="s">
        <v>1018</v>
      </c>
      <c r="H185" s="437">
        <f t="shared" ref="H185:H198" si="7">SUM(I185:Y185)</f>
        <v>228548.92</v>
      </c>
      <c r="I185" s="452"/>
      <c r="J185" s="453"/>
      <c r="K185" s="453"/>
      <c r="L185" s="453"/>
      <c r="M185" s="453"/>
      <c r="N185" s="453"/>
      <c r="O185" s="453"/>
      <c r="P185" s="453"/>
      <c r="Q185" s="453"/>
      <c r="R185" s="453"/>
      <c r="S185" s="453"/>
      <c r="T185" s="209"/>
      <c r="U185" s="594"/>
      <c r="V185" s="454"/>
      <c r="W185" s="616"/>
      <c r="X185" s="616"/>
      <c r="Y185" s="209">
        <v>228548.92</v>
      </c>
      <c r="Z185" s="209"/>
      <c r="AA185" s="594"/>
      <c r="AB185" s="454"/>
      <c r="AC185" s="454"/>
      <c r="AD185" s="454"/>
      <c r="AE185" s="454"/>
      <c r="AF185" s="455">
        <v>43556</v>
      </c>
      <c r="AG185" s="455">
        <v>43698</v>
      </c>
      <c r="AH185" s="456">
        <v>44483</v>
      </c>
      <c r="AI185" s="443">
        <f>(YEAR(AH185)-YEAR(AG185))*12+MONTH(AH185)-MONTH(AG185)</f>
        <v>26</v>
      </c>
      <c r="AJ185" s="450">
        <v>100235988</v>
      </c>
      <c r="AK185" s="208">
        <v>40638397</v>
      </c>
      <c r="AL185" s="450" t="s">
        <v>1019</v>
      </c>
      <c r="AM185" s="458" t="s">
        <v>1020</v>
      </c>
      <c r="AN185" s="450" t="s">
        <v>1021</v>
      </c>
      <c r="AO185" s="451" t="s">
        <v>1022</v>
      </c>
      <c r="AP185" s="803" t="s">
        <v>1023</v>
      </c>
    </row>
    <row r="186" spans="3:42" ht="17.25" customHeight="1">
      <c r="C186" s="197" t="s">
        <v>238</v>
      </c>
      <c r="D186" s="212" t="s">
        <v>205</v>
      </c>
      <c r="E186" s="198" t="s">
        <v>1024</v>
      </c>
      <c r="F186" s="199" t="s">
        <v>215</v>
      </c>
      <c r="G186" s="219"/>
      <c r="H186" s="292">
        <f t="shared" si="7"/>
        <v>60000</v>
      </c>
      <c r="I186" s="283"/>
      <c r="J186" s="206"/>
      <c r="K186" s="206"/>
      <c r="L186" s="206"/>
      <c r="M186" s="206"/>
      <c r="N186" s="206"/>
      <c r="O186" s="206"/>
      <c r="P186" s="206"/>
      <c r="Q186" s="206"/>
      <c r="R186" s="206"/>
      <c r="S186" s="206"/>
      <c r="T186" s="201"/>
      <c r="U186" s="338"/>
      <c r="V186" s="341"/>
      <c r="W186" s="510"/>
      <c r="X186" s="510"/>
      <c r="Y186" s="341">
        <v>60000</v>
      </c>
      <c r="Z186" s="201"/>
      <c r="AA186" s="338"/>
      <c r="AB186" s="341">
        <v>1000</v>
      </c>
      <c r="AC186" s="341"/>
      <c r="AD186" s="341"/>
      <c r="AE186" s="341"/>
      <c r="AF186" s="203">
        <v>43908</v>
      </c>
      <c r="AG186" s="203">
        <v>44386</v>
      </c>
      <c r="AH186" s="204">
        <v>44474</v>
      </c>
      <c r="AI186" s="509">
        <f>(YEAR(AH186)-YEAR(AG186))*12+MONTH(AH186)-MONTH(AG186)</f>
        <v>3</v>
      </c>
      <c r="AJ186" s="199">
        <v>100659525</v>
      </c>
      <c r="AK186" s="200">
        <v>27625052</v>
      </c>
      <c r="AL186" s="199" t="s">
        <v>1025</v>
      </c>
      <c r="AM186" s="205">
        <v>6506251477</v>
      </c>
      <c r="AN186" s="905" t="s">
        <v>1026</v>
      </c>
      <c r="AO186" s="219" t="s">
        <v>1027</v>
      </c>
      <c r="AP186" s="799"/>
    </row>
    <row r="187" spans="3:42" ht="17.25" customHeight="1">
      <c r="C187" s="447" t="s">
        <v>238</v>
      </c>
      <c r="D187" s="448" t="s">
        <v>115</v>
      </c>
      <c r="E187" s="449" t="s">
        <v>1028</v>
      </c>
      <c r="F187" s="450" t="s">
        <v>215</v>
      </c>
      <c r="G187" s="451"/>
      <c r="H187" s="437"/>
      <c r="I187" s="452"/>
      <c r="J187" s="453"/>
      <c r="K187" s="453"/>
      <c r="L187" s="453"/>
      <c r="M187" s="453"/>
      <c r="N187" s="453"/>
      <c r="O187" s="453"/>
      <c r="P187" s="453"/>
      <c r="Q187" s="453"/>
      <c r="R187" s="453"/>
      <c r="S187" s="453"/>
      <c r="T187" s="209"/>
      <c r="U187" s="594"/>
      <c r="V187" s="454"/>
      <c r="W187" s="616"/>
      <c r="X187" s="616"/>
      <c r="Y187" s="454">
        <v>3000</v>
      </c>
      <c r="Z187" s="209"/>
      <c r="AA187" s="594"/>
      <c r="AB187" s="454"/>
      <c r="AC187" s="454"/>
      <c r="AD187" s="454"/>
      <c r="AE187" s="454"/>
      <c r="AF187" s="455">
        <v>43917</v>
      </c>
      <c r="AG187" s="455">
        <v>44616</v>
      </c>
      <c r="AH187" s="450"/>
      <c r="AI187" s="595"/>
      <c r="AJ187" s="450">
        <v>50978790</v>
      </c>
      <c r="AK187" s="208">
        <v>100808120</v>
      </c>
      <c r="AL187" s="450" t="s">
        <v>1029</v>
      </c>
      <c r="AM187" s="458" t="s">
        <v>1030</v>
      </c>
      <c r="AN187" s="450" t="s">
        <v>1031</v>
      </c>
      <c r="AO187" s="451" t="s">
        <v>1032</v>
      </c>
      <c r="AP187" s="816"/>
    </row>
    <row r="188" spans="3:42" ht="17.25" customHeight="1">
      <c r="C188" s="197" t="s">
        <v>238</v>
      </c>
      <c r="D188" s="212" t="s">
        <v>115</v>
      </c>
      <c r="E188" s="198" t="s">
        <v>1033</v>
      </c>
      <c r="F188" s="199" t="s">
        <v>215</v>
      </c>
      <c r="G188" s="219"/>
      <c r="H188" s="292">
        <v>2894.16</v>
      </c>
      <c r="I188" s="283"/>
      <c r="J188" s="206"/>
      <c r="K188" s="206"/>
      <c r="L188" s="206"/>
      <c r="M188" s="206"/>
      <c r="N188" s="206"/>
      <c r="O188" s="206"/>
      <c r="P188" s="206"/>
      <c r="Q188" s="206"/>
      <c r="R188" s="206"/>
      <c r="S188" s="206"/>
      <c r="T188" s="201"/>
      <c r="U188" s="338"/>
      <c r="V188" s="341"/>
      <c r="W188" s="510"/>
      <c r="X188" s="510"/>
      <c r="Y188" s="341">
        <v>2894.16</v>
      </c>
      <c r="Z188" s="201"/>
      <c r="AA188" s="338"/>
      <c r="AB188" s="341"/>
      <c r="AC188" s="341"/>
      <c r="AD188" s="341"/>
      <c r="AE188" s="341"/>
      <c r="AF188" s="203">
        <v>43103</v>
      </c>
      <c r="AG188" s="203">
        <v>44555</v>
      </c>
      <c r="AH188" s="204">
        <v>44555</v>
      </c>
      <c r="AI188" s="509">
        <v>1</v>
      </c>
      <c r="AJ188" s="199">
        <v>100793402</v>
      </c>
      <c r="AK188" s="200">
        <v>27328178</v>
      </c>
      <c r="AL188" s="199" t="s">
        <v>1034</v>
      </c>
      <c r="AM188" s="205">
        <v>6192282293</v>
      </c>
      <c r="AN188" s="199"/>
      <c r="AO188" s="219" t="s">
        <v>1035</v>
      </c>
      <c r="AP188" s="821"/>
    </row>
    <row r="189" spans="3:42" ht="17.25" customHeight="1">
      <c r="C189" s="447" t="s">
        <v>238</v>
      </c>
      <c r="D189" s="448" t="s">
        <v>115</v>
      </c>
      <c r="E189" s="449" t="s">
        <v>1036</v>
      </c>
      <c r="F189" s="450" t="s">
        <v>215</v>
      </c>
      <c r="G189" s="451" t="s">
        <v>1037</v>
      </c>
      <c r="H189" s="437">
        <v>8236.94</v>
      </c>
      <c r="I189" s="452"/>
      <c r="J189" s="453"/>
      <c r="K189" s="453"/>
      <c r="L189" s="453"/>
      <c r="M189" s="453"/>
      <c r="N189" s="453"/>
      <c r="O189" s="453"/>
      <c r="P189" s="453"/>
      <c r="Q189" s="453"/>
      <c r="R189" s="453"/>
      <c r="S189" s="453"/>
      <c r="T189" s="209"/>
      <c r="U189" s="594"/>
      <c r="V189" s="454"/>
      <c r="W189" s="616"/>
      <c r="X189" s="616"/>
      <c r="Y189" s="454">
        <v>8236.94</v>
      </c>
      <c r="Z189" s="209"/>
      <c r="AA189" s="594"/>
      <c r="AB189" s="454"/>
      <c r="AC189" s="454"/>
      <c r="AD189" s="454"/>
      <c r="AE189" s="454"/>
      <c r="AF189" s="455">
        <v>43646</v>
      </c>
      <c r="AG189" s="455">
        <v>43693</v>
      </c>
      <c r="AH189" s="456">
        <v>44555</v>
      </c>
      <c r="AI189" s="595">
        <f>(YEAR(AH189)-YEAR(AG189))*12+MONTH(AH189)-MONTH(AG189)</f>
        <v>28</v>
      </c>
      <c r="AJ189" s="450">
        <v>100353172</v>
      </c>
      <c r="AK189" s="208">
        <v>601088</v>
      </c>
      <c r="AL189" s="450" t="s">
        <v>1038</v>
      </c>
      <c r="AM189" s="458" t="s">
        <v>1039</v>
      </c>
      <c r="AN189" s="450" t="s">
        <v>1040</v>
      </c>
      <c r="AO189" s="451" t="s">
        <v>1041</v>
      </c>
      <c r="AP189" s="816"/>
    </row>
    <row r="190" spans="3:42" ht="17.25" customHeight="1">
      <c r="C190" s="197" t="s">
        <v>238</v>
      </c>
      <c r="D190" s="212" t="s">
        <v>115</v>
      </c>
      <c r="E190" s="198" t="s">
        <v>1042</v>
      </c>
      <c r="F190" s="199" t="s">
        <v>91</v>
      </c>
      <c r="G190" s="219" t="s">
        <v>1043</v>
      </c>
      <c r="H190" s="292">
        <f t="shared" si="7"/>
        <v>323813.09999999998</v>
      </c>
      <c r="I190" s="283"/>
      <c r="J190" s="206"/>
      <c r="K190" s="206"/>
      <c r="L190" s="206"/>
      <c r="M190" s="206"/>
      <c r="N190" s="206"/>
      <c r="O190" s="206"/>
      <c r="P190" s="206"/>
      <c r="Q190" s="206"/>
      <c r="R190" s="206"/>
      <c r="S190" s="206"/>
      <c r="T190" s="201"/>
      <c r="U190" s="338"/>
      <c r="V190" s="341"/>
      <c r="W190" s="510"/>
      <c r="X190" s="510"/>
      <c r="Y190" s="341">
        <v>323813.09999999998</v>
      </c>
      <c r="Z190" s="201"/>
      <c r="AA190" s="338"/>
      <c r="AB190" s="341"/>
      <c r="AC190" s="341"/>
      <c r="AD190" s="341"/>
      <c r="AE190" s="341"/>
      <c r="AF190" s="203">
        <v>44192</v>
      </c>
      <c r="AG190" s="203">
        <v>44462</v>
      </c>
      <c r="AH190" s="204">
        <v>44494</v>
      </c>
      <c r="AI190" s="509">
        <f t="shared" ref="AI190:AI191" si="8">(YEAR(AH190)-YEAR(AG190))*12+MONTH(AH190)-MONTH(AG190)</f>
        <v>1</v>
      </c>
      <c r="AJ190" s="199">
        <v>100744474</v>
      </c>
      <c r="AK190" s="200">
        <v>97857056</v>
      </c>
      <c r="AL190" s="199" t="s">
        <v>1044</v>
      </c>
      <c r="AM190" s="205" t="s">
        <v>1045</v>
      </c>
      <c r="AN190" s="199" t="s">
        <v>634</v>
      </c>
      <c r="AO190" s="200" t="s">
        <v>1046</v>
      </c>
      <c r="AP190" s="206" t="s">
        <v>1047</v>
      </c>
    </row>
    <row r="191" spans="3:42" ht="17.25" customHeight="1">
      <c r="C191" s="447" t="s">
        <v>238</v>
      </c>
      <c r="D191" s="448" t="s">
        <v>205</v>
      </c>
      <c r="E191" s="449" t="s">
        <v>1048</v>
      </c>
      <c r="F191" s="450" t="s">
        <v>215</v>
      </c>
      <c r="G191" s="451" t="s">
        <v>1049</v>
      </c>
      <c r="H191" s="437">
        <f t="shared" si="7"/>
        <v>27440.720000000001</v>
      </c>
      <c r="I191" s="452"/>
      <c r="J191" s="453"/>
      <c r="K191" s="453"/>
      <c r="L191" s="453"/>
      <c r="M191" s="453"/>
      <c r="N191" s="453"/>
      <c r="O191" s="453"/>
      <c r="P191" s="453"/>
      <c r="Q191" s="453"/>
      <c r="R191" s="453"/>
      <c r="S191" s="453"/>
      <c r="T191" s="209"/>
      <c r="U191" s="594"/>
      <c r="V191" s="454"/>
      <c r="W191" s="616"/>
      <c r="X191" s="616">
        <v>24705</v>
      </c>
      <c r="Y191" s="209">
        <v>2735.72</v>
      </c>
      <c r="Z191" s="923"/>
      <c r="AA191" s="594"/>
      <c r="AB191" s="454"/>
      <c r="AC191" s="454"/>
      <c r="AD191" s="454"/>
      <c r="AE191" s="454"/>
      <c r="AF191" s="455">
        <v>42965</v>
      </c>
      <c r="AG191" s="455">
        <v>43091</v>
      </c>
      <c r="AH191" s="456">
        <v>44555</v>
      </c>
      <c r="AI191" s="595">
        <f t="shared" si="8"/>
        <v>48</v>
      </c>
      <c r="AJ191" s="450">
        <v>100334493</v>
      </c>
      <c r="AK191" s="208">
        <v>16905697</v>
      </c>
      <c r="AL191" s="450" t="s">
        <v>191</v>
      </c>
      <c r="AM191" s="458" t="s">
        <v>1050</v>
      </c>
      <c r="AN191" s="817" t="s">
        <v>1051</v>
      </c>
      <c r="AO191" s="451" t="s">
        <v>1052</v>
      </c>
      <c r="AP191" s="816" t="s">
        <v>1053</v>
      </c>
    </row>
    <row r="192" spans="3:42" ht="17.25" customHeight="1">
      <c r="C192" s="197" t="s">
        <v>238</v>
      </c>
      <c r="D192" s="212" t="s">
        <v>115</v>
      </c>
      <c r="E192" s="198" t="s">
        <v>1054</v>
      </c>
      <c r="F192" s="199" t="s">
        <v>91</v>
      </c>
      <c r="G192" s="219" t="s">
        <v>1055</v>
      </c>
      <c r="H192" s="292">
        <f>SUM(I192:Y192)</f>
        <v>3509.82</v>
      </c>
      <c r="I192" s="283"/>
      <c r="J192" s="206"/>
      <c r="K192" s="206"/>
      <c r="L192" s="206"/>
      <c r="M192" s="206"/>
      <c r="N192" s="206"/>
      <c r="O192" s="206"/>
      <c r="P192" s="206"/>
      <c r="Q192" s="206"/>
      <c r="R192" s="206"/>
      <c r="S192" s="206"/>
      <c r="T192" s="201"/>
      <c r="U192" s="202"/>
      <c r="V192" s="341">
        <v>0</v>
      </c>
      <c r="W192" s="704"/>
      <c r="X192" s="510"/>
      <c r="Y192" s="341">
        <v>3509.82</v>
      </c>
      <c r="Z192" s="201"/>
      <c r="AA192" s="338"/>
      <c r="AB192" s="341"/>
      <c r="AC192" s="341"/>
      <c r="AD192" s="341"/>
      <c r="AE192" s="341"/>
      <c r="AF192" s="204">
        <v>41679</v>
      </c>
      <c r="AG192" s="200"/>
      <c r="AH192" s="204">
        <v>44455</v>
      </c>
      <c r="AI192" s="299"/>
      <c r="AJ192" s="199"/>
      <c r="AK192" s="200">
        <v>11503422</v>
      </c>
      <c r="AL192" s="199" t="s">
        <v>1056</v>
      </c>
      <c r="AM192" s="205">
        <v>4076784055</v>
      </c>
      <c r="AN192" s="206"/>
      <c r="AO192" s="207"/>
      <c r="AP192" s="207"/>
    </row>
    <row r="193" spans="3:42" ht="17.25" customHeight="1">
      <c r="C193" s="447" t="s">
        <v>238</v>
      </c>
      <c r="D193" s="448" t="s">
        <v>115</v>
      </c>
      <c r="E193" s="449" t="s">
        <v>1057</v>
      </c>
      <c r="F193" s="450" t="s">
        <v>215</v>
      </c>
      <c r="G193" s="451" t="s">
        <v>1058</v>
      </c>
      <c r="H193" s="437">
        <f t="shared" si="7"/>
        <v>1589.2</v>
      </c>
      <c r="I193" s="452"/>
      <c r="J193" s="453"/>
      <c r="K193" s="453"/>
      <c r="L193" s="453"/>
      <c r="M193" s="453"/>
      <c r="N193" s="453"/>
      <c r="O193" s="451"/>
      <c r="P193" s="453"/>
      <c r="Q193" s="451"/>
      <c r="R193" s="453"/>
      <c r="S193" s="453"/>
      <c r="T193" s="209"/>
      <c r="U193" s="594"/>
      <c r="V193" s="454"/>
      <c r="W193" s="616"/>
      <c r="X193" s="616"/>
      <c r="Y193" s="454">
        <v>1589.2</v>
      </c>
      <c r="Z193" s="209"/>
      <c r="AA193" s="594"/>
      <c r="AB193" s="454"/>
      <c r="AC193" s="454"/>
      <c r="AD193" s="454"/>
      <c r="AE193" s="454"/>
      <c r="AF193" s="902">
        <v>44149</v>
      </c>
      <c r="AG193" s="621">
        <v>44377</v>
      </c>
      <c r="AH193" s="456">
        <v>44398</v>
      </c>
      <c r="AI193" s="595">
        <v>1</v>
      </c>
      <c r="AJ193" s="450">
        <v>52575800</v>
      </c>
      <c r="AK193" s="208">
        <v>100662624</v>
      </c>
      <c r="AL193" s="450" t="s">
        <v>1059</v>
      </c>
      <c r="AM193" s="458" t="s">
        <v>1060</v>
      </c>
      <c r="AN193" s="450" t="s">
        <v>1061</v>
      </c>
      <c r="AO193" s="451" t="s">
        <v>1062</v>
      </c>
      <c r="AP193" s="816"/>
    </row>
    <row r="194" spans="3:42" ht="17.25" customHeight="1">
      <c r="C194" s="197" t="s">
        <v>238</v>
      </c>
      <c r="D194" s="212" t="s">
        <v>115</v>
      </c>
      <c r="E194" s="198" t="s">
        <v>1063</v>
      </c>
      <c r="F194" s="199" t="s">
        <v>215</v>
      </c>
      <c r="G194" s="219" t="s">
        <v>1064</v>
      </c>
      <c r="H194" s="292">
        <f t="shared" si="7"/>
        <v>44984.05</v>
      </c>
      <c r="I194" s="283"/>
      <c r="J194" s="206"/>
      <c r="K194" s="206"/>
      <c r="L194" s="206"/>
      <c r="M194" s="206"/>
      <c r="N194" s="206"/>
      <c r="O194" s="338"/>
      <c r="P194" s="206"/>
      <c r="Q194" s="338"/>
      <c r="R194" s="243"/>
      <c r="S194" s="206"/>
      <c r="T194" s="206"/>
      <c r="U194" s="219"/>
      <c r="V194" s="341"/>
      <c r="W194" s="510"/>
      <c r="X194" s="510">
        <v>25000</v>
      </c>
      <c r="Y194" s="341">
        <v>19984.05</v>
      </c>
      <c r="Z194" s="201">
        <v>402.34</v>
      </c>
      <c r="AA194" s="338"/>
      <c r="AB194" s="341"/>
      <c r="AC194" s="341"/>
      <c r="AD194" s="341"/>
      <c r="AE194" s="341"/>
      <c r="AF194" s="904">
        <v>43798</v>
      </c>
      <c r="AG194" s="344">
        <v>43843</v>
      </c>
      <c r="AH194" s="204">
        <v>44410</v>
      </c>
      <c r="AI194" s="509">
        <f>(YEAR(AH194)-YEAR(AG194))*12+MONTH(AH194)-MONTH(AG194)</f>
        <v>19</v>
      </c>
      <c r="AJ194" s="199">
        <v>100340303</v>
      </c>
      <c r="AK194" s="200">
        <v>22777510</v>
      </c>
      <c r="AL194" s="199" t="s">
        <v>1065</v>
      </c>
      <c r="AM194" s="205" t="s">
        <v>1066</v>
      </c>
      <c r="AN194" s="809" t="s">
        <v>1067</v>
      </c>
      <c r="AO194" s="219" t="s">
        <v>1068</v>
      </c>
      <c r="AP194" s="821"/>
    </row>
    <row r="195" spans="3:42" ht="17.25" customHeight="1">
      <c r="C195" s="447" t="s">
        <v>238</v>
      </c>
      <c r="D195" s="448" t="s">
        <v>115</v>
      </c>
      <c r="E195" s="449" t="s">
        <v>1069</v>
      </c>
      <c r="F195" s="450" t="s">
        <v>215</v>
      </c>
      <c r="G195" s="451"/>
      <c r="H195" s="437">
        <f t="shared" si="7"/>
        <v>22354</v>
      </c>
      <c r="I195" s="452"/>
      <c r="J195" s="453"/>
      <c r="K195" s="453"/>
      <c r="L195" s="453"/>
      <c r="M195" s="453"/>
      <c r="N195" s="453"/>
      <c r="O195" s="453"/>
      <c r="P195" s="453"/>
      <c r="Q195" s="453"/>
      <c r="R195" s="453"/>
      <c r="S195" s="453"/>
      <c r="T195" s="209"/>
      <c r="U195" s="594"/>
      <c r="V195" s="454"/>
      <c r="W195" s="616"/>
      <c r="X195" s="616"/>
      <c r="Y195" s="454">
        <v>22354</v>
      </c>
      <c r="Z195" s="209"/>
      <c r="AA195" s="594"/>
      <c r="AB195" s="454"/>
      <c r="AC195" s="454"/>
      <c r="AD195" s="454"/>
      <c r="AE195" s="454"/>
      <c r="AF195" s="455">
        <v>44196</v>
      </c>
      <c r="AG195" s="455">
        <v>44253</v>
      </c>
      <c r="AH195" s="456">
        <v>44467</v>
      </c>
      <c r="AI195" s="595">
        <f>(YEAR(AH195)-YEAR(AG195))*12+MONTH(AH195)-MONTH(AG195)</f>
        <v>7</v>
      </c>
      <c r="AJ195" s="903">
        <v>100744112</v>
      </c>
      <c r="AK195" s="208">
        <v>35889864</v>
      </c>
      <c r="AL195" s="450" t="s">
        <v>1070</v>
      </c>
      <c r="AM195" s="458">
        <v>3035570199</v>
      </c>
      <c r="AN195" s="450" t="s">
        <v>1071</v>
      </c>
      <c r="AO195" s="451" t="s">
        <v>1072</v>
      </c>
      <c r="AP195" s="918"/>
    </row>
    <row r="196" spans="3:42" ht="17.25" customHeight="1">
      <c r="C196" s="197" t="s">
        <v>238</v>
      </c>
      <c r="D196" s="212" t="s">
        <v>205</v>
      </c>
      <c r="E196" s="198" t="s">
        <v>1073</v>
      </c>
      <c r="F196" s="199" t="s">
        <v>117</v>
      </c>
      <c r="G196" s="219"/>
      <c r="H196" s="292">
        <f t="shared" si="7"/>
        <v>143454.78</v>
      </c>
      <c r="I196" s="283"/>
      <c r="J196" s="206"/>
      <c r="K196" s="206"/>
      <c r="L196" s="206"/>
      <c r="M196" s="206"/>
      <c r="N196" s="206"/>
      <c r="O196" s="206"/>
      <c r="P196" s="206"/>
      <c r="Q196" s="206"/>
      <c r="R196" s="206"/>
      <c r="S196" s="206"/>
      <c r="T196" s="201"/>
      <c r="U196" s="338"/>
      <c r="V196" s="341"/>
      <c r="W196" s="510"/>
      <c r="X196" s="510"/>
      <c r="Y196" s="341">
        <v>143454.78</v>
      </c>
      <c r="Z196" s="201"/>
      <c r="AA196" s="338"/>
      <c r="AB196" s="341"/>
      <c r="AC196" s="341"/>
      <c r="AD196" s="341"/>
      <c r="AE196" s="341"/>
      <c r="AF196" s="203">
        <v>44508</v>
      </c>
      <c r="AG196" s="203">
        <v>44574</v>
      </c>
      <c r="AH196" s="204">
        <v>44574</v>
      </c>
      <c r="AI196" s="509">
        <v>1</v>
      </c>
      <c r="AJ196" s="880">
        <v>100796492</v>
      </c>
      <c r="AK196" s="200" t="s">
        <v>1074</v>
      </c>
      <c r="AL196" s="199" t="s">
        <v>1075</v>
      </c>
      <c r="AM196" s="205" t="s">
        <v>1076</v>
      </c>
      <c r="AN196" s="199" t="s">
        <v>1077</v>
      </c>
      <c r="AO196" s="219" t="s">
        <v>1078</v>
      </c>
      <c r="AP196" s="919"/>
    </row>
    <row r="197" spans="3:42" ht="17.25" customHeight="1">
      <c r="C197" s="447" t="s">
        <v>238</v>
      </c>
      <c r="D197" s="448" t="s">
        <v>115</v>
      </c>
      <c r="E197" s="449" t="s">
        <v>1079</v>
      </c>
      <c r="F197" s="450" t="s">
        <v>215</v>
      </c>
      <c r="G197" s="451"/>
      <c r="H197" s="437">
        <f t="shared" si="7"/>
        <v>2000</v>
      </c>
      <c r="I197" s="452"/>
      <c r="J197" s="453"/>
      <c r="K197" s="453"/>
      <c r="L197" s="453"/>
      <c r="M197" s="453"/>
      <c r="N197" s="453"/>
      <c r="O197" s="453"/>
      <c r="P197" s="453"/>
      <c r="Q197" s="453"/>
      <c r="R197" s="453"/>
      <c r="S197" s="453"/>
      <c r="T197" s="209"/>
      <c r="U197" s="594"/>
      <c r="V197" s="454"/>
      <c r="W197" s="616"/>
      <c r="X197" s="616"/>
      <c r="Y197" s="454">
        <v>2000</v>
      </c>
      <c r="Z197" s="209"/>
      <c r="AA197" s="594"/>
      <c r="AB197" s="454"/>
      <c r="AC197" s="454"/>
      <c r="AD197" s="454"/>
      <c r="AE197" s="454"/>
      <c r="AF197" s="455">
        <v>44315</v>
      </c>
      <c r="AG197" s="455">
        <v>44468</v>
      </c>
      <c r="AH197" s="456">
        <v>44487</v>
      </c>
      <c r="AI197" s="595">
        <f>(YEAR(AH197)-YEAR(AG197))*12+MONTH(AH197)-MONTH(AG197)</f>
        <v>1</v>
      </c>
      <c r="AJ197" s="450">
        <v>100744118</v>
      </c>
      <c r="AK197" s="926">
        <v>36928976</v>
      </c>
      <c r="AL197" s="450" t="s">
        <v>1080</v>
      </c>
      <c r="AM197" s="458" t="s">
        <v>1081</v>
      </c>
      <c r="AN197" s="450" t="s">
        <v>1082</v>
      </c>
      <c r="AO197" s="451"/>
      <c r="AP197" s="918"/>
    </row>
    <row r="198" spans="3:42" ht="17.25" customHeight="1">
      <c r="C198" s="197" t="s">
        <v>238</v>
      </c>
      <c r="D198" s="212" t="s">
        <v>115</v>
      </c>
      <c r="E198" s="198" t="s">
        <v>1083</v>
      </c>
      <c r="F198" s="199" t="s">
        <v>215</v>
      </c>
      <c r="G198" s="219" t="s">
        <v>1084</v>
      </c>
      <c r="H198" s="292">
        <f t="shared" si="7"/>
        <v>87000</v>
      </c>
      <c r="I198" s="283"/>
      <c r="J198" s="206"/>
      <c r="K198" s="206"/>
      <c r="L198" s="206"/>
      <c r="M198" s="206"/>
      <c r="N198" s="206"/>
      <c r="O198" s="206"/>
      <c r="P198" s="206"/>
      <c r="Q198" s="206"/>
      <c r="R198" s="206"/>
      <c r="S198" s="206"/>
      <c r="T198" s="201"/>
      <c r="U198" s="338"/>
      <c r="V198" s="341"/>
      <c r="W198" s="510"/>
      <c r="X198" s="510">
        <v>56000</v>
      </c>
      <c r="Y198" s="341">
        <v>31000</v>
      </c>
      <c r="Z198" s="201"/>
      <c r="AA198" s="338"/>
      <c r="AB198" s="341"/>
      <c r="AC198" s="341"/>
      <c r="AD198" s="341"/>
      <c r="AE198" s="341"/>
      <c r="AF198" s="203"/>
      <c r="AG198" s="203">
        <v>44185</v>
      </c>
      <c r="AH198" s="204">
        <v>44403</v>
      </c>
      <c r="AI198" s="509">
        <f>(YEAR(AH198)-YEAR(AG198))*12+MONTH(AH198)-MONTH(AG198)</f>
        <v>7</v>
      </c>
      <c r="AJ198" s="199">
        <v>100582114</v>
      </c>
      <c r="AK198" s="200">
        <v>27211044</v>
      </c>
      <c r="AL198" s="199" t="s">
        <v>1085</v>
      </c>
      <c r="AM198" s="205" t="s">
        <v>1086</v>
      </c>
      <c r="AN198" s="199" t="s">
        <v>1087</v>
      </c>
      <c r="AO198" s="219" t="s">
        <v>1088</v>
      </c>
      <c r="AP198" s="821"/>
    </row>
    <row r="199" spans="3:42" ht="17.25" customHeight="1">
      <c r="C199" s="447" t="s">
        <v>238</v>
      </c>
      <c r="D199" s="448" t="s">
        <v>115</v>
      </c>
      <c r="E199" s="449" t="s">
        <v>1089</v>
      </c>
      <c r="F199" s="450" t="s">
        <v>215</v>
      </c>
      <c r="G199" s="451" t="s">
        <v>1090</v>
      </c>
      <c r="H199" s="437"/>
      <c r="I199" s="452"/>
      <c r="J199" s="453"/>
      <c r="K199" s="453"/>
      <c r="L199" s="453"/>
      <c r="M199" s="453"/>
      <c r="N199" s="453"/>
      <c r="O199" s="453"/>
      <c r="P199" s="453"/>
      <c r="Q199" s="453"/>
      <c r="R199" s="453"/>
      <c r="S199" s="453"/>
      <c r="T199" s="209"/>
      <c r="U199" s="594"/>
      <c r="V199" s="454"/>
      <c r="W199" s="616"/>
      <c r="X199" s="616"/>
      <c r="Y199" s="454">
        <v>1261.56</v>
      </c>
      <c r="Z199" s="209"/>
      <c r="AA199" s="594"/>
      <c r="AB199" s="454"/>
      <c r="AC199" s="454"/>
      <c r="AD199" s="454"/>
      <c r="AE199" s="454"/>
      <c r="AF199" s="455"/>
      <c r="AG199" s="455">
        <v>44697</v>
      </c>
      <c r="AH199" s="456">
        <v>44712</v>
      </c>
      <c r="AI199" s="595">
        <v>1</v>
      </c>
      <c r="AJ199" s="450">
        <v>100831383</v>
      </c>
      <c r="AK199" s="208">
        <v>100174571</v>
      </c>
      <c r="AL199" s="450" t="s">
        <v>1091</v>
      </c>
      <c r="AM199" s="458" t="s">
        <v>1092</v>
      </c>
      <c r="AN199" s="450" t="s">
        <v>1093</v>
      </c>
      <c r="AO199" s="451" t="s">
        <v>1094</v>
      </c>
      <c r="AP199" s="816"/>
    </row>
    <row r="200" spans="3:42" ht="17.25" customHeight="1">
      <c r="C200" s="197" t="s">
        <v>238</v>
      </c>
      <c r="D200" s="212" t="s">
        <v>205</v>
      </c>
      <c r="E200" s="198" t="s">
        <v>1095</v>
      </c>
      <c r="F200" s="199" t="s">
        <v>215</v>
      </c>
      <c r="G200" s="429" t="s">
        <v>1096</v>
      </c>
      <c r="H200" s="812">
        <f t="shared" ref="H200" si="9">SUM(I200:W200)</f>
        <v>260537</v>
      </c>
      <c r="I200" s="283"/>
      <c r="J200" s="206"/>
      <c r="K200" s="206"/>
      <c r="L200" s="206"/>
      <c r="M200" s="206"/>
      <c r="N200" s="206"/>
      <c r="O200" s="206"/>
      <c r="P200" s="206"/>
      <c r="Q200" s="206"/>
      <c r="R200" s="206"/>
      <c r="S200" s="206"/>
      <c r="T200" s="201"/>
      <c r="U200" s="338"/>
      <c r="V200" s="341"/>
      <c r="W200" s="510">
        <v>260537</v>
      </c>
      <c r="X200" s="510"/>
      <c r="Y200" s="341">
        <v>100000</v>
      </c>
      <c r="Z200" s="201"/>
      <c r="AA200" s="338"/>
      <c r="AB200" s="341" t="s">
        <v>88</v>
      </c>
      <c r="AC200" s="341"/>
      <c r="AD200" s="341"/>
      <c r="AE200" s="341"/>
      <c r="AF200" s="888">
        <v>43574</v>
      </c>
      <c r="AG200" s="203">
        <v>43670</v>
      </c>
      <c r="AH200" s="204">
        <v>43747</v>
      </c>
      <c r="AI200" s="299">
        <f t="shared" ref="AI200" si="10">(YEAR(AH200)-YEAR(AG200))*12+MONTH(AH200)-MONTH(AG200)</f>
        <v>3</v>
      </c>
      <c r="AJ200" s="199">
        <v>100310332</v>
      </c>
      <c r="AK200" s="200">
        <v>100310331</v>
      </c>
      <c r="AL200" s="199" t="s">
        <v>1097</v>
      </c>
      <c r="AM200" s="205">
        <v>5414881703</v>
      </c>
      <c r="AN200" s="199"/>
      <c r="AO200" s="207" t="s">
        <v>1098</v>
      </c>
      <c r="AP200" s="321"/>
    </row>
    <row r="201" spans="3:42" ht="17.25" customHeight="1">
      <c r="C201" s="447" t="s">
        <v>238</v>
      </c>
      <c r="D201" s="448" t="s">
        <v>115</v>
      </c>
      <c r="E201" s="449" t="s">
        <v>1099</v>
      </c>
      <c r="F201" s="450" t="s">
        <v>215</v>
      </c>
      <c r="G201" s="451"/>
      <c r="H201" s="437">
        <f>SUM(I201:Y201)</f>
        <v>103518</v>
      </c>
      <c r="I201" s="452"/>
      <c r="J201" s="453"/>
      <c r="K201" s="453"/>
      <c r="L201" s="453"/>
      <c r="M201" s="453"/>
      <c r="N201" s="453"/>
      <c r="O201" s="453"/>
      <c r="P201" s="453"/>
      <c r="Q201" s="453"/>
      <c r="R201" s="453"/>
      <c r="S201" s="453"/>
      <c r="T201" s="209"/>
      <c r="U201" s="594"/>
      <c r="V201" s="454"/>
      <c r="W201" s="616"/>
      <c r="X201" s="616">
        <v>35000</v>
      </c>
      <c r="Y201" s="454">
        <v>68518</v>
      </c>
      <c r="Z201" s="13"/>
      <c r="AA201" s="806"/>
      <c r="AB201" s="454"/>
      <c r="AC201" s="454"/>
      <c r="AD201" s="454"/>
      <c r="AE201" s="454"/>
      <c r="AF201" s="455">
        <v>43812</v>
      </c>
      <c r="AG201" s="455">
        <v>43840</v>
      </c>
      <c r="AH201" s="456">
        <v>44743</v>
      </c>
      <c r="AI201" s="457">
        <f>(YEAR(AH201)-YEAR(AG201))*12+MONTH(AH201)-MONTH(AG201)</f>
        <v>30</v>
      </c>
      <c r="AJ201" s="450">
        <v>100339821</v>
      </c>
      <c r="AK201" s="208">
        <v>17945262</v>
      </c>
      <c r="AL201" s="450" t="s">
        <v>1100</v>
      </c>
      <c r="AM201" s="458" t="s">
        <v>1101</v>
      </c>
      <c r="AN201" s="817" t="s">
        <v>1102</v>
      </c>
      <c r="AO201" s="451" t="s">
        <v>1103</v>
      </c>
      <c r="AP201" s="877"/>
    </row>
    <row r="202" spans="3:42" ht="17.25" customHeight="1">
      <c r="C202" s="197" t="s">
        <v>238</v>
      </c>
      <c r="D202" s="212" t="s">
        <v>115</v>
      </c>
      <c r="E202" s="198" t="s">
        <v>891</v>
      </c>
      <c r="F202" s="199" t="s">
        <v>215</v>
      </c>
      <c r="G202" s="219" t="s">
        <v>1104</v>
      </c>
      <c r="H202" s="292"/>
      <c r="I202" s="283"/>
      <c r="J202" s="206"/>
      <c r="K202" s="206"/>
      <c r="L202" s="206"/>
      <c r="M202" s="206"/>
      <c r="N202" s="206"/>
      <c r="O202" s="206"/>
      <c r="P202" s="206"/>
      <c r="Q202" s="206"/>
      <c r="R202" s="206"/>
      <c r="S202" s="206"/>
      <c r="T202" s="201"/>
      <c r="U202" s="338"/>
      <c r="V202" s="341"/>
      <c r="W202" s="510"/>
      <c r="X202" s="510"/>
      <c r="Y202" s="341"/>
      <c r="Z202" s="949"/>
      <c r="AA202" s="338"/>
      <c r="AB202" s="341"/>
      <c r="AC202" s="341"/>
      <c r="AD202" s="341"/>
      <c r="AE202" s="341"/>
      <c r="AF202" s="203">
        <v>44706</v>
      </c>
      <c r="AG202" s="203">
        <v>44774</v>
      </c>
      <c r="AH202" s="204"/>
      <c r="AI202" s="299"/>
      <c r="AJ202" s="199">
        <v>100967212</v>
      </c>
      <c r="AK202" s="200">
        <v>5352471</v>
      </c>
      <c r="AL202" s="199" t="s">
        <v>1105</v>
      </c>
      <c r="AM202" s="205"/>
      <c r="AN202" s="809"/>
      <c r="AO202" s="219" t="s">
        <v>1106</v>
      </c>
      <c r="AP202" s="929"/>
    </row>
    <row r="203" spans="3:42" ht="17.25" customHeight="1">
      <c r="C203" s="447" t="s">
        <v>238</v>
      </c>
      <c r="D203" s="448" t="s">
        <v>115</v>
      </c>
      <c r="E203" s="449" t="s">
        <v>1107</v>
      </c>
      <c r="F203" s="450" t="s">
        <v>215</v>
      </c>
      <c r="G203" s="451"/>
      <c r="H203" s="874">
        <f>SUM(I203:W203)</f>
        <v>25000</v>
      </c>
      <c r="I203" s="452"/>
      <c r="J203" s="453"/>
      <c r="K203" s="453"/>
      <c r="L203" s="453"/>
      <c r="M203" s="453"/>
      <c r="N203" s="453"/>
      <c r="O203" s="453"/>
      <c r="P203" s="453"/>
      <c r="Q203" s="453"/>
      <c r="R203" s="453"/>
      <c r="S203" s="453"/>
      <c r="T203" s="209"/>
      <c r="U203" s="594"/>
      <c r="V203" s="454"/>
      <c r="W203" s="616">
        <v>25000</v>
      </c>
      <c r="X203" s="616"/>
      <c r="Y203" s="454">
        <v>1492.13</v>
      </c>
      <c r="Z203" s="209"/>
      <c r="AA203" s="594"/>
      <c r="AB203" s="454"/>
      <c r="AC203" s="454"/>
      <c r="AD203" s="454"/>
      <c r="AE203" s="454"/>
      <c r="AF203" s="455">
        <v>43415</v>
      </c>
      <c r="AG203" s="455">
        <v>43936</v>
      </c>
      <c r="AH203" s="456">
        <v>43936</v>
      </c>
      <c r="AI203" s="457">
        <v>1</v>
      </c>
      <c r="AJ203" s="450">
        <v>100381655</v>
      </c>
      <c r="AK203" s="208">
        <v>16867335</v>
      </c>
      <c r="AL203" s="450" t="s">
        <v>1108</v>
      </c>
      <c r="AM203" s="458" t="s">
        <v>88</v>
      </c>
      <c r="AN203" s="450" t="s">
        <v>1109</v>
      </c>
      <c r="AO203" s="459" t="s">
        <v>1110</v>
      </c>
      <c r="AP203" s="527" t="s">
        <v>88</v>
      </c>
    </row>
    <row r="204" spans="3:42" ht="17.25" customHeight="1">
      <c r="C204" s="197" t="s">
        <v>238</v>
      </c>
      <c r="D204" s="212" t="s">
        <v>115</v>
      </c>
      <c r="E204" s="198" t="s">
        <v>1111</v>
      </c>
      <c r="F204" s="199" t="s">
        <v>91</v>
      </c>
      <c r="G204" s="429">
        <v>1000</v>
      </c>
      <c r="H204" s="812">
        <f>SUM(I204:W204)</f>
        <v>0</v>
      </c>
      <c r="I204" s="283"/>
      <c r="J204" s="206"/>
      <c r="K204" s="206"/>
      <c r="L204" s="206"/>
      <c r="M204" s="206"/>
      <c r="N204" s="206"/>
      <c r="O204" s="206"/>
      <c r="P204" s="206"/>
      <c r="Q204" s="206"/>
      <c r="R204" s="206"/>
      <c r="S204" s="206"/>
      <c r="T204" s="201"/>
      <c r="U204" s="338"/>
      <c r="V204" s="341"/>
      <c r="W204" s="510"/>
      <c r="X204" s="510"/>
      <c r="Y204" s="341">
        <v>1000</v>
      </c>
      <c r="Z204" s="201"/>
      <c r="AA204" s="338"/>
      <c r="AB204" s="341"/>
      <c r="AC204" s="341"/>
      <c r="AD204" s="341"/>
      <c r="AE204" s="341"/>
      <c r="AF204" s="203">
        <v>44254</v>
      </c>
      <c r="AG204" s="203">
        <v>44411</v>
      </c>
      <c r="AH204" s="204">
        <v>44411</v>
      </c>
      <c r="AI204" s="299">
        <v>1</v>
      </c>
      <c r="AJ204" s="199">
        <v>100670231</v>
      </c>
      <c r="AK204" s="200">
        <v>5324355</v>
      </c>
      <c r="AL204" s="199" t="s">
        <v>1112</v>
      </c>
      <c r="AM204" s="205" t="s">
        <v>1113</v>
      </c>
      <c r="AN204" s="199" t="s">
        <v>1114</v>
      </c>
      <c r="AO204" s="219" t="s">
        <v>1115</v>
      </c>
      <c r="AP204" s="821"/>
    </row>
    <row r="205" spans="3:42" ht="17.25" customHeight="1">
      <c r="C205" s="447" t="s">
        <v>238</v>
      </c>
      <c r="D205" s="448" t="s">
        <v>115</v>
      </c>
      <c r="E205" s="449" t="s">
        <v>1116</v>
      </c>
      <c r="F205" s="450" t="s">
        <v>215</v>
      </c>
      <c r="G205" s="451"/>
      <c r="H205" s="874">
        <v>20000</v>
      </c>
      <c r="I205" s="452"/>
      <c r="J205" s="453"/>
      <c r="K205" s="453"/>
      <c r="L205" s="453"/>
      <c r="M205" s="453"/>
      <c r="N205" s="453"/>
      <c r="O205" s="453"/>
      <c r="P205" s="453"/>
      <c r="Q205" s="453"/>
      <c r="R205" s="453"/>
      <c r="S205" s="453"/>
      <c r="T205" s="209"/>
      <c r="U205" s="594"/>
      <c r="V205" s="454"/>
      <c r="W205" s="616"/>
      <c r="X205" s="616"/>
      <c r="Y205" s="454">
        <v>20000</v>
      </c>
      <c r="Z205" s="209"/>
      <c r="AA205" s="594"/>
      <c r="AB205" s="454"/>
      <c r="AC205" s="454"/>
      <c r="AD205" s="454"/>
      <c r="AE205" s="454"/>
      <c r="AF205" s="455">
        <v>43816</v>
      </c>
      <c r="AG205" s="455">
        <v>44523</v>
      </c>
      <c r="AH205" s="456">
        <v>44523</v>
      </c>
      <c r="AI205" s="457">
        <v>1</v>
      </c>
      <c r="AJ205" s="450">
        <v>100783369</v>
      </c>
      <c r="AK205" s="208">
        <v>100333573</v>
      </c>
      <c r="AL205" s="450" t="s">
        <v>1117</v>
      </c>
      <c r="AM205" s="458" t="s">
        <v>1118</v>
      </c>
      <c r="AN205" s="453"/>
      <c r="AO205" s="451"/>
      <c r="AP205" s="453"/>
    </row>
    <row r="206" spans="3:42" ht="17.25" customHeight="1">
      <c r="C206" s="197" t="s">
        <v>238</v>
      </c>
      <c r="D206" s="212" t="s">
        <v>115</v>
      </c>
      <c r="E206" s="198" t="s">
        <v>1119</v>
      </c>
      <c r="F206" s="199" t="s">
        <v>215</v>
      </c>
      <c r="G206" s="219"/>
      <c r="H206" s="812">
        <f>SUM(I206:Y206)</f>
        <v>25000</v>
      </c>
      <c r="I206" s="283"/>
      <c r="J206" s="206"/>
      <c r="K206" s="206"/>
      <c r="L206" s="206"/>
      <c r="M206" s="206"/>
      <c r="N206" s="206"/>
      <c r="O206" s="206"/>
      <c r="P206" s="206"/>
      <c r="Q206" s="206"/>
      <c r="R206" s="206"/>
      <c r="S206" s="206"/>
      <c r="T206" s="201"/>
      <c r="U206" s="338"/>
      <c r="V206" s="341"/>
      <c r="W206" s="510"/>
      <c r="X206" s="510"/>
      <c r="Y206" s="341">
        <v>25000</v>
      </c>
      <c r="Z206" s="201"/>
      <c r="AA206" s="338"/>
      <c r="AB206" s="341"/>
      <c r="AC206" s="341"/>
      <c r="AD206" s="341"/>
      <c r="AE206" s="341"/>
      <c r="AF206" s="203">
        <v>44215</v>
      </c>
      <c r="AG206" s="203">
        <v>44355</v>
      </c>
      <c r="AH206" s="204">
        <v>44355</v>
      </c>
      <c r="AI206" s="299">
        <v>1</v>
      </c>
      <c r="AJ206" s="199">
        <v>100647676</v>
      </c>
      <c r="AK206" s="200">
        <v>3719610</v>
      </c>
      <c r="AL206" s="199" t="s">
        <v>1120</v>
      </c>
      <c r="AM206" s="205" t="s">
        <v>1121</v>
      </c>
      <c r="AN206" s="199" t="s">
        <v>1122</v>
      </c>
      <c r="AO206" s="219" t="s">
        <v>1123</v>
      </c>
      <c r="AP206" s="821"/>
    </row>
    <row r="207" spans="3:42" ht="17.25" customHeight="1">
      <c r="C207" s="699" t="s">
        <v>1124</v>
      </c>
      <c r="D207" s="469"/>
      <c r="E207" s="469"/>
      <c r="F207" s="32"/>
      <c r="G207" s="470"/>
      <c r="H207" s="721"/>
      <c r="I207" s="471"/>
      <c r="J207" s="470"/>
      <c r="K207" s="470"/>
      <c r="L207" s="470"/>
      <c r="M207" s="470"/>
      <c r="N207" s="470"/>
      <c r="O207" s="470"/>
      <c r="P207" s="470"/>
      <c r="Q207" s="470"/>
      <c r="R207" s="470"/>
      <c r="S207" s="470"/>
      <c r="T207" s="472"/>
      <c r="U207" s="472"/>
      <c r="V207" s="472"/>
      <c r="W207" s="472"/>
      <c r="X207" s="472"/>
      <c r="Y207" s="991"/>
      <c r="Z207" s="472"/>
      <c r="AA207" s="472"/>
      <c r="AB207" s="472"/>
      <c r="AC207" s="472"/>
      <c r="AD207" s="472"/>
      <c r="AE207" s="472"/>
      <c r="AF207" s="32"/>
      <c r="AG207" s="32"/>
      <c r="AH207" s="32"/>
      <c r="AI207" s="473"/>
      <c r="AJ207" s="32"/>
      <c r="AK207" s="32"/>
      <c r="AL207" s="32"/>
      <c r="AM207" s="474"/>
      <c r="AN207" s="916"/>
      <c r="AO207" s="470"/>
      <c r="AP207" s="470"/>
    </row>
    <row r="208" spans="3:42" ht="17.25" customHeight="1">
      <c r="C208" s="197" t="s">
        <v>238</v>
      </c>
      <c r="D208" s="212" t="s">
        <v>115</v>
      </c>
      <c r="E208" s="198" t="s">
        <v>1125</v>
      </c>
      <c r="F208" s="199" t="s">
        <v>215</v>
      </c>
      <c r="G208" s="429">
        <v>1000</v>
      </c>
      <c r="H208" s="292">
        <f t="shared" ref="H208:H221" si="11">SUM(I208:Y208)</f>
        <v>1000</v>
      </c>
      <c r="I208" s="283"/>
      <c r="J208" s="206"/>
      <c r="K208" s="206"/>
      <c r="L208" s="206"/>
      <c r="M208" s="206"/>
      <c r="N208" s="206"/>
      <c r="O208" s="206"/>
      <c r="P208" s="206"/>
      <c r="Q208" s="206"/>
      <c r="R208" s="206"/>
      <c r="S208" s="206"/>
      <c r="T208" s="201"/>
      <c r="U208" s="202"/>
      <c r="V208" s="341"/>
      <c r="W208" s="510"/>
      <c r="X208" s="510">
        <v>1000</v>
      </c>
      <c r="Y208" s="201"/>
      <c r="Z208" s="201"/>
      <c r="AA208" s="202"/>
      <c r="AB208" s="341"/>
      <c r="AC208" s="341"/>
      <c r="AD208" s="341"/>
      <c r="AE208" s="341"/>
      <c r="AF208" s="203">
        <v>43958</v>
      </c>
      <c r="AG208" s="203">
        <v>44082</v>
      </c>
      <c r="AH208" s="204">
        <v>44111</v>
      </c>
      <c r="AI208" s="299">
        <f t="shared" ref="AI208:AI215" si="12">(YEAR(AH208)-YEAR(AG208))*12+MONTH(AH208)-MONTH(AG208)</f>
        <v>1</v>
      </c>
      <c r="AJ208" s="199">
        <v>100467944</v>
      </c>
      <c r="AK208" s="200">
        <v>2166676</v>
      </c>
      <c r="AL208" s="199" t="s">
        <v>1126</v>
      </c>
      <c r="AM208" s="205">
        <v>8309972149</v>
      </c>
      <c r="AN208" s="199" t="s">
        <v>1127</v>
      </c>
      <c r="AO208" s="820" t="s">
        <v>1128</v>
      </c>
      <c r="AP208" s="821" t="s">
        <v>1129</v>
      </c>
    </row>
    <row r="209" spans="3:42" ht="17.25" customHeight="1">
      <c r="C209" s="447" t="s">
        <v>238</v>
      </c>
      <c r="D209" s="448" t="s">
        <v>205</v>
      </c>
      <c r="E209" s="449" t="s">
        <v>1130</v>
      </c>
      <c r="F209" s="450" t="s">
        <v>215</v>
      </c>
      <c r="G209" s="451"/>
      <c r="H209" s="437">
        <f t="shared" si="11"/>
        <v>31008.92</v>
      </c>
      <c r="I209" s="452"/>
      <c r="J209" s="453"/>
      <c r="K209" s="453"/>
      <c r="L209" s="453"/>
      <c r="M209" s="453"/>
      <c r="N209" s="453"/>
      <c r="O209" s="453"/>
      <c r="P209" s="453"/>
      <c r="Q209" s="453"/>
      <c r="R209" s="453"/>
      <c r="S209" s="453"/>
      <c r="T209" s="209"/>
      <c r="U209" s="210"/>
      <c r="V209" s="454"/>
      <c r="W209" s="616"/>
      <c r="X209" s="616">
        <v>31008.92</v>
      </c>
      <c r="Y209" s="209"/>
      <c r="Z209" s="209"/>
      <c r="AA209" s="210"/>
      <c r="AB209" s="454"/>
      <c r="AC209" s="454"/>
      <c r="AD209" s="454"/>
      <c r="AE209" s="454"/>
      <c r="AF209" s="455">
        <v>42859</v>
      </c>
      <c r="AG209" s="455">
        <v>42917</v>
      </c>
      <c r="AH209" s="456">
        <v>44026</v>
      </c>
      <c r="AI209" s="457">
        <f t="shared" si="12"/>
        <v>36</v>
      </c>
      <c r="AJ209" s="450">
        <v>100451195</v>
      </c>
      <c r="AK209" s="208">
        <v>33517715</v>
      </c>
      <c r="AL209" s="450" t="s">
        <v>1131</v>
      </c>
      <c r="AM209" s="458" t="s">
        <v>1132</v>
      </c>
      <c r="AN209" s="817" t="s">
        <v>1133</v>
      </c>
      <c r="AO209" s="815" t="s">
        <v>1134</v>
      </c>
      <c r="AP209" s="816" t="s">
        <v>1135</v>
      </c>
    </row>
    <row r="210" spans="3:42" ht="17.25" customHeight="1">
      <c r="C210" s="238" t="s">
        <v>238</v>
      </c>
      <c r="D210" s="239" t="s">
        <v>205</v>
      </c>
      <c r="E210" s="240" t="s">
        <v>1136</v>
      </c>
      <c r="F210" s="241" t="s">
        <v>215</v>
      </c>
      <c r="G210" s="242"/>
      <c r="H210" s="292">
        <f t="shared" si="11"/>
        <v>18181.82</v>
      </c>
      <c r="I210" s="284"/>
      <c r="J210" s="249"/>
      <c r="K210" s="249"/>
      <c r="L210" s="249"/>
      <c r="M210" s="249"/>
      <c r="N210" s="249"/>
      <c r="O210" s="249"/>
      <c r="P210" s="249"/>
      <c r="Q210" s="249"/>
      <c r="R210" s="249"/>
      <c r="S210" s="249"/>
      <c r="T210" s="243"/>
      <c r="U210" s="244"/>
      <c r="V210" s="342">
        <v>17000</v>
      </c>
      <c r="W210" s="706">
        <v>590.91</v>
      </c>
      <c r="X210" s="706">
        <v>590.91</v>
      </c>
      <c r="Y210" s="243"/>
      <c r="Z210" s="243"/>
      <c r="AA210" s="244"/>
      <c r="AB210" s="342"/>
      <c r="AC210" s="342"/>
      <c r="AD210" s="342"/>
      <c r="AE210" s="342"/>
      <c r="AF210" s="240"/>
      <c r="AG210" s="245">
        <v>43515</v>
      </c>
      <c r="AH210" s="246">
        <v>44013</v>
      </c>
      <c r="AI210" s="300">
        <f t="shared" si="12"/>
        <v>17</v>
      </c>
      <c r="AJ210" s="241"/>
      <c r="AK210" s="247">
        <v>3972676</v>
      </c>
      <c r="AL210" s="241" t="s">
        <v>1137</v>
      </c>
      <c r="AM210" s="248">
        <v>7074337255</v>
      </c>
      <c r="AN210" s="830" t="s">
        <v>1138</v>
      </c>
      <c r="AO210" s="242" t="s">
        <v>1139</v>
      </c>
      <c r="AP210" s="847" t="s">
        <v>1140</v>
      </c>
    </row>
    <row r="211" spans="3:42" ht="17.25" customHeight="1">
      <c r="C211" s="447" t="s">
        <v>238</v>
      </c>
      <c r="D211" s="448" t="s">
        <v>115</v>
      </c>
      <c r="E211" s="449" t="s">
        <v>1141</v>
      </c>
      <c r="F211" s="450" t="s">
        <v>215</v>
      </c>
      <c r="G211" s="828" t="s">
        <v>1142</v>
      </c>
      <c r="H211" s="437">
        <f t="shared" si="11"/>
        <v>80567.48</v>
      </c>
      <c r="I211" s="852"/>
      <c r="J211" s="853"/>
      <c r="K211" s="853"/>
      <c r="L211" s="853"/>
      <c r="M211" s="853"/>
      <c r="N211" s="853"/>
      <c r="O211" s="853"/>
      <c r="P211" s="853"/>
      <c r="Q211" s="853"/>
      <c r="R211" s="853"/>
      <c r="S211" s="853"/>
      <c r="T211" s="209"/>
      <c r="U211" s="594"/>
      <c r="V211" s="454"/>
      <c r="W211" s="616"/>
      <c r="X211" s="616">
        <v>80567.48</v>
      </c>
      <c r="Y211" s="454"/>
      <c r="Z211" s="209"/>
      <c r="AA211" s="594"/>
      <c r="AB211" s="454"/>
      <c r="AC211" s="454"/>
      <c r="AD211" s="454"/>
      <c r="AE211" s="454"/>
      <c r="AF211" s="455">
        <v>43829</v>
      </c>
      <c r="AG211" s="455">
        <v>44085</v>
      </c>
      <c r="AH211" s="456">
        <v>44363</v>
      </c>
      <c r="AI211" s="443">
        <f t="shared" si="12"/>
        <v>9</v>
      </c>
      <c r="AJ211" s="450">
        <v>100468529</v>
      </c>
      <c r="AK211" s="208">
        <v>13013420</v>
      </c>
      <c r="AL211" s="450" t="s">
        <v>1143</v>
      </c>
      <c r="AM211" s="458" t="s">
        <v>1144</v>
      </c>
      <c r="AN211" s="817" t="s">
        <v>88</v>
      </c>
      <c r="AO211" s="451" t="s">
        <v>1145</v>
      </c>
      <c r="AP211" s="803"/>
    </row>
    <row r="212" spans="3:42" ht="17.25" customHeight="1">
      <c r="C212" s="238" t="s">
        <v>238</v>
      </c>
      <c r="D212" s="239" t="s">
        <v>205</v>
      </c>
      <c r="E212" s="240" t="s">
        <v>1146</v>
      </c>
      <c r="F212" s="241" t="s">
        <v>215</v>
      </c>
      <c r="G212" s="833">
        <v>50000</v>
      </c>
      <c r="H212" s="292">
        <f t="shared" si="11"/>
        <v>50000</v>
      </c>
      <c r="I212" s="911"/>
      <c r="J212" s="912"/>
      <c r="K212" s="912"/>
      <c r="L212" s="912"/>
      <c r="M212" s="912"/>
      <c r="N212" s="912"/>
      <c r="O212" s="912"/>
      <c r="P212" s="912"/>
      <c r="Q212" s="912"/>
      <c r="R212" s="912"/>
      <c r="S212" s="912"/>
      <c r="T212" s="243"/>
      <c r="U212" s="829"/>
      <c r="V212" s="342"/>
      <c r="W212" s="917"/>
      <c r="X212" s="917">
        <v>50000</v>
      </c>
      <c r="Y212" s="243"/>
      <c r="Z212" s="243"/>
      <c r="AA212" s="829"/>
      <c r="AB212" s="342"/>
      <c r="AC212" s="342"/>
      <c r="AD212" s="342"/>
      <c r="AE212" s="342"/>
      <c r="AF212" s="245">
        <v>43387</v>
      </c>
      <c r="AG212" s="245">
        <v>43438</v>
      </c>
      <c r="AH212" s="246">
        <v>44211</v>
      </c>
      <c r="AI212" s="300">
        <f t="shared" si="12"/>
        <v>25</v>
      </c>
      <c r="AJ212" s="241">
        <v>100302237</v>
      </c>
      <c r="AK212" s="247">
        <v>17914045</v>
      </c>
      <c r="AL212" s="241" t="s">
        <v>1147</v>
      </c>
      <c r="AM212" s="248">
        <v>6023401010</v>
      </c>
      <c r="AN212" s="830" t="s">
        <v>1148</v>
      </c>
      <c r="AO212" s="242" t="s">
        <v>1149</v>
      </c>
      <c r="AP212" s="831" t="s">
        <v>1150</v>
      </c>
    </row>
    <row r="213" spans="3:42" ht="17.25" customHeight="1">
      <c r="C213" s="447" t="s">
        <v>238</v>
      </c>
      <c r="D213" s="448" t="s">
        <v>205</v>
      </c>
      <c r="E213" s="449" t="s">
        <v>1151</v>
      </c>
      <c r="F213" s="450" t="s">
        <v>215</v>
      </c>
      <c r="G213" s="451" t="s">
        <v>1152</v>
      </c>
      <c r="H213" s="437">
        <f t="shared" si="11"/>
        <v>191879.33</v>
      </c>
      <c r="I213" s="452"/>
      <c r="J213" s="453"/>
      <c r="K213" s="438"/>
      <c r="L213" s="438"/>
      <c r="M213" s="209"/>
      <c r="N213" s="438"/>
      <c r="O213" s="438"/>
      <c r="P213" s="822"/>
      <c r="Q213" s="438"/>
      <c r="R213" s="822"/>
      <c r="S213" s="438"/>
      <c r="T213" s="822"/>
      <c r="U213" s="822"/>
      <c r="V213" s="454"/>
      <c r="W213" s="616"/>
      <c r="X213" s="616">
        <f>191778.58+100.75</f>
        <v>191879.33</v>
      </c>
      <c r="Y213" s="454"/>
      <c r="Z213" s="209"/>
      <c r="AA213" s="594"/>
      <c r="AB213" s="454"/>
      <c r="AC213" s="454"/>
      <c r="AD213" s="454"/>
      <c r="AE213" s="454"/>
      <c r="AF213" s="455">
        <v>43852</v>
      </c>
      <c r="AG213" s="455">
        <v>43912</v>
      </c>
      <c r="AH213" s="456">
        <v>44210</v>
      </c>
      <c r="AI213" s="443">
        <f t="shared" si="12"/>
        <v>10</v>
      </c>
      <c r="AJ213" s="450">
        <v>100363306</v>
      </c>
      <c r="AK213" s="876">
        <v>1924679</v>
      </c>
      <c r="AL213" s="450" t="s">
        <v>1153</v>
      </c>
      <c r="AM213" s="458">
        <v>5136324882</v>
      </c>
      <c r="AN213" s="817" t="s">
        <v>1154</v>
      </c>
      <c r="AO213" s="208" t="s">
        <v>1155</v>
      </c>
      <c r="AP213" s="807" t="s">
        <v>1156</v>
      </c>
    </row>
    <row r="214" spans="3:42" ht="17.25" customHeight="1">
      <c r="C214" s="238" t="s">
        <v>238</v>
      </c>
      <c r="D214" s="239" t="s">
        <v>115</v>
      </c>
      <c r="E214" s="240" t="s">
        <v>1157</v>
      </c>
      <c r="F214" s="241" t="s">
        <v>117</v>
      </c>
      <c r="G214" s="242" t="s">
        <v>1158</v>
      </c>
      <c r="H214" s="292">
        <f t="shared" si="11"/>
        <v>8208.14</v>
      </c>
      <c r="I214" s="284"/>
      <c r="J214" s="249"/>
      <c r="K214" s="249"/>
      <c r="L214" s="249"/>
      <c r="M214" s="249"/>
      <c r="N214" s="249"/>
      <c r="O214" s="249"/>
      <c r="P214" s="249"/>
      <c r="Q214" s="249"/>
      <c r="R214" s="249"/>
      <c r="S214" s="249"/>
      <c r="T214" s="243"/>
      <c r="U214" s="829"/>
      <c r="V214" s="342"/>
      <c r="W214" s="706"/>
      <c r="X214" s="706">
        <v>8208.14</v>
      </c>
      <c r="Y214" s="243"/>
      <c r="Z214" s="243"/>
      <c r="AA214" s="829"/>
      <c r="AB214" s="342"/>
      <c r="AC214" s="342"/>
      <c r="AD214" s="342"/>
      <c r="AE214" s="342"/>
      <c r="AF214" s="245">
        <v>43774</v>
      </c>
      <c r="AG214" s="245">
        <v>43867</v>
      </c>
      <c r="AH214" s="246">
        <v>44321</v>
      </c>
      <c r="AI214" s="300">
        <f t="shared" si="12"/>
        <v>15</v>
      </c>
      <c r="AJ214" s="241">
        <v>100347697</v>
      </c>
      <c r="AK214" s="247">
        <v>100347697</v>
      </c>
      <c r="AL214" s="241" t="s">
        <v>1159</v>
      </c>
      <c r="AM214" s="248" t="s">
        <v>1160</v>
      </c>
      <c r="AN214" s="809" t="s">
        <v>1161</v>
      </c>
      <c r="AO214" s="242" t="s">
        <v>1162</v>
      </c>
      <c r="AP214" s="831" t="s">
        <v>1163</v>
      </c>
    </row>
    <row r="215" spans="3:42" ht="17.25" customHeight="1">
      <c r="C215" s="433" t="s">
        <v>238</v>
      </c>
      <c r="D215" s="434" t="s">
        <v>205</v>
      </c>
      <c r="E215" s="435" t="s">
        <v>1164</v>
      </c>
      <c r="F215" s="436" t="s">
        <v>215</v>
      </c>
      <c r="G215" s="827">
        <v>2500</v>
      </c>
      <c r="H215" s="437">
        <f t="shared" si="11"/>
        <v>2500</v>
      </c>
      <c r="I215" s="462"/>
      <c r="J215" s="463"/>
      <c r="K215" s="463"/>
      <c r="L215" s="463"/>
      <c r="M215" s="463"/>
      <c r="N215" s="463"/>
      <c r="O215" s="463"/>
      <c r="P215" s="463"/>
      <c r="Q215" s="463"/>
      <c r="R215" s="463"/>
      <c r="S215" s="463"/>
      <c r="T215" s="438"/>
      <c r="U215" s="822"/>
      <c r="V215" s="440"/>
      <c r="W215" s="703">
        <v>2500</v>
      </c>
      <c r="X215" s="703"/>
      <c r="Y215" s="440"/>
      <c r="Z215" s="438"/>
      <c r="AA215" s="822"/>
      <c r="AB215" s="440"/>
      <c r="AC215" s="440"/>
      <c r="AD215" s="440"/>
      <c r="AE215" s="440"/>
      <c r="AF215" s="441"/>
      <c r="AG215" s="441">
        <v>44001</v>
      </c>
      <c r="AH215" s="442">
        <v>44013</v>
      </c>
      <c r="AI215" s="443">
        <f t="shared" si="12"/>
        <v>1</v>
      </c>
      <c r="AJ215" s="436">
        <v>100441745</v>
      </c>
      <c r="AK215" s="444">
        <v>91734608</v>
      </c>
      <c r="AL215" s="436" t="s">
        <v>1165</v>
      </c>
      <c r="AM215" s="445">
        <v>52057555555</v>
      </c>
      <c r="AN215" s="817" t="s">
        <v>1166</v>
      </c>
      <c r="AO215" s="460" t="s">
        <v>1167</v>
      </c>
      <c r="AP215" s="823"/>
    </row>
    <row r="216" spans="3:42" ht="17.25" customHeight="1">
      <c r="C216" s="238" t="s">
        <v>238</v>
      </c>
      <c r="D216" s="239" t="s">
        <v>205</v>
      </c>
      <c r="E216" s="240" t="s">
        <v>1168</v>
      </c>
      <c r="F216" s="241" t="s">
        <v>215</v>
      </c>
      <c r="G216" s="242" t="s">
        <v>1169</v>
      </c>
      <c r="H216" s="292">
        <f t="shared" si="11"/>
        <v>19073.419999999998</v>
      </c>
      <c r="I216" s="284"/>
      <c r="J216" s="249"/>
      <c r="K216" s="249"/>
      <c r="L216" s="249"/>
      <c r="M216" s="249"/>
      <c r="N216" s="249"/>
      <c r="O216" s="249"/>
      <c r="P216" s="249"/>
      <c r="Q216" s="249"/>
      <c r="R216" s="249"/>
      <c r="S216" s="249"/>
      <c r="T216" s="243"/>
      <c r="U216" s="829"/>
      <c r="V216" s="342"/>
      <c r="W216" s="706">
        <v>15000</v>
      </c>
      <c r="X216" s="706">
        <f>4050.03+23.39</f>
        <v>4073.42</v>
      </c>
      <c r="Y216" s="342"/>
      <c r="Z216" s="243"/>
      <c r="AA216" s="829"/>
      <c r="AB216" s="342"/>
      <c r="AC216" s="342"/>
      <c r="AD216" s="342"/>
      <c r="AE216" s="342"/>
      <c r="AF216" s="245">
        <v>43900</v>
      </c>
      <c r="AG216" s="245">
        <v>43930</v>
      </c>
      <c r="AH216" s="246">
        <v>44225</v>
      </c>
      <c r="AI216" s="300">
        <f t="shared" ref="AI216:AI217" si="13">(YEAR(AH216)-YEAR(AG216))*12+MONTH(AH216)-MONTH(AG216)</f>
        <v>9</v>
      </c>
      <c r="AJ216" s="241">
        <v>100370043</v>
      </c>
      <c r="AK216" s="247">
        <v>4759700</v>
      </c>
      <c r="AL216" s="241" t="s">
        <v>1170</v>
      </c>
      <c r="AM216" s="248">
        <v>3152338355</v>
      </c>
      <c r="AN216" s="809" t="s">
        <v>1171</v>
      </c>
      <c r="AO216" s="242" t="s">
        <v>1172</v>
      </c>
      <c r="AP216" s="832" t="s">
        <v>1173</v>
      </c>
    </row>
    <row r="217" spans="3:42" ht="17.25" customHeight="1">
      <c r="C217" s="433" t="s">
        <v>238</v>
      </c>
      <c r="D217" s="434" t="s">
        <v>205</v>
      </c>
      <c r="E217" s="435" t="s">
        <v>1168</v>
      </c>
      <c r="F217" s="436" t="s">
        <v>117</v>
      </c>
      <c r="G217" s="460" t="s">
        <v>1174</v>
      </c>
      <c r="H217" s="437">
        <f t="shared" si="11"/>
        <v>7013.25</v>
      </c>
      <c r="I217" s="462"/>
      <c r="J217" s="463"/>
      <c r="K217" s="463"/>
      <c r="L217" s="463"/>
      <c r="M217" s="463"/>
      <c r="N217" s="463"/>
      <c r="O217" s="463"/>
      <c r="P217" s="463"/>
      <c r="Q217" s="463"/>
      <c r="R217" s="463"/>
      <c r="S217" s="463"/>
      <c r="T217" s="438"/>
      <c r="U217" s="822"/>
      <c r="V217" s="440"/>
      <c r="W217" s="703"/>
      <c r="X217" s="703">
        <v>7013.25</v>
      </c>
      <c r="Y217" s="440"/>
      <c r="Z217" s="438"/>
      <c r="AA217" s="822"/>
      <c r="AB217" s="440"/>
      <c r="AC217" s="440"/>
      <c r="AD217" s="440"/>
      <c r="AE217" s="440"/>
      <c r="AF217" s="441">
        <v>43900</v>
      </c>
      <c r="AG217" s="441">
        <v>43994</v>
      </c>
      <c r="AH217" s="442">
        <v>44203</v>
      </c>
      <c r="AI217" s="443">
        <f t="shared" si="13"/>
        <v>7</v>
      </c>
      <c r="AJ217" s="436">
        <v>100604251</v>
      </c>
      <c r="AK217" s="444">
        <v>4759700</v>
      </c>
      <c r="AL217" s="436" t="s">
        <v>1170</v>
      </c>
      <c r="AM217" s="445">
        <v>3152338355</v>
      </c>
      <c r="AN217" s="817" t="s">
        <v>1171</v>
      </c>
      <c r="AO217" s="460" t="s">
        <v>1172</v>
      </c>
      <c r="AP217" s="823" t="s">
        <v>1174</v>
      </c>
    </row>
    <row r="218" spans="3:42" ht="17.25" customHeight="1">
      <c r="C218" s="238" t="s">
        <v>238</v>
      </c>
      <c r="D218" s="239" t="s">
        <v>115</v>
      </c>
      <c r="E218" s="240" t="s">
        <v>1175</v>
      </c>
      <c r="F218" s="241" t="s">
        <v>215</v>
      </c>
      <c r="G218" s="833">
        <v>5000</v>
      </c>
      <c r="H218" s="292">
        <f t="shared" si="11"/>
        <v>5000</v>
      </c>
      <c r="I218" s="284"/>
      <c r="J218" s="249"/>
      <c r="K218" s="249"/>
      <c r="L218" s="249"/>
      <c r="M218" s="249"/>
      <c r="N218" s="249"/>
      <c r="O218" s="249"/>
      <c r="P218" s="249"/>
      <c r="Q218" s="249"/>
      <c r="R218" s="249"/>
      <c r="S218" s="249"/>
      <c r="T218" s="243"/>
      <c r="U218" s="244"/>
      <c r="V218" s="342"/>
      <c r="W218" s="706"/>
      <c r="X218" s="706">
        <v>5000</v>
      </c>
      <c r="Y218" s="992"/>
      <c r="Z218" s="243"/>
      <c r="AA218" s="829"/>
      <c r="AB218" s="342"/>
      <c r="AC218" s="342"/>
      <c r="AD218" s="342"/>
      <c r="AE218" s="342"/>
      <c r="AF218" s="245">
        <v>44135</v>
      </c>
      <c r="AG218" s="245">
        <v>44225</v>
      </c>
      <c r="AH218" s="246">
        <v>44251</v>
      </c>
      <c r="AI218" s="300">
        <f>(YEAR(AH218)-YEAR(AG218))*12+MONTH(AH218)-MONTH(AG218)</f>
        <v>1</v>
      </c>
      <c r="AJ218" s="241">
        <v>100591227</v>
      </c>
      <c r="AK218" s="247">
        <v>5075528</v>
      </c>
      <c r="AL218" s="241" t="s">
        <v>1176</v>
      </c>
      <c r="AM218" s="248">
        <v>7195437243</v>
      </c>
      <c r="AN218" s="199" t="s">
        <v>1177</v>
      </c>
      <c r="AO218" s="242" t="s">
        <v>1178</v>
      </c>
      <c r="AP218" s="832" t="s">
        <v>1179</v>
      </c>
    </row>
    <row r="219" spans="3:42" ht="17.25" customHeight="1">
      <c r="C219" s="433" t="s">
        <v>238</v>
      </c>
      <c r="D219" s="434" t="s">
        <v>205</v>
      </c>
      <c r="E219" s="435" t="s">
        <v>1180</v>
      </c>
      <c r="F219" s="436" t="s">
        <v>215</v>
      </c>
      <c r="G219" s="460" t="s">
        <v>340</v>
      </c>
      <c r="H219" s="437">
        <f t="shared" si="11"/>
        <v>25019.23</v>
      </c>
      <c r="I219" s="462"/>
      <c r="J219" s="463"/>
      <c r="K219" s="463"/>
      <c r="L219" s="463"/>
      <c r="M219" s="463"/>
      <c r="N219" s="463"/>
      <c r="O219" s="463"/>
      <c r="P219" s="463"/>
      <c r="Q219" s="463"/>
      <c r="R219" s="463"/>
      <c r="S219" s="463"/>
      <c r="T219" s="438"/>
      <c r="U219" s="822"/>
      <c r="V219" s="440"/>
      <c r="W219" s="703"/>
      <c r="X219" s="703">
        <v>25019.23</v>
      </c>
      <c r="Y219" s="440"/>
      <c r="Z219" s="438"/>
      <c r="AA219" s="822"/>
      <c r="AB219" s="440"/>
      <c r="AC219" s="440"/>
      <c r="AD219" s="440"/>
      <c r="AE219" s="440"/>
      <c r="AF219" s="441">
        <v>43698</v>
      </c>
      <c r="AG219" s="441">
        <v>44228</v>
      </c>
      <c r="AH219" s="442">
        <v>44293</v>
      </c>
      <c r="AI219" s="443">
        <f>(YEAR(AH219)-YEAR(AG219))*12+MONTH(AH219)-MONTH(AG219)</f>
        <v>2</v>
      </c>
      <c r="AJ219" s="436">
        <v>100604080</v>
      </c>
      <c r="AK219" s="444">
        <v>30115372</v>
      </c>
      <c r="AL219" s="436" t="s">
        <v>1181</v>
      </c>
      <c r="AM219" s="445">
        <v>3038411900</v>
      </c>
      <c r="AN219" s="824" t="s">
        <v>1182</v>
      </c>
      <c r="AO219" s="460" t="s">
        <v>1183</v>
      </c>
      <c r="AP219" s="825" t="s">
        <v>1184</v>
      </c>
    </row>
    <row r="220" spans="3:42" ht="17.25" customHeight="1">
      <c r="C220" s="238" t="s">
        <v>238</v>
      </c>
      <c r="D220" s="239" t="s">
        <v>115</v>
      </c>
      <c r="E220" s="240" t="s">
        <v>1185</v>
      </c>
      <c r="F220" s="241" t="s">
        <v>215</v>
      </c>
      <c r="G220" s="242"/>
      <c r="H220" s="292">
        <f t="shared" si="11"/>
        <v>33082.44</v>
      </c>
      <c r="I220" s="284"/>
      <c r="J220" s="249"/>
      <c r="K220" s="249"/>
      <c r="L220" s="249"/>
      <c r="M220" s="249"/>
      <c r="N220" s="249"/>
      <c r="O220" s="249"/>
      <c r="P220" s="249"/>
      <c r="Q220" s="249"/>
      <c r="R220" s="249"/>
      <c r="S220" s="249"/>
      <c r="T220" s="243"/>
      <c r="U220" s="829"/>
      <c r="V220" s="342"/>
      <c r="W220" s="706"/>
      <c r="X220" s="706">
        <v>33082.44</v>
      </c>
      <c r="Y220" s="342"/>
      <c r="Z220" s="243"/>
      <c r="AA220" s="829"/>
      <c r="AB220" s="342"/>
      <c r="AC220" s="342"/>
      <c r="AD220" s="342"/>
      <c r="AE220" s="342"/>
      <c r="AF220" s="245">
        <v>43545</v>
      </c>
      <c r="AG220" s="245">
        <v>43703</v>
      </c>
      <c r="AH220" s="246">
        <v>44103</v>
      </c>
      <c r="AI220" s="300">
        <f>(YEAR(AH220)-YEAR(AG220))*12+MONTH(AH220)-MONTH(AG220)</f>
        <v>13</v>
      </c>
      <c r="AJ220" s="241">
        <v>100236553</v>
      </c>
      <c r="AK220" s="247">
        <v>39544424</v>
      </c>
      <c r="AL220" s="241" t="s">
        <v>1186</v>
      </c>
      <c r="AM220" s="248" t="s">
        <v>1187</v>
      </c>
      <c r="AN220" s="830"/>
      <c r="AO220" s="242" t="s">
        <v>1188</v>
      </c>
      <c r="AP220" s="832" t="s">
        <v>1189</v>
      </c>
    </row>
    <row r="221" spans="3:42" ht="17.25" customHeight="1">
      <c r="C221" s="447" t="s">
        <v>238</v>
      </c>
      <c r="D221" s="448" t="s">
        <v>115</v>
      </c>
      <c r="E221" s="449" t="s">
        <v>1190</v>
      </c>
      <c r="F221" s="450" t="s">
        <v>149</v>
      </c>
      <c r="G221" s="451" t="s">
        <v>88</v>
      </c>
      <c r="H221" s="437">
        <f t="shared" si="11"/>
        <v>4156.03</v>
      </c>
      <c r="I221" s="452"/>
      <c r="J221" s="453"/>
      <c r="K221" s="453"/>
      <c r="L221" s="453"/>
      <c r="M221" s="453"/>
      <c r="N221" s="453"/>
      <c r="O221" s="453"/>
      <c r="P221" s="453"/>
      <c r="Q221" s="453"/>
      <c r="R221" s="453"/>
      <c r="S221" s="453"/>
      <c r="T221" s="209"/>
      <c r="U221" s="594"/>
      <c r="V221" s="454"/>
      <c r="W221" s="616"/>
      <c r="X221" s="616">
        <v>4156.03</v>
      </c>
      <c r="Y221" s="209"/>
      <c r="Z221" s="209"/>
      <c r="AA221" s="594"/>
      <c r="AB221" s="454"/>
      <c r="AC221" s="454"/>
      <c r="AD221" s="454"/>
      <c r="AE221" s="454"/>
      <c r="AF221" s="455">
        <v>43784</v>
      </c>
      <c r="AG221" s="455">
        <v>43846</v>
      </c>
      <c r="AH221" s="456">
        <v>44196</v>
      </c>
      <c r="AI221" s="443">
        <f t="shared" ref="AI221" si="14">(YEAR(AH221)-YEAR(AG221))*12+MONTH(AH221)-MONTH(AG221)</f>
        <v>11</v>
      </c>
      <c r="AJ221" s="450">
        <v>100339743</v>
      </c>
      <c r="AK221" s="208">
        <v>3041217</v>
      </c>
      <c r="AL221" s="450" t="s">
        <v>1191</v>
      </c>
      <c r="AM221" s="458" t="s">
        <v>1192</v>
      </c>
      <c r="AN221" s="817" t="s">
        <v>1193</v>
      </c>
      <c r="AO221" s="451" t="s">
        <v>1194</v>
      </c>
      <c r="AP221" s="803"/>
    </row>
    <row r="222" spans="3:42" ht="17.25" customHeight="1">
      <c r="C222" s="238" t="s">
        <v>238</v>
      </c>
      <c r="D222" s="239" t="s">
        <v>115</v>
      </c>
      <c r="E222" s="240" t="s">
        <v>1195</v>
      </c>
      <c r="F222" s="241" t="s">
        <v>215</v>
      </c>
      <c r="G222" s="242" t="s">
        <v>1196</v>
      </c>
      <c r="H222" s="292">
        <v>2000</v>
      </c>
      <c r="I222" s="284"/>
      <c r="J222" s="249"/>
      <c r="K222" s="249"/>
      <c r="L222" s="249"/>
      <c r="M222" s="249"/>
      <c r="N222" s="249"/>
      <c r="O222" s="249"/>
      <c r="P222" s="249"/>
      <c r="Q222" s="249"/>
      <c r="R222" s="249"/>
      <c r="S222" s="249"/>
      <c r="T222" s="243"/>
      <c r="U222" s="829"/>
      <c r="V222" s="342"/>
      <c r="W222" s="706"/>
      <c r="X222" s="706">
        <v>2000</v>
      </c>
      <c r="Y222" s="243"/>
      <c r="Z222" s="243"/>
      <c r="AA222" s="829"/>
      <c r="AB222" s="342"/>
      <c r="AC222" s="342"/>
      <c r="AD222" s="342"/>
      <c r="AE222" s="342"/>
      <c r="AF222" s="245">
        <v>44190</v>
      </c>
      <c r="AG222" s="245">
        <v>44230</v>
      </c>
      <c r="AH222" s="246">
        <v>44230</v>
      </c>
      <c r="AI222" s="300">
        <v>1</v>
      </c>
      <c r="AJ222" s="241">
        <v>100590180</v>
      </c>
      <c r="AK222" s="247">
        <v>17718370</v>
      </c>
      <c r="AL222" s="241" t="s">
        <v>1197</v>
      </c>
      <c r="AM222" s="248" t="s">
        <v>1198</v>
      </c>
      <c r="AN222" s="830"/>
      <c r="AO222" s="242" t="s">
        <v>1199</v>
      </c>
      <c r="AP222" s="831"/>
    </row>
    <row r="223" spans="3:42" ht="17.25" customHeight="1">
      <c r="C223" s="447" t="s">
        <v>238</v>
      </c>
      <c r="D223" s="448" t="s">
        <v>205</v>
      </c>
      <c r="E223" s="449" t="s">
        <v>1200</v>
      </c>
      <c r="F223" s="450" t="s">
        <v>215</v>
      </c>
      <c r="G223" s="805" t="s">
        <v>1201</v>
      </c>
      <c r="H223" s="437">
        <f t="shared" ref="H223:H234" si="15">SUM(I223:Y223)</f>
        <v>17890.189999999999</v>
      </c>
      <c r="I223" s="818"/>
      <c r="J223" s="819"/>
      <c r="K223" s="819"/>
      <c r="L223" s="819"/>
      <c r="M223" s="819"/>
      <c r="N223" s="819"/>
      <c r="O223" s="819"/>
      <c r="P223" s="819"/>
      <c r="Q223" s="819"/>
      <c r="R223" s="819"/>
      <c r="S223" s="819"/>
      <c r="T223" s="209"/>
      <c r="U223" s="594"/>
      <c r="V223" s="454"/>
      <c r="W223" s="616">
        <v>17890.189999999999</v>
      </c>
      <c r="X223" s="616"/>
      <c r="Y223" s="209"/>
      <c r="Z223" s="209"/>
      <c r="AA223" s="594"/>
      <c r="AB223" s="454"/>
      <c r="AC223" s="454"/>
      <c r="AD223" s="454"/>
      <c r="AE223" s="454"/>
      <c r="AF223" s="455">
        <v>42799</v>
      </c>
      <c r="AG223" s="455">
        <v>43816</v>
      </c>
      <c r="AH223" s="456">
        <v>44019</v>
      </c>
      <c r="AI223" s="457">
        <f>(YEAR(AH223)-YEAR(AG223))*12+MONTH(AH223)-MONTH(AG223)</f>
        <v>7</v>
      </c>
      <c r="AJ223" s="450">
        <v>100330808</v>
      </c>
      <c r="AK223" s="208">
        <v>100330812</v>
      </c>
      <c r="AL223" s="450" t="s">
        <v>1202</v>
      </c>
      <c r="AM223" s="458">
        <v>9374442576</v>
      </c>
      <c r="AN223" s="811" t="s">
        <v>88</v>
      </c>
      <c r="AO223" s="451" t="s">
        <v>1203</v>
      </c>
      <c r="AP223" s="804" t="s">
        <v>1204</v>
      </c>
    </row>
    <row r="224" spans="3:42" ht="17.25" customHeight="1">
      <c r="C224" s="197" t="s">
        <v>238</v>
      </c>
      <c r="D224" s="212" t="s">
        <v>205</v>
      </c>
      <c r="E224" s="198" t="s">
        <v>835</v>
      </c>
      <c r="F224" s="199" t="s">
        <v>215</v>
      </c>
      <c r="G224" s="801">
        <v>0.1</v>
      </c>
      <c r="H224" s="292">
        <f t="shared" si="15"/>
        <v>34550.82</v>
      </c>
      <c r="I224" s="813"/>
      <c r="J224" s="814"/>
      <c r="K224" s="814"/>
      <c r="L224" s="814"/>
      <c r="M224" s="814"/>
      <c r="N224" s="814"/>
      <c r="O224" s="814"/>
      <c r="P224" s="814"/>
      <c r="Q224" s="814"/>
      <c r="R224" s="814"/>
      <c r="S224" s="814"/>
      <c r="T224" s="201"/>
      <c r="U224" s="338"/>
      <c r="V224" s="341"/>
      <c r="W224" s="510"/>
      <c r="X224" s="510">
        <v>34263.129999999997</v>
      </c>
      <c r="Y224" s="201">
        <v>287.69</v>
      </c>
      <c r="Z224" s="201"/>
      <c r="AA224" s="338"/>
      <c r="AB224" s="341"/>
      <c r="AC224" s="341"/>
      <c r="AD224" s="341"/>
      <c r="AE224" s="341"/>
      <c r="AF224" s="203">
        <v>43756</v>
      </c>
      <c r="AG224" s="203">
        <v>43782</v>
      </c>
      <c r="AH224" s="204">
        <v>44258</v>
      </c>
      <c r="AI224" s="299">
        <f>(YEAR(AH224)-YEAR(AG224))*12+MONTH(AH224)-MONTH(AG224)</f>
        <v>16</v>
      </c>
      <c r="AJ224" s="199">
        <v>100321169</v>
      </c>
      <c r="AK224" s="200">
        <v>79756599</v>
      </c>
      <c r="AL224" s="199" t="s">
        <v>836</v>
      </c>
      <c r="AM224" s="205">
        <v>6266837234</v>
      </c>
      <c r="AN224" s="199" t="s">
        <v>837</v>
      </c>
      <c r="AO224" s="219" t="s">
        <v>838</v>
      </c>
      <c r="AP224" s="800" t="s">
        <v>839</v>
      </c>
    </row>
    <row r="225" spans="3:42" ht="17.25" customHeight="1">
      <c r="C225" s="433" t="s">
        <v>238</v>
      </c>
      <c r="D225" s="434" t="s">
        <v>115</v>
      </c>
      <c r="E225" s="435" t="s">
        <v>1205</v>
      </c>
      <c r="F225" s="436" t="s">
        <v>215</v>
      </c>
      <c r="G225" s="827" t="s">
        <v>1206</v>
      </c>
      <c r="H225" s="437">
        <f t="shared" si="15"/>
        <v>106.47</v>
      </c>
      <c r="I225" s="462"/>
      <c r="J225" s="463"/>
      <c r="K225" s="463"/>
      <c r="L225" s="463"/>
      <c r="M225" s="463"/>
      <c r="N225" s="463"/>
      <c r="O225" s="463"/>
      <c r="P225" s="463"/>
      <c r="Q225" s="463"/>
      <c r="R225" s="463"/>
      <c r="S225" s="463"/>
      <c r="T225" s="438"/>
      <c r="U225" s="822"/>
      <c r="V225" s="440"/>
      <c r="W225" s="703"/>
      <c r="X225" s="703">
        <v>106.47</v>
      </c>
      <c r="Y225" s="438"/>
      <c r="Z225" s="438"/>
      <c r="AA225" s="822"/>
      <c r="AB225" s="440"/>
      <c r="AC225" s="440"/>
      <c r="AD225" s="440"/>
      <c r="AE225" s="440"/>
      <c r="AF225" s="441"/>
      <c r="AG225" s="441">
        <v>44047</v>
      </c>
      <c r="AH225" s="442">
        <v>44210</v>
      </c>
      <c r="AI225" s="457">
        <v>5</v>
      </c>
      <c r="AJ225" s="436">
        <v>100468107</v>
      </c>
      <c r="AK225" s="444">
        <v>40360018</v>
      </c>
      <c r="AL225" s="436" t="s">
        <v>1207</v>
      </c>
      <c r="AM225" s="445" t="s">
        <v>1208</v>
      </c>
      <c r="AN225" s="450" t="s">
        <v>1209</v>
      </c>
      <c r="AO225" s="460" t="s">
        <v>1210</v>
      </c>
      <c r="AP225" s="825"/>
    </row>
    <row r="226" spans="3:42" ht="17.25" customHeight="1">
      <c r="C226" s="197" t="s">
        <v>238</v>
      </c>
      <c r="D226" s="212" t="s">
        <v>115</v>
      </c>
      <c r="E226" s="198" t="s">
        <v>1211</v>
      </c>
      <c r="F226" s="199" t="s">
        <v>215</v>
      </c>
      <c r="G226" s="219" t="s">
        <v>1212</v>
      </c>
      <c r="H226" s="292">
        <f t="shared" si="15"/>
        <v>55797.4</v>
      </c>
      <c r="I226" s="283"/>
      <c r="J226" s="206"/>
      <c r="K226" s="206"/>
      <c r="L226" s="206"/>
      <c r="M226" s="206"/>
      <c r="N226" s="206"/>
      <c r="O226" s="206"/>
      <c r="P226" s="206"/>
      <c r="Q226" s="206"/>
      <c r="R226" s="206"/>
      <c r="S226" s="206"/>
      <c r="T226" s="201"/>
      <c r="U226" s="338"/>
      <c r="V226" s="341"/>
      <c r="W226" s="510">
        <v>19880</v>
      </c>
      <c r="X226" s="510">
        <v>35917.4</v>
      </c>
      <c r="Y226" s="201"/>
      <c r="Z226" s="201"/>
      <c r="AA226" s="338"/>
      <c r="AB226" s="341"/>
      <c r="AC226" s="341"/>
      <c r="AD226" s="341"/>
      <c r="AE226" s="341"/>
      <c r="AF226" s="203">
        <v>43633</v>
      </c>
      <c r="AG226" s="203">
        <v>43661</v>
      </c>
      <c r="AH226" s="204">
        <v>44104</v>
      </c>
      <c r="AI226" s="299">
        <f t="shared" ref="AI226:AI231" si="16">(YEAR(AH226)-YEAR(AG226))*12+MONTH(AH226)-MONTH(AG226)</f>
        <v>14</v>
      </c>
      <c r="AJ226" s="199">
        <v>100220825</v>
      </c>
      <c r="AK226" s="200">
        <v>35200096</v>
      </c>
      <c r="AL226" s="199" t="s">
        <v>88</v>
      </c>
      <c r="AM226" s="205">
        <v>6082592664</v>
      </c>
      <c r="AN226" s="834" t="s">
        <v>499</v>
      </c>
      <c r="AO226" s="219" t="s">
        <v>1213</v>
      </c>
      <c r="AP226" s="799" t="s">
        <v>1214</v>
      </c>
    </row>
    <row r="227" spans="3:42" ht="17.25" customHeight="1">
      <c r="C227" s="447" t="s">
        <v>238</v>
      </c>
      <c r="D227" s="448" t="s">
        <v>205</v>
      </c>
      <c r="E227" s="449" t="s">
        <v>1215</v>
      </c>
      <c r="F227" s="450" t="s">
        <v>215</v>
      </c>
      <c r="G227" s="828" t="s">
        <v>1216</v>
      </c>
      <c r="H227" s="437">
        <f t="shared" si="15"/>
        <v>24417.8</v>
      </c>
      <c r="I227" s="452"/>
      <c r="J227" s="453"/>
      <c r="K227" s="453"/>
      <c r="L227" s="453"/>
      <c r="M227" s="453"/>
      <c r="N227" s="453"/>
      <c r="O227" s="453"/>
      <c r="P227" s="453"/>
      <c r="Q227" s="453"/>
      <c r="R227" s="453"/>
      <c r="S227" s="453"/>
      <c r="T227" s="209"/>
      <c r="U227" s="594"/>
      <c r="V227" s="454"/>
      <c r="W227" s="616"/>
      <c r="X227" s="616">
        <v>24417.8</v>
      </c>
      <c r="Y227" s="454"/>
      <c r="Z227" s="209"/>
      <c r="AA227" s="594"/>
      <c r="AB227" s="454"/>
      <c r="AC227" s="454"/>
      <c r="AD227" s="454"/>
      <c r="AE227" s="454"/>
      <c r="AF227" s="455">
        <v>40444</v>
      </c>
      <c r="AG227" s="455">
        <v>44105</v>
      </c>
      <c r="AH227" s="456">
        <v>44322</v>
      </c>
      <c r="AI227" s="457">
        <f t="shared" si="16"/>
        <v>7</v>
      </c>
      <c r="AJ227" s="450">
        <v>100542963</v>
      </c>
      <c r="AK227" s="208">
        <v>100175148</v>
      </c>
      <c r="AL227" s="450" t="s">
        <v>1217</v>
      </c>
      <c r="AM227" s="458">
        <v>4408428442</v>
      </c>
      <c r="AN227" s="450" t="s">
        <v>1218</v>
      </c>
      <c r="AO227" s="451" t="s">
        <v>1219</v>
      </c>
      <c r="AP227" s="803" t="s">
        <v>1220</v>
      </c>
    </row>
    <row r="228" spans="3:42" ht="17.25" customHeight="1">
      <c r="C228" s="197" t="s">
        <v>238</v>
      </c>
      <c r="D228" s="212" t="s">
        <v>205</v>
      </c>
      <c r="E228" s="198" t="s">
        <v>1221</v>
      </c>
      <c r="F228" s="199" t="s">
        <v>215</v>
      </c>
      <c r="G228" s="219"/>
      <c r="H228" s="292">
        <f t="shared" si="15"/>
        <v>131232.91</v>
      </c>
      <c r="I228" s="283"/>
      <c r="J228" s="206"/>
      <c r="K228" s="206"/>
      <c r="L228" s="206"/>
      <c r="M228" s="206"/>
      <c r="N228" s="206"/>
      <c r="O228" s="206"/>
      <c r="P228" s="206"/>
      <c r="Q228" s="206"/>
      <c r="R228" s="206"/>
      <c r="S228" s="206"/>
      <c r="T228" s="201"/>
      <c r="U228" s="338"/>
      <c r="V228" s="341"/>
      <c r="W228" s="510"/>
      <c r="X228" s="510">
        <v>131232.91</v>
      </c>
      <c r="Y228" s="341"/>
      <c r="Z228" s="201"/>
      <c r="AA228" s="338"/>
      <c r="AB228" s="341"/>
      <c r="AC228" s="341"/>
      <c r="AD228" s="341"/>
      <c r="AE228" s="341"/>
      <c r="AF228" s="203">
        <v>43728</v>
      </c>
      <c r="AG228" s="203">
        <v>43747</v>
      </c>
      <c r="AH228" s="204">
        <v>44279</v>
      </c>
      <c r="AI228" s="509">
        <f t="shared" si="16"/>
        <v>17</v>
      </c>
      <c r="AJ228" s="199">
        <v>100310200</v>
      </c>
      <c r="AK228" s="200">
        <v>33994740</v>
      </c>
      <c r="AL228" s="199" t="s">
        <v>1222</v>
      </c>
      <c r="AM228" s="205">
        <v>3033228943</v>
      </c>
      <c r="AN228" s="809" t="s">
        <v>1223</v>
      </c>
      <c r="AO228" s="219" t="s">
        <v>343</v>
      </c>
      <c r="AP228" s="800" t="s">
        <v>1224</v>
      </c>
    </row>
    <row r="229" spans="3:42" ht="17.25" customHeight="1">
      <c r="C229" s="447" t="s">
        <v>238</v>
      </c>
      <c r="D229" s="448" t="s">
        <v>205</v>
      </c>
      <c r="E229" s="449" t="s">
        <v>1225</v>
      </c>
      <c r="F229" s="450" t="s">
        <v>215</v>
      </c>
      <c r="G229" s="451" t="s">
        <v>1226</v>
      </c>
      <c r="H229" s="437">
        <f t="shared" si="15"/>
        <v>75464.84</v>
      </c>
      <c r="I229" s="452"/>
      <c r="J229" s="453"/>
      <c r="K229" s="453"/>
      <c r="L229" s="453"/>
      <c r="M229" s="453"/>
      <c r="N229" s="453"/>
      <c r="O229" s="453"/>
      <c r="P229" s="453"/>
      <c r="Q229" s="453"/>
      <c r="R229" s="453"/>
      <c r="S229" s="453"/>
      <c r="T229" s="209"/>
      <c r="U229" s="594"/>
      <c r="V229" s="454"/>
      <c r="W229" s="616">
        <v>54400</v>
      </c>
      <c r="X229" s="616">
        <v>21064.84</v>
      </c>
      <c r="Y229" s="209"/>
      <c r="Z229" s="209"/>
      <c r="AA229" s="594"/>
      <c r="AB229" s="454"/>
      <c r="AC229" s="454"/>
      <c r="AD229" s="454"/>
      <c r="AE229" s="454"/>
      <c r="AF229" s="455">
        <v>43523</v>
      </c>
      <c r="AG229" s="455">
        <v>43571</v>
      </c>
      <c r="AH229" s="456">
        <v>44180</v>
      </c>
      <c r="AI229" s="595">
        <f t="shared" si="16"/>
        <v>20</v>
      </c>
      <c r="AJ229" s="450">
        <v>100292998</v>
      </c>
      <c r="AK229" s="208">
        <v>95334991</v>
      </c>
      <c r="AL229" s="450" t="s">
        <v>1227</v>
      </c>
      <c r="AM229" s="458">
        <v>3175694692</v>
      </c>
      <c r="AN229" s="817" t="s">
        <v>1228</v>
      </c>
      <c r="AO229" s="451" t="s">
        <v>1229</v>
      </c>
      <c r="AP229" s="804" t="s">
        <v>1230</v>
      </c>
    </row>
    <row r="230" spans="3:42" ht="17.25" customHeight="1">
      <c r="C230" s="197" t="s">
        <v>238</v>
      </c>
      <c r="D230" s="212" t="s">
        <v>205</v>
      </c>
      <c r="E230" s="198" t="s">
        <v>1231</v>
      </c>
      <c r="F230" s="199" t="s">
        <v>91</v>
      </c>
      <c r="G230" s="801">
        <v>1</v>
      </c>
      <c r="H230" s="292">
        <f t="shared" si="15"/>
        <v>101706.44</v>
      </c>
      <c r="I230" s="283"/>
      <c r="J230" s="206"/>
      <c r="K230" s="206"/>
      <c r="L230" s="206"/>
      <c r="M230" s="206"/>
      <c r="N230" s="206"/>
      <c r="O230" s="206"/>
      <c r="P230" s="206"/>
      <c r="Q230" s="206"/>
      <c r="R230" s="206"/>
      <c r="S230" s="206"/>
      <c r="T230" s="201"/>
      <c r="U230" s="338"/>
      <c r="V230" s="341"/>
      <c r="W230" s="510"/>
      <c r="X230" s="510">
        <v>101706.44</v>
      </c>
      <c r="Y230" s="341"/>
      <c r="Z230" s="201"/>
      <c r="AA230" s="338"/>
      <c r="AB230" s="341"/>
      <c r="AC230" s="341"/>
      <c r="AD230" s="341"/>
      <c r="AE230" s="341"/>
      <c r="AF230" s="203">
        <v>43153</v>
      </c>
      <c r="AG230" s="203">
        <v>43899</v>
      </c>
      <c r="AH230" s="204">
        <v>44342</v>
      </c>
      <c r="AI230" s="509">
        <f t="shared" si="16"/>
        <v>14</v>
      </c>
      <c r="AJ230" s="199">
        <v>100357480</v>
      </c>
      <c r="AK230" s="200">
        <v>4983466</v>
      </c>
      <c r="AL230" s="199" t="s">
        <v>1232</v>
      </c>
      <c r="AM230" s="205">
        <v>8883806428</v>
      </c>
      <c r="AN230" s="809" t="s">
        <v>88</v>
      </c>
      <c r="AO230" s="219" t="s">
        <v>1233</v>
      </c>
      <c r="AP230" s="800" t="s">
        <v>1234</v>
      </c>
    </row>
    <row r="231" spans="3:42" ht="17.25" customHeight="1">
      <c r="C231" s="447" t="s">
        <v>238</v>
      </c>
      <c r="D231" s="448" t="s">
        <v>205</v>
      </c>
      <c r="E231" s="449" t="s">
        <v>1235</v>
      </c>
      <c r="F231" s="450" t="s">
        <v>215</v>
      </c>
      <c r="G231" s="451" t="s">
        <v>1236</v>
      </c>
      <c r="H231" s="437">
        <f t="shared" si="15"/>
        <v>64372.15</v>
      </c>
      <c r="I231" s="452"/>
      <c r="J231" s="453"/>
      <c r="K231" s="453"/>
      <c r="L231" s="453"/>
      <c r="M231" s="453"/>
      <c r="N231" s="453"/>
      <c r="O231" s="453"/>
      <c r="P231" s="453"/>
      <c r="Q231" s="453"/>
      <c r="R231" s="453"/>
      <c r="S231" s="453"/>
      <c r="T231" s="209"/>
      <c r="U231" s="594"/>
      <c r="V231" s="454"/>
      <c r="W231" s="616"/>
      <c r="X231" s="616">
        <v>64372.15</v>
      </c>
      <c r="Y231" s="454"/>
      <c r="Z231" s="209"/>
      <c r="AA231" s="594"/>
      <c r="AB231" s="454"/>
      <c r="AC231" s="454"/>
      <c r="AD231" s="454"/>
      <c r="AE231" s="454"/>
      <c r="AF231" s="455">
        <v>42997</v>
      </c>
      <c r="AG231" s="455">
        <v>43642</v>
      </c>
      <c r="AH231" s="456">
        <v>44211</v>
      </c>
      <c r="AI231" s="595">
        <f t="shared" si="16"/>
        <v>19</v>
      </c>
      <c r="AJ231" s="450">
        <v>100218937</v>
      </c>
      <c r="AK231" s="208">
        <v>4956652</v>
      </c>
      <c r="AL231" s="450" t="s">
        <v>1237</v>
      </c>
      <c r="AM231" s="458">
        <v>9194938411</v>
      </c>
      <c r="AN231" s="817" t="s">
        <v>1238</v>
      </c>
      <c r="AO231" s="451" t="s">
        <v>1239</v>
      </c>
      <c r="AP231" s="803" t="s">
        <v>1240</v>
      </c>
    </row>
    <row r="232" spans="3:42" ht="17.25" customHeight="1">
      <c r="C232" s="197" t="s">
        <v>238</v>
      </c>
      <c r="D232" s="212" t="s">
        <v>205</v>
      </c>
      <c r="E232" s="198" t="s">
        <v>1241</v>
      </c>
      <c r="F232" s="199" t="s">
        <v>215</v>
      </c>
      <c r="G232" s="219" t="s">
        <v>1242</v>
      </c>
      <c r="H232" s="292">
        <f t="shared" si="15"/>
        <v>81139.5</v>
      </c>
      <c r="I232" s="283"/>
      <c r="J232" s="206"/>
      <c r="K232" s="206"/>
      <c r="L232" s="206"/>
      <c r="M232" s="206"/>
      <c r="N232" s="206"/>
      <c r="O232" s="206"/>
      <c r="P232" s="206"/>
      <c r="Q232" s="206"/>
      <c r="R232" s="206"/>
      <c r="S232" s="206"/>
      <c r="T232" s="201"/>
      <c r="U232" s="338"/>
      <c r="V232" s="341"/>
      <c r="W232" s="510"/>
      <c r="X232" s="510">
        <v>81139.5</v>
      </c>
      <c r="Y232" s="341"/>
      <c r="Z232" s="201"/>
      <c r="AA232" s="338"/>
      <c r="AB232" s="341"/>
      <c r="AC232" s="341"/>
      <c r="AD232" s="341"/>
      <c r="AE232" s="341"/>
      <c r="AF232" s="203">
        <v>44161</v>
      </c>
      <c r="AG232" s="203">
        <v>44168</v>
      </c>
      <c r="AH232" s="204">
        <v>44168</v>
      </c>
      <c r="AI232" s="509">
        <v>1</v>
      </c>
      <c r="AJ232" s="199">
        <v>97704050</v>
      </c>
      <c r="AK232" s="200">
        <v>97704050</v>
      </c>
      <c r="AL232" s="199" t="s">
        <v>1243</v>
      </c>
      <c r="AM232" s="205">
        <v>3035964039</v>
      </c>
      <c r="AN232" s="199" t="s">
        <v>1244</v>
      </c>
      <c r="AO232" s="219" t="s">
        <v>1245</v>
      </c>
      <c r="AP232" s="799" t="s">
        <v>1246</v>
      </c>
    </row>
    <row r="233" spans="3:42" ht="17.25" customHeight="1">
      <c r="C233" s="447" t="s">
        <v>238</v>
      </c>
      <c r="D233" s="448" t="s">
        <v>115</v>
      </c>
      <c r="E233" s="449" t="s">
        <v>1247</v>
      </c>
      <c r="F233" s="450" t="s">
        <v>91</v>
      </c>
      <c r="G233" s="451" t="s">
        <v>1248</v>
      </c>
      <c r="H233" s="437">
        <f t="shared" si="15"/>
        <v>671074.98</v>
      </c>
      <c r="I233" s="452"/>
      <c r="J233" s="453"/>
      <c r="K233" s="453"/>
      <c r="L233" s="453"/>
      <c r="M233" s="453"/>
      <c r="N233" s="453"/>
      <c r="O233" s="453"/>
      <c r="P233" s="453"/>
      <c r="Q233" s="453"/>
      <c r="R233" s="453"/>
      <c r="S233" s="453"/>
      <c r="T233" s="209"/>
      <c r="U233" s="594"/>
      <c r="V233" s="454"/>
      <c r="W233" s="616"/>
      <c r="X233" s="616">
        <f>669582.07+1492.91</f>
        <v>671074.98</v>
      </c>
      <c r="Y233" s="454"/>
      <c r="Z233" s="209"/>
      <c r="AA233" s="594"/>
      <c r="AB233" s="454"/>
      <c r="AC233" s="454"/>
      <c r="AD233" s="454"/>
      <c r="AE233" s="454"/>
      <c r="AF233" s="455">
        <v>44090</v>
      </c>
      <c r="AG233" s="455">
        <v>44140</v>
      </c>
      <c r="AH233" s="456">
        <v>44293</v>
      </c>
      <c r="AI233" s="595">
        <f>(YEAR(AH233)-YEAR(AG233))*12+MONTH(AH233)-MONTH(AG233)</f>
        <v>5</v>
      </c>
      <c r="AJ233" s="450">
        <v>100560320</v>
      </c>
      <c r="AK233" s="208">
        <v>35282425</v>
      </c>
      <c r="AL233" s="450" t="s">
        <v>1249</v>
      </c>
      <c r="AM233" s="458" t="s">
        <v>1250</v>
      </c>
      <c r="AN233" s="450" t="s">
        <v>1251</v>
      </c>
      <c r="AO233" s="451" t="s">
        <v>1252</v>
      </c>
      <c r="AP233" s="803"/>
    </row>
    <row r="234" spans="3:42" ht="17.25" customHeight="1">
      <c r="C234" s="197" t="s">
        <v>238</v>
      </c>
      <c r="D234" s="212" t="s">
        <v>205</v>
      </c>
      <c r="E234" s="198" t="s">
        <v>1253</v>
      </c>
      <c r="F234" s="199" t="s">
        <v>117</v>
      </c>
      <c r="G234" s="801" t="s">
        <v>1254</v>
      </c>
      <c r="H234" s="292">
        <f t="shared" si="15"/>
        <v>7013.9</v>
      </c>
      <c r="I234" s="283"/>
      <c r="J234" s="206"/>
      <c r="K234" s="206"/>
      <c r="L234" s="206"/>
      <c r="M234" s="206"/>
      <c r="N234" s="206"/>
      <c r="O234" s="206"/>
      <c r="P234" s="206"/>
      <c r="Q234" s="206"/>
      <c r="R234" s="206"/>
      <c r="S234" s="206"/>
      <c r="T234" s="201"/>
      <c r="U234" s="338"/>
      <c r="V234" s="341"/>
      <c r="W234" s="510"/>
      <c r="X234" s="510">
        <v>7013.9</v>
      </c>
      <c r="Y234" s="341"/>
      <c r="Z234" s="201"/>
      <c r="AA234" s="338"/>
      <c r="AB234" s="341"/>
      <c r="AC234" s="341"/>
      <c r="AD234" s="341"/>
      <c r="AE234" s="341"/>
      <c r="AF234" s="203">
        <v>40774</v>
      </c>
      <c r="AG234" s="203">
        <v>43994</v>
      </c>
      <c r="AH234" s="204">
        <v>44225</v>
      </c>
      <c r="AI234" s="509">
        <f>(YEAR(AH234)-YEAR(AG234))*12+MONTH(AH234)-MONTH(AG234)</f>
        <v>7</v>
      </c>
      <c r="AJ234" s="199">
        <v>100604250</v>
      </c>
      <c r="AK234" s="200">
        <v>100021769</v>
      </c>
      <c r="AL234" s="241" t="s">
        <v>1170</v>
      </c>
      <c r="AM234" s="248">
        <v>3152338355</v>
      </c>
      <c r="AN234" s="809" t="s">
        <v>1171</v>
      </c>
      <c r="AO234" s="242" t="s">
        <v>1172</v>
      </c>
      <c r="AP234" s="799"/>
    </row>
    <row r="235" spans="3:42" ht="17.25" customHeight="1">
      <c r="C235" s="447" t="s">
        <v>238</v>
      </c>
      <c r="D235" s="448" t="s">
        <v>115</v>
      </c>
      <c r="E235" s="449" t="s">
        <v>1255</v>
      </c>
      <c r="F235" s="450" t="s">
        <v>215</v>
      </c>
      <c r="G235" s="451"/>
      <c r="H235" s="874">
        <f t="shared" ref="H235" si="17">SUM(I235:W235)</f>
        <v>53753.23</v>
      </c>
      <c r="I235" s="452"/>
      <c r="J235" s="453"/>
      <c r="K235" s="453"/>
      <c r="L235" s="453"/>
      <c r="M235" s="453"/>
      <c r="N235" s="453"/>
      <c r="O235" s="453"/>
      <c r="P235" s="453"/>
      <c r="Q235" s="453"/>
      <c r="R235" s="453"/>
      <c r="S235" s="453"/>
      <c r="T235" s="209"/>
      <c r="U235" s="210"/>
      <c r="V235" s="454"/>
      <c r="W235" s="616">
        <v>53753.23</v>
      </c>
      <c r="X235" s="616">
        <v>819.58</v>
      </c>
      <c r="Y235" s="454"/>
      <c r="Z235" s="209"/>
      <c r="AA235" s="210"/>
      <c r="AB235" s="454"/>
      <c r="AC235" s="454"/>
      <c r="AD235" s="454"/>
      <c r="AE235" s="454"/>
      <c r="AF235" s="455">
        <v>43476</v>
      </c>
      <c r="AG235" s="455">
        <v>43664</v>
      </c>
      <c r="AH235" s="456">
        <v>43801</v>
      </c>
      <c r="AI235" s="457">
        <v>5</v>
      </c>
      <c r="AJ235" s="450">
        <v>100223710</v>
      </c>
      <c r="AK235" s="208">
        <v>8144487</v>
      </c>
      <c r="AL235" s="450" t="s">
        <v>1256</v>
      </c>
      <c r="AM235" s="458" t="s">
        <v>1257</v>
      </c>
      <c r="AN235" s="450" t="s">
        <v>1258</v>
      </c>
      <c r="AO235" s="459" t="s">
        <v>1259</v>
      </c>
      <c r="AP235" s="527" t="s">
        <v>1260</v>
      </c>
    </row>
    <row r="236" spans="3:42" ht="17.25" customHeight="1">
      <c r="C236" s="197" t="s">
        <v>238</v>
      </c>
      <c r="D236" s="212" t="s">
        <v>115</v>
      </c>
      <c r="E236" s="198" t="s">
        <v>1261</v>
      </c>
      <c r="F236" s="199" t="s">
        <v>117</v>
      </c>
      <c r="G236" s="219"/>
      <c r="H236" s="292">
        <v>72000</v>
      </c>
      <c r="I236" s="283"/>
      <c r="J236" s="206"/>
      <c r="K236" s="206"/>
      <c r="L236" s="206"/>
      <c r="M236" s="206"/>
      <c r="N236" s="206"/>
      <c r="O236" s="206"/>
      <c r="P236" s="206"/>
      <c r="Q236" s="206"/>
      <c r="R236" s="206"/>
      <c r="S236" s="206"/>
      <c r="T236" s="201"/>
      <c r="U236" s="338"/>
      <c r="V236" s="341"/>
      <c r="W236" s="510"/>
      <c r="X236" s="510">
        <v>72000</v>
      </c>
      <c r="Y236" s="341"/>
      <c r="Z236" s="201"/>
      <c r="AA236" s="338"/>
      <c r="AB236" s="341"/>
      <c r="AC236" s="341"/>
      <c r="AD236" s="341"/>
      <c r="AE236" s="341"/>
      <c r="AF236" s="198"/>
      <c r="AG236" s="203">
        <v>44203</v>
      </c>
      <c r="AH236" s="204">
        <v>44203</v>
      </c>
      <c r="AI236" s="509">
        <v>1</v>
      </c>
      <c r="AJ236" s="880">
        <v>100583437</v>
      </c>
      <c r="AK236" s="200">
        <v>100583437</v>
      </c>
      <c r="AL236" s="199" t="s">
        <v>1262</v>
      </c>
      <c r="AM236" s="205">
        <v>8505598948</v>
      </c>
      <c r="AN236" s="834" t="s">
        <v>1263</v>
      </c>
      <c r="AO236" s="219" t="s">
        <v>1264</v>
      </c>
      <c r="AP236" s="800" t="s">
        <v>1265</v>
      </c>
    </row>
    <row r="237" spans="3:42" ht="17.25" customHeight="1">
      <c r="C237" s="447" t="s">
        <v>238</v>
      </c>
      <c r="D237" s="448" t="s">
        <v>115</v>
      </c>
      <c r="E237" s="449" t="s">
        <v>1266</v>
      </c>
      <c r="F237" s="450" t="s">
        <v>215</v>
      </c>
      <c r="G237" s="451" t="s">
        <v>1267</v>
      </c>
      <c r="H237" s="437">
        <f>SUM(I237:Y237)</f>
        <v>10255.58</v>
      </c>
      <c r="I237" s="452"/>
      <c r="J237" s="453"/>
      <c r="K237" s="453"/>
      <c r="L237" s="453"/>
      <c r="M237" s="453"/>
      <c r="N237" s="453"/>
      <c r="O237" s="453"/>
      <c r="P237" s="453"/>
      <c r="Q237" s="453"/>
      <c r="R237" s="453"/>
      <c r="S237" s="453"/>
      <c r="T237" s="209"/>
      <c r="U237" s="594"/>
      <c r="V237" s="454"/>
      <c r="W237" s="616"/>
      <c r="X237" s="616">
        <v>10255.58</v>
      </c>
      <c r="Y237" s="454"/>
      <c r="Z237" s="209"/>
      <c r="AA237" s="594"/>
      <c r="AB237" s="454"/>
      <c r="AC237" s="454"/>
      <c r="AD237" s="454"/>
      <c r="AE237" s="454"/>
      <c r="AF237" s="455">
        <v>43512</v>
      </c>
      <c r="AG237" s="455">
        <v>43543</v>
      </c>
      <c r="AH237" s="456">
        <v>44077</v>
      </c>
      <c r="AI237" s="457">
        <f>(YEAR(AH237)-YEAR(AG237))*12+MONTH(AH237)-MONTH(AG237)</f>
        <v>18</v>
      </c>
      <c r="AJ237" s="450">
        <v>100352926</v>
      </c>
      <c r="AK237" s="208">
        <v>100181639</v>
      </c>
      <c r="AL237" s="450" t="s">
        <v>1268</v>
      </c>
      <c r="AM237" s="458">
        <v>3174532000</v>
      </c>
      <c r="AN237" s="817" t="s">
        <v>1269</v>
      </c>
      <c r="AO237" s="451" t="s">
        <v>1270</v>
      </c>
      <c r="AP237" s="803" t="s">
        <v>1271</v>
      </c>
    </row>
    <row r="238" spans="3:42" ht="17.25" customHeight="1">
      <c r="C238" s="197" t="s">
        <v>238</v>
      </c>
      <c r="D238" s="212" t="s">
        <v>115</v>
      </c>
      <c r="E238" s="198" t="s">
        <v>1272</v>
      </c>
      <c r="F238" s="199" t="s">
        <v>215</v>
      </c>
      <c r="G238" s="219"/>
      <c r="H238" s="292">
        <f>SUM(I238:Y238)</f>
        <v>455263.86</v>
      </c>
      <c r="I238" s="283"/>
      <c r="J238" s="206"/>
      <c r="K238" s="206"/>
      <c r="L238" s="206"/>
      <c r="M238" s="206"/>
      <c r="N238" s="206"/>
      <c r="O238" s="206"/>
      <c r="P238" s="206"/>
      <c r="Q238" s="206"/>
      <c r="R238" s="206"/>
      <c r="S238" s="206"/>
      <c r="T238" s="201"/>
      <c r="U238" s="338"/>
      <c r="V238" s="341"/>
      <c r="W238" s="510">
        <f>212500+15131.93</f>
        <v>227631.93</v>
      </c>
      <c r="X238" s="510">
        <f>212500+15131.93</f>
        <v>227631.93</v>
      </c>
      <c r="Y238" s="341"/>
      <c r="Z238" s="201"/>
      <c r="AA238" s="338"/>
      <c r="AB238" s="341"/>
      <c r="AC238" s="341"/>
      <c r="AD238" s="341"/>
      <c r="AE238" s="341"/>
      <c r="AF238" s="203">
        <v>43257</v>
      </c>
      <c r="AG238" s="203">
        <v>43298</v>
      </c>
      <c r="AH238" s="204">
        <v>44013</v>
      </c>
      <c r="AI238" s="299">
        <f>(YEAR(AH238)-YEAR(AG238))*12+MONTH(AH238)-MONTH(AG238)</f>
        <v>24</v>
      </c>
      <c r="AJ238" s="199">
        <v>100316111</v>
      </c>
      <c r="AK238" s="200">
        <v>100183493</v>
      </c>
      <c r="AL238" s="199" t="s">
        <v>1273</v>
      </c>
      <c r="AM238" s="205">
        <v>6087821469</v>
      </c>
      <c r="AN238" s="809" t="s">
        <v>1274</v>
      </c>
      <c r="AO238" s="219" t="s">
        <v>1275</v>
      </c>
      <c r="AP238" s="799" t="s">
        <v>1276</v>
      </c>
    </row>
    <row r="239" spans="3:42" ht="17.25" customHeight="1">
      <c r="C239" s="447" t="s">
        <v>238</v>
      </c>
      <c r="D239" s="448" t="s">
        <v>115</v>
      </c>
      <c r="E239" s="449" t="s">
        <v>1277</v>
      </c>
      <c r="F239" s="450" t="s">
        <v>215</v>
      </c>
      <c r="G239" s="451" t="s">
        <v>1278</v>
      </c>
      <c r="H239" s="437">
        <f>SUM(I239:Y239)</f>
        <v>911.85</v>
      </c>
      <c r="I239" s="452"/>
      <c r="J239" s="453"/>
      <c r="K239" s="453"/>
      <c r="L239" s="453"/>
      <c r="M239" s="453"/>
      <c r="N239" s="453"/>
      <c r="O239" s="453"/>
      <c r="P239" s="453"/>
      <c r="Q239" s="453"/>
      <c r="R239" s="453"/>
      <c r="S239" s="453"/>
      <c r="T239" s="209"/>
      <c r="U239" s="594"/>
      <c r="V239" s="454"/>
      <c r="W239" s="616">
        <v>911.85</v>
      </c>
      <c r="X239" s="616"/>
      <c r="Y239" s="454"/>
      <c r="Z239" s="209"/>
      <c r="AA239" s="594"/>
      <c r="AB239" s="454"/>
      <c r="AC239" s="454"/>
      <c r="AD239" s="454"/>
      <c r="AE239" s="454"/>
      <c r="AF239" s="455">
        <v>43578</v>
      </c>
      <c r="AG239" s="455">
        <v>43591</v>
      </c>
      <c r="AH239" s="456">
        <v>44027</v>
      </c>
      <c r="AI239" s="457">
        <f>(YEAR(AH239)-YEAR(AG239))*12+MONTH(AH239)-MONTH(AG239)</f>
        <v>14</v>
      </c>
      <c r="AJ239" s="450">
        <v>100353094</v>
      </c>
      <c r="AK239" s="208">
        <v>5834726</v>
      </c>
      <c r="AL239" s="450" t="s">
        <v>1279</v>
      </c>
      <c r="AM239" s="458">
        <v>2069376102</v>
      </c>
      <c r="AN239" s="811" t="s">
        <v>88</v>
      </c>
      <c r="AO239" s="451" t="s">
        <v>1280</v>
      </c>
      <c r="AP239" s="803" t="s">
        <v>1281</v>
      </c>
    </row>
    <row r="240" spans="3:42" ht="17.25" customHeight="1">
      <c r="C240" s="197" t="s">
        <v>238</v>
      </c>
      <c r="D240" s="212" t="s">
        <v>115</v>
      </c>
      <c r="E240" s="198" t="s">
        <v>1282</v>
      </c>
      <c r="F240" s="199" t="s">
        <v>215</v>
      </c>
      <c r="G240" s="219"/>
      <c r="H240" s="292">
        <v>16805.150000000001</v>
      </c>
      <c r="I240" s="283"/>
      <c r="J240" s="206"/>
      <c r="K240" s="206"/>
      <c r="L240" s="206"/>
      <c r="M240" s="206"/>
      <c r="N240" s="206"/>
      <c r="O240" s="206"/>
      <c r="P240" s="206"/>
      <c r="Q240" s="206"/>
      <c r="R240" s="206"/>
      <c r="S240" s="206"/>
      <c r="T240" s="201"/>
      <c r="U240" s="338"/>
      <c r="V240" s="341"/>
      <c r="W240" s="510"/>
      <c r="X240" s="510">
        <v>16805.150000000001</v>
      </c>
      <c r="Y240" s="341"/>
      <c r="Z240" s="201"/>
      <c r="AA240" s="338"/>
      <c r="AB240" s="341"/>
      <c r="AC240" s="341"/>
      <c r="AD240" s="341"/>
      <c r="AE240" s="341"/>
      <c r="AF240" s="203">
        <v>44166</v>
      </c>
      <c r="AG240" s="203">
        <v>44281</v>
      </c>
      <c r="AH240" s="204">
        <v>44350</v>
      </c>
      <c r="AI240" s="299">
        <v>3</v>
      </c>
      <c r="AJ240" s="199">
        <v>100603425</v>
      </c>
      <c r="AK240" s="200">
        <v>69629970</v>
      </c>
      <c r="AL240" s="199" t="s">
        <v>1283</v>
      </c>
      <c r="AM240" s="205">
        <v>3523781128</v>
      </c>
      <c r="AN240" s="834" t="s">
        <v>1284</v>
      </c>
      <c r="AO240" s="219" t="s">
        <v>1285</v>
      </c>
      <c r="AP240" s="799" t="s">
        <v>1286</v>
      </c>
    </row>
    <row r="241" spans="3:42" ht="17.25" customHeight="1">
      <c r="C241" s="447" t="s">
        <v>238</v>
      </c>
      <c r="D241" s="448" t="s">
        <v>115</v>
      </c>
      <c r="E241" s="449" t="s">
        <v>1287</v>
      </c>
      <c r="F241" s="450" t="s">
        <v>215</v>
      </c>
      <c r="G241" s="505">
        <v>10000</v>
      </c>
      <c r="H241" s="437">
        <v>16805.150000000001</v>
      </c>
      <c r="I241" s="452"/>
      <c r="J241" s="453"/>
      <c r="K241" s="453"/>
      <c r="L241" s="453"/>
      <c r="M241" s="453"/>
      <c r="N241" s="453"/>
      <c r="O241" s="453"/>
      <c r="P241" s="453"/>
      <c r="Q241" s="453"/>
      <c r="R241" s="453"/>
      <c r="S241" s="453"/>
      <c r="T241" s="209"/>
      <c r="U241" s="594"/>
      <c r="V241" s="454"/>
      <c r="W241" s="616"/>
      <c r="X241" s="616">
        <v>10000</v>
      </c>
      <c r="Y241" s="993"/>
      <c r="Z241" s="209"/>
      <c r="AA241" s="594"/>
      <c r="AB241" s="454"/>
      <c r="AC241" s="454"/>
      <c r="AD241" s="454"/>
      <c r="AE241" s="454"/>
      <c r="AF241" s="455">
        <v>44037</v>
      </c>
      <c r="AG241" s="455">
        <v>44225</v>
      </c>
      <c r="AH241" s="456">
        <v>44281</v>
      </c>
      <c r="AI241" s="457">
        <f t="shared" ref="AI241" si="18">(YEAR(AH241)-YEAR(AG241))*12+MONTH(AH241)-MONTH(AG241)</f>
        <v>2</v>
      </c>
      <c r="AJ241" s="450">
        <v>100590047</v>
      </c>
      <c r="AK241" s="208">
        <v>75596171</v>
      </c>
      <c r="AL241" s="450" t="s">
        <v>1288</v>
      </c>
      <c r="AM241" s="458">
        <v>3122612121</v>
      </c>
      <c r="AN241" s="450" t="s">
        <v>1289</v>
      </c>
      <c r="AO241" s="451" t="s">
        <v>1290</v>
      </c>
      <c r="AP241" s="803" t="s">
        <v>1291</v>
      </c>
    </row>
    <row r="242" spans="3:42" ht="17.25" customHeight="1">
      <c r="C242" s="197" t="s">
        <v>238</v>
      </c>
      <c r="D242" s="212" t="s">
        <v>115</v>
      </c>
      <c r="E242" s="198" t="s">
        <v>1292</v>
      </c>
      <c r="F242" s="199" t="s">
        <v>215</v>
      </c>
      <c r="G242" s="429"/>
      <c r="H242" s="292">
        <v>16805.150000000001</v>
      </c>
      <c r="I242" s="283"/>
      <c r="J242" s="206"/>
      <c r="K242" s="206"/>
      <c r="L242" s="206"/>
      <c r="M242" s="206"/>
      <c r="N242" s="206"/>
      <c r="O242" s="206"/>
      <c r="P242" s="206"/>
      <c r="Q242" s="206"/>
      <c r="R242" s="206"/>
      <c r="S242" s="206"/>
      <c r="T242" s="201"/>
      <c r="U242" s="338"/>
      <c r="V242" s="341"/>
      <c r="W242" s="510"/>
      <c r="X242" s="510">
        <v>1500</v>
      </c>
      <c r="Y242" s="994"/>
      <c r="Z242" s="201"/>
      <c r="AA242" s="338"/>
      <c r="AB242" s="341"/>
      <c r="AC242" s="341"/>
      <c r="AD242" s="341"/>
      <c r="AE242" s="341"/>
      <c r="AF242" s="203">
        <v>43952</v>
      </c>
      <c r="AG242" s="203">
        <v>44321</v>
      </c>
      <c r="AH242" s="204">
        <v>44321</v>
      </c>
      <c r="AI242" s="299">
        <v>1</v>
      </c>
      <c r="AJ242" s="199">
        <v>100631535</v>
      </c>
      <c r="AK242" s="200">
        <v>151738</v>
      </c>
      <c r="AL242" s="199" t="s">
        <v>1293</v>
      </c>
      <c r="AM242" s="205"/>
      <c r="AN242" s="199"/>
      <c r="AO242" s="219" t="s">
        <v>1294</v>
      </c>
      <c r="AP242" s="799"/>
    </row>
    <row r="243" spans="3:42" ht="17.25" customHeight="1">
      <c r="C243" s="447" t="s">
        <v>238</v>
      </c>
      <c r="D243" s="448" t="s">
        <v>115</v>
      </c>
      <c r="E243" s="449" t="s">
        <v>1295</v>
      </c>
      <c r="F243" s="450" t="s">
        <v>91</v>
      </c>
      <c r="G243" s="451"/>
      <c r="H243" s="437">
        <v>16805.150000000001</v>
      </c>
      <c r="I243" s="452"/>
      <c r="J243" s="453"/>
      <c r="K243" s="453"/>
      <c r="L243" s="453"/>
      <c r="M243" s="453"/>
      <c r="N243" s="453"/>
      <c r="O243" s="453"/>
      <c r="P243" s="453"/>
      <c r="Q243" s="453"/>
      <c r="R243" s="453"/>
      <c r="S243" s="453"/>
      <c r="T243" s="209"/>
      <c r="U243" s="594"/>
      <c r="V243" s="454"/>
      <c r="W243" s="616"/>
      <c r="X243" s="616">
        <f>3351.29+30735.26+11237.85</f>
        <v>45324.399999999994</v>
      </c>
      <c r="Y243" s="454"/>
      <c r="Z243" s="209"/>
      <c r="AA243" s="210"/>
      <c r="AB243" s="454"/>
      <c r="AC243" s="454"/>
      <c r="AD243" s="454"/>
      <c r="AE243" s="454"/>
      <c r="AF243" s="455">
        <v>43859</v>
      </c>
      <c r="AG243" s="455">
        <v>43886</v>
      </c>
      <c r="AH243" s="456">
        <v>44096</v>
      </c>
      <c r="AI243" s="457">
        <f t="shared" ref="AI243:AI244" si="19">(YEAR(AH243)-YEAR(AG243))*12+MONTH(AH243)-MONTH(AG243)</f>
        <v>7</v>
      </c>
      <c r="AJ243" s="450">
        <v>100537771</v>
      </c>
      <c r="AK243" s="208">
        <v>36550051</v>
      </c>
      <c r="AL243" s="450" t="s">
        <v>1296</v>
      </c>
      <c r="AM243" s="458" t="s">
        <v>1297</v>
      </c>
      <c r="AN243" s="450" t="s">
        <v>1298</v>
      </c>
      <c r="AO243" s="451" t="s">
        <v>1299</v>
      </c>
      <c r="AP243" s="803"/>
    </row>
    <row r="244" spans="3:42" ht="17.25" customHeight="1">
      <c r="C244" s="197" t="s">
        <v>238</v>
      </c>
      <c r="D244" s="212" t="s">
        <v>115</v>
      </c>
      <c r="E244" s="198" t="s">
        <v>1300</v>
      </c>
      <c r="F244" s="199" t="s">
        <v>215</v>
      </c>
      <c r="G244" s="429">
        <v>30000</v>
      </c>
      <c r="H244" s="292">
        <f t="shared" ref="H244:H251" si="20">SUM(I244:Y244)</f>
        <v>30000</v>
      </c>
      <c r="I244" s="283"/>
      <c r="J244" s="206"/>
      <c r="K244" s="206"/>
      <c r="L244" s="206"/>
      <c r="M244" s="206"/>
      <c r="N244" s="206"/>
      <c r="O244" s="206"/>
      <c r="P244" s="206"/>
      <c r="Q244" s="206"/>
      <c r="R244" s="206"/>
      <c r="S244" s="206"/>
      <c r="T244" s="201"/>
      <c r="U244" s="338"/>
      <c r="V244" s="341"/>
      <c r="W244" s="510"/>
      <c r="X244" s="510">
        <v>30000</v>
      </c>
      <c r="Y244" s="341"/>
      <c r="Z244" s="201"/>
      <c r="AA244" s="338"/>
      <c r="AB244" s="341"/>
      <c r="AC244" s="341"/>
      <c r="AD244" s="341"/>
      <c r="AE244" s="341"/>
      <c r="AF244" s="203">
        <v>43972</v>
      </c>
      <c r="AG244" s="203">
        <v>44047</v>
      </c>
      <c r="AH244" s="204">
        <v>44323</v>
      </c>
      <c r="AI244" s="299">
        <f t="shared" si="19"/>
        <v>9</v>
      </c>
      <c r="AJ244" s="199">
        <v>100468106</v>
      </c>
      <c r="AK244" s="200">
        <v>100468105</v>
      </c>
      <c r="AL244" s="199" t="s">
        <v>1301</v>
      </c>
      <c r="AM244" s="205" t="s">
        <v>1302</v>
      </c>
      <c r="AN244" s="199" t="s">
        <v>1303</v>
      </c>
      <c r="AO244" s="219" t="s">
        <v>1304</v>
      </c>
      <c r="AP244" s="799" t="s">
        <v>1305</v>
      </c>
    </row>
    <row r="245" spans="3:42" ht="17.25" customHeight="1">
      <c r="C245" s="447" t="s">
        <v>238</v>
      </c>
      <c r="D245" s="448" t="s">
        <v>115</v>
      </c>
      <c r="E245" s="449" t="s">
        <v>1306</v>
      </c>
      <c r="F245" s="450" t="s">
        <v>215</v>
      </c>
      <c r="G245" s="808" t="s">
        <v>1307</v>
      </c>
      <c r="H245" s="437">
        <f t="shared" si="20"/>
        <v>403.35</v>
      </c>
      <c r="I245" s="452"/>
      <c r="J245" s="453"/>
      <c r="K245" s="453"/>
      <c r="L245" s="453"/>
      <c r="M245" s="453"/>
      <c r="N245" s="453"/>
      <c r="O245" s="453"/>
      <c r="P245" s="453"/>
      <c r="Q245" s="453"/>
      <c r="R245" s="453"/>
      <c r="S245" s="453"/>
      <c r="T245" s="209"/>
      <c r="U245" s="594"/>
      <c r="V245" s="454"/>
      <c r="W245" s="616"/>
      <c r="X245" s="616">
        <v>403.35</v>
      </c>
      <c r="Y245" s="454"/>
      <c r="Z245" s="209"/>
      <c r="AA245" s="594"/>
      <c r="AB245" s="454"/>
      <c r="AC245" s="454"/>
      <c r="AD245" s="454"/>
      <c r="AE245" s="454"/>
      <c r="AF245" s="455">
        <v>43637</v>
      </c>
      <c r="AG245" s="455">
        <v>43873</v>
      </c>
      <c r="AH245" s="456">
        <v>44020</v>
      </c>
      <c r="AI245" s="457">
        <f t="shared" ref="AI245:AI249" si="21">(YEAR(AH245)-YEAR(AG245))*12+MONTH(AH245)-MONTH(AG245)</f>
        <v>5</v>
      </c>
      <c r="AJ245" s="450">
        <v>1003588030</v>
      </c>
      <c r="AK245" s="208">
        <v>8647497</v>
      </c>
      <c r="AL245" s="450" t="s">
        <v>1308</v>
      </c>
      <c r="AM245" s="458" t="s">
        <v>1309</v>
      </c>
      <c r="AN245" s="817"/>
      <c r="AO245" s="208" t="s">
        <v>88</v>
      </c>
      <c r="AP245" s="807"/>
    </row>
    <row r="246" spans="3:42" ht="17.25" customHeight="1">
      <c r="C246" s="197" t="s">
        <v>238</v>
      </c>
      <c r="D246" s="212" t="s">
        <v>115</v>
      </c>
      <c r="E246" s="198" t="s">
        <v>1310</v>
      </c>
      <c r="F246" s="199" t="s">
        <v>215</v>
      </c>
      <c r="G246" s="802"/>
      <c r="H246" s="292">
        <f t="shared" si="20"/>
        <v>50000</v>
      </c>
      <c r="I246" s="283"/>
      <c r="J246" s="206"/>
      <c r="K246" s="206"/>
      <c r="L246" s="206"/>
      <c r="M246" s="206"/>
      <c r="N246" s="206"/>
      <c r="O246" s="206"/>
      <c r="P246" s="206"/>
      <c r="Q246" s="206"/>
      <c r="R246" s="206"/>
      <c r="S246" s="206"/>
      <c r="T246" s="201"/>
      <c r="U246" s="338"/>
      <c r="V246" s="341"/>
      <c r="W246" s="510"/>
      <c r="X246" s="510">
        <v>50000</v>
      </c>
      <c r="Y246" s="341"/>
      <c r="Z246" s="201"/>
      <c r="AA246" s="338"/>
      <c r="AB246" s="341"/>
      <c r="AC246" s="341"/>
      <c r="AD246" s="341"/>
      <c r="AE246" s="341"/>
      <c r="AF246" s="203">
        <v>43140</v>
      </c>
      <c r="AG246" s="203">
        <v>44025</v>
      </c>
      <c r="AH246" s="204">
        <v>44265</v>
      </c>
      <c r="AI246" s="299">
        <f t="shared" si="21"/>
        <v>8</v>
      </c>
      <c r="AJ246" s="199">
        <v>100590051</v>
      </c>
      <c r="AK246" s="200">
        <v>26708115</v>
      </c>
      <c r="AL246" s="199" t="s">
        <v>1311</v>
      </c>
      <c r="AM246" s="205" t="s">
        <v>1312</v>
      </c>
      <c r="AN246" s="199" t="s">
        <v>1313</v>
      </c>
      <c r="AO246" s="200" t="s">
        <v>1314</v>
      </c>
      <c r="AP246" s="798"/>
    </row>
    <row r="247" spans="3:42" ht="17.25" customHeight="1">
      <c r="C247" s="447" t="s">
        <v>238</v>
      </c>
      <c r="D247" s="448" t="s">
        <v>205</v>
      </c>
      <c r="E247" s="449" t="s">
        <v>1315</v>
      </c>
      <c r="F247" s="450" t="s">
        <v>215</v>
      </c>
      <c r="G247" s="505" t="s">
        <v>1316</v>
      </c>
      <c r="H247" s="437">
        <f t="shared" si="20"/>
        <v>25393.84</v>
      </c>
      <c r="I247" s="452"/>
      <c r="J247" s="453"/>
      <c r="K247" s="453"/>
      <c r="L247" s="453"/>
      <c r="M247" s="453"/>
      <c r="N247" s="453"/>
      <c r="O247" s="453"/>
      <c r="P247" s="453"/>
      <c r="Q247" s="453"/>
      <c r="R247" s="453"/>
      <c r="S247" s="453"/>
      <c r="T247" s="209"/>
      <c r="U247" s="594"/>
      <c r="V247" s="454"/>
      <c r="W247" s="616"/>
      <c r="X247" s="616">
        <v>25393.84</v>
      </c>
      <c r="Y247" s="454"/>
      <c r="Z247" s="209"/>
      <c r="AA247" s="594"/>
      <c r="AB247" s="454"/>
      <c r="AC247" s="454"/>
      <c r="AD247" s="454"/>
      <c r="AE247" s="454"/>
      <c r="AF247" s="810">
        <v>43907</v>
      </c>
      <c r="AG247" s="455">
        <v>43942</v>
      </c>
      <c r="AH247" s="456">
        <v>44133</v>
      </c>
      <c r="AI247" s="457">
        <f t="shared" si="21"/>
        <v>6</v>
      </c>
      <c r="AJ247" s="450">
        <v>100375458</v>
      </c>
      <c r="AK247" s="208">
        <v>101386</v>
      </c>
      <c r="AL247" s="450" t="s">
        <v>1317</v>
      </c>
      <c r="AM247" s="458">
        <v>5169317079</v>
      </c>
      <c r="AN247" s="817" t="s">
        <v>1318</v>
      </c>
      <c r="AO247" s="451" t="s">
        <v>1319</v>
      </c>
      <c r="AP247" s="803" t="s">
        <v>1320</v>
      </c>
    </row>
    <row r="248" spans="3:42" ht="17.25" customHeight="1">
      <c r="C248" s="197" t="s">
        <v>238</v>
      </c>
      <c r="D248" s="212" t="s">
        <v>115</v>
      </c>
      <c r="E248" s="198" t="s">
        <v>1321</v>
      </c>
      <c r="F248" s="199" t="s">
        <v>215</v>
      </c>
      <c r="G248" s="429"/>
      <c r="H248" s="292">
        <f t="shared" si="20"/>
        <v>3043.65</v>
      </c>
      <c r="I248" s="283"/>
      <c r="J248" s="206"/>
      <c r="K248" s="206"/>
      <c r="L248" s="206"/>
      <c r="M248" s="206"/>
      <c r="N248" s="206"/>
      <c r="O248" s="206"/>
      <c r="P248" s="206"/>
      <c r="Q248" s="206"/>
      <c r="R248" s="206"/>
      <c r="S248" s="206"/>
      <c r="T248" s="201"/>
      <c r="U248" s="338"/>
      <c r="V248" s="341"/>
      <c r="W248" s="510"/>
      <c r="X248" s="510">
        <v>3043.65</v>
      </c>
      <c r="Y248" s="341"/>
      <c r="Z248" s="201"/>
      <c r="AA248" s="338"/>
      <c r="AB248" s="341"/>
      <c r="AC248" s="341"/>
      <c r="AD248" s="341"/>
      <c r="AE248" s="341"/>
      <c r="AF248" s="888">
        <v>43829</v>
      </c>
      <c r="AG248" s="203">
        <v>44334</v>
      </c>
      <c r="AH248" s="204">
        <v>44348</v>
      </c>
      <c r="AI248" s="299">
        <v>0</v>
      </c>
      <c r="AJ248" s="199">
        <v>100646590</v>
      </c>
      <c r="AK248" s="200">
        <v>29356441</v>
      </c>
      <c r="AL248" s="199" t="s">
        <v>1322</v>
      </c>
      <c r="AM248" s="205" t="s">
        <v>1323</v>
      </c>
      <c r="AN248" s="199" t="s">
        <v>1324</v>
      </c>
      <c r="AO248" s="219" t="s">
        <v>1325</v>
      </c>
      <c r="AP248" s="799"/>
    </row>
    <row r="249" spans="3:42" ht="17.25" customHeight="1">
      <c r="C249" s="447" t="s">
        <v>238</v>
      </c>
      <c r="D249" s="448" t="s">
        <v>205</v>
      </c>
      <c r="E249" s="449" t="s">
        <v>1326</v>
      </c>
      <c r="F249" s="450" t="s">
        <v>215</v>
      </c>
      <c r="G249" s="451" t="s">
        <v>1327</v>
      </c>
      <c r="H249" s="437">
        <f t="shared" si="20"/>
        <v>20000</v>
      </c>
      <c r="I249" s="452"/>
      <c r="J249" s="453"/>
      <c r="K249" s="453"/>
      <c r="L249" s="453"/>
      <c r="M249" s="453"/>
      <c r="N249" s="453"/>
      <c r="O249" s="453"/>
      <c r="P249" s="453"/>
      <c r="Q249" s="453"/>
      <c r="R249" s="453"/>
      <c r="S249" s="453"/>
      <c r="T249" s="209"/>
      <c r="U249" s="594"/>
      <c r="V249" s="454"/>
      <c r="W249" s="616"/>
      <c r="X249" s="616">
        <v>20000</v>
      </c>
      <c r="Y249" s="454"/>
      <c r="Z249" s="209"/>
      <c r="AA249" s="594"/>
      <c r="AB249" s="454"/>
      <c r="AC249" s="454"/>
      <c r="AD249" s="454"/>
      <c r="AE249" s="454"/>
      <c r="AF249" s="455"/>
      <c r="AG249" s="455">
        <v>44181</v>
      </c>
      <c r="AH249" s="456">
        <v>44256</v>
      </c>
      <c r="AI249" s="457">
        <f t="shared" si="21"/>
        <v>3</v>
      </c>
      <c r="AJ249" s="450">
        <v>100600661</v>
      </c>
      <c r="AK249" s="208">
        <v>33857954</v>
      </c>
      <c r="AL249" s="450" t="s">
        <v>1328</v>
      </c>
      <c r="AM249" s="458"/>
      <c r="AN249" s="811" t="s">
        <v>1329</v>
      </c>
      <c r="AO249" s="451" t="s">
        <v>1330</v>
      </c>
      <c r="AP249" s="803" t="s">
        <v>1331</v>
      </c>
    </row>
    <row r="250" spans="3:42" ht="17.25" customHeight="1">
      <c r="C250" s="197" t="s">
        <v>238</v>
      </c>
      <c r="D250" s="212" t="s">
        <v>205</v>
      </c>
      <c r="E250" s="198" t="s">
        <v>1332</v>
      </c>
      <c r="F250" s="199" t="s">
        <v>215</v>
      </c>
      <c r="G250" s="219" t="s">
        <v>1333</v>
      </c>
      <c r="H250" s="292">
        <f t="shared" si="20"/>
        <v>15000</v>
      </c>
      <c r="I250" s="283"/>
      <c r="J250" s="206"/>
      <c r="K250" s="206"/>
      <c r="L250" s="206"/>
      <c r="M250" s="206"/>
      <c r="N250" s="206"/>
      <c r="O250" s="206"/>
      <c r="P250" s="206"/>
      <c r="Q250" s="206"/>
      <c r="R250" s="206"/>
      <c r="S250" s="206"/>
      <c r="T250" s="201"/>
      <c r="U250" s="338"/>
      <c r="V250" s="341"/>
      <c r="W250" s="510"/>
      <c r="X250" s="510">
        <v>15000</v>
      </c>
      <c r="Y250" s="341"/>
      <c r="Z250" s="201"/>
      <c r="AA250" s="338"/>
      <c r="AB250" s="341"/>
      <c r="AC250" s="341"/>
      <c r="AD250" s="341"/>
      <c r="AE250" s="341"/>
      <c r="AF250" s="203">
        <v>44102</v>
      </c>
      <c r="AG250" s="203">
        <v>44264</v>
      </c>
      <c r="AH250" s="204">
        <v>44270</v>
      </c>
      <c r="AI250" s="299">
        <v>1</v>
      </c>
      <c r="AJ250" s="199">
        <v>100602172</v>
      </c>
      <c r="AK250" s="200">
        <v>4827713</v>
      </c>
      <c r="AL250" s="199" t="s">
        <v>1334</v>
      </c>
      <c r="AM250" s="205" t="s">
        <v>1335</v>
      </c>
      <c r="AN250" s="834" t="s">
        <v>1336</v>
      </c>
      <c r="AO250" s="219" t="s">
        <v>1337</v>
      </c>
      <c r="AP250" s="799" t="s">
        <v>1338</v>
      </c>
    </row>
    <row r="251" spans="3:42" ht="17.25" customHeight="1">
      <c r="C251" s="447" t="s">
        <v>238</v>
      </c>
      <c r="D251" s="448" t="s">
        <v>205</v>
      </c>
      <c r="E251" s="449" t="s">
        <v>1119</v>
      </c>
      <c r="F251" s="450" t="s">
        <v>215</v>
      </c>
      <c r="G251" s="451" t="s">
        <v>1339</v>
      </c>
      <c r="H251" s="437">
        <f t="shared" si="20"/>
        <v>25000</v>
      </c>
      <c r="I251" s="452"/>
      <c r="J251" s="453"/>
      <c r="K251" s="453"/>
      <c r="L251" s="453"/>
      <c r="M251" s="453"/>
      <c r="N251" s="453"/>
      <c r="O251" s="453"/>
      <c r="P251" s="453"/>
      <c r="Q251" s="453"/>
      <c r="R251" s="453"/>
      <c r="S251" s="453"/>
      <c r="T251" s="209"/>
      <c r="U251" s="594"/>
      <c r="V251" s="454"/>
      <c r="W251" s="616"/>
      <c r="X251" s="616">
        <v>25000</v>
      </c>
      <c r="Y251" s="454"/>
      <c r="Z251" s="209"/>
      <c r="AA251" s="594"/>
      <c r="AB251" s="454"/>
      <c r="AC251" s="454"/>
      <c r="AD251" s="454"/>
      <c r="AE251" s="454"/>
      <c r="AF251" s="455">
        <v>44215</v>
      </c>
      <c r="AG251" s="455">
        <v>44351</v>
      </c>
      <c r="AH251" s="456">
        <v>44353</v>
      </c>
      <c r="AI251" s="457">
        <v>1</v>
      </c>
      <c r="AJ251" s="450">
        <v>100647676</v>
      </c>
      <c r="AK251" s="208">
        <v>37196110</v>
      </c>
      <c r="AL251" s="450" t="s">
        <v>1340</v>
      </c>
      <c r="AM251" s="458">
        <v>8603135729</v>
      </c>
      <c r="AN251" s="811" t="s">
        <v>1122</v>
      </c>
      <c r="AO251" s="451" t="s">
        <v>1341</v>
      </c>
      <c r="AP251" s="803" t="s">
        <v>1339</v>
      </c>
    </row>
    <row r="252" spans="3:42" ht="17.25" customHeight="1">
      <c r="C252" s="699" t="s">
        <v>1342</v>
      </c>
      <c r="D252" s="469"/>
      <c r="E252" s="469"/>
      <c r="F252" s="32"/>
      <c r="G252" s="470"/>
      <c r="H252" s="470"/>
      <c r="I252" s="471"/>
      <c r="J252" s="470"/>
      <c r="K252" s="470"/>
      <c r="L252" s="470"/>
      <c r="M252" s="470"/>
      <c r="N252" s="470"/>
      <c r="O252" s="470"/>
      <c r="P252" s="470"/>
      <c r="Q252" s="470"/>
      <c r="R252" s="470"/>
      <c r="S252" s="470"/>
      <c r="T252" s="472"/>
      <c r="U252" s="472"/>
      <c r="V252" s="472"/>
      <c r="W252" s="472"/>
      <c r="X252" s="472"/>
      <c r="Y252" s="472"/>
      <c r="Z252" s="472"/>
      <c r="AA252" s="472"/>
      <c r="AB252" s="472"/>
      <c r="AC252" s="472"/>
      <c r="AD252" s="472"/>
      <c r="AE252" s="472"/>
      <c r="AF252" s="32"/>
      <c r="AG252" s="32"/>
      <c r="AH252" s="32"/>
      <c r="AI252" s="473"/>
      <c r="AJ252" s="32"/>
      <c r="AK252" s="32"/>
      <c r="AL252" s="32"/>
      <c r="AM252" s="474"/>
      <c r="AN252" s="916"/>
      <c r="AO252" s="470"/>
      <c r="AP252" s="470"/>
    </row>
    <row r="253" spans="3:42" ht="17.25" customHeight="1">
      <c r="C253" s="855" t="s">
        <v>238</v>
      </c>
      <c r="D253" s="856" t="s">
        <v>115</v>
      </c>
      <c r="E253" s="857" t="s">
        <v>1343</v>
      </c>
      <c r="F253" s="858" t="s">
        <v>117</v>
      </c>
      <c r="G253" s="859" t="s">
        <v>1344</v>
      </c>
      <c r="H253" s="860">
        <f>SUM(I253:W253)</f>
        <v>10600</v>
      </c>
      <c r="I253" s="861"/>
      <c r="J253" s="862"/>
      <c r="K253" s="862"/>
      <c r="L253" s="862"/>
      <c r="M253" s="862"/>
      <c r="N253" s="862"/>
      <c r="O253" s="862"/>
      <c r="P253" s="862"/>
      <c r="Q253" s="862"/>
      <c r="R253" s="862"/>
      <c r="S253" s="862"/>
      <c r="T253" s="863"/>
      <c r="U253" s="863"/>
      <c r="V253" s="864"/>
      <c r="W253" s="865">
        <v>10600</v>
      </c>
      <c r="X253" s="866"/>
      <c r="Y253" s="867"/>
      <c r="Z253" s="863"/>
      <c r="AA253" s="863"/>
      <c r="AB253" s="863"/>
      <c r="AC253" s="863"/>
      <c r="AD253" s="863"/>
      <c r="AE253" s="863"/>
      <c r="AF253" s="868">
        <v>42968</v>
      </c>
      <c r="AG253" s="868">
        <v>43109</v>
      </c>
      <c r="AH253" s="868">
        <v>43787</v>
      </c>
      <c r="AI253" s="869">
        <f t="shared" ref="AI253:AI260" si="22">(YEAR(AH253)-YEAR(AG253))*12+MONTH(AH253)-MONTH(AG253)</f>
        <v>22</v>
      </c>
      <c r="AJ253" s="858">
        <v>100218736</v>
      </c>
      <c r="AK253" s="858">
        <v>6002372</v>
      </c>
      <c r="AL253" s="858" t="s">
        <v>1345</v>
      </c>
      <c r="AM253" s="870">
        <v>6033565439</v>
      </c>
      <c r="AN253" s="858" t="s">
        <v>1346</v>
      </c>
      <c r="AO253" s="871" t="s">
        <v>1347</v>
      </c>
      <c r="AP253" s="872" t="s">
        <v>1348</v>
      </c>
    </row>
    <row r="254" spans="3:42" ht="17.25" customHeight="1">
      <c r="C254" s="447" t="s">
        <v>238</v>
      </c>
      <c r="D254" s="448" t="s">
        <v>115</v>
      </c>
      <c r="E254" s="449" t="s">
        <v>1349</v>
      </c>
      <c r="F254" s="450" t="s">
        <v>215</v>
      </c>
      <c r="G254" s="805">
        <v>0.01</v>
      </c>
      <c r="H254" s="874">
        <f>SUM(I254:W254)</f>
        <v>16900</v>
      </c>
      <c r="I254" s="818"/>
      <c r="J254" s="819"/>
      <c r="K254" s="819"/>
      <c r="L254" s="819"/>
      <c r="M254" s="819"/>
      <c r="N254" s="819"/>
      <c r="O254" s="819"/>
      <c r="P254" s="819"/>
      <c r="Q254" s="819"/>
      <c r="R254" s="819"/>
      <c r="S254" s="819"/>
      <c r="T254" s="209"/>
      <c r="U254" s="210"/>
      <c r="V254" s="454">
        <v>16900</v>
      </c>
      <c r="W254" s="616" t="s">
        <v>88</v>
      </c>
      <c r="X254" s="710"/>
      <c r="Y254" s="806"/>
      <c r="Z254" s="209"/>
      <c r="AA254" s="210"/>
      <c r="AB254" s="454"/>
      <c r="AC254" s="454"/>
      <c r="AD254" s="454"/>
      <c r="AE254" s="454"/>
      <c r="AF254" s="455">
        <v>43121</v>
      </c>
      <c r="AG254" s="455">
        <v>43515</v>
      </c>
      <c r="AH254" s="456">
        <v>43686</v>
      </c>
      <c r="AI254" s="457">
        <f t="shared" si="22"/>
        <v>6</v>
      </c>
      <c r="AJ254" s="450" t="s">
        <v>88</v>
      </c>
      <c r="AK254" s="208">
        <v>39441761</v>
      </c>
      <c r="AL254" s="878" t="s">
        <v>1350</v>
      </c>
      <c r="AM254" s="458"/>
      <c r="AN254" s="453" t="s">
        <v>88</v>
      </c>
      <c r="AO254" s="459" t="s">
        <v>1351</v>
      </c>
      <c r="AP254" s="879" t="s">
        <v>1352</v>
      </c>
    </row>
    <row r="255" spans="3:42" ht="17.25" customHeight="1">
      <c r="C255" s="238" t="s">
        <v>238</v>
      </c>
      <c r="D255" s="239" t="s">
        <v>115</v>
      </c>
      <c r="E255" s="240" t="s">
        <v>1353</v>
      </c>
      <c r="F255" s="241" t="s">
        <v>91</v>
      </c>
      <c r="G255" s="873"/>
      <c r="H255" s="812">
        <f t="shared" ref="H255:H283" si="23">SUM(I255:W255)</f>
        <v>10000</v>
      </c>
      <c r="I255" s="284"/>
      <c r="J255" s="249"/>
      <c r="K255" s="249"/>
      <c r="L255" s="249"/>
      <c r="M255" s="249"/>
      <c r="N255" s="249"/>
      <c r="O255" s="249"/>
      <c r="P255" s="249"/>
      <c r="Q255" s="249"/>
      <c r="R255" s="249"/>
      <c r="S255" s="249"/>
      <c r="T255" s="243"/>
      <c r="U255" s="244"/>
      <c r="V255" s="342"/>
      <c r="W255" s="706">
        <v>10000</v>
      </c>
      <c r="X255" s="713"/>
      <c r="Y255" s="244"/>
      <c r="Z255" s="243"/>
      <c r="AA255" s="244"/>
      <c r="AB255" s="342"/>
      <c r="AC255" s="342"/>
      <c r="AD255" s="342"/>
      <c r="AE255" s="342"/>
      <c r="AF255" s="245">
        <v>43527</v>
      </c>
      <c r="AG255" s="245">
        <v>43560</v>
      </c>
      <c r="AH255" s="246">
        <v>43860</v>
      </c>
      <c r="AI255" s="300">
        <f t="shared" si="22"/>
        <v>9</v>
      </c>
      <c r="AJ255" s="241">
        <v>100341345</v>
      </c>
      <c r="AK255" s="247">
        <v>100180798</v>
      </c>
      <c r="AL255" s="241" t="s">
        <v>1354</v>
      </c>
      <c r="AM255" s="248" t="s">
        <v>1355</v>
      </c>
      <c r="AN255" s="199" t="s">
        <v>1356</v>
      </c>
      <c r="AO255" s="250" t="s">
        <v>1357</v>
      </c>
      <c r="AP255" s="464" t="s">
        <v>1358</v>
      </c>
    </row>
    <row r="256" spans="3:42" ht="17.25" customHeight="1">
      <c r="C256" s="447" t="s">
        <v>238</v>
      </c>
      <c r="D256" s="448" t="s">
        <v>205</v>
      </c>
      <c r="E256" s="449" t="s">
        <v>1359</v>
      </c>
      <c r="F256" s="450" t="s">
        <v>215</v>
      </c>
      <c r="G256" s="451"/>
      <c r="H256" s="874">
        <f t="shared" si="23"/>
        <v>5934.84</v>
      </c>
      <c r="I256" s="452"/>
      <c r="J256" s="453"/>
      <c r="K256" s="453"/>
      <c r="L256" s="453"/>
      <c r="M256" s="453"/>
      <c r="N256" s="453"/>
      <c r="O256" s="453"/>
      <c r="P256" s="453"/>
      <c r="Q256" s="453"/>
      <c r="R256" s="453"/>
      <c r="S256" s="453"/>
      <c r="T256" s="209"/>
      <c r="U256" s="210"/>
      <c r="V256" s="454"/>
      <c r="W256" s="616">
        <v>5934.84</v>
      </c>
      <c r="X256" s="710"/>
      <c r="Y256" s="210"/>
      <c r="Z256" s="209"/>
      <c r="AA256" s="210"/>
      <c r="AB256" s="454"/>
      <c r="AC256" s="454"/>
      <c r="AD256" s="454"/>
      <c r="AE256" s="454"/>
      <c r="AF256" s="455">
        <v>43313</v>
      </c>
      <c r="AG256" s="455">
        <v>43480</v>
      </c>
      <c r="AH256" s="456">
        <v>43696</v>
      </c>
      <c r="AI256" s="457">
        <f t="shared" si="22"/>
        <v>7</v>
      </c>
      <c r="AJ256" s="450">
        <v>100246417</v>
      </c>
      <c r="AK256" s="208">
        <v>76365710</v>
      </c>
      <c r="AL256" s="450" t="s">
        <v>303</v>
      </c>
      <c r="AM256" s="445">
        <v>6173327021</v>
      </c>
      <c r="AN256" s="463" t="s">
        <v>304</v>
      </c>
      <c r="AO256" s="446" t="s">
        <v>305</v>
      </c>
      <c r="AP256" s="459" t="s">
        <v>88</v>
      </c>
    </row>
    <row r="257" spans="3:42" ht="17.25" customHeight="1">
      <c r="C257" s="197" t="s">
        <v>238</v>
      </c>
      <c r="D257" s="212" t="s">
        <v>115</v>
      </c>
      <c r="E257" s="198" t="s">
        <v>1360</v>
      </c>
      <c r="F257" s="199" t="s">
        <v>215</v>
      </c>
      <c r="G257" s="219" t="s">
        <v>1361</v>
      </c>
      <c r="H257" s="812">
        <f t="shared" si="23"/>
        <v>21503.38</v>
      </c>
      <c r="I257" s="283"/>
      <c r="J257" s="206"/>
      <c r="K257" s="243"/>
      <c r="L257" s="243"/>
      <c r="M257" s="201"/>
      <c r="N257" s="243"/>
      <c r="O257" s="243"/>
      <c r="P257" s="244"/>
      <c r="Q257" s="243"/>
      <c r="R257" s="244"/>
      <c r="S257" s="243"/>
      <c r="T257" s="244"/>
      <c r="U257" s="342">
        <v>20000</v>
      </c>
      <c r="V257" s="341"/>
      <c r="W257" s="510">
        <v>1503.38</v>
      </c>
      <c r="X257" s="709"/>
      <c r="Y257" s="202"/>
      <c r="Z257" s="201"/>
      <c r="AA257" s="338"/>
      <c r="AB257" s="341"/>
      <c r="AC257" s="341"/>
      <c r="AD257" s="341"/>
      <c r="AE257" s="341"/>
      <c r="AF257" s="203">
        <v>42859</v>
      </c>
      <c r="AG257" s="203">
        <v>42784</v>
      </c>
      <c r="AH257" s="204">
        <v>43673</v>
      </c>
      <c r="AI257" s="509">
        <f t="shared" si="22"/>
        <v>29</v>
      </c>
      <c r="AJ257" s="199">
        <v>97975254</v>
      </c>
      <c r="AK257" s="851" t="s">
        <v>1362</v>
      </c>
      <c r="AL257" s="199" t="s">
        <v>1363</v>
      </c>
      <c r="AM257" s="205" t="s">
        <v>1364</v>
      </c>
      <c r="AN257" s="199" t="s">
        <v>1365</v>
      </c>
      <c r="AO257" s="200" t="s">
        <v>1366</v>
      </c>
      <c r="AP257" s="199"/>
    </row>
    <row r="258" spans="3:42" ht="17.25" customHeight="1">
      <c r="C258" s="447" t="s">
        <v>238</v>
      </c>
      <c r="D258" s="448" t="s">
        <v>205</v>
      </c>
      <c r="E258" s="449" t="s">
        <v>1367</v>
      </c>
      <c r="F258" s="450" t="s">
        <v>91</v>
      </c>
      <c r="G258" s="451" t="s">
        <v>1368</v>
      </c>
      <c r="H258" s="874">
        <f t="shared" si="23"/>
        <v>394201.24</v>
      </c>
      <c r="I258" s="452"/>
      <c r="J258" s="453"/>
      <c r="K258" s="438"/>
      <c r="L258" s="438"/>
      <c r="M258" s="209"/>
      <c r="N258" s="438"/>
      <c r="O258" s="438"/>
      <c r="P258" s="439"/>
      <c r="Q258" s="438"/>
      <c r="R258" s="439"/>
      <c r="S258" s="438"/>
      <c r="T258" s="439"/>
      <c r="U258" s="822"/>
      <c r="V258" s="454"/>
      <c r="W258" s="616">
        <f>SUM(57544.1+336657.14)</f>
        <v>394201.24</v>
      </c>
      <c r="X258" s="710"/>
      <c r="Y258" s="210"/>
      <c r="Z258" s="209"/>
      <c r="AA258" s="594" t="s">
        <v>88</v>
      </c>
      <c r="AB258" s="454"/>
      <c r="AC258" s="454"/>
      <c r="AD258" s="454"/>
      <c r="AE258" s="454"/>
      <c r="AF258" s="455">
        <v>43616</v>
      </c>
      <c r="AG258" s="455">
        <v>43728</v>
      </c>
      <c r="AH258" s="456">
        <v>43916</v>
      </c>
      <c r="AI258" s="595">
        <f t="shared" si="22"/>
        <v>6</v>
      </c>
      <c r="AJ258" s="450">
        <v>100298611</v>
      </c>
      <c r="AK258" s="876">
        <v>29445921</v>
      </c>
      <c r="AL258" s="450" t="s">
        <v>1369</v>
      </c>
      <c r="AM258" s="458">
        <v>5755240833</v>
      </c>
      <c r="AN258" s="450" t="s">
        <v>1370</v>
      </c>
      <c r="AO258" s="208" t="s">
        <v>1371</v>
      </c>
      <c r="AP258" s="877" t="s">
        <v>1372</v>
      </c>
    </row>
    <row r="259" spans="3:42" ht="17.25" customHeight="1">
      <c r="C259" s="197" t="s">
        <v>238</v>
      </c>
      <c r="D259" s="212" t="s">
        <v>115</v>
      </c>
      <c r="E259" s="198" t="s">
        <v>1373</v>
      </c>
      <c r="F259" s="199" t="s">
        <v>91</v>
      </c>
      <c r="G259" s="219"/>
      <c r="H259" s="812">
        <f t="shared" si="23"/>
        <v>2644.96</v>
      </c>
      <c r="I259" s="283"/>
      <c r="J259" s="206"/>
      <c r="K259" s="206"/>
      <c r="L259" s="206"/>
      <c r="M259" s="206"/>
      <c r="N259" s="206"/>
      <c r="O259" s="206"/>
      <c r="P259" s="206"/>
      <c r="Q259" s="206"/>
      <c r="R259" s="206"/>
      <c r="S259" s="206"/>
      <c r="T259" s="201"/>
      <c r="U259" s="202"/>
      <c r="V259" s="341"/>
      <c r="W259" s="510">
        <v>2644.96</v>
      </c>
      <c r="X259" s="709"/>
      <c r="Y259" s="202"/>
      <c r="Z259" s="201"/>
      <c r="AA259" s="202"/>
      <c r="AB259" s="341"/>
      <c r="AC259" s="341"/>
      <c r="AD259" s="341"/>
      <c r="AE259" s="341"/>
      <c r="AF259" s="203">
        <v>43429</v>
      </c>
      <c r="AG259" s="203">
        <v>43434</v>
      </c>
      <c r="AH259" s="204">
        <v>43682</v>
      </c>
      <c r="AI259" s="299">
        <f t="shared" si="22"/>
        <v>9</v>
      </c>
      <c r="AJ259" s="199"/>
      <c r="AK259" s="200">
        <v>36314870</v>
      </c>
      <c r="AL259" s="199" t="s">
        <v>1374</v>
      </c>
      <c r="AM259" s="205">
        <v>2627861416</v>
      </c>
      <c r="AN259" s="206" t="s">
        <v>1375</v>
      </c>
      <c r="AO259" s="207" t="s">
        <v>1376</v>
      </c>
      <c r="AP259" s="321" t="s">
        <v>1377</v>
      </c>
    </row>
    <row r="260" spans="3:42" ht="17.25" customHeight="1">
      <c r="C260" s="447" t="s">
        <v>238</v>
      </c>
      <c r="D260" s="448" t="s">
        <v>205</v>
      </c>
      <c r="E260" s="449" t="s">
        <v>1378</v>
      </c>
      <c r="F260" s="450" t="s">
        <v>117</v>
      </c>
      <c r="G260" s="805">
        <v>0.1</v>
      </c>
      <c r="H260" s="874">
        <f t="shared" si="23"/>
        <v>47860.45</v>
      </c>
      <c r="I260" s="818"/>
      <c r="J260" s="819"/>
      <c r="K260" s="819"/>
      <c r="L260" s="819"/>
      <c r="M260" s="819"/>
      <c r="N260" s="819"/>
      <c r="O260" s="819"/>
      <c r="P260" s="819"/>
      <c r="Q260" s="819"/>
      <c r="R260" s="819"/>
      <c r="S260" s="819"/>
      <c r="T260" s="209">
        <v>47860.45</v>
      </c>
      <c r="U260" s="210"/>
      <c r="V260" s="454"/>
      <c r="W260" s="616"/>
      <c r="X260" s="710"/>
      <c r="Y260" s="806"/>
      <c r="Z260" s="209"/>
      <c r="AA260" s="210"/>
      <c r="AB260" s="454"/>
      <c r="AC260" s="454"/>
      <c r="AD260" s="454"/>
      <c r="AE260" s="454"/>
      <c r="AF260" s="455">
        <v>42487</v>
      </c>
      <c r="AG260" s="455">
        <v>43009</v>
      </c>
      <c r="AH260" s="456">
        <v>43476</v>
      </c>
      <c r="AI260" s="457">
        <f t="shared" si="22"/>
        <v>15</v>
      </c>
      <c r="AJ260" s="450"/>
      <c r="AK260" s="208">
        <v>13650387</v>
      </c>
      <c r="AL260" s="450" t="s">
        <v>1379</v>
      </c>
      <c r="AM260" s="458">
        <v>9145524652</v>
      </c>
      <c r="AN260" s="453" t="s">
        <v>1380</v>
      </c>
      <c r="AO260" s="459"/>
      <c r="AP260" s="459" t="s">
        <v>1381</v>
      </c>
    </row>
    <row r="261" spans="3:42" ht="17.25" customHeight="1">
      <c r="C261" s="197" t="s">
        <v>238</v>
      </c>
      <c r="D261" s="212" t="s">
        <v>115</v>
      </c>
      <c r="E261" s="198" t="s">
        <v>1382</v>
      </c>
      <c r="F261" s="199" t="s">
        <v>91</v>
      </c>
      <c r="G261" s="801" t="s">
        <v>1383</v>
      </c>
      <c r="H261" s="812">
        <v>10000</v>
      </c>
      <c r="I261" s="813"/>
      <c r="J261" s="814"/>
      <c r="K261" s="814"/>
      <c r="L261" s="814"/>
      <c r="M261" s="814"/>
      <c r="N261" s="814"/>
      <c r="O261" s="814"/>
      <c r="P261" s="814"/>
      <c r="Q261" s="814"/>
      <c r="R261" s="814"/>
      <c r="S261" s="814"/>
      <c r="T261" s="201"/>
      <c r="U261" s="202"/>
      <c r="V261" s="341"/>
      <c r="W261" s="510">
        <v>10000</v>
      </c>
      <c r="X261" s="709"/>
      <c r="Y261" s="468"/>
      <c r="Z261" s="201"/>
      <c r="AA261" s="202"/>
      <c r="AB261" s="341"/>
      <c r="AC261" s="341"/>
      <c r="AD261" s="341"/>
      <c r="AE261" s="341"/>
      <c r="AF261" s="203">
        <v>43155</v>
      </c>
      <c r="AG261" s="203">
        <v>43811</v>
      </c>
      <c r="AH261" s="204">
        <v>43829</v>
      </c>
      <c r="AI261" s="299">
        <v>0</v>
      </c>
      <c r="AJ261" s="199">
        <v>100333142</v>
      </c>
      <c r="AK261" s="200">
        <v>3070588</v>
      </c>
      <c r="AL261" s="199" t="s">
        <v>1384</v>
      </c>
      <c r="AM261" s="205" t="s">
        <v>1385</v>
      </c>
      <c r="AN261" s="206" t="s">
        <v>88</v>
      </c>
      <c r="AO261" s="207" t="s">
        <v>1386</v>
      </c>
      <c r="AP261" s="207" t="s">
        <v>1387</v>
      </c>
    </row>
    <row r="262" spans="3:42" ht="17.25" customHeight="1">
      <c r="C262" s="433" t="s">
        <v>238</v>
      </c>
      <c r="D262" s="434" t="s">
        <v>205</v>
      </c>
      <c r="E262" s="435" t="s">
        <v>148</v>
      </c>
      <c r="F262" s="436" t="s">
        <v>215</v>
      </c>
      <c r="G262" s="460"/>
      <c r="H262" s="874">
        <f t="shared" si="23"/>
        <v>1236017.7999999998</v>
      </c>
      <c r="I262" s="462"/>
      <c r="J262" s="463"/>
      <c r="K262" s="463"/>
      <c r="L262" s="463"/>
      <c r="M262" s="463"/>
      <c r="N262" s="463"/>
      <c r="O262" s="463"/>
      <c r="P262" s="463"/>
      <c r="Q262" s="463"/>
      <c r="R262" s="463"/>
      <c r="S262" s="463"/>
      <c r="T262" s="438"/>
      <c r="U262" s="439"/>
      <c r="V262" s="440">
        <v>1058108.44</v>
      </c>
      <c r="W262" s="703">
        <f>SUM(147624+15000+15285.36)</f>
        <v>177909.36</v>
      </c>
      <c r="X262" s="711"/>
      <c r="Y262" s="826"/>
      <c r="Z262" s="438"/>
      <c r="AA262" s="439"/>
      <c r="AB262" s="440"/>
      <c r="AC262" s="440"/>
      <c r="AD262" s="440"/>
      <c r="AE262" s="440"/>
      <c r="AF262" s="441">
        <v>43061</v>
      </c>
      <c r="AG262" s="441">
        <v>43095</v>
      </c>
      <c r="AH262" s="442">
        <v>43675</v>
      </c>
      <c r="AI262" s="443">
        <f>(YEAR(AH262)-YEAR(AG262))*12+MONTH(AH262)-MONTH(AG262)</f>
        <v>19</v>
      </c>
      <c r="AJ262" s="436"/>
      <c r="AK262" s="444">
        <v>95974564</v>
      </c>
      <c r="AL262" s="436" t="s">
        <v>1388</v>
      </c>
      <c r="AM262" s="445">
        <v>2534758600</v>
      </c>
      <c r="AN262" s="450" t="s">
        <v>1389</v>
      </c>
      <c r="AO262" s="875" t="s">
        <v>1390</v>
      </c>
      <c r="AP262" s="875" t="s">
        <v>88</v>
      </c>
    </row>
    <row r="263" spans="3:42" ht="17.25" customHeight="1">
      <c r="C263" s="197" t="s">
        <v>238</v>
      </c>
      <c r="D263" s="212" t="s">
        <v>115</v>
      </c>
      <c r="E263" s="198" t="s">
        <v>1391</v>
      </c>
      <c r="F263" s="199" t="s">
        <v>215</v>
      </c>
      <c r="G263" s="219"/>
      <c r="H263" s="292">
        <f>SUM(I263:W263)</f>
        <v>1000</v>
      </c>
      <c r="I263" s="283"/>
      <c r="J263" s="206"/>
      <c r="K263" s="206"/>
      <c r="L263" s="206"/>
      <c r="M263" s="206"/>
      <c r="N263" s="206"/>
      <c r="O263" s="206"/>
      <c r="P263" s="206"/>
      <c r="Q263" s="206"/>
      <c r="R263" s="206"/>
      <c r="S263" s="206"/>
      <c r="T263" s="201"/>
      <c r="U263" s="202"/>
      <c r="V263" s="341"/>
      <c r="W263" s="510">
        <v>1000</v>
      </c>
      <c r="X263" s="510"/>
      <c r="Y263" s="201"/>
      <c r="Z263" s="201"/>
      <c r="AA263" s="202"/>
      <c r="AB263" s="341"/>
      <c r="AC263" s="341"/>
      <c r="AD263" s="341"/>
      <c r="AE263" s="341"/>
      <c r="AF263" s="203">
        <v>43172</v>
      </c>
      <c r="AG263" s="203">
        <v>43530</v>
      </c>
      <c r="AH263" s="204">
        <v>43530</v>
      </c>
      <c r="AI263" s="299">
        <f t="shared" ref="AI263" si="24">(YEAR(AH263)-YEAR(AG263))*12+MONTH(AH263)-MONTH(AG263)</f>
        <v>0</v>
      </c>
      <c r="AJ263" s="199">
        <v>100340455</v>
      </c>
      <c r="AK263" s="200">
        <v>36832343</v>
      </c>
      <c r="AL263" s="199" t="s">
        <v>1392</v>
      </c>
      <c r="AM263" s="205" t="s">
        <v>1393</v>
      </c>
      <c r="AN263" s="206"/>
      <c r="AO263" s="207" t="s">
        <v>1394</v>
      </c>
      <c r="AP263" s="207"/>
    </row>
    <row r="264" spans="3:42" ht="17.25" customHeight="1">
      <c r="C264" s="433" t="s">
        <v>238</v>
      </c>
      <c r="D264" s="434" t="s">
        <v>205</v>
      </c>
      <c r="E264" s="435" t="s">
        <v>1395</v>
      </c>
      <c r="F264" s="436" t="s">
        <v>215</v>
      </c>
      <c r="G264" s="460"/>
      <c r="H264" s="874">
        <f t="shared" si="23"/>
        <v>2516.13</v>
      </c>
      <c r="I264" s="462"/>
      <c r="J264" s="463"/>
      <c r="K264" s="463"/>
      <c r="L264" s="463"/>
      <c r="M264" s="463"/>
      <c r="N264" s="463"/>
      <c r="O264" s="463"/>
      <c r="P264" s="463"/>
      <c r="Q264" s="463"/>
      <c r="R264" s="463"/>
      <c r="S264" s="463"/>
      <c r="T264" s="438"/>
      <c r="U264" s="439"/>
      <c r="V264" s="440">
        <v>2516.13</v>
      </c>
      <c r="W264" s="703"/>
      <c r="X264" s="711"/>
      <c r="Y264" s="439"/>
      <c r="Z264" s="438"/>
      <c r="AA264" s="439"/>
      <c r="AB264" s="440"/>
      <c r="AC264" s="440"/>
      <c r="AD264" s="440"/>
      <c r="AE264" s="440"/>
      <c r="AF264" s="441">
        <v>43158</v>
      </c>
      <c r="AG264" s="441">
        <v>43448</v>
      </c>
      <c r="AH264" s="442">
        <v>43448</v>
      </c>
      <c r="AI264" s="443">
        <f>(YEAR(AH264)-YEAR(AG264))*12+MONTH(AH264)-MONTH(AG264)</f>
        <v>0</v>
      </c>
      <c r="AJ264" s="436"/>
      <c r="AK264" s="444">
        <v>16492</v>
      </c>
      <c r="AL264" s="436" t="s">
        <v>1396</v>
      </c>
      <c r="AM264" s="445">
        <v>8774369032</v>
      </c>
      <c r="AN264" s="463"/>
      <c r="AO264" s="446" t="s">
        <v>1397</v>
      </c>
      <c r="AP264" s="446"/>
    </row>
    <row r="265" spans="3:42" ht="17.25" customHeight="1">
      <c r="C265" s="238" t="s">
        <v>238</v>
      </c>
      <c r="D265" s="239" t="s">
        <v>205</v>
      </c>
      <c r="E265" s="240" t="s">
        <v>1398</v>
      </c>
      <c r="F265" s="241" t="s">
        <v>91</v>
      </c>
      <c r="G265" s="242" t="s">
        <v>1399</v>
      </c>
      <c r="H265" s="812">
        <f t="shared" si="23"/>
        <v>82095.91</v>
      </c>
      <c r="I265" s="284"/>
      <c r="J265" s="249"/>
      <c r="K265" s="249"/>
      <c r="L265" s="249"/>
      <c r="M265" s="249"/>
      <c r="N265" s="249"/>
      <c r="O265" s="249"/>
      <c r="P265" s="249"/>
      <c r="Q265" s="249"/>
      <c r="R265" s="249"/>
      <c r="S265" s="249"/>
      <c r="T265" s="243"/>
      <c r="U265" s="244"/>
      <c r="V265" s="342"/>
      <c r="W265" s="706">
        <v>82095.91</v>
      </c>
      <c r="X265" s="713"/>
      <c r="Y265" s="244"/>
      <c r="Z265" s="243" t="s">
        <v>191</v>
      </c>
      <c r="AA265" s="244"/>
      <c r="AB265" s="342"/>
      <c r="AC265" s="342"/>
      <c r="AD265" s="342"/>
      <c r="AE265" s="342"/>
      <c r="AF265" s="245">
        <v>43009</v>
      </c>
      <c r="AG265" s="245">
        <v>43361</v>
      </c>
      <c r="AH265" s="246">
        <v>43825</v>
      </c>
      <c r="AI265" s="300">
        <f>(YEAR(AH265)-YEAR(AG265))*12+MONTH(AH265)-MONTH(AG265)</f>
        <v>15</v>
      </c>
      <c r="AJ265" s="247"/>
      <c r="AK265" s="241">
        <v>99562035</v>
      </c>
      <c r="AL265" s="241" t="s">
        <v>1400</v>
      </c>
      <c r="AM265" s="248">
        <v>6177381919</v>
      </c>
      <c r="AN265" s="249" t="s">
        <v>1401</v>
      </c>
      <c r="AO265" s="250" t="s">
        <v>1402</v>
      </c>
      <c r="AP265" s="464" t="s">
        <v>1403</v>
      </c>
    </row>
    <row r="266" spans="3:42" ht="17.25" customHeight="1">
      <c r="C266" s="433" t="s">
        <v>238</v>
      </c>
      <c r="D266" s="434" t="s">
        <v>205</v>
      </c>
      <c r="E266" s="435" t="s">
        <v>1404</v>
      </c>
      <c r="F266" s="436" t="s">
        <v>215</v>
      </c>
      <c r="G266" s="827">
        <v>100000</v>
      </c>
      <c r="H266" s="874">
        <f t="shared" si="23"/>
        <v>100000</v>
      </c>
      <c r="I266" s="462"/>
      <c r="J266" s="463"/>
      <c r="K266" s="463"/>
      <c r="L266" s="463"/>
      <c r="M266" s="463"/>
      <c r="N266" s="463"/>
      <c r="O266" s="463"/>
      <c r="P266" s="463"/>
      <c r="Q266" s="463"/>
      <c r="R266" s="463"/>
      <c r="S266" s="463"/>
      <c r="T266" s="438"/>
      <c r="U266" s="439"/>
      <c r="V266" s="440"/>
      <c r="W266" s="703">
        <v>100000</v>
      </c>
      <c r="X266" s="711"/>
      <c r="Y266" s="826"/>
      <c r="Z266" s="438"/>
      <c r="AA266" s="439" t="s">
        <v>88</v>
      </c>
      <c r="AB266" s="440"/>
      <c r="AC266" s="440"/>
      <c r="AD266" s="440"/>
      <c r="AE266" s="440"/>
      <c r="AF266" s="441">
        <v>43610</v>
      </c>
      <c r="AG266" s="441">
        <v>43637</v>
      </c>
      <c r="AH266" s="442">
        <v>43980</v>
      </c>
      <c r="AI266" s="443">
        <f>(YEAR(AH266)-YEAR(AG266))*12+MONTH(AH266)-MONTH(AG266)</f>
        <v>11</v>
      </c>
      <c r="AJ266" s="436">
        <v>100219083</v>
      </c>
      <c r="AK266" s="444">
        <v>9713603</v>
      </c>
      <c r="AL266" s="436" t="s">
        <v>1405</v>
      </c>
      <c r="AM266" s="445">
        <v>9495456504</v>
      </c>
      <c r="AN266" s="463" t="s">
        <v>1406</v>
      </c>
      <c r="AO266" s="446" t="s">
        <v>1407</v>
      </c>
      <c r="AP266" s="446" t="s">
        <v>1408</v>
      </c>
    </row>
    <row r="267" spans="3:42" ht="17.25" customHeight="1">
      <c r="C267" s="197" t="s">
        <v>238</v>
      </c>
      <c r="D267" s="212" t="s">
        <v>205</v>
      </c>
      <c r="E267" s="198" t="s">
        <v>1409</v>
      </c>
      <c r="F267" s="199" t="s">
        <v>215</v>
      </c>
      <c r="G267" s="219"/>
      <c r="H267" s="812">
        <f t="shared" si="23"/>
        <v>67258.580000000016</v>
      </c>
      <c r="I267" s="283"/>
      <c r="J267" s="206"/>
      <c r="K267" s="206"/>
      <c r="L267" s="206"/>
      <c r="M267" s="206"/>
      <c r="N267" s="206"/>
      <c r="O267" s="206"/>
      <c r="P267" s="206"/>
      <c r="Q267" s="206"/>
      <c r="R267" s="206"/>
      <c r="S267" s="206"/>
      <c r="T267" s="201"/>
      <c r="U267" s="202"/>
      <c r="V267" s="341">
        <f>SUM(63233.12+2991.89)</f>
        <v>66225.010000000009</v>
      </c>
      <c r="W267" s="510">
        <v>1033.57</v>
      </c>
      <c r="X267" s="709"/>
      <c r="Y267" s="202"/>
      <c r="Z267" s="201"/>
      <c r="AA267" s="202"/>
      <c r="AB267" s="341"/>
      <c r="AC267" s="341"/>
      <c r="AD267" s="341"/>
      <c r="AE267" s="341"/>
      <c r="AF267" s="203">
        <v>41927</v>
      </c>
      <c r="AG267" s="203">
        <v>42558</v>
      </c>
      <c r="AH267" s="204">
        <v>43607</v>
      </c>
      <c r="AI267" s="299">
        <f>(YEAR(AH267)-YEAR(AG267))*12+MONTH(AH267)-MONTH(AG267)</f>
        <v>34</v>
      </c>
      <c r="AJ267" s="199"/>
      <c r="AK267" s="200">
        <v>480491</v>
      </c>
      <c r="AL267" s="199" t="s">
        <v>1410</v>
      </c>
      <c r="AM267" s="205" t="s">
        <v>1411</v>
      </c>
      <c r="AN267" s="206"/>
      <c r="AO267" s="207" t="s">
        <v>1412</v>
      </c>
      <c r="AP267" s="207"/>
    </row>
    <row r="268" spans="3:42" ht="17.25" customHeight="1">
      <c r="C268" s="670" t="s">
        <v>238</v>
      </c>
      <c r="D268" s="671" t="s">
        <v>115</v>
      </c>
      <c r="E268" s="672" t="s">
        <v>1413</v>
      </c>
      <c r="F268" s="673" t="s">
        <v>215</v>
      </c>
      <c r="G268" s="501"/>
      <c r="H268" s="599">
        <f t="shared" si="23"/>
        <v>27000</v>
      </c>
      <c r="I268" s="674"/>
      <c r="J268" s="675"/>
      <c r="K268" s="675"/>
      <c r="L268" s="675"/>
      <c r="M268" s="675"/>
      <c r="N268" s="675"/>
      <c r="O268" s="675"/>
      <c r="P268" s="675"/>
      <c r="Q268" s="675"/>
      <c r="R268" s="675"/>
      <c r="S268" s="675"/>
      <c r="T268" s="676"/>
      <c r="U268" s="677"/>
      <c r="V268" s="678">
        <v>27000</v>
      </c>
      <c r="W268" s="715"/>
      <c r="X268" s="716"/>
      <c r="Y268" s="677" t="s">
        <v>88</v>
      </c>
      <c r="Z268" s="676" t="s">
        <v>88</v>
      </c>
      <c r="AA268" s="677"/>
      <c r="AB268" s="678"/>
      <c r="AC268" s="678"/>
      <c r="AD268" s="678"/>
      <c r="AE268" s="678"/>
      <c r="AF268" s="679">
        <v>43144</v>
      </c>
      <c r="AG268" s="679">
        <v>43543</v>
      </c>
      <c r="AH268" s="680">
        <v>43543</v>
      </c>
      <c r="AI268" s="681">
        <v>0</v>
      </c>
      <c r="AJ268" s="673" t="s">
        <v>88</v>
      </c>
      <c r="AK268" s="682">
        <v>104679</v>
      </c>
      <c r="AL268" s="673" t="s">
        <v>1414</v>
      </c>
      <c r="AM268" s="684" t="s">
        <v>1415</v>
      </c>
      <c r="AN268" s="673" t="s">
        <v>1416</v>
      </c>
      <c r="AO268" s="683" t="s">
        <v>1417</v>
      </c>
      <c r="AP268" s="688" t="s">
        <v>1418</v>
      </c>
    </row>
    <row r="269" spans="3:42" ht="17.25" customHeight="1">
      <c r="C269" s="196" t="s">
        <v>238</v>
      </c>
      <c r="D269" s="211" t="s">
        <v>115</v>
      </c>
      <c r="E269" s="24" t="s">
        <v>1419</v>
      </c>
      <c r="F269" s="25" t="s">
        <v>215</v>
      </c>
      <c r="G269" s="696">
        <v>9.5999999999999992E-3</v>
      </c>
      <c r="H269" s="548">
        <f t="shared" si="23"/>
        <v>30888.32</v>
      </c>
      <c r="I269" s="719"/>
      <c r="J269" s="720"/>
      <c r="K269" s="720"/>
      <c r="L269" s="720"/>
      <c r="M269" s="720"/>
      <c r="N269" s="720"/>
      <c r="O269" s="720"/>
      <c r="P269" s="720"/>
      <c r="Q269" s="720"/>
      <c r="R269" s="720"/>
      <c r="S269" s="720"/>
      <c r="T269" s="159"/>
      <c r="U269" s="158"/>
      <c r="V269" s="339"/>
      <c r="W269" s="704">
        <f>30471.17+417.15</f>
        <v>30888.32</v>
      </c>
      <c r="X269" s="704"/>
      <c r="Y269" s="159"/>
      <c r="Z269" s="159"/>
      <c r="AA269" s="158"/>
      <c r="AB269" s="339"/>
      <c r="AC269" s="339"/>
      <c r="AD269" s="339"/>
      <c r="AE269" s="339"/>
      <c r="AF269" s="363">
        <v>42982</v>
      </c>
      <c r="AG269" s="363">
        <v>43041</v>
      </c>
      <c r="AH269" s="214">
        <v>43909</v>
      </c>
      <c r="AI269" s="297">
        <v>28</v>
      </c>
      <c r="AJ269" s="25">
        <v>100293998</v>
      </c>
      <c r="AK269" s="26">
        <v>748426</v>
      </c>
      <c r="AL269" s="25" t="s">
        <v>1420</v>
      </c>
      <c r="AM269" s="194" t="s">
        <v>1421</v>
      </c>
      <c r="AN269" s="25" t="s">
        <v>1422</v>
      </c>
      <c r="AO269" s="190" t="s">
        <v>1423</v>
      </c>
      <c r="AP269" s="364" t="s">
        <v>1424</v>
      </c>
    </row>
    <row r="270" spans="3:42" ht="17.25" customHeight="1">
      <c r="C270" s="670" t="s">
        <v>238</v>
      </c>
      <c r="D270" s="671" t="s">
        <v>205</v>
      </c>
      <c r="E270" s="672" t="s">
        <v>1425</v>
      </c>
      <c r="F270" s="673"/>
      <c r="G270" s="501"/>
      <c r="H270" s="717">
        <f>SUM(I270:W270)</f>
        <v>114793.19</v>
      </c>
      <c r="I270" s="674"/>
      <c r="J270" s="675"/>
      <c r="K270" s="675"/>
      <c r="L270" s="675"/>
      <c r="M270" s="675"/>
      <c r="N270" s="675"/>
      <c r="O270" s="677"/>
      <c r="P270" s="675"/>
      <c r="Q270" s="677">
        <v>60000</v>
      </c>
      <c r="R270" s="669">
        <v>20000</v>
      </c>
      <c r="S270" s="675"/>
      <c r="T270" s="675"/>
      <c r="U270" s="675"/>
      <c r="V270" s="678"/>
      <c r="W270" s="715">
        <v>34793.19</v>
      </c>
      <c r="X270" s="715"/>
      <c r="Y270" s="676"/>
      <c r="Z270" s="676"/>
      <c r="AA270" s="502"/>
      <c r="AB270" s="678"/>
      <c r="AC270" s="678"/>
      <c r="AD270" s="678"/>
      <c r="AE270" s="678"/>
      <c r="AF270" s="680">
        <v>41353</v>
      </c>
      <c r="AG270" s="718">
        <v>41353</v>
      </c>
      <c r="AH270" s="680">
        <v>43692</v>
      </c>
      <c r="AI270" s="681">
        <f>(YEAR(AH270)-YEAR(AG270))*12+MONTH(AH270)-MONTH(AG270)</f>
        <v>77</v>
      </c>
      <c r="AJ270" s="673">
        <v>7610397</v>
      </c>
      <c r="AK270" s="682">
        <v>7610397</v>
      </c>
      <c r="AL270" s="673" t="s">
        <v>1426</v>
      </c>
      <c r="AM270" s="684" t="s">
        <v>1427</v>
      </c>
      <c r="AN270" s="675" t="s">
        <v>1428</v>
      </c>
      <c r="AO270" s="683" t="s">
        <v>1429</v>
      </c>
      <c r="AP270" s="688" t="s">
        <v>1430</v>
      </c>
    </row>
    <row r="271" spans="3:42" ht="17.25" customHeight="1">
      <c r="C271" s="196" t="s">
        <v>238</v>
      </c>
      <c r="D271" s="211" t="s">
        <v>205</v>
      </c>
      <c r="E271" s="24" t="s">
        <v>1431</v>
      </c>
      <c r="F271" s="25" t="s">
        <v>215</v>
      </c>
      <c r="G271" s="218" t="s">
        <v>1432</v>
      </c>
      <c r="H271" s="548">
        <f t="shared" si="23"/>
        <v>25000</v>
      </c>
      <c r="I271" s="282"/>
      <c r="J271" s="192"/>
      <c r="K271" s="192"/>
      <c r="L271" s="192"/>
      <c r="M271" s="192"/>
      <c r="N271" s="192"/>
      <c r="O271" s="192"/>
      <c r="P271" s="192"/>
      <c r="Q271" s="192"/>
      <c r="R271" s="192"/>
      <c r="S271" s="192"/>
      <c r="T271" s="159"/>
      <c r="U271" s="158"/>
      <c r="V271" s="339"/>
      <c r="W271" s="704">
        <v>25000</v>
      </c>
      <c r="X271" s="712"/>
      <c r="Y271" s="158"/>
      <c r="Z271" s="159"/>
      <c r="AA271" s="158"/>
      <c r="AB271" s="339"/>
      <c r="AC271" s="339"/>
      <c r="AD271" s="339"/>
      <c r="AE271" s="339"/>
      <c r="AF271" s="363">
        <v>43591</v>
      </c>
      <c r="AG271" s="363">
        <v>43657</v>
      </c>
      <c r="AH271" s="214">
        <v>43662</v>
      </c>
      <c r="AI271" s="297">
        <f>(YEAR(AH271)-YEAR(AG271))*12+MONTH(AH271)-MONTH(AG271)</f>
        <v>0</v>
      </c>
      <c r="AJ271" s="25">
        <v>100219832</v>
      </c>
      <c r="AK271" s="26">
        <v>16496630</v>
      </c>
      <c r="AL271" s="25"/>
      <c r="AM271" s="194"/>
      <c r="AN271" s="192"/>
      <c r="AO271" s="190"/>
      <c r="AP271" s="190" t="s">
        <v>1433</v>
      </c>
    </row>
    <row r="272" spans="3:42" ht="17.25" customHeight="1">
      <c r="C272" s="670" t="s">
        <v>238</v>
      </c>
      <c r="D272" s="671" t="s">
        <v>115</v>
      </c>
      <c r="E272" s="672" t="s">
        <v>1434</v>
      </c>
      <c r="F272" s="673" t="s">
        <v>215</v>
      </c>
      <c r="G272" s="501"/>
      <c r="H272" s="599">
        <f t="shared" si="23"/>
        <v>747.07</v>
      </c>
      <c r="I272" s="674"/>
      <c r="J272" s="675"/>
      <c r="K272" s="675"/>
      <c r="L272" s="675"/>
      <c r="M272" s="675"/>
      <c r="N272" s="675"/>
      <c r="O272" s="675"/>
      <c r="P272" s="675"/>
      <c r="Q272" s="675"/>
      <c r="R272" s="675"/>
      <c r="S272" s="675"/>
      <c r="T272" s="676"/>
      <c r="U272" s="677"/>
      <c r="V272" s="678"/>
      <c r="W272" s="715">
        <v>747.07</v>
      </c>
      <c r="X272" s="716"/>
      <c r="Y272" s="677"/>
      <c r="Z272" s="676"/>
      <c r="AA272" s="677"/>
      <c r="AB272" s="678"/>
      <c r="AC272" s="678"/>
      <c r="AD272" s="678"/>
      <c r="AE272" s="678"/>
      <c r="AF272" s="679">
        <v>37374</v>
      </c>
      <c r="AG272" s="679">
        <v>43605</v>
      </c>
      <c r="AH272" s="680">
        <v>43676</v>
      </c>
      <c r="AI272" s="681">
        <f t="shared" ref="AI272:AI280" si="25">(YEAR(AH272)-YEAR(AG272))*12+MONTH(AH272)-MONTH(AG272)</f>
        <v>2</v>
      </c>
      <c r="AJ272" s="673">
        <v>100226913</v>
      </c>
      <c r="AK272" s="682"/>
      <c r="AL272" s="673" t="s">
        <v>1435</v>
      </c>
      <c r="AM272" s="684"/>
      <c r="AN272" s="675"/>
      <c r="AO272" s="683" t="s">
        <v>1436</v>
      </c>
      <c r="AP272" s="688" t="s">
        <v>1437</v>
      </c>
    </row>
    <row r="273" spans="3:42" ht="17.25" customHeight="1">
      <c r="C273" s="196" t="s">
        <v>238</v>
      </c>
      <c r="D273" s="211" t="s">
        <v>115</v>
      </c>
      <c r="E273" s="24" t="s">
        <v>1438</v>
      </c>
      <c r="F273" s="25" t="s">
        <v>215</v>
      </c>
      <c r="G273" s="218" t="s">
        <v>1439</v>
      </c>
      <c r="H273" s="548">
        <f t="shared" si="23"/>
        <v>3257.7</v>
      </c>
      <c r="I273" s="282"/>
      <c r="J273" s="192"/>
      <c r="K273" s="192"/>
      <c r="L273" s="192"/>
      <c r="M273" s="192"/>
      <c r="N273" s="192"/>
      <c r="O273" s="192"/>
      <c r="P273" s="192"/>
      <c r="Q273" s="192"/>
      <c r="R273" s="192"/>
      <c r="S273" s="192"/>
      <c r="T273" s="159"/>
      <c r="U273" s="158"/>
      <c r="V273" s="339"/>
      <c r="W273" s="704">
        <v>3257.7</v>
      </c>
      <c r="X273" s="712"/>
      <c r="Y273" s="158"/>
      <c r="Z273" s="159"/>
      <c r="AA273" s="158"/>
      <c r="AB273" s="339"/>
      <c r="AC273" s="339"/>
      <c r="AD273" s="339"/>
      <c r="AE273" s="339"/>
      <c r="AF273" s="363">
        <v>43270</v>
      </c>
      <c r="AG273" s="363">
        <v>43307</v>
      </c>
      <c r="AH273" s="214">
        <v>43703</v>
      </c>
      <c r="AI273" s="297">
        <f t="shared" si="25"/>
        <v>13</v>
      </c>
      <c r="AJ273" s="25" t="s">
        <v>88</v>
      </c>
      <c r="AK273" s="26">
        <v>17390253</v>
      </c>
      <c r="AL273" s="25" t="s">
        <v>1440</v>
      </c>
      <c r="AM273" s="194">
        <v>8144536606</v>
      </c>
      <c r="AN273" s="25" t="s">
        <v>1441</v>
      </c>
      <c r="AO273" s="190" t="s">
        <v>1442</v>
      </c>
      <c r="AP273" s="364" t="s">
        <v>1443</v>
      </c>
    </row>
    <row r="274" spans="3:42" ht="17.25" customHeight="1">
      <c r="C274" s="670" t="s">
        <v>238</v>
      </c>
      <c r="D274" s="671" t="s">
        <v>115</v>
      </c>
      <c r="E274" s="672" t="s">
        <v>1444</v>
      </c>
      <c r="F274" s="673" t="s">
        <v>215</v>
      </c>
      <c r="G274" s="687">
        <v>10000</v>
      </c>
      <c r="H274" s="599">
        <f t="shared" si="23"/>
        <v>10000</v>
      </c>
      <c r="I274" s="674"/>
      <c r="J274" s="675"/>
      <c r="K274" s="675"/>
      <c r="L274" s="675"/>
      <c r="M274" s="675"/>
      <c r="N274" s="675"/>
      <c r="O274" s="675"/>
      <c r="P274" s="675"/>
      <c r="Q274" s="675"/>
      <c r="R274" s="675"/>
      <c r="S274" s="675"/>
      <c r="T274" s="676"/>
      <c r="U274" s="677"/>
      <c r="V274" s="678"/>
      <c r="W274" s="715">
        <v>10000</v>
      </c>
      <c r="X274" s="716"/>
      <c r="Y274" s="677"/>
      <c r="Z274" s="676"/>
      <c r="AA274" s="677"/>
      <c r="AB274" s="678"/>
      <c r="AC274" s="678"/>
      <c r="AD274" s="678"/>
      <c r="AE274" s="678"/>
      <c r="AF274" s="698" t="s">
        <v>1445</v>
      </c>
      <c r="AG274" s="679">
        <v>43622</v>
      </c>
      <c r="AH274" s="680">
        <v>43676</v>
      </c>
      <c r="AI274" s="681">
        <f t="shared" si="25"/>
        <v>1</v>
      </c>
      <c r="AJ274" s="673">
        <v>100215650</v>
      </c>
      <c r="AK274" s="682">
        <v>25405614</v>
      </c>
      <c r="AL274" s="673" t="s">
        <v>1446</v>
      </c>
      <c r="AM274" s="684">
        <v>6105668770</v>
      </c>
      <c r="AN274" s="673" t="s">
        <v>1447</v>
      </c>
      <c r="AO274" s="683" t="s">
        <v>1448</v>
      </c>
      <c r="AP274" s="688" t="s">
        <v>1449</v>
      </c>
    </row>
    <row r="275" spans="3:42" ht="17.25" customHeight="1">
      <c r="C275" s="197" t="s">
        <v>238</v>
      </c>
      <c r="D275" s="212" t="s">
        <v>115</v>
      </c>
      <c r="E275" s="198" t="s">
        <v>1450</v>
      </c>
      <c r="F275" s="199" t="s">
        <v>215</v>
      </c>
      <c r="G275" s="219"/>
      <c r="H275" s="812">
        <f t="shared" si="23"/>
        <v>25416.67</v>
      </c>
      <c r="I275" s="283"/>
      <c r="J275" s="206"/>
      <c r="K275" s="206"/>
      <c r="L275" s="206"/>
      <c r="M275" s="206"/>
      <c r="N275" s="206"/>
      <c r="O275" s="206"/>
      <c r="P275" s="206"/>
      <c r="Q275" s="206"/>
      <c r="R275" s="206"/>
      <c r="S275" s="206"/>
      <c r="T275" s="201"/>
      <c r="U275" s="202"/>
      <c r="V275" s="341"/>
      <c r="W275" s="510">
        <v>25416.67</v>
      </c>
      <c r="X275" s="709"/>
      <c r="Y275" s="202"/>
      <c r="Z275" s="201"/>
      <c r="AA275" s="202"/>
      <c r="AB275" s="341"/>
      <c r="AC275" s="341"/>
      <c r="AD275" s="341"/>
      <c r="AE275" s="341"/>
      <c r="AF275" s="203">
        <v>43235</v>
      </c>
      <c r="AG275" s="203">
        <v>43269</v>
      </c>
      <c r="AH275" s="204">
        <v>43766</v>
      </c>
      <c r="AI275" s="299">
        <f>(YEAR(AH275)-YEAR(AG275))*12+MONTH(AH275)-MONTH(AG275)</f>
        <v>16</v>
      </c>
      <c r="AJ275" s="199">
        <v>100300660</v>
      </c>
      <c r="AK275" s="200">
        <v>37406196</v>
      </c>
      <c r="AL275" s="199" t="s">
        <v>1451</v>
      </c>
      <c r="AM275" s="205">
        <v>6103447100</v>
      </c>
      <c r="AN275" s="206" t="s">
        <v>1452</v>
      </c>
      <c r="AO275" s="207" t="s">
        <v>1453</v>
      </c>
      <c r="AP275" s="321" t="s">
        <v>1454</v>
      </c>
    </row>
    <row r="276" spans="3:42" ht="17.25" customHeight="1">
      <c r="C276" s="447" t="s">
        <v>238</v>
      </c>
      <c r="D276" s="448" t="s">
        <v>115</v>
      </c>
      <c r="E276" s="449" t="s">
        <v>1455</v>
      </c>
      <c r="F276" s="450" t="s">
        <v>215</v>
      </c>
      <c r="G276" s="451" t="s">
        <v>1383</v>
      </c>
      <c r="H276" s="874">
        <f t="shared" si="23"/>
        <v>174919.06</v>
      </c>
      <c r="I276" s="452"/>
      <c r="J276" s="453"/>
      <c r="K276" s="453"/>
      <c r="L276" s="453"/>
      <c r="M276" s="453"/>
      <c r="N276" s="453"/>
      <c r="O276" s="453"/>
      <c r="P276" s="453"/>
      <c r="Q276" s="453"/>
      <c r="R276" s="453"/>
      <c r="S276" s="453"/>
      <c r="T276" s="209"/>
      <c r="U276" s="210"/>
      <c r="V276" s="454"/>
      <c r="W276" s="616">
        <v>174919.06</v>
      </c>
      <c r="X276" s="710"/>
      <c r="Y276" s="210"/>
      <c r="Z276" s="209"/>
      <c r="AA276" s="210"/>
      <c r="AB276" s="454"/>
      <c r="AC276" s="454"/>
      <c r="AD276" s="454"/>
      <c r="AE276" s="454"/>
      <c r="AF276" s="455">
        <v>43013</v>
      </c>
      <c r="AG276" s="455">
        <v>43819</v>
      </c>
      <c r="AH276" s="456">
        <v>43826</v>
      </c>
      <c r="AI276" s="457">
        <f>(YEAR(AH276)-YEAR(AG276))*12+MONTH(AH276)-MONTH(AG276)</f>
        <v>0</v>
      </c>
      <c r="AJ276" s="450">
        <v>100331701</v>
      </c>
      <c r="AK276" s="208">
        <v>100024767</v>
      </c>
      <c r="AL276" s="450" t="s">
        <v>1456</v>
      </c>
      <c r="AM276" s="458" t="s">
        <v>1457</v>
      </c>
      <c r="AN276" s="450" t="s">
        <v>1458</v>
      </c>
      <c r="AO276" s="459" t="s">
        <v>1459</v>
      </c>
      <c r="AP276" s="527" t="s">
        <v>1460</v>
      </c>
    </row>
    <row r="277" spans="3:42" ht="17.25" customHeight="1">
      <c r="C277" s="197" t="s">
        <v>238</v>
      </c>
      <c r="D277" s="212" t="s">
        <v>205</v>
      </c>
      <c r="E277" s="198" t="s">
        <v>1461</v>
      </c>
      <c r="F277" s="199" t="s">
        <v>215</v>
      </c>
      <c r="G277" s="219"/>
      <c r="H277" s="812">
        <f t="shared" si="23"/>
        <v>99435.92</v>
      </c>
      <c r="I277" s="283"/>
      <c r="J277" s="206"/>
      <c r="K277" s="206"/>
      <c r="L277" s="206"/>
      <c r="M277" s="206"/>
      <c r="N277" s="206"/>
      <c r="O277" s="206"/>
      <c r="P277" s="206"/>
      <c r="Q277" s="206"/>
      <c r="R277" s="206"/>
      <c r="S277" s="206"/>
      <c r="T277" s="201"/>
      <c r="U277" s="202"/>
      <c r="V277" s="341"/>
      <c r="W277" s="510">
        <v>99435.92</v>
      </c>
      <c r="X277" s="709"/>
      <c r="Y277" s="202"/>
      <c r="Z277" s="201"/>
      <c r="AA277" s="202"/>
      <c r="AB277" s="341"/>
      <c r="AC277" s="341"/>
      <c r="AD277" s="341"/>
      <c r="AE277" s="341"/>
      <c r="AF277" s="203">
        <v>43132</v>
      </c>
      <c r="AG277" s="203">
        <v>43642</v>
      </c>
      <c r="AH277" s="204">
        <v>43675</v>
      </c>
      <c r="AI277" s="299">
        <f t="shared" si="25"/>
        <v>1</v>
      </c>
      <c r="AJ277" s="199">
        <v>100219075</v>
      </c>
      <c r="AK277" s="200"/>
      <c r="AL277" s="199" t="s">
        <v>1462</v>
      </c>
      <c r="AM277" s="205">
        <v>5852323464</v>
      </c>
      <c r="AN277" s="206" t="s">
        <v>1463</v>
      </c>
      <c r="AO277" s="207" t="s">
        <v>1464</v>
      </c>
      <c r="AP277" s="321" t="s">
        <v>1465</v>
      </c>
    </row>
    <row r="278" spans="3:42" ht="17.25" customHeight="1">
      <c r="C278" s="447" t="s">
        <v>238</v>
      </c>
      <c r="D278" s="448" t="s">
        <v>205</v>
      </c>
      <c r="E278" s="449" t="s">
        <v>1466</v>
      </c>
      <c r="F278" s="450" t="s">
        <v>215</v>
      </c>
      <c r="G278" s="828">
        <v>7710.74</v>
      </c>
      <c r="H278" s="874">
        <f t="shared" si="23"/>
        <v>7710.74</v>
      </c>
      <c r="I278" s="452"/>
      <c r="J278" s="453"/>
      <c r="K278" s="453"/>
      <c r="L278" s="453"/>
      <c r="M278" s="453"/>
      <c r="N278" s="453"/>
      <c r="O278" s="453"/>
      <c r="P278" s="453"/>
      <c r="Q278" s="453"/>
      <c r="R278" s="453"/>
      <c r="S278" s="453"/>
      <c r="T278" s="209"/>
      <c r="U278" s="210"/>
      <c r="V278" s="454"/>
      <c r="W278" s="616">
        <v>7710.74</v>
      </c>
      <c r="X278" s="710"/>
      <c r="Y278" s="210"/>
      <c r="Z278" s="209"/>
      <c r="AA278" s="210"/>
      <c r="AB278" s="454"/>
      <c r="AC278" s="454"/>
      <c r="AD278" s="454"/>
      <c r="AE278" s="454"/>
      <c r="AF278" s="455">
        <v>43476</v>
      </c>
      <c r="AG278" s="455">
        <v>43900</v>
      </c>
      <c r="AH278" s="456">
        <v>43900</v>
      </c>
      <c r="AI278" s="457">
        <f t="shared" si="25"/>
        <v>0</v>
      </c>
      <c r="AJ278" s="450">
        <v>100358020</v>
      </c>
      <c r="AK278" s="208">
        <v>41171679</v>
      </c>
      <c r="AL278" s="450" t="s">
        <v>1467</v>
      </c>
      <c r="AM278" s="458">
        <v>9855428500</v>
      </c>
      <c r="AN278" s="450"/>
      <c r="AO278" s="459" t="s">
        <v>1468</v>
      </c>
      <c r="AP278" s="527" t="s">
        <v>1469</v>
      </c>
    </row>
    <row r="279" spans="3:42" ht="17.25" customHeight="1">
      <c r="C279" s="197" t="s">
        <v>238</v>
      </c>
      <c r="D279" s="212" t="s">
        <v>115</v>
      </c>
      <c r="E279" s="198" t="s">
        <v>1470</v>
      </c>
      <c r="F279" s="199" t="s">
        <v>215</v>
      </c>
      <c r="G279" s="429">
        <v>5000</v>
      </c>
      <c r="H279" s="812">
        <f t="shared" si="23"/>
        <v>5000</v>
      </c>
      <c r="I279" s="283"/>
      <c r="J279" s="206"/>
      <c r="K279" s="206"/>
      <c r="L279" s="206"/>
      <c r="M279" s="206"/>
      <c r="N279" s="206"/>
      <c r="O279" s="206"/>
      <c r="P279" s="206"/>
      <c r="Q279" s="206"/>
      <c r="R279" s="206"/>
      <c r="S279" s="206"/>
      <c r="T279" s="201"/>
      <c r="U279" s="202"/>
      <c r="V279" s="341"/>
      <c r="W279" s="510">
        <v>5000</v>
      </c>
      <c r="X279" s="709"/>
      <c r="Y279" s="202"/>
      <c r="Z279" s="201"/>
      <c r="AA279" s="202"/>
      <c r="AB279" s="341"/>
      <c r="AC279" s="341"/>
      <c r="AD279" s="341"/>
      <c r="AE279" s="341"/>
      <c r="AF279" s="203">
        <v>43554</v>
      </c>
      <c r="AG279" s="203">
        <v>43615</v>
      </c>
      <c r="AH279" s="204">
        <v>43713</v>
      </c>
      <c r="AI279" s="299">
        <f t="shared" si="25"/>
        <v>4</v>
      </c>
      <c r="AJ279" s="199">
        <v>100214370</v>
      </c>
      <c r="AK279" s="200">
        <v>17393455</v>
      </c>
      <c r="AL279" s="199" t="s">
        <v>1471</v>
      </c>
      <c r="AM279" s="205">
        <v>2399367200</v>
      </c>
      <c r="AN279" s="206" t="s">
        <v>1472</v>
      </c>
      <c r="AO279" s="207" t="s">
        <v>1473</v>
      </c>
      <c r="AP279" s="321" t="s">
        <v>1474</v>
      </c>
    </row>
    <row r="280" spans="3:42" ht="17.25" customHeight="1">
      <c r="C280" s="447" t="s">
        <v>238</v>
      </c>
      <c r="D280" s="448" t="s">
        <v>115</v>
      </c>
      <c r="E280" s="449" t="s">
        <v>1475</v>
      </c>
      <c r="F280" s="450" t="s">
        <v>215</v>
      </c>
      <c r="G280" s="451"/>
      <c r="H280" s="874">
        <f t="shared" si="23"/>
        <v>45505.46</v>
      </c>
      <c r="I280" s="452"/>
      <c r="J280" s="453"/>
      <c r="K280" s="453"/>
      <c r="L280" s="453"/>
      <c r="M280" s="453"/>
      <c r="N280" s="453"/>
      <c r="O280" s="453"/>
      <c r="P280" s="453"/>
      <c r="Q280" s="453"/>
      <c r="R280" s="453"/>
      <c r="S280" s="453"/>
      <c r="T280" s="209"/>
      <c r="U280" s="210"/>
      <c r="V280" s="454">
        <v>45505.46</v>
      </c>
      <c r="W280" s="616"/>
      <c r="X280" s="710"/>
      <c r="Y280" s="210"/>
      <c r="Z280" s="209"/>
      <c r="AA280" s="210"/>
      <c r="AB280" s="454"/>
      <c r="AC280" s="454"/>
      <c r="AD280" s="454"/>
      <c r="AE280" s="454"/>
      <c r="AF280" s="455">
        <v>43351</v>
      </c>
      <c r="AG280" s="455">
        <v>43418</v>
      </c>
      <c r="AH280" s="456">
        <v>43418</v>
      </c>
      <c r="AI280" s="457">
        <f t="shared" si="25"/>
        <v>0</v>
      </c>
      <c r="AJ280" s="450" t="s">
        <v>88</v>
      </c>
      <c r="AK280" s="208">
        <v>24028854</v>
      </c>
      <c r="AL280" s="450"/>
      <c r="AM280" s="458"/>
      <c r="AN280" s="453"/>
      <c r="AO280" s="459" t="s">
        <v>88</v>
      </c>
      <c r="AP280" s="459"/>
    </row>
    <row r="281" spans="3:42" ht="17.25" customHeight="1">
      <c r="C281" s="197" t="s">
        <v>238</v>
      </c>
      <c r="D281" s="212" t="s">
        <v>205</v>
      </c>
      <c r="E281" s="198" t="s">
        <v>1476</v>
      </c>
      <c r="F281" s="199" t="s">
        <v>215</v>
      </c>
      <c r="G281" s="219"/>
      <c r="H281" s="812">
        <f t="shared" si="23"/>
        <v>24760.33</v>
      </c>
      <c r="I281" s="283"/>
      <c r="J281" s="206"/>
      <c r="K281" s="206"/>
      <c r="L281" s="206"/>
      <c r="M281" s="206"/>
      <c r="N281" s="206"/>
      <c r="O281" s="206"/>
      <c r="P281" s="206"/>
      <c r="Q281" s="206"/>
      <c r="R281" s="206"/>
      <c r="S281" s="206"/>
      <c r="T281" s="201"/>
      <c r="U281" s="202"/>
      <c r="V281" s="341"/>
      <c r="W281" s="510">
        <v>24760.33</v>
      </c>
      <c r="X281" s="709"/>
      <c r="Y281" s="202"/>
      <c r="Z281" s="201"/>
      <c r="AA281" s="202"/>
      <c r="AB281" s="341"/>
      <c r="AC281" s="341"/>
      <c r="AD281" s="341"/>
      <c r="AE281" s="341"/>
      <c r="AF281" s="203">
        <v>43724</v>
      </c>
      <c r="AG281" s="203">
        <v>43802</v>
      </c>
      <c r="AH281" s="204">
        <v>43815</v>
      </c>
      <c r="AI281" s="299">
        <f>(YEAR(AH281)-YEAR(AG281))*12+MONTH(AH281)-MONTH(AG281)</f>
        <v>0</v>
      </c>
      <c r="AJ281" s="199">
        <v>100327919</v>
      </c>
      <c r="AK281" s="200" t="s">
        <v>1477</v>
      </c>
      <c r="AL281" s="199" t="s">
        <v>1478</v>
      </c>
      <c r="AM281" s="205">
        <v>4245877061</v>
      </c>
      <c r="AN281" s="206" t="s">
        <v>1479</v>
      </c>
      <c r="AO281" s="207" t="s">
        <v>1480</v>
      </c>
      <c r="AP281" s="207" t="s">
        <v>1481</v>
      </c>
    </row>
    <row r="282" spans="3:42" ht="17.25" customHeight="1">
      <c r="C282" s="447" t="s">
        <v>238</v>
      </c>
      <c r="D282" s="448" t="s">
        <v>115</v>
      </c>
      <c r="E282" s="449" t="s">
        <v>1482</v>
      </c>
      <c r="F282" s="450" t="s">
        <v>215</v>
      </c>
      <c r="G282" s="505">
        <v>5000</v>
      </c>
      <c r="H282" s="874">
        <f t="shared" si="23"/>
        <v>5000</v>
      </c>
      <c r="I282" s="452"/>
      <c r="J282" s="453"/>
      <c r="K282" s="453"/>
      <c r="L282" s="453"/>
      <c r="M282" s="453"/>
      <c r="N282" s="453"/>
      <c r="O282" s="453"/>
      <c r="P282" s="453"/>
      <c r="Q282" s="453"/>
      <c r="R282" s="453"/>
      <c r="S282" s="453"/>
      <c r="T282" s="209"/>
      <c r="U282" s="210"/>
      <c r="V282" s="454"/>
      <c r="W282" s="616">
        <v>5000</v>
      </c>
      <c r="X282" s="710"/>
      <c r="Y282" s="210"/>
      <c r="Z282" s="209"/>
      <c r="AA282" s="210"/>
      <c r="AB282" s="454"/>
      <c r="AC282" s="454"/>
      <c r="AD282" s="454"/>
      <c r="AE282" s="454"/>
      <c r="AF282" s="455">
        <v>43721</v>
      </c>
      <c r="AG282" s="455">
        <v>43761</v>
      </c>
      <c r="AH282" s="456">
        <v>43809</v>
      </c>
      <c r="AI282" s="457">
        <f>(YEAR(AH282)-YEAR(AG282))*12+MONTH(AH282)-MONTH(AG282)</f>
        <v>2</v>
      </c>
      <c r="AJ282" s="450">
        <v>100314126</v>
      </c>
      <c r="AK282" s="208">
        <v>62471</v>
      </c>
      <c r="AL282" s="450" t="s">
        <v>1483</v>
      </c>
      <c r="AM282" s="458">
        <v>2073675103</v>
      </c>
      <c r="AN282" s="453"/>
      <c r="AO282" s="459" t="s">
        <v>1484</v>
      </c>
      <c r="AP282" s="527" t="s">
        <v>1485</v>
      </c>
    </row>
    <row r="283" spans="3:42" ht="17.25" customHeight="1">
      <c r="C283" s="197" t="s">
        <v>238</v>
      </c>
      <c r="D283" s="212" t="s">
        <v>205</v>
      </c>
      <c r="E283" s="198" t="s">
        <v>1486</v>
      </c>
      <c r="F283" s="199" t="s">
        <v>215</v>
      </c>
      <c r="G283" s="801"/>
      <c r="H283" s="812">
        <f t="shared" si="23"/>
        <v>55200</v>
      </c>
      <c r="I283" s="283"/>
      <c r="J283" s="206"/>
      <c r="K283" s="206"/>
      <c r="L283" s="206"/>
      <c r="M283" s="206"/>
      <c r="N283" s="206"/>
      <c r="O283" s="206"/>
      <c r="P283" s="206"/>
      <c r="Q283" s="206"/>
      <c r="R283" s="206"/>
      <c r="S283" s="206"/>
      <c r="T283" s="201"/>
      <c r="U283" s="202"/>
      <c r="V283" s="341"/>
      <c r="W283" s="510">
        <v>55200</v>
      </c>
      <c r="X283" s="709"/>
      <c r="Y283" s="202"/>
      <c r="Z283" s="201"/>
      <c r="AA283" s="202"/>
      <c r="AB283" s="341"/>
      <c r="AC283" s="341"/>
      <c r="AD283" s="341"/>
      <c r="AE283" s="341"/>
      <c r="AF283" s="203">
        <v>43190</v>
      </c>
      <c r="AG283" s="203">
        <v>43690</v>
      </c>
      <c r="AH283" s="204">
        <v>43752</v>
      </c>
      <c r="AI283" s="299">
        <f>(YEAR(AH283)-YEAR(AG283))*12+MONTH(AH283)-MONTH(AG283)</f>
        <v>2</v>
      </c>
      <c r="AJ283" s="199">
        <v>100233081</v>
      </c>
      <c r="AK283" s="200">
        <v>6387484</v>
      </c>
      <c r="AL283" s="199" t="s">
        <v>1487</v>
      </c>
      <c r="AM283" s="205">
        <v>5617471646</v>
      </c>
      <c r="AN283" s="206"/>
      <c r="AO283" s="207" t="s">
        <v>1488</v>
      </c>
      <c r="AP283" s="206" t="s">
        <v>1489</v>
      </c>
    </row>
    <row r="284" spans="3:42" ht="17.25" customHeight="1" thickBot="1">
      <c r="C284" s="697" t="s">
        <v>1490</v>
      </c>
      <c r="D284" s="97"/>
      <c r="E284" s="97"/>
      <c r="F284" s="98"/>
      <c r="G284" s="191"/>
      <c r="H284" s="191"/>
      <c r="I284" s="82"/>
      <c r="J284" s="191"/>
      <c r="K284" s="191"/>
      <c r="L284" s="191"/>
      <c r="M284" s="191"/>
      <c r="N284" s="191"/>
      <c r="O284" s="191"/>
      <c r="P284" s="191"/>
      <c r="Q284" s="191"/>
      <c r="R284" s="191"/>
      <c r="S284" s="191"/>
      <c r="T284" s="99"/>
      <c r="U284" s="99"/>
      <c r="V284" s="99"/>
      <c r="W284" s="99"/>
      <c r="X284" s="99"/>
      <c r="Y284" s="99"/>
      <c r="Z284" s="99"/>
      <c r="AA284" s="99"/>
      <c r="AB284" s="99"/>
      <c r="AC284" s="99"/>
      <c r="AD284" s="99"/>
      <c r="AE284" s="99"/>
      <c r="AF284" s="98"/>
      <c r="AG284" s="98"/>
      <c r="AH284" s="98"/>
      <c r="AI284" s="298"/>
      <c r="AJ284" s="98"/>
      <c r="AK284" s="98"/>
      <c r="AL284" s="98"/>
      <c r="AM284" s="195"/>
      <c r="AN284" s="191"/>
      <c r="AO284" s="191"/>
      <c r="AP284" s="191"/>
    </row>
    <row r="285" spans="3:42" ht="17.25" customHeight="1">
      <c r="C285" s="3" t="s">
        <v>238</v>
      </c>
      <c r="D285" s="483" t="s">
        <v>115</v>
      </c>
      <c r="E285" s="475" t="s">
        <v>1491</v>
      </c>
      <c r="F285" s="476" t="s">
        <v>215</v>
      </c>
      <c r="G285" s="545">
        <v>25000</v>
      </c>
      <c r="H285" s="331">
        <f t="shared" ref="H285:H301" si="26">SUM(I285:V285)</f>
        <v>25000</v>
      </c>
      <c r="I285" s="546"/>
      <c r="J285" s="547"/>
      <c r="K285" s="547"/>
      <c r="L285" s="547"/>
      <c r="M285" s="547"/>
      <c r="N285" s="547"/>
      <c r="O285" s="547"/>
      <c r="P285" s="547"/>
      <c r="Q285" s="547"/>
      <c r="R285" s="547"/>
      <c r="S285" s="547"/>
      <c r="T285" s="542"/>
      <c r="U285" s="543"/>
      <c r="V285" s="544">
        <v>25000</v>
      </c>
      <c r="W285" s="701"/>
      <c r="X285" s="701"/>
      <c r="Y285" s="995"/>
      <c r="Z285" s="542"/>
      <c r="AA285" s="543"/>
      <c r="AB285" s="544"/>
      <c r="AC285" s="544"/>
      <c r="AD285" s="544"/>
      <c r="AE285" s="544"/>
      <c r="AF285" s="480">
        <v>41932</v>
      </c>
      <c r="AG285" s="480">
        <v>43454</v>
      </c>
      <c r="AH285" s="132">
        <v>43465</v>
      </c>
      <c r="AI285" s="4">
        <f>(YEAR(AH285)-YEAR(AG285))*12+MONTH(AH285)-MONTH(AG285)</f>
        <v>0</v>
      </c>
      <c r="AJ285" s="476"/>
      <c r="AK285" s="481">
        <v>24296022</v>
      </c>
      <c r="AL285" s="476" t="s">
        <v>1492</v>
      </c>
      <c r="AM285" s="484" t="s">
        <v>1493</v>
      </c>
      <c r="AN285" s="21" t="s">
        <v>1494</v>
      </c>
      <c r="AO285" s="482" t="s">
        <v>1495</v>
      </c>
      <c r="AP285" s="482" t="s">
        <v>1496</v>
      </c>
    </row>
    <row r="286" spans="3:42" ht="17.25" customHeight="1">
      <c r="C286" s="197" t="s">
        <v>238</v>
      </c>
      <c r="D286" s="212" t="s">
        <v>115</v>
      </c>
      <c r="E286" s="198" t="s">
        <v>1497</v>
      </c>
      <c r="F286" s="199" t="s">
        <v>215</v>
      </c>
      <c r="G286" s="219"/>
      <c r="H286" s="292">
        <f t="shared" si="26"/>
        <v>21995.58</v>
      </c>
      <c r="I286" s="283"/>
      <c r="J286" s="206"/>
      <c r="K286" s="206"/>
      <c r="L286" s="206"/>
      <c r="M286" s="206"/>
      <c r="N286" s="206"/>
      <c r="O286" s="206"/>
      <c r="P286" s="206"/>
      <c r="Q286" s="206"/>
      <c r="R286" s="206"/>
      <c r="S286" s="206"/>
      <c r="T286" s="201"/>
      <c r="U286" s="202"/>
      <c r="V286" s="341">
        <v>21995.58</v>
      </c>
      <c r="W286" s="510"/>
      <c r="X286" s="510"/>
      <c r="Y286" s="341"/>
      <c r="Z286" s="201"/>
      <c r="AA286" s="202"/>
      <c r="AB286" s="341"/>
      <c r="AC286" s="341"/>
      <c r="AD286" s="341"/>
      <c r="AE286" s="341"/>
      <c r="AF286" s="203">
        <v>42692</v>
      </c>
      <c r="AG286" s="203">
        <v>42711</v>
      </c>
      <c r="AH286" s="204">
        <v>43360</v>
      </c>
      <c r="AI286" s="299">
        <f>(YEAR(AH286)-YEAR(AG286))*12+MONTH(AH286)-MONTH(AG286)</f>
        <v>21</v>
      </c>
      <c r="AJ286" s="199"/>
      <c r="AK286" s="200">
        <v>92260603</v>
      </c>
      <c r="AL286" s="199" t="s">
        <v>1498</v>
      </c>
      <c r="AM286" s="205">
        <v>4159255200</v>
      </c>
      <c r="AN286" s="206" t="s">
        <v>1499</v>
      </c>
      <c r="AO286" s="207" t="s">
        <v>1500</v>
      </c>
      <c r="AP286" s="207"/>
    </row>
    <row r="287" spans="3:42" ht="17.25" customHeight="1">
      <c r="C287" s="447" t="s">
        <v>238</v>
      </c>
      <c r="D287" s="448" t="s">
        <v>115</v>
      </c>
      <c r="E287" s="449" t="s">
        <v>1501</v>
      </c>
      <c r="F287" s="450" t="s">
        <v>149</v>
      </c>
      <c r="G287" s="451" t="s">
        <v>1502</v>
      </c>
      <c r="H287" s="437">
        <v>6510.36</v>
      </c>
      <c r="I287" s="452"/>
      <c r="J287" s="453"/>
      <c r="K287" s="453"/>
      <c r="L287" s="453"/>
      <c r="M287" s="453"/>
      <c r="N287" s="453"/>
      <c r="O287" s="453"/>
      <c r="P287" s="453"/>
      <c r="Q287" s="453"/>
      <c r="R287" s="453"/>
      <c r="S287" s="453"/>
      <c r="T287" s="209"/>
      <c r="U287" s="210"/>
      <c r="V287" s="454">
        <v>6510.36</v>
      </c>
      <c r="W287" s="616"/>
      <c r="X287" s="616"/>
      <c r="Y287" s="454"/>
      <c r="Z287" s="209"/>
      <c r="AA287" s="210" t="s">
        <v>88</v>
      </c>
      <c r="AB287" s="454"/>
      <c r="AC287" s="454"/>
      <c r="AD287" s="454"/>
      <c r="AE287" s="454"/>
      <c r="AF287" s="455">
        <v>43480</v>
      </c>
      <c r="AG287" s="455">
        <v>43531</v>
      </c>
      <c r="AH287" s="456">
        <v>43642</v>
      </c>
      <c r="AI287" s="457">
        <v>15</v>
      </c>
      <c r="AJ287" s="450"/>
      <c r="AK287" s="208">
        <v>3040847</v>
      </c>
      <c r="AL287" s="450" t="s">
        <v>1503</v>
      </c>
      <c r="AM287" s="458" t="s">
        <v>1504</v>
      </c>
      <c r="AN287" s="453"/>
      <c r="AO287" s="459" t="s">
        <v>1505</v>
      </c>
      <c r="AP287" s="453" t="s">
        <v>1506</v>
      </c>
    </row>
    <row r="288" spans="3:42" ht="17.25" customHeight="1">
      <c r="C288" s="197" t="s">
        <v>238</v>
      </c>
      <c r="D288" s="212" t="s">
        <v>115</v>
      </c>
      <c r="E288" s="198" t="s">
        <v>1507</v>
      </c>
      <c r="F288" s="199" t="s">
        <v>215</v>
      </c>
      <c r="G288" s="429" t="s">
        <v>1508</v>
      </c>
      <c r="H288" s="292">
        <f t="shared" si="26"/>
        <v>436</v>
      </c>
      <c r="I288" s="430"/>
      <c r="J288" s="431"/>
      <c r="K288" s="431"/>
      <c r="L288" s="431"/>
      <c r="M288" s="431"/>
      <c r="N288" s="431"/>
      <c r="O288" s="431"/>
      <c r="P288" s="431"/>
      <c r="Q288" s="431"/>
      <c r="R288" s="431"/>
      <c r="S288" s="431"/>
      <c r="T288" s="201"/>
      <c r="U288" s="202"/>
      <c r="V288" s="341">
        <v>436</v>
      </c>
      <c r="W288" s="702"/>
      <c r="X288" s="702"/>
      <c r="Y288" s="341"/>
      <c r="Z288" s="201"/>
      <c r="AA288" s="202"/>
      <c r="AB288" s="341"/>
      <c r="AC288" s="341"/>
      <c r="AD288" s="341"/>
      <c r="AE288" s="341"/>
      <c r="AF288" s="203">
        <v>41505</v>
      </c>
      <c r="AG288" s="203">
        <v>43501</v>
      </c>
      <c r="AH288" s="204">
        <v>43501</v>
      </c>
      <c r="AI288" s="299">
        <v>0</v>
      </c>
      <c r="AJ288" s="199"/>
      <c r="AK288" s="200">
        <v>25900424</v>
      </c>
      <c r="AL288" s="199" t="s">
        <v>1509</v>
      </c>
      <c r="AM288" s="205" t="s">
        <v>1510</v>
      </c>
      <c r="AN288" s="206"/>
      <c r="AO288" s="207" t="s">
        <v>1511</v>
      </c>
      <c r="AP288" s="207"/>
    </row>
    <row r="289" spans="3:42" ht="17.25" customHeight="1">
      <c r="C289" s="433" t="s">
        <v>238</v>
      </c>
      <c r="D289" s="434" t="s">
        <v>115</v>
      </c>
      <c r="E289" s="435" t="s">
        <v>1512</v>
      </c>
      <c r="F289" s="436"/>
      <c r="G289" s="460"/>
      <c r="H289" s="461">
        <f t="shared" si="26"/>
        <v>0</v>
      </c>
      <c r="I289" s="462"/>
      <c r="J289" s="463"/>
      <c r="K289" s="463"/>
      <c r="L289" s="463"/>
      <c r="M289" s="463"/>
      <c r="N289" s="463"/>
      <c r="O289" s="463"/>
      <c r="P289" s="463"/>
      <c r="Q289" s="463"/>
      <c r="R289" s="463"/>
      <c r="S289" s="463"/>
      <c r="T289" s="438"/>
      <c r="U289" s="439"/>
      <c r="V289" s="440">
        <v>0</v>
      </c>
      <c r="W289" s="703" t="s">
        <v>88</v>
      </c>
      <c r="X289" s="703"/>
      <c r="Y289" s="440"/>
      <c r="Z289" s="438"/>
      <c r="AA289" s="439"/>
      <c r="AB289" s="440"/>
      <c r="AC289" s="440"/>
      <c r="AD289" s="440"/>
      <c r="AE289" s="440"/>
      <c r="AF289" s="435"/>
      <c r="AG289" s="441">
        <v>42885</v>
      </c>
      <c r="AH289" s="442">
        <v>43343</v>
      </c>
      <c r="AI289" s="443">
        <f t="shared" ref="AI289:AI291" si="27">(YEAR(AH289)-YEAR(AG289))*12+MONTH(AH289)-MONTH(AG289)</f>
        <v>15</v>
      </c>
      <c r="AJ289" s="436"/>
      <c r="AK289" s="444"/>
      <c r="AL289" s="436"/>
      <c r="AM289" s="445"/>
      <c r="AN289" s="463"/>
      <c r="AO289" s="446"/>
      <c r="AP289" s="446"/>
    </row>
    <row r="290" spans="3:42" ht="17.25" customHeight="1">
      <c r="C290" s="196" t="s">
        <v>238</v>
      </c>
      <c r="D290" s="211" t="s">
        <v>115</v>
      </c>
      <c r="E290" s="24" t="s">
        <v>1513</v>
      </c>
      <c r="F290" s="25" t="s">
        <v>215</v>
      </c>
      <c r="G290" s="218" t="s">
        <v>1514</v>
      </c>
      <c r="H290" s="291">
        <v>9785.43</v>
      </c>
      <c r="I290" s="282"/>
      <c r="J290" s="192"/>
      <c r="K290" s="192"/>
      <c r="L290" s="192"/>
      <c r="M290" s="192"/>
      <c r="N290" s="192"/>
      <c r="O290" s="192"/>
      <c r="P290" s="192"/>
      <c r="Q290" s="192"/>
      <c r="R290" s="192"/>
      <c r="S290" s="192"/>
      <c r="T290" s="159"/>
      <c r="U290" s="158"/>
      <c r="V290" s="339">
        <v>9785.43</v>
      </c>
      <c r="W290" s="510"/>
      <c r="X290" s="510"/>
      <c r="Y290" s="339"/>
      <c r="Z290" s="159"/>
      <c r="AA290" s="158"/>
      <c r="AB290" s="339"/>
      <c r="AC290" s="339"/>
      <c r="AD290" s="339"/>
      <c r="AE290" s="339"/>
      <c r="AF290" s="363">
        <v>43292</v>
      </c>
      <c r="AG290" s="363">
        <v>43384</v>
      </c>
      <c r="AH290" s="214">
        <v>43615</v>
      </c>
      <c r="AI290" s="300">
        <f>(YEAR(AH290)-YEAR(AG290))*12+MONTH(AH290)-MONTH(AG290)</f>
        <v>7</v>
      </c>
      <c r="AJ290" s="25"/>
      <c r="AK290" s="26">
        <v>36994838</v>
      </c>
      <c r="AL290" s="25" t="s">
        <v>1515</v>
      </c>
      <c r="AM290" s="194">
        <v>2087366000</v>
      </c>
      <c r="AN290" s="365" t="s">
        <v>1516</v>
      </c>
      <c r="AO290" s="190" t="s">
        <v>1517</v>
      </c>
      <c r="AP290" s="364" t="s">
        <v>1518</v>
      </c>
    </row>
    <row r="291" spans="3:42" ht="17.25" customHeight="1">
      <c r="C291" s="8" t="s">
        <v>238</v>
      </c>
      <c r="D291" s="2" t="s">
        <v>115</v>
      </c>
      <c r="E291" s="20" t="s">
        <v>1519</v>
      </c>
      <c r="F291" s="21" t="s">
        <v>215</v>
      </c>
      <c r="H291" s="478">
        <f t="shared" si="26"/>
        <v>2713.63</v>
      </c>
      <c r="I291" s="87"/>
      <c r="J291" s="143"/>
      <c r="K291" s="143"/>
      <c r="L291" s="143"/>
      <c r="M291" s="143"/>
      <c r="N291" s="143"/>
      <c r="O291" s="143"/>
      <c r="P291" s="143"/>
      <c r="Q291" s="143"/>
      <c r="R291" s="143"/>
      <c r="S291" s="143"/>
      <c r="T291" s="58"/>
      <c r="V291" s="258">
        <v>2713.63</v>
      </c>
      <c r="W291" s="624"/>
      <c r="X291" s="624"/>
      <c r="Y291" s="258"/>
      <c r="Z291" s="58"/>
      <c r="AA291" s="45"/>
      <c r="AB291" s="258"/>
      <c r="AC291" s="258"/>
      <c r="AD291" s="258"/>
      <c r="AE291" s="258"/>
      <c r="AF291" s="27">
        <v>42402</v>
      </c>
      <c r="AG291" s="27">
        <v>42562</v>
      </c>
      <c r="AH291" s="133">
        <v>43448</v>
      </c>
      <c r="AI291" s="10">
        <f t="shared" si="27"/>
        <v>29</v>
      </c>
      <c r="AJ291" s="21"/>
      <c r="AK291" s="22">
        <v>3464799</v>
      </c>
      <c r="AL291" s="21" t="s">
        <v>1520</v>
      </c>
      <c r="AM291" s="193">
        <v>5757581225</v>
      </c>
      <c r="AN291" s="143" t="s">
        <v>1521</v>
      </c>
      <c r="AO291" s="189" t="s">
        <v>1522</v>
      </c>
      <c r="AP291" s="189"/>
    </row>
    <row r="292" spans="3:42" ht="17.25" customHeight="1">
      <c r="C292" s="196" t="s">
        <v>238</v>
      </c>
      <c r="D292" s="211" t="s">
        <v>115</v>
      </c>
      <c r="E292" s="24" t="s">
        <v>1523</v>
      </c>
      <c r="F292" s="25" t="s">
        <v>91</v>
      </c>
      <c r="G292" s="218"/>
      <c r="H292" s="291">
        <f t="shared" si="26"/>
        <v>8375.27</v>
      </c>
      <c r="I292" s="282"/>
      <c r="J292" s="192"/>
      <c r="K292" s="192"/>
      <c r="L292" s="192"/>
      <c r="M292" s="192"/>
      <c r="N292" s="192"/>
      <c r="O292" s="192"/>
      <c r="P292" s="192"/>
      <c r="Q292" s="192"/>
      <c r="R292" s="192"/>
      <c r="S292" s="192"/>
      <c r="T292" s="159"/>
      <c r="U292" s="158"/>
      <c r="V292" s="339">
        <v>8375.27</v>
      </c>
      <c r="W292" s="704"/>
      <c r="X292" s="704"/>
      <c r="Y292" s="339"/>
      <c r="Z292" s="159"/>
      <c r="AA292" s="158"/>
      <c r="AB292" s="339"/>
      <c r="AC292" s="339"/>
      <c r="AD292" s="339"/>
      <c r="AE292" s="339"/>
      <c r="AF292" s="363">
        <v>43158</v>
      </c>
      <c r="AG292" s="363">
        <v>43258</v>
      </c>
      <c r="AH292" s="214">
        <v>43409</v>
      </c>
      <c r="AI292" s="297">
        <v>5</v>
      </c>
      <c r="AJ292" s="25"/>
      <c r="AK292" s="26">
        <v>29691599</v>
      </c>
      <c r="AL292" s="25" t="s">
        <v>1524</v>
      </c>
      <c r="AM292" s="194">
        <v>6602165657</v>
      </c>
      <c r="AN292" s="192" t="s">
        <v>1525</v>
      </c>
      <c r="AO292" s="190"/>
      <c r="AP292" s="190" t="s">
        <v>1526</v>
      </c>
    </row>
    <row r="293" spans="3:42" ht="17.25" customHeight="1">
      <c r="C293" s="3" t="s">
        <v>238</v>
      </c>
      <c r="D293" s="483" t="s">
        <v>115</v>
      </c>
      <c r="E293" s="475" t="s">
        <v>1527</v>
      </c>
      <c r="F293" s="476" t="s">
        <v>215</v>
      </c>
      <c r="G293" s="477"/>
      <c r="H293" s="289">
        <f t="shared" si="26"/>
        <v>807.65</v>
      </c>
      <c r="I293" s="479"/>
      <c r="J293" s="142"/>
      <c r="K293" s="142"/>
      <c r="L293" s="142"/>
      <c r="M293" s="142"/>
      <c r="N293" s="142"/>
      <c r="O293" s="142"/>
      <c r="P293" s="142"/>
      <c r="Q293" s="142"/>
      <c r="R293" s="142"/>
      <c r="S293" s="142"/>
      <c r="T293" s="252"/>
      <c r="U293" s="253"/>
      <c r="V293" s="296">
        <v>807.65</v>
      </c>
      <c r="W293" s="705"/>
      <c r="X293" s="705"/>
      <c r="Y293" s="296"/>
      <c r="Z293" s="252"/>
      <c r="AA293" s="253"/>
      <c r="AB293" s="296"/>
      <c r="AC293" s="296"/>
      <c r="AD293" s="296"/>
      <c r="AE293" s="296"/>
      <c r="AF293" s="480">
        <v>40299</v>
      </c>
      <c r="AG293" s="480">
        <v>43418</v>
      </c>
      <c r="AH293" s="132">
        <v>43418</v>
      </c>
      <c r="AI293" s="4">
        <v>0</v>
      </c>
      <c r="AJ293" s="476"/>
      <c r="AK293" s="481">
        <v>29765385</v>
      </c>
      <c r="AL293" s="476" t="s">
        <v>1528</v>
      </c>
      <c r="AM293" s="484" t="s">
        <v>1529</v>
      </c>
      <c r="AN293" s="21"/>
      <c r="AO293" s="482" t="s">
        <v>1530</v>
      </c>
      <c r="AP293" s="482" t="s">
        <v>1531</v>
      </c>
    </row>
    <row r="294" spans="3:42" ht="17.25" customHeight="1">
      <c r="C294" s="196" t="s">
        <v>238</v>
      </c>
      <c r="D294" s="211" t="s">
        <v>115</v>
      </c>
      <c r="E294" s="24" t="s">
        <v>1532</v>
      </c>
      <c r="F294" s="25" t="s">
        <v>215</v>
      </c>
      <c r="G294" s="218" t="s">
        <v>340</v>
      </c>
      <c r="H294" s="291">
        <f t="shared" si="26"/>
        <v>22652.240000000002</v>
      </c>
      <c r="I294" s="282"/>
      <c r="J294" s="192"/>
      <c r="K294" s="192"/>
      <c r="L294" s="192"/>
      <c r="M294" s="192"/>
      <c r="N294" s="192"/>
      <c r="O294" s="192"/>
      <c r="P294" s="192"/>
      <c r="Q294" s="192"/>
      <c r="R294" s="192"/>
      <c r="S294" s="192"/>
      <c r="T294" s="159"/>
      <c r="U294" s="158"/>
      <c r="V294" s="339">
        <v>22652.240000000002</v>
      </c>
      <c r="W294" s="704"/>
      <c r="X294" s="704"/>
      <c r="Y294" s="339"/>
      <c r="Z294" s="159"/>
      <c r="AA294" s="158"/>
      <c r="AB294" s="339"/>
      <c r="AC294" s="339"/>
      <c r="AD294" s="339"/>
      <c r="AE294" s="339"/>
      <c r="AF294" s="363">
        <v>40564</v>
      </c>
      <c r="AG294" s="363">
        <v>42278</v>
      </c>
      <c r="AH294" s="214">
        <v>43447</v>
      </c>
      <c r="AI294" s="297">
        <f>(YEAR(AH294)-YEAR(AG294))*12+MONTH(AH294)-MONTH(AG294)</f>
        <v>38</v>
      </c>
      <c r="AJ294" s="25"/>
      <c r="AK294" s="26">
        <v>27945575</v>
      </c>
      <c r="AL294" s="25" t="s">
        <v>1533</v>
      </c>
      <c r="AM294" s="194" t="s">
        <v>1534</v>
      </c>
      <c r="AN294" s="192" t="s">
        <v>1535</v>
      </c>
      <c r="AO294" s="190" t="s">
        <v>1536</v>
      </c>
      <c r="AP294" s="190"/>
    </row>
    <row r="295" spans="3:42" ht="17.25" customHeight="1">
      <c r="C295" s="8" t="s">
        <v>238</v>
      </c>
      <c r="D295" s="2" t="s">
        <v>205</v>
      </c>
      <c r="E295" s="20" t="s">
        <v>1537</v>
      </c>
      <c r="F295" s="21"/>
      <c r="H295" s="289">
        <f>SUM(I295:W295)</f>
        <v>364</v>
      </c>
      <c r="I295" s="87"/>
      <c r="J295" s="143"/>
      <c r="K295" s="143"/>
      <c r="L295" s="143"/>
      <c r="M295" s="143"/>
      <c r="N295" s="143"/>
      <c r="O295" s="143"/>
      <c r="P295" s="143"/>
      <c r="Q295" s="143"/>
      <c r="R295" s="143"/>
      <c r="S295" s="143"/>
      <c r="T295" s="58"/>
      <c r="V295" s="258">
        <f>SUM(50.65+313.35)</f>
        <v>364</v>
      </c>
      <c r="W295" s="624"/>
      <c r="X295" s="624"/>
      <c r="Y295" s="258"/>
      <c r="Z295" s="58"/>
      <c r="AA295" s="45"/>
      <c r="AB295" s="258"/>
      <c r="AC295" s="258"/>
      <c r="AD295" s="258"/>
      <c r="AE295" s="258"/>
      <c r="AF295" s="133">
        <v>24298</v>
      </c>
      <c r="AG295" s="23">
        <v>37557</v>
      </c>
      <c r="AH295" s="133">
        <v>43614</v>
      </c>
      <c r="AI295" s="10">
        <f>(YEAR(AH295)-YEAR(AG295))*12+MONTH(AH295)-MONTH(AG295)</f>
        <v>199</v>
      </c>
      <c r="AJ295" s="21"/>
      <c r="AK295" s="22">
        <v>599449</v>
      </c>
      <c r="AL295" s="21"/>
      <c r="AM295" s="193"/>
      <c r="AN295" s="143"/>
      <c r="AO295" s="189"/>
      <c r="AP295" s="189" t="s">
        <v>1538</v>
      </c>
    </row>
    <row r="296" spans="3:42" ht="17.25" customHeight="1">
      <c r="C296" s="238" t="s">
        <v>238</v>
      </c>
      <c r="D296" s="239" t="s">
        <v>115</v>
      </c>
      <c r="E296" s="240" t="s">
        <v>1539</v>
      </c>
      <c r="F296" s="241" t="s">
        <v>215</v>
      </c>
      <c r="G296" s="242"/>
      <c r="H296" s="292">
        <f t="shared" si="26"/>
        <v>11118.3</v>
      </c>
      <c r="I296" s="284"/>
      <c r="J296" s="249"/>
      <c r="K296" s="249"/>
      <c r="L296" s="249"/>
      <c r="M296" s="249"/>
      <c r="N296" s="249"/>
      <c r="O296" s="249"/>
      <c r="P296" s="249"/>
      <c r="Q296" s="249"/>
      <c r="R296" s="249"/>
      <c r="S296" s="249"/>
      <c r="T296" s="243"/>
      <c r="U296" s="244"/>
      <c r="V296" s="342">
        <f>SUM(10990.46+127.84)</f>
        <v>11118.3</v>
      </c>
      <c r="W296" s="706"/>
      <c r="X296" s="706"/>
      <c r="Y296" s="342"/>
      <c r="Z296" s="243"/>
      <c r="AA296" s="244"/>
      <c r="AB296" s="342"/>
      <c r="AC296" s="342"/>
      <c r="AD296" s="342"/>
      <c r="AE296" s="342"/>
      <c r="AF296" s="245">
        <v>40797</v>
      </c>
      <c r="AG296" s="245">
        <v>43454</v>
      </c>
      <c r="AH296" s="246">
        <v>43530</v>
      </c>
      <c r="AI296" s="300">
        <v>3</v>
      </c>
      <c r="AJ296" s="241"/>
      <c r="AK296" s="247">
        <v>23928237</v>
      </c>
      <c r="AL296" s="241"/>
      <c r="AM296" s="248"/>
      <c r="AN296" s="249"/>
      <c r="AO296" s="250"/>
      <c r="AP296" s="250"/>
    </row>
    <row r="297" spans="3:42" ht="17.25" customHeight="1">
      <c r="C297" s="3" t="s">
        <v>238</v>
      </c>
      <c r="D297" s="483" t="s">
        <v>115</v>
      </c>
      <c r="E297" s="475" t="s">
        <v>1540</v>
      </c>
      <c r="F297" s="476" t="s">
        <v>215</v>
      </c>
      <c r="G297" s="477"/>
      <c r="H297" s="289">
        <f t="shared" si="26"/>
        <v>700</v>
      </c>
      <c r="I297" s="479"/>
      <c r="J297" s="142"/>
      <c r="K297" s="142"/>
      <c r="L297" s="142"/>
      <c r="M297" s="142"/>
      <c r="N297" s="142"/>
      <c r="O297" s="142"/>
      <c r="P297" s="142"/>
      <c r="Q297" s="142"/>
      <c r="R297" s="142"/>
      <c r="S297" s="142"/>
      <c r="T297" s="252"/>
      <c r="U297" s="253"/>
      <c r="V297" s="296">
        <v>700</v>
      </c>
      <c r="W297" s="705"/>
      <c r="X297" s="705"/>
      <c r="Y297" s="296"/>
      <c r="Z297" s="252"/>
      <c r="AA297" s="253"/>
      <c r="AB297" s="296"/>
      <c r="AC297" s="296"/>
      <c r="AD297" s="296"/>
      <c r="AE297" s="296"/>
      <c r="AF297" s="480">
        <v>42012</v>
      </c>
      <c r="AG297" s="480">
        <v>43530</v>
      </c>
      <c r="AH297" s="132">
        <v>43530</v>
      </c>
      <c r="AI297" s="4">
        <f>(YEAR(AH297)-YEAR(AG297))*12+MONTH(AH297)-MONTH(AG297)</f>
        <v>0</v>
      </c>
      <c r="AJ297" s="476"/>
      <c r="AK297" s="481">
        <v>18754507</v>
      </c>
      <c r="AL297" s="476" t="s">
        <v>1541</v>
      </c>
      <c r="AM297" s="484" t="s">
        <v>1542</v>
      </c>
      <c r="AN297" s="485"/>
      <c r="AO297" s="482" t="s">
        <v>1543</v>
      </c>
      <c r="AP297" s="482"/>
    </row>
    <row r="298" spans="3:42" ht="17.25" customHeight="1">
      <c r="C298" s="197" t="s">
        <v>238</v>
      </c>
      <c r="D298" s="212" t="s">
        <v>115</v>
      </c>
      <c r="E298" s="198" t="s">
        <v>1544</v>
      </c>
      <c r="F298" s="199" t="s">
        <v>215</v>
      </c>
      <c r="G298" s="219"/>
      <c r="H298" s="292">
        <f t="shared" si="26"/>
        <v>14903.1</v>
      </c>
      <c r="I298" s="283"/>
      <c r="J298" s="206"/>
      <c r="K298" s="206"/>
      <c r="L298" s="206"/>
      <c r="M298" s="206"/>
      <c r="N298" s="206"/>
      <c r="O298" s="206"/>
      <c r="P298" s="206"/>
      <c r="Q298" s="206"/>
      <c r="R298" s="206"/>
      <c r="S298" s="206"/>
      <c r="T298" s="201"/>
      <c r="U298" s="202"/>
      <c r="V298" s="341">
        <v>14903.1</v>
      </c>
      <c r="W298" s="510"/>
      <c r="X298" s="510"/>
      <c r="Y298" s="341"/>
      <c r="Z298" s="201"/>
      <c r="AA298" s="202"/>
      <c r="AB298" s="341"/>
      <c r="AC298" s="341"/>
      <c r="AD298" s="341"/>
      <c r="AE298" s="341"/>
      <c r="AF298" s="203">
        <v>41550</v>
      </c>
      <c r="AG298" s="203">
        <v>42100</v>
      </c>
      <c r="AH298" s="204">
        <v>43419</v>
      </c>
      <c r="AI298" s="299">
        <v>79</v>
      </c>
      <c r="AJ298" s="199"/>
      <c r="AK298" s="200">
        <v>467449</v>
      </c>
      <c r="AL298" s="199" t="s">
        <v>1545</v>
      </c>
      <c r="AM298" s="248" t="s">
        <v>1546</v>
      </c>
      <c r="AN298" s="199" t="s">
        <v>1547</v>
      </c>
      <c r="AO298" s="250" t="s">
        <v>1548</v>
      </c>
      <c r="AP298" s="250" t="s">
        <v>1549</v>
      </c>
    </row>
    <row r="299" spans="3:42" ht="17.25" customHeight="1">
      <c r="C299" s="447" t="s">
        <v>238</v>
      </c>
      <c r="D299" s="448" t="s">
        <v>115</v>
      </c>
      <c r="E299" s="449" t="s">
        <v>1398</v>
      </c>
      <c r="F299" s="450" t="s">
        <v>215</v>
      </c>
      <c r="G299" s="451" t="s">
        <v>1550</v>
      </c>
      <c r="H299" s="461">
        <f t="shared" ref="H299" si="28">SUM(I299:W299)</f>
        <v>20000</v>
      </c>
      <c r="I299" s="452"/>
      <c r="J299" s="453"/>
      <c r="K299" s="453"/>
      <c r="L299" s="453"/>
      <c r="M299" s="453"/>
      <c r="N299" s="453"/>
      <c r="O299" s="453"/>
      <c r="P299" s="453"/>
      <c r="Q299" s="453"/>
      <c r="R299" s="453"/>
      <c r="S299" s="453"/>
      <c r="T299" s="209"/>
      <c r="U299" s="210"/>
      <c r="V299" s="454">
        <v>20000</v>
      </c>
      <c r="W299" s="616"/>
      <c r="X299" s="616"/>
      <c r="Y299" s="454"/>
      <c r="Z299" s="209"/>
      <c r="AA299" s="210"/>
      <c r="AB299" s="454"/>
      <c r="AC299" s="454"/>
      <c r="AD299" s="454"/>
      <c r="AE299" s="454"/>
      <c r="AF299" s="455">
        <v>43009</v>
      </c>
      <c r="AG299" s="455">
        <v>43073</v>
      </c>
      <c r="AH299" s="456">
        <v>43374</v>
      </c>
      <c r="AI299" s="457">
        <f>(YEAR(AH299)-YEAR(AG299))*12+MONTH(AH299)-MONTH(AG299)</f>
        <v>10</v>
      </c>
      <c r="AJ299" s="208">
        <v>99562035</v>
      </c>
      <c r="AK299" s="450"/>
      <c r="AL299" s="450" t="s">
        <v>1400</v>
      </c>
      <c r="AM299" s="458">
        <v>6177381919</v>
      </c>
      <c r="AN299" s="453" t="s">
        <v>1401</v>
      </c>
      <c r="AO299" s="459" t="s">
        <v>1402</v>
      </c>
      <c r="AP299" s="459" t="s">
        <v>1551</v>
      </c>
    </row>
    <row r="300" spans="3:42" ht="17.25" customHeight="1">
      <c r="C300" s="447" t="s">
        <v>238</v>
      </c>
      <c r="D300" s="448" t="s">
        <v>205</v>
      </c>
      <c r="E300" s="449" t="s">
        <v>1552</v>
      </c>
      <c r="F300" s="450" t="s">
        <v>215</v>
      </c>
      <c r="G300" s="451"/>
      <c r="H300" s="437">
        <f t="shared" si="26"/>
        <v>28196.46</v>
      </c>
      <c r="I300" s="452"/>
      <c r="J300" s="453"/>
      <c r="K300" s="453"/>
      <c r="L300" s="453"/>
      <c r="M300" s="453"/>
      <c r="N300" s="453"/>
      <c r="O300" s="453"/>
      <c r="P300" s="453"/>
      <c r="Q300" s="453"/>
      <c r="R300" s="453"/>
      <c r="S300" s="453"/>
      <c r="T300" s="209"/>
      <c r="U300" s="210"/>
      <c r="V300" s="454">
        <v>28196.46</v>
      </c>
      <c r="W300" s="616"/>
      <c r="X300" s="616"/>
      <c r="Y300" s="454"/>
      <c r="Z300" s="209"/>
      <c r="AA300" s="210"/>
      <c r="AB300" s="454"/>
      <c r="AC300" s="454"/>
      <c r="AD300" s="454"/>
      <c r="AE300" s="454"/>
      <c r="AF300" s="455">
        <v>42825</v>
      </c>
      <c r="AG300" s="455">
        <v>42898</v>
      </c>
      <c r="AH300" s="456">
        <v>43465</v>
      </c>
      <c r="AI300" s="457">
        <f t="shared" ref="AI300:AI307" si="29">(YEAR(AH300)-YEAR(AG300))*12+MONTH(AH300)-MONTH(AG300)</f>
        <v>18</v>
      </c>
      <c r="AJ300" s="450"/>
      <c r="AK300" s="208">
        <v>650374</v>
      </c>
      <c r="AL300" s="450" t="s">
        <v>1553</v>
      </c>
      <c r="AM300" s="458">
        <v>3148218947</v>
      </c>
      <c r="AN300" s="453"/>
      <c r="AO300" s="459"/>
      <c r="AP300" s="459"/>
    </row>
    <row r="301" spans="3:42" ht="17.25" customHeight="1">
      <c r="C301" s="197" t="s">
        <v>238</v>
      </c>
      <c r="D301" s="212" t="s">
        <v>205</v>
      </c>
      <c r="E301" s="198" t="s">
        <v>1554</v>
      </c>
      <c r="F301" s="199" t="s">
        <v>117</v>
      </c>
      <c r="G301" s="219"/>
      <c r="H301" s="292">
        <f t="shared" si="26"/>
        <v>123489.22</v>
      </c>
      <c r="I301" s="283"/>
      <c r="J301" s="206"/>
      <c r="K301" s="206"/>
      <c r="L301" s="206"/>
      <c r="M301" s="206"/>
      <c r="N301" s="206"/>
      <c r="O301" s="206"/>
      <c r="P301" s="206"/>
      <c r="Q301" s="206"/>
      <c r="R301" s="206"/>
      <c r="S301" s="206"/>
      <c r="T301" s="201"/>
      <c r="U301" s="202"/>
      <c r="V301" s="341">
        <v>123489.22</v>
      </c>
      <c r="W301" s="510">
        <v>750</v>
      </c>
      <c r="X301" s="510"/>
      <c r="Y301" s="341"/>
      <c r="Z301" s="201"/>
      <c r="AA301" s="202"/>
      <c r="AB301" s="341"/>
      <c r="AC301" s="341"/>
      <c r="AD301" s="341"/>
      <c r="AE301" s="341"/>
      <c r="AF301" s="203"/>
      <c r="AG301" s="203">
        <v>43622</v>
      </c>
      <c r="AH301" s="204">
        <v>43623</v>
      </c>
      <c r="AI301" s="299">
        <f t="shared" si="29"/>
        <v>0</v>
      </c>
      <c r="AJ301" s="199">
        <v>100215443</v>
      </c>
      <c r="AK301" s="200">
        <v>29474905</v>
      </c>
      <c r="AL301" s="199" t="s">
        <v>1555</v>
      </c>
      <c r="AM301" s="205"/>
      <c r="AN301" s="206"/>
      <c r="AO301" s="207" t="s">
        <v>1556</v>
      </c>
      <c r="AP301" s="207" t="s">
        <v>1557</v>
      </c>
    </row>
    <row r="302" spans="3:42" ht="17.25" customHeight="1">
      <c r="C302" s="447" t="s">
        <v>238</v>
      </c>
      <c r="D302" s="448" t="s">
        <v>205</v>
      </c>
      <c r="E302" s="449" t="s">
        <v>1558</v>
      </c>
      <c r="F302" s="450" t="s">
        <v>215</v>
      </c>
      <c r="G302" s="451" t="s">
        <v>1559</v>
      </c>
      <c r="H302" s="437">
        <f t="shared" ref="H302:H307" si="30">SUM(I302:V302)</f>
        <v>4257.38</v>
      </c>
      <c r="I302" s="452"/>
      <c r="J302" s="453"/>
      <c r="K302" s="453"/>
      <c r="L302" s="453"/>
      <c r="M302" s="453"/>
      <c r="N302" s="453"/>
      <c r="O302" s="453"/>
      <c r="P302" s="453"/>
      <c r="Q302" s="453"/>
      <c r="R302" s="453"/>
      <c r="S302" s="453"/>
      <c r="T302" s="209"/>
      <c r="U302" s="210"/>
      <c r="V302" s="454">
        <v>4257.38</v>
      </c>
      <c r="W302" s="616"/>
      <c r="X302" s="616"/>
      <c r="Y302" s="454"/>
      <c r="Z302" s="209"/>
      <c r="AA302" s="210"/>
      <c r="AB302" s="454"/>
      <c r="AC302" s="454"/>
      <c r="AD302" s="454"/>
      <c r="AE302" s="454"/>
      <c r="AF302" s="455">
        <v>40589</v>
      </c>
      <c r="AG302" s="455">
        <v>43446</v>
      </c>
      <c r="AH302" s="456">
        <v>43515</v>
      </c>
      <c r="AI302" s="447">
        <f t="shared" si="29"/>
        <v>2</v>
      </c>
      <c r="AJ302" s="450"/>
      <c r="AK302" s="208">
        <v>352211</v>
      </c>
      <c r="AL302" s="450" t="s">
        <v>1560</v>
      </c>
      <c r="AM302" s="458">
        <v>8478320889</v>
      </c>
      <c r="AN302" s="453" t="s">
        <v>1561</v>
      </c>
      <c r="AO302" s="459" t="s">
        <v>1562</v>
      </c>
      <c r="AP302" s="633" t="s">
        <v>1563</v>
      </c>
    </row>
    <row r="303" spans="3:42" ht="17.25" customHeight="1">
      <c r="C303" s="197" t="s">
        <v>238</v>
      </c>
      <c r="D303" s="212" t="s">
        <v>115</v>
      </c>
      <c r="E303" s="198" t="s">
        <v>1564</v>
      </c>
      <c r="F303" s="199" t="s">
        <v>215</v>
      </c>
      <c r="G303" s="219"/>
      <c r="H303" s="330">
        <f t="shared" si="30"/>
        <v>0</v>
      </c>
      <c r="I303" s="283"/>
      <c r="J303" s="206"/>
      <c r="K303" s="206"/>
      <c r="L303" s="206"/>
      <c r="M303" s="206"/>
      <c r="N303" s="206"/>
      <c r="O303" s="206"/>
      <c r="P303" s="206"/>
      <c r="Q303" s="206"/>
      <c r="R303" s="206"/>
      <c r="S303" s="206"/>
      <c r="T303" s="201"/>
      <c r="U303" s="202"/>
      <c r="V303" s="341">
        <v>0</v>
      </c>
      <c r="W303" s="510"/>
      <c r="X303" s="510"/>
      <c r="Y303" s="341"/>
      <c r="Z303" s="201"/>
      <c r="AA303" s="202"/>
      <c r="AB303" s="341"/>
      <c r="AC303" s="341"/>
      <c r="AD303" s="341"/>
      <c r="AE303" s="341"/>
      <c r="AF303" s="203">
        <v>43381</v>
      </c>
      <c r="AG303" s="203">
        <v>43532</v>
      </c>
      <c r="AH303" s="204">
        <v>43532</v>
      </c>
      <c r="AI303" s="197">
        <f t="shared" si="29"/>
        <v>0</v>
      </c>
      <c r="AJ303" s="199"/>
      <c r="AK303" s="200">
        <v>89023972</v>
      </c>
      <c r="AL303" s="199" t="s">
        <v>1565</v>
      </c>
      <c r="AM303" s="205">
        <v>5859872800</v>
      </c>
      <c r="AN303" s="206" t="s">
        <v>1566</v>
      </c>
      <c r="AO303" s="207" t="s">
        <v>1567</v>
      </c>
      <c r="AP303" s="321" t="s">
        <v>1568</v>
      </c>
    </row>
    <row r="304" spans="3:42" ht="17.25" customHeight="1">
      <c r="C304" s="447" t="s">
        <v>238</v>
      </c>
      <c r="D304" s="448" t="s">
        <v>115</v>
      </c>
      <c r="E304" s="449" t="s">
        <v>1569</v>
      </c>
      <c r="F304" s="450" t="s">
        <v>215</v>
      </c>
      <c r="G304" s="451"/>
      <c r="H304" s="437">
        <f t="shared" si="30"/>
        <v>50000</v>
      </c>
      <c r="I304" s="452"/>
      <c r="J304" s="453"/>
      <c r="K304" s="453"/>
      <c r="L304" s="453"/>
      <c r="M304" s="453"/>
      <c r="N304" s="453"/>
      <c r="O304" s="453"/>
      <c r="P304" s="453"/>
      <c r="Q304" s="453"/>
      <c r="R304" s="453"/>
      <c r="S304" s="453"/>
      <c r="T304" s="209"/>
      <c r="U304" s="210"/>
      <c r="V304" s="454">
        <v>50000</v>
      </c>
      <c r="W304" s="616"/>
      <c r="X304" s="616"/>
      <c r="Y304" s="454"/>
      <c r="Z304" s="209"/>
      <c r="AA304" s="210"/>
      <c r="AB304" s="454"/>
      <c r="AC304" s="454"/>
      <c r="AD304" s="454"/>
      <c r="AE304" s="454"/>
      <c r="AF304" s="455">
        <v>43365</v>
      </c>
      <c r="AG304" s="455">
        <v>43430</v>
      </c>
      <c r="AH304" s="456">
        <v>43430</v>
      </c>
      <c r="AI304" s="447">
        <f t="shared" si="29"/>
        <v>0</v>
      </c>
      <c r="AJ304" s="450"/>
      <c r="AK304" s="208">
        <v>23606742</v>
      </c>
      <c r="AL304" s="450" t="s">
        <v>1570</v>
      </c>
      <c r="AM304" s="458" t="s">
        <v>1571</v>
      </c>
      <c r="AN304" s="453"/>
      <c r="AO304" s="459" t="s">
        <v>1572</v>
      </c>
      <c r="AP304" s="459"/>
    </row>
    <row r="305" spans="1:42" s="259" customFormat="1" ht="17.25" customHeight="1">
      <c r="A305" s="34"/>
      <c r="B305" s="34"/>
      <c r="C305" s="197" t="s">
        <v>238</v>
      </c>
      <c r="D305" s="212" t="s">
        <v>115</v>
      </c>
      <c r="E305" s="198" t="s">
        <v>1573</v>
      </c>
      <c r="F305" s="199" t="s">
        <v>215</v>
      </c>
      <c r="G305" s="219" t="s">
        <v>1574</v>
      </c>
      <c r="H305" s="330">
        <f t="shared" si="30"/>
        <v>1537.12</v>
      </c>
      <c r="I305" s="283"/>
      <c r="J305" s="206"/>
      <c r="K305" s="206"/>
      <c r="L305" s="206"/>
      <c r="M305" s="206"/>
      <c r="N305" s="206"/>
      <c r="O305" s="206"/>
      <c r="P305" s="206"/>
      <c r="Q305" s="206"/>
      <c r="R305" s="206"/>
      <c r="S305" s="206"/>
      <c r="T305" s="201"/>
      <c r="U305" s="202"/>
      <c r="V305" s="341">
        <v>1537.12</v>
      </c>
      <c r="W305" s="510"/>
      <c r="X305" s="510"/>
      <c r="Y305" s="341"/>
      <c r="Z305" s="201"/>
      <c r="AA305" s="202"/>
      <c r="AB305" s="341"/>
      <c r="AC305" s="341"/>
      <c r="AD305" s="341"/>
      <c r="AE305" s="341"/>
      <c r="AF305" s="203">
        <v>41923</v>
      </c>
      <c r="AG305" s="203">
        <v>42020</v>
      </c>
      <c r="AH305" s="204">
        <v>43542</v>
      </c>
      <c r="AI305" s="197">
        <f t="shared" si="29"/>
        <v>50</v>
      </c>
      <c r="AJ305" s="199"/>
      <c r="AK305" s="200">
        <v>99871832</v>
      </c>
      <c r="AL305" s="199" t="s">
        <v>1575</v>
      </c>
      <c r="AM305" s="205">
        <v>9138907005</v>
      </c>
      <c r="AN305" s="206" t="s">
        <v>1576</v>
      </c>
      <c r="AO305" s="207" t="s">
        <v>1577</v>
      </c>
      <c r="AP305" s="321" t="s">
        <v>1578</v>
      </c>
    </row>
    <row r="306" spans="1:42" ht="17.25" customHeight="1">
      <c r="C306" s="447" t="s">
        <v>238</v>
      </c>
      <c r="D306" s="448" t="s">
        <v>115</v>
      </c>
      <c r="E306" s="449" t="s">
        <v>1579</v>
      </c>
      <c r="F306" s="450" t="s">
        <v>91</v>
      </c>
      <c r="G306" s="505">
        <v>10000</v>
      </c>
      <c r="H306" s="437">
        <f t="shared" si="30"/>
        <v>10000</v>
      </c>
      <c r="I306" s="634"/>
      <c r="J306" s="635"/>
      <c r="K306" s="635"/>
      <c r="L306" s="635"/>
      <c r="M306" s="635"/>
      <c r="N306" s="635"/>
      <c r="O306" s="635"/>
      <c r="P306" s="635"/>
      <c r="Q306" s="635"/>
      <c r="R306" s="635"/>
      <c r="S306" s="635"/>
      <c r="T306" s="209"/>
      <c r="U306" s="210"/>
      <c r="V306" s="454">
        <v>10000</v>
      </c>
      <c r="W306" s="707"/>
      <c r="X306" s="707"/>
      <c r="Y306" s="454"/>
      <c r="Z306" s="209"/>
      <c r="AA306" s="210"/>
      <c r="AB306" s="454"/>
      <c r="AC306" s="454"/>
      <c r="AD306" s="454"/>
      <c r="AE306" s="454"/>
      <c r="AF306" s="455">
        <v>43366</v>
      </c>
      <c r="AG306" s="455">
        <v>43444</v>
      </c>
      <c r="AH306" s="456">
        <v>43495</v>
      </c>
      <c r="AI306" s="447">
        <f t="shared" si="29"/>
        <v>1</v>
      </c>
      <c r="AJ306" s="450"/>
      <c r="AK306" s="208">
        <v>1860907</v>
      </c>
      <c r="AL306" s="450" t="s">
        <v>1580</v>
      </c>
      <c r="AM306" s="458">
        <v>2156289000</v>
      </c>
      <c r="AN306" s="453" t="s">
        <v>1581</v>
      </c>
      <c r="AO306" s="459" t="s">
        <v>1582</v>
      </c>
      <c r="AP306" s="459" t="s">
        <v>1583</v>
      </c>
    </row>
    <row r="307" spans="1:42" ht="17.25" customHeight="1">
      <c r="C307" s="636" t="s">
        <v>238</v>
      </c>
      <c r="D307" s="637" t="s">
        <v>115</v>
      </c>
      <c r="E307" s="638" t="s">
        <v>1584</v>
      </c>
      <c r="F307" s="639" t="s">
        <v>91</v>
      </c>
      <c r="G307" s="640"/>
      <c r="H307" s="641">
        <f t="shared" si="30"/>
        <v>4140.66</v>
      </c>
      <c r="I307" s="642"/>
      <c r="J307" s="643"/>
      <c r="K307" s="643"/>
      <c r="L307" s="643"/>
      <c r="M307" s="643"/>
      <c r="N307" s="643"/>
      <c r="O307" s="643"/>
      <c r="P307" s="643"/>
      <c r="Q307" s="643"/>
      <c r="R307" s="643"/>
      <c r="S307" s="643"/>
      <c r="T307" s="644"/>
      <c r="U307" s="645"/>
      <c r="V307" s="646">
        <v>4140.66</v>
      </c>
      <c r="W307" s="708"/>
      <c r="X307" s="708"/>
      <c r="Y307" s="646"/>
      <c r="Z307" s="644"/>
      <c r="AA307" s="645"/>
      <c r="AB307" s="646"/>
      <c r="AC307" s="646"/>
      <c r="AD307" s="646"/>
      <c r="AE307" s="646"/>
      <c r="AF307" s="647">
        <v>42423</v>
      </c>
      <c r="AG307" s="647">
        <v>43133</v>
      </c>
      <c r="AH307" s="648">
        <v>43299</v>
      </c>
      <c r="AI307" s="636">
        <f t="shared" si="29"/>
        <v>5</v>
      </c>
      <c r="AJ307" s="639"/>
      <c r="AK307" s="649">
        <v>24388233</v>
      </c>
      <c r="AL307" s="639" t="s">
        <v>1585</v>
      </c>
      <c r="AM307" s="596" t="s">
        <v>1586</v>
      </c>
      <c r="AN307" s="199" t="s">
        <v>1587</v>
      </c>
      <c r="AO307" s="597" t="s">
        <v>1588</v>
      </c>
      <c r="AP307" s="598" t="s">
        <v>1589</v>
      </c>
    </row>
    <row r="308" spans="1:42" ht="17.25" customHeight="1" thickBot="1">
      <c r="C308" s="697" t="s">
        <v>1590</v>
      </c>
      <c r="D308" s="97"/>
      <c r="E308" s="97"/>
      <c r="F308" s="98"/>
      <c r="G308" s="191"/>
      <c r="H308" s="191"/>
      <c r="I308" s="82"/>
      <c r="J308" s="191"/>
      <c r="K308" s="191"/>
      <c r="L308" s="191"/>
      <c r="M308" s="191"/>
      <c r="N308" s="191"/>
      <c r="O308" s="191"/>
      <c r="P308" s="191"/>
      <c r="Q308" s="191"/>
      <c r="R308" s="191"/>
      <c r="S308" s="191"/>
      <c r="T308" s="99"/>
      <c r="U308" s="99"/>
      <c r="V308" s="99"/>
      <c r="W308" s="99"/>
      <c r="X308" s="99"/>
      <c r="Y308" s="99"/>
      <c r="Z308" s="99"/>
      <c r="AA308" s="99"/>
      <c r="AB308" s="99"/>
      <c r="AC308" s="99"/>
      <c r="AD308" s="99"/>
      <c r="AE308" s="99"/>
      <c r="AF308" s="98"/>
      <c r="AG308" s="98"/>
      <c r="AH308" s="98"/>
      <c r="AI308" s="298"/>
      <c r="AJ308" s="98"/>
      <c r="AK308" s="98"/>
      <c r="AL308" s="98"/>
      <c r="AM308" s="195"/>
      <c r="AN308" s="191"/>
      <c r="AO308" s="191"/>
      <c r="AP308" s="191"/>
    </row>
    <row r="309" spans="1:42" ht="17.25" customHeight="1">
      <c r="C309" s="8" t="s">
        <v>238</v>
      </c>
      <c r="D309" s="2"/>
      <c r="E309" s="20" t="s">
        <v>1591</v>
      </c>
      <c r="F309" s="21"/>
      <c r="H309" s="307">
        <f t="shared" ref="H309:H362" si="31">SUM(I309:U309)</f>
        <v>20000</v>
      </c>
      <c r="I309" s="87"/>
      <c r="J309" s="143"/>
      <c r="K309" s="252"/>
      <c r="L309" s="143"/>
      <c r="M309" s="143"/>
      <c r="N309" s="143"/>
      <c r="O309" s="58"/>
      <c r="P309" s="45"/>
      <c r="Q309" s="58"/>
      <c r="R309" s="45"/>
      <c r="S309" s="58"/>
      <c r="U309" s="258">
        <v>20000</v>
      </c>
      <c r="V309" s="258"/>
      <c r="W309" s="624"/>
      <c r="X309" s="624"/>
      <c r="Y309" s="295"/>
      <c r="Z309" s="58"/>
      <c r="AA309" s="336"/>
      <c r="AB309" s="258"/>
      <c r="AC309" s="258"/>
      <c r="AD309" s="258"/>
      <c r="AE309" s="258"/>
      <c r="AF309" s="20"/>
      <c r="AG309" s="27"/>
      <c r="AH309" s="133">
        <v>43100</v>
      </c>
      <c r="AJ309" s="21"/>
      <c r="AL309" s="21"/>
      <c r="AM309" s="193"/>
      <c r="AN309" s="143"/>
      <c r="AO309" s="189"/>
      <c r="AP309" s="189"/>
    </row>
    <row r="310" spans="1:42" ht="17.25" customHeight="1">
      <c r="C310" s="8" t="s">
        <v>238</v>
      </c>
      <c r="D310" s="2"/>
      <c r="E310" s="20" t="s">
        <v>1592</v>
      </c>
      <c r="F310" s="21"/>
      <c r="H310" s="307">
        <f t="shared" si="31"/>
        <v>2027.21</v>
      </c>
      <c r="I310" s="87"/>
      <c r="J310" s="143"/>
      <c r="K310" s="252"/>
      <c r="L310" s="143"/>
      <c r="M310" s="58"/>
      <c r="N310" s="143"/>
      <c r="O310" s="252"/>
      <c r="P310" s="253"/>
      <c r="Q310" s="252"/>
      <c r="R310" s="253"/>
      <c r="S310" s="252"/>
      <c r="T310" s="253"/>
      <c r="U310" s="296">
        <v>2027.21</v>
      </c>
      <c r="V310" s="258"/>
      <c r="W310" s="624"/>
      <c r="X310" s="624"/>
      <c r="Y310" s="258"/>
      <c r="Z310" s="58"/>
      <c r="AA310" s="336"/>
      <c r="AB310" s="258"/>
      <c r="AC310" s="258"/>
      <c r="AD310" s="258"/>
      <c r="AE310" s="258"/>
      <c r="AF310" s="20"/>
      <c r="AG310" s="27">
        <v>42571</v>
      </c>
      <c r="AH310" s="133">
        <v>42961</v>
      </c>
      <c r="AI310" s="48">
        <f>(YEAR(AH310)-YEAR(AG310))*12+MONTH(AH310)-MONTH(AG310)</f>
        <v>13</v>
      </c>
      <c r="AJ310" s="21"/>
      <c r="AK310" s="22">
        <v>2453777</v>
      </c>
      <c r="AL310" s="21"/>
      <c r="AM310" s="193"/>
      <c r="AN310" s="143"/>
      <c r="AO310" s="189"/>
      <c r="AP310" s="189"/>
    </row>
    <row r="311" spans="1:42" ht="17.25" customHeight="1">
      <c r="C311" s="8" t="s">
        <v>238</v>
      </c>
      <c r="D311" s="2"/>
      <c r="E311" s="20" t="s">
        <v>1593</v>
      </c>
      <c r="F311" s="21" t="s">
        <v>215</v>
      </c>
      <c r="H311" s="289">
        <v>79943.990000000005</v>
      </c>
      <c r="I311" s="87"/>
      <c r="J311" s="143"/>
      <c r="K311" s="143"/>
      <c r="L311" s="143"/>
      <c r="M311" s="143"/>
      <c r="N311" s="143"/>
      <c r="O311" s="143"/>
      <c r="P311" s="143"/>
      <c r="Q311" s="143"/>
      <c r="R311" s="143"/>
      <c r="S311" s="143"/>
      <c r="T311" s="58"/>
      <c r="V311" s="258"/>
      <c r="W311" s="624"/>
      <c r="X311" s="624"/>
      <c r="Y311" s="258"/>
      <c r="Z311" s="58"/>
      <c r="AA311" s="336"/>
      <c r="AB311" s="258"/>
      <c r="AC311" s="258"/>
      <c r="AD311" s="258"/>
      <c r="AE311" s="258"/>
      <c r="AF311" s="20"/>
      <c r="AG311" s="27">
        <v>42354</v>
      </c>
      <c r="AH311" s="133">
        <v>43412</v>
      </c>
      <c r="AI311" s="10"/>
      <c r="AJ311" s="21"/>
      <c r="AK311" s="22">
        <v>13116686</v>
      </c>
      <c r="AL311" s="21" t="s">
        <v>1594</v>
      </c>
      <c r="AM311" s="368">
        <v>5176511798</v>
      </c>
      <c r="AN311" s="465" t="s">
        <v>1595</v>
      </c>
      <c r="AO311" s="189" t="s">
        <v>1596</v>
      </c>
      <c r="AP311" s="251" t="s">
        <v>1597</v>
      </c>
    </row>
    <row r="312" spans="1:42" ht="17.25" customHeight="1">
      <c r="C312" s="8" t="s">
        <v>238</v>
      </c>
      <c r="D312" s="2"/>
      <c r="E312" s="20" t="s">
        <v>1598</v>
      </c>
      <c r="F312" s="21"/>
      <c r="H312" s="307">
        <f t="shared" si="31"/>
        <v>41290.639999999999</v>
      </c>
      <c r="I312" s="87"/>
      <c r="J312" s="143"/>
      <c r="K312" s="58"/>
      <c r="L312" s="143"/>
      <c r="M312" s="252"/>
      <c r="N312" s="58"/>
      <c r="O312" s="58"/>
      <c r="P312" s="45"/>
      <c r="Q312" s="58"/>
      <c r="R312" s="45"/>
      <c r="S312" s="58"/>
      <c r="U312" s="258">
        <v>41290.639999999999</v>
      </c>
      <c r="V312" s="258"/>
      <c r="W312" s="624"/>
      <c r="X312" s="624"/>
      <c r="Y312" s="258"/>
      <c r="Z312" s="58"/>
      <c r="AA312" s="336"/>
      <c r="AB312" s="258"/>
      <c r="AC312" s="258"/>
      <c r="AD312" s="258"/>
      <c r="AE312" s="258"/>
      <c r="AF312" s="20"/>
      <c r="AG312" s="27"/>
      <c r="AH312" s="133">
        <v>43270</v>
      </c>
      <c r="AJ312" s="21"/>
      <c r="AL312" s="21"/>
      <c r="AM312" s="193"/>
      <c r="AN312" s="143"/>
      <c r="AO312" s="34"/>
      <c r="AP312" s="277"/>
    </row>
    <row r="313" spans="1:42" ht="17.25" customHeight="1">
      <c r="C313" s="8" t="s">
        <v>238</v>
      </c>
      <c r="D313" s="2"/>
      <c r="E313" s="20" t="s">
        <v>1599</v>
      </c>
      <c r="F313" s="21"/>
      <c r="H313" s="307">
        <f t="shared" si="31"/>
        <v>2000</v>
      </c>
      <c r="I313" s="87"/>
      <c r="J313" s="143"/>
      <c r="K313" s="58"/>
      <c r="L313" s="252"/>
      <c r="M313" s="252"/>
      <c r="N313" s="252"/>
      <c r="O313" s="58"/>
      <c r="P313" s="45"/>
      <c r="Q313" s="58"/>
      <c r="R313" s="45"/>
      <c r="S313" s="58"/>
      <c r="U313" s="258">
        <v>2000</v>
      </c>
      <c r="V313" s="258"/>
      <c r="W313" s="624"/>
      <c r="X313" s="624"/>
      <c r="Y313" s="258"/>
      <c r="Z313" s="58"/>
      <c r="AA313" s="336"/>
      <c r="AB313" s="258"/>
      <c r="AC313" s="258"/>
      <c r="AD313" s="258"/>
      <c r="AE313" s="258"/>
      <c r="AF313" s="20"/>
      <c r="AG313" s="27"/>
      <c r="AH313" s="133">
        <v>43138</v>
      </c>
      <c r="AJ313" s="21"/>
      <c r="AL313" s="21"/>
      <c r="AM313" s="193"/>
      <c r="AN313" s="143"/>
      <c r="AO313" s="34"/>
      <c r="AP313" s="277"/>
    </row>
    <row r="314" spans="1:42" ht="17.25" customHeight="1">
      <c r="C314" s="8" t="s">
        <v>238</v>
      </c>
      <c r="D314" s="2"/>
      <c r="E314" s="20" t="s">
        <v>1600</v>
      </c>
      <c r="F314" s="21"/>
      <c r="H314" s="307">
        <f t="shared" si="31"/>
        <v>3121.7</v>
      </c>
      <c r="I314" s="87"/>
      <c r="J314" s="252"/>
      <c r="K314" s="252"/>
      <c r="L314" s="58"/>
      <c r="M314" s="252"/>
      <c r="N314" s="58"/>
      <c r="O314" s="252"/>
      <c r="P314" s="253"/>
      <c r="Q314" s="252"/>
      <c r="R314" s="253"/>
      <c r="S314" s="252"/>
      <c r="T314" s="253"/>
      <c r="U314" s="296">
        <v>3121.7</v>
      </c>
      <c r="V314" s="258"/>
      <c r="W314" s="624"/>
      <c r="X314" s="624"/>
      <c r="Y314" s="258"/>
      <c r="Z314" s="58"/>
      <c r="AA314" s="336"/>
      <c r="AB314" s="258"/>
      <c r="AC314" s="258"/>
      <c r="AD314" s="258"/>
      <c r="AE314" s="258"/>
      <c r="AF314" s="20"/>
      <c r="AG314" s="27"/>
      <c r="AH314" s="133">
        <v>43213</v>
      </c>
      <c r="AJ314" s="21"/>
      <c r="AL314" s="21"/>
      <c r="AM314" s="193"/>
      <c r="AN314" s="143"/>
      <c r="AO314" s="34"/>
      <c r="AP314" s="277"/>
    </row>
    <row r="315" spans="1:42" ht="17.25" customHeight="1">
      <c r="C315" s="8" t="s">
        <v>238</v>
      </c>
      <c r="D315" s="2"/>
      <c r="E315" s="20" t="s">
        <v>1601</v>
      </c>
      <c r="F315" s="21"/>
      <c r="H315" s="307">
        <f t="shared" si="31"/>
        <v>298.65999999999997</v>
      </c>
      <c r="I315" s="87"/>
      <c r="J315" s="58"/>
      <c r="K315" s="252"/>
      <c r="L315" s="252"/>
      <c r="M315" s="58"/>
      <c r="N315" s="252"/>
      <c r="O315" s="58"/>
      <c r="P315" s="45"/>
      <c r="Q315" s="58"/>
      <c r="R315" s="45"/>
      <c r="S315" s="58"/>
      <c r="T315" s="45">
        <f>SUM(94.36, 14.76)</f>
        <v>109.12</v>
      </c>
      <c r="U315" s="258">
        <f>SUM(93.82, 95.72)</f>
        <v>189.54</v>
      </c>
      <c r="V315" s="258"/>
      <c r="W315" s="624"/>
      <c r="X315" s="624"/>
      <c r="Y315" s="258"/>
      <c r="Z315" s="58"/>
      <c r="AA315" s="336"/>
      <c r="AB315" s="258"/>
      <c r="AC315" s="258"/>
      <c r="AD315" s="258"/>
      <c r="AE315" s="258"/>
      <c r="AF315" s="20"/>
      <c r="AG315" s="27"/>
      <c r="AH315" s="133">
        <v>43131</v>
      </c>
      <c r="AJ315" s="21"/>
      <c r="AL315" s="21"/>
      <c r="AM315" s="193"/>
      <c r="AN315" s="143"/>
      <c r="AO315" s="34"/>
      <c r="AP315" s="277"/>
    </row>
    <row r="316" spans="1:42" ht="17.25" customHeight="1">
      <c r="C316" s="8" t="s">
        <v>238</v>
      </c>
      <c r="D316" s="2"/>
      <c r="E316" s="20" t="s">
        <v>1602</v>
      </c>
      <c r="F316" s="21"/>
      <c r="H316" s="307">
        <f t="shared" si="31"/>
        <v>2978.88</v>
      </c>
      <c r="I316" s="87"/>
      <c r="J316" s="252"/>
      <c r="K316" s="58"/>
      <c r="L316" s="58"/>
      <c r="M316" s="252"/>
      <c r="N316" s="58"/>
      <c r="O316" s="252"/>
      <c r="P316" s="253"/>
      <c r="Q316" s="252"/>
      <c r="R316" s="253"/>
      <c r="S316" s="252"/>
      <c r="T316" s="253"/>
      <c r="U316" s="296">
        <v>2978.88</v>
      </c>
      <c r="V316" s="258"/>
      <c r="W316" s="624"/>
      <c r="X316" s="624"/>
      <c r="Y316" s="258"/>
      <c r="Z316" s="58"/>
      <c r="AA316" s="336"/>
      <c r="AB316" s="258"/>
      <c r="AC316" s="258"/>
      <c r="AD316" s="258"/>
      <c r="AE316" s="258"/>
      <c r="AF316" s="20"/>
      <c r="AG316" s="27"/>
      <c r="AH316" s="133">
        <v>43025</v>
      </c>
      <c r="AJ316" s="21"/>
      <c r="AL316" s="21"/>
      <c r="AM316" s="193"/>
      <c r="AN316" s="143"/>
      <c r="AO316" s="34"/>
      <c r="AP316" s="277"/>
    </row>
    <row r="317" spans="1:42" ht="17.25" customHeight="1">
      <c r="C317" s="8" t="s">
        <v>238</v>
      </c>
      <c r="D317" s="2"/>
      <c r="E317" s="20" t="s">
        <v>1603</v>
      </c>
      <c r="F317" s="21"/>
      <c r="H317" s="307">
        <f t="shared" si="31"/>
        <v>250</v>
      </c>
      <c r="I317" s="87"/>
      <c r="J317" s="252"/>
      <c r="K317" s="252"/>
      <c r="L317" s="252"/>
      <c r="M317" s="58"/>
      <c r="N317" s="252"/>
      <c r="O317" s="252"/>
      <c r="P317" s="253"/>
      <c r="Q317" s="252"/>
      <c r="R317" s="253"/>
      <c r="S317" s="252"/>
      <c r="T317" s="253"/>
      <c r="U317" s="296">
        <v>250</v>
      </c>
      <c r="V317" s="258"/>
      <c r="W317" s="624"/>
      <c r="X317" s="624"/>
      <c r="Y317" s="258"/>
      <c r="Z317" s="58"/>
      <c r="AA317" s="336"/>
      <c r="AB317" s="258"/>
      <c r="AC317" s="258"/>
      <c r="AD317" s="258"/>
      <c r="AE317" s="258"/>
      <c r="AF317" s="20"/>
      <c r="AG317" s="27"/>
      <c r="AH317" s="133">
        <v>43190</v>
      </c>
      <c r="AJ317" s="21"/>
      <c r="AL317" s="21"/>
      <c r="AM317" s="193"/>
      <c r="AN317" s="143"/>
      <c r="AO317" s="34"/>
      <c r="AP317" s="277"/>
    </row>
    <row r="318" spans="1:42" ht="17.25" customHeight="1">
      <c r="C318" s="8" t="s">
        <v>238</v>
      </c>
      <c r="D318" s="2"/>
      <c r="E318" s="20" t="s">
        <v>1604</v>
      </c>
      <c r="F318" s="21"/>
      <c r="H318" s="307">
        <f t="shared" si="31"/>
        <v>10000</v>
      </c>
      <c r="I318" s="87"/>
      <c r="J318" s="58"/>
      <c r="K318" s="58"/>
      <c r="L318" s="252"/>
      <c r="M318" s="252"/>
      <c r="N318" s="58"/>
      <c r="O318" s="58"/>
      <c r="P318" s="45"/>
      <c r="Q318" s="58"/>
      <c r="R318" s="45"/>
      <c r="S318" s="58"/>
      <c r="U318" s="258">
        <v>10000</v>
      </c>
      <c r="V318" s="258"/>
      <c r="W318" s="624"/>
      <c r="X318" s="624"/>
      <c r="Y318" s="258"/>
      <c r="Z318" s="58"/>
      <c r="AA318" s="336"/>
      <c r="AB318" s="258"/>
      <c r="AC318" s="258"/>
      <c r="AD318" s="258"/>
      <c r="AE318" s="258"/>
      <c r="AF318" s="20"/>
      <c r="AG318" s="27"/>
      <c r="AH318" s="133">
        <v>43250</v>
      </c>
      <c r="AJ318" s="21"/>
      <c r="AL318" s="21"/>
      <c r="AM318" s="193"/>
      <c r="AN318" s="143"/>
      <c r="AO318" s="34"/>
      <c r="AP318" s="277"/>
    </row>
    <row r="319" spans="1:42" ht="17.25" customHeight="1">
      <c r="C319" s="8" t="s">
        <v>238</v>
      </c>
      <c r="D319" s="2"/>
      <c r="E319" s="20" t="s">
        <v>1605</v>
      </c>
      <c r="F319" s="21"/>
      <c r="H319" s="307">
        <f t="shared" si="31"/>
        <v>1000</v>
      </c>
      <c r="I319" s="87"/>
      <c r="J319" s="252"/>
      <c r="K319" s="252"/>
      <c r="L319" s="58"/>
      <c r="M319" s="252"/>
      <c r="N319" s="252"/>
      <c r="O319" s="252"/>
      <c r="P319" s="253"/>
      <c r="Q319" s="252"/>
      <c r="R319" s="253"/>
      <c r="S319" s="252"/>
      <c r="T319" s="253"/>
      <c r="U319" s="296">
        <v>1000</v>
      </c>
      <c r="V319" s="258"/>
      <c r="W319" s="624"/>
      <c r="X319" s="624"/>
      <c r="Y319" s="258"/>
      <c r="Z319" s="58"/>
      <c r="AA319" s="336"/>
      <c r="AB319" s="258"/>
      <c r="AC319" s="258"/>
      <c r="AD319" s="258"/>
      <c r="AE319" s="258"/>
      <c r="AF319" s="20"/>
      <c r="AG319" s="27">
        <v>42768</v>
      </c>
      <c r="AH319" s="133">
        <v>43066</v>
      </c>
      <c r="AI319" s="48">
        <f t="shared" ref="AI319:AI351" si="32">(YEAR(AH319)-YEAR(AG319))*12+MONTH(AH319)-MONTH(AG319)</f>
        <v>9</v>
      </c>
      <c r="AJ319" s="21"/>
      <c r="AL319" s="21"/>
      <c r="AM319" s="193"/>
      <c r="AN319" s="143"/>
      <c r="AO319" s="34"/>
      <c r="AP319" s="277"/>
    </row>
    <row r="320" spans="1:42" ht="17.25" customHeight="1">
      <c r="C320" s="8" t="s">
        <v>238</v>
      </c>
      <c r="D320" s="2"/>
      <c r="E320" s="255" t="s">
        <v>1606</v>
      </c>
      <c r="F320" s="21"/>
      <c r="H320" s="307">
        <f t="shared" si="31"/>
        <v>1437.2700000000002</v>
      </c>
      <c r="I320" s="285">
        <v>62.54</v>
      </c>
      <c r="J320" s="252">
        <v>65.209999999999994</v>
      </c>
      <c r="K320" s="252">
        <f>SUM(64.45, 76.48, 81.63)</f>
        <v>222.56</v>
      </c>
      <c r="L320" s="252">
        <f>SUM(52.39, 75.35, 15.64)</f>
        <v>143.38</v>
      </c>
      <c r="M320" s="58">
        <f>SUM(63.42, 56.68, 63.66)</f>
        <v>183.76</v>
      </c>
      <c r="N320" s="252">
        <f>SUM(73.65, 73.12)</f>
        <v>146.77000000000001</v>
      </c>
      <c r="O320" s="58">
        <f>SUM(84.89, 42.31)</f>
        <v>127.2</v>
      </c>
      <c r="P320" s="45">
        <v>74.14</v>
      </c>
      <c r="Q320" s="58">
        <f>SUM(40.31, 84.97)</f>
        <v>125.28</v>
      </c>
      <c r="R320" s="45">
        <v>90.16</v>
      </c>
      <c r="S320" s="58">
        <v>54.57</v>
      </c>
      <c r="T320" s="45">
        <v>51.56</v>
      </c>
      <c r="U320" s="258">
        <f>SUM(36.34, 53.8)</f>
        <v>90.14</v>
      </c>
      <c r="V320" s="258"/>
      <c r="W320" s="624"/>
      <c r="X320" s="624"/>
      <c r="Y320" s="258"/>
      <c r="Z320" s="58"/>
      <c r="AA320" s="336"/>
      <c r="AB320" s="258"/>
      <c r="AC320" s="258"/>
      <c r="AD320" s="258"/>
      <c r="AE320" s="258"/>
      <c r="AF320" s="20"/>
      <c r="AG320" s="27"/>
      <c r="AH320" s="133">
        <v>43108</v>
      </c>
      <c r="AJ320" s="21"/>
      <c r="AL320" s="21"/>
      <c r="AM320" s="193"/>
      <c r="AN320" s="143"/>
      <c r="AO320" s="34"/>
      <c r="AP320" s="277"/>
    </row>
    <row r="321" spans="3:42" ht="17.25" customHeight="1">
      <c r="C321" s="8" t="s">
        <v>238</v>
      </c>
      <c r="D321" s="2"/>
      <c r="E321" s="20" t="s">
        <v>1607</v>
      </c>
      <c r="F321" s="21"/>
      <c r="H321" s="307">
        <f t="shared" si="31"/>
        <v>1181934.58</v>
      </c>
      <c r="I321" s="87"/>
      <c r="J321" s="58"/>
      <c r="K321" s="58"/>
      <c r="L321" s="58"/>
      <c r="M321" s="252"/>
      <c r="N321" s="58"/>
      <c r="O321" s="252"/>
      <c r="P321" s="253"/>
      <c r="Q321" s="252"/>
      <c r="R321" s="253"/>
      <c r="S321" s="252"/>
      <c r="T321" s="253"/>
      <c r="U321" s="296">
        <f>SUM(382242.15, 799287.22, 274.13, 131.08)</f>
        <v>1181934.58</v>
      </c>
      <c r="V321" s="258"/>
      <c r="W321" s="624"/>
      <c r="X321" s="624"/>
      <c r="Y321" s="258"/>
      <c r="Z321" s="58"/>
      <c r="AA321" s="336"/>
      <c r="AB321" s="258"/>
      <c r="AC321" s="258"/>
      <c r="AD321" s="258"/>
      <c r="AE321" s="258"/>
      <c r="AF321" s="20"/>
      <c r="AG321" s="27">
        <v>42893</v>
      </c>
      <c r="AH321" s="133">
        <v>42990</v>
      </c>
      <c r="AI321" s="48">
        <f t="shared" si="32"/>
        <v>3</v>
      </c>
      <c r="AJ321" s="21"/>
      <c r="AL321" s="21"/>
      <c r="AM321" s="193"/>
      <c r="AN321" s="143"/>
      <c r="AO321" s="34"/>
      <c r="AP321" s="277"/>
    </row>
    <row r="322" spans="3:42" ht="17.25" customHeight="1">
      <c r="C322" s="8" t="s">
        <v>238</v>
      </c>
      <c r="D322" s="2"/>
      <c r="E322" s="20" t="s">
        <v>1608</v>
      </c>
      <c r="F322" s="21"/>
      <c r="H322" s="307">
        <f t="shared" si="31"/>
        <v>10167.200000000001</v>
      </c>
      <c r="I322" s="87"/>
      <c r="J322" s="252"/>
      <c r="K322" s="252"/>
      <c r="L322" s="252"/>
      <c r="M322" s="58"/>
      <c r="N322" s="252"/>
      <c r="O322" s="58"/>
      <c r="P322" s="45"/>
      <c r="Q322" s="58"/>
      <c r="R322" s="45"/>
      <c r="S322" s="58"/>
      <c r="U322" s="258">
        <v>10167.200000000001</v>
      </c>
      <c r="V322" s="258"/>
      <c r="W322" s="624"/>
      <c r="X322" s="624"/>
      <c r="Y322" s="258"/>
      <c r="Z322" s="58"/>
      <c r="AA322" s="336"/>
      <c r="AB322" s="258"/>
      <c r="AC322" s="258"/>
      <c r="AD322" s="258"/>
      <c r="AE322" s="258"/>
      <c r="AF322" s="20"/>
      <c r="AG322" s="27">
        <v>42359</v>
      </c>
      <c r="AH322" s="133">
        <v>43266</v>
      </c>
      <c r="AI322" s="48">
        <f t="shared" si="32"/>
        <v>30</v>
      </c>
      <c r="AJ322" s="21"/>
      <c r="AL322" s="21"/>
      <c r="AM322" s="193"/>
      <c r="AN322" s="143"/>
      <c r="AO322" s="34"/>
      <c r="AP322" s="277"/>
    </row>
    <row r="323" spans="3:42" ht="17.25" customHeight="1">
      <c r="C323" s="8" t="s">
        <v>238</v>
      </c>
      <c r="D323" s="2"/>
      <c r="E323" s="20" t="s">
        <v>1609</v>
      </c>
      <c r="F323" s="21"/>
      <c r="H323" s="307">
        <f t="shared" si="31"/>
        <v>80451.88</v>
      </c>
      <c r="I323" s="87"/>
      <c r="J323" s="252"/>
      <c r="K323" s="252"/>
      <c r="L323" s="252"/>
      <c r="M323" s="252"/>
      <c r="N323" s="58"/>
      <c r="O323" s="252"/>
      <c r="P323" s="253"/>
      <c r="Q323" s="252"/>
      <c r="R323" s="253"/>
      <c r="S323" s="252"/>
      <c r="T323" s="253"/>
      <c r="U323" s="296">
        <v>80451.88</v>
      </c>
      <c r="V323" s="258"/>
      <c r="W323" s="624"/>
      <c r="X323" s="624"/>
      <c r="Y323" s="258"/>
      <c r="Z323" s="58"/>
      <c r="AA323" s="336"/>
      <c r="AB323" s="258"/>
      <c r="AC323" s="258"/>
      <c r="AD323" s="258"/>
      <c r="AE323" s="258"/>
      <c r="AF323" s="20"/>
      <c r="AG323" s="27"/>
      <c r="AH323" s="133">
        <v>43025</v>
      </c>
      <c r="AJ323" s="21"/>
      <c r="AL323" s="21"/>
      <c r="AM323" s="193"/>
      <c r="AN323" s="143"/>
      <c r="AO323" s="34"/>
      <c r="AP323" s="277"/>
    </row>
    <row r="324" spans="3:42" ht="17.25" customHeight="1">
      <c r="C324" s="8" t="s">
        <v>238</v>
      </c>
      <c r="D324" s="2"/>
      <c r="E324" s="20" t="s">
        <v>1610</v>
      </c>
      <c r="F324" s="21"/>
      <c r="H324" s="307">
        <f t="shared" si="31"/>
        <v>25000</v>
      </c>
      <c r="I324" s="87"/>
      <c r="J324" s="58"/>
      <c r="K324" s="58"/>
      <c r="L324" s="58"/>
      <c r="M324" s="252"/>
      <c r="N324" s="252"/>
      <c r="O324" s="58"/>
      <c r="P324" s="45"/>
      <c r="Q324" s="58"/>
      <c r="R324" s="45"/>
      <c r="S324" s="58"/>
      <c r="U324" s="258">
        <v>25000</v>
      </c>
      <c r="V324" s="258"/>
      <c r="W324" s="624"/>
      <c r="X324" s="624"/>
      <c r="Y324" s="258"/>
      <c r="Z324" s="58"/>
      <c r="AA324" s="336"/>
      <c r="AB324" s="258"/>
      <c r="AC324" s="258"/>
      <c r="AD324" s="258"/>
      <c r="AE324" s="258"/>
      <c r="AF324" s="20"/>
      <c r="AG324" s="27"/>
      <c r="AH324" s="133">
        <v>43195</v>
      </c>
      <c r="AJ324" s="21"/>
      <c r="AL324" s="21"/>
      <c r="AM324" s="193"/>
      <c r="AN324" s="143"/>
      <c r="AO324" s="34"/>
      <c r="AP324" s="277"/>
    </row>
    <row r="325" spans="3:42" ht="17.25" customHeight="1">
      <c r="C325" s="8" t="s">
        <v>238</v>
      </c>
      <c r="D325" s="2"/>
      <c r="E325" s="20" t="s">
        <v>1611</v>
      </c>
      <c r="F325" s="21"/>
      <c r="H325" s="307">
        <f t="shared" si="31"/>
        <v>500</v>
      </c>
      <c r="I325" s="87"/>
      <c r="J325" s="252"/>
      <c r="K325" s="252"/>
      <c r="L325" s="252"/>
      <c r="M325" s="58"/>
      <c r="N325" s="58"/>
      <c r="O325" s="252"/>
      <c r="P325" s="253"/>
      <c r="Q325" s="252"/>
      <c r="R325" s="253"/>
      <c r="S325" s="252"/>
      <c r="T325" s="253"/>
      <c r="U325" s="296">
        <v>500</v>
      </c>
      <c r="V325" s="258"/>
      <c r="W325" s="624"/>
      <c r="X325" s="624"/>
      <c r="Y325" s="258"/>
      <c r="Z325" s="58"/>
      <c r="AA325" s="336"/>
      <c r="AB325" s="258"/>
      <c r="AC325" s="258"/>
      <c r="AD325" s="258"/>
      <c r="AE325" s="258"/>
      <c r="AF325" s="20"/>
      <c r="AG325" s="27"/>
      <c r="AH325" s="133">
        <v>43241</v>
      </c>
      <c r="AJ325" s="21"/>
      <c r="AL325" s="21"/>
      <c r="AM325" s="193"/>
      <c r="AN325" s="143"/>
      <c r="AO325" s="34"/>
      <c r="AP325" s="277"/>
    </row>
    <row r="326" spans="3:42" ht="17.25" customHeight="1">
      <c r="C326" s="8" t="s">
        <v>238</v>
      </c>
      <c r="D326" s="2"/>
      <c r="E326" s="20" t="s">
        <v>1612</v>
      </c>
      <c r="F326" s="21"/>
      <c r="H326" s="307">
        <f t="shared" si="31"/>
        <v>18359.689999999999</v>
      </c>
      <c r="I326" s="87"/>
      <c r="J326" s="252"/>
      <c r="K326" s="58"/>
      <c r="L326" s="252"/>
      <c r="M326" s="252"/>
      <c r="N326" s="252"/>
      <c r="O326" s="252"/>
      <c r="P326" s="253"/>
      <c r="Q326" s="252"/>
      <c r="R326" s="253"/>
      <c r="S326" s="252"/>
      <c r="T326" s="253"/>
      <c r="U326" s="296">
        <v>18359.689999999999</v>
      </c>
      <c r="V326" s="258"/>
      <c r="W326" s="624"/>
      <c r="X326" s="624"/>
      <c r="Y326" s="258"/>
      <c r="Z326" s="58"/>
      <c r="AA326" s="336"/>
      <c r="AB326" s="258"/>
      <c r="AC326" s="258"/>
      <c r="AD326" s="258"/>
      <c r="AE326" s="258"/>
      <c r="AF326" s="20"/>
      <c r="AG326" s="27"/>
      <c r="AH326" s="133">
        <v>43249</v>
      </c>
      <c r="AJ326" s="21"/>
      <c r="AL326" s="21"/>
      <c r="AM326" s="193"/>
      <c r="AN326" s="143"/>
      <c r="AO326" s="34"/>
      <c r="AP326" s="277"/>
    </row>
    <row r="327" spans="3:42" ht="17.25" customHeight="1">
      <c r="C327" s="8" t="s">
        <v>238</v>
      </c>
      <c r="D327" s="2"/>
      <c r="E327" s="20" t="s">
        <v>1613</v>
      </c>
      <c r="F327" s="21"/>
      <c r="H327" s="307">
        <f>SUM(I327:U327)</f>
        <v>16805.72</v>
      </c>
      <c r="I327" s="87"/>
      <c r="J327" s="58"/>
      <c r="K327" s="252"/>
      <c r="L327" s="58"/>
      <c r="M327" s="58"/>
      <c r="N327" s="252"/>
      <c r="O327" s="58"/>
      <c r="P327" s="45"/>
      <c r="Q327" s="58"/>
      <c r="R327" s="45"/>
      <c r="S327" s="58"/>
      <c r="T327" s="45">
        <v>11224.44</v>
      </c>
      <c r="U327" s="258">
        <f>SUM(581.28,5000)</f>
        <v>5581.28</v>
      </c>
      <c r="V327" s="258"/>
      <c r="W327" s="624"/>
      <c r="X327" s="624"/>
      <c r="Y327" s="258"/>
      <c r="Z327" s="58"/>
      <c r="AA327" s="336"/>
      <c r="AB327" s="258"/>
      <c r="AC327" s="258"/>
      <c r="AD327" s="258"/>
      <c r="AE327" s="258"/>
      <c r="AF327" s="20"/>
      <c r="AG327" s="27">
        <v>42074</v>
      </c>
      <c r="AH327" s="133">
        <v>43097</v>
      </c>
      <c r="AI327" s="48">
        <f t="shared" si="32"/>
        <v>33</v>
      </c>
      <c r="AJ327" s="21"/>
      <c r="AL327" s="21"/>
      <c r="AM327" s="193"/>
      <c r="AN327" s="143"/>
      <c r="AO327" s="34"/>
      <c r="AP327" s="277"/>
    </row>
    <row r="328" spans="3:42" ht="17.25" customHeight="1">
      <c r="C328" s="8" t="s">
        <v>238</v>
      </c>
      <c r="D328" s="2" t="s">
        <v>115</v>
      </c>
      <c r="E328" s="20" t="s">
        <v>1614</v>
      </c>
      <c r="F328" s="21" t="s">
        <v>91</v>
      </c>
      <c r="H328" s="307">
        <f>SUM(I328:U328)</f>
        <v>37055.490000000005</v>
      </c>
      <c r="I328" s="87"/>
      <c r="J328" s="58"/>
      <c r="K328" s="252"/>
      <c r="L328" s="58"/>
      <c r="M328" s="58"/>
      <c r="N328" s="252"/>
      <c r="O328" s="58"/>
      <c r="P328" s="45"/>
      <c r="Q328" s="58"/>
      <c r="R328" s="45"/>
      <c r="S328" s="58"/>
      <c r="T328" s="45">
        <f>35375.12+1680.37</f>
        <v>37055.490000000005</v>
      </c>
      <c r="U328" s="258"/>
      <c r="V328" s="258"/>
      <c r="W328" s="624"/>
      <c r="X328" s="624"/>
      <c r="Y328" s="258"/>
      <c r="Z328" s="58"/>
      <c r="AA328" s="336" t="s">
        <v>88</v>
      </c>
      <c r="AB328" s="258"/>
      <c r="AC328" s="258"/>
      <c r="AD328" s="258"/>
      <c r="AE328" s="258"/>
      <c r="AF328" s="27">
        <v>42669</v>
      </c>
      <c r="AG328" s="27">
        <v>42913</v>
      </c>
      <c r="AH328" s="133">
        <v>42942</v>
      </c>
      <c r="AI328" s="48">
        <v>1</v>
      </c>
      <c r="AJ328" s="21">
        <v>100611132</v>
      </c>
      <c r="AK328" s="22">
        <v>30949184</v>
      </c>
      <c r="AL328" s="21" t="s">
        <v>1615</v>
      </c>
      <c r="AM328" s="193">
        <v>9528974980</v>
      </c>
      <c r="AN328" s="143" t="s">
        <v>1616</v>
      </c>
      <c r="AO328" s="34" t="s">
        <v>1617</v>
      </c>
      <c r="AP328" s="277"/>
    </row>
    <row r="329" spans="3:42" ht="17.25" customHeight="1">
      <c r="C329" s="8" t="s">
        <v>238</v>
      </c>
      <c r="D329" s="2"/>
      <c r="E329" s="20" t="s">
        <v>1618</v>
      </c>
      <c r="F329" s="21"/>
      <c r="H329" s="307">
        <f t="shared" si="31"/>
        <v>6000</v>
      </c>
      <c r="I329" s="87"/>
      <c r="J329" s="252"/>
      <c r="K329" s="252"/>
      <c r="L329" s="252"/>
      <c r="M329" s="252"/>
      <c r="N329" s="58"/>
      <c r="O329" s="252"/>
      <c r="P329" s="253"/>
      <c r="Q329" s="252"/>
      <c r="R329" s="253"/>
      <c r="S329" s="252"/>
      <c r="T329" s="253">
        <v>1000</v>
      </c>
      <c r="U329" s="296">
        <f>SUM(1000, 2000, 2000)</f>
        <v>5000</v>
      </c>
      <c r="V329" s="258"/>
      <c r="W329" s="624"/>
      <c r="X329" s="624"/>
      <c r="Y329" s="258"/>
      <c r="Z329" s="58"/>
      <c r="AA329" s="336"/>
      <c r="AB329" s="258"/>
      <c r="AC329" s="258"/>
      <c r="AD329" s="258"/>
      <c r="AE329" s="258"/>
      <c r="AF329" s="20"/>
      <c r="AG329" s="27"/>
      <c r="AH329" s="133">
        <v>43089</v>
      </c>
      <c r="AJ329" s="21"/>
      <c r="AL329" s="21"/>
      <c r="AM329" s="193"/>
      <c r="AN329" s="143"/>
      <c r="AO329" s="34"/>
      <c r="AP329" s="277"/>
    </row>
    <row r="330" spans="3:42" ht="17.25" customHeight="1">
      <c r="C330" s="8" t="s">
        <v>238</v>
      </c>
      <c r="D330" s="2"/>
      <c r="E330" s="20" t="s">
        <v>1619</v>
      </c>
      <c r="F330" s="21"/>
      <c r="H330" s="307">
        <f t="shared" si="31"/>
        <v>6958.76</v>
      </c>
      <c r="I330" s="87"/>
      <c r="J330" s="252"/>
      <c r="K330" s="58"/>
      <c r="L330" s="58"/>
      <c r="M330" s="252"/>
      <c r="N330" s="252"/>
      <c r="O330" s="58"/>
      <c r="P330" s="45"/>
      <c r="Q330" s="58"/>
      <c r="R330" s="45"/>
      <c r="S330" s="58"/>
      <c r="U330" s="258">
        <v>6958.76</v>
      </c>
      <c r="V330" s="258"/>
      <c r="W330" s="624"/>
      <c r="X330" s="624"/>
      <c r="Y330" s="258"/>
      <c r="Z330" s="58"/>
      <c r="AA330" s="336"/>
      <c r="AB330" s="258"/>
      <c r="AC330" s="258"/>
      <c r="AD330" s="258"/>
      <c r="AE330" s="258"/>
      <c r="AF330" s="20"/>
      <c r="AG330" s="27"/>
      <c r="AH330" s="133">
        <v>42961</v>
      </c>
      <c r="AJ330" s="21"/>
      <c r="AL330" s="21"/>
      <c r="AM330" s="193"/>
      <c r="AN330" s="143"/>
      <c r="AO330" s="34"/>
      <c r="AP330" s="277"/>
    </row>
    <row r="331" spans="3:42" ht="17.25" customHeight="1">
      <c r="C331" s="8" t="s">
        <v>238</v>
      </c>
      <c r="D331" s="2"/>
      <c r="E331" s="20" t="s">
        <v>1620</v>
      </c>
      <c r="F331" s="21"/>
      <c r="H331" s="307">
        <f t="shared" si="31"/>
        <v>386000</v>
      </c>
      <c r="I331" s="87"/>
      <c r="J331" s="58"/>
      <c r="K331" s="252"/>
      <c r="L331" s="252"/>
      <c r="M331" s="58"/>
      <c r="N331" s="58"/>
      <c r="O331" s="252"/>
      <c r="P331" s="253"/>
      <c r="Q331" s="252"/>
      <c r="R331" s="253"/>
      <c r="S331" s="252"/>
      <c r="T331" s="253">
        <v>300000</v>
      </c>
      <c r="U331" s="296">
        <v>86000</v>
      </c>
      <c r="V331" s="258"/>
      <c r="W331" s="624"/>
      <c r="X331" s="624"/>
      <c r="Y331" s="258"/>
      <c r="Z331" s="58"/>
      <c r="AA331" s="336"/>
      <c r="AB331" s="258"/>
      <c r="AC331" s="258"/>
      <c r="AD331" s="258"/>
      <c r="AE331" s="258"/>
      <c r="AF331" s="20"/>
      <c r="AG331" s="27">
        <v>42757</v>
      </c>
      <c r="AH331" s="133">
        <v>42984</v>
      </c>
      <c r="AI331" s="48">
        <f t="shared" si="32"/>
        <v>8</v>
      </c>
      <c r="AJ331" s="21"/>
      <c r="AL331" s="21"/>
      <c r="AM331" s="193"/>
      <c r="AN331" s="143"/>
      <c r="AO331" s="34"/>
      <c r="AP331" s="277"/>
    </row>
    <row r="332" spans="3:42" ht="17.25" customHeight="1">
      <c r="C332" s="8" t="s">
        <v>238</v>
      </c>
      <c r="D332" s="2"/>
      <c r="E332" s="20" t="s">
        <v>1621</v>
      </c>
      <c r="F332" s="21"/>
      <c r="H332" s="307">
        <f t="shared" si="31"/>
        <v>1509.22</v>
      </c>
      <c r="I332" s="87"/>
      <c r="J332" s="252"/>
      <c r="K332" s="58"/>
      <c r="L332" s="252"/>
      <c r="M332" s="252"/>
      <c r="N332" s="252"/>
      <c r="O332" s="58"/>
      <c r="P332" s="45"/>
      <c r="Q332" s="58"/>
      <c r="R332" s="45"/>
      <c r="S332" s="58"/>
      <c r="U332" s="258">
        <v>1509.22</v>
      </c>
      <c r="V332" s="258"/>
      <c r="W332" s="624"/>
      <c r="X332" s="624"/>
      <c r="Y332" s="258"/>
      <c r="Z332" s="58"/>
      <c r="AA332" s="336"/>
      <c r="AB332" s="258"/>
      <c r="AC332" s="258"/>
      <c r="AD332" s="258"/>
      <c r="AE332" s="258"/>
      <c r="AF332" s="20"/>
      <c r="AG332" s="27"/>
      <c r="AH332" s="133">
        <v>43164</v>
      </c>
      <c r="AJ332" s="21"/>
      <c r="AL332" s="21"/>
      <c r="AM332" s="193"/>
      <c r="AN332" s="143"/>
      <c r="AO332" s="34"/>
      <c r="AP332" s="277"/>
    </row>
    <row r="333" spans="3:42" ht="17.25" customHeight="1">
      <c r="C333" s="8" t="s">
        <v>238</v>
      </c>
      <c r="D333" s="2"/>
      <c r="E333" s="20" t="s">
        <v>1622</v>
      </c>
      <c r="F333" s="21"/>
      <c r="H333" s="307">
        <f t="shared" si="31"/>
        <v>12853.41</v>
      </c>
      <c r="I333" s="87"/>
      <c r="J333" s="252"/>
      <c r="K333" s="252"/>
      <c r="L333" s="58"/>
      <c r="M333" s="58"/>
      <c r="N333" s="58"/>
      <c r="O333" s="252"/>
      <c r="P333" s="253"/>
      <c r="Q333" s="252"/>
      <c r="R333" s="253"/>
      <c r="S333" s="252"/>
      <c r="T333" s="253"/>
      <c r="U333" s="296">
        <v>12853.41</v>
      </c>
      <c r="V333" s="258"/>
      <c r="W333" s="624"/>
      <c r="X333" s="624"/>
      <c r="Y333" s="258"/>
      <c r="Z333" s="58"/>
      <c r="AA333" s="336"/>
      <c r="AB333" s="258"/>
      <c r="AC333" s="258"/>
      <c r="AD333" s="258"/>
      <c r="AE333" s="258"/>
      <c r="AF333" s="20"/>
      <c r="AG333" s="27"/>
      <c r="AH333" s="133">
        <v>42983</v>
      </c>
      <c r="AJ333" s="21"/>
      <c r="AL333" s="21"/>
      <c r="AM333" s="193"/>
      <c r="AN333" s="143"/>
      <c r="AO333" s="34"/>
      <c r="AP333" s="277"/>
    </row>
    <row r="334" spans="3:42" ht="17.25" customHeight="1">
      <c r="C334" s="8" t="s">
        <v>238</v>
      </c>
      <c r="D334" s="2"/>
      <c r="E334" s="20" t="s">
        <v>1623</v>
      </c>
      <c r="F334" s="21"/>
      <c r="H334" s="307">
        <f t="shared" si="31"/>
        <v>25000</v>
      </c>
      <c r="I334" s="87"/>
      <c r="J334" s="58"/>
      <c r="K334" s="143"/>
      <c r="L334" s="252"/>
      <c r="M334" s="252"/>
      <c r="N334" s="252"/>
      <c r="O334" s="58"/>
      <c r="P334" s="45"/>
      <c r="Q334" s="58"/>
      <c r="R334" s="45"/>
      <c r="S334" s="58"/>
      <c r="U334" s="258">
        <v>25000</v>
      </c>
      <c r="V334" s="258"/>
      <c r="W334" s="624"/>
      <c r="X334" s="624"/>
      <c r="Y334" s="258"/>
      <c r="Z334" s="58"/>
      <c r="AA334" s="336"/>
      <c r="AB334" s="258"/>
      <c r="AC334" s="258"/>
      <c r="AD334" s="258"/>
      <c r="AE334" s="258"/>
      <c r="AF334" s="20"/>
      <c r="AG334" s="27"/>
      <c r="AH334" s="133">
        <v>43024</v>
      </c>
      <c r="AJ334" s="21"/>
      <c r="AL334" s="21"/>
      <c r="AM334" s="193"/>
      <c r="AN334" s="143"/>
      <c r="AO334" s="34"/>
      <c r="AP334" s="277"/>
    </row>
    <row r="335" spans="3:42" ht="17.25" customHeight="1">
      <c r="C335" s="8" t="s">
        <v>238</v>
      </c>
      <c r="D335" s="2"/>
      <c r="E335" s="20" t="s">
        <v>1624</v>
      </c>
      <c r="F335" s="21"/>
      <c r="H335" s="307">
        <f t="shared" si="31"/>
        <v>130208.44</v>
      </c>
      <c r="I335" s="87"/>
      <c r="J335" s="252"/>
      <c r="K335" s="143"/>
      <c r="L335" s="58"/>
      <c r="M335" s="252"/>
      <c r="N335" s="252"/>
      <c r="O335" s="252"/>
      <c r="P335" s="253"/>
      <c r="Q335" s="252"/>
      <c r="R335" s="253"/>
      <c r="S335" s="252"/>
      <c r="T335" s="253"/>
      <c r="U335" s="296">
        <v>130208.44</v>
      </c>
      <c r="V335" s="258"/>
      <c r="W335" s="624"/>
      <c r="X335" s="624"/>
      <c r="Y335" s="258"/>
      <c r="Z335" s="58"/>
      <c r="AA335" s="336"/>
      <c r="AB335" s="258"/>
      <c r="AC335" s="258"/>
      <c r="AD335" s="258"/>
      <c r="AE335" s="258"/>
      <c r="AF335" s="20"/>
      <c r="AG335" s="27">
        <v>42829</v>
      </c>
      <c r="AH335" s="133">
        <v>43186</v>
      </c>
      <c r="AI335" s="48">
        <f t="shared" si="32"/>
        <v>11</v>
      </c>
      <c r="AJ335" s="21"/>
      <c r="AL335" s="21"/>
      <c r="AM335" s="193"/>
      <c r="AN335" s="143"/>
      <c r="AO335" s="34"/>
      <c r="AP335" s="277"/>
    </row>
    <row r="336" spans="3:42" ht="17.25" customHeight="1">
      <c r="C336" s="8" t="s">
        <v>238</v>
      </c>
      <c r="D336" s="2"/>
      <c r="E336" s="20" t="s">
        <v>1625</v>
      </c>
      <c r="F336" s="21"/>
      <c r="H336" s="307">
        <f t="shared" si="31"/>
        <v>5000</v>
      </c>
      <c r="I336" s="87"/>
      <c r="J336" s="252"/>
      <c r="K336" s="143"/>
      <c r="L336" s="252"/>
      <c r="M336" s="58"/>
      <c r="N336" s="58"/>
      <c r="O336" s="252"/>
      <c r="P336" s="253"/>
      <c r="Q336" s="252"/>
      <c r="R336" s="253"/>
      <c r="S336" s="252"/>
      <c r="T336" s="253"/>
      <c r="U336" s="296">
        <v>5000</v>
      </c>
      <c r="V336" s="258"/>
      <c r="W336" s="624"/>
      <c r="X336" s="624"/>
      <c r="Y336" s="258"/>
      <c r="Z336" s="58"/>
      <c r="AA336" s="336"/>
      <c r="AB336" s="258"/>
      <c r="AC336" s="258"/>
      <c r="AD336" s="258"/>
      <c r="AE336" s="258"/>
      <c r="AF336" s="20"/>
      <c r="AG336" s="27">
        <v>43239</v>
      </c>
      <c r="AH336" s="133">
        <v>43270</v>
      </c>
      <c r="AI336" s="48">
        <f t="shared" si="32"/>
        <v>1</v>
      </c>
      <c r="AJ336" s="21"/>
      <c r="AL336" s="21" t="s">
        <v>1626</v>
      </c>
      <c r="AM336" s="193">
        <v>9737250138</v>
      </c>
      <c r="AN336" s="143" t="s">
        <v>1627</v>
      </c>
      <c r="AO336" s="34"/>
      <c r="AP336" s="277"/>
    </row>
    <row r="337" spans="3:42" ht="17.25" customHeight="1">
      <c r="C337" s="447" t="s">
        <v>238</v>
      </c>
      <c r="D337" s="448" t="s">
        <v>115</v>
      </c>
      <c r="E337" s="449" t="s">
        <v>1628</v>
      </c>
      <c r="F337" s="450" t="s">
        <v>215</v>
      </c>
      <c r="G337" s="451" t="s">
        <v>1629</v>
      </c>
      <c r="H337" s="996">
        <f t="shared" ref="H337" si="33">SUM(I337:U337)</f>
        <v>9000</v>
      </c>
      <c r="I337" s="452"/>
      <c r="J337" s="209"/>
      <c r="K337" s="453"/>
      <c r="L337" s="438"/>
      <c r="M337" s="453"/>
      <c r="N337" s="438"/>
      <c r="O337" s="209"/>
      <c r="P337" s="210"/>
      <c r="Q337" s="209"/>
      <c r="R337" s="210"/>
      <c r="S337" s="209"/>
      <c r="T337" s="210"/>
      <c r="U337" s="454">
        <v>9000</v>
      </c>
      <c r="V337" s="454"/>
      <c r="W337" s="616"/>
      <c r="X337" s="616"/>
      <c r="Y337" s="454"/>
      <c r="Z337" s="209"/>
      <c r="AA337" s="594"/>
      <c r="AB337" s="454"/>
      <c r="AC337" s="454"/>
      <c r="AD337" s="454"/>
      <c r="AE337" s="454"/>
      <c r="AF337" s="455">
        <v>42718</v>
      </c>
      <c r="AG337" s="455">
        <v>43170</v>
      </c>
      <c r="AH337" s="456">
        <v>43201</v>
      </c>
      <c r="AI337" s="595">
        <f t="shared" si="32"/>
        <v>1</v>
      </c>
      <c r="AJ337" s="450"/>
      <c r="AK337" s="208">
        <v>100174555</v>
      </c>
      <c r="AL337" s="450" t="s">
        <v>1630</v>
      </c>
      <c r="AM337" s="458">
        <v>3605326210</v>
      </c>
      <c r="AN337" s="453" t="s">
        <v>1631</v>
      </c>
      <c r="AO337" s="451" t="s">
        <v>1632</v>
      </c>
      <c r="AP337" s="962"/>
    </row>
    <row r="338" spans="3:42" ht="17.25" customHeight="1">
      <c r="C338" s="8" t="s">
        <v>238</v>
      </c>
      <c r="D338" s="2"/>
      <c r="E338" s="20" t="s">
        <v>1633</v>
      </c>
      <c r="F338" s="21"/>
      <c r="H338" s="307">
        <f t="shared" si="31"/>
        <v>3390.2</v>
      </c>
      <c r="I338" s="87"/>
      <c r="J338" s="252"/>
      <c r="K338" s="143"/>
      <c r="L338" s="58"/>
      <c r="M338" s="143"/>
      <c r="N338" s="58"/>
      <c r="O338" s="252"/>
      <c r="P338" s="253"/>
      <c r="Q338" s="252"/>
      <c r="R338" s="253"/>
      <c r="S338" s="252"/>
      <c r="T338" s="253"/>
      <c r="U338" s="296">
        <v>3390.2</v>
      </c>
      <c r="V338" s="258"/>
      <c r="W338" s="624"/>
      <c r="X338" s="624"/>
      <c r="Y338" s="258"/>
      <c r="Z338" s="58"/>
      <c r="AA338" s="336"/>
      <c r="AB338" s="258"/>
      <c r="AC338" s="258"/>
      <c r="AD338" s="258"/>
      <c r="AE338" s="258"/>
      <c r="AF338" s="20"/>
      <c r="AG338" s="27"/>
      <c r="AH338" s="133">
        <v>43216</v>
      </c>
      <c r="AJ338" s="21"/>
      <c r="AL338" s="21"/>
      <c r="AM338" s="193"/>
      <c r="AN338" s="143"/>
      <c r="AO338" s="34"/>
      <c r="AP338" s="277"/>
    </row>
    <row r="339" spans="3:42" ht="17.25" customHeight="1">
      <c r="C339" s="8" t="s">
        <v>238</v>
      </c>
      <c r="D339" s="2"/>
      <c r="E339" s="20" t="s">
        <v>1634</v>
      </c>
      <c r="F339" s="21"/>
      <c r="H339" s="307">
        <f t="shared" si="31"/>
        <v>500</v>
      </c>
      <c r="I339" s="87"/>
      <c r="J339" s="252"/>
      <c r="K339" s="143"/>
      <c r="L339" s="252"/>
      <c r="M339" s="143"/>
      <c r="N339" s="252"/>
      <c r="O339" s="58"/>
      <c r="P339" s="45"/>
      <c r="Q339" s="58"/>
      <c r="R339" s="45"/>
      <c r="S339" s="58"/>
      <c r="U339" s="258">
        <v>500</v>
      </c>
      <c r="V339" s="258"/>
      <c r="W339" s="624"/>
      <c r="X339" s="624"/>
      <c r="Y339" s="258"/>
      <c r="Z339" s="58"/>
      <c r="AA339" s="336"/>
      <c r="AB339" s="258"/>
      <c r="AC339" s="258"/>
      <c r="AD339" s="258"/>
      <c r="AE339" s="258"/>
      <c r="AF339" s="20"/>
      <c r="AG339" s="27"/>
      <c r="AH339" s="133">
        <v>43190</v>
      </c>
      <c r="AJ339" s="21"/>
      <c r="AL339" s="21"/>
      <c r="AM339" s="193"/>
      <c r="AN339" s="143"/>
      <c r="AO339" s="34"/>
      <c r="AP339" s="277"/>
    </row>
    <row r="340" spans="3:42" ht="17.25" customHeight="1">
      <c r="C340" s="8" t="s">
        <v>238</v>
      </c>
      <c r="D340" s="2"/>
      <c r="E340" s="20" t="s">
        <v>1635</v>
      </c>
      <c r="F340" s="21"/>
      <c r="H340" s="307">
        <f t="shared" si="31"/>
        <v>60440.880000000005</v>
      </c>
      <c r="I340" s="87"/>
      <c r="J340" s="58"/>
      <c r="K340" s="143"/>
      <c r="L340" s="252"/>
      <c r="M340" s="143"/>
      <c r="N340" s="58"/>
      <c r="O340" s="252"/>
      <c r="P340" s="253"/>
      <c r="Q340" s="252"/>
      <c r="R340" s="253"/>
      <c r="S340" s="252"/>
      <c r="T340" s="253">
        <v>58718.12</v>
      </c>
      <c r="U340" s="296">
        <v>1722.76</v>
      </c>
      <c r="V340" s="258"/>
      <c r="W340" s="624"/>
      <c r="X340" s="624"/>
      <c r="Y340" s="258"/>
      <c r="Z340" s="58"/>
      <c r="AA340" s="336"/>
      <c r="AB340" s="258"/>
      <c r="AC340" s="258"/>
      <c r="AD340" s="258"/>
      <c r="AE340" s="258"/>
      <c r="AF340" s="20"/>
      <c r="AG340" s="27"/>
      <c r="AH340" s="133">
        <v>43108</v>
      </c>
      <c r="AJ340" s="21"/>
      <c r="AL340" s="21"/>
      <c r="AM340" s="193"/>
      <c r="AN340" s="143"/>
      <c r="AO340" s="34"/>
      <c r="AP340" s="277"/>
    </row>
    <row r="341" spans="3:42" ht="17.25" customHeight="1">
      <c r="C341" s="8" t="s">
        <v>238</v>
      </c>
      <c r="D341" s="2"/>
      <c r="E341" s="20" t="s">
        <v>1636</v>
      </c>
      <c r="F341" s="21"/>
      <c r="H341" s="307">
        <f t="shared" si="31"/>
        <v>25000</v>
      </c>
      <c r="I341" s="87"/>
      <c r="J341" s="252"/>
      <c r="K341" s="143"/>
      <c r="L341" s="58"/>
      <c r="M341" s="143"/>
      <c r="N341" s="252"/>
      <c r="O341" s="58"/>
      <c r="P341" s="45"/>
      <c r="Q341" s="58"/>
      <c r="R341" s="45"/>
      <c r="S341" s="58"/>
      <c r="U341" s="258">
        <v>25000</v>
      </c>
      <c r="V341" s="258"/>
      <c r="W341" s="624"/>
      <c r="X341" s="624"/>
      <c r="Y341" s="258"/>
      <c r="Z341" s="58"/>
      <c r="AA341" s="336"/>
      <c r="AB341" s="258"/>
      <c r="AC341" s="258"/>
      <c r="AD341" s="258"/>
      <c r="AE341" s="258"/>
      <c r="AF341" s="20"/>
      <c r="AG341" s="27"/>
      <c r="AH341" s="133">
        <v>43157</v>
      </c>
      <c r="AJ341" s="21"/>
      <c r="AL341" s="21"/>
      <c r="AM341" s="193"/>
      <c r="AN341" s="143"/>
      <c r="AO341" s="34"/>
      <c r="AP341" s="277"/>
    </row>
    <row r="342" spans="3:42" ht="17.25" customHeight="1">
      <c r="C342" s="8" t="s">
        <v>238</v>
      </c>
      <c r="D342" s="2"/>
      <c r="E342" s="20" t="s">
        <v>1637</v>
      </c>
      <c r="F342" s="21"/>
      <c r="H342" s="307">
        <f t="shared" si="31"/>
        <v>499933.69000000006</v>
      </c>
      <c r="I342" s="87"/>
      <c r="J342" s="143"/>
      <c r="K342" s="143"/>
      <c r="L342" s="252"/>
      <c r="M342" s="58">
        <v>200000</v>
      </c>
      <c r="N342" s="58">
        <f>SUM(4470.88, 165671.56, 11.88, 58333.34)</f>
        <v>228487.66</v>
      </c>
      <c r="O342" s="58">
        <v>25000</v>
      </c>
      <c r="P342" s="45">
        <v>46066.23</v>
      </c>
      <c r="Q342" s="58">
        <v>372.59</v>
      </c>
      <c r="R342" s="253"/>
      <c r="S342" s="252"/>
      <c r="T342" s="253"/>
      <c r="U342" s="296">
        <v>7.21</v>
      </c>
      <c r="V342" s="258"/>
      <c r="W342" s="624"/>
      <c r="X342" s="624"/>
      <c r="Y342" s="258"/>
      <c r="Z342" s="58"/>
      <c r="AA342" s="336"/>
      <c r="AB342" s="258"/>
      <c r="AC342" s="258"/>
      <c r="AD342" s="258"/>
      <c r="AE342" s="258"/>
      <c r="AF342" s="20"/>
      <c r="AG342" s="27">
        <v>39139</v>
      </c>
      <c r="AH342" s="133">
        <v>43048</v>
      </c>
      <c r="AI342" s="48">
        <f>(YEAR(AH342)-YEAR(AG342))*12+MONTH(AH342)-MONTH(AG342)</f>
        <v>129</v>
      </c>
      <c r="AJ342" s="21"/>
      <c r="AL342" s="21"/>
      <c r="AM342" s="193"/>
      <c r="AN342" s="143"/>
      <c r="AO342" s="34"/>
      <c r="AP342" s="277"/>
    </row>
    <row r="343" spans="3:42" ht="17.25" customHeight="1">
      <c r="C343" s="8" t="s">
        <v>238</v>
      </c>
      <c r="D343" s="2"/>
      <c r="E343" s="20" t="s">
        <v>1638</v>
      </c>
      <c r="F343" s="21"/>
      <c r="H343" s="307">
        <f t="shared" si="31"/>
        <v>9378.75</v>
      </c>
      <c r="I343" s="87"/>
      <c r="J343" s="143"/>
      <c r="K343" s="143"/>
      <c r="L343" s="58"/>
      <c r="M343" s="143"/>
      <c r="N343" s="58"/>
      <c r="O343" s="58"/>
      <c r="P343" s="45"/>
      <c r="Q343" s="58"/>
      <c r="R343" s="45"/>
      <c r="S343" s="58"/>
      <c r="U343" s="258">
        <f>SUM(9362.86, 15.89)</f>
        <v>9378.75</v>
      </c>
      <c r="V343" s="258"/>
      <c r="W343" s="624"/>
      <c r="X343" s="624"/>
      <c r="Y343" s="258"/>
      <c r="Z343" s="58"/>
      <c r="AA343" s="336"/>
      <c r="AB343" s="258"/>
      <c r="AC343" s="258"/>
      <c r="AD343" s="258"/>
      <c r="AE343" s="258"/>
      <c r="AF343" s="20"/>
      <c r="AG343" s="27">
        <v>42809</v>
      </c>
      <c r="AH343" s="133">
        <v>43004</v>
      </c>
      <c r="AI343" s="48">
        <f t="shared" si="32"/>
        <v>6</v>
      </c>
      <c r="AJ343" s="21"/>
      <c r="AL343" s="21"/>
      <c r="AM343" s="193"/>
      <c r="AN343" s="143"/>
      <c r="AO343" s="34"/>
      <c r="AP343" s="277"/>
    </row>
    <row r="344" spans="3:42" ht="17.25" customHeight="1">
      <c r="C344" s="8" t="s">
        <v>238</v>
      </c>
      <c r="D344" s="2"/>
      <c r="E344" s="20" t="s">
        <v>1639</v>
      </c>
      <c r="F344" s="21"/>
      <c r="H344" s="307">
        <f t="shared" si="31"/>
        <v>19822.05</v>
      </c>
      <c r="I344" s="87"/>
      <c r="J344" s="143"/>
      <c r="K344" s="143"/>
      <c r="L344" s="252"/>
      <c r="M344" s="143"/>
      <c r="N344" s="252"/>
      <c r="O344" s="252"/>
      <c r="P344" s="253"/>
      <c r="Q344" s="252"/>
      <c r="R344" s="253"/>
      <c r="S344" s="252"/>
      <c r="T344" s="253"/>
      <c r="U344" s="296">
        <v>19822.05</v>
      </c>
      <c r="V344" s="258"/>
      <c r="W344" s="624"/>
      <c r="X344" s="624"/>
      <c r="Y344" s="258"/>
      <c r="Z344" s="58"/>
      <c r="AA344" s="336"/>
      <c r="AB344" s="258"/>
      <c r="AC344" s="258"/>
      <c r="AD344" s="258"/>
      <c r="AE344" s="258"/>
      <c r="AF344" s="20"/>
      <c r="AG344" s="27">
        <v>42493</v>
      </c>
      <c r="AH344" s="21"/>
      <c r="AJ344" s="21"/>
      <c r="AL344" s="21"/>
      <c r="AM344" s="193"/>
      <c r="AN344" s="143"/>
      <c r="AO344" s="34"/>
      <c r="AP344" s="277"/>
    </row>
    <row r="345" spans="3:42" ht="17.25" customHeight="1">
      <c r="C345" s="8" t="s">
        <v>238</v>
      </c>
      <c r="D345" s="2"/>
      <c r="E345" s="20" t="s">
        <v>1639</v>
      </c>
      <c r="F345" s="21"/>
      <c r="H345" s="307">
        <f t="shared" si="31"/>
        <v>19822.05</v>
      </c>
      <c r="I345" s="87"/>
      <c r="J345" s="143"/>
      <c r="K345" s="143"/>
      <c r="L345" s="252"/>
      <c r="M345" s="143"/>
      <c r="N345" s="58"/>
      <c r="O345" s="252"/>
      <c r="P345" s="253"/>
      <c r="Q345" s="252"/>
      <c r="R345" s="253"/>
      <c r="S345" s="252"/>
      <c r="T345" s="253"/>
      <c r="U345" s="296">
        <v>19822.05</v>
      </c>
      <c r="V345" s="258"/>
      <c r="W345" s="624"/>
      <c r="X345" s="624"/>
      <c r="Y345" s="258"/>
      <c r="Z345" s="58"/>
      <c r="AA345" s="336"/>
      <c r="AB345" s="258"/>
      <c r="AC345" s="258"/>
      <c r="AD345" s="258"/>
      <c r="AE345" s="258"/>
      <c r="AF345" s="20"/>
      <c r="AG345" s="27">
        <v>42493</v>
      </c>
      <c r="AH345" s="21"/>
      <c r="AJ345" s="21"/>
      <c r="AL345" s="21"/>
      <c r="AM345" s="193"/>
      <c r="AN345" s="143"/>
      <c r="AO345" s="34"/>
      <c r="AP345" s="277"/>
    </row>
    <row r="346" spans="3:42" ht="17.25" customHeight="1">
      <c r="C346" s="8" t="s">
        <v>238</v>
      </c>
      <c r="D346" s="2"/>
      <c r="E346" s="20" t="s">
        <v>1640</v>
      </c>
      <c r="F346" s="21"/>
      <c r="H346" s="289">
        <v>13265.86</v>
      </c>
      <c r="I346" s="87"/>
      <c r="J346" s="143"/>
      <c r="K346" s="143"/>
      <c r="L346" s="143"/>
      <c r="M346" s="143"/>
      <c r="N346" s="143"/>
      <c r="O346" s="143"/>
      <c r="P346" s="143"/>
      <c r="Q346" s="143"/>
      <c r="R346" s="143"/>
      <c r="S346" s="143"/>
      <c r="T346" s="58"/>
      <c r="V346" s="258"/>
      <c r="W346" s="624"/>
      <c r="X346" s="624"/>
      <c r="Y346" s="258"/>
      <c r="Z346" s="58"/>
      <c r="AA346" s="336"/>
      <c r="AB346" s="258"/>
      <c r="AC346" s="258"/>
      <c r="AD346" s="258"/>
      <c r="AE346" s="258"/>
      <c r="AF346" s="20"/>
      <c r="AG346" s="27">
        <v>43522</v>
      </c>
      <c r="AH346" s="21"/>
      <c r="AI346" s="10"/>
      <c r="AJ346" s="21"/>
      <c r="AK346" s="22">
        <v>31457534</v>
      </c>
      <c r="AL346" s="21" t="s">
        <v>1641</v>
      </c>
      <c r="AM346" s="193">
        <v>6233415415</v>
      </c>
      <c r="AN346" s="21" t="s">
        <v>1642</v>
      </c>
      <c r="AO346" s="189" t="s">
        <v>1643</v>
      </c>
      <c r="AP346" s="189"/>
    </row>
    <row r="347" spans="3:42" ht="17.25" customHeight="1">
      <c r="C347" s="8" t="s">
        <v>238</v>
      </c>
      <c r="D347" s="2"/>
      <c r="E347" s="20" t="s">
        <v>1644</v>
      </c>
      <c r="F347" s="21"/>
      <c r="H347" s="307">
        <f t="shared" si="31"/>
        <v>5378.49</v>
      </c>
      <c r="I347" s="87"/>
      <c r="J347" s="143"/>
      <c r="K347" s="143"/>
      <c r="L347" s="58"/>
      <c r="M347" s="143"/>
      <c r="N347" s="252"/>
      <c r="O347" s="58"/>
      <c r="P347" s="45"/>
      <c r="Q347" s="58"/>
      <c r="R347" s="45"/>
      <c r="S347" s="58"/>
      <c r="U347" s="258">
        <f>SUM(5333.08, 45.41)</f>
        <v>5378.49</v>
      </c>
      <c r="V347" s="258"/>
      <c r="W347" s="624"/>
      <c r="X347" s="624"/>
      <c r="Y347" s="258"/>
      <c r="Z347" s="58"/>
      <c r="AA347" s="336"/>
      <c r="AB347" s="258"/>
      <c r="AC347" s="258"/>
      <c r="AD347" s="258"/>
      <c r="AE347" s="258"/>
      <c r="AF347" s="20"/>
      <c r="AG347" s="27"/>
      <c r="AH347" s="133">
        <v>43343</v>
      </c>
      <c r="AJ347" s="21"/>
      <c r="AL347" s="21"/>
      <c r="AM347" s="193"/>
      <c r="AN347" s="143"/>
      <c r="AO347" s="34"/>
      <c r="AP347" s="277"/>
    </row>
    <row r="348" spans="3:42" ht="17.25" customHeight="1">
      <c r="C348" s="8" t="s">
        <v>238</v>
      </c>
      <c r="D348" s="2"/>
      <c r="E348" s="20" t="s">
        <v>1645</v>
      </c>
      <c r="F348" s="21"/>
      <c r="H348" s="307">
        <f t="shared" si="31"/>
        <v>120851.73</v>
      </c>
      <c r="I348" s="87"/>
      <c r="J348" s="143"/>
      <c r="K348" s="143"/>
      <c r="L348" s="252"/>
      <c r="M348" s="143"/>
      <c r="N348" s="58"/>
      <c r="O348" s="252"/>
      <c r="P348" s="253"/>
      <c r="Q348" s="252"/>
      <c r="R348" s="253"/>
      <c r="S348" s="252"/>
      <c r="T348" s="253"/>
      <c r="U348" s="296">
        <f>SUM(2920.75, 117930.98)</f>
        <v>120851.73</v>
      </c>
      <c r="V348" s="258"/>
      <c r="W348" s="624"/>
      <c r="X348" s="624"/>
      <c r="Y348" s="258"/>
      <c r="Z348" s="58"/>
      <c r="AA348" s="336"/>
      <c r="AB348" s="258"/>
      <c r="AC348" s="258"/>
      <c r="AD348" s="258"/>
      <c r="AE348" s="258"/>
      <c r="AF348" s="20"/>
      <c r="AG348" s="27"/>
      <c r="AH348" s="133">
        <v>42983</v>
      </c>
      <c r="AJ348" s="21"/>
      <c r="AL348" s="21"/>
      <c r="AM348" s="193"/>
      <c r="AN348" s="143"/>
      <c r="AO348" s="34"/>
      <c r="AP348" s="277"/>
    </row>
    <row r="349" spans="3:42" ht="17.25" customHeight="1">
      <c r="C349" s="8" t="s">
        <v>238</v>
      </c>
      <c r="D349" s="2"/>
      <c r="E349" s="20" t="s">
        <v>1646</v>
      </c>
      <c r="F349" s="21"/>
      <c r="H349" s="307">
        <f t="shared" si="31"/>
        <v>67534.94</v>
      </c>
      <c r="I349" s="87"/>
      <c r="J349" s="143"/>
      <c r="K349" s="143"/>
      <c r="L349" s="58"/>
      <c r="M349" s="143"/>
      <c r="N349" s="252"/>
      <c r="O349" s="58"/>
      <c r="P349" s="45"/>
      <c r="Q349" s="58"/>
      <c r="R349" s="45"/>
      <c r="S349" s="58"/>
      <c r="U349" s="258">
        <v>67534.94</v>
      </c>
      <c r="V349" s="258"/>
      <c r="W349" s="624"/>
      <c r="X349" s="624"/>
      <c r="Y349" s="258"/>
      <c r="Z349" s="58"/>
      <c r="AA349" s="336"/>
      <c r="AB349" s="258"/>
      <c r="AC349" s="258"/>
      <c r="AD349" s="258"/>
      <c r="AE349" s="258"/>
      <c r="AF349" s="20"/>
      <c r="AG349" s="27"/>
      <c r="AH349" s="133">
        <v>43111</v>
      </c>
      <c r="AJ349" s="21"/>
      <c r="AL349" s="21"/>
      <c r="AM349" s="193"/>
      <c r="AN349" s="143"/>
      <c r="AO349" s="34"/>
      <c r="AP349" s="277"/>
    </row>
    <row r="350" spans="3:42" ht="17.25" customHeight="1">
      <c r="C350" s="8" t="s">
        <v>238</v>
      </c>
      <c r="D350" s="2"/>
      <c r="E350" s="20" t="s">
        <v>1647</v>
      </c>
      <c r="F350" s="21"/>
      <c r="H350" s="307">
        <f t="shared" si="31"/>
        <v>2000</v>
      </c>
      <c r="I350" s="87"/>
      <c r="J350" s="143"/>
      <c r="K350" s="143"/>
      <c r="L350" s="143"/>
      <c r="M350" s="143"/>
      <c r="N350" s="252"/>
      <c r="O350" s="252"/>
      <c r="P350" s="253"/>
      <c r="Q350" s="252"/>
      <c r="R350" s="253"/>
      <c r="S350" s="252"/>
      <c r="T350" s="253"/>
      <c r="U350" s="296">
        <v>2000</v>
      </c>
      <c r="V350" s="258"/>
      <c r="W350" s="624"/>
      <c r="X350" s="624"/>
      <c r="Y350" s="258"/>
      <c r="Z350" s="58"/>
      <c r="AA350" s="336"/>
      <c r="AB350" s="258"/>
      <c r="AC350" s="258"/>
      <c r="AD350" s="258"/>
      <c r="AE350" s="258"/>
      <c r="AF350" s="20"/>
      <c r="AG350" s="27"/>
      <c r="AH350" s="133">
        <v>43048</v>
      </c>
      <c r="AJ350" s="21"/>
      <c r="AL350" s="21"/>
      <c r="AM350" s="193"/>
      <c r="AN350" s="143"/>
      <c r="AO350" s="34"/>
      <c r="AP350" s="277"/>
    </row>
    <row r="351" spans="3:42" ht="17.25" customHeight="1">
      <c r="C351" s="8" t="s">
        <v>238</v>
      </c>
      <c r="D351" s="2"/>
      <c r="E351" s="20" t="s">
        <v>1648</v>
      </c>
      <c r="F351" s="21"/>
      <c r="H351" s="307">
        <f t="shared" si="31"/>
        <v>123558.94</v>
      </c>
      <c r="I351" s="87"/>
      <c r="J351" s="143"/>
      <c r="K351" s="143"/>
      <c r="L351" s="143"/>
      <c r="M351" s="143"/>
      <c r="N351" s="58"/>
      <c r="O351" s="58"/>
      <c r="P351" s="45"/>
      <c r="Q351" s="58"/>
      <c r="R351" s="45"/>
      <c r="S351" s="58"/>
      <c r="U351" s="258">
        <v>123558.94</v>
      </c>
      <c r="V351" s="258"/>
      <c r="W351" s="624"/>
      <c r="X351" s="624"/>
      <c r="Y351" s="258"/>
      <c r="Z351" s="58"/>
      <c r="AA351" s="336"/>
      <c r="AB351" s="258"/>
      <c r="AC351" s="258"/>
      <c r="AD351" s="258"/>
      <c r="AE351" s="258"/>
      <c r="AF351" s="20"/>
      <c r="AG351" s="27">
        <v>42588</v>
      </c>
      <c r="AH351" s="133">
        <v>43280</v>
      </c>
      <c r="AI351" s="48">
        <f t="shared" si="32"/>
        <v>22</v>
      </c>
      <c r="AJ351" s="21"/>
      <c r="AL351" s="21"/>
      <c r="AM351" s="193"/>
      <c r="AN351" s="143"/>
      <c r="AO351" s="34"/>
      <c r="AP351" s="277"/>
    </row>
    <row r="352" spans="3:42" ht="17.25" customHeight="1">
      <c r="C352" s="8" t="s">
        <v>238</v>
      </c>
      <c r="D352" s="2"/>
      <c r="E352" s="20" t="s">
        <v>1649</v>
      </c>
      <c r="F352" s="21"/>
      <c r="H352" s="307">
        <f t="shared" si="31"/>
        <v>15000</v>
      </c>
      <c r="I352" s="87"/>
      <c r="J352" s="143"/>
      <c r="K352" s="143"/>
      <c r="L352" s="143"/>
      <c r="M352" s="143"/>
      <c r="N352" s="252"/>
      <c r="O352" s="252"/>
      <c r="P352" s="253"/>
      <c r="Q352" s="252"/>
      <c r="R352" s="253"/>
      <c r="S352" s="252"/>
      <c r="T352" s="253"/>
      <c r="U352" s="296">
        <v>15000</v>
      </c>
      <c r="V352" s="258"/>
      <c r="W352" s="624"/>
      <c r="X352" s="624"/>
      <c r="Y352" s="258"/>
      <c r="Z352" s="58"/>
      <c r="AA352" s="336"/>
      <c r="AB352" s="258"/>
      <c r="AC352" s="258"/>
      <c r="AD352" s="258"/>
      <c r="AE352" s="258"/>
      <c r="AF352" s="20"/>
      <c r="AG352" s="27">
        <v>43133</v>
      </c>
      <c r="AH352" s="133">
        <v>43231</v>
      </c>
      <c r="AI352" s="48">
        <f>(YEAR(AH352)-YEAR(AG352))*12+MONTH(AH352)-MONTH(AG352)</f>
        <v>3</v>
      </c>
      <c r="AJ352" s="21"/>
      <c r="AL352" s="21" t="s">
        <v>1650</v>
      </c>
      <c r="AM352" s="193">
        <v>8048878758</v>
      </c>
      <c r="AN352" s="143" t="s">
        <v>1651</v>
      </c>
      <c r="AO352" s="34"/>
      <c r="AP352" s="277"/>
    </row>
    <row r="353" spans="3:42" ht="17.25" customHeight="1">
      <c r="C353" s="196" t="s">
        <v>238</v>
      </c>
      <c r="D353" s="2"/>
      <c r="E353" s="255" t="s">
        <v>1652</v>
      </c>
      <c r="F353" s="21"/>
      <c r="H353" s="307">
        <f t="shared" si="31"/>
        <v>48611.78</v>
      </c>
      <c r="I353" s="87"/>
      <c r="J353" s="143"/>
      <c r="K353" s="143"/>
      <c r="L353" s="143"/>
      <c r="M353" s="143"/>
      <c r="N353" s="58"/>
      <c r="O353" s="58"/>
      <c r="P353" s="45"/>
      <c r="Q353" s="58"/>
      <c r="R353" s="45"/>
      <c r="S353" s="58"/>
      <c r="U353" s="258">
        <v>48611.78</v>
      </c>
      <c r="V353" s="258"/>
      <c r="W353" s="624"/>
      <c r="X353" s="624"/>
      <c r="Y353" s="258"/>
      <c r="Z353" s="58"/>
      <c r="AA353" s="336"/>
      <c r="AB353" s="258"/>
      <c r="AC353" s="258"/>
      <c r="AD353" s="258"/>
      <c r="AE353" s="258"/>
      <c r="AF353" s="20"/>
      <c r="AG353" s="27"/>
      <c r="AH353" s="133">
        <v>43171</v>
      </c>
      <c r="AJ353" s="21"/>
      <c r="AL353" s="21"/>
      <c r="AM353" s="193"/>
      <c r="AN353" s="143"/>
      <c r="AO353" s="34"/>
      <c r="AP353" s="277"/>
    </row>
    <row r="354" spans="3:42" ht="17.25" customHeight="1">
      <c r="C354" s="8" t="s">
        <v>238</v>
      </c>
      <c r="D354" s="2"/>
      <c r="E354" s="255" t="s">
        <v>1653</v>
      </c>
      <c r="F354" s="21"/>
      <c r="H354" s="307">
        <f t="shared" si="31"/>
        <v>23.61</v>
      </c>
      <c r="I354" s="87"/>
      <c r="J354" s="143"/>
      <c r="K354" s="143"/>
      <c r="L354" s="143"/>
      <c r="M354" s="143"/>
      <c r="N354" s="252"/>
      <c r="O354" s="260"/>
      <c r="P354" s="261"/>
      <c r="Q354" s="260"/>
      <c r="R354" s="261"/>
      <c r="S354" s="260"/>
      <c r="T354" s="261"/>
      <c r="U354" s="296">
        <v>23.61</v>
      </c>
      <c r="V354" s="258"/>
      <c r="W354" s="624"/>
      <c r="X354" s="624"/>
      <c r="Y354" s="258"/>
      <c r="Z354" s="58"/>
      <c r="AA354" s="336"/>
      <c r="AB354" s="258"/>
      <c r="AC354" s="258"/>
      <c r="AD354" s="258"/>
      <c r="AE354" s="258"/>
      <c r="AF354" s="20"/>
      <c r="AG354" s="27"/>
      <c r="AH354" s="133">
        <v>43195</v>
      </c>
      <c r="AJ354" s="21"/>
      <c r="AL354" s="21"/>
      <c r="AM354" s="193"/>
      <c r="AN354" s="143"/>
      <c r="AO354" s="34"/>
      <c r="AP354" s="277"/>
    </row>
    <row r="355" spans="3:42" ht="17.25" customHeight="1" thickBot="1">
      <c r="C355" s="97" t="s">
        <v>1654</v>
      </c>
      <c r="D355" s="97"/>
      <c r="E355" s="97"/>
      <c r="F355" s="98"/>
      <c r="G355" s="191"/>
      <c r="H355" s="191"/>
      <c r="I355" s="82"/>
      <c r="J355" s="191"/>
      <c r="K355" s="191"/>
      <c r="L355" s="191"/>
      <c r="M355" s="191"/>
      <c r="N355" s="191"/>
      <c r="O355" s="191"/>
      <c r="P355" s="191"/>
      <c r="Q355" s="191"/>
      <c r="R355" s="191"/>
      <c r="S355" s="191"/>
      <c r="T355" s="99"/>
      <c r="U355" s="99"/>
      <c r="V355" s="99"/>
      <c r="W355" s="98"/>
      <c r="X355" s="98"/>
      <c r="Y355" s="98"/>
      <c r="Z355" s="98"/>
      <c r="AA355" s="98"/>
      <c r="AB355" s="343"/>
      <c r="AC355" s="98"/>
      <c r="AD355" s="98"/>
      <c r="AE355" s="98"/>
      <c r="AF355" s="98"/>
      <c r="AG355" s="98"/>
      <c r="AH355" s="98"/>
      <c r="AI355" s="298"/>
      <c r="AJ355" s="98"/>
      <c r="AK355" s="98"/>
      <c r="AL355" s="98"/>
      <c r="AM355" s="82"/>
      <c r="AN355" s="98"/>
      <c r="AO355" s="98"/>
      <c r="AP355" s="280"/>
    </row>
    <row r="356" spans="3:42" ht="17.25" customHeight="1">
      <c r="C356" s="8" t="s">
        <v>238</v>
      </c>
      <c r="D356" s="2"/>
      <c r="E356" s="255" t="s">
        <v>1655</v>
      </c>
      <c r="F356" s="21"/>
      <c r="H356" s="294">
        <f t="shared" si="31"/>
        <v>4130.53</v>
      </c>
      <c r="I356" s="87"/>
      <c r="J356" s="143"/>
      <c r="K356" s="143"/>
      <c r="L356" s="143"/>
      <c r="M356" s="143"/>
      <c r="N356" s="58"/>
      <c r="O356" s="45"/>
      <c r="P356" s="58"/>
      <c r="Q356" s="252"/>
      <c r="R356" s="45"/>
      <c r="S356" s="58"/>
      <c r="T356" s="252">
        <v>4130.53</v>
      </c>
      <c r="V356" s="295"/>
      <c r="W356" s="624"/>
      <c r="X356" s="624"/>
      <c r="Y356" s="295"/>
      <c r="Z356" s="58"/>
      <c r="AA356" s="336"/>
      <c r="AB356" s="258"/>
      <c r="AC356" s="258"/>
      <c r="AD356" s="258"/>
      <c r="AE356" s="258"/>
      <c r="AF356" s="20"/>
      <c r="AG356" s="27"/>
      <c r="AH356" s="133">
        <v>42822</v>
      </c>
      <c r="AI356" s="10"/>
      <c r="AJ356" s="21"/>
      <c r="AL356" s="21"/>
      <c r="AM356" s="193"/>
      <c r="AN356" s="143"/>
      <c r="AO356" s="217"/>
      <c r="AP356" s="143"/>
    </row>
    <row r="357" spans="3:42" ht="17.25" customHeight="1">
      <c r="C357" s="8" t="s">
        <v>238</v>
      </c>
      <c r="D357" s="2"/>
      <c r="E357" s="20" t="s">
        <v>1656</v>
      </c>
      <c r="F357" s="21"/>
      <c r="H357" s="289">
        <f t="shared" si="31"/>
        <v>10000</v>
      </c>
      <c r="I357" s="87"/>
      <c r="J357" s="143"/>
      <c r="K357" s="143"/>
      <c r="L357" s="143"/>
      <c r="M357" s="143"/>
      <c r="N357" s="252"/>
      <c r="O357" s="253"/>
      <c r="P357" s="252"/>
      <c r="Q357" s="58"/>
      <c r="R357" s="253"/>
      <c r="S357" s="252"/>
      <c r="T357" s="58">
        <v>10000</v>
      </c>
      <c r="U357" s="253"/>
      <c r="V357" s="258"/>
      <c r="W357" s="624"/>
      <c r="X357" s="624"/>
      <c r="Y357" s="258"/>
      <c r="Z357" s="58"/>
      <c r="AA357" s="336"/>
      <c r="AB357" s="258"/>
      <c r="AC357" s="258"/>
      <c r="AD357" s="258"/>
      <c r="AE357" s="258"/>
      <c r="AF357" s="20"/>
      <c r="AG357" s="27"/>
      <c r="AH357" s="133">
        <v>42689</v>
      </c>
      <c r="AI357" s="10"/>
      <c r="AJ357" s="21"/>
      <c r="AL357" s="21"/>
      <c r="AM357" s="193"/>
      <c r="AN357" s="143"/>
      <c r="AO357" s="217"/>
      <c r="AP357" s="143"/>
    </row>
    <row r="358" spans="3:42" ht="17.25" customHeight="1">
      <c r="C358" s="8" t="s">
        <v>238</v>
      </c>
      <c r="D358" s="2"/>
      <c r="E358" s="20" t="s">
        <v>1657</v>
      </c>
      <c r="F358" s="21"/>
      <c r="H358" s="289">
        <f t="shared" si="31"/>
        <v>10955.769999999999</v>
      </c>
      <c r="I358" s="87"/>
      <c r="J358" s="143"/>
      <c r="K358" s="143"/>
      <c r="L358" s="252"/>
      <c r="M358" s="143"/>
      <c r="N358" s="58"/>
      <c r="O358" s="45"/>
      <c r="P358" s="58"/>
      <c r="Q358" s="252"/>
      <c r="R358" s="45"/>
      <c r="S358" s="58"/>
      <c r="T358" s="252">
        <f>SUM(237.14, 10718.63)</f>
        <v>10955.769999999999</v>
      </c>
      <c r="V358" s="258"/>
      <c r="W358" s="624"/>
      <c r="X358" s="624"/>
      <c r="Y358" s="258"/>
      <c r="Z358" s="58"/>
      <c r="AA358" s="336"/>
      <c r="AB358" s="258"/>
      <c r="AC358" s="258"/>
      <c r="AD358" s="258"/>
      <c r="AE358" s="258"/>
      <c r="AF358" s="20"/>
      <c r="AG358" s="27"/>
      <c r="AH358" s="133">
        <v>42800</v>
      </c>
      <c r="AI358" s="10"/>
      <c r="AJ358" s="21"/>
      <c r="AL358" s="21"/>
      <c r="AM358" s="193"/>
      <c r="AN358" s="143"/>
      <c r="AO358" s="217"/>
      <c r="AP358" s="143"/>
    </row>
    <row r="359" spans="3:42" ht="17.25" customHeight="1">
      <c r="C359" s="8" t="s">
        <v>238</v>
      </c>
      <c r="D359" s="2"/>
      <c r="E359" s="20" t="s">
        <v>1658</v>
      </c>
      <c r="F359" s="21"/>
      <c r="H359" s="289">
        <f t="shared" si="31"/>
        <v>16661.550000000003</v>
      </c>
      <c r="I359" s="87"/>
      <c r="J359" s="143"/>
      <c r="K359" s="143"/>
      <c r="L359" s="58"/>
      <c r="M359" s="143"/>
      <c r="N359" s="252"/>
      <c r="O359" s="253"/>
      <c r="P359" s="252"/>
      <c r="Q359" s="252"/>
      <c r="R359" s="253"/>
      <c r="S359" s="252"/>
      <c r="T359" s="58">
        <f>SUM(5596.42, 7163.27, 2102.87, 1785.24, 13.75)</f>
        <v>16661.550000000003</v>
      </c>
      <c r="U359" s="253"/>
      <c r="V359" s="258"/>
      <c r="W359" s="624"/>
      <c r="X359" s="624"/>
      <c r="Y359" s="258"/>
      <c r="Z359" s="58"/>
      <c r="AA359" s="336"/>
      <c r="AB359" s="258"/>
      <c r="AC359" s="258"/>
      <c r="AD359" s="258"/>
      <c r="AE359" s="258"/>
      <c r="AF359" s="20"/>
      <c r="AG359" s="27"/>
      <c r="AH359" s="133">
        <v>42829</v>
      </c>
      <c r="AI359" s="10"/>
      <c r="AJ359" s="21"/>
      <c r="AL359" s="21"/>
      <c r="AM359" s="193"/>
      <c r="AN359" s="143"/>
      <c r="AO359" s="217"/>
      <c r="AP359" s="143"/>
    </row>
    <row r="360" spans="3:42" ht="17.25" customHeight="1">
      <c r="C360" s="8" t="s">
        <v>238</v>
      </c>
      <c r="D360" s="2"/>
      <c r="E360" s="20" t="s">
        <v>1659</v>
      </c>
      <c r="F360" s="21"/>
      <c r="H360" s="289">
        <f t="shared" si="31"/>
        <v>6000</v>
      </c>
      <c r="I360" s="87"/>
      <c r="J360" s="143"/>
      <c r="K360" s="143"/>
      <c r="L360" s="252"/>
      <c r="M360" s="143"/>
      <c r="N360" s="58"/>
      <c r="O360" s="45"/>
      <c r="P360" s="58"/>
      <c r="Q360" s="58"/>
      <c r="R360" s="45"/>
      <c r="S360" s="58"/>
      <c r="T360" s="252">
        <v>6000</v>
      </c>
      <c r="V360" s="258"/>
      <c r="W360" s="624"/>
      <c r="X360" s="624"/>
      <c r="Y360" s="258"/>
      <c r="Z360" s="58"/>
      <c r="AA360" s="336"/>
      <c r="AB360" s="258"/>
      <c r="AC360" s="258"/>
      <c r="AD360" s="258"/>
      <c r="AE360" s="258"/>
      <c r="AF360" s="20"/>
      <c r="AG360" s="27"/>
      <c r="AH360" s="133">
        <v>42745</v>
      </c>
      <c r="AI360" s="10"/>
      <c r="AJ360" s="21"/>
      <c r="AL360" s="21"/>
      <c r="AM360" s="193"/>
      <c r="AN360" s="143"/>
      <c r="AO360" s="217"/>
      <c r="AP360" s="143"/>
    </row>
    <row r="361" spans="3:42" ht="17.25" customHeight="1">
      <c r="C361" s="8" t="s">
        <v>238</v>
      </c>
      <c r="D361" s="2"/>
      <c r="E361" s="20" t="s">
        <v>1660</v>
      </c>
      <c r="F361" s="21"/>
      <c r="H361" s="289">
        <f t="shared" si="31"/>
        <v>1000</v>
      </c>
      <c r="I361" s="87"/>
      <c r="J361" s="143"/>
      <c r="K361" s="143"/>
      <c r="L361" s="58"/>
      <c r="M361" s="143"/>
      <c r="N361" s="252"/>
      <c r="O361" s="253"/>
      <c r="P361" s="252"/>
      <c r="Q361" s="58"/>
      <c r="R361" s="253"/>
      <c r="S361" s="252"/>
      <c r="T361" s="252">
        <v>1000</v>
      </c>
      <c r="U361" s="253"/>
      <c r="V361" s="258"/>
      <c r="W361" s="624"/>
      <c r="X361" s="624"/>
      <c r="Y361" s="258"/>
      <c r="Z361" s="58"/>
      <c r="AA361" s="336"/>
      <c r="AB361" s="258"/>
      <c r="AC361" s="258"/>
      <c r="AD361" s="258"/>
      <c r="AE361" s="258"/>
      <c r="AF361" s="20"/>
      <c r="AG361" s="27"/>
      <c r="AH361" s="133">
        <v>42916</v>
      </c>
      <c r="AI361" s="10"/>
      <c r="AJ361" s="21"/>
      <c r="AL361" s="21"/>
      <c r="AM361" s="193"/>
      <c r="AN361" s="143"/>
      <c r="AO361" s="217"/>
      <c r="AP361" s="143"/>
    </row>
    <row r="362" spans="3:42" ht="17.25" customHeight="1">
      <c r="C362" s="8" t="s">
        <v>238</v>
      </c>
      <c r="D362" s="2"/>
      <c r="E362" s="20" t="s">
        <v>1661</v>
      </c>
      <c r="F362" s="21"/>
      <c r="H362" s="289">
        <f t="shared" si="31"/>
        <v>357774</v>
      </c>
      <c r="I362" s="87"/>
      <c r="J362" s="143"/>
      <c r="K362" s="143"/>
      <c r="L362" s="252"/>
      <c r="M362" s="143"/>
      <c r="N362" s="252"/>
      <c r="O362" s="253"/>
      <c r="P362" s="252"/>
      <c r="Q362" s="252"/>
      <c r="R362" s="253"/>
      <c r="S362" s="252"/>
      <c r="T362" s="58">
        <v>357774</v>
      </c>
      <c r="U362" s="253"/>
      <c r="V362" s="258"/>
      <c r="W362" s="624"/>
      <c r="X362" s="624"/>
      <c r="Y362" s="258"/>
      <c r="Z362" s="58"/>
      <c r="AA362" s="336"/>
      <c r="AB362" s="258"/>
      <c r="AC362" s="258"/>
      <c r="AD362" s="258"/>
      <c r="AE362" s="258"/>
      <c r="AF362" s="20"/>
      <c r="AG362" s="27"/>
      <c r="AH362" s="133">
        <v>42622</v>
      </c>
      <c r="AI362" s="10"/>
      <c r="AJ362" s="21"/>
      <c r="AL362" s="21"/>
      <c r="AM362" s="193"/>
      <c r="AN362" s="143"/>
      <c r="AO362" s="217"/>
      <c r="AP362" s="143"/>
    </row>
    <row r="363" spans="3:42" ht="17.25" customHeight="1">
      <c r="C363" s="8" t="s">
        <v>238</v>
      </c>
      <c r="D363" s="2"/>
      <c r="E363" s="20" t="s">
        <v>1662</v>
      </c>
      <c r="F363" s="21"/>
      <c r="H363" s="289">
        <f t="shared" ref="H363:H426" si="34">SUM(I363:U363)</f>
        <v>61126.810000000005</v>
      </c>
      <c r="I363" s="87"/>
      <c r="J363" s="143"/>
      <c r="K363" s="143"/>
      <c r="L363" s="252">
        <v>51343.3</v>
      </c>
      <c r="M363" s="143"/>
      <c r="N363" s="58"/>
      <c r="O363" s="45"/>
      <c r="P363" s="58"/>
      <c r="Q363" s="58"/>
      <c r="R363" s="45"/>
      <c r="S363" s="58"/>
      <c r="T363" s="252">
        <v>9783.51</v>
      </c>
      <c r="V363" s="258"/>
      <c r="W363" s="624"/>
      <c r="X363" s="624"/>
      <c r="Y363" s="258"/>
      <c r="Z363" s="58"/>
      <c r="AA363" s="336"/>
      <c r="AB363" s="258"/>
      <c r="AC363" s="258"/>
      <c r="AD363" s="258"/>
      <c r="AE363" s="258"/>
      <c r="AF363" s="20"/>
      <c r="AG363" s="27"/>
      <c r="AH363" s="133">
        <v>42657</v>
      </c>
      <c r="AI363" s="10"/>
      <c r="AJ363" s="21"/>
      <c r="AL363" s="21"/>
      <c r="AM363" s="193"/>
      <c r="AN363" s="143"/>
      <c r="AO363" s="217"/>
      <c r="AP363" s="143"/>
    </row>
    <row r="364" spans="3:42" ht="17.25" customHeight="1">
      <c r="C364" s="8" t="s">
        <v>238</v>
      </c>
      <c r="D364" s="2"/>
      <c r="E364" s="20" t="s">
        <v>1663</v>
      </c>
      <c r="F364" s="21"/>
      <c r="H364" s="289">
        <f t="shared" si="34"/>
        <v>5000</v>
      </c>
      <c r="I364" s="87"/>
      <c r="J364" s="143"/>
      <c r="K364" s="143"/>
      <c r="L364" s="58"/>
      <c r="M364" s="143"/>
      <c r="N364" s="58"/>
      <c r="O364" s="45"/>
      <c r="P364" s="58"/>
      <c r="Q364" s="252"/>
      <c r="R364" s="45"/>
      <c r="S364" s="58"/>
      <c r="T364" s="58">
        <v>5000</v>
      </c>
      <c r="V364" s="258"/>
      <c r="W364" s="624"/>
      <c r="X364" s="624"/>
      <c r="Y364" s="258"/>
      <c r="Z364" s="58"/>
      <c r="AA364" s="336"/>
      <c r="AB364" s="258"/>
      <c r="AC364" s="258"/>
      <c r="AD364" s="258"/>
      <c r="AE364" s="258"/>
      <c r="AF364" s="20"/>
      <c r="AG364" s="27"/>
      <c r="AH364" s="133">
        <v>42754</v>
      </c>
      <c r="AI364" s="10"/>
      <c r="AJ364" s="21"/>
      <c r="AL364" s="21"/>
      <c r="AM364" s="193"/>
      <c r="AN364" s="143"/>
      <c r="AO364" s="217"/>
      <c r="AP364" s="143"/>
    </row>
    <row r="365" spans="3:42" ht="17.25" customHeight="1">
      <c r="C365" s="8" t="s">
        <v>238</v>
      </c>
      <c r="D365" s="2"/>
      <c r="E365" s="20" t="s">
        <v>1664</v>
      </c>
      <c r="F365" s="21"/>
      <c r="H365" s="289">
        <f t="shared" si="34"/>
        <v>30768.880000000001</v>
      </c>
      <c r="I365" s="87"/>
      <c r="J365" s="143"/>
      <c r="K365" s="143"/>
      <c r="L365" s="252"/>
      <c r="M365" s="143"/>
      <c r="N365" s="252"/>
      <c r="O365" s="253"/>
      <c r="P365" s="252"/>
      <c r="Q365" s="58"/>
      <c r="R365" s="253"/>
      <c r="S365" s="252"/>
      <c r="T365" s="252">
        <v>30768.880000000001</v>
      </c>
      <c r="U365" s="253"/>
      <c r="V365" s="258"/>
      <c r="W365" s="624"/>
      <c r="X365" s="624"/>
      <c r="Y365" s="258"/>
      <c r="Z365" s="58"/>
      <c r="AA365" s="336"/>
      <c r="AB365" s="258"/>
      <c r="AC365" s="258"/>
      <c r="AD365" s="258"/>
      <c r="AE365" s="258"/>
      <c r="AF365" s="20"/>
      <c r="AG365" s="27">
        <v>42059</v>
      </c>
      <c r="AH365" s="133">
        <v>42667</v>
      </c>
      <c r="AI365" s="10">
        <f>(YEAR(AH365)-YEAR(AG365))*12+MONTH(AH365)-MONTH(AG365)</f>
        <v>20</v>
      </c>
      <c r="AJ365" s="21"/>
      <c r="AL365" s="21"/>
      <c r="AM365" s="193"/>
      <c r="AN365" s="143"/>
      <c r="AO365" s="217"/>
      <c r="AP365" s="143"/>
    </row>
    <row r="366" spans="3:42" ht="17.25" customHeight="1">
      <c r="C366" s="8" t="s">
        <v>238</v>
      </c>
      <c r="D366" s="2"/>
      <c r="E366" s="20" t="s">
        <v>1665</v>
      </c>
      <c r="F366" s="21"/>
      <c r="H366" s="289">
        <f t="shared" si="34"/>
        <v>37867.699999999997</v>
      </c>
      <c r="I366" s="87"/>
      <c r="J366" s="143"/>
      <c r="K366" s="143"/>
      <c r="L366" s="58"/>
      <c r="M366" s="143"/>
      <c r="N366" s="58"/>
      <c r="O366" s="45"/>
      <c r="P366" s="58"/>
      <c r="Q366" s="252"/>
      <c r="R366" s="45"/>
      <c r="S366" s="58"/>
      <c r="T366" s="58">
        <v>37867.699999999997</v>
      </c>
      <c r="V366" s="258"/>
      <c r="W366" s="624"/>
      <c r="X366" s="624"/>
      <c r="Y366" s="258"/>
      <c r="Z366" s="58"/>
      <c r="AA366" s="336"/>
      <c r="AB366" s="258"/>
      <c r="AC366" s="258"/>
      <c r="AD366" s="258"/>
      <c r="AE366" s="258"/>
      <c r="AF366" s="20"/>
      <c r="AG366" s="27"/>
      <c r="AH366" s="133">
        <v>42766</v>
      </c>
      <c r="AI366" s="10"/>
      <c r="AJ366" s="21"/>
      <c r="AL366" s="21"/>
      <c r="AM366" s="193"/>
      <c r="AN366" s="143"/>
      <c r="AO366" s="217"/>
      <c r="AP366" s="143"/>
    </row>
    <row r="367" spans="3:42" ht="17.25" customHeight="1">
      <c r="C367" s="8" t="s">
        <v>238</v>
      </c>
      <c r="D367" s="2"/>
      <c r="E367" s="20" t="s">
        <v>1666</v>
      </c>
      <c r="F367" s="21"/>
      <c r="H367" s="289">
        <f t="shared" si="34"/>
        <v>23240</v>
      </c>
      <c r="I367" s="87"/>
      <c r="J367" s="143"/>
      <c r="K367" s="143"/>
      <c r="L367" s="252"/>
      <c r="M367" s="143"/>
      <c r="N367" s="252"/>
      <c r="O367" s="253"/>
      <c r="P367" s="252"/>
      <c r="Q367" s="252"/>
      <c r="R367" s="253"/>
      <c r="S367" s="252"/>
      <c r="T367" s="252">
        <v>23240</v>
      </c>
      <c r="U367" s="253"/>
      <c r="V367" s="258"/>
      <c r="W367" s="624"/>
      <c r="X367" s="624"/>
      <c r="Y367" s="258"/>
      <c r="Z367" s="58"/>
      <c r="AA367" s="336"/>
      <c r="AB367" s="258"/>
      <c r="AC367" s="258"/>
      <c r="AD367" s="258"/>
      <c r="AE367" s="258"/>
      <c r="AF367" s="20"/>
      <c r="AG367" s="27"/>
      <c r="AH367" s="133">
        <v>42858</v>
      </c>
      <c r="AI367" s="10"/>
      <c r="AJ367" s="21"/>
      <c r="AL367" s="21"/>
      <c r="AM367" s="193"/>
      <c r="AN367" s="143"/>
      <c r="AO367" s="217"/>
      <c r="AP367" s="143"/>
    </row>
    <row r="368" spans="3:42" ht="17.25" customHeight="1">
      <c r="C368" s="8" t="s">
        <v>238</v>
      </c>
      <c r="D368" s="2"/>
      <c r="E368" s="20" t="s">
        <v>1667</v>
      </c>
      <c r="F368" s="21"/>
      <c r="H368" s="289">
        <f t="shared" si="34"/>
        <v>452484.37</v>
      </c>
      <c r="I368" s="87"/>
      <c r="J368" s="143"/>
      <c r="K368" s="143"/>
      <c r="L368" s="252"/>
      <c r="M368" s="143"/>
      <c r="N368" s="58"/>
      <c r="O368" s="45"/>
      <c r="P368" s="58"/>
      <c r="Q368" s="58"/>
      <c r="R368" s="45"/>
      <c r="S368" s="58">
        <v>300000</v>
      </c>
      <c r="T368" s="252">
        <v>152484.37</v>
      </c>
      <c r="V368" s="258"/>
      <c r="W368" s="624"/>
      <c r="X368" s="624"/>
      <c r="Y368" s="258"/>
      <c r="Z368" s="58"/>
      <c r="AA368" s="336"/>
      <c r="AB368" s="258"/>
      <c r="AC368" s="258"/>
      <c r="AD368" s="258"/>
      <c r="AE368" s="258"/>
      <c r="AF368" s="20"/>
      <c r="AG368" s="27"/>
      <c r="AH368" s="133">
        <v>42626</v>
      </c>
      <c r="AI368" s="10"/>
      <c r="AJ368" s="21"/>
      <c r="AL368" s="21"/>
      <c r="AM368" s="193"/>
      <c r="AN368" s="143"/>
      <c r="AO368" s="217"/>
      <c r="AP368" s="143"/>
    </row>
    <row r="369" spans="3:42" ht="17.25" customHeight="1">
      <c r="C369" s="8" t="s">
        <v>238</v>
      </c>
      <c r="D369" s="2"/>
      <c r="E369" s="20" t="s">
        <v>1668</v>
      </c>
      <c r="F369" s="21"/>
      <c r="H369" s="289">
        <f t="shared" si="34"/>
        <v>11346.35</v>
      </c>
      <c r="I369" s="87"/>
      <c r="J369" s="143"/>
      <c r="K369" s="143"/>
      <c r="L369" s="58"/>
      <c r="M369" s="143"/>
      <c r="N369" s="252"/>
      <c r="O369" s="253"/>
      <c r="P369" s="252"/>
      <c r="Q369" s="58"/>
      <c r="R369" s="253"/>
      <c r="S369" s="252"/>
      <c r="T369" s="58">
        <v>11346.35</v>
      </c>
      <c r="U369" s="253"/>
      <c r="V369" s="258"/>
      <c r="W369" s="624"/>
      <c r="X369" s="624"/>
      <c r="Y369" s="258"/>
      <c r="Z369" s="58"/>
      <c r="AA369" s="336"/>
      <c r="AB369" s="258"/>
      <c r="AC369" s="258"/>
      <c r="AD369" s="258"/>
      <c r="AE369" s="258"/>
      <c r="AF369" s="20"/>
      <c r="AG369" s="27"/>
      <c r="AH369" s="133">
        <v>42716</v>
      </c>
      <c r="AI369" s="10"/>
      <c r="AJ369" s="21"/>
      <c r="AL369" s="21"/>
      <c r="AM369" s="193"/>
      <c r="AN369" s="143"/>
      <c r="AO369" s="217"/>
      <c r="AP369" s="143"/>
    </row>
    <row r="370" spans="3:42" ht="17.25" customHeight="1">
      <c r="C370" s="8" t="s">
        <v>238</v>
      </c>
      <c r="D370" s="2"/>
      <c r="E370" s="20" t="s">
        <v>1669</v>
      </c>
      <c r="F370" s="21"/>
      <c r="H370" s="289">
        <f t="shared" si="34"/>
        <v>25000</v>
      </c>
      <c r="I370" s="87"/>
      <c r="J370" s="143"/>
      <c r="K370" s="143"/>
      <c r="L370" s="252"/>
      <c r="M370" s="143"/>
      <c r="N370" s="252"/>
      <c r="O370" s="253"/>
      <c r="P370" s="252"/>
      <c r="Q370" s="252"/>
      <c r="R370" s="253"/>
      <c r="S370" s="252"/>
      <c r="T370" s="252">
        <v>25000</v>
      </c>
      <c r="U370" s="253"/>
      <c r="V370" s="258"/>
      <c r="W370" s="624"/>
      <c r="X370" s="624"/>
      <c r="Y370" s="258"/>
      <c r="Z370" s="58"/>
      <c r="AA370" s="336"/>
      <c r="AB370" s="258"/>
      <c r="AC370" s="258"/>
      <c r="AD370" s="258"/>
      <c r="AE370" s="258"/>
      <c r="AF370" s="20"/>
      <c r="AG370" s="27"/>
      <c r="AH370" s="133">
        <v>42597</v>
      </c>
      <c r="AI370" s="10"/>
      <c r="AJ370" s="21"/>
      <c r="AL370" s="21"/>
      <c r="AM370" s="193"/>
      <c r="AN370" s="143"/>
      <c r="AO370" s="217"/>
      <c r="AP370" s="143"/>
    </row>
    <row r="371" spans="3:42" ht="17.25" customHeight="1">
      <c r="C371" s="8" t="s">
        <v>238</v>
      </c>
      <c r="D371" s="2"/>
      <c r="E371" s="20" t="s">
        <v>1670</v>
      </c>
      <c r="F371" s="21"/>
      <c r="H371" s="289">
        <f t="shared" si="34"/>
        <v>2122.1799999999998</v>
      </c>
      <c r="I371" s="87"/>
      <c r="J371" s="143"/>
      <c r="K371" s="143"/>
      <c r="L371" s="58"/>
      <c r="M371" s="143"/>
      <c r="N371" s="58"/>
      <c r="O371" s="45"/>
      <c r="P371" s="58"/>
      <c r="Q371" s="58"/>
      <c r="R371" s="45"/>
      <c r="S371" s="58"/>
      <c r="T371" s="58">
        <v>2122.1799999999998</v>
      </c>
      <c r="V371" s="258"/>
      <c r="W371" s="624"/>
      <c r="X371" s="624"/>
      <c r="Y371" s="258"/>
      <c r="Z371" s="58"/>
      <c r="AA371" s="336"/>
      <c r="AB371" s="258"/>
      <c r="AC371" s="258"/>
      <c r="AD371" s="258"/>
      <c r="AE371" s="258"/>
      <c r="AF371" s="20"/>
      <c r="AG371" s="27">
        <v>41894</v>
      </c>
      <c r="AH371" s="133">
        <v>42590</v>
      </c>
      <c r="AI371" s="10">
        <f t="shared" ref="AI371:AI429" si="35">(YEAR(AH371)-YEAR(AG371))*12+MONTH(AH371)-MONTH(AG371)</f>
        <v>23</v>
      </c>
      <c r="AJ371" s="21"/>
      <c r="AL371" s="21"/>
      <c r="AM371" s="193"/>
      <c r="AN371" s="143"/>
      <c r="AO371" s="217"/>
      <c r="AP371" s="143"/>
    </row>
    <row r="372" spans="3:42" ht="17.25" customHeight="1">
      <c r="C372" s="8" t="s">
        <v>238</v>
      </c>
      <c r="D372" s="2"/>
      <c r="E372" s="20" t="s">
        <v>1671</v>
      </c>
      <c r="F372" s="21"/>
      <c r="H372" s="289">
        <f t="shared" si="34"/>
        <v>166216.23000000001</v>
      </c>
      <c r="I372" s="87"/>
      <c r="J372" s="143"/>
      <c r="K372" s="143"/>
      <c r="L372" s="252"/>
      <c r="M372" s="143"/>
      <c r="N372" s="58"/>
      <c r="O372" s="45"/>
      <c r="P372" s="58"/>
      <c r="Q372" s="252"/>
      <c r="R372" s="45">
        <f>SUM(164093.01, 1161.66)</f>
        <v>165254.67000000001</v>
      </c>
      <c r="S372" s="58"/>
      <c r="T372" s="252">
        <f>SUM(549.68, 411.88)</f>
        <v>961.56</v>
      </c>
      <c r="V372" s="258"/>
      <c r="W372" s="624"/>
      <c r="X372" s="624"/>
      <c r="Y372" s="258"/>
      <c r="Z372" s="58"/>
      <c r="AA372" s="336"/>
      <c r="AB372" s="258"/>
      <c r="AC372" s="258"/>
      <c r="AD372" s="258"/>
      <c r="AE372" s="258"/>
      <c r="AF372" s="20"/>
      <c r="AG372" s="27"/>
      <c r="AH372" s="133">
        <v>42807</v>
      </c>
      <c r="AI372" s="10"/>
      <c r="AJ372" s="21"/>
      <c r="AL372" s="21"/>
      <c r="AM372" s="193"/>
      <c r="AN372" s="143"/>
      <c r="AO372" s="217"/>
      <c r="AP372" s="143"/>
    </row>
    <row r="373" spans="3:42" ht="17.25" customHeight="1">
      <c r="C373" s="8" t="s">
        <v>238</v>
      </c>
      <c r="D373" s="2"/>
      <c r="E373" s="20" t="s">
        <v>1672</v>
      </c>
      <c r="F373" s="21"/>
      <c r="H373" s="289">
        <f t="shared" si="34"/>
        <v>5000</v>
      </c>
      <c r="I373" s="87"/>
      <c r="J373" s="143"/>
      <c r="K373" s="143"/>
      <c r="L373" s="252"/>
      <c r="M373" s="143"/>
      <c r="N373" s="252"/>
      <c r="O373" s="253"/>
      <c r="P373" s="252"/>
      <c r="Q373" s="58"/>
      <c r="R373" s="253"/>
      <c r="S373" s="252"/>
      <c r="T373" s="252">
        <v>5000</v>
      </c>
      <c r="U373" s="253"/>
      <c r="V373" s="258"/>
      <c r="W373" s="624"/>
      <c r="X373" s="624"/>
      <c r="Y373" s="258"/>
      <c r="Z373" s="58"/>
      <c r="AA373" s="336"/>
      <c r="AB373" s="258"/>
      <c r="AC373" s="258"/>
      <c r="AD373" s="258"/>
      <c r="AE373" s="258"/>
      <c r="AF373" s="20"/>
      <c r="AG373" s="27"/>
      <c r="AH373" s="133">
        <v>42688</v>
      </c>
      <c r="AI373" s="10"/>
      <c r="AJ373" s="21"/>
      <c r="AL373" s="21"/>
      <c r="AM373" s="193"/>
      <c r="AN373" s="143"/>
      <c r="AO373" s="217"/>
      <c r="AP373" s="143"/>
    </row>
    <row r="374" spans="3:42" ht="17.25" customHeight="1">
      <c r="C374" s="8" t="s">
        <v>238</v>
      </c>
      <c r="D374" s="2"/>
      <c r="E374" s="20" t="s">
        <v>1673</v>
      </c>
      <c r="F374" s="21"/>
      <c r="H374" s="289">
        <f t="shared" si="34"/>
        <v>28920</v>
      </c>
      <c r="I374" s="87"/>
      <c r="J374" s="143"/>
      <c r="K374" s="143"/>
      <c r="L374" s="58"/>
      <c r="M374" s="143"/>
      <c r="N374" s="58"/>
      <c r="O374" s="45"/>
      <c r="P374" s="58"/>
      <c r="Q374" s="252"/>
      <c r="R374" s="45"/>
      <c r="S374" s="58"/>
      <c r="T374" s="58">
        <v>28920</v>
      </c>
      <c r="V374" s="258"/>
      <c r="W374" s="624"/>
      <c r="X374" s="624"/>
      <c r="Y374" s="258"/>
      <c r="Z374" s="58"/>
      <c r="AA374" s="336"/>
      <c r="AB374" s="258"/>
      <c r="AC374" s="258"/>
      <c r="AD374" s="258"/>
      <c r="AE374" s="258"/>
      <c r="AF374" s="20"/>
      <c r="AG374" s="27"/>
      <c r="AH374" s="133">
        <v>42649</v>
      </c>
      <c r="AI374" s="10"/>
      <c r="AJ374" s="21"/>
      <c r="AL374" s="21"/>
      <c r="AM374" s="193"/>
      <c r="AN374" s="143"/>
      <c r="AO374" s="217"/>
      <c r="AP374" s="143"/>
    </row>
    <row r="375" spans="3:42" ht="17.25" customHeight="1">
      <c r="C375" s="8" t="s">
        <v>238</v>
      </c>
      <c r="D375" s="2"/>
      <c r="E375" s="20" t="s">
        <v>1674</v>
      </c>
      <c r="F375" s="21"/>
      <c r="H375" s="289">
        <f t="shared" si="34"/>
        <v>10000</v>
      </c>
      <c r="I375" s="87"/>
      <c r="J375" s="143"/>
      <c r="K375" s="143"/>
      <c r="L375" s="252"/>
      <c r="M375" s="143"/>
      <c r="N375" s="252"/>
      <c r="O375" s="253"/>
      <c r="P375" s="252"/>
      <c r="Q375" s="252"/>
      <c r="R375" s="253"/>
      <c r="S375" s="252"/>
      <c r="T375" s="252">
        <v>10000</v>
      </c>
      <c r="U375" s="253"/>
      <c r="V375" s="258"/>
      <c r="W375" s="624"/>
      <c r="X375" s="624"/>
      <c r="Y375" s="258"/>
      <c r="Z375" s="58"/>
      <c r="AA375" s="336"/>
      <c r="AB375" s="258"/>
      <c r="AC375" s="258"/>
      <c r="AD375" s="258"/>
      <c r="AE375" s="258"/>
      <c r="AF375" s="20"/>
      <c r="AG375" s="27"/>
      <c r="AH375" s="133">
        <v>42606</v>
      </c>
      <c r="AI375" s="10"/>
      <c r="AJ375" s="21"/>
      <c r="AL375" s="21"/>
      <c r="AM375" s="193"/>
      <c r="AN375" s="143"/>
      <c r="AO375" s="217"/>
      <c r="AP375" s="143"/>
    </row>
    <row r="376" spans="3:42" ht="17.25" customHeight="1">
      <c r="C376" s="8" t="s">
        <v>238</v>
      </c>
      <c r="D376" s="2"/>
      <c r="E376" s="20" t="s">
        <v>1675</v>
      </c>
      <c r="F376" s="21"/>
      <c r="H376" s="289">
        <f t="shared" si="34"/>
        <v>27240.880000000001</v>
      </c>
      <c r="I376" s="87"/>
      <c r="J376" s="143"/>
      <c r="K376" s="143"/>
      <c r="L376" s="58"/>
      <c r="M376" s="143"/>
      <c r="N376" s="58"/>
      <c r="O376" s="45"/>
      <c r="P376" s="58"/>
      <c r="Q376" s="58"/>
      <c r="R376" s="45"/>
      <c r="S376" s="58"/>
      <c r="T376" s="58">
        <f>SUM(25000, 2240.88)</f>
        <v>27240.880000000001</v>
      </c>
      <c r="V376" s="258"/>
      <c r="W376" s="624"/>
      <c r="X376" s="624"/>
      <c r="Y376" s="258"/>
      <c r="Z376" s="58"/>
      <c r="AA376" s="336"/>
      <c r="AB376" s="258"/>
      <c r="AC376" s="258"/>
      <c r="AD376" s="258"/>
      <c r="AE376" s="258"/>
      <c r="AF376" s="20"/>
      <c r="AG376" s="27"/>
      <c r="AH376" s="133">
        <v>42916</v>
      </c>
      <c r="AI376" s="10"/>
      <c r="AJ376" s="21"/>
      <c r="AL376" s="21"/>
      <c r="AM376" s="193"/>
      <c r="AN376" s="143"/>
      <c r="AO376" s="217"/>
      <c r="AP376" s="143"/>
    </row>
    <row r="377" spans="3:42" ht="17.25" customHeight="1">
      <c r="C377" s="8" t="s">
        <v>238</v>
      </c>
      <c r="D377" s="2"/>
      <c r="E377" s="20" t="s">
        <v>1676</v>
      </c>
      <c r="F377" s="21"/>
      <c r="H377" s="289">
        <f t="shared" si="34"/>
        <v>40310.839999999997</v>
      </c>
      <c r="I377" s="87"/>
      <c r="J377" s="143"/>
      <c r="K377" s="143"/>
      <c r="L377" s="143"/>
      <c r="M377" s="143"/>
      <c r="N377" s="252"/>
      <c r="O377" s="253"/>
      <c r="P377" s="252"/>
      <c r="Q377" s="58"/>
      <c r="R377" s="253"/>
      <c r="S377" s="252"/>
      <c r="T377" s="252">
        <v>40310.839999999997</v>
      </c>
      <c r="U377" s="253"/>
      <c r="V377" s="258"/>
      <c r="W377" s="624"/>
      <c r="X377" s="624"/>
      <c r="Y377" s="258"/>
      <c r="Z377" s="58"/>
      <c r="AA377" s="336"/>
      <c r="AB377" s="258"/>
      <c r="AC377" s="258"/>
      <c r="AD377" s="258"/>
      <c r="AE377" s="258"/>
      <c r="AF377" s="20"/>
      <c r="AG377" s="27"/>
      <c r="AH377" s="133">
        <v>42635</v>
      </c>
      <c r="AI377" s="10"/>
      <c r="AJ377" s="21"/>
      <c r="AL377" s="21"/>
      <c r="AM377" s="193"/>
      <c r="AN377" s="143"/>
      <c r="AO377" s="217"/>
      <c r="AP377" s="143"/>
    </row>
    <row r="378" spans="3:42" ht="17.25" customHeight="1">
      <c r="C378" s="8" t="s">
        <v>238</v>
      </c>
      <c r="D378" s="2"/>
      <c r="E378" s="20" t="s">
        <v>1677</v>
      </c>
      <c r="F378" s="21"/>
      <c r="H378" s="289">
        <f t="shared" si="34"/>
        <v>3735.31</v>
      </c>
      <c r="I378" s="87"/>
      <c r="J378" s="143"/>
      <c r="K378" s="143"/>
      <c r="L378" s="143"/>
      <c r="M378" s="143"/>
      <c r="N378" s="252"/>
      <c r="O378" s="253"/>
      <c r="P378" s="252"/>
      <c r="Q378" s="252"/>
      <c r="R378" s="253"/>
      <c r="S378" s="252"/>
      <c r="T378" s="58">
        <v>3735.31</v>
      </c>
      <c r="U378" s="253"/>
      <c r="V378" s="258"/>
      <c r="W378" s="624"/>
      <c r="X378" s="624"/>
      <c r="Y378" s="258"/>
      <c r="Z378" s="58"/>
      <c r="AA378" s="336"/>
      <c r="AB378" s="258"/>
      <c r="AC378" s="258"/>
      <c r="AD378" s="258"/>
      <c r="AE378" s="258"/>
      <c r="AF378" s="20"/>
      <c r="AG378" s="27">
        <v>41544</v>
      </c>
      <c r="AH378" s="133">
        <v>42674</v>
      </c>
      <c r="AI378" s="10">
        <f t="shared" si="35"/>
        <v>37</v>
      </c>
      <c r="AJ378" s="21"/>
      <c r="AL378" s="21"/>
      <c r="AM378" s="193"/>
      <c r="AN378" s="143"/>
      <c r="AO378" s="217"/>
      <c r="AP378" s="143"/>
    </row>
    <row r="379" spans="3:42" ht="17.25" customHeight="1">
      <c r="C379" s="8" t="s">
        <v>238</v>
      </c>
      <c r="D379" s="2"/>
      <c r="E379" s="20" t="s">
        <v>1678</v>
      </c>
      <c r="F379" s="21"/>
      <c r="H379" s="289">
        <f t="shared" si="34"/>
        <v>10000</v>
      </c>
      <c r="I379" s="87"/>
      <c r="J379" s="143"/>
      <c r="K379" s="143"/>
      <c r="L379" s="143"/>
      <c r="M379" s="143"/>
      <c r="N379" s="58"/>
      <c r="O379" s="45"/>
      <c r="P379" s="58"/>
      <c r="Q379" s="58"/>
      <c r="R379" s="45"/>
      <c r="S379" s="58"/>
      <c r="T379" s="252">
        <v>10000</v>
      </c>
      <c r="V379" s="258"/>
      <c r="W379" s="624"/>
      <c r="X379" s="624"/>
      <c r="Y379" s="258"/>
      <c r="Z379" s="58"/>
      <c r="AA379" s="336"/>
      <c r="AB379" s="258"/>
      <c r="AC379" s="258"/>
      <c r="AD379" s="258"/>
      <c r="AE379" s="258"/>
      <c r="AF379" s="20"/>
      <c r="AG379" s="27"/>
      <c r="AH379" s="133">
        <v>42611</v>
      </c>
      <c r="AI379" s="10"/>
      <c r="AJ379" s="21"/>
      <c r="AL379" s="21"/>
      <c r="AM379" s="193"/>
      <c r="AN379" s="143"/>
      <c r="AO379" s="217"/>
      <c r="AP379" s="143"/>
    </row>
    <row r="380" spans="3:42" ht="17.25" customHeight="1">
      <c r="C380" s="8" t="s">
        <v>238</v>
      </c>
      <c r="D380" s="2"/>
      <c r="E380" s="20" t="s">
        <v>1679</v>
      </c>
      <c r="F380" s="21"/>
      <c r="H380" s="289">
        <f t="shared" si="34"/>
        <v>202340</v>
      </c>
      <c r="I380" s="87"/>
      <c r="J380" s="143"/>
      <c r="K380" s="143"/>
      <c r="L380" s="143"/>
      <c r="M380" s="143"/>
      <c r="N380" s="58"/>
      <c r="O380" s="45"/>
      <c r="P380" s="58"/>
      <c r="Q380" s="252"/>
      <c r="R380" s="45">
        <f>SUM(100000, 80000, 15000)</f>
        <v>195000</v>
      </c>
      <c r="S380" s="58"/>
      <c r="T380" s="252">
        <v>7340</v>
      </c>
      <c r="V380" s="258"/>
      <c r="W380" s="624"/>
      <c r="X380" s="624"/>
      <c r="Y380" s="258"/>
      <c r="Z380" s="58"/>
      <c r="AA380" s="336"/>
      <c r="AB380" s="258"/>
      <c r="AC380" s="258"/>
      <c r="AD380" s="258"/>
      <c r="AE380" s="258"/>
      <c r="AF380" s="20"/>
      <c r="AG380" s="27">
        <v>42619</v>
      </c>
      <c r="AH380" s="133">
        <v>42706</v>
      </c>
      <c r="AI380" s="10">
        <f t="shared" si="35"/>
        <v>3</v>
      </c>
      <c r="AJ380" s="21"/>
      <c r="AL380" s="21"/>
      <c r="AM380" s="193"/>
      <c r="AN380" s="143"/>
      <c r="AO380" s="217"/>
      <c r="AP380" s="143"/>
    </row>
    <row r="381" spans="3:42" ht="17.25" customHeight="1">
      <c r="C381" s="8" t="s">
        <v>238</v>
      </c>
      <c r="D381" s="2"/>
      <c r="E381" s="20" t="s">
        <v>1680</v>
      </c>
      <c r="F381" s="21"/>
      <c r="H381" s="289">
        <f t="shared" si="34"/>
        <v>5000</v>
      </c>
      <c r="I381" s="87"/>
      <c r="J381" s="143"/>
      <c r="K381" s="143"/>
      <c r="L381" s="143"/>
      <c r="M381" s="143"/>
      <c r="N381" s="252"/>
      <c r="O381" s="253"/>
      <c r="P381" s="252"/>
      <c r="Q381" s="58"/>
      <c r="R381" s="253"/>
      <c r="S381" s="252"/>
      <c r="T381" s="58">
        <v>5000</v>
      </c>
      <c r="U381" s="253"/>
      <c r="V381" s="258"/>
      <c r="W381" s="624"/>
      <c r="X381" s="624"/>
      <c r="Y381" s="258"/>
      <c r="Z381" s="58"/>
      <c r="AA381" s="336"/>
      <c r="AB381" s="258"/>
      <c r="AC381" s="258"/>
      <c r="AD381" s="258"/>
      <c r="AE381" s="258"/>
      <c r="AF381" s="20"/>
      <c r="AG381" s="27"/>
      <c r="AH381" s="133">
        <v>42583</v>
      </c>
      <c r="AI381" s="10"/>
      <c r="AJ381" s="21"/>
      <c r="AL381" s="21"/>
      <c r="AM381" s="193"/>
      <c r="AN381" s="143"/>
      <c r="AO381" s="217"/>
      <c r="AP381" s="143"/>
    </row>
    <row r="382" spans="3:42" ht="17.25" customHeight="1">
      <c r="C382" s="8" t="s">
        <v>238</v>
      </c>
      <c r="D382" s="2"/>
      <c r="E382" s="20" t="s">
        <v>1681</v>
      </c>
      <c r="F382" s="21"/>
      <c r="H382" s="289">
        <f t="shared" si="34"/>
        <v>34313.69</v>
      </c>
      <c r="I382" s="87"/>
      <c r="J382" s="143"/>
      <c r="K382" s="143"/>
      <c r="L382" s="143"/>
      <c r="M382" s="143"/>
      <c r="N382" s="58"/>
      <c r="O382" s="45"/>
      <c r="P382" s="58"/>
      <c r="Q382" s="252"/>
      <c r="R382" s="45"/>
      <c r="S382" s="58"/>
      <c r="T382" s="252">
        <f>SUM(8579.93, 83.76, 8550, 17100)</f>
        <v>34313.69</v>
      </c>
      <c r="V382" s="258"/>
      <c r="W382" s="624"/>
      <c r="X382" s="624"/>
      <c r="Y382" s="258"/>
      <c r="Z382" s="58"/>
      <c r="AA382" s="336"/>
      <c r="AB382" s="258"/>
      <c r="AC382" s="258"/>
      <c r="AD382" s="258"/>
      <c r="AE382" s="258"/>
      <c r="AF382" s="20"/>
      <c r="AG382" s="27">
        <v>41779</v>
      </c>
      <c r="AH382" s="133">
        <v>42807</v>
      </c>
      <c r="AI382" s="10">
        <f t="shared" si="35"/>
        <v>34</v>
      </c>
      <c r="AJ382" s="21"/>
      <c r="AL382" s="21"/>
      <c r="AM382" s="193"/>
      <c r="AN382" s="143"/>
      <c r="AO382" s="217"/>
      <c r="AP382" s="143"/>
    </row>
    <row r="383" spans="3:42" ht="17.25" customHeight="1">
      <c r="C383" s="8" t="s">
        <v>238</v>
      </c>
      <c r="D383" s="2"/>
      <c r="E383" s="20" t="s">
        <v>1682</v>
      </c>
      <c r="F383" s="21"/>
      <c r="H383" s="289">
        <f t="shared" si="34"/>
        <v>10000</v>
      </c>
      <c r="I383" s="87"/>
      <c r="J383" s="143"/>
      <c r="K383" s="143"/>
      <c r="L383" s="143"/>
      <c r="M383" s="143"/>
      <c r="N383" s="252"/>
      <c r="O383" s="253"/>
      <c r="P383" s="252"/>
      <c r="Q383" s="252"/>
      <c r="R383" s="253"/>
      <c r="S383" s="252"/>
      <c r="T383" s="58">
        <v>10000</v>
      </c>
      <c r="U383" s="253"/>
      <c r="V383" s="258"/>
      <c r="W383" s="624"/>
      <c r="X383" s="624"/>
      <c r="Y383" s="258"/>
      <c r="Z383" s="58"/>
      <c r="AA383" s="336"/>
      <c r="AB383" s="258"/>
      <c r="AC383" s="258"/>
      <c r="AD383" s="258"/>
      <c r="AE383" s="258"/>
      <c r="AF383" s="20"/>
      <c r="AG383" s="27"/>
      <c r="AH383" s="133">
        <v>42906</v>
      </c>
      <c r="AI383" s="10"/>
      <c r="AJ383" s="21"/>
      <c r="AL383" s="21"/>
      <c r="AM383" s="193"/>
      <c r="AN383" s="143"/>
      <c r="AO383" s="217"/>
      <c r="AP383" s="143"/>
    </row>
    <row r="384" spans="3:42" ht="17.25" customHeight="1">
      <c r="C384" s="8" t="s">
        <v>238</v>
      </c>
      <c r="D384" s="2"/>
      <c r="E384" s="20" t="s">
        <v>1683</v>
      </c>
      <c r="F384" s="21"/>
      <c r="H384" s="289">
        <f t="shared" si="34"/>
        <v>313750</v>
      </c>
      <c r="I384" s="87"/>
      <c r="J384" s="143"/>
      <c r="K384" s="143"/>
      <c r="L384" s="143"/>
      <c r="M384" s="143"/>
      <c r="N384" s="58"/>
      <c r="O384" s="45"/>
      <c r="P384" s="58"/>
      <c r="Q384" s="58"/>
      <c r="R384" s="45"/>
      <c r="S384" s="58"/>
      <c r="T384" s="252">
        <f>SUM(215000, 98750)</f>
        <v>313750</v>
      </c>
      <c r="V384" s="258"/>
      <c r="W384" s="624"/>
      <c r="X384" s="624"/>
      <c r="Y384" s="258"/>
      <c r="Z384" s="58"/>
      <c r="AA384" s="336"/>
      <c r="AB384" s="258"/>
      <c r="AC384" s="258"/>
      <c r="AD384" s="258"/>
      <c r="AE384" s="258"/>
      <c r="AF384" s="20"/>
      <c r="AG384" s="27"/>
      <c r="AH384" s="133">
        <v>42735</v>
      </c>
      <c r="AI384" s="10"/>
      <c r="AJ384" s="21"/>
      <c r="AL384" s="21"/>
      <c r="AM384" s="193"/>
      <c r="AN384" s="143"/>
      <c r="AO384" s="217"/>
      <c r="AP384" s="143"/>
    </row>
    <row r="385" spans="3:42" ht="17.25" customHeight="1">
      <c r="C385" s="8" t="s">
        <v>238</v>
      </c>
      <c r="D385" s="2"/>
      <c r="E385" s="20" t="s">
        <v>1684</v>
      </c>
      <c r="F385" s="21"/>
      <c r="H385" s="289">
        <f t="shared" si="34"/>
        <v>2820.33</v>
      </c>
      <c r="I385" s="87"/>
      <c r="J385" s="143"/>
      <c r="K385" s="143"/>
      <c r="L385" s="143"/>
      <c r="M385" s="143"/>
      <c r="N385" s="252"/>
      <c r="O385" s="253"/>
      <c r="P385" s="252"/>
      <c r="Q385" s="58"/>
      <c r="R385" s="253"/>
      <c r="S385" s="252"/>
      <c r="T385" s="252">
        <v>2820.33</v>
      </c>
      <c r="U385" s="253"/>
      <c r="V385" s="258"/>
      <c r="W385" s="624"/>
      <c r="X385" s="624"/>
      <c r="Y385" s="258"/>
      <c r="Z385" s="58"/>
      <c r="AA385" s="336"/>
      <c r="AB385" s="258"/>
      <c r="AC385" s="258"/>
      <c r="AD385" s="258"/>
      <c r="AE385" s="258"/>
      <c r="AF385" s="20"/>
      <c r="AG385" s="27"/>
      <c r="AH385" s="133">
        <v>42717</v>
      </c>
      <c r="AI385" s="10"/>
      <c r="AJ385" s="21"/>
      <c r="AL385" s="21"/>
      <c r="AM385" s="193"/>
      <c r="AN385" s="143"/>
      <c r="AO385" s="217"/>
      <c r="AP385" s="143"/>
    </row>
    <row r="386" spans="3:42" ht="17.25" customHeight="1">
      <c r="C386" s="8" t="s">
        <v>238</v>
      </c>
      <c r="D386" s="2"/>
      <c r="E386" s="20" t="s">
        <v>1685</v>
      </c>
      <c r="F386" s="21"/>
      <c r="H386" s="289">
        <f t="shared" si="34"/>
        <v>1142.8800000000001</v>
      </c>
      <c r="I386" s="87"/>
      <c r="J386" s="143"/>
      <c r="K386" s="143"/>
      <c r="L386" s="143"/>
      <c r="M386" s="143"/>
      <c r="N386" s="58"/>
      <c r="O386" s="253"/>
      <c r="P386" s="252"/>
      <c r="Q386" s="252"/>
      <c r="R386" s="253"/>
      <c r="S386" s="252"/>
      <c r="T386" s="58">
        <v>1142.8800000000001</v>
      </c>
      <c r="U386" s="253"/>
      <c r="V386" s="258"/>
      <c r="W386" s="624"/>
      <c r="X386" s="624"/>
      <c r="Y386" s="258"/>
      <c r="Z386" s="58"/>
      <c r="AA386" s="336"/>
      <c r="AB386" s="258"/>
      <c r="AC386" s="258"/>
      <c r="AD386" s="258"/>
      <c r="AE386" s="258"/>
      <c r="AF386" s="20"/>
      <c r="AG386" s="27"/>
      <c r="AH386" s="133">
        <v>42648</v>
      </c>
      <c r="AI386" s="10"/>
      <c r="AJ386" s="21"/>
      <c r="AL386" s="21"/>
      <c r="AM386" s="193"/>
      <c r="AN386" s="143"/>
      <c r="AO386" s="217"/>
      <c r="AP386" s="143"/>
    </row>
    <row r="387" spans="3:42" ht="17.25" customHeight="1">
      <c r="C387" s="8" t="s">
        <v>238</v>
      </c>
      <c r="D387" s="2"/>
      <c r="E387" s="20" t="s">
        <v>1686</v>
      </c>
      <c r="F387" s="21"/>
      <c r="H387" s="289">
        <f t="shared" si="34"/>
        <v>5000</v>
      </c>
      <c r="I387" s="87"/>
      <c r="J387" s="143"/>
      <c r="K387" s="143"/>
      <c r="L387" s="143"/>
      <c r="M387" s="143"/>
      <c r="N387" s="252"/>
      <c r="O387" s="45"/>
      <c r="P387" s="58"/>
      <c r="Q387" s="58"/>
      <c r="R387" s="45"/>
      <c r="S387" s="58"/>
      <c r="T387" s="252">
        <v>5000</v>
      </c>
      <c r="V387" s="258"/>
      <c r="W387" s="624"/>
      <c r="X387" s="624"/>
      <c r="Y387" s="258"/>
      <c r="Z387" s="58"/>
      <c r="AA387" s="336"/>
      <c r="AB387" s="258"/>
      <c r="AC387" s="258"/>
      <c r="AD387" s="258"/>
      <c r="AE387" s="258"/>
      <c r="AF387" s="20"/>
      <c r="AG387" s="27">
        <v>42415</v>
      </c>
      <c r="AH387" s="133">
        <v>42655</v>
      </c>
      <c r="AI387" s="10">
        <f t="shared" si="35"/>
        <v>8</v>
      </c>
      <c r="AJ387" s="21"/>
      <c r="AL387" s="21"/>
      <c r="AM387" s="193"/>
      <c r="AN387" s="143"/>
      <c r="AO387" s="217"/>
      <c r="AP387" s="143"/>
    </row>
    <row r="388" spans="3:42" ht="17.25" customHeight="1">
      <c r="C388" s="8" t="s">
        <v>238</v>
      </c>
      <c r="D388" s="2"/>
      <c r="E388" s="20" t="s">
        <v>1687</v>
      </c>
      <c r="F388" s="21"/>
      <c r="H388" s="289">
        <f t="shared" si="34"/>
        <v>5000</v>
      </c>
      <c r="I388" s="87"/>
      <c r="J388" s="143"/>
      <c r="K388" s="143"/>
      <c r="L388" s="143"/>
      <c r="M388" s="143"/>
      <c r="N388" s="58"/>
      <c r="O388" s="45"/>
      <c r="P388" s="58"/>
      <c r="Q388" s="252"/>
      <c r="R388" s="45"/>
      <c r="S388" s="58"/>
      <c r="T388" s="58">
        <v>5000</v>
      </c>
      <c r="V388" s="258"/>
      <c r="W388" s="624"/>
      <c r="X388" s="624"/>
      <c r="Y388" s="258"/>
      <c r="Z388" s="58"/>
      <c r="AA388" s="336"/>
      <c r="AB388" s="258"/>
      <c r="AC388" s="258"/>
      <c r="AD388" s="258"/>
      <c r="AE388" s="258"/>
      <c r="AF388" s="20"/>
      <c r="AG388" s="27">
        <v>42584</v>
      </c>
      <c r="AH388" s="133">
        <v>42733</v>
      </c>
      <c r="AI388" s="10">
        <f t="shared" si="35"/>
        <v>4</v>
      </c>
      <c r="AJ388" s="21"/>
      <c r="AL388" s="21"/>
      <c r="AM388" s="193"/>
      <c r="AN388" s="143"/>
      <c r="AO388" s="217"/>
      <c r="AP388" s="143"/>
    </row>
    <row r="389" spans="3:42" ht="17.25" customHeight="1">
      <c r="C389" s="8" t="s">
        <v>238</v>
      </c>
      <c r="D389" s="2"/>
      <c r="E389" s="20" t="s">
        <v>1688</v>
      </c>
      <c r="F389" s="21"/>
      <c r="H389" s="289">
        <f t="shared" si="34"/>
        <v>667</v>
      </c>
      <c r="I389" s="87"/>
      <c r="J389" s="143"/>
      <c r="K389" s="143"/>
      <c r="L389" s="143"/>
      <c r="M389" s="143"/>
      <c r="N389" s="252"/>
      <c r="O389" s="253"/>
      <c r="P389" s="252"/>
      <c r="Q389" s="58"/>
      <c r="R389" s="253"/>
      <c r="S389" s="252"/>
      <c r="T389" s="252">
        <v>667</v>
      </c>
      <c r="U389" s="253"/>
      <c r="V389" s="258"/>
      <c r="W389" s="624"/>
      <c r="X389" s="624"/>
      <c r="Y389" s="258"/>
      <c r="Z389" s="58"/>
      <c r="AA389" s="336"/>
      <c r="AB389" s="258"/>
      <c r="AC389" s="258"/>
      <c r="AD389" s="258"/>
      <c r="AE389" s="258"/>
      <c r="AF389" s="20"/>
      <c r="AG389" s="27"/>
      <c r="AH389" s="133">
        <v>42702</v>
      </c>
      <c r="AI389" s="10"/>
      <c r="AJ389" s="21"/>
      <c r="AL389" s="21"/>
      <c r="AM389" s="193"/>
      <c r="AN389" s="143"/>
      <c r="AO389" s="217"/>
      <c r="AP389" s="143"/>
    </row>
    <row r="390" spans="3:42" ht="17.25" customHeight="1" thickBot="1">
      <c r="C390" s="97" t="s">
        <v>1689</v>
      </c>
      <c r="D390" s="97"/>
      <c r="E390" s="97"/>
      <c r="F390" s="98"/>
      <c r="G390" s="191"/>
      <c r="H390" s="191"/>
      <c r="I390" s="82"/>
      <c r="J390" s="191"/>
      <c r="K390" s="191"/>
      <c r="L390" s="191"/>
      <c r="M390" s="191"/>
      <c r="N390" s="191"/>
      <c r="O390" s="191"/>
      <c r="P390" s="191"/>
      <c r="Q390" s="191"/>
      <c r="R390" s="191"/>
      <c r="S390" s="191"/>
      <c r="T390" s="99"/>
      <c r="U390" s="99"/>
      <c r="V390" s="99"/>
      <c r="W390" s="98"/>
      <c r="X390" s="98"/>
      <c r="Y390" s="98"/>
      <c r="Z390" s="98"/>
      <c r="AA390" s="98"/>
      <c r="AB390" s="343"/>
      <c r="AC390" s="98"/>
      <c r="AD390" s="98"/>
      <c r="AE390" s="98"/>
      <c r="AF390" s="98"/>
      <c r="AG390" s="98"/>
      <c r="AH390" s="98"/>
      <c r="AI390" s="98"/>
      <c r="AJ390" s="98"/>
      <c r="AK390" s="98"/>
      <c r="AL390" s="98"/>
      <c r="AM390" s="82"/>
      <c r="AN390" s="98"/>
      <c r="AO390" s="98"/>
      <c r="AP390" s="280"/>
    </row>
    <row r="391" spans="3:42" ht="17.25" customHeight="1">
      <c r="C391" s="8" t="s">
        <v>238</v>
      </c>
      <c r="D391" s="2"/>
      <c r="E391" s="20" t="s">
        <v>1690</v>
      </c>
      <c r="F391" s="21"/>
      <c r="H391" s="294">
        <f t="shared" si="34"/>
        <v>27169.66</v>
      </c>
      <c r="I391" s="286"/>
      <c r="J391" s="58"/>
      <c r="K391" s="58"/>
      <c r="L391" s="58">
        <v>11895.42</v>
      </c>
      <c r="M391" s="58"/>
      <c r="N391" s="58"/>
      <c r="O391" s="58"/>
      <c r="P391" s="58"/>
      <c r="Q391" s="58"/>
      <c r="R391" s="58"/>
      <c r="S391" s="58">
        <v>15274.24</v>
      </c>
      <c r="T391" s="58"/>
      <c r="U391" s="58"/>
      <c r="V391" s="295"/>
      <c r="W391" s="624"/>
      <c r="X391" s="624"/>
      <c r="Y391" s="295"/>
      <c r="Z391" s="58"/>
      <c r="AA391" s="336"/>
      <c r="AB391" s="258"/>
      <c r="AC391" s="258"/>
      <c r="AD391" s="258"/>
      <c r="AE391" s="258"/>
      <c r="AF391" s="20"/>
      <c r="AG391" s="27"/>
      <c r="AH391" s="133">
        <v>42366</v>
      </c>
      <c r="AI391" s="10"/>
      <c r="AJ391" s="21"/>
      <c r="AL391" s="21"/>
      <c r="AM391" s="193"/>
      <c r="AN391" s="143"/>
      <c r="AO391" s="217"/>
      <c r="AP391" s="143"/>
    </row>
    <row r="392" spans="3:42" ht="17.25" customHeight="1">
      <c r="C392" s="8" t="s">
        <v>238</v>
      </c>
      <c r="D392" s="2"/>
      <c r="E392" s="20" t="s">
        <v>1691</v>
      </c>
      <c r="F392" s="21"/>
      <c r="H392" s="289">
        <f t="shared" si="34"/>
        <v>15000</v>
      </c>
      <c r="I392" s="285"/>
      <c r="J392" s="252"/>
      <c r="K392" s="252"/>
      <c r="L392" s="252"/>
      <c r="M392" s="252"/>
      <c r="N392" s="252"/>
      <c r="O392" s="252"/>
      <c r="P392" s="252"/>
      <c r="Q392" s="252"/>
      <c r="R392" s="252"/>
      <c r="S392" s="252">
        <v>15000</v>
      </c>
      <c r="T392" s="252"/>
      <c r="U392" s="252"/>
      <c r="V392" s="258"/>
      <c r="W392" s="624"/>
      <c r="X392" s="624"/>
      <c r="Y392" s="258"/>
      <c r="Z392" s="58"/>
      <c r="AA392" s="336"/>
      <c r="AB392" s="258"/>
      <c r="AC392" s="258"/>
      <c r="AD392" s="258"/>
      <c r="AE392" s="258"/>
      <c r="AF392" s="20"/>
      <c r="AG392" s="27"/>
      <c r="AH392" s="133">
        <v>42438</v>
      </c>
      <c r="AI392" s="10"/>
      <c r="AJ392" s="21"/>
      <c r="AL392" s="21"/>
      <c r="AM392" s="193"/>
      <c r="AN392" s="143"/>
      <c r="AO392" s="217"/>
      <c r="AP392" s="143"/>
    </row>
    <row r="393" spans="3:42" ht="17.25" customHeight="1">
      <c r="C393" s="8" t="s">
        <v>238</v>
      </c>
      <c r="D393" s="2"/>
      <c r="E393" s="20" t="s">
        <v>1692</v>
      </c>
      <c r="F393" s="21"/>
      <c r="H393" s="289">
        <f t="shared" si="34"/>
        <v>7065.45</v>
      </c>
      <c r="I393" s="285"/>
      <c r="J393" s="252"/>
      <c r="K393" s="252"/>
      <c r="L393" s="252"/>
      <c r="M393" s="252"/>
      <c r="N393" s="252"/>
      <c r="O393" s="252"/>
      <c r="P393" s="252"/>
      <c r="Q393" s="252"/>
      <c r="R393" s="252"/>
      <c r="S393" s="252">
        <v>7065.45</v>
      </c>
      <c r="T393" s="252"/>
      <c r="U393" s="252"/>
      <c r="V393" s="258"/>
      <c r="W393" s="624"/>
      <c r="X393" s="624"/>
      <c r="Y393" s="258"/>
      <c r="Z393" s="58"/>
      <c r="AA393" s="336"/>
      <c r="AB393" s="258"/>
      <c r="AC393" s="258"/>
      <c r="AD393" s="258"/>
      <c r="AE393" s="258"/>
      <c r="AF393" s="20"/>
      <c r="AG393" s="27"/>
      <c r="AH393" s="133">
        <v>42496</v>
      </c>
      <c r="AI393" s="10"/>
      <c r="AJ393" s="21"/>
      <c r="AL393" s="21"/>
      <c r="AM393" s="193"/>
      <c r="AN393" s="143"/>
      <c r="AO393" s="217"/>
      <c r="AP393" s="143"/>
    </row>
    <row r="394" spans="3:42" ht="17.25" customHeight="1">
      <c r="C394" s="8" t="s">
        <v>238</v>
      </c>
      <c r="D394" s="2"/>
      <c r="E394" s="20" t="s">
        <v>1693</v>
      </c>
      <c r="F394" s="21"/>
      <c r="H394" s="289">
        <f t="shared" si="34"/>
        <v>5000</v>
      </c>
      <c r="I394" s="286"/>
      <c r="J394" s="58"/>
      <c r="K394" s="58"/>
      <c r="L394" s="58"/>
      <c r="M394" s="58"/>
      <c r="N394" s="58"/>
      <c r="O394" s="58"/>
      <c r="P394" s="58"/>
      <c r="Q394" s="58"/>
      <c r="R394" s="58"/>
      <c r="S394" s="58">
        <v>5000</v>
      </c>
      <c r="T394" s="58"/>
      <c r="U394" s="58"/>
      <c r="V394" s="258"/>
      <c r="W394" s="624"/>
      <c r="X394" s="624"/>
      <c r="Y394" s="258"/>
      <c r="Z394" s="58"/>
      <c r="AA394" s="336"/>
      <c r="AB394" s="258"/>
      <c r="AC394" s="258"/>
      <c r="AD394" s="258"/>
      <c r="AE394" s="258"/>
      <c r="AF394" s="20"/>
      <c r="AG394" s="27">
        <v>41981</v>
      </c>
      <c r="AH394" s="133">
        <v>42262</v>
      </c>
      <c r="AI394" s="10">
        <f t="shared" si="35"/>
        <v>9</v>
      </c>
      <c r="AJ394" s="21"/>
      <c r="AL394" s="21"/>
      <c r="AM394" s="193"/>
      <c r="AN394" s="143"/>
      <c r="AO394" s="217"/>
      <c r="AP394" s="143"/>
    </row>
    <row r="395" spans="3:42" ht="17.25" customHeight="1">
      <c r="C395" s="8" t="s">
        <v>238</v>
      </c>
      <c r="D395" s="2"/>
      <c r="E395" s="20" t="s">
        <v>1694</v>
      </c>
      <c r="F395" s="21"/>
      <c r="H395" s="289">
        <f t="shared" si="34"/>
        <v>26912.83</v>
      </c>
      <c r="I395" s="285"/>
      <c r="J395" s="252"/>
      <c r="K395" s="252"/>
      <c r="L395" s="252"/>
      <c r="M395" s="252"/>
      <c r="N395" s="252"/>
      <c r="O395" s="252"/>
      <c r="P395" s="252"/>
      <c r="Q395" s="252"/>
      <c r="R395" s="252"/>
      <c r="S395" s="252">
        <v>26912.83</v>
      </c>
      <c r="T395" s="252"/>
      <c r="U395" s="252"/>
      <c r="V395" s="258"/>
      <c r="W395" s="624"/>
      <c r="X395" s="624"/>
      <c r="Y395" s="258"/>
      <c r="Z395" s="58"/>
      <c r="AA395" s="336"/>
      <c r="AB395" s="258"/>
      <c r="AC395" s="258"/>
      <c r="AD395" s="258"/>
      <c r="AE395" s="258"/>
      <c r="AF395" s="20"/>
      <c r="AG395" s="27">
        <v>41884</v>
      </c>
      <c r="AH395" s="133">
        <v>42492</v>
      </c>
      <c r="AI395" s="10">
        <f t="shared" si="35"/>
        <v>20</v>
      </c>
      <c r="AJ395" s="21"/>
      <c r="AL395" s="21"/>
      <c r="AM395" s="193"/>
      <c r="AN395" s="143"/>
      <c r="AO395" s="217"/>
      <c r="AP395" s="143"/>
    </row>
    <row r="396" spans="3:42" ht="17.25" customHeight="1">
      <c r="C396" s="8" t="s">
        <v>238</v>
      </c>
      <c r="D396" s="2"/>
      <c r="E396" s="20" t="s">
        <v>1695</v>
      </c>
      <c r="F396" s="21"/>
      <c r="H396" s="289">
        <f t="shared" si="34"/>
        <v>152890</v>
      </c>
      <c r="I396" s="286"/>
      <c r="J396" s="58"/>
      <c r="K396" s="58"/>
      <c r="L396" s="58"/>
      <c r="M396" s="58"/>
      <c r="N396" s="58"/>
      <c r="O396" s="58"/>
      <c r="P396" s="58"/>
      <c r="Q396" s="58"/>
      <c r="R396" s="58">
        <v>75000</v>
      </c>
      <c r="S396" s="58">
        <v>77890</v>
      </c>
      <c r="T396" s="58"/>
      <c r="U396" s="58"/>
      <c r="V396" s="258"/>
      <c r="W396" s="624"/>
      <c r="X396" s="624"/>
      <c r="Y396" s="258"/>
      <c r="Z396" s="58"/>
      <c r="AA396" s="336"/>
      <c r="AB396" s="258"/>
      <c r="AC396" s="258"/>
      <c r="AD396" s="258"/>
      <c r="AE396" s="258"/>
      <c r="AF396" s="20"/>
      <c r="AG396" s="27">
        <v>41940</v>
      </c>
      <c r="AH396" s="133">
        <v>43003</v>
      </c>
      <c r="AI396" s="10">
        <f t="shared" si="35"/>
        <v>35</v>
      </c>
      <c r="AJ396" s="21"/>
      <c r="AL396" s="21"/>
      <c r="AM396" s="193"/>
      <c r="AN396" s="143"/>
      <c r="AO396" s="217"/>
      <c r="AP396" s="143"/>
    </row>
    <row r="397" spans="3:42" ht="17.25" customHeight="1">
      <c r="C397" s="8" t="s">
        <v>238</v>
      </c>
      <c r="D397" s="2"/>
      <c r="E397" s="20" t="s">
        <v>1696</v>
      </c>
      <c r="F397" s="21"/>
      <c r="H397" s="289">
        <f t="shared" si="34"/>
        <v>5000</v>
      </c>
      <c r="I397" s="285"/>
      <c r="J397" s="252"/>
      <c r="K397" s="252"/>
      <c r="L397" s="252"/>
      <c r="M397" s="252"/>
      <c r="N397" s="252"/>
      <c r="O397" s="252"/>
      <c r="P397" s="252"/>
      <c r="Q397" s="252"/>
      <c r="R397" s="252"/>
      <c r="S397" s="252">
        <v>5000</v>
      </c>
      <c r="T397" s="252"/>
      <c r="U397" s="252"/>
      <c r="V397" s="258"/>
      <c r="W397" s="624"/>
      <c r="X397" s="624"/>
      <c r="Y397" s="258"/>
      <c r="Z397" s="58"/>
      <c r="AA397" s="336"/>
      <c r="AB397" s="258"/>
      <c r="AC397" s="258"/>
      <c r="AD397" s="258"/>
      <c r="AE397" s="258"/>
      <c r="AF397" s="20"/>
      <c r="AG397" s="27"/>
      <c r="AH397" s="133">
        <v>42258</v>
      </c>
      <c r="AI397" s="10"/>
      <c r="AJ397" s="21"/>
      <c r="AL397" s="21"/>
      <c r="AM397" s="193"/>
      <c r="AN397" s="143"/>
      <c r="AO397" s="217"/>
      <c r="AP397" s="143"/>
    </row>
    <row r="398" spans="3:42" ht="17.25" customHeight="1">
      <c r="C398" s="8" t="s">
        <v>238</v>
      </c>
      <c r="D398" s="2"/>
      <c r="E398" s="20" t="s">
        <v>1697</v>
      </c>
      <c r="F398" s="21"/>
      <c r="H398" s="289">
        <f t="shared" si="34"/>
        <v>10000</v>
      </c>
      <c r="I398" s="285"/>
      <c r="J398" s="252"/>
      <c r="K398" s="252"/>
      <c r="L398" s="252"/>
      <c r="M398" s="252"/>
      <c r="N398" s="252"/>
      <c r="O398" s="252"/>
      <c r="P398" s="252"/>
      <c r="Q398" s="252"/>
      <c r="R398" s="252"/>
      <c r="S398" s="252">
        <v>10000</v>
      </c>
      <c r="T398" s="252"/>
      <c r="U398" s="252"/>
      <c r="V398" s="258"/>
      <c r="W398" s="624"/>
      <c r="X398" s="624"/>
      <c r="Y398" s="258"/>
      <c r="Z398" s="58"/>
      <c r="AA398" s="336"/>
      <c r="AB398" s="258"/>
      <c r="AC398" s="258"/>
      <c r="AD398" s="258"/>
      <c r="AE398" s="258"/>
      <c r="AF398" s="20"/>
      <c r="AG398" s="27">
        <v>42130</v>
      </c>
      <c r="AH398" s="133">
        <v>42384</v>
      </c>
      <c r="AI398" s="10">
        <f t="shared" si="35"/>
        <v>8</v>
      </c>
      <c r="AJ398" s="21"/>
      <c r="AL398" s="21"/>
      <c r="AM398" s="193"/>
      <c r="AN398" s="143"/>
      <c r="AO398" s="217"/>
      <c r="AP398" s="143"/>
    </row>
    <row r="399" spans="3:42" ht="17.25" customHeight="1">
      <c r="C399" s="8" t="s">
        <v>238</v>
      </c>
      <c r="D399" s="2"/>
      <c r="E399" s="20" t="s">
        <v>1698</v>
      </c>
      <c r="F399" s="21"/>
      <c r="H399" s="289">
        <f t="shared" si="34"/>
        <v>1000</v>
      </c>
      <c r="I399" s="286"/>
      <c r="J399" s="58"/>
      <c r="K399" s="58"/>
      <c r="L399" s="58"/>
      <c r="M399" s="58"/>
      <c r="N399" s="58"/>
      <c r="O399" s="58"/>
      <c r="P399" s="58"/>
      <c r="Q399" s="58"/>
      <c r="R399" s="58"/>
      <c r="S399" s="58">
        <v>1000</v>
      </c>
      <c r="T399" s="58"/>
      <c r="U399" s="58"/>
      <c r="V399" s="258"/>
      <c r="W399" s="624"/>
      <c r="X399" s="624"/>
      <c r="Y399" s="258"/>
      <c r="Z399" s="58"/>
      <c r="AA399" s="336"/>
      <c r="AB399" s="258"/>
      <c r="AC399" s="258"/>
      <c r="AD399" s="258"/>
      <c r="AE399" s="258"/>
      <c r="AF399" s="20"/>
      <c r="AG399" s="27">
        <v>42158</v>
      </c>
      <c r="AH399" s="133">
        <v>42444</v>
      </c>
      <c r="AI399" s="10">
        <f t="shared" si="35"/>
        <v>9</v>
      </c>
      <c r="AJ399" s="21"/>
      <c r="AL399" s="21"/>
      <c r="AM399" s="193"/>
      <c r="AN399" s="143"/>
      <c r="AO399" s="217"/>
      <c r="AP399" s="143"/>
    </row>
    <row r="400" spans="3:42" ht="17.25" customHeight="1">
      <c r="C400" s="8" t="s">
        <v>238</v>
      </c>
      <c r="D400" s="2"/>
      <c r="E400" s="20" t="s">
        <v>1699</v>
      </c>
      <c r="F400" s="21"/>
      <c r="H400" s="289">
        <f t="shared" si="34"/>
        <v>10000</v>
      </c>
      <c r="I400" s="285"/>
      <c r="J400" s="252"/>
      <c r="K400" s="252"/>
      <c r="L400" s="252"/>
      <c r="M400" s="252"/>
      <c r="N400" s="252"/>
      <c r="O400" s="252"/>
      <c r="P400" s="252"/>
      <c r="Q400" s="252"/>
      <c r="R400" s="252"/>
      <c r="S400" s="252">
        <v>10000</v>
      </c>
      <c r="T400" s="252"/>
      <c r="U400" s="252"/>
      <c r="V400" s="258"/>
      <c r="W400" s="624"/>
      <c r="X400" s="624"/>
      <c r="Y400" s="258"/>
      <c r="Z400" s="58"/>
      <c r="AA400" s="336"/>
      <c r="AB400" s="258"/>
      <c r="AC400" s="258"/>
      <c r="AD400" s="258"/>
      <c r="AE400" s="258"/>
      <c r="AF400" s="20"/>
      <c r="AG400" s="27"/>
      <c r="AH400" s="133">
        <v>42424</v>
      </c>
      <c r="AI400" s="10"/>
      <c r="AJ400" s="21"/>
      <c r="AL400" s="21"/>
      <c r="AM400" s="193"/>
      <c r="AN400" s="143"/>
      <c r="AO400" s="217"/>
      <c r="AP400" s="143"/>
    </row>
    <row r="401" spans="3:42" ht="17.25" customHeight="1">
      <c r="C401" s="8" t="s">
        <v>238</v>
      </c>
      <c r="D401" s="2"/>
      <c r="E401" s="20" t="s">
        <v>1700</v>
      </c>
      <c r="F401" s="21"/>
      <c r="H401" s="289">
        <f t="shared" si="34"/>
        <v>2000</v>
      </c>
      <c r="I401" s="286"/>
      <c r="J401" s="58"/>
      <c r="K401" s="58"/>
      <c r="L401" s="58"/>
      <c r="M401" s="58"/>
      <c r="N401" s="58"/>
      <c r="O401" s="58"/>
      <c r="P401" s="58"/>
      <c r="Q401" s="58"/>
      <c r="R401" s="58"/>
      <c r="S401" s="58">
        <v>2000</v>
      </c>
      <c r="T401" s="58"/>
      <c r="U401" s="58"/>
      <c r="V401" s="258"/>
      <c r="W401" s="624"/>
      <c r="X401" s="624"/>
      <c r="Y401" s="258"/>
      <c r="Z401" s="58"/>
      <c r="AA401" s="336"/>
      <c r="AB401" s="258"/>
      <c r="AC401" s="258"/>
      <c r="AD401" s="258"/>
      <c r="AE401" s="258"/>
      <c r="AF401" s="20"/>
      <c r="AG401" s="27"/>
      <c r="AH401" s="133">
        <v>42390</v>
      </c>
      <c r="AI401" s="10"/>
      <c r="AJ401" s="21"/>
      <c r="AL401" s="21"/>
      <c r="AM401" s="193"/>
      <c r="AN401" s="143"/>
      <c r="AO401" s="217"/>
      <c r="AP401" s="143"/>
    </row>
    <row r="402" spans="3:42" ht="17.25" customHeight="1">
      <c r="C402" s="8" t="s">
        <v>238</v>
      </c>
      <c r="D402" s="2"/>
      <c r="E402" s="20" t="s">
        <v>1701</v>
      </c>
      <c r="F402" s="21"/>
      <c r="H402" s="289">
        <f t="shared" si="34"/>
        <v>50000</v>
      </c>
      <c r="I402" s="285"/>
      <c r="J402" s="252"/>
      <c r="K402" s="252"/>
      <c r="L402" s="252"/>
      <c r="M402" s="252"/>
      <c r="N402" s="252"/>
      <c r="O402" s="252"/>
      <c r="P402" s="252"/>
      <c r="Q402" s="252"/>
      <c r="R402" s="252"/>
      <c r="S402" s="252">
        <v>50000</v>
      </c>
      <c r="T402" s="252"/>
      <c r="U402" s="252"/>
      <c r="V402" s="258"/>
      <c r="W402" s="624"/>
      <c r="X402" s="624"/>
      <c r="Y402" s="258"/>
      <c r="Z402" s="58"/>
      <c r="AA402" s="336"/>
      <c r="AB402" s="258"/>
      <c r="AC402" s="258"/>
      <c r="AD402" s="258"/>
      <c r="AE402" s="258"/>
      <c r="AF402" s="20"/>
      <c r="AG402" s="27">
        <v>42241</v>
      </c>
      <c r="AH402" s="133">
        <v>42369</v>
      </c>
      <c r="AI402" s="10">
        <f t="shared" si="35"/>
        <v>4</v>
      </c>
      <c r="AJ402" s="21"/>
      <c r="AL402" s="21"/>
      <c r="AM402" s="193"/>
      <c r="AN402" s="143"/>
      <c r="AO402" s="217"/>
      <c r="AP402" s="143"/>
    </row>
    <row r="403" spans="3:42" ht="17.25" customHeight="1">
      <c r="C403" s="8" t="s">
        <v>238</v>
      </c>
      <c r="D403" s="2"/>
      <c r="E403" s="20" t="s">
        <v>1702</v>
      </c>
      <c r="F403" s="21"/>
      <c r="H403" s="289">
        <f t="shared" si="34"/>
        <v>30335.68</v>
      </c>
      <c r="I403" s="285"/>
      <c r="J403" s="252"/>
      <c r="K403" s="252"/>
      <c r="L403" s="252"/>
      <c r="M403" s="252"/>
      <c r="N403" s="252"/>
      <c r="O403" s="252"/>
      <c r="P403" s="252"/>
      <c r="Q403" s="252"/>
      <c r="R403" s="252"/>
      <c r="S403" s="252">
        <f>SUM(22090.43, 8245.25)</f>
        <v>30335.68</v>
      </c>
      <c r="T403" s="252"/>
      <c r="U403" s="252"/>
      <c r="V403" s="258"/>
      <c r="W403" s="624"/>
      <c r="X403" s="624"/>
      <c r="Y403" s="258"/>
      <c r="Z403" s="58"/>
      <c r="AA403" s="336"/>
      <c r="AB403" s="258"/>
      <c r="AC403" s="258"/>
      <c r="AD403" s="258"/>
      <c r="AE403" s="258"/>
      <c r="AF403" s="20"/>
      <c r="AG403" s="27">
        <v>40473</v>
      </c>
      <c r="AH403" s="133">
        <v>42321</v>
      </c>
      <c r="AI403" s="10">
        <f t="shared" si="35"/>
        <v>61</v>
      </c>
      <c r="AJ403" s="21"/>
      <c r="AL403" s="21"/>
      <c r="AM403" s="193"/>
      <c r="AN403" s="143"/>
      <c r="AO403" s="217"/>
      <c r="AP403" s="143"/>
    </row>
    <row r="404" spans="3:42" ht="17.25" customHeight="1">
      <c r="C404" s="8" t="s">
        <v>238</v>
      </c>
      <c r="D404" s="2"/>
      <c r="E404" s="20" t="s">
        <v>1703</v>
      </c>
      <c r="F404" s="21"/>
      <c r="H404" s="289">
        <f t="shared" si="34"/>
        <v>14770.77</v>
      </c>
      <c r="I404" s="286">
        <v>1054.42</v>
      </c>
      <c r="J404" s="58">
        <v>1527.12</v>
      </c>
      <c r="K404" s="58"/>
      <c r="L404" s="58"/>
      <c r="M404" s="58">
        <v>1852.98</v>
      </c>
      <c r="N404" s="58">
        <v>1707.45</v>
      </c>
      <c r="O404" s="58">
        <v>1546.3</v>
      </c>
      <c r="P404" s="58"/>
      <c r="Q404" s="58"/>
      <c r="R404" s="58">
        <v>1702.95</v>
      </c>
      <c r="S404" s="58">
        <f>SUM(1821.08, 1558.47, 2000)</f>
        <v>5379.55</v>
      </c>
      <c r="T404" s="58"/>
      <c r="U404" s="58"/>
      <c r="V404" s="258"/>
      <c r="W404" s="624"/>
      <c r="X404" s="624"/>
      <c r="Y404" s="258"/>
      <c r="Z404" s="58"/>
      <c r="AA404" s="336"/>
      <c r="AB404" s="258"/>
      <c r="AC404" s="258"/>
      <c r="AD404" s="258"/>
      <c r="AE404" s="258"/>
      <c r="AF404" s="20"/>
      <c r="AG404" s="27">
        <v>41344</v>
      </c>
      <c r="AH404" s="133">
        <v>42444</v>
      </c>
      <c r="AI404" s="10">
        <f t="shared" si="35"/>
        <v>36</v>
      </c>
      <c r="AJ404" s="21"/>
      <c r="AL404" s="21"/>
      <c r="AM404" s="193"/>
      <c r="AN404" s="143"/>
      <c r="AO404" s="217"/>
      <c r="AP404" s="143"/>
    </row>
    <row r="405" spans="3:42" ht="17.25" customHeight="1">
      <c r="C405" s="8" t="s">
        <v>238</v>
      </c>
      <c r="D405" s="2"/>
      <c r="E405" s="20" t="s">
        <v>1704</v>
      </c>
      <c r="F405" s="21"/>
      <c r="H405" s="289">
        <f t="shared" si="34"/>
        <v>3490.4</v>
      </c>
      <c r="I405" s="285"/>
      <c r="J405" s="252"/>
      <c r="K405" s="252"/>
      <c r="L405" s="252"/>
      <c r="M405" s="252"/>
      <c r="N405" s="252"/>
      <c r="O405" s="252"/>
      <c r="P405" s="252"/>
      <c r="Q405" s="252"/>
      <c r="R405" s="252"/>
      <c r="S405" s="252">
        <v>3490.4</v>
      </c>
      <c r="T405" s="252"/>
      <c r="U405" s="252"/>
      <c r="V405" s="258"/>
      <c r="W405" s="624"/>
      <c r="X405" s="624"/>
      <c r="Y405" s="258"/>
      <c r="Z405" s="58"/>
      <c r="AA405" s="336"/>
      <c r="AB405" s="258"/>
      <c r="AC405" s="258"/>
      <c r="AD405" s="258"/>
      <c r="AE405" s="258"/>
      <c r="AF405" s="20"/>
      <c r="AG405" s="27"/>
      <c r="AH405" s="133">
        <v>42500</v>
      </c>
      <c r="AI405" s="10"/>
      <c r="AJ405" s="21"/>
      <c r="AL405" s="21"/>
      <c r="AM405" s="193"/>
      <c r="AN405" s="143"/>
      <c r="AO405" s="217"/>
      <c r="AP405" s="143"/>
    </row>
    <row r="406" spans="3:42" ht="17.25" customHeight="1">
      <c r="C406" s="8" t="s">
        <v>238</v>
      </c>
      <c r="D406" s="2"/>
      <c r="E406" s="20" t="s">
        <v>1705</v>
      </c>
      <c r="F406" s="21"/>
      <c r="H406" s="289">
        <f t="shared" si="34"/>
        <v>302459.72000000003</v>
      </c>
      <c r="I406" s="286"/>
      <c r="J406" s="58"/>
      <c r="K406" s="58"/>
      <c r="L406" s="58"/>
      <c r="M406" s="58"/>
      <c r="N406" s="58"/>
      <c r="O406" s="58"/>
      <c r="P406" s="58"/>
      <c r="Q406" s="58"/>
      <c r="R406" s="58">
        <f>SUM(42000, 7144.95)</f>
        <v>49144.95</v>
      </c>
      <c r="S406" s="58">
        <f>SUM(1314.77, 126000, 126000)</f>
        <v>253314.77000000002</v>
      </c>
      <c r="T406" s="58"/>
      <c r="U406" s="58"/>
      <c r="V406" s="258"/>
      <c r="W406" s="624"/>
      <c r="X406" s="624"/>
      <c r="Y406" s="258"/>
      <c r="Z406" s="58"/>
      <c r="AA406" s="336"/>
      <c r="AB406" s="258"/>
      <c r="AC406" s="258"/>
      <c r="AD406" s="258"/>
      <c r="AE406" s="258"/>
      <c r="AF406" s="20"/>
      <c r="AG406" s="27">
        <v>41128</v>
      </c>
      <c r="AH406" s="133">
        <v>42367</v>
      </c>
      <c r="AI406" s="10">
        <f t="shared" si="35"/>
        <v>40</v>
      </c>
      <c r="AJ406" s="21"/>
      <c r="AL406" s="21"/>
      <c r="AM406" s="193"/>
      <c r="AN406" s="143"/>
      <c r="AO406" s="217"/>
      <c r="AP406" s="143"/>
    </row>
    <row r="407" spans="3:42" ht="17.25" customHeight="1">
      <c r="C407" s="8" t="s">
        <v>238</v>
      </c>
      <c r="D407" s="2"/>
      <c r="E407" s="20" t="s">
        <v>1706</v>
      </c>
      <c r="F407" s="21"/>
      <c r="H407" s="289">
        <f t="shared" si="34"/>
        <v>35400</v>
      </c>
      <c r="I407" s="285"/>
      <c r="J407" s="252"/>
      <c r="K407" s="252"/>
      <c r="L407" s="252"/>
      <c r="M407" s="252"/>
      <c r="N407" s="252"/>
      <c r="O407" s="252"/>
      <c r="P407" s="252"/>
      <c r="Q407" s="252"/>
      <c r="R407" s="252"/>
      <c r="S407" s="252">
        <f>SUM(30000, 5400)</f>
        <v>35400</v>
      </c>
      <c r="T407" s="252"/>
      <c r="U407" s="252"/>
      <c r="V407" s="258"/>
      <c r="W407" s="624"/>
      <c r="X407" s="624"/>
      <c r="Y407" s="258"/>
      <c r="Z407" s="58"/>
      <c r="AA407" s="336"/>
      <c r="AB407" s="258"/>
      <c r="AC407" s="258"/>
      <c r="AD407" s="258"/>
      <c r="AE407" s="258"/>
      <c r="AF407" s="20"/>
      <c r="AG407" s="27">
        <v>42341</v>
      </c>
      <c r="AH407" s="133">
        <v>42346</v>
      </c>
      <c r="AI407" s="10">
        <f t="shared" si="35"/>
        <v>0</v>
      </c>
      <c r="AJ407" s="21"/>
      <c r="AL407" s="21"/>
      <c r="AM407" s="193"/>
      <c r="AN407" s="143"/>
      <c r="AO407" s="217"/>
      <c r="AP407" s="143"/>
    </row>
    <row r="408" spans="3:42" ht="17.25" customHeight="1">
      <c r="C408" s="8" t="s">
        <v>238</v>
      </c>
      <c r="D408" s="2"/>
      <c r="E408" s="20" t="s">
        <v>1707</v>
      </c>
      <c r="F408" s="21"/>
      <c r="H408" s="289">
        <f t="shared" si="34"/>
        <v>1000</v>
      </c>
      <c r="I408" s="285"/>
      <c r="J408" s="252"/>
      <c r="K408" s="252"/>
      <c r="L408" s="252"/>
      <c r="M408" s="252"/>
      <c r="N408" s="252"/>
      <c r="O408" s="252"/>
      <c r="P408" s="252"/>
      <c r="Q408" s="252"/>
      <c r="R408" s="252"/>
      <c r="S408" s="252">
        <v>1000</v>
      </c>
      <c r="T408" s="252"/>
      <c r="U408" s="252"/>
      <c r="V408" s="258"/>
      <c r="W408" s="624"/>
      <c r="X408" s="624"/>
      <c r="Y408" s="258"/>
      <c r="Z408" s="58"/>
      <c r="AA408" s="336"/>
      <c r="AB408" s="258"/>
      <c r="AC408" s="258"/>
      <c r="AD408" s="258"/>
      <c r="AE408" s="258"/>
      <c r="AF408" s="20"/>
      <c r="AG408" s="27">
        <v>42093</v>
      </c>
      <c r="AH408" s="133">
        <v>42390</v>
      </c>
      <c r="AI408" s="10">
        <f t="shared" si="35"/>
        <v>10</v>
      </c>
      <c r="AJ408" s="21"/>
      <c r="AL408" s="21"/>
      <c r="AM408" s="193"/>
      <c r="AN408" s="143"/>
      <c r="AO408" s="217"/>
      <c r="AP408" s="143"/>
    </row>
    <row r="409" spans="3:42" ht="17.25" customHeight="1">
      <c r="C409" s="8" t="s">
        <v>238</v>
      </c>
      <c r="D409" s="2"/>
      <c r="E409" s="20" t="s">
        <v>1708</v>
      </c>
      <c r="F409" s="21"/>
      <c r="H409" s="289">
        <f t="shared" si="34"/>
        <v>97016.87</v>
      </c>
      <c r="I409" s="286"/>
      <c r="J409" s="58"/>
      <c r="K409" s="58"/>
      <c r="L409" s="58"/>
      <c r="M409" s="58"/>
      <c r="N409" s="58"/>
      <c r="O409" s="58"/>
      <c r="P409" s="58"/>
      <c r="Q409" s="58"/>
      <c r="R409" s="58">
        <v>77016.87</v>
      </c>
      <c r="S409" s="58">
        <v>20000</v>
      </c>
      <c r="T409" s="58"/>
      <c r="U409" s="58"/>
      <c r="V409" s="258"/>
      <c r="W409" s="624"/>
      <c r="X409" s="624"/>
      <c r="Y409" s="258"/>
      <c r="Z409" s="58"/>
      <c r="AA409" s="336"/>
      <c r="AB409" s="258"/>
      <c r="AC409" s="258"/>
      <c r="AD409" s="258"/>
      <c r="AE409" s="258"/>
      <c r="AF409" s="20"/>
      <c r="AG409" s="27">
        <v>41974</v>
      </c>
      <c r="AH409" s="133">
        <v>42248</v>
      </c>
      <c r="AI409" s="10">
        <f t="shared" si="35"/>
        <v>9</v>
      </c>
      <c r="AJ409" s="21"/>
      <c r="AL409" s="21"/>
      <c r="AM409" s="193"/>
      <c r="AN409" s="143"/>
      <c r="AO409" s="217"/>
      <c r="AP409" s="143"/>
    </row>
    <row r="410" spans="3:42" ht="17.25" customHeight="1">
      <c r="C410" s="8" t="s">
        <v>238</v>
      </c>
      <c r="D410" s="2"/>
      <c r="E410" s="20" t="s">
        <v>1709</v>
      </c>
      <c r="F410" s="21"/>
      <c r="H410" s="289">
        <f t="shared" si="34"/>
        <v>500</v>
      </c>
      <c r="I410" s="285"/>
      <c r="J410" s="252"/>
      <c r="K410" s="252"/>
      <c r="L410" s="252"/>
      <c r="M410" s="252"/>
      <c r="N410" s="252"/>
      <c r="O410" s="252"/>
      <c r="P410" s="252"/>
      <c r="Q410" s="252"/>
      <c r="R410" s="252"/>
      <c r="S410" s="252">
        <v>500</v>
      </c>
      <c r="T410" s="252"/>
      <c r="U410" s="252"/>
      <c r="V410" s="258"/>
      <c r="W410" s="624"/>
      <c r="X410" s="624"/>
      <c r="Y410" s="258"/>
      <c r="Z410" s="58"/>
      <c r="AA410" s="336"/>
      <c r="AB410" s="258"/>
      <c r="AC410" s="258"/>
      <c r="AD410" s="258"/>
      <c r="AE410" s="258"/>
      <c r="AF410" s="20"/>
      <c r="AG410" s="27"/>
      <c r="AH410" s="133">
        <v>42369</v>
      </c>
      <c r="AI410" s="10"/>
      <c r="AJ410" s="21"/>
      <c r="AL410" s="21"/>
      <c r="AM410" s="193"/>
      <c r="AN410" s="143"/>
      <c r="AO410" s="217"/>
      <c r="AP410" s="143"/>
    </row>
    <row r="411" spans="3:42" ht="17.25" customHeight="1">
      <c r="C411" s="8" t="s">
        <v>238</v>
      </c>
      <c r="D411" s="2"/>
      <c r="E411" s="20" t="s">
        <v>1710</v>
      </c>
      <c r="F411" s="21"/>
      <c r="H411" s="289">
        <f t="shared" si="34"/>
        <v>50000</v>
      </c>
      <c r="I411" s="286"/>
      <c r="J411" s="58"/>
      <c r="K411" s="58"/>
      <c r="L411" s="58"/>
      <c r="M411" s="58"/>
      <c r="N411" s="58"/>
      <c r="O411" s="58"/>
      <c r="P411" s="58"/>
      <c r="Q411" s="58"/>
      <c r="R411" s="58"/>
      <c r="S411" s="58">
        <v>50000</v>
      </c>
      <c r="T411" s="58"/>
      <c r="U411" s="58"/>
      <c r="V411" s="258"/>
      <c r="W411" s="624"/>
      <c r="X411" s="624"/>
      <c r="Y411" s="258"/>
      <c r="Z411" s="58"/>
      <c r="AA411" s="336"/>
      <c r="AB411" s="258"/>
      <c r="AC411" s="258"/>
      <c r="AD411" s="258"/>
      <c r="AE411" s="258"/>
      <c r="AF411" s="20"/>
      <c r="AG411" s="27"/>
      <c r="AH411" s="133">
        <v>42262</v>
      </c>
      <c r="AI411" s="10"/>
      <c r="AJ411" s="21"/>
      <c r="AL411" s="21"/>
      <c r="AM411" s="193"/>
      <c r="AN411" s="143"/>
      <c r="AO411" s="217"/>
      <c r="AP411" s="143"/>
    </row>
    <row r="412" spans="3:42" ht="17.25" customHeight="1">
      <c r="C412" s="8" t="s">
        <v>238</v>
      </c>
      <c r="D412" s="2"/>
      <c r="E412" s="20" t="s">
        <v>1711</v>
      </c>
      <c r="F412" s="21"/>
      <c r="H412" s="289">
        <f t="shared" si="34"/>
        <v>114.26</v>
      </c>
      <c r="I412" s="285"/>
      <c r="J412" s="252"/>
      <c r="K412" s="252"/>
      <c r="L412" s="252"/>
      <c r="M412" s="252"/>
      <c r="N412" s="252"/>
      <c r="O412" s="252"/>
      <c r="P412" s="252"/>
      <c r="Q412" s="252"/>
      <c r="R412" s="252"/>
      <c r="S412" s="252">
        <v>114.26</v>
      </c>
      <c r="T412" s="252"/>
      <c r="U412" s="252"/>
      <c r="V412" s="258"/>
      <c r="W412" s="624"/>
      <c r="X412" s="624"/>
      <c r="Y412" s="258"/>
      <c r="Z412" s="58"/>
      <c r="AA412" s="336"/>
      <c r="AB412" s="258"/>
      <c r="AC412" s="258"/>
      <c r="AD412" s="258"/>
      <c r="AE412" s="258"/>
      <c r="AF412" s="20"/>
      <c r="AG412" s="27"/>
      <c r="AH412" s="133">
        <v>42206</v>
      </c>
      <c r="AI412" s="10"/>
      <c r="AJ412" s="21"/>
      <c r="AL412" s="21"/>
      <c r="AM412" s="193"/>
      <c r="AN412" s="143"/>
      <c r="AO412" s="217"/>
      <c r="AP412" s="143"/>
    </row>
    <row r="413" spans="3:42" ht="17.25" customHeight="1">
      <c r="C413" s="8" t="s">
        <v>238</v>
      </c>
      <c r="D413" s="2"/>
      <c r="E413" s="20" t="s">
        <v>1712</v>
      </c>
      <c r="F413" s="21"/>
      <c r="H413" s="289">
        <f t="shared" si="34"/>
        <v>408853.43</v>
      </c>
      <c r="I413" s="285"/>
      <c r="J413" s="252"/>
      <c r="K413" s="252"/>
      <c r="L413" s="252"/>
      <c r="M413" s="252"/>
      <c r="N413" s="252"/>
      <c r="O413" s="252"/>
      <c r="P413" s="252"/>
      <c r="Q413" s="252"/>
      <c r="R413" s="252"/>
      <c r="S413" s="252">
        <f>SUM(368026.86, 40826.57)</f>
        <v>408853.43</v>
      </c>
      <c r="T413" s="252"/>
      <c r="U413" s="252"/>
      <c r="V413" s="258"/>
      <c r="W413" s="624"/>
      <c r="X413" s="624"/>
      <c r="Y413" s="258"/>
      <c r="Z413" s="58"/>
      <c r="AA413" s="336"/>
      <c r="AB413" s="258"/>
      <c r="AC413" s="258"/>
      <c r="AD413" s="258"/>
      <c r="AE413" s="258"/>
      <c r="AF413" s="20"/>
      <c r="AG413" s="27"/>
      <c r="AH413" s="133">
        <v>42466</v>
      </c>
      <c r="AI413" s="10"/>
      <c r="AJ413" s="21"/>
      <c r="AL413" s="21"/>
      <c r="AM413" s="193"/>
      <c r="AN413" s="143"/>
      <c r="AO413" s="217"/>
      <c r="AP413" s="143"/>
    </row>
    <row r="414" spans="3:42" ht="17.25" customHeight="1" thickBot="1">
      <c r="C414" s="97" t="s">
        <v>1713</v>
      </c>
      <c r="D414" s="97"/>
      <c r="E414" s="97"/>
      <c r="F414" s="98"/>
      <c r="G414" s="191"/>
      <c r="H414" s="191"/>
      <c r="I414" s="82"/>
      <c r="J414" s="191"/>
      <c r="K414" s="191"/>
      <c r="L414" s="191"/>
      <c r="M414" s="191"/>
      <c r="N414" s="191"/>
      <c r="O414" s="191"/>
      <c r="P414" s="191"/>
      <c r="Q414" s="191"/>
      <c r="R414" s="191"/>
      <c r="S414" s="191"/>
      <c r="T414" s="99"/>
      <c r="U414" s="99"/>
      <c r="V414" s="99"/>
      <c r="W414" s="98"/>
      <c r="X414" s="98"/>
      <c r="Y414" s="343"/>
      <c r="Z414" s="98"/>
      <c r="AA414" s="98"/>
      <c r="AB414" s="98"/>
      <c r="AC414" s="98"/>
      <c r="AD414" s="98"/>
      <c r="AE414" s="98"/>
      <c r="AF414" s="98"/>
      <c r="AG414" s="98"/>
      <c r="AH414" s="98"/>
      <c r="AI414" s="98"/>
      <c r="AJ414" s="98"/>
      <c r="AK414" s="98"/>
      <c r="AL414" s="98"/>
      <c r="AM414" s="82"/>
      <c r="AN414" s="98"/>
      <c r="AO414" s="98"/>
      <c r="AP414" s="98"/>
    </row>
    <row r="415" spans="3:42" ht="17.25" customHeight="1">
      <c r="C415" s="8" t="s">
        <v>238</v>
      </c>
      <c r="D415" s="2"/>
      <c r="E415" s="20" t="s">
        <v>1714</v>
      </c>
      <c r="F415" s="21"/>
      <c r="H415" s="294">
        <f t="shared" si="34"/>
        <v>3355.5</v>
      </c>
      <c r="J415" s="58"/>
      <c r="L415" s="143"/>
      <c r="M415" s="143"/>
      <c r="N415" s="143"/>
      <c r="O415" s="143"/>
      <c r="P415" s="143"/>
      <c r="Q415" s="143"/>
      <c r="R415" s="45">
        <v>3355.5</v>
      </c>
      <c r="S415" s="143"/>
      <c r="T415" s="143"/>
      <c r="U415" s="143"/>
      <c r="V415" s="295"/>
      <c r="W415" s="624"/>
      <c r="X415" s="624"/>
      <c r="Y415" s="295"/>
      <c r="Z415" s="58"/>
      <c r="AA415" s="336"/>
      <c r="AB415" s="295"/>
      <c r="AC415" s="258"/>
      <c r="AD415" s="258"/>
      <c r="AE415" s="258"/>
      <c r="AF415" s="20"/>
      <c r="AG415" s="27"/>
      <c r="AH415" s="133">
        <v>41834</v>
      </c>
      <c r="AI415" s="10"/>
      <c r="AJ415" s="21"/>
      <c r="AL415" s="21"/>
      <c r="AM415" s="193"/>
      <c r="AN415" s="143"/>
      <c r="AO415" s="189"/>
      <c r="AP415" s="189"/>
    </row>
    <row r="416" spans="3:42" ht="17.25" customHeight="1">
      <c r="C416" s="8" t="s">
        <v>238</v>
      </c>
      <c r="D416" s="2"/>
      <c r="E416" s="20" t="s">
        <v>1715</v>
      </c>
      <c r="F416" s="21"/>
      <c r="H416" s="289">
        <f t="shared" si="34"/>
        <v>123642.70999999999</v>
      </c>
      <c r="I416" s="87"/>
      <c r="J416" s="143"/>
      <c r="K416" s="143"/>
      <c r="L416" s="143"/>
      <c r="M416" s="143"/>
      <c r="N416" s="143"/>
      <c r="O416" s="143"/>
      <c r="P416" s="143"/>
      <c r="Q416" s="143"/>
      <c r="R416" s="45">
        <f>SUM(29031.25, 54128.75, 3573.15, 26799.9, 8594.16, 1515.5)</f>
        <v>123642.70999999999</v>
      </c>
      <c r="S416" s="143"/>
      <c r="T416" s="143"/>
      <c r="U416" s="143"/>
      <c r="V416" s="258"/>
      <c r="W416" s="624"/>
      <c r="X416" s="624"/>
      <c r="Y416" s="258"/>
      <c r="Z416" s="58"/>
      <c r="AA416" s="336"/>
      <c r="AB416" s="258"/>
      <c r="AC416" s="258"/>
      <c r="AD416" s="258"/>
      <c r="AE416" s="258"/>
      <c r="AF416" s="20"/>
      <c r="AG416" s="27">
        <v>41732</v>
      </c>
      <c r="AH416" s="133">
        <v>41912</v>
      </c>
      <c r="AI416" s="10">
        <f t="shared" si="35"/>
        <v>5</v>
      </c>
      <c r="AJ416" s="21"/>
      <c r="AL416" s="21"/>
      <c r="AM416" s="193"/>
      <c r="AN416" s="143"/>
      <c r="AO416" s="189"/>
      <c r="AP416" s="189"/>
    </row>
    <row r="417" spans="3:42" ht="17.25" customHeight="1">
      <c r="C417" s="8" t="s">
        <v>238</v>
      </c>
      <c r="D417" s="2"/>
      <c r="E417" s="20" t="s">
        <v>1716</v>
      </c>
      <c r="F417" s="21"/>
      <c r="H417" s="289">
        <f t="shared" si="34"/>
        <v>7125</v>
      </c>
      <c r="I417" s="87"/>
      <c r="J417" s="143"/>
      <c r="K417" s="143"/>
      <c r="L417" s="143"/>
      <c r="M417" s="143"/>
      <c r="N417" s="143"/>
      <c r="O417" s="143"/>
      <c r="P417" s="143"/>
      <c r="Q417" s="143"/>
      <c r="R417" s="58">
        <f>SUM(4125, 3000)</f>
        <v>7125</v>
      </c>
      <c r="S417" s="143"/>
      <c r="T417" s="143"/>
      <c r="U417" s="143"/>
      <c r="V417" s="258"/>
      <c r="W417" s="624"/>
      <c r="X417" s="624"/>
      <c r="Y417" s="258"/>
      <c r="Z417" s="58"/>
      <c r="AA417" s="336"/>
      <c r="AB417" s="258"/>
      <c r="AC417" s="258"/>
      <c r="AD417" s="258"/>
      <c r="AE417" s="258"/>
      <c r="AF417" s="20"/>
      <c r="AG417" s="27"/>
      <c r="AH417" s="133">
        <v>41981</v>
      </c>
      <c r="AI417" s="10"/>
      <c r="AJ417" s="21"/>
      <c r="AL417" s="21"/>
      <c r="AM417" s="193"/>
      <c r="AN417" s="143"/>
      <c r="AO417" s="189"/>
      <c r="AP417" s="189"/>
    </row>
    <row r="418" spans="3:42" ht="17.25" customHeight="1">
      <c r="C418" s="8" t="s">
        <v>238</v>
      </c>
      <c r="D418" s="2"/>
      <c r="E418" s="20" t="s">
        <v>1717</v>
      </c>
      <c r="F418" s="21"/>
      <c r="H418" s="289">
        <f t="shared" si="34"/>
        <v>11637.95</v>
      </c>
      <c r="I418" s="87"/>
      <c r="J418" s="143"/>
      <c r="K418" s="143"/>
      <c r="L418" s="143"/>
      <c r="M418" s="143"/>
      <c r="N418" s="143"/>
      <c r="O418" s="143"/>
      <c r="P418" s="143"/>
      <c r="Q418" s="143"/>
      <c r="R418" s="252">
        <v>11637.95</v>
      </c>
      <c r="S418" s="143"/>
      <c r="T418" s="143"/>
      <c r="U418" s="143"/>
      <c r="V418" s="258"/>
      <c r="W418" s="624"/>
      <c r="X418" s="624"/>
      <c r="Y418" s="258"/>
      <c r="Z418" s="58"/>
      <c r="AA418" s="336"/>
      <c r="AB418" s="258"/>
      <c r="AC418" s="258"/>
      <c r="AD418" s="258"/>
      <c r="AE418" s="258"/>
      <c r="AF418" s="20"/>
      <c r="AG418" s="27">
        <v>41719</v>
      </c>
      <c r="AH418" s="133">
        <v>41856</v>
      </c>
      <c r="AI418" s="10">
        <f t="shared" si="35"/>
        <v>5</v>
      </c>
      <c r="AJ418" s="21"/>
      <c r="AL418" s="21"/>
      <c r="AM418" s="193"/>
      <c r="AN418" s="143"/>
      <c r="AO418" s="189"/>
      <c r="AP418" s="189"/>
    </row>
    <row r="419" spans="3:42" ht="17.25" customHeight="1">
      <c r="C419" s="8" t="s">
        <v>238</v>
      </c>
      <c r="D419" s="2"/>
      <c r="E419" s="20" t="s">
        <v>1718</v>
      </c>
      <c r="F419" s="21"/>
      <c r="H419" s="289">
        <f t="shared" si="34"/>
        <v>1000</v>
      </c>
      <c r="I419" s="87"/>
      <c r="J419" s="143"/>
      <c r="K419" s="143"/>
      <c r="L419" s="143"/>
      <c r="M419" s="143"/>
      <c r="N419" s="143"/>
      <c r="O419" s="143"/>
      <c r="P419" s="143"/>
      <c r="Q419" s="45"/>
      <c r="R419" s="58">
        <v>1000</v>
      </c>
      <c r="S419" s="143"/>
      <c r="T419" s="143"/>
      <c r="U419" s="143"/>
      <c r="V419" s="258"/>
      <c r="W419" s="624"/>
      <c r="X419" s="624"/>
      <c r="Y419" s="258"/>
      <c r="Z419" s="58"/>
      <c r="AA419" s="336"/>
      <c r="AB419" s="258"/>
      <c r="AC419" s="258"/>
      <c r="AD419" s="258"/>
      <c r="AE419" s="258"/>
      <c r="AF419" s="20"/>
      <c r="AG419" s="27"/>
      <c r="AH419" s="133">
        <v>42157</v>
      </c>
      <c r="AI419" s="10"/>
      <c r="AJ419" s="21"/>
      <c r="AL419" s="21"/>
      <c r="AM419" s="193"/>
      <c r="AN419" s="143"/>
      <c r="AO419" s="189"/>
      <c r="AP419" s="189"/>
    </row>
    <row r="420" spans="3:42" ht="17.25" customHeight="1">
      <c r="C420" s="8" t="s">
        <v>238</v>
      </c>
      <c r="D420" s="2"/>
      <c r="E420" s="20" t="s">
        <v>1719</v>
      </c>
      <c r="F420" s="21"/>
      <c r="H420" s="289">
        <f t="shared" si="34"/>
        <v>7072.32</v>
      </c>
      <c r="I420" s="87"/>
      <c r="J420" s="143"/>
      <c r="K420" s="143"/>
      <c r="L420" s="143"/>
      <c r="M420" s="143"/>
      <c r="N420" s="143"/>
      <c r="O420" s="143"/>
      <c r="P420" s="143"/>
      <c r="Q420" s="45"/>
      <c r="R420" s="252">
        <v>7072.32</v>
      </c>
      <c r="S420" s="143"/>
      <c r="T420" s="143"/>
      <c r="U420" s="143"/>
      <c r="V420" s="258"/>
      <c r="W420" s="624"/>
      <c r="X420" s="624"/>
      <c r="Y420" s="258"/>
      <c r="Z420" s="58"/>
      <c r="AA420" s="336"/>
      <c r="AB420" s="258"/>
      <c r="AC420" s="258"/>
      <c r="AD420" s="258"/>
      <c r="AE420" s="258"/>
      <c r="AF420" s="20"/>
      <c r="AG420" s="27">
        <v>41518</v>
      </c>
      <c r="AH420" s="133">
        <v>42080</v>
      </c>
      <c r="AI420" s="10">
        <f t="shared" si="35"/>
        <v>18</v>
      </c>
      <c r="AJ420" s="21"/>
      <c r="AL420" s="21"/>
      <c r="AM420" s="193"/>
      <c r="AN420" s="143"/>
      <c r="AO420" s="189"/>
      <c r="AP420" s="189"/>
    </row>
    <row r="421" spans="3:42" ht="17.25" customHeight="1">
      <c r="C421" s="8" t="s">
        <v>238</v>
      </c>
      <c r="D421" s="2"/>
      <c r="E421" s="20" t="s">
        <v>1720</v>
      </c>
      <c r="F421" s="21"/>
      <c r="H421" s="289">
        <f t="shared" si="34"/>
        <v>200</v>
      </c>
      <c r="I421" s="87"/>
      <c r="J421" s="143"/>
      <c r="K421" s="143"/>
      <c r="L421" s="143"/>
      <c r="M421" s="143"/>
      <c r="N421" s="143"/>
      <c r="O421" s="143"/>
      <c r="P421" s="143"/>
      <c r="Q421" s="45"/>
      <c r="R421" s="58">
        <v>200</v>
      </c>
      <c r="S421" s="143"/>
      <c r="T421" s="143"/>
      <c r="U421" s="143"/>
      <c r="V421" s="258"/>
      <c r="W421" s="624"/>
      <c r="X421" s="624"/>
      <c r="Y421" s="258"/>
      <c r="Z421" s="58"/>
      <c r="AA421" s="336"/>
      <c r="AB421" s="258"/>
      <c r="AC421" s="258"/>
      <c r="AD421" s="258"/>
      <c r="AE421" s="258"/>
      <c r="AF421" s="20"/>
      <c r="AG421" s="27"/>
      <c r="AH421" s="133">
        <v>41836</v>
      </c>
      <c r="AI421" s="10"/>
      <c r="AJ421" s="21"/>
      <c r="AL421" s="21"/>
      <c r="AM421" s="193"/>
      <c r="AN421" s="143"/>
      <c r="AO421" s="189"/>
      <c r="AP421" s="189"/>
    </row>
    <row r="422" spans="3:42" ht="17.25" customHeight="1">
      <c r="C422" s="8" t="s">
        <v>238</v>
      </c>
      <c r="D422" s="2"/>
      <c r="E422" s="20" t="s">
        <v>1721</v>
      </c>
      <c r="F422" s="21"/>
      <c r="H422" s="289">
        <f t="shared" si="34"/>
        <v>1000</v>
      </c>
      <c r="I422" s="87"/>
      <c r="J422" s="143"/>
      <c r="K422" s="143"/>
      <c r="L422" s="143"/>
      <c r="M422" s="143"/>
      <c r="N422" s="143"/>
      <c r="O422" s="143"/>
      <c r="P422" s="143"/>
      <c r="Q422" s="45"/>
      <c r="R422" s="252">
        <v>1000</v>
      </c>
      <c r="S422" s="143"/>
      <c r="T422" s="143"/>
      <c r="U422" s="143"/>
      <c r="V422" s="258"/>
      <c r="W422" s="624"/>
      <c r="X422" s="624"/>
      <c r="Y422" s="258"/>
      <c r="Z422" s="58"/>
      <c r="AA422" s="336"/>
      <c r="AB422" s="258"/>
      <c r="AC422" s="258"/>
      <c r="AD422" s="258"/>
      <c r="AE422" s="258"/>
      <c r="AF422" s="20"/>
      <c r="AG422" s="27">
        <v>41844</v>
      </c>
      <c r="AH422" s="133">
        <v>41913</v>
      </c>
      <c r="AI422" s="10">
        <f t="shared" si="35"/>
        <v>3</v>
      </c>
      <c r="AJ422" s="21"/>
      <c r="AL422" s="21"/>
      <c r="AM422" s="193"/>
      <c r="AN422" s="143"/>
      <c r="AO422" s="189"/>
      <c r="AP422" s="189"/>
    </row>
    <row r="423" spans="3:42" ht="17.25" customHeight="1">
      <c r="C423" s="8" t="s">
        <v>238</v>
      </c>
      <c r="D423" s="2"/>
      <c r="E423" s="20" t="s">
        <v>1722</v>
      </c>
      <c r="F423" s="21"/>
      <c r="H423" s="289">
        <f t="shared" si="34"/>
        <v>67455.11</v>
      </c>
      <c r="I423" s="87"/>
      <c r="J423" s="143"/>
      <c r="K423" s="143"/>
      <c r="L423" s="143"/>
      <c r="M423" s="143"/>
      <c r="N423" s="143"/>
      <c r="O423" s="143"/>
      <c r="P423" s="143"/>
      <c r="Q423" s="45">
        <v>66541.86</v>
      </c>
      <c r="R423" s="58">
        <v>913.25</v>
      </c>
      <c r="S423" s="143"/>
      <c r="T423" s="143"/>
      <c r="U423" s="143"/>
      <c r="V423" s="258"/>
      <c r="W423" s="624"/>
      <c r="X423" s="624"/>
      <c r="Y423" s="258"/>
      <c r="Z423" s="58"/>
      <c r="AA423" s="336"/>
      <c r="AB423" s="258"/>
      <c r="AC423" s="258"/>
      <c r="AD423" s="258"/>
      <c r="AE423" s="258"/>
      <c r="AF423" s="20"/>
      <c r="AG423" s="27">
        <v>41288</v>
      </c>
      <c r="AH423" s="133">
        <v>41996</v>
      </c>
      <c r="AI423" s="10">
        <f t="shared" si="35"/>
        <v>23</v>
      </c>
      <c r="AJ423" s="21"/>
      <c r="AL423" s="21"/>
      <c r="AM423" s="193"/>
      <c r="AN423" s="143"/>
      <c r="AO423" s="189"/>
      <c r="AP423" s="189"/>
    </row>
    <row r="424" spans="3:42" ht="17.25" customHeight="1">
      <c r="C424" s="8" t="s">
        <v>238</v>
      </c>
      <c r="D424" s="2"/>
      <c r="E424" s="255" t="s">
        <v>1723</v>
      </c>
      <c r="F424" s="21"/>
      <c r="H424" s="289">
        <f t="shared" si="34"/>
        <v>13191.34</v>
      </c>
      <c r="I424" s="87"/>
      <c r="J424" s="143"/>
      <c r="K424" s="143"/>
      <c r="L424" s="143"/>
      <c r="M424" s="143"/>
      <c r="N424" s="143"/>
      <c r="O424" s="143"/>
      <c r="P424" s="143"/>
      <c r="Q424" s="45"/>
      <c r="R424" s="252">
        <v>13191.34</v>
      </c>
      <c r="S424" s="143"/>
      <c r="T424" s="143"/>
      <c r="U424" s="143"/>
      <c r="V424" s="258"/>
      <c r="W424" s="624"/>
      <c r="X424" s="624"/>
      <c r="Y424" s="258"/>
      <c r="Z424" s="58"/>
      <c r="AA424" s="336"/>
      <c r="AB424" s="258"/>
      <c r="AC424" s="258"/>
      <c r="AD424" s="258"/>
      <c r="AE424" s="258"/>
      <c r="AF424" s="20"/>
      <c r="AG424" s="27"/>
      <c r="AH424" s="133">
        <v>41932</v>
      </c>
      <c r="AI424" s="10"/>
      <c r="AJ424" s="21"/>
      <c r="AL424" s="21"/>
      <c r="AM424" s="193"/>
      <c r="AN424" s="143"/>
      <c r="AO424" s="189"/>
      <c r="AP424" s="189"/>
    </row>
    <row r="425" spans="3:42" ht="17.25" customHeight="1">
      <c r="C425" s="8" t="s">
        <v>238</v>
      </c>
      <c r="D425" s="2"/>
      <c r="E425" s="255" t="s">
        <v>1724</v>
      </c>
      <c r="F425" s="21"/>
      <c r="H425" s="289">
        <f t="shared" si="34"/>
        <v>300000</v>
      </c>
      <c r="I425" s="87"/>
      <c r="J425" s="143"/>
      <c r="K425" s="143"/>
      <c r="L425" s="143"/>
      <c r="M425" s="143"/>
      <c r="N425" s="143"/>
      <c r="O425" s="143"/>
      <c r="P425" s="143"/>
      <c r="Q425" s="45"/>
      <c r="R425" s="58">
        <v>300000</v>
      </c>
      <c r="S425" s="143"/>
      <c r="T425" s="143"/>
      <c r="U425" s="143"/>
      <c r="V425" s="258"/>
      <c r="W425" s="624"/>
      <c r="X425" s="624"/>
      <c r="Y425" s="258"/>
      <c r="Z425" s="58"/>
      <c r="AA425" s="336"/>
      <c r="AB425" s="258"/>
      <c r="AC425" s="258"/>
      <c r="AD425" s="258"/>
      <c r="AE425" s="258"/>
      <c r="AF425" s="20"/>
      <c r="AG425" s="27"/>
      <c r="AH425" s="133">
        <v>42032</v>
      </c>
      <c r="AI425" s="10"/>
      <c r="AJ425" s="21"/>
      <c r="AL425" s="21"/>
      <c r="AM425" s="193"/>
      <c r="AN425" s="143"/>
      <c r="AO425" s="189"/>
      <c r="AP425" s="189"/>
    </row>
    <row r="426" spans="3:42" ht="17.25" customHeight="1">
      <c r="C426" s="8" t="s">
        <v>238</v>
      </c>
      <c r="D426" s="2"/>
      <c r="E426" s="20" t="s">
        <v>1725</v>
      </c>
      <c r="F426" s="21"/>
      <c r="H426" s="289">
        <f t="shared" si="34"/>
        <v>5000</v>
      </c>
      <c r="I426" s="87"/>
      <c r="J426" s="143"/>
      <c r="K426" s="143"/>
      <c r="L426" s="143"/>
      <c r="M426" s="143"/>
      <c r="N426" s="143"/>
      <c r="O426" s="143"/>
      <c r="P426" s="143"/>
      <c r="Q426" s="45"/>
      <c r="R426" s="252">
        <v>5000</v>
      </c>
      <c r="S426" s="143"/>
      <c r="T426" s="143"/>
      <c r="U426" s="143"/>
      <c r="V426" s="258"/>
      <c r="W426" s="624"/>
      <c r="X426" s="624"/>
      <c r="Y426" s="258"/>
      <c r="Z426" s="58"/>
      <c r="AA426" s="336"/>
      <c r="AB426" s="258"/>
      <c r="AC426" s="258"/>
      <c r="AD426" s="258"/>
      <c r="AE426" s="258"/>
      <c r="AF426" s="20"/>
      <c r="AG426" s="27">
        <v>41850</v>
      </c>
      <c r="AH426" s="133">
        <v>41898</v>
      </c>
      <c r="AI426" s="10">
        <f t="shared" si="35"/>
        <v>2</v>
      </c>
      <c r="AJ426" s="21"/>
      <c r="AL426" s="21"/>
      <c r="AM426" s="193"/>
      <c r="AN426" s="143"/>
      <c r="AO426" s="189"/>
      <c r="AP426" s="189"/>
    </row>
    <row r="427" spans="3:42" ht="17.25" customHeight="1">
      <c r="C427" s="8" t="s">
        <v>238</v>
      </c>
      <c r="D427" s="2"/>
      <c r="E427" s="20" t="s">
        <v>1726</v>
      </c>
      <c r="F427" s="21"/>
      <c r="H427" s="289">
        <f t="shared" ref="H427:H489" si="36">SUM(I427:U427)</f>
        <v>500</v>
      </c>
      <c r="I427" s="87"/>
      <c r="J427" s="143"/>
      <c r="K427" s="143"/>
      <c r="L427" s="143"/>
      <c r="M427" s="143"/>
      <c r="N427" s="143"/>
      <c r="O427" s="143"/>
      <c r="P427" s="143"/>
      <c r="Q427" s="45"/>
      <c r="R427" s="58">
        <v>500</v>
      </c>
      <c r="S427" s="143"/>
      <c r="T427" s="143"/>
      <c r="U427" s="143"/>
      <c r="V427" s="258"/>
      <c r="W427" s="624"/>
      <c r="X427" s="624"/>
      <c r="Y427" s="258"/>
      <c r="Z427" s="58"/>
      <c r="AA427" s="336"/>
      <c r="AB427" s="258"/>
      <c r="AC427" s="258"/>
      <c r="AD427" s="258"/>
      <c r="AE427" s="258"/>
      <c r="AF427" s="20"/>
      <c r="AG427" s="278"/>
      <c r="AH427" s="133">
        <v>41984</v>
      </c>
      <c r="AI427" s="10"/>
      <c r="AJ427" s="21"/>
      <c r="AL427" s="21"/>
      <c r="AM427" s="193"/>
      <c r="AN427" s="143"/>
      <c r="AO427" s="189"/>
      <c r="AP427" s="189"/>
    </row>
    <row r="428" spans="3:42" ht="17.25" customHeight="1">
      <c r="C428" s="8" t="s">
        <v>238</v>
      </c>
      <c r="D428" s="2"/>
      <c r="E428" s="20" t="s">
        <v>1727</v>
      </c>
      <c r="F428" s="21"/>
      <c r="H428" s="289">
        <f t="shared" si="36"/>
        <v>50000</v>
      </c>
      <c r="I428" s="87"/>
      <c r="J428" s="143"/>
      <c r="K428" s="143"/>
      <c r="L428" s="143"/>
      <c r="M428" s="143"/>
      <c r="N428" s="143"/>
      <c r="O428" s="143"/>
      <c r="P428" s="143"/>
      <c r="Q428" s="45"/>
      <c r="R428" s="252">
        <v>50000</v>
      </c>
      <c r="S428" s="143"/>
      <c r="T428" s="143"/>
      <c r="U428" s="143"/>
      <c r="V428" s="258"/>
      <c r="W428" s="624"/>
      <c r="X428" s="624"/>
      <c r="Y428" s="258"/>
      <c r="Z428" s="58"/>
      <c r="AA428" s="336"/>
      <c r="AB428" s="258"/>
      <c r="AC428" s="258"/>
      <c r="AD428" s="258"/>
      <c r="AE428" s="258"/>
      <c r="AF428" s="20"/>
      <c r="AG428" s="27">
        <v>41774</v>
      </c>
      <c r="AH428" s="133">
        <v>41961</v>
      </c>
      <c r="AI428" s="10">
        <f t="shared" si="35"/>
        <v>6</v>
      </c>
      <c r="AJ428" s="21"/>
      <c r="AL428" s="21"/>
      <c r="AM428" s="193"/>
      <c r="AN428" s="143"/>
      <c r="AO428" s="189"/>
      <c r="AP428" s="189"/>
    </row>
    <row r="429" spans="3:42" ht="17.25" customHeight="1">
      <c r="C429" s="8" t="s">
        <v>238</v>
      </c>
      <c r="D429" s="2"/>
      <c r="E429" s="20" t="s">
        <v>1728</v>
      </c>
      <c r="F429" s="21"/>
      <c r="H429" s="289">
        <f t="shared" si="36"/>
        <v>37500</v>
      </c>
      <c r="I429" s="87"/>
      <c r="J429" s="143"/>
      <c r="K429" s="143"/>
      <c r="L429" s="143"/>
      <c r="M429" s="143"/>
      <c r="N429" s="143"/>
      <c r="O429" s="143"/>
      <c r="P429" s="143"/>
      <c r="Q429" s="45"/>
      <c r="R429" s="252">
        <v>37500</v>
      </c>
      <c r="S429" s="143"/>
      <c r="T429" s="143"/>
      <c r="U429" s="143"/>
      <c r="V429" s="258"/>
      <c r="W429" s="624"/>
      <c r="X429" s="624"/>
      <c r="Y429" s="258"/>
      <c r="Z429" s="58"/>
      <c r="AA429" s="336"/>
      <c r="AB429" s="258"/>
      <c r="AC429" s="258"/>
      <c r="AD429" s="258"/>
      <c r="AE429" s="258"/>
      <c r="AF429" s="20"/>
      <c r="AG429" s="27">
        <v>41986</v>
      </c>
      <c r="AH429" s="133">
        <v>42004</v>
      </c>
      <c r="AI429" s="10">
        <f t="shared" si="35"/>
        <v>0</v>
      </c>
      <c r="AJ429" s="21"/>
      <c r="AL429" s="21"/>
      <c r="AM429" s="193"/>
      <c r="AN429" s="143"/>
      <c r="AO429" s="189"/>
      <c r="AP429" s="189"/>
    </row>
    <row r="430" spans="3:42" ht="17.25" customHeight="1">
      <c r="C430" s="8" t="s">
        <v>238</v>
      </c>
      <c r="D430" s="2"/>
      <c r="E430" s="20" t="s">
        <v>1729</v>
      </c>
      <c r="F430" s="21"/>
      <c r="H430" s="289">
        <f t="shared" si="36"/>
        <v>5000</v>
      </c>
      <c r="I430" s="87"/>
      <c r="J430" s="143"/>
      <c r="K430" s="143"/>
      <c r="L430" s="143"/>
      <c r="M430" s="143"/>
      <c r="N430" s="143"/>
      <c r="O430" s="143"/>
      <c r="P430" s="143"/>
      <c r="Q430" s="45"/>
      <c r="R430" s="58">
        <v>5000</v>
      </c>
      <c r="S430" s="143"/>
      <c r="T430" s="143"/>
      <c r="U430" s="143"/>
      <c r="V430" s="258"/>
      <c r="W430" s="624"/>
      <c r="X430" s="624"/>
      <c r="Y430" s="258"/>
      <c r="Z430" s="58"/>
      <c r="AA430" s="336"/>
      <c r="AB430" s="258"/>
      <c r="AC430" s="258"/>
      <c r="AD430" s="258"/>
      <c r="AE430" s="258"/>
      <c r="AF430" s="20"/>
      <c r="AG430" s="27">
        <v>41717</v>
      </c>
      <c r="AH430" s="133">
        <v>42083</v>
      </c>
      <c r="AI430" s="10">
        <f t="shared" ref="AI430:AI492" si="37">(YEAR(AH430)-YEAR(AG430))*12+MONTH(AH430)-MONTH(AG430)</f>
        <v>12</v>
      </c>
      <c r="AJ430" s="21"/>
      <c r="AL430" s="21"/>
      <c r="AM430" s="193"/>
      <c r="AN430" s="143"/>
      <c r="AO430" s="189"/>
      <c r="AP430" s="189"/>
    </row>
    <row r="431" spans="3:42" ht="17.25" customHeight="1">
      <c r="C431" s="8" t="s">
        <v>238</v>
      </c>
      <c r="D431" s="2"/>
      <c r="E431" s="20" t="s">
        <v>1730</v>
      </c>
      <c r="F431" s="21"/>
      <c r="H431" s="289">
        <f t="shared" si="36"/>
        <v>5000</v>
      </c>
      <c r="I431" s="87"/>
      <c r="J431" s="143"/>
      <c r="K431" s="143"/>
      <c r="L431" s="143"/>
      <c r="M431" s="143"/>
      <c r="N431" s="143"/>
      <c r="O431" s="143"/>
      <c r="P431" s="143"/>
      <c r="Q431" s="45"/>
      <c r="R431" s="252">
        <v>5000</v>
      </c>
      <c r="S431" s="143"/>
      <c r="T431" s="143"/>
      <c r="U431" s="143"/>
      <c r="V431" s="258"/>
      <c r="W431" s="624"/>
      <c r="X431" s="624"/>
      <c r="Y431" s="258"/>
      <c r="Z431" s="58"/>
      <c r="AA431" s="336"/>
      <c r="AB431" s="258"/>
      <c r="AC431" s="258"/>
      <c r="AD431" s="258"/>
      <c r="AE431" s="258"/>
      <c r="AF431" s="20"/>
      <c r="AG431" s="27">
        <v>41287</v>
      </c>
      <c r="AH431" s="133">
        <v>41834</v>
      </c>
      <c r="AI431" s="10">
        <f t="shared" si="37"/>
        <v>18</v>
      </c>
      <c r="AJ431" s="21"/>
      <c r="AL431" s="21"/>
      <c r="AM431" s="193"/>
      <c r="AN431" s="143"/>
      <c r="AO431" s="189"/>
      <c r="AP431" s="189"/>
    </row>
    <row r="432" spans="3:42" ht="17.25" customHeight="1">
      <c r="C432" s="8" t="s">
        <v>238</v>
      </c>
      <c r="D432" s="2"/>
      <c r="E432" s="20" t="s">
        <v>1731</v>
      </c>
      <c r="F432" s="21"/>
      <c r="H432" s="289">
        <f t="shared" si="36"/>
        <v>100000</v>
      </c>
      <c r="I432" s="87"/>
      <c r="J432" s="143"/>
      <c r="K432" s="143"/>
      <c r="L432" s="143"/>
      <c r="M432" s="143"/>
      <c r="N432" s="143"/>
      <c r="O432" s="143"/>
      <c r="P432" s="143"/>
      <c r="Q432" s="45"/>
      <c r="R432" s="58">
        <v>100000</v>
      </c>
      <c r="S432" s="143"/>
      <c r="T432" s="143"/>
      <c r="U432" s="143"/>
      <c r="V432" s="258"/>
      <c r="W432" s="624"/>
      <c r="X432" s="624"/>
      <c r="Y432" s="258"/>
      <c r="Z432" s="58"/>
      <c r="AA432" s="336"/>
      <c r="AB432" s="258"/>
      <c r="AC432" s="258"/>
      <c r="AD432" s="258"/>
      <c r="AE432" s="258"/>
      <c r="AF432" s="20"/>
      <c r="AG432" s="27">
        <v>40494</v>
      </c>
      <c r="AH432" s="133">
        <v>42185</v>
      </c>
      <c r="AI432" s="10">
        <f t="shared" si="37"/>
        <v>55</v>
      </c>
      <c r="AJ432" s="21"/>
      <c r="AL432" s="21"/>
      <c r="AM432" s="193"/>
      <c r="AN432" s="143"/>
      <c r="AO432" s="189"/>
      <c r="AP432" s="189"/>
    </row>
    <row r="433" spans="3:42" ht="17.25" customHeight="1">
      <c r="C433" s="8" t="s">
        <v>238</v>
      </c>
      <c r="D433" s="2"/>
      <c r="E433" s="20" t="s">
        <v>1732</v>
      </c>
      <c r="F433" s="21"/>
      <c r="H433" s="289">
        <f t="shared" si="36"/>
        <v>15991.48</v>
      </c>
      <c r="I433" s="87"/>
      <c r="J433" s="143"/>
      <c r="K433" s="143"/>
      <c r="L433" s="143"/>
      <c r="M433" s="143"/>
      <c r="N433" s="143"/>
      <c r="O433" s="143"/>
      <c r="P433" s="143"/>
      <c r="Q433" s="45"/>
      <c r="R433" s="252">
        <v>15991.48</v>
      </c>
      <c r="S433" s="143"/>
      <c r="T433" s="143"/>
      <c r="U433" s="143"/>
      <c r="V433" s="258"/>
      <c r="W433" s="624"/>
      <c r="X433" s="624"/>
      <c r="Y433" s="258"/>
      <c r="Z433" s="58"/>
      <c r="AA433" s="336"/>
      <c r="AB433" s="258"/>
      <c r="AC433" s="258"/>
      <c r="AD433" s="258"/>
      <c r="AE433" s="258"/>
      <c r="AF433" s="20"/>
      <c r="AG433" s="27"/>
      <c r="AH433" s="133">
        <v>42009</v>
      </c>
      <c r="AI433" s="10"/>
      <c r="AJ433" s="21"/>
      <c r="AL433" s="21"/>
      <c r="AM433" s="193"/>
      <c r="AN433" s="143"/>
      <c r="AO433" s="189"/>
      <c r="AP433" s="189"/>
    </row>
    <row r="434" spans="3:42" ht="17.25" customHeight="1">
      <c r="C434" s="8" t="s">
        <v>238</v>
      </c>
      <c r="D434" s="2"/>
      <c r="E434" s="20" t="s">
        <v>1733</v>
      </c>
      <c r="F434" s="21"/>
      <c r="H434" s="289">
        <f t="shared" si="36"/>
        <v>1000</v>
      </c>
      <c r="I434" s="87"/>
      <c r="J434" s="143"/>
      <c r="K434" s="143"/>
      <c r="L434" s="143"/>
      <c r="M434" s="143"/>
      <c r="N434" s="143"/>
      <c r="O434" s="143"/>
      <c r="P434" s="143"/>
      <c r="Q434" s="268"/>
      <c r="R434" s="58">
        <v>1000</v>
      </c>
      <c r="S434" s="143"/>
      <c r="T434" s="143"/>
      <c r="U434" s="143"/>
      <c r="V434" s="258"/>
      <c r="W434" s="624"/>
      <c r="X434" s="624"/>
      <c r="Y434" s="258"/>
      <c r="Z434" s="58"/>
      <c r="AA434" s="336"/>
      <c r="AB434" s="258"/>
      <c r="AC434" s="258"/>
      <c r="AD434" s="258"/>
      <c r="AE434" s="258"/>
      <c r="AF434" s="20"/>
      <c r="AG434" s="27"/>
      <c r="AH434" s="133">
        <v>42144</v>
      </c>
      <c r="AI434" s="10"/>
      <c r="AJ434" s="21"/>
      <c r="AL434" s="21"/>
      <c r="AM434" s="193"/>
      <c r="AN434" s="143"/>
      <c r="AO434" s="189"/>
      <c r="AP434" s="189"/>
    </row>
    <row r="435" spans="3:42" ht="17.25" customHeight="1">
      <c r="C435" s="8" t="s">
        <v>238</v>
      </c>
      <c r="D435" s="2"/>
      <c r="E435" s="20" t="s">
        <v>1734</v>
      </c>
      <c r="F435" s="21"/>
      <c r="H435" s="289">
        <f t="shared" si="36"/>
        <v>6479.08</v>
      </c>
      <c r="I435" s="87"/>
      <c r="J435" s="143"/>
      <c r="K435" s="143"/>
      <c r="L435" s="143"/>
      <c r="M435" s="143"/>
      <c r="N435" s="143"/>
      <c r="O435" s="45"/>
      <c r="P435" s="143"/>
      <c r="Q435" s="45">
        <v>6236.29</v>
      </c>
      <c r="R435" s="252">
        <v>242.79</v>
      </c>
      <c r="S435" s="143"/>
      <c r="T435" s="143"/>
      <c r="U435" s="143"/>
      <c r="V435" s="258"/>
      <c r="W435" s="624"/>
      <c r="X435" s="624"/>
      <c r="Y435" s="258"/>
      <c r="Z435" s="58"/>
      <c r="AA435" s="336"/>
      <c r="AB435" s="258"/>
      <c r="AC435" s="258"/>
      <c r="AD435" s="258"/>
      <c r="AE435" s="258"/>
      <c r="AF435" s="20"/>
      <c r="AG435" s="27">
        <v>41166</v>
      </c>
      <c r="AH435" s="133">
        <v>41904</v>
      </c>
      <c r="AI435" s="10">
        <f t="shared" si="37"/>
        <v>24</v>
      </c>
      <c r="AJ435" s="21"/>
      <c r="AL435" s="21"/>
      <c r="AM435" s="193"/>
      <c r="AN435" s="143"/>
      <c r="AO435" s="189"/>
      <c r="AP435" s="189"/>
    </row>
    <row r="436" spans="3:42" ht="17.25" customHeight="1">
      <c r="C436" s="8" t="s">
        <v>238</v>
      </c>
      <c r="D436" s="2"/>
      <c r="E436" s="20" t="s">
        <v>1735</v>
      </c>
      <c r="F436" s="21"/>
      <c r="H436" s="289">
        <f t="shared" si="36"/>
        <v>5000</v>
      </c>
      <c r="I436" s="87"/>
      <c r="J436" s="143"/>
      <c r="K436" s="143"/>
      <c r="L436" s="143"/>
      <c r="M436" s="143"/>
      <c r="N436" s="143"/>
      <c r="O436" s="45"/>
      <c r="P436" s="143"/>
      <c r="Q436" s="45"/>
      <c r="R436" s="58">
        <v>5000</v>
      </c>
      <c r="S436" s="143"/>
      <c r="T436" s="143"/>
      <c r="U436" s="143"/>
      <c r="V436" s="258"/>
      <c r="W436" s="624"/>
      <c r="X436" s="624"/>
      <c r="Y436" s="258"/>
      <c r="Z436" s="58"/>
      <c r="AA436" s="336"/>
      <c r="AB436" s="258"/>
      <c r="AC436" s="258"/>
      <c r="AD436" s="258"/>
      <c r="AE436" s="258"/>
      <c r="AF436" s="20"/>
      <c r="AG436" s="27">
        <v>41914</v>
      </c>
      <c r="AH436" s="133">
        <v>42132</v>
      </c>
      <c r="AI436" s="10">
        <f t="shared" si="37"/>
        <v>7</v>
      </c>
      <c r="AJ436" s="21"/>
      <c r="AL436" s="21"/>
      <c r="AM436" s="193"/>
      <c r="AN436" s="143"/>
      <c r="AO436" s="189"/>
      <c r="AP436" s="189"/>
    </row>
    <row r="437" spans="3:42" ht="17.25" customHeight="1">
      <c r="C437" s="8" t="s">
        <v>238</v>
      </c>
      <c r="D437" s="2"/>
      <c r="E437" s="20" t="s">
        <v>1736</v>
      </c>
      <c r="F437" s="21"/>
      <c r="H437" s="289">
        <f t="shared" si="36"/>
        <v>6604.64</v>
      </c>
      <c r="I437" s="87"/>
      <c r="J437" s="143"/>
      <c r="K437" s="143"/>
      <c r="L437" s="143"/>
      <c r="M437" s="143"/>
      <c r="N437" s="143"/>
      <c r="O437" s="45"/>
      <c r="P437" s="143"/>
      <c r="Q437" s="45"/>
      <c r="R437" s="252">
        <v>6604.64</v>
      </c>
      <c r="S437" s="143"/>
      <c r="T437" s="143"/>
      <c r="U437" s="143"/>
      <c r="V437" s="258"/>
      <c r="W437" s="624"/>
      <c r="X437" s="624"/>
      <c r="Y437" s="258"/>
      <c r="Z437" s="58"/>
      <c r="AA437" s="336"/>
      <c r="AB437" s="258"/>
      <c r="AC437" s="258"/>
      <c r="AD437" s="258"/>
      <c r="AE437" s="258"/>
      <c r="AF437" s="20"/>
      <c r="AG437" s="27"/>
      <c r="AH437" s="133">
        <v>41926</v>
      </c>
      <c r="AI437" s="10"/>
      <c r="AJ437" s="21"/>
      <c r="AL437" s="21"/>
      <c r="AM437" s="193"/>
      <c r="AN437" s="143"/>
      <c r="AO437" s="189"/>
      <c r="AP437" s="189"/>
    </row>
    <row r="438" spans="3:42" ht="17.25" customHeight="1">
      <c r="C438" s="8" t="s">
        <v>238</v>
      </c>
      <c r="D438" s="2"/>
      <c r="E438" s="20" t="s">
        <v>1737</v>
      </c>
      <c r="F438" s="21"/>
      <c r="H438" s="289">
        <f t="shared" si="36"/>
        <v>141000</v>
      </c>
      <c r="I438" s="87"/>
      <c r="J438" s="143"/>
      <c r="K438" s="143"/>
      <c r="L438" s="143"/>
      <c r="M438" s="143"/>
      <c r="N438" s="143"/>
      <c r="O438" s="45"/>
      <c r="P438" s="143"/>
      <c r="Q438" s="45"/>
      <c r="R438" s="58">
        <v>141000</v>
      </c>
      <c r="S438" s="143"/>
      <c r="T438" s="143"/>
      <c r="U438" s="143"/>
      <c r="V438" s="258"/>
      <c r="W438" s="624"/>
      <c r="X438" s="624"/>
      <c r="Y438" s="258"/>
      <c r="Z438" s="58"/>
      <c r="AA438" s="336"/>
      <c r="AB438" s="258"/>
      <c r="AC438" s="258"/>
      <c r="AD438" s="258"/>
      <c r="AE438" s="258"/>
      <c r="AF438" s="20"/>
      <c r="AG438" s="27"/>
      <c r="AH438" s="133">
        <v>41988</v>
      </c>
      <c r="AI438" s="10"/>
      <c r="AJ438" s="21"/>
      <c r="AL438" s="21"/>
      <c r="AM438" s="193"/>
      <c r="AN438" s="143"/>
      <c r="AO438" s="189"/>
      <c r="AP438" s="189"/>
    </row>
    <row r="439" spans="3:42" ht="17.25" customHeight="1">
      <c r="C439" s="8" t="s">
        <v>238</v>
      </c>
      <c r="D439" s="2"/>
      <c r="E439" s="20" t="s">
        <v>1738</v>
      </c>
      <c r="F439" s="21"/>
      <c r="H439" s="289">
        <f t="shared" si="36"/>
        <v>32743.25</v>
      </c>
      <c r="I439" s="87"/>
      <c r="J439" s="143"/>
      <c r="K439" s="143"/>
      <c r="L439" s="143"/>
      <c r="M439" s="143"/>
      <c r="N439" s="143"/>
      <c r="O439" s="45"/>
      <c r="P439" s="143"/>
      <c r="Q439" s="268"/>
      <c r="R439" s="58">
        <v>32743.25</v>
      </c>
      <c r="S439" s="143"/>
      <c r="T439" s="143"/>
      <c r="U439" s="143"/>
      <c r="V439" s="258"/>
      <c r="W439" s="624"/>
      <c r="X439" s="624"/>
      <c r="Y439" s="258"/>
      <c r="Z439" s="58"/>
      <c r="AA439" s="336"/>
      <c r="AB439" s="258"/>
      <c r="AC439" s="258"/>
      <c r="AD439" s="258"/>
      <c r="AE439" s="258"/>
      <c r="AF439" s="20"/>
      <c r="AG439" s="27">
        <v>42102</v>
      </c>
      <c r="AH439" s="133">
        <v>42156</v>
      </c>
      <c r="AI439" s="10">
        <f t="shared" si="37"/>
        <v>2</v>
      </c>
      <c r="AJ439" s="21"/>
      <c r="AL439" s="21"/>
      <c r="AM439" s="193"/>
      <c r="AN439" s="143"/>
      <c r="AO439" s="189"/>
      <c r="AP439" s="189"/>
    </row>
    <row r="440" spans="3:42" ht="17.25" customHeight="1">
      <c r="C440" s="8" t="s">
        <v>238</v>
      </c>
      <c r="D440" s="2"/>
      <c r="E440" s="20" t="s">
        <v>1739</v>
      </c>
      <c r="F440" s="21"/>
      <c r="H440" s="289">
        <f t="shared" si="36"/>
        <v>250000</v>
      </c>
      <c r="I440" s="87"/>
      <c r="J440" s="143"/>
      <c r="K440" s="143"/>
      <c r="L440" s="143"/>
      <c r="M440" s="143"/>
      <c r="N440" s="143"/>
      <c r="O440" s="45"/>
      <c r="P440" s="143"/>
      <c r="Q440" s="45"/>
      <c r="R440" s="252">
        <v>250000</v>
      </c>
      <c r="S440" s="143"/>
      <c r="T440" s="143"/>
      <c r="U440" s="143"/>
      <c r="V440" s="258"/>
      <c r="W440" s="624"/>
      <c r="X440" s="624"/>
      <c r="Y440" s="258"/>
      <c r="Z440" s="58"/>
      <c r="AA440" s="336"/>
      <c r="AB440" s="258"/>
      <c r="AC440" s="258"/>
      <c r="AD440" s="258"/>
      <c r="AE440" s="258"/>
      <c r="AF440" s="20"/>
      <c r="AG440" s="27"/>
      <c r="AH440" s="133">
        <v>41912</v>
      </c>
      <c r="AI440" s="10"/>
      <c r="AJ440" s="21"/>
      <c r="AL440" s="21"/>
      <c r="AM440" s="193"/>
      <c r="AN440" s="143"/>
      <c r="AO440" s="189"/>
      <c r="AP440" s="189"/>
    </row>
    <row r="441" spans="3:42" ht="17.25" customHeight="1">
      <c r="C441" s="8" t="s">
        <v>238</v>
      </c>
      <c r="D441" s="2"/>
      <c r="E441" s="20" t="s">
        <v>1740</v>
      </c>
      <c r="F441" s="21"/>
      <c r="H441" s="289">
        <f t="shared" si="36"/>
        <v>76800</v>
      </c>
      <c r="I441" s="87"/>
      <c r="J441" s="143"/>
      <c r="K441" s="143"/>
      <c r="L441" s="143"/>
      <c r="M441" s="143"/>
      <c r="N441" s="143"/>
      <c r="O441" s="45"/>
      <c r="P441" s="143"/>
      <c r="Q441" s="45"/>
      <c r="R441" s="58">
        <v>76800</v>
      </c>
      <c r="S441" s="143"/>
      <c r="T441" s="143"/>
      <c r="U441" s="143"/>
      <c r="V441" s="258"/>
      <c r="W441" s="624"/>
      <c r="X441" s="624"/>
      <c r="Y441" s="258"/>
      <c r="Z441" s="58"/>
      <c r="AA441" s="336"/>
      <c r="AB441" s="258"/>
      <c r="AC441" s="258"/>
      <c r="AD441" s="258"/>
      <c r="AE441" s="258"/>
      <c r="AF441" s="20"/>
      <c r="AG441" s="278"/>
      <c r="AH441" s="133">
        <v>42145</v>
      </c>
      <c r="AI441" s="10"/>
      <c r="AJ441" s="21"/>
      <c r="AL441" s="21"/>
      <c r="AM441" s="193"/>
      <c r="AN441" s="143"/>
      <c r="AO441" s="189"/>
      <c r="AP441" s="189"/>
    </row>
    <row r="442" spans="3:42" ht="17.25" customHeight="1">
      <c r="C442" s="8" t="s">
        <v>238</v>
      </c>
      <c r="D442" s="2"/>
      <c r="E442" s="20" t="s">
        <v>1741</v>
      </c>
      <c r="F442" s="21"/>
      <c r="H442" s="289">
        <f t="shared" si="36"/>
        <v>6382</v>
      </c>
      <c r="I442" s="87"/>
      <c r="J442" s="143"/>
      <c r="K442" s="143"/>
      <c r="L442" s="143"/>
      <c r="M442" s="143"/>
      <c r="N442" s="143"/>
      <c r="O442" s="45"/>
      <c r="P442" s="143"/>
      <c r="Q442" s="45"/>
      <c r="R442" s="252">
        <v>6382</v>
      </c>
      <c r="S442" s="143"/>
      <c r="T442" s="143"/>
      <c r="U442" s="143"/>
      <c r="V442" s="258"/>
      <c r="W442" s="624"/>
      <c r="X442" s="624"/>
      <c r="Y442" s="258"/>
      <c r="Z442" s="58"/>
      <c r="AA442" s="336"/>
      <c r="AB442" s="258"/>
      <c r="AC442" s="258"/>
      <c r="AD442" s="258"/>
      <c r="AE442" s="258"/>
      <c r="AF442" s="20"/>
      <c r="AG442" s="27"/>
      <c r="AH442" s="133">
        <v>41913</v>
      </c>
      <c r="AI442" s="10"/>
      <c r="AJ442" s="21"/>
      <c r="AL442" s="21"/>
      <c r="AM442" s="193"/>
      <c r="AN442" s="143"/>
      <c r="AO442" s="189"/>
      <c r="AP442" s="189"/>
    </row>
    <row r="443" spans="3:42" ht="17.25" customHeight="1">
      <c r="C443" s="8" t="s">
        <v>238</v>
      </c>
      <c r="D443" s="2"/>
      <c r="E443" s="20" t="s">
        <v>1742</v>
      </c>
      <c r="F443" s="21"/>
      <c r="H443" s="289">
        <f t="shared" si="36"/>
        <v>14812.95</v>
      </c>
      <c r="I443" s="87"/>
      <c r="J443" s="143"/>
      <c r="K443" s="143"/>
      <c r="L443" s="143"/>
      <c r="M443" s="143"/>
      <c r="N443" s="143"/>
      <c r="O443" s="45"/>
      <c r="P443" s="143"/>
      <c r="Q443" s="45"/>
      <c r="R443" s="58">
        <v>14812.95</v>
      </c>
      <c r="S443" s="143"/>
      <c r="T443" s="143"/>
      <c r="U443" s="143"/>
      <c r="V443" s="258"/>
      <c r="W443" s="624"/>
      <c r="X443" s="624"/>
      <c r="Y443" s="258"/>
      <c r="Z443" s="58"/>
      <c r="AA443" s="336"/>
      <c r="AB443" s="258"/>
      <c r="AC443" s="258"/>
      <c r="AD443" s="258"/>
      <c r="AE443" s="258"/>
      <c r="AF443" s="20"/>
      <c r="AG443" s="27">
        <v>42158</v>
      </c>
      <c r="AH443" s="133">
        <v>42178</v>
      </c>
      <c r="AI443" s="10">
        <f t="shared" si="37"/>
        <v>0</v>
      </c>
      <c r="AJ443" s="21"/>
      <c r="AL443" s="21"/>
      <c r="AM443" s="193"/>
      <c r="AN443" s="143"/>
      <c r="AO443" s="189"/>
      <c r="AP443" s="189"/>
    </row>
    <row r="444" spans="3:42" ht="17.25" customHeight="1">
      <c r="C444" s="8" t="s">
        <v>238</v>
      </c>
      <c r="D444" s="2"/>
      <c r="E444" s="20" t="s">
        <v>1743</v>
      </c>
      <c r="F444" s="21"/>
      <c r="H444" s="289">
        <f t="shared" si="36"/>
        <v>14429.900000000001</v>
      </c>
      <c r="I444" s="87"/>
      <c r="J444" s="143"/>
      <c r="K444" s="143"/>
      <c r="L444" s="143"/>
      <c r="M444" s="143"/>
      <c r="N444" s="143"/>
      <c r="O444" s="45">
        <v>11091.79</v>
      </c>
      <c r="P444" s="143"/>
      <c r="Q444" s="45"/>
      <c r="R444" s="252">
        <v>3338.11</v>
      </c>
      <c r="S444" s="143"/>
      <c r="T444" s="143"/>
      <c r="U444" s="143"/>
      <c r="V444" s="258"/>
      <c r="W444" s="624"/>
      <c r="X444" s="624"/>
      <c r="Y444" s="258"/>
      <c r="Z444" s="58"/>
      <c r="AA444" s="336"/>
      <c r="AB444" s="258"/>
      <c r="AC444" s="258"/>
      <c r="AD444" s="258"/>
      <c r="AE444" s="258"/>
      <c r="AF444" s="20"/>
      <c r="AG444" s="27">
        <v>41029</v>
      </c>
      <c r="AH444" s="133">
        <v>42185</v>
      </c>
      <c r="AI444" s="10">
        <f t="shared" si="37"/>
        <v>38</v>
      </c>
      <c r="AJ444" s="21"/>
      <c r="AL444" s="21"/>
      <c r="AM444" s="193"/>
      <c r="AN444" s="143"/>
      <c r="AO444" s="189"/>
      <c r="AP444" s="189"/>
    </row>
    <row r="445" spans="3:42" ht="17.25" customHeight="1">
      <c r="C445" s="8" t="s">
        <v>238</v>
      </c>
      <c r="D445" s="2"/>
      <c r="E445" s="20" t="s">
        <v>1744</v>
      </c>
      <c r="F445" s="21"/>
      <c r="H445" s="289">
        <f t="shared" si="36"/>
        <v>4116.71</v>
      </c>
      <c r="I445" s="87"/>
      <c r="J445" s="143"/>
      <c r="K445" s="143"/>
      <c r="L445" s="143"/>
      <c r="M445" s="143"/>
      <c r="N445" s="143"/>
      <c r="O445" s="45"/>
      <c r="P445" s="143"/>
      <c r="Q445" s="268"/>
      <c r="R445" s="58">
        <v>4116.71</v>
      </c>
      <c r="S445" s="143"/>
      <c r="T445" s="143"/>
      <c r="U445" s="143"/>
      <c r="V445" s="258"/>
      <c r="W445" s="624"/>
      <c r="X445" s="624"/>
      <c r="Y445" s="258"/>
      <c r="Z445" s="58"/>
      <c r="AA445" s="336"/>
      <c r="AB445" s="258"/>
      <c r="AC445" s="258"/>
      <c r="AD445" s="258"/>
      <c r="AE445" s="258"/>
      <c r="AF445" s="20"/>
      <c r="AG445" s="27"/>
      <c r="AH445" s="133">
        <v>42164</v>
      </c>
      <c r="AI445" s="10"/>
      <c r="AJ445" s="21"/>
      <c r="AL445" s="21"/>
      <c r="AM445" s="193"/>
      <c r="AN445" s="143"/>
      <c r="AO445" s="189"/>
      <c r="AP445" s="189"/>
    </row>
    <row r="446" spans="3:42" ht="17.25" customHeight="1">
      <c r="C446" s="8" t="s">
        <v>238</v>
      </c>
      <c r="D446" s="2"/>
      <c r="E446" s="20" t="s">
        <v>1745</v>
      </c>
      <c r="F446" s="21"/>
      <c r="H446" s="289">
        <f t="shared" si="36"/>
        <v>1000</v>
      </c>
      <c r="I446" s="87"/>
      <c r="J446" s="143"/>
      <c r="K446" s="143"/>
      <c r="L446" s="143"/>
      <c r="M446" s="143"/>
      <c r="N446" s="143"/>
      <c r="O446" s="45"/>
      <c r="P446" s="143"/>
      <c r="Q446" s="45"/>
      <c r="R446" s="252">
        <v>1000</v>
      </c>
      <c r="S446" s="143"/>
      <c r="T446" s="143"/>
      <c r="U446" s="143"/>
      <c r="V446" s="258"/>
      <c r="W446" s="624"/>
      <c r="X446" s="624"/>
      <c r="Y446" s="258"/>
      <c r="Z446" s="58"/>
      <c r="AA446" s="336"/>
      <c r="AB446" s="258"/>
      <c r="AC446" s="258"/>
      <c r="AD446" s="258"/>
      <c r="AE446" s="258"/>
      <c r="AF446" s="20"/>
      <c r="AG446" s="27">
        <v>41787</v>
      </c>
      <c r="AH446" s="133">
        <v>41985</v>
      </c>
      <c r="AI446" s="10">
        <f t="shared" si="37"/>
        <v>7</v>
      </c>
      <c r="AJ446" s="21"/>
      <c r="AL446" s="21"/>
      <c r="AM446" s="193"/>
      <c r="AN446" s="143"/>
      <c r="AO446" s="189"/>
      <c r="AP446" s="189"/>
    </row>
    <row r="447" spans="3:42" ht="17.25" customHeight="1">
      <c r="C447" s="8" t="s">
        <v>238</v>
      </c>
      <c r="D447" s="211"/>
      <c r="E447" s="20" t="s">
        <v>1746</v>
      </c>
      <c r="F447" s="21"/>
      <c r="H447" s="289">
        <f t="shared" si="36"/>
        <v>10739.6</v>
      </c>
      <c r="I447" s="87"/>
      <c r="J447" s="143"/>
      <c r="K447" s="143"/>
      <c r="L447" s="143"/>
      <c r="M447" s="143"/>
      <c r="N447" s="143"/>
      <c r="O447" s="143"/>
      <c r="P447" s="143"/>
      <c r="Q447" s="45"/>
      <c r="R447" s="58">
        <v>10739.6</v>
      </c>
      <c r="S447" s="143"/>
      <c r="T447" s="143"/>
      <c r="U447" s="143"/>
      <c r="V447" s="258"/>
      <c r="W447" s="624"/>
      <c r="X447" s="624"/>
      <c r="Y447" s="258"/>
      <c r="Z447" s="58"/>
      <c r="AA447" s="336"/>
      <c r="AB447" s="258"/>
      <c r="AC447" s="258"/>
      <c r="AD447" s="258"/>
      <c r="AE447" s="258"/>
      <c r="AF447" s="20"/>
      <c r="AG447" s="27">
        <v>41975</v>
      </c>
      <c r="AH447" s="133">
        <v>41988</v>
      </c>
      <c r="AI447" s="10">
        <f t="shared" si="37"/>
        <v>0</v>
      </c>
      <c r="AJ447" s="21"/>
      <c r="AL447" s="21"/>
      <c r="AM447" s="193"/>
      <c r="AN447" s="143"/>
      <c r="AO447" s="189"/>
      <c r="AP447" s="189"/>
    </row>
    <row r="448" spans="3:42" ht="17.25" customHeight="1">
      <c r="C448" s="8" t="s">
        <v>238</v>
      </c>
      <c r="D448" s="2"/>
      <c r="E448" s="20" t="s">
        <v>1747</v>
      </c>
      <c r="F448" s="21"/>
      <c r="H448" s="289">
        <f t="shared" si="36"/>
        <v>210244.46</v>
      </c>
      <c r="I448" s="87"/>
      <c r="J448" s="143"/>
      <c r="K448" s="143"/>
      <c r="L448" s="143"/>
      <c r="M448" s="143"/>
      <c r="N448" s="143"/>
      <c r="O448" s="143"/>
      <c r="P448" s="143"/>
      <c r="Q448" s="45"/>
      <c r="R448" s="252">
        <f>SUM(108524.12, 33643.21, 59554.09, 8076.62, 446.42)</f>
        <v>210244.46</v>
      </c>
      <c r="S448" s="143"/>
      <c r="T448" s="143"/>
      <c r="U448" s="143"/>
      <c r="V448" s="258"/>
      <c r="W448" s="624"/>
      <c r="X448" s="624"/>
      <c r="Y448" s="258"/>
      <c r="Z448" s="58"/>
      <c r="AA448" s="336"/>
      <c r="AB448" s="258"/>
      <c r="AC448" s="258"/>
      <c r="AD448" s="258"/>
      <c r="AE448" s="258"/>
      <c r="AF448" s="20"/>
      <c r="AG448" s="27"/>
      <c r="AH448" s="133">
        <v>41927</v>
      </c>
      <c r="AI448" s="10"/>
      <c r="AJ448" s="21"/>
      <c r="AL448" s="21"/>
      <c r="AM448" s="193"/>
      <c r="AN448" s="143"/>
      <c r="AO448" s="189"/>
      <c r="AP448" s="189"/>
    </row>
    <row r="449" spans="3:42" ht="17.25" customHeight="1">
      <c r="C449" s="8" t="s">
        <v>238</v>
      </c>
      <c r="D449" s="211"/>
      <c r="E449" s="20" t="s">
        <v>1748</v>
      </c>
      <c r="F449" s="21"/>
      <c r="H449" s="289">
        <f t="shared" si="36"/>
        <v>37380.660000000003</v>
      </c>
      <c r="I449" s="87"/>
      <c r="J449" s="143"/>
      <c r="K449" s="143"/>
      <c r="L449" s="143"/>
      <c r="M449" s="143"/>
      <c r="N449" s="143"/>
      <c r="O449" s="143"/>
      <c r="P449" s="143"/>
      <c r="Q449" s="45"/>
      <c r="R449" s="58">
        <f>SUM(32000, 5380.66)</f>
        <v>37380.660000000003</v>
      </c>
      <c r="S449" s="143"/>
      <c r="T449" s="143"/>
      <c r="U449" s="143"/>
      <c r="V449" s="258"/>
      <c r="W449" s="624"/>
      <c r="X449" s="624"/>
      <c r="Y449" s="258"/>
      <c r="Z449" s="58"/>
      <c r="AA449" s="336"/>
      <c r="AB449" s="258"/>
      <c r="AC449" s="258"/>
      <c r="AD449" s="258"/>
      <c r="AE449" s="258"/>
      <c r="AF449" s="20"/>
      <c r="AG449" s="27">
        <v>41864</v>
      </c>
      <c r="AH449" s="133">
        <v>41884</v>
      </c>
      <c r="AI449" s="10">
        <f t="shared" si="37"/>
        <v>1</v>
      </c>
      <c r="AJ449" s="21"/>
      <c r="AL449" s="21"/>
      <c r="AM449" s="193"/>
      <c r="AN449" s="143"/>
      <c r="AO449" s="189"/>
      <c r="AP449" s="189"/>
    </row>
    <row r="450" spans="3:42" ht="17.25" customHeight="1">
      <c r="C450" s="8" t="s">
        <v>238</v>
      </c>
      <c r="D450" s="2"/>
      <c r="E450" s="20" t="s">
        <v>1749</v>
      </c>
      <c r="F450" s="21"/>
      <c r="H450" s="331">
        <f t="shared" si="36"/>
        <v>137580.32999999999</v>
      </c>
      <c r="I450" s="282"/>
      <c r="J450" s="192"/>
      <c r="K450" s="192"/>
      <c r="L450" s="192"/>
      <c r="M450" s="192"/>
      <c r="N450" s="192"/>
      <c r="O450" s="192"/>
      <c r="P450" s="192"/>
      <c r="Q450" s="192"/>
      <c r="R450" s="158">
        <v>137580.32999999999</v>
      </c>
      <c r="S450" s="192"/>
      <c r="T450" s="192"/>
      <c r="U450" s="192"/>
      <c r="V450" s="340"/>
      <c r="W450" s="714"/>
      <c r="X450" s="714"/>
      <c r="Y450" s="340"/>
      <c r="Z450" s="332"/>
      <c r="AA450" s="337"/>
      <c r="AB450" s="340"/>
      <c r="AC450" s="340"/>
      <c r="AD450" s="340"/>
      <c r="AE450" s="340"/>
      <c r="AF450" s="20"/>
      <c r="AG450" s="27"/>
      <c r="AH450" s="133">
        <v>42185</v>
      </c>
      <c r="AI450" s="10"/>
      <c r="AJ450" s="21"/>
      <c r="AL450" s="21"/>
      <c r="AM450" s="193"/>
      <c r="AN450" s="143"/>
      <c r="AO450" s="189"/>
      <c r="AP450" s="189"/>
    </row>
    <row r="451" spans="3:42" ht="17.25" customHeight="1" thickBot="1">
      <c r="C451" s="971" t="s">
        <v>1750</v>
      </c>
      <c r="D451" s="971"/>
      <c r="E451" s="971"/>
      <c r="F451" s="972"/>
      <c r="G451" s="973"/>
      <c r="H451" s="973"/>
      <c r="I451" s="974"/>
      <c r="J451" s="973"/>
      <c r="K451" s="973"/>
      <c r="L451" s="973"/>
      <c r="M451" s="973"/>
      <c r="N451" s="973"/>
      <c r="O451" s="973"/>
      <c r="P451" s="973"/>
      <c r="Q451" s="973"/>
      <c r="R451" s="973"/>
      <c r="S451" s="973"/>
      <c r="T451" s="975"/>
      <c r="U451" s="975"/>
      <c r="V451" s="975"/>
      <c r="W451" s="972"/>
      <c r="X451" s="972"/>
      <c r="Y451" s="976"/>
      <c r="Z451" s="972"/>
      <c r="AA451" s="972"/>
      <c r="AB451" s="976"/>
      <c r="AC451" s="972"/>
      <c r="AD451" s="972"/>
      <c r="AE451" s="972"/>
      <c r="AF451" s="972"/>
      <c r="AG451" s="972"/>
      <c r="AH451" s="972"/>
      <c r="AI451" s="972"/>
      <c r="AJ451" s="972"/>
      <c r="AK451" s="972"/>
      <c r="AL451" s="972"/>
      <c r="AM451" s="974"/>
      <c r="AN451" s="972"/>
      <c r="AO451" s="972"/>
      <c r="AP451" s="972"/>
    </row>
    <row r="452" spans="3:42" ht="17.25" customHeight="1">
      <c r="C452" s="8" t="s">
        <v>238</v>
      </c>
      <c r="D452" s="2"/>
      <c r="E452" s="20" t="s">
        <v>1751</v>
      </c>
      <c r="F452" s="21"/>
      <c r="H452" s="294">
        <f t="shared" si="36"/>
        <v>9000</v>
      </c>
      <c r="I452" s="87"/>
      <c r="J452" s="143"/>
      <c r="K452" s="143"/>
      <c r="L452" s="143"/>
      <c r="M452" s="143"/>
      <c r="N452" s="58"/>
      <c r="O452" s="58"/>
      <c r="P452" s="45"/>
      <c r="Q452" s="58">
        <v>9000</v>
      </c>
      <c r="R452" s="143"/>
      <c r="S452" s="143"/>
      <c r="T452" s="58"/>
      <c r="U452" s="58"/>
      <c r="V452" s="295"/>
      <c r="W452" s="624"/>
      <c r="X452" s="624"/>
      <c r="Y452" s="258"/>
      <c r="Z452" s="58"/>
      <c r="AA452" s="336"/>
      <c r="AB452" s="258"/>
      <c r="AC452" s="258"/>
      <c r="AD452" s="258"/>
      <c r="AE452" s="258"/>
      <c r="AF452" s="20"/>
      <c r="AG452" s="27"/>
      <c r="AH452" s="133">
        <v>41711</v>
      </c>
      <c r="AI452" s="10"/>
      <c r="AJ452" s="21"/>
      <c r="AL452" s="21"/>
      <c r="AM452" s="193"/>
      <c r="AN452" s="143"/>
      <c r="AO452" s="189"/>
      <c r="AP452" s="189"/>
    </row>
    <row r="453" spans="3:42" ht="17.25" customHeight="1">
      <c r="C453" s="8" t="s">
        <v>238</v>
      </c>
      <c r="D453" s="2"/>
      <c r="E453" s="20" t="s">
        <v>1752</v>
      </c>
      <c r="F453" s="21"/>
      <c r="H453" s="289">
        <f t="shared" si="36"/>
        <v>61750</v>
      </c>
      <c r="I453" s="87"/>
      <c r="J453" s="143"/>
      <c r="K453" s="143"/>
      <c r="L453" s="143"/>
      <c r="M453" s="143"/>
      <c r="N453" s="58"/>
      <c r="O453" s="58"/>
      <c r="P453" s="45"/>
      <c r="Q453" s="58">
        <v>61750</v>
      </c>
      <c r="R453" s="143"/>
      <c r="S453" s="143"/>
      <c r="T453" s="58"/>
      <c r="U453" s="58"/>
      <c r="V453" s="258"/>
      <c r="W453" s="624"/>
      <c r="X453" s="624"/>
      <c r="Y453" s="258"/>
      <c r="Z453" s="58"/>
      <c r="AA453" s="336"/>
      <c r="AB453" s="258"/>
      <c r="AC453" s="258"/>
      <c r="AD453" s="258"/>
      <c r="AE453" s="258"/>
      <c r="AF453" s="20"/>
      <c r="AG453" s="27"/>
      <c r="AH453" s="133">
        <v>41764</v>
      </c>
      <c r="AI453" s="10"/>
      <c r="AJ453" s="21"/>
      <c r="AL453" s="21"/>
      <c r="AM453" s="193"/>
      <c r="AN453" s="143"/>
      <c r="AO453" s="189"/>
      <c r="AP453" s="189"/>
    </row>
    <row r="454" spans="3:42" ht="17.25" customHeight="1">
      <c r="C454" s="8" t="s">
        <v>238</v>
      </c>
      <c r="D454" s="2"/>
      <c r="E454" s="20" t="s">
        <v>1753</v>
      </c>
      <c r="F454" s="21"/>
      <c r="H454" s="289">
        <f t="shared" si="36"/>
        <v>5067.12</v>
      </c>
      <c r="I454" s="87"/>
      <c r="J454" s="143"/>
      <c r="K454" s="143"/>
      <c r="L454" s="143"/>
      <c r="M454" s="58"/>
      <c r="N454" s="58"/>
      <c r="O454" s="58">
        <v>4845.29</v>
      </c>
      <c r="P454" s="45"/>
      <c r="Q454" s="58">
        <v>221.83</v>
      </c>
      <c r="R454" s="143"/>
      <c r="S454" s="143"/>
      <c r="T454" s="58"/>
      <c r="U454" s="58"/>
      <c r="V454" s="258"/>
      <c r="W454" s="624"/>
      <c r="X454" s="624"/>
      <c r="Y454" s="258"/>
      <c r="Z454" s="58"/>
      <c r="AA454" s="336"/>
      <c r="AB454" s="258"/>
      <c r="AC454" s="258"/>
      <c r="AD454" s="258"/>
      <c r="AE454" s="258"/>
      <c r="AF454" s="20"/>
      <c r="AG454" s="27">
        <v>40992</v>
      </c>
      <c r="AH454" s="133">
        <v>41620</v>
      </c>
      <c r="AI454" s="10">
        <f t="shared" si="37"/>
        <v>21</v>
      </c>
      <c r="AJ454" s="21"/>
      <c r="AL454" s="21"/>
      <c r="AM454" s="193"/>
      <c r="AN454" s="143"/>
      <c r="AO454" s="189"/>
      <c r="AP454" s="189"/>
    </row>
    <row r="455" spans="3:42" ht="17.25" customHeight="1">
      <c r="C455" s="8" t="s">
        <v>238</v>
      </c>
      <c r="D455" s="2"/>
      <c r="E455" s="20" t="s">
        <v>1754</v>
      </c>
      <c r="F455" s="21"/>
      <c r="H455" s="289">
        <f t="shared" si="36"/>
        <v>6900</v>
      </c>
      <c r="I455" s="87"/>
      <c r="J455" s="143"/>
      <c r="K455" s="143"/>
      <c r="L455" s="143"/>
      <c r="M455" s="58"/>
      <c r="N455" s="58"/>
      <c r="O455" s="58"/>
      <c r="P455" s="45"/>
      <c r="Q455" s="58">
        <v>6900</v>
      </c>
      <c r="R455" s="143"/>
      <c r="S455" s="143"/>
      <c r="T455" s="58"/>
      <c r="U455" s="58"/>
      <c r="V455" s="258"/>
      <c r="W455" s="624"/>
      <c r="X455" s="624"/>
      <c r="Y455" s="258"/>
      <c r="Z455" s="58"/>
      <c r="AA455" s="336"/>
      <c r="AB455" s="258"/>
      <c r="AC455" s="258"/>
      <c r="AD455" s="258"/>
      <c r="AE455" s="258"/>
      <c r="AF455" s="20"/>
      <c r="AG455" s="27"/>
      <c r="AH455" s="133">
        <v>41758</v>
      </c>
      <c r="AI455" s="10"/>
      <c r="AJ455" s="21"/>
      <c r="AL455" s="21"/>
      <c r="AM455" s="193"/>
      <c r="AN455" s="143"/>
      <c r="AO455" s="189"/>
      <c r="AP455" s="189"/>
    </row>
    <row r="456" spans="3:42" ht="17.25" customHeight="1">
      <c r="C456" s="8" t="s">
        <v>238</v>
      </c>
      <c r="D456" s="2"/>
      <c r="E456" s="20" t="s">
        <v>1755</v>
      </c>
      <c r="F456" s="21"/>
      <c r="H456" s="289">
        <f t="shared" si="36"/>
        <v>19752</v>
      </c>
      <c r="I456" s="87"/>
      <c r="J456" s="143"/>
      <c r="K456" s="143"/>
      <c r="L456" s="143"/>
      <c r="M456" s="58"/>
      <c r="N456" s="58"/>
      <c r="O456" s="58"/>
      <c r="P456" s="45"/>
      <c r="Q456" s="58">
        <v>19752</v>
      </c>
      <c r="R456" s="143"/>
      <c r="S456" s="143"/>
      <c r="T456" s="58"/>
      <c r="U456" s="58"/>
      <c r="V456" s="258"/>
      <c r="W456" s="624"/>
      <c r="X456" s="624"/>
      <c r="Y456" s="258"/>
      <c r="Z456" s="58"/>
      <c r="AA456" s="336"/>
      <c r="AB456" s="258"/>
      <c r="AC456" s="258"/>
      <c r="AD456" s="258"/>
      <c r="AE456" s="258"/>
      <c r="AF456" s="20"/>
      <c r="AG456" s="27"/>
      <c r="AH456" s="133">
        <v>41786</v>
      </c>
      <c r="AI456" s="10"/>
      <c r="AJ456" s="21"/>
      <c r="AL456" s="21"/>
      <c r="AM456" s="193"/>
      <c r="AN456" s="143"/>
      <c r="AO456" s="189"/>
      <c r="AP456" s="189"/>
    </row>
    <row r="457" spans="3:42" ht="17.25" customHeight="1">
      <c r="C457" s="8" t="s">
        <v>238</v>
      </c>
      <c r="D457" s="2"/>
      <c r="E457" s="20" t="s">
        <v>1756</v>
      </c>
      <c r="F457" s="21"/>
      <c r="H457" s="289">
        <f t="shared" si="36"/>
        <v>8500</v>
      </c>
      <c r="I457" s="87"/>
      <c r="J457" s="143"/>
      <c r="K457" s="143"/>
      <c r="L457" s="143"/>
      <c r="M457" s="58"/>
      <c r="N457" s="58"/>
      <c r="O457" s="58"/>
      <c r="P457" s="45"/>
      <c r="Q457" s="58">
        <v>8500</v>
      </c>
      <c r="R457" s="143"/>
      <c r="S457" s="143"/>
      <c r="T457" s="58"/>
      <c r="U457" s="58"/>
      <c r="V457" s="258"/>
      <c r="W457" s="624"/>
      <c r="X457" s="624"/>
      <c r="Y457" s="258"/>
      <c r="Z457" s="58"/>
      <c r="AA457" s="336"/>
      <c r="AB457" s="258"/>
      <c r="AC457" s="258"/>
      <c r="AD457" s="258"/>
      <c r="AE457" s="258"/>
      <c r="AF457" s="20"/>
      <c r="AG457" s="27"/>
      <c r="AH457" s="133">
        <v>41739</v>
      </c>
      <c r="AI457" s="10"/>
      <c r="AJ457" s="21"/>
      <c r="AL457" s="21"/>
      <c r="AM457" s="193"/>
      <c r="AN457" s="143"/>
      <c r="AO457" s="189"/>
      <c r="AP457" s="189"/>
    </row>
    <row r="458" spans="3:42" ht="17.25" customHeight="1">
      <c r="C458" s="8" t="s">
        <v>238</v>
      </c>
      <c r="D458" s="2"/>
      <c r="E458" s="20" t="s">
        <v>1757</v>
      </c>
      <c r="F458" s="21"/>
      <c r="H458" s="289">
        <f t="shared" si="36"/>
        <v>7885.25</v>
      </c>
      <c r="I458" s="87"/>
      <c r="J458" s="143"/>
      <c r="K458" s="143"/>
      <c r="L458" s="143"/>
      <c r="M458" s="58"/>
      <c r="N458" s="58"/>
      <c r="O458" s="58"/>
      <c r="P458" s="45"/>
      <c r="Q458" s="58">
        <v>7885.25</v>
      </c>
      <c r="R458" s="143"/>
      <c r="S458" s="143"/>
      <c r="T458" s="58"/>
      <c r="U458" s="58"/>
      <c r="V458" s="258"/>
      <c r="W458" s="624"/>
      <c r="X458" s="624"/>
      <c r="Y458" s="258"/>
      <c r="Z458" s="58"/>
      <c r="AA458" s="336"/>
      <c r="AB458" s="258"/>
      <c r="AC458" s="258"/>
      <c r="AD458" s="258"/>
      <c r="AE458" s="258"/>
      <c r="AF458" s="20"/>
      <c r="AG458" s="27"/>
      <c r="AH458" s="133">
        <v>41711</v>
      </c>
      <c r="AI458" s="10"/>
      <c r="AJ458" s="21"/>
      <c r="AL458" s="21"/>
      <c r="AM458" s="193"/>
      <c r="AN458" s="143"/>
      <c r="AO458" s="189"/>
      <c r="AP458" s="189"/>
    </row>
    <row r="459" spans="3:42" ht="17.25" customHeight="1">
      <c r="C459" s="8" t="s">
        <v>238</v>
      </c>
      <c r="D459" s="2"/>
      <c r="E459" s="20" t="s">
        <v>1758</v>
      </c>
      <c r="F459" s="21"/>
      <c r="H459" s="289">
        <f t="shared" si="36"/>
        <v>5448.47</v>
      </c>
      <c r="I459" s="87"/>
      <c r="J459" s="143"/>
      <c r="K459" s="143"/>
      <c r="L459" s="143"/>
      <c r="M459" s="58"/>
      <c r="N459" s="58"/>
      <c r="O459" s="58"/>
      <c r="P459" s="45"/>
      <c r="Q459" s="58">
        <v>5448.47</v>
      </c>
      <c r="R459" s="143"/>
      <c r="S459" s="143"/>
      <c r="T459" s="58"/>
      <c r="U459" s="58"/>
      <c r="V459" s="258"/>
      <c r="W459" s="624"/>
      <c r="X459" s="624"/>
      <c r="Y459" s="258"/>
      <c r="Z459" s="58"/>
      <c r="AA459" s="336"/>
      <c r="AB459" s="258"/>
      <c r="AC459" s="258"/>
      <c r="AD459" s="258"/>
      <c r="AE459" s="258"/>
      <c r="AF459" s="20"/>
      <c r="AG459" s="27">
        <v>41772</v>
      </c>
      <c r="AH459" s="133">
        <v>41730</v>
      </c>
      <c r="AI459" s="10">
        <f t="shared" si="37"/>
        <v>-1</v>
      </c>
      <c r="AJ459" s="21"/>
      <c r="AL459" s="21"/>
      <c r="AM459" s="193"/>
      <c r="AN459" s="143"/>
      <c r="AO459" s="189"/>
      <c r="AP459" s="189"/>
    </row>
    <row r="460" spans="3:42" ht="17.25" customHeight="1">
      <c r="C460" s="8" t="s">
        <v>238</v>
      </c>
      <c r="D460" s="2"/>
      <c r="E460" s="20" t="s">
        <v>1759</v>
      </c>
      <c r="F460" s="21"/>
      <c r="H460" s="289">
        <f t="shared" si="36"/>
        <v>18875</v>
      </c>
      <c r="I460" s="87"/>
      <c r="J460" s="143"/>
      <c r="K460" s="143"/>
      <c r="L460" s="58"/>
      <c r="M460" s="58"/>
      <c r="N460" s="58"/>
      <c r="O460" s="58"/>
      <c r="P460" s="45"/>
      <c r="Q460" s="58">
        <v>18875</v>
      </c>
      <c r="R460" s="143"/>
      <c r="S460" s="143"/>
      <c r="T460" s="58"/>
      <c r="U460" s="58"/>
      <c r="V460" s="258"/>
      <c r="W460" s="624"/>
      <c r="X460" s="624"/>
      <c r="Y460" s="258"/>
      <c r="Z460" s="58"/>
      <c r="AA460" s="336"/>
      <c r="AB460" s="258"/>
      <c r="AC460" s="258"/>
      <c r="AD460" s="258"/>
      <c r="AE460" s="258"/>
      <c r="AF460" s="20"/>
      <c r="AG460" s="27">
        <v>41674</v>
      </c>
      <c r="AH460" s="133">
        <v>41680</v>
      </c>
      <c r="AI460" s="10">
        <f t="shared" si="37"/>
        <v>0</v>
      </c>
      <c r="AJ460" s="21"/>
      <c r="AL460" s="21"/>
      <c r="AM460" s="193"/>
      <c r="AN460" s="143"/>
      <c r="AO460" s="189"/>
      <c r="AP460" s="189"/>
    </row>
    <row r="461" spans="3:42" ht="17.25" customHeight="1">
      <c r="C461" s="8" t="s">
        <v>238</v>
      </c>
      <c r="D461" s="2"/>
      <c r="E461" s="20" t="s">
        <v>1760</v>
      </c>
      <c r="F461" s="21"/>
      <c r="H461" s="289">
        <f t="shared" si="36"/>
        <v>15009</v>
      </c>
      <c r="I461" s="87"/>
      <c r="J461" s="143"/>
      <c r="K461" s="143"/>
      <c r="L461" s="58"/>
      <c r="M461" s="58"/>
      <c r="N461" s="58"/>
      <c r="O461" s="58"/>
      <c r="P461" s="45"/>
      <c r="Q461" s="58">
        <v>15009</v>
      </c>
      <c r="R461" s="143"/>
      <c r="S461" s="143"/>
      <c r="T461" s="58"/>
      <c r="U461" s="58"/>
      <c r="V461" s="258"/>
      <c r="W461" s="624"/>
      <c r="X461" s="624"/>
      <c r="Y461" s="258"/>
      <c r="Z461" s="58"/>
      <c r="AA461" s="336"/>
      <c r="AB461" s="258"/>
      <c r="AC461" s="258"/>
      <c r="AD461" s="258"/>
      <c r="AE461" s="258"/>
      <c r="AF461" s="20"/>
      <c r="AG461" s="27">
        <v>41333</v>
      </c>
      <c r="AH461" s="133">
        <v>41358</v>
      </c>
      <c r="AI461" s="10">
        <f t="shared" si="37"/>
        <v>1</v>
      </c>
      <c r="AJ461" s="21"/>
      <c r="AL461" s="21"/>
      <c r="AM461" s="193"/>
      <c r="AN461" s="143"/>
      <c r="AO461" s="189"/>
      <c r="AP461" s="189"/>
    </row>
    <row r="462" spans="3:42" ht="17.25" customHeight="1">
      <c r="C462" s="8" t="s">
        <v>238</v>
      </c>
      <c r="D462" s="2"/>
      <c r="E462" s="20" t="s">
        <v>1761</v>
      </c>
      <c r="F462" s="21"/>
      <c r="H462" s="289">
        <f t="shared" si="36"/>
        <v>500000</v>
      </c>
      <c r="I462" s="87"/>
      <c r="J462" s="143"/>
      <c r="K462" s="143"/>
      <c r="L462" s="58"/>
      <c r="M462" s="58"/>
      <c r="N462" s="58"/>
      <c r="O462" s="58"/>
      <c r="P462" s="45"/>
      <c r="Q462" s="58">
        <v>500000</v>
      </c>
      <c r="R462" s="143"/>
      <c r="S462" s="143"/>
      <c r="T462" s="58"/>
      <c r="U462" s="58"/>
      <c r="V462" s="258"/>
      <c r="W462" s="624"/>
      <c r="X462" s="624"/>
      <c r="Y462" s="258"/>
      <c r="Z462" s="58"/>
      <c r="AA462" s="336"/>
      <c r="AB462" s="258"/>
      <c r="AC462" s="258"/>
      <c r="AD462" s="258"/>
      <c r="AE462" s="258"/>
      <c r="AF462" s="20"/>
      <c r="AG462" s="27">
        <v>41297</v>
      </c>
      <c r="AH462" s="133">
        <v>41474</v>
      </c>
      <c r="AI462" s="10">
        <f t="shared" si="37"/>
        <v>6</v>
      </c>
      <c r="AJ462" s="21"/>
      <c r="AL462" s="21"/>
      <c r="AM462" s="193"/>
      <c r="AN462" s="143"/>
      <c r="AO462" s="189"/>
      <c r="AP462" s="189"/>
    </row>
    <row r="463" spans="3:42" ht="17.25" customHeight="1">
      <c r="C463" s="8" t="s">
        <v>238</v>
      </c>
      <c r="D463" s="2"/>
      <c r="E463" s="20" t="s">
        <v>1762</v>
      </c>
      <c r="F463" s="21"/>
      <c r="H463" s="289">
        <f t="shared" si="36"/>
        <v>4553.72</v>
      </c>
      <c r="I463" s="87"/>
      <c r="J463" s="143"/>
      <c r="K463" s="143"/>
      <c r="L463" s="58"/>
      <c r="M463" s="58"/>
      <c r="N463" s="58"/>
      <c r="O463" s="58"/>
      <c r="P463" s="45"/>
      <c r="Q463" s="58">
        <v>4553.72</v>
      </c>
      <c r="R463" s="143"/>
      <c r="S463" s="143"/>
      <c r="T463" s="58"/>
      <c r="U463" s="58"/>
      <c r="V463" s="258"/>
      <c r="W463" s="624"/>
      <c r="X463" s="624"/>
      <c r="Y463" s="258"/>
      <c r="Z463" s="58"/>
      <c r="AA463" s="336"/>
      <c r="AB463" s="258"/>
      <c r="AC463" s="258"/>
      <c r="AD463" s="258"/>
      <c r="AE463" s="258"/>
      <c r="AF463" s="20"/>
      <c r="AG463" s="278"/>
      <c r="AH463" s="133">
        <v>41571</v>
      </c>
      <c r="AI463" s="10"/>
      <c r="AJ463" s="21"/>
      <c r="AL463" s="21"/>
      <c r="AM463" s="193"/>
      <c r="AN463" s="143"/>
      <c r="AO463" s="189"/>
      <c r="AP463" s="189"/>
    </row>
    <row r="464" spans="3:42" ht="17.25" customHeight="1">
      <c r="C464" s="8" t="s">
        <v>238</v>
      </c>
      <c r="D464" s="2"/>
      <c r="E464" s="20" t="s">
        <v>1763</v>
      </c>
      <c r="F464" s="21"/>
      <c r="H464" s="289">
        <f t="shared" si="36"/>
        <v>6000</v>
      </c>
      <c r="I464" s="87"/>
      <c r="J464" s="143"/>
      <c r="K464" s="143"/>
      <c r="L464" s="58"/>
      <c r="M464" s="58"/>
      <c r="N464" s="58"/>
      <c r="O464" s="58"/>
      <c r="P464" s="45"/>
      <c r="Q464" s="58">
        <v>6000</v>
      </c>
      <c r="R464" s="143"/>
      <c r="S464" s="143"/>
      <c r="T464" s="58"/>
      <c r="U464" s="58"/>
      <c r="V464" s="258"/>
      <c r="W464" s="624"/>
      <c r="X464" s="624"/>
      <c r="Y464" s="258"/>
      <c r="Z464" s="58"/>
      <c r="AA464" s="336"/>
      <c r="AB464" s="258"/>
      <c r="AC464" s="258"/>
      <c r="AD464" s="258"/>
      <c r="AE464" s="258"/>
      <c r="AF464" s="20"/>
      <c r="AG464" s="27">
        <v>41697</v>
      </c>
      <c r="AH464" s="133">
        <v>41737</v>
      </c>
      <c r="AI464" s="10">
        <f t="shared" si="37"/>
        <v>2</v>
      </c>
      <c r="AJ464" s="21"/>
      <c r="AL464" s="21"/>
      <c r="AM464" s="193"/>
      <c r="AN464" s="143"/>
      <c r="AO464" s="189"/>
      <c r="AP464" s="189"/>
    </row>
    <row r="465" spans="3:42" ht="17.25" customHeight="1">
      <c r="C465" s="8" t="s">
        <v>238</v>
      </c>
      <c r="D465" s="2"/>
      <c r="E465" s="20" t="s">
        <v>1764</v>
      </c>
      <c r="F465" s="21"/>
      <c r="H465" s="289">
        <f t="shared" si="36"/>
        <v>24126.25</v>
      </c>
      <c r="I465" s="87"/>
      <c r="J465" s="143"/>
      <c r="K465" s="143"/>
      <c r="L465" s="58"/>
      <c r="M465" s="58"/>
      <c r="N465" s="58">
        <v>11044.77</v>
      </c>
      <c r="O465" s="58"/>
      <c r="P465" s="45"/>
      <c r="Q465" s="58">
        <f>SUM(61.67, 8409.09, 4610.72)</f>
        <v>13081.48</v>
      </c>
      <c r="R465" s="143"/>
      <c r="S465" s="143"/>
      <c r="T465" s="58"/>
      <c r="U465" s="58"/>
      <c r="V465" s="258"/>
      <c r="W465" s="624"/>
      <c r="X465" s="624"/>
      <c r="Y465" s="258"/>
      <c r="Z465" s="58"/>
      <c r="AA465" s="336"/>
      <c r="AB465" s="258"/>
      <c r="AC465" s="258"/>
      <c r="AD465" s="258"/>
      <c r="AE465" s="258"/>
      <c r="AF465" s="20"/>
      <c r="AG465" s="27">
        <v>40403</v>
      </c>
      <c r="AH465" s="133">
        <v>41621</v>
      </c>
      <c r="AI465" s="10">
        <f t="shared" si="37"/>
        <v>40</v>
      </c>
      <c r="AJ465" s="21"/>
      <c r="AL465" s="21"/>
      <c r="AM465" s="193"/>
      <c r="AN465" s="143"/>
      <c r="AO465" s="189"/>
      <c r="AP465" s="189"/>
    </row>
    <row r="466" spans="3:42" ht="17.25" customHeight="1">
      <c r="C466" s="8" t="s">
        <v>238</v>
      </c>
      <c r="D466" s="2"/>
      <c r="E466" s="20" t="s">
        <v>1765</v>
      </c>
      <c r="F466" s="21"/>
      <c r="H466" s="289">
        <f t="shared" si="36"/>
        <v>101697.05</v>
      </c>
      <c r="I466" s="87"/>
      <c r="J466" s="143"/>
      <c r="K466" s="143"/>
      <c r="L466" s="58"/>
      <c r="M466" s="58"/>
      <c r="N466" s="58"/>
      <c r="O466" s="58"/>
      <c r="P466" s="58">
        <v>101000</v>
      </c>
      <c r="Q466" s="58">
        <v>697.05</v>
      </c>
      <c r="R466" s="143"/>
      <c r="S466" s="143"/>
      <c r="T466" s="58"/>
      <c r="U466" s="58"/>
      <c r="V466" s="258"/>
      <c r="W466" s="624"/>
      <c r="X466" s="624"/>
      <c r="Y466" s="258"/>
      <c r="Z466" s="58"/>
      <c r="AA466" s="336"/>
      <c r="AB466" s="258"/>
      <c r="AC466" s="258"/>
      <c r="AD466" s="258"/>
      <c r="AE466" s="258"/>
      <c r="AF466" s="20"/>
      <c r="AG466" s="27">
        <v>41046</v>
      </c>
      <c r="AH466" s="133">
        <v>41662</v>
      </c>
      <c r="AI466" s="10">
        <f t="shared" si="37"/>
        <v>20</v>
      </c>
      <c r="AJ466" s="21"/>
      <c r="AL466" s="21"/>
      <c r="AM466" s="193"/>
      <c r="AN466" s="143"/>
      <c r="AO466" s="189"/>
      <c r="AP466" s="189"/>
    </row>
    <row r="467" spans="3:42" ht="17.25" customHeight="1">
      <c r="C467" s="8" t="s">
        <v>238</v>
      </c>
      <c r="D467" s="2"/>
      <c r="E467" s="20" t="s">
        <v>1766</v>
      </c>
      <c r="F467" s="21"/>
      <c r="H467" s="289">
        <f t="shared" si="36"/>
        <v>160615.32</v>
      </c>
      <c r="I467" s="87"/>
      <c r="J467" s="143"/>
      <c r="K467" s="143"/>
      <c r="L467" s="58"/>
      <c r="M467" s="58"/>
      <c r="N467" s="58"/>
      <c r="O467" s="58"/>
      <c r="P467" s="45"/>
      <c r="Q467" s="58">
        <v>160615.32</v>
      </c>
      <c r="R467" s="143"/>
      <c r="S467" s="143"/>
      <c r="T467" s="58"/>
      <c r="U467" s="58"/>
      <c r="V467" s="258"/>
      <c r="W467" s="624"/>
      <c r="X467" s="624"/>
      <c r="Y467" s="258"/>
      <c r="Z467" s="58"/>
      <c r="AA467" s="336"/>
      <c r="AB467" s="258"/>
      <c r="AC467" s="258"/>
      <c r="AD467" s="258"/>
      <c r="AE467" s="258"/>
      <c r="AF467" s="20"/>
      <c r="AG467" s="27">
        <v>41449</v>
      </c>
      <c r="AH467" s="133">
        <v>41458</v>
      </c>
      <c r="AI467" s="10">
        <f t="shared" si="37"/>
        <v>1</v>
      </c>
      <c r="AJ467" s="21"/>
      <c r="AL467" s="21"/>
      <c r="AM467" s="193"/>
      <c r="AN467" s="143"/>
      <c r="AO467" s="189"/>
      <c r="AP467" s="189"/>
    </row>
    <row r="468" spans="3:42" ht="17.25" customHeight="1">
      <c r="C468" s="8" t="s">
        <v>238</v>
      </c>
      <c r="D468" s="2"/>
      <c r="E468" s="20" t="s">
        <v>1767</v>
      </c>
      <c r="F468" s="21"/>
      <c r="H468" s="289">
        <f t="shared" si="36"/>
        <v>1800</v>
      </c>
      <c r="I468" s="87"/>
      <c r="J468" s="143"/>
      <c r="K468" s="143"/>
      <c r="L468" s="58"/>
      <c r="M468" s="58"/>
      <c r="N468" s="58"/>
      <c r="O468" s="58"/>
      <c r="P468" s="45"/>
      <c r="Q468" s="58">
        <v>1800</v>
      </c>
      <c r="R468" s="143"/>
      <c r="S468" s="143"/>
      <c r="T468" s="58"/>
      <c r="U468" s="58"/>
      <c r="V468" s="258"/>
      <c r="W468" s="624"/>
      <c r="X468" s="624"/>
      <c r="Y468" s="258"/>
      <c r="Z468" s="58"/>
      <c r="AA468" s="336"/>
      <c r="AB468" s="258"/>
      <c r="AC468" s="258"/>
      <c r="AD468" s="258"/>
      <c r="AE468" s="258"/>
      <c r="AF468" s="20"/>
      <c r="AG468" s="27">
        <v>40630</v>
      </c>
      <c r="AH468" s="133">
        <v>41571</v>
      </c>
      <c r="AI468" s="10">
        <f t="shared" si="37"/>
        <v>31</v>
      </c>
      <c r="AJ468" s="21"/>
      <c r="AL468" s="21"/>
      <c r="AM468" s="193"/>
      <c r="AN468" s="143"/>
      <c r="AO468" s="189"/>
      <c r="AP468" s="189"/>
    </row>
    <row r="469" spans="3:42" ht="17.25" customHeight="1">
      <c r="C469" s="8" t="s">
        <v>238</v>
      </c>
      <c r="D469" s="2"/>
      <c r="E469" s="20" t="s">
        <v>1768</v>
      </c>
      <c r="F469" s="21"/>
      <c r="H469" s="289">
        <f t="shared" si="36"/>
        <v>661.5</v>
      </c>
      <c r="I469" s="87"/>
      <c r="J469" s="143"/>
      <c r="K469" s="143"/>
      <c r="L469" s="58"/>
      <c r="M469" s="58"/>
      <c r="N469" s="58"/>
      <c r="O469" s="58"/>
      <c r="P469" s="45"/>
      <c r="Q469" s="58">
        <v>661.5</v>
      </c>
      <c r="R469" s="143"/>
      <c r="S469" s="143"/>
      <c r="T469" s="58"/>
      <c r="U469" s="58"/>
      <c r="V469" s="258"/>
      <c r="W469" s="624"/>
      <c r="X469" s="624"/>
      <c r="Y469" s="258"/>
      <c r="Z469" s="58"/>
      <c r="AA469" s="336"/>
      <c r="AB469" s="258"/>
      <c r="AC469" s="258"/>
      <c r="AD469" s="258"/>
      <c r="AE469" s="258"/>
      <c r="AF469" s="20"/>
      <c r="AG469" s="27"/>
      <c r="AH469" s="133">
        <v>41620</v>
      </c>
      <c r="AI469" s="10"/>
      <c r="AJ469" s="21"/>
      <c r="AL469" s="21"/>
      <c r="AM469" s="193"/>
      <c r="AN469" s="143"/>
      <c r="AO469" s="189"/>
      <c r="AP469" s="189"/>
    </row>
    <row r="470" spans="3:42" ht="17.25" customHeight="1">
      <c r="C470" s="8" t="s">
        <v>238</v>
      </c>
      <c r="D470" s="2"/>
      <c r="E470" s="20" t="s">
        <v>1089</v>
      </c>
      <c r="F470" s="21"/>
      <c r="H470" s="289">
        <f t="shared" si="36"/>
        <v>56111.11</v>
      </c>
      <c r="I470" s="87"/>
      <c r="J470" s="143"/>
      <c r="K470" s="143"/>
      <c r="L470" s="58"/>
      <c r="M470" s="58"/>
      <c r="N470" s="58"/>
      <c r="O470" s="58">
        <v>50000</v>
      </c>
      <c r="P470" s="45"/>
      <c r="Q470" s="58">
        <v>6111.11</v>
      </c>
      <c r="R470" s="143"/>
      <c r="S470" s="143"/>
      <c r="T470" s="58"/>
      <c r="U470" s="58"/>
      <c r="V470" s="258"/>
      <c r="W470" s="624"/>
      <c r="X470" s="624"/>
      <c r="Y470" s="258"/>
      <c r="Z470" s="58"/>
      <c r="AA470" s="336"/>
      <c r="AB470" s="258"/>
      <c r="AC470" s="258"/>
      <c r="AD470" s="258"/>
      <c r="AE470" s="258"/>
      <c r="AF470" s="20"/>
      <c r="AG470" s="27">
        <v>41036</v>
      </c>
      <c r="AH470" s="133">
        <v>41626</v>
      </c>
      <c r="AI470" s="10">
        <f t="shared" si="37"/>
        <v>19</v>
      </c>
      <c r="AJ470" s="21"/>
      <c r="AL470" s="21"/>
      <c r="AM470" s="193"/>
      <c r="AN470" s="143"/>
      <c r="AO470" s="189"/>
      <c r="AP470" s="189"/>
    </row>
    <row r="471" spans="3:42" ht="17.25" customHeight="1">
      <c r="C471" s="8" t="s">
        <v>238</v>
      </c>
      <c r="D471" s="2"/>
      <c r="E471" s="20" t="s">
        <v>1769</v>
      </c>
      <c r="F471" s="21"/>
      <c r="H471" s="289">
        <f t="shared" si="36"/>
        <v>30748.29</v>
      </c>
      <c r="I471" s="87"/>
      <c r="J471" s="143"/>
      <c r="K471" s="143"/>
      <c r="L471" s="58"/>
      <c r="M471" s="58"/>
      <c r="N471" s="58"/>
      <c r="O471" s="58"/>
      <c r="P471" s="45"/>
      <c r="Q471" s="58">
        <v>30748.29</v>
      </c>
      <c r="R471" s="143"/>
      <c r="S471" s="143"/>
      <c r="T471" s="58"/>
      <c r="U471" s="58"/>
      <c r="V471" s="258"/>
      <c r="W471" s="624"/>
      <c r="X471" s="624"/>
      <c r="Y471" s="258"/>
      <c r="Z471" s="58"/>
      <c r="AA471" s="336"/>
      <c r="AB471" s="258"/>
      <c r="AC471" s="258"/>
      <c r="AD471" s="258"/>
      <c r="AE471" s="258"/>
      <c r="AF471" s="20"/>
      <c r="AG471" s="27"/>
      <c r="AH471" s="133">
        <v>41733</v>
      </c>
      <c r="AI471" s="10"/>
      <c r="AJ471" s="21"/>
      <c r="AL471" s="21"/>
      <c r="AM471" s="193"/>
      <c r="AN471" s="143"/>
      <c r="AO471" s="189"/>
      <c r="AP471" s="189"/>
    </row>
    <row r="472" spans="3:42" ht="17.25" customHeight="1">
      <c r="C472" s="8" t="s">
        <v>238</v>
      </c>
      <c r="D472" s="2"/>
      <c r="E472" s="20" t="s">
        <v>1770</v>
      </c>
      <c r="F472" s="21"/>
      <c r="H472" s="289">
        <f t="shared" si="36"/>
        <v>25000</v>
      </c>
      <c r="I472" s="87"/>
      <c r="J472" s="143"/>
      <c r="K472" s="143"/>
      <c r="L472" s="58"/>
      <c r="M472" s="58"/>
      <c r="N472" s="58"/>
      <c r="O472" s="58"/>
      <c r="P472" s="45"/>
      <c r="Q472" s="58">
        <v>25000</v>
      </c>
      <c r="R472" s="143"/>
      <c r="S472" s="143"/>
      <c r="T472" s="58"/>
      <c r="U472" s="58"/>
      <c r="V472" s="258"/>
      <c r="W472" s="624"/>
      <c r="X472" s="624"/>
      <c r="Y472" s="258"/>
      <c r="Z472" s="58"/>
      <c r="AA472" s="336"/>
      <c r="AB472" s="258"/>
      <c r="AC472" s="258"/>
      <c r="AD472" s="258"/>
      <c r="AE472" s="258"/>
      <c r="AF472" s="20"/>
      <c r="AG472" s="27"/>
      <c r="AH472" s="133">
        <v>41596</v>
      </c>
      <c r="AI472" s="10"/>
      <c r="AJ472" s="21"/>
      <c r="AL472" s="21"/>
      <c r="AM472" s="193"/>
      <c r="AN472" s="143"/>
      <c r="AO472" s="189"/>
      <c r="AP472" s="189"/>
    </row>
    <row r="473" spans="3:42" ht="17.25" customHeight="1">
      <c r="C473" s="8" t="s">
        <v>238</v>
      </c>
      <c r="D473" s="2"/>
      <c r="E473" s="255" t="s">
        <v>1771</v>
      </c>
      <c r="F473" s="21"/>
      <c r="H473" s="289">
        <f t="shared" si="36"/>
        <v>10890.36</v>
      </c>
      <c r="I473" s="87"/>
      <c r="J473" s="143"/>
      <c r="K473" s="143"/>
      <c r="L473" s="58"/>
      <c r="M473" s="58"/>
      <c r="N473" s="58"/>
      <c r="O473" s="58"/>
      <c r="P473" s="45"/>
      <c r="Q473" s="58">
        <v>10890.36</v>
      </c>
      <c r="R473" s="143"/>
      <c r="S473" s="143"/>
      <c r="T473" s="58"/>
      <c r="U473" s="58"/>
      <c r="V473" s="258"/>
      <c r="W473" s="624"/>
      <c r="X473" s="624"/>
      <c r="Y473" s="258"/>
      <c r="Z473" s="58"/>
      <c r="AA473" s="336"/>
      <c r="AB473" s="258"/>
      <c r="AC473" s="258"/>
      <c r="AD473" s="258"/>
      <c r="AE473" s="258"/>
      <c r="AF473" s="20"/>
      <c r="AG473" s="27"/>
      <c r="AH473" s="133">
        <v>41583</v>
      </c>
      <c r="AI473" s="10"/>
      <c r="AJ473" s="21"/>
      <c r="AL473" s="21"/>
      <c r="AM473" s="193"/>
      <c r="AN473" s="143"/>
      <c r="AO473" s="189"/>
      <c r="AP473" s="189"/>
    </row>
    <row r="474" spans="3:42" ht="17.25" customHeight="1">
      <c r="C474" s="8" t="s">
        <v>238</v>
      </c>
      <c r="D474" s="2"/>
      <c r="E474" s="20" t="s">
        <v>1772</v>
      </c>
      <c r="F474" s="21"/>
      <c r="H474" s="289">
        <f t="shared" si="36"/>
        <v>1606.4299999999998</v>
      </c>
      <c r="I474" s="87"/>
      <c r="J474" s="143"/>
      <c r="K474" s="143"/>
      <c r="L474" s="58">
        <v>34.04</v>
      </c>
      <c r="M474" s="58">
        <v>81.459999999999994</v>
      </c>
      <c r="N474" s="58"/>
      <c r="O474" s="58">
        <f>SUM(115.03, 83.53, 255.73, 146.28, 177.92, 98.94)</f>
        <v>877.42999999999984</v>
      </c>
      <c r="P474" s="45"/>
      <c r="Q474" s="58">
        <f>SUM(112.13, 119.24, 145.49, 117.92, 118.72)</f>
        <v>613.5</v>
      </c>
      <c r="R474" s="143"/>
      <c r="S474" s="143"/>
      <c r="T474" s="58"/>
      <c r="U474" s="58"/>
      <c r="V474" s="258"/>
      <c r="W474" s="624"/>
      <c r="X474" s="624"/>
      <c r="Y474" s="258"/>
      <c r="Z474" s="58"/>
      <c r="AA474" s="336"/>
      <c r="AB474" s="258"/>
      <c r="AC474" s="258"/>
      <c r="AD474" s="258"/>
      <c r="AE474" s="258"/>
      <c r="AF474" s="20"/>
      <c r="AG474" s="27">
        <v>40757</v>
      </c>
      <c r="AH474" s="133">
        <v>41758</v>
      </c>
      <c r="AI474" s="10">
        <f t="shared" si="37"/>
        <v>32</v>
      </c>
      <c r="AJ474" s="21"/>
      <c r="AL474" s="21"/>
      <c r="AM474" s="193"/>
      <c r="AN474" s="143"/>
      <c r="AO474" s="189"/>
      <c r="AP474" s="189"/>
    </row>
    <row r="475" spans="3:42" ht="17.25" customHeight="1">
      <c r="C475" s="8" t="s">
        <v>238</v>
      </c>
      <c r="D475" s="2"/>
      <c r="E475" s="255" t="s">
        <v>1773</v>
      </c>
      <c r="F475" s="21"/>
      <c r="H475" s="289">
        <f t="shared" si="36"/>
        <v>8031.6</v>
      </c>
      <c r="I475" s="87"/>
      <c r="J475" s="143"/>
      <c r="K475" s="143"/>
      <c r="L475" s="58"/>
      <c r="M475" s="58"/>
      <c r="N475" s="143"/>
      <c r="O475" s="58"/>
      <c r="P475" s="45"/>
      <c r="Q475" s="58">
        <v>8031.6</v>
      </c>
      <c r="R475" s="143"/>
      <c r="S475" s="143"/>
      <c r="T475" s="58"/>
      <c r="U475" s="58"/>
      <c r="V475" s="258"/>
      <c r="W475" s="624"/>
      <c r="X475" s="624"/>
      <c r="Y475" s="258"/>
      <c r="Z475" s="58"/>
      <c r="AA475" s="336"/>
      <c r="AB475" s="258"/>
      <c r="AC475" s="258"/>
      <c r="AD475" s="258"/>
      <c r="AE475" s="258"/>
      <c r="AF475" s="20"/>
      <c r="AG475" s="27"/>
      <c r="AH475" s="133">
        <v>41639</v>
      </c>
      <c r="AI475" s="10"/>
      <c r="AJ475" s="21"/>
      <c r="AL475" s="21"/>
      <c r="AM475" s="193"/>
      <c r="AN475" s="143"/>
      <c r="AO475" s="189"/>
      <c r="AP475" s="189"/>
    </row>
    <row r="476" spans="3:42" ht="17.25" customHeight="1" thickBot="1">
      <c r="C476" s="97" t="s">
        <v>1774</v>
      </c>
      <c r="D476" s="97"/>
      <c r="E476" s="97"/>
      <c r="F476" s="98"/>
      <c r="G476" s="191"/>
      <c r="H476" s="191"/>
      <c r="I476" s="82"/>
      <c r="J476" s="191"/>
      <c r="K476" s="191"/>
      <c r="L476" s="191"/>
      <c r="M476" s="191"/>
      <c r="N476" s="191"/>
      <c r="O476" s="191"/>
      <c r="P476" s="191"/>
      <c r="Q476" s="191"/>
      <c r="R476" s="191"/>
      <c r="S476" s="191"/>
      <c r="T476" s="99"/>
      <c r="U476" s="99"/>
      <c r="V476" s="99"/>
      <c r="W476" s="98"/>
      <c r="X476" s="98"/>
      <c r="Y476" s="343"/>
      <c r="Z476" s="98"/>
      <c r="AA476" s="98"/>
      <c r="AB476" s="343"/>
      <c r="AC476" s="98"/>
      <c r="AD476" s="98"/>
      <c r="AE476" s="98"/>
      <c r="AF476" s="98"/>
      <c r="AG476" s="98"/>
      <c r="AH476" s="98"/>
      <c r="AI476" s="98"/>
      <c r="AJ476" s="98"/>
      <c r="AK476" s="98"/>
      <c r="AL476" s="98"/>
      <c r="AM476" s="82"/>
      <c r="AN476" s="98"/>
      <c r="AO476" s="98"/>
      <c r="AP476" s="98"/>
    </row>
    <row r="477" spans="3:42" ht="17.25" customHeight="1">
      <c r="C477" s="8" t="s">
        <v>238</v>
      </c>
      <c r="D477" s="2"/>
      <c r="E477" s="20" t="s">
        <v>1775</v>
      </c>
      <c r="F477" s="58"/>
      <c r="G477" s="258"/>
      <c r="H477" s="295">
        <f t="shared" si="36"/>
        <v>282.14</v>
      </c>
      <c r="I477" s="228"/>
      <c r="J477" s="58"/>
      <c r="K477" s="58"/>
      <c r="L477" s="58"/>
      <c r="M477" s="58"/>
      <c r="N477" s="58"/>
      <c r="O477" s="58"/>
      <c r="P477" s="58">
        <v>282.14</v>
      </c>
      <c r="Q477" s="58"/>
      <c r="R477" s="58"/>
      <c r="S477" s="58"/>
      <c r="T477" s="58"/>
      <c r="U477" s="58"/>
      <c r="V477" s="295"/>
      <c r="W477" s="624"/>
      <c r="X477" s="624"/>
      <c r="Y477" s="258"/>
      <c r="Z477" s="58"/>
      <c r="AA477" s="336"/>
      <c r="AB477" s="258"/>
      <c r="AC477" s="258"/>
      <c r="AD477" s="258"/>
      <c r="AE477" s="258"/>
      <c r="AF477" s="20"/>
      <c r="AG477" s="133">
        <v>41417</v>
      </c>
      <c r="AH477" s="27">
        <v>41444</v>
      </c>
      <c r="AI477" s="10">
        <f t="shared" si="37"/>
        <v>1</v>
      </c>
      <c r="AJ477" s="21"/>
      <c r="AL477" s="21"/>
      <c r="AM477" s="193"/>
      <c r="AN477" s="143"/>
      <c r="AO477" s="189"/>
      <c r="AP477" s="189"/>
    </row>
    <row r="478" spans="3:42" ht="17.25" customHeight="1">
      <c r="C478" s="8" t="s">
        <v>238</v>
      </c>
      <c r="D478" s="2"/>
      <c r="E478" s="20" t="s">
        <v>1776</v>
      </c>
      <c r="F478" s="58"/>
      <c r="G478" s="258"/>
      <c r="H478" s="258">
        <f t="shared" si="36"/>
        <v>58385.03</v>
      </c>
      <c r="I478" s="228"/>
      <c r="J478" s="58"/>
      <c r="K478" s="58"/>
      <c r="L478" s="58"/>
      <c r="M478" s="58"/>
      <c r="N478" s="58"/>
      <c r="O478" s="58"/>
      <c r="P478" s="58">
        <f>SUM(57000, 1385.03)</f>
        <v>58385.03</v>
      </c>
      <c r="Q478" s="58"/>
      <c r="R478" s="58"/>
      <c r="S478" s="58"/>
      <c r="T478" s="58"/>
      <c r="U478" s="58"/>
      <c r="V478" s="258"/>
      <c r="W478" s="624"/>
      <c r="X478" s="624"/>
      <c r="Y478" s="258"/>
      <c r="Z478" s="58"/>
      <c r="AA478" s="336"/>
      <c r="AB478" s="258"/>
      <c r="AC478" s="258"/>
      <c r="AD478" s="258"/>
      <c r="AE478" s="258"/>
      <c r="AF478" s="20"/>
      <c r="AG478" s="133">
        <v>41222</v>
      </c>
      <c r="AH478" s="27">
        <v>41320</v>
      </c>
      <c r="AI478" s="10">
        <f t="shared" si="37"/>
        <v>3</v>
      </c>
      <c r="AJ478" s="21"/>
      <c r="AL478" s="21"/>
      <c r="AM478" s="193"/>
      <c r="AN478" s="143"/>
      <c r="AO478" s="189"/>
      <c r="AP478" s="189"/>
    </row>
    <row r="479" spans="3:42" ht="17.25" customHeight="1">
      <c r="C479" s="8" t="s">
        <v>238</v>
      </c>
      <c r="D479" s="2"/>
      <c r="E479" s="20" t="s">
        <v>1777</v>
      </c>
      <c r="F479" s="58"/>
      <c r="G479" s="258"/>
      <c r="H479" s="258">
        <f t="shared" si="36"/>
        <v>36335.410000000003</v>
      </c>
      <c r="I479" s="228"/>
      <c r="J479" s="58"/>
      <c r="K479" s="58"/>
      <c r="L479" s="58"/>
      <c r="M479" s="58"/>
      <c r="N479" s="58">
        <v>12000</v>
      </c>
      <c r="O479" s="58"/>
      <c r="P479" s="58">
        <v>24335.41</v>
      </c>
      <c r="Q479" s="58"/>
      <c r="R479" s="58"/>
      <c r="S479" s="58"/>
      <c r="T479" s="58"/>
      <c r="U479" s="58"/>
      <c r="V479" s="258"/>
      <c r="W479" s="624"/>
      <c r="X479" s="624"/>
      <c r="Y479" s="258"/>
      <c r="Z479" s="58"/>
      <c r="AA479" s="336"/>
      <c r="AB479" s="258"/>
      <c r="AC479" s="258"/>
      <c r="AD479" s="258"/>
      <c r="AE479" s="258"/>
      <c r="AF479" s="20"/>
      <c r="AG479" s="133">
        <v>40228</v>
      </c>
      <c r="AH479" s="27">
        <v>41331</v>
      </c>
      <c r="AI479" s="10">
        <f t="shared" si="37"/>
        <v>36</v>
      </c>
      <c r="AJ479" s="21"/>
      <c r="AL479" s="21"/>
      <c r="AM479" s="193"/>
      <c r="AN479" s="143"/>
      <c r="AO479" s="189"/>
      <c r="AP479" s="189"/>
    </row>
    <row r="480" spans="3:42" ht="17.25" customHeight="1">
      <c r="C480" s="8" t="s">
        <v>238</v>
      </c>
      <c r="D480" s="2"/>
      <c r="E480" s="255" t="s">
        <v>1778</v>
      </c>
      <c r="F480" s="58"/>
      <c r="G480" s="258"/>
      <c r="H480" s="258">
        <f t="shared" si="36"/>
        <v>3000</v>
      </c>
      <c r="I480" s="228"/>
      <c r="J480" s="58"/>
      <c r="K480" s="58"/>
      <c r="L480" s="58"/>
      <c r="M480" s="58"/>
      <c r="N480" s="58"/>
      <c r="O480" s="58"/>
      <c r="P480" s="58">
        <v>3000</v>
      </c>
      <c r="Q480" s="58"/>
      <c r="R480" s="58"/>
      <c r="S480" s="58"/>
      <c r="T480" s="58"/>
      <c r="U480" s="58"/>
      <c r="V480" s="258"/>
      <c r="W480" s="624"/>
      <c r="X480" s="624"/>
      <c r="Y480" s="258"/>
      <c r="Z480" s="58"/>
      <c r="AA480" s="336"/>
      <c r="AB480" s="258"/>
      <c r="AC480" s="258"/>
      <c r="AD480" s="258"/>
      <c r="AE480" s="258"/>
      <c r="AF480" s="20"/>
      <c r="AG480" s="133"/>
      <c r="AH480" s="27">
        <v>41243</v>
      </c>
      <c r="AI480" s="10"/>
      <c r="AJ480" s="21"/>
      <c r="AL480" s="21"/>
      <c r="AM480" s="193"/>
      <c r="AN480" s="143"/>
      <c r="AO480" s="189"/>
      <c r="AP480" s="189"/>
    </row>
    <row r="481" spans="3:42" ht="17.25" customHeight="1">
      <c r="C481" s="8" t="s">
        <v>238</v>
      </c>
      <c r="D481" s="2"/>
      <c r="E481" s="20" t="s">
        <v>1779</v>
      </c>
      <c r="F481" s="58"/>
      <c r="G481" s="258"/>
      <c r="H481" s="258">
        <f t="shared" si="36"/>
        <v>2000</v>
      </c>
      <c r="I481" s="228"/>
      <c r="J481" s="58"/>
      <c r="K481" s="58"/>
      <c r="L481" s="58"/>
      <c r="M481" s="58"/>
      <c r="N481" s="58"/>
      <c r="O481" s="58"/>
      <c r="P481" s="58">
        <v>2000</v>
      </c>
      <c r="Q481" s="58"/>
      <c r="R481" s="58"/>
      <c r="S481" s="58"/>
      <c r="T481" s="58"/>
      <c r="U481" s="58"/>
      <c r="V481" s="258"/>
      <c r="W481" s="624"/>
      <c r="X481" s="624"/>
      <c r="Y481" s="258"/>
      <c r="Z481" s="58"/>
      <c r="AA481" s="336"/>
      <c r="AB481" s="258"/>
      <c r="AC481" s="258"/>
      <c r="AD481" s="258"/>
      <c r="AE481" s="258"/>
      <c r="AF481" s="20"/>
      <c r="AG481" s="27"/>
      <c r="AH481" s="133">
        <v>41222</v>
      </c>
      <c r="AI481" s="10"/>
      <c r="AJ481" s="21"/>
      <c r="AL481" s="21"/>
      <c r="AM481" s="193"/>
      <c r="AN481" s="143"/>
      <c r="AO481" s="189"/>
      <c r="AP481" s="189"/>
    </row>
    <row r="482" spans="3:42" ht="17.25" customHeight="1">
      <c r="C482" s="8" t="s">
        <v>238</v>
      </c>
      <c r="D482" s="2"/>
      <c r="E482" s="20" t="s">
        <v>1780</v>
      </c>
      <c r="F482" s="58"/>
      <c r="G482" s="258"/>
      <c r="H482" s="258">
        <f t="shared" si="36"/>
        <v>7119.99</v>
      </c>
      <c r="I482" s="228"/>
      <c r="J482" s="58"/>
      <c r="K482" s="58"/>
      <c r="L482" s="58"/>
      <c r="M482" s="58"/>
      <c r="N482" s="58"/>
      <c r="O482" s="58">
        <v>6947.36</v>
      </c>
      <c r="P482" s="58">
        <v>172.63</v>
      </c>
      <c r="Q482" s="58"/>
      <c r="R482" s="58"/>
      <c r="S482" s="58"/>
      <c r="T482" s="58"/>
      <c r="U482" s="58"/>
      <c r="V482" s="258"/>
      <c r="W482" s="624"/>
      <c r="X482" s="624"/>
      <c r="Y482" s="258"/>
      <c r="Z482" s="58"/>
      <c r="AA482" s="336"/>
      <c r="AB482" s="258"/>
      <c r="AC482" s="258"/>
      <c r="AD482" s="258"/>
      <c r="AE482" s="258"/>
      <c r="AF482" s="20"/>
      <c r="AG482" s="267">
        <v>40653</v>
      </c>
      <c r="AH482" s="133">
        <v>41115</v>
      </c>
      <c r="AI482" s="10">
        <f t="shared" si="37"/>
        <v>15</v>
      </c>
      <c r="AJ482" s="21"/>
      <c r="AL482" s="21"/>
      <c r="AM482" s="193"/>
      <c r="AN482" s="143"/>
      <c r="AO482" s="189"/>
      <c r="AP482" s="189"/>
    </row>
    <row r="483" spans="3:42" ht="17.25" customHeight="1">
      <c r="C483" s="8" t="s">
        <v>238</v>
      </c>
      <c r="D483" s="2"/>
      <c r="E483" s="20" t="s">
        <v>1781</v>
      </c>
      <c r="F483" s="58"/>
      <c r="G483" s="258"/>
      <c r="H483" s="258">
        <f t="shared" si="36"/>
        <v>18071.169999999998</v>
      </c>
      <c r="I483" s="228"/>
      <c r="J483" s="58"/>
      <c r="K483" s="58"/>
      <c r="L483" s="58"/>
      <c r="M483" s="58"/>
      <c r="N483" s="58">
        <v>17867.259999999998</v>
      </c>
      <c r="O483" s="58"/>
      <c r="P483" s="58">
        <v>203.91</v>
      </c>
      <c r="Q483" s="58"/>
      <c r="R483" s="58"/>
      <c r="S483" s="58"/>
      <c r="T483" s="58"/>
      <c r="U483" s="58"/>
      <c r="V483" s="258"/>
      <c r="W483" s="624"/>
      <c r="X483" s="624"/>
      <c r="Y483" s="258"/>
      <c r="Z483" s="58"/>
      <c r="AA483" s="336"/>
      <c r="AB483" s="258"/>
      <c r="AC483" s="258"/>
      <c r="AD483" s="258"/>
      <c r="AE483" s="258"/>
      <c r="AF483" s="20"/>
      <c r="AG483" s="27">
        <v>40258</v>
      </c>
      <c r="AH483" s="133">
        <v>41264</v>
      </c>
      <c r="AI483" s="10">
        <f t="shared" si="37"/>
        <v>33</v>
      </c>
      <c r="AJ483" s="21"/>
      <c r="AL483" s="21"/>
      <c r="AM483" s="193"/>
      <c r="AN483" s="143"/>
      <c r="AO483" s="189"/>
      <c r="AP483" s="189"/>
    </row>
    <row r="484" spans="3:42" ht="17.25" customHeight="1">
      <c r="C484" s="8" t="s">
        <v>238</v>
      </c>
      <c r="D484" s="2"/>
      <c r="E484" s="20" t="s">
        <v>1782</v>
      </c>
      <c r="F484" s="58"/>
      <c r="G484" s="258"/>
      <c r="H484" s="258">
        <f t="shared" si="36"/>
        <v>1000</v>
      </c>
      <c r="I484" s="228"/>
      <c r="J484" s="58"/>
      <c r="K484" s="58"/>
      <c r="L484" s="58"/>
      <c r="M484" s="58"/>
      <c r="N484" s="58"/>
      <c r="O484" s="58"/>
      <c r="P484" s="58">
        <v>1000</v>
      </c>
      <c r="Q484" s="58"/>
      <c r="R484" s="58"/>
      <c r="S484" s="58"/>
      <c r="T484" s="58"/>
      <c r="U484" s="58"/>
      <c r="V484" s="258"/>
      <c r="W484" s="624"/>
      <c r="X484" s="624"/>
      <c r="Y484" s="258"/>
      <c r="Z484" s="58"/>
      <c r="AA484" s="336"/>
      <c r="AB484" s="258"/>
      <c r="AC484" s="258"/>
      <c r="AD484" s="258"/>
      <c r="AE484" s="258"/>
      <c r="AF484" s="20"/>
      <c r="AG484" s="267">
        <v>41101</v>
      </c>
      <c r="AH484" s="133">
        <v>41107</v>
      </c>
      <c r="AI484" s="10">
        <f>(YEAR(AH484)-YEAR(AG484))*12+MONTH(AH484)-MONTH(AG484)</f>
        <v>0</v>
      </c>
      <c r="AJ484" s="21"/>
      <c r="AL484" s="21"/>
      <c r="AM484" s="193"/>
      <c r="AN484" s="143"/>
      <c r="AO484" s="189"/>
      <c r="AP484" s="189"/>
    </row>
    <row r="485" spans="3:42" ht="17.25" customHeight="1">
      <c r="C485" s="8" t="s">
        <v>238</v>
      </c>
      <c r="D485" s="2"/>
      <c r="E485" s="20" t="s">
        <v>1783</v>
      </c>
      <c r="F485" s="58"/>
      <c r="G485" s="258"/>
      <c r="H485" s="258">
        <f t="shared" si="36"/>
        <v>290</v>
      </c>
      <c r="I485" s="228"/>
      <c r="J485" s="58"/>
      <c r="K485" s="58"/>
      <c r="L485" s="58"/>
      <c r="M485" s="58"/>
      <c r="N485" s="58"/>
      <c r="O485" s="58"/>
      <c r="P485" s="58">
        <v>290</v>
      </c>
      <c r="Q485" s="58"/>
      <c r="R485" s="58"/>
      <c r="S485" s="58"/>
      <c r="T485" s="58"/>
      <c r="U485" s="58"/>
      <c r="V485" s="258"/>
      <c r="W485" s="624"/>
      <c r="X485" s="624"/>
      <c r="Y485" s="258"/>
      <c r="Z485" s="58"/>
      <c r="AA485" s="336"/>
      <c r="AB485" s="258"/>
      <c r="AC485" s="258"/>
      <c r="AD485" s="258"/>
      <c r="AE485" s="258"/>
      <c r="AF485" s="20"/>
      <c r="AG485" s="27"/>
      <c r="AH485" s="133">
        <v>41355</v>
      </c>
      <c r="AI485" s="10"/>
      <c r="AJ485" s="21"/>
      <c r="AL485" s="21"/>
      <c r="AM485" s="193"/>
      <c r="AN485" s="143"/>
      <c r="AO485" s="189"/>
      <c r="AP485" s="189"/>
    </row>
    <row r="486" spans="3:42" ht="17.25" customHeight="1">
      <c r="C486" s="8" t="s">
        <v>238</v>
      </c>
      <c r="D486" s="2"/>
      <c r="E486" s="20" t="s">
        <v>1784</v>
      </c>
      <c r="F486" s="58"/>
      <c r="G486" s="258"/>
      <c r="H486" s="258">
        <f t="shared" si="36"/>
        <v>1012.64</v>
      </c>
      <c r="I486" s="228"/>
      <c r="J486" s="58"/>
      <c r="K486" s="58"/>
      <c r="L486" s="58"/>
      <c r="M486" s="58"/>
      <c r="N486" s="58"/>
      <c r="O486" s="58"/>
      <c r="P486" s="58">
        <v>1012.64</v>
      </c>
      <c r="Q486" s="58"/>
      <c r="R486" s="58"/>
      <c r="S486" s="58"/>
      <c r="T486" s="58"/>
      <c r="U486" s="58"/>
      <c r="V486" s="258"/>
      <c r="W486" s="624"/>
      <c r="X486" s="624"/>
      <c r="Y486" s="258"/>
      <c r="Z486" s="58"/>
      <c r="AA486" s="336"/>
      <c r="AB486" s="258"/>
      <c r="AC486" s="258"/>
      <c r="AD486" s="258"/>
      <c r="AE486" s="258"/>
      <c r="AF486" s="20"/>
      <c r="AG486" s="27">
        <v>41445</v>
      </c>
      <c r="AH486" s="133">
        <v>41453</v>
      </c>
      <c r="AI486" s="10">
        <f t="shared" si="37"/>
        <v>0</v>
      </c>
      <c r="AJ486" s="21"/>
      <c r="AL486" s="21"/>
      <c r="AM486" s="193"/>
      <c r="AN486" s="143"/>
      <c r="AO486" s="189"/>
      <c r="AP486" s="189"/>
    </row>
    <row r="487" spans="3:42" ht="17.25" customHeight="1">
      <c r="C487" s="8" t="s">
        <v>238</v>
      </c>
      <c r="D487" s="2"/>
      <c r="E487" s="20" t="s">
        <v>1785</v>
      </c>
      <c r="F487" s="58"/>
      <c r="G487" s="258"/>
      <c r="H487" s="258">
        <f t="shared" si="36"/>
        <v>345.68</v>
      </c>
      <c r="I487" s="228"/>
      <c r="J487" s="58"/>
      <c r="K487" s="58"/>
      <c r="L487" s="58"/>
      <c r="M487" s="58"/>
      <c r="N487" s="58"/>
      <c r="O487" s="58"/>
      <c r="P487" s="58">
        <v>345.68</v>
      </c>
      <c r="Q487" s="58"/>
      <c r="R487" s="58"/>
      <c r="S487" s="58"/>
      <c r="T487" s="58"/>
      <c r="U487" s="58"/>
      <c r="V487" s="258"/>
      <c r="W487" s="624"/>
      <c r="X487" s="624"/>
      <c r="Y487" s="258"/>
      <c r="Z487" s="58"/>
      <c r="AA487" s="336"/>
      <c r="AB487" s="258"/>
      <c r="AC487" s="258"/>
      <c r="AD487" s="258"/>
      <c r="AE487" s="258"/>
      <c r="AF487" s="20"/>
      <c r="AG487" s="27"/>
      <c r="AH487" s="133">
        <v>41444</v>
      </c>
      <c r="AI487" s="10"/>
      <c r="AJ487" s="21"/>
      <c r="AL487" s="21"/>
      <c r="AM487" s="193"/>
      <c r="AN487" s="143"/>
      <c r="AO487" s="189"/>
      <c r="AP487" s="189"/>
    </row>
    <row r="488" spans="3:42" ht="17.25" customHeight="1">
      <c r="C488" s="8" t="s">
        <v>238</v>
      </c>
      <c r="D488" s="2"/>
      <c r="E488" s="20" t="s">
        <v>1786</v>
      </c>
      <c r="F488" s="58"/>
      <c r="G488" s="258"/>
      <c r="H488" s="258">
        <f t="shared" si="36"/>
        <v>500</v>
      </c>
      <c r="I488" s="228"/>
      <c r="J488" s="58"/>
      <c r="K488" s="58"/>
      <c r="L488" s="58"/>
      <c r="M488" s="58"/>
      <c r="N488" s="58"/>
      <c r="O488" s="58"/>
      <c r="P488" s="58">
        <v>500</v>
      </c>
      <c r="Q488" s="58"/>
      <c r="R488" s="58"/>
      <c r="S488" s="58"/>
      <c r="T488" s="58"/>
      <c r="U488" s="58"/>
      <c r="V488" s="258"/>
      <c r="W488" s="624"/>
      <c r="X488" s="624"/>
      <c r="Y488" s="258"/>
      <c r="Z488" s="58"/>
      <c r="AA488" s="336"/>
      <c r="AB488" s="258"/>
      <c r="AC488" s="258"/>
      <c r="AD488" s="258"/>
      <c r="AE488" s="258"/>
      <c r="AF488" s="20"/>
      <c r="AG488" s="27">
        <v>41046</v>
      </c>
      <c r="AH488" s="133">
        <v>41149</v>
      </c>
      <c r="AI488" s="10">
        <f t="shared" si="37"/>
        <v>3</v>
      </c>
      <c r="AJ488" s="21"/>
      <c r="AL488" s="21"/>
      <c r="AM488" s="193"/>
      <c r="AN488" s="143"/>
      <c r="AO488" s="189"/>
      <c r="AP488" s="189"/>
    </row>
    <row r="489" spans="3:42" ht="17.25" customHeight="1">
      <c r="C489" s="8" t="s">
        <v>238</v>
      </c>
      <c r="D489" s="2"/>
      <c r="E489" s="20" t="s">
        <v>1787</v>
      </c>
      <c r="F489" s="58"/>
      <c r="G489" s="258"/>
      <c r="H489" s="258">
        <f t="shared" si="36"/>
        <v>13133.85</v>
      </c>
      <c r="I489" s="228"/>
      <c r="J489" s="58"/>
      <c r="K489" s="58"/>
      <c r="L489" s="58"/>
      <c r="M489" s="58"/>
      <c r="N489" s="58"/>
      <c r="O489" s="58"/>
      <c r="P489" s="58">
        <v>13133.85</v>
      </c>
      <c r="Q489" s="58"/>
      <c r="R489" s="58"/>
      <c r="S489" s="58"/>
      <c r="T489" s="58"/>
      <c r="U489" s="58"/>
      <c r="V489" s="258"/>
      <c r="W489" s="624"/>
      <c r="X489" s="624"/>
      <c r="Y489" s="258"/>
      <c r="Z489" s="58"/>
      <c r="AA489" s="336"/>
      <c r="AB489" s="258"/>
      <c r="AC489" s="258"/>
      <c r="AD489" s="258"/>
      <c r="AE489" s="258"/>
      <c r="AF489" s="20"/>
      <c r="AG489" s="27">
        <v>41375</v>
      </c>
      <c r="AH489" s="133">
        <v>41442</v>
      </c>
      <c r="AI489" s="10">
        <f t="shared" si="37"/>
        <v>2</v>
      </c>
      <c r="AJ489" s="21"/>
      <c r="AL489" s="21"/>
      <c r="AM489" s="193"/>
      <c r="AN489" s="143"/>
      <c r="AO489" s="189"/>
      <c r="AP489" s="189"/>
    </row>
    <row r="490" spans="3:42" ht="17.25" customHeight="1">
      <c r="C490" s="8" t="s">
        <v>238</v>
      </c>
      <c r="D490" s="2"/>
      <c r="E490" s="20" t="s">
        <v>1788</v>
      </c>
      <c r="F490" s="58"/>
      <c r="G490" s="258"/>
      <c r="H490" s="258">
        <f t="shared" ref="H490:H553" si="38">SUM(I490:U490)</f>
        <v>20000</v>
      </c>
      <c r="I490" s="228"/>
      <c r="J490" s="58"/>
      <c r="K490" s="58"/>
      <c r="L490" s="58"/>
      <c r="M490" s="58"/>
      <c r="N490" s="58"/>
      <c r="O490" s="58"/>
      <c r="P490" s="58">
        <v>20000</v>
      </c>
      <c r="Q490" s="58"/>
      <c r="R490" s="58"/>
      <c r="S490" s="58"/>
      <c r="T490" s="58"/>
      <c r="U490" s="58"/>
      <c r="V490" s="258"/>
      <c r="W490" s="624"/>
      <c r="X490" s="624"/>
      <c r="Y490" s="258"/>
      <c r="Z490" s="58"/>
      <c r="AA490" s="336"/>
      <c r="AB490" s="258"/>
      <c r="AC490" s="258"/>
      <c r="AD490" s="258"/>
      <c r="AE490" s="258"/>
      <c r="AF490" s="20"/>
      <c r="AG490" s="27">
        <v>41151</v>
      </c>
      <c r="AH490" s="133">
        <v>41411</v>
      </c>
      <c r="AI490" s="10">
        <f t="shared" si="37"/>
        <v>9</v>
      </c>
      <c r="AJ490" s="21"/>
      <c r="AL490" s="21"/>
      <c r="AM490" s="193"/>
      <c r="AN490" s="143"/>
      <c r="AO490" s="189"/>
      <c r="AP490" s="189"/>
    </row>
    <row r="491" spans="3:42" ht="17.25" customHeight="1">
      <c r="C491" s="8" t="s">
        <v>238</v>
      </c>
      <c r="D491" s="2"/>
      <c r="E491" s="20" t="s">
        <v>1789</v>
      </c>
      <c r="F491" s="58"/>
      <c r="G491" s="258"/>
      <c r="H491" s="258">
        <f t="shared" si="38"/>
        <v>40000</v>
      </c>
      <c r="I491" s="228"/>
      <c r="J491" s="58"/>
      <c r="K491" s="58"/>
      <c r="L491" s="58"/>
      <c r="M491" s="58"/>
      <c r="N491" s="58"/>
      <c r="O491" s="58"/>
      <c r="P491" s="58">
        <v>40000</v>
      </c>
      <c r="Q491" s="58"/>
      <c r="R491" s="58"/>
      <c r="S491" s="58"/>
      <c r="T491" s="58"/>
      <c r="U491" s="58"/>
      <c r="V491" s="258"/>
      <c r="W491" s="624"/>
      <c r="X491" s="624"/>
      <c r="Y491" s="258"/>
      <c r="Z491" s="58"/>
      <c r="AA491" s="336"/>
      <c r="AB491" s="258"/>
      <c r="AC491" s="258"/>
      <c r="AD491" s="258"/>
      <c r="AE491" s="258"/>
      <c r="AF491" s="20"/>
      <c r="AG491" s="27">
        <v>40967</v>
      </c>
      <c r="AH491" s="133">
        <v>41145</v>
      </c>
      <c r="AI491" s="10">
        <f t="shared" si="37"/>
        <v>6</v>
      </c>
      <c r="AJ491" s="21"/>
      <c r="AL491" s="21"/>
      <c r="AM491" s="193"/>
      <c r="AN491" s="143"/>
      <c r="AO491" s="189"/>
      <c r="AP491" s="189"/>
    </row>
    <row r="492" spans="3:42" ht="17.25" customHeight="1">
      <c r="C492" s="8" t="s">
        <v>238</v>
      </c>
      <c r="D492" s="2"/>
      <c r="E492" s="20" t="s">
        <v>1790</v>
      </c>
      <c r="F492" s="58"/>
      <c r="G492" s="258"/>
      <c r="H492" s="258">
        <f t="shared" si="38"/>
        <v>2000</v>
      </c>
      <c r="I492" s="228"/>
      <c r="J492" s="58"/>
      <c r="K492" s="58"/>
      <c r="L492" s="58"/>
      <c r="M492" s="58"/>
      <c r="N492" s="58"/>
      <c r="O492" s="58"/>
      <c r="P492" s="58">
        <v>2000</v>
      </c>
      <c r="Q492" s="58"/>
      <c r="R492" s="58"/>
      <c r="S492" s="58"/>
      <c r="T492" s="58"/>
      <c r="U492" s="58"/>
      <c r="V492" s="258"/>
      <c r="W492" s="624"/>
      <c r="X492" s="624"/>
      <c r="Y492" s="258"/>
      <c r="Z492" s="58"/>
      <c r="AA492" s="336"/>
      <c r="AB492" s="258"/>
      <c r="AC492" s="258"/>
      <c r="AD492" s="258"/>
      <c r="AE492" s="258"/>
      <c r="AF492" s="20"/>
      <c r="AG492" s="27">
        <v>41347</v>
      </c>
      <c r="AH492" s="133">
        <v>41379</v>
      </c>
      <c r="AI492" s="10">
        <f t="shared" si="37"/>
        <v>1</v>
      </c>
      <c r="AJ492" s="21"/>
      <c r="AL492" s="21"/>
      <c r="AM492" s="193"/>
      <c r="AN492" s="143"/>
      <c r="AO492" s="189"/>
      <c r="AP492" s="189"/>
    </row>
    <row r="493" spans="3:42" ht="17.25" customHeight="1">
      <c r="C493" s="8" t="s">
        <v>238</v>
      </c>
      <c r="D493" s="2"/>
      <c r="E493" s="20" t="s">
        <v>1791</v>
      </c>
      <c r="F493" s="58"/>
      <c r="G493" s="258"/>
      <c r="H493" s="258">
        <f t="shared" si="38"/>
        <v>50</v>
      </c>
      <c r="I493" s="228"/>
      <c r="J493" s="58"/>
      <c r="K493" s="58"/>
      <c r="L493" s="58"/>
      <c r="M493" s="58"/>
      <c r="N493" s="58"/>
      <c r="O493" s="58"/>
      <c r="P493" s="58">
        <v>50</v>
      </c>
      <c r="Q493" s="58"/>
      <c r="R493" s="58"/>
      <c r="S493" s="58"/>
      <c r="T493" s="58"/>
      <c r="U493" s="58"/>
      <c r="V493" s="258"/>
      <c r="W493" s="624"/>
      <c r="X493" s="624"/>
      <c r="Y493" s="258"/>
      <c r="Z493" s="58"/>
      <c r="AA493" s="336"/>
      <c r="AB493" s="258"/>
      <c r="AC493" s="258"/>
      <c r="AD493" s="258"/>
      <c r="AE493" s="258"/>
      <c r="AF493" s="20"/>
      <c r="AG493" s="27">
        <v>41212</v>
      </c>
      <c r="AH493" s="133">
        <v>41194</v>
      </c>
      <c r="AI493" s="10">
        <f t="shared" ref="AI493:AI555" si="39">(YEAR(AH493)-YEAR(AG493))*12+MONTH(AH493)-MONTH(AG493)</f>
        <v>0</v>
      </c>
      <c r="AJ493" s="21"/>
      <c r="AL493" s="21"/>
      <c r="AM493" s="193"/>
      <c r="AN493" s="143"/>
      <c r="AO493" s="189"/>
      <c r="AP493" s="189"/>
    </row>
    <row r="494" spans="3:42" ht="17.25" customHeight="1">
      <c r="C494" s="8" t="s">
        <v>238</v>
      </c>
      <c r="D494" s="2"/>
      <c r="E494" s="20" t="s">
        <v>1792</v>
      </c>
      <c r="F494" s="58"/>
      <c r="G494" s="258"/>
      <c r="H494" s="258">
        <f t="shared" si="38"/>
        <v>5000</v>
      </c>
      <c r="I494" s="228"/>
      <c r="J494" s="58"/>
      <c r="K494" s="58"/>
      <c r="L494" s="58"/>
      <c r="M494" s="58"/>
      <c r="N494" s="58"/>
      <c r="O494" s="58"/>
      <c r="P494" s="58">
        <v>5000</v>
      </c>
      <c r="Q494" s="58"/>
      <c r="R494" s="58"/>
      <c r="S494" s="58"/>
      <c r="T494" s="58"/>
      <c r="U494" s="58"/>
      <c r="V494" s="258"/>
      <c r="W494" s="624"/>
      <c r="X494" s="624"/>
      <c r="Y494" s="258"/>
      <c r="Z494" s="58"/>
      <c r="AA494" s="336"/>
      <c r="AB494" s="258"/>
      <c r="AC494" s="258"/>
      <c r="AD494" s="258"/>
      <c r="AE494" s="258"/>
      <c r="AF494" s="20"/>
      <c r="AG494" s="27"/>
      <c r="AH494" s="133">
        <v>41430</v>
      </c>
      <c r="AI494" s="10"/>
      <c r="AJ494" s="21"/>
      <c r="AL494" s="21"/>
      <c r="AM494" s="193"/>
      <c r="AN494" s="143"/>
      <c r="AO494" s="189"/>
      <c r="AP494" s="189"/>
    </row>
    <row r="495" spans="3:42" ht="17.25" customHeight="1">
      <c r="C495" s="8" t="s">
        <v>238</v>
      </c>
      <c r="D495" s="2"/>
      <c r="E495" s="20" t="s">
        <v>1793</v>
      </c>
      <c r="F495" s="58"/>
      <c r="G495" s="258"/>
      <c r="H495" s="258">
        <f t="shared" si="38"/>
        <v>37852.9</v>
      </c>
      <c r="I495" s="228"/>
      <c r="J495" s="58"/>
      <c r="K495" s="58"/>
      <c r="L495" s="58"/>
      <c r="M495" s="58"/>
      <c r="N495" s="58"/>
      <c r="O495" s="58"/>
      <c r="P495" s="58">
        <v>37852.9</v>
      </c>
      <c r="Q495" s="58"/>
      <c r="R495" s="58"/>
      <c r="S495" s="58"/>
      <c r="T495" s="58"/>
      <c r="U495" s="58"/>
      <c r="V495" s="258"/>
      <c r="W495" s="624"/>
      <c r="X495" s="624"/>
      <c r="Y495" s="258"/>
      <c r="Z495" s="58"/>
      <c r="AA495" s="336"/>
      <c r="AB495" s="258"/>
      <c r="AC495" s="258"/>
      <c r="AD495" s="258"/>
      <c r="AE495" s="258"/>
      <c r="AF495" s="20"/>
      <c r="AG495" s="27"/>
      <c r="AH495" s="133">
        <v>41368</v>
      </c>
      <c r="AI495" s="10"/>
      <c r="AJ495" s="21"/>
      <c r="AL495" s="21"/>
      <c r="AM495" s="193"/>
      <c r="AN495" s="143"/>
      <c r="AO495" s="189"/>
      <c r="AP495" s="189"/>
    </row>
    <row r="496" spans="3:42" ht="17.25" customHeight="1">
      <c r="C496" s="8" t="s">
        <v>238</v>
      </c>
      <c r="D496" s="2"/>
      <c r="E496" s="20" t="s">
        <v>1794</v>
      </c>
      <c r="F496" s="58"/>
      <c r="G496" s="258"/>
      <c r="H496" s="258">
        <f t="shared" si="38"/>
        <v>1000</v>
      </c>
      <c r="I496" s="228"/>
      <c r="J496" s="58"/>
      <c r="K496" s="58"/>
      <c r="L496" s="58"/>
      <c r="M496" s="58"/>
      <c r="N496" s="58"/>
      <c r="O496" s="58"/>
      <c r="P496" s="58">
        <v>1000</v>
      </c>
      <c r="Q496" s="58"/>
      <c r="R496" s="58"/>
      <c r="S496" s="58"/>
      <c r="T496" s="58"/>
      <c r="U496" s="58"/>
      <c r="V496" s="258"/>
      <c r="W496" s="624"/>
      <c r="X496" s="624"/>
      <c r="Y496" s="258"/>
      <c r="Z496" s="58"/>
      <c r="AA496" s="336"/>
      <c r="AB496" s="258"/>
      <c r="AC496" s="258"/>
      <c r="AD496" s="258"/>
      <c r="AE496" s="258"/>
      <c r="AF496" s="20"/>
      <c r="AG496" s="267">
        <v>40567</v>
      </c>
      <c r="AH496" s="133">
        <v>41110</v>
      </c>
      <c r="AI496" s="10">
        <f t="shared" si="39"/>
        <v>18</v>
      </c>
      <c r="AJ496" s="21"/>
      <c r="AL496" s="21"/>
      <c r="AM496" s="193"/>
      <c r="AN496" s="143"/>
      <c r="AO496" s="189"/>
      <c r="AP496" s="189"/>
    </row>
    <row r="497" spans="3:42" ht="17.25" customHeight="1">
      <c r="C497" s="8" t="s">
        <v>238</v>
      </c>
      <c r="D497" s="2"/>
      <c r="E497" s="20" t="s">
        <v>1795</v>
      </c>
      <c r="F497" s="58"/>
      <c r="G497" s="258"/>
      <c r="H497" s="258">
        <f t="shared" si="38"/>
        <v>33391.68</v>
      </c>
      <c r="I497" s="228"/>
      <c r="J497" s="58"/>
      <c r="K497" s="58"/>
      <c r="L497" s="58"/>
      <c r="M497" s="58"/>
      <c r="N497" s="58"/>
      <c r="O497" s="58"/>
      <c r="P497" s="58">
        <f>SUM(31689.22, 1702.46)</f>
        <v>33391.68</v>
      </c>
      <c r="Q497" s="58"/>
      <c r="R497" s="58"/>
      <c r="S497" s="58"/>
      <c r="T497" s="58"/>
      <c r="U497" s="58"/>
      <c r="V497" s="258"/>
      <c r="W497" s="624"/>
      <c r="X497" s="624"/>
      <c r="Y497" s="258"/>
      <c r="Z497" s="58"/>
      <c r="AA497" s="336"/>
      <c r="AB497" s="258"/>
      <c r="AC497" s="258"/>
      <c r="AD497" s="258"/>
      <c r="AE497" s="258"/>
      <c r="AF497" s="20"/>
      <c r="AG497" s="27">
        <v>41093</v>
      </c>
      <c r="AH497" s="133">
        <v>41184</v>
      </c>
      <c r="AI497" s="10">
        <f t="shared" si="39"/>
        <v>3</v>
      </c>
      <c r="AJ497" s="21"/>
      <c r="AL497" s="21"/>
      <c r="AM497" s="193"/>
      <c r="AN497" s="143"/>
      <c r="AO497" s="189"/>
      <c r="AP497" s="189"/>
    </row>
    <row r="498" spans="3:42" ht="17.25" customHeight="1">
      <c r="C498" s="8" t="s">
        <v>238</v>
      </c>
      <c r="D498" s="2"/>
      <c r="E498" s="20" t="s">
        <v>1796</v>
      </c>
      <c r="F498" s="58"/>
      <c r="G498" s="258"/>
      <c r="H498" s="258">
        <f t="shared" si="38"/>
        <v>1000</v>
      </c>
      <c r="I498" s="228"/>
      <c r="J498" s="58"/>
      <c r="K498" s="58"/>
      <c r="L498" s="58"/>
      <c r="M498" s="58"/>
      <c r="N498" s="58"/>
      <c r="O498" s="58"/>
      <c r="P498" s="58">
        <v>1000</v>
      </c>
      <c r="Q498" s="58"/>
      <c r="R498" s="58"/>
      <c r="S498" s="58"/>
      <c r="T498" s="58"/>
      <c r="U498" s="58"/>
      <c r="V498" s="258"/>
      <c r="W498" s="624"/>
      <c r="X498" s="624"/>
      <c r="Y498" s="258"/>
      <c r="Z498" s="58"/>
      <c r="AA498" s="336"/>
      <c r="AB498" s="258"/>
      <c r="AC498" s="258"/>
      <c r="AD498" s="258"/>
      <c r="AE498" s="258"/>
      <c r="AF498" s="20"/>
      <c r="AG498" s="27">
        <v>41162</v>
      </c>
      <c r="AH498" s="133">
        <v>41166</v>
      </c>
      <c r="AI498" s="10">
        <f t="shared" si="39"/>
        <v>0</v>
      </c>
      <c r="AJ498" s="21"/>
      <c r="AL498" s="21"/>
      <c r="AM498" s="193"/>
      <c r="AN498" s="143"/>
      <c r="AO498" s="189"/>
      <c r="AP498" s="189"/>
    </row>
    <row r="499" spans="3:42" ht="17.25" customHeight="1">
      <c r="C499" s="8" t="s">
        <v>238</v>
      </c>
      <c r="D499" s="2"/>
      <c r="E499" s="20" t="s">
        <v>1797</v>
      </c>
      <c r="F499" s="58"/>
      <c r="G499" s="258"/>
      <c r="H499" s="258">
        <f t="shared" si="38"/>
        <v>25000</v>
      </c>
      <c r="I499" s="228"/>
      <c r="J499" s="58"/>
      <c r="K499" s="58"/>
      <c r="L499" s="58"/>
      <c r="M499" s="58"/>
      <c r="N499" s="58"/>
      <c r="O499" s="58"/>
      <c r="P499" s="58">
        <v>25000</v>
      </c>
      <c r="Q499" s="58"/>
      <c r="R499" s="58"/>
      <c r="S499" s="58"/>
      <c r="T499" s="58"/>
      <c r="U499" s="58"/>
      <c r="V499" s="258"/>
      <c r="W499" s="624"/>
      <c r="X499" s="624"/>
      <c r="Y499" s="258"/>
      <c r="Z499" s="58"/>
      <c r="AA499" s="336"/>
      <c r="AB499" s="258"/>
      <c r="AC499" s="258"/>
      <c r="AD499" s="258"/>
      <c r="AE499" s="258"/>
      <c r="AF499" s="20"/>
      <c r="AG499" s="27">
        <v>41043</v>
      </c>
      <c r="AH499" s="133">
        <v>41138</v>
      </c>
      <c r="AI499" s="10">
        <f t="shared" si="39"/>
        <v>3</v>
      </c>
      <c r="AJ499" s="21"/>
      <c r="AL499" s="21"/>
      <c r="AM499" s="193"/>
      <c r="AN499" s="143"/>
      <c r="AO499" s="189"/>
      <c r="AP499" s="189"/>
    </row>
    <row r="500" spans="3:42" ht="17.25" customHeight="1">
      <c r="C500" s="8" t="s">
        <v>238</v>
      </c>
      <c r="D500" s="2"/>
      <c r="E500" s="20" t="s">
        <v>1798</v>
      </c>
      <c r="F500" s="58"/>
      <c r="G500" s="258"/>
      <c r="H500" s="258">
        <f t="shared" si="38"/>
        <v>55844.67</v>
      </c>
      <c r="I500" s="228"/>
      <c r="J500" s="58"/>
      <c r="K500" s="58"/>
      <c r="L500" s="58"/>
      <c r="M500" s="58"/>
      <c r="N500" s="58"/>
      <c r="O500" s="58"/>
      <c r="P500" s="58">
        <f>SUM(55768.4, 76.27)</f>
        <v>55844.67</v>
      </c>
      <c r="Q500" s="58"/>
      <c r="R500" s="58"/>
      <c r="S500" s="58"/>
      <c r="T500" s="58"/>
      <c r="U500" s="58"/>
      <c r="V500" s="258"/>
      <c r="W500" s="624"/>
      <c r="X500" s="624"/>
      <c r="Y500" s="258"/>
      <c r="Z500" s="58"/>
      <c r="AA500" s="336"/>
      <c r="AB500" s="258"/>
      <c r="AC500" s="258"/>
      <c r="AD500" s="258"/>
      <c r="AE500" s="258"/>
      <c r="AF500" s="20"/>
      <c r="AG500" s="27">
        <v>40870</v>
      </c>
      <c r="AH500" s="133">
        <v>41346</v>
      </c>
      <c r="AI500" s="10">
        <f t="shared" si="39"/>
        <v>16</v>
      </c>
      <c r="AJ500" s="21"/>
      <c r="AL500" s="21"/>
      <c r="AM500" s="193"/>
      <c r="AN500" s="143"/>
      <c r="AO500" s="189"/>
      <c r="AP500" s="189"/>
    </row>
    <row r="501" spans="3:42" ht="17.25" customHeight="1">
      <c r="C501" s="8" t="s">
        <v>238</v>
      </c>
      <c r="D501" s="2"/>
      <c r="E501" s="20" t="s">
        <v>1799</v>
      </c>
      <c r="F501" s="58"/>
      <c r="G501" s="258"/>
      <c r="H501" s="258">
        <f t="shared" si="38"/>
        <v>31000</v>
      </c>
      <c r="I501" s="228"/>
      <c r="J501" s="58"/>
      <c r="K501" s="58"/>
      <c r="L501" s="58"/>
      <c r="M501" s="58"/>
      <c r="N501" s="58"/>
      <c r="O501" s="58"/>
      <c r="P501" s="58">
        <v>31000</v>
      </c>
      <c r="Q501" s="58"/>
      <c r="R501" s="58"/>
      <c r="S501" s="58"/>
      <c r="T501" s="58"/>
      <c r="U501" s="58"/>
      <c r="V501" s="258"/>
      <c r="W501" s="624"/>
      <c r="X501" s="624"/>
      <c r="Y501" s="258"/>
      <c r="Z501" s="58"/>
      <c r="AA501" s="336"/>
      <c r="AB501" s="258"/>
      <c r="AC501" s="258"/>
      <c r="AD501" s="258"/>
      <c r="AE501" s="258"/>
      <c r="AF501" s="20"/>
      <c r="AG501" s="27">
        <v>41192</v>
      </c>
      <c r="AH501" s="133">
        <v>41261</v>
      </c>
      <c r="AI501" s="10">
        <f t="shared" si="39"/>
        <v>2</v>
      </c>
      <c r="AJ501" s="21"/>
      <c r="AL501" s="21"/>
      <c r="AM501" s="193"/>
      <c r="AN501" s="143"/>
      <c r="AO501" s="189"/>
      <c r="AP501" s="189"/>
    </row>
    <row r="502" spans="3:42" ht="17.25" customHeight="1">
      <c r="C502" s="8" t="s">
        <v>238</v>
      </c>
      <c r="D502" s="2"/>
      <c r="E502" s="20" t="s">
        <v>1800</v>
      </c>
      <c r="F502" s="58"/>
      <c r="G502" s="258"/>
      <c r="H502" s="258">
        <f t="shared" si="38"/>
        <v>4450.3500000000004</v>
      </c>
      <c r="I502" s="228"/>
      <c r="J502" s="58"/>
      <c r="K502" s="58"/>
      <c r="L502" s="58"/>
      <c r="M502" s="58"/>
      <c r="N502" s="58"/>
      <c r="O502" s="58"/>
      <c r="P502" s="58">
        <f>SUM(2679, 1771.35)</f>
        <v>4450.3500000000004</v>
      </c>
      <c r="Q502" s="58"/>
      <c r="R502" s="58"/>
      <c r="S502" s="58"/>
      <c r="T502" s="58"/>
      <c r="U502" s="58"/>
      <c r="V502" s="258"/>
      <c r="W502" s="624"/>
      <c r="X502" s="624"/>
      <c r="Y502" s="258"/>
      <c r="Z502" s="58"/>
      <c r="AA502" s="336"/>
      <c r="AB502" s="258"/>
      <c r="AC502" s="258"/>
      <c r="AD502" s="258"/>
      <c r="AE502" s="258"/>
      <c r="AF502" s="20"/>
      <c r="AG502" s="27">
        <v>41017</v>
      </c>
      <c r="AH502" s="133">
        <v>41128</v>
      </c>
      <c r="AI502" s="10">
        <f t="shared" si="39"/>
        <v>4</v>
      </c>
      <c r="AJ502" s="21"/>
      <c r="AL502" s="21"/>
      <c r="AM502" s="193"/>
      <c r="AN502" s="143"/>
      <c r="AO502" s="189"/>
      <c r="AP502" s="189"/>
    </row>
    <row r="503" spans="3:42" ht="17.25" customHeight="1">
      <c r="C503" s="8" t="s">
        <v>238</v>
      </c>
      <c r="D503" s="2"/>
      <c r="E503" s="20" t="s">
        <v>1801</v>
      </c>
      <c r="F503" s="58"/>
      <c r="G503" s="258"/>
      <c r="H503" s="258">
        <f t="shared" si="38"/>
        <v>273411.48</v>
      </c>
      <c r="I503" s="228"/>
      <c r="J503" s="58"/>
      <c r="K503" s="58"/>
      <c r="L503" s="58"/>
      <c r="M503" s="58"/>
      <c r="N503" s="58"/>
      <c r="O503" s="58"/>
      <c r="P503" s="58">
        <f>SUM(188286.44, 11572.65, 73552.39)</f>
        <v>273411.48</v>
      </c>
      <c r="Q503" s="58"/>
      <c r="R503" s="58"/>
      <c r="S503" s="58"/>
      <c r="T503" s="58"/>
      <c r="U503" s="58"/>
      <c r="V503" s="258"/>
      <c r="W503" s="624"/>
      <c r="X503" s="624"/>
      <c r="Y503" s="258"/>
      <c r="Z503" s="58"/>
      <c r="AA503" s="336"/>
      <c r="AB503" s="258"/>
      <c r="AC503" s="258"/>
      <c r="AD503" s="258"/>
      <c r="AE503" s="258"/>
      <c r="AF503" s="20"/>
      <c r="AG503" s="27">
        <v>41121</v>
      </c>
      <c r="AH503" s="133">
        <v>41163</v>
      </c>
      <c r="AI503" s="10">
        <f t="shared" si="39"/>
        <v>2</v>
      </c>
      <c r="AJ503" s="21"/>
      <c r="AL503" s="21"/>
      <c r="AM503" s="193"/>
      <c r="AN503" s="143"/>
      <c r="AO503" s="189"/>
      <c r="AP503" s="189"/>
    </row>
    <row r="504" spans="3:42" ht="17.25" customHeight="1">
      <c r="C504" s="8" t="s">
        <v>238</v>
      </c>
      <c r="D504" s="2"/>
      <c r="E504" s="20" t="s">
        <v>1802</v>
      </c>
      <c r="F504" s="58"/>
      <c r="G504" s="258"/>
      <c r="H504" s="258">
        <f t="shared" si="38"/>
        <v>100</v>
      </c>
      <c r="I504" s="228"/>
      <c r="J504" s="58"/>
      <c r="K504" s="58"/>
      <c r="L504" s="58"/>
      <c r="M504" s="58"/>
      <c r="N504" s="58"/>
      <c r="O504" s="58"/>
      <c r="P504" s="58">
        <v>100</v>
      </c>
      <c r="Q504" s="58"/>
      <c r="R504" s="58"/>
      <c r="S504" s="58"/>
      <c r="T504" s="58"/>
      <c r="U504" s="58"/>
      <c r="V504" s="258"/>
      <c r="W504" s="624"/>
      <c r="X504" s="624"/>
      <c r="Y504" s="258"/>
      <c r="Z504" s="58"/>
      <c r="AA504" s="336"/>
      <c r="AB504" s="258"/>
      <c r="AC504" s="258"/>
      <c r="AD504" s="258"/>
      <c r="AE504" s="258"/>
      <c r="AF504" s="20"/>
      <c r="AG504" s="27"/>
      <c r="AH504" s="133">
        <v>41214</v>
      </c>
      <c r="AI504" s="10"/>
      <c r="AJ504" s="21"/>
      <c r="AL504" s="21"/>
      <c r="AM504" s="193"/>
      <c r="AN504" s="143"/>
      <c r="AO504" s="189"/>
      <c r="AP504" s="189"/>
    </row>
    <row r="505" spans="3:42" ht="17.25" customHeight="1">
      <c r="C505" s="8" t="s">
        <v>238</v>
      </c>
      <c r="D505" s="2"/>
      <c r="E505" s="20" t="s">
        <v>1803</v>
      </c>
      <c r="F505" s="58"/>
      <c r="G505" s="258"/>
      <c r="H505" s="258">
        <f t="shared" si="38"/>
        <v>0.81</v>
      </c>
      <c r="I505" s="228"/>
      <c r="J505" s="58"/>
      <c r="K505" s="58"/>
      <c r="L505" s="58"/>
      <c r="M505" s="58"/>
      <c r="N505" s="58"/>
      <c r="O505" s="58"/>
      <c r="P505" s="58">
        <v>0.81</v>
      </c>
      <c r="Q505" s="58"/>
      <c r="R505" s="58"/>
      <c r="S505" s="58"/>
      <c r="T505" s="58"/>
      <c r="U505" s="58"/>
      <c r="V505" s="258"/>
      <c r="W505" s="624"/>
      <c r="X505" s="624"/>
      <c r="Y505" s="258"/>
      <c r="Z505" s="58"/>
      <c r="AA505" s="336"/>
      <c r="AB505" s="258"/>
      <c r="AC505" s="258"/>
      <c r="AD505" s="258"/>
      <c r="AE505" s="258"/>
      <c r="AF505" s="20"/>
      <c r="AG505" s="27"/>
      <c r="AH505" s="133">
        <v>41163</v>
      </c>
      <c r="AI505" s="10"/>
      <c r="AJ505" s="21"/>
      <c r="AL505" s="21"/>
      <c r="AM505" s="193"/>
      <c r="AN505" s="143"/>
      <c r="AO505" s="189"/>
      <c r="AP505" s="189"/>
    </row>
    <row r="506" spans="3:42" ht="17.25" customHeight="1">
      <c r="C506" s="8" t="s">
        <v>238</v>
      </c>
      <c r="D506" s="2"/>
      <c r="E506" s="20" t="s">
        <v>1804</v>
      </c>
      <c r="F506" s="58"/>
      <c r="G506" s="258"/>
      <c r="H506" s="258">
        <f t="shared" si="38"/>
        <v>75000</v>
      </c>
      <c r="I506" s="228"/>
      <c r="J506" s="58"/>
      <c r="K506" s="58"/>
      <c r="L506" s="58"/>
      <c r="M506" s="58">
        <v>25000</v>
      </c>
      <c r="N506" s="58"/>
      <c r="O506" s="58">
        <v>25000</v>
      </c>
      <c r="P506" s="58">
        <v>25000</v>
      </c>
      <c r="Q506" s="58"/>
      <c r="R506" s="58"/>
      <c r="S506" s="58"/>
      <c r="T506" s="58"/>
      <c r="U506" s="58"/>
      <c r="V506" s="258"/>
      <c r="W506" s="624"/>
      <c r="X506" s="624"/>
      <c r="Y506" s="258"/>
      <c r="Z506" s="58"/>
      <c r="AA506" s="336"/>
      <c r="AB506" s="258"/>
      <c r="AC506" s="258"/>
      <c r="AD506" s="258"/>
      <c r="AE506" s="258"/>
      <c r="AF506" s="20"/>
      <c r="AG506" s="27">
        <v>39015</v>
      </c>
      <c r="AH506" s="133">
        <v>41222</v>
      </c>
      <c r="AI506" s="10">
        <f t="shared" si="39"/>
        <v>73</v>
      </c>
      <c r="AJ506" s="21"/>
      <c r="AL506" s="21"/>
      <c r="AM506" s="193"/>
      <c r="AN506" s="143"/>
      <c r="AO506" s="189"/>
      <c r="AP506" s="189"/>
    </row>
    <row r="507" spans="3:42" ht="17.25" customHeight="1">
      <c r="C507" s="8" t="s">
        <v>238</v>
      </c>
      <c r="D507" s="2"/>
      <c r="E507" s="20" t="s">
        <v>1805</v>
      </c>
      <c r="F507" s="58"/>
      <c r="G507" s="258"/>
      <c r="H507" s="258">
        <f t="shared" si="38"/>
        <v>500</v>
      </c>
      <c r="I507" s="228"/>
      <c r="J507" s="58"/>
      <c r="K507" s="58"/>
      <c r="L507" s="58"/>
      <c r="M507" s="58"/>
      <c r="N507" s="58"/>
      <c r="O507" s="58"/>
      <c r="P507" s="58">
        <v>500</v>
      </c>
      <c r="Q507" s="58"/>
      <c r="R507" s="58"/>
      <c r="S507" s="58"/>
      <c r="T507" s="58"/>
      <c r="U507" s="58"/>
      <c r="V507" s="258"/>
      <c r="W507" s="624"/>
      <c r="X507" s="624"/>
      <c r="Y507" s="258"/>
      <c r="Z507" s="58"/>
      <c r="AA507" s="336"/>
      <c r="AB507" s="258"/>
      <c r="AC507" s="258"/>
      <c r="AD507" s="258"/>
      <c r="AE507" s="258"/>
      <c r="AF507" s="20"/>
      <c r="AG507" s="267">
        <v>41131</v>
      </c>
      <c r="AH507" s="133">
        <v>41138</v>
      </c>
      <c r="AI507" s="10">
        <f t="shared" si="39"/>
        <v>0</v>
      </c>
      <c r="AJ507" s="21"/>
      <c r="AL507" s="21"/>
      <c r="AM507" s="193"/>
      <c r="AN507" s="143"/>
      <c r="AO507" s="189"/>
      <c r="AP507" s="189"/>
    </row>
    <row r="508" spans="3:42" ht="17.25" customHeight="1">
      <c r="C508" s="8" t="s">
        <v>238</v>
      </c>
      <c r="D508" s="2"/>
      <c r="E508" s="20" t="s">
        <v>1806</v>
      </c>
      <c r="F508" s="58"/>
      <c r="G508" s="258"/>
      <c r="H508" s="258">
        <f t="shared" si="38"/>
        <v>100000</v>
      </c>
      <c r="I508" s="228"/>
      <c r="J508" s="58"/>
      <c r="K508" s="58"/>
      <c r="L508" s="58"/>
      <c r="M508" s="58"/>
      <c r="N508" s="58"/>
      <c r="O508" s="58"/>
      <c r="P508" s="58">
        <v>100000</v>
      </c>
      <c r="Q508" s="58"/>
      <c r="R508" s="58"/>
      <c r="S508" s="58"/>
      <c r="T508" s="58"/>
      <c r="U508" s="58"/>
      <c r="V508" s="258"/>
      <c r="W508" s="624"/>
      <c r="X508" s="624"/>
      <c r="Y508" s="258"/>
      <c r="Z508" s="58"/>
      <c r="AA508" s="336"/>
      <c r="AB508" s="258"/>
      <c r="AC508" s="258"/>
      <c r="AD508" s="258"/>
      <c r="AE508" s="258"/>
      <c r="AF508" s="20"/>
      <c r="AG508" s="27">
        <v>41106</v>
      </c>
      <c r="AH508" s="133">
        <v>41128</v>
      </c>
      <c r="AI508" s="10">
        <f t="shared" si="39"/>
        <v>1</v>
      </c>
      <c r="AJ508" s="21"/>
      <c r="AL508" s="21"/>
      <c r="AM508" s="193"/>
      <c r="AN508" s="143"/>
      <c r="AO508" s="189"/>
      <c r="AP508" s="189"/>
    </row>
    <row r="509" spans="3:42" ht="17.25" customHeight="1">
      <c r="C509" s="8" t="s">
        <v>238</v>
      </c>
      <c r="D509" s="2"/>
      <c r="E509" s="20" t="s">
        <v>1807</v>
      </c>
      <c r="F509" s="58"/>
      <c r="G509" s="258"/>
      <c r="H509" s="258">
        <f t="shared" si="38"/>
        <v>123310.65</v>
      </c>
      <c r="I509" s="228"/>
      <c r="J509" s="58"/>
      <c r="K509" s="58"/>
      <c r="L509" s="58"/>
      <c r="M509" s="58"/>
      <c r="N509" s="58"/>
      <c r="O509" s="58">
        <f>SUM(67650, 7000)</f>
        <v>74650</v>
      </c>
      <c r="P509" s="58">
        <v>48660.65</v>
      </c>
      <c r="Q509" s="58"/>
      <c r="R509" s="58"/>
      <c r="S509" s="58"/>
      <c r="T509" s="58"/>
      <c r="U509" s="58"/>
      <c r="V509" s="258"/>
      <c r="W509" s="624"/>
      <c r="X509" s="624"/>
      <c r="Y509" s="258"/>
      <c r="Z509" s="58"/>
      <c r="AA509" s="336"/>
      <c r="AB509" s="258"/>
      <c r="AC509" s="258"/>
      <c r="AD509" s="258"/>
      <c r="AE509" s="258"/>
      <c r="AF509" s="20"/>
      <c r="AG509" s="27">
        <v>40922</v>
      </c>
      <c r="AH509" s="133">
        <v>41240</v>
      </c>
      <c r="AI509" s="10">
        <f t="shared" si="39"/>
        <v>10</v>
      </c>
      <c r="AJ509" s="21"/>
      <c r="AL509" s="21"/>
      <c r="AM509" s="193"/>
      <c r="AN509" s="143"/>
      <c r="AO509" s="189"/>
      <c r="AP509" s="189"/>
    </row>
    <row r="510" spans="3:42" ht="17.25" customHeight="1">
      <c r="C510" s="8" t="s">
        <v>238</v>
      </c>
      <c r="D510" s="2"/>
      <c r="E510" s="20" t="s">
        <v>1808</v>
      </c>
      <c r="F510" s="58"/>
      <c r="G510" s="258"/>
      <c r="H510" s="258">
        <f t="shared" si="38"/>
        <v>1246.25</v>
      </c>
      <c r="I510" s="228"/>
      <c r="J510" s="58"/>
      <c r="K510" s="58"/>
      <c r="L510" s="58"/>
      <c r="M510" s="58"/>
      <c r="N510" s="58"/>
      <c r="O510" s="58"/>
      <c r="P510" s="58">
        <v>1246.25</v>
      </c>
      <c r="Q510" s="58"/>
      <c r="R510" s="58"/>
      <c r="S510" s="58"/>
      <c r="T510" s="58"/>
      <c r="U510" s="58"/>
      <c r="V510" s="258"/>
      <c r="W510" s="624"/>
      <c r="X510" s="624"/>
      <c r="Y510" s="258"/>
      <c r="Z510" s="58"/>
      <c r="AA510" s="336"/>
      <c r="AB510" s="258"/>
      <c r="AC510" s="258"/>
      <c r="AD510" s="258"/>
      <c r="AE510" s="258"/>
      <c r="AF510" s="20"/>
      <c r="AG510" s="27"/>
      <c r="AH510" s="133">
        <v>41261</v>
      </c>
      <c r="AI510" s="10"/>
      <c r="AJ510" s="21"/>
      <c r="AL510" s="21"/>
      <c r="AM510" s="193"/>
      <c r="AN510" s="143"/>
      <c r="AO510" s="189"/>
      <c r="AP510" s="189"/>
    </row>
    <row r="511" spans="3:42" ht="17.25" customHeight="1">
      <c r="C511" s="8" t="s">
        <v>238</v>
      </c>
      <c r="D511" s="2"/>
      <c r="E511" s="20" t="s">
        <v>1809</v>
      </c>
      <c r="F511" s="58"/>
      <c r="G511" s="258"/>
      <c r="H511" s="258">
        <f t="shared" si="38"/>
        <v>193321.98</v>
      </c>
      <c r="I511" s="228"/>
      <c r="J511" s="58"/>
      <c r="K511" s="58"/>
      <c r="L511" s="58"/>
      <c r="M511" s="58"/>
      <c r="N511" s="58"/>
      <c r="O511" s="58">
        <f>SUM(180728.13, 12520.76, 67.5)</f>
        <v>193316.39</v>
      </c>
      <c r="P511" s="58">
        <v>5.59</v>
      </c>
      <c r="Q511" s="58"/>
      <c r="R511" s="58"/>
      <c r="S511" s="58"/>
      <c r="T511" s="58"/>
      <c r="U511" s="58"/>
      <c r="V511" s="258"/>
      <c r="W511" s="624"/>
      <c r="X511" s="624"/>
      <c r="Y511" s="258"/>
      <c r="Z511" s="58"/>
      <c r="AA511" s="336"/>
      <c r="AB511" s="258"/>
      <c r="AC511" s="258"/>
      <c r="AD511" s="258"/>
      <c r="AE511" s="258"/>
      <c r="AF511" s="20"/>
      <c r="AG511" s="27">
        <v>36627</v>
      </c>
      <c r="AH511" s="133">
        <v>41261</v>
      </c>
      <c r="AI511" s="10">
        <f>(YEAR(AH511)-YEAR(AG511))*12+MONTH(AH511)-MONTH(AG511)</f>
        <v>152</v>
      </c>
      <c r="AJ511" s="21"/>
      <c r="AL511" s="21"/>
      <c r="AM511" s="193"/>
      <c r="AN511" s="143"/>
      <c r="AO511" s="189"/>
      <c r="AP511" s="189"/>
    </row>
    <row r="512" spans="3:42" ht="17.25" customHeight="1">
      <c r="C512" s="8" t="s">
        <v>238</v>
      </c>
      <c r="D512" s="2"/>
      <c r="E512" s="20" t="s">
        <v>1810</v>
      </c>
      <c r="F512" s="58"/>
      <c r="G512" s="258"/>
      <c r="H512" s="258">
        <f t="shared" si="38"/>
        <v>196417.22</v>
      </c>
      <c r="I512" s="228"/>
      <c r="J512" s="58"/>
      <c r="K512" s="58"/>
      <c r="L512" s="58"/>
      <c r="M512" s="58"/>
      <c r="N512" s="58"/>
      <c r="O512" s="58"/>
      <c r="P512" s="58">
        <v>196417.22</v>
      </c>
      <c r="Q512" s="58"/>
      <c r="R512" s="58"/>
      <c r="S512" s="58"/>
      <c r="T512" s="58"/>
      <c r="U512" s="58"/>
      <c r="V512" s="258"/>
      <c r="W512" s="624"/>
      <c r="X512" s="624"/>
      <c r="Y512" s="258"/>
      <c r="Z512" s="58"/>
      <c r="AA512" s="336"/>
      <c r="AB512" s="258"/>
      <c r="AC512" s="258"/>
      <c r="AD512" s="258"/>
      <c r="AE512" s="258"/>
      <c r="AF512" s="20"/>
      <c r="AG512" s="27">
        <v>41360</v>
      </c>
      <c r="AH512" s="133">
        <v>41394</v>
      </c>
      <c r="AI512" s="10">
        <f t="shared" si="39"/>
        <v>1</v>
      </c>
      <c r="AJ512" s="21"/>
      <c r="AL512" s="21"/>
      <c r="AM512" s="193"/>
      <c r="AN512" s="143"/>
      <c r="AO512" s="189"/>
      <c r="AP512" s="189"/>
    </row>
    <row r="513" spans="3:42" ht="17.25" customHeight="1">
      <c r="C513" s="8" t="s">
        <v>238</v>
      </c>
      <c r="D513" s="2"/>
      <c r="E513" s="20" t="s">
        <v>1811</v>
      </c>
      <c r="F513" s="58"/>
      <c r="G513" s="258"/>
      <c r="H513" s="258">
        <f t="shared" si="38"/>
        <v>5000</v>
      </c>
      <c r="I513" s="228"/>
      <c r="J513" s="58"/>
      <c r="K513" s="58"/>
      <c r="L513" s="58"/>
      <c r="M513" s="58"/>
      <c r="N513" s="58"/>
      <c r="O513" s="58"/>
      <c r="P513" s="58">
        <v>5000</v>
      </c>
      <c r="Q513" s="58"/>
      <c r="R513" s="58"/>
      <c r="S513" s="58"/>
      <c r="T513" s="58"/>
      <c r="U513" s="58"/>
      <c r="V513" s="258"/>
      <c r="W513" s="624"/>
      <c r="X513" s="624"/>
      <c r="Y513" s="258"/>
      <c r="Z513" s="58"/>
      <c r="AA513" s="336"/>
      <c r="AB513" s="258"/>
      <c r="AC513" s="258"/>
      <c r="AD513" s="258"/>
      <c r="AE513" s="258"/>
      <c r="AF513" s="20"/>
      <c r="AG513" s="27"/>
      <c r="AH513" s="133">
        <v>41411</v>
      </c>
      <c r="AI513" s="10"/>
      <c r="AJ513" s="21"/>
      <c r="AL513" s="21"/>
      <c r="AM513" s="193"/>
      <c r="AN513" s="143"/>
      <c r="AO513" s="189"/>
      <c r="AP513" s="189"/>
    </row>
    <row r="514" spans="3:42" ht="17.25" customHeight="1" thickBot="1">
      <c r="C514" s="97" t="s">
        <v>1812</v>
      </c>
      <c r="D514" s="97"/>
      <c r="E514" s="97"/>
      <c r="F514" s="98"/>
      <c r="G514" s="191"/>
      <c r="H514" s="191"/>
      <c r="I514" s="82"/>
      <c r="J514" s="191"/>
      <c r="K514" s="191"/>
      <c r="L514" s="191"/>
      <c r="M514" s="191"/>
      <c r="N514" s="191"/>
      <c r="O514" s="191"/>
      <c r="P514" s="191"/>
      <c r="Q514" s="191"/>
      <c r="R514" s="191"/>
      <c r="S514" s="191"/>
      <c r="T514" s="99"/>
      <c r="U514" s="99"/>
      <c r="V514" s="99"/>
      <c r="W514" s="98"/>
      <c r="X514" s="98"/>
      <c r="Y514" s="98"/>
      <c r="Z514" s="98"/>
      <c r="AA514" s="98"/>
      <c r="AB514" s="98"/>
      <c r="AC514" s="98"/>
      <c r="AD514" s="98"/>
      <c r="AE514" s="98"/>
      <c r="AF514" s="98"/>
      <c r="AG514" s="98"/>
      <c r="AH514" s="98"/>
      <c r="AI514" s="98"/>
      <c r="AJ514" s="98"/>
      <c r="AK514" s="98"/>
      <c r="AL514" s="98"/>
      <c r="AM514" s="82"/>
      <c r="AN514" s="98"/>
      <c r="AO514" s="98"/>
      <c r="AP514" s="98"/>
    </row>
    <row r="515" spans="3:42" ht="17.25" customHeight="1">
      <c r="C515" s="8" t="s">
        <v>238</v>
      </c>
      <c r="D515" s="2"/>
      <c r="E515" s="20" t="s">
        <v>1813</v>
      </c>
      <c r="F515" s="21"/>
      <c r="G515" s="281"/>
      <c r="H515" s="294">
        <f t="shared" si="38"/>
        <v>1000</v>
      </c>
      <c r="I515" s="286"/>
      <c r="J515" s="58"/>
      <c r="K515" s="58"/>
      <c r="L515" s="58"/>
      <c r="M515" s="58"/>
      <c r="N515" s="58"/>
      <c r="O515" s="58">
        <v>1000</v>
      </c>
      <c r="P515" s="58"/>
      <c r="Q515" s="58"/>
      <c r="R515" s="58"/>
      <c r="S515" s="58"/>
      <c r="T515" s="58"/>
      <c r="U515" s="58"/>
      <c r="V515" s="295"/>
      <c r="W515" s="624"/>
      <c r="X515" s="624"/>
      <c r="Y515" s="295"/>
      <c r="Z515" s="58"/>
      <c r="AA515" s="336"/>
      <c r="AB515" s="295"/>
      <c r="AC515" s="258"/>
      <c r="AD515" s="258"/>
      <c r="AE515" s="258"/>
      <c r="AF515" s="20"/>
      <c r="AG515" s="27"/>
      <c r="AH515" s="133">
        <v>41072</v>
      </c>
      <c r="AI515" s="10"/>
      <c r="AJ515" s="21"/>
      <c r="AL515" s="21"/>
      <c r="AM515" s="193"/>
      <c r="AN515" s="143"/>
      <c r="AO515" s="189"/>
      <c r="AP515" s="189"/>
    </row>
    <row r="516" spans="3:42" ht="17.25" customHeight="1">
      <c r="C516" s="8" t="s">
        <v>238</v>
      </c>
      <c r="D516" s="2"/>
      <c r="E516" s="20" t="s">
        <v>1814</v>
      </c>
      <c r="F516" s="21"/>
      <c r="G516" s="281"/>
      <c r="H516" s="289">
        <f t="shared" si="38"/>
        <v>37428.76</v>
      </c>
      <c r="I516" s="286"/>
      <c r="J516" s="58"/>
      <c r="K516" s="58"/>
      <c r="L516" s="58"/>
      <c r="M516" s="58"/>
      <c r="N516" s="58"/>
      <c r="O516" s="58">
        <v>37428.76</v>
      </c>
      <c r="P516" s="58"/>
      <c r="Q516" s="58"/>
      <c r="R516" s="58"/>
      <c r="S516" s="58"/>
      <c r="T516" s="58"/>
      <c r="U516" s="58"/>
      <c r="V516" s="258"/>
      <c r="W516" s="624"/>
      <c r="X516" s="624"/>
      <c r="Y516" s="258"/>
      <c r="Z516" s="58"/>
      <c r="AA516" s="336"/>
      <c r="AB516" s="258"/>
      <c r="AC516" s="258"/>
      <c r="AD516" s="258"/>
      <c r="AE516" s="258"/>
      <c r="AF516" s="20"/>
      <c r="AG516" s="27">
        <v>40620</v>
      </c>
      <c r="AH516" s="133">
        <v>40896</v>
      </c>
      <c r="AI516" s="10">
        <f t="shared" si="39"/>
        <v>9</v>
      </c>
      <c r="AJ516" s="21"/>
      <c r="AL516" s="21"/>
      <c r="AM516" s="193"/>
      <c r="AN516" s="143"/>
      <c r="AO516" s="189"/>
      <c r="AP516" s="189"/>
    </row>
    <row r="517" spans="3:42" ht="17.25" customHeight="1">
      <c r="C517" s="8" t="s">
        <v>238</v>
      </c>
      <c r="D517" s="2"/>
      <c r="E517" s="20" t="s">
        <v>1815</v>
      </c>
      <c r="F517" s="21"/>
      <c r="G517" s="281"/>
      <c r="H517" s="289">
        <f t="shared" si="38"/>
        <v>13959.52</v>
      </c>
      <c r="I517" s="286"/>
      <c r="J517" s="58"/>
      <c r="K517" s="58"/>
      <c r="L517" s="58"/>
      <c r="M517" s="58"/>
      <c r="N517" s="58"/>
      <c r="O517" s="58">
        <f>SUM(13959.1, 0.42)</f>
        <v>13959.52</v>
      </c>
      <c r="P517" s="58"/>
      <c r="Q517" s="58"/>
      <c r="R517" s="58"/>
      <c r="S517" s="58"/>
      <c r="T517" s="58"/>
      <c r="U517" s="58"/>
      <c r="V517" s="258"/>
      <c r="W517" s="624"/>
      <c r="X517" s="624"/>
      <c r="Y517" s="258"/>
      <c r="Z517" s="58"/>
      <c r="AA517" s="336"/>
      <c r="AB517" s="258"/>
      <c r="AC517" s="258"/>
      <c r="AD517" s="258"/>
      <c r="AE517" s="258"/>
      <c r="AF517" s="20"/>
      <c r="AG517" s="267">
        <v>40625</v>
      </c>
      <c r="AH517" s="133">
        <v>40840</v>
      </c>
      <c r="AI517" s="10">
        <f t="shared" si="39"/>
        <v>7</v>
      </c>
      <c r="AJ517" s="21"/>
      <c r="AL517" s="21"/>
      <c r="AM517" s="193"/>
      <c r="AN517" s="143"/>
      <c r="AO517" s="189"/>
      <c r="AP517" s="189"/>
    </row>
    <row r="518" spans="3:42" ht="17.25" customHeight="1">
      <c r="C518" s="8" t="s">
        <v>238</v>
      </c>
      <c r="D518" s="2"/>
      <c r="E518" s="20" t="s">
        <v>1816</v>
      </c>
      <c r="F518" s="21"/>
      <c r="H518" s="289">
        <f t="shared" si="38"/>
        <v>62903.8</v>
      </c>
      <c r="I518" s="286"/>
      <c r="J518" s="58"/>
      <c r="K518" s="58"/>
      <c r="L518" s="58">
        <v>15000</v>
      </c>
      <c r="M518" s="58"/>
      <c r="N518" s="58"/>
      <c r="O518" s="58">
        <v>47903.8</v>
      </c>
      <c r="P518" s="58"/>
      <c r="Q518" s="58"/>
      <c r="R518" s="58"/>
      <c r="S518" s="58"/>
      <c r="T518" s="58"/>
      <c r="U518" s="58"/>
      <c r="V518" s="258"/>
      <c r="W518" s="624"/>
      <c r="X518" s="624"/>
      <c r="Y518" s="258"/>
      <c r="Z518" s="58"/>
      <c r="AA518" s="336"/>
      <c r="AB518" s="258"/>
      <c r="AC518" s="258"/>
      <c r="AD518" s="258"/>
      <c r="AE518" s="258"/>
      <c r="AF518" s="20"/>
      <c r="AG518" s="27">
        <v>38910</v>
      </c>
      <c r="AH518" s="27">
        <v>40781</v>
      </c>
      <c r="AI518" s="10">
        <f t="shared" si="39"/>
        <v>61</v>
      </c>
      <c r="AJ518" s="21"/>
      <c r="AL518" s="21"/>
      <c r="AM518" s="193"/>
      <c r="AN518" s="143"/>
      <c r="AO518" s="189"/>
      <c r="AP518" s="189"/>
    </row>
    <row r="519" spans="3:42" ht="17.25" customHeight="1">
      <c r="C519" s="8" t="s">
        <v>238</v>
      </c>
      <c r="D519" s="2"/>
      <c r="E519" s="255" t="s">
        <v>1817</v>
      </c>
      <c r="F519" s="21"/>
      <c r="H519" s="289">
        <f t="shared" si="38"/>
        <v>1000</v>
      </c>
      <c r="I519" s="286"/>
      <c r="J519" s="58"/>
      <c r="K519" s="58"/>
      <c r="L519" s="58"/>
      <c r="M519" s="58"/>
      <c r="N519" s="58"/>
      <c r="O519" s="58">
        <v>1000</v>
      </c>
      <c r="P519" s="58"/>
      <c r="Q519" s="58"/>
      <c r="R519" s="58"/>
      <c r="S519" s="58"/>
      <c r="T519" s="58"/>
      <c r="U519" s="58"/>
      <c r="V519" s="258"/>
      <c r="W519" s="624"/>
      <c r="X519" s="624"/>
      <c r="Y519" s="258"/>
      <c r="Z519" s="58"/>
      <c r="AA519" s="336"/>
      <c r="AB519" s="258"/>
      <c r="AC519" s="258"/>
      <c r="AD519" s="258"/>
      <c r="AE519" s="258"/>
      <c r="AF519" s="20"/>
      <c r="AG519" s="27"/>
      <c r="AH519" s="133">
        <v>41032</v>
      </c>
      <c r="AI519" s="10"/>
      <c r="AJ519" s="21"/>
      <c r="AL519" s="21"/>
      <c r="AM519" s="193"/>
      <c r="AN519" s="143"/>
      <c r="AO519" s="189"/>
      <c r="AP519" s="189"/>
    </row>
    <row r="520" spans="3:42" ht="17.25" customHeight="1">
      <c r="C520" s="8" t="s">
        <v>238</v>
      </c>
      <c r="D520" s="2"/>
      <c r="E520" s="20" t="s">
        <v>1818</v>
      </c>
      <c r="F520" s="21"/>
      <c r="H520" s="289">
        <f t="shared" si="38"/>
        <v>38195.799999999996</v>
      </c>
      <c r="I520" s="286"/>
      <c r="J520" s="58"/>
      <c r="K520" s="58"/>
      <c r="L520" s="58"/>
      <c r="M520" s="58"/>
      <c r="N520" s="58">
        <f>SUM(37500, 694.92)</f>
        <v>38194.92</v>
      </c>
      <c r="O520" s="58">
        <v>0.88</v>
      </c>
      <c r="P520" s="58"/>
      <c r="Q520" s="58"/>
      <c r="R520" s="58"/>
      <c r="S520" s="58"/>
      <c r="T520" s="58"/>
      <c r="U520" s="58"/>
      <c r="V520" s="258"/>
      <c r="W520" s="624"/>
      <c r="X520" s="624"/>
      <c r="Y520" s="258"/>
      <c r="Z520" s="58"/>
      <c r="AA520" s="336"/>
      <c r="AB520" s="258"/>
      <c r="AC520" s="258"/>
      <c r="AD520" s="258"/>
      <c r="AE520" s="258"/>
      <c r="AF520" s="20"/>
      <c r="AG520" s="267">
        <v>40637</v>
      </c>
      <c r="AH520" s="133">
        <v>40757</v>
      </c>
      <c r="AI520" s="10">
        <f t="shared" si="39"/>
        <v>4</v>
      </c>
      <c r="AJ520" s="21"/>
      <c r="AL520" s="21"/>
      <c r="AM520" s="193"/>
      <c r="AN520" s="143"/>
      <c r="AO520" s="189"/>
      <c r="AP520" s="189"/>
    </row>
    <row r="521" spans="3:42" ht="17.25" customHeight="1">
      <c r="C521" s="8" t="s">
        <v>238</v>
      </c>
      <c r="D521" s="2"/>
      <c r="E521" s="20" t="s">
        <v>1819</v>
      </c>
      <c r="F521" s="21"/>
      <c r="H521" s="289">
        <f t="shared" si="38"/>
        <v>19008.759999999998</v>
      </c>
      <c r="I521" s="286"/>
      <c r="J521" s="58"/>
      <c r="K521" s="58"/>
      <c r="L521" s="58"/>
      <c r="M521" s="58"/>
      <c r="N521" s="58"/>
      <c r="O521" s="58">
        <v>19008.759999999998</v>
      </c>
      <c r="P521" s="58"/>
      <c r="Q521" s="58"/>
      <c r="R521" s="58"/>
      <c r="S521" s="58"/>
      <c r="T521" s="58"/>
      <c r="U521" s="58"/>
      <c r="V521" s="258"/>
      <c r="W521" s="624"/>
      <c r="X521" s="624"/>
      <c r="Y521" s="258"/>
      <c r="Z521" s="58"/>
      <c r="AA521" s="336"/>
      <c r="AB521" s="258"/>
      <c r="AC521" s="258"/>
      <c r="AD521" s="258"/>
      <c r="AE521" s="258"/>
      <c r="AF521" s="20"/>
      <c r="AG521" s="27">
        <v>40702</v>
      </c>
      <c r="AH521" s="133">
        <v>41059</v>
      </c>
      <c r="AI521" s="10">
        <f t="shared" si="39"/>
        <v>11</v>
      </c>
      <c r="AJ521" s="21"/>
      <c r="AL521" s="21"/>
      <c r="AM521" s="193"/>
      <c r="AN521" s="143"/>
      <c r="AO521" s="189"/>
      <c r="AP521" s="189"/>
    </row>
    <row r="522" spans="3:42" ht="17.25" customHeight="1">
      <c r="C522" s="8" t="s">
        <v>238</v>
      </c>
      <c r="D522" s="2"/>
      <c r="E522" s="20" t="s">
        <v>1820</v>
      </c>
      <c r="F522" s="21"/>
      <c r="H522" s="289">
        <f t="shared" si="38"/>
        <v>258034.26</v>
      </c>
      <c r="I522" s="286"/>
      <c r="J522" s="58"/>
      <c r="K522" s="58"/>
      <c r="L522" s="58"/>
      <c r="M522" s="58"/>
      <c r="N522" s="58"/>
      <c r="O522" s="58">
        <v>258034.26</v>
      </c>
      <c r="P522" s="58"/>
      <c r="Q522" s="58"/>
      <c r="R522" s="58"/>
      <c r="S522" s="58"/>
      <c r="T522" s="58"/>
      <c r="U522" s="58"/>
      <c r="V522" s="258"/>
      <c r="W522" s="624"/>
      <c r="X522" s="624"/>
      <c r="Y522" s="258"/>
      <c r="Z522" s="58"/>
      <c r="AA522" s="336"/>
      <c r="AB522" s="258"/>
      <c r="AC522" s="258"/>
      <c r="AD522" s="258"/>
      <c r="AE522" s="258"/>
      <c r="AF522" s="20"/>
      <c r="AG522" s="27">
        <v>40716</v>
      </c>
      <c r="AH522" s="133">
        <v>41075</v>
      </c>
      <c r="AI522" s="10">
        <f t="shared" si="39"/>
        <v>12</v>
      </c>
      <c r="AJ522" s="21"/>
      <c r="AL522" s="21"/>
      <c r="AM522" s="193"/>
      <c r="AN522" s="143"/>
      <c r="AO522" s="189"/>
      <c r="AP522" s="189"/>
    </row>
    <row r="523" spans="3:42" ht="17.25" customHeight="1">
      <c r="C523" s="8" t="s">
        <v>238</v>
      </c>
      <c r="D523" s="2"/>
      <c r="E523" s="255" t="s">
        <v>1821</v>
      </c>
      <c r="F523" s="21"/>
      <c r="H523" s="289">
        <f t="shared" si="38"/>
        <v>175000</v>
      </c>
      <c r="I523" s="286"/>
      <c r="J523" s="58"/>
      <c r="K523" s="58"/>
      <c r="L523" s="58"/>
      <c r="M523" s="58"/>
      <c r="N523" s="58"/>
      <c r="O523" s="58">
        <v>175000</v>
      </c>
      <c r="P523" s="58"/>
      <c r="Q523" s="58"/>
      <c r="R523" s="58"/>
      <c r="S523" s="58"/>
      <c r="T523" s="58"/>
      <c r="U523" s="58"/>
      <c r="V523" s="258"/>
      <c r="W523" s="624"/>
      <c r="X523" s="624"/>
      <c r="Y523" s="258"/>
      <c r="Z523" s="58"/>
      <c r="AA523" s="336"/>
      <c r="AB523" s="258"/>
      <c r="AC523" s="258"/>
      <c r="AD523" s="258"/>
      <c r="AE523" s="258"/>
      <c r="AF523" s="20"/>
      <c r="AG523" s="258"/>
      <c r="AH523" s="133">
        <v>40961</v>
      </c>
      <c r="AI523" s="10"/>
      <c r="AJ523" s="21"/>
      <c r="AL523" s="21"/>
      <c r="AM523" s="193"/>
      <c r="AN523" s="143"/>
      <c r="AO523" s="189"/>
      <c r="AP523" s="189"/>
    </row>
    <row r="524" spans="3:42" ht="17.25" customHeight="1">
      <c r="C524" s="8" t="s">
        <v>238</v>
      </c>
      <c r="D524" s="2"/>
      <c r="E524" s="20" t="s">
        <v>1822</v>
      </c>
      <c r="F524" s="21"/>
      <c r="H524" s="289">
        <f t="shared" si="38"/>
        <v>6571.41</v>
      </c>
      <c r="I524" s="286"/>
      <c r="J524" s="58"/>
      <c r="K524" s="58"/>
      <c r="L524" s="58"/>
      <c r="M524" s="58"/>
      <c r="N524" s="58"/>
      <c r="O524" s="58">
        <v>6571.41</v>
      </c>
      <c r="P524" s="58"/>
      <c r="Q524" s="58"/>
      <c r="R524" s="58"/>
      <c r="S524" s="58"/>
      <c r="T524" s="58"/>
      <c r="U524" s="58"/>
      <c r="V524" s="258"/>
      <c r="W524" s="624"/>
      <c r="X524" s="624"/>
      <c r="Y524" s="258"/>
      <c r="Z524" s="58"/>
      <c r="AA524" s="336"/>
      <c r="AB524" s="258"/>
      <c r="AC524" s="258"/>
      <c r="AD524" s="258"/>
      <c r="AE524" s="258"/>
      <c r="AF524" s="20"/>
      <c r="AG524" s="27">
        <v>40864</v>
      </c>
      <c r="AH524" s="133">
        <v>40890</v>
      </c>
      <c r="AI524" s="10">
        <f t="shared" si="39"/>
        <v>1</v>
      </c>
      <c r="AJ524" s="21"/>
      <c r="AL524" s="21"/>
      <c r="AM524" s="193"/>
      <c r="AN524" s="143"/>
      <c r="AO524" s="189"/>
      <c r="AP524" s="189"/>
    </row>
    <row r="525" spans="3:42" ht="17.25" customHeight="1">
      <c r="C525" s="8" t="s">
        <v>238</v>
      </c>
      <c r="D525" s="2"/>
      <c r="E525" s="20" t="s">
        <v>1823</v>
      </c>
      <c r="F525" s="58"/>
      <c r="G525" s="45"/>
      <c r="H525" s="258">
        <f t="shared" si="38"/>
        <v>50000</v>
      </c>
      <c r="I525" s="286"/>
      <c r="J525" s="58"/>
      <c r="K525" s="58"/>
      <c r="L525" s="58"/>
      <c r="M525" s="58"/>
      <c r="N525" s="58"/>
      <c r="O525" s="58">
        <v>50000</v>
      </c>
      <c r="P525" s="58"/>
      <c r="Q525" s="58"/>
      <c r="R525" s="58"/>
      <c r="S525" s="58"/>
      <c r="T525" s="58"/>
      <c r="U525" s="58"/>
      <c r="V525" s="258"/>
      <c r="W525" s="624"/>
      <c r="X525" s="624"/>
      <c r="Y525" s="258"/>
      <c r="Z525" s="58"/>
      <c r="AA525" s="336"/>
      <c r="AB525" s="258"/>
      <c r="AC525" s="258"/>
      <c r="AD525" s="258"/>
      <c r="AE525" s="258"/>
      <c r="AF525" s="20"/>
      <c r="AG525" s="267">
        <v>40625</v>
      </c>
      <c r="AH525" s="136">
        <v>40752</v>
      </c>
      <c r="AI525" s="10">
        <f t="shared" si="39"/>
        <v>4</v>
      </c>
      <c r="AJ525" s="21"/>
      <c r="AL525" s="21"/>
      <c r="AM525" s="193"/>
      <c r="AN525" s="143"/>
      <c r="AO525" s="189"/>
      <c r="AP525" s="189"/>
    </row>
    <row r="526" spans="3:42" ht="17.25" customHeight="1">
      <c r="C526" s="8" t="s">
        <v>238</v>
      </c>
      <c r="D526" s="2"/>
      <c r="E526" s="20" t="s">
        <v>1824</v>
      </c>
      <c r="F526" s="21"/>
      <c r="H526" s="289">
        <f t="shared" si="38"/>
        <v>128691.93</v>
      </c>
      <c r="I526" s="286"/>
      <c r="J526" s="58"/>
      <c r="K526" s="58"/>
      <c r="L526" s="58"/>
      <c r="M526" s="58"/>
      <c r="N526" s="58"/>
      <c r="O526" s="58">
        <v>128691.93</v>
      </c>
      <c r="P526" s="58"/>
      <c r="Q526" s="58"/>
      <c r="R526" s="58"/>
      <c r="S526" s="58"/>
      <c r="T526" s="58"/>
      <c r="U526" s="58"/>
      <c r="V526" s="258"/>
      <c r="W526" s="624"/>
      <c r="X526" s="624"/>
      <c r="Y526" s="258"/>
      <c r="Z526" s="58"/>
      <c r="AA526" s="336"/>
      <c r="AB526" s="258"/>
      <c r="AC526" s="258"/>
      <c r="AD526" s="258"/>
      <c r="AE526" s="258"/>
      <c r="AF526" s="20"/>
      <c r="AG526" s="27">
        <v>40652</v>
      </c>
      <c r="AH526" s="133">
        <v>40805</v>
      </c>
      <c r="AI526" s="10">
        <f t="shared" si="39"/>
        <v>5</v>
      </c>
      <c r="AJ526" s="21"/>
      <c r="AL526" s="21"/>
      <c r="AM526" s="193"/>
      <c r="AN526" s="143"/>
      <c r="AO526" s="189"/>
      <c r="AP526" s="189"/>
    </row>
    <row r="527" spans="3:42" ht="17.25" customHeight="1">
      <c r="C527" s="8" t="s">
        <v>238</v>
      </c>
      <c r="D527" s="2"/>
      <c r="E527" s="20" t="s">
        <v>1825</v>
      </c>
      <c r="F527" s="21"/>
      <c r="H527" s="289">
        <f t="shared" si="38"/>
        <v>49722.07</v>
      </c>
      <c r="I527" s="286"/>
      <c r="J527" s="58"/>
      <c r="K527" s="58"/>
      <c r="L527" s="58"/>
      <c r="M527" s="58"/>
      <c r="N527" s="58"/>
      <c r="O527" s="58">
        <v>49722.07</v>
      </c>
      <c r="P527" s="58"/>
      <c r="Q527" s="58"/>
      <c r="R527" s="58"/>
      <c r="S527" s="58"/>
      <c r="T527" s="58"/>
      <c r="U527" s="58"/>
      <c r="V527" s="258"/>
      <c r="W527" s="624"/>
      <c r="X527" s="624"/>
      <c r="Y527" s="258"/>
      <c r="Z527" s="58"/>
      <c r="AA527" s="336"/>
      <c r="AB527" s="258"/>
      <c r="AC527" s="258"/>
      <c r="AD527" s="258"/>
      <c r="AE527" s="258"/>
      <c r="AF527" s="20"/>
      <c r="AG527" s="27">
        <v>40953</v>
      </c>
      <c r="AH527" s="133">
        <v>41065</v>
      </c>
      <c r="AI527" s="10">
        <f t="shared" si="39"/>
        <v>4</v>
      </c>
      <c r="AJ527" s="21"/>
      <c r="AL527" s="21"/>
      <c r="AM527" s="193"/>
      <c r="AN527" s="143"/>
      <c r="AO527" s="189"/>
      <c r="AP527" s="189"/>
    </row>
    <row r="528" spans="3:42" ht="17.25" customHeight="1">
      <c r="C528" s="8" t="s">
        <v>238</v>
      </c>
      <c r="D528" s="2"/>
      <c r="E528" s="20" t="s">
        <v>1826</v>
      </c>
      <c r="F528" s="21"/>
      <c r="H528" s="289">
        <f t="shared" si="38"/>
        <v>1000</v>
      </c>
      <c r="I528" s="286"/>
      <c r="J528" s="58"/>
      <c r="K528" s="58"/>
      <c r="L528" s="58"/>
      <c r="M528" s="58"/>
      <c r="N528" s="58"/>
      <c r="O528" s="58">
        <v>1000</v>
      </c>
      <c r="P528" s="58"/>
      <c r="Q528" s="58"/>
      <c r="R528" s="58"/>
      <c r="S528" s="58"/>
      <c r="T528" s="58"/>
      <c r="U528" s="58"/>
      <c r="V528" s="258"/>
      <c r="W528" s="624"/>
      <c r="X528" s="624"/>
      <c r="Y528" s="258"/>
      <c r="Z528" s="58"/>
      <c r="AA528" s="336"/>
      <c r="AB528" s="258"/>
      <c r="AC528" s="258"/>
      <c r="AD528" s="258"/>
      <c r="AE528" s="258"/>
      <c r="AF528" s="20"/>
      <c r="AG528" s="27">
        <v>40675</v>
      </c>
      <c r="AH528" s="133">
        <v>40879</v>
      </c>
      <c r="AI528" s="10">
        <f t="shared" si="39"/>
        <v>7</v>
      </c>
      <c r="AJ528" s="21"/>
      <c r="AL528" s="21"/>
      <c r="AM528" s="193"/>
      <c r="AN528" s="143"/>
      <c r="AO528" s="189"/>
      <c r="AP528" s="189"/>
    </row>
    <row r="529" spans="3:42" ht="17.25" customHeight="1">
      <c r="C529" s="8" t="s">
        <v>238</v>
      </c>
      <c r="D529" s="2"/>
      <c r="E529" s="20" t="s">
        <v>1827</v>
      </c>
      <c r="F529" s="21"/>
      <c r="H529" s="289">
        <f t="shared" si="38"/>
        <v>25000</v>
      </c>
      <c r="I529" s="286"/>
      <c r="J529" s="58"/>
      <c r="K529" s="58"/>
      <c r="L529" s="58"/>
      <c r="M529" s="58"/>
      <c r="N529" s="58"/>
      <c r="O529" s="58">
        <v>25000</v>
      </c>
      <c r="P529" s="58"/>
      <c r="Q529" s="58"/>
      <c r="R529" s="58"/>
      <c r="S529" s="58"/>
      <c r="T529" s="58"/>
      <c r="U529" s="58"/>
      <c r="V529" s="258"/>
      <c r="W529" s="624"/>
      <c r="X529" s="624"/>
      <c r="Y529" s="258"/>
      <c r="Z529" s="58"/>
      <c r="AA529" s="336"/>
      <c r="AB529" s="258"/>
      <c r="AC529" s="258"/>
      <c r="AD529" s="258"/>
      <c r="AE529" s="258"/>
      <c r="AF529" s="20"/>
      <c r="AG529" s="27">
        <v>41008</v>
      </c>
      <c r="AH529" s="133">
        <v>41015</v>
      </c>
      <c r="AI529" s="10">
        <f t="shared" si="39"/>
        <v>0</v>
      </c>
      <c r="AJ529" s="21"/>
      <c r="AL529" s="21"/>
      <c r="AM529" s="193"/>
      <c r="AN529" s="143"/>
      <c r="AO529" s="189"/>
      <c r="AP529" s="189"/>
    </row>
    <row r="530" spans="3:42" ht="17.25" customHeight="1">
      <c r="C530" s="8" t="s">
        <v>238</v>
      </c>
      <c r="D530" s="2"/>
      <c r="E530" s="20" t="s">
        <v>1828</v>
      </c>
      <c r="F530" s="21"/>
      <c r="H530" s="289">
        <f t="shared" si="38"/>
        <v>3362.1</v>
      </c>
      <c r="I530" s="286"/>
      <c r="J530" s="58"/>
      <c r="K530" s="58"/>
      <c r="L530" s="58"/>
      <c r="M530" s="58"/>
      <c r="N530" s="58"/>
      <c r="O530" s="58">
        <v>3362.1</v>
      </c>
      <c r="P530" s="58"/>
      <c r="Q530" s="58"/>
      <c r="R530" s="58"/>
      <c r="S530" s="58"/>
      <c r="T530" s="58"/>
      <c r="U530" s="58"/>
      <c r="V530" s="258"/>
      <c r="W530" s="624"/>
      <c r="X530" s="624"/>
      <c r="Y530" s="258"/>
      <c r="Z530" s="58"/>
      <c r="AA530" s="336"/>
      <c r="AB530" s="258"/>
      <c r="AC530" s="258"/>
      <c r="AD530" s="258"/>
      <c r="AE530" s="258"/>
      <c r="AF530" s="20"/>
      <c r="AG530" s="279">
        <v>40826</v>
      </c>
      <c r="AH530" s="133">
        <v>40836</v>
      </c>
      <c r="AI530" s="10">
        <f t="shared" si="39"/>
        <v>0</v>
      </c>
      <c r="AJ530" s="21"/>
      <c r="AL530" s="21"/>
      <c r="AM530" s="193"/>
      <c r="AN530" s="143"/>
      <c r="AO530" s="189"/>
      <c r="AP530" s="189"/>
    </row>
    <row r="531" spans="3:42" ht="17.25" customHeight="1">
      <c r="C531" s="8" t="s">
        <v>238</v>
      </c>
      <c r="D531" s="2"/>
      <c r="E531" s="20" t="s">
        <v>1829</v>
      </c>
      <c r="F531" s="21"/>
      <c r="H531" s="289">
        <f t="shared" si="38"/>
        <v>10000</v>
      </c>
      <c r="I531" s="286"/>
      <c r="J531" s="58"/>
      <c r="K531" s="58"/>
      <c r="L531" s="58"/>
      <c r="M531" s="58"/>
      <c r="N531" s="58"/>
      <c r="O531" s="58">
        <v>10000</v>
      </c>
      <c r="P531" s="58"/>
      <c r="Q531" s="58"/>
      <c r="R531" s="58"/>
      <c r="S531" s="58"/>
      <c r="T531" s="58"/>
      <c r="U531" s="58"/>
      <c r="V531" s="258"/>
      <c r="W531" s="624"/>
      <c r="X531" s="624"/>
      <c r="Y531" s="258"/>
      <c r="Z531" s="58"/>
      <c r="AA531" s="336"/>
      <c r="AB531" s="258"/>
      <c r="AC531" s="258"/>
      <c r="AD531" s="258"/>
      <c r="AE531" s="258"/>
      <c r="AF531" s="20"/>
      <c r="AG531" s="27">
        <v>40925</v>
      </c>
      <c r="AH531" s="133">
        <v>40945</v>
      </c>
      <c r="AI531" s="10">
        <f t="shared" si="39"/>
        <v>1</v>
      </c>
      <c r="AJ531" s="21"/>
      <c r="AL531" s="21"/>
      <c r="AM531" s="193"/>
      <c r="AN531" s="143"/>
      <c r="AO531" s="189"/>
      <c r="AP531" s="189"/>
    </row>
    <row r="532" spans="3:42" ht="17.25" customHeight="1">
      <c r="C532" s="8" t="s">
        <v>238</v>
      </c>
      <c r="D532" s="2"/>
      <c r="E532" s="20" t="s">
        <v>1830</v>
      </c>
      <c r="F532" s="21"/>
      <c r="H532" s="289">
        <f t="shared" si="38"/>
        <v>150</v>
      </c>
      <c r="I532" s="286"/>
      <c r="J532" s="58"/>
      <c r="K532" s="58"/>
      <c r="L532" s="58"/>
      <c r="M532" s="58"/>
      <c r="N532" s="58"/>
      <c r="O532" s="58">
        <v>150</v>
      </c>
      <c r="P532" s="58"/>
      <c r="Q532" s="58"/>
      <c r="R532" s="58"/>
      <c r="S532" s="58"/>
      <c r="T532" s="58"/>
      <c r="U532" s="58"/>
      <c r="V532" s="258"/>
      <c r="W532" s="624"/>
      <c r="X532" s="624"/>
      <c r="Y532" s="258"/>
      <c r="Z532" s="58"/>
      <c r="AA532" s="336"/>
      <c r="AB532" s="258"/>
      <c r="AC532" s="258"/>
      <c r="AD532" s="258"/>
      <c r="AE532" s="258"/>
      <c r="AF532" s="20"/>
      <c r="AG532" s="27"/>
      <c r="AH532" s="133">
        <v>40739</v>
      </c>
      <c r="AI532" s="10"/>
      <c r="AJ532" s="21"/>
      <c r="AL532" s="21"/>
      <c r="AM532" s="193"/>
      <c r="AN532" s="143"/>
      <c r="AO532" s="189"/>
      <c r="AP532" s="189"/>
    </row>
    <row r="533" spans="3:42" ht="17.25" customHeight="1">
      <c r="C533" s="8" t="s">
        <v>238</v>
      </c>
      <c r="D533" s="2"/>
      <c r="E533" s="20" t="s">
        <v>1831</v>
      </c>
      <c r="F533" s="21"/>
      <c r="H533" s="289">
        <f t="shared" si="38"/>
        <v>13.43</v>
      </c>
      <c r="I533" s="286"/>
      <c r="J533" s="58"/>
      <c r="K533" s="58"/>
      <c r="L533" s="58"/>
      <c r="M533" s="58"/>
      <c r="N533" s="58"/>
      <c r="O533" s="58">
        <v>13.43</v>
      </c>
      <c r="P533" s="58"/>
      <c r="Q533" s="58"/>
      <c r="R533" s="58"/>
      <c r="S533" s="58"/>
      <c r="T533" s="58"/>
      <c r="U533" s="58"/>
      <c r="V533" s="258"/>
      <c r="W533" s="624"/>
      <c r="X533" s="624"/>
      <c r="Y533" s="258"/>
      <c r="Z533" s="58"/>
      <c r="AA533" s="336"/>
      <c r="AB533" s="258"/>
      <c r="AC533" s="258"/>
      <c r="AD533" s="258"/>
      <c r="AE533" s="258"/>
      <c r="AF533" s="20"/>
      <c r="AG533" s="27"/>
      <c r="AH533" s="133">
        <v>40876</v>
      </c>
      <c r="AI533" s="10"/>
      <c r="AJ533" s="21"/>
      <c r="AL533" s="21"/>
      <c r="AM533" s="193"/>
      <c r="AN533" s="143"/>
      <c r="AO533" s="189"/>
      <c r="AP533" s="189"/>
    </row>
    <row r="534" spans="3:42" ht="17.25" customHeight="1">
      <c r="C534" s="8" t="s">
        <v>238</v>
      </c>
      <c r="D534" s="2"/>
      <c r="E534" s="255" t="s">
        <v>1832</v>
      </c>
      <c r="F534" s="58"/>
      <c r="G534" s="253"/>
      <c r="H534" s="296">
        <f t="shared" si="38"/>
        <v>54123.6</v>
      </c>
      <c r="I534" s="286"/>
      <c r="J534" s="58"/>
      <c r="K534" s="58"/>
      <c r="L534" s="58"/>
      <c r="M534" s="58"/>
      <c r="N534" s="58"/>
      <c r="O534" s="58">
        <v>54123.6</v>
      </c>
      <c r="P534" s="58"/>
      <c r="Q534" s="58"/>
      <c r="R534" s="58"/>
      <c r="S534" s="58"/>
      <c r="T534" s="58"/>
      <c r="U534" s="58"/>
      <c r="V534" s="296"/>
      <c r="W534" s="705"/>
      <c r="X534" s="705"/>
      <c r="Y534" s="258"/>
      <c r="Z534" s="58"/>
      <c r="AA534" s="336"/>
      <c r="AB534" s="258"/>
      <c r="AC534" s="258"/>
      <c r="AD534" s="258"/>
      <c r="AE534" s="258"/>
      <c r="AF534" s="20"/>
      <c r="AG534" s="27"/>
      <c r="AH534" s="262">
        <v>40744</v>
      </c>
      <c r="AI534" s="10"/>
      <c r="AJ534" s="21"/>
      <c r="AL534" s="21"/>
      <c r="AM534" s="193"/>
      <c r="AN534" s="143"/>
      <c r="AO534" s="189"/>
      <c r="AP534" s="189"/>
    </row>
    <row r="535" spans="3:42" ht="17.25" customHeight="1">
      <c r="C535" s="8" t="s">
        <v>238</v>
      </c>
      <c r="D535" s="2"/>
      <c r="E535" s="20" t="s">
        <v>1833</v>
      </c>
      <c r="F535" s="21"/>
      <c r="H535" s="289">
        <f t="shared" si="38"/>
        <v>302.7</v>
      </c>
      <c r="I535" s="286"/>
      <c r="J535" s="58"/>
      <c r="K535" s="58"/>
      <c r="L535" s="58"/>
      <c r="M535" s="58"/>
      <c r="N535" s="58"/>
      <c r="O535" s="58">
        <v>302.7</v>
      </c>
      <c r="P535" s="58"/>
      <c r="Q535" s="58"/>
      <c r="R535" s="58"/>
      <c r="S535" s="58"/>
      <c r="T535" s="58"/>
      <c r="U535" s="58"/>
      <c r="V535" s="258"/>
      <c r="W535" s="624"/>
      <c r="X535" s="624"/>
      <c r="Y535" s="258"/>
      <c r="Z535" s="58"/>
      <c r="AA535" s="336"/>
      <c r="AB535" s="258"/>
      <c r="AC535" s="258"/>
      <c r="AD535" s="258"/>
      <c r="AE535" s="258"/>
      <c r="AF535" s="20"/>
      <c r="AG535" s="27"/>
      <c r="AH535" s="133">
        <v>41058</v>
      </c>
      <c r="AI535" s="10"/>
      <c r="AJ535" s="21"/>
      <c r="AL535" s="21"/>
      <c r="AM535" s="193"/>
      <c r="AN535" s="143"/>
      <c r="AO535" s="189"/>
      <c r="AP535" s="189"/>
    </row>
    <row r="536" spans="3:42" ht="17.25" customHeight="1">
      <c r="C536" s="8" t="s">
        <v>238</v>
      </c>
      <c r="D536" s="2"/>
      <c r="E536" s="20" t="s">
        <v>1834</v>
      </c>
      <c r="F536" s="21"/>
      <c r="H536" s="289">
        <f t="shared" si="38"/>
        <v>10173.9</v>
      </c>
      <c r="I536" s="286"/>
      <c r="J536" s="58"/>
      <c r="K536" s="58"/>
      <c r="L536" s="58"/>
      <c r="M536" s="58"/>
      <c r="N536" s="58"/>
      <c r="O536" s="58">
        <v>10173.9</v>
      </c>
      <c r="P536" s="58"/>
      <c r="Q536" s="58"/>
      <c r="R536" s="58"/>
      <c r="S536" s="58"/>
      <c r="T536" s="58"/>
      <c r="U536" s="58"/>
      <c r="V536" s="258"/>
      <c r="W536" s="624"/>
      <c r="X536" s="624"/>
      <c r="Y536" s="258"/>
      <c r="Z536" s="58"/>
      <c r="AA536" s="336"/>
      <c r="AB536" s="258"/>
      <c r="AC536" s="258"/>
      <c r="AD536" s="258"/>
      <c r="AE536" s="258"/>
      <c r="AF536" s="20"/>
      <c r="AG536" s="27">
        <v>40743</v>
      </c>
      <c r="AH536" s="133">
        <v>40760</v>
      </c>
      <c r="AI536" s="10">
        <f t="shared" si="39"/>
        <v>1</v>
      </c>
      <c r="AJ536" s="21"/>
      <c r="AL536" s="21"/>
      <c r="AM536" s="193"/>
      <c r="AN536" s="143"/>
      <c r="AO536" s="189"/>
      <c r="AP536" s="189"/>
    </row>
    <row r="537" spans="3:42" ht="17.25" customHeight="1">
      <c r="C537" s="8" t="s">
        <v>238</v>
      </c>
      <c r="D537" s="2"/>
      <c r="E537" s="20" t="s">
        <v>1835</v>
      </c>
      <c r="F537" s="21"/>
      <c r="H537" s="289">
        <f t="shared" si="38"/>
        <v>43200.25</v>
      </c>
      <c r="I537" s="286"/>
      <c r="J537" s="58"/>
      <c r="K537" s="58"/>
      <c r="L537" s="58"/>
      <c r="M537" s="58"/>
      <c r="N537" s="58"/>
      <c r="O537" s="58">
        <v>43200.25</v>
      </c>
      <c r="P537" s="58"/>
      <c r="Q537" s="58"/>
      <c r="R537" s="58"/>
      <c r="S537" s="58"/>
      <c r="T537" s="58"/>
      <c r="U537" s="58"/>
      <c r="V537" s="258"/>
      <c r="W537" s="624"/>
      <c r="X537" s="624"/>
      <c r="Y537" s="258"/>
      <c r="Z537" s="58"/>
      <c r="AA537" s="336"/>
      <c r="AB537" s="258"/>
      <c r="AC537" s="258"/>
      <c r="AD537" s="258"/>
      <c r="AE537" s="258"/>
      <c r="AF537" s="20"/>
      <c r="AG537" s="27">
        <v>40806</v>
      </c>
      <c r="AH537" s="133">
        <v>41075</v>
      </c>
      <c r="AI537" s="10">
        <f t="shared" si="39"/>
        <v>9</v>
      </c>
      <c r="AJ537" s="21"/>
      <c r="AL537" s="21"/>
      <c r="AM537" s="193"/>
      <c r="AN537" s="143"/>
      <c r="AO537" s="189"/>
      <c r="AP537" s="189"/>
    </row>
    <row r="538" spans="3:42" ht="17.25" customHeight="1">
      <c r="C538" s="8" t="s">
        <v>238</v>
      </c>
      <c r="D538" s="2"/>
      <c r="E538" s="20" t="s">
        <v>1836</v>
      </c>
      <c r="F538" s="21"/>
      <c r="H538" s="289">
        <f t="shared" si="38"/>
        <v>509.52</v>
      </c>
      <c r="I538" s="286"/>
      <c r="J538" s="58"/>
      <c r="K538" s="58"/>
      <c r="L538" s="58"/>
      <c r="M538" s="58"/>
      <c r="N538" s="58"/>
      <c r="O538" s="58">
        <v>509.52</v>
      </c>
      <c r="P538" s="58"/>
      <c r="Q538" s="58"/>
      <c r="R538" s="58"/>
      <c r="S538" s="58"/>
      <c r="T538" s="58"/>
      <c r="U538" s="58"/>
      <c r="V538" s="258"/>
      <c r="W538" s="624"/>
      <c r="X538" s="624"/>
      <c r="Y538" s="258"/>
      <c r="Z538" s="58"/>
      <c r="AA538" s="336"/>
      <c r="AB538" s="258"/>
      <c r="AC538" s="258"/>
      <c r="AD538" s="258"/>
      <c r="AE538" s="258"/>
      <c r="AF538" s="20"/>
      <c r="AG538" s="27"/>
      <c r="AH538" s="133">
        <v>41052</v>
      </c>
      <c r="AI538" s="10"/>
      <c r="AJ538" s="21"/>
      <c r="AL538" s="21"/>
      <c r="AM538" s="193"/>
      <c r="AN538" s="143"/>
      <c r="AO538" s="189"/>
      <c r="AP538" s="189"/>
    </row>
    <row r="539" spans="3:42" ht="17.25" customHeight="1">
      <c r="C539" s="8" t="s">
        <v>238</v>
      </c>
      <c r="D539" s="2"/>
      <c r="E539" s="20" t="s">
        <v>1837</v>
      </c>
      <c r="F539" s="21"/>
      <c r="H539" s="289">
        <f t="shared" si="38"/>
        <v>7500</v>
      </c>
      <c r="I539" s="286"/>
      <c r="J539" s="58"/>
      <c r="K539" s="58"/>
      <c r="L539" s="58"/>
      <c r="M539" s="58"/>
      <c r="N539" s="58"/>
      <c r="O539" s="58">
        <v>7500</v>
      </c>
      <c r="P539" s="58"/>
      <c r="Q539" s="58"/>
      <c r="R539" s="58"/>
      <c r="S539" s="58"/>
      <c r="T539" s="58"/>
      <c r="U539" s="58"/>
      <c r="V539" s="258"/>
      <c r="W539" s="624"/>
      <c r="X539" s="624"/>
      <c r="Y539" s="258"/>
      <c r="Z539" s="58"/>
      <c r="AA539" s="336"/>
      <c r="AB539" s="258"/>
      <c r="AC539" s="258"/>
      <c r="AD539" s="258"/>
      <c r="AE539" s="258"/>
      <c r="AF539" s="20"/>
      <c r="AG539" s="27">
        <v>40892</v>
      </c>
      <c r="AH539" s="133">
        <v>40912</v>
      </c>
      <c r="AI539" s="10">
        <f t="shared" si="39"/>
        <v>1</v>
      </c>
      <c r="AJ539" s="21"/>
      <c r="AL539" s="21"/>
      <c r="AM539" s="193"/>
      <c r="AN539" s="143"/>
      <c r="AO539" s="189"/>
      <c r="AP539" s="189"/>
    </row>
    <row r="540" spans="3:42" ht="17.25" customHeight="1">
      <c r="C540" s="8" t="s">
        <v>238</v>
      </c>
      <c r="D540" s="2"/>
      <c r="E540" s="20" t="s">
        <v>1838</v>
      </c>
      <c r="F540" s="21"/>
      <c r="H540" s="289">
        <f t="shared" si="38"/>
        <v>10000</v>
      </c>
      <c r="I540" s="286"/>
      <c r="J540" s="58"/>
      <c r="K540" s="58"/>
      <c r="L540" s="58"/>
      <c r="M540" s="58"/>
      <c r="N540" s="58"/>
      <c r="O540" s="58">
        <v>10000</v>
      </c>
      <c r="P540" s="58"/>
      <c r="Q540" s="58"/>
      <c r="R540" s="58"/>
      <c r="S540" s="58"/>
      <c r="T540" s="58"/>
      <c r="U540" s="58"/>
      <c r="V540" s="258"/>
      <c r="W540" s="624"/>
      <c r="X540" s="624"/>
      <c r="Y540" s="258"/>
      <c r="Z540" s="58"/>
      <c r="AA540" s="336"/>
      <c r="AB540" s="258"/>
      <c r="AC540" s="258"/>
      <c r="AD540" s="258"/>
      <c r="AE540" s="258"/>
      <c r="AF540" s="20"/>
      <c r="AG540" s="27"/>
      <c r="AH540" s="133">
        <v>40956</v>
      </c>
      <c r="AI540" s="10"/>
      <c r="AJ540" s="21"/>
      <c r="AL540" s="21"/>
      <c r="AM540" s="193"/>
      <c r="AN540" s="143"/>
      <c r="AO540" s="189"/>
      <c r="AP540" s="189"/>
    </row>
    <row r="541" spans="3:42" ht="17.25" customHeight="1">
      <c r="C541" s="8" t="s">
        <v>238</v>
      </c>
      <c r="D541" s="2"/>
      <c r="E541" s="20" t="s">
        <v>1839</v>
      </c>
      <c r="F541" s="21"/>
      <c r="H541" s="289">
        <f t="shared" si="38"/>
        <v>9704.89</v>
      </c>
      <c r="I541" s="286"/>
      <c r="J541" s="58"/>
      <c r="K541" s="58"/>
      <c r="L541" s="58"/>
      <c r="M541" s="58"/>
      <c r="N541" s="58"/>
      <c r="O541" s="58">
        <v>9704.89</v>
      </c>
      <c r="P541" s="58"/>
      <c r="Q541" s="58"/>
      <c r="R541" s="58"/>
      <c r="S541" s="58"/>
      <c r="T541" s="58"/>
      <c r="U541" s="58"/>
      <c r="V541" s="258"/>
      <c r="W541" s="624"/>
      <c r="X541" s="624"/>
      <c r="Y541" s="258"/>
      <c r="Z541" s="58"/>
      <c r="AA541" s="336"/>
      <c r="AB541" s="258"/>
      <c r="AC541" s="258"/>
      <c r="AD541" s="258"/>
      <c r="AE541" s="258"/>
      <c r="AF541" s="20"/>
      <c r="AG541" s="27">
        <v>40892</v>
      </c>
      <c r="AH541" s="133">
        <v>40931</v>
      </c>
      <c r="AI541" s="10">
        <f t="shared" si="39"/>
        <v>1</v>
      </c>
      <c r="AJ541" s="21"/>
      <c r="AL541" s="21"/>
      <c r="AM541" s="193"/>
      <c r="AN541" s="143"/>
      <c r="AO541" s="189"/>
      <c r="AP541" s="189"/>
    </row>
    <row r="542" spans="3:42" ht="17.25" customHeight="1">
      <c r="C542" s="8" t="s">
        <v>238</v>
      </c>
      <c r="D542" s="2"/>
      <c r="E542" s="20" t="s">
        <v>1840</v>
      </c>
      <c r="F542" s="21"/>
      <c r="H542" s="289">
        <f t="shared" si="38"/>
        <v>10000</v>
      </c>
      <c r="I542" s="286"/>
      <c r="J542" s="58"/>
      <c r="K542" s="58"/>
      <c r="L542" s="58"/>
      <c r="M542" s="58"/>
      <c r="N542" s="58"/>
      <c r="O542" s="58">
        <v>10000</v>
      </c>
      <c r="P542" s="58"/>
      <c r="Q542" s="58"/>
      <c r="R542" s="58"/>
      <c r="S542" s="58"/>
      <c r="T542" s="58"/>
      <c r="U542" s="58"/>
      <c r="V542" s="258"/>
      <c r="W542" s="624"/>
      <c r="X542" s="624"/>
      <c r="Y542" s="258"/>
      <c r="Z542" s="58"/>
      <c r="AA542" s="336"/>
      <c r="AB542" s="258"/>
      <c r="AC542" s="258"/>
      <c r="AD542" s="258"/>
      <c r="AE542" s="258"/>
      <c r="AF542" s="20"/>
      <c r="AG542" s="27"/>
      <c r="AH542" s="133">
        <v>40954</v>
      </c>
      <c r="AI542" s="10"/>
      <c r="AJ542" s="21"/>
      <c r="AL542" s="21"/>
      <c r="AM542" s="193"/>
      <c r="AN542" s="143"/>
      <c r="AO542" s="189"/>
      <c r="AP542" s="189"/>
    </row>
    <row r="543" spans="3:42" ht="17.25" customHeight="1">
      <c r="C543" s="8" t="s">
        <v>238</v>
      </c>
      <c r="D543" s="2"/>
      <c r="E543" s="20" t="s">
        <v>1841</v>
      </c>
      <c r="F543" s="58"/>
      <c r="G543" s="253"/>
      <c r="H543" s="296">
        <f t="shared" si="38"/>
        <v>10.96</v>
      </c>
      <c r="I543" s="286"/>
      <c r="J543" s="58"/>
      <c r="K543" s="58"/>
      <c r="L543" s="58"/>
      <c r="M543" s="58"/>
      <c r="N543" s="58"/>
      <c r="O543" s="58">
        <v>10.96</v>
      </c>
      <c r="P543" s="58"/>
      <c r="Q543" s="58"/>
      <c r="R543" s="58"/>
      <c r="S543" s="58"/>
      <c r="T543" s="58"/>
      <c r="U543" s="58"/>
      <c r="V543" s="296"/>
      <c r="W543" s="705"/>
      <c r="X543" s="705"/>
      <c r="Y543" s="258"/>
      <c r="Z543" s="58"/>
      <c r="AA543" s="336"/>
      <c r="AB543" s="258"/>
      <c r="AC543" s="258"/>
      <c r="AD543" s="258"/>
      <c r="AE543" s="258"/>
      <c r="AF543" s="20"/>
      <c r="AG543" s="27">
        <v>39848</v>
      </c>
      <c r="AH543" s="262">
        <v>40744</v>
      </c>
      <c r="AI543" s="10">
        <f t="shared" si="39"/>
        <v>29</v>
      </c>
      <c r="AJ543" s="21"/>
      <c r="AL543" s="21"/>
      <c r="AM543" s="193"/>
      <c r="AN543" s="143"/>
      <c r="AO543" s="189"/>
      <c r="AP543" s="189"/>
    </row>
    <row r="544" spans="3:42" ht="17.25" customHeight="1" thickBot="1">
      <c r="C544" s="97" t="s">
        <v>1842</v>
      </c>
      <c r="D544" s="97"/>
      <c r="E544" s="97"/>
      <c r="F544" s="98"/>
      <c r="G544" s="191"/>
      <c r="H544" s="191"/>
      <c r="I544" s="82"/>
      <c r="J544" s="191"/>
      <c r="K544" s="191"/>
      <c r="L544" s="191"/>
      <c r="M544" s="191"/>
      <c r="N544" s="191"/>
      <c r="O544" s="191"/>
      <c r="P544" s="191"/>
      <c r="Q544" s="191"/>
      <c r="R544" s="191"/>
      <c r="S544" s="191"/>
      <c r="T544" s="99"/>
      <c r="U544" s="99"/>
      <c r="V544" s="99"/>
      <c r="W544" s="98"/>
      <c r="X544" s="98"/>
      <c r="Y544" s="343"/>
      <c r="Z544" s="98"/>
      <c r="AA544" s="98"/>
      <c r="AB544" s="98"/>
      <c r="AC544" s="98"/>
      <c r="AD544" s="98"/>
      <c r="AE544" s="98"/>
      <c r="AF544" s="98"/>
      <c r="AG544" s="98"/>
      <c r="AH544" s="98"/>
      <c r="AI544" s="98"/>
      <c r="AJ544" s="98"/>
      <c r="AK544" s="98"/>
      <c r="AL544" s="98"/>
      <c r="AM544" s="82"/>
      <c r="AN544" s="98"/>
      <c r="AO544" s="98"/>
      <c r="AP544" s="98"/>
    </row>
    <row r="545" spans="3:42" ht="17.25" customHeight="1">
      <c r="C545" s="8" t="s">
        <v>238</v>
      </c>
      <c r="D545" s="2"/>
      <c r="E545" s="255" t="s">
        <v>1843</v>
      </c>
      <c r="F545" s="21"/>
      <c r="G545" s="281"/>
      <c r="H545" s="294">
        <f t="shared" si="38"/>
        <v>88181.19</v>
      </c>
      <c r="I545" s="286"/>
      <c r="J545" s="58"/>
      <c r="K545" s="58"/>
      <c r="L545" s="58"/>
      <c r="M545" s="58"/>
      <c r="N545" s="58">
        <f>SUM(29393.73, 58787.46)</f>
        <v>88181.19</v>
      </c>
      <c r="O545" s="58"/>
      <c r="P545" s="143"/>
      <c r="Q545" s="143"/>
      <c r="R545" s="143"/>
      <c r="T545" s="58"/>
      <c r="U545" s="258"/>
      <c r="V545" s="295"/>
      <c r="W545" s="624"/>
      <c r="X545" s="624"/>
      <c r="Y545" s="258"/>
      <c r="Z545" s="58"/>
      <c r="AA545" s="336"/>
      <c r="AB545" s="295"/>
      <c r="AC545" s="258"/>
      <c r="AD545" s="258"/>
      <c r="AE545" s="258"/>
      <c r="AF545" s="20"/>
      <c r="AG545" s="27"/>
      <c r="AH545" s="133">
        <v>40575</v>
      </c>
      <c r="AI545" s="10"/>
      <c r="AJ545" s="21"/>
      <c r="AL545" s="21"/>
      <c r="AM545" s="193"/>
      <c r="AN545" s="143"/>
      <c r="AO545" s="189"/>
      <c r="AP545" s="189"/>
    </row>
    <row r="546" spans="3:42" ht="17.25" customHeight="1">
      <c r="C546" s="8" t="s">
        <v>238</v>
      </c>
      <c r="D546" s="2"/>
      <c r="E546" s="255" t="s">
        <v>1844</v>
      </c>
      <c r="F546" s="21"/>
      <c r="G546" s="281"/>
      <c r="H546" s="289">
        <f t="shared" si="38"/>
        <v>35090.29</v>
      </c>
      <c r="I546" s="286"/>
      <c r="J546" s="58"/>
      <c r="K546" s="58"/>
      <c r="L546" s="58">
        <f>SUM(446, 457.15)</f>
        <v>903.15</v>
      </c>
      <c r="M546" s="58">
        <f>SUM(457.15, 457.15, 468.3, 468.3)</f>
        <v>1850.8999999999999</v>
      </c>
      <c r="N546" s="58">
        <f>SUM(468.3, 31867.94)</f>
        <v>32336.239999999998</v>
      </c>
      <c r="O546" s="58"/>
      <c r="P546" s="143"/>
      <c r="Q546" s="143"/>
      <c r="R546" s="143"/>
      <c r="T546" s="58"/>
      <c r="U546" s="258"/>
      <c r="V546" s="258"/>
      <c r="W546" s="624"/>
      <c r="X546" s="624"/>
      <c r="Y546" s="258"/>
      <c r="Z546" s="58"/>
      <c r="AA546" s="336"/>
      <c r="AB546" s="258"/>
      <c r="AC546" s="258"/>
      <c r="AD546" s="258"/>
      <c r="AE546" s="258"/>
      <c r="AF546" s="20"/>
      <c r="AG546" s="258"/>
      <c r="AH546" s="133">
        <v>40638</v>
      </c>
      <c r="AI546" s="10"/>
      <c r="AJ546" s="21"/>
      <c r="AL546" s="21"/>
      <c r="AM546" s="193"/>
      <c r="AN546" s="143"/>
      <c r="AO546" s="189"/>
      <c r="AP546" s="189"/>
    </row>
    <row r="547" spans="3:42" ht="17.25" customHeight="1">
      <c r="C547" s="8" t="s">
        <v>238</v>
      </c>
      <c r="D547" s="2"/>
      <c r="E547" s="20" t="s">
        <v>1845</v>
      </c>
      <c r="F547" s="21"/>
      <c r="G547" s="281"/>
      <c r="H547" s="289">
        <f t="shared" si="38"/>
        <v>18.71</v>
      </c>
      <c r="I547" s="286"/>
      <c r="J547" s="58"/>
      <c r="K547" s="58"/>
      <c r="L547" s="58"/>
      <c r="M547" s="58"/>
      <c r="N547" s="58">
        <v>18.71</v>
      </c>
      <c r="O547" s="58"/>
      <c r="P547" s="143"/>
      <c r="Q547" s="143"/>
      <c r="R547" s="143"/>
      <c r="T547" s="58"/>
      <c r="U547" s="258"/>
      <c r="V547" s="258"/>
      <c r="W547" s="624"/>
      <c r="X547" s="624"/>
      <c r="Y547" s="258"/>
      <c r="Z547" s="58"/>
      <c r="AA547" s="336"/>
      <c r="AB547" s="258"/>
      <c r="AC547" s="258"/>
      <c r="AD547" s="258"/>
      <c r="AE547" s="258"/>
      <c r="AF547" s="20"/>
      <c r="AG547" s="27">
        <v>40623</v>
      </c>
      <c r="AH547" s="133">
        <v>40638</v>
      </c>
      <c r="AI547" s="10">
        <f t="shared" si="39"/>
        <v>1</v>
      </c>
      <c r="AJ547" s="21"/>
      <c r="AL547" s="21"/>
      <c r="AM547" s="193"/>
      <c r="AN547" s="143"/>
      <c r="AO547" s="189"/>
      <c r="AP547" s="189"/>
    </row>
    <row r="548" spans="3:42" ht="17.25" customHeight="1">
      <c r="C548" s="8" t="s">
        <v>238</v>
      </c>
      <c r="D548" s="2"/>
      <c r="E548" s="20" t="s">
        <v>1846</v>
      </c>
      <c r="F548" s="21"/>
      <c r="H548" s="289">
        <f t="shared" si="38"/>
        <v>10000</v>
      </c>
      <c r="I548" s="286"/>
      <c r="J548" s="58"/>
      <c r="K548" s="58"/>
      <c r="L548" s="58">
        <v>5000</v>
      </c>
      <c r="M548" s="58">
        <v>2500</v>
      </c>
      <c r="N548" s="58">
        <v>2500</v>
      </c>
      <c r="O548" s="58"/>
      <c r="P548" s="143"/>
      <c r="Q548" s="143"/>
      <c r="R548" s="143"/>
      <c r="S548" s="143"/>
      <c r="T548" s="58"/>
      <c r="V548" s="258"/>
      <c r="W548" s="624"/>
      <c r="X548" s="624"/>
      <c r="Y548" s="258"/>
      <c r="Z548" s="58"/>
      <c r="AA548" s="336"/>
      <c r="AB548" s="258"/>
      <c r="AC548" s="258"/>
      <c r="AD548" s="258"/>
      <c r="AE548" s="258"/>
      <c r="AF548" s="20"/>
      <c r="AG548" s="27">
        <v>39862</v>
      </c>
      <c r="AH548" s="27">
        <v>40501</v>
      </c>
      <c r="AI548" s="10">
        <f t="shared" si="39"/>
        <v>21</v>
      </c>
      <c r="AJ548" s="21"/>
      <c r="AL548" s="21"/>
      <c r="AM548" s="193"/>
      <c r="AN548" s="143"/>
      <c r="AO548" s="189"/>
      <c r="AP548" s="189"/>
    </row>
    <row r="549" spans="3:42" ht="17.25" customHeight="1">
      <c r="C549" s="8" t="s">
        <v>238</v>
      </c>
      <c r="D549" s="2"/>
      <c r="E549" s="20" t="s">
        <v>1847</v>
      </c>
      <c r="F549" s="21"/>
      <c r="H549" s="289">
        <f t="shared" si="38"/>
        <v>17980.91</v>
      </c>
      <c r="I549" s="286"/>
      <c r="J549" s="58"/>
      <c r="K549" s="58"/>
      <c r="L549" s="58">
        <v>17000</v>
      </c>
      <c r="M549" s="58"/>
      <c r="N549" s="58">
        <v>980.91</v>
      </c>
      <c r="O549" s="58"/>
      <c r="P549" s="143"/>
      <c r="Q549" s="143"/>
      <c r="R549" s="143"/>
      <c r="S549" s="143"/>
      <c r="T549" s="58"/>
      <c r="V549" s="258"/>
      <c r="W549" s="624"/>
      <c r="X549" s="624"/>
      <c r="Y549" s="258"/>
      <c r="Z549" s="58"/>
      <c r="AA549" s="336"/>
      <c r="AB549" s="258"/>
      <c r="AC549" s="258"/>
      <c r="AD549" s="258"/>
      <c r="AE549" s="258"/>
      <c r="AF549" s="20"/>
      <c r="AG549" s="27">
        <v>40388</v>
      </c>
      <c r="AH549" s="133">
        <v>40392</v>
      </c>
      <c r="AI549" s="10">
        <f t="shared" si="39"/>
        <v>1</v>
      </c>
      <c r="AJ549" s="21"/>
      <c r="AL549" s="21"/>
      <c r="AM549" s="193"/>
      <c r="AN549" s="143"/>
      <c r="AO549" s="189"/>
      <c r="AP549" s="189"/>
    </row>
    <row r="550" spans="3:42" ht="17.25" customHeight="1">
      <c r="C550" s="8" t="s">
        <v>238</v>
      </c>
      <c r="D550" s="2"/>
      <c r="E550" s="20" t="s">
        <v>1848</v>
      </c>
      <c r="F550" s="21"/>
      <c r="H550" s="289">
        <f t="shared" si="38"/>
        <v>68181.209999999992</v>
      </c>
      <c r="I550" s="286"/>
      <c r="J550" s="58"/>
      <c r="K550" s="58"/>
      <c r="L550" s="58"/>
      <c r="M550" s="58">
        <v>46875</v>
      </c>
      <c r="N550" s="58">
        <f>SUM(20354.87, 951.34)</f>
        <v>21306.21</v>
      </c>
      <c r="O550" s="58"/>
      <c r="P550" s="143"/>
      <c r="Q550" s="143"/>
      <c r="R550" s="143"/>
      <c r="S550" s="143"/>
      <c r="T550" s="58"/>
      <c r="V550" s="258"/>
      <c r="W550" s="624"/>
      <c r="X550" s="624"/>
      <c r="Y550" s="258"/>
      <c r="Z550" s="58"/>
      <c r="AA550" s="336"/>
      <c r="AB550" s="258"/>
      <c r="AC550" s="258"/>
      <c r="AD550" s="258"/>
      <c r="AE550" s="258"/>
      <c r="AF550" s="20"/>
      <c r="AG550" s="27">
        <v>40333</v>
      </c>
      <c r="AH550" s="133">
        <v>40688</v>
      </c>
      <c r="AI550" s="10">
        <f t="shared" si="39"/>
        <v>11</v>
      </c>
      <c r="AJ550" s="21"/>
      <c r="AL550" s="21"/>
      <c r="AM550" s="193"/>
      <c r="AN550" s="143"/>
      <c r="AO550" s="189"/>
      <c r="AP550" s="189"/>
    </row>
    <row r="551" spans="3:42" ht="17.25" customHeight="1">
      <c r="C551" s="8" t="s">
        <v>238</v>
      </c>
      <c r="D551" s="2"/>
      <c r="E551" s="255" t="s">
        <v>1849</v>
      </c>
      <c r="F551" s="21"/>
      <c r="H551" s="289">
        <f t="shared" si="38"/>
        <v>4845.84</v>
      </c>
      <c r="I551" s="286"/>
      <c r="J551" s="58"/>
      <c r="K551" s="58"/>
      <c r="L551" s="58"/>
      <c r="M551" s="58"/>
      <c r="N551" s="58">
        <f>SUM(2413.92, 2431.92)</f>
        <v>4845.84</v>
      </c>
      <c r="O551" s="58"/>
      <c r="P551" s="143"/>
      <c r="Q551" s="143"/>
      <c r="R551" s="143"/>
      <c r="S551" s="143"/>
      <c r="T551" s="58"/>
      <c r="V551" s="258"/>
      <c r="W551" s="624"/>
      <c r="X551" s="624"/>
      <c r="Y551" s="258"/>
      <c r="Z551" s="58"/>
      <c r="AA551" s="336"/>
      <c r="AB551" s="258"/>
      <c r="AC551" s="258"/>
      <c r="AD551" s="258"/>
      <c r="AE551" s="258"/>
      <c r="AF551" s="20"/>
      <c r="AG551" s="27"/>
      <c r="AH551" s="133">
        <v>40724</v>
      </c>
      <c r="AI551" s="10"/>
      <c r="AJ551" s="21"/>
      <c r="AL551" s="21"/>
      <c r="AM551" s="193"/>
      <c r="AN551" s="143"/>
      <c r="AO551" s="189"/>
      <c r="AP551" s="189"/>
    </row>
    <row r="552" spans="3:42" ht="17.25" customHeight="1">
      <c r="C552" s="8" t="s">
        <v>238</v>
      </c>
      <c r="D552" s="2"/>
      <c r="E552" s="20" t="s">
        <v>1850</v>
      </c>
      <c r="F552" s="21"/>
      <c r="H552" s="289">
        <f t="shared" si="38"/>
        <v>15049.53</v>
      </c>
      <c r="I552" s="286"/>
      <c r="J552" s="58"/>
      <c r="K552" s="58"/>
      <c r="L552" s="58"/>
      <c r="M552" s="58"/>
      <c r="N552" s="58">
        <v>15049.53</v>
      </c>
      <c r="O552" s="58"/>
      <c r="P552" s="143"/>
      <c r="Q552" s="143"/>
      <c r="R552" s="143"/>
      <c r="S552" s="143"/>
      <c r="T552" s="58"/>
      <c r="V552" s="258"/>
      <c r="W552" s="624"/>
      <c r="X552" s="624"/>
      <c r="Y552" s="258"/>
      <c r="Z552" s="58"/>
      <c r="AA552" s="336"/>
      <c r="AB552" s="258"/>
      <c r="AC552" s="258"/>
      <c r="AD552" s="258"/>
      <c r="AE552" s="258"/>
      <c r="AF552" s="20"/>
      <c r="AG552" s="27">
        <v>40230</v>
      </c>
      <c r="AH552" s="133">
        <v>40602</v>
      </c>
      <c r="AI552" s="10">
        <f t="shared" si="39"/>
        <v>12</v>
      </c>
      <c r="AJ552" s="21"/>
      <c r="AL552" s="21"/>
      <c r="AM552" s="193"/>
      <c r="AN552" s="143"/>
      <c r="AO552" s="189"/>
      <c r="AP552" s="189"/>
    </row>
    <row r="553" spans="3:42" ht="17.25" customHeight="1">
      <c r="C553" s="8" t="s">
        <v>238</v>
      </c>
      <c r="D553" s="2"/>
      <c r="E553" s="20" t="s">
        <v>1851</v>
      </c>
      <c r="F553" s="58"/>
      <c r="G553" s="45"/>
      <c r="H553" s="258">
        <f t="shared" si="38"/>
        <v>22098.09</v>
      </c>
      <c r="I553" s="286"/>
      <c r="J553" s="58"/>
      <c r="K553" s="58"/>
      <c r="L553" s="58"/>
      <c r="M553" s="58"/>
      <c r="N553" s="58">
        <f>SUM(4000, 4334, 13032.99, 243.7, 487.4)</f>
        <v>22098.09</v>
      </c>
      <c r="O553" s="58"/>
      <c r="P553" s="58"/>
      <c r="Q553" s="143"/>
      <c r="R553" s="143"/>
      <c r="S553" s="58"/>
      <c r="T553" s="58"/>
      <c r="U553" s="217"/>
      <c r="V553" s="258"/>
      <c r="W553" s="624"/>
      <c r="X553" s="624"/>
      <c r="Y553" s="258"/>
      <c r="Z553" s="58"/>
      <c r="AA553" s="336"/>
      <c r="AB553" s="258"/>
      <c r="AC553" s="258"/>
      <c r="AD553" s="258"/>
      <c r="AE553" s="258"/>
      <c r="AF553" s="20"/>
      <c r="AG553" s="267">
        <v>37718</v>
      </c>
      <c r="AH553" s="136">
        <v>40575</v>
      </c>
      <c r="AI553" s="10">
        <f t="shared" si="39"/>
        <v>94</v>
      </c>
      <c r="AJ553" s="21"/>
      <c r="AL553" s="21"/>
      <c r="AM553" s="193"/>
      <c r="AN553" s="143"/>
      <c r="AO553" s="189"/>
      <c r="AP553" s="189"/>
    </row>
    <row r="554" spans="3:42" ht="17.25" customHeight="1">
      <c r="C554" s="8" t="s">
        <v>238</v>
      </c>
      <c r="D554" s="2"/>
      <c r="E554" s="20" t="s">
        <v>1852</v>
      </c>
      <c r="F554" s="21"/>
      <c r="H554" s="289">
        <f t="shared" ref="H554:H617" si="40">SUM(I554:U554)</f>
        <v>2000</v>
      </c>
      <c r="I554" s="286"/>
      <c r="J554" s="58"/>
      <c r="K554" s="58"/>
      <c r="L554" s="58"/>
      <c r="M554" s="58"/>
      <c r="N554" s="58">
        <v>2000</v>
      </c>
      <c r="O554" s="58"/>
      <c r="P554" s="143"/>
      <c r="Q554" s="143"/>
      <c r="R554" s="143"/>
      <c r="S554" s="143"/>
      <c r="T554" s="58"/>
      <c r="V554" s="258"/>
      <c r="W554" s="624"/>
      <c r="X554" s="624"/>
      <c r="Y554" s="258"/>
      <c r="Z554" s="58"/>
      <c r="AA554" s="336"/>
      <c r="AB554" s="258"/>
      <c r="AC554" s="258"/>
      <c r="AD554" s="258"/>
      <c r="AE554" s="258"/>
      <c r="AF554" s="20"/>
      <c r="AG554" s="27"/>
      <c r="AH554" s="133">
        <v>40623</v>
      </c>
      <c r="AI554" s="10"/>
      <c r="AJ554" s="21"/>
      <c r="AL554" s="21"/>
      <c r="AM554" s="193"/>
      <c r="AN554" s="143"/>
      <c r="AO554" s="189"/>
      <c r="AP554" s="189"/>
    </row>
    <row r="555" spans="3:42" ht="17.25" customHeight="1">
      <c r="C555" s="8" t="s">
        <v>238</v>
      </c>
      <c r="D555" s="2"/>
      <c r="E555" s="20" t="s">
        <v>1853</v>
      </c>
      <c r="F555" s="21"/>
      <c r="H555" s="289">
        <f t="shared" si="40"/>
        <v>1000</v>
      </c>
      <c r="I555" s="286"/>
      <c r="J555" s="58"/>
      <c r="K555" s="58"/>
      <c r="L555" s="58"/>
      <c r="M555" s="58"/>
      <c r="N555" s="58">
        <v>1000</v>
      </c>
      <c r="O555" s="58"/>
      <c r="P555" s="143"/>
      <c r="Q555" s="143"/>
      <c r="R555" s="143"/>
      <c r="S555" s="143"/>
      <c r="T555" s="58"/>
      <c r="V555" s="258"/>
      <c r="W555" s="624"/>
      <c r="X555" s="624"/>
      <c r="Y555" s="258"/>
      <c r="Z555" s="58"/>
      <c r="AA555" s="336"/>
      <c r="AB555" s="258"/>
      <c r="AC555" s="258"/>
      <c r="AD555" s="258"/>
      <c r="AE555" s="258"/>
      <c r="AF555" s="20"/>
      <c r="AG555" s="27">
        <v>40569</v>
      </c>
      <c r="AH555" s="133">
        <v>40721</v>
      </c>
      <c r="AI555" s="10">
        <f t="shared" si="39"/>
        <v>5</v>
      </c>
      <c r="AJ555" s="21"/>
      <c r="AL555" s="21"/>
      <c r="AM555" s="193"/>
      <c r="AN555" s="143"/>
      <c r="AO555" s="189"/>
      <c r="AP555" s="189"/>
    </row>
    <row r="556" spans="3:42" ht="17.25" customHeight="1">
      <c r="C556" s="8" t="s">
        <v>238</v>
      </c>
      <c r="D556" s="2"/>
      <c r="E556" s="20" t="s">
        <v>1854</v>
      </c>
      <c r="F556" s="21"/>
      <c r="H556" s="289">
        <f t="shared" si="40"/>
        <v>6741.46</v>
      </c>
      <c r="I556" s="286"/>
      <c r="J556" s="58"/>
      <c r="K556" s="58"/>
      <c r="L556" s="58"/>
      <c r="M556" s="58"/>
      <c r="N556" s="58">
        <v>6741.46</v>
      </c>
      <c r="O556" s="58"/>
      <c r="P556" s="143"/>
      <c r="Q556" s="143"/>
      <c r="R556" s="143"/>
      <c r="S556" s="143"/>
      <c r="T556" s="58"/>
      <c r="V556" s="258"/>
      <c r="W556" s="624"/>
      <c r="X556" s="624"/>
      <c r="Y556" s="258"/>
      <c r="Z556" s="58"/>
      <c r="AA556" s="336"/>
      <c r="AB556" s="258"/>
      <c r="AC556" s="258"/>
      <c r="AD556" s="258"/>
      <c r="AE556" s="258"/>
      <c r="AF556" s="20"/>
      <c r="AG556" s="27"/>
      <c r="AH556" s="133">
        <v>40540</v>
      </c>
      <c r="AI556" s="10"/>
      <c r="AJ556" s="21"/>
      <c r="AL556" s="21"/>
      <c r="AM556" s="193"/>
      <c r="AN556" s="143"/>
      <c r="AO556" s="189"/>
      <c r="AP556" s="189"/>
    </row>
    <row r="557" spans="3:42" ht="17.25" customHeight="1">
      <c r="C557" s="8" t="s">
        <v>238</v>
      </c>
      <c r="D557" s="2"/>
      <c r="E557" s="20" t="s">
        <v>1855</v>
      </c>
      <c r="F557" s="21"/>
      <c r="H557" s="289">
        <f t="shared" si="40"/>
        <v>11617.65</v>
      </c>
      <c r="I557" s="286"/>
      <c r="J557" s="58"/>
      <c r="K557" s="58">
        <f>SUM(6060.6, 3025.67)</f>
        <v>9086.27</v>
      </c>
      <c r="L557" s="58"/>
      <c r="M557" s="58">
        <f>SUM(1470.98, 57.02)</f>
        <v>1528</v>
      </c>
      <c r="N557" s="58">
        <v>1003.38</v>
      </c>
      <c r="O557" s="58"/>
      <c r="P557" s="143"/>
      <c r="Q557" s="143"/>
      <c r="R557" s="143"/>
      <c r="S557" s="143"/>
      <c r="T557" s="58"/>
      <c r="V557" s="258"/>
      <c r="W557" s="624"/>
      <c r="X557" s="624"/>
      <c r="Y557" s="258"/>
      <c r="Z557" s="58"/>
      <c r="AA557" s="336"/>
      <c r="AB557" s="258"/>
      <c r="AC557" s="258"/>
      <c r="AD557" s="258"/>
      <c r="AE557" s="258"/>
      <c r="AF557" s="20"/>
      <c r="AG557" s="278"/>
      <c r="AH557" s="133">
        <v>40444</v>
      </c>
      <c r="AI557" s="10"/>
      <c r="AJ557" s="21"/>
      <c r="AL557" s="21"/>
      <c r="AM557" s="193"/>
      <c r="AN557" s="143"/>
      <c r="AO557" s="189"/>
      <c r="AP557" s="189"/>
    </row>
    <row r="558" spans="3:42" ht="17.25" customHeight="1">
      <c r="C558" s="8" t="s">
        <v>238</v>
      </c>
      <c r="D558" s="2"/>
      <c r="E558" s="20" t="s">
        <v>1856</v>
      </c>
      <c r="F558" s="21"/>
      <c r="H558" s="289">
        <f t="shared" si="40"/>
        <v>703600</v>
      </c>
      <c r="I558" s="286"/>
      <c r="J558" s="58"/>
      <c r="K558" s="58"/>
      <c r="L558" s="58"/>
      <c r="M558" s="58">
        <f>SUM(600000, 100000)</f>
        <v>700000</v>
      </c>
      <c r="N558" s="58">
        <v>3600</v>
      </c>
      <c r="O558" s="58"/>
      <c r="P558" s="143"/>
      <c r="Q558" s="143"/>
      <c r="R558" s="143"/>
      <c r="S558" s="143"/>
      <c r="T558" s="58"/>
      <c r="V558" s="258"/>
      <c r="W558" s="624"/>
      <c r="X558" s="624"/>
      <c r="Y558" s="258"/>
      <c r="Z558" s="58"/>
      <c r="AA558" s="336"/>
      <c r="AB558" s="258"/>
      <c r="AC558" s="258"/>
      <c r="AD558" s="258"/>
      <c r="AE558" s="258"/>
      <c r="AF558" s="20"/>
      <c r="AG558" s="27">
        <v>39903</v>
      </c>
      <c r="AH558" s="133">
        <v>40415</v>
      </c>
      <c r="AI558" s="10">
        <f t="shared" ref="AI558:AI604" si="41">(YEAR(AH558)-YEAR(AG558))*12+MONTH(AH558)-MONTH(AG558)</f>
        <v>17</v>
      </c>
      <c r="AJ558" s="21"/>
      <c r="AL558" s="21"/>
      <c r="AM558" s="193"/>
      <c r="AN558" s="143"/>
      <c r="AO558" s="189"/>
      <c r="AP558" s="189"/>
    </row>
    <row r="559" spans="3:42" ht="17.25" customHeight="1">
      <c r="C559" s="8" t="s">
        <v>238</v>
      </c>
      <c r="D559" s="2"/>
      <c r="E559" s="20" t="s">
        <v>1857</v>
      </c>
      <c r="F559" s="21"/>
      <c r="H559" s="289">
        <f t="shared" si="40"/>
        <v>5823.28</v>
      </c>
      <c r="I559" s="286"/>
      <c r="J559" s="58"/>
      <c r="K559" s="58"/>
      <c r="L559" s="58"/>
      <c r="M559" s="58"/>
      <c r="N559" s="58">
        <v>5823.28</v>
      </c>
      <c r="O559" s="58"/>
      <c r="P559" s="143"/>
      <c r="Q559" s="143"/>
      <c r="R559" s="143"/>
      <c r="S559" s="143"/>
      <c r="T559" s="58"/>
      <c r="V559" s="258"/>
      <c r="W559" s="624"/>
      <c r="X559" s="624"/>
      <c r="Y559" s="258"/>
      <c r="Z559" s="58"/>
      <c r="AA559" s="336"/>
      <c r="AB559" s="258"/>
      <c r="AC559" s="258"/>
      <c r="AD559" s="258"/>
      <c r="AE559" s="258"/>
      <c r="AF559" s="20"/>
      <c r="AG559" s="27">
        <v>40232</v>
      </c>
      <c r="AH559" s="133">
        <v>40599</v>
      </c>
      <c r="AI559" s="10">
        <f t="shared" si="41"/>
        <v>12</v>
      </c>
      <c r="AJ559" s="21"/>
      <c r="AL559" s="21"/>
      <c r="AM559" s="193"/>
      <c r="AN559" s="143"/>
      <c r="AO559" s="189"/>
      <c r="AP559" s="189"/>
    </row>
    <row r="560" spans="3:42" ht="17.25" customHeight="1">
      <c r="C560" s="8" t="s">
        <v>238</v>
      </c>
      <c r="D560" s="2"/>
      <c r="E560" s="20" t="s">
        <v>1858</v>
      </c>
      <c r="F560" s="58"/>
      <c r="G560" s="253"/>
      <c r="H560" s="296">
        <f t="shared" si="40"/>
        <v>35000</v>
      </c>
      <c r="I560" s="286"/>
      <c r="J560" s="58"/>
      <c r="K560" s="58"/>
      <c r="L560" s="58"/>
      <c r="M560" s="58"/>
      <c r="N560" s="58">
        <v>35000</v>
      </c>
      <c r="O560" s="58"/>
      <c r="P560" s="58"/>
      <c r="Q560" s="143"/>
      <c r="R560" s="143"/>
      <c r="S560" s="58"/>
      <c r="T560" s="58"/>
      <c r="U560" s="217"/>
      <c r="V560" s="296"/>
      <c r="W560" s="705"/>
      <c r="X560" s="705"/>
      <c r="Y560" s="258"/>
      <c r="Z560" s="58"/>
      <c r="AA560" s="336"/>
      <c r="AB560" s="258"/>
      <c r="AC560" s="258"/>
      <c r="AD560" s="258"/>
      <c r="AE560" s="258"/>
      <c r="AF560" s="20"/>
      <c r="AG560" s="27"/>
      <c r="AH560" s="262">
        <v>40540</v>
      </c>
      <c r="AI560" s="10"/>
      <c r="AJ560" s="21"/>
      <c r="AL560" s="21"/>
      <c r="AM560" s="193"/>
      <c r="AN560" s="143"/>
      <c r="AO560" s="189"/>
      <c r="AP560" s="189"/>
    </row>
    <row r="561" spans="3:42" ht="17.25" customHeight="1">
      <c r="C561" s="8" t="s">
        <v>238</v>
      </c>
      <c r="D561" s="2"/>
      <c r="E561" s="20" t="s">
        <v>1859</v>
      </c>
      <c r="F561" s="21"/>
      <c r="H561" s="289">
        <f t="shared" si="40"/>
        <v>44000</v>
      </c>
      <c r="I561" s="286"/>
      <c r="J561" s="58"/>
      <c r="K561" s="58"/>
      <c r="L561" s="58"/>
      <c r="M561" s="58">
        <v>30000</v>
      </c>
      <c r="N561" s="58">
        <v>14000</v>
      </c>
      <c r="O561" s="58"/>
      <c r="P561" s="143"/>
      <c r="Q561" s="143"/>
      <c r="R561" s="143"/>
      <c r="S561" s="143"/>
      <c r="T561" s="58"/>
      <c r="V561" s="258"/>
      <c r="W561" s="624"/>
      <c r="X561" s="624"/>
      <c r="Y561" s="258"/>
      <c r="Z561" s="58"/>
      <c r="AA561" s="336"/>
      <c r="AB561" s="258"/>
      <c r="AC561" s="258"/>
      <c r="AD561" s="258"/>
      <c r="AE561" s="258"/>
      <c r="AF561" s="20"/>
      <c r="AG561" s="27"/>
      <c r="AH561" s="133">
        <v>40723</v>
      </c>
      <c r="AI561" s="10"/>
      <c r="AJ561" s="21"/>
      <c r="AL561" s="21"/>
      <c r="AM561" s="193"/>
      <c r="AN561" s="143"/>
      <c r="AO561" s="189"/>
      <c r="AP561" s="189"/>
    </row>
    <row r="562" spans="3:42" ht="17.25" customHeight="1">
      <c r="C562" s="8" t="s">
        <v>238</v>
      </c>
      <c r="D562" s="2"/>
      <c r="E562" s="20" t="s">
        <v>1860</v>
      </c>
      <c r="F562" s="21"/>
      <c r="H562" s="289">
        <f t="shared" si="40"/>
        <v>100</v>
      </c>
      <c r="I562" s="87"/>
      <c r="J562" s="143"/>
      <c r="K562" s="58"/>
      <c r="L562" s="58"/>
      <c r="M562" s="58"/>
      <c r="N562" s="58">
        <v>100</v>
      </c>
      <c r="O562" s="58"/>
      <c r="P562" s="143"/>
      <c r="Q562" s="143"/>
      <c r="R562" s="143"/>
      <c r="S562" s="143"/>
      <c r="T562" s="58"/>
      <c r="V562" s="258"/>
      <c r="W562" s="624"/>
      <c r="X562" s="624"/>
      <c r="Y562" s="258"/>
      <c r="Z562" s="58"/>
      <c r="AA562" s="336"/>
      <c r="AB562" s="258"/>
      <c r="AC562" s="258"/>
      <c r="AD562" s="258"/>
      <c r="AE562" s="258"/>
      <c r="AF562" s="20"/>
      <c r="AG562" s="27"/>
      <c r="AH562" s="133">
        <v>40438</v>
      </c>
      <c r="AI562" s="10"/>
      <c r="AJ562" s="21"/>
      <c r="AL562" s="21"/>
      <c r="AM562" s="193"/>
      <c r="AN562" s="143"/>
      <c r="AO562" s="189"/>
      <c r="AP562" s="189"/>
    </row>
    <row r="563" spans="3:42" ht="17.25" customHeight="1">
      <c r="C563" s="8" t="s">
        <v>238</v>
      </c>
      <c r="D563" s="2"/>
      <c r="E563" s="20" t="s">
        <v>1861</v>
      </c>
      <c r="F563" s="21"/>
      <c r="H563" s="289">
        <f t="shared" si="40"/>
        <v>48696.17</v>
      </c>
      <c r="I563" s="87"/>
      <c r="J563" s="143"/>
      <c r="K563" s="58"/>
      <c r="L563" s="58"/>
      <c r="M563" s="58">
        <v>25000</v>
      </c>
      <c r="N563" s="58">
        <v>23696.17</v>
      </c>
      <c r="O563" s="58"/>
      <c r="P563" s="143"/>
      <c r="Q563" s="143"/>
      <c r="R563" s="143"/>
      <c r="S563" s="143"/>
      <c r="T563" s="58"/>
      <c r="V563" s="258"/>
      <c r="W563" s="624"/>
      <c r="X563" s="624"/>
      <c r="Y563" s="258"/>
      <c r="Z563" s="58"/>
      <c r="AA563" s="336"/>
      <c r="AB563" s="258"/>
      <c r="AC563" s="258"/>
      <c r="AD563" s="258"/>
      <c r="AE563" s="258"/>
      <c r="AF563" s="20"/>
      <c r="AG563" s="27">
        <v>39989</v>
      </c>
      <c r="AH563" s="133">
        <v>40679</v>
      </c>
      <c r="AI563" s="10">
        <f t="shared" si="41"/>
        <v>23</v>
      </c>
      <c r="AJ563" s="21"/>
      <c r="AL563" s="21"/>
      <c r="AM563" s="193"/>
      <c r="AN563" s="143"/>
      <c r="AO563" s="189"/>
      <c r="AP563" s="189"/>
    </row>
    <row r="564" spans="3:42" ht="17.25" customHeight="1">
      <c r="C564" s="8" t="s">
        <v>238</v>
      </c>
      <c r="D564" s="2"/>
      <c r="E564" s="20" t="s">
        <v>1862</v>
      </c>
      <c r="F564" s="21"/>
      <c r="H564" s="289">
        <f t="shared" si="40"/>
        <v>4716.33</v>
      </c>
      <c r="I564" s="87"/>
      <c r="J564" s="143"/>
      <c r="K564" s="58"/>
      <c r="L564" s="58"/>
      <c r="M564" s="58"/>
      <c r="N564" s="58">
        <v>4716.33</v>
      </c>
      <c r="O564" s="58"/>
      <c r="P564" s="143"/>
      <c r="Q564" s="143"/>
      <c r="R564" s="143"/>
      <c r="S564" s="143"/>
      <c r="T564" s="58"/>
      <c r="V564" s="258"/>
      <c r="W564" s="624"/>
      <c r="X564" s="624"/>
      <c r="Y564" s="258"/>
      <c r="Z564" s="58"/>
      <c r="AA564" s="336"/>
      <c r="AB564" s="258"/>
      <c r="AC564" s="258"/>
      <c r="AD564" s="258"/>
      <c r="AE564" s="258"/>
      <c r="AF564" s="20"/>
      <c r="AG564" s="27">
        <v>39862</v>
      </c>
      <c r="AH564" s="133">
        <v>40512</v>
      </c>
      <c r="AI564" s="10">
        <f t="shared" si="41"/>
        <v>21</v>
      </c>
      <c r="AJ564" s="21"/>
      <c r="AL564" s="21"/>
      <c r="AM564" s="193"/>
      <c r="AN564" s="143"/>
      <c r="AO564" s="189"/>
      <c r="AP564" s="189"/>
    </row>
    <row r="565" spans="3:42" ht="17.25" customHeight="1">
      <c r="C565" s="8" t="s">
        <v>238</v>
      </c>
      <c r="D565" s="2"/>
      <c r="E565" s="20" t="s">
        <v>1863</v>
      </c>
      <c r="F565" s="21"/>
      <c r="H565" s="289">
        <f t="shared" si="40"/>
        <v>2000</v>
      </c>
      <c r="I565" s="87"/>
      <c r="J565" s="143"/>
      <c r="K565" s="143"/>
      <c r="L565" s="58"/>
      <c r="M565" s="58"/>
      <c r="N565" s="58">
        <v>2000</v>
      </c>
      <c r="O565" s="58"/>
      <c r="P565" s="143"/>
      <c r="Q565" s="143"/>
      <c r="R565" s="143"/>
      <c r="S565" s="143"/>
      <c r="T565" s="58"/>
      <c r="V565" s="258"/>
      <c r="W565" s="624"/>
      <c r="X565" s="624"/>
      <c r="Y565" s="258"/>
      <c r="Z565" s="58"/>
      <c r="AA565" s="336"/>
      <c r="AB565" s="258"/>
      <c r="AC565" s="258"/>
      <c r="AD565" s="258"/>
      <c r="AE565" s="258"/>
      <c r="AF565" s="20"/>
      <c r="AG565" s="27"/>
      <c r="AH565" s="133">
        <v>40588</v>
      </c>
      <c r="AI565" s="10"/>
      <c r="AJ565" s="21"/>
      <c r="AL565" s="21"/>
      <c r="AM565" s="193"/>
      <c r="AN565" s="143"/>
      <c r="AO565" s="189"/>
      <c r="AP565" s="189"/>
    </row>
    <row r="566" spans="3:42" ht="17.25" customHeight="1">
      <c r="C566" s="8" t="s">
        <v>238</v>
      </c>
      <c r="D566" s="2"/>
      <c r="E566" s="20" t="s">
        <v>1864</v>
      </c>
      <c r="F566" s="21"/>
      <c r="H566" s="289">
        <f t="shared" si="40"/>
        <v>10000</v>
      </c>
      <c r="I566" s="87"/>
      <c r="J566" s="143"/>
      <c r="K566" s="143"/>
      <c r="L566" s="58"/>
      <c r="M566" s="58"/>
      <c r="N566" s="58">
        <v>10000</v>
      </c>
      <c r="O566" s="58"/>
      <c r="P566" s="143"/>
      <c r="Q566" s="143"/>
      <c r="R566" s="143"/>
      <c r="S566" s="143"/>
      <c r="T566" s="58"/>
      <c r="V566" s="258"/>
      <c r="W566" s="624"/>
      <c r="X566" s="624"/>
      <c r="Y566" s="258"/>
      <c r="Z566" s="58"/>
      <c r="AA566" s="336"/>
      <c r="AB566" s="258"/>
      <c r="AC566" s="258"/>
      <c r="AD566" s="258"/>
      <c r="AE566" s="258"/>
      <c r="AF566" s="20"/>
      <c r="AG566" s="267">
        <v>40086</v>
      </c>
      <c r="AH566" s="133">
        <v>40372</v>
      </c>
      <c r="AI566" s="10">
        <f t="shared" si="41"/>
        <v>10</v>
      </c>
      <c r="AJ566" s="21"/>
      <c r="AL566" s="21"/>
      <c r="AM566" s="193"/>
      <c r="AN566" s="143"/>
      <c r="AO566" s="189"/>
      <c r="AP566" s="189"/>
    </row>
    <row r="567" spans="3:42" ht="17.25" customHeight="1">
      <c r="C567" s="8" t="s">
        <v>238</v>
      </c>
      <c r="D567" s="2"/>
      <c r="E567" s="255" t="s">
        <v>1832</v>
      </c>
      <c r="F567" s="21"/>
      <c r="H567" s="289">
        <f t="shared" si="40"/>
        <v>2388.66</v>
      </c>
      <c r="I567" s="87"/>
      <c r="J567" s="143"/>
      <c r="K567" s="143"/>
      <c r="L567" s="58"/>
      <c r="M567" s="58"/>
      <c r="N567" s="58">
        <v>2388.66</v>
      </c>
      <c r="O567" s="58"/>
      <c r="P567" s="143"/>
      <c r="Q567" s="143"/>
      <c r="R567" s="143"/>
      <c r="S567" s="143"/>
      <c r="T567" s="58"/>
      <c r="V567" s="258"/>
      <c r="W567" s="624"/>
      <c r="X567" s="624"/>
      <c r="Y567" s="258"/>
      <c r="Z567" s="58"/>
      <c r="AA567" s="336"/>
      <c r="AB567" s="258"/>
      <c r="AC567" s="258"/>
      <c r="AD567" s="258"/>
      <c r="AE567" s="258"/>
      <c r="AF567" s="20"/>
      <c r="AG567" s="27"/>
      <c r="AH567" s="133">
        <v>40483</v>
      </c>
      <c r="AI567" s="10"/>
      <c r="AJ567" s="21"/>
      <c r="AL567" s="21"/>
      <c r="AM567" s="193"/>
      <c r="AN567" s="143"/>
      <c r="AO567" s="189"/>
      <c r="AP567" s="189"/>
    </row>
    <row r="568" spans="3:42" ht="17.25" customHeight="1">
      <c r="C568" s="8" t="s">
        <v>238</v>
      </c>
      <c r="D568" s="2"/>
      <c r="E568" s="20" t="s">
        <v>1865</v>
      </c>
      <c r="F568" s="21"/>
      <c r="H568" s="289">
        <f t="shared" si="40"/>
        <v>44329.59</v>
      </c>
      <c r="I568" s="87"/>
      <c r="J568" s="143"/>
      <c r="K568" s="143"/>
      <c r="L568" s="58"/>
      <c r="M568" s="58"/>
      <c r="N568" s="58">
        <v>44329.59</v>
      </c>
      <c r="O568" s="58"/>
      <c r="P568" s="143"/>
      <c r="Q568" s="143"/>
      <c r="R568" s="143"/>
      <c r="S568" s="143"/>
      <c r="T568" s="58"/>
      <c r="V568" s="258"/>
      <c r="W568" s="624"/>
      <c r="X568" s="624"/>
      <c r="Y568" s="258"/>
      <c r="Z568" s="58"/>
      <c r="AA568" s="336"/>
      <c r="AB568" s="258"/>
      <c r="AC568" s="258"/>
      <c r="AD568" s="258"/>
      <c r="AE568" s="258"/>
      <c r="AF568" s="20"/>
      <c r="AG568" s="27">
        <v>40630</v>
      </c>
      <c r="AH568" s="133">
        <v>40668</v>
      </c>
      <c r="AI568" s="10">
        <f t="shared" si="41"/>
        <v>2</v>
      </c>
      <c r="AJ568" s="21"/>
      <c r="AL568" s="21"/>
      <c r="AM568" s="193"/>
      <c r="AN568" s="143"/>
      <c r="AO568" s="189"/>
      <c r="AP568" s="189"/>
    </row>
    <row r="569" spans="3:42" ht="17.25" customHeight="1">
      <c r="C569" s="8" t="s">
        <v>238</v>
      </c>
      <c r="D569" s="2"/>
      <c r="E569" s="20" t="s">
        <v>1866</v>
      </c>
      <c r="F569" s="21"/>
      <c r="H569" s="289">
        <f t="shared" si="40"/>
        <v>29145.7</v>
      </c>
      <c r="I569" s="87"/>
      <c r="J569" s="143"/>
      <c r="K569" s="143"/>
      <c r="L569" s="58"/>
      <c r="M569" s="58"/>
      <c r="N569" s="58">
        <f>SUM(28666.25, 479.45)</f>
        <v>29145.7</v>
      </c>
      <c r="O569" s="58"/>
      <c r="P569" s="143"/>
      <c r="Q569" s="143"/>
      <c r="R569" s="143"/>
      <c r="S569" s="143"/>
      <c r="T569" s="58"/>
      <c r="V569" s="258"/>
      <c r="W569" s="624"/>
      <c r="X569" s="624"/>
      <c r="Y569" s="258"/>
      <c r="Z569" s="58"/>
      <c r="AA569" s="336"/>
      <c r="AB569" s="258"/>
      <c r="AC569" s="258"/>
      <c r="AD569" s="258"/>
      <c r="AE569" s="258"/>
      <c r="AF569" s="20"/>
      <c r="AG569" s="27"/>
      <c r="AH569" s="133">
        <v>40616</v>
      </c>
      <c r="AI569" s="10"/>
      <c r="AJ569" s="21"/>
      <c r="AL569" s="21"/>
      <c r="AM569" s="193"/>
      <c r="AN569" s="143"/>
      <c r="AO569" s="189"/>
      <c r="AP569" s="189"/>
    </row>
    <row r="570" spans="3:42" ht="17.25" customHeight="1">
      <c r="C570" s="8" t="s">
        <v>238</v>
      </c>
      <c r="D570" s="2"/>
      <c r="E570" s="20" t="s">
        <v>1867</v>
      </c>
      <c r="F570" s="21"/>
      <c r="H570" s="289">
        <f t="shared" si="40"/>
        <v>9924.92</v>
      </c>
      <c r="I570" s="87"/>
      <c r="J570" s="143"/>
      <c r="K570" s="143"/>
      <c r="L570" s="58">
        <f>SUM(446, 457.15, 2795.04)</f>
        <v>3698.19</v>
      </c>
      <c r="M570" s="58">
        <f>SUM(225.36, 37.56, 526, 5000)</f>
        <v>5788.92</v>
      </c>
      <c r="N570" s="58">
        <v>437.81</v>
      </c>
      <c r="O570" s="58"/>
      <c r="P570" s="143"/>
      <c r="Q570" s="143"/>
      <c r="R570" s="143"/>
      <c r="S570" s="143"/>
      <c r="T570" s="58"/>
      <c r="V570" s="258"/>
      <c r="W570" s="624"/>
      <c r="X570" s="624"/>
      <c r="Y570" s="258"/>
      <c r="Z570" s="58"/>
      <c r="AA570" s="336"/>
      <c r="AB570" s="258"/>
      <c r="AC570" s="258"/>
      <c r="AD570" s="258"/>
      <c r="AE570" s="258"/>
      <c r="AF570" s="20"/>
      <c r="AG570" s="27">
        <v>39889</v>
      </c>
      <c r="AH570" s="133">
        <v>40700</v>
      </c>
      <c r="AI570" s="10">
        <f t="shared" si="41"/>
        <v>27</v>
      </c>
      <c r="AJ570" s="21"/>
      <c r="AL570" s="21"/>
      <c r="AM570" s="193"/>
      <c r="AN570" s="143"/>
      <c r="AO570" s="189"/>
      <c r="AP570" s="189"/>
    </row>
    <row r="571" spans="3:42" ht="17.25" customHeight="1">
      <c r="C571" s="8" t="s">
        <v>238</v>
      </c>
      <c r="D571" s="2"/>
      <c r="E571" s="20" t="s">
        <v>1868</v>
      </c>
      <c r="F571" s="21"/>
      <c r="H571" s="289">
        <f t="shared" si="40"/>
        <v>27714.02</v>
      </c>
      <c r="I571" s="87"/>
      <c r="J571" s="143"/>
      <c r="K571" s="143"/>
      <c r="L571" s="58"/>
      <c r="M571" s="58"/>
      <c r="N571" s="58">
        <v>27714.02</v>
      </c>
      <c r="O571" s="58"/>
      <c r="P571" s="143"/>
      <c r="Q571" s="143"/>
      <c r="R571" s="143"/>
      <c r="S571" s="143"/>
      <c r="T571" s="58"/>
      <c r="V571" s="258"/>
      <c r="W571" s="624"/>
      <c r="X571" s="624"/>
      <c r="Y571" s="258"/>
      <c r="Z571" s="58"/>
      <c r="AA571" s="336"/>
      <c r="AB571" s="258"/>
      <c r="AC571" s="258"/>
      <c r="AD571" s="258"/>
      <c r="AE571" s="258"/>
      <c r="AF571" s="20"/>
      <c r="AG571" s="27">
        <v>40394</v>
      </c>
      <c r="AH571" s="133">
        <v>40396</v>
      </c>
      <c r="AI571" s="10">
        <f t="shared" si="41"/>
        <v>0</v>
      </c>
      <c r="AJ571" s="21"/>
      <c r="AL571" s="21"/>
      <c r="AM571" s="193"/>
      <c r="AN571" s="143"/>
      <c r="AO571" s="189"/>
      <c r="AP571" s="189"/>
    </row>
    <row r="572" spans="3:42" ht="17.25" customHeight="1">
      <c r="C572" s="8" t="s">
        <v>238</v>
      </c>
      <c r="D572" s="2"/>
      <c r="E572" s="255" t="s">
        <v>1869</v>
      </c>
      <c r="F572" s="21"/>
      <c r="H572" s="289">
        <f t="shared" si="40"/>
        <v>50207.66</v>
      </c>
      <c r="I572" s="87"/>
      <c r="J572" s="143"/>
      <c r="K572" s="143"/>
      <c r="L572" s="58"/>
      <c r="M572" s="58">
        <f>SUM(5135.97, 852.69)</f>
        <v>5988.66</v>
      </c>
      <c r="N572" s="58">
        <f>SUM(305.2, 21804.3, 305.2, 21804.3)</f>
        <v>44219</v>
      </c>
      <c r="O572" s="58"/>
      <c r="P572" s="143"/>
      <c r="Q572" s="143"/>
      <c r="R572" s="143"/>
      <c r="S572" s="143"/>
      <c r="T572" s="58"/>
      <c r="V572" s="258"/>
      <c r="W572" s="624"/>
      <c r="X572" s="624"/>
      <c r="Y572" s="258"/>
      <c r="Z572" s="58"/>
      <c r="AA572" s="336"/>
      <c r="AB572" s="258"/>
      <c r="AC572" s="258"/>
      <c r="AD572" s="258"/>
      <c r="AE572" s="258"/>
      <c r="AF572" s="20"/>
      <c r="AG572" s="27"/>
      <c r="AH572" s="133">
        <v>40543</v>
      </c>
      <c r="AI572" s="10"/>
      <c r="AJ572" s="21"/>
      <c r="AL572" s="21"/>
      <c r="AM572" s="193"/>
      <c r="AN572" s="143"/>
      <c r="AO572" s="189"/>
      <c r="AP572" s="189"/>
    </row>
    <row r="573" spans="3:42" ht="17.25" customHeight="1">
      <c r="C573" s="8" t="s">
        <v>238</v>
      </c>
      <c r="D573" s="2"/>
      <c r="E573" s="20" t="s">
        <v>1870</v>
      </c>
      <c r="F573" s="21"/>
      <c r="H573" s="289">
        <f t="shared" si="40"/>
        <v>53650.270000000004</v>
      </c>
      <c r="I573" s="87"/>
      <c r="J573" s="143"/>
      <c r="K573" s="143"/>
      <c r="L573" s="58"/>
      <c r="M573" s="58">
        <v>40000</v>
      </c>
      <c r="N573" s="58">
        <f>SUM(13000, 650.27)</f>
        <v>13650.27</v>
      </c>
      <c r="O573" s="58"/>
      <c r="P573" s="143"/>
      <c r="Q573" s="143"/>
      <c r="R573" s="143"/>
      <c r="S573" s="143"/>
      <c r="T573" s="58"/>
      <c r="V573" s="258"/>
      <c r="W573" s="624"/>
      <c r="X573" s="624"/>
      <c r="Y573" s="258"/>
      <c r="Z573" s="58"/>
      <c r="AA573" s="336"/>
      <c r="AB573" s="258"/>
      <c r="AC573" s="258"/>
      <c r="AD573" s="258"/>
      <c r="AE573" s="258"/>
      <c r="AF573" s="20"/>
      <c r="AG573" s="27">
        <v>39947</v>
      </c>
      <c r="AH573" s="133">
        <v>40444</v>
      </c>
      <c r="AI573" s="10">
        <f t="shared" si="41"/>
        <v>16</v>
      </c>
      <c r="AJ573" s="21"/>
      <c r="AL573" s="21"/>
      <c r="AM573" s="193"/>
      <c r="AN573" s="143"/>
      <c r="AO573" s="189"/>
      <c r="AP573" s="189"/>
    </row>
    <row r="574" spans="3:42" ht="17.25" customHeight="1">
      <c r="C574" s="8" t="s">
        <v>238</v>
      </c>
      <c r="D574" s="2"/>
      <c r="E574" s="20" t="s">
        <v>1871</v>
      </c>
      <c r="F574" s="21"/>
      <c r="H574" s="289">
        <f t="shared" si="40"/>
        <v>39.4</v>
      </c>
      <c r="I574" s="87"/>
      <c r="J574" s="143"/>
      <c r="K574" s="143"/>
      <c r="L574" s="58"/>
      <c r="M574" s="58"/>
      <c r="N574" s="58">
        <v>39.4</v>
      </c>
      <c r="O574" s="58"/>
      <c r="P574" s="143"/>
      <c r="Q574" s="143"/>
      <c r="R574" s="143"/>
      <c r="S574" s="143"/>
      <c r="T574" s="58"/>
      <c r="V574" s="258"/>
      <c r="W574" s="624"/>
      <c r="X574" s="624"/>
      <c r="Y574" s="258"/>
      <c r="Z574" s="58"/>
      <c r="AA574" s="336"/>
      <c r="AB574" s="258"/>
      <c r="AC574" s="258"/>
      <c r="AD574" s="258"/>
      <c r="AE574" s="258"/>
      <c r="AF574" s="20"/>
      <c r="AG574" s="27">
        <v>39891</v>
      </c>
      <c r="AH574" s="133">
        <v>40386</v>
      </c>
      <c r="AI574" s="10">
        <f t="shared" si="41"/>
        <v>16</v>
      </c>
      <c r="AJ574" s="21"/>
      <c r="AL574" s="21"/>
      <c r="AM574" s="193"/>
      <c r="AN574" s="143"/>
      <c r="AO574" s="189"/>
      <c r="AP574" s="189"/>
    </row>
    <row r="575" spans="3:42" ht="17.25" customHeight="1">
      <c r="C575" s="8" t="s">
        <v>238</v>
      </c>
      <c r="D575" s="2"/>
      <c r="E575" s="255" t="s">
        <v>1872</v>
      </c>
      <c r="F575" s="21"/>
      <c r="H575" s="289">
        <f t="shared" si="40"/>
        <v>2324</v>
      </c>
      <c r="I575" s="87"/>
      <c r="J575" s="143"/>
      <c r="K575" s="143"/>
      <c r="L575" s="58"/>
      <c r="M575" s="58"/>
      <c r="N575" s="58">
        <v>2324</v>
      </c>
      <c r="O575" s="58"/>
      <c r="P575" s="143"/>
      <c r="Q575" s="143"/>
      <c r="R575" s="143"/>
      <c r="S575" s="143"/>
      <c r="T575" s="58"/>
      <c r="V575" s="258"/>
      <c r="W575" s="624"/>
      <c r="X575" s="624"/>
      <c r="Y575" s="258"/>
      <c r="Z575" s="58"/>
      <c r="AA575" s="336"/>
      <c r="AB575" s="258"/>
      <c r="AC575" s="258"/>
      <c r="AD575" s="258"/>
      <c r="AE575" s="258"/>
      <c r="AF575" s="20"/>
      <c r="AG575" s="27"/>
      <c r="AH575" s="133">
        <v>40422</v>
      </c>
      <c r="AI575" s="10"/>
      <c r="AJ575" s="21"/>
      <c r="AL575" s="21"/>
      <c r="AM575" s="193"/>
      <c r="AN575" s="143"/>
      <c r="AO575" s="189"/>
      <c r="AP575" s="189"/>
    </row>
    <row r="576" spans="3:42" ht="17.25" customHeight="1">
      <c r="C576" s="8" t="s">
        <v>238</v>
      </c>
      <c r="D576" s="2"/>
      <c r="E576" s="255" t="s">
        <v>1771</v>
      </c>
      <c r="F576" s="21"/>
      <c r="H576" s="289">
        <f t="shared" si="40"/>
        <v>25000</v>
      </c>
      <c r="I576" s="87"/>
      <c r="J576" s="143"/>
      <c r="K576" s="143"/>
      <c r="L576" s="58"/>
      <c r="M576" s="58"/>
      <c r="N576" s="58">
        <v>25000</v>
      </c>
      <c r="O576" s="58"/>
      <c r="P576" s="143"/>
      <c r="Q576" s="143"/>
      <c r="R576" s="143"/>
      <c r="S576" s="143"/>
      <c r="T576" s="58"/>
      <c r="V576" s="258"/>
      <c r="W576" s="624"/>
      <c r="X576" s="624"/>
      <c r="Y576" s="258"/>
      <c r="Z576" s="58"/>
      <c r="AA576" s="336"/>
      <c r="AB576" s="258"/>
      <c r="AC576" s="258"/>
      <c r="AD576" s="258"/>
      <c r="AE576" s="258"/>
      <c r="AF576" s="20"/>
      <c r="AG576" s="27"/>
      <c r="AH576" s="133">
        <v>40484</v>
      </c>
      <c r="AI576" s="10"/>
      <c r="AJ576" s="21"/>
      <c r="AL576" s="21"/>
      <c r="AM576" s="193"/>
      <c r="AN576" s="143"/>
      <c r="AO576" s="189"/>
      <c r="AP576" s="189"/>
    </row>
    <row r="577" spans="3:42" ht="17.25" customHeight="1">
      <c r="C577" s="8" t="s">
        <v>238</v>
      </c>
      <c r="D577" s="2"/>
      <c r="E577" s="20" t="s">
        <v>1841</v>
      </c>
      <c r="F577" s="21"/>
      <c r="H577" s="289">
        <f t="shared" si="40"/>
        <v>13767.46</v>
      </c>
      <c r="I577" s="87"/>
      <c r="J577" s="143"/>
      <c r="K577" s="143"/>
      <c r="L577" s="58"/>
      <c r="M577" s="58"/>
      <c r="N577" s="58">
        <v>13767.46</v>
      </c>
      <c r="O577" s="58"/>
      <c r="P577" s="143"/>
      <c r="Q577" s="143"/>
      <c r="R577" s="143"/>
      <c r="S577" s="143"/>
      <c r="T577" s="58"/>
      <c r="V577" s="258"/>
      <c r="W577" s="624"/>
      <c r="X577" s="624"/>
      <c r="Y577" s="258"/>
      <c r="Z577" s="58"/>
      <c r="AA577" s="336"/>
      <c r="AB577" s="258"/>
      <c r="AC577" s="258"/>
      <c r="AD577" s="258"/>
      <c r="AE577" s="258"/>
      <c r="AF577" s="20"/>
      <c r="AG577" s="267">
        <v>39848</v>
      </c>
      <c r="AH577" s="133">
        <v>40401</v>
      </c>
      <c r="AI577" s="10">
        <f t="shared" si="41"/>
        <v>18</v>
      </c>
      <c r="AJ577" s="21"/>
      <c r="AL577" s="21"/>
      <c r="AM577" s="193"/>
      <c r="AN577" s="143"/>
      <c r="AO577" s="189"/>
      <c r="AP577" s="189"/>
    </row>
    <row r="578" spans="3:42" ht="17.25" customHeight="1">
      <c r="C578" s="8" t="s">
        <v>238</v>
      </c>
      <c r="D578" s="2"/>
      <c r="E578" s="20" t="s">
        <v>1873</v>
      </c>
      <c r="F578" s="21"/>
      <c r="H578" s="289">
        <f t="shared" si="40"/>
        <v>1000</v>
      </c>
      <c r="I578" s="87"/>
      <c r="J578" s="143"/>
      <c r="K578" s="143"/>
      <c r="L578" s="58"/>
      <c r="M578" s="58"/>
      <c r="N578" s="58">
        <v>1000</v>
      </c>
      <c r="O578" s="58"/>
      <c r="P578" s="143"/>
      <c r="Q578" s="143"/>
      <c r="R578" s="143"/>
      <c r="S578" s="143"/>
      <c r="T578" s="58"/>
      <c r="V578" s="258"/>
      <c r="W578" s="624"/>
      <c r="X578" s="624"/>
      <c r="Y578" s="258"/>
      <c r="Z578" s="58"/>
      <c r="AA578" s="336"/>
      <c r="AB578" s="258"/>
      <c r="AC578" s="258"/>
      <c r="AD578" s="258"/>
      <c r="AE578" s="258"/>
      <c r="AF578" s="20"/>
      <c r="AG578" s="27"/>
      <c r="AH578" s="133">
        <v>40555</v>
      </c>
      <c r="AI578" s="10"/>
      <c r="AJ578" s="21"/>
      <c r="AL578" s="21"/>
      <c r="AM578" s="193"/>
      <c r="AN578" s="143"/>
      <c r="AO578" s="189"/>
      <c r="AP578" s="189"/>
    </row>
    <row r="579" spans="3:42" ht="17.25" customHeight="1">
      <c r="C579" s="8" t="s">
        <v>238</v>
      </c>
      <c r="D579" s="2"/>
      <c r="E579" s="20" t="s">
        <v>1874</v>
      </c>
      <c r="F579" s="21"/>
      <c r="H579" s="289">
        <f t="shared" si="40"/>
        <v>440921.09</v>
      </c>
      <c r="I579" s="87"/>
      <c r="J579" s="143"/>
      <c r="K579" s="143"/>
      <c r="L579" s="58">
        <v>100000</v>
      </c>
      <c r="M579" s="58">
        <v>225000</v>
      </c>
      <c r="N579" s="58">
        <f>SUM(115488.32, 432.77)</f>
        <v>115921.09000000001</v>
      </c>
      <c r="O579" s="58"/>
      <c r="P579" s="143"/>
      <c r="Q579" s="143"/>
      <c r="R579" s="143"/>
      <c r="S579" s="143"/>
      <c r="T579" s="58"/>
      <c r="V579" s="258"/>
      <c r="W579" s="624"/>
      <c r="X579" s="624"/>
      <c r="Y579" s="258"/>
      <c r="Z579" s="58"/>
      <c r="AA579" s="336"/>
      <c r="AB579" s="258"/>
      <c r="AC579" s="258"/>
      <c r="AD579" s="258"/>
      <c r="AE579" s="258"/>
      <c r="AF579" s="20"/>
      <c r="AG579" s="27">
        <v>38992</v>
      </c>
      <c r="AH579" s="133">
        <v>40661</v>
      </c>
      <c r="AI579" s="10">
        <f t="shared" si="41"/>
        <v>54</v>
      </c>
      <c r="AJ579" s="21"/>
      <c r="AL579" s="21"/>
      <c r="AM579" s="193"/>
      <c r="AN579" s="143"/>
      <c r="AO579" s="189"/>
      <c r="AP579" s="189"/>
    </row>
    <row r="580" spans="3:42" ht="17.25" customHeight="1" thickBot="1">
      <c r="C580" s="97" t="s">
        <v>1875</v>
      </c>
      <c r="D580" s="97"/>
      <c r="E580" s="97"/>
      <c r="F580" s="98"/>
      <c r="G580" s="191"/>
      <c r="H580" s="191"/>
      <c r="I580" s="82"/>
      <c r="J580" s="191"/>
      <c r="K580" s="191"/>
      <c r="L580" s="191"/>
      <c r="M580" s="191"/>
      <c r="N580" s="191"/>
      <c r="O580" s="191"/>
      <c r="P580" s="191"/>
      <c r="Q580" s="191"/>
      <c r="R580" s="191"/>
      <c r="S580" s="191"/>
      <c r="T580" s="99"/>
      <c r="U580" s="99"/>
      <c r="V580" s="99"/>
      <c r="W580" s="98"/>
      <c r="X580" s="98"/>
      <c r="Y580" s="98"/>
      <c r="Z580" s="98"/>
      <c r="AA580" s="98"/>
      <c r="AB580" s="98"/>
      <c r="AC580" s="98"/>
      <c r="AD580" s="98"/>
      <c r="AE580" s="98"/>
      <c r="AF580" s="98"/>
      <c r="AG580" s="98"/>
      <c r="AH580" s="98"/>
      <c r="AI580" s="98"/>
      <c r="AJ580" s="98"/>
      <c r="AK580" s="98"/>
      <c r="AL580" s="98"/>
      <c r="AM580" s="82"/>
      <c r="AN580" s="98"/>
      <c r="AO580" s="98"/>
      <c r="AP580" s="98"/>
    </row>
    <row r="581" spans="3:42" ht="17.25" customHeight="1">
      <c r="C581" s="8" t="s">
        <v>238</v>
      </c>
      <c r="D581" s="2"/>
      <c r="E581" s="255" t="s">
        <v>1876</v>
      </c>
      <c r="F581" s="21"/>
      <c r="G581" s="281"/>
      <c r="H581" s="294">
        <f t="shared" si="40"/>
        <v>44194.62</v>
      </c>
      <c r="I581" s="286"/>
      <c r="J581" s="45"/>
      <c r="K581" s="58"/>
      <c r="L581" s="143"/>
      <c r="M581" s="58">
        <f>SUM(12658.69, 31535.93)</f>
        <v>44194.62</v>
      </c>
      <c r="N581" s="45"/>
      <c r="O581" s="58"/>
      <c r="P581" s="143"/>
      <c r="Q581" s="143"/>
      <c r="R581" s="143"/>
      <c r="T581" s="58"/>
      <c r="U581" s="258"/>
      <c r="V581" s="295"/>
      <c r="W581" s="624"/>
      <c r="X581" s="624"/>
      <c r="Y581" s="295"/>
      <c r="Z581" s="58"/>
      <c r="AA581" s="336"/>
      <c r="AB581" s="295"/>
      <c r="AC581" s="258"/>
      <c r="AD581" s="258"/>
      <c r="AE581" s="258"/>
      <c r="AF581" s="20"/>
      <c r="AG581" s="27"/>
      <c r="AH581" s="133">
        <v>40081</v>
      </c>
      <c r="AI581" s="10"/>
      <c r="AJ581" s="21"/>
      <c r="AL581" s="21"/>
      <c r="AM581" s="193"/>
      <c r="AN581" s="143"/>
      <c r="AO581" s="189"/>
      <c r="AP581" s="189"/>
    </row>
    <row r="582" spans="3:42" ht="17.25" customHeight="1">
      <c r="C582" s="8" t="s">
        <v>238</v>
      </c>
      <c r="D582" s="2"/>
      <c r="E582" s="20" t="s">
        <v>1877</v>
      </c>
      <c r="F582" s="21"/>
      <c r="G582" s="281"/>
      <c r="H582" s="289">
        <f t="shared" si="40"/>
        <v>3.47</v>
      </c>
      <c r="I582" s="286"/>
      <c r="J582" s="58"/>
      <c r="K582" s="58"/>
      <c r="L582" s="143"/>
      <c r="M582" s="58">
        <v>3.47</v>
      </c>
      <c r="O582" s="58"/>
      <c r="P582" s="143"/>
      <c r="Q582" s="143"/>
      <c r="R582" s="143"/>
      <c r="T582" s="58"/>
      <c r="U582" s="258"/>
      <c r="V582" s="258"/>
      <c r="W582" s="624"/>
      <c r="X582" s="624"/>
      <c r="Y582" s="258"/>
      <c r="Z582" s="58"/>
      <c r="AA582" s="336"/>
      <c r="AB582" s="258"/>
      <c r="AC582" s="258"/>
      <c r="AD582" s="258"/>
      <c r="AE582" s="258"/>
      <c r="AF582" s="20"/>
      <c r="AG582" s="27"/>
      <c r="AH582" s="133">
        <v>40008</v>
      </c>
      <c r="AI582" s="10"/>
      <c r="AJ582" s="21"/>
      <c r="AL582" s="21"/>
      <c r="AM582" s="193"/>
      <c r="AN582" s="143"/>
      <c r="AO582" s="189"/>
      <c r="AP582" s="189"/>
    </row>
    <row r="583" spans="3:42" ht="17.25" customHeight="1">
      <c r="C583" s="8" t="s">
        <v>238</v>
      </c>
      <c r="D583" s="2"/>
      <c r="E583" s="20" t="s">
        <v>1878</v>
      </c>
      <c r="F583" s="21"/>
      <c r="G583" s="281"/>
      <c r="H583" s="289">
        <f t="shared" si="40"/>
        <v>181645.37</v>
      </c>
      <c r="I583" s="286"/>
      <c r="J583" s="58"/>
      <c r="K583" s="58"/>
      <c r="L583" s="143"/>
      <c r="M583" s="58">
        <f>SUM(160000, 21645.37)</f>
        <v>181645.37</v>
      </c>
      <c r="N583" s="45"/>
      <c r="O583" s="58"/>
      <c r="P583" s="143"/>
      <c r="Q583" s="143"/>
      <c r="R583" s="143"/>
      <c r="T583" s="58"/>
      <c r="U583" s="258"/>
      <c r="V583" s="258"/>
      <c r="W583" s="624"/>
      <c r="X583" s="624"/>
      <c r="Y583" s="258"/>
      <c r="Z583" s="58"/>
      <c r="AA583" s="336"/>
      <c r="AB583" s="258"/>
      <c r="AC583" s="258"/>
      <c r="AD583" s="258"/>
      <c r="AE583" s="258"/>
      <c r="AF583" s="20"/>
      <c r="AG583" s="27">
        <v>40318</v>
      </c>
      <c r="AH583" s="133">
        <v>40325</v>
      </c>
      <c r="AI583" s="10">
        <f t="shared" si="41"/>
        <v>0</v>
      </c>
      <c r="AJ583" s="21"/>
      <c r="AL583" s="21"/>
      <c r="AM583" s="193"/>
      <c r="AN583" s="143"/>
      <c r="AO583" s="189"/>
      <c r="AP583" s="189"/>
    </row>
    <row r="584" spans="3:42" ht="17.25" customHeight="1">
      <c r="C584" s="8" t="s">
        <v>238</v>
      </c>
      <c r="D584" s="2"/>
      <c r="E584" s="20" t="s">
        <v>1879</v>
      </c>
      <c r="F584" s="21"/>
      <c r="H584" s="289">
        <f t="shared" si="40"/>
        <v>2719</v>
      </c>
      <c r="I584" s="286"/>
      <c r="J584" s="58"/>
      <c r="K584" s="58"/>
      <c r="L584" s="143"/>
      <c r="M584" s="58">
        <v>2719</v>
      </c>
      <c r="N584" s="58"/>
      <c r="O584" s="58"/>
      <c r="P584" s="143"/>
      <c r="Q584" s="143"/>
      <c r="R584" s="143"/>
      <c r="S584" s="143"/>
      <c r="T584" s="58"/>
      <c r="V584" s="258"/>
      <c r="W584" s="624"/>
      <c r="X584" s="624"/>
      <c r="Y584" s="258"/>
      <c r="Z584" s="58"/>
      <c r="AA584" s="336"/>
      <c r="AB584" s="258"/>
      <c r="AC584" s="258"/>
      <c r="AD584" s="258"/>
      <c r="AE584" s="258"/>
      <c r="AF584" s="20"/>
      <c r="AG584" s="27"/>
      <c r="AH584" s="279" t="s">
        <v>1880</v>
      </c>
      <c r="AI584" s="10"/>
      <c r="AJ584" s="21"/>
      <c r="AL584" s="21"/>
      <c r="AM584" s="193"/>
      <c r="AN584" s="143"/>
      <c r="AO584" s="189"/>
      <c r="AP584" s="189"/>
    </row>
    <row r="585" spans="3:42" ht="17.25" customHeight="1">
      <c r="C585" s="8" t="s">
        <v>238</v>
      </c>
      <c r="D585" s="2"/>
      <c r="E585" s="255" t="s">
        <v>1881</v>
      </c>
      <c r="F585" s="21"/>
      <c r="H585" s="289">
        <f t="shared" si="40"/>
        <v>1224.96</v>
      </c>
      <c r="I585" s="286"/>
      <c r="J585" s="58"/>
      <c r="K585" s="58"/>
      <c r="L585" s="143"/>
      <c r="M585" s="58">
        <v>1224.96</v>
      </c>
      <c r="N585" s="58"/>
      <c r="O585" s="58"/>
      <c r="P585" s="143"/>
      <c r="Q585" s="143"/>
      <c r="R585" s="143"/>
      <c r="S585" s="143"/>
      <c r="T585" s="58"/>
      <c r="V585" s="258"/>
      <c r="W585" s="624"/>
      <c r="X585" s="624"/>
      <c r="Y585" s="258"/>
      <c r="Z585" s="58"/>
      <c r="AA585" s="336"/>
      <c r="AB585" s="258"/>
      <c r="AC585" s="258"/>
      <c r="AD585" s="258"/>
      <c r="AE585" s="258"/>
      <c r="AF585" s="20"/>
      <c r="AG585" s="27"/>
      <c r="AH585" s="133">
        <v>40212</v>
      </c>
      <c r="AI585" s="10"/>
      <c r="AJ585" s="21"/>
      <c r="AL585" s="21"/>
      <c r="AM585" s="193"/>
      <c r="AN585" s="143"/>
      <c r="AO585" s="189"/>
      <c r="AP585" s="189"/>
    </row>
    <row r="586" spans="3:42" ht="17.25" customHeight="1">
      <c r="C586" s="8" t="s">
        <v>238</v>
      </c>
      <c r="D586" s="2"/>
      <c r="E586" s="255" t="s">
        <v>1882</v>
      </c>
      <c r="F586" s="21"/>
      <c r="H586" s="289">
        <f t="shared" si="40"/>
        <v>11500</v>
      </c>
      <c r="I586" s="286"/>
      <c r="J586" s="58"/>
      <c r="K586" s="58"/>
      <c r="L586" s="143"/>
      <c r="M586" s="58">
        <v>11500</v>
      </c>
      <c r="N586" s="58"/>
      <c r="O586" s="58"/>
      <c r="P586" s="143"/>
      <c r="Q586" s="143"/>
      <c r="R586" s="143"/>
      <c r="S586" s="143"/>
      <c r="T586" s="58"/>
      <c r="V586" s="258"/>
      <c r="W586" s="624"/>
      <c r="X586" s="624"/>
      <c r="Y586" s="258"/>
      <c r="Z586" s="58"/>
      <c r="AA586" s="336"/>
      <c r="AB586" s="258"/>
      <c r="AC586" s="258"/>
      <c r="AD586" s="258"/>
      <c r="AE586" s="258"/>
      <c r="AF586" s="20"/>
      <c r="AG586" s="27"/>
      <c r="AH586" s="133">
        <v>40311</v>
      </c>
      <c r="AI586" s="10"/>
      <c r="AJ586" s="21"/>
      <c r="AL586" s="21"/>
      <c r="AM586" s="193"/>
      <c r="AN586" s="143"/>
      <c r="AO586" s="189"/>
      <c r="AP586" s="189"/>
    </row>
    <row r="587" spans="3:42" ht="17.25" customHeight="1">
      <c r="C587" s="8" t="s">
        <v>238</v>
      </c>
      <c r="D587" s="2"/>
      <c r="E587" s="20" t="s">
        <v>1883</v>
      </c>
      <c r="F587" s="21"/>
      <c r="H587" s="289">
        <f t="shared" si="40"/>
        <v>19807.95</v>
      </c>
      <c r="I587" s="286"/>
      <c r="J587" s="58"/>
      <c r="K587" s="58"/>
      <c r="L587" s="58"/>
      <c r="M587" s="58">
        <v>19807.95</v>
      </c>
      <c r="N587" s="58"/>
      <c r="O587" s="58"/>
      <c r="P587" s="143"/>
      <c r="Q587" s="143"/>
      <c r="R587" s="143"/>
      <c r="S587" s="143"/>
      <c r="T587" s="58"/>
      <c r="V587" s="258"/>
      <c r="W587" s="624"/>
      <c r="X587" s="624"/>
      <c r="Y587" s="258"/>
      <c r="Z587" s="58"/>
      <c r="AA587" s="336"/>
      <c r="AB587" s="258"/>
      <c r="AC587" s="258"/>
      <c r="AD587" s="258"/>
      <c r="AE587" s="258"/>
      <c r="AF587" s="20"/>
      <c r="AG587" s="27">
        <v>40039</v>
      </c>
      <c r="AH587" s="133">
        <v>40088</v>
      </c>
      <c r="AI587" s="10">
        <f t="shared" si="41"/>
        <v>2</v>
      </c>
      <c r="AJ587" s="21"/>
      <c r="AL587" s="21"/>
      <c r="AM587" s="193"/>
      <c r="AN587" s="143"/>
      <c r="AO587" s="189"/>
      <c r="AP587" s="189"/>
    </row>
    <row r="588" spans="3:42" ht="17.25" customHeight="1">
      <c r="C588" s="8" t="s">
        <v>238</v>
      </c>
      <c r="D588" s="2"/>
      <c r="E588" s="20" t="s">
        <v>1884</v>
      </c>
      <c r="F588" s="21"/>
      <c r="H588" s="289">
        <f t="shared" si="40"/>
        <v>65950</v>
      </c>
      <c r="I588" s="286"/>
      <c r="J588" s="58"/>
      <c r="K588" s="58"/>
      <c r="L588" s="143"/>
      <c r="M588" s="58">
        <v>65950</v>
      </c>
      <c r="N588" s="58"/>
      <c r="O588" s="58"/>
      <c r="P588" s="143"/>
      <c r="Q588" s="143"/>
      <c r="R588" s="143"/>
      <c r="S588" s="143"/>
      <c r="T588" s="58"/>
      <c r="V588" s="258"/>
      <c r="W588" s="624"/>
      <c r="X588" s="624"/>
      <c r="Y588" s="258"/>
      <c r="Z588" s="58"/>
      <c r="AA588" s="336"/>
      <c r="AB588" s="258"/>
      <c r="AC588" s="258"/>
      <c r="AD588" s="258"/>
      <c r="AE588" s="258"/>
      <c r="AF588" s="20"/>
      <c r="AG588" s="27">
        <v>39923</v>
      </c>
      <c r="AH588" s="133">
        <v>40190</v>
      </c>
      <c r="AI588" s="10">
        <f t="shared" si="41"/>
        <v>9</v>
      </c>
      <c r="AJ588" s="21"/>
      <c r="AL588" s="21"/>
      <c r="AM588" s="193"/>
      <c r="AN588" s="143"/>
      <c r="AO588" s="189"/>
      <c r="AP588" s="189"/>
    </row>
    <row r="589" spans="3:42" ht="17.25" customHeight="1">
      <c r="C589" s="8" t="s">
        <v>238</v>
      </c>
      <c r="D589" s="2"/>
      <c r="E589" s="20" t="s">
        <v>1885</v>
      </c>
      <c r="F589" s="58"/>
      <c r="G589" s="45"/>
      <c r="H589" s="258">
        <f t="shared" si="40"/>
        <v>11261.94</v>
      </c>
      <c r="I589" s="286"/>
      <c r="J589" s="58"/>
      <c r="K589" s="58"/>
      <c r="L589" s="143"/>
      <c r="M589" s="58">
        <f>SUM(9814.02, 1447.92)</f>
        <v>11261.94</v>
      </c>
      <c r="N589" s="58"/>
      <c r="O589" s="58"/>
      <c r="P589" s="58"/>
      <c r="Q589" s="143"/>
      <c r="R589" s="143"/>
      <c r="S589" s="58"/>
      <c r="T589" s="58"/>
      <c r="U589" s="217"/>
      <c r="V589" s="258"/>
      <c r="W589" s="624"/>
      <c r="X589" s="624"/>
      <c r="Y589" s="258"/>
      <c r="Z589" s="58"/>
      <c r="AA589" s="336"/>
      <c r="AB589" s="258"/>
      <c r="AC589" s="258"/>
      <c r="AD589" s="258"/>
      <c r="AE589" s="258"/>
      <c r="AF589" s="20"/>
      <c r="AG589" s="267">
        <v>39475</v>
      </c>
      <c r="AH589" s="136">
        <v>40359</v>
      </c>
      <c r="AI589" s="10">
        <f t="shared" si="41"/>
        <v>29</v>
      </c>
      <c r="AJ589" s="21"/>
      <c r="AL589" s="21"/>
      <c r="AM589" s="193"/>
      <c r="AN589" s="143"/>
      <c r="AO589" s="189"/>
      <c r="AP589" s="189"/>
    </row>
    <row r="590" spans="3:42" ht="17.25" customHeight="1">
      <c r="C590" s="8" t="s">
        <v>238</v>
      </c>
      <c r="D590" s="2"/>
      <c r="E590" s="20" t="s">
        <v>1886</v>
      </c>
      <c r="F590" s="21"/>
      <c r="H590" s="289">
        <f t="shared" si="40"/>
        <v>25</v>
      </c>
      <c r="I590" s="286"/>
      <c r="J590" s="58"/>
      <c r="K590" s="58"/>
      <c r="L590" s="58"/>
      <c r="M590" s="58">
        <v>25</v>
      </c>
      <c r="N590" s="58"/>
      <c r="O590" s="58"/>
      <c r="P590" s="143"/>
      <c r="Q590" s="143"/>
      <c r="R590" s="143"/>
      <c r="S590" s="143"/>
      <c r="T590" s="58"/>
      <c r="V590" s="258"/>
      <c r="W590" s="624"/>
      <c r="X590" s="624"/>
      <c r="Y590" s="258"/>
      <c r="Z590" s="58"/>
      <c r="AA590" s="336"/>
      <c r="AB590" s="258"/>
      <c r="AC590" s="258"/>
      <c r="AD590" s="258"/>
      <c r="AE590" s="258"/>
      <c r="AF590" s="20"/>
      <c r="AG590" s="27"/>
      <c r="AH590" s="133">
        <v>40184</v>
      </c>
      <c r="AI590" s="10"/>
      <c r="AJ590" s="21"/>
      <c r="AL590" s="21"/>
      <c r="AM590" s="193"/>
      <c r="AN590" s="143"/>
      <c r="AO590" s="189"/>
      <c r="AP590" s="189"/>
    </row>
    <row r="591" spans="3:42" ht="17.25" customHeight="1">
      <c r="C591" s="8" t="s">
        <v>238</v>
      </c>
      <c r="D591" s="2"/>
      <c r="E591" s="255" t="s">
        <v>1887</v>
      </c>
      <c r="F591" s="21"/>
      <c r="H591" s="289">
        <f t="shared" si="40"/>
        <v>40</v>
      </c>
      <c r="I591" s="286"/>
      <c r="J591" s="58"/>
      <c r="K591" s="58"/>
      <c r="L591" s="143"/>
      <c r="M591" s="58">
        <v>40</v>
      </c>
      <c r="N591" s="58"/>
      <c r="O591" s="58"/>
      <c r="P591" s="143"/>
      <c r="Q591" s="143"/>
      <c r="R591" s="143"/>
      <c r="S591" s="143"/>
      <c r="T591" s="58"/>
      <c r="V591" s="258"/>
      <c r="W591" s="624"/>
      <c r="X591" s="624"/>
      <c r="Y591" s="258"/>
      <c r="Z591" s="58"/>
      <c r="AA591" s="336"/>
      <c r="AB591" s="258"/>
      <c r="AC591" s="258"/>
      <c r="AD591" s="258"/>
      <c r="AE591" s="258"/>
      <c r="AF591" s="20"/>
      <c r="AG591" s="27"/>
      <c r="AH591" s="27">
        <v>40141</v>
      </c>
      <c r="AI591" s="10"/>
      <c r="AJ591" s="21"/>
      <c r="AL591" s="21"/>
      <c r="AM591" s="193"/>
      <c r="AN591" s="143"/>
      <c r="AO591" s="189"/>
      <c r="AP591" s="189"/>
    </row>
    <row r="592" spans="3:42" ht="17.25" customHeight="1">
      <c r="C592" s="8" t="s">
        <v>238</v>
      </c>
      <c r="D592" s="2"/>
      <c r="E592" s="255" t="s">
        <v>1888</v>
      </c>
      <c r="F592" s="58"/>
      <c r="G592" s="253"/>
      <c r="H592" s="296">
        <f t="shared" si="40"/>
        <v>5000</v>
      </c>
      <c r="I592" s="286"/>
      <c r="J592" s="58"/>
      <c r="K592" s="58"/>
      <c r="L592" s="143"/>
      <c r="M592" s="58">
        <v>5000</v>
      </c>
      <c r="N592" s="58"/>
      <c r="O592" s="58"/>
      <c r="P592" s="58"/>
      <c r="Q592" s="143"/>
      <c r="R592" s="143"/>
      <c r="S592" s="58"/>
      <c r="T592" s="58"/>
      <c r="U592" s="217"/>
      <c r="V592" s="296"/>
      <c r="W592" s="705"/>
      <c r="X592" s="705"/>
      <c r="Y592" s="258"/>
      <c r="Z592" s="58"/>
      <c r="AA592" s="336"/>
      <c r="AB592" s="258"/>
      <c r="AC592" s="258"/>
      <c r="AD592" s="258"/>
      <c r="AE592" s="258"/>
      <c r="AF592" s="20"/>
      <c r="AG592" s="27"/>
      <c r="AH592" s="136">
        <v>40185</v>
      </c>
      <c r="AI592" s="10"/>
      <c r="AJ592" s="21"/>
      <c r="AL592" s="21"/>
      <c r="AM592" s="193"/>
      <c r="AN592" s="143"/>
      <c r="AO592" s="189"/>
      <c r="AP592" s="189"/>
    </row>
    <row r="593" spans="3:42" ht="17.25" customHeight="1">
      <c r="C593" s="8" t="s">
        <v>238</v>
      </c>
      <c r="D593" s="2"/>
      <c r="E593" s="255" t="s">
        <v>1889</v>
      </c>
      <c r="F593" s="21"/>
      <c r="H593" s="289">
        <f t="shared" si="40"/>
        <v>33700</v>
      </c>
      <c r="I593" s="286"/>
      <c r="J593" s="45"/>
      <c r="K593" s="58"/>
      <c r="L593" s="143"/>
      <c r="M593" s="58">
        <v>33700</v>
      </c>
      <c r="N593" s="58"/>
      <c r="O593" s="58"/>
      <c r="P593" s="143"/>
      <c r="Q593" s="143"/>
      <c r="R593" s="143"/>
      <c r="S593" s="143"/>
      <c r="T593" s="58"/>
      <c r="V593" s="258"/>
      <c r="W593" s="624"/>
      <c r="X593" s="624"/>
      <c r="Y593" s="258"/>
      <c r="Z593" s="58"/>
      <c r="AA593" s="336"/>
      <c r="AB593" s="258"/>
      <c r="AC593" s="258"/>
      <c r="AD593" s="258"/>
      <c r="AE593" s="258"/>
      <c r="AF593" s="20"/>
      <c r="AG593" s="27"/>
      <c r="AH593" s="133">
        <v>40287</v>
      </c>
      <c r="AI593" s="10"/>
      <c r="AJ593" s="21"/>
      <c r="AL593" s="21"/>
      <c r="AM593" s="193"/>
      <c r="AN593" s="143"/>
      <c r="AO593" s="189"/>
      <c r="AP593" s="189"/>
    </row>
    <row r="594" spans="3:42" ht="17.25" customHeight="1">
      <c r="C594" s="8" t="s">
        <v>238</v>
      </c>
      <c r="D594" s="2"/>
      <c r="E594" s="255" t="s">
        <v>1890</v>
      </c>
      <c r="F594" s="21"/>
      <c r="H594" s="289">
        <f t="shared" si="40"/>
        <v>1000</v>
      </c>
      <c r="I594" s="286"/>
      <c r="J594" s="58"/>
      <c r="K594" s="58"/>
      <c r="L594" s="143"/>
      <c r="M594" s="58">
        <v>1000</v>
      </c>
      <c r="N594" s="58"/>
      <c r="O594" s="58"/>
      <c r="P594" s="143"/>
      <c r="Q594" s="143"/>
      <c r="R594" s="143"/>
      <c r="S594" s="143"/>
      <c r="T594" s="58"/>
      <c r="V594" s="258"/>
      <c r="W594" s="624"/>
      <c r="X594" s="624"/>
      <c r="Y594" s="258"/>
      <c r="Z594" s="58"/>
      <c r="AA594" s="336"/>
      <c r="AB594" s="258"/>
      <c r="AC594" s="258"/>
      <c r="AD594" s="258"/>
      <c r="AE594" s="258"/>
      <c r="AF594" s="20"/>
      <c r="AG594" s="27"/>
      <c r="AH594" s="133">
        <v>40158</v>
      </c>
      <c r="AI594" s="10"/>
      <c r="AJ594" s="21"/>
      <c r="AL594" s="21"/>
      <c r="AM594" s="193"/>
      <c r="AN594" s="143"/>
      <c r="AO594" s="189"/>
      <c r="AP594" s="189"/>
    </row>
    <row r="595" spans="3:42" ht="17.25" customHeight="1">
      <c r="C595" s="8" t="s">
        <v>238</v>
      </c>
      <c r="D595" s="2"/>
      <c r="E595" s="20" t="s">
        <v>1891</v>
      </c>
      <c r="F595" s="21"/>
      <c r="H595" s="289">
        <f t="shared" si="40"/>
        <v>2884.08</v>
      </c>
      <c r="I595" s="286"/>
      <c r="J595" s="58"/>
      <c r="K595" s="58"/>
      <c r="L595" s="143"/>
      <c r="M595" s="58">
        <v>2884.08</v>
      </c>
      <c r="N595" s="58"/>
      <c r="O595" s="58"/>
      <c r="P595" s="143"/>
      <c r="Q595" s="143"/>
      <c r="R595" s="143"/>
      <c r="S595" s="143"/>
      <c r="T595" s="58"/>
      <c r="V595" s="258"/>
      <c r="W595" s="624"/>
      <c r="X595" s="624"/>
      <c r="Y595" s="258"/>
      <c r="Z595" s="58"/>
      <c r="AA595" s="336"/>
      <c r="AB595" s="258"/>
      <c r="AC595" s="258"/>
      <c r="AD595" s="258"/>
      <c r="AE595" s="258"/>
      <c r="AF595" s="20"/>
      <c r="AG595" s="27">
        <v>40123</v>
      </c>
      <c r="AH595" s="133">
        <v>40302</v>
      </c>
      <c r="AI595" s="10">
        <f t="shared" si="41"/>
        <v>6</v>
      </c>
      <c r="AJ595" s="21"/>
      <c r="AL595" s="21"/>
      <c r="AM595" s="193"/>
      <c r="AN595" s="143"/>
      <c r="AO595" s="189"/>
      <c r="AP595" s="189"/>
    </row>
    <row r="596" spans="3:42" ht="17.25" customHeight="1">
      <c r="C596" s="8" t="s">
        <v>238</v>
      </c>
      <c r="D596" s="2"/>
      <c r="E596" s="255" t="s">
        <v>1892</v>
      </c>
      <c r="F596" s="21"/>
      <c r="H596" s="289">
        <f t="shared" si="40"/>
        <v>8611.57</v>
      </c>
      <c r="I596" s="286"/>
      <c r="J596" s="58"/>
      <c r="K596" s="58"/>
      <c r="L596" s="143"/>
      <c r="M596" s="58">
        <v>8611.57</v>
      </c>
      <c r="N596" s="58"/>
      <c r="O596" s="58"/>
      <c r="P596" s="143"/>
      <c r="Q596" s="143"/>
      <c r="R596" s="143"/>
      <c r="S596" s="143"/>
      <c r="T596" s="58"/>
      <c r="V596" s="258"/>
      <c r="W596" s="624"/>
      <c r="X596" s="624"/>
      <c r="Y596" s="258"/>
      <c r="Z596" s="58"/>
      <c r="AA596" s="336"/>
      <c r="AB596" s="258"/>
      <c r="AC596" s="258"/>
      <c r="AD596" s="258"/>
      <c r="AE596" s="258"/>
      <c r="AF596" s="20"/>
      <c r="AG596" s="27"/>
      <c r="AH596" s="133">
        <v>40198</v>
      </c>
      <c r="AI596" s="10"/>
      <c r="AJ596" s="21"/>
      <c r="AL596" s="21"/>
      <c r="AM596" s="193"/>
      <c r="AN596" s="143"/>
      <c r="AO596" s="189"/>
      <c r="AP596" s="189"/>
    </row>
    <row r="597" spans="3:42" ht="17.25" customHeight="1">
      <c r="C597" s="8" t="s">
        <v>238</v>
      </c>
      <c r="D597" s="2"/>
      <c r="E597" s="20" t="s">
        <v>1893</v>
      </c>
      <c r="F597" s="21"/>
      <c r="H597" s="289">
        <f t="shared" si="40"/>
        <v>3063.3</v>
      </c>
      <c r="I597" s="286"/>
      <c r="J597" s="58"/>
      <c r="K597" s="58"/>
      <c r="L597" s="143"/>
      <c r="M597" s="58">
        <v>3063.3</v>
      </c>
      <c r="N597" s="58"/>
      <c r="O597" s="58"/>
      <c r="P597" s="143"/>
      <c r="Q597" s="143"/>
      <c r="R597" s="143"/>
      <c r="S597" s="143"/>
      <c r="T597" s="58"/>
      <c r="V597" s="258"/>
      <c r="W597" s="624"/>
      <c r="X597" s="624"/>
      <c r="Y597" s="258"/>
      <c r="Z597" s="58"/>
      <c r="AA597" s="336"/>
      <c r="AB597" s="258"/>
      <c r="AC597" s="258"/>
      <c r="AD597" s="258"/>
      <c r="AE597" s="258"/>
      <c r="AF597" s="20"/>
      <c r="AG597" s="267">
        <v>39742</v>
      </c>
      <c r="AH597" s="27">
        <v>40297</v>
      </c>
      <c r="AI597" s="10">
        <f t="shared" si="41"/>
        <v>18</v>
      </c>
      <c r="AJ597" s="21"/>
      <c r="AL597" s="21"/>
      <c r="AM597" s="193"/>
      <c r="AN597" s="143"/>
      <c r="AO597" s="189"/>
      <c r="AP597" s="189"/>
    </row>
    <row r="598" spans="3:42" ht="17.25" customHeight="1">
      <c r="C598" s="8" t="s">
        <v>238</v>
      </c>
      <c r="D598" s="2"/>
      <c r="E598" s="20" t="s">
        <v>1894</v>
      </c>
      <c r="F598" s="21"/>
      <c r="H598" s="289">
        <f t="shared" si="40"/>
        <v>28328.82</v>
      </c>
      <c r="I598" s="286"/>
      <c r="J598" s="58"/>
      <c r="K598" s="58"/>
      <c r="L598" s="143"/>
      <c r="M598" s="58">
        <f>SUM(28328.59, 0.23)</f>
        <v>28328.82</v>
      </c>
      <c r="N598" s="143"/>
      <c r="O598" s="58"/>
      <c r="P598" s="143"/>
      <c r="Q598" s="143"/>
      <c r="R598" s="143"/>
      <c r="S598" s="143"/>
      <c r="T598" s="58"/>
      <c r="V598" s="258"/>
      <c r="W598" s="624"/>
      <c r="X598" s="624"/>
      <c r="Y598" s="258"/>
      <c r="Z598" s="58"/>
      <c r="AA598" s="336"/>
      <c r="AB598" s="258"/>
      <c r="AC598" s="258"/>
      <c r="AD598" s="258"/>
      <c r="AE598" s="258"/>
      <c r="AF598" s="20"/>
      <c r="AG598" s="27">
        <v>39968</v>
      </c>
      <c r="AH598" s="133">
        <v>40001</v>
      </c>
      <c r="AI598" s="10">
        <f t="shared" si="41"/>
        <v>1</v>
      </c>
      <c r="AJ598" s="21"/>
      <c r="AL598" s="21"/>
      <c r="AM598" s="193"/>
      <c r="AN598" s="143"/>
      <c r="AO598" s="189"/>
      <c r="AP598" s="189"/>
    </row>
    <row r="599" spans="3:42" ht="17.25" customHeight="1">
      <c r="C599" s="8" t="s">
        <v>238</v>
      </c>
      <c r="D599" s="2"/>
      <c r="E599" s="20" t="s">
        <v>1895</v>
      </c>
      <c r="F599" s="21"/>
      <c r="H599" s="289">
        <f t="shared" si="40"/>
        <v>129889.1</v>
      </c>
      <c r="I599" s="286"/>
      <c r="J599" s="58"/>
      <c r="K599" s="58"/>
      <c r="L599" s="143"/>
      <c r="M599" s="58">
        <v>129889.1</v>
      </c>
      <c r="N599" s="58"/>
      <c r="O599" s="58"/>
      <c r="P599" s="143"/>
      <c r="Q599" s="143"/>
      <c r="R599" s="143"/>
      <c r="S599" s="143"/>
      <c r="T599" s="58"/>
      <c r="V599" s="258"/>
      <c r="W599" s="624"/>
      <c r="X599" s="624"/>
      <c r="Y599" s="258"/>
      <c r="Z599" s="58"/>
      <c r="AA599" s="336"/>
      <c r="AB599" s="258"/>
      <c r="AC599" s="258"/>
      <c r="AD599" s="258"/>
      <c r="AE599" s="258"/>
      <c r="AF599" s="20"/>
      <c r="AG599" s="27"/>
      <c r="AH599" s="133">
        <v>40212</v>
      </c>
      <c r="AI599" s="10"/>
      <c r="AJ599" s="21"/>
      <c r="AL599" s="21"/>
      <c r="AM599" s="193"/>
      <c r="AN599" s="143"/>
      <c r="AO599" s="189"/>
      <c r="AP599" s="189"/>
    </row>
    <row r="600" spans="3:42" ht="17.25" customHeight="1">
      <c r="C600" s="8" t="s">
        <v>238</v>
      </c>
      <c r="D600" s="2"/>
      <c r="E600" s="20" t="s">
        <v>1896</v>
      </c>
      <c r="F600" s="21"/>
      <c r="H600" s="289">
        <f t="shared" si="40"/>
        <v>25250</v>
      </c>
      <c r="I600" s="87"/>
      <c r="J600" s="143"/>
      <c r="K600" s="143"/>
      <c r="L600" s="58">
        <v>23437.5</v>
      </c>
      <c r="M600" s="58">
        <v>1812.5</v>
      </c>
      <c r="N600" s="58"/>
      <c r="O600" s="58"/>
      <c r="P600" s="143"/>
      <c r="Q600" s="143"/>
      <c r="R600" s="143"/>
      <c r="S600" s="143"/>
      <c r="T600" s="58"/>
      <c r="V600" s="258"/>
      <c r="W600" s="624"/>
      <c r="X600" s="624"/>
      <c r="Y600" s="258"/>
      <c r="Z600" s="58"/>
      <c r="AA600" s="336"/>
      <c r="AB600" s="258"/>
      <c r="AC600" s="258"/>
      <c r="AD600" s="258"/>
      <c r="AE600" s="258"/>
      <c r="AF600" s="20"/>
      <c r="AG600" s="279">
        <v>39988</v>
      </c>
      <c r="AH600" s="133">
        <v>40163</v>
      </c>
      <c r="AI600" s="10">
        <f t="shared" si="41"/>
        <v>6</v>
      </c>
      <c r="AJ600" s="21"/>
      <c r="AL600" s="21"/>
      <c r="AM600" s="193"/>
      <c r="AN600" s="143"/>
      <c r="AO600" s="189"/>
      <c r="AP600" s="189"/>
    </row>
    <row r="601" spans="3:42" ht="17.25" customHeight="1">
      <c r="C601" s="8" t="s">
        <v>238</v>
      </c>
      <c r="D601" s="2"/>
      <c r="E601" s="20" t="s">
        <v>1897</v>
      </c>
      <c r="F601" s="21"/>
      <c r="H601" s="289">
        <f t="shared" si="40"/>
        <v>15214.96</v>
      </c>
      <c r="I601" s="87"/>
      <c r="J601" s="143"/>
      <c r="K601" s="58"/>
      <c r="L601" s="58"/>
      <c r="M601" s="58">
        <f>SUM(5000, 214.96, 10000)</f>
        <v>15214.96</v>
      </c>
      <c r="N601" s="58"/>
      <c r="O601" s="58"/>
      <c r="P601" s="143"/>
      <c r="Q601" s="143"/>
      <c r="R601" s="143"/>
      <c r="S601" s="143"/>
      <c r="T601" s="58"/>
      <c r="V601" s="258"/>
      <c r="W601" s="624"/>
      <c r="X601" s="624"/>
      <c r="Y601" s="258"/>
      <c r="Z601" s="58"/>
      <c r="AA601" s="336"/>
      <c r="AB601" s="258"/>
      <c r="AC601" s="258"/>
      <c r="AD601" s="258"/>
      <c r="AE601" s="258"/>
      <c r="AF601" s="20"/>
      <c r="AG601" s="27">
        <v>39780</v>
      </c>
      <c r="AH601" s="133">
        <v>39854</v>
      </c>
      <c r="AI601" s="10">
        <f t="shared" si="41"/>
        <v>3</v>
      </c>
      <c r="AJ601" s="21"/>
      <c r="AL601" s="21"/>
      <c r="AM601" s="193"/>
      <c r="AN601" s="143"/>
      <c r="AO601" s="189"/>
      <c r="AP601" s="189"/>
    </row>
    <row r="602" spans="3:42" ht="17.25" customHeight="1">
      <c r="C602" s="8" t="s">
        <v>238</v>
      </c>
      <c r="D602" s="2"/>
      <c r="E602" s="20" t="s">
        <v>1898</v>
      </c>
      <c r="F602" s="21"/>
      <c r="H602" s="289">
        <f t="shared" si="40"/>
        <v>14633.45</v>
      </c>
      <c r="I602" s="87"/>
      <c r="J602" s="143"/>
      <c r="K602" s="143"/>
      <c r="L602" s="58"/>
      <c r="M602" s="58">
        <f>SUM(13411.01, 1222.44)</f>
        <v>14633.45</v>
      </c>
      <c r="N602" s="58"/>
      <c r="O602" s="58"/>
      <c r="P602" s="143"/>
      <c r="Q602" s="143"/>
      <c r="R602" s="143"/>
      <c r="S602" s="143"/>
      <c r="T602" s="58"/>
      <c r="V602" s="258"/>
      <c r="W602" s="624"/>
      <c r="X602" s="624"/>
      <c r="Y602" s="258"/>
      <c r="Z602" s="58"/>
      <c r="AA602" s="336"/>
      <c r="AB602" s="258"/>
      <c r="AC602" s="258"/>
      <c r="AD602" s="258"/>
      <c r="AE602" s="258"/>
      <c r="AF602" s="20"/>
      <c r="AG602" s="27">
        <v>39848</v>
      </c>
      <c r="AH602" s="133">
        <v>40066</v>
      </c>
      <c r="AI602" s="10">
        <f t="shared" si="41"/>
        <v>7</v>
      </c>
      <c r="AJ602" s="21"/>
      <c r="AL602" s="21"/>
      <c r="AM602" s="193"/>
      <c r="AN602" s="143"/>
      <c r="AO602" s="189"/>
      <c r="AP602" s="189"/>
    </row>
    <row r="603" spans="3:42" ht="17.25" customHeight="1">
      <c r="C603" s="8" t="s">
        <v>238</v>
      </c>
      <c r="D603" s="2"/>
      <c r="E603" s="20" t="s">
        <v>1899</v>
      </c>
      <c r="F603" s="21"/>
      <c r="H603" s="289">
        <f t="shared" si="40"/>
        <v>1157.6500000000001</v>
      </c>
      <c r="I603" s="87"/>
      <c r="J603" s="143"/>
      <c r="K603" s="58"/>
      <c r="L603" s="58"/>
      <c r="M603" s="58">
        <v>1157.6500000000001</v>
      </c>
      <c r="N603" s="58"/>
      <c r="O603" s="58"/>
      <c r="P603" s="143"/>
      <c r="Q603" s="143"/>
      <c r="R603" s="143"/>
      <c r="S603" s="143"/>
      <c r="T603" s="58"/>
      <c r="V603" s="258"/>
      <c r="W603" s="624"/>
      <c r="X603" s="624"/>
      <c r="Y603" s="258"/>
      <c r="Z603" s="58"/>
      <c r="AA603" s="336"/>
      <c r="AB603" s="258"/>
      <c r="AC603" s="258"/>
      <c r="AD603" s="258"/>
      <c r="AE603" s="258"/>
      <c r="AF603" s="20"/>
      <c r="AG603" s="27">
        <v>39412</v>
      </c>
      <c r="AH603" s="133">
        <v>40071</v>
      </c>
      <c r="AI603" s="10">
        <f t="shared" si="41"/>
        <v>22</v>
      </c>
      <c r="AJ603" s="21"/>
      <c r="AL603" s="21"/>
      <c r="AM603" s="193"/>
      <c r="AN603" s="143"/>
      <c r="AO603" s="189"/>
      <c r="AP603" s="189"/>
    </row>
    <row r="604" spans="3:42" ht="17.25" customHeight="1">
      <c r="C604" s="8" t="s">
        <v>238</v>
      </c>
      <c r="D604" s="2"/>
      <c r="E604" s="20" t="s">
        <v>1900</v>
      </c>
      <c r="F604" s="21"/>
      <c r="H604" s="289">
        <f t="shared" si="40"/>
        <v>20000</v>
      </c>
      <c r="I604" s="87"/>
      <c r="J604" s="143"/>
      <c r="K604" s="58"/>
      <c r="L604" s="58"/>
      <c r="M604" s="58">
        <v>20000</v>
      </c>
      <c r="N604" s="143"/>
      <c r="O604" s="58"/>
      <c r="P604" s="143"/>
      <c r="Q604" s="143"/>
      <c r="R604" s="143"/>
      <c r="S604" s="143"/>
      <c r="T604" s="58"/>
      <c r="V604" s="258"/>
      <c r="W604" s="624"/>
      <c r="X604" s="624"/>
      <c r="Y604" s="258"/>
      <c r="Z604" s="58"/>
      <c r="AA604" s="336"/>
      <c r="AB604" s="258"/>
      <c r="AC604" s="258"/>
      <c r="AD604" s="258"/>
      <c r="AE604" s="258"/>
      <c r="AF604" s="20"/>
      <c r="AG604" s="267">
        <v>39997</v>
      </c>
      <c r="AH604" s="133">
        <v>40001</v>
      </c>
      <c r="AI604" s="10">
        <f t="shared" si="41"/>
        <v>0</v>
      </c>
      <c r="AJ604" s="21"/>
      <c r="AL604" s="21"/>
      <c r="AM604" s="193"/>
      <c r="AN604" s="143"/>
      <c r="AO604" s="189"/>
      <c r="AP604" s="189"/>
    </row>
    <row r="605" spans="3:42" ht="17.25" customHeight="1" thickBot="1">
      <c r="C605" s="97" t="s">
        <v>1901</v>
      </c>
      <c r="D605" s="97"/>
      <c r="E605" s="97"/>
      <c r="F605" s="98"/>
      <c r="G605" s="191"/>
      <c r="H605" s="191"/>
      <c r="I605" s="82"/>
      <c r="J605" s="191"/>
      <c r="K605" s="191"/>
      <c r="L605" s="191"/>
      <c r="M605" s="191"/>
      <c r="N605" s="191"/>
      <c r="O605" s="191"/>
      <c r="P605" s="191"/>
      <c r="Q605" s="191"/>
      <c r="R605" s="191"/>
      <c r="S605" s="191"/>
      <c r="T605" s="99"/>
      <c r="U605" s="99"/>
      <c r="V605" s="99"/>
      <c r="W605" s="98"/>
      <c r="X605" s="98"/>
      <c r="Y605" s="98"/>
      <c r="Z605" s="98"/>
      <c r="AA605" s="98"/>
      <c r="AB605" s="98"/>
      <c r="AC605" s="98"/>
      <c r="AD605" s="98"/>
      <c r="AE605" s="98"/>
      <c r="AF605" s="98"/>
      <c r="AG605" s="98"/>
      <c r="AH605" s="98"/>
      <c r="AI605" s="98"/>
      <c r="AJ605" s="98"/>
      <c r="AK605" s="98"/>
      <c r="AL605" s="98"/>
      <c r="AM605" s="82"/>
      <c r="AN605" s="98"/>
      <c r="AO605" s="98"/>
      <c r="AP605" s="98"/>
    </row>
    <row r="606" spans="3:42" ht="17.25" customHeight="1">
      <c r="C606" s="8" t="s">
        <v>238</v>
      </c>
      <c r="D606" s="2"/>
      <c r="E606" s="20" t="s">
        <v>1902</v>
      </c>
      <c r="F606" s="21"/>
      <c r="G606" s="281"/>
      <c r="H606" s="294">
        <f t="shared" si="40"/>
        <v>500</v>
      </c>
      <c r="I606" s="286"/>
      <c r="J606" s="58"/>
      <c r="K606" s="58"/>
      <c r="L606" s="58">
        <v>500</v>
      </c>
      <c r="M606" s="58"/>
      <c r="N606" s="45"/>
      <c r="O606" s="58"/>
      <c r="P606" s="143"/>
      <c r="Q606" s="143"/>
      <c r="R606" s="143"/>
      <c r="T606" s="58"/>
      <c r="U606" s="258"/>
      <c r="V606" s="295"/>
      <c r="W606" s="624"/>
      <c r="X606" s="624"/>
      <c r="Y606" s="295"/>
      <c r="Z606" s="58"/>
      <c r="AA606" s="336"/>
      <c r="AB606" s="295"/>
      <c r="AC606" s="258"/>
      <c r="AD606" s="258"/>
      <c r="AE606" s="258"/>
      <c r="AF606" s="20"/>
      <c r="AG606" s="27"/>
      <c r="AH606" s="133">
        <v>39813</v>
      </c>
      <c r="AI606" s="10"/>
      <c r="AJ606" s="21"/>
      <c r="AL606" s="21"/>
      <c r="AM606" s="193"/>
      <c r="AN606" s="143"/>
      <c r="AO606" s="189"/>
      <c r="AP606" s="189"/>
    </row>
    <row r="607" spans="3:42" ht="17.25" customHeight="1">
      <c r="C607" s="8" t="s">
        <v>238</v>
      </c>
      <c r="D607" s="2"/>
      <c r="E607" s="20" t="s">
        <v>1903</v>
      </c>
      <c r="F607" s="21"/>
      <c r="G607" s="281"/>
      <c r="H607" s="289">
        <f t="shared" si="40"/>
        <v>1.26</v>
      </c>
      <c r="I607" s="286"/>
      <c r="J607" s="58"/>
      <c r="K607" s="58"/>
      <c r="L607" s="58">
        <v>1.26</v>
      </c>
      <c r="M607" s="58"/>
      <c r="N607" s="45"/>
      <c r="O607" s="58"/>
      <c r="P607" s="143"/>
      <c r="Q607" s="143"/>
      <c r="R607" s="143"/>
      <c r="T607" s="58"/>
      <c r="U607" s="258"/>
      <c r="V607" s="258"/>
      <c r="W607" s="624"/>
      <c r="X607" s="624"/>
      <c r="Y607" s="258"/>
      <c r="Z607" s="58"/>
      <c r="AA607" s="336"/>
      <c r="AB607" s="258"/>
      <c r="AC607" s="258"/>
      <c r="AD607" s="258"/>
      <c r="AE607" s="258"/>
      <c r="AF607" s="20"/>
      <c r="AG607" s="27"/>
      <c r="AH607" s="133">
        <v>39925</v>
      </c>
      <c r="AI607" s="10"/>
      <c r="AJ607" s="21"/>
      <c r="AL607" s="21"/>
      <c r="AM607" s="193"/>
      <c r="AN607" s="143"/>
      <c r="AO607" s="189"/>
      <c r="AP607" s="189"/>
    </row>
    <row r="608" spans="3:42" ht="17.25" customHeight="1">
      <c r="C608" s="8" t="s">
        <v>238</v>
      </c>
      <c r="D608" s="2"/>
      <c r="E608" s="20" t="s">
        <v>1904</v>
      </c>
      <c r="F608" s="21"/>
      <c r="G608" s="281"/>
      <c r="H608" s="289">
        <f t="shared" si="40"/>
        <v>29730.94</v>
      </c>
      <c r="I608" s="286">
        <v>24995.43</v>
      </c>
      <c r="J608" s="58">
        <v>167.1</v>
      </c>
      <c r="K608" s="58">
        <f>SUM(4540.4, 14.74)</f>
        <v>4555.1399999999994</v>
      </c>
      <c r="L608" s="58">
        <v>13.27</v>
      </c>
      <c r="M608" s="58"/>
      <c r="N608" s="45"/>
      <c r="O608" s="58"/>
      <c r="P608" s="143"/>
      <c r="Q608" s="143"/>
      <c r="R608" s="143"/>
      <c r="T608" s="58"/>
      <c r="U608" s="258"/>
      <c r="V608" s="258"/>
      <c r="W608" s="624"/>
      <c r="X608" s="624"/>
      <c r="Y608" s="258"/>
      <c r="Z608" s="58"/>
      <c r="AA608" s="336"/>
      <c r="AB608" s="258"/>
      <c r="AC608" s="258"/>
      <c r="AD608" s="258"/>
      <c r="AE608" s="258"/>
      <c r="AF608" s="20"/>
      <c r="AG608" s="27"/>
      <c r="AH608" s="136">
        <v>39773</v>
      </c>
      <c r="AI608" s="10"/>
      <c r="AJ608" s="21"/>
      <c r="AL608" s="21"/>
      <c r="AM608" s="193"/>
      <c r="AN608" s="143"/>
      <c r="AO608" s="189"/>
      <c r="AP608" s="189"/>
    </row>
    <row r="609" spans="3:42" ht="17.25" customHeight="1">
      <c r="C609" s="8" t="s">
        <v>238</v>
      </c>
      <c r="D609" s="2"/>
      <c r="E609" s="255" t="s">
        <v>1905</v>
      </c>
      <c r="F609" s="21"/>
      <c r="H609" s="289">
        <f t="shared" si="40"/>
        <v>6150.8700000000026</v>
      </c>
      <c r="I609" s="286">
        <f>SUM(128.18, 128.18, 128.18, 128.18, 128.18, 128.18, 128.18, 128.18, 128.18, 128.18, 128.18, 128.18)</f>
        <v>1538.1600000000005</v>
      </c>
      <c r="J609" s="58">
        <f>SUM(128.18, 128.18, 128.18, 128.18, 128.18, 128.18, 128.18, 128.18, 128.18, 128.18, 128.18, 128.18)</f>
        <v>1538.1600000000005</v>
      </c>
      <c r="K609" s="58">
        <f>SUM(128.18, 128.18, 128.18, 128.18, 128.18, 128.18, 128.18, 128.18, 128.18, 128.18, 128.18, 128.18, 128.18)</f>
        <v>1666.3400000000006</v>
      </c>
      <c r="L609" s="58">
        <f>SUM(128.18, 128.18, 128.18, 128.18, 128.18, 128.18, 128.18, 128.18, 128.18, 128.18, 126.41)</f>
        <v>1408.2100000000005</v>
      </c>
      <c r="M609" s="58"/>
      <c r="N609" s="58"/>
      <c r="O609" s="58"/>
      <c r="P609" s="143"/>
      <c r="Q609" s="143"/>
      <c r="R609" s="143"/>
      <c r="S609" s="143"/>
      <c r="T609" s="58"/>
      <c r="V609" s="258"/>
      <c r="W609" s="624"/>
      <c r="X609" s="624"/>
      <c r="Y609" s="258"/>
      <c r="Z609" s="58"/>
      <c r="AA609" s="336"/>
      <c r="AB609" s="258"/>
      <c r="AC609" s="258"/>
      <c r="AD609" s="258"/>
      <c r="AE609" s="258"/>
      <c r="AF609" s="20"/>
      <c r="AG609" s="27"/>
      <c r="AH609" s="27">
        <v>39994</v>
      </c>
      <c r="AI609" s="10"/>
      <c r="AJ609" s="21"/>
      <c r="AL609" s="21"/>
      <c r="AM609" s="193"/>
      <c r="AN609" s="143"/>
      <c r="AO609" s="189"/>
      <c r="AP609" s="189"/>
    </row>
    <row r="610" spans="3:42" ht="17.25" customHeight="1">
      <c r="C610" s="8" t="s">
        <v>238</v>
      </c>
      <c r="D610" s="2"/>
      <c r="E610" s="20" t="s">
        <v>1906</v>
      </c>
      <c r="F610" s="21"/>
      <c r="H610" s="289">
        <f t="shared" si="40"/>
        <v>676.57</v>
      </c>
      <c r="I610" s="87"/>
      <c r="J610" s="58"/>
      <c r="K610" s="58"/>
      <c r="L610" s="58">
        <v>676.57</v>
      </c>
      <c r="M610" s="58"/>
      <c r="N610" s="58"/>
      <c r="O610" s="58"/>
      <c r="P610" s="143"/>
      <c r="Q610" s="143"/>
      <c r="R610" s="143"/>
      <c r="S610" s="143"/>
      <c r="T610" s="58"/>
      <c r="V610" s="258"/>
      <c r="W610" s="624"/>
      <c r="X610" s="624"/>
      <c r="Y610" s="258"/>
      <c r="Z610" s="58"/>
      <c r="AA610" s="336"/>
      <c r="AB610" s="258"/>
      <c r="AC610" s="258"/>
      <c r="AD610" s="258"/>
      <c r="AE610" s="258"/>
      <c r="AF610" s="20"/>
      <c r="AG610" s="27"/>
      <c r="AH610" s="133">
        <v>39770</v>
      </c>
      <c r="AI610" s="10"/>
      <c r="AJ610" s="21"/>
      <c r="AL610" s="21"/>
      <c r="AM610" s="193"/>
      <c r="AN610" s="143"/>
      <c r="AO610" s="189"/>
      <c r="AP610" s="189"/>
    </row>
    <row r="611" spans="3:42" ht="17.25" customHeight="1">
      <c r="C611" s="8" t="s">
        <v>238</v>
      </c>
      <c r="D611" s="2"/>
      <c r="E611" s="20" t="s">
        <v>1907</v>
      </c>
      <c r="F611" s="21"/>
      <c r="H611" s="289">
        <f t="shared" si="40"/>
        <v>2948.05</v>
      </c>
      <c r="I611" s="87"/>
      <c r="J611" s="58"/>
      <c r="K611" s="58"/>
      <c r="L611" s="58">
        <v>2948.05</v>
      </c>
      <c r="M611" s="58"/>
      <c r="N611" s="58"/>
      <c r="O611" s="58"/>
      <c r="P611" s="143"/>
      <c r="Q611" s="143"/>
      <c r="R611" s="143"/>
      <c r="S611" s="143"/>
      <c r="T611" s="58"/>
      <c r="V611" s="258"/>
      <c r="W611" s="624"/>
      <c r="X611" s="624"/>
      <c r="Y611" s="258"/>
      <c r="Z611" s="58"/>
      <c r="AA611" s="336"/>
      <c r="AB611" s="258"/>
      <c r="AC611" s="258"/>
      <c r="AD611" s="258"/>
      <c r="AE611" s="258"/>
      <c r="AF611" s="20"/>
      <c r="AG611" s="27"/>
      <c r="AH611" s="133">
        <v>39708</v>
      </c>
      <c r="AI611" s="10"/>
      <c r="AJ611" s="21"/>
      <c r="AL611" s="21"/>
      <c r="AM611" s="193"/>
      <c r="AN611" s="143"/>
      <c r="AO611" s="189"/>
      <c r="AP611" s="189"/>
    </row>
    <row r="612" spans="3:42" ht="17.25" customHeight="1">
      <c r="C612" s="8" t="s">
        <v>238</v>
      </c>
      <c r="D612" s="2"/>
      <c r="E612" s="20" t="s">
        <v>1908</v>
      </c>
      <c r="F612" s="21"/>
      <c r="H612" s="289">
        <f t="shared" si="40"/>
        <v>100</v>
      </c>
      <c r="I612" s="87"/>
      <c r="J612" s="58"/>
      <c r="K612" s="58"/>
      <c r="L612" s="58">
        <v>100</v>
      </c>
      <c r="M612" s="58"/>
      <c r="N612" s="58"/>
      <c r="O612" s="58"/>
      <c r="P612" s="143"/>
      <c r="Q612" s="143"/>
      <c r="R612" s="143"/>
      <c r="S612" s="143"/>
      <c r="T612" s="58"/>
      <c r="V612" s="258"/>
      <c r="W612" s="624"/>
      <c r="X612" s="624"/>
      <c r="Y612" s="258"/>
      <c r="Z612" s="58"/>
      <c r="AA612" s="336"/>
      <c r="AB612" s="258"/>
      <c r="AC612" s="258"/>
      <c r="AD612" s="258"/>
      <c r="AE612" s="258"/>
      <c r="AF612" s="20"/>
      <c r="AG612" s="27"/>
      <c r="AH612" s="133">
        <v>39813</v>
      </c>
      <c r="AI612" s="10"/>
      <c r="AJ612" s="21"/>
      <c r="AL612" s="21"/>
      <c r="AM612" s="193"/>
      <c r="AN612" s="143"/>
      <c r="AO612" s="189"/>
      <c r="AP612" s="189"/>
    </row>
    <row r="613" spans="3:42" ht="17.25" customHeight="1">
      <c r="C613" s="8" t="s">
        <v>238</v>
      </c>
      <c r="D613" s="2"/>
      <c r="E613" s="255" t="s">
        <v>1909</v>
      </c>
      <c r="F613" s="58"/>
      <c r="G613" s="45"/>
      <c r="H613" s="258">
        <f t="shared" si="40"/>
        <v>31.05</v>
      </c>
      <c r="I613" s="228"/>
      <c r="J613" s="58"/>
      <c r="K613" s="58"/>
      <c r="L613" s="58">
        <v>31.05</v>
      </c>
      <c r="M613" s="58"/>
      <c r="N613" s="58"/>
      <c r="O613" s="58"/>
      <c r="P613" s="58"/>
      <c r="Q613" s="143"/>
      <c r="R613" s="143"/>
      <c r="S613" s="58"/>
      <c r="T613" s="58"/>
      <c r="U613" s="217"/>
      <c r="V613" s="258"/>
      <c r="W613" s="624"/>
      <c r="X613" s="624"/>
      <c r="Y613" s="258"/>
      <c r="Z613" s="58"/>
      <c r="AA613" s="336"/>
      <c r="AB613" s="258"/>
      <c r="AC613" s="258"/>
      <c r="AD613" s="258"/>
      <c r="AE613" s="258"/>
      <c r="AF613" s="20"/>
      <c r="AG613" s="258"/>
      <c r="AH613" s="136">
        <v>39691</v>
      </c>
      <c r="AI613" s="10"/>
      <c r="AJ613" s="21"/>
      <c r="AL613" s="21"/>
      <c r="AM613" s="193"/>
      <c r="AN613" s="143"/>
      <c r="AO613" s="189"/>
      <c r="AP613" s="189"/>
    </row>
    <row r="614" spans="3:42" ht="17.25" customHeight="1">
      <c r="C614" s="8" t="s">
        <v>238</v>
      </c>
      <c r="D614" s="2"/>
      <c r="E614" s="20" t="s">
        <v>1910</v>
      </c>
      <c r="F614" s="21"/>
      <c r="H614" s="289">
        <f t="shared" si="40"/>
        <v>94.52000000000001</v>
      </c>
      <c r="I614" s="87"/>
      <c r="J614" s="58">
        <v>55.13</v>
      </c>
      <c r="K614" s="58"/>
      <c r="L614" s="58">
        <v>39.39</v>
      </c>
      <c r="M614" s="58"/>
      <c r="N614" s="58"/>
      <c r="O614" s="58"/>
      <c r="P614" s="143"/>
      <c r="Q614" s="143"/>
      <c r="R614" s="143"/>
      <c r="S614" s="143"/>
      <c r="T614" s="58"/>
      <c r="V614" s="258"/>
      <c r="W614" s="624"/>
      <c r="X614" s="624"/>
      <c r="Y614" s="258"/>
      <c r="Z614" s="58"/>
      <c r="AA614" s="336"/>
      <c r="AB614" s="258"/>
      <c r="AC614" s="258"/>
      <c r="AD614" s="258"/>
      <c r="AE614" s="258"/>
      <c r="AF614" s="20"/>
      <c r="AG614" s="27"/>
      <c r="AH614" s="133">
        <v>39937</v>
      </c>
      <c r="AI614" s="10"/>
      <c r="AJ614" s="21"/>
      <c r="AL614" s="21"/>
      <c r="AM614" s="193"/>
      <c r="AN614" s="143"/>
      <c r="AO614" s="189"/>
      <c r="AP614" s="189"/>
    </row>
    <row r="615" spans="3:42" ht="17.25" customHeight="1">
      <c r="C615" s="8" t="s">
        <v>238</v>
      </c>
      <c r="D615" s="2"/>
      <c r="E615" s="20" t="s">
        <v>1911</v>
      </c>
      <c r="F615" s="21"/>
      <c r="H615" s="289">
        <f t="shared" si="40"/>
        <v>136109.95000000001</v>
      </c>
      <c r="I615" s="87"/>
      <c r="J615" s="58"/>
      <c r="K615" s="58">
        <f>SUM(1917.33, 10726.24, 8330.95, 4228.61, 71609.12, 8506.78, 17922.57)</f>
        <v>123241.60000000001</v>
      </c>
      <c r="L615" s="58">
        <v>12868.35</v>
      </c>
      <c r="M615" s="58"/>
      <c r="N615" s="58"/>
      <c r="O615" s="58"/>
      <c r="P615" s="143"/>
      <c r="Q615" s="143"/>
      <c r="R615" s="143"/>
      <c r="S615" s="143"/>
      <c r="T615" s="58"/>
      <c r="V615" s="258"/>
      <c r="W615" s="624"/>
      <c r="X615" s="624"/>
      <c r="Y615" s="258"/>
      <c r="Z615" s="58"/>
      <c r="AA615" s="336"/>
      <c r="AB615" s="258"/>
      <c r="AC615" s="258"/>
      <c r="AD615" s="258"/>
      <c r="AE615" s="258"/>
      <c r="AF615" s="20"/>
      <c r="AG615" s="27"/>
      <c r="AH615" s="9">
        <v>39773</v>
      </c>
      <c r="AI615" s="10"/>
      <c r="AJ615" s="21"/>
      <c r="AL615" s="21"/>
      <c r="AM615" s="193"/>
      <c r="AN615" s="143"/>
      <c r="AO615" s="189"/>
      <c r="AP615" s="189"/>
    </row>
    <row r="616" spans="3:42" ht="17.25" customHeight="1">
      <c r="C616" s="8" t="s">
        <v>238</v>
      </c>
      <c r="D616" s="2"/>
      <c r="E616" s="20" t="s">
        <v>1912</v>
      </c>
      <c r="F616" s="21"/>
      <c r="H616" s="289">
        <f t="shared" si="40"/>
        <v>4686.17</v>
      </c>
      <c r="I616" s="87"/>
      <c r="J616" s="58"/>
      <c r="K616" s="58"/>
      <c r="L616" s="58">
        <v>4686.17</v>
      </c>
      <c r="M616" s="58"/>
      <c r="N616" s="58"/>
      <c r="O616" s="58"/>
      <c r="P616" s="143"/>
      <c r="Q616" s="143"/>
      <c r="R616" s="143"/>
      <c r="S616" s="143"/>
      <c r="T616" s="58"/>
      <c r="V616" s="258"/>
      <c r="W616" s="624"/>
      <c r="X616" s="624"/>
      <c r="Y616" s="258"/>
      <c r="Z616" s="58"/>
      <c r="AA616" s="336"/>
      <c r="AB616" s="258"/>
      <c r="AC616" s="258"/>
      <c r="AD616" s="258"/>
      <c r="AE616" s="258"/>
      <c r="AF616" s="20"/>
      <c r="AG616" s="258"/>
      <c r="AH616" s="27">
        <v>39813</v>
      </c>
      <c r="AI616" s="10"/>
      <c r="AJ616" s="21"/>
      <c r="AL616" s="21"/>
      <c r="AM616" s="193"/>
      <c r="AN616" s="143"/>
      <c r="AO616" s="189"/>
      <c r="AP616" s="189"/>
    </row>
    <row r="617" spans="3:42" ht="17.25" customHeight="1">
      <c r="C617" s="8" t="s">
        <v>238</v>
      </c>
      <c r="D617" s="2"/>
      <c r="E617" s="20" t="s">
        <v>1913</v>
      </c>
      <c r="F617" s="21"/>
      <c r="H617" s="289">
        <f t="shared" si="40"/>
        <v>1000</v>
      </c>
      <c r="I617" s="87"/>
      <c r="J617" s="58"/>
      <c r="K617" s="58"/>
      <c r="L617" s="58">
        <v>1000</v>
      </c>
      <c r="M617" s="58"/>
      <c r="N617" s="143"/>
      <c r="O617" s="58"/>
      <c r="P617" s="143"/>
      <c r="Q617" s="143"/>
      <c r="R617" s="143"/>
      <c r="S617" s="143"/>
      <c r="T617" s="58"/>
      <c r="V617" s="258"/>
      <c r="W617" s="624"/>
      <c r="X617" s="624"/>
      <c r="Y617" s="258"/>
      <c r="Z617" s="58"/>
      <c r="AA617" s="336"/>
      <c r="AB617" s="258"/>
      <c r="AC617" s="258"/>
      <c r="AD617" s="258"/>
      <c r="AE617" s="258"/>
      <c r="AF617" s="20"/>
      <c r="AG617" s="27"/>
      <c r="AH617" s="133">
        <v>39658</v>
      </c>
      <c r="AI617" s="10"/>
      <c r="AJ617" s="21"/>
      <c r="AL617" s="21"/>
      <c r="AM617" s="193"/>
      <c r="AN617" s="143"/>
      <c r="AO617" s="189"/>
      <c r="AP617" s="189"/>
    </row>
    <row r="618" spans="3:42" ht="17.25" customHeight="1">
      <c r="C618" s="8" t="s">
        <v>238</v>
      </c>
      <c r="D618" s="2"/>
      <c r="E618" s="20" t="s">
        <v>1914</v>
      </c>
      <c r="F618" s="21"/>
      <c r="H618" s="289">
        <f t="shared" ref="H618:H681" si="42">SUM(I618:U618)</f>
        <v>3000</v>
      </c>
      <c r="I618" s="87"/>
      <c r="J618" s="58">
        <v>1000</v>
      </c>
      <c r="K618" s="58">
        <v>1000</v>
      </c>
      <c r="L618" s="58">
        <v>1000</v>
      </c>
      <c r="M618" s="58"/>
      <c r="N618" s="58"/>
      <c r="O618" s="58"/>
      <c r="P618" s="143"/>
      <c r="Q618" s="143"/>
      <c r="R618" s="143"/>
      <c r="S618" s="143"/>
      <c r="T618" s="58"/>
      <c r="V618" s="258"/>
      <c r="W618" s="624"/>
      <c r="X618" s="624"/>
      <c r="Y618" s="258"/>
      <c r="Z618" s="58"/>
      <c r="AA618" s="336"/>
      <c r="AB618" s="258"/>
      <c r="AC618" s="258"/>
      <c r="AD618" s="258"/>
      <c r="AE618" s="258"/>
      <c r="AF618" s="20"/>
      <c r="AG618" s="27"/>
      <c r="AH618" s="133">
        <v>39836</v>
      </c>
      <c r="AI618" s="10"/>
      <c r="AJ618" s="21"/>
      <c r="AL618" s="21"/>
      <c r="AM618" s="193"/>
      <c r="AN618" s="143"/>
      <c r="AO618" s="189"/>
      <c r="AP618" s="189"/>
    </row>
    <row r="619" spans="3:42" ht="17.25" customHeight="1">
      <c r="C619" s="8" t="s">
        <v>238</v>
      </c>
      <c r="D619" s="2"/>
      <c r="E619" s="20" t="s">
        <v>1915</v>
      </c>
      <c r="F619" s="21"/>
      <c r="H619" s="289">
        <f t="shared" si="42"/>
        <v>16214.44</v>
      </c>
      <c r="I619" s="87"/>
      <c r="J619" s="58"/>
      <c r="K619" s="58"/>
      <c r="L619" s="58">
        <f>SUM(8107.22, 8107.22)</f>
        <v>16214.44</v>
      </c>
      <c r="M619" s="58"/>
      <c r="N619" s="58"/>
      <c r="O619" s="58"/>
      <c r="P619" s="143"/>
      <c r="Q619" s="143"/>
      <c r="R619" s="143"/>
      <c r="S619" s="143"/>
      <c r="T619" s="58"/>
      <c r="V619" s="258"/>
      <c r="W619" s="624"/>
      <c r="X619" s="624"/>
      <c r="Y619" s="258"/>
      <c r="Z619" s="58"/>
      <c r="AA619" s="336"/>
      <c r="AB619" s="258"/>
      <c r="AC619" s="258"/>
      <c r="AD619" s="258"/>
      <c r="AE619" s="258"/>
      <c r="AF619" s="20"/>
      <c r="AG619" s="27"/>
      <c r="AH619" s="133">
        <v>39862</v>
      </c>
      <c r="AI619" s="10"/>
      <c r="AJ619" s="21"/>
      <c r="AL619" s="21"/>
      <c r="AM619" s="193"/>
      <c r="AN619" s="143"/>
      <c r="AO619" s="189"/>
      <c r="AP619" s="189"/>
    </row>
    <row r="620" spans="3:42" ht="17.25" customHeight="1">
      <c r="C620" s="8" t="s">
        <v>238</v>
      </c>
      <c r="D620" s="2"/>
      <c r="E620" s="20" t="s">
        <v>1916</v>
      </c>
      <c r="F620" s="21"/>
      <c r="H620" s="289">
        <f t="shared" si="42"/>
        <v>2735.0899999999997</v>
      </c>
      <c r="I620" s="87"/>
      <c r="J620" s="58"/>
      <c r="K620" s="58"/>
      <c r="L620" s="58">
        <f>SUM(2733.95, 1.14)</f>
        <v>2735.0899999999997</v>
      </c>
      <c r="M620" s="58"/>
      <c r="N620" s="58"/>
      <c r="O620" s="58"/>
      <c r="P620" s="143"/>
      <c r="Q620" s="143"/>
      <c r="R620" s="143"/>
      <c r="S620" s="143"/>
      <c r="T620" s="58"/>
      <c r="V620" s="258"/>
      <c r="W620" s="624"/>
      <c r="X620" s="624"/>
      <c r="Y620" s="258"/>
      <c r="Z620" s="58"/>
      <c r="AA620" s="336"/>
      <c r="AB620" s="258"/>
      <c r="AC620" s="258"/>
      <c r="AD620" s="258"/>
      <c r="AE620" s="258"/>
      <c r="AF620" s="20"/>
      <c r="AG620" s="27"/>
      <c r="AH620" s="136">
        <v>39672</v>
      </c>
      <c r="AI620" s="10"/>
      <c r="AJ620" s="21"/>
      <c r="AL620" s="21"/>
      <c r="AM620" s="193"/>
      <c r="AN620" s="143"/>
      <c r="AO620" s="189"/>
      <c r="AP620" s="189"/>
    </row>
    <row r="621" spans="3:42" ht="17.25" customHeight="1">
      <c r="C621" s="8" t="s">
        <v>238</v>
      </c>
      <c r="D621" s="2"/>
      <c r="E621" s="20" t="s">
        <v>1917</v>
      </c>
      <c r="F621" s="21"/>
      <c r="H621" s="289">
        <f t="shared" si="42"/>
        <v>4000</v>
      </c>
      <c r="I621" s="87"/>
      <c r="J621" s="58"/>
      <c r="K621" s="58">
        <v>2000</v>
      </c>
      <c r="L621" s="58">
        <v>2000</v>
      </c>
      <c r="M621" s="58"/>
      <c r="N621" s="58"/>
      <c r="O621" s="58"/>
      <c r="P621" s="143"/>
      <c r="Q621" s="143"/>
      <c r="R621" s="143"/>
      <c r="S621" s="143"/>
      <c r="T621" s="58"/>
      <c r="V621" s="258"/>
      <c r="W621" s="624"/>
      <c r="X621" s="624"/>
      <c r="Y621" s="258"/>
      <c r="Z621" s="58"/>
      <c r="AA621" s="336"/>
      <c r="AB621" s="258"/>
      <c r="AC621" s="258"/>
      <c r="AD621" s="258"/>
      <c r="AE621" s="258"/>
      <c r="AF621" s="20"/>
      <c r="AG621" s="27"/>
      <c r="AH621" s="27">
        <v>39926</v>
      </c>
      <c r="AI621" s="10"/>
      <c r="AJ621" s="21"/>
      <c r="AL621" s="21"/>
      <c r="AM621" s="193"/>
      <c r="AN621" s="143"/>
      <c r="AO621" s="189"/>
      <c r="AP621" s="189"/>
    </row>
    <row r="622" spans="3:42" ht="17.25" customHeight="1">
      <c r="C622" s="8" t="s">
        <v>238</v>
      </c>
      <c r="D622" s="2"/>
      <c r="E622" s="20" t="s">
        <v>1918</v>
      </c>
      <c r="F622" s="21"/>
      <c r="H622" s="289">
        <f t="shared" si="42"/>
        <v>87.7</v>
      </c>
      <c r="I622" s="87"/>
      <c r="J622" s="58"/>
      <c r="K622" s="58"/>
      <c r="L622" s="58">
        <f>SUM(33.36, 24.75, 29.59)</f>
        <v>87.7</v>
      </c>
      <c r="M622" s="58"/>
      <c r="N622" s="58"/>
      <c r="O622" s="58"/>
      <c r="P622" s="143"/>
      <c r="Q622" s="143"/>
      <c r="R622" s="143"/>
      <c r="S622" s="143"/>
      <c r="T622" s="58"/>
      <c r="V622" s="258"/>
      <c r="W622" s="624"/>
      <c r="X622" s="624"/>
      <c r="Y622" s="258"/>
      <c r="Z622" s="58"/>
      <c r="AA622" s="336"/>
      <c r="AB622" s="258"/>
      <c r="AC622" s="258"/>
      <c r="AD622" s="258"/>
      <c r="AE622" s="258"/>
      <c r="AF622" s="20"/>
      <c r="AG622" s="27"/>
      <c r="AH622" s="133">
        <v>39842</v>
      </c>
      <c r="AI622" s="10"/>
      <c r="AJ622" s="21"/>
      <c r="AL622" s="21"/>
      <c r="AM622" s="193"/>
      <c r="AN622" s="143"/>
      <c r="AO622" s="189"/>
      <c r="AP622" s="189"/>
    </row>
    <row r="623" spans="3:42" ht="17.25" customHeight="1">
      <c r="C623" s="8" t="s">
        <v>238</v>
      </c>
      <c r="D623" s="2"/>
      <c r="E623" s="20" t="s">
        <v>1919</v>
      </c>
      <c r="F623" s="21"/>
      <c r="H623" s="289">
        <f t="shared" si="42"/>
        <v>5052.7699999999995</v>
      </c>
      <c r="I623" s="87"/>
      <c r="J623" s="58">
        <v>1818.18</v>
      </c>
      <c r="K623" s="58"/>
      <c r="L623" s="58">
        <f>SUM(3218.68, 15.91)</f>
        <v>3234.5899999999997</v>
      </c>
      <c r="M623" s="58"/>
      <c r="N623" s="58"/>
      <c r="O623" s="58"/>
      <c r="P623" s="143"/>
      <c r="Q623" s="143"/>
      <c r="R623" s="143"/>
      <c r="S623" s="143"/>
      <c r="T623" s="58"/>
      <c r="V623" s="258"/>
      <c r="W623" s="624"/>
      <c r="X623" s="624"/>
      <c r="Y623" s="258"/>
      <c r="Z623" s="58"/>
      <c r="AA623" s="336"/>
      <c r="AB623" s="258"/>
      <c r="AC623" s="258"/>
      <c r="AD623" s="258"/>
      <c r="AE623" s="258"/>
      <c r="AF623" s="20"/>
      <c r="AG623" s="27"/>
      <c r="AH623" s="133">
        <v>39854</v>
      </c>
      <c r="AI623" s="10"/>
      <c r="AJ623" s="21"/>
      <c r="AL623" s="21"/>
      <c r="AM623" s="193"/>
      <c r="AN623" s="143"/>
      <c r="AO623" s="189"/>
      <c r="AP623" s="189"/>
    </row>
    <row r="624" spans="3:42" ht="17.25" customHeight="1">
      <c r="C624" s="8" t="s">
        <v>238</v>
      </c>
      <c r="D624" s="2"/>
      <c r="E624" s="255" t="s">
        <v>1920</v>
      </c>
      <c r="F624" s="21"/>
      <c r="H624" s="289">
        <f t="shared" si="42"/>
        <v>366.32000000000005</v>
      </c>
      <c r="I624" s="87"/>
      <c r="J624" s="58">
        <v>76.98</v>
      </c>
      <c r="K624" s="58">
        <f>SUM(68.42, 65.52, 68.28, 55.07)</f>
        <v>257.29000000000002</v>
      </c>
      <c r="L624" s="58">
        <v>32.049999999999997</v>
      </c>
      <c r="M624" s="58"/>
      <c r="N624" s="143"/>
      <c r="O624" s="58"/>
      <c r="P624" s="143"/>
      <c r="Q624" s="143"/>
      <c r="R624" s="143"/>
      <c r="S624" s="143"/>
      <c r="T624" s="58"/>
      <c r="V624" s="258"/>
      <c r="W624" s="624"/>
      <c r="X624" s="624"/>
      <c r="Y624" s="258"/>
      <c r="Z624" s="58"/>
      <c r="AA624" s="336"/>
      <c r="AB624" s="258"/>
      <c r="AC624" s="258"/>
      <c r="AD624" s="258"/>
      <c r="AE624" s="258"/>
      <c r="AF624" s="20"/>
      <c r="AG624" s="27"/>
      <c r="AH624" s="133">
        <v>39637</v>
      </c>
      <c r="AI624" s="10"/>
      <c r="AJ624" s="21"/>
      <c r="AL624" s="21"/>
      <c r="AM624" s="193"/>
      <c r="AN624" s="143"/>
      <c r="AO624" s="189"/>
      <c r="AP624" s="189"/>
    </row>
    <row r="625" spans="3:42" ht="17.25" customHeight="1">
      <c r="C625" s="8" t="s">
        <v>238</v>
      </c>
      <c r="D625" s="2"/>
      <c r="E625" s="20" t="s">
        <v>1921</v>
      </c>
      <c r="F625" s="21"/>
      <c r="H625" s="289">
        <f t="shared" si="42"/>
        <v>460.76</v>
      </c>
      <c r="I625" s="87"/>
      <c r="J625" s="58"/>
      <c r="K625" s="58">
        <v>175</v>
      </c>
      <c r="L625" s="58">
        <v>285.76</v>
      </c>
      <c r="M625" s="58"/>
      <c r="N625" s="58"/>
      <c r="O625" s="58"/>
      <c r="P625" s="143"/>
      <c r="Q625" s="143"/>
      <c r="R625" s="143"/>
      <c r="S625" s="143"/>
      <c r="T625" s="58"/>
      <c r="V625" s="258"/>
      <c r="W625" s="624"/>
      <c r="X625" s="624"/>
      <c r="Y625" s="258"/>
      <c r="Z625" s="58"/>
      <c r="AA625" s="336"/>
      <c r="AB625" s="258"/>
      <c r="AC625" s="258"/>
      <c r="AD625" s="258"/>
      <c r="AE625" s="258"/>
      <c r="AF625" s="20"/>
      <c r="AG625" s="27"/>
      <c r="AH625" s="133">
        <v>39994</v>
      </c>
      <c r="AI625" s="10"/>
      <c r="AJ625" s="21"/>
      <c r="AL625" s="21"/>
      <c r="AM625" s="193"/>
      <c r="AN625" s="143"/>
      <c r="AO625" s="189"/>
      <c r="AP625" s="189"/>
    </row>
    <row r="626" spans="3:42" ht="17.25" customHeight="1">
      <c r="C626" s="8" t="s">
        <v>238</v>
      </c>
      <c r="D626" s="2"/>
      <c r="E626" s="20" t="s">
        <v>1922</v>
      </c>
      <c r="F626" s="21"/>
      <c r="H626" s="289">
        <f t="shared" si="42"/>
        <v>34.43</v>
      </c>
      <c r="I626" s="87"/>
      <c r="J626" s="58"/>
      <c r="K626" s="58"/>
      <c r="L626" s="58">
        <v>34.43</v>
      </c>
      <c r="M626" s="58"/>
      <c r="N626" s="58"/>
      <c r="O626" s="58"/>
      <c r="P626" s="143"/>
      <c r="Q626" s="143"/>
      <c r="R626" s="143"/>
      <c r="S626" s="143"/>
      <c r="T626" s="58"/>
      <c r="V626" s="258"/>
      <c r="W626" s="624"/>
      <c r="X626" s="624"/>
      <c r="Y626" s="258"/>
      <c r="Z626" s="58"/>
      <c r="AA626" s="336"/>
      <c r="AB626" s="258"/>
      <c r="AC626" s="258"/>
      <c r="AD626" s="258"/>
      <c r="AE626" s="258"/>
      <c r="AF626" s="20"/>
      <c r="AG626" s="27"/>
      <c r="AH626" s="133">
        <v>39666</v>
      </c>
      <c r="AI626" s="10"/>
      <c r="AJ626" s="21"/>
      <c r="AL626" s="21"/>
      <c r="AM626" s="193"/>
      <c r="AN626" s="143"/>
      <c r="AO626" s="189"/>
      <c r="AP626" s="189"/>
    </row>
    <row r="627" spans="3:42" ht="17.25" customHeight="1">
      <c r="C627" s="8" t="s">
        <v>238</v>
      </c>
      <c r="D627" s="2"/>
      <c r="E627" s="20" t="s">
        <v>1923</v>
      </c>
      <c r="F627" s="21"/>
      <c r="H627" s="289">
        <f t="shared" si="42"/>
        <v>1053.77</v>
      </c>
      <c r="I627" s="87"/>
      <c r="J627" s="143"/>
      <c r="K627" s="58">
        <f>SUM(375, 425)</f>
        <v>800</v>
      </c>
      <c r="L627" s="58">
        <v>253.77</v>
      </c>
      <c r="M627" s="58"/>
      <c r="N627" s="58"/>
      <c r="O627" s="58"/>
      <c r="P627" s="143"/>
      <c r="Q627" s="143"/>
      <c r="R627" s="143"/>
      <c r="S627" s="143"/>
      <c r="T627" s="58"/>
      <c r="V627" s="258"/>
      <c r="W627" s="624"/>
      <c r="X627" s="624"/>
      <c r="Y627" s="258"/>
      <c r="Z627" s="58"/>
      <c r="AA627" s="336"/>
      <c r="AB627" s="258"/>
      <c r="AC627" s="258"/>
      <c r="AD627" s="258"/>
      <c r="AE627" s="258"/>
      <c r="AF627" s="20"/>
      <c r="AG627" s="27"/>
      <c r="AH627" s="133">
        <v>39794</v>
      </c>
      <c r="AI627" s="10"/>
      <c r="AJ627" s="21"/>
      <c r="AL627" s="21"/>
      <c r="AM627" s="193"/>
      <c r="AN627" s="143"/>
      <c r="AO627" s="189"/>
      <c r="AP627" s="189"/>
    </row>
    <row r="628" spans="3:42" ht="17.25" customHeight="1">
      <c r="C628" s="8" t="s">
        <v>238</v>
      </c>
      <c r="D628" s="2"/>
      <c r="E628" s="20" t="s">
        <v>1924</v>
      </c>
      <c r="F628" s="21"/>
      <c r="H628" s="289">
        <f t="shared" si="42"/>
        <v>1400</v>
      </c>
      <c r="I628" s="87"/>
      <c r="J628" s="143"/>
      <c r="K628" s="143"/>
      <c r="L628" s="58">
        <v>1400</v>
      </c>
      <c r="M628" s="58"/>
      <c r="N628" s="58"/>
      <c r="O628" s="58"/>
      <c r="P628" s="143"/>
      <c r="Q628" s="143"/>
      <c r="R628" s="143"/>
      <c r="S628" s="143"/>
      <c r="T628" s="58"/>
      <c r="V628" s="258"/>
      <c r="W628" s="624"/>
      <c r="X628" s="624"/>
      <c r="Y628" s="258"/>
      <c r="Z628" s="58"/>
      <c r="AA628" s="336"/>
      <c r="AB628" s="258"/>
      <c r="AC628" s="258"/>
      <c r="AD628" s="258"/>
      <c r="AE628" s="258"/>
      <c r="AF628" s="20"/>
      <c r="AG628" s="27"/>
      <c r="AH628" s="133">
        <v>39994</v>
      </c>
      <c r="AI628" s="10"/>
      <c r="AJ628" s="21"/>
      <c r="AL628" s="21"/>
      <c r="AM628" s="193"/>
      <c r="AN628" s="143"/>
      <c r="AO628" s="189"/>
      <c r="AP628" s="189"/>
    </row>
    <row r="629" spans="3:42" ht="17.25" customHeight="1">
      <c r="C629" s="8" t="s">
        <v>238</v>
      </c>
      <c r="D629" s="2"/>
      <c r="E629" s="20" t="s">
        <v>1925</v>
      </c>
      <c r="F629" s="21"/>
      <c r="H629" s="289">
        <f t="shared" si="42"/>
        <v>95000</v>
      </c>
      <c r="I629" s="87"/>
      <c r="J629" s="143"/>
      <c r="K629" s="58"/>
      <c r="L629" s="58">
        <f>SUM( 50000, 45000)</f>
        <v>95000</v>
      </c>
      <c r="M629" s="58"/>
      <c r="N629" s="58"/>
      <c r="O629" s="58"/>
      <c r="P629" s="143"/>
      <c r="Q629" s="143"/>
      <c r="R629" s="143"/>
      <c r="S629" s="143"/>
      <c r="T629" s="58"/>
      <c r="V629" s="258"/>
      <c r="W629" s="624"/>
      <c r="X629" s="624"/>
      <c r="Y629" s="258"/>
      <c r="Z629" s="58"/>
      <c r="AA629" s="336"/>
      <c r="AB629" s="258"/>
      <c r="AC629" s="258"/>
      <c r="AD629" s="258"/>
      <c r="AE629" s="258"/>
      <c r="AF629" s="20"/>
      <c r="AG629" s="27"/>
      <c r="AH629" s="133">
        <v>39993</v>
      </c>
      <c r="AI629" s="10"/>
      <c r="AJ629" s="21"/>
      <c r="AL629" s="21"/>
      <c r="AM629" s="193"/>
      <c r="AN629" s="143"/>
      <c r="AO629" s="189"/>
      <c r="AP629" s="189"/>
    </row>
    <row r="630" spans="3:42" ht="17.25" customHeight="1">
      <c r="C630" s="8" t="s">
        <v>238</v>
      </c>
      <c r="D630" s="2"/>
      <c r="E630" s="20" t="s">
        <v>1926</v>
      </c>
      <c r="F630" s="21"/>
      <c r="H630" s="289">
        <f t="shared" si="42"/>
        <v>60000</v>
      </c>
      <c r="I630" s="87"/>
      <c r="J630" s="143"/>
      <c r="K630" s="58"/>
      <c r="L630" s="58">
        <f>SUM(30000, 30000)</f>
        <v>60000</v>
      </c>
      <c r="M630" s="58"/>
      <c r="N630" s="58"/>
      <c r="O630" s="58"/>
      <c r="P630" s="143"/>
      <c r="Q630" s="143"/>
      <c r="R630" s="143"/>
      <c r="S630" s="143"/>
      <c r="T630" s="58"/>
      <c r="V630" s="258"/>
      <c r="W630" s="624"/>
      <c r="X630" s="624"/>
      <c r="Y630" s="258"/>
      <c r="Z630" s="58"/>
      <c r="AA630" s="336"/>
      <c r="AB630" s="258"/>
      <c r="AC630" s="258"/>
      <c r="AD630" s="258"/>
      <c r="AE630" s="258"/>
      <c r="AF630" s="20"/>
      <c r="AG630" s="27"/>
      <c r="AH630" s="27">
        <v>39812</v>
      </c>
      <c r="AI630" s="10"/>
      <c r="AJ630" s="21"/>
      <c r="AL630" s="21"/>
      <c r="AM630" s="193"/>
      <c r="AN630" s="143"/>
      <c r="AO630" s="189"/>
      <c r="AP630" s="189"/>
    </row>
    <row r="631" spans="3:42" ht="17.25" customHeight="1">
      <c r="C631" s="8" t="s">
        <v>238</v>
      </c>
      <c r="D631" s="2"/>
      <c r="E631" s="20" t="s">
        <v>1927</v>
      </c>
      <c r="F631" s="21"/>
      <c r="H631" s="289">
        <f t="shared" si="42"/>
        <v>6341.69</v>
      </c>
      <c r="I631" s="87"/>
      <c r="J631" s="143"/>
      <c r="K631" s="58"/>
      <c r="L631" s="58">
        <v>6341.69</v>
      </c>
      <c r="M631" s="58"/>
      <c r="N631" s="58"/>
      <c r="O631" s="58"/>
      <c r="P631" s="143"/>
      <c r="Q631" s="143"/>
      <c r="R631" s="143"/>
      <c r="S631" s="143"/>
      <c r="T631" s="58"/>
      <c r="V631" s="258"/>
      <c r="W631" s="624"/>
      <c r="X631" s="624"/>
      <c r="Y631" s="258"/>
      <c r="Z631" s="58"/>
      <c r="AA631" s="336"/>
      <c r="AB631" s="258"/>
      <c r="AC631" s="258"/>
      <c r="AD631" s="258"/>
      <c r="AE631" s="258"/>
      <c r="AF631" s="20"/>
      <c r="AG631" s="27"/>
      <c r="AH631" s="133">
        <v>39818</v>
      </c>
      <c r="AI631" s="10"/>
      <c r="AJ631" s="21"/>
      <c r="AL631" s="21"/>
      <c r="AM631" s="193"/>
      <c r="AN631" s="143"/>
      <c r="AO631" s="189"/>
      <c r="AP631" s="189"/>
    </row>
    <row r="632" spans="3:42" ht="17.25" customHeight="1">
      <c r="C632" s="8" t="s">
        <v>238</v>
      </c>
      <c r="D632" s="2"/>
      <c r="E632" s="20" t="s">
        <v>1928</v>
      </c>
      <c r="F632" s="21"/>
      <c r="H632" s="289">
        <f t="shared" si="42"/>
        <v>21659.79</v>
      </c>
      <c r="I632" s="87"/>
      <c r="J632" s="143"/>
      <c r="K632" s="58">
        <v>20000</v>
      </c>
      <c r="L632" s="58">
        <v>1659.79</v>
      </c>
      <c r="M632" s="58"/>
      <c r="N632" s="58"/>
      <c r="O632" s="58"/>
      <c r="P632" s="143"/>
      <c r="Q632" s="143"/>
      <c r="R632" s="143"/>
      <c r="S632" s="143"/>
      <c r="T632" s="58"/>
      <c r="V632" s="258"/>
      <c r="W632" s="624"/>
      <c r="X632" s="624"/>
      <c r="Y632" s="258"/>
      <c r="Z632" s="58"/>
      <c r="AA632" s="336"/>
      <c r="AB632" s="258"/>
      <c r="AC632" s="258"/>
      <c r="AD632" s="258"/>
      <c r="AE632" s="258"/>
      <c r="AF632" s="20"/>
      <c r="AG632" s="27"/>
      <c r="AH632" s="136">
        <v>39773</v>
      </c>
      <c r="AI632" s="10"/>
      <c r="AJ632" s="21"/>
      <c r="AL632" s="21"/>
      <c r="AM632" s="193"/>
      <c r="AN632" s="143"/>
      <c r="AO632" s="189"/>
      <c r="AP632" s="189"/>
    </row>
    <row r="633" spans="3:42" ht="17.25" customHeight="1">
      <c r="C633" s="8" t="s">
        <v>238</v>
      </c>
      <c r="D633" s="2"/>
      <c r="E633" s="20" t="s">
        <v>1929</v>
      </c>
      <c r="F633" s="21"/>
      <c r="H633" s="289">
        <f t="shared" si="42"/>
        <v>797660.59</v>
      </c>
      <c r="I633" s="87"/>
      <c r="J633" s="143"/>
      <c r="K633" s="143"/>
      <c r="L633" s="58">
        <f>SUM(18509.6, 779150.99)</f>
        <v>797660.59</v>
      </c>
      <c r="M633" s="58"/>
      <c r="N633" s="58"/>
      <c r="O633" s="58"/>
      <c r="P633" s="143"/>
      <c r="Q633" s="143"/>
      <c r="R633" s="143"/>
      <c r="S633" s="143"/>
      <c r="T633" s="58"/>
      <c r="V633" s="258"/>
      <c r="W633" s="624"/>
      <c r="X633" s="624"/>
      <c r="Y633" s="258"/>
      <c r="Z633" s="58"/>
      <c r="AA633" s="336"/>
      <c r="AB633" s="258"/>
      <c r="AC633" s="258"/>
      <c r="AD633" s="258"/>
      <c r="AE633" s="258"/>
      <c r="AF633" s="20"/>
      <c r="AG633" s="27"/>
      <c r="AH633" s="133">
        <v>39967</v>
      </c>
      <c r="AI633" s="10"/>
      <c r="AJ633" s="21"/>
      <c r="AL633" s="21"/>
      <c r="AM633" s="193"/>
      <c r="AN633" s="143"/>
      <c r="AO633" s="189"/>
      <c r="AP633" s="189"/>
    </row>
    <row r="634" spans="3:42" ht="17.25" customHeight="1">
      <c r="C634" s="8" t="s">
        <v>238</v>
      </c>
      <c r="D634" s="2"/>
      <c r="E634" s="20" t="s">
        <v>1930</v>
      </c>
      <c r="F634" s="21"/>
      <c r="H634" s="289">
        <f t="shared" si="42"/>
        <v>27275.67</v>
      </c>
      <c r="I634" s="87"/>
      <c r="J634" s="143"/>
      <c r="K634" s="58"/>
      <c r="L634" s="58">
        <v>27275.67</v>
      </c>
      <c r="M634" s="58"/>
      <c r="N634" s="58"/>
      <c r="O634" s="58"/>
      <c r="P634" s="143"/>
      <c r="Q634" s="143"/>
      <c r="R634" s="143"/>
      <c r="S634" s="143"/>
      <c r="T634" s="58"/>
      <c r="V634" s="258"/>
      <c r="W634" s="624"/>
      <c r="X634" s="624"/>
      <c r="Y634" s="258"/>
      <c r="Z634" s="58"/>
      <c r="AA634" s="336"/>
      <c r="AB634" s="258"/>
      <c r="AC634" s="258"/>
      <c r="AD634" s="258"/>
      <c r="AE634" s="258"/>
      <c r="AF634" s="20"/>
      <c r="AG634" s="258"/>
      <c r="AH634" s="133">
        <v>39939</v>
      </c>
      <c r="AI634" s="10"/>
      <c r="AJ634" s="21"/>
      <c r="AL634" s="21"/>
      <c r="AM634" s="193"/>
      <c r="AN634" s="143"/>
      <c r="AO634" s="189"/>
      <c r="AP634" s="189"/>
    </row>
    <row r="635" spans="3:42" ht="17.25" customHeight="1">
      <c r="C635" s="8" t="s">
        <v>238</v>
      </c>
      <c r="D635" s="2"/>
      <c r="E635" s="20" t="s">
        <v>1931</v>
      </c>
      <c r="F635" s="21"/>
      <c r="H635" s="289">
        <f t="shared" si="42"/>
        <v>25875</v>
      </c>
      <c r="I635" s="87"/>
      <c r="J635" s="143"/>
      <c r="K635" s="58">
        <v>12937.5</v>
      </c>
      <c r="L635" s="58">
        <v>12937.5</v>
      </c>
      <c r="M635" s="58"/>
      <c r="N635" s="143"/>
      <c r="O635" s="58"/>
      <c r="P635" s="143"/>
      <c r="Q635" s="143"/>
      <c r="R635" s="143"/>
      <c r="S635" s="143"/>
      <c r="T635" s="58"/>
      <c r="V635" s="258"/>
      <c r="W635" s="624"/>
      <c r="X635" s="624"/>
      <c r="Y635" s="258"/>
      <c r="Z635" s="58"/>
      <c r="AA635" s="336"/>
      <c r="AB635" s="258"/>
      <c r="AC635" s="258"/>
      <c r="AD635" s="258"/>
      <c r="AE635" s="258"/>
      <c r="AF635" s="20"/>
      <c r="AG635" s="258"/>
      <c r="AH635" s="133">
        <v>39630</v>
      </c>
      <c r="AI635" s="10"/>
      <c r="AJ635" s="21"/>
      <c r="AL635" s="21"/>
      <c r="AM635" s="193"/>
      <c r="AN635" s="143"/>
      <c r="AO635" s="189"/>
      <c r="AP635" s="189"/>
    </row>
    <row r="636" spans="3:42" ht="17.25" customHeight="1">
      <c r="C636" s="8" t="s">
        <v>238</v>
      </c>
      <c r="D636" s="2"/>
      <c r="E636" s="20" t="s">
        <v>1932</v>
      </c>
      <c r="F636" s="21"/>
      <c r="H636" s="289">
        <f t="shared" si="42"/>
        <v>485.18</v>
      </c>
      <c r="I636" s="87"/>
      <c r="J636" s="143"/>
      <c r="K636" s="58"/>
      <c r="L636" s="58">
        <f>SUM(480, 5.18)</f>
        <v>485.18</v>
      </c>
      <c r="M636" s="58"/>
      <c r="N636" s="58"/>
      <c r="O636" s="58"/>
      <c r="P636" s="143"/>
      <c r="Q636" s="143"/>
      <c r="R636" s="143"/>
      <c r="S636" s="143"/>
      <c r="T636" s="58"/>
      <c r="V636" s="258"/>
      <c r="W636" s="624"/>
      <c r="X636" s="624"/>
      <c r="Y636" s="258"/>
      <c r="Z636" s="58"/>
      <c r="AA636" s="336"/>
      <c r="AB636" s="258"/>
      <c r="AC636" s="258"/>
      <c r="AD636" s="258"/>
      <c r="AE636" s="258"/>
      <c r="AF636" s="20"/>
      <c r="AG636" s="27"/>
      <c r="AH636" s="133">
        <v>39994</v>
      </c>
      <c r="AI636" s="10"/>
      <c r="AJ636" s="21"/>
      <c r="AL636" s="21"/>
      <c r="AM636" s="193"/>
      <c r="AN636" s="143"/>
      <c r="AO636" s="189"/>
      <c r="AP636" s="189"/>
    </row>
    <row r="637" spans="3:42" ht="17.25" customHeight="1">
      <c r="C637" s="8" t="s">
        <v>238</v>
      </c>
      <c r="D637" s="2"/>
      <c r="E637" s="20" t="s">
        <v>1933</v>
      </c>
      <c r="F637" s="21"/>
      <c r="H637" s="289">
        <f t="shared" si="42"/>
        <v>4204.43</v>
      </c>
      <c r="I637" s="87"/>
      <c r="J637" s="143"/>
      <c r="K637" s="58"/>
      <c r="L637" s="58">
        <v>4204.43</v>
      </c>
      <c r="M637" s="58"/>
      <c r="N637" s="58"/>
      <c r="O637" s="58"/>
      <c r="P637" s="143"/>
      <c r="Q637" s="143"/>
      <c r="R637" s="143"/>
      <c r="S637" s="143"/>
      <c r="T637" s="58"/>
      <c r="V637" s="258"/>
      <c r="W637" s="624"/>
      <c r="X637" s="624"/>
      <c r="Y637" s="258"/>
      <c r="Z637" s="58"/>
      <c r="AA637" s="336"/>
      <c r="AB637" s="258"/>
      <c r="AC637" s="258"/>
      <c r="AD637" s="258"/>
      <c r="AE637" s="258"/>
      <c r="AF637" s="20"/>
      <c r="AG637" s="27"/>
      <c r="AH637" s="133">
        <v>39794</v>
      </c>
      <c r="AI637" s="10"/>
      <c r="AJ637" s="21"/>
      <c r="AL637" s="21"/>
      <c r="AM637" s="193"/>
      <c r="AN637" s="143"/>
      <c r="AO637" s="189"/>
      <c r="AP637" s="189"/>
    </row>
    <row r="638" spans="3:42" ht="17.25" customHeight="1">
      <c r="C638" s="8" t="s">
        <v>238</v>
      </c>
      <c r="D638" s="2"/>
      <c r="E638" s="20" t="s">
        <v>1934</v>
      </c>
      <c r="F638" s="21"/>
      <c r="H638" s="289">
        <f t="shared" si="42"/>
        <v>38.43</v>
      </c>
      <c r="I638" s="87"/>
      <c r="J638" s="143"/>
      <c r="K638" s="58"/>
      <c r="L638" s="58">
        <v>38.43</v>
      </c>
      <c r="M638" s="58"/>
      <c r="N638" s="58"/>
      <c r="O638" s="58"/>
      <c r="P638" s="143"/>
      <c r="Q638" s="143"/>
      <c r="R638" s="143"/>
      <c r="S638" s="143"/>
      <c r="T638" s="58"/>
      <c r="V638" s="258"/>
      <c r="W638" s="624"/>
      <c r="X638" s="624"/>
      <c r="Y638" s="258"/>
      <c r="Z638" s="58"/>
      <c r="AA638" s="336"/>
      <c r="AB638" s="258"/>
      <c r="AC638" s="258"/>
      <c r="AD638" s="258"/>
      <c r="AE638" s="258"/>
      <c r="AF638" s="20"/>
      <c r="AG638" s="27"/>
      <c r="AH638" s="133">
        <v>39987</v>
      </c>
      <c r="AI638" s="10"/>
      <c r="AJ638" s="21"/>
      <c r="AL638" s="21"/>
      <c r="AM638" s="193"/>
      <c r="AN638" s="143"/>
      <c r="AO638" s="189"/>
      <c r="AP638" s="189"/>
    </row>
    <row r="639" spans="3:42" ht="17.25" customHeight="1">
      <c r="C639" s="8" t="s">
        <v>238</v>
      </c>
      <c r="D639" s="2"/>
      <c r="E639" s="255" t="s">
        <v>1935</v>
      </c>
      <c r="F639" s="21"/>
      <c r="H639" s="289">
        <f t="shared" si="42"/>
        <v>3883.7800000000016</v>
      </c>
      <c r="I639" s="87"/>
      <c r="J639" s="143"/>
      <c r="K639" s="58">
        <f>SUM(117.69, 117.69, 117.69, 117.69, 117.69, 117.69, 117.69, 117.69, 117.69, 117.69, 117.69, 117.69, 117.69, 117.69, 117.69, 117.69, 117.69)</f>
        <v>2000.7300000000007</v>
      </c>
      <c r="L639" s="58">
        <f>SUM(117.69, 117.69, 117.69, 117.69, 117.69, 117.69, 117.69, 117.69, 117.69, 117.69, 117.69, 117.69, 117.69, 117.69, 117.69, 0.01, 117.69)</f>
        <v>1883.0500000000006</v>
      </c>
      <c r="M639" s="58"/>
      <c r="N639" s="58"/>
      <c r="O639" s="58"/>
      <c r="P639" s="143"/>
      <c r="Q639" s="143"/>
      <c r="R639" s="143"/>
      <c r="S639" s="143"/>
      <c r="T639" s="58"/>
      <c r="V639" s="258"/>
      <c r="W639" s="624"/>
      <c r="X639" s="624"/>
      <c r="Y639" s="258"/>
      <c r="Z639" s="58"/>
      <c r="AA639" s="336"/>
      <c r="AB639" s="258"/>
      <c r="AC639" s="258"/>
      <c r="AD639" s="258"/>
      <c r="AE639" s="258"/>
      <c r="AF639" s="20"/>
      <c r="AG639" s="27"/>
      <c r="AH639" s="133">
        <v>39874</v>
      </c>
      <c r="AI639" s="10"/>
      <c r="AJ639" s="21"/>
      <c r="AL639" s="21"/>
      <c r="AM639" s="193"/>
      <c r="AN639" s="143"/>
      <c r="AO639" s="189"/>
      <c r="AP639" s="189"/>
    </row>
    <row r="640" spans="3:42" ht="17.25" customHeight="1">
      <c r="C640" s="8" t="s">
        <v>238</v>
      </c>
      <c r="D640" s="2"/>
      <c r="E640" s="20" t="s">
        <v>1936</v>
      </c>
      <c r="F640" s="58"/>
      <c r="G640" s="253"/>
      <c r="H640" s="296">
        <f t="shared" si="42"/>
        <v>168859.22</v>
      </c>
      <c r="I640" s="287"/>
      <c r="J640" s="252"/>
      <c r="K640" s="58"/>
      <c r="L640" s="58">
        <v>168859.22</v>
      </c>
      <c r="M640" s="58"/>
      <c r="N640" s="58"/>
      <c r="O640" s="58"/>
      <c r="P640" s="58"/>
      <c r="Q640" s="143"/>
      <c r="R640" s="143"/>
      <c r="S640" s="58"/>
      <c r="T640" s="58"/>
      <c r="U640" s="217"/>
      <c r="V640" s="296"/>
      <c r="W640" s="705"/>
      <c r="X640" s="705"/>
      <c r="Y640" s="258"/>
      <c r="Z640" s="58"/>
      <c r="AA640" s="336"/>
      <c r="AB640" s="258"/>
      <c r="AC640" s="258"/>
      <c r="AD640" s="258"/>
      <c r="AE640" s="258"/>
      <c r="AF640" s="20"/>
      <c r="AG640" s="27"/>
      <c r="AH640" s="136">
        <v>39770</v>
      </c>
      <c r="AI640" s="10"/>
      <c r="AJ640" s="21"/>
      <c r="AL640" s="21"/>
      <c r="AM640" s="193"/>
      <c r="AN640" s="143"/>
      <c r="AO640" s="189"/>
      <c r="AP640" s="189"/>
    </row>
    <row r="641" spans="3:42" ht="17.25" customHeight="1">
      <c r="C641" s="8" t="s">
        <v>238</v>
      </c>
      <c r="D641" s="2"/>
      <c r="E641" s="20" t="s">
        <v>1937</v>
      </c>
      <c r="F641" s="21"/>
      <c r="H641" s="289">
        <f t="shared" si="42"/>
        <v>29912.35</v>
      </c>
      <c r="I641" s="87"/>
      <c r="J641" s="143"/>
      <c r="K641" s="58"/>
      <c r="L641" s="58">
        <v>29912.35</v>
      </c>
      <c r="M641" s="58"/>
      <c r="N641" s="58"/>
      <c r="O641" s="58"/>
      <c r="P641" s="143"/>
      <c r="Q641" s="143"/>
      <c r="R641" s="143"/>
      <c r="S641" s="143"/>
      <c r="T641" s="58"/>
      <c r="V641" s="258"/>
      <c r="W641" s="624"/>
      <c r="X641" s="624"/>
      <c r="Y641" s="258"/>
      <c r="Z641" s="58"/>
      <c r="AA641" s="336"/>
      <c r="AB641" s="258"/>
      <c r="AC641" s="258"/>
      <c r="AD641" s="258"/>
      <c r="AE641" s="258"/>
      <c r="AF641" s="20"/>
      <c r="AG641" s="27"/>
      <c r="AH641" s="133">
        <v>39878</v>
      </c>
      <c r="AI641" s="10"/>
      <c r="AJ641" s="21"/>
      <c r="AL641" s="21"/>
      <c r="AM641" s="193"/>
      <c r="AN641" s="143"/>
      <c r="AO641" s="189"/>
      <c r="AP641" s="189"/>
    </row>
    <row r="642" spans="3:42" ht="17.25" customHeight="1" thickBot="1">
      <c r="C642" s="97" t="s">
        <v>1938</v>
      </c>
      <c r="D642" s="97"/>
      <c r="E642" s="97"/>
      <c r="F642" s="98"/>
      <c r="G642" s="191"/>
      <c r="H642" s="191"/>
      <c r="I642" s="82"/>
      <c r="J642" s="191"/>
      <c r="K642" s="191"/>
      <c r="L642" s="191"/>
      <c r="M642" s="191"/>
      <c r="N642" s="191"/>
      <c r="O642" s="191"/>
      <c r="P642" s="191"/>
      <c r="Q642" s="191"/>
      <c r="R642" s="191"/>
      <c r="S642" s="191"/>
      <c r="T642" s="99"/>
      <c r="U642" s="99"/>
      <c r="V642" s="99"/>
      <c r="W642" s="98"/>
      <c r="X642" s="98"/>
      <c r="Y642" s="98"/>
      <c r="Z642" s="98"/>
      <c r="AA642" s="98"/>
      <c r="AB642" s="98"/>
      <c r="AC642" s="98"/>
      <c r="AD642" s="98"/>
      <c r="AE642" s="98"/>
      <c r="AF642" s="98"/>
      <c r="AG642" s="98"/>
      <c r="AH642" s="98"/>
      <c r="AI642" s="98"/>
      <c r="AJ642" s="98"/>
      <c r="AK642" s="98"/>
      <c r="AL642" s="98"/>
      <c r="AM642" s="82"/>
      <c r="AN642" s="98"/>
      <c r="AO642" s="98"/>
      <c r="AP642" s="98"/>
    </row>
    <row r="643" spans="3:42" ht="17.25" customHeight="1">
      <c r="C643" s="8" t="s">
        <v>238</v>
      </c>
      <c r="D643" s="2"/>
      <c r="E643" s="20" t="s">
        <v>1939</v>
      </c>
      <c r="F643" s="21"/>
      <c r="G643" s="258"/>
      <c r="H643" s="295">
        <f t="shared" si="42"/>
        <v>150</v>
      </c>
      <c r="I643" s="286"/>
      <c r="J643" s="58"/>
      <c r="K643" s="58">
        <v>150</v>
      </c>
      <c r="M643" s="58"/>
      <c r="O643" s="58"/>
      <c r="P643" s="143"/>
      <c r="Q643" s="143"/>
      <c r="R643" s="143"/>
      <c r="T643" s="58"/>
      <c r="U643" s="258"/>
      <c r="V643" s="295"/>
      <c r="W643" s="624"/>
      <c r="X643" s="624"/>
      <c r="Y643" s="295"/>
      <c r="Z643" s="58"/>
      <c r="AA643" s="336"/>
      <c r="AB643" s="295"/>
      <c r="AC643" s="258"/>
      <c r="AD643" s="258"/>
      <c r="AE643" s="258"/>
      <c r="AF643" s="20"/>
      <c r="AG643" s="258"/>
      <c r="AH643" s="133">
        <v>39274</v>
      </c>
      <c r="AI643" s="10"/>
      <c r="AJ643" s="21"/>
      <c r="AL643" s="21"/>
      <c r="AM643" s="193"/>
      <c r="AN643" s="143"/>
      <c r="AO643" s="189"/>
      <c r="AP643" s="189"/>
    </row>
    <row r="644" spans="3:42" ht="17.25" customHeight="1">
      <c r="C644" s="8" t="s">
        <v>238</v>
      </c>
      <c r="D644" s="2"/>
      <c r="E644" s="20" t="s">
        <v>1940</v>
      </c>
      <c r="F644" s="21"/>
      <c r="G644" s="258"/>
      <c r="H644" s="258">
        <f t="shared" si="42"/>
        <v>17164.82</v>
      </c>
      <c r="I644" s="286"/>
      <c r="J644" s="58"/>
      <c r="K644" s="58">
        <v>17164.82</v>
      </c>
      <c r="L644" s="45"/>
      <c r="M644" s="58"/>
      <c r="N644" s="45"/>
      <c r="O644" s="58"/>
      <c r="P644" s="143"/>
      <c r="Q644" s="143"/>
      <c r="R644" s="143"/>
      <c r="T644" s="58"/>
      <c r="U644" s="258"/>
      <c r="V644" s="258"/>
      <c r="W644" s="624"/>
      <c r="X644" s="624"/>
      <c r="Y644" s="258"/>
      <c r="Z644" s="58"/>
      <c r="AA644" s="336"/>
      <c r="AB644" s="258"/>
      <c r="AC644" s="258"/>
      <c r="AD644" s="258"/>
      <c r="AE644" s="258"/>
      <c r="AF644" s="20"/>
      <c r="AG644" s="27"/>
      <c r="AH644" s="133">
        <v>39532</v>
      </c>
      <c r="AI644" s="10"/>
      <c r="AJ644" s="21"/>
      <c r="AL644" s="21"/>
      <c r="AM644" s="193"/>
      <c r="AN644" s="143"/>
      <c r="AO644" s="189"/>
      <c r="AP644" s="189"/>
    </row>
    <row r="645" spans="3:42" ht="17.25" customHeight="1">
      <c r="C645" s="8" t="s">
        <v>238</v>
      </c>
      <c r="D645" s="2"/>
      <c r="E645" s="20" t="s">
        <v>1941</v>
      </c>
      <c r="F645" s="21"/>
      <c r="G645" s="281"/>
      <c r="H645" s="289">
        <f t="shared" si="42"/>
        <v>3976.37</v>
      </c>
      <c r="I645" s="286"/>
      <c r="J645" s="58"/>
      <c r="K645" s="58">
        <v>3976.37</v>
      </c>
      <c r="L645" s="45"/>
      <c r="M645" s="58"/>
      <c r="N645" s="45"/>
      <c r="O645" s="58"/>
      <c r="P645" s="143"/>
      <c r="Q645" s="143"/>
      <c r="R645" s="143"/>
      <c r="T645" s="58"/>
      <c r="U645" s="258"/>
      <c r="V645" s="258"/>
      <c r="W645" s="624"/>
      <c r="X645" s="624"/>
      <c r="Y645" s="258"/>
      <c r="Z645" s="58"/>
      <c r="AA645" s="336"/>
      <c r="AB645" s="258"/>
      <c r="AC645" s="258"/>
      <c r="AD645" s="258"/>
      <c r="AE645" s="258"/>
      <c r="AF645" s="20"/>
      <c r="AG645" s="27"/>
      <c r="AH645" s="133">
        <v>39308</v>
      </c>
      <c r="AI645" s="10"/>
      <c r="AJ645" s="21"/>
      <c r="AL645" s="21"/>
      <c r="AM645" s="193"/>
      <c r="AN645" s="143"/>
      <c r="AO645" s="189"/>
      <c r="AP645" s="189"/>
    </row>
    <row r="646" spans="3:42" ht="17.25" customHeight="1">
      <c r="C646" s="8" t="s">
        <v>238</v>
      </c>
      <c r="D646" s="2"/>
      <c r="E646" s="20" t="s">
        <v>1942</v>
      </c>
      <c r="F646" s="21"/>
      <c r="H646" s="289">
        <f t="shared" si="42"/>
        <v>2500</v>
      </c>
      <c r="I646" s="286"/>
      <c r="J646" s="58"/>
      <c r="K646" s="58">
        <v>2500</v>
      </c>
      <c r="M646" s="58"/>
      <c r="N646" s="58"/>
      <c r="O646" s="58"/>
      <c r="P646" s="143"/>
      <c r="Q646" s="143"/>
      <c r="R646" s="143"/>
      <c r="S646" s="143"/>
      <c r="T646" s="58"/>
      <c r="V646" s="258"/>
      <c r="W646" s="624"/>
      <c r="X646" s="624"/>
      <c r="Y646" s="258"/>
      <c r="Z646" s="58"/>
      <c r="AA646" s="336"/>
      <c r="AB646" s="258"/>
      <c r="AC646" s="258"/>
      <c r="AD646" s="258"/>
      <c r="AE646" s="258"/>
      <c r="AF646" s="20"/>
      <c r="AG646" s="27"/>
      <c r="AH646" s="133">
        <v>39294</v>
      </c>
      <c r="AI646" s="10"/>
      <c r="AJ646" s="21"/>
      <c r="AL646" s="21"/>
      <c r="AM646" s="193"/>
      <c r="AN646" s="143"/>
      <c r="AO646" s="189"/>
      <c r="AP646" s="189"/>
    </row>
    <row r="647" spans="3:42" ht="17.25" customHeight="1">
      <c r="C647" s="8" t="s">
        <v>238</v>
      </c>
      <c r="D647" s="2"/>
      <c r="E647" s="20" t="s">
        <v>1943</v>
      </c>
      <c r="F647" s="21"/>
      <c r="H647" s="289">
        <f t="shared" si="42"/>
        <v>12500</v>
      </c>
      <c r="I647" s="87"/>
      <c r="J647" s="58"/>
      <c r="K647" s="58">
        <v>12500</v>
      </c>
      <c r="L647" s="58"/>
      <c r="M647" s="58"/>
      <c r="N647" s="58"/>
      <c r="O647" s="58"/>
      <c r="P647" s="143"/>
      <c r="Q647" s="143"/>
      <c r="R647" s="143"/>
      <c r="S647" s="143"/>
      <c r="T647" s="58"/>
      <c r="V647" s="258"/>
      <c r="W647" s="624"/>
      <c r="X647" s="624"/>
      <c r="Y647" s="258"/>
      <c r="Z647" s="58"/>
      <c r="AA647" s="336"/>
      <c r="AB647" s="258"/>
      <c r="AC647" s="258"/>
      <c r="AD647" s="258"/>
      <c r="AE647" s="258"/>
      <c r="AF647" s="20"/>
      <c r="AG647" s="27"/>
      <c r="AH647" s="136">
        <v>39392</v>
      </c>
      <c r="AI647" s="10"/>
      <c r="AJ647" s="21"/>
      <c r="AL647" s="21"/>
      <c r="AM647" s="193"/>
      <c r="AN647" s="143"/>
      <c r="AO647" s="189"/>
      <c r="AP647" s="189"/>
    </row>
    <row r="648" spans="3:42" ht="17.25" customHeight="1">
      <c r="C648" s="8" t="s">
        <v>238</v>
      </c>
      <c r="D648" s="2"/>
      <c r="E648" s="20" t="s">
        <v>1944</v>
      </c>
      <c r="F648" s="21"/>
      <c r="H648" s="289">
        <f t="shared" si="42"/>
        <v>500</v>
      </c>
      <c r="I648" s="87"/>
      <c r="J648" s="58"/>
      <c r="K648" s="58">
        <v>500</v>
      </c>
      <c r="L648" s="58"/>
      <c r="M648" s="58"/>
      <c r="N648" s="58"/>
      <c r="O648" s="58"/>
      <c r="P648" s="143"/>
      <c r="Q648" s="143"/>
      <c r="R648" s="143"/>
      <c r="S648" s="143"/>
      <c r="T648" s="58"/>
      <c r="V648" s="258"/>
      <c r="W648" s="624"/>
      <c r="X648" s="624"/>
      <c r="Y648" s="258"/>
      <c r="Z648" s="58"/>
      <c r="AA648" s="336"/>
      <c r="AB648" s="258"/>
      <c r="AC648" s="258"/>
      <c r="AD648" s="258"/>
      <c r="AE648" s="258"/>
      <c r="AF648" s="20"/>
      <c r="AG648" s="27"/>
      <c r="AH648" s="133">
        <v>39455</v>
      </c>
      <c r="AI648" s="10"/>
      <c r="AJ648" s="21"/>
      <c r="AL648" s="21"/>
      <c r="AM648" s="193"/>
      <c r="AN648" s="143"/>
      <c r="AO648" s="189"/>
      <c r="AP648" s="189"/>
    </row>
    <row r="649" spans="3:42" ht="17.25" customHeight="1">
      <c r="C649" s="8" t="s">
        <v>238</v>
      </c>
      <c r="D649" s="2"/>
      <c r="E649" s="20" t="s">
        <v>1945</v>
      </c>
      <c r="F649" s="21"/>
      <c r="H649" s="289">
        <f t="shared" si="42"/>
        <v>236389.27</v>
      </c>
      <c r="I649" s="87"/>
      <c r="J649" s="58"/>
      <c r="K649" s="58">
        <v>236389.27</v>
      </c>
      <c r="L649" s="58"/>
      <c r="M649" s="58"/>
      <c r="N649" s="58"/>
      <c r="O649" s="58"/>
      <c r="P649" s="143"/>
      <c r="Q649" s="143"/>
      <c r="R649" s="143"/>
      <c r="S649" s="143"/>
      <c r="T649" s="58"/>
      <c r="V649" s="258"/>
      <c r="W649" s="624"/>
      <c r="X649" s="624"/>
      <c r="Y649" s="258"/>
      <c r="Z649" s="58"/>
      <c r="AA649" s="336"/>
      <c r="AB649" s="258"/>
      <c r="AC649" s="258"/>
      <c r="AD649" s="258"/>
      <c r="AE649" s="258"/>
      <c r="AF649" s="20"/>
      <c r="AG649" s="27"/>
      <c r="AH649" s="133">
        <v>39506</v>
      </c>
      <c r="AI649" s="10"/>
      <c r="AJ649" s="21"/>
      <c r="AL649" s="21"/>
      <c r="AM649" s="193"/>
      <c r="AN649" s="143"/>
      <c r="AO649" s="189"/>
      <c r="AP649" s="189"/>
    </row>
    <row r="650" spans="3:42" ht="17.25" customHeight="1">
      <c r="C650" s="8" t="s">
        <v>238</v>
      </c>
      <c r="D650" s="2"/>
      <c r="E650" s="20" t="s">
        <v>1946</v>
      </c>
      <c r="F650" s="21"/>
      <c r="H650" s="289">
        <f t="shared" si="42"/>
        <v>26156</v>
      </c>
      <c r="I650" s="87"/>
      <c r="J650" s="58">
        <v>25000</v>
      </c>
      <c r="K650" s="58">
        <v>1156</v>
      </c>
      <c r="L650" s="58"/>
      <c r="M650" s="58"/>
      <c r="N650" s="58"/>
      <c r="O650" s="58"/>
      <c r="P650" s="143"/>
      <c r="Q650" s="143"/>
      <c r="R650" s="143"/>
      <c r="S650" s="143"/>
      <c r="T650" s="58"/>
      <c r="V650" s="258"/>
      <c r="W650" s="624"/>
      <c r="X650" s="624"/>
      <c r="Y650" s="258"/>
      <c r="Z650" s="58"/>
      <c r="AA650" s="336"/>
      <c r="AB650" s="258"/>
      <c r="AC650" s="258"/>
      <c r="AD650" s="258"/>
      <c r="AE650" s="258"/>
      <c r="AF650" s="20"/>
      <c r="AG650" s="27"/>
      <c r="AH650" s="133">
        <v>39519</v>
      </c>
      <c r="AI650" s="10"/>
      <c r="AJ650" s="21"/>
      <c r="AL650" s="21"/>
      <c r="AM650" s="193"/>
      <c r="AN650" s="143"/>
      <c r="AO650" s="189"/>
      <c r="AP650" s="189"/>
    </row>
    <row r="651" spans="3:42" ht="17.25" customHeight="1">
      <c r="C651" s="8" t="s">
        <v>238</v>
      </c>
      <c r="D651" s="2"/>
      <c r="E651" s="20" t="s">
        <v>1947</v>
      </c>
      <c r="F651" s="21"/>
      <c r="H651" s="289">
        <f t="shared" si="42"/>
        <v>2500</v>
      </c>
      <c r="I651" s="87"/>
      <c r="J651" s="58"/>
      <c r="K651" s="58">
        <v>2500</v>
      </c>
      <c r="L651" s="58"/>
      <c r="M651" s="58"/>
      <c r="N651" s="58"/>
      <c r="O651" s="58"/>
      <c r="P651" s="143"/>
      <c r="Q651" s="143"/>
      <c r="R651" s="143"/>
      <c r="S651" s="143"/>
      <c r="T651" s="58"/>
      <c r="V651" s="258"/>
      <c r="W651" s="624"/>
      <c r="X651" s="624"/>
      <c r="Y651" s="258"/>
      <c r="Z651" s="58"/>
      <c r="AA651" s="336"/>
      <c r="AB651" s="258"/>
      <c r="AC651" s="258"/>
      <c r="AD651" s="258"/>
      <c r="AE651" s="258"/>
      <c r="AF651" s="20"/>
      <c r="AG651" s="27"/>
      <c r="AH651" s="133">
        <v>39455</v>
      </c>
      <c r="AI651" s="10"/>
      <c r="AJ651" s="21"/>
      <c r="AL651" s="21"/>
      <c r="AM651" s="193"/>
      <c r="AN651" s="143"/>
      <c r="AO651" s="189"/>
      <c r="AP651" s="189"/>
    </row>
    <row r="652" spans="3:42" ht="17.25" customHeight="1">
      <c r="C652" s="8" t="s">
        <v>238</v>
      </c>
      <c r="D652" s="2"/>
      <c r="E652" s="20" t="s">
        <v>1948</v>
      </c>
      <c r="F652" s="21"/>
      <c r="H652" s="289">
        <f t="shared" si="42"/>
        <v>2000</v>
      </c>
      <c r="I652" s="87"/>
      <c r="J652" s="58"/>
      <c r="K652" s="58">
        <v>2000</v>
      </c>
      <c r="L652" s="58"/>
      <c r="M652" s="58"/>
      <c r="N652" s="58"/>
      <c r="O652" s="58"/>
      <c r="P652" s="143"/>
      <c r="Q652" s="143"/>
      <c r="R652" s="143"/>
      <c r="S652" s="143"/>
      <c r="T652" s="58"/>
      <c r="V652" s="258"/>
      <c r="W652" s="624"/>
      <c r="X652" s="624"/>
      <c r="Y652" s="258"/>
      <c r="Z652" s="58"/>
      <c r="AA652" s="336"/>
      <c r="AB652" s="258"/>
      <c r="AC652" s="258"/>
      <c r="AD652" s="258"/>
      <c r="AE652" s="258"/>
      <c r="AF652" s="20"/>
      <c r="AG652" s="27"/>
      <c r="AH652" s="27">
        <v>39568</v>
      </c>
      <c r="AI652" s="10"/>
      <c r="AJ652" s="21"/>
      <c r="AL652" s="21"/>
      <c r="AM652" s="193"/>
      <c r="AN652" s="143"/>
      <c r="AO652" s="189"/>
      <c r="AP652" s="189"/>
    </row>
    <row r="653" spans="3:42" ht="17.25" customHeight="1">
      <c r="C653" s="8" t="s">
        <v>238</v>
      </c>
      <c r="D653" s="2"/>
      <c r="E653" s="20" t="s">
        <v>1949</v>
      </c>
      <c r="F653" s="21"/>
      <c r="H653" s="289">
        <f t="shared" si="42"/>
        <v>10000</v>
      </c>
      <c r="I653" s="87"/>
      <c r="J653" s="58"/>
      <c r="K653" s="58">
        <v>10000</v>
      </c>
      <c r="L653" s="58"/>
      <c r="M653" s="58"/>
      <c r="N653" s="58"/>
      <c r="O653" s="58"/>
      <c r="P653" s="143"/>
      <c r="Q653" s="143"/>
      <c r="R653" s="143"/>
      <c r="S653" s="143"/>
      <c r="T653" s="58"/>
      <c r="V653" s="258"/>
      <c r="W653" s="624"/>
      <c r="X653" s="624"/>
      <c r="Y653" s="258"/>
      <c r="Z653" s="58"/>
      <c r="AA653" s="336"/>
      <c r="AB653" s="258"/>
      <c r="AC653" s="258"/>
      <c r="AD653" s="258"/>
      <c r="AE653" s="258"/>
      <c r="AF653" s="20"/>
      <c r="AG653" s="27"/>
      <c r="AH653" s="133">
        <v>39455</v>
      </c>
      <c r="AI653" s="10"/>
      <c r="AJ653" s="21"/>
      <c r="AL653" s="21"/>
      <c r="AM653" s="193"/>
      <c r="AN653" s="143"/>
      <c r="AO653" s="189"/>
      <c r="AP653" s="189"/>
    </row>
    <row r="654" spans="3:42" ht="17.25" customHeight="1">
      <c r="C654" s="8" t="s">
        <v>238</v>
      </c>
      <c r="D654" s="2"/>
      <c r="E654" s="20" t="s">
        <v>1950</v>
      </c>
      <c r="F654" s="21"/>
      <c r="H654" s="289">
        <f t="shared" si="42"/>
        <v>76291.44</v>
      </c>
      <c r="I654" s="87"/>
      <c r="J654" s="58"/>
      <c r="K654" s="58">
        <v>76291.44</v>
      </c>
      <c r="L654" s="58"/>
      <c r="M654" s="58"/>
      <c r="N654" s="58"/>
      <c r="O654" s="58"/>
      <c r="P654" s="143"/>
      <c r="Q654" s="143"/>
      <c r="R654" s="143"/>
      <c r="S654" s="143"/>
      <c r="T654" s="58"/>
      <c r="V654" s="258"/>
      <c r="W654" s="624"/>
      <c r="X654" s="624"/>
      <c r="Y654" s="258"/>
      <c r="Z654" s="58"/>
      <c r="AA654" s="336"/>
      <c r="AB654" s="258"/>
      <c r="AC654" s="258"/>
      <c r="AD654" s="258"/>
      <c r="AE654" s="258"/>
      <c r="AF654" s="20"/>
      <c r="AG654" s="27"/>
      <c r="AH654" s="136">
        <v>39308</v>
      </c>
      <c r="AI654" s="10"/>
      <c r="AJ654" s="21"/>
      <c r="AL654" s="21"/>
      <c r="AM654" s="193"/>
      <c r="AN654" s="143"/>
      <c r="AO654" s="189"/>
      <c r="AP654" s="189"/>
    </row>
    <row r="655" spans="3:42" ht="17.25" customHeight="1">
      <c r="C655" s="8" t="s">
        <v>238</v>
      </c>
      <c r="D655" s="2"/>
      <c r="E655" s="20" t="s">
        <v>1951</v>
      </c>
      <c r="F655" s="21"/>
      <c r="H655" s="289">
        <f t="shared" si="42"/>
        <v>1059.45</v>
      </c>
      <c r="I655" s="87"/>
      <c r="J655" s="58"/>
      <c r="K655" s="58">
        <v>1059.45</v>
      </c>
      <c r="L655" s="58"/>
      <c r="M655" s="58"/>
      <c r="N655" s="58"/>
      <c r="O655" s="58"/>
      <c r="P655" s="143"/>
      <c r="Q655" s="143"/>
      <c r="R655" s="143"/>
      <c r="S655" s="143"/>
      <c r="T655" s="58"/>
      <c r="V655" s="258"/>
      <c r="W655" s="624"/>
      <c r="X655" s="624"/>
      <c r="Y655" s="258"/>
      <c r="Z655" s="58"/>
      <c r="AA655" s="336"/>
      <c r="AB655" s="258"/>
      <c r="AC655" s="258"/>
      <c r="AD655" s="258"/>
      <c r="AE655" s="258"/>
      <c r="AF655" s="20"/>
      <c r="AG655" s="27"/>
      <c r="AH655" s="133">
        <v>39351</v>
      </c>
      <c r="AI655" s="10"/>
      <c r="AJ655" s="21"/>
      <c r="AL655" s="21"/>
      <c r="AM655" s="193"/>
      <c r="AN655" s="143"/>
      <c r="AO655" s="189"/>
      <c r="AP655" s="189"/>
    </row>
    <row r="656" spans="3:42" ht="17.25" customHeight="1">
      <c r="C656" s="8" t="s">
        <v>238</v>
      </c>
      <c r="D656" s="2"/>
      <c r="E656" s="20" t="s">
        <v>1952</v>
      </c>
      <c r="F656" s="21"/>
      <c r="H656" s="289">
        <f t="shared" si="42"/>
        <v>3093.13</v>
      </c>
      <c r="I656" s="87"/>
      <c r="J656" s="58"/>
      <c r="K656" s="58">
        <f>SUM(3048.13, 45)</f>
        <v>3093.13</v>
      </c>
      <c r="L656" s="58"/>
      <c r="M656" s="58"/>
      <c r="N656" s="58"/>
      <c r="O656" s="58"/>
      <c r="P656" s="143"/>
      <c r="Q656" s="143"/>
      <c r="R656" s="143"/>
      <c r="S656" s="143"/>
      <c r="T656" s="58"/>
      <c r="V656" s="258"/>
      <c r="W656" s="624"/>
      <c r="X656" s="624"/>
      <c r="Y656" s="258"/>
      <c r="Z656" s="58"/>
      <c r="AA656" s="336"/>
      <c r="AB656" s="258"/>
      <c r="AC656" s="258"/>
      <c r="AD656" s="258"/>
      <c r="AE656" s="258"/>
      <c r="AF656" s="20"/>
      <c r="AG656" s="27"/>
      <c r="AH656" s="133">
        <v>39486</v>
      </c>
      <c r="AI656" s="10"/>
      <c r="AJ656" s="21"/>
      <c r="AL656" s="21"/>
      <c r="AM656" s="193"/>
      <c r="AN656" s="143"/>
      <c r="AO656" s="189"/>
      <c r="AP656" s="189"/>
    </row>
    <row r="657" spans="3:42" ht="17.25" customHeight="1">
      <c r="C657" s="8" t="s">
        <v>238</v>
      </c>
      <c r="D657" s="2"/>
      <c r="E657" s="20" t="s">
        <v>1953</v>
      </c>
      <c r="F657" s="21"/>
      <c r="H657" s="289">
        <f t="shared" si="42"/>
        <v>22158.059999999998</v>
      </c>
      <c r="I657" s="87"/>
      <c r="J657" s="58"/>
      <c r="K657" s="58">
        <f>SUM(10237.33, 11920.73)</f>
        <v>22158.059999999998</v>
      </c>
      <c r="L657" s="58"/>
      <c r="M657" s="58"/>
      <c r="N657" s="58"/>
      <c r="O657" s="58"/>
      <c r="P657" s="143"/>
      <c r="Q657" s="143"/>
      <c r="R657" s="143"/>
      <c r="S657" s="143"/>
      <c r="T657" s="58"/>
      <c r="V657" s="258"/>
      <c r="W657" s="624"/>
      <c r="X657" s="624"/>
      <c r="Y657" s="258"/>
      <c r="Z657" s="58"/>
      <c r="AA657" s="336"/>
      <c r="AB657" s="258"/>
      <c r="AC657" s="258"/>
      <c r="AD657" s="258"/>
      <c r="AE657" s="258"/>
      <c r="AF657" s="20"/>
      <c r="AG657" s="27"/>
      <c r="AH657" s="27">
        <v>39525</v>
      </c>
      <c r="AI657" s="10"/>
      <c r="AJ657" s="21"/>
      <c r="AL657" s="21"/>
      <c r="AM657" s="193"/>
      <c r="AN657" s="143"/>
      <c r="AO657" s="189"/>
      <c r="AP657" s="189"/>
    </row>
    <row r="658" spans="3:42" ht="17.25" customHeight="1">
      <c r="C658" s="8" t="s">
        <v>238</v>
      </c>
      <c r="D658" s="2"/>
      <c r="E658" s="20" t="s">
        <v>1954</v>
      </c>
      <c r="F658" s="21"/>
      <c r="H658" s="289">
        <f t="shared" si="42"/>
        <v>20000</v>
      </c>
      <c r="I658" s="87"/>
      <c r="J658" s="58"/>
      <c r="K658" s="58">
        <v>20000</v>
      </c>
      <c r="L658" s="58"/>
      <c r="M658" s="58"/>
      <c r="N658" s="58"/>
      <c r="O658" s="58"/>
      <c r="P658" s="143"/>
      <c r="Q658" s="143"/>
      <c r="R658" s="143"/>
      <c r="S658" s="143"/>
      <c r="T658" s="58"/>
      <c r="V658" s="258"/>
      <c r="W658" s="624"/>
      <c r="X658" s="624"/>
      <c r="Y658" s="258"/>
      <c r="Z658" s="58"/>
      <c r="AA658" s="336"/>
      <c r="AB658" s="258"/>
      <c r="AC658" s="258"/>
      <c r="AD658" s="258"/>
      <c r="AE658" s="258"/>
      <c r="AF658" s="20"/>
      <c r="AG658" s="258"/>
      <c r="AH658" s="133">
        <v>39486</v>
      </c>
      <c r="AI658" s="10"/>
      <c r="AJ658" s="21"/>
      <c r="AL658" s="21"/>
      <c r="AM658" s="193"/>
      <c r="AN658" s="143"/>
      <c r="AO658" s="189"/>
      <c r="AP658" s="189"/>
    </row>
    <row r="659" spans="3:42" ht="17.25" customHeight="1">
      <c r="C659" s="8" t="s">
        <v>238</v>
      </c>
      <c r="D659" s="2"/>
      <c r="E659" s="20" t="s">
        <v>1955</v>
      </c>
      <c r="F659" s="21"/>
      <c r="H659" s="289">
        <f t="shared" si="42"/>
        <v>616188</v>
      </c>
      <c r="I659" s="286"/>
      <c r="J659" s="58">
        <v>500000</v>
      </c>
      <c r="K659" s="58">
        <v>116188</v>
      </c>
      <c r="L659" s="58"/>
      <c r="M659" s="58"/>
      <c r="N659" s="58"/>
      <c r="O659" s="58"/>
      <c r="P659" s="143"/>
      <c r="Q659" s="143"/>
      <c r="R659" s="143"/>
      <c r="S659" s="143"/>
      <c r="T659" s="58"/>
      <c r="V659" s="258"/>
      <c r="W659" s="624"/>
      <c r="X659" s="624"/>
      <c r="Y659" s="258"/>
      <c r="Z659" s="58"/>
      <c r="AA659" s="336"/>
      <c r="AB659" s="258"/>
      <c r="AC659" s="258"/>
      <c r="AD659" s="258"/>
      <c r="AE659" s="258"/>
      <c r="AF659" s="20"/>
      <c r="AG659" s="27"/>
      <c r="AH659" s="133">
        <v>39596</v>
      </c>
      <c r="AI659" s="10"/>
      <c r="AJ659" s="21"/>
      <c r="AL659" s="21"/>
      <c r="AM659" s="193"/>
      <c r="AN659" s="143"/>
      <c r="AO659" s="189"/>
      <c r="AP659" s="189"/>
    </row>
    <row r="660" spans="3:42" ht="17.25" customHeight="1">
      <c r="C660" s="8" t="s">
        <v>238</v>
      </c>
      <c r="D660" s="2"/>
      <c r="E660" s="20" t="s">
        <v>1956</v>
      </c>
      <c r="F660" s="58"/>
      <c r="G660" s="45"/>
      <c r="H660" s="258">
        <f t="shared" si="42"/>
        <v>346343.42</v>
      </c>
      <c r="I660" s="286"/>
      <c r="J660" s="58">
        <v>225000</v>
      </c>
      <c r="K660" s="58">
        <v>121343.42</v>
      </c>
      <c r="L660" s="58"/>
      <c r="M660" s="58"/>
      <c r="N660" s="58"/>
      <c r="O660" s="58"/>
      <c r="P660" s="58"/>
      <c r="Q660" s="143"/>
      <c r="R660" s="143"/>
      <c r="S660" s="58"/>
      <c r="T660" s="58"/>
      <c r="U660" s="217"/>
      <c r="V660" s="258"/>
      <c r="W660" s="624"/>
      <c r="X660" s="624"/>
      <c r="Y660" s="258"/>
      <c r="Z660" s="58"/>
      <c r="AA660" s="336"/>
      <c r="AB660" s="258"/>
      <c r="AC660" s="258"/>
      <c r="AD660" s="258"/>
      <c r="AE660" s="258"/>
      <c r="AF660" s="20"/>
      <c r="AG660" s="258"/>
      <c r="AH660" s="136">
        <v>39322</v>
      </c>
      <c r="AI660" s="10"/>
      <c r="AJ660" s="21"/>
      <c r="AL660" s="21"/>
      <c r="AM660" s="193"/>
      <c r="AN660" s="143"/>
      <c r="AO660" s="189"/>
      <c r="AP660" s="189"/>
    </row>
    <row r="661" spans="3:42" ht="17.25" customHeight="1">
      <c r="C661" s="8" t="s">
        <v>238</v>
      </c>
      <c r="D661" s="2"/>
      <c r="E661" s="20" t="s">
        <v>1957</v>
      </c>
      <c r="F661" s="21"/>
      <c r="H661" s="289">
        <f t="shared" si="42"/>
        <v>30586.400000000001</v>
      </c>
      <c r="I661" s="286"/>
      <c r="J661" s="143"/>
      <c r="K661" s="58">
        <f>SUM(25000, 5586.4)</f>
        <v>30586.400000000001</v>
      </c>
      <c r="L661" s="58"/>
      <c r="M661" s="58"/>
      <c r="N661" s="58"/>
      <c r="O661" s="58"/>
      <c r="P661" s="143"/>
      <c r="Q661" s="143"/>
      <c r="R661" s="143"/>
      <c r="S661" s="143"/>
      <c r="T661" s="58"/>
      <c r="V661" s="258"/>
      <c r="W661" s="624"/>
      <c r="X661" s="624"/>
      <c r="Y661" s="258"/>
      <c r="Z661" s="58"/>
      <c r="AA661" s="336"/>
      <c r="AB661" s="258"/>
      <c r="AC661" s="258"/>
      <c r="AD661" s="258"/>
      <c r="AE661" s="258"/>
      <c r="AF661" s="20"/>
      <c r="AG661" s="27"/>
      <c r="AH661" s="133">
        <v>39443</v>
      </c>
      <c r="AI661" s="10"/>
      <c r="AJ661" s="21"/>
      <c r="AL661" s="21"/>
      <c r="AM661" s="193"/>
      <c r="AN661" s="143"/>
      <c r="AO661" s="189"/>
      <c r="AP661" s="189"/>
    </row>
    <row r="662" spans="3:42" ht="17.25" customHeight="1">
      <c r="C662" s="8" t="s">
        <v>238</v>
      </c>
      <c r="D662" s="2"/>
      <c r="E662" s="20" t="s">
        <v>1958</v>
      </c>
      <c r="F662" s="21"/>
      <c r="H662" s="289">
        <f t="shared" si="42"/>
        <v>50000</v>
      </c>
      <c r="I662" s="286"/>
      <c r="J662" s="58"/>
      <c r="K662" s="58">
        <v>50000</v>
      </c>
      <c r="L662" s="58"/>
      <c r="M662" s="58"/>
      <c r="N662" s="58"/>
      <c r="O662" s="58"/>
      <c r="P662" s="143"/>
      <c r="Q662" s="143"/>
      <c r="R662" s="143"/>
      <c r="S662" s="143"/>
      <c r="T662" s="58"/>
      <c r="V662" s="258"/>
      <c r="W662" s="624"/>
      <c r="X662" s="624"/>
      <c r="Y662" s="258"/>
      <c r="Z662" s="58"/>
      <c r="AA662" s="336"/>
      <c r="AB662" s="258"/>
      <c r="AC662" s="258"/>
      <c r="AD662" s="258"/>
      <c r="AE662" s="258"/>
      <c r="AF662" s="20"/>
      <c r="AG662" s="27"/>
      <c r="AH662" s="133">
        <v>39532</v>
      </c>
      <c r="AI662" s="10"/>
      <c r="AJ662" s="21"/>
      <c r="AL662" s="21"/>
      <c r="AM662" s="193"/>
      <c r="AN662" s="143"/>
      <c r="AO662" s="189"/>
      <c r="AP662" s="189"/>
    </row>
    <row r="663" spans="3:42" ht="17.25" customHeight="1">
      <c r="C663" s="8" t="s">
        <v>238</v>
      </c>
      <c r="D663" s="2"/>
      <c r="E663" s="20" t="s">
        <v>1959</v>
      </c>
      <c r="F663" s="21"/>
      <c r="H663" s="289">
        <f t="shared" si="42"/>
        <v>907880</v>
      </c>
      <c r="I663" s="286"/>
      <c r="J663" s="58">
        <f>SUM(15000, 8500, 500000)</f>
        <v>523500</v>
      </c>
      <c r="K663" s="58">
        <v>384380</v>
      </c>
      <c r="L663" s="58"/>
      <c r="M663" s="58"/>
      <c r="N663" s="58"/>
      <c r="O663" s="58"/>
      <c r="P663" s="143"/>
      <c r="Q663" s="143"/>
      <c r="R663" s="143"/>
      <c r="S663" s="143"/>
      <c r="T663" s="58"/>
      <c r="V663" s="258"/>
      <c r="W663" s="624"/>
      <c r="X663" s="624"/>
      <c r="Y663" s="258"/>
      <c r="Z663" s="58"/>
      <c r="AA663" s="336"/>
      <c r="AB663" s="258"/>
      <c r="AC663" s="258"/>
      <c r="AD663" s="258"/>
      <c r="AE663" s="258"/>
      <c r="AF663" s="20"/>
      <c r="AG663" s="27"/>
      <c r="AH663" s="133">
        <v>39310</v>
      </c>
      <c r="AI663" s="10"/>
      <c r="AJ663" s="21"/>
      <c r="AL663" s="21"/>
      <c r="AM663" s="193"/>
      <c r="AN663" s="143"/>
      <c r="AO663" s="189"/>
      <c r="AP663" s="189"/>
    </row>
    <row r="664" spans="3:42" ht="17.25" customHeight="1">
      <c r="C664" s="8" t="s">
        <v>238</v>
      </c>
      <c r="D664" s="2"/>
      <c r="E664" s="20" t="s">
        <v>1960</v>
      </c>
      <c r="F664" s="21"/>
      <c r="H664" s="289">
        <f t="shared" si="42"/>
        <v>5000</v>
      </c>
      <c r="I664" s="286"/>
      <c r="J664" s="58"/>
      <c r="K664" s="58">
        <v>5000</v>
      </c>
      <c r="L664" s="143"/>
      <c r="M664" s="58"/>
      <c r="N664" s="143"/>
      <c r="O664" s="58"/>
      <c r="P664" s="143"/>
      <c r="Q664" s="143"/>
      <c r="R664" s="143"/>
      <c r="S664" s="143"/>
      <c r="T664" s="58"/>
      <c r="V664" s="258"/>
      <c r="W664" s="624"/>
      <c r="X664" s="624"/>
      <c r="Y664" s="258"/>
      <c r="Z664" s="58"/>
      <c r="AA664" s="336"/>
      <c r="AB664" s="258"/>
      <c r="AC664" s="258"/>
      <c r="AD664" s="258"/>
      <c r="AE664" s="258"/>
      <c r="AF664" s="20"/>
      <c r="AG664" s="27"/>
      <c r="AH664" s="133">
        <v>39274</v>
      </c>
      <c r="AI664" s="10"/>
      <c r="AJ664" s="21"/>
      <c r="AL664" s="21"/>
      <c r="AM664" s="193"/>
      <c r="AN664" s="143"/>
      <c r="AO664" s="189"/>
      <c r="AP664" s="189"/>
    </row>
    <row r="665" spans="3:42" ht="17.25" customHeight="1">
      <c r="C665" s="8" t="s">
        <v>238</v>
      </c>
      <c r="D665" s="2"/>
      <c r="E665" s="20" t="s">
        <v>1961</v>
      </c>
      <c r="F665" s="21"/>
      <c r="H665" s="289">
        <f t="shared" si="42"/>
        <v>28000</v>
      </c>
      <c r="I665" s="286"/>
      <c r="J665" s="58"/>
      <c r="K665" s="58">
        <v>28000</v>
      </c>
      <c r="L665" s="58"/>
      <c r="M665" s="58"/>
      <c r="N665" s="58"/>
      <c r="O665" s="58"/>
      <c r="P665" s="143"/>
      <c r="Q665" s="143"/>
      <c r="R665" s="143"/>
      <c r="S665" s="143"/>
      <c r="T665" s="58"/>
      <c r="V665" s="258"/>
      <c r="W665" s="624"/>
      <c r="X665" s="624"/>
      <c r="Y665" s="258"/>
      <c r="Z665" s="58"/>
      <c r="AA665" s="336"/>
      <c r="AB665" s="258"/>
      <c r="AC665" s="258"/>
      <c r="AD665" s="258"/>
      <c r="AE665" s="258"/>
      <c r="AF665" s="20"/>
      <c r="AG665" s="27"/>
      <c r="AH665" s="136">
        <v>39385</v>
      </c>
      <c r="AI665" s="10"/>
      <c r="AJ665" s="21"/>
      <c r="AL665" s="21"/>
      <c r="AM665" s="193"/>
      <c r="AN665" s="143"/>
      <c r="AO665" s="189"/>
      <c r="AP665" s="189"/>
    </row>
    <row r="666" spans="3:42" ht="17.25" customHeight="1">
      <c r="C666" s="8" t="s">
        <v>238</v>
      </c>
      <c r="D666" s="2"/>
      <c r="E666" s="20" t="s">
        <v>1962</v>
      </c>
      <c r="F666" s="21"/>
      <c r="H666" s="289">
        <f t="shared" si="42"/>
        <v>12200</v>
      </c>
      <c r="I666" s="286"/>
      <c r="J666" s="58"/>
      <c r="K666" s="58">
        <v>12200</v>
      </c>
      <c r="L666" s="143"/>
      <c r="M666" s="58"/>
      <c r="N666" s="143"/>
      <c r="O666" s="58"/>
      <c r="P666" s="143"/>
      <c r="Q666" s="143"/>
      <c r="R666" s="143"/>
      <c r="S666" s="143"/>
      <c r="T666" s="58"/>
      <c r="V666" s="258"/>
      <c r="W666" s="624"/>
      <c r="X666" s="624"/>
      <c r="Y666" s="258"/>
      <c r="Z666" s="58"/>
      <c r="AA666" s="336"/>
      <c r="AB666" s="258"/>
      <c r="AC666" s="258"/>
      <c r="AD666" s="258"/>
      <c r="AE666" s="258"/>
      <c r="AF666" s="20"/>
      <c r="AG666" s="27"/>
      <c r="AH666" s="27">
        <v>39287</v>
      </c>
      <c r="AI666" s="10"/>
      <c r="AJ666" s="21"/>
      <c r="AL666" s="21"/>
      <c r="AM666" s="193"/>
      <c r="AN666" s="143"/>
      <c r="AO666" s="189"/>
      <c r="AP666" s="189"/>
    </row>
    <row r="667" spans="3:42" ht="17.25" customHeight="1">
      <c r="C667" s="8" t="s">
        <v>238</v>
      </c>
      <c r="D667" s="2"/>
      <c r="E667" s="20" t="s">
        <v>1963</v>
      </c>
      <c r="F667" s="21"/>
      <c r="H667" s="289">
        <f t="shared" si="42"/>
        <v>40000</v>
      </c>
      <c r="I667" s="286"/>
      <c r="J667" s="58"/>
      <c r="K667" s="58">
        <v>40000</v>
      </c>
      <c r="L667" s="58"/>
      <c r="M667" s="58"/>
      <c r="N667" s="58"/>
      <c r="O667" s="58"/>
      <c r="P667" s="143"/>
      <c r="Q667" s="143"/>
      <c r="R667" s="143"/>
      <c r="S667" s="143"/>
      <c r="T667" s="58"/>
      <c r="V667" s="258"/>
      <c r="W667" s="624"/>
      <c r="X667" s="624"/>
      <c r="Y667" s="27"/>
      <c r="Z667" s="133"/>
      <c r="AA667" s="23"/>
      <c r="AB667" s="27"/>
      <c r="AC667" s="27"/>
      <c r="AD667" s="27"/>
      <c r="AE667" s="27"/>
      <c r="AF667" s="27"/>
      <c r="AG667" s="27"/>
      <c r="AH667" s="133">
        <v>39625</v>
      </c>
      <c r="AI667" s="10"/>
      <c r="AJ667" s="21"/>
      <c r="AL667" s="21"/>
      <c r="AM667" s="193"/>
      <c r="AN667" s="143"/>
      <c r="AO667" s="189"/>
      <c r="AP667" s="189"/>
    </row>
    <row r="668" spans="3:42" ht="17.25" customHeight="1">
      <c r="C668" s="8" t="s">
        <v>238</v>
      </c>
      <c r="D668" s="2"/>
      <c r="E668" s="20" t="s">
        <v>1964</v>
      </c>
      <c r="F668" s="21"/>
      <c r="H668" s="289">
        <f t="shared" si="42"/>
        <v>54244.639999999999</v>
      </c>
      <c r="I668" s="286"/>
      <c r="J668" s="58"/>
      <c r="K668" s="58">
        <v>54244.639999999999</v>
      </c>
      <c r="L668" s="58"/>
      <c r="M668" s="58"/>
      <c r="N668" s="58"/>
      <c r="O668" s="58"/>
      <c r="P668" s="143"/>
      <c r="Q668" s="143"/>
      <c r="R668" s="143"/>
      <c r="S668" s="143"/>
      <c r="T668" s="58"/>
      <c r="V668" s="258"/>
      <c r="W668" s="624"/>
      <c r="X668" s="624"/>
      <c r="Y668" s="258"/>
      <c r="Z668" s="58"/>
      <c r="AA668" s="336"/>
      <c r="AB668" s="258"/>
      <c r="AC668" s="258"/>
      <c r="AD668" s="258"/>
      <c r="AE668" s="258"/>
      <c r="AF668" s="20"/>
      <c r="AG668" s="27"/>
      <c r="AH668" s="133">
        <v>39532</v>
      </c>
      <c r="AI668" s="10"/>
      <c r="AJ668" s="21"/>
      <c r="AL668" s="21"/>
      <c r="AM668" s="193"/>
      <c r="AN668" s="143"/>
      <c r="AO668" s="189"/>
      <c r="AP668" s="189"/>
    </row>
    <row r="669" spans="3:42" ht="17.25" customHeight="1">
      <c r="C669" s="8" t="s">
        <v>238</v>
      </c>
      <c r="D669" s="2"/>
      <c r="E669" s="20" t="s">
        <v>1965</v>
      </c>
      <c r="F669" s="21"/>
      <c r="H669" s="289">
        <f t="shared" si="42"/>
        <v>50000</v>
      </c>
      <c r="I669" s="286"/>
      <c r="J669" s="58"/>
      <c r="K669" s="58">
        <v>50000</v>
      </c>
      <c r="L669" s="58"/>
      <c r="M669" s="58"/>
      <c r="N669" s="58"/>
      <c r="O669" s="58"/>
      <c r="P669" s="143"/>
      <c r="Q669" s="143"/>
      <c r="R669" s="143"/>
      <c r="S669" s="143"/>
      <c r="T669" s="58"/>
      <c r="V669" s="258"/>
      <c r="W669" s="624"/>
      <c r="X669" s="624"/>
      <c r="Y669" s="258"/>
      <c r="Z669" s="58"/>
      <c r="AA669" s="336"/>
      <c r="AB669" s="258"/>
      <c r="AC669" s="258"/>
      <c r="AD669" s="258"/>
      <c r="AE669" s="258"/>
      <c r="AF669" s="20"/>
      <c r="AG669" s="27"/>
      <c r="AH669" s="133">
        <v>39548</v>
      </c>
      <c r="AI669" s="10"/>
      <c r="AJ669" s="21"/>
      <c r="AL669" s="21"/>
      <c r="AM669" s="193"/>
      <c r="AN669" s="143"/>
      <c r="AO669" s="189"/>
      <c r="AP669" s="189"/>
    </row>
    <row r="670" spans="3:42" ht="17.25" customHeight="1">
      <c r="C670" s="8" t="s">
        <v>238</v>
      </c>
      <c r="D670" s="2"/>
      <c r="E670" s="20" t="s">
        <v>1966</v>
      </c>
      <c r="F670" s="21"/>
      <c r="H670" s="289">
        <f t="shared" si="42"/>
        <v>45788.12</v>
      </c>
      <c r="I670" s="286">
        <v>33000</v>
      </c>
      <c r="J670" s="58">
        <v>9188</v>
      </c>
      <c r="K670" s="58">
        <v>3600.12</v>
      </c>
      <c r="L670" s="58"/>
      <c r="M670" s="58"/>
      <c r="N670" s="58"/>
      <c r="O670" s="58"/>
      <c r="P670" s="143"/>
      <c r="Q670" s="143"/>
      <c r="R670" s="143"/>
      <c r="S670" s="143"/>
      <c r="T670" s="58"/>
      <c r="V670" s="258"/>
      <c r="W670" s="624"/>
      <c r="X670" s="624"/>
      <c r="Y670" s="258"/>
      <c r="Z670" s="58"/>
      <c r="AA670" s="336"/>
      <c r="AB670" s="258"/>
      <c r="AC670" s="258"/>
      <c r="AD670" s="258"/>
      <c r="AE670" s="258"/>
      <c r="AF670" s="20"/>
      <c r="AG670" s="258"/>
      <c r="AH670" s="133">
        <v>39624</v>
      </c>
      <c r="AI670" s="10"/>
      <c r="AJ670" s="21"/>
      <c r="AL670" s="21"/>
      <c r="AM670" s="193"/>
      <c r="AN670" s="143"/>
      <c r="AO670" s="189"/>
      <c r="AP670" s="189"/>
    </row>
    <row r="671" spans="3:42" ht="17.25" customHeight="1">
      <c r="C671" s="8" t="s">
        <v>238</v>
      </c>
      <c r="D671" s="2"/>
      <c r="E671" s="20" t="s">
        <v>1967</v>
      </c>
      <c r="F671" s="21"/>
      <c r="H671" s="289">
        <f t="shared" si="42"/>
        <v>1500</v>
      </c>
      <c r="I671" s="286"/>
      <c r="J671" s="58"/>
      <c r="K671" s="58">
        <v>1500</v>
      </c>
      <c r="L671" s="58"/>
      <c r="M671" s="58"/>
      <c r="N671" s="58"/>
      <c r="O671" s="58"/>
      <c r="P671" s="143"/>
      <c r="Q671" s="143"/>
      <c r="R671" s="143"/>
      <c r="S671" s="143"/>
      <c r="T671" s="58"/>
      <c r="V671" s="258"/>
      <c r="W671" s="624"/>
      <c r="X671" s="624"/>
      <c r="Y671" s="258"/>
      <c r="Z671" s="58"/>
      <c r="AA671" s="336"/>
      <c r="AB671" s="258"/>
      <c r="AC671" s="258"/>
      <c r="AD671" s="258"/>
      <c r="AE671" s="258"/>
      <c r="AF671" s="20"/>
      <c r="AG671" s="27"/>
      <c r="AH671" s="9">
        <v>39357</v>
      </c>
      <c r="AI671" s="10"/>
      <c r="AJ671" s="21"/>
      <c r="AL671" s="21"/>
      <c r="AM671" s="193"/>
      <c r="AN671" s="143"/>
      <c r="AO671" s="189"/>
      <c r="AP671" s="189"/>
    </row>
    <row r="672" spans="3:42" ht="17.25" customHeight="1">
      <c r="C672" s="8" t="s">
        <v>238</v>
      </c>
      <c r="D672" s="2"/>
      <c r="E672" s="20" t="s">
        <v>1968</v>
      </c>
      <c r="F672" s="21"/>
      <c r="H672" s="289">
        <f t="shared" si="42"/>
        <v>25000</v>
      </c>
      <c r="I672" s="286"/>
      <c r="J672" s="143"/>
      <c r="K672" s="58">
        <v>25000</v>
      </c>
      <c r="L672" s="58"/>
      <c r="M672" s="58"/>
      <c r="N672" s="58"/>
      <c r="O672" s="58"/>
      <c r="P672" s="143"/>
      <c r="Q672" s="143"/>
      <c r="R672" s="143"/>
      <c r="S672" s="143"/>
      <c r="T672" s="58"/>
      <c r="V672" s="258"/>
      <c r="W672" s="624"/>
      <c r="X672" s="624"/>
      <c r="Y672" s="258"/>
      <c r="Z672" s="58"/>
      <c r="AA672" s="336"/>
      <c r="AB672" s="258"/>
      <c r="AC672" s="258"/>
      <c r="AD672" s="258"/>
      <c r="AE672" s="258"/>
      <c r="AF672" s="20"/>
      <c r="AG672" s="27"/>
      <c r="AH672" s="133">
        <v>39520</v>
      </c>
      <c r="AI672" s="10"/>
      <c r="AJ672" s="21"/>
      <c r="AL672" s="21"/>
      <c r="AM672" s="193"/>
      <c r="AN672" s="143"/>
      <c r="AO672" s="189"/>
      <c r="AP672" s="189"/>
    </row>
    <row r="673" spans="3:42" ht="17.25" customHeight="1">
      <c r="C673" s="8" t="s">
        <v>238</v>
      </c>
      <c r="D673" s="2"/>
      <c r="E673" s="20" t="s">
        <v>1969</v>
      </c>
      <c r="F673" s="21"/>
      <c r="H673" s="289">
        <f t="shared" si="42"/>
        <v>18508.23</v>
      </c>
      <c r="I673" s="87"/>
      <c r="J673" s="143"/>
      <c r="K673" s="58">
        <v>18508.23</v>
      </c>
      <c r="L673" s="58"/>
      <c r="M673" s="58"/>
      <c r="N673" s="58"/>
      <c r="O673" s="58"/>
      <c r="P673" s="143"/>
      <c r="Q673" s="143"/>
      <c r="R673" s="143"/>
      <c r="S673" s="143"/>
      <c r="T673" s="58"/>
      <c r="V673" s="258"/>
      <c r="W673" s="624"/>
      <c r="X673" s="624"/>
      <c r="Y673" s="258"/>
      <c r="Z673" s="58"/>
      <c r="AA673" s="336"/>
      <c r="AB673" s="258"/>
      <c r="AC673" s="258"/>
      <c r="AD673" s="258"/>
      <c r="AE673" s="258"/>
      <c r="AF673" s="20"/>
      <c r="AG673" s="27"/>
      <c r="AH673" s="133">
        <v>39346</v>
      </c>
      <c r="AI673" s="10"/>
      <c r="AJ673" s="21"/>
      <c r="AL673" s="21"/>
      <c r="AM673" s="193"/>
      <c r="AN673" s="143"/>
      <c r="AO673" s="189"/>
      <c r="AP673" s="189"/>
    </row>
    <row r="674" spans="3:42" ht="17.25" customHeight="1">
      <c r="C674" s="8" t="s">
        <v>238</v>
      </c>
      <c r="D674" s="2"/>
      <c r="E674" s="20" t="s">
        <v>1970</v>
      </c>
      <c r="F674" s="58"/>
      <c r="G674" s="253"/>
      <c r="H674" s="296">
        <f t="shared" si="42"/>
        <v>191551.72</v>
      </c>
      <c r="I674" s="287">
        <f>SUM(25000, 80000)</f>
        <v>105000</v>
      </c>
      <c r="J674" s="252"/>
      <c r="K674" s="58">
        <v>86551.72</v>
      </c>
      <c r="L674" s="58"/>
      <c r="M674" s="58"/>
      <c r="N674" s="58"/>
      <c r="O674" s="58"/>
      <c r="P674" s="58"/>
      <c r="Q674" s="143"/>
      <c r="R674" s="143"/>
      <c r="S674" s="58"/>
      <c r="T674" s="58"/>
      <c r="U674" s="217"/>
      <c r="V674" s="296"/>
      <c r="W674" s="705"/>
      <c r="X674" s="705"/>
      <c r="Y674" s="58"/>
      <c r="Z674" s="58"/>
      <c r="AA674" s="258"/>
      <c r="AB674" s="58"/>
      <c r="AC674" s="58"/>
      <c r="AD674" s="58"/>
      <c r="AE674" s="58"/>
      <c r="AF674" s="21"/>
      <c r="AG674" s="133"/>
      <c r="AH674" s="136">
        <v>39430</v>
      </c>
      <c r="AI674" s="10"/>
      <c r="AJ674" s="21"/>
      <c r="AL674" s="21"/>
      <c r="AM674" s="193"/>
      <c r="AN674" s="143"/>
      <c r="AO674" s="189"/>
      <c r="AP674" s="189"/>
    </row>
    <row r="675" spans="3:42" ht="17.25" customHeight="1" thickBot="1">
      <c r="C675" s="97" t="s">
        <v>1971</v>
      </c>
      <c r="D675" s="97"/>
      <c r="E675" s="97"/>
      <c r="F675" s="98"/>
      <c r="G675" s="191"/>
      <c r="H675" s="191"/>
      <c r="I675" s="82"/>
      <c r="J675" s="191"/>
      <c r="K675" s="191"/>
      <c r="L675" s="191"/>
      <c r="M675" s="191"/>
      <c r="N675" s="191"/>
      <c r="O675" s="191"/>
      <c r="P675" s="191"/>
      <c r="Q675" s="191"/>
      <c r="R675" s="191"/>
      <c r="S675" s="191"/>
      <c r="T675" s="99"/>
      <c r="U675" s="99"/>
      <c r="V675" s="99"/>
      <c r="W675" s="98"/>
      <c r="X675" s="98"/>
      <c r="Y675" s="98"/>
      <c r="Z675" s="98"/>
      <c r="AA675" s="98"/>
      <c r="AB675" s="98"/>
      <c r="AC675" s="98"/>
      <c r="AD675" s="98"/>
      <c r="AE675" s="98"/>
      <c r="AF675" s="98"/>
      <c r="AG675" s="98"/>
      <c r="AH675" s="98"/>
      <c r="AI675" s="98"/>
      <c r="AJ675" s="98"/>
      <c r="AK675" s="98"/>
      <c r="AL675" s="98"/>
      <c r="AM675" s="82"/>
      <c r="AN675" s="98"/>
      <c r="AO675" s="98"/>
      <c r="AP675" s="98"/>
    </row>
    <row r="676" spans="3:42" ht="17.25" customHeight="1">
      <c r="C676" s="8" t="s">
        <v>238</v>
      </c>
      <c r="D676" s="2"/>
      <c r="E676" s="20" t="s">
        <v>1972</v>
      </c>
      <c r="F676" s="21"/>
      <c r="G676" s="281"/>
      <c r="H676" s="294">
        <f t="shared" si="42"/>
        <v>4792.07</v>
      </c>
      <c r="I676" s="87"/>
      <c r="J676" s="58">
        <v>4792.07</v>
      </c>
      <c r="K676" s="58"/>
      <c r="L676" s="45"/>
      <c r="M676" s="58"/>
      <c r="N676" s="45"/>
      <c r="O676" s="58"/>
      <c r="P676" s="143"/>
      <c r="Q676" s="143"/>
      <c r="R676" s="143"/>
      <c r="T676" s="58"/>
      <c r="U676" s="258"/>
      <c r="V676" s="295"/>
      <c r="W676" s="624"/>
      <c r="X676" s="624"/>
      <c r="Y676" s="295"/>
      <c r="Z676" s="58"/>
      <c r="AA676" s="336"/>
      <c r="AB676" s="295"/>
      <c r="AC676" s="258"/>
      <c r="AD676" s="258"/>
      <c r="AE676" s="258"/>
      <c r="AF676" s="20"/>
      <c r="AG676" s="27"/>
      <c r="AH676" s="133">
        <v>39241</v>
      </c>
      <c r="AI676" s="10"/>
      <c r="AJ676" s="21"/>
      <c r="AL676" s="21"/>
      <c r="AM676" s="193"/>
      <c r="AN676" s="143"/>
      <c r="AO676" s="189"/>
      <c r="AP676" s="189"/>
    </row>
    <row r="677" spans="3:42" ht="17.25" customHeight="1">
      <c r="C677" s="8" t="s">
        <v>238</v>
      </c>
      <c r="D677" s="2"/>
      <c r="E677" s="20" t="s">
        <v>1973</v>
      </c>
      <c r="F677" s="21"/>
      <c r="G677" s="281"/>
      <c r="H677" s="289">
        <f t="shared" si="42"/>
        <v>4000</v>
      </c>
      <c r="I677" s="286">
        <v>2000</v>
      </c>
      <c r="J677" s="58">
        <v>2000</v>
      </c>
      <c r="K677" s="58"/>
      <c r="L677" s="45"/>
      <c r="M677" s="58"/>
      <c r="N677" s="45"/>
      <c r="O677" s="58"/>
      <c r="P677" s="143"/>
      <c r="Q677" s="143"/>
      <c r="R677" s="143"/>
      <c r="T677" s="58"/>
      <c r="U677" s="258"/>
      <c r="V677" s="258"/>
      <c r="W677" s="624"/>
      <c r="X677" s="624"/>
      <c r="Y677" s="258"/>
      <c r="Z677" s="58"/>
      <c r="AA677" s="336"/>
      <c r="AB677" s="258"/>
      <c r="AC677" s="258"/>
      <c r="AD677" s="258"/>
      <c r="AE677" s="258"/>
      <c r="AF677" s="20"/>
      <c r="AG677" s="27"/>
      <c r="AH677" s="133">
        <v>39111</v>
      </c>
      <c r="AI677" s="10"/>
      <c r="AJ677" s="21"/>
      <c r="AL677" s="21"/>
      <c r="AM677" s="193"/>
      <c r="AN677" s="143"/>
      <c r="AO677" s="189"/>
      <c r="AP677" s="189"/>
    </row>
    <row r="678" spans="3:42" ht="17.25" customHeight="1">
      <c r="C678" s="8" t="s">
        <v>238</v>
      </c>
      <c r="D678" s="2"/>
      <c r="E678" s="20" t="s">
        <v>1974</v>
      </c>
      <c r="F678" s="21"/>
      <c r="G678" s="281"/>
      <c r="H678" s="289">
        <f t="shared" si="42"/>
        <v>1125</v>
      </c>
      <c r="I678" s="286"/>
      <c r="J678" s="58">
        <v>1125</v>
      </c>
      <c r="K678" s="58"/>
      <c r="L678" s="45"/>
      <c r="M678" s="58"/>
      <c r="N678" s="45"/>
      <c r="O678" s="58"/>
      <c r="P678" s="143"/>
      <c r="Q678" s="143"/>
      <c r="R678" s="143"/>
      <c r="T678" s="58"/>
      <c r="U678" s="258"/>
      <c r="V678" s="258"/>
      <c r="W678" s="624"/>
      <c r="X678" s="624"/>
      <c r="Y678" s="258"/>
      <c r="Z678" s="58"/>
      <c r="AA678" s="336"/>
      <c r="AB678" s="258"/>
      <c r="AC678" s="258"/>
      <c r="AD678" s="258"/>
      <c r="AE678" s="258"/>
      <c r="AF678" s="20"/>
      <c r="AG678" s="258"/>
      <c r="AH678" s="133">
        <v>39224</v>
      </c>
      <c r="AI678" s="10"/>
      <c r="AJ678" s="21"/>
      <c r="AL678" s="21"/>
      <c r="AM678" s="193"/>
      <c r="AN678" s="143"/>
      <c r="AO678" s="189"/>
      <c r="AP678" s="189"/>
    </row>
    <row r="679" spans="3:42" ht="17.25" customHeight="1">
      <c r="C679" s="8" t="s">
        <v>238</v>
      </c>
      <c r="D679" s="2"/>
      <c r="E679" s="20" t="s">
        <v>1975</v>
      </c>
      <c r="F679" s="21"/>
      <c r="H679" s="289">
        <f t="shared" si="42"/>
        <v>123.63999999999999</v>
      </c>
      <c r="I679" s="286">
        <f>SUM(13.19,50.51)</f>
        <v>63.699999999999996</v>
      </c>
      <c r="J679" s="58">
        <v>59.94</v>
      </c>
      <c r="K679" s="58"/>
      <c r="M679" s="58"/>
      <c r="N679" s="58"/>
      <c r="O679" s="58"/>
      <c r="P679" s="143"/>
      <c r="Q679" s="143"/>
      <c r="R679" s="143"/>
      <c r="S679" s="143"/>
      <c r="T679" s="58"/>
      <c r="V679" s="258"/>
      <c r="W679" s="624"/>
      <c r="X679" s="624"/>
      <c r="Y679" s="258"/>
      <c r="Z679" s="58"/>
      <c r="AA679" s="336"/>
      <c r="AB679" s="258"/>
      <c r="AC679" s="258"/>
      <c r="AD679" s="258"/>
      <c r="AE679" s="258"/>
      <c r="AF679" s="20"/>
      <c r="AG679" s="27"/>
      <c r="AH679" s="133">
        <v>38986</v>
      </c>
      <c r="AI679" s="10"/>
      <c r="AJ679" s="21"/>
      <c r="AL679" s="21"/>
      <c r="AM679" s="193"/>
      <c r="AN679" s="143"/>
      <c r="AO679" s="189"/>
      <c r="AP679" s="189"/>
    </row>
    <row r="680" spans="3:42" ht="17.25" customHeight="1">
      <c r="C680" s="8" t="s">
        <v>238</v>
      </c>
      <c r="D680" s="2"/>
      <c r="E680" s="20" t="s">
        <v>1976</v>
      </c>
      <c r="F680" s="21"/>
      <c r="H680" s="289">
        <f t="shared" si="42"/>
        <v>7500</v>
      </c>
      <c r="I680" s="286"/>
      <c r="J680" s="58">
        <v>7500</v>
      </c>
      <c r="K680" s="58"/>
      <c r="L680" s="58"/>
      <c r="M680" s="58"/>
      <c r="N680" s="58"/>
      <c r="O680" s="58"/>
      <c r="P680" s="143"/>
      <c r="Q680" s="143"/>
      <c r="R680" s="143"/>
      <c r="S680" s="143"/>
      <c r="T680" s="58"/>
      <c r="V680" s="258"/>
      <c r="W680" s="624"/>
      <c r="X680" s="624"/>
      <c r="Y680" s="258"/>
      <c r="Z680" s="58"/>
      <c r="AA680" s="336"/>
      <c r="AB680" s="258"/>
      <c r="AC680" s="258"/>
      <c r="AD680" s="258"/>
      <c r="AE680" s="258"/>
      <c r="AF680" s="20"/>
      <c r="AG680" s="27"/>
      <c r="AH680" s="133">
        <v>39213</v>
      </c>
      <c r="AI680" s="10"/>
      <c r="AJ680" s="21"/>
      <c r="AL680" s="21"/>
      <c r="AM680" s="193"/>
      <c r="AN680" s="143"/>
      <c r="AO680" s="189"/>
      <c r="AP680" s="189"/>
    </row>
    <row r="681" spans="3:42" ht="17.25" customHeight="1">
      <c r="C681" s="8" t="s">
        <v>238</v>
      </c>
      <c r="D681" s="2"/>
      <c r="E681" s="20" t="s">
        <v>1977</v>
      </c>
      <c r="F681" s="21"/>
      <c r="H681" s="289">
        <f t="shared" si="42"/>
        <v>15383.66</v>
      </c>
      <c r="I681" s="286"/>
      <c r="J681" s="58">
        <f>SUM(12750, 2250, 383.66)</f>
        <v>15383.66</v>
      </c>
      <c r="K681" s="58"/>
      <c r="L681" s="143"/>
      <c r="M681" s="58"/>
      <c r="N681" s="143"/>
      <c r="O681" s="58"/>
      <c r="P681" s="143"/>
      <c r="Q681" s="143"/>
      <c r="R681" s="143"/>
      <c r="S681" s="143"/>
      <c r="T681" s="58"/>
      <c r="V681" s="258"/>
      <c r="W681" s="624"/>
      <c r="X681" s="624"/>
      <c r="Y681" s="258"/>
      <c r="Z681" s="58"/>
      <c r="AA681" s="336"/>
      <c r="AB681" s="258"/>
      <c r="AC681" s="258"/>
      <c r="AD681" s="258"/>
      <c r="AE681" s="258"/>
      <c r="AF681" s="20"/>
      <c r="AG681" s="27"/>
      <c r="AH681" s="133">
        <v>39090</v>
      </c>
      <c r="AI681" s="10"/>
      <c r="AJ681" s="21"/>
      <c r="AL681" s="21"/>
      <c r="AM681" s="193"/>
      <c r="AN681" s="143"/>
      <c r="AO681" s="189"/>
      <c r="AP681" s="189"/>
    </row>
    <row r="682" spans="3:42" ht="17.25" customHeight="1">
      <c r="C682" s="8" t="s">
        <v>238</v>
      </c>
      <c r="D682" s="2"/>
      <c r="E682" s="20" t="s">
        <v>1978</v>
      </c>
      <c r="F682" s="21"/>
      <c r="H682" s="289">
        <f t="shared" ref="H682:H729" si="43">SUM(I682:U682)</f>
        <v>31989.5</v>
      </c>
      <c r="I682" s="87"/>
      <c r="J682" s="58">
        <v>31989.5</v>
      </c>
      <c r="K682" s="58"/>
      <c r="L682" s="58"/>
      <c r="M682" s="58"/>
      <c r="N682" s="58"/>
      <c r="O682" s="58"/>
      <c r="P682" s="143"/>
      <c r="Q682" s="143"/>
      <c r="R682" s="143"/>
      <c r="S682" s="143"/>
      <c r="T682" s="58"/>
      <c r="V682" s="258"/>
      <c r="W682" s="624"/>
      <c r="X682" s="624"/>
      <c r="Y682" s="258"/>
      <c r="Z682" s="58"/>
      <c r="AA682" s="336"/>
      <c r="AB682" s="258"/>
      <c r="AC682" s="258"/>
      <c r="AD682" s="258"/>
      <c r="AE682" s="258"/>
      <c r="AF682" s="20"/>
      <c r="AG682" s="27"/>
      <c r="AH682" s="133">
        <v>39244</v>
      </c>
      <c r="AI682" s="10"/>
      <c r="AJ682" s="21"/>
      <c r="AL682" s="21"/>
      <c r="AM682" s="193"/>
      <c r="AN682" s="143"/>
      <c r="AO682" s="189"/>
      <c r="AP682" s="189"/>
    </row>
    <row r="683" spans="3:42" ht="17.25" customHeight="1">
      <c r="C683" s="8" t="s">
        <v>238</v>
      </c>
      <c r="D683" s="2"/>
      <c r="E683" s="20" t="s">
        <v>1979</v>
      </c>
      <c r="F683" s="21"/>
      <c r="H683" s="289">
        <f t="shared" si="43"/>
        <v>7559.47</v>
      </c>
      <c r="I683" s="87"/>
      <c r="J683" s="58">
        <v>7559.47</v>
      </c>
      <c r="K683" s="58"/>
      <c r="L683" s="58"/>
      <c r="M683" s="58"/>
      <c r="N683" s="58"/>
      <c r="O683" s="58"/>
      <c r="P683" s="143"/>
      <c r="Q683" s="143"/>
      <c r="R683" s="143"/>
      <c r="S683" s="143"/>
      <c r="T683" s="58"/>
      <c r="V683" s="258"/>
      <c r="W683" s="624"/>
      <c r="X683" s="624"/>
      <c r="Y683" s="258"/>
      <c r="Z683" s="58"/>
      <c r="AA683" s="336"/>
      <c r="AB683" s="258"/>
      <c r="AC683" s="258"/>
      <c r="AD683" s="258"/>
      <c r="AE683" s="258"/>
      <c r="AF683" s="20"/>
      <c r="AG683" s="27">
        <v>34376</v>
      </c>
      <c r="AH683" s="133">
        <v>39232</v>
      </c>
      <c r="AI683" s="10">
        <f t="shared" ref="AI683" si="44">(YEAR(AH683)-YEAR(AG683))*12+MONTH(AH683)-MONTH(AG683)</f>
        <v>159</v>
      </c>
      <c r="AJ683" s="21"/>
      <c r="AL683" s="21"/>
      <c r="AM683" s="193"/>
      <c r="AN683" s="143"/>
      <c r="AO683" s="189"/>
      <c r="AP683" s="189"/>
    </row>
    <row r="684" spans="3:42" ht="17.25" customHeight="1">
      <c r="C684" s="8" t="s">
        <v>238</v>
      </c>
      <c r="D684" s="2"/>
      <c r="E684" s="20" t="s">
        <v>1980</v>
      </c>
      <c r="F684" s="21"/>
      <c r="H684" s="289">
        <f t="shared" si="43"/>
        <v>860</v>
      </c>
      <c r="I684" s="286">
        <f>SUM(215, 215)</f>
        <v>430</v>
      </c>
      <c r="J684" s="58">
        <f>SUM(215, 215)</f>
        <v>430</v>
      </c>
      <c r="K684" s="58"/>
      <c r="L684" s="58"/>
      <c r="M684" s="58"/>
      <c r="N684" s="58"/>
      <c r="O684" s="58"/>
      <c r="P684" s="143"/>
      <c r="Q684" s="143"/>
      <c r="R684" s="143"/>
      <c r="S684" s="143"/>
      <c r="T684" s="58"/>
      <c r="V684" s="258"/>
      <c r="W684" s="624"/>
      <c r="X684" s="624"/>
      <c r="Y684" s="258"/>
      <c r="Z684" s="58"/>
      <c r="AA684" s="336"/>
      <c r="AB684" s="258"/>
      <c r="AC684" s="258"/>
      <c r="AD684" s="258"/>
      <c r="AE684" s="258"/>
      <c r="AF684" s="20"/>
      <c r="AG684" s="27"/>
      <c r="AH684" s="133">
        <v>39078</v>
      </c>
      <c r="AI684" s="10"/>
      <c r="AJ684" s="21"/>
      <c r="AL684" s="21"/>
      <c r="AM684" s="193"/>
      <c r="AN684" s="143"/>
      <c r="AO684" s="189"/>
      <c r="AP684" s="189"/>
    </row>
    <row r="685" spans="3:42" ht="17.25" customHeight="1">
      <c r="C685" s="8" t="s">
        <v>238</v>
      </c>
      <c r="D685" s="2"/>
      <c r="E685" s="20" t="s">
        <v>1981</v>
      </c>
      <c r="F685" s="21"/>
      <c r="H685" s="289">
        <f t="shared" si="43"/>
        <v>2000</v>
      </c>
      <c r="I685" s="286"/>
      <c r="J685" s="58">
        <v>2000</v>
      </c>
      <c r="K685" s="58"/>
      <c r="L685" s="58"/>
      <c r="M685" s="58"/>
      <c r="N685" s="58"/>
      <c r="O685" s="58"/>
      <c r="P685" s="143"/>
      <c r="Q685" s="143"/>
      <c r="R685" s="143"/>
      <c r="S685" s="143"/>
      <c r="T685" s="58"/>
      <c r="V685" s="258"/>
      <c r="W685" s="624"/>
      <c r="X685" s="624"/>
      <c r="Y685" s="258"/>
      <c r="Z685" s="58"/>
      <c r="AA685" s="336"/>
      <c r="AB685" s="258"/>
      <c r="AC685" s="258"/>
      <c r="AD685" s="258"/>
      <c r="AE685" s="258"/>
      <c r="AF685" s="20"/>
      <c r="AG685" s="27"/>
      <c r="AH685" s="27">
        <v>39224</v>
      </c>
      <c r="AI685" s="10"/>
      <c r="AJ685" s="21"/>
      <c r="AL685" s="21"/>
      <c r="AM685" s="193"/>
      <c r="AN685" s="143"/>
      <c r="AO685" s="189"/>
      <c r="AP685" s="189"/>
    </row>
    <row r="686" spans="3:42" ht="17.25" customHeight="1">
      <c r="C686" s="8" t="s">
        <v>238</v>
      </c>
      <c r="D686" s="2"/>
      <c r="E686" s="20" t="s">
        <v>1982</v>
      </c>
      <c r="F686" s="21"/>
      <c r="H686" s="289">
        <f t="shared" si="43"/>
        <v>5000</v>
      </c>
      <c r="I686" s="286"/>
      <c r="J686" s="58">
        <v>5000</v>
      </c>
      <c r="K686" s="58"/>
      <c r="L686" s="58"/>
      <c r="M686" s="58"/>
      <c r="N686" s="58"/>
      <c r="O686" s="58"/>
      <c r="P686" s="143"/>
      <c r="Q686" s="143"/>
      <c r="R686" s="143"/>
      <c r="S686" s="143"/>
      <c r="T686" s="58"/>
      <c r="V686" s="258"/>
      <c r="W686" s="624"/>
      <c r="X686" s="624"/>
      <c r="Y686" s="258"/>
      <c r="Z686" s="58"/>
      <c r="AA686" s="336"/>
      <c r="AB686" s="258"/>
      <c r="AC686" s="258"/>
      <c r="AD686" s="258"/>
      <c r="AE686" s="258"/>
      <c r="AF686" s="20"/>
      <c r="AG686" s="27"/>
      <c r="AH686" s="133">
        <v>39155</v>
      </c>
      <c r="AI686" s="10"/>
      <c r="AJ686" s="21"/>
      <c r="AL686" s="21"/>
      <c r="AM686" s="193"/>
      <c r="AN686" s="143"/>
      <c r="AO686" s="189"/>
      <c r="AP686" s="189"/>
    </row>
    <row r="687" spans="3:42" ht="17.25" customHeight="1">
      <c r="C687" s="8" t="s">
        <v>238</v>
      </c>
      <c r="D687" s="2"/>
      <c r="E687" s="20" t="s">
        <v>1983</v>
      </c>
      <c r="F687" s="21"/>
      <c r="H687" s="289">
        <f t="shared" si="43"/>
        <v>3093.22</v>
      </c>
      <c r="I687" s="286"/>
      <c r="J687" s="58">
        <v>3093.22</v>
      </c>
      <c r="K687" s="58"/>
      <c r="L687" s="58"/>
      <c r="M687" s="58"/>
      <c r="N687" s="58"/>
      <c r="O687" s="58"/>
      <c r="P687" s="143"/>
      <c r="Q687" s="143"/>
      <c r="R687" s="143"/>
      <c r="S687" s="143"/>
      <c r="T687" s="58"/>
      <c r="V687" s="258"/>
      <c r="W687" s="624"/>
      <c r="X687" s="624"/>
      <c r="Y687" s="258"/>
      <c r="Z687" s="58"/>
      <c r="AA687" s="336"/>
      <c r="AB687" s="258"/>
      <c r="AC687" s="258"/>
      <c r="AD687" s="258"/>
      <c r="AE687" s="258"/>
      <c r="AF687" s="20"/>
      <c r="AG687" s="27"/>
      <c r="AH687" s="136">
        <v>39052</v>
      </c>
      <c r="AI687" s="10"/>
      <c r="AJ687" s="21"/>
      <c r="AL687" s="21"/>
      <c r="AM687" s="193"/>
      <c r="AN687" s="143"/>
      <c r="AO687" s="189"/>
      <c r="AP687" s="189"/>
    </row>
    <row r="688" spans="3:42" ht="17.25" customHeight="1">
      <c r="C688" s="8" t="s">
        <v>238</v>
      </c>
      <c r="D688" s="2"/>
      <c r="E688" s="20" t="s">
        <v>1984</v>
      </c>
      <c r="F688" s="58"/>
      <c r="G688" s="45"/>
      <c r="H688" s="258">
        <f t="shared" si="43"/>
        <v>1000</v>
      </c>
      <c r="I688" s="286"/>
      <c r="J688" s="58">
        <v>1000</v>
      </c>
      <c r="K688" s="58"/>
      <c r="L688" s="58"/>
      <c r="M688" s="58"/>
      <c r="N688" s="58"/>
      <c r="O688" s="58"/>
      <c r="P688" s="58"/>
      <c r="Q688" s="143"/>
      <c r="R688" s="143"/>
      <c r="S688" s="58"/>
      <c r="T688" s="58"/>
      <c r="U688" s="217"/>
      <c r="V688" s="258"/>
      <c r="W688" s="624"/>
      <c r="X688" s="624"/>
      <c r="Y688" s="258"/>
      <c r="Z688" s="58"/>
      <c r="AA688" s="336"/>
      <c r="AB688" s="258"/>
      <c r="AC688" s="258"/>
      <c r="AD688" s="258"/>
      <c r="AE688" s="258"/>
      <c r="AF688" s="20"/>
      <c r="AG688" s="258"/>
      <c r="AH688" s="136">
        <v>38992</v>
      </c>
      <c r="AI688" s="10"/>
      <c r="AJ688" s="21"/>
      <c r="AL688" s="21"/>
      <c r="AM688" s="193"/>
      <c r="AN688" s="143"/>
      <c r="AO688" s="189"/>
      <c r="AP688" s="189"/>
    </row>
    <row r="689" spans="3:42" ht="17.25" customHeight="1">
      <c r="C689" s="8" t="s">
        <v>238</v>
      </c>
      <c r="D689" s="2"/>
      <c r="E689" s="20" t="s">
        <v>1985</v>
      </c>
      <c r="F689" s="21"/>
      <c r="H689" s="289">
        <f t="shared" si="43"/>
        <v>43589.2</v>
      </c>
      <c r="I689" s="286"/>
      <c r="J689" s="58">
        <v>43589.2</v>
      </c>
      <c r="K689" s="58"/>
      <c r="L689" s="58"/>
      <c r="M689" s="58"/>
      <c r="N689" s="58"/>
      <c r="O689" s="58"/>
      <c r="P689" s="143"/>
      <c r="Q689" s="143"/>
      <c r="R689" s="143"/>
      <c r="S689" s="143"/>
      <c r="T689" s="58"/>
      <c r="V689" s="258"/>
      <c r="W689" s="624"/>
      <c r="X689" s="624"/>
      <c r="Y689" s="258"/>
      <c r="Z689" s="58"/>
      <c r="AA689" s="336"/>
      <c r="AB689" s="258"/>
      <c r="AC689" s="258"/>
      <c r="AD689" s="258"/>
      <c r="AE689" s="258"/>
      <c r="AF689" s="20"/>
      <c r="AG689" s="27"/>
      <c r="AH689" s="133">
        <v>38975</v>
      </c>
      <c r="AI689" s="10"/>
      <c r="AJ689" s="21"/>
      <c r="AL689" s="21"/>
      <c r="AM689" s="193"/>
      <c r="AN689" s="143"/>
      <c r="AO689" s="189"/>
      <c r="AP689" s="189"/>
    </row>
    <row r="690" spans="3:42" ht="17.25" customHeight="1">
      <c r="C690" s="8" t="s">
        <v>238</v>
      </c>
      <c r="D690" s="2"/>
      <c r="E690" s="20" t="s">
        <v>1986</v>
      </c>
      <c r="F690" s="21"/>
      <c r="H690" s="289">
        <f t="shared" si="43"/>
        <v>20</v>
      </c>
      <c r="I690" s="286"/>
      <c r="J690" s="58">
        <v>20</v>
      </c>
      <c r="K690" s="58"/>
      <c r="L690" s="143"/>
      <c r="M690" s="58"/>
      <c r="N690" s="143"/>
      <c r="O690" s="58"/>
      <c r="P690" s="143"/>
      <c r="Q690" s="143"/>
      <c r="R690" s="143"/>
      <c r="S690" s="143"/>
      <c r="T690" s="58"/>
      <c r="V690" s="258"/>
      <c r="W690" s="624"/>
      <c r="X690" s="624"/>
      <c r="Y690" s="258"/>
      <c r="Z690" s="58"/>
      <c r="AA690" s="336"/>
      <c r="AB690" s="258"/>
      <c r="AC690" s="258"/>
      <c r="AD690" s="258"/>
      <c r="AE690" s="258"/>
      <c r="AF690" s="20"/>
      <c r="AG690" s="258"/>
      <c r="AH690" s="27">
        <v>38929</v>
      </c>
      <c r="AI690" s="10"/>
      <c r="AJ690" s="21"/>
      <c r="AL690" s="21"/>
      <c r="AM690" s="193"/>
      <c r="AN690" s="143"/>
      <c r="AO690" s="189"/>
      <c r="AP690" s="189"/>
    </row>
    <row r="691" spans="3:42" ht="17.25" customHeight="1">
      <c r="C691" s="8" t="s">
        <v>238</v>
      </c>
      <c r="D691" s="2"/>
      <c r="E691" s="20" t="s">
        <v>1987</v>
      </c>
      <c r="F691" s="21"/>
      <c r="H691" s="289">
        <f t="shared" si="43"/>
        <v>101704.03</v>
      </c>
      <c r="I691" s="286"/>
      <c r="J691" s="58">
        <v>101704.03</v>
      </c>
      <c r="K691" s="58"/>
      <c r="L691" s="58"/>
      <c r="M691" s="58"/>
      <c r="N691" s="58"/>
      <c r="O691" s="58"/>
      <c r="P691" s="143"/>
      <c r="Q691" s="143"/>
      <c r="R691" s="143"/>
      <c r="S691" s="143"/>
      <c r="T691" s="58"/>
      <c r="V691" s="258"/>
      <c r="W691" s="624"/>
      <c r="X691" s="624"/>
      <c r="Y691" s="258"/>
      <c r="Z691" s="58"/>
      <c r="AA691" s="336"/>
      <c r="AB691" s="258"/>
      <c r="AC691" s="258"/>
      <c r="AD691" s="258"/>
      <c r="AE691" s="258"/>
      <c r="AF691" s="20"/>
      <c r="AG691" s="27"/>
      <c r="AH691" s="133">
        <v>39182</v>
      </c>
      <c r="AI691" s="10"/>
      <c r="AJ691" s="21"/>
      <c r="AL691" s="21"/>
      <c r="AM691" s="193"/>
      <c r="AN691" s="143"/>
      <c r="AO691" s="189"/>
      <c r="AP691" s="189"/>
    </row>
    <row r="692" spans="3:42" ht="17.25" customHeight="1">
      <c r="C692" s="8" t="s">
        <v>238</v>
      </c>
      <c r="D692" s="2"/>
      <c r="E692" s="20" t="s">
        <v>1988</v>
      </c>
      <c r="F692" s="58"/>
      <c r="G692" s="253"/>
      <c r="H692" s="296">
        <f t="shared" si="43"/>
        <v>61.88</v>
      </c>
      <c r="I692" s="286"/>
      <c r="J692" s="58">
        <v>61.88</v>
      </c>
      <c r="K692" s="58"/>
      <c r="L692" s="58"/>
      <c r="M692" s="58"/>
      <c r="N692" s="58"/>
      <c r="O692" s="58"/>
      <c r="P692" s="58"/>
      <c r="Q692" s="143"/>
      <c r="R692" s="143"/>
      <c r="S692" s="58"/>
      <c r="T692" s="58"/>
      <c r="U692" s="217"/>
      <c r="V692" s="296"/>
      <c r="W692" s="705"/>
      <c r="X692" s="705"/>
      <c r="Y692" s="258"/>
      <c r="Z692" s="58"/>
      <c r="AA692" s="336"/>
      <c r="AB692" s="258"/>
      <c r="AC692" s="258"/>
      <c r="AD692" s="258"/>
      <c r="AE692" s="258"/>
      <c r="AF692" s="20"/>
      <c r="AG692" s="27"/>
      <c r="AH692" s="136">
        <v>39057</v>
      </c>
      <c r="AI692" s="10"/>
      <c r="AJ692" s="21"/>
      <c r="AL692" s="21"/>
      <c r="AM692" s="193"/>
      <c r="AN692" s="143"/>
      <c r="AO692" s="189"/>
      <c r="AP692" s="189"/>
    </row>
    <row r="693" spans="3:42" ht="17.25" customHeight="1">
      <c r="C693" s="8" t="s">
        <v>238</v>
      </c>
      <c r="D693" s="2"/>
      <c r="E693" s="20" t="s">
        <v>1989</v>
      </c>
      <c r="F693" s="21"/>
      <c r="H693" s="289">
        <f t="shared" si="43"/>
        <v>777.86</v>
      </c>
      <c r="I693" s="286">
        <f>SUM(473.95, 129.45)</f>
        <v>603.4</v>
      </c>
      <c r="J693" s="58">
        <v>174.46</v>
      </c>
      <c r="K693" s="58"/>
      <c r="L693" s="58"/>
      <c r="M693" s="58"/>
      <c r="N693" s="58"/>
      <c r="O693" s="58"/>
      <c r="P693" s="143"/>
      <c r="Q693" s="143"/>
      <c r="R693" s="143"/>
      <c r="S693" s="143"/>
      <c r="T693" s="58"/>
      <c r="V693" s="258"/>
      <c r="W693" s="624"/>
      <c r="X693" s="624"/>
      <c r="Y693" s="258"/>
      <c r="Z693" s="58"/>
      <c r="AA693" s="336"/>
      <c r="AB693" s="258"/>
      <c r="AC693" s="258"/>
      <c r="AD693" s="258"/>
      <c r="AE693" s="258"/>
      <c r="AF693" s="20"/>
      <c r="AG693" s="27"/>
      <c r="AH693" s="136">
        <v>38973</v>
      </c>
      <c r="AI693" s="10"/>
      <c r="AJ693" s="21"/>
      <c r="AL693" s="21"/>
      <c r="AM693" s="193"/>
      <c r="AN693" s="143"/>
      <c r="AO693" s="189"/>
      <c r="AP693" s="189"/>
    </row>
    <row r="694" spans="3:42" ht="17.25" customHeight="1">
      <c r="C694" s="8" t="s">
        <v>238</v>
      </c>
      <c r="D694" s="2"/>
      <c r="E694" s="20" t="s">
        <v>1990</v>
      </c>
      <c r="F694" s="21"/>
      <c r="H694" s="289">
        <f t="shared" si="43"/>
        <v>10000</v>
      </c>
      <c r="I694" s="87"/>
      <c r="J694" s="58">
        <v>10000</v>
      </c>
      <c r="K694" s="58"/>
      <c r="L694" s="58"/>
      <c r="M694" s="58"/>
      <c r="N694" s="58"/>
      <c r="O694" s="58"/>
      <c r="P694" s="143"/>
      <c r="Q694" s="143"/>
      <c r="R694" s="143"/>
      <c r="S694" s="143"/>
      <c r="T694" s="58"/>
      <c r="V694" s="258"/>
      <c r="W694" s="624"/>
      <c r="X694" s="624"/>
      <c r="Y694" s="258"/>
      <c r="Z694" s="58"/>
      <c r="AA694" s="336"/>
      <c r="AB694" s="258"/>
      <c r="AC694" s="258"/>
      <c r="AD694" s="258"/>
      <c r="AE694" s="258"/>
      <c r="AF694" s="20"/>
      <c r="AG694" s="27"/>
      <c r="AH694" s="133">
        <v>39206</v>
      </c>
      <c r="AI694" s="10"/>
      <c r="AJ694" s="21"/>
      <c r="AL694" s="21"/>
      <c r="AM694" s="193"/>
      <c r="AN694" s="143"/>
      <c r="AO694" s="189"/>
      <c r="AP694" s="189"/>
    </row>
    <row r="695" spans="3:42" ht="17.25" customHeight="1">
      <c r="C695" s="8" t="s">
        <v>238</v>
      </c>
      <c r="D695" s="2"/>
      <c r="E695" s="20" t="s">
        <v>1991</v>
      </c>
      <c r="F695" s="21"/>
      <c r="H695" s="289">
        <f t="shared" si="43"/>
        <v>26327.75</v>
      </c>
      <c r="I695" s="87"/>
      <c r="J695" s="58">
        <v>26327.75</v>
      </c>
      <c r="K695" s="58"/>
      <c r="L695" s="58"/>
      <c r="M695" s="58"/>
      <c r="N695" s="58"/>
      <c r="O695" s="58"/>
      <c r="P695" s="143"/>
      <c r="Q695" s="143"/>
      <c r="R695" s="143"/>
      <c r="S695" s="143"/>
      <c r="T695" s="58"/>
      <c r="V695" s="258"/>
      <c r="W695" s="624"/>
      <c r="X695" s="624"/>
      <c r="Y695" s="258"/>
      <c r="Z695" s="58"/>
      <c r="AA695" s="336"/>
      <c r="AB695" s="258"/>
      <c r="AC695" s="258"/>
      <c r="AD695" s="258"/>
      <c r="AE695" s="258"/>
      <c r="AF695" s="20"/>
      <c r="AG695" s="27"/>
      <c r="AH695" s="133">
        <v>39261</v>
      </c>
      <c r="AI695" s="10"/>
      <c r="AJ695" s="21"/>
      <c r="AL695" s="21"/>
      <c r="AM695" s="193"/>
      <c r="AN695" s="143"/>
      <c r="AO695" s="189"/>
      <c r="AP695" s="189"/>
    </row>
    <row r="696" spans="3:42" ht="17.25" customHeight="1">
      <c r="C696" s="8" t="s">
        <v>238</v>
      </c>
      <c r="D696" s="2"/>
      <c r="E696" s="20" t="s">
        <v>1992</v>
      </c>
      <c r="F696" s="21"/>
      <c r="H696" s="289">
        <f t="shared" si="43"/>
        <v>20869.169999999998</v>
      </c>
      <c r="I696" s="286">
        <v>9986</v>
      </c>
      <c r="J696" s="58">
        <f>SUM(9800, 1083.17)</f>
        <v>10883.17</v>
      </c>
      <c r="K696" s="58"/>
      <c r="L696" s="58"/>
      <c r="M696" s="58"/>
      <c r="N696" s="58"/>
      <c r="O696" s="58"/>
      <c r="P696" s="143"/>
      <c r="Q696" s="143"/>
      <c r="R696" s="143"/>
      <c r="S696" s="143"/>
      <c r="T696" s="58"/>
      <c r="V696" s="258"/>
      <c r="W696" s="624"/>
      <c r="X696" s="624"/>
      <c r="Y696" s="258"/>
      <c r="Z696" s="58"/>
      <c r="AA696" s="336"/>
      <c r="AB696" s="258"/>
      <c r="AC696" s="258"/>
      <c r="AD696" s="258"/>
      <c r="AE696" s="258"/>
      <c r="AF696" s="20"/>
      <c r="AG696" s="27"/>
      <c r="AH696" s="136">
        <v>39147</v>
      </c>
      <c r="AI696" s="10"/>
      <c r="AJ696" s="21"/>
      <c r="AL696" s="21"/>
      <c r="AM696" s="193"/>
      <c r="AN696" s="143"/>
      <c r="AO696" s="189"/>
      <c r="AP696" s="189"/>
    </row>
    <row r="697" spans="3:42" ht="17.25" customHeight="1">
      <c r="C697" s="8" t="s">
        <v>238</v>
      </c>
      <c r="D697" s="2"/>
      <c r="E697" s="20" t="s">
        <v>1993</v>
      </c>
      <c r="F697" s="21"/>
      <c r="H697" s="289">
        <f t="shared" si="43"/>
        <v>2976.19</v>
      </c>
      <c r="I697" s="286"/>
      <c r="J697" s="58">
        <v>2976.19</v>
      </c>
      <c r="K697" s="58"/>
      <c r="L697" s="58"/>
      <c r="M697" s="58"/>
      <c r="N697" s="58"/>
      <c r="O697" s="58"/>
      <c r="P697" s="143"/>
      <c r="Q697" s="143"/>
      <c r="R697" s="143"/>
      <c r="S697" s="143"/>
      <c r="T697" s="58"/>
      <c r="V697" s="258"/>
      <c r="W697" s="624"/>
      <c r="X697" s="624"/>
      <c r="Y697" s="258"/>
      <c r="Z697" s="58"/>
      <c r="AA697" s="336"/>
      <c r="AB697" s="258"/>
      <c r="AC697" s="258"/>
      <c r="AD697" s="258"/>
      <c r="AE697" s="258"/>
      <c r="AF697" s="20"/>
      <c r="AG697" s="27"/>
      <c r="AH697" s="9">
        <v>39029</v>
      </c>
      <c r="AI697" s="10"/>
      <c r="AJ697" s="21"/>
      <c r="AL697" s="21"/>
      <c r="AM697" s="193"/>
      <c r="AN697" s="143"/>
      <c r="AO697" s="189"/>
      <c r="AP697" s="189"/>
    </row>
    <row r="698" spans="3:42" ht="17.25" customHeight="1">
      <c r="C698" s="8" t="s">
        <v>238</v>
      </c>
      <c r="D698" s="2"/>
      <c r="E698" s="20" t="s">
        <v>1994</v>
      </c>
      <c r="F698" s="21"/>
      <c r="H698" s="289">
        <f t="shared" si="43"/>
        <v>20000</v>
      </c>
      <c r="I698" s="286"/>
      <c r="J698" s="58">
        <v>20000</v>
      </c>
      <c r="K698" s="58"/>
      <c r="L698" s="58"/>
      <c r="M698" s="58"/>
      <c r="N698" s="58"/>
      <c r="O698" s="58"/>
      <c r="P698" s="143"/>
      <c r="Q698" s="143"/>
      <c r="R698" s="143"/>
      <c r="S698" s="143"/>
      <c r="T698" s="58"/>
      <c r="V698" s="258"/>
      <c r="W698" s="624"/>
      <c r="X698" s="624"/>
      <c r="Y698" s="258"/>
      <c r="Z698" s="58"/>
      <c r="AA698" s="336"/>
      <c r="AB698" s="258"/>
      <c r="AC698" s="258"/>
      <c r="AD698" s="258"/>
      <c r="AE698" s="258"/>
      <c r="AF698" s="20"/>
      <c r="AG698" s="27"/>
      <c r="AH698" s="133">
        <v>39009</v>
      </c>
      <c r="AI698" s="10"/>
      <c r="AJ698" s="21"/>
      <c r="AL698" s="21"/>
      <c r="AM698" s="193"/>
      <c r="AN698" s="143"/>
      <c r="AO698" s="189"/>
      <c r="AP698" s="189"/>
    </row>
    <row r="699" spans="3:42" ht="17.25" customHeight="1">
      <c r="C699" s="8" t="s">
        <v>238</v>
      </c>
      <c r="D699" s="2"/>
      <c r="E699" s="20" t="s">
        <v>1995</v>
      </c>
      <c r="F699" s="21"/>
      <c r="H699" s="289">
        <f t="shared" si="43"/>
        <v>10000</v>
      </c>
      <c r="I699" s="286"/>
      <c r="J699" s="58">
        <v>10000</v>
      </c>
      <c r="K699" s="58"/>
      <c r="L699" s="58"/>
      <c r="M699" s="58"/>
      <c r="N699" s="58"/>
      <c r="O699" s="58"/>
      <c r="P699" s="143"/>
      <c r="Q699" s="143"/>
      <c r="R699" s="143"/>
      <c r="S699" s="143"/>
      <c r="T699" s="58"/>
      <c r="V699" s="258"/>
      <c r="W699" s="624"/>
      <c r="X699" s="624"/>
      <c r="Y699" s="258"/>
      <c r="Z699" s="58"/>
      <c r="AA699" s="336"/>
      <c r="AB699" s="258"/>
      <c r="AC699" s="258"/>
      <c r="AD699" s="258"/>
      <c r="AE699" s="258"/>
      <c r="AF699" s="20"/>
      <c r="AG699" s="27"/>
      <c r="AH699" s="27">
        <v>39066</v>
      </c>
      <c r="AI699" s="10"/>
      <c r="AJ699" s="21"/>
      <c r="AL699" s="21"/>
      <c r="AM699" s="193"/>
      <c r="AN699" s="143"/>
      <c r="AO699" s="189"/>
      <c r="AP699" s="189"/>
    </row>
    <row r="700" spans="3:42" ht="17.25" customHeight="1">
      <c r="C700" s="8" t="s">
        <v>238</v>
      </c>
      <c r="D700" s="2"/>
      <c r="E700" s="20" t="s">
        <v>1996</v>
      </c>
      <c r="F700" s="21"/>
      <c r="H700" s="289">
        <f t="shared" si="43"/>
        <v>53993.45</v>
      </c>
      <c r="I700" s="286"/>
      <c r="J700" s="58">
        <v>53993.45</v>
      </c>
      <c r="K700" s="58"/>
      <c r="L700" s="143"/>
      <c r="M700" s="58"/>
      <c r="N700" s="143"/>
      <c r="O700" s="58"/>
      <c r="P700" s="143"/>
      <c r="Q700" s="143"/>
      <c r="R700" s="143"/>
      <c r="S700" s="143"/>
      <c r="T700" s="58"/>
      <c r="V700" s="258"/>
      <c r="W700" s="624"/>
      <c r="X700" s="624"/>
      <c r="Y700" s="258"/>
      <c r="Z700" s="58"/>
      <c r="AA700" s="336"/>
      <c r="AB700" s="258"/>
      <c r="AC700" s="258"/>
      <c r="AD700" s="258"/>
      <c r="AE700" s="258"/>
      <c r="AF700" s="20"/>
      <c r="AG700" s="27"/>
      <c r="AH700" s="133">
        <v>38945</v>
      </c>
      <c r="AI700" s="10"/>
      <c r="AJ700" s="21"/>
      <c r="AL700" s="21"/>
      <c r="AM700" s="193"/>
      <c r="AN700" s="143"/>
      <c r="AO700" s="189"/>
      <c r="AP700" s="189"/>
    </row>
    <row r="701" spans="3:42" ht="17.25" customHeight="1">
      <c r="C701" s="8" t="s">
        <v>238</v>
      </c>
      <c r="D701" s="2"/>
      <c r="E701" s="20" t="s">
        <v>1997</v>
      </c>
      <c r="F701" s="21"/>
      <c r="H701" s="289">
        <f t="shared" si="43"/>
        <v>14748.829999999998</v>
      </c>
      <c r="I701" s="286"/>
      <c r="J701" s="58">
        <f>SUM(36.63, 121.15, 5911.16, 8506.48, 173.41)</f>
        <v>14748.829999999998</v>
      </c>
      <c r="K701" s="58"/>
      <c r="L701" s="58"/>
      <c r="M701" s="58"/>
      <c r="N701" s="58"/>
      <c r="O701" s="58"/>
      <c r="P701" s="143"/>
      <c r="Q701" s="143"/>
      <c r="R701" s="143"/>
      <c r="S701" s="143"/>
      <c r="T701" s="58"/>
      <c r="V701" s="258"/>
      <c r="W701" s="624"/>
      <c r="X701" s="624"/>
      <c r="Y701" s="258"/>
      <c r="Z701" s="58"/>
      <c r="AA701" s="336"/>
      <c r="AB701" s="258"/>
      <c r="AC701" s="258"/>
      <c r="AD701" s="258"/>
      <c r="AE701" s="258"/>
      <c r="AF701" s="20"/>
      <c r="AG701" s="27"/>
      <c r="AH701" s="133">
        <v>39013</v>
      </c>
      <c r="AI701" s="10"/>
      <c r="AJ701" s="21"/>
      <c r="AL701" s="21"/>
      <c r="AM701" s="193"/>
      <c r="AN701" s="143"/>
      <c r="AO701" s="189"/>
      <c r="AP701" s="189"/>
    </row>
    <row r="702" spans="3:42" ht="17.25" customHeight="1" thickBot="1">
      <c r="C702" s="97" t="s">
        <v>1998</v>
      </c>
      <c r="D702" s="97"/>
      <c r="E702" s="97"/>
      <c r="F702" s="98"/>
      <c r="G702" s="191"/>
      <c r="H702" s="191"/>
      <c r="I702" s="82"/>
      <c r="J702" s="191"/>
      <c r="K702" s="191"/>
      <c r="L702" s="191"/>
      <c r="M702" s="191"/>
      <c r="N702" s="191"/>
      <c r="O702" s="191"/>
      <c r="P702" s="191"/>
      <c r="Q702" s="191"/>
      <c r="R702" s="191"/>
      <c r="S702" s="191"/>
      <c r="T702" s="99"/>
      <c r="U702" s="99"/>
      <c r="V702" s="99"/>
      <c r="W702" s="98"/>
      <c r="X702" s="98"/>
      <c r="Y702" s="98"/>
      <c r="Z702" s="98"/>
      <c r="AA702" s="98"/>
      <c r="AB702" s="98"/>
      <c r="AC702" s="98"/>
      <c r="AD702" s="98"/>
      <c r="AE702" s="98"/>
      <c r="AF702" s="98"/>
      <c r="AG702" s="98"/>
      <c r="AH702" s="98"/>
      <c r="AI702" s="98"/>
      <c r="AJ702" s="98"/>
      <c r="AK702" s="98"/>
      <c r="AL702" s="98"/>
      <c r="AM702" s="82"/>
      <c r="AN702" s="98"/>
      <c r="AO702" s="98"/>
      <c r="AP702" s="98"/>
    </row>
    <row r="703" spans="3:42" ht="17.25" customHeight="1">
      <c r="C703" s="8" t="s">
        <v>238</v>
      </c>
      <c r="D703" s="2"/>
      <c r="E703" s="20" t="s">
        <v>1999</v>
      </c>
      <c r="F703" s="21"/>
      <c r="G703" s="281"/>
      <c r="H703" s="294">
        <f t="shared" si="43"/>
        <v>65</v>
      </c>
      <c r="I703" s="286">
        <v>65</v>
      </c>
      <c r="J703" s="58"/>
      <c r="K703" s="58"/>
      <c r="L703" s="58"/>
      <c r="M703" s="58"/>
      <c r="N703" s="58"/>
      <c r="O703" s="58"/>
      <c r="P703" s="58"/>
      <c r="Q703" s="58"/>
      <c r="R703" s="58"/>
      <c r="S703" s="58"/>
      <c r="T703" s="58"/>
      <c r="U703" s="58"/>
      <c r="V703" s="295"/>
      <c r="W703" s="624"/>
      <c r="X703" s="624"/>
      <c r="Y703" s="295"/>
      <c r="Z703" s="58"/>
      <c r="AA703" s="336"/>
      <c r="AB703" s="295"/>
      <c r="AC703" s="258"/>
      <c r="AD703" s="258"/>
      <c r="AE703" s="258"/>
      <c r="AF703" s="20"/>
      <c r="AG703" s="27"/>
      <c r="AH703" s="133">
        <v>38551</v>
      </c>
      <c r="AI703" s="10"/>
      <c r="AJ703" s="21"/>
      <c r="AL703" s="21"/>
      <c r="AM703" s="193"/>
      <c r="AN703" s="143"/>
      <c r="AO703" s="189"/>
      <c r="AP703" s="189"/>
    </row>
    <row r="704" spans="3:42" ht="17.25" customHeight="1">
      <c r="C704" s="8" t="s">
        <v>238</v>
      </c>
      <c r="D704" s="2"/>
      <c r="E704" s="20" t="s">
        <v>2000</v>
      </c>
      <c r="F704" s="21"/>
      <c r="G704" s="281"/>
      <c r="H704" s="289">
        <f t="shared" si="43"/>
        <v>1025.2</v>
      </c>
      <c r="I704" s="286">
        <f>SUM(512.6, 512.6)</f>
        <v>1025.2</v>
      </c>
      <c r="J704" s="58"/>
      <c r="K704" s="58"/>
      <c r="L704" s="58"/>
      <c r="M704" s="58"/>
      <c r="N704" s="58"/>
      <c r="O704" s="58"/>
      <c r="P704" s="58"/>
      <c r="Q704" s="58"/>
      <c r="R704" s="58"/>
      <c r="S704" s="58"/>
      <c r="T704" s="58"/>
      <c r="U704" s="58"/>
      <c r="V704" s="258"/>
      <c r="W704" s="624"/>
      <c r="X704" s="624"/>
      <c r="Y704" s="258"/>
      <c r="Z704" s="58"/>
      <c r="AA704" s="336"/>
      <c r="AB704" s="258"/>
      <c r="AC704" s="258"/>
      <c r="AD704" s="258"/>
      <c r="AE704" s="258"/>
      <c r="AF704" s="20"/>
      <c r="AG704" s="258"/>
      <c r="AH704" s="133">
        <v>38567</v>
      </c>
      <c r="AI704" s="10"/>
      <c r="AJ704" s="21"/>
      <c r="AL704" s="21"/>
      <c r="AM704" s="193"/>
      <c r="AN704" s="143"/>
      <c r="AO704" s="189"/>
      <c r="AP704" s="189"/>
    </row>
    <row r="705" spans="3:42" ht="17.25" customHeight="1">
      <c r="C705" s="8" t="s">
        <v>238</v>
      </c>
      <c r="D705" s="2"/>
      <c r="E705" s="20" t="s">
        <v>2001</v>
      </c>
      <c r="F705" s="21"/>
      <c r="G705" s="281"/>
      <c r="H705" s="289">
        <f t="shared" si="43"/>
        <v>12913.2</v>
      </c>
      <c r="I705" s="286">
        <f>SUM(6456.6, 6456.6)</f>
        <v>12913.2</v>
      </c>
      <c r="J705" s="58"/>
      <c r="K705" s="58"/>
      <c r="L705" s="58"/>
      <c r="M705" s="58"/>
      <c r="N705" s="58"/>
      <c r="O705" s="58"/>
      <c r="P705" s="58"/>
      <c r="Q705" s="58"/>
      <c r="R705" s="58"/>
      <c r="S705" s="58"/>
      <c r="T705" s="58"/>
      <c r="U705" s="58"/>
      <c r="V705" s="258"/>
      <c r="W705" s="624"/>
      <c r="X705" s="624"/>
      <c r="Y705" s="258"/>
      <c r="Z705" s="58"/>
      <c r="AA705" s="336"/>
      <c r="AB705" s="258"/>
      <c r="AC705" s="258"/>
      <c r="AD705" s="258"/>
      <c r="AE705" s="258"/>
      <c r="AF705" s="20"/>
      <c r="AG705" s="27"/>
      <c r="AH705" s="133">
        <v>38567</v>
      </c>
      <c r="AI705" s="10"/>
      <c r="AJ705" s="21"/>
      <c r="AL705" s="21"/>
      <c r="AM705" s="193"/>
      <c r="AN705" s="143"/>
      <c r="AO705" s="189"/>
      <c r="AP705" s="189"/>
    </row>
    <row r="706" spans="3:42" ht="17.25" customHeight="1">
      <c r="C706" s="8" t="s">
        <v>238</v>
      </c>
      <c r="D706" s="2"/>
      <c r="E706" s="255" t="s">
        <v>2002</v>
      </c>
      <c r="F706" s="21"/>
      <c r="H706" s="289">
        <f t="shared" si="43"/>
        <v>30000</v>
      </c>
      <c r="I706" s="286">
        <v>30000</v>
      </c>
      <c r="J706" s="58"/>
      <c r="K706" s="58"/>
      <c r="L706" s="58"/>
      <c r="M706" s="58"/>
      <c r="N706" s="58"/>
      <c r="O706" s="58"/>
      <c r="P706" s="58"/>
      <c r="Q706" s="58"/>
      <c r="R706" s="58"/>
      <c r="S706" s="58"/>
      <c r="T706" s="58"/>
      <c r="U706" s="58"/>
      <c r="V706" s="258"/>
      <c r="W706" s="624"/>
      <c r="X706" s="624"/>
      <c r="Y706" s="258"/>
      <c r="Z706" s="58"/>
      <c r="AA706" s="336"/>
      <c r="AB706" s="258"/>
      <c r="AC706" s="258"/>
      <c r="AD706" s="258"/>
      <c r="AE706" s="258"/>
      <c r="AF706" s="20"/>
      <c r="AG706" s="27"/>
      <c r="AH706" s="133">
        <v>38581</v>
      </c>
      <c r="AI706" s="10"/>
      <c r="AJ706" s="21"/>
      <c r="AL706" s="21"/>
      <c r="AM706" s="193"/>
      <c r="AN706" s="143"/>
      <c r="AO706" s="189"/>
      <c r="AP706" s="189"/>
    </row>
    <row r="707" spans="3:42" ht="17.25" customHeight="1">
      <c r="C707" s="8" t="s">
        <v>238</v>
      </c>
      <c r="D707" s="2"/>
      <c r="E707" s="20" t="s">
        <v>2003</v>
      </c>
      <c r="F707" s="21"/>
      <c r="H707" s="289">
        <f t="shared" si="43"/>
        <v>37.549999999999997</v>
      </c>
      <c r="I707" s="286">
        <v>37.549999999999997</v>
      </c>
      <c r="J707" s="58"/>
      <c r="K707" s="58"/>
      <c r="L707" s="58"/>
      <c r="M707" s="58"/>
      <c r="N707" s="58"/>
      <c r="O707" s="58"/>
      <c r="P707" s="58"/>
      <c r="Q707" s="58"/>
      <c r="R707" s="58"/>
      <c r="S707" s="58"/>
      <c r="T707" s="58"/>
      <c r="U707" s="58"/>
      <c r="V707" s="258"/>
      <c r="W707" s="624"/>
      <c r="X707" s="624"/>
      <c r="Y707" s="258"/>
      <c r="Z707" s="58"/>
      <c r="AA707" s="336"/>
      <c r="AB707" s="258"/>
      <c r="AC707" s="258"/>
      <c r="AD707" s="258"/>
      <c r="AE707" s="258"/>
      <c r="AF707" s="20"/>
      <c r="AG707" s="27"/>
      <c r="AH707" s="136">
        <v>38593</v>
      </c>
      <c r="AI707" s="10"/>
      <c r="AJ707" s="21"/>
      <c r="AL707" s="21"/>
      <c r="AM707" s="193"/>
      <c r="AN707" s="143"/>
      <c r="AO707" s="189"/>
      <c r="AP707" s="189"/>
    </row>
    <row r="708" spans="3:42" ht="17.25" customHeight="1">
      <c r="C708" s="8" t="s">
        <v>238</v>
      </c>
      <c r="D708" s="2"/>
      <c r="E708" s="20" t="s">
        <v>2004</v>
      </c>
      <c r="F708" s="21"/>
      <c r="H708" s="289">
        <f t="shared" si="43"/>
        <v>111.82</v>
      </c>
      <c r="I708" s="286">
        <v>111.82</v>
      </c>
      <c r="J708" s="58"/>
      <c r="K708" s="58"/>
      <c r="L708" s="58"/>
      <c r="M708" s="58"/>
      <c r="N708" s="58"/>
      <c r="O708" s="58"/>
      <c r="P708" s="58"/>
      <c r="Q708" s="58"/>
      <c r="R708" s="58"/>
      <c r="S708" s="58"/>
      <c r="T708" s="58"/>
      <c r="U708" s="58"/>
      <c r="V708" s="258"/>
      <c r="W708" s="624"/>
      <c r="X708" s="624"/>
      <c r="Y708" s="258"/>
      <c r="Z708" s="58"/>
      <c r="AA708" s="336"/>
      <c r="AB708" s="258"/>
      <c r="AC708" s="258"/>
      <c r="AD708" s="258"/>
      <c r="AE708" s="258"/>
      <c r="AF708" s="20"/>
      <c r="AG708" s="27"/>
      <c r="AH708" s="133">
        <v>38618</v>
      </c>
      <c r="AI708" s="10"/>
      <c r="AJ708" s="21"/>
      <c r="AL708" s="21"/>
      <c r="AM708" s="193"/>
      <c r="AN708" s="143"/>
      <c r="AO708" s="189"/>
      <c r="AP708" s="189"/>
    </row>
    <row r="709" spans="3:42" ht="17.25" customHeight="1">
      <c r="C709" s="8" t="s">
        <v>238</v>
      </c>
      <c r="D709" s="2"/>
      <c r="E709" s="20" t="s">
        <v>2005</v>
      </c>
      <c r="F709" s="21"/>
      <c r="H709" s="289">
        <f t="shared" si="43"/>
        <v>430</v>
      </c>
      <c r="I709" s="286">
        <f>SUM(215, 215)</f>
        <v>430</v>
      </c>
      <c r="J709" s="58"/>
      <c r="K709" s="58"/>
      <c r="L709" s="58"/>
      <c r="M709" s="58"/>
      <c r="N709" s="58"/>
      <c r="O709" s="58"/>
      <c r="P709" s="58"/>
      <c r="Q709" s="58"/>
      <c r="R709" s="58"/>
      <c r="S709" s="58"/>
      <c r="T709" s="58"/>
      <c r="U709" s="58"/>
      <c r="V709" s="258"/>
      <c r="W709" s="624"/>
      <c r="X709" s="624"/>
      <c r="Y709" s="258"/>
      <c r="Z709" s="58"/>
      <c r="AA709" s="336"/>
      <c r="AB709" s="258"/>
      <c r="AC709" s="258"/>
      <c r="AD709" s="258"/>
      <c r="AE709" s="258"/>
      <c r="AF709" s="20"/>
      <c r="AG709" s="27"/>
      <c r="AH709" s="133">
        <v>38622</v>
      </c>
      <c r="AI709" s="10"/>
      <c r="AJ709" s="21"/>
      <c r="AL709" s="21"/>
      <c r="AM709" s="193"/>
      <c r="AN709" s="143"/>
      <c r="AO709" s="189"/>
      <c r="AP709" s="189"/>
    </row>
    <row r="710" spans="3:42" ht="17.25" customHeight="1">
      <c r="C710" s="8" t="s">
        <v>238</v>
      </c>
      <c r="D710" s="2"/>
      <c r="E710" s="20" t="s">
        <v>2006</v>
      </c>
      <c r="F710" s="58"/>
      <c r="G710" s="45"/>
      <c r="H710" s="258">
        <f t="shared" si="43"/>
        <v>134</v>
      </c>
      <c r="I710" s="286">
        <v>134</v>
      </c>
      <c r="J710" s="58"/>
      <c r="K710" s="58"/>
      <c r="L710" s="58"/>
      <c r="M710" s="58"/>
      <c r="N710" s="58"/>
      <c r="O710" s="58"/>
      <c r="P710" s="58"/>
      <c r="Q710" s="58"/>
      <c r="R710" s="58"/>
      <c r="S710" s="58"/>
      <c r="T710" s="58"/>
      <c r="U710" s="58"/>
      <c r="V710" s="258"/>
      <c r="W710" s="624"/>
      <c r="X710" s="624"/>
      <c r="Y710" s="258"/>
      <c r="Z710" s="58"/>
      <c r="AA710" s="336"/>
      <c r="AB710" s="258"/>
      <c r="AC710" s="258"/>
      <c r="AD710" s="258"/>
      <c r="AE710" s="258"/>
      <c r="AF710" s="20"/>
      <c r="AG710" s="258"/>
      <c r="AH710" s="136">
        <v>38642</v>
      </c>
      <c r="AI710" s="10"/>
      <c r="AJ710" s="21"/>
      <c r="AL710" s="21"/>
      <c r="AM710" s="193"/>
      <c r="AN710" s="143"/>
      <c r="AO710" s="189"/>
      <c r="AP710" s="189"/>
    </row>
    <row r="711" spans="3:42" ht="17.25" customHeight="1">
      <c r="C711" s="8" t="s">
        <v>238</v>
      </c>
      <c r="D711" s="2"/>
      <c r="E711" s="20" t="s">
        <v>2007</v>
      </c>
      <c r="F711" s="21"/>
      <c r="H711" s="289">
        <f t="shared" si="43"/>
        <v>25000</v>
      </c>
      <c r="I711" s="286">
        <f>SUM(12500, 12500)</f>
        <v>25000</v>
      </c>
      <c r="J711" s="58"/>
      <c r="K711" s="58"/>
      <c r="L711" s="58"/>
      <c r="M711" s="58"/>
      <c r="N711" s="58"/>
      <c r="O711" s="58"/>
      <c r="P711" s="58"/>
      <c r="Q711" s="58"/>
      <c r="R711" s="58"/>
      <c r="S711" s="58"/>
      <c r="T711" s="58"/>
      <c r="U711" s="58"/>
      <c r="V711" s="258"/>
      <c r="W711" s="624"/>
      <c r="X711" s="624"/>
      <c r="Y711" s="258"/>
      <c r="Z711" s="58"/>
      <c r="AA711" s="336"/>
      <c r="AB711" s="258"/>
      <c r="AC711" s="258"/>
      <c r="AD711" s="258"/>
      <c r="AE711" s="258"/>
      <c r="AF711" s="20"/>
      <c r="AG711" s="27"/>
      <c r="AH711" s="133">
        <v>38686</v>
      </c>
      <c r="AI711" s="10"/>
      <c r="AJ711" s="21"/>
      <c r="AL711" s="21"/>
      <c r="AM711" s="193"/>
      <c r="AN711" s="143"/>
      <c r="AO711" s="189"/>
      <c r="AP711" s="189"/>
    </row>
    <row r="712" spans="3:42" ht="17.25" customHeight="1">
      <c r="C712" s="8" t="s">
        <v>238</v>
      </c>
      <c r="D712" s="2"/>
      <c r="E712" s="20" t="s">
        <v>2008</v>
      </c>
      <c r="F712" s="21"/>
      <c r="H712" s="289">
        <f t="shared" si="43"/>
        <v>30341.119999999999</v>
      </c>
      <c r="I712" s="286">
        <v>30341.119999999999</v>
      </c>
      <c r="J712" s="58"/>
      <c r="K712" s="58"/>
      <c r="L712" s="58"/>
      <c r="M712" s="58"/>
      <c r="N712" s="58"/>
      <c r="O712" s="58"/>
      <c r="P712" s="58"/>
      <c r="Q712" s="58"/>
      <c r="R712" s="58"/>
      <c r="S712" s="58"/>
      <c r="T712" s="58"/>
      <c r="U712" s="58"/>
      <c r="V712" s="258"/>
      <c r="W712" s="624"/>
      <c r="X712" s="624"/>
      <c r="Y712" s="258"/>
      <c r="Z712" s="58"/>
      <c r="AA712" s="336"/>
      <c r="AB712" s="258"/>
      <c r="AC712" s="258"/>
      <c r="AD712" s="258"/>
      <c r="AE712" s="258"/>
      <c r="AF712" s="20"/>
      <c r="AG712" s="27"/>
      <c r="AH712" s="27">
        <v>38686</v>
      </c>
      <c r="AI712" s="10"/>
      <c r="AJ712" s="21"/>
      <c r="AL712" s="21"/>
      <c r="AM712" s="193"/>
      <c r="AN712" s="143"/>
      <c r="AO712" s="189"/>
      <c r="AP712" s="189"/>
    </row>
    <row r="713" spans="3:42" ht="17.25" customHeight="1">
      <c r="C713" s="8" t="s">
        <v>238</v>
      </c>
      <c r="D713" s="2"/>
      <c r="E713" s="20" t="s">
        <v>2009</v>
      </c>
      <c r="F713" s="21"/>
      <c r="H713" s="289">
        <f t="shared" si="43"/>
        <v>156305.4</v>
      </c>
      <c r="I713" s="286">
        <f>SUM(80000, 76305.4)</f>
        <v>156305.4</v>
      </c>
      <c r="J713" s="58"/>
      <c r="K713" s="58"/>
      <c r="L713" s="58"/>
      <c r="M713" s="58"/>
      <c r="N713" s="58"/>
      <c r="O713" s="58"/>
      <c r="P713" s="58"/>
      <c r="Q713" s="58"/>
      <c r="R713" s="58"/>
      <c r="S713" s="58"/>
      <c r="T713" s="58"/>
      <c r="U713" s="58"/>
      <c r="V713" s="258"/>
      <c r="W713" s="624"/>
      <c r="X713" s="624"/>
      <c r="Y713" s="258"/>
      <c r="Z713" s="58"/>
      <c r="AA713" s="336"/>
      <c r="AB713" s="258"/>
      <c r="AC713" s="258"/>
      <c r="AD713" s="258"/>
      <c r="AE713" s="258"/>
      <c r="AF713" s="20"/>
      <c r="AG713" s="27"/>
      <c r="AH713" s="9">
        <v>38813</v>
      </c>
      <c r="AI713" s="10"/>
      <c r="AJ713" s="21"/>
      <c r="AL713" s="21"/>
      <c r="AM713" s="193"/>
      <c r="AN713" s="143"/>
      <c r="AO713" s="189"/>
      <c r="AP713" s="189"/>
    </row>
    <row r="714" spans="3:42" ht="17.25" customHeight="1">
      <c r="C714" s="8" t="s">
        <v>238</v>
      </c>
      <c r="D714" s="2"/>
      <c r="E714" s="20" t="s">
        <v>2010</v>
      </c>
      <c r="F714" s="21"/>
      <c r="H714" s="289">
        <f t="shared" si="43"/>
        <v>5000</v>
      </c>
      <c r="I714" s="286">
        <v>5000</v>
      </c>
      <c r="J714" s="58"/>
      <c r="K714" s="58"/>
      <c r="L714" s="58"/>
      <c r="M714" s="58"/>
      <c r="N714" s="58"/>
      <c r="O714" s="58"/>
      <c r="P714" s="58"/>
      <c r="Q714" s="58"/>
      <c r="R714" s="58"/>
      <c r="S714" s="58"/>
      <c r="T714" s="58"/>
      <c r="U714" s="58"/>
      <c r="V714" s="258"/>
      <c r="W714" s="624"/>
      <c r="X714" s="624"/>
      <c r="Y714" s="258"/>
      <c r="Z714" s="58"/>
      <c r="AA714" s="336"/>
      <c r="AB714" s="258"/>
      <c r="AC714" s="258"/>
      <c r="AD714" s="258"/>
      <c r="AE714" s="258"/>
      <c r="AF714" s="20"/>
      <c r="AG714" s="27"/>
      <c r="AH714" s="136">
        <v>38686</v>
      </c>
      <c r="AI714" s="10"/>
      <c r="AJ714" s="21"/>
      <c r="AL714" s="21"/>
      <c r="AM714" s="193"/>
      <c r="AN714" s="143"/>
      <c r="AO714" s="189"/>
      <c r="AP714" s="189"/>
    </row>
    <row r="715" spans="3:42" ht="17.25" customHeight="1">
      <c r="C715" s="8" t="s">
        <v>238</v>
      </c>
      <c r="D715" s="2"/>
      <c r="E715" s="20" t="s">
        <v>2011</v>
      </c>
      <c r="F715" s="21"/>
      <c r="H715" s="289">
        <f t="shared" si="43"/>
        <v>195.66</v>
      </c>
      <c r="I715" s="286">
        <v>195.66</v>
      </c>
      <c r="J715" s="58"/>
      <c r="K715" s="58"/>
      <c r="L715" s="58"/>
      <c r="M715" s="58"/>
      <c r="N715" s="58"/>
      <c r="O715" s="58"/>
      <c r="P715" s="58"/>
      <c r="Q715" s="58"/>
      <c r="R715" s="58"/>
      <c r="S715" s="58"/>
      <c r="T715" s="58"/>
      <c r="U715" s="58"/>
      <c r="V715" s="258"/>
      <c r="W715" s="624"/>
      <c r="X715" s="624"/>
      <c r="Y715" s="258"/>
      <c r="Z715" s="58"/>
      <c r="AA715" s="336"/>
      <c r="AB715" s="258"/>
      <c r="AC715" s="258"/>
      <c r="AD715" s="258"/>
      <c r="AE715" s="258"/>
      <c r="AF715" s="20"/>
      <c r="AG715" s="27"/>
      <c r="AH715" s="136">
        <v>38708</v>
      </c>
      <c r="AI715" s="10"/>
      <c r="AJ715" s="21"/>
      <c r="AL715" s="21"/>
      <c r="AM715" s="193"/>
      <c r="AN715" s="143"/>
      <c r="AO715" s="189"/>
      <c r="AP715" s="189"/>
    </row>
    <row r="716" spans="3:42" ht="17.25" customHeight="1">
      <c r="C716" s="8" t="s">
        <v>238</v>
      </c>
      <c r="D716" s="2"/>
      <c r="E716" s="20" t="s">
        <v>2012</v>
      </c>
      <c r="F716" s="58"/>
      <c r="G716" s="253"/>
      <c r="H716" s="296">
        <f t="shared" si="43"/>
        <v>30000</v>
      </c>
      <c r="I716" s="286">
        <v>30000</v>
      </c>
      <c r="J716" s="58"/>
      <c r="K716" s="58"/>
      <c r="L716" s="58"/>
      <c r="M716" s="58"/>
      <c r="N716" s="58"/>
      <c r="O716" s="58"/>
      <c r="P716" s="58"/>
      <c r="Q716" s="58"/>
      <c r="R716" s="58"/>
      <c r="S716" s="58"/>
      <c r="T716" s="58"/>
      <c r="U716" s="58"/>
      <c r="V716" s="296"/>
      <c r="W716" s="705"/>
      <c r="X716" s="705"/>
      <c r="Y716" s="258"/>
      <c r="Z716" s="58"/>
      <c r="AA716" s="336"/>
      <c r="AB716" s="258"/>
      <c r="AC716" s="258"/>
      <c r="AD716" s="258"/>
      <c r="AE716" s="258"/>
      <c r="AF716" s="20"/>
      <c r="AG716" s="27"/>
      <c r="AH716" s="136">
        <v>38708</v>
      </c>
      <c r="AI716" s="10"/>
      <c r="AJ716" s="21"/>
      <c r="AL716" s="21"/>
      <c r="AM716" s="193"/>
      <c r="AN716" s="143"/>
      <c r="AO716" s="189"/>
      <c r="AP716" s="189"/>
    </row>
    <row r="717" spans="3:42" ht="17.25" customHeight="1">
      <c r="C717" s="8" t="s">
        <v>238</v>
      </c>
      <c r="D717" s="2"/>
      <c r="E717" s="20" t="s">
        <v>2013</v>
      </c>
      <c r="F717" s="21"/>
      <c r="H717" s="289">
        <f t="shared" si="43"/>
        <v>595.65</v>
      </c>
      <c r="I717" s="286">
        <v>595.65</v>
      </c>
      <c r="J717" s="58"/>
      <c r="K717" s="58"/>
      <c r="L717" s="58"/>
      <c r="M717" s="58"/>
      <c r="N717" s="58"/>
      <c r="O717" s="58"/>
      <c r="P717" s="58"/>
      <c r="Q717" s="58"/>
      <c r="R717" s="58"/>
      <c r="S717" s="58"/>
      <c r="T717" s="58"/>
      <c r="U717" s="58"/>
      <c r="V717" s="258"/>
      <c r="W717" s="624"/>
      <c r="X717" s="624"/>
      <c r="Y717" s="258"/>
      <c r="Z717" s="58"/>
      <c r="AA717" s="336"/>
      <c r="AB717" s="258"/>
      <c r="AC717" s="258"/>
      <c r="AD717" s="258"/>
      <c r="AE717" s="258"/>
      <c r="AF717" s="20"/>
      <c r="AG717" s="27"/>
      <c r="AH717" s="27">
        <v>38708</v>
      </c>
      <c r="AI717" s="10"/>
      <c r="AJ717" s="21"/>
      <c r="AL717" s="21"/>
      <c r="AM717" s="193"/>
      <c r="AN717" s="143"/>
      <c r="AO717" s="189"/>
      <c r="AP717" s="189"/>
    </row>
    <row r="718" spans="3:42" ht="17.25" customHeight="1">
      <c r="C718" s="8" t="s">
        <v>238</v>
      </c>
      <c r="D718" s="2"/>
      <c r="E718" s="20" t="s">
        <v>2014</v>
      </c>
      <c r="F718" s="21"/>
      <c r="H718" s="289">
        <f t="shared" si="43"/>
        <v>2000</v>
      </c>
      <c r="I718" s="286">
        <v>2000</v>
      </c>
      <c r="J718" s="58"/>
      <c r="K718" s="58"/>
      <c r="L718" s="58"/>
      <c r="M718" s="58"/>
      <c r="N718" s="58"/>
      <c r="O718" s="58"/>
      <c r="P718" s="58"/>
      <c r="Q718" s="58"/>
      <c r="R718" s="58"/>
      <c r="S718" s="58"/>
      <c r="T718" s="58"/>
      <c r="U718" s="58"/>
      <c r="V718" s="258"/>
      <c r="W718" s="624"/>
      <c r="X718" s="624"/>
      <c r="Y718" s="258"/>
      <c r="Z718" s="58"/>
      <c r="AA718" s="336"/>
      <c r="AB718" s="258"/>
      <c r="AC718" s="258"/>
      <c r="AD718" s="258"/>
      <c r="AE718" s="258"/>
      <c r="AF718" s="20"/>
      <c r="AG718" s="27"/>
      <c r="AH718" s="133">
        <v>38743</v>
      </c>
      <c r="AI718" s="10"/>
      <c r="AJ718" s="21"/>
      <c r="AL718" s="21"/>
      <c r="AM718" s="193"/>
      <c r="AN718" s="143"/>
      <c r="AO718" s="189"/>
      <c r="AP718" s="189"/>
    </row>
    <row r="719" spans="3:42" ht="17.25" customHeight="1">
      <c r="C719" s="8" t="s">
        <v>238</v>
      </c>
      <c r="D719" s="2"/>
      <c r="E719" s="20" t="s">
        <v>2015</v>
      </c>
      <c r="F719" s="21"/>
      <c r="H719" s="289">
        <f t="shared" si="43"/>
        <v>3750</v>
      </c>
      <c r="I719" s="286">
        <v>3750</v>
      </c>
      <c r="J719" s="58"/>
      <c r="K719" s="58"/>
      <c r="L719" s="58"/>
      <c r="M719" s="58"/>
      <c r="N719" s="58"/>
      <c r="O719" s="58"/>
      <c r="P719" s="58"/>
      <c r="Q719" s="58"/>
      <c r="R719" s="58"/>
      <c r="S719" s="58"/>
      <c r="T719" s="58"/>
      <c r="U719" s="58"/>
      <c r="V719" s="258"/>
      <c r="W719" s="624"/>
      <c r="X719" s="624"/>
      <c r="Y719" s="258"/>
      <c r="Z719" s="58"/>
      <c r="AA719" s="336"/>
      <c r="AB719" s="258"/>
      <c r="AC719" s="258"/>
      <c r="AD719" s="258"/>
      <c r="AE719" s="258"/>
      <c r="AF719" s="20"/>
      <c r="AG719" s="27"/>
      <c r="AH719" s="133">
        <v>38761</v>
      </c>
      <c r="AI719" s="10"/>
      <c r="AJ719" s="21"/>
      <c r="AL719" s="21"/>
      <c r="AM719" s="193"/>
      <c r="AN719" s="143"/>
      <c r="AO719" s="189"/>
      <c r="AP719" s="189"/>
    </row>
    <row r="720" spans="3:42" ht="17.25" customHeight="1">
      <c r="C720" s="8" t="s">
        <v>238</v>
      </c>
      <c r="D720" s="2"/>
      <c r="E720" s="20" t="s">
        <v>2016</v>
      </c>
      <c r="F720" s="21"/>
      <c r="H720" s="289">
        <f t="shared" si="43"/>
        <v>4093.66</v>
      </c>
      <c r="I720" s="286">
        <v>4093.66</v>
      </c>
      <c r="J720" s="58"/>
      <c r="K720" s="58"/>
      <c r="L720" s="58"/>
      <c r="M720" s="58"/>
      <c r="N720" s="58"/>
      <c r="O720" s="58"/>
      <c r="P720" s="58"/>
      <c r="Q720" s="58"/>
      <c r="R720" s="58"/>
      <c r="S720" s="58"/>
      <c r="T720" s="58"/>
      <c r="U720" s="58"/>
      <c r="V720" s="258"/>
      <c r="W720" s="624"/>
      <c r="X720" s="624"/>
      <c r="Y720" s="258"/>
      <c r="Z720" s="58"/>
      <c r="AA720" s="336"/>
      <c r="AB720" s="258"/>
      <c r="AC720" s="258"/>
      <c r="AD720" s="258"/>
      <c r="AE720" s="258"/>
      <c r="AF720" s="20"/>
      <c r="AG720" s="27"/>
      <c r="AH720" s="133">
        <v>38762</v>
      </c>
      <c r="AI720" s="10"/>
      <c r="AJ720" s="21"/>
      <c r="AL720" s="21"/>
      <c r="AM720" s="193"/>
      <c r="AN720" s="143"/>
      <c r="AO720" s="189"/>
      <c r="AP720" s="189"/>
    </row>
    <row r="721" spans="3:42" ht="17.25" customHeight="1">
      <c r="C721" s="8" t="s">
        <v>238</v>
      </c>
      <c r="D721" s="2"/>
      <c r="E721" s="20" t="s">
        <v>2017</v>
      </c>
      <c r="F721" s="21"/>
      <c r="H721" s="289">
        <f t="shared" si="43"/>
        <v>14086.59</v>
      </c>
      <c r="I721" s="286">
        <f>SUM(14084.05, 2.54)</f>
        <v>14086.59</v>
      </c>
      <c r="J721" s="58"/>
      <c r="K721" s="58"/>
      <c r="L721" s="58"/>
      <c r="M721" s="58"/>
      <c r="N721" s="58"/>
      <c r="O721" s="58"/>
      <c r="P721" s="58"/>
      <c r="Q721" s="58"/>
      <c r="R721" s="58"/>
      <c r="S721" s="58"/>
      <c r="T721" s="58"/>
      <c r="U721" s="58"/>
      <c r="V721" s="258"/>
      <c r="W721" s="624"/>
      <c r="X721" s="624"/>
      <c r="Y721" s="258"/>
      <c r="Z721" s="58"/>
      <c r="AA721" s="336"/>
      <c r="AB721" s="258"/>
      <c r="AC721" s="258"/>
      <c r="AD721" s="258"/>
      <c r="AE721" s="258"/>
      <c r="AF721" s="20"/>
      <c r="AG721" s="27"/>
      <c r="AH721" s="133">
        <v>38803</v>
      </c>
      <c r="AI721" s="10"/>
      <c r="AJ721" s="21"/>
      <c r="AL721" s="21"/>
      <c r="AM721" s="193"/>
      <c r="AN721" s="143"/>
      <c r="AO721" s="189"/>
      <c r="AP721" s="189"/>
    </row>
    <row r="722" spans="3:42" ht="17.25" customHeight="1">
      <c r="C722" s="8" t="s">
        <v>238</v>
      </c>
      <c r="D722" s="2"/>
      <c r="E722" s="20" t="s">
        <v>2018</v>
      </c>
      <c r="F722" s="21"/>
      <c r="H722" s="289">
        <f t="shared" si="43"/>
        <v>120000</v>
      </c>
      <c r="I722" s="286">
        <v>120000</v>
      </c>
      <c r="J722" s="58"/>
      <c r="K722" s="58"/>
      <c r="L722" s="58"/>
      <c r="M722" s="58"/>
      <c r="N722" s="58"/>
      <c r="O722" s="58"/>
      <c r="P722" s="58"/>
      <c r="Q722" s="58"/>
      <c r="R722" s="58"/>
      <c r="S722" s="58"/>
      <c r="T722" s="58"/>
      <c r="U722" s="58"/>
      <c r="V722" s="258"/>
      <c r="W722" s="624"/>
      <c r="X722" s="624"/>
      <c r="Y722" s="258"/>
      <c r="Z722" s="58"/>
      <c r="AA722" s="336"/>
      <c r="AB722" s="258"/>
      <c r="AC722" s="258"/>
      <c r="AD722" s="258"/>
      <c r="AE722" s="258"/>
      <c r="AF722" s="20"/>
      <c r="AG722" s="258"/>
      <c r="AH722" s="133">
        <v>38776</v>
      </c>
      <c r="AI722" s="10"/>
      <c r="AJ722" s="21"/>
      <c r="AL722" s="21"/>
      <c r="AM722" s="193"/>
      <c r="AN722" s="143"/>
      <c r="AO722" s="189"/>
      <c r="AP722" s="189"/>
    </row>
    <row r="723" spans="3:42" ht="17.25" customHeight="1">
      <c r="C723" s="8" t="s">
        <v>238</v>
      </c>
      <c r="D723" s="2"/>
      <c r="E723" s="20" t="s">
        <v>2019</v>
      </c>
      <c r="F723" s="21"/>
      <c r="H723" s="289">
        <f t="shared" si="43"/>
        <v>25000</v>
      </c>
      <c r="I723" s="286">
        <v>25000</v>
      </c>
      <c r="J723" s="58"/>
      <c r="K723" s="58"/>
      <c r="L723" s="58"/>
      <c r="M723" s="58"/>
      <c r="N723" s="58"/>
      <c r="O723" s="58"/>
      <c r="P723" s="58"/>
      <c r="Q723" s="58"/>
      <c r="R723" s="58"/>
      <c r="S723" s="58"/>
      <c r="T723" s="58"/>
      <c r="U723" s="58"/>
      <c r="V723" s="258"/>
      <c r="W723" s="624"/>
      <c r="X723" s="624"/>
      <c r="Y723" s="258"/>
      <c r="Z723" s="58"/>
      <c r="AA723" s="336"/>
      <c r="AB723" s="258"/>
      <c r="AC723" s="258"/>
      <c r="AD723" s="258"/>
      <c r="AE723" s="258"/>
      <c r="AF723" s="20"/>
      <c r="AG723" s="27"/>
      <c r="AH723" s="133">
        <v>38779</v>
      </c>
      <c r="AI723" s="10"/>
      <c r="AJ723" s="21"/>
      <c r="AL723" s="21"/>
      <c r="AM723" s="193"/>
      <c r="AN723" s="143"/>
      <c r="AO723" s="189"/>
      <c r="AP723" s="189"/>
    </row>
    <row r="724" spans="3:42" ht="17.25" customHeight="1">
      <c r="C724" s="8" t="s">
        <v>238</v>
      </c>
      <c r="D724" s="2"/>
      <c r="E724" s="20" t="s">
        <v>2020</v>
      </c>
      <c r="F724" s="21"/>
      <c r="H724" s="289">
        <f t="shared" si="43"/>
        <v>5000</v>
      </c>
      <c r="I724" s="286">
        <v>5000</v>
      </c>
      <c r="J724" s="58"/>
      <c r="K724" s="58"/>
      <c r="L724" s="58"/>
      <c r="M724" s="58"/>
      <c r="N724" s="58"/>
      <c r="O724" s="58"/>
      <c r="P724" s="58"/>
      <c r="Q724" s="58"/>
      <c r="R724" s="58"/>
      <c r="S724" s="58"/>
      <c r="T724" s="58"/>
      <c r="U724" s="58"/>
      <c r="V724" s="258"/>
      <c r="W724" s="624"/>
      <c r="X724" s="624"/>
      <c r="Y724" s="258"/>
      <c r="Z724" s="58"/>
      <c r="AA724" s="336"/>
      <c r="AB724" s="258"/>
      <c r="AC724" s="258"/>
      <c r="AD724" s="258"/>
      <c r="AE724" s="258"/>
      <c r="AF724" s="20"/>
      <c r="AG724" s="27"/>
      <c r="AH724" s="133">
        <v>38782</v>
      </c>
      <c r="AI724" s="10"/>
      <c r="AJ724" s="21"/>
      <c r="AL724" s="21"/>
      <c r="AM724" s="193"/>
      <c r="AN724" s="143"/>
      <c r="AO724" s="189"/>
      <c r="AP724" s="189"/>
    </row>
    <row r="725" spans="3:42" ht="17.25" customHeight="1">
      <c r="C725" s="8" t="s">
        <v>238</v>
      </c>
      <c r="D725" s="2"/>
      <c r="E725" s="20" t="s">
        <v>2021</v>
      </c>
      <c r="F725" s="21"/>
      <c r="H725" s="289">
        <f t="shared" si="43"/>
        <v>100</v>
      </c>
      <c r="I725" s="286">
        <v>100</v>
      </c>
      <c r="J725" s="58"/>
      <c r="K725" s="58"/>
      <c r="L725" s="58"/>
      <c r="M725" s="58"/>
      <c r="N725" s="58"/>
      <c r="O725" s="58"/>
      <c r="P725" s="58"/>
      <c r="Q725" s="58"/>
      <c r="R725" s="58"/>
      <c r="S725" s="58"/>
      <c r="T725" s="58"/>
      <c r="U725" s="58"/>
      <c r="V725" s="258"/>
      <c r="W725" s="624"/>
      <c r="X725" s="624"/>
      <c r="Y725" s="258"/>
      <c r="Z725" s="58"/>
      <c r="AA725" s="336"/>
      <c r="AB725" s="258"/>
      <c r="AC725" s="258"/>
      <c r="AD725" s="258"/>
      <c r="AE725" s="258"/>
      <c r="AF725" s="20"/>
      <c r="AG725" s="27"/>
      <c r="AH725" s="133">
        <v>38789</v>
      </c>
      <c r="AI725" s="10"/>
      <c r="AJ725" s="21"/>
      <c r="AL725" s="21"/>
      <c r="AM725" s="193"/>
      <c r="AN725" s="143"/>
      <c r="AO725" s="189"/>
      <c r="AP725" s="189"/>
    </row>
    <row r="726" spans="3:42" ht="17.25" customHeight="1">
      <c r="C726" s="8" t="s">
        <v>238</v>
      </c>
      <c r="D726" s="2"/>
      <c r="E726" s="20" t="s">
        <v>2022</v>
      </c>
      <c r="F726" s="21"/>
      <c r="H726" s="289">
        <f t="shared" si="43"/>
        <v>92744</v>
      </c>
      <c r="I726" s="286">
        <v>92744</v>
      </c>
      <c r="J726" s="58"/>
      <c r="K726" s="58"/>
      <c r="L726" s="58"/>
      <c r="M726" s="58"/>
      <c r="N726" s="58"/>
      <c r="O726" s="58"/>
      <c r="P726" s="58"/>
      <c r="Q726" s="58"/>
      <c r="R726" s="58"/>
      <c r="S726" s="58"/>
      <c r="T726" s="58"/>
      <c r="U726" s="58"/>
      <c r="V726" s="258"/>
      <c r="W726" s="624"/>
      <c r="X726" s="624"/>
      <c r="Y726" s="258"/>
      <c r="Z726" s="58"/>
      <c r="AA726" s="336"/>
      <c r="AB726" s="258"/>
      <c r="AC726" s="258"/>
      <c r="AD726" s="258"/>
      <c r="AE726" s="258"/>
      <c r="AF726" s="20"/>
      <c r="AG726" s="27"/>
      <c r="AH726" s="27">
        <v>38817</v>
      </c>
      <c r="AI726" s="10"/>
      <c r="AJ726" s="21"/>
      <c r="AL726" s="21"/>
      <c r="AM726" s="193"/>
      <c r="AN726" s="143"/>
      <c r="AO726" s="189"/>
      <c r="AP726" s="189"/>
    </row>
    <row r="727" spans="3:42" ht="17.25" customHeight="1">
      <c r="C727" s="8" t="s">
        <v>238</v>
      </c>
      <c r="D727" s="2"/>
      <c r="E727" s="20" t="s">
        <v>2023</v>
      </c>
      <c r="F727" s="21"/>
      <c r="H727" s="289">
        <f t="shared" si="43"/>
        <v>1000</v>
      </c>
      <c r="I727" s="286">
        <v>1000</v>
      </c>
      <c r="J727" s="58"/>
      <c r="K727" s="58"/>
      <c r="L727" s="58"/>
      <c r="M727" s="58"/>
      <c r="N727" s="58"/>
      <c r="O727" s="58"/>
      <c r="P727" s="58"/>
      <c r="Q727" s="58"/>
      <c r="R727" s="58"/>
      <c r="S727" s="58"/>
      <c r="T727" s="58"/>
      <c r="U727" s="58"/>
      <c r="V727" s="258"/>
      <c r="W727" s="624"/>
      <c r="X727" s="624"/>
      <c r="Y727" s="258"/>
      <c r="Z727" s="58"/>
      <c r="AA727" s="336"/>
      <c r="AB727" s="258"/>
      <c r="AC727" s="258"/>
      <c r="AD727" s="258"/>
      <c r="AE727" s="258"/>
      <c r="AF727" s="20"/>
      <c r="AG727" s="27"/>
      <c r="AH727" s="133">
        <v>38813</v>
      </c>
      <c r="AI727" s="10"/>
      <c r="AJ727" s="21"/>
      <c r="AL727" s="21"/>
      <c r="AM727" s="193"/>
      <c r="AN727" s="143"/>
      <c r="AO727" s="189"/>
      <c r="AP727" s="189"/>
    </row>
    <row r="728" spans="3:42" ht="17.25" customHeight="1">
      <c r="C728" s="8" t="s">
        <v>238</v>
      </c>
      <c r="D728" s="2"/>
      <c r="E728" s="20" t="s">
        <v>2024</v>
      </c>
      <c r="F728" s="21"/>
      <c r="H728" s="289">
        <f t="shared" si="43"/>
        <v>1000</v>
      </c>
      <c r="I728" s="286">
        <v>1000</v>
      </c>
      <c r="J728" s="58"/>
      <c r="K728" s="58"/>
      <c r="L728" s="58"/>
      <c r="M728" s="58"/>
      <c r="N728" s="58"/>
      <c r="O728" s="58"/>
      <c r="P728" s="58"/>
      <c r="Q728" s="58"/>
      <c r="R728" s="58"/>
      <c r="S728" s="58"/>
      <c r="T728" s="58"/>
      <c r="U728" s="58"/>
      <c r="V728" s="258"/>
      <c r="W728" s="624"/>
      <c r="X728" s="624"/>
      <c r="Y728" s="258"/>
      <c r="Z728" s="58"/>
      <c r="AA728" s="336"/>
      <c r="AB728" s="258"/>
      <c r="AC728" s="258"/>
      <c r="AD728" s="258"/>
      <c r="AE728" s="258"/>
      <c r="AF728" s="20"/>
      <c r="AG728" s="27"/>
      <c r="AH728" s="133">
        <v>38873</v>
      </c>
      <c r="AI728" s="10"/>
      <c r="AJ728" s="21"/>
      <c r="AL728" s="21"/>
      <c r="AM728" s="193"/>
      <c r="AN728" s="143"/>
      <c r="AO728" s="189"/>
      <c r="AP728" s="189"/>
    </row>
    <row r="729" spans="3:42" ht="17.25" customHeight="1">
      <c r="C729" s="90" t="s">
        <v>238</v>
      </c>
      <c r="D729" s="56"/>
      <c r="E729" s="269" t="s">
        <v>2025</v>
      </c>
      <c r="F729" s="270"/>
      <c r="G729" s="271"/>
      <c r="H729" s="293">
        <f t="shared" si="43"/>
        <v>10.08</v>
      </c>
      <c r="I729" s="288">
        <f>SUM(5.04, 5.04)</f>
        <v>10.08</v>
      </c>
      <c r="J729" s="60"/>
      <c r="K729" s="60"/>
      <c r="L729" s="60"/>
      <c r="M729" s="60"/>
      <c r="N729" s="60"/>
      <c r="O729" s="60"/>
      <c r="P729" s="60"/>
      <c r="Q729" s="60"/>
      <c r="R729" s="60"/>
      <c r="S729" s="60"/>
      <c r="T729" s="60"/>
      <c r="U729" s="60"/>
      <c r="V729" s="335"/>
      <c r="W729" s="722"/>
      <c r="X729" s="722"/>
      <c r="Y729" s="335"/>
      <c r="Z729" s="60"/>
      <c r="AA729" s="53"/>
      <c r="AB729" s="335"/>
      <c r="AC729" s="335"/>
      <c r="AD729" s="335"/>
      <c r="AE729" s="335"/>
      <c r="AF729" s="269"/>
      <c r="AG729" s="273"/>
      <c r="AH729" s="274"/>
      <c r="AI729" s="301"/>
      <c r="AJ729" s="270"/>
      <c r="AK729" s="28"/>
      <c r="AL729" s="270"/>
      <c r="AM729" s="275"/>
      <c r="AN729" s="272"/>
      <c r="AO729" s="276"/>
      <c r="AP729" s="276"/>
    </row>
  </sheetData>
  <sortState xmlns:xlrd2="http://schemas.microsoft.com/office/spreadsheetml/2017/richdata2" ref="C3:AP20">
    <sortCondition ref="E3:E20"/>
  </sortState>
  <phoneticPr fontId="37" type="noConversion"/>
  <conditionalFormatting sqref="A78 A103:A132 AQ120:XFD124 A135:A141 AQ171:XFD171 AQ174:XFD208 B176:B210 C309:D336 V309:AP336 C338:D353">
    <cfRule type="expression" priority="340">
      <formula>MOD(ROW(),2)=0</formula>
    </cfRule>
  </conditionalFormatting>
  <conditionalFormatting sqref="C452:H475">
    <cfRule type="expression" dxfId="36" priority="76">
      <formula>MOD(ROW(),2)=0</formula>
    </cfRule>
  </conditionalFormatting>
  <conditionalFormatting sqref="C581:H604">
    <cfRule type="expression" dxfId="35" priority="68">
      <formula>MOD(ROW(),2)=0</formula>
    </cfRule>
  </conditionalFormatting>
  <conditionalFormatting sqref="C606:H641">
    <cfRule type="expression" dxfId="34" priority="65">
      <formula>MOD(ROW(),2)=0</formula>
    </cfRule>
  </conditionalFormatting>
  <conditionalFormatting sqref="C676:I701">
    <cfRule type="expression" dxfId="33" priority="57">
      <formula>MOD(ROW(),2)=0</formula>
    </cfRule>
  </conditionalFormatting>
  <conditionalFormatting sqref="C354:M354">
    <cfRule type="expression" priority="36">
      <formula>MOD(ROW(),2)=0</formula>
    </cfRule>
  </conditionalFormatting>
  <conditionalFormatting sqref="C338:N354">
    <cfRule type="expression" dxfId="32" priority="35">
      <formula>MOD(ROW(),2)=0</formula>
    </cfRule>
  </conditionalFormatting>
  <conditionalFormatting sqref="C545:O579">
    <cfRule type="expression" dxfId="31" priority="70">
      <formula>MOD(ROW(),2)=0</formula>
    </cfRule>
  </conditionalFormatting>
  <conditionalFormatting sqref="C309:AP336">
    <cfRule type="expression" dxfId="30" priority="86">
      <formula>MOD(ROW(),2)=0</formula>
    </cfRule>
  </conditionalFormatting>
  <conditionalFormatting sqref="C356:AP389">
    <cfRule type="expression" dxfId="29" priority="11">
      <formula>MOD(ROW(),2)=0</formula>
    </cfRule>
  </conditionalFormatting>
  <conditionalFormatting sqref="C391:AP413 C415:AP475 C477:AP513">
    <cfRule type="expression" dxfId="28" priority="12">
      <formula>MOD(ROW(),2)=0</formula>
    </cfRule>
  </conditionalFormatting>
  <conditionalFormatting sqref="C515:AP543">
    <cfRule type="expression" dxfId="27" priority="16">
      <formula>MOD(ROW(),2)=0</formula>
    </cfRule>
  </conditionalFormatting>
  <conditionalFormatting sqref="C643:AP701 C703:AP729">
    <cfRule type="expression" dxfId="26" priority="28">
      <formula>MOD(ROW(),2)=0</formula>
    </cfRule>
  </conditionalFormatting>
  <conditionalFormatting sqref="I581:I599">
    <cfRule type="expression" dxfId="25" priority="99">
      <formula>MOD(ROW(),2)=0</formula>
    </cfRule>
  </conditionalFormatting>
  <conditionalFormatting sqref="I610:J638">
    <cfRule type="expression" dxfId="24" priority="150">
      <formula>MOD(ROW(),2)=0</formula>
    </cfRule>
  </conditionalFormatting>
  <conditionalFormatting sqref="I639:K641">
    <cfRule type="expression" dxfId="23" priority="243">
      <formula>MOD(ROW(),2)=0</formula>
    </cfRule>
  </conditionalFormatting>
  <conditionalFormatting sqref="I606:AH609">
    <cfRule type="expression" dxfId="22" priority="98">
      <formula>MOD(ROW(),2)=0</formula>
    </cfRule>
  </conditionalFormatting>
  <conditionalFormatting sqref="K581 J582:K701">
    <cfRule type="expression" dxfId="21" priority="102">
      <formula>MOD(ROW(),2)=0</formula>
    </cfRule>
  </conditionalFormatting>
  <conditionalFormatting sqref="K606:K638">
    <cfRule type="expression" dxfId="20" priority="177">
      <formula>MOD(ROW(),2)=0</formula>
    </cfRule>
  </conditionalFormatting>
  <conditionalFormatting sqref="L581:M604">
    <cfRule type="expression" dxfId="19" priority="100">
      <formula>MOD(ROW(),2)=0</formula>
    </cfRule>
  </conditionalFormatting>
  <conditionalFormatting sqref="L606:AP641">
    <cfRule type="expression" dxfId="18" priority="25">
      <formula>MOD(ROW(),2)=0</formula>
    </cfRule>
  </conditionalFormatting>
  <conditionalFormatting sqref="M310:M336 O338:U353 M342:Q342 I452:M453 N452:Q465 M454:M465 I454:L475 M466:Q475 N609:O641 N646:O674 L647:L674">
    <cfRule type="expression" dxfId="17" priority="339">
      <formula>MOD(ROW(),2)=0</formula>
    </cfRule>
  </conditionalFormatting>
  <conditionalFormatting sqref="M676:M701">
    <cfRule type="expression" dxfId="16" priority="155">
      <formula>MOD(ROW(),2)=0</formula>
    </cfRule>
  </conditionalFormatting>
  <conditionalFormatting sqref="N584:U604 I600:K604">
    <cfRule type="expression" dxfId="15" priority="270">
      <formula>MOD(ROW(),2)=0</formula>
    </cfRule>
  </conditionalFormatting>
  <conditionalFormatting sqref="N679:U701 L680:L701">
    <cfRule type="expression" dxfId="14" priority="175">
      <formula>MOD(ROW(),2)=0</formula>
    </cfRule>
  </conditionalFormatting>
  <conditionalFormatting sqref="O581:U583">
    <cfRule type="expression" dxfId="13" priority="267">
      <formula>MOD(ROW(),2)=0</formula>
    </cfRule>
  </conditionalFormatting>
  <conditionalFormatting sqref="O606:U608">
    <cfRule type="expression" dxfId="12" priority="237">
      <formula>MOD(ROW(),2)=0</formula>
    </cfRule>
  </conditionalFormatting>
  <conditionalFormatting sqref="O643:U645">
    <cfRule type="expression" dxfId="11" priority="203">
      <formula>MOD(ROW(),2)=0</formula>
    </cfRule>
  </conditionalFormatting>
  <conditionalFormatting sqref="O676:U678">
    <cfRule type="expression" dxfId="10" priority="166">
      <formula>MOD(ROW(),2)=0</formula>
    </cfRule>
  </conditionalFormatting>
  <conditionalFormatting sqref="P545:U674">
    <cfRule type="expression" dxfId="9" priority="209">
      <formula>MOD(ROW(),2)=0</formula>
    </cfRule>
  </conditionalFormatting>
  <conditionalFormatting sqref="R452:AP475">
    <cfRule type="expression" dxfId="8" priority="14">
      <formula>MOD(ROW(),2)=0</formula>
    </cfRule>
  </conditionalFormatting>
  <conditionalFormatting sqref="V581:V604">
    <cfRule type="expression" dxfId="7" priority="22">
      <formula>MOD(ROW(),2)=0</formula>
    </cfRule>
  </conditionalFormatting>
  <conditionalFormatting sqref="V676:V701">
    <cfRule type="expression" dxfId="6" priority="30">
      <formula>MOD(ROW(),2)=0</formula>
    </cfRule>
  </conditionalFormatting>
  <conditionalFormatting sqref="V338:AP354 AI581:AP604 AI676:AP701">
    <cfRule type="expression" dxfId="5" priority="52">
      <formula>MOD(ROW(),2)=0</formula>
    </cfRule>
  </conditionalFormatting>
  <conditionalFormatting sqref="V338:AP354">
    <cfRule type="expression" priority="83">
      <formula>MOD(ROW(),2)=0</formula>
    </cfRule>
  </conditionalFormatting>
  <conditionalFormatting sqref="V545:AP579">
    <cfRule type="expression" dxfId="4" priority="19">
      <formula>MOD(ROW(),2)=0</formula>
    </cfRule>
  </conditionalFormatting>
  <conditionalFormatting sqref="W581:AH641 W642:X642">
    <cfRule type="expression" dxfId="3" priority="119">
      <formula>MOD(ROW(),2)=0</formula>
    </cfRule>
  </conditionalFormatting>
  <conditionalFormatting sqref="AH647">
    <cfRule type="expression" dxfId="2" priority="211">
      <formula>MOD(ROW(),2)=0</formula>
    </cfRule>
  </conditionalFormatting>
  <conditionalFormatting sqref="AH680">
    <cfRule type="expression" dxfId="1" priority="174">
      <formula>MOD(ROW(),2)=0</formula>
    </cfRule>
  </conditionalFormatting>
  <conditionalFormatting sqref="AH707">
    <cfRule type="expression" dxfId="0" priority="136">
      <formula>MOD(ROW(),2)=0</formula>
    </cfRule>
  </conditionalFormatting>
  <dataValidations count="1">
    <dataValidation type="list" allowBlank="1" showInputMessage="1" showErrorMessage="1" sqref="F164:F729 F3:F163" xr:uid="{2F158A97-5F9F-4D5C-A9C5-ED9B4543ECC4}">
      <formula1>"Bequest,Designation,Life Ins.,CRT,CLT,Foundation,Royalties"</formula1>
    </dataValidation>
  </dataValidation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55B60-AF02-476E-B4AF-CB6A8A5FACA8}">
  <sheetPr>
    <pageSetUpPr autoPageBreaks="0"/>
  </sheetPr>
  <dimension ref="A1:AA400"/>
  <sheetViews>
    <sheetView showGridLines="0" zoomScale="70" zoomScaleNormal="70" workbookViewId="0">
      <pane ySplit="1" topLeftCell="A352" activePane="bottomLeft" state="frozen"/>
      <selection pane="bottomLeft" activeCell="L364" sqref="L353:L364"/>
    </sheetView>
  </sheetViews>
  <sheetFormatPr defaultRowHeight="16.5" customHeight="1"/>
  <cols>
    <col min="1" max="1" width="21.42578125" customWidth="1"/>
    <col min="2" max="2" width="3.42578125" customWidth="1"/>
    <col min="3" max="3" width="3.42578125" style="129" customWidth="1"/>
    <col min="4" max="4" width="10.140625" style="961" bestFit="1" customWidth="1"/>
    <col min="5" max="5" width="9" style="277" bestFit="1" customWidth="1"/>
    <col min="6" max="6" width="14.5703125" style="305" customWidth="1"/>
    <col min="7" max="7" width="12.5703125" style="277" customWidth="1"/>
    <col min="8" max="8" width="10.85546875" style="277" bestFit="1" customWidth="1"/>
    <col min="9" max="9" width="9" style="277" bestFit="1" customWidth="1"/>
    <col min="10" max="10" width="8.7109375" style="277"/>
    <col min="11" max="11" width="8.7109375" style="306"/>
    <col min="12" max="12" width="13.42578125" style="277" customWidth="1"/>
    <col min="13" max="13" width="8.7109375" style="277"/>
    <col min="14" max="14" width="10.28515625" style="277" customWidth="1"/>
    <col min="15" max="15" width="26.42578125" style="277" bestFit="1" customWidth="1"/>
    <col min="16" max="17" width="11" style="277" customWidth="1"/>
    <col min="18" max="18" width="6.28515625" style="277" customWidth="1"/>
    <col min="19" max="19" width="22.28515625" style="277" bestFit="1" customWidth="1"/>
    <col min="20" max="21" width="11" style="277" customWidth="1"/>
    <col min="22" max="22" width="6.28515625" style="277" customWidth="1"/>
    <col min="23" max="23" width="9.140625" style="277"/>
  </cols>
  <sheetData>
    <row r="1" spans="1:27" s="151" customFormat="1" ht="16.5" customHeight="1" thickBot="1">
      <c r="A1" s="150"/>
      <c r="C1" s="164"/>
      <c r="D1" s="152" t="s">
        <v>2026</v>
      </c>
      <c r="E1" s="152" t="s">
        <v>2027</v>
      </c>
      <c r="F1" s="220" t="s">
        <v>2028</v>
      </c>
      <c r="G1" s="153" t="s">
        <v>2029</v>
      </c>
      <c r="H1" s="152" t="s">
        <v>2030</v>
      </c>
      <c r="I1" s="154" t="s">
        <v>2031</v>
      </c>
      <c r="J1" s="152" t="s">
        <v>2032</v>
      </c>
      <c r="K1" s="152" t="s">
        <v>2033</v>
      </c>
      <c r="L1" s="155" t="s">
        <v>2034</v>
      </c>
      <c r="M1" s="152" t="s">
        <v>2035</v>
      </c>
      <c r="N1" s="152" t="s">
        <v>2036</v>
      </c>
      <c r="O1" s="152" t="s">
        <v>2037</v>
      </c>
      <c r="P1" s="156" t="s">
        <v>2038</v>
      </c>
      <c r="Q1" s="156" t="s">
        <v>2039</v>
      </c>
      <c r="R1" s="157" t="s">
        <v>2040</v>
      </c>
      <c r="S1" s="152" t="s">
        <v>2041</v>
      </c>
      <c r="T1" s="156" t="s">
        <v>2042</v>
      </c>
      <c r="U1" s="156" t="s">
        <v>2043</v>
      </c>
      <c r="V1" s="152" t="s">
        <v>2044</v>
      </c>
      <c r="W1" s="152" t="s">
        <v>2045</v>
      </c>
    </row>
    <row r="2" spans="1:27" ht="16.5" customHeight="1" thickBot="1">
      <c r="A2" s="34"/>
      <c r="C2" s="29" t="s">
        <v>238</v>
      </c>
      <c r="D2" s="143">
        <v>20486833</v>
      </c>
      <c r="E2" s="3">
        <v>1</v>
      </c>
      <c r="F2" s="221">
        <v>20337.5</v>
      </c>
      <c r="G2" s="138">
        <v>1382.95</v>
      </c>
      <c r="H2" s="132">
        <v>35410</v>
      </c>
      <c r="I2" s="4">
        <v>1</v>
      </c>
      <c r="J2" s="3"/>
      <c r="K2" s="3" t="s">
        <v>2046</v>
      </c>
      <c r="L2" s="138">
        <v>9527.1</v>
      </c>
      <c r="M2" s="3" t="s">
        <v>2047</v>
      </c>
      <c r="N2" s="8" t="s">
        <v>6</v>
      </c>
      <c r="O2" s="142" t="s">
        <v>2048</v>
      </c>
      <c r="P2" s="5">
        <v>10054</v>
      </c>
      <c r="Q2" s="5">
        <v>43310</v>
      </c>
      <c r="R2" s="6" t="s">
        <v>2049</v>
      </c>
      <c r="S2" s="142"/>
      <c r="T2" s="5"/>
      <c r="U2" s="5"/>
      <c r="V2" s="3"/>
      <c r="W2" s="3" t="s">
        <v>2050</v>
      </c>
    </row>
    <row r="3" spans="1:27" ht="16.5" customHeight="1">
      <c r="A3" s="35" t="s">
        <v>2051</v>
      </c>
      <c r="C3" s="29"/>
      <c r="D3" s="143">
        <v>7898</v>
      </c>
      <c r="E3" s="3">
        <v>4</v>
      </c>
      <c r="F3" s="221">
        <v>18544.310000000001</v>
      </c>
      <c r="G3" s="138">
        <v>1335.19</v>
      </c>
      <c r="H3" s="132">
        <v>35653</v>
      </c>
      <c r="I3" s="4">
        <v>1</v>
      </c>
      <c r="J3" s="3"/>
      <c r="K3" s="3" t="s">
        <v>2052</v>
      </c>
      <c r="L3" s="138">
        <v>7508.22</v>
      </c>
      <c r="M3" s="3" t="s">
        <v>2053</v>
      </c>
      <c r="N3" s="8" t="str">
        <f t="shared" ref="N3:N12" si="0">IF(OR(ISBLANK(Q:Q)=FALSE,ISBLANK(U:U)=FALSE),IF(Q:Q&gt;U:U,IF(MONTH(Q:Q)&gt;6,"FY"&amp;RIGHT(YEAR(Q:Q)+1,2),"FY"&amp;RIGHT(YEAR(Q:Q),2)),IF(MONTH(U:U)&gt;6,"FY"&amp;RIGHT(YEAR(U:U)+1,2),"FY"&amp;RIGHT(YEAR(U:U),2))),"")</f>
        <v/>
      </c>
      <c r="O3" s="142" t="s">
        <v>2054</v>
      </c>
      <c r="P3" s="5">
        <v>11722</v>
      </c>
      <c r="Q3" s="5"/>
      <c r="R3" s="6" t="s">
        <v>2049</v>
      </c>
      <c r="S3" s="142"/>
      <c r="T3" s="5"/>
      <c r="U3" s="5"/>
      <c r="V3" s="3"/>
      <c r="W3" s="3" t="s">
        <v>2050</v>
      </c>
    </row>
    <row r="4" spans="1:27" ht="16.5" customHeight="1">
      <c r="A4" s="36">
        <f>SUMIFS(L:L,H:H,"&gt;=" &amp;DATE(2022,7,1), H:H,"&lt;=" &amp;DATE(2023,6,31))</f>
        <v>285822.19</v>
      </c>
      <c r="C4" s="29" t="s">
        <v>238</v>
      </c>
      <c r="D4" s="143">
        <v>3075561</v>
      </c>
      <c r="E4" s="3">
        <v>5</v>
      </c>
      <c r="F4" s="221">
        <v>11093.75</v>
      </c>
      <c r="G4" s="138">
        <v>826.66</v>
      </c>
      <c r="H4" s="132">
        <v>35775</v>
      </c>
      <c r="I4" s="4">
        <v>2</v>
      </c>
      <c r="J4" s="3" t="s">
        <v>88</v>
      </c>
      <c r="K4" s="3" t="s">
        <v>2055</v>
      </c>
      <c r="L4" s="138">
        <v>3596.93</v>
      </c>
      <c r="M4" s="3" t="s">
        <v>2053</v>
      </c>
      <c r="N4" s="8" t="str">
        <f t="shared" si="0"/>
        <v>FY18</v>
      </c>
      <c r="O4" s="142" t="s">
        <v>2056</v>
      </c>
      <c r="P4" s="5">
        <v>10708</v>
      </c>
      <c r="Q4" s="5">
        <v>43252</v>
      </c>
      <c r="R4" s="6" t="s">
        <v>2049</v>
      </c>
      <c r="S4" s="142" t="s">
        <v>2057</v>
      </c>
      <c r="T4" s="5">
        <v>10796</v>
      </c>
      <c r="U4" s="5">
        <v>37612</v>
      </c>
      <c r="V4" s="3" t="s">
        <v>2058</v>
      </c>
      <c r="W4" s="3" t="s">
        <v>2050</v>
      </c>
    </row>
    <row r="5" spans="1:27" ht="16.5" customHeight="1">
      <c r="A5" s="37" t="s">
        <v>129</v>
      </c>
      <c r="C5" s="29" t="s">
        <v>238</v>
      </c>
      <c r="D5" s="143">
        <v>6758262</v>
      </c>
      <c r="E5" s="3">
        <v>8</v>
      </c>
      <c r="F5" s="221">
        <v>10000</v>
      </c>
      <c r="G5" s="138">
        <v>960</v>
      </c>
      <c r="H5" s="132">
        <v>35936</v>
      </c>
      <c r="I5" s="4">
        <v>1</v>
      </c>
      <c r="J5" s="3"/>
      <c r="K5" s="3" t="s">
        <v>2059</v>
      </c>
      <c r="L5" s="138">
        <v>4842.8</v>
      </c>
      <c r="M5" s="3" t="s">
        <v>2053</v>
      </c>
      <c r="N5" s="8" t="str">
        <f t="shared" si="0"/>
        <v>FY15</v>
      </c>
      <c r="O5" s="142" t="s">
        <v>2060</v>
      </c>
      <c r="P5" s="5">
        <v>6262</v>
      </c>
      <c r="Q5" s="5">
        <v>41994</v>
      </c>
      <c r="R5" s="6" t="s">
        <v>2049</v>
      </c>
      <c r="S5" s="142"/>
      <c r="T5" s="5"/>
      <c r="U5" s="5"/>
      <c r="V5" s="3"/>
      <c r="W5" s="3" t="s">
        <v>2050</v>
      </c>
    </row>
    <row r="6" spans="1:27" ht="16.5" customHeight="1">
      <c r="A6" s="36">
        <v>1000000</v>
      </c>
      <c r="C6" s="29" t="s">
        <v>238</v>
      </c>
      <c r="D6" s="143">
        <v>7610397</v>
      </c>
      <c r="E6" s="3">
        <v>11</v>
      </c>
      <c r="F6" s="221">
        <v>20000</v>
      </c>
      <c r="G6" s="138">
        <v>1720</v>
      </c>
      <c r="H6" s="132">
        <v>36111</v>
      </c>
      <c r="I6" s="4">
        <v>2</v>
      </c>
      <c r="J6" s="3" t="s">
        <v>88</v>
      </c>
      <c r="K6" s="3" t="s">
        <v>2059</v>
      </c>
      <c r="L6" s="138">
        <v>8796.4</v>
      </c>
      <c r="M6" s="3" t="s">
        <v>2061</v>
      </c>
      <c r="N6" s="8" t="str">
        <f t="shared" si="0"/>
        <v>FY13</v>
      </c>
      <c r="O6" s="142" t="s">
        <v>2062</v>
      </c>
      <c r="P6" s="5">
        <v>6243</v>
      </c>
      <c r="Q6" s="5">
        <v>41353</v>
      </c>
      <c r="R6" s="6" t="s">
        <v>2049</v>
      </c>
      <c r="S6" s="142" t="s">
        <v>2063</v>
      </c>
      <c r="T6" s="5">
        <v>5010</v>
      </c>
      <c r="U6" s="5">
        <v>39355</v>
      </c>
      <c r="V6" s="3" t="s">
        <v>2058</v>
      </c>
      <c r="W6" s="3" t="s">
        <v>2050</v>
      </c>
      <c r="Z6" t="s">
        <v>88</v>
      </c>
    </row>
    <row r="7" spans="1:27" ht="16.5" customHeight="1">
      <c r="A7" s="37" t="s">
        <v>133</v>
      </c>
      <c r="C7" s="29" t="s">
        <v>238</v>
      </c>
      <c r="D7" s="143">
        <v>808444</v>
      </c>
      <c r="E7" s="3">
        <v>10</v>
      </c>
      <c r="F7" s="221">
        <v>50000</v>
      </c>
      <c r="G7" s="138">
        <v>4700</v>
      </c>
      <c r="H7" s="132">
        <v>36115</v>
      </c>
      <c r="I7" s="4">
        <v>1</v>
      </c>
      <c r="J7" s="3" t="s">
        <v>88</v>
      </c>
      <c r="K7" s="3" t="s">
        <v>2064</v>
      </c>
      <c r="L7" s="138">
        <v>24533.5</v>
      </c>
      <c r="M7" s="3" t="s">
        <v>2061</v>
      </c>
      <c r="N7" s="8" t="str">
        <f t="shared" si="0"/>
        <v>FY17</v>
      </c>
      <c r="O7" s="142" t="s">
        <v>2065</v>
      </c>
      <c r="P7" s="5">
        <v>6690</v>
      </c>
      <c r="Q7" s="5">
        <v>42813</v>
      </c>
      <c r="R7" s="6" t="s">
        <v>2058</v>
      </c>
      <c r="S7" s="142"/>
      <c r="T7" s="5"/>
      <c r="U7" s="5"/>
      <c r="V7" s="3"/>
      <c r="W7" s="3" t="s">
        <v>2050</v>
      </c>
      <c r="Y7" t="s">
        <v>88</v>
      </c>
    </row>
    <row r="8" spans="1:27" ht="16.5" customHeight="1">
      <c r="A8" s="36">
        <f>SUMIFS(F:F,H:H,"&gt;=" &amp;DATE(2022,7,1), H:H,"&lt;=" &amp;DATE(2023,6,31))</f>
        <v>505751.25</v>
      </c>
      <c r="C8" s="29" t="s">
        <v>238</v>
      </c>
      <c r="D8" s="143">
        <v>27480300</v>
      </c>
      <c r="E8" s="3">
        <v>12</v>
      </c>
      <c r="F8" s="221">
        <v>10000</v>
      </c>
      <c r="G8" s="138">
        <v>800</v>
      </c>
      <c r="H8" s="132">
        <v>36122</v>
      </c>
      <c r="I8" s="4">
        <v>1</v>
      </c>
      <c r="J8" s="3"/>
      <c r="K8" s="3" t="s">
        <v>2066</v>
      </c>
      <c r="L8" s="138">
        <v>4284.7</v>
      </c>
      <c r="M8" s="3" t="s">
        <v>2061</v>
      </c>
      <c r="N8" s="8" t="str">
        <f t="shared" si="0"/>
        <v>FY18</v>
      </c>
      <c r="O8" s="142" t="s">
        <v>2067</v>
      </c>
      <c r="P8" s="5">
        <v>9022</v>
      </c>
      <c r="Q8" s="5">
        <v>43004</v>
      </c>
      <c r="R8" s="6" t="s">
        <v>2049</v>
      </c>
      <c r="S8" s="142" t="s">
        <v>88</v>
      </c>
      <c r="T8" s="5"/>
      <c r="U8" s="5"/>
      <c r="V8" s="3"/>
      <c r="W8" s="3" t="s">
        <v>2050</v>
      </c>
    </row>
    <row r="9" spans="1:27" ht="16.5" customHeight="1">
      <c r="A9" s="37" t="s">
        <v>147</v>
      </c>
      <c r="C9" s="29"/>
      <c r="D9" s="143">
        <v>386094</v>
      </c>
      <c r="E9" s="3">
        <v>13</v>
      </c>
      <c r="F9" s="221">
        <v>15000</v>
      </c>
      <c r="G9" s="138">
        <v>1140</v>
      </c>
      <c r="H9" s="132">
        <v>36123</v>
      </c>
      <c r="I9" s="4">
        <v>1</v>
      </c>
      <c r="J9" s="3" t="s">
        <v>88</v>
      </c>
      <c r="K9" s="3" t="s">
        <v>2064</v>
      </c>
      <c r="L9" s="138">
        <v>6042.15</v>
      </c>
      <c r="M9" s="3" t="s">
        <v>2061</v>
      </c>
      <c r="N9" s="8" t="str">
        <f t="shared" si="0"/>
        <v/>
      </c>
      <c r="O9" s="142" t="s">
        <v>2068</v>
      </c>
      <c r="P9" s="5">
        <v>10084</v>
      </c>
      <c r="Q9" s="5"/>
      <c r="R9" s="6" t="s">
        <v>2058</v>
      </c>
      <c r="S9" s="142" t="s">
        <v>88</v>
      </c>
      <c r="T9" s="5"/>
      <c r="U9" s="5"/>
      <c r="V9" s="3"/>
      <c r="W9" s="3" t="s">
        <v>2050</v>
      </c>
    </row>
    <row r="10" spans="1:27" ht="16.5" customHeight="1" thickBot="1">
      <c r="A10" s="38">
        <f>A8-A6</f>
        <v>-494248.75</v>
      </c>
      <c r="C10" s="29" t="s">
        <v>88</v>
      </c>
      <c r="D10" s="143">
        <v>1044601</v>
      </c>
      <c r="E10" s="3">
        <v>15</v>
      </c>
      <c r="F10" s="221">
        <v>40437.5</v>
      </c>
      <c r="G10" s="138">
        <v>2628.44</v>
      </c>
      <c r="H10" s="132">
        <v>36130</v>
      </c>
      <c r="I10" s="4">
        <v>2</v>
      </c>
      <c r="J10" s="3" t="s">
        <v>88</v>
      </c>
      <c r="K10" s="3" t="s">
        <v>2069</v>
      </c>
      <c r="L10" s="138">
        <v>10105.74</v>
      </c>
      <c r="M10" s="3" t="s">
        <v>2061</v>
      </c>
      <c r="N10" s="8" t="s">
        <v>88</v>
      </c>
      <c r="O10" s="142" t="s">
        <v>2070</v>
      </c>
      <c r="P10" s="5">
        <v>10579</v>
      </c>
      <c r="Q10" s="5"/>
      <c r="R10" s="6" t="s">
        <v>2049</v>
      </c>
      <c r="S10" s="142" t="s">
        <v>2071</v>
      </c>
      <c r="T10" s="5">
        <v>13825</v>
      </c>
      <c r="U10" s="5"/>
      <c r="V10" s="3" t="s">
        <v>2058</v>
      </c>
      <c r="W10" s="3" t="s">
        <v>2050</v>
      </c>
    </row>
    <row r="11" spans="1:27" ht="16.5" customHeight="1">
      <c r="A11" s="77"/>
      <c r="C11" s="29" t="s">
        <v>238</v>
      </c>
      <c r="D11" s="143">
        <v>30336408</v>
      </c>
      <c r="E11" s="3">
        <v>18</v>
      </c>
      <c r="F11" s="221">
        <v>10000</v>
      </c>
      <c r="G11" s="138">
        <v>1040</v>
      </c>
      <c r="H11" s="132">
        <v>36227</v>
      </c>
      <c r="I11" s="4">
        <v>1</v>
      </c>
      <c r="J11" s="3" t="s">
        <v>88</v>
      </c>
      <c r="K11" s="3" t="s">
        <v>2072</v>
      </c>
      <c r="L11" s="138">
        <v>4232.8999999999996</v>
      </c>
      <c r="M11" s="3" t="s">
        <v>2061</v>
      </c>
      <c r="N11" s="8" t="str">
        <f t="shared" si="0"/>
        <v>FY22</v>
      </c>
      <c r="O11" s="142" t="s">
        <v>2073</v>
      </c>
      <c r="P11" s="5">
        <v>15457</v>
      </c>
      <c r="Q11" s="5">
        <v>44741</v>
      </c>
      <c r="R11" s="6" t="s">
        <v>2049</v>
      </c>
      <c r="S11" s="142" t="s">
        <v>88</v>
      </c>
      <c r="T11" s="5"/>
      <c r="U11" s="5"/>
      <c r="V11" s="3"/>
      <c r="W11" s="3" t="s">
        <v>2050</v>
      </c>
      <c r="AA11" t="s">
        <v>88</v>
      </c>
    </row>
    <row r="12" spans="1:27" ht="16.5" customHeight="1" thickBot="1">
      <c r="A12" s="34" t="s">
        <v>88</v>
      </c>
      <c r="C12" s="29"/>
      <c r="D12" s="143">
        <v>30336416</v>
      </c>
      <c r="E12" s="3">
        <v>19</v>
      </c>
      <c r="F12" s="221">
        <v>10000</v>
      </c>
      <c r="G12" s="138">
        <v>1220</v>
      </c>
      <c r="H12" s="132">
        <v>36227</v>
      </c>
      <c r="I12" s="4">
        <v>1</v>
      </c>
      <c r="J12" s="3"/>
      <c r="K12" s="3" t="s">
        <v>2072</v>
      </c>
      <c r="L12" s="138">
        <v>4440.8</v>
      </c>
      <c r="M12" s="3" t="s">
        <v>2061</v>
      </c>
      <c r="N12" s="8" t="str">
        <f t="shared" si="0"/>
        <v/>
      </c>
      <c r="O12" s="142" t="s">
        <v>2074</v>
      </c>
      <c r="P12" s="5">
        <v>16657</v>
      </c>
      <c r="Q12" s="5"/>
      <c r="R12" s="6" t="s">
        <v>2058</v>
      </c>
      <c r="S12" s="142"/>
      <c r="T12" s="5"/>
      <c r="U12" s="5"/>
      <c r="V12" s="3"/>
      <c r="W12" s="3" t="s">
        <v>2050</v>
      </c>
    </row>
    <row r="13" spans="1:27" ht="16.5" customHeight="1">
      <c r="A13" s="39" t="s">
        <v>2075</v>
      </c>
      <c r="C13" s="308" t="s">
        <v>238</v>
      </c>
      <c r="D13" s="313"/>
      <c r="E13" s="309"/>
      <c r="F13" s="310">
        <v>10000</v>
      </c>
      <c r="G13" s="311"/>
      <c r="H13" s="316">
        <v>36227</v>
      </c>
      <c r="I13" s="312">
        <v>1</v>
      </c>
      <c r="J13" s="309"/>
      <c r="K13" s="309"/>
      <c r="L13" s="311"/>
      <c r="M13" s="309"/>
      <c r="N13" s="309" t="s">
        <v>17</v>
      </c>
      <c r="O13" s="313" t="s">
        <v>2076</v>
      </c>
      <c r="P13" s="314">
        <v>3239</v>
      </c>
      <c r="Q13" s="314">
        <v>39414</v>
      </c>
      <c r="R13" s="309" t="s">
        <v>2049</v>
      </c>
      <c r="S13" s="313"/>
      <c r="T13" s="315"/>
      <c r="U13" s="315"/>
      <c r="V13" s="309"/>
      <c r="W13" s="309"/>
    </row>
    <row r="14" spans="1:27" ht="16.5" customHeight="1">
      <c r="A14" s="40">
        <f>SUM(COUNT(D2:D10000))-SUM(COUNTIF(C2:C10000,"x"))</f>
        <v>232</v>
      </c>
      <c r="C14" s="29" t="s">
        <v>238</v>
      </c>
      <c r="D14" s="143">
        <v>347542</v>
      </c>
      <c r="E14" s="3">
        <v>20</v>
      </c>
      <c r="F14" s="221">
        <v>10000</v>
      </c>
      <c r="G14" s="138">
        <v>830</v>
      </c>
      <c r="H14" s="132">
        <v>36281</v>
      </c>
      <c r="I14" s="4">
        <v>2</v>
      </c>
      <c r="J14" s="3"/>
      <c r="K14" s="3" t="s">
        <v>2077</v>
      </c>
      <c r="L14" s="138">
        <v>4211.7</v>
      </c>
      <c r="M14" s="3" t="s">
        <v>2061</v>
      </c>
      <c r="N14" s="8" t="str">
        <f>IF(OR(ISBLANK(Q:Q)=FALSE,ISBLANK(U:U)=FALSE),IF(Q:Q&gt;U:U,IF(MONTH(Q:Q)&gt;6,"FY"&amp;RIGHT(YEAR(Q:Q)+1,2),"FY"&amp;RIGHT(YEAR(Q:Q),2)),IF(MONTH(U:U)&gt;6,"FY"&amp;RIGHT(YEAR(U:U)+1,2),"FY"&amp;RIGHT(YEAR(U:U),2))),"")</f>
        <v>FY12</v>
      </c>
      <c r="O14" s="142" t="s">
        <v>2078</v>
      </c>
      <c r="P14" s="5">
        <v>8254</v>
      </c>
      <c r="Q14" s="5">
        <v>40947</v>
      </c>
      <c r="R14" s="6" t="s">
        <v>2049</v>
      </c>
      <c r="S14" s="142" t="s">
        <v>2079</v>
      </c>
      <c r="T14" s="5">
        <v>2850</v>
      </c>
      <c r="U14" s="5">
        <v>37701</v>
      </c>
      <c r="V14" s="3" t="s">
        <v>2058</v>
      </c>
      <c r="W14" s="3"/>
    </row>
    <row r="15" spans="1:27" ht="16.5" customHeight="1">
      <c r="A15" s="41" t="s">
        <v>2080</v>
      </c>
      <c r="C15" s="29" t="s">
        <v>238</v>
      </c>
      <c r="D15" s="143">
        <v>532010</v>
      </c>
      <c r="E15" s="3">
        <v>21</v>
      </c>
      <c r="F15" s="221">
        <v>50310</v>
      </c>
      <c r="G15" s="138">
        <v>3823.56</v>
      </c>
      <c r="H15" s="132">
        <v>36403</v>
      </c>
      <c r="I15" s="4">
        <v>1</v>
      </c>
      <c r="J15" s="3"/>
      <c r="K15" s="3" t="s">
        <v>2081</v>
      </c>
      <c r="L15" s="138">
        <v>21332.45</v>
      </c>
      <c r="M15" s="3" t="s">
        <v>2082</v>
      </c>
      <c r="N15" s="8" t="str">
        <f>IF(OR(ISBLANK(Q:Q)=FALSE,ISBLANK(U:U)=FALSE),IF(Q:Q&gt;U:U,IF(MONTH(Q:Q)&gt;6,"FY"&amp;RIGHT(YEAR(Q:Q)+1,2),"FY"&amp;RIGHT(YEAR(Q:Q),2)),IF(MONTH(U:U)&gt;6,"FY"&amp;RIGHT(YEAR(U:U)+1,2),"FY"&amp;RIGHT(YEAR(U:U),2))),"")</f>
        <v>FY15</v>
      </c>
      <c r="O15" s="142" t="s">
        <v>2083</v>
      </c>
      <c r="P15" s="5">
        <v>10435</v>
      </c>
      <c r="Q15" s="5">
        <v>42078</v>
      </c>
      <c r="R15" s="6" t="s">
        <v>2058</v>
      </c>
      <c r="S15" s="142"/>
      <c r="T15" s="5"/>
      <c r="U15" s="5"/>
      <c r="V15" s="3"/>
      <c r="W15" s="3" t="s">
        <v>2050</v>
      </c>
    </row>
    <row r="16" spans="1:27" ht="16.5" customHeight="1">
      <c r="A16" s="40">
        <f>SUM(COUNTIF(C2:C10000,"y"))</f>
        <v>7</v>
      </c>
      <c r="C16" s="308" t="s">
        <v>238</v>
      </c>
      <c r="D16" s="313"/>
      <c r="E16" s="309"/>
      <c r="F16" s="310">
        <v>26871.25</v>
      </c>
      <c r="G16" s="311"/>
      <c r="H16" s="316">
        <v>36488</v>
      </c>
      <c r="I16" s="312">
        <v>1</v>
      </c>
      <c r="J16" s="309"/>
      <c r="K16" s="309"/>
      <c r="L16" s="311"/>
      <c r="M16" s="309"/>
      <c r="N16" s="309" t="s">
        <v>19</v>
      </c>
      <c r="O16" s="313" t="s">
        <v>2084</v>
      </c>
      <c r="P16" s="314">
        <v>10698</v>
      </c>
      <c r="Q16" s="314">
        <v>38925</v>
      </c>
      <c r="R16" s="309" t="s">
        <v>2049</v>
      </c>
      <c r="S16" s="313"/>
      <c r="T16" s="315"/>
      <c r="U16" s="315"/>
      <c r="V16" s="309"/>
      <c r="W16" s="309"/>
    </row>
    <row r="17" spans="1:23" ht="16.5" customHeight="1">
      <c r="A17" s="41" t="s">
        <v>2085</v>
      </c>
      <c r="C17" s="308" t="s">
        <v>238</v>
      </c>
      <c r="D17" s="313"/>
      <c r="E17" s="309"/>
      <c r="F17" s="310">
        <v>20000</v>
      </c>
      <c r="G17" s="311"/>
      <c r="H17" s="316">
        <v>36501</v>
      </c>
      <c r="I17" s="312">
        <v>1</v>
      </c>
      <c r="J17" s="309"/>
      <c r="K17" s="309"/>
      <c r="L17" s="311"/>
      <c r="M17" s="309"/>
      <c r="N17" s="309" t="s">
        <v>19</v>
      </c>
      <c r="O17" s="313" t="s">
        <v>2086</v>
      </c>
      <c r="P17" s="314">
        <v>7056</v>
      </c>
      <c r="Q17" s="314">
        <v>38875</v>
      </c>
      <c r="R17" s="309" t="s">
        <v>2058</v>
      </c>
      <c r="S17" s="313"/>
      <c r="T17" s="315"/>
      <c r="U17" s="315"/>
      <c r="V17" s="309"/>
      <c r="W17" s="309"/>
    </row>
    <row r="18" spans="1:23" ht="16.5" customHeight="1" thickBot="1">
      <c r="A18" s="76">
        <f>SUM(COUNTIF(C2:C1000,"x"))</f>
        <v>125</v>
      </c>
      <c r="C18" s="29" t="s">
        <v>238</v>
      </c>
      <c r="D18" s="143">
        <v>6758262</v>
      </c>
      <c r="E18" s="3">
        <v>27</v>
      </c>
      <c r="F18" s="221">
        <v>10000</v>
      </c>
      <c r="G18" s="138">
        <v>830</v>
      </c>
      <c r="H18" s="132">
        <v>36523</v>
      </c>
      <c r="I18" s="4">
        <v>2</v>
      </c>
      <c r="J18" s="3"/>
      <c r="K18" s="3" t="s">
        <v>2059</v>
      </c>
      <c r="L18" s="138">
        <v>4306.3</v>
      </c>
      <c r="M18" s="3" t="s">
        <v>2082</v>
      </c>
      <c r="N18" s="8" t="str">
        <f>IF(OR(ISBLANK(Q:Q)=FALSE,ISBLANK(U:U)=FALSE),IF(Q:Q&gt;U:U,IF(MONTH(Q:Q)&gt;6,"FY"&amp;RIGHT(YEAR(Q:Q)+1,2),"FY"&amp;RIGHT(YEAR(Q:Q),2)),IF(MONTH(U:U)&gt;6,"FY"&amp;RIGHT(YEAR(U:U)+1,2),"FY"&amp;RIGHT(YEAR(U:U),2))),"")</f>
        <v>FY15</v>
      </c>
      <c r="O18" s="142" t="s">
        <v>2060</v>
      </c>
      <c r="P18" s="5">
        <v>6262</v>
      </c>
      <c r="Q18" s="5">
        <v>41994</v>
      </c>
      <c r="R18" s="6" t="s">
        <v>2049</v>
      </c>
      <c r="S18" s="142" t="s">
        <v>2087</v>
      </c>
      <c r="T18" s="5">
        <v>6786</v>
      </c>
      <c r="U18" s="5">
        <v>39764</v>
      </c>
      <c r="V18" s="3" t="s">
        <v>2058</v>
      </c>
      <c r="W18" s="3" t="s">
        <v>2050</v>
      </c>
    </row>
    <row r="19" spans="1:23" ht="16.5" customHeight="1">
      <c r="A19" s="34"/>
      <c r="C19" s="308" t="s">
        <v>238</v>
      </c>
      <c r="D19" s="313"/>
      <c r="E19" s="309"/>
      <c r="F19" s="310">
        <v>15000</v>
      </c>
      <c r="G19" s="311"/>
      <c r="H19" s="316">
        <v>36550</v>
      </c>
      <c r="I19" s="312">
        <v>1</v>
      </c>
      <c r="J19" s="309"/>
      <c r="K19" s="309"/>
      <c r="L19" s="311"/>
      <c r="M19" s="309"/>
      <c r="N19" s="309" t="s">
        <v>16</v>
      </c>
      <c r="O19" s="313" t="s">
        <v>2088</v>
      </c>
      <c r="P19" s="314">
        <v>4403</v>
      </c>
      <c r="Q19" s="314">
        <v>39725</v>
      </c>
      <c r="R19" s="309" t="s">
        <v>2058</v>
      </c>
      <c r="S19" s="313"/>
      <c r="T19" s="315"/>
      <c r="U19" s="315"/>
      <c r="V19" s="309"/>
      <c r="W19" s="309"/>
    </row>
    <row r="20" spans="1:23" ht="16.5" customHeight="1" thickBot="1">
      <c r="A20" s="34"/>
      <c r="C20" s="29" t="s">
        <v>238</v>
      </c>
      <c r="D20" s="143">
        <v>4526307</v>
      </c>
      <c r="E20" s="3">
        <v>29</v>
      </c>
      <c r="F20" s="221">
        <v>10000</v>
      </c>
      <c r="G20" s="138">
        <v>820</v>
      </c>
      <c r="H20" s="132">
        <v>36572</v>
      </c>
      <c r="I20" s="4">
        <v>1</v>
      </c>
      <c r="J20" s="3"/>
      <c r="K20" s="3" t="s">
        <v>2089</v>
      </c>
      <c r="L20" s="138">
        <v>4562.8</v>
      </c>
      <c r="M20" s="3" t="s">
        <v>2082</v>
      </c>
      <c r="N20" s="8" t="str">
        <f t="shared" ref="N20:N27" si="1">IF(OR(ISBLANK(Q:Q)=FALSE,ISBLANK(U:U)=FALSE),IF(Q:Q&gt;U:U,IF(MONTH(Q:Q)&gt;6,"FY"&amp;RIGHT(YEAR(Q:Q)+1,2),"FY"&amp;RIGHT(YEAR(Q:Q),2)),IF(MONTH(U:U)&gt;6,"FY"&amp;RIGHT(YEAR(U:U)+1,2),"FY"&amp;RIGHT(YEAR(U:U),2))),"")</f>
        <v>FY11</v>
      </c>
      <c r="O20" s="142" t="s">
        <v>2090</v>
      </c>
      <c r="P20" s="5">
        <v>9075</v>
      </c>
      <c r="Q20" s="5">
        <v>40393</v>
      </c>
      <c r="R20" s="6" t="s">
        <v>2058</v>
      </c>
      <c r="S20" s="142"/>
      <c r="T20" s="5"/>
      <c r="U20" s="5"/>
      <c r="V20" s="3"/>
      <c r="W20" s="3"/>
    </row>
    <row r="21" spans="1:23" ht="16.5" customHeight="1">
      <c r="A21" s="35" t="s">
        <v>2091</v>
      </c>
      <c r="C21" s="29" t="s">
        <v>238</v>
      </c>
      <c r="D21" s="143">
        <v>3334216</v>
      </c>
      <c r="E21" s="3">
        <v>30</v>
      </c>
      <c r="F21" s="221">
        <v>10000</v>
      </c>
      <c r="G21" s="138">
        <v>740</v>
      </c>
      <c r="H21" s="132">
        <v>36585</v>
      </c>
      <c r="I21" s="4">
        <v>1</v>
      </c>
      <c r="J21" s="3"/>
      <c r="K21" s="3" t="s">
        <v>2092</v>
      </c>
      <c r="L21" s="138">
        <v>4888.2</v>
      </c>
      <c r="M21" s="3" t="s">
        <v>2082</v>
      </c>
      <c r="N21" s="8" t="str">
        <f t="shared" si="1"/>
        <v>FY13</v>
      </c>
      <c r="O21" s="142" t="s">
        <v>2093</v>
      </c>
      <c r="P21" s="5">
        <v>11429</v>
      </c>
      <c r="Q21" s="5">
        <v>41358</v>
      </c>
      <c r="R21" s="6" t="s">
        <v>2049</v>
      </c>
      <c r="S21" s="142"/>
      <c r="T21" s="5"/>
      <c r="U21" s="5"/>
      <c r="V21" s="3"/>
      <c r="W21" s="3"/>
    </row>
    <row r="22" spans="1:23" ht="16.5" customHeight="1">
      <c r="A22" s="74">
        <f>OVERVIEW!D38</f>
        <v>7200951.7199999997</v>
      </c>
      <c r="C22" s="29"/>
      <c r="D22" s="143">
        <v>7699218</v>
      </c>
      <c r="E22" s="3">
        <v>31</v>
      </c>
      <c r="F22" s="221">
        <v>10000</v>
      </c>
      <c r="G22" s="138">
        <v>820</v>
      </c>
      <c r="H22" s="132">
        <v>36722</v>
      </c>
      <c r="I22" s="4">
        <v>1</v>
      </c>
      <c r="J22" s="3"/>
      <c r="K22" s="3" t="s">
        <v>2094</v>
      </c>
      <c r="L22" s="138">
        <v>4562.8</v>
      </c>
      <c r="M22" s="3" t="s">
        <v>2095</v>
      </c>
      <c r="N22" s="8" t="str">
        <f t="shared" si="1"/>
        <v/>
      </c>
      <c r="O22" s="142" t="s">
        <v>2096</v>
      </c>
      <c r="P22" s="5">
        <v>9210</v>
      </c>
      <c r="Q22" s="5"/>
      <c r="R22" s="6" t="s">
        <v>2058</v>
      </c>
      <c r="S22" s="142"/>
      <c r="T22" s="5"/>
      <c r="U22" s="5"/>
      <c r="V22" s="3"/>
      <c r="W22" s="3" t="s">
        <v>2050</v>
      </c>
    </row>
    <row r="23" spans="1:23" ht="16.5" customHeight="1">
      <c r="A23" s="37" t="s">
        <v>2097</v>
      </c>
      <c r="C23" s="29" t="s">
        <v>238</v>
      </c>
      <c r="D23" s="143">
        <v>27135300</v>
      </c>
      <c r="E23" s="3">
        <v>32</v>
      </c>
      <c r="F23" s="221">
        <v>10000</v>
      </c>
      <c r="G23" s="138">
        <v>960</v>
      </c>
      <c r="H23" s="132">
        <v>36733</v>
      </c>
      <c r="I23" s="4">
        <v>1</v>
      </c>
      <c r="J23" s="3"/>
      <c r="K23" s="3" t="s">
        <v>2081</v>
      </c>
      <c r="L23" s="138">
        <v>5107.2</v>
      </c>
      <c r="M23" s="3" t="s">
        <v>2095</v>
      </c>
      <c r="N23" s="8" t="str">
        <f t="shared" si="1"/>
        <v>FY17</v>
      </c>
      <c r="O23" s="142" t="s">
        <v>2098</v>
      </c>
      <c r="P23" s="5">
        <v>6876</v>
      </c>
      <c r="Q23" s="317">
        <v>42833</v>
      </c>
      <c r="R23" s="6" t="s">
        <v>2049</v>
      </c>
      <c r="S23" s="142"/>
      <c r="T23" s="5"/>
      <c r="U23" s="5"/>
      <c r="V23" s="3"/>
      <c r="W23" s="3" t="s">
        <v>2050</v>
      </c>
    </row>
    <row r="24" spans="1:23" ht="16.5" customHeight="1">
      <c r="A24" s="74">
        <f>OVERVIEW!C38</f>
        <v>6556696.3899999997</v>
      </c>
      <c r="C24" s="29" t="s">
        <v>238</v>
      </c>
      <c r="D24" s="143">
        <v>267765</v>
      </c>
      <c r="E24" s="3">
        <v>34</v>
      </c>
      <c r="F24" s="221">
        <v>10000</v>
      </c>
      <c r="G24" s="138">
        <v>1730</v>
      </c>
      <c r="H24" s="132">
        <v>36756</v>
      </c>
      <c r="I24" s="4">
        <v>1</v>
      </c>
      <c r="J24" s="3"/>
      <c r="K24" s="3" t="s">
        <v>2059</v>
      </c>
      <c r="L24" s="138">
        <v>7956</v>
      </c>
      <c r="M24" s="3" t="s">
        <v>2095</v>
      </c>
      <c r="N24" s="8" t="str">
        <f t="shared" si="1"/>
        <v>FY17</v>
      </c>
      <c r="O24" s="142" t="s">
        <v>2099</v>
      </c>
      <c r="P24" s="5">
        <v>10258</v>
      </c>
      <c r="Q24" s="5">
        <v>42818</v>
      </c>
      <c r="R24" s="6" t="s">
        <v>2049</v>
      </c>
      <c r="S24" s="142"/>
      <c r="T24" s="5"/>
      <c r="U24" s="5"/>
      <c r="V24" s="3"/>
      <c r="W24" s="3" t="s">
        <v>2050</v>
      </c>
    </row>
    <row r="25" spans="1:23" ht="16.5" customHeight="1">
      <c r="A25" s="37" t="s">
        <v>2100</v>
      </c>
      <c r="C25" s="29" t="s">
        <v>238</v>
      </c>
      <c r="D25" s="143">
        <v>5354121</v>
      </c>
      <c r="E25" s="3">
        <v>35</v>
      </c>
      <c r="F25" s="221">
        <v>23876.880000000001</v>
      </c>
      <c r="G25" s="138">
        <v>1671.4</v>
      </c>
      <c r="H25" s="132">
        <v>36788</v>
      </c>
      <c r="I25" s="4">
        <v>2</v>
      </c>
      <c r="J25" s="3" t="s">
        <v>88</v>
      </c>
      <c r="K25" s="3" t="s">
        <v>2046</v>
      </c>
      <c r="L25" s="138">
        <v>8573.23</v>
      </c>
      <c r="M25" s="3" t="s">
        <v>2095</v>
      </c>
      <c r="N25" s="8" t="str">
        <f t="shared" si="1"/>
        <v>FY20</v>
      </c>
      <c r="O25" s="142" t="s">
        <v>2101</v>
      </c>
      <c r="P25" s="5">
        <v>10362</v>
      </c>
      <c r="Q25" s="5">
        <v>42865</v>
      </c>
      <c r="R25" s="6" t="s">
        <v>2049</v>
      </c>
      <c r="S25" s="142" t="s">
        <v>2102</v>
      </c>
      <c r="T25" s="5">
        <v>10617</v>
      </c>
      <c r="U25" s="5">
        <v>43910</v>
      </c>
      <c r="V25" s="3" t="s">
        <v>2058</v>
      </c>
      <c r="W25" s="3" t="s">
        <v>2050</v>
      </c>
    </row>
    <row r="26" spans="1:23" ht="16.5" customHeight="1">
      <c r="A26" s="74">
        <f>OVERVIEW!B38</f>
        <v>644255.32999999996</v>
      </c>
      <c r="C26" s="29" t="s">
        <v>238</v>
      </c>
      <c r="D26" s="143">
        <v>517367</v>
      </c>
      <c r="E26" s="3">
        <v>37</v>
      </c>
      <c r="F26" s="221">
        <v>15000</v>
      </c>
      <c r="G26" s="138">
        <v>1185</v>
      </c>
      <c r="H26" s="132">
        <v>36825</v>
      </c>
      <c r="I26" s="4">
        <v>2</v>
      </c>
      <c r="J26" s="3"/>
      <c r="K26" s="3" t="s">
        <v>2081</v>
      </c>
      <c r="L26" s="138">
        <v>6117.9</v>
      </c>
      <c r="M26" s="3" t="s">
        <v>2095</v>
      </c>
      <c r="N26" s="8" t="str">
        <f t="shared" si="1"/>
        <v>FY22</v>
      </c>
      <c r="O26" s="142" t="s">
        <v>2103</v>
      </c>
      <c r="P26" s="5">
        <v>7801</v>
      </c>
      <c r="Q26" s="5">
        <v>37392</v>
      </c>
      <c r="R26" s="6" t="s">
        <v>2058</v>
      </c>
      <c r="S26" s="142" t="s">
        <v>2104</v>
      </c>
      <c r="T26" s="5">
        <v>7451</v>
      </c>
      <c r="U26" s="5">
        <v>44548</v>
      </c>
      <c r="V26" s="3" t="s">
        <v>2058</v>
      </c>
      <c r="W26" s="3" t="s">
        <v>2050</v>
      </c>
    </row>
    <row r="27" spans="1:23" ht="16.5" customHeight="1">
      <c r="A27" s="37" t="s">
        <v>2105</v>
      </c>
      <c r="C27" s="29" t="s">
        <v>238</v>
      </c>
      <c r="D27" s="143">
        <v>931089</v>
      </c>
      <c r="E27" s="3">
        <v>38</v>
      </c>
      <c r="F27" s="221">
        <v>15000</v>
      </c>
      <c r="G27" s="138">
        <v>1275</v>
      </c>
      <c r="H27" s="132">
        <v>36854</v>
      </c>
      <c r="I27" s="4">
        <v>1</v>
      </c>
      <c r="J27" s="3"/>
      <c r="K27" s="3" t="s">
        <v>2106</v>
      </c>
      <c r="L27" s="138">
        <v>6936.15</v>
      </c>
      <c r="M27" s="3" t="s">
        <v>2095</v>
      </c>
      <c r="N27" s="8" t="str">
        <f t="shared" si="1"/>
        <v>FY11</v>
      </c>
      <c r="O27" s="142" t="s">
        <v>2107</v>
      </c>
      <c r="P27" s="5">
        <v>8730</v>
      </c>
      <c r="Q27" s="5">
        <v>40601</v>
      </c>
      <c r="R27" s="6" t="s">
        <v>2058</v>
      </c>
      <c r="S27" s="142"/>
      <c r="T27" s="5"/>
      <c r="U27" s="5"/>
      <c r="V27" s="3"/>
      <c r="W27" s="3"/>
    </row>
    <row r="28" spans="1:23" ht="16.5" customHeight="1" thickBot="1">
      <c r="A28" s="318">
        <f>SUM(L2:L10000)</f>
        <v>4405720.4300000016</v>
      </c>
      <c r="C28" s="308" t="s">
        <v>238</v>
      </c>
      <c r="D28" s="313">
        <v>5809884</v>
      </c>
      <c r="E28" s="309"/>
      <c r="F28" s="310">
        <v>15000</v>
      </c>
      <c r="G28" s="311"/>
      <c r="H28" s="316">
        <v>36871</v>
      </c>
      <c r="I28" s="312">
        <v>2</v>
      </c>
      <c r="J28" s="309"/>
      <c r="K28" s="309"/>
      <c r="L28" s="311"/>
      <c r="M28" s="309"/>
      <c r="N28" s="309" t="s">
        <v>21</v>
      </c>
      <c r="O28" s="313" t="s">
        <v>2108</v>
      </c>
      <c r="P28" s="314">
        <v>6060</v>
      </c>
      <c r="Q28" s="314">
        <v>38042</v>
      </c>
      <c r="R28" s="309" t="s">
        <v>2049</v>
      </c>
      <c r="S28" s="313" t="s">
        <v>2109</v>
      </c>
      <c r="T28" s="314">
        <v>6352</v>
      </c>
      <c r="U28" s="314">
        <v>37961</v>
      </c>
      <c r="V28" s="309" t="s">
        <v>2058</v>
      </c>
      <c r="W28" s="309"/>
    </row>
    <row r="29" spans="1:23" ht="16.5" customHeight="1">
      <c r="A29" s="34" t="s">
        <v>88</v>
      </c>
      <c r="C29" s="29" t="s">
        <v>238</v>
      </c>
      <c r="D29" s="143">
        <v>8856452</v>
      </c>
      <c r="E29" s="3">
        <v>42</v>
      </c>
      <c r="F29" s="221">
        <v>14522.25</v>
      </c>
      <c r="G29" s="138">
        <v>1031.08</v>
      </c>
      <c r="H29" s="132">
        <v>36887</v>
      </c>
      <c r="I29" s="4">
        <v>2</v>
      </c>
      <c r="J29" s="3"/>
      <c r="K29" s="3" t="s">
        <v>2081</v>
      </c>
      <c r="L29" s="138">
        <v>5294.67</v>
      </c>
      <c r="M29" s="3" t="s">
        <v>2095</v>
      </c>
      <c r="N29" s="8" t="str">
        <f>IF(OR(ISBLANK(Q:Q)=FALSE,ISBLANK(U:U)=FALSE),IF(Q:Q&gt;U:U,IF(MONTH(Q:Q)&gt;6,"FY"&amp;RIGHT(YEAR(Q:Q)+1,2),"FY"&amp;RIGHT(YEAR(Q:Q),2)),IF(MONTH(U:U)&gt;6,"FY"&amp;RIGHT(YEAR(U:U)+1,2),"FY"&amp;RIGHT(YEAR(U:U),2))),"")</f>
        <v>FY20</v>
      </c>
      <c r="O29" s="142" t="s">
        <v>2110</v>
      </c>
      <c r="P29" s="5">
        <v>9783</v>
      </c>
      <c r="Q29" s="5">
        <v>42021</v>
      </c>
      <c r="R29" s="6" t="s">
        <v>2049</v>
      </c>
      <c r="S29" s="142" t="s">
        <v>2111</v>
      </c>
      <c r="T29" s="5">
        <v>10169</v>
      </c>
      <c r="U29" s="5">
        <v>43852</v>
      </c>
      <c r="V29" s="3" t="s">
        <v>2058</v>
      </c>
      <c r="W29" s="3" t="s">
        <v>2050</v>
      </c>
    </row>
    <row r="30" spans="1:23" ht="16.5" customHeight="1" thickBot="1">
      <c r="A30" s="34"/>
      <c r="C30" s="29"/>
      <c r="D30" s="143">
        <v>2146454</v>
      </c>
      <c r="E30" s="3">
        <v>43</v>
      </c>
      <c r="F30" s="221">
        <v>10000</v>
      </c>
      <c r="G30" s="138">
        <v>800</v>
      </c>
      <c r="H30" s="132">
        <v>36893</v>
      </c>
      <c r="I30" s="4">
        <v>1</v>
      </c>
      <c r="J30" s="3"/>
      <c r="K30" s="3" t="s">
        <v>2112</v>
      </c>
      <c r="L30" s="138">
        <v>4282.8</v>
      </c>
      <c r="M30" s="3" t="s">
        <v>2095</v>
      </c>
      <c r="N30" s="8" t="str">
        <f>IF(OR(ISBLANK(Q:Q)=FALSE,ISBLANK(U:U)=FALSE),IF(Q:Q&gt;U:U,IF(MONTH(Q:Q)&gt;6,"FY"&amp;RIGHT(YEAR(Q:Q)+1,2),"FY"&amp;RIGHT(YEAR(Q:Q),2)),IF(MONTH(U:U)&gt;6,"FY"&amp;RIGHT(YEAR(U:U)+1,2),"FY"&amp;RIGHT(YEAR(U:U),2))),"")</f>
        <v/>
      </c>
      <c r="O30" s="142" t="s">
        <v>2113</v>
      </c>
      <c r="P30" s="5">
        <v>10009</v>
      </c>
      <c r="Q30" s="5"/>
      <c r="R30" s="6" t="s">
        <v>2058</v>
      </c>
      <c r="S30" s="142"/>
      <c r="T30" s="5"/>
      <c r="U30" s="5"/>
      <c r="V30" s="3"/>
      <c r="W30" s="3" t="s">
        <v>2050</v>
      </c>
    </row>
    <row r="31" spans="1:23" ht="16.5" customHeight="1">
      <c r="A31" s="39" t="s">
        <v>389</v>
      </c>
      <c r="C31" s="29" t="s">
        <v>238</v>
      </c>
      <c r="D31" s="143">
        <v>276998</v>
      </c>
      <c r="E31" s="3">
        <v>44</v>
      </c>
      <c r="F31" s="221">
        <v>49308</v>
      </c>
      <c r="G31" s="138">
        <v>3895.36</v>
      </c>
      <c r="H31" s="132">
        <v>36943</v>
      </c>
      <c r="I31" s="4">
        <v>2</v>
      </c>
      <c r="J31" s="3"/>
      <c r="K31" s="3" t="s">
        <v>2059</v>
      </c>
      <c r="L31" s="138">
        <v>19609.3</v>
      </c>
      <c r="M31" s="3" t="s">
        <v>2095</v>
      </c>
      <c r="N31" s="8" t="str">
        <f>IF(OR(ISBLANK(Q:Q)=FALSE,ISBLANK(U:U)=FALSE),IF(Q:Q&gt;U:U,IF(MONTH(Q:Q)&gt;6,"FY"&amp;RIGHT(YEAR(Q:Q)+1,2),"FY"&amp;RIGHT(YEAR(Q:Q),2)),IF(MONTH(U:U)&gt;6,"FY"&amp;RIGHT(YEAR(U:U)+1,2),"FY"&amp;RIGHT(YEAR(U:U),2))),"")</f>
        <v>FY12</v>
      </c>
      <c r="O31" s="142" t="s">
        <v>2114</v>
      </c>
      <c r="P31" s="5">
        <v>6553</v>
      </c>
      <c r="Q31" s="5">
        <v>40805</v>
      </c>
      <c r="R31" s="6" t="s">
        <v>2049</v>
      </c>
      <c r="S31" s="142" t="s">
        <v>2115</v>
      </c>
      <c r="T31" s="5">
        <v>8694</v>
      </c>
      <c r="U31" s="5">
        <v>41024</v>
      </c>
      <c r="V31" s="3" t="s">
        <v>2058</v>
      </c>
      <c r="W31" s="3"/>
    </row>
    <row r="32" spans="1:23" ht="16.5" customHeight="1">
      <c r="A32" s="75">
        <v>149668</v>
      </c>
      <c r="C32" s="29" t="s">
        <v>238</v>
      </c>
      <c r="D32" s="143">
        <v>4043907</v>
      </c>
      <c r="E32" s="3">
        <v>45</v>
      </c>
      <c r="F32" s="221">
        <v>76085.990000000005</v>
      </c>
      <c r="G32" s="138">
        <v>5173.88</v>
      </c>
      <c r="H32" s="132">
        <v>37036</v>
      </c>
      <c r="I32" s="4">
        <v>2</v>
      </c>
      <c r="J32" s="3"/>
      <c r="K32" s="3" t="s">
        <v>2055</v>
      </c>
      <c r="L32" s="138">
        <v>20385.72</v>
      </c>
      <c r="M32" s="3" t="s">
        <v>2095</v>
      </c>
      <c r="N32" s="8" t="str">
        <f>IF(OR(ISBLANK(Q:Q)=FALSE,ISBLANK(U:U)=FALSE),IF(Q:Q&gt;U:U,IF(MONTH(Q:Q)&gt;6,"FY"&amp;RIGHT(YEAR(Q:Q)+1,2),"FY"&amp;RIGHT(YEAR(Q:Q),2)),IF(MONTH(U:U)&gt;6,"FY"&amp;RIGHT(YEAR(U:U)+1,2),"FY"&amp;RIGHT(YEAR(U:U),2))),"")</f>
        <v>FY17</v>
      </c>
      <c r="O32" s="142" t="s">
        <v>2116</v>
      </c>
      <c r="P32" s="5">
        <v>10889</v>
      </c>
      <c r="Q32" s="317">
        <v>42914</v>
      </c>
      <c r="R32" s="6" t="s">
        <v>2049</v>
      </c>
      <c r="S32" s="142" t="s">
        <v>2117</v>
      </c>
      <c r="T32" s="5">
        <v>12477</v>
      </c>
      <c r="U32" s="317">
        <v>41524</v>
      </c>
      <c r="V32" s="3" t="s">
        <v>2058</v>
      </c>
      <c r="W32" s="3" t="s">
        <v>2050</v>
      </c>
    </row>
    <row r="33" spans="1:23" ht="16.5" customHeight="1">
      <c r="A33" s="41" t="s">
        <v>399</v>
      </c>
      <c r="C33" s="29" t="s">
        <v>238</v>
      </c>
      <c r="D33" s="143">
        <v>402263</v>
      </c>
      <c r="E33" s="3">
        <v>47</v>
      </c>
      <c r="F33" s="221">
        <v>10000</v>
      </c>
      <c r="G33" s="138">
        <v>720</v>
      </c>
      <c r="H33" s="132">
        <v>37209</v>
      </c>
      <c r="I33" s="4">
        <v>1</v>
      </c>
      <c r="J33" s="3"/>
      <c r="K33" s="3" t="s">
        <v>2118</v>
      </c>
      <c r="L33" s="138">
        <v>3660.2</v>
      </c>
      <c r="M33" s="3" t="s">
        <v>2119</v>
      </c>
      <c r="N33" s="8" t="str">
        <f>IF(OR(ISBLANK(Q:Q)=FALSE,ISBLANK(U:U)=FALSE),IF(Q:Q&gt;U:U,IF(MONTH(Q:Q)&gt;6,"FY"&amp;RIGHT(YEAR(Q:Q)+1,2),"FY"&amp;RIGHT(YEAR(Q:Q),2)),IF(MONTH(U:U)&gt;6,"FY"&amp;RIGHT(YEAR(U:U)+1,2),"FY"&amp;RIGHT(YEAR(U:U),2))),"")</f>
        <v>FY16</v>
      </c>
      <c r="O33" s="142" t="s">
        <v>2120</v>
      </c>
      <c r="P33" s="5">
        <v>11595</v>
      </c>
      <c r="Q33" s="5">
        <v>42499</v>
      </c>
      <c r="R33" s="6" t="s">
        <v>2049</v>
      </c>
      <c r="S33" s="142"/>
      <c r="T33" s="5"/>
      <c r="U33" s="5"/>
      <c r="V33" s="3"/>
      <c r="W33" s="3" t="s">
        <v>2050</v>
      </c>
    </row>
    <row r="34" spans="1:23" ht="16.5" customHeight="1">
      <c r="A34" s="75">
        <v>72506</v>
      </c>
      <c r="C34" s="308" t="s">
        <v>238</v>
      </c>
      <c r="D34" s="313"/>
      <c r="E34" s="309"/>
      <c r="F34" s="310">
        <v>20000</v>
      </c>
      <c r="G34" s="311"/>
      <c r="H34" s="316">
        <v>37221</v>
      </c>
      <c r="I34" s="312">
        <v>1</v>
      </c>
      <c r="J34" s="309"/>
      <c r="K34" s="309"/>
      <c r="L34" s="311"/>
      <c r="M34" s="309"/>
      <c r="N34" s="309" t="s">
        <v>17</v>
      </c>
      <c r="O34" s="313" t="s">
        <v>2121</v>
      </c>
      <c r="P34" s="314">
        <v>7348</v>
      </c>
      <c r="Q34" s="314">
        <v>39383</v>
      </c>
      <c r="R34" s="309" t="s">
        <v>2058</v>
      </c>
      <c r="S34" s="313"/>
      <c r="T34" s="315"/>
      <c r="U34" s="315"/>
      <c r="V34" s="309"/>
      <c r="W34" s="309"/>
    </row>
    <row r="35" spans="1:23" ht="16.5" customHeight="1">
      <c r="A35" s="41" t="s">
        <v>410</v>
      </c>
      <c r="C35" s="29" t="s">
        <v>238</v>
      </c>
      <c r="D35" s="143">
        <v>964353</v>
      </c>
      <c r="E35" s="3">
        <v>49</v>
      </c>
      <c r="F35" s="221">
        <v>14984.7</v>
      </c>
      <c r="G35" s="138">
        <v>1288.72</v>
      </c>
      <c r="H35" s="132">
        <v>37243</v>
      </c>
      <c r="I35" s="4">
        <v>2</v>
      </c>
      <c r="J35" s="3"/>
      <c r="K35" s="3" t="s">
        <v>2081</v>
      </c>
      <c r="L35" s="138">
        <v>6348.72</v>
      </c>
      <c r="M35" s="3" t="s">
        <v>2119</v>
      </c>
      <c r="N35" s="8" t="str">
        <f t="shared" ref="N35:N40" si="2">IF(OR(ISBLANK(Q:Q)=FALSE,ISBLANK(U:U)=FALSE),IF(Q:Q&gt;U:U,IF(MONTH(Q:Q)&gt;6,"FY"&amp;RIGHT(YEAR(Q:Q)+1,2),"FY"&amp;RIGHT(YEAR(Q:Q),2)),IF(MONTH(U:U)&gt;6,"FY"&amp;RIGHT(YEAR(U:U)+1,2),"FY"&amp;RIGHT(YEAR(U:U),2))),"")</f>
        <v>FY12</v>
      </c>
      <c r="O35" s="142" t="s">
        <v>2122</v>
      </c>
      <c r="P35" s="5">
        <v>7153</v>
      </c>
      <c r="Q35" s="5">
        <v>40418</v>
      </c>
      <c r="R35" s="6" t="s">
        <v>2049</v>
      </c>
      <c r="S35" s="142" t="s">
        <v>2123</v>
      </c>
      <c r="T35" s="5">
        <v>5214</v>
      </c>
      <c r="U35" s="5">
        <v>40842</v>
      </c>
      <c r="V35" s="3" t="s">
        <v>2058</v>
      </c>
      <c r="W35" s="3"/>
    </row>
    <row r="36" spans="1:23" ht="16.5" customHeight="1">
      <c r="A36" s="75">
        <v>207607</v>
      </c>
      <c r="C36" s="29" t="s">
        <v>238</v>
      </c>
      <c r="D36" s="143">
        <v>6758262</v>
      </c>
      <c r="E36" s="3">
        <v>52</v>
      </c>
      <c r="F36" s="221">
        <v>10000</v>
      </c>
      <c r="G36" s="138">
        <v>840</v>
      </c>
      <c r="H36" s="132">
        <v>37249</v>
      </c>
      <c r="I36" s="4">
        <v>2</v>
      </c>
      <c r="J36" s="3"/>
      <c r="K36" s="3" t="s">
        <v>2059</v>
      </c>
      <c r="L36" s="138">
        <v>4214.5</v>
      </c>
      <c r="M36" s="3" t="s">
        <v>2119</v>
      </c>
      <c r="N36" s="8" t="str">
        <f t="shared" si="2"/>
        <v>FY15</v>
      </c>
      <c r="O36" s="142" t="s">
        <v>2060</v>
      </c>
      <c r="P36" s="5">
        <v>6262</v>
      </c>
      <c r="Q36" s="5">
        <v>41994</v>
      </c>
      <c r="R36" s="6" t="s">
        <v>2049</v>
      </c>
      <c r="S36" s="142" t="s">
        <v>2087</v>
      </c>
      <c r="T36" s="5">
        <v>6786</v>
      </c>
      <c r="U36" s="5">
        <v>39764</v>
      </c>
      <c r="V36" s="3" t="s">
        <v>2058</v>
      </c>
      <c r="W36" s="3" t="s">
        <v>2124</v>
      </c>
    </row>
    <row r="37" spans="1:23" ht="16.5" customHeight="1">
      <c r="A37" s="41" t="s">
        <v>419</v>
      </c>
      <c r="C37" s="29" t="s">
        <v>238</v>
      </c>
      <c r="D37" s="143">
        <v>9308</v>
      </c>
      <c r="E37" s="3">
        <v>50</v>
      </c>
      <c r="F37" s="221">
        <v>20000</v>
      </c>
      <c r="G37" s="138">
        <v>1360</v>
      </c>
      <c r="H37" s="132">
        <v>37312</v>
      </c>
      <c r="I37" s="4">
        <v>1</v>
      </c>
      <c r="J37" s="3"/>
      <c r="K37" s="3" t="s">
        <v>2052</v>
      </c>
      <c r="L37" s="138">
        <v>6416</v>
      </c>
      <c r="M37" s="3" t="s">
        <v>2119</v>
      </c>
      <c r="N37" s="8" t="str">
        <f t="shared" si="2"/>
        <v>FY13</v>
      </c>
      <c r="O37" s="142" t="s">
        <v>2125</v>
      </c>
      <c r="P37" s="7">
        <v>13130</v>
      </c>
      <c r="Q37" s="7">
        <v>41213</v>
      </c>
      <c r="R37" s="6" t="s">
        <v>2058</v>
      </c>
      <c r="S37" s="142"/>
      <c r="T37" s="7"/>
      <c r="U37" s="7"/>
      <c r="V37" s="6"/>
      <c r="W37" s="3"/>
    </row>
    <row r="38" spans="1:23" ht="16.5" customHeight="1">
      <c r="A38" s="75">
        <f>SUMIFS(F:F,H:H,"&gt;=" &amp;DATE(2014,7,1), H:H,"&lt;=" &amp;DATE(2015,6,31))</f>
        <v>772680.42</v>
      </c>
      <c r="C38" s="29"/>
      <c r="D38" s="143">
        <v>929802</v>
      </c>
      <c r="E38" s="3">
        <v>51</v>
      </c>
      <c r="F38" s="221">
        <v>10000</v>
      </c>
      <c r="G38" s="138">
        <v>650</v>
      </c>
      <c r="H38" s="132">
        <v>37316</v>
      </c>
      <c r="I38" s="4">
        <v>2</v>
      </c>
      <c r="J38" s="3"/>
      <c r="K38" s="3" t="s">
        <v>2081</v>
      </c>
      <c r="L38" s="138">
        <v>2612</v>
      </c>
      <c r="M38" s="3" t="s">
        <v>2119</v>
      </c>
      <c r="N38" s="8" t="str">
        <f t="shared" si="2"/>
        <v>FY23</v>
      </c>
      <c r="O38" s="142" t="s">
        <v>2126</v>
      </c>
      <c r="P38" s="5">
        <v>11849</v>
      </c>
      <c r="Q38" s="5">
        <v>44752</v>
      </c>
      <c r="R38" s="6" t="s">
        <v>2049</v>
      </c>
      <c r="S38" s="142" t="s">
        <v>2127</v>
      </c>
      <c r="T38" s="5">
        <v>12395</v>
      </c>
      <c r="U38" s="5"/>
      <c r="V38" s="3" t="s">
        <v>2058</v>
      </c>
      <c r="W38" s="3" t="s">
        <v>2050</v>
      </c>
    </row>
    <row r="39" spans="1:23" ht="16.5" customHeight="1">
      <c r="A39" s="41" t="s">
        <v>424</v>
      </c>
      <c r="C39" s="29" t="s">
        <v>238</v>
      </c>
      <c r="D39" s="143">
        <v>27403310</v>
      </c>
      <c r="E39" s="3">
        <v>53</v>
      </c>
      <c r="F39" s="221">
        <v>10000</v>
      </c>
      <c r="G39" s="138">
        <v>1200</v>
      </c>
      <c r="H39" s="132">
        <v>37383</v>
      </c>
      <c r="I39" s="4">
        <v>1</v>
      </c>
      <c r="J39" s="3"/>
      <c r="K39" s="3" t="s">
        <v>2081</v>
      </c>
      <c r="L39" s="138">
        <v>5602.9</v>
      </c>
      <c r="M39" s="3" t="s">
        <v>2119</v>
      </c>
      <c r="N39" s="8" t="str">
        <f t="shared" si="2"/>
        <v>FY12</v>
      </c>
      <c r="O39" s="142" t="s">
        <v>2128</v>
      </c>
      <c r="P39" s="5">
        <v>4457</v>
      </c>
      <c r="Q39" s="5">
        <v>40985</v>
      </c>
      <c r="R39" s="6" t="s">
        <v>2049</v>
      </c>
      <c r="S39" s="142"/>
      <c r="T39" s="5"/>
      <c r="U39" s="5"/>
      <c r="V39" s="3"/>
      <c r="W39" s="3"/>
    </row>
    <row r="40" spans="1:23" ht="16.5" customHeight="1">
      <c r="A40" s="75">
        <f>SUMIFS(F:F,H:H,"&gt;=" &amp;DATE(2015,7,1), H:H,"&lt;=" &amp;DATE(2016,6,31))</f>
        <v>316417.55</v>
      </c>
      <c r="C40" s="29"/>
      <c r="D40" s="143">
        <v>61655</v>
      </c>
      <c r="E40" s="3">
        <v>54</v>
      </c>
      <c r="F40" s="221">
        <v>49113.9</v>
      </c>
      <c r="G40" s="138">
        <v>3929.16</v>
      </c>
      <c r="H40" s="132">
        <v>37427</v>
      </c>
      <c r="I40" s="4">
        <v>1</v>
      </c>
      <c r="J40" s="3"/>
      <c r="K40" s="3" t="s">
        <v>2129</v>
      </c>
      <c r="L40" s="138">
        <v>20952.48</v>
      </c>
      <c r="M40" s="3" t="s">
        <v>2119</v>
      </c>
      <c r="N40" s="8" t="str">
        <f t="shared" si="2"/>
        <v/>
      </c>
      <c r="O40" s="142" t="s">
        <v>2130</v>
      </c>
      <c r="P40" s="5">
        <v>9610</v>
      </c>
      <c r="Q40" s="5"/>
      <c r="R40" s="6" t="s">
        <v>2058</v>
      </c>
      <c r="S40" s="142"/>
      <c r="T40" s="5"/>
      <c r="U40" s="5"/>
      <c r="V40" s="3"/>
      <c r="W40" s="3" t="s">
        <v>2050</v>
      </c>
    </row>
    <row r="41" spans="1:23" ht="16.5" customHeight="1">
      <c r="A41" s="41" t="s">
        <v>431</v>
      </c>
      <c r="C41" s="308" t="s">
        <v>238</v>
      </c>
      <c r="D41" s="313" t="s">
        <v>88</v>
      </c>
      <c r="E41" s="309"/>
      <c r="F41" s="310">
        <v>10000</v>
      </c>
      <c r="G41" s="311"/>
      <c r="H41" s="316">
        <v>37455</v>
      </c>
      <c r="I41" s="312">
        <v>1</v>
      </c>
      <c r="J41" s="309"/>
      <c r="K41" s="309"/>
      <c r="L41" s="311"/>
      <c r="M41" s="309"/>
      <c r="N41" s="309" t="s">
        <v>18</v>
      </c>
      <c r="O41" s="313" t="s">
        <v>2131</v>
      </c>
      <c r="P41" s="314">
        <v>6347</v>
      </c>
      <c r="Q41" s="314">
        <v>39128</v>
      </c>
      <c r="R41" s="309" t="s">
        <v>2058</v>
      </c>
      <c r="S41" s="313"/>
      <c r="T41" s="315"/>
      <c r="U41" s="315"/>
      <c r="V41" s="309"/>
      <c r="W41" s="309"/>
    </row>
    <row r="42" spans="1:23" ht="16.5" customHeight="1">
      <c r="A42" s="75">
        <f>SUMIFS(F:F,H:H,"&gt;=" &amp;DATE(2016,7,1), H:H,"&lt;=" &amp;DATE(2017,6,31))</f>
        <v>567975.93999999994</v>
      </c>
      <c r="C42" s="29" t="s">
        <v>238</v>
      </c>
      <c r="D42" s="143">
        <v>24024283</v>
      </c>
      <c r="E42" s="3">
        <v>56</v>
      </c>
      <c r="F42" s="221">
        <v>25000</v>
      </c>
      <c r="G42" s="138">
        <v>1825</v>
      </c>
      <c r="H42" s="132">
        <v>37460</v>
      </c>
      <c r="I42" s="4">
        <v>1</v>
      </c>
      <c r="J42" s="3"/>
      <c r="K42" s="3" t="s">
        <v>2072</v>
      </c>
      <c r="L42" s="138">
        <v>9614.5</v>
      </c>
      <c r="M42" s="3" t="s">
        <v>2132</v>
      </c>
      <c r="N42" s="8" t="s">
        <v>2133</v>
      </c>
      <c r="O42" s="142" t="s">
        <v>2134</v>
      </c>
      <c r="P42" s="5">
        <v>11656</v>
      </c>
      <c r="Q42" s="5">
        <v>44646</v>
      </c>
      <c r="R42" s="6" t="s">
        <v>2058</v>
      </c>
      <c r="S42" s="142"/>
      <c r="T42" s="5"/>
      <c r="U42" s="5"/>
      <c r="V42" s="3"/>
      <c r="W42" s="3" t="s">
        <v>2050</v>
      </c>
    </row>
    <row r="43" spans="1:23" ht="16.5" customHeight="1">
      <c r="A43" s="41" t="s">
        <v>443</v>
      </c>
      <c r="C43" s="29" t="s">
        <v>238</v>
      </c>
      <c r="D43" s="143">
        <v>8461238</v>
      </c>
      <c r="E43" s="3">
        <v>57</v>
      </c>
      <c r="F43" s="221">
        <v>25000</v>
      </c>
      <c r="G43" s="138">
        <v>1825</v>
      </c>
      <c r="H43" s="132">
        <v>37471</v>
      </c>
      <c r="I43" s="4">
        <v>1</v>
      </c>
      <c r="J43" s="3"/>
      <c r="K43" s="3" t="s">
        <v>2089</v>
      </c>
      <c r="L43" s="138">
        <v>9412</v>
      </c>
      <c r="M43" s="3" t="s">
        <v>2132</v>
      </c>
      <c r="N43" s="8" t="str">
        <f t="shared" ref="N43:N54" si="3">IF(OR(ISBLANK(Q:Q)=FALSE,ISBLANK(U:U)=FALSE),IF(Q:Q&gt;U:U,IF(MONTH(Q:Q)&gt;6,"FY"&amp;RIGHT(YEAR(Q:Q)+1,2),"FY"&amp;RIGHT(YEAR(Q:Q),2)),IF(MONTH(U:U)&gt;6,"FY"&amp;RIGHT(YEAR(U:U)+1,2),"FY"&amp;RIGHT(YEAR(U:U),2))),"")</f>
        <v>FY19</v>
      </c>
      <c r="O43" s="142" t="s">
        <v>2135</v>
      </c>
      <c r="P43" s="5">
        <v>11550</v>
      </c>
      <c r="Q43" s="317">
        <v>43321</v>
      </c>
      <c r="R43" s="3" t="s">
        <v>2058</v>
      </c>
      <c r="S43" s="142"/>
      <c r="T43" s="5"/>
      <c r="U43" s="5"/>
      <c r="V43" s="3"/>
      <c r="W43" s="3" t="s">
        <v>2050</v>
      </c>
    </row>
    <row r="44" spans="1:23" ht="16.5" customHeight="1">
      <c r="A44" s="75">
        <f>SUMIFS(F:F,H:H,"&gt;=" &amp;DATE(2017,7,1), H:H,"&lt;=" &amp;DATE(2018,6,31))</f>
        <v>327409.38</v>
      </c>
      <c r="C44" s="29" t="s">
        <v>238</v>
      </c>
      <c r="D44" s="143">
        <v>54023</v>
      </c>
      <c r="E44" s="3">
        <v>60</v>
      </c>
      <c r="F44" s="221">
        <v>15000</v>
      </c>
      <c r="G44" s="138">
        <v>1620</v>
      </c>
      <c r="H44" s="132">
        <v>37519</v>
      </c>
      <c r="I44" s="4">
        <v>1</v>
      </c>
      <c r="J44" s="3"/>
      <c r="K44" s="3" t="s">
        <v>2129</v>
      </c>
      <c r="L44" s="138">
        <v>7504.2</v>
      </c>
      <c r="M44" s="3" t="s">
        <v>2132</v>
      </c>
      <c r="N44" s="8" t="str">
        <f t="shared" si="3"/>
        <v>FY13</v>
      </c>
      <c r="O44" s="142" t="s">
        <v>2136</v>
      </c>
      <c r="P44" s="5">
        <v>6046</v>
      </c>
      <c r="Q44" s="5">
        <v>41113</v>
      </c>
      <c r="R44" s="3" t="s">
        <v>2058</v>
      </c>
      <c r="S44" s="142"/>
      <c r="T44" s="5"/>
      <c r="U44" s="5"/>
      <c r="V44" s="3"/>
      <c r="W44" s="3" t="s">
        <v>2050</v>
      </c>
    </row>
    <row r="45" spans="1:23" ht="16.5" customHeight="1">
      <c r="A45" s="41" t="s">
        <v>93</v>
      </c>
      <c r="C45" s="29" t="s">
        <v>238</v>
      </c>
      <c r="D45" s="143">
        <v>24037053</v>
      </c>
      <c r="E45" s="3">
        <v>61</v>
      </c>
      <c r="F45" s="221">
        <v>93000</v>
      </c>
      <c r="G45" s="138">
        <v>8928</v>
      </c>
      <c r="H45" s="132">
        <v>37550</v>
      </c>
      <c r="I45" s="4">
        <v>2</v>
      </c>
      <c r="J45" s="3"/>
      <c r="K45" s="3" t="s">
        <v>2081</v>
      </c>
      <c r="L45" s="138">
        <v>42421.95</v>
      </c>
      <c r="M45" s="3" t="s">
        <v>2132</v>
      </c>
      <c r="N45" s="8" t="str">
        <f t="shared" si="3"/>
        <v>FY06</v>
      </c>
      <c r="O45" s="142" t="s">
        <v>2137</v>
      </c>
      <c r="P45" s="5">
        <v>4840</v>
      </c>
      <c r="Q45" s="5">
        <v>37986</v>
      </c>
      <c r="R45" s="3" t="s">
        <v>2049</v>
      </c>
      <c r="S45" s="142" t="s">
        <v>2138</v>
      </c>
      <c r="T45" s="5">
        <v>5954</v>
      </c>
      <c r="U45" s="5">
        <v>38573</v>
      </c>
      <c r="V45" s="3" t="s">
        <v>2058</v>
      </c>
      <c r="W45" s="3"/>
    </row>
    <row r="46" spans="1:23" ht="16.5" customHeight="1">
      <c r="A46" s="346">
        <f>SUMIFS(F:F,H:H,"&gt;=" &amp;DATE(2018,7,1), H:H,"&lt;=" &amp;DATE(2019,6,31))</f>
        <v>588348.37</v>
      </c>
      <c r="C46" s="29" t="s">
        <v>238</v>
      </c>
      <c r="D46" s="143">
        <v>25996034</v>
      </c>
      <c r="E46" s="3">
        <v>62</v>
      </c>
      <c r="F46" s="221">
        <v>10000</v>
      </c>
      <c r="G46" s="138">
        <v>740</v>
      </c>
      <c r="H46" s="132">
        <v>37553</v>
      </c>
      <c r="I46" s="4">
        <v>1</v>
      </c>
      <c r="J46" s="3"/>
      <c r="K46" s="3" t="s">
        <v>2139</v>
      </c>
      <c r="L46" s="138">
        <v>3633.3</v>
      </c>
      <c r="M46" s="3" t="s">
        <v>2132</v>
      </c>
      <c r="N46" s="8" t="str">
        <f t="shared" si="3"/>
        <v>FY12</v>
      </c>
      <c r="O46" s="142" t="s">
        <v>2140</v>
      </c>
      <c r="P46" s="5">
        <v>11411</v>
      </c>
      <c r="Q46" s="5">
        <v>40881</v>
      </c>
      <c r="R46" s="3" t="s">
        <v>2058</v>
      </c>
      <c r="S46" s="142"/>
      <c r="T46" s="5"/>
      <c r="U46" s="5"/>
      <c r="V46" s="3"/>
      <c r="W46" s="3"/>
    </row>
    <row r="47" spans="1:23" ht="16.5" customHeight="1">
      <c r="A47" s="41" t="s">
        <v>94</v>
      </c>
      <c r="C47" s="29" t="s">
        <v>238</v>
      </c>
      <c r="D47" s="143">
        <v>28789923</v>
      </c>
      <c r="E47" s="3">
        <v>63</v>
      </c>
      <c r="F47" s="221">
        <v>10000</v>
      </c>
      <c r="G47" s="138">
        <v>890</v>
      </c>
      <c r="H47" s="132">
        <v>37554</v>
      </c>
      <c r="I47" s="4">
        <v>1</v>
      </c>
      <c r="J47" s="3"/>
      <c r="K47" s="3" t="s">
        <v>2059</v>
      </c>
      <c r="L47" s="138">
        <v>4388.2</v>
      </c>
      <c r="M47" s="3" t="s">
        <v>2132</v>
      </c>
      <c r="N47" s="8" t="str">
        <f t="shared" si="3"/>
        <v>FY11</v>
      </c>
      <c r="O47" s="142" t="s">
        <v>1215</v>
      </c>
      <c r="P47" s="5">
        <v>8514</v>
      </c>
      <c r="Q47" s="5">
        <v>40444</v>
      </c>
      <c r="R47" s="3" t="s">
        <v>2049</v>
      </c>
      <c r="S47" s="142"/>
      <c r="T47" s="5"/>
      <c r="U47" s="5"/>
      <c r="V47" s="3"/>
      <c r="W47" s="3"/>
    </row>
    <row r="48" spans="1:23" ht="16.5" customHeight="1" thickBot="1">
      <c r="A48" s="78">
        <f>SUMIFS(F:F,H:H,"&gt;=" &amp;DATE(2019,7,1), H:H,"&lt;=" &amp;DATE(2020,6,31))</f>
        <v>475000</v>
      </c>
      <c r="C48" s="29"/>
      <c r="D48" s="143">
        <v>2674059</v>
      </c>
      <c r="E48" s="3">
        <v>64</v>
      </c>
      <c r="F48" s="221">
        <v>15000</v>
      </c>
      <c r="G48" s="138">
        <v>1395</v>
      </c>
      <c r="H48" s="132">
        <v>37564</v>
      </c>
      <c r="I48" s="4">
        <v>1</v>
      </c>
      <c r="J48" s="3"/>
      <c r="K48" s="3" t="s">
        <v>2069</v>
      </c>
      <c r="L48" s="138">
        <v>3500.1</v>
      </c>
      <c r="M48" s="3" t="s">
        <v>2132</v>
      </c>
      <c r="N48" s="8" t="str">
        <f t="shared" si="3"/>
        <v/>
      </c>
      <c r="O48" s="142" t="s">
        <v>2141</v>
      </c>
      <c r="P48" s="5">
        <v>15808</v>
      </c>
      <c r="Q48" s="5"/>
      <c r="R48" s="3" t="s">
        <v>2058</v>
      </c>
      <c r="S48" s="142"/>
      <c r="T48" s="5"/>
      <c r="U48" s="5"/>
      <c r="V48" s="3"/>
      <c r="W48" s="3" t="s">
        <v>2050</v>
      </c>
    </row>
    <row r="49" spans="1:23" ht="16.5" customHeight="1">
      <c r="A49" s="41" t="s">
        <v>95</v>
      </c>
      <c r="C49" s="29" t="s">
        <v>238</v>
      </c>
      <c r="D49" s="143">
        <v>8565459</v>
      </c>
      <c r="E49" s="3">
        <v>65</v>
      </c>
      <c r="F49" s="221">
        <v>10000</v>
      </c>
      <c r="G49" s="138">
        <v>950</v>
      </c>
      <c r="H49" s="132">
        <v>37585</v>
      </c>
      <c r="I49" s="4">
        <v>1</v>
      </c>
      <c r="J49" s="3"/>
      <c r="K49" s="3" t="s">
        <v>2052</v>
      </c>
      <c r="L49" s="138">
        <v>4437.3</v>
      </c>
      <c r="M49" s="3" t="s">
        <v>2132</v>
      </c>
      <c r="N49" s="8" t="str">
        <f t="shared" si="3"/>
        <v>FY16</v>
      </c>
      <c r="O49" s="142" t="s">
        <v>2142</v>
      </c>
      <c r="P49" s="5">
        <v>8809</v>
      </c>
      <c r="Q49" s="317">
        <v>42220</v>
      </c>
      <c r="R49" s="3" t="s">
        <v>2058</v>
      </c>
      <c r="S49" s="142"/>
      <c r="T49" s="5"/>
      <c r="U49" s="5"/>
      <c r="V49" s="3"/>
      <c r="W49" s="3" t="s">
        <v>2050</v>
      </c>
    </row>
    <row r="50" spans="1:23" ht="16.5" customHeight="1" thickBot="1">
      <c r="A50" s="78">
        <f>SUMIFS(F:F,H:H,"&gt;=" &amp;DATE(2020,7,1), H:H,"&lt;=" &amp;DATE(2021,6,31))</f>
        <v>513340.65</v>
      </c>
      <c r="C50" s="29"/>
      <c r="D50" s="143">
        <v>61655</v>
      </c>
      <c r="E50" s="3">
        <v>66</v>
      </c>
      <c r="F50" s="221">
        <v>49999.63</v>
      </c>
      <c r="G50" s="138">
        <v>4100.04</v>
      </c>
      <c r="H50" s="132">
        <v>37587</v>
      </c>
      <c r="I50" s="4">
        <v>1</v>
      </c>
      <c r="J50" s="3" t="s">
        <v>88</v>
      </c>
      <c r="K50" s="3" t="s">
        <v>2129</v>
      </c>
      <c r="L50" s="138">
        <v>19479.36</v>
      </c>
      <c r="M50" s="3" t="s">
        <v>2132</v>
      </c>
      <c r="N50" s="8" t="str">
        <f t="shared" si="3"/>
        <v/>
      </c>
      <c r="O50" s="142" t="s">
        <v>2130</v>
      </c>
      <c r="P50" s="5">
        <v>9610</v>
      </c>
      <c r="Q50" s="5"/>
      <c r="R50" s="3" t="s">
        <v>2058</v>
      </c>
      <c r="S50" s="142"/>
      <c r="T50" s="5"/>
      <c r="U50" s="5"/>
      <c r="V50" s="3"/>
      <c r="W50" s="3" t="s">
        <v>2124</v>
      </c>
    </row>
    <row r="51" spans="1:23" ht="16.5" customHeight="1">
      <c r="A51" s="41" t="s">
        <v>96</v>
      </c>
      <c r="C51" s="29" t="s">
        <v>238</v>
      </c>
      <c r="D51" s="143">
        <v>30292049</v>
      </c>
      <c r="E51" s="3">
        <v>67</v>
      </c>
      <c r="F51" s="221">
        <v>10000</v>
      </c>
      <c r="G51" s="138">
        <v>860.04</v>
      </c>
      <c r="H51" s="132">
        <v>37592</v>
      </c>
      <c r="I51" s="4">
        <v>1</v>
      </c>
      <c r="J51" s="3"/>
      <c r="K51" s="3" t="s">
        <v>2112</v>
      </c>
      <c r="L51" s="138">
        <v>4006.1</v>
      </c>
      <c r="M51" s="3" t="s">
        <v>2132</v>
      </c>
      <c r="N51" s="8" t="str">
        <f t="shared" si="3"/>
        <v>FY19</v>
      </c>
      <c r="O51" s="142" t="s">
        <v>2143</v>
      </c>
      <c r="P51" s="5">
        <v>8627</v>
      </c>
      <c r="Q51" s="5">
        <v>43520</v>
      </c>
      <c r="R51" s="3" t="s">
        <v>2049</v>
      </c>
      <c r="S51" s="142"/>
      <c r="T51" s="5"/>
      <c r="U51" s="5"/>
      <c r="V51" s="3"/>
      <c r="W51" s="3" t="s">
        <v>2050</v>
      </c>
    </row>
    <row r="52" spans="1:23" ht="16.5" customHeight="1" thickBot="1">
      <c r="A52" s="78">
        <f>SUMIFS(F:F,H:H,"&gt;=" &amp;DATE(2021,7,1), H:H,"&lt;=" &amp;DATE(2022,6,30))</f>
        <v>852146</v>
      </c>
      <c r="C52" s="29" t="s">
        <v>238</v>
      </c>
      <c r="D52" s="143">
        <v>288639</v>
      </c>
      <c r="E52" s="3">
        <v>68</v>
      </c>
      <c r="F52" s="221">
        <v>10000</v>
      </c>
      <c r="G52" s="138">
        <v>1040</v>
      </c>
      <c r="H52" s="132">
        <v>37595</v>
      </c>
      <c r="I52" s="4">
        <v>1</v>
      </c>
      <c r="J52" s="3"/>
      <c r="K52" s="3" t="s">
        <v>2144</v>
      </c>
      <c r="L52" s="138">
        <v>4634.6000000000004</v>
      </c>
      <c r="M52" s="3" t="s">
        <v>2132</v>
      </c>
      <c r="N52" s="8" t="str">
        <f t="shared" si="3"/>
        <v>FY15</v>
      </c>
      <c r="O52" s="142" t="s">
        <v>2145</v>
      </c>
      <c r="P52" s="5">
        <v>6655</v>
      </c>
      <c r="Q52" s="317">
        <v>41841</v>
      </c>
      <c r="R52" s="3" t="s">
        <v>2058</v>
      </c>
      <c r="S52" s="142"/>
      <c r="T52" s="5"/>
      <c r="U52" s="5"/>
      <c r="V52" s="3"/>
      <c r="W52" s="3" t="s">
        <v>2050</v>
      </c>
    </row>
    <row r="53" spans="1:23" ht="16.5" customHeight="1">
      <c r="A53" s="41" t="s">
        <v>97</v>
      </c>
      <c r="C53" s="29" t="s">
        <v>238</v>
      </c>
      <c r="D53" s="143">
        <v>5354121</v>
      </c>
      <c r="E53" s="3">
        <v>70</v>
      </c>
      <c r="F53" s="221">
        <v>20682.75</v>
      </c>
      <c r="G53" s="138">
        <v>1447.8</v>
      </c>
      <c r="H53" s="132">
        <v>37603</v>
      </c>
      <c r="I53" s="4">
        <v>2</v>
      </c>
      <c r="J53" s="3"/>
      <c r="K53" s="3" t="s">
        <v>2046</v>
      </c>
      <c r="L53" s="138">
        <v>4977.3</v>
      </c>
      <c r="M53" s="3" t="s">
        <v>2132</v>
      </c>
      <c r="N53" s="8" t="str">
        <f t="shared" si="3"/>
        <v>FY20</v>
      </c>
      <c r="O53" s="142" t="s">
        <v>2101</v>
      </c>
      <c r="P53" s="5">
        <v>10362</v>
      </c>
      <c r="Q53" s="5">
        <v>42865</v>
      </c>
      <c r="R53" s="3" t="s">
        <v>2049</v>
      </c>
      <c r="S53" s="142" t="s">
        <v>2102</v>
      </c>
      <c r="T53" s="5">
        <v>10617</v>
      </c>
      <c r="U53" s="5">
        <v>43892</v>
      </c>
      <c r="V53" s="3" t="s">
        <v>2058</v>
      </c>
      <c r="W53" s="3" t="s">
        <v>2124</v>
      </c>
    </row>
    <row r="54" spans="1:23" ht="16.5" customHeight="1" thickBot="1">
      <c r="A54" s="78">
        <f>SUMIFS(F:F,H:H,"&gt;=" &amp;DATE(2022,7,1), H:H,"&lt;=" &amp;DATE(2023,6,30))</f>
        <v>505751.25</v>
      </c>
      <c r="C54" s="29" t="s">
        <v>238</v>
      </c>
      <c r="D54" s="143" t="s">
        <v>2146</v>
      </c>
      <c r="E54" s="3">
        <v>69</v>
      </c>
      <c r="F54" s="221">
        <v>10000</v>
      </c>
      <c r="G54" s="138">
        <v>790</v>
      </c>
      <c r="H54" s="132">
        <v>37606</v>
      </c>
      <c r="I54" s="4">
        <v>1</v>
      </c>
      <c r="J54" s="3"/>
      <c r="K54" s="3" t="s">
        <v>2092</v>
      </c>
      <c r="L54" s="138">
        <v>3496.1</v>
      </c>
      <c r="M54" s="3" t="s">
        <v>2132</v>
      </c>
      <c r="N54" s="8" t="str">
        <f t="shared" si="3"/>
        <v>FY22</v>
      </c>
      <c r="O54" s="142" t="s">
        <v>2147</v>
      </c>
      <c r="P54" s="5">
        <v>10320</v>
      </c>
      <c r="Q54" s="5">
        <v>44457</v>
      </c>
      <c r="R54" s="3" t="s">
        <v>2049</v>
      </c>
      <c r="S54" s="142"/>
      <c r="T54" s="5"/>
      <c r="U54" s="5"/>
      <c r="V54" s="3"/>
      <c r="W54" s="3" t="s">
        <v>2050</v>
      </c>
    </row>
    <row r="55" spans="1:23" ht="16.5" customHeight="1">
      <c r="A55" s="41" t="s">
        <v>98</v>
      </c>
      <c r="C55" s="308" t="s">
        <v>238</v>
      </c>
      <c r="D55" s="313"/>
      <c r="E55" s="309"/>
      <c r="F55" s="310">
        <v>40000</v>
      </c>
      <c r="G55" s="311"/>
      <c r="H55" s="316">
        <v>37684</v>
      </c>
      <c r="I55" s="312">
        <v>1</v>
      </c>
      <c r="J55" s="309"/>
      <c r="K55" s="309"/>
      <c r="L55" s="311"/>
      <c r="M55" s="309"/>
      <c r="N55" s="309" t="s">
        <v>17</v>
      </c>
      <c r="O55" s="313" t="s">
        <v>2148</v>
      </c>
      <c r="P55" s="314">
        <v>9561</v>
      </c>
      <c r="Q55" s="314">
        <v>39326</v>
      </c>
      <c r="R55" s="309" t="s">
        <v>2049</v>
      </c>
      <c r="S55" s="313"/>
      <c r="T55" s="315"/>
      <c r="U55" s="315"/>
      <c r="V55" s="309"/>
      <c r="W55" s="309"/>
    </row>
    <row r="56" spans="1:23" ht="16.5" customHeight="1" thickBot="1">
      <c r="A56" s="78">
        <f>SUMIFS(F:F,H:H,"&gt;=" &amp;DATE(2023,7,1), H:H,"&lt;=" &amp;DATE(2024,6,30))</f>
        <v>510565.91000000003</v>
      </c>
      <c r="C56" s="29" t="s">
        <v>238</v>
      </c>
      <c r="D56" s="143">
        <v>17045311</v>
      </c>
      <c r="E56" s="3">
        <v>73</v>
      </c>
      <c r="F56" s="221">
        <v>10000</v>
      </c>
      <c r="G56" s="138">
        <v>800</v>
      </c>
      <c r="H56" s="132">
        <v>37775</v>
      </c>
      <c r="I56" s="4">
        <v>1</v>
      </c>
      <c r="J56" s="3"/>
      <c r="K56" s="3" t="s">
        <v>2081</v>
      </c>
      <c r="L56" s="138">
        <v>4322.8</v>
      </c>
      <c r="M56" s="3" t="s">
        <v>2132</v>
      </c>
      <c r="N56" s="8" t="s">
        <v>9</v>
      </c>
      <c r="O56" s="142" t="s">
        <v>2149</v>
      </c>
      <c r="P56" s="5">
        <v>8987</v>
      </c>
      <c r="Q56" s="5">
        <v>42291</v>
      </c>
      <c r="R56" s="3" t="s">
        <v>2058</v>
      </c>
      <c r="S56" s="142"/>
      <c r="T56" s="5"/>
      <c r="U56" s="5"/>
      <c r="V56" s="3"/>
      <c r="W56" s="3" t="s">
        <v>2050</v>
      </c>
    </row>
    <row r="57" spans="1:23" ht="16.5" customHeight="1">
      <c r="A57" s="34"/>
      <c r="C57" s="29"/>
      <c r="D57" s="143" t="s">
        <v>2150</v>
      </c>
      <c r="E57" s="3">
        <v>74</v>
      </c>
      <c r="F57" s="221">
        <v>10000</v>
      </c>
      <c r="G57" s="138">
        <v>970</v>
      </c>
      <c r="H57" s="132">
        <v>37795</v>
      </c>
      <c r="I57" s="4">
        <v>1</v>
      </c>
      <c r="J57" s="3"/>
      <c r="K57" s="3" t="s">
        <v>2081</v>
      </c>
      <c r="L57" s="138">
        <v>4911.8</v>
      </c>
      <c r="M57" s="3" t="s">
        <v>2132</v>
      </c>
      <c r="N57" s="8" t="str">
        <f t="shared" ref="N57:N82" si="4">IF(OR(ISBLANK(Q:Q)=FALSE,ISBLANK(U:U)=FALSE),IF(Q:Q&gt;U:U,IF(MONTH(Q:Q)&gt;6,"FY"&amp;RIGHT(YEAR(Q:Q)+1,2),"FY"&amp;RIGHT(YEAR(Q:Q),2)),IF(MONTH(U:U)&gt;6,"FY"&amp;RIGHT(YEAR(U:U)+1,2),"FY"&amp;RIGHT(YEAR(U:U),2))),"")</f>
        <v>FY17</v>
      </c>
      <c r="O57" s="142" t="s">
        <v>2098</v>
      </c>
      <c r="P57" s="5">
        <v>6876</v>
      </c>
      <c r="Q57" s="5">
        <v>42833</v>
      </c>
      <c r="R57" s="3" t="s">
        <v>2049</v>
      </c>
      <c r="S57" s="142"/>
      <c r="T57" s="5"/>
      <c r="U57" s="5"/>
      <c r="V57" s="3"/>
      <c r="W57" s="3" t="s">
        <v>2124</v>
      </c>
    </row>
    <row r="58" spans="1:23" ht="16.5" customHeight="1">
      <c r="A58" s="34"/>
      <c r="C58" s="29" t="s">
        <v>238</v>
      </c>
      <c r="D58" s="143">
        <v>25996034</v>
      </c>
      <c r="E58" s="3">
        <v>75</v>
      </c>
      <c r="F58" s="221">
        <v>10000</v>
      </c>
      <c r="G58" s="138">
        <v>690</v>
      </c>
      <c r="H58" s="132">
        <v>37796</v>
      </c>
      <c r="I58" s="4">
        <v>1</v>
      </c>
      <c r="J58" s="3"/>
      <c r="K58" s="3" t="s">
        <v>2139</v>
      </c>
      <c r="L58" s="138">
        <v>3471.8</v>
      </c>
      <c r="M58" s="3" t="s">
        <v>2132</v>
      </c>
      <c r="N58" s="8" t="str">
        <f t="shared" si="4"/>
        <v>FY12</v>
      </c>
      <c r="O58" s="142" t="s">
        <v>2140</v>
      </c>
      <c r="P58" s="5">
        <v>11411</v>
      </c>
      <c r="Q58" s="5">
        <v>40881</v>
      </c>
      <c r="R58" s="3" t="s">
        <v>2058</v>
      </c>
      <c r="S58" s="142"/>
      <c r="T58" s="5"/>
      <c r="U58" s="5"/>
      <c r="V58" s="3"/>
      <c r="W58" s="3"/>
    </row>
    <row r="59" spans="1:23" ht="16.5" customHeight="1">
      <c r="A59" s="34"/>
      <c r="C59" s="29"/>
      <c r="D59" s="143">
        <v>3021748</v>
      </c>
      <c r="E59" s="3">
        <v>76</v>
      </c>
      <c r="F59" s="221">
        <v>34367.31</v>
      </c>
      <c r="G59" s="138">
        <v>2268.2800000000002</v>
      </c>
      <c r="H59" s="132">
        <v>37956</v>
      </c>
      <c r="I59" s="4">
        <v>1</v>
      </c>
      <c r="J59" s="3" t="s">
        <v>88</v>
      </c>
      <c r="K59" s="3" t="s">
        <v>2052</v>
      </c>
      <c r="L59" s="138">
        <v>13058.55</v>
      </c>
      <c r="M59" s="3" t="s">
        <v>2151</v>
      </c>
      <c r="N59" s="8" t="str">
        <f t="shared" si="4"/>
        <v/>
      </c>
      <c r="O59" s="142" t="s">
        <v>2152</v>
      </c>
      <c r="P59" s="5">
        <v>11891</v>
      </c>
      <c r="Q59" s="5"/>
      <c r="R59" s="3" t="s">
        <v>2049</v>
      </c>
      <c r="S59" s="142"/>
      <c r="T59" s="5"/>
      <c r="U59" s="5"/>
      <c r="V59" s="3"/>
      <c r="W59" s="3" t="s">
        <v>2050</v>
      </c>
    </row>
    <row r="60" spans="1:23" ht="16.5" customHeight="1">
      <c r="A60" s="34"/>
      <c r="C60" s="29" t="s">
        <v>238</v>
      </c>
      <c r="D60" s="143">
        <v>4774097</v>
      </c>
      <c r="E60" s="3">
        <v>77</v>
      </c>
      <c r="F60" s="221">
        <v>10000</v>
      </c>
      <c r="G60" s="138">
        <v>620</v>
      </c>
      <c r="H60" s="132">
        <v>38114</v>
      </c>
      <c r="I60" s="4">
        <v>1</v>
      </c>
      <c r="J60" s="3"/>
      <c r="K60" s="3" t="s">
        <v>2069</v>
      </c>
      <c r="L60" s="138">
        <v>3279.6</v>
      </c>
      <c r="M60" s="3" t="s">
        <v>2151</v>
      </c>
      <c r="N60" s="8" t="str">
        <f t="shared" si="4"/>
        <v/>
      </c>
      <c r="O60" s="142" t="s">
        <v>2153</v>
      </c>
      <c r="P60" s="5">
        <v>13752</v>
      </c>
      <c r="Q60" s="5"/>
      <c r="R60" s="3" t="s">
        <v>2049</v>
      </c>
      <c r="S60" s="142"/>
      <c r="T60" s="5"/>
      <c r="U60" s="5"/>
      <c r="V60" s="3"/>
      <c r="W60" s="3" t="s">
        <v>2050</v>
      </c>
    </row>
    <row r="61" spans="1:23" ht="16.5" customHeight="1">
      <c r="A61" s="34"/>
      <c r="C61" s="29" t="s">
        <v>2154</v>
      </c>
      <c r="D61" s="143">
        <v>2445740</v>
      </c>
      <c r="E61" s="3">
        <v>78</v>
      </c>
      <c r="F61" s="221">
        <v>10000</v>
      </c>
      <c r="G61" s="138">
        <v>710</v>
      </c>
      <c r="H61" s="132">
        <v>38131</v>
      </c>
      <c r="I61" s="4">
        <v>1</v>
      </c>
      <c r="J61" s="3" t="s">
        <v>88</v>
      </c>
      <c r="K61" s="3" t="s">
        <v>2081</v>
      </c>
      <c r="L61" s="138">
        <v>4081</v>
      </c>
      <c r="M61" s="3" t="s">
        <v>2151</v>
      </c>
      <c r="N61" s="8" t="str">
        <f t="shared" si="4"/>
        <v>FY19</v>
      </c>
      <c r="O61" s="142" t="s">
        <v>2155</v>
      </c>
      <c r="P61" s="5">
        <v>10582</v>
      </c>
      <c r="Q61" s="5">
        <v>43516</v>
      </c>
      <c r="R61" s="3" t="s">
        <v>2058</v>
      </c>
      <c r="S61" s="142"/>
      <c r="T61" s="5"/>
      <c r="U61" s="5"/>
      <c r="V61" s="3"/>
      <c r="W61" s="3" t="s">
        <v>2050</v>
      </c>
    </row>
    <row r="62" spans="1:23" ht="16.5" customHeight="1">
      <c r="A62" s="34"/>
      <c r="C62" s="29"/>
      <c r="D62" s="143">
        <v>28387918</v>
      </c>
      <c r="E62" s="3">
        <v>79</v>
      </c>
      <c r="F62" s="221">
        <v>10000</v>
      </c>
      <c r="G62" s="138">
        <v>710</v>
      </c>
      <c r="H62" s="132">
        <v>38134</v>
      </c>
      <c r="I62" s="4">
        <v>2</v>
      </c>
      <c r="J62" s="3"/>
      <c r="K62" s="3" t="s">
        <v>2081</v>
      </c>
      <c r="L62" s="138">
        <v>3927.5</v>
      </c>
      <c r="M62" s="3" t="s">
        <v>2151</v>
      </c>
      <c r="N62" s="8" t="str">
        <f t="shared" si="4"/>
        <v>FY16</v>
      </c>
      <c r="O62" s="142" t="s">
        <v>2156</v>
      </c>
      <c r="P62" s="5">
        <v>9607</v>
      </c>
      <c r="Q62" s="5"/>
      <c r="R62" s="3" t="s">
        <v>2058</v>
      </c>
      <c r="S62" s="142" t="s">
        <v>2157</v>
      </c>
      <c r="T62" s="5">
        <v>7073</v>
      </c>
      <c r="U62" s="5">
        <v>42404</v>
      </c>
      <c r="V62" s="3" t="s">
        <v>2049</v>
      </c>
      <c r="W62" s="3" t="s">
        <v>2050</v>
      </c>
    </row>
    <row r="63" spans="1:23" ht="16.5" customHeight="1">
      <c r="A63" s="34"/>
      <c r="C63" s="29" t="s">
        <v>238</v>
      </c>
      <c r="D63" s="143">
        <v>4043907</v>
      </c>
      <c r="E63" s="3">
        <v>81</v>
      </c>
      <c r="F63" s="221">
        <v>42039.57</v>
      </c>
      <c r="G63" s="138">
        <v>2564.44</v>
      </c>
      <c r="H63" s="132">
        <v>38168</v>
      </c>
      <c r="I63" s="4">
        <v>2</v>
      </c>
      <c r="J63" s="3"/>
      <c r="K63" s="3" t="s">
        <v>2055</v>
      </c>
      <c r="L63" s="138">
        <v>14025.24</v>
      </c>
      <c r="M63" s="3" t="s">
        <v>2151</v>
      </c>
      <c r="N63" s="8" t="str">
        <f t="shared" si="4"/>
        <v>FY17</v>
      </c>
      <c r="O63" s="142" t="s">
        <v>2116</v>
      </c>
      <c r="P63" s="5">
        <v>10889</v>
      </c>
      <c r="Q63" s="317">
        <v>42914</v>
      </c>
      <c r="R63" s="3" t="s">
        <v>2049</v>
      </c>
      <c r="S63" s="142" t="s">
        <v>2117</v>
      </c>
      <c r="T63" s="5">
        <v>12477</v>
      </c>
      <c r="U63" s="317">
        <v>41524</v>
      </c>
      <c r="V63" s="3" t="s">
        <v>2058</v>
      </c>
      <c r="W63" s="3" t="s">
        <v>2124</v>
      </c>
    </row>
    <row r="64" spans="1:23" ht="16.5" customHeight="1">
      <c r="A64" s="34"/>
      <c r="C64" s="29" t="s">
        <v>238</v>
      </c>
      <c r="D64" s="143">
        <v>36679678</v>
      </c>
      <c r="E64" s="3">
        <v>80</v>
      </c>
      <c r="F64" s="221">
        <v>25000</v>
      </c>
      <c r="G64" s="138">
        <v>2550</v>
      </c>
      <c r="H64" s="132">
        <v>38169</v>
      </c>
      <c r="I64" s="4">
        <v>1</v>
      </c>
      <c r="J64" s="3"/>
      <c r="K64" s="3" t="s">
        <v>2081</v>
      </c>
      <c r="L64" s="138">
        <v>13400.25</v>
      </c>
      <c r="M64" s="3" t="s">
        <v>2151</v>
      </c>
      <c r="N64" s="8" t="str">
        <f t="shared" si="4"/>
        <v>FY12</v>
      </c>
      <c r="O64" s="142" t="s">
        <v>2158</v>
      </c>
      <c r="P64" s="5">
        <v>6325</v>
      </c>
      <c r="Q64" s="5">
        <v>40858</v>
      </c>
      <c r="R64" s="3" t="s">
        <v>2049</v>
      </c>
      <c r="S64" s="142"/>
      <c r="T64" s="5"/>
      <c r="U64" s="5"/>
      <c r="V64" s="3"/>
      <c r="W64" s="3" t="s">
        <v>2050</v>
      </c>
    </row>
    <row r="65" spans="1:23" ht="16.5" customHeight="1">
      <c r="A65" s="34"/>
      <c r="C65" s="29" t="s">
        <v>238</v>
      </c>
      <c r="D65" s="143">
        <v>28617546</v>
      </c>
      <c r="E65" s="3">
        <v>82</v>
      </c>
      <c r="F65" s="221">
        <v>20000</v>
      </c>
      <c r="G65" s="138">
        <v>1400</v>
      </c>
      <c r="H65" s="132">
        <v>38201</v>
      </c>
      <c r="I65" s="4">
        <v>2</v>
      </c>
      <c r="J65" s="3"/>
      <c r="K65" s="3" t="s">
        <v>2106</v>
      </c>
      <c r="L65" s="138">
        <v>8524.6</v>
      </c>
      <c r="M65" s="3" t="s">
        <v>2159</v>
      </c>
      <c r="N65" s="8" t="str">
        <f t="shared" si="4"/>
        <v>FY14</v>
      </c>
      <c r="O65" s="142" t="s">
        <v>2160</v>
      </c>
      <c r="P65" s="5">
        <v>7546</v>
      </c>
      <c r="Q65" s="5">
        <v>41249</v>
      </c>
      <c r="R65" s="3" t="s">
        <v>2049</v>
      </c>
      <c r="S65" s="142" t="s">
        <v>2161</v>
      </c>
      <c r="T65" s="5">
        <v>9811</v>
      </c>
      <c r="U65" s="5">
        <v>41545</v>
      </c>
      <c r="V65" s="3" t="s">
        <v>2058</v>
      </c>
      <c r="W65" s="3"/>
    </row>
    <row r="66" spans="1:23" ht="16.5" customHeight="1">
      <c r="A66" s="34"/>
      <c r="C66" s="29"/>
      <c r="D66" s="143">
        <v>3540465</v>
      </c>
      <c r="E66" s="3">
        <v>83</v>
      </c>
      <c r="F66" s="221">
        <v>10000</v>
      </c>
      <c r="G66" s="138">
        <v>720</v>
      </c>
      <c r="H66" s="132">
        <v>38292</v>
      </c>
      <c r="I66" s="4">
        <v>1</v>
      </c>
      <c r="J66" s="3"/>
      <c r="K66" s="3" t="s">
        <v>2162</v>
      </c>
      <c r="L66" s="138">
        <v>4438.1000000000004</v>
      </c>
      <c r="M66" s="3" t="s">
        <v>2159</v>
      </c>
      <c r="N66" s="8" t="str">
        <f t="shared" si="4"/>
        <v/>
      </c>
      <c r="O66" s="142" t="s">
        <v>2163</v>
      </c>
      <c r="P66" s="5">
        <v>10596</v>
      </c>
      <c r="Q66" s="5"/>
      <c r="R66" s="3" t="s">
        <v>2058</v>
      </c>
      <c r="S66" s="142"/>
      <c r="T66" s="5"/>
      <c r="U66" s="5"/>
      <c r="V66" s="3"/>
      <c r="W66" s="3" t="s">
        <v>2050</v>
      </c>
    </row>
    <row r="67" spans="1:23" ht="16.5" customHeight="1">
      <c r="A67" s="34"/>
      <c r="C67" s="29" t="s">
        <v>2164</v>
      </c>
      <c r="D67" s="143">
        <v>7026735</v>
      </c>
      <c r="E67" s="3">
        <v>84</v>
      </c>
      <c r="F67" s="221">
        <v>10000</v>
      </c>
      <c r="G67" s="138">
        <v>660</v>
      </c>
      <c r="H67" s="132">
        <v>38292</v>
      </c>
      <c r="I67" s="4">
        <v>2</v>
      </c>
      <c r="J67" s="3"/>
      <c r="K67" s="3" t="s">
        <v>2106</v>
      </c>
      <c r="L67" s="138">
        <v>3713.3</v>
      </c>
      <c r="M67" s="3" t="s">
        <v>2159</v>
      </c>
      <c r="N67" s="8" t="str">
        <f t="shared" si="4"/>
        <v>FY09</v>
      </c>
      <c r="O67" s="142" t="s">
        <v>2165</v>
      </c>
      <c r="P67" s="5">
        <v>8393</v>
      </c>
      <c r="Q67" s="5">
        <v>39691</v>
      </c>
      <c r="R67" s="3" t="s">
        <v>2049</v>
      </c>
      <c r="S67" s="142" t="s">
        <v>2166</v>
      </c>
      <c r="T67" s="5">
        <v>11393</v>
      </c>
      <c r="U67" s="5"/>
      <c r="V67" s="3" t="s">
        <v>2058</v>
      </c>
      <c r="W67" s="3" t="s">
        <v>2050</v>
      </c>
    </row>
    <row r="68" spans="1:23" ht="16.5" customHeight="1">
      <c r="A68" s="34"/>
      <c r="C68" s="29" t="s">
        <v>238</v>
      </c>
      <c r="D68" s="143">
        <v>8856452</v>
      </c>
      <c r="E68" s="3">
        <v>85</v>
      </c>
      <c r="F68" s="221">
        <v>13006.2</v>
      </c>
      <c r="G68" s="138">
        <v>858.44</v>
      </c>
      <c r="H68" s="132">
        <v>38292</v>
      </c>
      <c r="I68" s="4">
        <v>2</v>
      </c>
      <c r="J68" s="3"/>
      <c r="K68" s="3" t="s">
        <v>2081</v>
      </c>
      <c r="L68" s="138">
        <v>4880.58</v>
      </c>
      <c r="M68" s="3" t="s">
        <v>2159</v>
      </c>
      <c r="N68" s="8" t="str">
        <f t="shared" si="4"/>
        <v>FY20</v>
      </c>
      <c r="O68" s="142" t="s">
        <v>2110</v>
      </c>
      <c r="P68" s="5">
        <v>9783</v>
      </c>
      <c r="Q68" s="5">
        <v>42021</v>
      </c>
      <c r="R68" s="3" t="s">
        <v>2049</v>
      </c>
      <c r="S68" s="142" t="s">
        <v>2111</v>
      </c>
      <c r="T68" s="5">
        <v>10169</v>
      </c>
      <c r="U68" s="5">
        <v>43852</v>
      </c>
      <c r="V68" s="3" t="s">
        <v>2058</v>
      </c>
      <c r="W68" s="3" t="s">
        <v>2124</v>
      </c>
    </row>
    <row r="69" spans="1:23" ht="16.5" customHeight="1">
      <c r="A69" s="34"/>
      <c r="C69" s="29"/>
      <c r="D69" s="143">
        <v>37333655</v>
      </c>
      <c r="E69" s="3">
        <v>86</v>
      </c>
      <c r="F69" s="221">
        <v>10000</v>
      </c>
      <c r="G69" s="138">
        <v>680</v>
      </c>
      <c r="H69" s="132">
        <v>38342</v>
      </c>
      <c r="I69" s="4">
        <v>1</v>
      </c>
      <c r="J69" s="3"/>
      <c r="K69" s="3" t="s">
        <v>2162</v>
      </c>
      <c r="L69" s="138">
        <v>4042.5</v>
      </c>
      <c r="M69" s="3" t="s">
        <v>2159</v>
      </c>
      <c r="N69" s="8" t="str">
        <f t="shared" si="4"/>
        <v/>
      </c>
      <c r="O69" s="142" t="s">
        <v>2167</v>
      </c>
      <c r="P69" s="5">
        <v>11584</v>
      </c>
      <c r="Q69" s="5"/>
      <c r="R69" s="3" t="s">
        <v>2058</v>
      </c>
      <c r="S69" s="142"/>
      <c r="T69" s="5"/>
      <c r="U69" s="5"/>
      <c r="V69" s="3"/>
      <c r="W69" s="3" t="s">
        <v>2050</v>
      </c>
    </row>
    <row r="70" spans="1:23" ht="16.5" customHeight="1">
      <c r="A70" s="34"/>
      <c r="C70" s="29" t="s">
        <v>238</v>
      </c>
      <c r="D70" s="143">
        <v>9294802</v>
      </c>
      <c r="E70" s="3">
        <v>87</v>
      </c>
      <c r="F70" s="221">
        <v>10000</v>
      </c>
      <c r="G70" s="138">
        <v>710</v>
      </c>
      <c r="H70" s="132">
        <v>38349</v>
      </c>
      <c r="I70" s="4">
        <v>1</v>
      </c>
      <c r="J70" s="3"/>
      <c r="K70" s="3" t="s">
        <v>2046</v>
      </c>
      <c r="L70" s="138">
        <v>4226.2</v>
      </c>
      <c r="M70" s="3" t="s">
        <v>2159</v>
      </c>
      <c r="N70" s="8" t="str">
        <f t="shared" si="4"/>
        <v>FY20</v>
      </c>
      <c r="O70" s="142" t="s">
        <v>2168</v>
      </c>
      <c r="P70" s="5">
        <v>10775</v>
      </c>
      <c r="Q70" s="5">
        <v>43985</v>
      </c>
      <c r="R70" s="3" t="s">
        <v>2058</v>
      </c>
      <c r="S70" s="142"/>
      <c r="T70" s="5"/>
      <c r="U70" s="5"/>
      <c r="V70" s="3"/>
      <c r="W70" s="3" t="s">
        <v>2124</v>
      </c>
    </row>
    <row r="71" spans="1:23" ht="16.5" customHeight="1">
      <c r="A71" s="34"/>
      <c r="C71" s="29"/>
      <c r="D71" s="143">
        <v>5180450</v>
      </c>
      <c r="E71" s="3">
        <v>88</v>
      </c>
      <c r="F71" s="221">
        <v>10000</v>
      </c>
      <c r="G71" s="138">
        <v>760</v>
      </c>
      <c r="H71" s="132">
        <v>38349</v>
      </c>
      <c r="I71" s="4">
        <v>1</v>
      </c>
      <c r="J71" s="3"/>
      <c r="K71" s="3" t="s">
        <v>2081</v>
      </c>
      <c r="L71" s="138">
        <v>4538.7</v>
      </c>
      <c r="M71" s="3" t="s">
        <v>2159</v>
      </c>
      <c r="N71" s="8" t="str">
        <f t="shared" si="4"/>
        <v/>
      </c>
      <c r="O71" s="142" t="s">
        <v>2169</v>
      </c>
      <c r="P71" s="5">
        <v>9718</v>
      </c>
      <c r="Q71" s="5"/>
      <c r="R71" s="3" t="s">
        <v>2058</v>
      </c>
      <c r="S71" s="142"/>
      <c r="T71" s="5"/>
      <c r="U71" s="5"/>
      <c r="V71" s="3"/>
      <c r="W71" s="3" t="s">
        <v>2050</v>
      </c>
    </row>
    <row r="72" spans="1:23" ht="16.5" customHeight="1">
      <c r="A72" s="34" t="s">
        <v>88</v>
      </c>
      <c r="C72" s="29" t="s">
        <v>238</v>
      </c>
      <c r="D72" s="143">
        <v>1356641</v>
      </c>
      <c r="E72" s="3">
        <v>89</v>
      </c>
      <c r="F72" s="221">
        <v>10000</v>
      </c>
      <c r="G72" s="138">
        <v>720</v>
      </c>
      <c r="H72" s="132">
        <v>38352</v>
      </c>
      <c r="I72" s="4">
        <v>1</v>
      </c>
      <c r="J72" s="3"/>
      <c r="K72" s="3" t="s">
        <v>2081</v>
      </c>
      <c r="L72" s="138">
        <v>3559.3</v>
      </c>
      <c r="M72" s="3" t="s">
        <v>2159</v>
      </c>
      <c r="N72" s="8" t="str">
        <f t="shared" si="4"/>
        <v>FY21</v>
      </c>
      <c r="O72" s="142" t="s">
        <v>2170</v>
      </c>
      <c r="P72" s="5">
        <v>16011</v>
      </c>
      <c r="Q72" s="5">
        <v>44018</v>
      </c>
      <c r="R72" s="3" t="s">
        <v>2058</v>
      </c>
      <c r="S72" s="142"/>
      <c r="T72" s="5"/>
      <c r="U72" s="5"/>
      <c r="V72" s="3"/>
      <c r="W72" s="3" t="s">
        <v>2050</v>
      </c>
    </row>
    <row r="73" spans="1:23" ht="16.5" customHeight="1">
      <c r="A73" s="34"/>
      <c r="C73" s="29" t="s">
        <v>238</v>
      </c>
      <c r="D73" s="142">
        <v>2941201</v>
      </c>
      <c r="E73" s="3">
        <v>90</v>
      </c>
      <c r="F73" s="221">
        <v>10000</v>
      </c>
      <c r="G73" s="138">
        <v>680</v>
      </c>
      <c r="H73" s="132">
        <v>38371</v>
      </c>
      <c r="I73" s="4">
        <v>2</v>
      </c>
      <c r="J73" s="3" t="s">
        <v>88</v>
      </c>
      <c r="K73" s="3" t="s">
        <v>2069</v>
      </c>
      <c r="L73" s="138">
        <v>4019.1</v>
      </c>
      <c r="M73" s="3" t="s">
        <v>2159</v>
      </c>
      <c r="N73" s="8" t="str">
        <f t="shared" si="4"/>
        <v>FY11</v>
      </c>
      <c r="O73" s="142" t="s">
        <v>2171</v>
      </c>
      <c r="P73" s="5">
        <v>8953</v>
      </c>
      <c r="Q73" s="5">
        <v>40347</v>
      </c>
      <c r="R73" s="3" t="s">
        <v>2049</v>
      </c>
      <c r="S73" s="142" t="s">
        <v>2172</v>
      </c>
      <c r="T73" s="5">
        <v>9922</v>
      </c>
      <c r="U73" s="5">
        <v>40413</v>
      </c>
      <c r="V73" s="3" t="s">
        <v>2058</v>
      </c>
      <c r="W73" s="3"/>
    </row>
    <row r="74" spans="1:23" ht="16.5" customHeight="1">
      <c r="A74" s="34"/>
      <c r="C74" s="29"/>
      <c r="D74" s="143">
        <v>605519</v>
      </c>
      <c r="E74" s="3">
        <v>91</v>
      </c>
      <c r="F74" s="221">
        <v>10000</v>
      </c>
      <c r="G74" s="138">
        <v>660</v>
      </c>
      <c r="H74" s="132">
        <v>38377</v>
      </c>
      <c r="I74" s="4">
        <v>1</v>
      </c>
      <c r="J74" s="3"/>
      <c r="K74" s="3" t="s">
        <v>2046</v>
      </c>
      <c r="L74" s="138">
        <v>3886.3</v>
      </c>
      <c r="M74" s="3" t="s">
        <v>2159</v>
      </c>
      <c r="N74" s="8" t="str">
        <f t="shared" si="4"/>
        <v/>
      </c>
      <c r="O74" s="142" t="s">
        <v>2173</v>
      </c>
      <c r="P74" s="5">
        <v>12518</v>
      </c>
      <c r="Q74" s="5"/>
      <c r="R74" s="3" t="s">
        <v>2058</v>
      </c>
      <c r="S74" s="142"/>
      <c r="T74" s="5"/>
      <c r="U74" s="5"/>
      <c r="V74" s="3"/>
      <c r="W74" s="3" t="s">
        <v>2050</v>
      </c>
    </row>
    <row r="75" spans="1:23" ht="16.5" customHeight="1">
      <c r="A75" s="34"/>
      <c r="C75" s="29" t="s">
        <v>238</v>
      </c>
      <c r="D75" s="143">
        <v>37021706</v>
      </c>
      <c r="E75" s="3">
        <v>92</v>
      </c>
      <c r="F75" s="221">
        <v>25000</v>
      </c>
      <c r="G75" s="138">
        <v>2825</v>
      </c>
      <c r="H75" s="132">
        <v>38477</v>
      </c>
      <c r="I75" s="4">
        <v>1</v>
      </c>
      <c r="J75" s="3"/>
      <c r="K75" s="3" t="s">
        <v>2174</v>
      </c>
      <c r="L75" s="138">
        <v>14978</v>
      </c>
      <c r="M75" s="3" t="s">
        <v>2159</v>
      </c>
      <c r="N75" s="8" t="str">
        <f t="shared" si="4"/>
        <v>FY10</v>
      </c>
      <c r="O75" s="142" t="s">
        <v>2175</v>
      </c>
      <c r="P75" s="5">
        <v>5097</v>
      </c>
      <c r="Q75" s="5">
        <v>40341</v>
      </c>
      <c r="R75" s="3" t="s">
        <v>2058</v>
      </c>
      <c r="S75" s="142"/>
      <c r="T75" s="5"/>
      <c r="U75" s="5"/>
      <c r="V75" s="3"/>
      <c r="W75" s="3" t="s">
        <v>2050</v>
      </c>
    </row>
    <row r="76" spans="1:23" ht="16.5" customHeight="1">
      <c r="A76" s="34"/>
      <c r="C76" s="29" t="s">
        <v>238</v>
      </c>
      <c r="D76" s="143">
        <v>4169678</v>
      </c>
      <c r="E76" s="3">
        <v>93</v>
      </c>
      <c r="F76" s="221">
        <v>10000</v>
      </c>
      <c r="G76" s="138">
        <v>880</v>
      </c>
      <c r="H76" s="132">
        <v>38512</v>
      </c>
      <c r="I76" s="4">
        <v>1</v>
      </c>
      <c r="J76" s="3"/>
      <c r="K76" s="3" t="s">
        <v>2176</v>
      </c>
      <c r="L76" s="138">
        <v>5177.7</v>
      </c>
      <c r="M76" s="3" t="s">
        <v>2159</v>
      </c>
      <c r="N76" s="8" t="str">
        <f t="shared" si="4"/>
        <v>FY13</v>
      </c>
      <c r="O76" s="142" t="s">
        <v>2177</v>
      </c>
      <c r="P76" s="5">
        <v>8169</v>
      </c>
      <c r="Q76" s="5">
        <v>41299</v>
      </c>
      <c r="R76" s="3" t="s">
        <v>2049</v>
      </c>
      <c r="S76" s="142"/>
      <c r="T76" s="5"/>
      <c r="U76" s="5"/>
      <c r="V76" s="3"/>
      <c r="W76" s="3"/>
    </row>
    <row r="77" spans="1:23" ht="16.5" customHeight="1">
      <c r="A77" s="34"/>
      <c r="C77" s="29" t="s">
        <v>238</v>
      </c>
      <c r="D77" s="143">
        <v>441147</v>
      </c>
      <c r="E77" s="3">
        <v>94</v>
      </c>
      <c r="F77" s="221">
        <v>25000</v>
      </c>
      <c r="G77" s="138">
        <v>1850</v>
      </c>
      <c r="H77" s="132">
        <v>38523</v>
      </c>
      <c r="I77" s="4">
        <v>2</v>
      </c>
      <c r="J77" s="3"/>
      <c r="K77" s="3" t="s">
        <v>2174</v>
      </c>
      <c r="L77" s="138">
        <v>11733</v>
      </c>
      <c r="M77" s="3" t="s">
        <v>2159</v>
      </c>
      <c r="N77" s="8" t="str">
        <f t="shared" si="4"/>
        <v>FY22</v>
      </c>
      <c r="O77" s="142" t="s">
        <v>2178</v>
      </c>
      <c r="P77" s="5">
        <v>10435</v>
      </c>
      <c r="Q77" s="5">
        <v>44673</v>
      </c>
      <c r="R77" s="3" t="s">
        <v>2058</v>
      </c>
      <c r="S77" s="142"/>
      <c r="T77" s="5"/>
      <c r="U77" s="5"/>
      <c r="V77" s="3"/>
      <c r="W77" s="3" t="s">
        <v>2050</v>
      </c>
    </row>
    <row r="78" spans="1:23" ht="16.5" customHeight="1">
      <c r="A78" s="34"/>
      <c r="C78" s="29" t="s">
        <v>238</v>
      </c>
      <c r="D78" s="143">
        <v>4838082</v>
      </c>
      <c r="E78" s="3">
        <v>95</v>
      </c>
      <c r="F78" s="221">
        <v>50000</v>
      </c>
      <c r="G78" s="138">
        <v>3900</v>
      </c>
      <c r="H78" s="132">
        <v>38552</v>
      </c>
      <c r="I78" s="4">
        <v>1</v>
      </c>
      <c r="J78" s="3" t="s">
        <v>88</v>
      </c>
      <c r="K78" s="3" t="s">
        <v>2174</v>
      </c>
      <c r="L78" s="138">
        <v>24292</v>
      </c>
      <c r="M78" s="3" t="s">
        <v>2179</v>
      </c>
      <c r="N78" s="8" t="s">
        <v>1</v>
      </c>
      <c r="O78" s="142" t="s">
        <v>2180</v>
      </c>
      <c r="P78" s="5">
        <v>9773</v>
      </c>
      <c r="Q78" s="5">
        <v>45114</v>
      </c>
      <c r="R78" s="3" t="s">
        <v>2058</v>
      </c>
      <c r="S78" s="142"/>
      <c r="T78" s="5"/>
      <c r="U78" s="5"/>
      <c r="V78" s="3"/>
      <c r="W78" s="3" t="s">
        <v>2050</v>
      </c>
    </row>
    <row r="79" spans="1:23" ht="16.5" customHeight="1">
      <c r="A79" s="34"/>
      <c r="C79" s="29" t="s">
        <v>238</v>
      </c>
      <c r="D79" s="143">
        <v>627141</v>
      </c>
      <c r="E79" s="3">
        <v>96</v>
      </c>
      <c r="F79" s="221">
        <v>20839</v>
      </c>
      <c r="G79" s="138">
        <v>1917.2</v>
      </c>
      <c r="H79" s="132">
        <v>38561</v>
      </c>
      <c r="I79" s="4">
        <v>1</v>
      </c>
      <c r="J79" s="3"/>
      <c r="K79" s="3" t="s">
        <v>2181</v>
      </c>
      <c r="L79" s="138">
        <v>10840.03</v>
      </c>
      <c r="M79" s="3" t="s">
        <v>2179</v>
      </c>
      <c r="N79" s="8" t="str">
        <f t="shared" si="4"/>
        <v>FY16</v>
      </c>
      <c r="O79" s="142" t="s">
        <v>2182</v>
      </c>
      <c r="P79" s="5">
        <v>7813</v>
      </c>
      <c r="Q79" s="5">
        <v>42312</v>
      </c>
      <c r="R79" s="3" t="s">
        <v>2058</v>
      </c>
      <c r="S79" s="142"/>
      <c r="T79" s="5"/>
      <c r="U79" s="5"/>
      <c r="V79" s="3"/>
      <c r="W79" s="3" t="s">
        <v>2050</v>
      </c>
    </row>
    <row r="80" spans="1:23" ht="16.5" customHeight="1">
      <c r="A80" s="34"/>
      <c r="C80" s="29"/>
      <c r="D80" s="143">
        <v>30668222</v>
      </c>
      <c r="E80" s="3">
        <v>97</v>
      </c>
      <c r="F80" s="221">
        <v>10000</v>
      </c>
      <c r="G80" s="138">
        <v>690</v>
      </c>
      <c r="H80" s="132">
        <v>38572</v>
      </c>
      <c r="I80" s="4">
        <v>1</v>
      </c>
      <c r="J80" s="3"/>
      <c r="K80" s="3" t="s">
        <v>2112</v>
      </c>
      <c r="L80" s="138">
        <v>4317.7</v>
      </c>
      <c r="M80" s="3" t="s">
        <v>2179</v>
      </c>
      <c r="N80" s="8" t="str">
        <f t="shared" si="4"/>
        <v/>
      </c>
      <c r="O80" s="142" t="s">
        <v>2183</v>
      </c>
      <c r="P80" s="5">
        <v>11498</v>
      </c>
      <c r="Q80" s="5"/>
      <c r="R80" s="3" t="s">
        <v>2058</v>
      </c>
      <c r="S80" s="142"/>
      <c r="T80" s="5"/>
      <c r="U80" s="5"/>
      <c r="V80" s="3"/>
      <c r="W80" s="3" t="s">
        <v>2050</v>
      </c>
    </row>
    <row r="81" spans="1:23" ht="16.5" customHeight="1">
      <c r="A81" s="34"/>
      <c r="C81" s="29" t="s">
        <v>238</v>
      </c>
      <c r="D81" s="143">
        <v>26168997</v>
      </c>
      <c r="E81" s="3">
        <v>98</v>
      </c>
      <c r="F81" s="221">
        <v>10000</v>
      </c>
      <c r="G81" s="138">
        <v>880</v>
      </c>
      <c r="H81" s="132">
        <v>38617</v>
      </c>
      <c r="I81" s="4">
        <v>1</v>
      </c>
      <c r="J81" s="3"/>
      <c r="K81" s="3" t="s">
        <v>2174</v>
      </c>
      <c r="L81" s="138">
        <v>5135.2</v>
      </c>
      <c r="M81" s="3" t="s">
        <v>2179</v>
      </c>
      <c r="N81" s="8" t="str">
        <f t="shared" si="4"/>
        <v>FY13</v>
      </c>
      <c r="O81" s="142" t="s">
        <v>2184</v>
      </c>
      <c r="P81" s="5">
        <v>8177</v>
      </c>
      <c r="Q81" s="5">
        <v>41291</v>
      </c>
      <c r="R81" s="3" t="s">
        <v>2049</v>
      </c>
      <c r="S81" s="142"/>
      <c r="T81" s="5"/>
      <c r="U81" s="5"/>
      <c r="V81" s="3"/>
      <c r="W81" s="3" t="s">
        <v>2050</v>
      </c>
    </row>
    <row r="82" spans="1:23" ht="16.5" customHeight="1">
      <c r="A82" s="34"/>
      <c r="C82" s="29" t="s">
        <v>238</v>
      </c>
      <c r="D82" s="143">
        <v>4493474</v>
      </c>
      <c r="E82" s="3">
        <v>99</v>
      </c>
      <c r="F82" s="221">
        <v>10000</v>
      </c>
      <c r="G82" s="138">
        <v>1060</v>
      </c>
      <c r="H82" s="132">
        <v>38707</v>
      </c>
      <c r="I82" s="4">
        <v>1</v>
      </c>
      <c r="J82" s="3"/>
      <c r="K82" s="3" t="s">
        <v>2185</v>
      </c>
      <c r="L82" s="138">
        <v>5568.2</v>
      </c>
      <c r="M82" s="3" t="s">
        <v>2179</v>
      </c>
      <c r="N82" s="8" t="str">
        <f t="shared" si="4"/>
        <v>FY18</v>
      </c>
      <c r="O82" s="142" t="s">
        <v>2186</v>
      </c>
      <c r="P82" s="5">
        <v>6642</v>
      </c>
      <c r="Q82" s="5">
        <v>43175</v>
      </c>
      <c r="R82" s="3" t="s">
        <v>2058</v>
      </c>
      <c r="S82" s="142"/>
      <c r="T82" s="5"/>
      <c r="U82" s="5"/>
      <c r="V82" s="3"/>
      <c r="W82" s="3"/>
    </row>
    <row r="83" spans="1:23" ht="16.5" customHeight="1">
      <c r="A83" s="34"/>
      <c r="C83" s="29" t="s">
        <v>238</v>
      </c>
      <c r="D83" s="143">
        <v>37907524</v>
      </c>
      <c r="E83" s="3">
        <v>100</v>
      </c>
      <c r="F83" s="221">
        <v>10000</v>
      </c>
      <c r="G83" s="138">
        <v>720</v>
      </c>
      <c r="H83" s="132">
        <v>38744</v>
      </c>
      <c r="I83" s="4">
        <v>1</v>
      </c>
      <c r="J83" s="3"/>
      <c r="K83" s="3" t="s">
        <v>2052</v>
      </c>
      <c r="L83" s="138">
        <v>4689.3999999999996</v>
      </c>
      <c r="M83" s="3" t="s">
        <v>2179</v>
      </c>
      <c r="N83" s="8" t="s">
        <v>8</v>
      </c>
      <c r="O83" s="142" t="s">
        <v>2187</v>
      </c>
      <c r="P83" s="5">
        <v>11111</v>
      </c>
      <c r="Q83" s="5">
        <v>42826</v>
      </c>
      <c r="R83" s="3" t="s">
        <v>2049</v>
      </c>
      <c r="S83" s="142"/>
      <c r="T83" s="5"/>
      <c r="U83" s="5"/>
      <c r="V83" s="3"/>
      <c r="W83" s="3" t="s">
        <v>2050</v>
      </c>
    </row>
    <row r="84" spans="1:23" ht="16.5" customHeight="1">
      <c r="A84" s="34"/>
      <c r="C84" s="29"/>
      <c r="D84" s="143">
        <v>31160674</v>
      </c>
      <c r="E84" s="3">
        <v>103</v>
      </c>
      <c r="F84" s="221">
        <v>24856.560000000001</v>
      </c>
      <c r="G84" s="138">
        <v>1988.56</v>
      </c>
      <c r="H84" s="132">
        <v>38757</v>
      </c>
      <c r="I84" s="4">
        <v>1</v>
      </c>
      <c r="J84" s="3"/>
      <c r="K84" s="3" t="s">
        <v>2112</v>
      </c>
      <c r="L84" s="138">
        <v>12440.93</v>
      </c>
      <c r="M84" s="3" t="s">
        <v>2179</v>
      </c>
      <c r="N84" s="8" t="str">
        <f>IF(OR(ISBLANK(Q:Q)=FALSE,ISBLANK(U:U)=FALSE),IF(Q:Q&gt;U:U,IF(MONTH(Q:Q)&gt;6,"FY"&amp;RIGHT(YEAR(Q:Q)+1,2),"FY"&amp;RIGHT(YEAR(Q:Q),2)),IF(MONTH(U:U)&gt;6,"FY"&amp;RIGHT(YEAR(U:U)+1,2),"FY"&amp;RIGHT(YEAR(U:U),2))),"")</f>
        <v/>
      </c>
      <c r="O84" s="142" t="s">
        <v>2188</v>
      </c>
      <c r="P84" s="5">
        <v>9712</v>
      </c>
      <c r="Q84" s="5"/>
      <c r="R84" s="3" t="s">
        <v>2058</v>
      </c>
      <c r="S84" s="142"/>
      <c r="T84" s="5"/>
      <c r="U84" s="5"/>
      <c r="V84" s="3"/>
      <c r="W84" s="3" t="s">
        <v>2050</v>
      </c>
    </row>
    <row r="85" spans="1:23" ht="16.5" customHeight="1">
      <c r="A85" s="34"/>
      <c r="C85" s="29" t="s">
        <v>238</v>
      </c>
      <c r="D85" s="143">
        <v>37825270</v>
      </c>
      <c r="E85" s="3">
        <v>101</v>
      </c>
      <c r="F85" s="221">
        <v>10000</v>
      </c>
      <c r="G85" s="138">
        <v>830</v>
      </c>
      <c r="H85" s="132">
        <v>38772</v>
      </c>
      <c r="I85" s="4">
        <v>1</v>
      </c>
      <c r="J85" s="3" t="s">
        <v>88</v>
      </c>
      <c r="K85" s="3" t="s">
        <v>2081</v>
      </c>
      <c r="L85" s="138">
        <v>5047.1000000000004</v>
      </c>
      <c r="M85" s="3" t="s">
        <v>2179</v>
      </c>
      <c r="N85" s="8" t="s">
        <v>3</v>
      </c>
      <c r="O85" s="142" t="s">
        <v>2189</v>
      </c>
      <c r="P85" s="5">
        <v>9129</v>
      </c>
      <c r="Q85" s="5">
        <v>44589</v>
      </c>
      <c r="R85" s="3" t="s">
        <v>2058</v>
      </c>
      <c r="S85" s="142"/>
      <c r="T85" s="5"/>
      <c r="U85" s="5"/>
      <c r="V85" s="3"/>
      <c r="W85" s="3" t="s">
        <v>2050</v>
      </c>
    </row>
    <row r="86" spans="1:23" ht="16.5" customHeight="1">
      <c r="A86" s="34"/>
      <c r="C86" s="29" t="s">
        <v>238</v>
      </c>
      <c r="D86" s="143">
        <v>10172955</v>
      </c>
      <c r="E86" s="3">
        <v>102</v>
      </c>
      <c r="F86" s="221">
        <v>12000</v>
      </c>
      <c r="G86" s="138">
        <v>984</v>
      </c>
      <c r="H86" s="132">
        <v>38772</v>
      </c>
      <c r="I86" s="4">
        <v>2</v>
      </c>
      <c r="J86" s="3"/>
      <c r="K86" s="3" t="s">
        <v>2059</v>
      </c>
      <c r="L86" s="138">
        <v>5924.88</v>
      </c>
      <c r="M86" s="3" t="s">
        <v>2179</v>
      </c>
      <c r="N86" s="8" t="s">
        <v>11</v>
      </c>
      <c r="O86" s="142" t="s">
        <v>2190</v>
      </c>
      <c r="P86" s="5">
        <v>7531</v>
      </c>
      <c r="Q86" s="5">
        <v>41536</v>
      </c>
      <c r="R86" s="3" t="s">
        <v>2049</v>
      </c>
      <c r="S86" s="142" t="s">
        <v>2191</v>
      </c>
      <c r="T86" s="5">
        <v>7090</v>
      </c>
      <c r="U86" s="5"/>
      <c r="V86" s="3" t="s">
        <v>2058</v>
      </c>
      <c r="W86" s="3" t="s">
        <v>2050</v>
      </c>
    </row>
    <row r="87" spans="1:23" ht="16.5" customHeight="1">
      <c r="A87" s="34"/>
      <c r="C87" s="29"/>
      <c r="D87" s="143">
        <v>6021497</v>
      </c>
      <c r="E87" s="3">
        <v>104</v>
      </c>
      <c r="F87" s="221">
        <v>10000</v>
      </c>
      <c r="G87" s="138">
        <v>600</v>
      </c>
      <c r="H87" s="132">
        <v>38868</v>
      </c>
      <c r="I87" s="4">
        <v>1</v>
      </c>
      <c r="J87" s="3"/>
      <c r="K87" s="3" t="s">
        <v>2106</v>
      </c>
      <c r="L87" s="138">
        <v>3803</v>
      </c>
      <c r="M87" s="3" t="s">
        <v>2179</v>
      </c>
      <c r="N87" s="8" t="str">
        <f t="shared" ref="N87:N115" si="5">IF(OR(ISBLANK(Q:Q)=FALSE,ISBLANK(U:U)=FALSE),IF(Q:Q&gt;U:U,IF(MONTH(Q:Q)&gt;6,"FY"&amp;RIGHT(YEAR(Q:Q)+1,2),"FY"&amp;RIGHT(YEAR(Q:Q),2)),IF(MONTH(U:U)&gt;6,"FY"&amp;RIGHT(YEAR(U:U)+1,2),"FY"&amp;RIGHT(YEAR(U:U),2))),"")</f>
        <v/>
      </c>
      <c r="O87" s="142" t="s">
        <v>2192</v>
      </c>
      <c r="P87" s="5">
        <v>15666</v>
      </c>
      <c r="Q87" s="5"/>
      <c r="R87" s="3" t="s">
        <v>2049</v>
      </c>
      <c r="S87" s="142"/>
      <c r="T87" s="5"/>
      <c r="U87" s="5"/>
      <c r="V87" s="3"/>
      <c r="W87" s="3" t="s">
        <v>2050</v>
      </c>
    </row>
    <row r="88" spans="1:23" ht="16.5" customHeight="1">
      <c r="A88" s="34" t="s">
        <v>88</v>
      </c>
      <c r="C88" s="29"/>
      <c r="D88" s="143">
        <v>6510</v>
      </c>
      <c r="E88" s="3">
        <v>105</v>
      </c>
      <c r="F88" s="221">
        <v>10000</v>
      </c>
      <c r="G88" s="138">
        <v>680</v>
      </c>
      <c r="H88" s="132">
        <v>38883</v>
      </c>
      <c r="I88" s="4">
        <v>2</v>
      </c>
      <c r="J88" s="3"/>
      <c r="K88" s="3" t="s">
        <v>2052</v>
      </c>
      <c r="L88" s="138">
        <v>4348.2</v>
      </c>
      <c r="M88" s="3" t="s">
        <v>2179</v>
      </c>
      <c r="N88" s="8" t="s">
        <v>88</v>
      </c>
      <c r="O88" s="142" t="s">
        <v>2193</v>
      </c>
      <c r="P88" s="5">
        <v>12849</v>
      </c>
      <c r="Q88" s="5"/>
      <c r="R88" s="3" t="s">
        <v>2058</v>
      </c>
      <c r="S88" s="142" t="s">
        <v>2194</v>
      </c>
      <c r="T88" s="5">
        <v>14420</v>
      </c>
      <c r="U88" s="5"/>
      <c r="V88" s="3" t="s">
        <v>2049</v>
      </c>
      <c r="W88" s="3" t="s">
        <v>2050</v>
      </c>
    </row>
    <row r="89" spans="1:23" ht="16.5" customHeight="1">
      <c r="A89" s="34"/>
      <c r="C89" s="29" t="s">
        <v>238</v>
      </c>
      <c r="D89" s="143">
        <v>8856452</v>
      </c>
      <c r="E89" s="3">
        <v>106</v>
      </c>
      <c r="F89" s="221">
        <v>10896</v>
      </c>
      <c r="G89" s="138">
        <v>751.84</v>
      </c>
      <c r="H89" s="132">
        <v>39030</v>
      </c>
      <c r="I89" s="4">
        <v>2</v>
      </c>
      <c r="J89" s="3"/>
      <c r="K89" s="3" t="s">
        <v>2081</v>
      </c>
      <c r="L89" s="138">
        <v>4816.79</v>
      </c>
      <c r="M89" s="3" t="s">
        <v>2195</v>
      </c>
      <c r="N89" s="8" t="str">
        <f t="shared" si="5"/>
        <v>FY20</v>
      </c>
      <c r="O89" s="142" t="s">
        <v>2110</v>
      </c>
      <c r="P89" s="5">
        <v>9783</v>
      </c>
      <c r="Q89" s="5">
        <v>42021</v>
      </c>
      <c r="R89" s="3" t="s">
        <v>2049</v>
      </c>
      <c r="S89" s="142" t="s">
        <v>2111</v>
      </c>
      <c r="T89" s="5">
        <v>10169</v>
      </c>
      <c r="U89" s="5">
        <v>43852</v>
      </c>
      <c r="V89" s="3" t="s">
        <v>2058</v>
      </c>
      <c r="W89" s="3" t="s">
        <v>2196</v>
      </c>
    </row>
    <row r="90" spans="1:23" ht="16.5" customHeight="1">
      <c r="A90" s="34"/>
      <c r="C90" s="29" t="s">
        <v>2164</v>
      </c>
      <c r="D90" s="143">
        <v>7026735</v>
      </c>
      <c r="E90" s="3">
        <v>107</v>
      </c>
      <c r="F90" s="221">
        <v>10000</v>
      </c>
      <c r="G90" s="138">
        <v>680</v>
      </c>
      <c r="H90" s="132">
        <v>39056</v>
      </c>
      <c r="I90" s="4">
        <v>2</v>
      </c>
      <c r="J90" s="3"/>
      <c r="K90" s="3" t="s">
        <v>2106</v>
      </c>
      <c r="L90" s="138">
        <v>4399.8</v>
      </c>
      <c r="M90" s="3" t="s">
        <v>2195</v>
      </c>
      <c r="N90" s="8" t="str">
        <f t="shared" si="5"/>
        <v>FY09</v>
      </c>
      <c r="O90" s="142" t="s">
        <v>2165</v>
      </c>
      <c r="P90" s="5">
        <v>8393</v>
      </c>
      <c r="Q90" s="5">
        <v>39691</v>
      </c>
      <c r="R90" s="3" t="s">
        <v>2049</v>
      </c>
      <c r="S90" s="142" t="s">
        <v>2166</v>
      </c>
      <c r="T90" s="5">
        <v>11393</v>
      </c>
      <c r="U90" s="5"/>
      <c r="V90" s="3" t="s">
        <v>2058</v>
      </c>
      <c r="W90" s="3" t="s">
        <v>2196</v>
      </c>
    </row>
    <row r="91" spans="1:23" ht="16.5" customHeight="1">
      <c r="A91" s="34"/>
      <c r="C91" s="29"/>
      <c r="D91" s="143">
        <v>257105</v>
      </c>
      <c r="E91" s="3">
        <v>108</v>
      </c>
      <c r="F91" s="221">
        <v>15000</v>
      </c>
      <c r="G91" s="138">
        <v>1065</v>
      </c>
      <c r="H91" s="132">
        <v>39066</v>
      </c>
      <c r="I91" s="4">
        <v>1</v>
      </c>
      <c r="J91" s="3"/>
      <c r="K91" s="3" t="s">
        <v>2059</v>
      </c>
      <c r="L91" s="138">
        <v>7032.6</v>
      </c>
      <c r="M91" s="3" t="s">
        <v>2195</v>
      </c>
      <c r="N91" s="8" t="str">
        <f t="shared" si="5"/>
        <v/>
      </c>
      <c r="O91" s="142" t="s">
        <v>2197</v>
      </c>
      <c r="P91" s="5">
        <v>11635</v>
      </c>
      <c r="Q91" s="5"/>
      <c r="R91" s="3" t="s">
        <v>2058</v>
      </c>
      <c r="S91" s="142"/>
      <c r="T91" s="5"/>
      <c r="U91" s="5"/>
      <c r="V91" s="3"/>
      <c r="W91" s="3" t="s">
        <v>2050</v>
      </c>
    </row>
    <row r="92" spans="1:23" ht="16.5" customHeight="1">
      <c r="A92" s="34"/>
      <c r="C92" s="29" t="s">
        <v>238</v>
      </c>
      <c r="D92" s="142">
        <v>37021706</v>
      </c>
      <c r="E92" s="3">
        <v>109</v>
      </c>
      <c r="F92" s="221">
        <v>20000</v>
      </c>
      <c r="G92" s="138">
        <v>2260</v>
      </c>
      <c r="H92" s="132">
        <v>39070</v>
      </c>
      <c r="I92" s="4">
        <v>1</v>
      </c>
      <c r="J92" s="3"/>
      <c r="K92" s="3" t="s">
        <v>2174</v>
      </c>
      <c r="L92" s="138">
        <v>12941.4</v>
      </c>
      <c r="M92" s="3" t="s">
        <v>2195</v>
      </c>
      <c r="N92" s="8" t="str">
        <f t="shared" si="5"/>
        <v>FY10</v>
      </c>
      <c r="O92" s="142" t="s">
        <v>2175</v>
      </c>
      <c r="P92" s="5">
        <v>5097</v>
      </c>
      <c r="Q92" s="5">
        <v>40341</v>
      </c>
      <c r="R92" s="3" t="s">
        <v>2058</v>
      </c>
      <c r="S92" s="142"/>
      <c r="T92" s="5"/>
      <c r="U92" s="5"/>
      <c r="V92" s="3"/>
      <c r="W92" s="3" t="s">
        <v>2124</v>
      </c>
    </row>
    <row r="93" spans="1:23" ht="16.5" customHeight="1">
      <c r="A93" s="34"/>
      <c r="C93" s="29"/>
      <c r="D93" s="143">
        <v>6136501</v>
      </c>
      <c r="E93" s="3">
        <v>110</v>
      </c>
      <c r="F93" s="221">
        <v>10000</v>
      </c>
      <c r="G93" s="138">
        <v>590</v>
      </c>
      <c r="H93" s="132">
        <v>39070</v>
      </c>
      <c r="I93" s="4">
        <v>2</v>
      </c>
      <c r="J93" s="3"/>
      <c r="K93" s="3" t="s">
        <v>2174</v>
      </c>
      <c r="L93" s="138">
        <v>3555.1</v>
      </c>
      <c r="M93" s="3" t="s">
        <v>2195</v>
      </c>
      <c r="N93" s="8" t="str">
        <f t="shared" si="5"/>
        <v/>
      </c>
      <c r="O93" s="143" t="s">
        <v>2198</v>
      </c>
      <c r="P93" s="5">
        <v>12997</v>
      </c>
      <c r="Q93" s="5"/>
      <c r="R93" s="3" t="s">
        <v>2049</v>
      </c>
      <c r="S93" s="143" t="s">
        <v>2199</v>
      </c>
      <c r="T93" s="5">
        <v>13787</v>
      </c>
      <c r="U93" s="5"/>
      <c r="V93" s="3" t="s">
        <v>2058</v>
      </c>
      <c r="W93" s="3" t="s">
        <v>2050</v>
      </c>
    </row>
    <row r="94" spans="1:23" ht="16.5" customHeight="1">
      <c r="A94" s="34"/>
      <c r="C94" s="29"/>
      <c r="D94" s="143">
        <v>4171906</v>
      </c>
      <c r="E94" s="3">
        <v>111</v>
      </c>
      <c r="F94" s="221">
        <v>30047.200000000001</v>
      </c>
      <c r="G94" s="138">
        <v>1983.12</v>
      </c>
      <c r="H94" s="132">
        <v>39079</v>
      </c>
      <c r="I94" s="4">
        <v>1</v>
      </c>
      <c r="J94" s="3" t="s">
        <v>88</v>
      </c>
      <c r="K94" s="3" t="s">
        <v>2081</v>
      </c>
      <c r="L94" s="138">
        <v>13108.69</v>
      </c>
      <c r="M94" s="3" t="s">
        <v>2195</v>
      </c>
      <c r="N94" s="8" t="str">
        <f t="shared" si="5"/>
        <v/>
      </c>
      <c r="O94" s="142" t="s">
        <v>2200</v>
      </c>
      <c r="P94" s="5">
        <v>13259</v>
      </c>
      <c r="Q94" s="5"/>
      <c r="R94" s="3" t="s">
        <v>2058</v>
      </c>
      <c r="S94" s="142"/>
      <c r="T94" s="5"/>
      <c r="U94" s="5"/>
      <c r="V94" s="3"/>
      <c r="W94" s="3" t="s">
        <v>2050</v>
      </c>
    </row>
    <row r="95" spans="1:23" ht="16.5" customHeight="1">
      <c r="A95" s="34"/>
      <c r="C95" s="29"/>
      <c r="D95" s="143">
        <v>24496879</v>
      </c>
      <c r="E95" s="3">
        <v>112</v>
      </c>
      <c r="F95" s="221">
        <v>100000</v>
      </c>
      <c r="G95" s="138">
        <v>7400</v>
      </c>
      <c r="H95" s="132">
        <v>39080</v>
      </c>
      <c r="I95" s="4">
        <v>1</v>
      </c>
      <c r="J95" s="3" t="s">
        <v>88</v>
      </c>
      <c r="K95" s="3" t="s">
        <v>2201</v>
      </c>
      <c r="L95" s="138">
        <v>48637</v>
      </c>
      <c r="M95" s="3" t="s">
        <v>2195</v>
      </c>
      <c r="N95" s="8" t="str">
        <f t="shared" si="5"/>
        <v/>
      </c>
      <c r="O95" s="142" t="s">
        <v>2202</v>
      </c>
      <c r="P95" s="5">
        <v>11054</v>
      </c>
      <c r="Q95" s="5"/>
      <c r="R95" s="3" t="s">
        <v>2049</v>
      </c>
      <c r="S95" s="142" t="s">
        <v>88</v>
      </c>
      <c r="T95" s="5"/>
      <c r="U95" s="5"/>
      <c r="V95" s="3"/>
      <c r="W95" s="3" t="s">
        <v>2050</v>
      </c>
    </row>
    <row r="96" spans="1:23" ht="16.5" customHeight="1">
      <c r="A96" s="34"/>
      <c r="C96" s="29" t="s">
        <v>238</v>
      </c>
      <c r="D96" s="143">
        <v>33241589</v>
      </c>
      <c r="E96" s="3">
        <v>113</v>
      </c>
      <c r="F96" s="221">
        <v>10000</v>
      </c>
      <c r="G96" s="138">
        <v>830</v>
      </c>
      <c r="H96" s="132">
        <v>39080</v>
      </c>
      <c r="I96" s="4">
        <v>1</v>
      </c>
      <c r="J96" s="3"/>
      <c r="K96" s="3" t="s">
        <v>2203</v>
      </c>
      <c r="L96" s="138">
        <v>5138.2</v>
      </c>
      <c r="M96" s="3" t="s">
        <v>2195</v>
      </c>
      <c r="N96" s="8" t="str">
        <f t="shared" si="5"/>
        <v>FY15</v>
      </c>
      <c r="O96" s="142" t="s">
        <v>2204</v>
      </c>
      <c r="P96" s="5">
        <v>9635</v>
      </c>
      <c r="Q96" s="9">
        <v>41906</v>
      </c>
      <c r="R96" s="3" t="s">
        <v>2058</v>
      </c>
      <c r="S96" s="142"/>
      <c r="T96" s="5"/>
      <c r="U96" s="5"/>
      <c r="V96" s="3"/>
      <c r="W96" s="3" t="s">
        <v>2050</v>
      </c>
    </row>
    <row r="97" spans="1:23" ht="16.5" customHeight="1">
      <c r="A97" s="34"/>
      <c r="C97" s="29" t="s">
        <v>238</v>
      </c>
      <c r="D97" s="143">
        <v>581421</v>
      </c>
      <c r="E97" s="3">
        <v>114</v>
      </c>
      <c r="F97" s="221">
        <v>10000</v>
      </c>
      <c r="G97" s="138">
        <v>1100</v>
      </c>
      <c r="H97" s="132">
        <v>39080</v>
      </c>
      <c r="I97" s="4">
        <v>1</v>
      </c>
      <c r="J97" s="3"/>
      <c r="K97" s="3" t="s">
        <v>2081</v>
      </c>
      <c r="L97" s="138">
        <v>6246.8</v>
      </c>
      <c r="M97" s="3" t="s">
        <v>2195</v>
      </c>
      <c r="N97" s="8" t="str">
        <f t="shared" si="5"/>
        <v>FY19</v>
      </c>
      <c r="O97" s="142" t="s">
        <v>2205</v>
      </c>
      <c r="P97" s="5">
        <v>13294</v>
      </c>
      <c r="Q97" s="5">
        <v>43556</v>
      </c>
      <c r="R97" s="3" t="s">
        <v>2058</v>
      </c>
      <c r="S97" s="142" t="s">
        <v>88</v>
      </c>
      <c r="T97" s="5"/>
      <c r="U97" s="5"/>
      <c r="V97" s="3"/>
      <c r="W97" s="3" t="s">
        <v>2050</v>
      </c>
    </row>
    <row r="98" spans="1:23" ht="16.5" customHeight="1">
      <c r="A98" s="34"/>
      <c r="C98" s="29"/>
      <c r="D98" s="143">
        <v>1761071</v>
      </c>
      <c r="E98" s="3">
        <v>115</v>
      </c>
      <c r="F98" s="221">
        <v>12310</v>
      </c>
      <c r="G98" s="138">
        <v>874.04</v>
      </c>
      <c r="H98" s="132">
        <v>39100</v>
      </c>
      <c r="I98" s="4">
        <v>1</v>
      </c>
      <c r="J98" s="3"/>
      <c r="K98" s="3" t="s">
        <v>2206</v>
      </c>
      <c r="L98" s="138">
        <v>8771.2999999999993</v>
      </c>
      <c r="M98" s="3" t="s">
        <v>2195</v>
      </c>
      <c r="N98" s="8" t="str">
        <f t="shared" si="5"/>
        <v/>
      </c>
      <c r="O98" s="142" t="s">
        <v>2207</v>
      </c>
      <c r="P98" s="5">
        <v>11581</v>
      </c>
      <c r="Q98" s="5"/>
      <c r="R98" s="3" t="s">
        <v>2049</v>
      </c>
      <c r="S98" s="142"/>
      <c r="T98" s="5"/>
      <c r="U98" s="5"/>
      <c r="V98" s="3"/>
      <c r="W98" s="3" t="s">
        <v>2050</v>
      </c>
    </row>
    <row r="99" spans="1:23" ht="16.5" customHeight="1">
      <c r="A99" s="34"/>
      <c r="C99" s="29"/>
      <c r="D99" s="143">
        <v>26168997</v>
      </c>
      <c r="E99" s="3">
        <v>116</v>
      </c>
      <c r="F99" s="221">
        <v>10000</v>
      </c>
      <c r="G99" s="138">
        <v>920</v>
      </c>
      <c r="H99" s="132">
        <v>39122</v>
      </c>
      <c r="I99" s="4">
        <v>1</v>
      </c>
      <c r="J99" s="3"/>
      <c r="K99" s="3" t="s">
        <v>2174</v>
      </c>
      <c r="L99" s="138">
        <v>5319</v>
      </c>
      <c r="M99" s="3" t="s">
        <v>2195</v>
      </c>
      <c r="N99" s="8" t="str">
        <f t="shared" si="5"/>
        <v/>
      </c>
      <c r="O99" s="142" t="s">
        <v>2208</v>
      </c>
      <c r="P99" s="5">
        <v>8431</v>
      </c>
      <c r="Q99" s="5"/>
      <c r="R99" s="3" t="s">
        <v>2058</v>
      </c>
      <c r="S99" s="142"/>
      <c r="T99" s="5"/>
      <c r="U99" s="5"/>
      <c r="V99" s="3"/>
      <c r="W99" s="3" t="s">
        <v>2124</v>
      </c>
    </row>
    <row r="100" spans="1:23" ht="16.5" customHeight="1">
      <c r="A100" s="34"/>
      <c r="C100" s="29"/>
      <c r="D100" s="143">
        <v>3290319</v>
      </c>
      <c r="E100" s="3">
        <v>119</v>
      </c>
      <c r="F100" s="221">
        <v>10000</v>
      </c>
      <c r="G100" s="138">
        <v>1050</v>
      </c>
      <c r="H100" s="132">
        <v>39286</v>
      </c>
      <c r="I100" s="4">
        <v>1</v>
      </c>
      <c r="J100" s="3"/>
      <c r="K100" s="3" t="s">
        <v>2081</v>
      </c>
      <c r="L100" s="138">
        <v>5750.8</v>
      </c>
      <c r="M100" s="3" t="s">
        <v>2209</v>
      </c>
      <c r="N100" s="8" t="str">
        <f t="shared" si="5"/>
        <v/>
      </c>
      <c r="O100" s="142" t="s">
        <v>2210</v>
      </c>
      <c r="P100" s="5">
        <v>17192</v>
      </c>
      <c r="Q100" s="5"/>
      <c r="R100" s="3" t="s">
        <v>2049</v>
      </c>
      <c r="S100" s="142"/>
      <c r="T100" s="5"/>
      <c r="U100" s="5"/>
      <c r="V100" s="3"/>
      <c r="W100" s="3" t="s">
        <v>2050</v>
      </c>
    </row>
    <row r="101" spans="1:23" ht="16.5" customHeight="1">
      <c r="A101" s="34"/>
      <c r="C101" s="29" t="s">
        <v>238</v>
      </c>
      <c r="D101" s="143">
        <v>41109158</v>
      </c>
      <c r="E101" s="3">
        <v>120</v>
      </c>
      <c r="F101" s="221">
        <v>20000</v>
      </c>
      <c r="G101" s="138">
        <v>1580</v>
      </c>
      <c r="H101" s="132">
        <v>39314</v>
      </c>
      <c r="I101" s="4">
        <v>2</v>
      </c>
      <c r="J101" s="3"/>
      <c r="K101" s="3" t="s">
        <v>2106</v>
      </c>
      <c r="L101" s="138">
        <v>9995.4</v>
      </c>
      <c r="M101" s="3" t="s">
        <v>2209</v>
      </c>
      <c r="N101" s="8" t="str">
        <f t="shared" si="5"/>
        <v>FY15</v>
      </c>
      <c r="O101" s="142" t="s">
        <v>2211</v>
      </c>
      <c r="P101" s="5">
        <v>9305</v>
      </c>
      <c r="Q101" s="5">
        <v>41919</v>
      </c>
      <c r="R101" s="3" t="s">
        <v>2058</v>
      </c>
      <c r="S101" s="142" t="s">
        <v>2212</v>
      </c>
      <c r="T101" s="5">
        <v>6543</v>
      </c>
      <c r="U101" s="5">
        <v>41187</v>
      </c>
      <c r="V101" s="3" t="s">
        <v>2049</v>
      </c>
      <c r="W101" s="3" t="s">
        <v>2050</v>
      </c>
    </row>
    <row r="102" spans="1:23" ht="16.5" customHeight="1">
      <c r="A102" s="34"/>
      <c r="C102" s="29" t="s">
        <v>238</v>
      </c>
      <c r="D102" s="143">
        <v>33650060</v>
      </c>
      <c r="E102" s="3">
        <v>121</v>
      </c>
      <c r="F102" s="221">
        <v>10000</v>
      </c>
      <c r="G102" s="138">
        <v>880</v>
      </c>
      <c r="H102" s="132">
        <v>39314</v>
      </c>
      <c r="I102" s="4">
        <v>1</v>
      </c>
      <c r="J102" s="3"/>
      <c r="K102" s="3" t="s">
        <v>2064</v>
      </c>
      <c r="L102" s="138">
        <v>5161</v>
      </c>
      <c r="M102" s="3" t="s">
        <v>2209</v>
      </c>
      <c r="N102" s="8" t="str">
        <f t="shared" si="5"/>
        <v>FY10</v>
      </c>
      <c r="O102" s="142" t="s">
        <v>2213</v>
      </c>
      <c r="P102" s="5">
        <v>9250</v>
      </c>
      <c r="Q102" s="5">
        <v>40124</v>
      </c>
      <c r="R102" s="3" t="s">
        <v>2058</v>
      </c>
      <c r="S102" s="142"/>
      <c r="T102" s="5"/>
      <c r="U102" s="5"/>
      <c r="V102" s="3"/>
      <c r="W102" s="3"/>
    </row>
    <row r="103" spans="1:23" ht="16.5" customHeight="1">
      <c r="A103" s="34"/>
      <c r="C103" s="29"/>
      <c r="D103" s="143">
        <v>6136501</v>
      </c>
      <c r="E103" s="3">
        <v>122</v>
      </c>
      <c r="F103" s="221">
        <v>20000</v>
      </c>
      <c r="G103" s="138">
        <v>1200</v>
      </c>
      <c r="H103" s="132">
        <v>39388</v>
      </c>
      <c r="I103" s="4">
        <v>2</v>
      </c>
      <c r="J103" s="3"/>
      <c r="K103" s="3" t="s">
        <v>2174</v>
      </c>
      <c r="L103" s="138">
        <v>7213.6</v>
      </c>
      <c r="M103" s="3" t="s">
        <v>2209</v>
      </c>
      <c r="N103" s="8" t="str">
        <f t="shared" si="5"/>
        <v/>
      </c>
      <c r="O103" s="143" t="s">
        <v>2198</v>
      </c>
      <c r="P103" s="5">
        <v>12997</v>
      </c>
      <c r="Q103" s="5"/>
      <c r="R103" s="3" t="s">
        <v>2049</v>
      </c>
      <c r="S103" s="143" t="s">
        <v>2199</v>
      </c>
      <c r="T103" s="5">
        <v>13787</v>
      </c>
      <c r="U103" s="5"/>
      <c r="V103" s="3" t="s">
        <v>2058</v>
      </c>
      <c r="W103" s="3" t="s">
        <v>2124</v>
      </c>
    </row>
    <row r="104" spans="1:23" ht="16.5" customHeight="1">
      <c r="A104" s="34"/>
      <c r="C104" s="29"/>
      <c r="D104" s="143">
        <v>17371501</v>
      </c>
      <c r="E104" s="3">
        <v>123</v>
      </c>
      <c r="F104" s="221">
        <v>10000</v>
      </c>
      <c r="G104" s="138">
        <v>600</v>
      </c>
      <c r="H104" s="132">
        <v>39429</v>
      </c>
      <c r="I104" s="4">
        <v>2</v>
      </c>
      <c r="J104" s="3"/>
      <c r="K104" s="3" t="s">
        <v>2174</v>
      </c>
      <c r="L104" s="138">
        <v>3404</v>
      </c>
      <c r="M104" s="3" t="s">
        <v>2209</v>
      </c>
      <c r="N104" s="8" t="str">
        <f t="shared" si="5"/>
        <v/>
      </c>
      <c r="O104" s="142" t="s">
        <v>2214</v>
      </c>
      <c r="P104" s="5">
        <v>13413</v>
      </c>
      <c r="Q104" s="5"/>
      <c r="R104" s="3" t="s">
        <v>2049</v>
      </c>
      <c r="S104" s="142" t="s">
        <v>2215</v>
      </c>
      <c r="T104" s="5">
        <v>13060</v>
      </c>
      <c r="U104" s="5"/>
      <c r="V104" s="3" t="s">
        <v>2058</v>
      </c>
      <c r="W104" s="3" t="s">
        <v>2050</v>
      </c>
    </row>
    <row r="105" spans="1:23" ht="16.5" customHeight="1">
      <c r="A105" s="34"/>
      <c r="C105" s="29"/>
      <c r="D105" s="143">
        <v>989152</v>
      </c>
      <c r="E105" s="3">
        <v>125</v>
      </c>
      <c r="F105" s="221">
        <v>15000</v>
      </c>
      <c r="G105" s="138">
        <v>1200</v>
      </c>
      <c r="H105" s="132">
        <v>39435</v>
      </c>
      <c r="I105" s="4">
        <v>1</v>
      </c>
      <c r="J105" s="3"/>
      <c r="K105" s="3" t="s">
        <v>65</v>
      </c>
      <c r="L105" s="138">
        <v>7433.55</v>
      </c>
      <c r="M105" s="3" t="s">
        <v>2209</v>
      </c>
      <c r="N105" s="8" t="str">
        <f t="shared" si="5"/>
        <v/>
      </c>
      <c r="O105" s="144" t="s">
        <v>2216</v>
      </c>
      <c r="P105" s="5">
        <v>10282</v>
      </c>
      <c r="Q105" s="5"/>
      <c r="R105" s="3" t="s">
        <v>2049</v>
      </c>
      <c r="S105" s="142"/>
      <c r="T105" s="5"/>
      <c r="U105" s="5"/>
      <c r="V105" s="3"/>
      <c r="W105" s="3" t="s">
        <v>2050</v>
      </c>
    </row>
    <row r="106" spans="1:23" ht="16.5" customHeight="1">
      <c r="A106" s="34"/>
      <c r="C106" s="29" t="s">
        <v>238</v>
      </c>
      <c r="D106" s="143">
        <v>178103</v>
      </c>
      <c r="E106" s="3">
        <v>124</v>
      </c>
      <c r="F106" s="221">
        <v>10000</v>
      </c>
      <c r="G106" s="138">
        <v>780</v>
      </c>
      <c r="H106" s="132">
        <v>39436</v>
      </c>
      <c r="I106" s="4">
        <v>1</v>
      </c>
      <c r="J106" s="3"/>
      <c r="K106" s="3" t="s">
        <v>2069</v>
      </c>
      <c r="L106" s="138">
        <v>4858.3999999999996</v>
      </c>
      <c r="M106" s="3" t="s">
        <v>2209</v>
      </c>
      <c r="N106" s="8" t="str">
        <f t="shared" si="5"/>
        <v>FY18</v>
      </c>
      <c r="O106" s="142" t="s">
        <v>2217</v>
      </c>
      <c r="P106" s="5">
        <v>10651</v>
      </c>
      <c r="Q106" s="5">
        <v>43100</v>
      </c>
      <c r="R106" s="3" t="s">
        <v>2049</v>
      </c>
      <c r="S106" s="142"/>
      <c r="T106" s="5"/>
      <c r="U106" s="5"/>
      <c r="V106" s="3"/>
      <c r="W106" s="3" t="s">
        <v>2050</v>
      </c>
    </row>
    <row r="107" spans="1:23" ht="16.5" customHeight="1">
      <c r="A107" s="34"/>
      <c r="C107" s="29" t="s">
        <v>238</v>
      </c>
      <c r="D107" s="143">
        <v>340141</v>
      </c>
      <c r="E107" s="3">
        <v>126</v>
      </c>
      <c r="F107" s="221">
        <v>19976</v>
      </c>
      <c r="G107" s="138">
        <v>2257.3200000000002</v>
      </c>
      <c r="H107" s="132">
        <v>39471</v>
      </c>
      <c r="I107" s="4">
        <v>1</v>
      </c>
      <c r="J107" s="3"/>
      <c r="K107" s="3" t="s">
        <v>2185</v>
      </c>
      <c r="L107" s="138">
        <v>11494.19</v>
      </c>
      <c r="M107" s="3" t="s">
        <v>2209</v>
      </c>
      <c r="N107" s="8" t="str">
        <f t="shared" si="5"/>
        <v>FY11</v>
      </c>
      <c r="O107" s="142" t="s">
        <v>2218</v>
      </c>
      <c r="P107" s="5">
        <v>6730</v>
      </c>
      <c r="Q107" s="5">
        <v>40491</v>
      </c>
      <c r="R107" s="3" t="s">
        <v>2058</v>
      </c>
      <c r="S107" s="142"/>
      <c r="T107" s="5"/>
      <c r="U107" s="5"/>
      <c r="V107" s="3"/>
      <c r="W107" s="3"/>
    </row>
    <row r="108" spans="1:23" ht="16.5" customHeight="1">
      <c r="A108" s="34"/>
      <c r="C108" s="29" t="s">
        <v>238</v>
      </c>
      <c r="D108" s="143">
        <v>2475432</v>
      </c>
      <c r="E108" s="3">
        <v>128</v>
      </c>
      <c r="F108" s="221">
        <v>11371</v>
      </c>
      <c r="G108" s="138">
        <v>1080.28</v>
      </c>
      <c r="H108" s="132">
        <v>39601</v>
      </c>
      <c r="I108" s="4">
        <v>1</v>
      </c>
      <c r="J108" s="3"/>
      <c r="K108" s="3" t="s">
        <v>2219</v>
      </c>
      <c r="L108" s="138">
        <v>5704.26</v>
      </c>
      <c r="M108" s="3" t="s">
        <v>2209</v>
      </c>
      <c r="N108" s="8" t="str">
        <f t="shared" si="5"/>
        <v>FY19</v>
      </c>
      <c r="O108" s="142" t="s">
        <v>2220</v>
      </c>
      <c r="P108" s="5">
        <v>8698</v>
      </c>
      <c r="Q108" s="5">
        <v>43450</v>
      </c>
      <c r="R108" s="3" t="s">
        <v>2058</v>
      </c>
      <c r="S108" s="142"/>
      <c r="T108" s="5"/>
      <c r="U108" s="5"/>
      <c r="V108" s="3"/>
      <c r="W108" s="3" t="s">
        <v>2050</v>
      </c>
    </row>
    <row r="109" spans="1:23" ht="16.5" customHeight="1">
      <c r="A109" s="34"/>
      <c r="C109" s="29"/>
      <c r="D109" s="143">
        <v>5980677</v>
      </c>
      <c r="E109" s="3">
        <v>129</v>
      </c>
      <c r="F109" s="221">
        <v>10000</v>
      </c>
      <c r="G109" s="138">
        <v>630</v>
      </c>
      <c r="H109" s="132">
        <v>39608</v>
      </c>
      <c r="I109" s="4">
        <v>1</v>
      </c>
      <c r="J109" s="3"/>
      <c r="K109" s="3" t="s">
        <v>2112</v>
      </c>
      <c r="L109" s="138">
        <v>3164.3</v>
      </c>
      <c r="M109" s="3" t="s">
        <v>2209</v>
      </c>
      <c r="N109" s="8" t="str">
        <f t="shared" si="5"/>
        <v/>
      </c>
      <c r="O109" s="142" t="s">
        <v>2221</v>
      </c>
      <c r="P109" s="5">
        <v>14907</v>
      </c>
      <c r="Q109" s="5"/>
      <c r="R109" s="3" t="s">
        <v>2049</v>
      </c>
      <c r="S109" s="142"/>
      <c r="T109" s="5"/>
      <c r="U109" s="5"/>
      <c r="V109" s="3"/>
      <c r="W109" s="3" t="s">
        <v>2050</v>
      </c>
    </row>
    <row r="110" spans="1:23" ht="16.5" customHeight="1">
      <c r="A110" s="34"/>
      <c r="C110" s="29" t="s">
        <v>238</v>
      </c>
      <c r="D110" s="143">
        <v>8039687</v>
      </c>
      <c r="E110" s="3">
        <v>130</v>
      </c>
      <c r="F110" s="221">
        <v>10000</v>
      </c>
      <c r="G110" s="138">
        <v>850.08</v>
      </c>
      <c r="H110" s="132">
        <v>39612</v>
      </c>
      <c r="I110" s="4">
        <v>1</v>
      </c>
      <c r="J110" s="3"/>
      <c r="K110" s="3" t="s">
        <v>2046</v>
      </c>
      <c r="L110" s="138">
        <v>4767.1000000000004</v>
      </c>
      <c r="M110" s="3" t="s">
        <v>2209</v>
      </c>
      <c r="N110" s="8" t="str">
        <f t="shared" si="5"/>
        <v>FY11</v>
      </c>
      <c r="O110" s="142" t="s">
        <v>2222</v>
      </c>
      <c r="P110" s="5">
        <v>9801</v>
      </c>
      <c r="Q110" s="5">
        <v>40469</v>
      </c>
      <c r="R110" s="3" t="s">
        <v>2058</v>
      </c>
      <c r="S110" s="142"/>
      <c r="T110" s="5"/>
      <c r="U110" s="5"/>
      <c r="V110" s="3"/>
      <c r="W110" s="3"/>
    </row>
    <row r="111" spans="1:23" ht="16.5" customHeight="1">
      <c r="A111" s="34"/>
      <c r="C111" s="29" t="s">
        <v>238</v>
      </c>
      <c r="D111" s="143">
        <v>2182335</v>
      </c>
      <c r="E111" s="3">
        <v>133</v>
      </c>
      <c r="F111" s="221">
        <v>10000</v>
      </c>
      <c r="G111" s="138">
        <v>990</v>
      </c>
      <c r="H111" s="132">
        <v>39619</v>
      </c>
      <c r="I111" s="4">
        <v>1</v>
      </c>
      <c r="J111" s="3"/>
      <c r="K111" s="3" t="s">
        <v>2129</v>
      </c>
      <c r="L111" s="138">
        <v>5088.1000000000004</v>
      </c>
      <c r="M111" s="3" t="s">
        <v>2209</v>
      </c>
      <c r="N111" s="8" t="str">
        <f t="shared" si="5"/>
        <v>FY16</v>
      </c>
      <c r="O111" s="142" t="s">
        <v>2223</v>
      </c>
      <c r="P111" s="5">
        <v>8074</v>
      </c>
      <c r="Q111" s="5">
        <v>42484</v>
      </c>
      <c r="R111" s="3" t="s">
        <v>2058</v>
      </c>
      <c r="S111" s="142"/>
      <c r="T111" s="5"/>
      <c r="U111" s="5"/>
      <c r="V111" s="3"/>
      <c r="W111" s="3" t="s">
        <v>2050</v>
      </c>
    </row>
    <row r="112" spans="1:23" ht="16.5" customHeight="1">
      <c r="A112" s="34"/>
      <c r="C112" s="29"/>
      <c r="D112" s="143">
        <v>8453268</v>
      </c>
      <c r="E112" s="3">
        <v>131</v>
      </c>
      <c r="F112" s="221">
        <v>20000</v>
      </c>
      <c r="G112" s="138">
        <v>1840</v>
      </c>
      <c r="H112" s="132">
        <v>39622</v>
      </c>
      <c r="I112" s="4">
        <v>1</v>
      </c>
      <c r="J112" s="3"/>
      <c r="K112" s="3" t="s">
        <v>2046</v>
      </c>
      <c r="L112" s="138">
        <v>9812</v>
      </c>
      <c r="M112" s="3" t="s">
        <v>2209</v>
      </c>
      <c r="N112" s="8" t="str">
        <f t="shared" si="5"/>
        <v/>
      </c>
      <c r="O112" s="142" t="s">
        <v>2224</v>
      </c>
      <c r="P112" s="5">
        <v>9103</v>
      </c>
      <c r="Q112" s="5"/>
      <c r="R112" s="3" t="s">
        <v>2049</v>
      </c>
      <c r="S112" s="142"/>
      <c r="T112" s="5"/>
      <c r="U112" s="5"/>
      <c r="V112" s="3"/>
      <c r="W112" s="3" t="s">
        <v>2050</v>
      </c>
    </row>
    <row r="113" spans="1:23" ht="16.5" customHeight="1">
      <c r="A113" s="34"/>
      <c r="C113" s="29"/>
      <c r="D113" s="143">
        <v>257105</v>
      </c>
      <c r="E113" s="3">
        <v>132</v>
      </c>
      <c r="F113" s="221">
        <v>15000</v>
      </c>
      <c r="G113" s="138">
        <v>1110</v>
      </c>
      <c r="H113" s="132">
        <v>39622</v>
      </c>
      <c r="I113" s="4">
        <v>1</v>
      </c>
      <c r="J113" s="3" t="s">
        <v>88</v>
      </c>
      <c r="K113" s="3" t="s">
        <v>2059</v>
      </c>
      <c r="L113" s="138">
        <v>6379.35</v>
      </c>
      <c r="M113" s="3" t="s">
        <v>2209</v>
      </c>
      <c r="N113" s="8" t="str">
        <f t="shared" si="5"/>
        <v/>
      </c>
      <c r="O113" s="142" t="s">
        <v>2197</v>
      </c>
      <c r="P113" s="5">
        <v>11635</v>
      </c>
      <c r="Q113" s="5"/>
      <c r="R113" s="3" t="s">
        <v>2058</v>
      </c>
      <c r="S113" s="142"/>
      <c r="T113" s="5"/>
      <c r="U113" s="5"/>
      <c r="V113" s="3"/>
      <c r="W113" s="3" t="s">
        <v>2124</v>
      </c>
    </row>
    <row r="114" spans="1:23" ht="16.5" customHeight="1">
      <c r="A114" s="34"/>
      <c r="C114" s="29"/>
      <c r="D114" s="143">
        <v>20580171</v>
      </c>
      <c r="E114" s="3">
        <v>133</v>
      </c>
      <c r="F114" s="221">
        <v>10000</v>
      </c>
      <c r="G114" s="138">
        <v>720</v>
      </c>
      <c r="H114" s="132">
        <v>39629</v>
      </c>
      <c r="I114" s="4">
        <v>1</v>
      </c>
      <c r="J114" s="3"/>
      <c r="K114" s="3" t="s">
        <v>2094</v>
      </c>
      <c r="L114" s="138">
        <v>4165.2</v>
      </c>
      <c r="M114" s="3" t="s">
        <v>2209</v>
      </c>
      <c r="N114" s="8" t="str">
        <f t="shared" si="5"/>
        <v/>
      </c>
      <c r="O114" s="142" t="s">
        <v>2225</v>
      </c>
      <c r="P114" s="5">
        <v>11971</v>
      </c>
      <c r="Q114" s="5"/>
      <c r="R114" s="3" t="s">
        <v>2049</v>
      </c>
      <c r="S114" s="142"/>
      <c r="T114" s="5"/>
      <c r="U114" s="5"/>
      <c r="V114" s="3"/>
      <c r="W114" s="3" t="s">
        <v>2050</v>
      </c>
    </row>
    <row r="115" spans="1:23" ht="16.5" customHeight="1">
      <c r="A115" s="34"/>
      <c r="C115" s="29"/>
      <c r="D115" s="143">
        <v>4555223</v>
      </c>
      <c r="E115" s="3">
        <v>134</v>
      </c>
      <c r="F115" s="221">
        <v>11706</v>
      </c>
      <c r="G115" s="138">
        <v>831.16</v>
      </c>
      <c r="H115" s="132">
        <v>39629</v>
      </c>
      <c r="I115" s="4">
        <v>1</v>
      </c>
      <c r="J115" s="3"/>
      <c r="K115" s="3" t="s">
        <v>65</v>
      </c>
      <c r="L115" s="138">
        <v>4689.42</v>
      </c>
      <c r="M115" s="3" t="s">
        <v>2209</v>
      </c>
      <c r="N115" s="8" t="str">
        <f t="shared" si="5"/>
        <v/>
      </c>
      <c r="O115" s="142" t="s">
        <v>2226</v>
      </c>
      <c r="P115" s="5">
        <v>12201</v>
      </c>
      <c r="Q115" s="5"/>
      <c r="R115" s="3" t="s">
        <v>2049</v>
      </c>
      <c r="S115" s="142"/>
      <c r="T115" s="5"/>
      <c r="U115" s="5"/>
      <c r="V115" s="3"/>
      <c r="W115" s="3" t="s">
        <v>2050</v>
      </c>
    </row>
    <row r="116" spans="1:23" ht="16.5" customHeight="1">
      <c r="A116" s="34"/>
      <c r="C116" s="29" t="s">
        <v>238</v>
      </c>
      <c r="D116" s="143">
        <v>10335842</v>
      </c>
      <c r="E116" s="3">
        <v>136</v>
      </c>
      <c r="F116" s="221">
        <v>10000</v>
      </c>
      <c r="G116" s="138">
        <v>670</v>
      </c>
      <c r="H116" s="132">
        <v>39757</v>
      </c>
      <c r="I116" s="4">
        <v>1</v>
      </c>
      <c r="J116" s="3"/>
      <c r="K116" s="3" t="s">
        <v>2072</v>
      </c>
      <c r="L116" s="138">
        <v>4484</v>
      </c>
      <c r="M116" s="3" t="s">
        <v>2227</v>
      </c>
      <c r="N116" s="8" t="s">
        <v>3</v>
      </c>
      <c r="O116" s="142" t="s">
        <v>2228</v>
      </c>
      <c r="P116" s="5">
        <v>12249</v>
      </c>
      <c r="Q116" s="5">
        <v>44439</v>
      </c>
      <c r="R116" s="3" t="s">
        <v>2058</v>
      </c>
      <c r="S116" s="142"/>
      <c r="T116" s="5"/>
      <c r="U116" s="5"/>
      <c r="V116" s="3"/>
      <c r="W116" s="3" t="s">
        <v>2050</v>
      </c>
    </row>
    <row r="117" spans="1:23" ht="16.5" customHeight="1">
      <c r="A117" s="34"/>
      <c r="C117" s="29" t="s">
        <v>238</v>
      </c>
      <c r="D117" s="143">
        <v>1356641</v>
      </c>
      <c r="E117" s="3">
        <v>135</v>
      </c>
      <c r="F117" s="221">
        <v>10000</v>
      </c>
      <c r="G117" s="138">
        <v>570</v>
      </c>
      <c r="H117" s="132">
        <v>39759</v>
      </c>
      <c r="I117" s="4">
        <v>1</v>
      </c>
      <c r="J117" s="3"/>
      <c r="K117" s="3" t="s">
        <v>2081</v>
      </c>
      <c r="L117" s="138">
        <v>3454.6</v>
      </c>
      <c r="M117" s="3" t="s">
        <v>2227</v>
      </c>
      <c r="N117" s="8" t="s">
        <v>4</v>
      </c>
      <c r="O117" s="142" t="s">
        <v>2170</v>
      </c>
      <c r="P117" s="5">
        <v>16011</v>
      </c>
      <c r="Q117" s="5">
        <v>44018</v>
      </c>
      <c r="R117" s="3" t="s">
        <v>2058</v>
      </c>
      <c r="S117" s="142"/>
      <c r="T117" s="5"/>
      <c r="U117" s="5"/>
      <c r="V117" s="3"/>
      <c r="W117" s="3" t="s">
        <v>2124</v>
      </c>
    </row>
    <row r="118" spans="1:23" ht="16.5" customHeight="1">
      <c r="A118" s="34"/>
      <c r="C118" s="29" t="s">
        <v>238</v>
      </c>
      <c r="D118" s="143">
        <v>40327496</v>
      </c>
      <c r="E118" s="3">
        <v>137</v>
      </c>
      <c r="F118" s="221">
        <v>20000</v>
      </c>
      <c r="G118" s="138">
        <v>1400</v>
      </c>
      <c r="H118" s="132">
        <v>39805</v>
      </c>
      <c r="I118" s="4">
        <v>1</v>
      </c>
      <c r="J118" s="3" t="s">
        <v>88</v>
      </c>
      <c r="K118" s="3" t="s">
        <v>2081</v>
      </c>
      <c r="L118" s="138">
        <v>7882.2</v>
      </c>
      <c r="M118" s="3" t="s">
        <v>2227</v>
      </c>
      <c r="N118" s="8" t="str">
        <f>IF(OR(ISBLANK(Q:Q)=FALSE,ISBLANK(U:U)=FALSE),IF(Q:Q&gt;U:U,IF(MONTH(Q:Q)&gt;6,"FY"&amp;RIGHT(YEAR(Q:Q)+1,2),"FY"&amp;RIGHT(YEAR(Q:Q),2)),IF(MONTH(U:U)&gt;6,"FY"&amp;RIGHT(YEAR(U:U)+1,2),"FY"&amp;RIGHT(YEAR(U:U),2))),"")</f>
        <v>FY18</v>
      </c>
      <c r="O118" s="142" t="s">
        <v>2229</v>
      </c>
      <c r="P118" s="5">
        <v>16253</v>
      </c>
      <c r="Q118" s="5">
        <v>43228</v>
      </c>
      <c r="R118" s="3" t="s">
        <v>2058</v>
      </c>
      <c r="S118" s="142"/>
      <c r="T118" s="5"/>
      <c r="U118" s="5"/>
      <c r="V118" s="3"/>
      <c r="W118" s="3" t="s">
        <v>2050</v>
      </c>
    </row>
    <row r="119" spans="1:23" ht="16.5" customHeight="1">
      <c r="A119" s="34"/>
      <c r="C119" s="29" t="s">
        <v>2164</v>
      </c>
      <c r="D119" s="143">
        <v>519983</v>
      </c>
      <c r="E119" s="3">
        <v>138</v>
      </c>
      <c r="F119" s="221">
        <v>50000</v>
      </c>
      <c r="G119" s="138">
        <v>3200</v>
      </c>
      <c r="H119" s="132">
        <v>39870</v>
      </c>
      <c r="I119" s="4">
        <v>2</v>
      </c>
      <c r="J119" s="3"/>
      <c r="K119" s="3" t="s">
        <v>2081</v>
      </c>
      <c r="L119" s="138">
        <v>23041.5</v>
      </c>
      <c r="M119" s="3" t="s">
        <v>2227</v>
      </c>
      <c r="N119" s="8" t="str">
        <f>IF(OR(ISBLANK(Q:Q)=FALSE,ISBLANK(U:U)=FALSE),IF(Q:Q&gt;U:U,IF(MONTH(Q:Q)&gt;6,"FY"&amp;RIGHT(YEAR(Q:Q)+1,2),"FY"&amp;RIGHT(YEAR(Q:Q),2)),IF(MONTH(U:U)&gt;6,"FY"&amp;RIGHT(YEAR(U:U)+1,2),"FY"&amp;RIGHT(YEAR(U:U),2))),"")</f>
        <v>FY12</v>
      </c>
      <c r="O119" s="142" t="s">
        <v>2230</v>
      </c>
      <c r="P119" s="5">
        <v>9742</v>
      </c>
      <c r="Q119" s="5"/>
      <c r="R119" s="3" t="s">
        <v>2049</v>
      </c>
      <c r="S119" s="142" t="s">
        <v>2231</v>
      </c>
      <c r="T119" s="5">
        <v>9955</v>
      </c>
      <c r="U119" s="5">
        <v>40781</v>
      </c>
      <c r="V119" s="3" t="s">
        <v>2058</v>
      </c>
      <c r="W119" s="3" t="s">
        <v>2050</v>
      </c>
    </row>
    <row r="120" spans="1:23" ht="16.5" customHeight="1">
      <c r="A120" s="34"/>
      <c r="C120" s="29" t="s">
        <v>2164</v>
      </c>
      <c r="D120" s="143">
        <v>40341927</v>
      </c>
      <c r="E120" s="3">
        <v>139</v>
      </c>
      <c r="F120" s="221">
        <v>10000</v>
      </c>
      <c r="G120" s="138">
        <v>710.04</v>
      </c>
      <c r="H120" s="132">
        <v>39871</v>
      </c>
      <c r="I120" s="4">
        <v>2</v>
      </c>
      <c r="J120" s="3" t="s">
        <v>88</v>
      </c>
      <c r="K120" s="3" t="s">
        <v>2174</v>
      </c>
      <c r="L120" s="138">
        <v>4940.6000000000004</v>
      </c>
      <c r="M120" s="3" t="s">
        <v>2227</v>
      </c>
      <c r="N120" s="8" t="str">
        <f>IF(OR(ISBLANK(Q:Q)=FALSE,ISBLANK(U:U)=FALSE),IF(Q:Q&gt;U:U,IF(MONTH(Q:Q)&gt;6,"FY"&amp;RIGHT(YEAR(Q:Q)+1,2),"FY"&amp;RIGHT(YEAR(Q:Q),2)),IF(MONTH(U:U)&gt;6,"FY"&amp;RIGHT(YEAR(U:U)+1,2),"FY"&amp;RIGHT(YEAR(U:U),2))),"")</f>
        <v>FY17</v>
      </c>
      <c r="O120" s="142" t="s">
        <v>2232</v>
      </c>
      <c r="P120" s="5">
        <v>8624</v>
      </c>
      <c r="Q120" s="5"/>
      <c r="R120" s="3" t="s">
        <v>2049</v>
      </c>
      <c r="S120" s="142" t="s">
        <v>2233</v>
      </c>
      <c r="T120" s="5">
        <v>8897</v>
      </c>
      <c r="U120" s="5">
        <v>42629</v>
      </c>
      <c r="V120" s="3" t="s">
        <v>2058</v>
      </c>
      <c r="W120" s="3" t="s">
        <v>2050</v>
      </c>
    </row>
    <row r="121" spans="1:23" ht="16.5" customHeight="1">
      <c r="A121" s="34"/>
      <c r="C121" s="29" t="s">
        <v>238</v>
      </c>
      <c r="D121" s="143">
        <v>4861894</v>
      </c>
      <c r="E121" s="3">
        <v>140</v>
      </c>
      <c r="F121" s="221">
        <v>40000</v>
      </c>
      <c r="G121" s="138">
        <v>2320</v>
      </c>
      <c r="H121" s="132">
        <v>39955</v>
      </c>
      <c r="I121" s="4">
        <v>2</v>
      </c>
      <c r="J121" s="3"/>
      <c r="K121" s="3" t="s">
        <v>2174</v>
      </c>
      <c r="L121" s="138">
        <v>14386</v>
      </c>
      <c r="M121" s="3" t="s">
        <v>2227</v>
      </c>
      <c r="N121" s="8" t="str">
        <f>IF(OR(ISBLANK(Q:Q)=FALSE,ISBLANK(U:U)=FALSE),IF(Q:Q&gt;U:U,IF(MONTH(Q:Q)&gt;6,"FY"&amp;RIGHT(YEAR(Q:Q)+1,2),"FY"&amp;RIGHT(YEAR(Q:Q),2)),IF(MONTH(U:U)&gt;6,"FY"&amp;RIGHT(YEAR(U:U)+1,2),"FY"&amp;RIGHT(YEAR(U:U),2))),"")</f>
        <v>FY21</v>
      </c>
      <c r="O121" s="142" t="s">
        <v>2234</v>
      </c>
      <c r="P121" s="5">
        <v>11971</v>
      </c>
      <c r="Q121" s="5">
        <v>44187</v>
      </c>
      <c r="R121" s="3" t="s">
        <v>2049</v>
      </c>
      <c r="S121" s="142" t="s">
        <v>2235</v>
      </c>
      <c r="T121" s="5">
        <v>11864</v>
      </c>
      <c r="U121" s="5">
        <v>42100</v>
      </c>
      <c r="V121" s="3" t="s">
        <v>2058</v>
      </c>
      <c r="W121" s="3" t="s">
        <v>2050</v>
      </c>
    </row>
    <row r="122" spans="1:23" ht="16.5" customHeight="1">
      <c r="A122" s="34"/>
      <c r="C122" s="29" t="s">
        <v>238</v>
      </c>
      <c r="D122" s="143">
        <v>37469442</v>
      </c>
      <c r="E122" s="3">
        <v>141</v>
      </c>
      <c r="F122" s="221">
        <v>10000</v>
      </c>
      <c r="G122" s="138">
        <v>950</v>
      </c>
      <c r="H122" s="132">
        <v>39960</v>
      </c>
      <c r="I122" s="4">
        <v>1</v>
      </c>
      <c r="J122" s="3"/>
      <c r="K122" s="3" t="s">
        <v>2144</v>
      </c>
      <c r="L122" s="138">
        <v>6553.9</v>
      </c>
      <c r="M122" s="3" t="s">
        <v>2227</v>
      </c>
      <c r="N122" s="8" t="s">
        <v>2236</v>
      </c>
      <c r="O122" s="142" t="s">
        <v>2237</v>
      </c>
      <c r="P122" s="5">
        <v>6530</v>
      </c>
      <c r="Q122" s="5">
        <v>42380</v>
      </c>
      <c r="R122" s="3" t="s">
        <v>2049</v>
      </c>
      <c r="S122" s="142"/>
      <c r="T122" s="5"/>
      <c r="U122" s="5"/>
      <c r="V122" s="3"/>
      <c r="W122" s="3" t="s">
        <v>2050</v>
      </c>
    </row>
    <row r="123" spans="1:23" ht="16.5" customHeight="1">
      <c r="A123" s="34"/>
      <c r="C123" s="29" t="s">
        <v>238</v>
      </c>
      <c r="D123" s="143">
        <v>6027403</v>
      </c>
      <c r="E123" s="3">
        <v>142</v>
      </c>
      <c r="F123" s="221">
        <v>10000</v>
      </c>
      <c r="G123" s="138">
        <v>790</v>
      </c>
      <c r="H123" s="132">
        <v>39980</v>
      </c>
      <c r="I123" s="4">
        <v>1</v>
      </c>
      <c r="J123" s="3"/>
      <c r="K123" s="3" t="s">
        <v>2059</v>
      </c>
      <c r="L123" s="138">
        <v>5425.6</v>
      </c>
      <c r="M123" s="3" t="s">
        <v>2227</v>
      </c>
      <c r="N123" s="8" t="str">
        <f t="shared" ref="N123:N147" si="6">IF(OR(ISBLANK(Q:Q)=FALSE,ISBLANK(U:U)=FALSE),IF(Q:Q&gt;U:U,IF(MONTH(Q:Q)&gt;6,"FY"&amp;RIGHT(YEAR(Q:Q)+1,2),"FY"&amp;RIGHT(YEAR(Q:Q),2)),IF(MONTH(U:U)&gt;6,"FY"&amp;RIGHT(YEAR(U:U)+1,2),"FY"&amp;RIGHT(YEAR(U:U),2))),"")</f>
        <v>FY13</v>
      </c>
      <c r="O123" s="142" t="s">
        <v>2238</v>
      </c>
      <c r="P123" s="5">
        <v>9266</v>
      </c>
      <c r="Q123" s="5">
        <v>41284</v>
      </c>
      <c r="R123" s="3" t="s">
        <v>2058</v>
      </c>
      <c r="S123" s="142"/>
      <c r="T123" s="5"/>
      <c r="U123" s="5"/>
      <c r="V123" s="3"/>
      <c r="W123" s="3"/>
    </row>
    <row r="124" spans="1:23" ht="16.5" customHeight="1">
      <c r="A124" s="34"/>
      <c r="C124" s="29" t="s">
        <v>238</v>
      </c>
      <c r="D124" s="143">
        <v>21319355</v>
      </c>
      <c r="E124" s="3">
        <v>143</v>
      </c>
      <c r="F124" s="221">
        <v>10000</v>
      </c>
      <c r="G124" s="138">
        <v>860</v>
      </c>
      <c r="H124" s="132">
        <v>39988</v>
      </c>
      <c r="I124" s="4">
        <v>1</v>
      </c>
      <c r="J124" s="3"/>
      <c r="K124" s="3" t="s">
        <v>2081</v>
      </c>
      <c r="L124" s="138">
        <v>5808.2</v>
      </c>
      <c r="M124" s="3" t="s">
        <v>2227</v>
      </c>
      <c r="N124" s="8" t="str">
        <f t="shared" si="6"/>
        <v>FY20</v>
      </c>
      <c r="O124" s="142" t="s">
        <v>2239</v>
      </c>
      <c r="P124" s="5">
        <v>8100</v>
      </c>
      <c r="Q124" s="5">
        <v>43765</v>
      </c>
      <c r="R124" s="3" t="s">
        <v>2058</v>
      </c>
      <c r="S124" s="142"/>
      <c r="T124" s="5"/>
      <c r="U124" s="5"/>
      <c r="V124" s="3"/>
      <c r="W124" s="3" t="s">
        <v>2050</v>
      </c>
    </row>
    <row r="125" spans="1:23" ht="16.5" customHeight="1">
      <c r="A125" s="34"/>
      <c r="C125" s="29" t="s">
        <v>238</v>
      </c>
      <c r="D125" s="143">
        <v>53272373</v>
      </c>
      <c r="E125" s="3">
        <v>144</v>
      </c>
      <c r="F125" s="221">
        <v>10000</v>
      </c>
      <c r="G125" s="138">
        <v>860</v>
      </c>
      <c r="H125" s="132">
        <v>40004</v>
      </c>
      <c r="I125" s="4">
        <v>1</v>
      </c>
      <c r="J125" s="3"/>
      <c r="K125" s="3" t="s">
        <v>2240</v>
      </c>
      <c r="L125" s="138">
        <v>5909.6</v>
      </c>
      <c r="M125" s="3" t="s">
        <v>2241</v>
      </c>
      <c r="N125" s="8" t="str">
        <f t="shared" si="6"/>
        <v>FY19</v>
      </c>
      <c r="O125" s="142" t="s">
        <v>2242</v>
      </c>
      <c r="P125" s="5">
        <v>8186</v>
      </c>
      <c r="Q125" s="5">
        <v>43442</v>
      </c>
      <c r="R125" s="3" t="s">
        <v>2058</v>
      </c>
      <c r="S125" s="142"/>
      <c r="T125" s="5"/>
      <c r="U125" s="5"/>
      <c r="V125" s="3"/>
      <c r="W125" s="3" t="s">
        <v>2050</v>
      </c>
    </row>
    <row r="126" spans="1:23" ht="16.5" customHeight="1">
      <c r="A126" s="34"/>
      <c r="C126" s="29" t="s">
        <v>2164</v>
      </c>
      <c r="D126" s="143">
        <v>8856452</v>
      </c>
      <c r="E126" s="3">
        <v>145</v>
      </c>
      <c r="F126" s="221">
        <v>10304.549999999999</v>
      </c>
      <c r="G126" s="138">
        <v>669.8</v>
      </c>
      <c r="H126" s="132">
        <v>40039</v>
      </c>
      <c r="I126" s="4">
        <v>2</v>
      </c>
      <c r="J126" s="3"/>
      <c r="K126" s="3" t="s">
        <v>2081</v>
      </c>
      <c r="L126" s="138">
        <v>4789.1400000000003</v>
      </c>
      <c r="M126" s="3" t="s">
        <v>2241</v>
      </c>
      <c r="N126" s="8" t="str">
        <f t="shared" si="6"/>
        <v>FY20</v>
      </c>
      <c r="O126" s="142" t="s">
        <v>2243</v>
      </c>
      <c r="P126" s="5">
        <v>9783</v>
      </c>
      <c r="Q126" s="5">
        <v>42021</v>
      </c>
      <c r="R126" s="3" t="s">
        <v>2049</v>
      </c>
      <c r="S126" s="142" t="s">
        <v>2111</v>
      </c>
      <c r="T126" s="5">
        <v>10169</v>
      </c>
      <c r="U126" s="5">
        <v>43852</v>
      </c>
      <c r="V126" s="3" t="s">
        <v>2058</v>
      </c>
      <c r="W126" s="3" t="s">
        <v>2244</v>
      </c>
    </row>
    <row r="127" spans="1:23" ht="16.5" customHeight="1">
      <c r="A127" s="34"/>
      <c r="C127" s="29"/>
      <c r="D127" s="143">
        <v>9493479</v>
      </c>
      <c r="E127" s="8">
        <v>146</v>
      </c>
      <c r="F127" s="221">
        <v>10000</v>
      </c>
      <c r="G127" s="13">
        <v>570</v>
      </c>
      <c r="H127" s="133">
        <v>40151</v>
      </c>
      <c r="I127" s="4">
        <v>1</v>
      </c>
      <c r="J127" s="3"/>
      <c r="K127" s="8" t="s">
        <v>2240</v>
      </c>
      <c r="L127" s="13">
        <v>3813.9</v>
      </c>
      <c r="M127" s="8" t="s">
        <v>2241</v>
      </c>
      <c r="N127" s="8" t="str">
        <f t="shared" si="6"/>
        <v/>
      </c>
      <c r="O127" s="143" t="s">
        <v>2245</v>
      </c>
      <c r="P127" s="9">
        <v>14447</v>
      </c>
      <c r="Q127" s="9"/>
      <c r="R127" s="8" t="s">
        <v>2058</v>
      </c>
      <c r="S127" s="143"/>
      <c r="T127" s="9"/>
      <c r="U127" s="9"/>
      <c r="V127" s="8"/>
      <c r="W127" s="8" t="s">
        <v>2050</v>
      </c>
    </row>
    <row r="128" spans="1:23" ht="16.5" customHeight="1">
      <c r="A128" s="34"/>
      <c r="C128" s="29" t="s">
        <v>238</v>
      </c>
      <c r="D128" s="143">
        <v>36679678</v>
      </c>
      <c r="E128" s="8">
        <v>147</v>
      </c>
      <c r="F128" s="221">
        <v>10000</v>
      </c>
      <c r="G128" s="13">
        <v>950</v>
      </c>
      <c r="H128" s="133">
        <v>40179</v>
      </c>
      <c r="I128" s="4">
        <v>1</v>
      </c>
      <c r="J128" s="3"/>
      <c r="K128" s="8" t="s">
        <v>2081</v>
      </c>
      <c r="L128" s="13">
        <v>6841</v>
      </c>
      <c r="M128" s="8" t="s">
        <v>2241</v>
      </c>
      <c r="N128" s="8" t="str">
        <f t="shared" si="6"/>
        <v>FY12</v>
      </c>
      <c r="O128" s="143" t="s">
        <v>2158</v>
      </c>
      <c r="P128" s="9">
        <v>6325</v>
      </c>
      <c r="Q128" s="9">
        <v>40858</v>
      </c>
      <c r="R128" s="8" t="s">
        <v>2049</v>
      </c>
      <c r="S128" s="143"/>
      <c r="T128" s="9"/>
      <c r="U128" s="9"/>
      <c r="V128" s="8"/>
      <c r="W128" s="8" t="s">
        <v>2124</v>
      </c>
    </row>
    <row r="129" spans="1:23" ht="16.5" customHeight="1">
      <c r="A129" s="34"/>
      <c r="C129" s="29" t="s">
        <v>238</v>
      </c>
      <c r="D129" s="143">
        <v>46663779</v>
      </c>
      <c r="E129" s="8">
        <v>148</v>
      </c>
      <c r="F129" s="221">
        <v>10000</v>
      </c>
      <c r="G129" s="13">
        <v>770</v>
      </c>
      <c r="H129" s="133">
        <v>40196</v>
      </c>
      <c r="I129" s="4">
        <v>1</v>
      </c>
      <c r="J129" s="3"/>
      <c r="K129" s="8" t="s">
        <v>2059</v>
      </c>
      <c r="L129" s="13">
        <v>5381.1</v>
      </c>
      <c r="M129" s="8" t="s">
        <v>2241</v>
      </c>
      <c r="N129" s="8" t="str">
        <f t="shared" si="6"/>
        <v>FY19</v>
      </c>
      <c r="O129" s="143" t="s">
        <v>2246</v>
      </c>
      <c r="P129" s="9">
        <v>9914</v>
      </c>
      <c r="Q129" s="9">
        <v>43605</v>
      </c>
      <c r="R129" s="8" t="s">
        <v>2058</v>
      </c>
      <c r="S129" s="143"/>
      <c r="T129" s="9"/>
      <c r="U129" s="9"/>
      <c r="V129" s="8"/>
      <c r="W129" s="8" t="s">
        <v>2050</v>
      </c>
    </row>
    <row r="130" spans="1:23" ht="16.5" customHeight="1">
      <c r="A130" s="34"/>
      <c r="C130" s="29" t="s">
        <v>238</v>
      </c>
      <c r="D130" s="143">
        <v>29548088</v>
      </c>
      <c r="E130" s="8">
        <v>149</v>
      </c>
      <c r="F130" s="221">
        <v>10000</v>
      </c>
      <c r="G130" s="13" t="s">
        <v>2247</v>
      </c>
      <c r="H130" s="133">
        <v>40239</v>
      </c>
      <c r="I130" s="4">
        <v>1</v>
      </c>
      <c r="J130" s="3" t="s">
        <v>2058</v>
      </c>
      <c r="K130" s="8" t="s">
        <v>2046</v>
      </c>
      <c r="L130" s="13">
        <v>4169.1000000000004</v>
      </c>
      <c r="M130" s="8" t="s">
        <v>2241</v>
      </c>
      <c r="N130" s="8" t="str">
        <f t="shared" si="6"/>
        <v>FY19</v>
      </c>
      <c r="O130" s="143" t="s">
        <v>2248</v>
      </c>
      <c r="P130" s="9">
        <v>14610</v>
      </c>
      <c r="Q130" s="9">
        <v>43622</v>
      </c>
      <c r="R130" s="8" t="s">
        <v>2058</v>
      </c>
      <c r="S130" s="143"/>
      <c r="T130" s="9"/>
      <c r="U130" s="9"/>
      <c r="V130" s="8"/>
      <c r="W130" s="8" t="s">
        <v>2050</v>
      </c>
    </row>
    <row r="131" spans="1:23" ht="16.5" customHeight="1">
      <c r="A131" s="34"/>
      <c r="C131" s="29" t="s">
        <v>238</v>
      </c>
      <c r="D131" s="143">
        <v>1924679</v>
      </c>
      <c r="E131" s="8">
        <v>150</v>
      </c>
      <c r="F131" s="131">
        <v>50000</v>
      </c>
      <c r="G131" s="13">
        <v>3650</v>
      </c>
      <c r="H131" s="133">
        <v>40306</v>
      </c>
      <c r="I131" s="4">
        <v>1</v>
      </c>
      <c r="J131" s="3"/>
      <c r="K131" s="8" t="s">
        <v>2059</v>
      </c>
      <c r="L131" s="13">
        <v>25922.5</v>
      </c>
      <c r="M131" s="8" t="s">
        <v>2241</v>
      </c>
      <c r="N131" s="8" t="str">
        <f t="shared" si="6"/>
        <v>FY20</v>
      </c>
      <c r="O131" s="143" t="s">
        <v>2249</v>
      </c>
      <c r="P131" s="9">
        <v>10690</v>
      </c>
      <c r="Q131" s="9">
        <v>43852</v>
      </c>
      <c r="R131" s="8" t="s">
        <v>2049</v>
      </c>
      <c r="S131" s="143" t="s">
        <v>88</v>
      </c>
      <c r="T131" s="9"/>
      <c r="U131" s="9"/>
      <c r="V131" s="8"/>
      <c r="W131" s="8" t="s">
        <v>2050</v>
      </c>
    </row>
    <row r="132" spans="1:23" ht="16.5" customHeight="1">
      <c r="A132" s="34"/>
      <c r="C132" s="29"/>
      <c r="D132" s="142">
        <v>37895182</v>
      </c>
      <c r="E132" s="8">
        <v>151</v>
      </c>
      <c r="F132" s="131">
        <v>15000</v>
      </c>
      <c r="G132" s="13">
        <v>990</v>
      </c>
      <c r="H132" s="133">
        <v>40317</v>
      </c>
      <c r="I132" s="4">
        <v>1</v>
      </c>
      <c r="J132" s="3"/>
      <c r="K132" s="8" t="s">
        <v>2046</v>
      </c>
      <c r="L132" s="13">
        <v>7075.8</v>
      </c>
      <c r="M132" s="8" t="s">
        <v>2241</v>
      </c>
      <c r="N132" s="8" t="str">
        <f t="shared" si="6"/>
        <v/>
      </c>
      <c r="O132" s="143" t="s">
        <v>2250</v>
      </c>
      <c r="P132" s="9">
        <v>12264</v>
      </c>
      <c r="Q132" s="9"/>
      <c r="R132" s="8" t="s">
        <v>2058</v>
      </c>
      <c r="S132" s="143"/>
      <c r="T132" s="9"/>
      <c r="U132" s="9"/>
      <c r="V132" s="8"/>
      <c r="W132" s="8" t="s">
        <v>2050</v>
      </c>
    </row>
    <row r="133" spans="1:23" ht="16.5" customHeight="1">
      <c r="A133" s="34"/>
      <c r="C133" s="29"/>
      <c r="D133" s="143">
        <v>79329173</v>
      </c>
      <c r="E133" s="8">
        <v>152</v>
      </c>
      <c r="F133" s="131">
        <v>100000</v>
      </c>
      <c r="G133" s="13">
        <v>7100</v>
      </c>
      <c r="H133" s="133">
        <v>40351</v>
      </c>
      <c r="I133" s="10">
        <v>1</v>
      </c>
      <c r="J133" s="8" t="s">
        <v>88</v>
      </c>
      <c r="K133" s="8" t="s">
        <v>2094</v>
      </c>
      <c r="L133" s="13">
        <v>31849</v>
      </c>
      <c r="M133" s="8" t="s">
        <v>2241</v>
      </c>
      <c r="N133" s="8" t="str">
        <f t="shared" si="6"/>
        <v/>
      </c>
      <c r="O133" s="143" t="s">
        <v>2251</v>
      </c>
      <c r="P133" s="9">
        <v>18739</v>
      </c>
      <c r="Q133" s="9"/>
      <c r="R133" s="8" t="s">
        <v>2058</v>
      </c>
      <c r="S133" s="143" t="s">
        <v>88</v>
      </c>
      <c r="T133" s="9"/>
      <c r="U133" s="9"/>
      <c r="V133" s="8"/>
      <c r="W133" s="8" t="s">
        <v>2050</v>
      </c>
    </row>
    <row r="134" spans="1:23" ht="16.5" customHeight="1">
      <c r="A134" s="34"/>
      <c r="C134" s="29" t="s">
        <v>238</v>
      </c>
      <c r="D134" s="143">
        <v>30581227</v>
      </c>
      <c r="E134" s="8">
        <v>153</v>
      </c>
      <c r="F134" s="131">
        <v>100000</v>
      </c>
      <c r="G134" s="13">
        <v>8100</v>
      </c>
      <c r="H134" s="133">
        <v>40351</v>
      </c>
      <c r="I134" s="10">
        <v>1</v>
      </c>
      <c r="J134" s="8"/>
      <c r="K134" s="8" t="s">
        <v>2174</v>
      </c>
      <c r="L134" s="13">
        <v>31352</v>
      </c>
      <c r="M134" s="8" t="s">
        <v>2241</v>
      </c>
      <c r="N134" s="8" t="s">
        <v>3</v>
      </c>
      <c r="O134" s="143" t="s">
        <v>2252</v>
      </c>
      <c r="P134" s="9">
        <v>19901</v>
      </c>
      <c r="Q134" s="9">
        <v>44423</v>
      </c>
      <c r="R134" s="8" t="s">
        <v>2049</v>
      </c>
      <c r="S134" s="143"/>
      <c r="T134" s="9"/>
      <c r="U134" s="9"/>
      <c r="V134" s="8"/>
      <c r="W134" s="8" t="s">
        <v>2050</v>
      </c>
    </row>
    <row r="135" spans="1:23" ht="16.5" customHeight="1">
      <c r="A135" s="34"/>
      <c r="C135" s="29" t="s">
        <v>238</v>
      </c>
      <c r="D135" s="143">
        <v>22890081</v>
      </c>
      <c r="E135" s="8">
        <v>154</v>
      </c>
      <c r="F135" s="131">
        <v>10000</v>
      </c>
      <c r="G135" s="13">
        <v>550</v>
      </c>
      <c r="H135" s="133">
        <v>40407</v>
      </c>
      <c r="I135" s="10">
        <v>1</v>
      </c>
      <c r="J135" s="8"/>
      <c r="K135" s="8" t="s">
        <v>2106</v>
      </c>
      <c r="L135" s="13">
        <v>3150.1</v>
      </c>
      <c r="M135" s="8" t="s">
        <v>2253</v>
      </c>
      <c r="N135" s="8" t="s">
        <v>1</v>
      </c>
      <c r="O135" s="143" t="s">
        <v>2254</v>
      </c>
      <c r="P135" s="9">
        <v>16262</v>
      </c>
      <c r="Q135" s="9">
        <v>45035</v>
      </c>
      <c r="R135" s="8" t="s">
        <v>2049</v>
      </c>
      <c r="S135" s="143"/>
      <c r="T135" s="9"/>
      <c r="U135" s="9"/>
      <c r="V135" s="8"/>
      <c r="W135" s="8" t="s">
        <v>2050</v>
      </c>
    </row>
    <row r="136" spans="1:23" ht="16.5" customHeight="1">
      <c r="A136" s="34"/>
      <c r="C136" s="29" t="s">
        <v>238</v>
      </c>
      <c r="D136" s="143">
        <v>1924679</v>
      </c>
      <c r="E136" s="8">
        <v>155</v>
      </c>
      <c r="F136" s="131">
        <v>40000</v>
      </c>
      <c r="G136" s="13">
        <v>2960</v>
      </c>
      <c r="H136" s="133">
        <v>40428</v>
      </c>
      <c r="I136" s="10">
        <v>1</v>
      </c>
      <c r="J136" s="8"/>
      <c r="K136" s="8" t="s">
        <v>2059</v>
      </c>
      <c r="L136" s="13">
        <v>19863.599999999999</v>
      </c>
      <c r="M136" s="8" t="s">
        <v>2253</v>
      </c>
      <c r="N136" s="8" t="str">
        <f t="shared" si="6"/>
        <v>FY20</v>
      </c>
      <c r="O136" s="143" t="s">
        <v>2249</v>
      </c>
      <c r="P136" s="9">
        <v>10690</v>
      </c>
      <c r="Q136" s="9">
        <v>43852</v>
      </c>
      <c r="R136" s="8" t="s">
        <v>2049</v>
      </c>
      <c r="S136" s="143"/>
      <c r="T136" s="9"/>
      <c r="U136" s="9"/>
      <c r="V136" s="8"/>
      <c r="W136" s="8" t="s">
        <v>2124</v>
      </c>
    </row>
    <row r="137" spans="1:23" ht="16.5" customHeight="1">
      <c r="A137" s="34"/>
      <c r="C137" s="29"/>
      <c r="D137" s="143">
        <v>63726378</v>
      </c>
      <c r="E137" s="8">
        <v>157</v>
      </c>
      <c r="F137" s="131">
        <v>10000</v>
      </c>
      <c r="G137" s="13">
        <v>560</v>
      </c>
      <c r="H137" s="133">
        <v>40443</v>
      </c>
      <c r="I137" s="10">
        <v>2</v>
      </c>
      <c r="J137" s="8"/>
      <c r="K137" s="8" t="s">
        <v>2255</v>
      </c>
      <c r="L137" s="13">
        <v>2490.1999999999998</v>
      </c>
      <c r="M137" s="8" t="s">
        <v>2253</v>
      </c>
      <c r="N137" s="8" t="str">
        <f t="shared" si="6"/>
        <v/>
      </c>
      <c r="O137" s="143" t="s">
        <v>2256</v>
      </c>
      <c r="P137" s="9">
        <v>17509</v>
      </c>
      <c r="Q137" s="9"/>
      <c r="R137" s="8" t="s">
        <v>2058</v>
      </c>
      <c r="S137" s="143" t="s">
        <v>2257</v>
      </c>
      <c r="T137" s="9">
        <v>13100</v>
      </c>
      <c r="U137" s="9"/>
      <c r="V137" s="8" t="s">
        <v>2049</v>
      </c>
      <c r="W137" s="8" t="s">
        <v>2050</v>
      </c>
    </row>
    <row r="138" spans="1:23" ht="16.5" customHeight="1">
      <c r="A138" s="34"/>
      <c r="C138" s="29" t="s">
        <v>238</v>
      </c>
      <c r="D138" s="143">
        <v>38534038</v>
      </c>
      <c r="E138" s="8">
        <v>156</v>
      </c>
      <c r="F138" s="131">
        <v>10052.959999999999</v>
      </c>
      <c r="G138" s="13">
        <v>794.2</v>
      </c>
      <c r="H138" s="133">
        <v>40455</v>
      </c>
      <c r="I138" s="10">
        <v>1</v>
      </c>
      <c r="J138" s="8" t="s">
        <v>88</v>
      </c>
      <c r="K138" s="8" t="s">
        <v>2112</v>
      </c>
      <c r="L138" s="13">
        <v>5416.64</v>
      </c>
      <c r="M138" s="8" t="s">
        <v>2253</v>
      </c>
      <c r="N138" s="8" t="str">
        <f t="shared" si="6"/>
        <v>FY22</v>
      </c>
      <c r="O138" s="143" t="s">
        <v>2258</v>
      </c>
      <c r="P138" s="9">
        <v>9893</v>
      </c>
      <c r="Q138" s="9">
        <v>44633</v>
      </c>
      <c r="R138" s="8" t="s">
        <v>2058</v>
      </c>
      <c r="S138" s="143"/>
      <c r="T138" s="9"/>
      <c r="U138" s="9"/>
      <c r="V138" s="8"/>
      <c r="W138" s="8" t="s">
        <v>2050</v>
      </c>
    </row>
    <row r="139" spans="1:23" ht="16.5" customHeight="1">
      <c r="A139" s="34"/>
      <c r="C139" s="29" t="s">
        <v>238</v>
      </c>
      <c r="D139" s="143">
        <v>13594643</v>
      </c>
      <c r="E139" s="8">
        <v>157</v>
      </c>
      <c r="F139" s="131">
        <v>25000</v>
      </c>
      <c r="G139" s="13">
        <v>2075</v>
      </c>
      <c r="H139" s="133">
        <v>40477</v>
      </c>
      <c r="I139" s="10">
        <v>1</v>
      </c>
      <c r="J139" s="8"/>
      <c r="K139" s="8" t="s">
        <v>2089</v>
      </c>
      <c r="L139" s="13">
        <v>14199.5</v>
      </c>
      <c r="M139" s="8" t="s">
        <v>2253</v>
      </c>
      <c r="N139" s="8" t="s">
        <v>3</v>
      </c>
      <c r="O139" s="143" t="s">
        <v>2259</v>
      </c>
      <c r="P139" s="9">
        <v>8990</v>
      </c>
      <c r="Q139" s="9">
        <v>44662</v>
      </c>
      <c r="R139" s="8" t="s">
        <v>2058</v>
      </c>
      <c r="S139" s="143"/>
      <c r="T139" s="9"/>
      <c r="U139" s="9"/>
      <c r="V139" s="8"/>
      <c r="W139" s="8" t="s">
        <v>2050</v>
      </c>
    </row>
    <row r="140" spans="1:23" ht="16.5" customHeight="1">
      <c r="A140" s="34"/>
      <c r="C140" s="29"/>
      <c r="D140" s="143">
        <v>9493479</v>
      </c>
      <c r="E140" s="8">
        <v>158</v>
      </c>
      <c r="F140" s="131">
        <v>10000</v>
      </c>
      <c r="G140" s="13">
        <v>590</v>
      </c>
      <c r="H140" s="133">
        <v>40490</v>
      </c>
      <c r="I140" s="10">
        <v>1</v>
      </c>
      <c r="J140" s="8"/>
      <c r="K140" s="8" t="s">
        <v>2240</v>
      </c>
      <c r="L140" s="13">
        <v>3440.6</v>
      </c>
      <c r="M140" s="8" t="s">
        <v>2253</v>
      </c>
      <c r="N140" s="8" t="str">
        <f t="shared" si="6"/>
        <v/>
      </c>
      <c r="O140" s="143" t="s">
        <v>2245</v>
      </c>
      <c r="P140" s="9">
        <v>14447</v>
      </c>
      <c r="Q140" s="9"/>
      <c r="R140" s="8" t="s">
        <v>2058</v>
      </c>
      <c r="S140" s="143"/>
      <c r="T140" s="9"/>
      <c r="U140" s="9"/>
      <c r="V140" s="8"/>
      <c r="W140" s="8" t="s">
        <v>2124</v>
      </c>
    </row>
    <row r="141" spans="1:23" ht="16.5" customHeight="1">
      <c r="A141" s="34"/>
      <c r="C141" s="29"/>
      <c r="D141" s="143">
        <v>30269799</v>
      </c>
      <c r="E141" s="8">
        <v>159</v>
      </c>
      <c r="F141" s="131">
        <v>250000</v>
      </c>
      <c r="G141" s="13">
        <v>13250</v>
      </c>
      <c r="H141" s="133">
        <v>40491</v>
      </c>
      <c r="I141" s="10">
        <v>2</v>
      </c>
      <c r="J141" s="8"/>
      <c r="K141" s="8" t="s">
        <v>2046</v>
      </c>
      <c r="L141" s="13">
        <v>47092.5</v>
      </c>
      <c r="M141" s="8" t="s">
        <v>2253</v>
      </c>
      <c r="N141" s="8" t="str">
        <f t="shared" si="6"/>
        <v/>
      </c>
      <c r="O141" s="144" t="s">
        <v>2260</v>
      </c>
      <c r="P141" s="9">
        <v>14715</v>
      </c>
      <c r="Q141" s="9"/>
      <c r="R141" s="8" t="s">
        <v>2049</v>
      </c>
      <c r="S141" s="143" t="s">
        <v>2261</v>
      </c>
      <c r="T141" s="9">
        <v>16157</v>
      </c>
      <c r="U141" s="9"/>
      <c r="V141" s="8" t="s">
        <v>2058</v>
      </c>
      <c r="W141" s="8" t="s">
        <v>2050</v>
      </c>
    </row>
    <row r="142" spans="1:23" ht="16.5" customHeight="1">
      <c r="A142" s="34"/>
      <c r="C142" s="29" t="s">
        <v>238</v>
      </c>
      <c r="D142" s="143">
        <v>29495728</v>
      </c>
      <c r="E142" s="8">
        <v>160</v>
      </c>
      <c r="F142" s="131">
        <v>10000</v>
      </c>
      <c r="G142" s="13">
        <v>570</v>
      </c>
      <c r="H142" s="133">
        <v>40499</v>
      </c>
      <c r="I142" s="10">
        <v>2</v>
      </c>
      <c r="J142" s="8"/>
      <c r="K142" s="8" t="s">
        <v>2174</v>
      </c>
      <c r="L142" s="13">
        <v>2908.2</v>
      </c>
      <c r="M142" s="8" t="s">
        <v>2253</v>
      </c>
      <c r="N142" s="8" t="str">
        <f t="shared" si="6"/>
        <v>FY21</v>
      </c>
      <c r="O142" s="144" t="s">
        <v>2262</v>
      </c>
      <c r="P142" s="9">
        <v>11903</v>
      </c>
      <c r="Q142" s="9">
        <v>44216</v>
      </c>
      <c r="R142" s="8" t="s">
        <v>2049</v>
      </c>
      <c r="S142" s="143" t="s">
        <v>2263</v>
      </c>
      <c r="T142" s="9">
        <v>14296</v>
      </c>
      <c r="U142" s="9">
        <v>41171</v>
      </c>
      <c r="V142" s="8" t="s">
        <v>2058</v>
      </c>
      <c r="W142" s="8" t="s">
        <v>2050</v>
      </c>
    </row>
    <row r="143" spans="1:23" ht="16.5" customHeight="1">
      <c r="A143" s="34"/>
      <c r="C143" s="29"/>
      <c r="D143" s="143">
        <v>11406550</v>
      </c>
      <c r="E143" s="8">
        <v>161</v>
      </c>
      <c r="F143" s="131">
        <v>20000</v>
      </c>
      <c r="G143" s="13">
        <v>1300</v>
      </c>
      <c r="H143" s="133">
        <v>40505</v>
      </c>
      <c r="I143" s="10">
        <v>1</v>
      </c>
      <c r="J143" s="8" t="s">
        <v>88</v>
      </c>
      <c r="K143" s="8" t="s">
        <v>2046</v>
      </c>
      <c r="L143" s="13">
        <v>8396.4</v>
      </c>
      <c r="M143" s="8" t="s">
        <v>2253</v>
      </c>
      <c r="N143" s="8" t="str">
        <f t="shared" si="6"/>
        <v/>
      </c>
      <c r="O143" s="144" t="s">
        <v>2264</v>
      </c>
      <c r="P143" s="9">
        <v>12837</v>
      </c>
      <c r="Q143" s="9"/>
      <c r="R143" s="8" t="s">
        <v>2058</v>
      </c>
      <c r="S143" s="143"/>
      <c r="T143" s="9"/>
      <c r="U143" s="9"/>
      <c r="V143" s="8"/>
      <c r="W143" s="8" t="s">
        <v>2050</v>
      </c>
    </row>
    <row r="144" spans="1:23" ht="16.5" customHeight="1">
      <c r="A144" s="34"/>
      <c r="C144" s="29"/>
      <c r="D144" s="143">
        <v>18253740</v>
      </c>
      <c r="E144" s="8">
        <v>162</v>
      </c>
      <c r="F144" s="131">
        <v>10089.5</v>
      </c>
      <c r="G144" s="13">
        <v>655.8</v>
      </c>
      <c r="H144" s="133">
        <v>40525</v>
      </c>
      <c r="I144" s="10">
        <v>1</v>
      </c>
      <c r="J144" s="8"/>
      <c r="K144" s="8" t="s">
        <v>2185</v>
      </c>
      <c r="L144" s="13">
        <v>4078.88</v>
      </c>
      <c r="M144" s="8" t="s">
        <v>2253</v>
      </c>
      <c r="N144" s="8" t="str">
        <f t="shared" si="6"/>
        <v/>
      </c>
      <c r="O144" s="144" t="s">
        <v>2265</v>
      </c>
      <c r="P144" s="9">
        <v>12770</v>
      </c>
      <c r="Q144" s="9"/>
      <c r="R144" s="8" t="s">
        <v>2049</v>
      </c>
      <c r="S144" s="143"/>
      <c r="T144" s="9"/>
      <c r="U144" s="9"/>
      <c r="V144" s="8"/>
      <c r="W144" s="8" t="s">
        <v>2050</v>
      </c>
    </row>
    <row r="145" spans="1:23" ht="16.5" customHeight="1">
      <c r="A145" s="34"/>
      <c r="C145" s="29"/>
      <c r="D145" s="143">
        <v>188839</v>
      </c>
      <c r="E145" s="8">
        <v>163</v>
      </c>
      <c r="F145" s="131">
        <v>10000</v>
      </c>
      <c r="G145" s="13">
        <v>770</v>
      </c>
      <c r="H145" s="133">
        <v>40527</v>
      </c>
      <c r="I145" s="10">
        <v>1</v>
      </c>
      <c r="J145" s="8"/>
      <c r="K145" s="8" t="s">
        <v>2266</v>
      </c>
      <c r="L145" s="13">
        <v>5106.8999999999996</v>
      </c>
      <c r="M145" s="8" t="s">
        <v>2253</v>
      </c>
      <c r="N145" s="8" t="str">
        <f t="shared" si="6"/>
        <v/>
      </c>
      <c r="O145" s="144" t="s">
        <v>2267</v>
      </c>
      <c r="P145" s="9">
        <v>10301</v>
      </c>
      <c r="Q145" s="9"/>
      <c r="R145" s="8" t="s">
        <v>2049</v>
      </c>
      <c r="S145" s="143"/>
      <c r="T145" s="9"/>
      <c r="U145" s="9"/>
      <c r="V145" s="8"/>
      <c r="W145" s="8" t="s">
        <v>2050</v>
      </c>
    </row>
    <row r="146" spans="1:23" ht="16.5" customHeight="1">
      <c r="A146" s="34"/>
      <c r="C146" s="29"/>
      <c r="D146" s="143">
        <v>4155206</v>
      </c>
      <c r="E146" s="8">
        <v>164</v>
      </c>
      <c r="F146" s="131">
        <v>10000</v>
      </c>
      <c r="G146" s="13">
        <v>540</v>
      </c>
      <c r="H146" s="133">
        <v>40528</v>
      </c>
      <c r="I146" s="10">
        <v>2</v>
      </c>
      <c r="J146" s="8"/>
      <c r="K146" s="8" t="s">
        <v>2055</v>
      </c>
      <c r="L146" s="13">
        <v>2036.4</v>
      </c>
      <c r="M146" s="8" t="s">
        <v>2253</v>
      </c>
      <c r="N146" s="8" t="str">
        <f t="shared" si="6"/>
        <v/>
      </c>
      <c r="O146" s="144" t="s">
        <v>2268</v>
      </c>
      <c r="P146" s="9">
        <v>14762</v>
      </c>
      <c r="Q146" s="9"/>
      <c r="R146" s="8" t="s">
        <v>2049</v>
      </c>
      <c r="S146" s="143" t="s">
        <v>2269</v>
      </c>
      <c r="T146" s="9">
        <v>14766</v>
      </c>
      <c r="U146" s="9"/>
      <c r="V146" s="8" t="s">
        <v>2058</v>
      </c>
      <c r="W146" s="8" t="s">
        <v>2050</v>
      </c>
    </row>
    <row r="147" spans="1:23" ht="16.5" customHeight="1">
      <c r="A147" s="34" t="s">
        <v>88</v>
      </c>
      <c r="C147" s="29"/>
      <c r="D147" s="143">
        <v>257105</v>
      </c>
      <c r="E147" s="8">
        <v>165</v>
      </c>
      <c r="F147" s="131">
        <v>25000</v>
      </c>
      <c r="G147" s="13">
        <v>1750</v>
      </c>
      <c r="H147" s="133">
        <v>40528</v>
      </c>
      <c r="I147" s="10">
        <v>1</v>
      </c>
      <c r="J147" s="8"/>
      <c r="K147" s="8" t="s">
        <v>2059</v>
      </c>
      <c r="L147" s="13">
        <v>11192</v>
      </c>
      <c r="M147" s="8" t="s">
        <v>2253</v>
      </c>
      <c r="N147" s="8" t="str">
        <f t="shared" si="6"/>
        <v/>
      </c>
      <c r="O147" s="142" t="s">
        <v>2197</v>
      </c>
      <c r="P147" s="5">
        <v>11635</v>
      </c>
      <c r="Q147" s="5"/>
      <c r="R147" s="3" t="s">
        <v>2058</v>
      </c>
      <c r="S147" s="143"/>
      <c r="T147" s="9"/>
      <c r="U147" s="9"/>
      <c r="V147" s="8"/>
      <c r="W147" s="8" t="s">
        <v>2196</v>
      </c>
    </row>
    <row r="148" spans="1:23" ht="16.5" customHeight="1">
      <c r="A148" s="34"/>
      <c r="C148" s="29" t="s">
        <v>238</v>
      </c>
      <c r="D148" s="143">
        <v>40327496</v>
      </c>
      <c r="E148" s="8">
        <v>166</v>
      </c>
      <c r="F148" s="131">
        <v>20000</v>
      </c>
      <c r="G148" s="13">
        <v>1240</v>
      </c>
      <c r="H148" s="133">
        <v>40529</v>
      </c>
      <c r="I148" s="10">
        <v>1</v>
      </c>
      <c r="J148" s="8"/>
      <c r="K148" s="8" t="s">
        <v>2081</v>
      </c>
      <c r="L148" s="13">
        <v>5133.6000000000004</v>
      </c>
      <c r="M148" s="8" t="s">
        <v>2253</v>
      </c>
      <c r="N148" s="8" t="s">
        <v>2270</v>
      </c>
      <c r="O148" s="142" t="s">
        <v>2229</v>
      </c>
      <c r="P148" s="5">
        <v>16253</v>
      </c>
      <c r="Q148" s="5">
        <v>43228</v>
      </c>
      <c r="R148" s="3" t="s">
        <v>2058</v>
      </c>
      <c r="S148" s="143"/>
      <c r="T148" s="9"/>
      <c r="U148" s="9"/>
      <c r="V148" s="8"/>
      <c r="W148" s="8" t="s">
        <v>2124</v>
      </c>
    </row>
    <row r="149" spans="1:23" ht="16.5" customHeight="1">
      <c r="A149" s="34"/>
      <c r="C149" s="29"/>
      <c r="D149" s="143">
        <v>989152</v>
      </c>
      <c r="E149" s="8">
        <v>168</v>
      </c>
      <c r="F149" s="131">
        <v>10000</v>
      </c>
      <c r="G149" s="13">
        <v>770</v>
      </c>
      <c r="H149" s="133">
        <v>40530</v>
      </c>
      <c r="I149" s="10">
        <v>1</v>
      </c>
      <c r="J149" s="8"/>
      <c r="K149" s="8" t="s">
        <v>65</v>
      </c>
      <c r="L149" s="13">
        <v>5106.8999999999996</v>
      </c>
      <c r="M149" s="8" t="s">
        <v>2253</v>
      </c>
      <c r="N149" s="8" t="str">
        <f t="shared" ref="N149:N155" si="7">IF(OR(ISBLANK(Q:Q)=FALSE,ISBLANK(U:U)=FALSE),IF(Q:Q&gt;U:U,IF(MONTH(Q:Q)&gt;6,"FY"&amp;RIGHT(YEAR(Q:Q)+1,2),"FY"&amp;RIGHT(YEAR(Q:Q),2)),IF(MONTH(U:U)&gt;6,"FY"&amp;RIGHT(YEAR(U:U)+1,2),"FY"&amp;RIGHT(YEAR(U:U),2))),"")</f>
        <v/>
      </c>
      <c r="O149" s="144" t="s">
        <v>2216</v>
      </c>
      <c r="P149" s="9">
        <v>10282</v>
      </c>
      <c r="Q149" s="9"/>
      <c r="R149" s="8" t="s">
        <v>2049</v>
      </c>
      <c r="S149" s="143"/>
      <c r="T149" s="9"/>
      <c r="U149" s="9"/>
      <c r="V149" s="8"/>
      <c r="W149" s="8" t="s">
        <v>2124</v>
      </c>
    </row>
    <row r="150" spans="1:23" ht="16.5" customHeight="1">
      <c r="A150" s="34"/>
      <c r="C150" s="29" t="s">
        <v>238</v>
      </c>
      <c r="D150" s="143">
        <v>6259923</v>
      </c>
      <c r="E150" s="8">
        <v>167</v>
      </c>
      <c r="F150" s="131">
        <v>100099.34</v>
      </c>
      <c r="G150" s="13">
        <v>7407.36</v>
      </c>
      <c r="H150" s="133">
        <v>40535</v>
      </c>
      <c r="I150" s="10">
        <v>2</v>
      </c>
      <c r="J150" s="8"/>
      <c r="K150" s="8" t="s">
        <v>2255</v>
      </c>
      <c r="L150" s="13">
        <v>46521.17</v>
      </c>
      <c r="M150" s="8" t="s">
        <v>2253</v>
      </c>
      <c r="N150" s="8" t="str">
        <f t="shared" si="7"/>
        <v>FY17</v>
      </c>
      <c r="O150" s="144" t="s">
        <v>2271</v>
      </c>
      <c r="P150" s="9">
        <v>8428</v>
      </c>
      <c r="Q150" s="9">
        <v>41754</v>
      </c>
      <c r="R150" s="8" t="s">
        <v>2049</v>
      </c>
      <c r="S150" s="143" t="s">
        <v>2272</v>
      </c>
      <c r="T150" s="9">
        <v>9463</v>
      </c>
      <c r="U150" s="9">
        <v>42567</v>
      </c>
      <c r="V150" s="8" t="s">
        <v>2058</v>
      </c>
      <c r="W150" s="8" t="s">
        <v>2050</v>
      </c>
    </row>
    <row r="151" spans="1:23" ht="16.5" customHeight="1">
      <c r="A151" s="34"/>
      <c r="C151" s="29"/>
      <c r="D151" s="143">
        <v>7904576</v>
      </c>
      <c r="E151" s="8">
        <v>169</v>
      </c>
      <c r="F151" s="131">
        <v>10000</v>
      </c>
      <c r="G151" s="13">
        <v>550</v>
      </c>
      <c r="H151" s="133">
        <v>40565</v>
      </c>
      <c r="I151" s="10">
        <v>1</v>
      </c>
      <c r="J151" s="8" t="s">
        <v>88</v>
      </c>
      <c r="K151" s="8" t="s">
        <v>2069</v>
      </c>
      <c r="L151" s="139">
        <v>2632.2</v>
      </c>
      <c r="M151" s="8" t="s">
        <v>2253</v>
      </c>
      <c r="N151" s="8" t="str">
        <f t="shared" si="7"/>
        <v/>
      </c>
      <c r="O151" s="143" t="s">
        <v>2273</v>
      </c>
      <c r="P151" s="9">
        <v>16326</v>
      </c>
      <c r="Q151" s="9"/>
      <c r="R151" s="8" t="s">
        <v>2049</v>
      </c>
      <c r="S151" s="143"/>
      <c r="T151" s="9"/>
      <c r="U151" s="9"/>
      <c r="V151" s="8"/>
      <c r="W151" s="8" t="s">
        <v>2050</v>
      </c>
    </row>
    <row r="152" spans="1:23" ht="16.5" customHeight="1">
      <c r="A152" s="34"/>
      <c r="C152" s="29"/>
      <c r="D152" s="143">
        <v>654137</v>
      </c>
      <c r="E152" s="8">
        <v>170</v>
      </c>
      <c r="F152" s="131">
        <v>10000</v>
      </c>
      <c r="G152" s="13">
        <v>640</v>
      </c>
      <c r="H152" s="133">
        <v>40612</v>
      </c>
      <c r="I152" s="10">
        <v>1</v>
      </c>
      <c r="J152" s="8"/>
      <c r="K152" s="8" t="s">
        <v>2274</v>
      </c>
      <c r="L152" s="139">
        <v>4252.1000000000004</v>
      </c>
      <c r="M152" s="8" t="s">
        <v>2253</v>
      </c>
      <c r="N152" s="8"/>
      <c r="O152" s="143" t="s">
        <v>2275</v>
      </c>
      <c r="P152" s="9">
        <v>13287</v>
      </c>
      <c r="Q152" s="9"/>
      <c r="R152" s="8" t="s">
        <v>2058</v>
      </c>
      <c r="S152" s="143" t="s">
        <v>88</v>
      </c>
      <c r="T152" s="9"/>
      <c r="U152" s="9" t="s">
        <v>88</v>
      </c>
      <c r="V152" s="8"/>
      <c r="W152" s="8" t="s">
        <v>2050</v>
      </c>
    </row>
    <row r="153" spans="1:23" ht="16.5" customHeight="1">
      <c r="A153" s="34"/>
      <c r="C153" s="29"/>
      <c r="D153" s="143">
        <v>35288372</v>
      </c>
      <c r="E153" s="8">
        <v>171</v>
      </c>
      <c r="F153" s="131">
        <v>10000</v>
      </c>
      <c r="G153" s="13">
        <v>750</v>
      </c>
      <c r="H153" s="133">
        <v>40618</v>
      </c>
      <c r="I153" s="10">
        <v>1</v>
      </c>
      <c r="J153" s="8"/>
      <c r="K153" s="8" t="s">
        <v>2162</v>
      </c>
      <c r="L153" s="139">
        <v>5208.2</v>
      </c>
      <c r="M153" s="8" t="s">
        <v>2253</v>
      </c>
      <c r="N153" s="8" t="str">
        <f t="shared" si="7"/>
        <v/>
      </c>
      <c r="O153" s="143" t="s">
        <v>2276</v>
      </c>
      <c r="P153" s="9">
        <v>10677</v>
      </c>
      <c r="Q153" s="9"/>
      <c r="R153" s="8" t="s">
        <v>2049</v>
      </c>
      <c r="S153" s="143"/>
      <c r="T153" s="9"/>
      <c r="U153" s="9"/>
      <c r="V153" s="8"/>
      <c r="W153" s="8" t="s">
        <v>2050</v>
      </c>
    </row>
    <row r="154" spans="1:23" ht="16.5" customHeight="1">
      <c r="A154" s="34"/>
      <c r="C154" s="29"/>
      <c r="D154" s="143">
        <v>24642746</v>
      </c>
      <c r="E154" s="8">
        <v>172</v>
      </c>
      <c r="F154" s="131">
        <v>21768</v>
      </c>
      <c r="G154" s="13" t="s">
        <v>2247</v>
      </c>
      <c r="H154" s="133">
        <v>40641</v>
      </c>
      <c r="I154" s="10">
        <v>1</v>
      </c>
      <c r="J154" s="8" t="s">
        <v>2058</v>
      </c>
      <c r="K154" s="8" t="s">
        <v>2174</v>
      </c>
      <c r="L154" s="13">
        <v>9492.15</v>
      </c>
      <c r="M154" s="8" t="s">
        <v>2253</v>
      </c>
      <c r="N154" s="8" t="str">
        <f t="shared" si="7"/>
        <v/>
      </c>
      <c r="O154" s="143" t="s">
        <v>2277</v>
      </c>
      <c r="P154" s="9">
        <v>13752</v>
      </c>
      <c r="Q154" s="9"/>
      <c r="R154" s="8" t="s">
        <v>2058</v>
      </c>
      <c r="S154" s="143"/>
      <c r="T154" s="9"/>
      <c r="U154" s="9"/>
      <c r="V154" s="8"/>
      <c r="W154" s="8" t="s">
        <v>2050</v>
      </c>
    </row>
    <row r="155" spans="1:23" ht="16.5" customHeight="1">
      <c r="A155" s="34"/>
      <c r="C155" s="29" t="s">
        <v>238</v>
      </c>
      <c r="D155" s="143">
        <v>10103414</v>
      </c>
      <c r="E155" s="8">
        <v>173</v>
      </c>
      <c r="F155" s="131">
        <v>15000</v>
      </c>
      <c r="G155" s="13">
        <v>1110</v>
      </c>
      <c r="H155" s="133">
        <v>40681</v>
      </c>
      <c r="I155" s="10">
        <v>1</v>
      </c>
      <c r="J155" s="8" t="s">
        <v>88</v>
      </c>
      <c r="K155" s="8" t="s">
        <v>2129</v>
      </c>
      <c r="L155" s="13">
        <v>7526.4</v>
      </c>
      <c r="M155" s="8" t="s">
        <v>2253</v>
      </c>
      <c r="N155" s="8" t="str">
        <f t="shared" si="7"/>
        <v>FY21</v>
      </c>
      <c r="O155" s="143" t="s">
        <v>2278</v>
      </c>
      <c r="P155" s="9">
        <v>10916</v>
      </c>
      <c r="Q155" s="9">
        <v>44028</v>
      </c>
      <c r="R155" s="8" t="s">
        <v>2058</v>
      </c>
      <c r="S155" s="143"/>
      <c r="T155" s="9"/>
      <c r="U155" s="9"/>
      <c r="V155" s="8"/>
      <c r="W155" s="8" t="s">
        <v>2050</v>
      </c>
    </row>
    <row r="156" spans="1:23" ht="16.5" customHeight="1">
      <c r="A156" s="34"/>
      <c r="C156" s="29" t="s">
        <v>238</v>
      </c>
      <c r="D156" s="143">
        <v>20366795</v>
      </c>
      <c r="E156" s="8">
        <v>174</v>
      </c>
      <c r="F156" s="131">
        <v>92818.1</v>
      </c>
      <c r="G156" s="13">
        <v>7982.36</v>
      </c>
      <c r="H156" s="133">
        <v>40690</v>
      </c>
      <c r="I156" s="10">
        <v>1</v>
      </c>
      <c r="J156" s="8"/>
      <c r="K156" s="8" t="s">
        <v>2046</v>
      </c>
      <c r="L156" s="13">
        <v>54257.75</v>
      </c>
      <c r="M156" s="8" t="s">
        <v>2253</v>
      </c>
      <c r="N156" s="8" t="s">
        <v>9</v>
      </c>
      <c r="O156" s="143" t="s">
        <v>2279</v>
      </c>
      <c r="P156" s="9">
        <v>9091</v>
      </c>
      <c r="Q156" s="9">
        <v>42726</v>
      </c>
      <c r="R156" s="8" t="s">
        <v>2049</v>
      </c>
      <c r="S156" s="143"/>
      <c r="T156" s="9"/>
      <c r="U156" s="9"/>
      <c r="V156" s="8"/>
      <c r="W156" s="8" t="s">
        <v>2050</v>
      </c>
    </row>
    <row r="157" spans="1:23" ht="16.5" customHeight="1">
      <c r="A157" s="34"/>
      <c r="C157" s="29"/>
      <c r="D157" s="143">
        <v>31736655</v>
      </c>
      <c r="E157" s="8">
        <v>175</v>
      </c>
      <c r="F157" s="131">
        <v>10158.4</v>
      </c>
      <c r="G157" s="13">
        <v>568.88</v>
      </c>
      <c r="H157" s="133">
        <v>40711</v>
      </c>
      <c r="I157" s="10">
        <v>2</v>
      </c>
      <c r="J157" s="8"/>
      <c r="K157" s="8" t="s">
        <v>2089</v>
      </c>
      <c r="L157" s="13">
        <v>2142</v>
      </c>
      <c r="M157" s="8" t="s">
        <v>2253</v>
      </c>
      <c r="N157" s="8" t="str">
        <f t="shared" ref="N157:N167" si="8">IF(OR(ISBLANK(Q:Q)=FALSE,ISBLANK(U:U)=FALSE),IF(Q:Q&gt;U:U,IF(MONTH(Q:Q)&gt;6,"FY"&amp;RIGHT(YEAR(Q:Q)+1,2),"FY"&amp;RIGHT(YEAR(Q:Q),2)),IF(MONTH(U:U)&gt;6,"FY"&amp;RIGHT(YEAR(U:U)+1,2),"FY"&amp;RIGHT(YEAR(U:U),2))),"")</f>
        <v/>
      </c>
      <c r="O157" s="143" t="s">
        <v>2280</v>
      </c>
      <c r="P157" s="9">
        <v>15763</v>
      </c>
      <c r="Q157" s="9"/>
      <c r="R157" s="8" t="s">
        <v>2049</v>
      </c>
      <c r="S157" s="143" t="s">
        <v>2281</v>
      </c>
      <c r="T157" s="9">
        <v>17620</v>
      </c>
      <c r="U157" s="9"/>
      <c r="V157" s="8" t="s">
        <v>2058</v>
      </c>
      <c r="W157" s="8" t="s">
        <v>2050</v>
      </c>
    </row>
    <row r="158" spans="1:23" ht="16.5" customHeight="1">
      <c r="A158" s="34"/>
      <c r="C158" s="29"/>
      <c r="D158" s="143">
        <v>989152</v>
      </c>
      <c r="E158" s="8">
        <v>176</v>
      </c>
      <c r="F158" s="131">
        <v>10000</v>
      </c>
      <c r="G158" s="13">
        <v>820</v>
      </c>
      <c r="H158" s="133">
        <v>40817</v>
      </c>
      <c r="I158" s="10">
        <v>1</v>
      </c>
      <c r="J158" s="8"/>
      <c r="K158" s="8" t="s">
        <v>65</v>
      </c>
      <c r="L158" s="13">
        <v>5123.8999999999996</v>
      </c>
      <c r="M158" s="8" t="s">
        <v>2282</v>
      </c>
      <c r="N158" s="8" t="str">
        <f t="shared" si="8"/>
        <v/>
      </c>
      <c r="O158" s="144" t="s">
        <v>2216</v>
      </c>
      <c r="P158" s="9">
        <v>10282</v>
      </c>
      <c r="Q158" s="9"/>
      <c r="R158" s="8" t="s">
        <v>2049</v>
      </c>
      <c r="S158" s="143"/>
      <c r="T158" s="9"/>
      <c r="U158" s="9"/>
      <c r="V158" s="8"/>
      <c r="W158" s="8" t="s">
        <v>2196</v>
      </c>
    </row>
    <row r="159" spans="1:23" ht="16.5" customHeight="1">
      <c r="A159" s="34" t="s">
        <v>88</v>
      </c>
      <c r="C159" s="29"/>
      <c r="D159" s="143">
        <v>6136501</v>
      </c>
      <c r="E159" s="8">
        <v>177</v>
      </c>
      <c r="F159" s="131">
        <v>15000</v>
      </c>
      <c r="G159" s="13">
        <v>840</v>
      </c>
      <c r="H159" s="133">
        <v>40862</v>
      </c>
      <c r="I159" s="10">
        <v>2</v>
      </c>
      <c r="J159" s="8"/>
      <c r="K159" s="8" t="s">
        <v>2174</v>
      </c>
      <c r="L159" s="13">
        <v>4384.8</v>
      </c>
      <c r="M159" s="8" t="s">
        <v>2282</v>
      </c>
      <c r="N159" s="8" t="str">
        <f t="shared" si="8"/>
        <v/>
      </c>
      <c r="O159" s="143" t="s">
        <v>2198</v>
      </c>
      <c r="P159" s="9">
        <v>12997</v>
      </c>
      <c r="Q159" s="9"/>
      <c r="R159" s="8" t="s">
        <v>2049</v>
      </c>
      <c r="S159" s="143" t="s">
        <v>2199</v>
      </c>
      <c r="T159" s="9">
        <v>13787</v>
      </c>
      <c r="U159" s="9"/>
      <c r="V159" s="8" t="s">
        <v>2058</v>
      </c>
      <c r="W159" s="8" t="s">
        <v>2196</v>
      </c>
    </row>
    <row r="160" spans="1:23" ht="16.5" customHeight="1">
      <c r="A160" s="34"/>
      <c r="C160" s="29"/>
      <c r="D160" s="142">
        <v>17289000</v>
      </c>
      <c r="E160" s="8">
        <v>178</v>
      </c>
      <c r="F160" s="137">
        <v>10000</v>
      </c>
      <c r="G160" s="13">
        <v>500</v>
      </c>
      <c r="H160" s="133">
        <v>40875</v>
      </c>
      <c r="I160" s="10">
        <v>2</v>
      </c>
      <c r="J160" s="8"/>
      <c r="K160" s="8" t="s">
        <v>2046</v>
      </c>
      <c r="L160" s="138">
        <v>1975.1</v>
      </c>
      <c r="M160" s="8" t="s">
        <v>2282</v>
      </c>
      <c r="N160" s="8" t="str">
        <f t="shared" si="8"/>
        <v/>
      </c>
      <c r="O160" s="142" t="s">
        <v>2283</v>
      </c>
      <c r="P160" s="9">
        <v>13990</v>
      </c>
      <c r="Q160" s="9"/>
      <c r="R160" s="8" t="s">
        <v>2049</v>
      </c>
      <c r="S160" s="143" t="s">
        <v>2284</v>
      </c>
      <c r="T160" s="9">
        <v>17014</v>
      </c>
      <c r="U160" s="9"/>
      <c r="V160" s="8" t="s">
        <v>2058</v>
      </c>
      <c r="W160" s="8" t="s">
        <v>2050</v>
      </c>
    </row>
    <row r="161" spans="1:23" ht="16.5" customHeight="1">
      <c r="A161" s="34"/>
      <c r="C161" s="29" t="s">
        <v>238</v>
      </c>
      <c r="D161" s="142">
        <v>23797624</v>
      </c>
      <c r="E161" s="8">
        <v>179</v>
      </c>
      <c r="F161" s="137">
        <v>50000</v>
      </c>
      <c r="G161" s="13">
        <v>3750</v>
      </c>
      <c r="H161" s="133">
        <v>40877</v>
      </c>
      <c r="I161" s="10">
        <v>1</v>
      </c>
      <c r="J161" s="8"/>
      <c r="K161" s="8" t="s">
        <v>2089</v>
      </c>
      <c r="L161" s="138">
        <v>21919.5</v>
      </c>
      <c r="M161" s="8" t="s">
        <v>2282</v>
      </c>
      <c r="N161" s="8" t="str">
        <f t="shared" si="8"/>
        <v>FY22</v>
      </c>
      <c r="O161" s="142" t="s">
        <v>2285</v>
      </c>
      <c r="P161" s="9">
        <v>11657</v>
      </c>
      <c r="Q161" s="9">
        <v>44629</v>
      </c>
      <c r="R161" s="8" t="s">
        <v>2049</v>
      </c>
      <c r="S161" s="143"/>
      <c r="T161" s="9"/>
      <c r="U161" s="9"/>
      <c r="V161" s="8"/>
      <c r="W161" s="8" t="s">
        <v>2050</v>
      </c>
    </row>
    <row r="162" spans="1:23" ht="16.5" customHeight="1">
      <c r="A162" s="34"/>
      <c r="C162" s="29"/>
      <c r="D162" s="142">
        <v>4155206</v>
      </c>
      <c r="E162" s="8">
        <v>180</v>
      </c>
      <c r="F162" s="137">
        <v>20000</v>
      </c>
      <c r="G162" s="13">
        <v>540</v>
      </c>
      <c r="H162" s="133">
        <v>40879</v>
      </c>
      <c r="I162" s="10">
        <v>2</v>
      </c>
      <c r="J162" s="8" t="s">
        <v>88</v>
      </c>
      <c r="K162" s="8" t="s">
        <v>2055</v>
      </c>
      <c r="L162" s="138">
        <v>4075.8</v>
      </c>
      <c r="M162" s="8" t="s">
        <v>2282</v>
      </c>
      <c r="N162" s="8" t="str">
        <f t="shared" si="8"/>
        <v/>
      </c>
      <c r="O162" s="142" t="s">
        <v>2268</v>
      </c>
      <c r="P162" s="9">
        <v>14762</v>
      </c>
      <c r="Q162" s="9"/>
      <c r="R162" s="8" t="s">
        <v>2049</v>
      </c>
      <c r="S162" s="143" t="s">
        <v>2269</v>
      </c>
      <c r="T162" s="9">
        <v>14766</v>
      </c>
      <c r="U162" s="9"/>
      <c r="V162" s="8" t="s">
        <v>2058</v>
      </c>
      <c r="W162" s="8" t="s">
        <v>2124</v>
      </c>
    </row>
    <row r="163" spans="1:23" ht="16.5" customHeight="1">
      <c r="A163" s="34"/>
      <c r="C163" s="29" t="s">
        <v>238</v>
      </c>
      <c r="D163" s="142">
        <v>38534038</v>
      </c>
      <c r="E163" s="8">
        <v>181</v>
      </c>
      <c r="F163" s="137">
        <v>10404.1</v>
      </c>
      <c r="G163" s="13">
        <v>873.96</v>
      </c>
      <c r="H163" s="133">
        <v>40883</v>
      </c>
      <c r="I163" s="10">
        <v>1</v>
      </c>
      <c r="J163" s="8" t="s">
        <v>88</v>
      </c>
      <c r="K163" s="8" t="s">
        <v>2112</v>
      </c>
      <c r="L163" s="138">
        <v>5364.25</v>
      </c>
      <c r="M163" s="8" t="s">
        <v>2282</v>
      </c>
      <c r="N163" s="8" t="str">
        <f t="shared" si="8"/>
        <v>FY22</v>
      </c>
      <c r="O163" s="142" t="s">
        <v>2258</v>
      </c>
      <c r="P163" s="9">
        <v>9893</v>
      </c>
      <c r="Q163" s="9">
        <v>44633</v>
      </c>
      <c r="R163" s="8" t="s">
        <v>2058</v>
      </c>
      <c r="S163" s="143"/>
      <c r="T163" s="9"/>
      <c r="U163" s="9"/>
      <c r="V163" s="8"/>
      <c r="W163" s="8" t="s">
        <v>2124</v>
      </c>
    </row>
    <row r="164" spans="1:23" ht="16.5" customHeight="1">
      <c r="A164" s="34"/>
      <c r="C164" s="29"/>
      <c r="D164" s="144">
        <v>257105</v>
      </c>
      <c r="E164" s="8">
        <v>182</v>
      </c>
      <c r="F164" s="131">
        <v>25000</v>
      </c>
      <c r="G164" s="13">
        <v>1875</v>
      </c>
      <c r="H164" s="133">
        <v>40887</v>
      </c>
      <c r="I164" s="10">
        <v>1</v>
      </c>
      <c r="J164" s="8" t="s">
        <v>88</v>
      </c>
      <c r="K164" s="8" t="s">
        <v>2059</v>
      </c>
      <c r="L164" s="13">
        <v>10637.25</v>
      </c>
      <c r="M164" s="8" t="s">
        <v>2282</v>
      </c>
      <c r="N164" s="8" t="str">
        <f t="shared" si="8"/>
        <v/>
      </c>
      <c r="O164" s="143" t="s">
        <v>2197</v>
      </c>
      <c r="P164" s="9">
        <v>11635</v>
      </c>
      <c r="Q164" s="9"/>
      <c r="R164" s="8" t="s">
        <v>2058</v>
      </c>
      <c r="S164" s="143"/>
      <c r="T164" s="9"/>
      <c r="U164" s="9"/>
      <c r="V164" s="8"/>
      <c r="W164" s="8" t="s">
        <v>2244</v>
      </c>
    </row>
    <row r="165" spans="1:23" ht="16.5" customHeight="1">
      <c r="A165" s="34"/>
      <c r="C165" s="29" t="s">
        <v>238</v>
      </c>
      <c r="D165" s="143">
        <v>66655176</v>
      </c>
      <c r="E165" s="8">
        <v>183</v>
      </c>
      <c r="F165" s="131">
        <v>60000</v>
      </c>
      <c r="G165" s="13">
        <v>4920</v>
      </c>
      <c r="H165" s="133">
        <v>40904</v>
      </c>
      <c r="I165" s="10">
        <v>1</v>
      </c>
      <c r="J165" s="8"/>
      <c r="K165" s="8" t="s">
        <v>2052</v>
      </c>
      <c r="L165" s="13">
        <v>29904</v>
      </c>
      <c r="M165" s="8" t="s">
        <v>2282</v>
      </c>
      <c r="N165" s="8" t="str">
        <f t="shared" si="8"/>
        <v>FY19</v>
      </c>
      <c r="O165" s="143" t="s">
        <v>2286</v>
      </c>
      <c r="P165" s="9">
        <v>10293</v>
      </c>
      <c r="Q165" s="9">
        <v>43323</v>
      </c>
      <c r="R165" s="8" t="s">
        <v>2049</v>
      </c>
      <c r="S165" s="143"/>
      <c r="T165" s="9"/>
      <c r="U165" s="9"/>
      <c r="V165" s="8"/>
      <c r="W165" s="8" t="s">
        <v>2050</v>
      </c>
    </row>
    <row r="166" spans="1:23" ht="16.5" customHeight="1">
      <c r="A166" s="34"/>
      <c r="C166" s="29"/>
      <c r="D166" s="144">
        <v>13169</v>
      </c>
      <c r="E166" s="8">
        <v>184</v>
      </c>
      <c r="F166" s="131">
        <v>40308</v>
      </c>
      <c r="G166" s="13">
        <v>2015.4</v>
      </c>
      <c r="H166" s="133">
        <v>40906</v>
      </c>
      <c r="I166" s="10">
        <v>2</v>
      </c>
      <c r="J166" s="8" t="s">
        <v>88</v>
      </c>
      <c r="K166" s="8" t="s">
        <v>2052</v>
      </c>
      <c r="L166" s="13">
        <v>7031.33</v>
      </c>
      <c r="M166" s="8" t="s">
        <v>2282</v>
      </c>
      <c r="N166" s="8" t="str">
        <f t="shared" si="8"/>
        <v/>
      </c>
      <c r="O166" s="143" t="s">
        <v>2287</v>
      </c>
      <c r="P166" s="9">
        <v>14172</v>
      </c>
      <c r="Q166" s="9"/>
      <c r="R166" s="8" t="s">
        <v>2049</v>
      </c>
      <c r="S166" s="143" t="s">
        <v>2288</v>
      </c>
      <c r="T166" s="9">
        <v>16937</v>
      </c>
      <c r="U166" s="9"/>
      <c r="V166" s="8" t="s">
        <v>2049</v>
      </c>
      <c r="W166" s="8" t="s">
        <v>2050</v>
      </c>
    </row>
    <row r="167" spans="1:23" ht="16.5" customHeight="1">
      <c r="A167" s="34"/>
      <c r="C167" s="29"/>
      <c r="D167" s="143">
        <v>35661040</v>
      </c>
      <c r="E167" s="8">
        <v>185</v>
      </c>
      <c r="F167" s="131">
        <v>25000</v>
      </c>
      <c r="G167" s="13">
        <v>1475</v>
      </c>
      <c r="H167" s="133">
        <v>40920</v>
      </c>
      <c r="I167" s="10">
        <v>1</v>
      </c>
      <c r="J167" s="8" t="s">
        <v>88</v>
      </c>
      <c r="K167" s="8" t="s">
        <v>2081</v>
      </c>
      <c r="L167" s="13">
        <v>7508.75</v>
      </c>
      <c r="M167" s="8" t="s">
        <v>2282</v>
      </c>
      <c r="N167" s="8" t="str">
        <f t="shared" si="8"/>
        <v/>
      </c>
      <c r="O167" s="143" t="s">
        <v>2289</v>
      </c>
      <c r="P167" s="9">
        <v>4460</v>
      </c>
      <c r="Q167" s="9"/>
      <c r="R167" s="8" t="s">
        <v>2049</v>
      </c>
      <c r="S167" s="143"/>
      <c r="T167" s="9"/>
      <c r="U167" s="9"/>
      <c r="V167" s="8"/>
      <c r="W167" s="8" t="s">
        <v>2050</v>
      </c>
    </row>
    <row r="168" spans="1:23" ht="16.5" customHeight="1">
      <c r="A168" s="34"/>
      <c r="C168" s="29" t="s">
        <v>238</v>
      </c>
      <c r="D168" s="143">
        <v>65968778</v>
      </c>
      <c r="E168" s="8">
        <v>186</v>
      </c>
      <c r="F168" s="131">
        <v>10000</v>
      </c>
      <c r="G168" s="13">
        <v>900</v>
      </c>
      <c r="H168" s="133">
        <v>40922</v>
      </c>
      <c r="I168" s="10">
        <v>1</v>
      </c>
      <c r="J168" s="8"/>
      <c r="K168" s="8" t="s">
        <v>2290</v>
      </c>
      <c r="L168" s="13">
        <v>6190</v>
      </c>
      <c r="M168" s="8" t="s">
        <v>2282</v>
      </c>
      <c r="N168" s="8" t="s">
        <v>8</v>
      </c>
      <c r="O168" s="143" t="s">
        <v>2291</v>
      </c>
      <c r="P168" s="9">
        <v>7943</v>
      </c>
      <c r="Q168" s="9">
        <v>42759</v>
      </c>
      <c r="R168" s="8" t="s">
        <v>2058</v>
      </c>
      <c r="S168" s="143"/>
      <c r="T168" s="9"/>
      <c r="U168" s="9"/>
      <c r="V168" s="8"/>
      <c r="W168" s="8" t="s">
        <v>2050</v>
      </c>
    </row>
    <row r="169" spans="1:23" ht="16.5" customHeight="1">
      <c r="A169" s="34"/>
      <c r="C169" s="29" t="s">
        <v>238</v>
      </c>
      <c r="D169" s="143">
        <v>6027403</v>
      </c>
      <c r="E169" s="8">
        <v>187</v>
      </c>
      <c r="F169" s="131">
        <v>20000</v>
      </c>
      <c r="G169" s="13">
        <v>1640</v>
      </c>
      <c r="H169" s="133">
        <v>40949</v>
      </c>
      <c r="I169" s="4">
        <v>1</v>
      </c>
      <c r="J169" s="3"/>
      <c r="K169" s="3" t="s">
        <v>2059</v>
      </c>
      <c r="L169" s="13">
        <v>11620</v>
      </c>
      <c r="M169" s="8" t="s">
        <v>2282</v>
      </c>
      <c r="N169" s="8" t="str">
        <f t="shared" ref="N169:N180" si="9">IF(OR(ISBLANK(Q:Q)=FALSE,ISBLANK(U:U)=FALSE),IF(Q:Q&gt;U:U,IF(MONTH(Q:Q)&gt;6,"FY"&amp;RIGHT(YEAR(Q:Q)+1,2),"FY"&amp;RIGHT(YEAR(Q:Q),2)),IF(MONTH(U:U)&gt;6,"FY"&amp;RIGHT(YEAR(U:U)+1,2),"FY"&amp;RIGHT(YEAR(U:U),2))),"")</f>
        <v>FY13</v>
      </c>
      <c r="O169" s="142" t="s">
        <v>2238</v>
      </c>
      <c r="P169" s="5">
        <v>9266</v>
      </c>
      <c r="Q169" s="5">
        <v>41284</v>
      </c>
      <c r="R169" s="3" t="s">
        <v>2058</v>
      </c>
      <c r="S169" s="142"/>
      <c r="T169" s="5"/>
      <c r="U169" s="5"/>
      <c r="V169" s="3"/>
      <c r="W169" s="8" t="s">
        <v>2124</v>
      </c>
    </row>
    <row r="170" spans="1:23" ht="16.5" customHeight="1">
      <c r="A170" s="34" t="s">
        <v>88</v>
      </c>
      <c r="C170" s="29" t="s">
        <v>2164</v>
      </c>
      <c r="D170" s="143">
        <v>8856452</v>
      </c>
      <c r="E170" s="8">
        <v>188</v>
      </c>
      <c r="F170" s="131">
        <v>10557.5</v>
      </c>
      <c r="G170" s="13">
        <v>696.8</v>
      </c>
      <c r="H170" s="133">
        <v>40955</v>
      </c>
      <c r="I170" s="4">
        <v>2</v>
      </c>
      <c r="J170" s="3" t="s">
        <v>88</v>
      </c>
      <c r="K170" s="3" t="s">
        <v>2081</v>
      </c>
      <c r="L170" s="13">
        <v>4848.6400000000003</v>
      </c>
      <c r="M170" s="8" t="s">
        <v>2282</v>
      </c>
      <c r="N170" s="8" t="str">
        <f t="shared" si="9"/>
        <v>FY20</v>
      </c>
      <c r="O170" s="142" t="s">
        <v>2243</v>
      </c>
      <c r="P170" s="5">
        <v>9783</v>
      </c>
      <c r="Q170" s="5">
        <v>42021</v>
      </c>
      <c r="R170" s="3" t="s">
        <v>2049</v>
      </c>
      <c r="S170" s="142" t="s">
        <v>2111</v>
      </c>
      <c r="T170" s="5">
        <v>10169</v>
      </c>
      <c r="U170" s="5">
        <v>43852</v>
      </c>
      <c r="V170" s="3" t="s">
        <v>2058</v>
      </c>
      <c r="W170" s="8" t="s">
        <v>2292</v>
      </c>
    </row>
    <row r="171" spans="1:23" ht="16.5" customHeight="1">
      <c r="A171" s="34"/>
      <c r="C171" s="29"/>
      <c r="D171" s="143">
        <v>7904576</v>
      </c>
      <c r="E171" s="8">
        <v>189</v>
      </c>
      <c r="F171" s="131">
        <v>10000</v>
      </c>
      <c r="G171" s="13">
        <v>550</v>
      </c>
      <c r="H171" s="133">
        <v>41006</v>
      </c>
      <c r="I171" s="4">
        <v>1</v>
      </c>
      <c r="J171" s="3"/>
      <c r="K171" s="3" t="s">
        <v>2293</v>
      </c>
      <c r="L171" s="13">
        <v>2632.2</v>
      </c>
      <c r="M171" s="8" t="s">
        <v>2282</v>
      </c>
      <c r="N171" s="8" t="str">
        <f t="shared" si="9"/>
        <v/>
      </c>
      <c r="O171" s="142" t="s">
        <v>2273</v>
      </c>
      <c r="P171" s="5">
        <v>16326</v>
      </c>
      <c r="Q171" s="5"/>
      <c r="R171" s="3" t="s">
        <v>2049</v>
      </c>
      <c r="S171" s="142"/>
      <c r="T171" s="5"/>
      <c r="U171" s="5"/>
      <c r="V171" s="3"/>
      <c r="W171" s="8" t="s">
        <v>2124</v>
      </c>
    </row>
    <row r="172" spans="1:23" ht="16.5" customHeight="1">
      <c r="A172" s="34"/>
      <c r="C172" s="29"/>
      <c r="D172" s="143">
        <v>50978790</v>
      </c>
      <c r="E172" s="8">
        <v>190</v>
      </c>
      <c r="F172" s="131">
        <v>50000</v>
      </c>
      <c r="G172" s="13">
        <v>3700</v>
      </c>
      <c r="H172" s="133">
        <v>41029</v>
      </c>
      <c r="I172" s="10">
        <v>1</v>
      </c>
      <c r="J172" s="8" t="s">
        <v>88</v>
      </c>
      <c r="K172" s="8" t="s">
        <v>2112</v>
      </c>
      <c r="L172" s="13">
        <v>25776.5</v>
      </c>
      <c r="M172" s="8" t="s">
        <v>2282</v>
      </c>
      <c r="N172" s="8" t="str">
        <f t="shared" si="9"/>
        <v/>
      </c>
      <c r="O172" s="143" t="s">
        <v>2294</v>
      </c>
      <c r="P172" s="9">
        <v>10627</v>
      </c>
      <c r="Q172" s="9"/>
      <c r="R172" s="8" t="s">
        <v>2058</v>
      </c>
      <c r="S172" s="143"/>
      <c r="T172" s="9"/>
      <c r="U172" s="9"/>
      <c r="V172" s="8"/>
      <c r="W172" s="8" t="s">
        <v>2050</v>
      </c>
    </row>
    <row r="173" spans="1:23" ht="16.5" customHeight="1">
      <c r="A173" s="34"/>
      <c r="C173" s="29"/>
      <c r="D173" s="143">
        <v>35236488</v>
      </c>
      <c r="E173" s="8">
        <v>191</v>
      </c>
      <c r="F173" s="131">
        <v>10000</v>
      </c>
      <c r="G173" s="13">
        <v>680</v>
      </c>
      <c r="H173" s="133">
        <v>41096</v>
      </c>
      <c r="I173" s="10">
        <v>1</v>
      </c>
      <c r="J173" s="8"/>
      <c r="K173" s="8" t="s">
        <v>2201</v>
      </c>
      <c r="L173" s="13">
        <v>4791.1000000000004</v>
      </c>
      <c r="M173" s="8" t="s">
        <v>2295</v>
      </c>
      <c r="N173" s="8" t="str">
        <f t="shared" si="9"/>
        <v/>
      </c>
      <c r="O173" s="143" t="s">
        <v>2296</v>
      </c>
      <c r="P173" s="9">
        <v>11786</v>
      </c>
      <c r="Q173" s="9"/>
      <c r="R173" s="8" t="s">
        <v>2058</v>
      </c>
      <c r="S173" s="143"/>
      <c r="T173" s="9"/>
      <c r="U173" s="9"/>
      <c r="V173" s="8"/>
      <c r="W173" s="8" t="s">
        <v>2050</v>
      </c>
    </row>
    <row r="174" spans="1:23" ht="17.25" customHeight="1">
      <c r="A174" s="34"/>
      <c r="C174" s="29"/>
      <c r="D174" s="143">
        <v>70698840</v>
      </c>
      <c r="E174" s="8">
        <v>193</v>
      </c>
      <c r="F174" s="131">
        <v>10000</v>
      </c>
      <c r="G174" s="13">
        <v>510</v>
      </c>
      <c r="H174" s="133">
        <v>41207</v>
      </c>
      <c r="I174" s="10">
        <v>2</v>
      </c>
      <c r="J174" s="8"/>
      <c r="K174" s="8" t="s">
        <v>2081</v>
      </c>
      <c r="L174" s="13">
        <v>3254.3</v>
      </c>
      <c r="M174" s="8" t="s">
        <v>2295</v>
      </c>
      <c r="N174" s="8" t="str">
        <f t="shared" si="9"/>
        <v/>
      </c>
      <c r="O174" s="143" t="s">
        <v>2297</v>
      </c>
      <c r="P174" s="9">
        <v>13002</v>
      </c>
      <c r="Q174" s="9"/>
      <c r="R174" s="8" t="s">
        <v>2058</v>
      </c>
      <c r="S174" s="143" t="s">
        <v>2298</v>
      </c>
      <c r="T174" s="9">
        <v>14272</v>
      </c>
      <c r="U174" s="9"/>
      <c r="V174" s="8" t="s">
        <v>2049</v>
      </c>
      <c r="W174" s="8" t="s">
        <v>2050</v>
      </c>
    </row>
    <row r="175" spans="1:23" ht="16.5" customHeight="1">
      <c r="A175" s="34"/>
      <c r="C175" s="29" t="s">
        <v>2164</v>
      </c>
      <c r="D175" s="142">
        <v>16169492</v>
      </c>
      <c r="E175" s="3">
        <v>192</v>
      </c>
      <c r="F175" s="137">
        <v>10000</v>
      </c>
      <c r="G175" s="138">
        <v>680</v>
      </c>
      <c r="H175" s="132">
        <v>41211</v>
      </c>
      <c r="I175" s="4">
        <v>2</v>
      </c>
      <c r="J175" s="3"/>
      <c r="K175" s="3" t="s">
        <v>2299</v>
      </c>
      <c r="L175" s="138">
        <v>4583.7</v>
      </c>
      <c r="M175" s="3" t="s">
        <v>2295</v>
      </c>
      <c r="N175" s="3" t="str">
        <f t="shared" si="9"/>
        <v>FY14</v>
      </c>
      <c r="O175" s="142" t="s">
        <v>2300</v>
      </c>
      <c r="P175" s="5">
        <v>9448</v>
      </c>
      <c r="Q175" s="5">
        <v>41507</v>
      </c>
      <c r="R175" s="3" t="s">
        <v>2049</v>
      </c>
      <c r="S175" s="142" t="s">
        <v>2301</v>
      </c>
      <c r="T175" s="5">
        <v>10443</v>
      </c>
      <c r="U175" s="5"/>
      <c r="V175" s="3" t="s">
        <v>2058</v>
      </c>
      <c r="W175" s="3" t="s">
        <v>2050</v>
      </c>
    </row>
    <row r="176" spans="1:23" ht="16.5" customHeight="1">
      <c r="A176" s="34"/>
      <c r="C176" s="29" t="s">
        <v>238</v>
      </c>
      <c r="D176" s="143">
        <v>66620618</v>
      </c>
      <c r="E176" s="8">
        <v>194</v>
      </c>
      <c r="F176" s="131">
        <v>10000</v>
      </c>
      <c r="G176" s="13">
        <v>600</v>
      </c>
      <c r="H176" s="133">
        <v>41221</v>
      </c>
      <c r="I176" s="10">
        <v>1</v>
      </c>
      <c r="J176" s="8"/>
      <c r="K176" s="8" t="s">
        <v>65</v>
      </c>
      <c r="L176" s="13">
        <v>4194.1000000000004</v>
      </c>
      <c r="M176" s="8" t="s">
        <v>2295</v>
      </c>
      <c r="N176" s="8" t="s">
        <v>3</v>
      </c>
      <c r="O176" s="143" t="s">
        <v>2302</v>
      </c>
      <c r="P176" s="9">
        <v>13571</v>
      </c>
      <c r="Q176" s="9">
        <v>44509</v>
      </c>
      <c r="R176" s="135" t="s">
        <v>2049</v>
      </c>
      <c r="S176" s="143"/>
      <c r="T176" s="9"/>
      <c r="U176" s="9"/>
      <c r="V176" s="8"/>
      <c r="W176" s="8" t="s">
        <v>2050</v>
      </c>
    </row>
    <row r="177" spans="1:23" ht="16.5" customHeight="1">
      <c r="A177" s="34"/>
      <c r="C177" s="29"/>
      <c r="D177" s="143">
        <v>39546981</v>
      </c>
      <c r="E177" s="8">
        <v>195</v>
      </c>
      <c r="F177" s="131">
        <v>50000</v>
      </c>
      <c r="G177" s="13">
        <v>3000</v>
      </c>
      <c r="H177" s="133">
        <v>41237</v>
      </c>
      <c r="I177" s="10">
        <v>1</v>
      </c>
      <c r="J177" s="8" t="s">
        <v>88</v>
      </c>
      <c r="K177" s="8" t="s">
        <v>2129</v>
      </c>
      <c r="L177" s="13">
        <v>20970.5</v>
      </c>
      <c r="M177" s="8" t="s">
        <v>2295</v>
      </c>
      <c r="N177" s="8" t="str">
        <f t="shared" si="9"/>
        <v/>
      </c>
      <c r="O177" s="143" t="s">
        <v>2303</v>
      </c>
      <c r="P177" s="9">
        <v>13520</v>
      </c>
      <c r="Q177" s="9"/>
      <c r="R177" s="8" t="s">
        <v>2058</v>
      </c>
      <c r="S177" s="143"/>
      <c r="T177" s="9"/>
      <c r="U177" s="9"/>
      <c r="V177" s="8"/>
      <c r="W177" s="8" t="s">
        <v>2050</v>
      </c>
    </row>
    <row r="178" spans="1:23" ht="16.5" customHeight="1">
      <c r="A178" s="34"/>
      <c r="C178" s="29"/>
      <c r="D178" s="143">
        <v>989152</v>
      </c>
      <c r="E178" s="8">
        <v>196</v>
      </c>
      <c r="F178" s="131">
        <v>5000</v>
      </c>
      <c r="G178" s="13">
        <v>390</v>
      </c>
      <c r="H178" s="133">
        <v>41248</v>
      </c>
      <c r="I178" s="10">
        <v>1</v>
      </c>
      <c r="J178" s="8"/>
      <c r="K178" s="8" t="s">
        <v>65</v>
      </c>
      <c r="L178" s="13">
        <v>2709.45</v>
      </c>
      <c r="M178" s="8" t="s">
        <v>2295</v>
      </c>
      <c r="N178" s="8" t="str">
        <f t="shared" si="9"/>
        <v/>
      </c>
      <c r="O178" s="143" t="s">
        <v>2216</v>
      </c>
      <c r="P178" s="9">
        <v>10282</v>
      </c>
      <c r="Q178" s="9"/>
      <c r="R178" s="8" t="s">
        <v>2049</v>
      </c>
      <c r="S178" s="143"/>
      <c r="T178" s="9"/>
      <c r="U178" s="9"/>
      <c r="V178" s="8"/>
      <c r="W178" s="8" t="s">
        <v>2244</v>
      </c>
    </row>
    <row r="179" spans="1:23" ht="16.5" customHeight="1">
      <c r="A179" s="34"/>
      <c r="C179" s="29"/>
      <c r="D179" s="144">
        <v>257105</v>
      </c>
      <c r="E179" s="8">
        <v>197</v>
      </c>
      <c r="F179" s="131">
        <v>35000</v>
      </c>
      <c r="G179" s="13">
        <v>2450</v>
      </c>
      <c r="H179" s="133">
        <v>41250</v>
      </c>
      <c r="I179" s="10">
        <v>1</v>
      </c>
      <c r="J179" s="8"/>
      <c r="K179" s="8" t="s">
        <v>2059</v>
      </c>
      <c r="L179" s="13">
        <v>16831.5</v>
      </c>
      <c r="M179" s="8" t="s">
        <v>2295</v>
      </c>
      <c r="N179" s="8" t="str">
        <f t="shared" si="9"/>
        <v/>
      </c>
      <c r="O179" s="143" t="s">
        <v>2197</v>
      </c>
      <c r="P179" s="9">
        <v>11635</v>
      </c>
      <c r="Q179" s="9"/>
      <c r="R179" s="8" t="s">
        <v>2058</v>
      </c>
      <c r="S179" s="143"/>
      <c r="T179" s="9"/>
      <c r="U179" s="9"/>
      <c r="V179" s="8"/>
      <c r="W179" s="8" t="s">
        <v>2292</v>
      </c>
    </row>
    <row r="180" spans="1:23" ht="16.5" customHeight="1">
      <c r="A180" s="34"/>
      <c r="C180" s="29"/>
      <c r="D180" s="143">
        <v>9493479</v>
      </c>
      <c r="E180" s="8">
        <v>198</v>
      </c>
      <c r="F180" s="131">
        <v>10000</v>
      </c>
      <c r="G180" s="13">
        <v>550</v>
      </c>
      <c r="H180" s="133">
        <v>41255</v>
      </c>
      <c r="I180" s="10">
        <v>1</v>
      </c>
      <c r="J180" s="8"/>
      <c r="K180" s="8" t="s">
        <v>2240</v>
      </c>
      <c r="L180" s="13">
        <v>3843.3</v>
      </c>
      <c r="M180" s="8" t="s">
        <v>2295</v>
      </c>
      <c r="N180" s="8" t="str">
        <f t="shared" si="9"/>
        <v/>
      </c>
      <c r="O180" s="143" t="s">
        <v>2245</v>
      </c>
      <c r="P180" s="9">
        <v>14447</v>
      </c>
      <c r="Q180" s="9"/>
      <c r="R180" s="8" t="s">
        <v>2058</v>
      </c>
      <c r="S180" s="143"/>
      <c r="T180" s="9"/>
      <c r="U180" s="9"/>
      <c r="V180" s="8"/>
      <c r="W180" s="8" t="s">
        <v>2196</v>
      </c>
    </row>
    <row r="181" spans="1:23" ht="16.5" customHeight="1">
      <c r="A181" s="34"/>
      <c r="C181" s="29" t="s">
        <v>238</v>
      </c>
      <c r="D181" s="143">
        <v>48826176</v>
      </c>
      <c r="E181" s="8">
        <v>199</v>
      </c>
      <c r="F181" s="131">
        <v>10000</v>
      </c>
      <c r="G181" s="13">
        <v>900</v>
      </c>
      <c r="H181" s="133">
        <v>41340</v>
      </c>
      <c r="I181" s="10">
        <v>1</v>
      </c>
      <c r="J181" s="8"/>
      <c r="K181" s="8" t="s">
        <v>2055</v>
      </c>
      <c r="L181" s="13">
        <v>6844.5</v>
      </c>
      <c r="M181" s="8" t="s">
        <v>2295</v>
      </c>
      <c r="N181" s="8" t="s">
        <v>8</v>
      </c>
      <c r="O181" s="143" t="s">
        <v>2304</v>
      </c>
      <c r="P181" s="9">
        <v>7245</v>
      </c>
      <c r="Q181" s="9">
        <v>42903</v>
      </c>
      <c r="R181" s="8" t="s">
        <v>2058</v>
      </c>
      <c r="S181" s="143"/>
      <c r="T181" s="9"/>
      <c r="U181" s="9"/>
      <c r="V181" s="8"/>
      <c r="W181" s="8" t="s">
        <v>2050</v>
      </c>
    </row>
    <row r="182" spans="1:23" ht="16.5" customHeight="1">
      <c r="A182" s="34"/>
      <c r="C182" s="308" t="s">
        <v>238</v>
      </c>
      <c r="D182" s="313">
        <v>84957570</v>
      </c>
      <c r="E182" s="309">
        <v>200</v>
      </c>
      <c r="F182" s="310">
        <v>10000</v>
      </c>
      <c r="G182" s="320">
        <v>640</v>
      </c>
      <c r="H182" s="316">
        <v>41351</v>
      </c>
      <c r="I182" s="312">
        <v>1</v>
      </c>
      <c r="J182" s="309"/>
      <c r="K182" s="309" t="s">
        <v>2081</v>
      </c>
      <c r="L182" s="320">
        <v>4483.3999999999996</v>
      </c>
      <c r="M182" s="309" t="s">
        <v>2295</v>
      </c>
      <c r="N182" s="309" t="str">
        <f>IF(OR(ISBLANK(Q:Q)=FALSE,ISBLANK(U:U)=FALSE),IF(Q:Q&gt;U:U,IF(MONTH(Q:Q)&gt;6,"FY"&amp;RIGHT(YEAR(Q:Q)+1,2),"FY"&amp;RIGHT(YEAR(Q:Q),2)),IF(MONTH(U:U)&gt;6,"FY"&amp;RIGHT(YEAR(U:U)+1,2),"FY"&amp;RIGHT(YEAR(U:U),2))),"")</f>
        <v>FY16</v>
      </c>
      <c r="O182" s="313" t="s">
        <v>2305</v>
      </c>
      <c r="P182" s="314">
        <v>12715</v>
      </c>
      <c r="Q182" s="314">
        <v>42408</v>
      </c>
      <c r="R182" s="309" t="s">
        <v>2058</v>
      </c>
      <c r="S182" s="313"/>
      <c r="T182" s="314"/>
      <c r="U182" s="314"/>
      <c r="V182" s="309"/>
      <c r="W182" s="309" t="s">
        <v>2050</v>
      </c>
    </row>
    <row r="183" spans="1:23" ht="16.5" customHeight="1">
      <c r="A183" s="34"/>
      <c r="C183" s="29"/>
      <c r="D183" s="143">
        <v>10110336</v>
      </c>
      <c r="E183" s="8">
        <v>201</v>
      </c>
      <c r="F183" s="131">
        <v>20000</v>
      </c>
      <c r="G183" s="13">
        <v>1480</v>
      </c>
      <c r="H183" s="133">
        <v>41458</v>
      </c>
      <c r="I183" s="10">
        <v>1</v>
      </c>
      <c r="J183" s="131" t="s">
        <v>88</v>
      </c>
      <c r="K183" s="8" t="s">
        <v>65</v>
      </c>
      <c r="L183" s="13">
        <v>10310.6</v>
      </c>
      <c r="M183" s="8" t="s">
        <v>2306</v>
      </c>
      <c r="N183" s="8" t="str">
        <f>IF(OR(ISBLANK(Q:Q)=FALSE,ISBLANK(U:U)=FALSE),IF(Q:Q&gt;U:U,IF(MONTH(Q:Q)&gt;6,"FY"&amp;RIGHT(YEAR(Q:Q)+1,2),"FY"&amp;RIGHT(YEAR(Q:Q),2)),IF(MONTH(U:U)&gt;6,"FY"&amp;RIGHT(YEAR(U:U)+1,2),"FY"&amp;RIGHT(YEAR(U:U),2))),"")</f>
        <v/>
      </c>
      <c r="O183" s="142" t="s">
        <v>2307</v>
      </c>
      <c r="P183" s="9">
        <v>11275</v>
      </c>
      <c r="Q183" s="9"/>
      <c r="R183" s="8" t="s">
        <v>2058</v>
      </c>
      <c r="S183" s="143"/>
      <c r="T183" s="9"/>
      <c r="U183" s="9"/>
      <c r="V183" s="8"/>
      <c r="W183" s="8" t="s">
        <v>2050</v>
      </c>
    </row>
    <row r="184" spans="1:23" ht="16.5" customHeight="1">
      <c r="A184" s="34"/>
      <c r="C184" s="29"/>
      <c r="D184" s="143">
        <v>35288372</v>
      </c>
      <c r="E184" s="8">
        <v>202</v>
      </c>
      <c r="F184" s="131">
        <v>10000</v>
      </c>
      <c r="G184" s="13">
        <v>760</v>
      </c>
      <c r="H184" s="133">
        <v>41486</v>
      </c>
      <c r="I184" s="10">
        <v>1</v>
      </c>
      <c r="J184" s="131"/>
      <c r="K184" s="8" t="s">
        <v>2162</v>
      </c>
      <c r="L184" s="13">
        <v>5306.6</v>
      </c>
      <c r="M184" s="8" t="s">
        <v>2306</v>
      </c>
      <c r="N184" s="8"/>
      <c r="O184" s="143" t="s">
        <v>2276</v>
      </c>
      <c r="P184" s="9">
        <v>10677</v>
      </c>
      <c r="Q184" s="9"/>
      <c r="R184" s="8" t="s">
        <v>2049</v>
      </c>
      <c r="S184" s="143"/>
      <c r="T184" s="9"/>
      <c r="U184" s="9"/>
      <c r="V184" s="8"/>
      <c r="W184" s="8" t="s">
        <v>2124</v>
      </c>
    </row>
    <row r="185" spans="1:23" ht="16.5" customHeight="1">
      <c r="A185" s="34"/>
      <c r="C185" s="29"/>
      <c r="D185" s="143">
        <v>989152</v>
      </c>
      <c r="E185" s="8">
        <v>203</v>
      </c>
      <c r="F185" s="131">
        <v>5000</v>
      </c>
      <c r="G185" s="13">
        <v>400</v>
      </c>
      <c r="H185" s="133">
        <v>41531</v>
      </c>
      <c r="I185" s="4">
        <v>1</v>
      </c>
      <c r="J185" s="137" t="s">
        <v>2308</v>
      </c>
      <c r="K185" s="8" t="s">
        <v>65</v>
      </c>
      <c r="L185" s="13">
        <v>2864.6</v>
      </c>
      <c r="M185" s="8" t="s">
        <v>2306</v>
      </c>
      <c r="N185" s="8" t="str">
        <f t="shared" ref="N185:N203" si="10">IF(OR(ISBLANK(Q:Q)=FALSE,ISBLANK(U:U)=FALSE),IF(Q:Q&gt;U:U,IF(MONTH(Q:Q)&gt;6,"FY"&amp;RIGHT(YEAR(Q:Q)+1,2),"FY"&amp;RIGHT(YEAR(Q:Q),2)),IF(MONTH(U:U)&gt;6,"FY"&amp;RIGHT(YEAR(U:U)+1,2),"FY"&amp;RIGHT(YEAR(U:U),2))),"")</f>
        <v/>
      </c>
      <c r="O185" s="143" t="s">
        <v>2216</v>
      </c>
      <c r="P185" s="9">
        <v>10282</v>
      </c>
      <c r="Q185" s="9"/>
      <c r="R185" s="8" t="s">
        <v>2049</v>
      </c>
      <c r="S185" s="143"/>
      <c r="T185" s="9"/>
      <c r="U185" s="9"/>
      <c r="V185" s="8"/>
      <c r="W185" s="8" t="s">
        <v>2292</v>
      </c>
    </row>
    <row r="186" spans="1:23" ht="16.5" customHeight="1">
      <c r="A186" s="34"/>
      <c r="C186" s="29"/>
      <c r="D186" s="143">
        <v>10134609</v>
      </c>
      <c r="E186" s="8">
        <v>204</v>
      </c>
      <c r="F186" s="131">
        <v>25000</v>
      </c>
      <c r="G186" s="13">
        <v>1500</v>
      </c>
      <c r="H186" s="133">
        <v>41537</v>
      </c>
      <c r="I186" s="4">
        <v>1</v>
      </c>
      <c r="J186" s="137" t="s">
        <v>88</v>
      </c>
      <c r="K186" s="8" t="s">
        <v>2064</v>
      </c>
      <c r="L186" s="13">
        <v>11253</v>
      </c>
      <c r="M186" s="8" t="s">
        <v>2306</v>
      </c>
      <c r="N186" s="8" t="str">
        <f t="shared" si="10"/>
        <v/>
      </c>
      <c r="O186" s="143" t="s">
        <v>2309</v>
      </c>
      <c r="P186" s="9">
        <v>13885</v>
      </c>
      <c r="Q186" s="9"/>
      <c r="R186" s="8" t="s">
        <v>2058</v>
      </c>
      <c r="S186" s="143"/>
      <c r="T186" s="9"/>
      <c r="U186" s="9"/>
      <c r="V186" s="8"/>
      <c r="W186" s="8" t="s">
        <v>2050</v>
      </c>
    </row>
    <row r="187" spans="1:23" ht="16.5" customHeight="1">
      <c r="A187" s="34"/>
      <c r="C187" s="29"/>
      <c r="D187" s="143">
        <v>334110</v>
      </c>
      <c r="E187" s="8">
        <v>205</v>
      </c>
      <c r="F187" s="131">
        <v>15000</v>
      </c>
      <c r="G187" s="13">
        <v>795</v>
      </c>
      <c r="H187" s="133">
        <v>41548</v>
      </c>
      <c r="I187" s="4">
        <v>1</v>
      </c>
      <c r="J187" s="137"/>
      <c r="K187" s="8" t="s">
        <v>2094</v>
      </c>
      <c r="L187" s="13">
        <v>6161.55</v>
      </c>
      <c r="M187" s="8" t="s">
        <v>2306</v>
      </c>
      <c r="N187" s="8" t="str">
        <f t="shared" si="10"/>
        <v/>
      </c>
      <c r="O187" s="143" t="s">
        <v>2310</v>
      </c>
      <c r="P187" s="9">
        <v>15686</v>
      </c>
      <c r="Q187" s="9"/>
      <c r="R187" s="8" t="s">
        <v>2049</v>
      </c>
      <c r="S187" s="143"/>
      <c r="T187" s="9"/>
      <c r="U187" s="9"/>
      <c r="V187" s="8"/>
      <c r="W187" s="8" t="s">
        <v>2050</v>
      </c>
    </row>
    <row r="188" spans="1:23" ht="16.5" customHeight="1">
      <c r="A188" s="34" t="s">
        <v>88</v>
      </c>
      <c r="C188" s="29"/>
      <c r="D188" s="143">
        <v>18134635</v>
      </c>
      <c r="E188" s="8">
        <v>206</v>
      </c>
      <c r="F188" s="131">
        <v>10000</v>
      </c>
      <c r="G188" s="13">
        <v>520</v>
      </c>
      <c r="H188" s="133">
        <v>41592</v>
      </c>
      <c r="I188" s="4">
        <v>1</v>
      </c>
      <c r="J188" s="137" t="s">
        <v>2058</v>
      </c>
      <c r="K188" s="8" t="s">
        <v>2081</v>
      </c>
      <c r="L188" s="13">
        <v>3983.4</v>
      </c>
      <c r="M188" s="8" t="s">
        <v>2306</v>
      </c>
      <c r="N188" s="8" t="str">
        <f t="shared" si="10"/>
        <v/>
      </c>
      <c r="O188" s="143" t="s">
        <v>2311</v>
      </c>
      <c r="P188" s="9">
        <v>16170</v>
      </c>
      <c r="Q188" s="9"/>
      <c r="R188" s="8" t="s">
        <v>2058</v>
      </c>
      <c r="S188" s="143"/>
      <c r="T188" s="9"/>
      <c r="U188" s="9"/>
      <c r="V188" s="8"/>
      <c r="W188" s="8" t="s">
        <v>2050</v>
      </c>
    </row>
    <row r="189" spans="1:23" ht="16.5" customHeight="1">
      <c r="A189" s="34"/>
      <c r="C189" s="29"/>
      <c r="D189" s="143">
        <v>257105</v>
      </c>
      <c r="E189" s="8">
        <v>207</v>
      </c>
      <c r="F189" s="131">
        <v>25000</v>
      </c>
      <c r="G189" s="13">
        <v>1800</v>
      </c>
      <c r="H189" s="133">
        <v>41599</v>
      </c>
      <c r="I189" s="10">
        <v>1</v>
      </c>
      <c r="J189" s="131" t="s">
        <v>2308</v>
      </c>
      <c r="K189" s="8" t="s">
        <v>2059</v>
      </c>
      <c r="L189" s="13">
        <v>13148.75</v>
      </c>
      <c r="M189" s="8" t="s">
        <v>2306</v>
      </c>
      <c r="N189" s="8" t="str">
        <f t="shared" si="10"/>
        <v/>
      </c>
      <c r="O189" s="143" t="s">
        <v>2197</v>
      </c>
      <c r="P189" s="9">
        <v>11635</v>
      </c>
      <c r="Q189" s="9"/>
      <c r="R189" s="8" t="s">
        <v>2058</v>
      </c>
      <c r="S189" s="143"/>
      <c r="T189" s="9"/>
      <c r="U189" s="9"/>
      <c r="V189" s="8"/>
      <c r="W189" s="8" t="s">
        <v>2312</v>
      </c>
    </row>
    <row r="190" spans="1:23" ht="16.5" customHeight="1">
      <c r="A190" s="34"/>
      <c r="C190" s="29"/>
      <c r="D190" s="143">
        <v>377721</v>
      </c>
      <c r="E190" s="8">
        <v>208</v>
      </c>
      <c r="F190" s="131">
        <v>10000</v>
      </c>
      <c r="G190" s="13">
        <v>480</v>
      </c>
      <c r="H190" s="133">
        <v>41617</v>
      </c>
      <c r="I190" s="10">
        <v>1</v>
      </c>
      <c r="J190" s="131" t="s">
        <v>2308</v>
      </c>
      <c r="K190" s="8" t="s">
        <v>2313</v>
      </c>
      <c r="L190" s="13">
        <v>3789.4</v>
      </c>
      <c r="M190" s="8" t="s">
        <v>2306</v>
      </c>
      <c r="N190" s="8" t="str">
        <f t="shared" si="10"/>
        <v/>
      </c>
      <c r="O190" s="143" t="s">
        <v>2314</v>
      </c>
      <c r="P190" s="9">
        <v>17097</v>
      </c>
      <c r="Q190" s="9"/>
      <c r="R190" s="8" t="s">
        <v>2058</v>
      </c>
      <c r="S190" s="143"/>
      <c r="T190" s="9"/>
      <c r="U190" s="9"/>
      <c r="V190" s="8"/>
      <c r="W190" s="8" t="s">
        <v>2050</v>
      </c>
    </row>
    <row r="191" spans="1:23" ht="16.5" customHeight="1">
      <c r="A191" s="34"/>
      <c r="C191" s="29"/>
      <c r="D191" s="143">
        <v>18253740</v>
      </c>
      <c r="E191" s="8">
        <v>209</v>
      </c>
      <c r="F191" s="131">
        <v>10033.77</v>
      </c>
      <c r="G191" s="13">
        <v>662.24</v>
      </c>
      <c r="H191" s="133">
        <v>41626</v>
      </c>
      <c r="I191" s="10">
        <v>1</v>
      </c>
      <c r="J191" s="131" t="s">
        <v>2308</v>
      </c>
      <c r="K191" s="8" t="s">
        <v>2185</v>
      </c>
      <c r="L191" s="13">
        <v>4928.8900000000003</v>
      </c>
      <c r="M191" s="8" t="s">
        <v>2306</v>
      </c>
      <c r="N191" s="8" t="str">
        <f t="shared" si="10"/>
        <v/>
      </c>
      <c r="O191" s="143" t="s">
        <v>2315</v>
      </c>
      <c r="P191" s="9">
        <v>12770</v>
      </c>
      <c r="Q191" s="9"/>
      <c r="R191" s="8" t="s">
        <v>2049</v>
      </c>
      <c r="S191" s="143"/>
      <c r="T191" s="9"/>
      <c r="U191" s="9"/>
      <c r="V191" s="8"/>
      <c r="W191" s="8" t="s">
        <v>2124</v>
      </c>
    </row>
    <row r="192" spans="1:23" ht="16.5" customHeight="1">
      <c r="A192" s="34"/>
      <c r="C192" s="29" t="s">
        <v>238</v>
      </c>
      <c r="D192" s="143">
        <v>4249835</v>
      </c>
      <c r="E192" s="8">
        <v>212</v>
      </c>
      <c r="F192" s="131">
        <v>12000</v>
      </c>
      <c r="G192" s="13">
        <v>648</v>
      </c>
      <c r="H192" s="133">
        <v>41638</v>
      </c>
      <c r="I192" s="10">
        <v>1</v>
      </c>
      <c r="J192" s="131" t="s">
        <v>2316</v>
      </c>
      <c r="K192" s="8" t="s">
        <v>2046</v>
      </c>
      <c r="L192" s="13">
        <v>5133.24</v>
      </c>
      <c r="M192" s="8" t="s">
        <v>2306</v>
      </c>
      <c r="N192" s="8" t="str">
        <f t="shared" si="10"/>
        <v>FY23</v>
      </c>
      <c r="O192" s="143" t="s">
        <v>2317</v>
      </c>
      <c r="P192" s="9">
        <v>15928</v>
      </c>
      <c r="Q192" s="9">
        <v>44784</v>
      </c>
      <c r="R192" s="8" t="s">
        <v>2049</v>
      </c>
      <c r="S192" s="143"/>
      <c r="T192" s="9"/>
      <c r="U192" s="9"/>
      <c r="V192" s="8"/>
      <c r="W192" s="8" t="s">
        <v>2050</v>
      </c>
    </row>
    <row r="193" spans="1:23" ht="16.5" customHeight="1">
      <c r="A193" s="34"/>
      <c r="C193" s="29"/>
      <c r="D193" s="143">
        <v>10500635</v>
      </c>
      <c r="E193" s="8">
        <v>210</v>
      </c>
      <c r="F193" s="131">
        <v>100000</v>
      </c>
      <c r="G193" s="13">
        <v>4100</v>
      </c>
      <c r="H193" s="133">
        <v>41639</v>
      </c>
      <c r="I193" s="10">
        <v>2</v>
      </c>
      <c r="J193" s="131" t="s">
        <v>2308</v>
      </c>
      <c r="K193" s="8" t="s">
        <v>2318</v>
      </c>
      <c r="L193" s="13">
        <v>25509</v>
      </c>
      <c r="M193" s="8" t="s">
        <v>2306</v>
      </c>
      <c r="N193" s="8" t="s">
        <v>88</v>
      </c>
      <c r="O193" s="143" t="s">
        <v>2319</v>
      </c>
      <c r="P193" s="9">
        <v>17057</v>
      </c>
      <c r="Q193" s="9"/>
      <c r="R193" s="8" t="s">
        <v>2058</v>
      </c>
      <c r="S193" s="143" t="s">
        <v>2320</v>
      </c>
      <c r="T193" s="9">
        <v>19586</v>
      </c>
      <c r="U193" s="9"/>
      <c r="V193" s="8" t="s">
        <v>2058</v>
      </c>
      <c r="W193" s="8" t="s">
        <v>2050</v>
      </c>
    </row>
    <row r="194" spans="1:23" ht="16.5" customHeight="1">
      <c r="A194" s="34"/>
      <c r="C194" s="29"/>
      <c r="D194" s="143">
        <v>5980677</v>
      </c>
      <c r="E194" s="8">
        <v>211</v>
      </c>
      <c r="F194" s="131">
        <v>10000</v>
      </c>
      <c r="G194" s="13">
        <v>550</v>
      </c>
      <c r="H194" s="133">
        <v>41639</v>
      </c>
      <c r="I194" s="10">
        <v>1</v>
      </c>
      <c r="J194" s="131" t="s">
        <v>2308</v>
      </c>
      <c r="K194" s="8" t="s">
        <v>2112</v>
      </c>
      <c r="L194" s="13">
        <v>4378</v>
      </c>
      <c r="M194" s="8" t="s">
        <v>2306</v>
      </c>
      <c r="N194" s="8" t="str">
        <f t="shared" si="10"/>
        <v/>
      </c>
      <c r="O194" s="143" t="s">
        <v>2221</v>
      </c>
      <c r="P194" s="9">
        <v>14907</v>
      </c>
      <c r="Q194" s="9"/>
      <c r="R194" s="8" t="s">
        <v>2049</v>
      </c>
      <c r="S194" s="143"/>
      <c r="T194" s="9"/>
      <c r="U194" s="9"/>
      <c r="V194" s="8"/>
      <c r="W194" s="8" t="s">
        <v>2124</v>
      </c>
    </row>
    <row r="195" spans="1:23" ht="16.5" customHeight="1">
      <c r="A195" s="34"/>
      <c r="C195" s="29"/>
      <c r="D195" s="143">
        <v>1803816</v>
      </c>
      <c r="E195" s="8">
        <v>213</v>
      </c>
      <c r="F195" s="131">
        <v>25000</v>
      </c>
      <c r="G195" s="13">
        <v>1555</v>
      </c>
      <c r="H195" s="133">
        <v>41652</v>
      </c>
      <c r="I195" s="10">
        <v>1</v>
      </c>
      <c r="J195" s="131" t="s">
        <v>2308</v>
      </c>
      <c r="K195" s="8" t="s">
        <v>2162</v>
      </c>
      <c r="L195" s="13">
        <v>11641.5</v>
      </c>
      <c r="M195" s="8" t="s">
        <v>2306</v>
      </c>
      <c r="N195" s="8" t="s">
        <v>88</v>
      </c>
      <c r="O195" s="143" t="s">
        <v>2321</v>
      </c>
      <c r="P195" s="9">
        <v>13675</v>
      </c>
      <c r="Q195" s="9"/>
      <c r="R195" s="8" t="s">
        <v>2049</v>
      </c>
      <c r="S195" s="143"/>
      <c r="T195" s="9"/>
      <c r="U195" s="9"/>
      <c r="V195" s="8"/>
      <c r="W195" s="8" t="s">
        <v>2050</v>
      </c>
    </row>
    <row r="196" spans="1:23" ht="16.5" customHeight="1">
      <c r="A196" s="34"/>
      <c r="C196" s="29"/>
      <c r="D196" s="143">
        <v>1803816</v>
      </c>
      <c r="E196" s="8">
        <v>214</v>
      </c>
      <c r="F196" s="131">
        <v>25000</v>
      </c>
      <c r="G196" s="13">
        <v>1450</v>
      </c>
      <c r="H196" s="133">
        <v>41652</v>
      </c>
      <c r="I196" s="10">
        <v>1</v>
      </c>
      <c r="J196" s="131" t="s">
        <v>2308</v>
      </c>
      <c r="K196" s="8" t="s">
        <v>2162</v>
      </c>
      <c r="L196" s="13">
        <v>11257</v>
      </c>
      <c r="M196" s="8" t="s">
        <v>2306</v>
      </c>
      <c r="N196" s="8" t="str">
        <f t="shared" si="10"/>
        <v/>
      </c>
      <c r="O196" s="143" t="s">
        <v>2322</v>
      </c>
      <c r="P196" s="9">
        <v>14374</v>
      </c>
      <c r="Q196" s="9"/>
      <c r="R196" s="8" t="s">
        <v>2058</v>
      </c>
      <c r="S196" s="143"/>
      <c r="T196" s="9"/>
      <c r="U196" s="9"/>
      <c r="V196" s="8"/>
      <c r="W196" s="8" t="s">
        <v>2124</v>
      </c>
    </row>
    <row r="197" spans="1:23" ht="16.5" customHeight="1">
      <c r="A197" s="34"/>
      <c r="C197" s="29"/>
      <c r="D197" s="143">
        <v>17957416</v>
      </c>
      <c r="E197" s="8">
        <v>215</v>
      </c>
      <c r="F197" s="131">
        <v>25000</v>
      </c>
      <c r="G197" s="13">
        <v>1125</v>
      </c>
      <c r="H197" s="133">
        <v>41655</v>
      </c>
      <c r="I197" s="10">
        <v>2</v>
      </c>
      <c r="J197" s="131" t="s">
        <v>2308</v>
      </c>
      <c r="K197" s="8" t="s">
        <v>2112</v>
      </c>
      <c r="L197" s="13">
        <v>7825.5</v>
      </c>
      <c r="M197" s="8" t="s">
        <v>2306</v>
      </c>
      <c r="N197" s="8" t="s">
        <v>88</v>
      </c>
      <c r="O197" s="143" t="s">
        <v>2323</v>
      </c>
      <c r="P197" s="9">
        <v>16127</v>
      </c>
      <c r="Q197" s="9"/>
      <c r="R197" s="8" t="s">
        <v>2049</v>
      </c>
      <c r="S197" s="143" t="s">
        <v>2324</v>
      </c>
      <c r="T197" s="9">
        <v>16330</v>
      </c>
      <c r="U197" s="9"/>
      <c r="V197" s="8" t="s">
        <v>2058</v>
      </c>
      <c r="W197" s="8" t="s">
        <v>2050</v>
      </c>
    </row>
    <row r="198" spans="1:23" ht="16.5" customHeight="1">
      <c r="A198" s="34"/>
      <c r="C198" s="29"/>
      <c r="D198" s="143">
        <v>39546981</v>
      </c>
      <c r="E198" s="8">
        <v>216</v>
      </c>
      <c r="F198" s="131">
        <v>50000</v>
      </c>
      <c r="G198" s="13">
        <v>3100</v>
      </c>
      <c r="H198" s="133">
        <v>41738</v>
      </c>
      <c r="I198" s="10">
        <v>1</v>
      </c>
      <c r="J198" s="131" t="s">
        <v>2308</v>
      </c>
      <c r="K198" s="8" t="s">
        <v>2129</v>
      </c>
      <c r="L198" s="13">
        <v>23616.5</v>
      </c>
      <c r="M198" s="8" t="s">
        <v>2306</v>
      </c>
      <c r="N198" s="8" t="s">
        <v>88</v>
      </c>
      <c r="O198" s="143" t="s">
        <v>2303</v>
      </c>
      <c r="P198" s="9">
        <v>13520</v>
      </c>
      <c r="Q198" s="9"/>
      <c r="R198" s="8" t="s">
        <v>2058</v>
      </c>
      <c r="S198" s="143"/>
      <c r="T198" s="9"/>
      <c r="U198" s="9"/>
      <c r="V198" s="8"/>
      <c r="W198" s="8" t="s">
        <v>2124</v>
      </c>
    </row>
    <row r="199" spans="1:23" ht="16.5" customHeight="1">
      <c r="A199" s="34"/>
      <c r="C199" s="29" t="s">
        <v>238</v>
      </c>
      <c r="D199" s="143">
        <v>21319355</v>
      </c>
      <c r="E199" s="8">
        <v>217</v>
      </c>
      <c r="F199" s="131">
        <v>10000</v>
      </c>
      <c r="G199" s="13">
        <v>900</v>
      </c>
      <c r="H199" s="133">
        <v>41744</v>
      </c>
      <c r="I199" s="10">
        <v>1</v>
      </c>
      <c r="J199" s="8" t="s">
        <v>2308</v>
      </c>
      <c r="K199" s="8" t="s">
        <v>2081</v>
      </c>
      <c r="L199" s="13">
        <v>6734.3</v>
      </c>
      <c r="M199" s="8" t="s">
        <v>2306</v>
      </c>
      <c r="N199" s="8" t="str">
        <f t="shared" si="10"/>
        <v>FY20</v>
      </c>
      <c r="O199" s="143" t="s">
        <v>2239</v>
      </c>
      <c r="P199" s="9">
        <v>8100</v>
      </c>
      <c r="Q199" s="9">
        <v>43765</v>
      </c>
      <c r="R199" s="8" t="s">
        <v>2058</v>
      </c>
      <c r="S199" s="143"/>
      <c r="T199" s="9"/>
      <c r="U199" s="9"/>
      <c r="V199" s="8"/>
      <c r="W199" s="8" t="s">
        <v>2124</v>
      </c>
    </row>
    <row r="200" spans="1:23" ht="16.5" customHeight="1">
      <c r="A200" s="34"/>
      <c r="C200" s="29"/>
      <c r="D200" s="143">
        <v>542803</v>
      </c>
      <c r="E200" s="8">
        <v>218</v>
      </c>
      <c r="F200" s="131">
        <v>100000</v>
      </c>
      <c r="G200" s="13">
        <v>4800</v>
      </c>
      <c r="H200" s="133">
        <v>41761</v>
      </c>
      <c r="I200" s="10">
        <v>1</v>
      </c>
      <c r="J200" s="8" t="s">
        <v>2308</v>
      </c>
      <c r="K200" s="8" t="s">
        <v>2081</v>
      </c>
      <c r="L200" s="13">
        <v>37894</v>
      </c>
      <c r="M200" s="8" t="s">
        <v>2306</v>
      </c>
      <c r="N200" s="8" t="s">
        <v>88</v>
      </c>
      <c r="O200" s="143" t="s">
        <v>2325</v>
      </c>
      <c r="P200" s="9">
        <v>17277</v>
      </c>
      <c r="Q200" s="9"/>
      <c r="R200" s="8" t="s">
        <v>2049</v>
      </c>
      <c r="S200" s="143"/>
      <c r="T200" s="9"/>
      <c r="U200" s="9"/>
      <c r="V200" s="8"/>
      <c r="W200" s="8" t="s">
        <v>2050</v>
      </c>
    </row>
    <row r="201" spans="1:23" ht="16.5" customHeight="1">
      <c r="A201" s="34"/>
      <c r="C201" s="29"/>
      <c r="D201" s="143">
        <v>30392104</v>
      </c>
      <c r="E201" s="8">
        <v>219</v>
      </c>
      <c r="F201" s="131">
        <v>20000</v>
      </c>
      <c r="G201" s="13">
        <v>1020</v>
      </c>
      <c r="H201" s="133">
        <v>41761</v>
      </c>
      <c r="I201" s="10">
        <v>2</v>
      </c>
      <c r="J201" s="8" t="s">
        <v>2316</v>
      </c>
      <c r="K201" s="8" t="s">
        <v>2201</v>
      </c>
      <c r="L201" s="13">
        <v>7772.6</v>
      </c>
      <c r="M201" s="8" t="s">
        <v>2306</v>
      </c>
      <c r="N201" s="8" t="s">
        <v>88</v>
      </c>
      <c r="O201" s="143" t="s">
        <v>2326</v>
      </c>
      <c r="P201" s="9">
        <v>14715</v>
      </c>
      <c r="Q201" s="9"/>
      <c r="R201" s="8" t="s">
        <v>2049</v>
      </c>
      <c r="S201" s="143" t="s">
        <v>2327</v>
      </c>
      <c r="T201" s="9">
        <v>15010</v>
      </c>
      <c r="U201" s="9"/>
      <c r="V201" s="8" t="s">
        <v>2058</v>
      </c>
      <c r="W201" s="8" t="s">
        <v>2050</v>
      </c>
    </row>
    <row r="202" spans="1:23" ht="15" customHeight="1">
      <c r="A202" s="34"/>
      <c r="C202" s="29"/>
      <c r="D202" s="143">
        <v>7904576</v>
      </c>
      <c r="E202" s="8">
        <v>220</v>
      </c>
      <c r="F202" s="131">
        <v>10000</v>
      </c>
      <c r="G202" s="13">
        <v>510</v>
      </c>
      <c r="H202" s="133">
        <v>41781</v>
      </c>
      <c r="I202" s="10">
        <v>1</v>
      </c>
      <c r="J202" s="8" t="s">
        <v>2308</v>
      </c>
      <c r="K202" s="8" t="s">
        <v>2069</v>
      </c>
      <c r="L202" s="13">
        <v>4099.1000000000004</v>
      </c>
      <c r="M202" s="8" t="s">
        <v>2306</v>
      </c>
      <c r="N202" s="8" t="str">
        <f t="shared" si="10"/>
        <v/>
      </c>
      <c r="O202" s="143" t="s">
        <v>2273</v>
      </c>
      <c r="P202" s="9">
        <v>16326</v>
      </c>
      <c r="Q202" s="9"/>
      <c r="R202" s="8" t="s">
        <v>2049</v>
      </c>
      <c r="S202" s="143"/>
      <c r="T202" s="9"/>
      <c r="U202" s="9"/>
      <c r="V202" s="8"/>
      <c r="W202" s="8" t="s">
        <v>2196</v>
      </c>
    </row>
    <row r="203" spans="1:23" ht="16.5" customHeight="1">
      <c r="A203" s="34"/>
      <c r="C203" s="29"/>
      <c r="D203" s="143">
        <v>77613883</v>
      </c>
      <c r="E203" s="8">
        <v>221</v>
      </c>
      <c r="F203" s="131">
        <v>10000</v>
      </c>
      <c r="G203" s="13">
        <v>780</v>
      </c>
      <c r="H203" s="133">
        <v>41801</v>
      </c>
      <c r="I203" s="10">
        <v>1</v>
      </c>
      <c r="J203" s="8" t="s">
        <v>2308</v>
      </c>
      <c r="K203" s="8" t="s">
        <v>2112</v>
      </c>
      <c r="L203" s="13">
        <v>5659.9</v>
      </c>
      <c r="M203" s="8" t="s">
        <v>2306</v>
      </c>
      <c r="N203" s="8" t="str">
        <f t="shared" si="10"/>
        <v/>
      </c>
      <c r="O203" s="143" t="s">
        <v>2328</v>
      </c>
      <c r="P203" s="9">
        <v>10872</v>
      </c>
      <c r="Q203" s="9"/>
      <c r="R203" s="8" t="s">
        <v>2058</v>
      </c>
      <c r="S203" s="143"/>
      <c r="T203" s="9"/>
      <c r="U203" s="9"/>
      <c r="V203" s="8"/>
      <c r="W203" s="8" t="s">
        <v>2050</v>
      </c>
    </row>
    <row r="204" spans="1:23" ht="16.5" customHeight="1">
      <c r="A204" s="34"/>
      <c r="C204" s="29"/>
      <c r="D204" s="143">
        <v>35288372</v>
      </c>
      <c r="E204" s="8">
        <v>222</v>
      </c>
      <c r="F204" s="131">
        <v>10000</v>
      </c>
      <c r="G204" s="13">
        <v>780</v>
      </c>
      <c r="H204" s="133">
        <v>41843</v>
      </c>
      <c r="I204" s="10">
        <v>1</v>
      </c>
      <c r="J204" s="8" t="s">
        <v>2308</v>
      </c>
      <c r="K204" s="8" t="s">
        <v>2162</v>
      </c>
      <c r="L204" s="13">
        <v>5659.9</v>
      </c>
      <c r="M204" s="8" t="s">
        <v>2329</v>
      </c>
      <c r="N204" s="8"/>
      <c r="O204" s="143" t="s">
        <v>2330</v>
      </c>
      <c r="P204" s="9">
        <v>10677</v>
      </c>
      <c r="Q204" s="9"/>
      <c r="R204" s="8" t="s">
        <v>2049</v>
      </c>
      <c r="S204" s="143"/>
      <c r="T204" s="9"/>
      <c r="U204" s="9"/>
      <c r="V204" s="8"/>
      <c r="W204" s="8" t="s">
        <v>2196</v>
      </c>
    </row>
    <row r="205" spans="1:23" ht="16.5" customHeight="1">
      <c r="A205" s="34"/>
      <c r="C205" s="29"/>
      <c r="D205" s="143">
        <v>91124453</v>
      </c>
      <c r="E205" s="8">
        <v>223</v>
      </c>
      <c r="F205" s="131">
        <v>10000</v>
      </c>
      <c r="G205" s="13">
        <v>740</v>
      </c>
      <c r="H205" s="133">
        <v>41843</v>
      </c>
      <c r="I205" s="10">
        <v>1</v>
      </c>
      <c r="J205" s="8" t="s">
        <v>2308</v>
      </c>
      <c r="K205" s="8" t="s">
        <v>2081</v>
      </c>
      <c r="L205" s="13">
        <v>5388.4</v>
      </c>
      <c r="M205" s="8" t="s">
        <v>2329</v>
      </c>
      <c r="N205" s="8"/>
      <c r="O205" s="143" t="s">
        <v>2331</v>
      </c>
      <c r="P205" s="9">
        <v>11436</v>
      </c>
      <c r="Q205" s="9"/>
      <c r="R205" s="8" t="s">
        <v>2058</v>
      </c>
      <c r="S205" s="143"/>
      <c r="T205" s="9"/>
      <c r="U205" s="9"/>
      <c r="V205" s="8"/>
      <c r="W205" s="8" t="s">
        <v>2050</v>
      </c>
    </row>
    <row r="206" spans="1:23" ht="16.5" customHeight="1">
      <c r="A206" s="34"/>
      <c r="C206" s="29"/>
      <c r="D206" s="143">
        <v>27283589</v>
      </c>
      <c r="E206" s="8">
        <v>225</v>
      </c>
      <c r="F206" s="131">
        <v>10000</v>
      </c>
      <c r="G206" s="13">
        <v>2160</v>
      </c>
      <c r="H206" s="133">
        <v>41852</v>
      </c>
      <c r="I206" s="10">
        <v>1</v>
      </c>
      <c r="J206" s="8" t="s">
        <v>2308</v>
      </c>
      <c r="K206" s="8" t="s">
        <v>2106</v>
      </c>
      <c r="L206" s="13">
        <v>15633.9</v>
      </c>
      <c r="M206" s="8" t="s">
        <v>2329</v>
      </c>
      <c r="N206" s="8" t="str">
        <f>IF(OR(ISBLANK(Q:Q)=FALSE,ISBLANK(U:U)=FALSE),IF(Q:Q&gt;U:U,IF(MONTH(Q:Q)&gt;6,"FY"&amp;RIGHT(YEAR(Q:Q)+1,2),"FY"&amp;RIGHT(YEAR(Q:Q),2)),IF(MONTH(U:U)&gt;6,"FY"&amp;RIGHT(YEAR(U:U)+1,2),"FY"&amp;RIGHT(YEAR(U:U),2))),"")</f>
        <v/>
      </c>
      <c r="O206" s="143" t="s">
        <v>2332</v>
      </c>
      <c r="P206" s="9">
        <v>11970</v>
      </c>
      <c r="Q206" s="9"/>
      <c r="R206" s="8" t="s">
        <v>2058</v>
      </c>
      <c r="S206" s="143"/>
      <c r="T206" s="9"/>
      <c r="U206" s="9"/>
      <c r="V206" s="8"/>
      <c r="W206" s="8" t="s">
        <v>2050</v>
      </c>
    </row>
    <row r="207" spans="1:23" ht="16.5" customHeight="1">
      <c r="A207" s="34"/>
      <c r="C207" s="29"/>
      <c r="D207" s="143">
        <v>40341927</v>
      </c>
      <c r="E207" s="8">
        <v>224</v>
      </c>
      <c r="F207" s="131">
        <v>25000</v>
      </c>
      <c r="G207" s="13">
        <v>2100</v>
      </c>
      <c r="H207" s="133">
        <v>41857</v>
      </c>
      <c r="I207" s="10">
        <v>2</v>
      </c>
      <c r="J207" s="8" t="s">
        <v>2308</v>
      </c>
      <c r="K207" s="8" t="s">
        <v>2174</v>
      </c>
      <c r="L207" s="13">
        <v>13137</v>
      </c>
      <c r="M207" s="8" t="s">
        <v>2329</v>
      </c>
      <c r="N207" s="8" t="s">
        <v>88</v>
      </c>
      <c r="O207" s="143" t="s">
        <v>2232</v>
      </c>
      <c r="P207" s="9">
        <v>8624</v>
      </c>
      <c r="Q207" s="9"/>
      <c r="R207" s="8" t="s">
        <v>2049</v>
      </c>
      <c r="S207" s="143" t="s">
        <v>2233</v>
      </c>
      <c r="T207" s="9">
        <v>8897</v>
      </c>
      <c r="U207" s="9"/>
      <c r="V207" s="8" t="s">
        <v>2058</v>
      </c>
      <c r="W207" s="8" t="s">
        <v>2124</v>
      </c>
    </row>
    <row r="208" spans="1:23" ht="16.5" customHeight="1">
      <c r="A208" s="34"/>
      <c r="C208" s="29"/>
      <c r="D208" s="143">
        <v>10741395</v>
      </c>
      <c r="E208" s="8">
        <v>227</v>
      </c>
      <c r="F208" s="131">
        <v>25000</v>
      </c>
      <c r="G208" s="13">
        <v>1950</v>
      </c>
      <c r="H208" s="133">
        <v>41864</v>
      </c>
      <c r="I208" s="10">
        <v>1</v>
      </c>
      <c r="J208" s="8" t="s">
        <v>2308</v>
      </c>
      <c r="K208" s="8" t="s">
        <v>2274</v>
      </c>
      <c r="L208" s="13">
        <v>14413.75</v>
      </c>
      <c r="M208" s="8" t="s">
        <v>2329</v>
      </c>
      <c r="N208" s="8" t="str">
        <f>IF(OR(ISBLANK(Q:Q)=FALSE,ISBLANK(U:U)=FALSE),IF(Q:Q&gt;U:U,IF(MONTH(Q:Q)&gt;6,"FY"&amp;RIGHT(YEAR(Q:Q)+1,2),"FY"&amp;RIGHT(YEAR(Q:Q),2)),IF(MONTH(U:U)&gt;6,"FY"&amp;RIGHT(YEAR(U:U)+1,2),"FY"&amp;RIGHT(YEAR(U:U),2))),"")</f>
        <v/>
      </c>
      <c r="O208" s="143" t="s">
        <v>2333</v>
      </c>
      <c r="P208" s="9">
        <v>10636</v>
      </c>
      <c r="Q208" s="9"/>
      <c r="R208" s="8" t="s">
        <v>2058</v>
      </c>
      <c r="S208" s="143"/>
      <c r="T208" s="9"/>
      <c r="U208" s="9"/>
      <c r="V208" s="8"/>
      <c r="W208" s="8" t="s">
        <v>2050</v>
      </c>
    </row>
    <row r="209" spans="1:23" ht="16.5" customHeight="1">
      <c r="A209" s="34"/>
      <c r="C209" s="29"/>
      <c r="D209" s="143">
        <v>6414502</v>
      </c>
      <c r="E209" s="8">
        <v>226</v>
      </c>
      <c r="F209" s="131">
        <v>10000</v>
      </c>
      <c r="G209" s="13">
        <v>680</v>
      </c>
      <c r="H209" s="133">
        <v>41900</v>
      </c>
      <c r="I209" s="10">
        <v>1</v>
      </c>
      <c r="J209" s="8" t="s">
        <v>2308</v>
      </c>
      <c r="K209" s="8" t="s">
        <v>2072</v>
      </c>
      <c r="L209" s="13">
        <v>4965.1000000000004</v>
      </c>
      <c r="M209" s="8" t="s">
        <v>2329</v>
      </c>
      <c r="N209" s="8"/>
      <c r="O209" s="143" t="s">
        <v>2334</v>
      </c>
      <c r="P209" s="9">
        <v>12700</v>
      </c>
      <c r="Q209" s="9"/>
      <c r="R209" s="8" t="s">
        <v>2058</v>
      </c>
      <c r="S209" s="143" t="s">
        <v>88</v>
      </c>
      <c r="T209" s="9"/>
      <c r="U209" s="9"/>
      <c r="V209" s="8"/>
      <c r="W209" s="8" t="s">
        <v>2050</v>
      </c>
    </row>
    <row r="210" spans="1:23" ht="16.5" customHeight="1">
      <c r="A210" s="34"/>
      <c r="C210" s="29"/>
      <c r="D210" s="143">
        <v>32577702</v>
      </c>
      <c r="E210" s="8">
        <v>228</v>
      </c>
      <c r="F210" s="131">
        <v>50000</v>
      </c>
      <c r="G210" s="13">
        <v>3500</v>
      </c>
      <c r="H210" s="133">
        <v>41904</v>
      </c>
      <c r="I210" s="10">
        <v>1</v>
      </c>
      <c r="J210" s="8" t="s">
        <v>2308</v>
      </c>
      <c r="K210" s="8" t="s">
        <v>2129</v>
      </c>
      <c r="L210" s="13">
        <v>25424</v>
      </c>
      <c r="M210" s="8" t="s">
        <v>2329</v>
      </c>
      <c r="N210" s="8" t="s">
        <v>88</v>
      </c>
      <c r="O210" s="143" t="s">
        <v>2335</v>
      </c>
      <c r="P210" s="9">
        <v>12377</v>
      </c>
      <c r="Q210" s="9"/>
      <c r="R210" s="8" t="s">
        <v>2049</v>
      </c>
      <c r="S210" s="143"/>
      <c r="T210" s="9"/>
      <c r="U210" s="9"/>
      <c r="V210" s="8"/>
      <c r="W210" s="8" t="s">
        <v>2050</v>
      </c>
    </row>
    <row r="211" spans="1:23" ht="16.5" customHeight="1">
      <c r="A211" s="34"/>
      <c r="C211" s="29"/>
      <c r="D211" s="143">
        <v>989152</v>
      </c>
      <c r="E211" s="8">
        <v>229</v>
      </c>
      <c r="F211" s="131">
        <v>5000</v>
      </c>
      <c r="G211" s="13">
        <v>410</v>
      </c>
      <c r="H211" s="133">
        <v>41942</v>
      </c>
      <c r="I211" s="10">
        <v>1</v>
      </c>
      <c r="J211" s="8" t="s">
        <v>2308</v>
      </c>
      <c r="K211" s="8" t="s">
        <v>65</v>
      </c>
      <c r="L211" s="13">
        <v>2955.6</v>
      </c>
      <c r="M211" s="8" t="s">
        <v>2329</v>
      </c>
      <c r="N211" s="8" t="str">
        <f t="shared" ref="N211:N216" si="11">IF(OR(ISBLANK(Q:Q)=FALSE,ISBLANK(U:U)=FALSE),IF(Q:Q&gt;U:U,IF(MONTH(Q:Q)&gt;6,"FY"&amp;RIGHT(YEAR(Q:Q)+1,2),"FY"&amp;RIGHT(YEAR(Q:Q),2)),IF(MONTH(U:U)&gt;6,"FY"&amp;RIGHT(YEAR(U:U)+1,2),"FY"&amp;RIGHT(YEAR(U:U),2))),"")</f>
        <v/>
      </c>
      <c r="O211" s="143" t="s">
        <v>2336</v>
      </c>
      <c r="P211" s="9">
        <v>10282</v>
      </c>
      <c r="Q211" s="9"/>
      <c r="R211" s="8" t="s">
        <v>2049</v>
      </c>
      <c r="S211" s="143"/>
      <c r="T211" s="9"/>
      <c r="U211" s="9"/>
      <c r="V211" s="8"/>
      <c r="W211" s="8" t="s">
        <v>2312</v>
      </c>
    </row>
    <row r="212" spans="1:23" ht="16.5" customHeight="1">
      <c r="A212" s="34"/>
      <c r="C212" s="29"/>
      <c r="D212" s="143">
        <v>257105</v>
      </c>
      <c r="E212" s="8">
        <v>232</v>
      </c>
      <c r="F212" s="131">
        <v>25000</v>
      </c>
      <c r="G212" s="13">
        <v>1850</v>
      </c>
      <c r="H212" s="133">
        <v>41951</v>
      </c>
      <c r="I212" s="10">
        <v>1</v>
      </c>
      <c r="J212" s="8" t="s">
        <v>2308</v>
      </c>
      <c r="K212" s="8" t="s">
        <v>2059</v>
      </c>
      <c r="L212" s="13">
        <v>13359</v>
      </c>
      <c r="M212" s="8" t="s">
        <v>2329</v>
      </c>
      <c r="N212" s="8" t="str">
        <f t="shared" si="11"/>
        <v/>
      </c>
      <c r="O212" s="143" t="s">
        <v>2197</v>
      </c>
      <c r="P212" s="9">
        <v>11635</v>
      </c>
      <c r="Q212" s="9"/>
      <c r="R212" s="8" t="s">
        <v>2058</v>
      </c>
      <c r="S212" s="143"/>
      <c r="T212" s="9"/>
      <c r="U212" s="9"/>
      <c r="V212" s="8"/>
      <c r="W212" s="8" t="s">
        <v>2337</v>
      </c>
    </row>
    <row r="213" spans="1:23" ht="16.5" customHeight="1">
      <c r="A213" s="34"/>
      <c r="C213" s="29"/>
      <c r="D213" s="143">
        <v>7904576</v>
      </c>
      <c r="E213" s="8">
        <v>230</v>
      </c>
      <c r="F213" s="131">
        <v>10000</v>
      </c>
      <c r="G213" s="13">
        <v>510</v>
      </c>
      <c r="H213" s="133">
        <v>41953</v>
      </c>
      <c r="I213" s="10">
        <v>1</v>
      </c>
      <c r="J213" s="8" t="s">
        <v>2308</v>
      </c>
      <c r="K213" s="8" t="s">
        <v>2069</v>
      </c>
      <c r="L213" s="13">
        <v>4001.7</v>
      </c>
      <c r="M213" s="8" t="s">
        <v>2329</v>
      </c>
      <c r="N213" s="8" t="str">
        <f t="shared" si="11"/>
        <v/>
      </c>
      <c r="O213" s="143" t="s">
        <v>2273</v>
      </c>
      <c r="P213" s="9">
        <v>16326</v>
      </c>
      <c r="Q213" s="9"/>
      <c r="R213" s="8" t="s">
        <v>2049</v>
      </c>
      <c r="S213" s="143"/>
      <c r="T213" s="9"/>
      <c r="U213" s="9"/>
      <c r="V213" s="8"/>
      <c r="W213" s="8" t="s">
        <v>2244</v>
      </c>
    </row>
    <row r="214" spans="1:23" ht="15.75" customHeight="1">
      <c r="A214" s="34"/>
      <c r="C214" s="29" t="s">
        <v>238</v>
      </c>
      <c r="D214" s="143">
        <v>5354121</v>
      </c>
      <c r="E214" s="8">
        <v>234</v>
      </c>
      <c r="F214" s="131">
        <v>20000</v>
      </c>
      <c r="G214" s="13">
        <v>1420</v>
      </c>
      <c r="H214" s="133">
        <v>41974</v>
      </c>
      <c r="I214" s="10">
        <v>2</v>
      </c>
      <c r="J214" s="8" t="s">
        <v>2308</v>
      </c>
      <c r="K214" s="8" t="s">
        <v>2046</v>
      </c>
      <c r="L214" s="13">
        <v>9891.7999999999993</v>
      </c>
      <c r="M214" s="8" t="s">
        <v>2329</v>
      </c>
      <c r="N214" s="8" t="str">
        <f t="shared" si="11"/>
        <v>FY20</v>
      </c>
      <c r="O214" s="143" t="s">
        <v>2101</v>
      </c>
      <c r="P214" s="9">
        <v>10362</v>
      </c>
      <c r="Q214" s="9">
        <v>42865</v>
      </c>
      <c r="R214" s="8" t="s">
        <v>2049</v>
      </c>
      <c r="S214" s="143" t="s">
        <v>2102</v>
      </c>
      <c r="T214" s="9">
        <v>10617</v>
      </c>
      <c r="U214" s="9">
        <v>43892</v>
      </c>
      <c r="V214" s="8" t="s">
        <v>2058</v>
      </c>
      <c r="W214" s="8" t="s">
        <v>2196</v>
      </c>
    </row>
    <row r="215" spans="1:23" ht="16.5" customHeight="1">
      <c r="A215" s="34"/>
      <c r="C215" s="29"/>
      <c r="D215" s="143">
        <v>30269799</v>
      </c>
      <c r="E215" s="8">
        <v>235</v>
      </c>
      <c r="F215" s="131">
        <v>250000</v>
      </c>
      <c r="G215" s="13">
        <v>12000</v>
      </c>
      <c r="H215" s="133">
        <v>41976</v>
      </c>
      <c r="I215" s="10">
        <v>2</v>
      </c>
      <c r="J215" s="8" t="s">
        <v>2308</v>
      </c>
      <c r="K215" s="8" t="s">
        <v>2046</v>
      </c>
      <c r="L215" s="13">
        <v>87500</v>
      </c>
      <c r="M215" s="8" t="s">
        <v>2329</v>
      </c>
      <c r="N215" s="8" t="str">
        <f t="shared" si="11"/>
        <v/>
      </c>
      <c r="O215" s="144" t="s">
        <v>2260</v>
      </c>
      <c r="P215" s="9">
        <v>14715</v>
      </c>
      <c r="Q215" s="9"/>
      <c r="R215" s="8" t="s">
        <v>2049</v>
      </c>
      <c r="S215" s="143" t="s">
        <v>2261</v>
      </c>
      <c r="T215" s="9">
        <v>16157</v>
      </c>
      <c r="U215" s="9"/>
      <c r="V215" s="8" t="s">
        <v>2058</v>
      </c>
      <c r="W215" s="8" t="s">
        <v>2124</v>
      </c>
    </row>
    <row r="216" spans="1:23" ht="16.5" customHeight="1">
      <c r="A216" s="34"/>
      <c r="C216" s="29" t="s">
        <v>238</v>
      </c>
      <c r="D216" s="143">
        <v>178103</v>
      </c>
      <c r="E216" s="8">
        <v>238</v>
      </c>
      <c r="F216" s="131">
        <v>10000</v>
      </c>
      <c r="G216" s="13">
        <v>800</v>
      </c>
      <c r="H216" s="133">
        <v>41978</v>
      </c>
      <c r="I216" s="10">
        <v>1</v>
      </c>
      <c r="J216" s="8" t="s">
        <v>2308</v>
      </c>
      <c r="K216" s="8" t="s">
        <v>2162</v>
      </c>
      <c r="L216" s="13">
        <v>5765.5</v>
      </c>
      <c r="M216" s="8" t="s">
        <v>2329</v>
      </c>
      <c r="N216" s="8" t="str">
        <f t="shared" si="11"/>
        <v>FY18</v>
      </c>
      <c r="O216" s="143" t="s">
        <v>2217</v>
      </c>
      <c r="P216" s="9">
        <v>10651</v>
      </c>
      <c r="Q216" s="314">
        <v>43100</v>
      </c>
      <c r="R216" s="8" t="s">
        <v>2049</v>
      </c>
      <c r="S216" s="143"/>
      <c r="T216" s="9"/>
      <c r="U216" s="9"/>
      <c r="V216" s="8"/>
      <c r="W216" s="8" t="s">
        <v>2124</v>
      </c>
    </row>
    <row r="217" spans="1:23" ht="16.5" customHeight="1">
      <c r="A217" s="34"/>
      <c r="C217" s="29"/>
      <c r="D217" s="143">
        <v>9493479</v>
      </c>
      <c r="E217" s="8">
        <v>236</v>
      </c>
      <c r="F217" s="131">
        <v>10000</v>
      </c>
      <c r="G217" s="13">
        <v>580</v>
      </c>
      <c r="H217" s="133">
        <v>41979</v>
      </c>
      <c r="I217" s="10">
        <v>1</v>
      </c>
      <c r="J217" s="8" t="s">
        <v>2308</v>
      </c>
      <c r="K217" s="8" t="s">
        <v>2240</v>
      </c>
      <c r="L217" s="13">
        <v>4502.8</v>
      </c>
      <c r="M217" s="8" t="s">
        <v>2329</v>
      </c>
      <c r="N217" s="8"/>
      <c r="O217" s="143" t="s">
        <v>2245</v>
      </c>
      <c r="P217" s="9">
        <v>14447</v>
      </c>
      <c r="Q217" s="9"/>
      <c r="R217" s="8" t="s">
        <v>2058</v>
      </c>
      <c r="S217" s="143"/>
      <c r="T217" s="9"/>
      <c r="U217" s="9"/>
      <c r="V217" s="8"/>
      <c r="W217" s="8" t="s">
        <v>2244</v>
      </c>
    </row>
    <row r="218" spans="1:23" ht="16.5" customHeight="1">
      <c r="A218" s="34"/>
      <c r="C218" s="29"/>
      <c r="D218" s="143">
        <v>24496879</v>
      </c>
      <c r="E218" s="8">
        <v>237</v>
      </c>
      <c r="F218" s="131">
        <v>100000</v>
      </c>
      <c r="G218" s="13">
        <v>7800</v>
      </c>
      <c r="H218" s="133">
        <v>41983</v>
      </c>
      <c r="I218" s="10">
        <v>1</v>
      </c>
      <c r="J218" s="8" t="s">
        <v>2308</v>
      </c>
      <c r="K218" s="8" t="s">
        <v>2089</v>
      </c>
      <c r="L218" s="13">
        <v>56216</v>
      </c>
      <c r="M218" s="8" t="s">
        <v>2329</v>
      </c>
      <c r="N218" s="8" t="s">
        <v>88</v>
      </c>
      <c r="O218" s="143" t="s">
        <v>2202</v>
      </c>
      <c r="P218" s="9">
        <v>11054</v>
      </c>
      <c r="Q218" s="9"/>
      <c r="R218" s="8" t="s">
        <v>2049</v>
      </c>
      <c r="S218" s="143"/>
      <c r="T218" s="9"/>
      <c r="U218" s="9"/>
      <c r="V218" s="8"/>
      <c r="W218" s="8" t="s">
        <v>2124</v>
      </c>
    </row>
    <row r="219" spans="1:23" ht="16.5" customHeight="1">
      <c r="A219" s="34"/>
      <c r="C219" s="29" t="s">
        <v>238</v>
      </c>
      <c r="D219" s="143">
        <v>4493474</v>
      </c>
      <c r="E219" s="8">
        <v>239</v>
      </c>
      <c r="F219" s="131">
        <v>10000</v>
      </c>
      <c r="G219" s="13">
        <v>900</v>
      </c>
      <c r="H219" s="133">
        <v>41984</v>
      </c>
      <c r="I219" s="10">
        <v>1</v>
      </c>
      <c r="J219" s="8" t="s">
        <v>2308</v>
      </c>
      <c r="K219" s="8" t="s">
        <v>2185</v>
      </c>
      <c r="L219" s="13">
        <v>7627.6</v>
      </c>
      <c r="M219" s="8" t="s">
        <v>2329</v>
      </c>
      <c r="N219" s="8" t="str">
        <f t="shared" ref="N219:N224" si="12">IF(OR(ISBLANK(Q:Q)=FALSE,ISBLANK(U:U)=FALSE),IF(Q:Q&gt;U:U,IF(MONTH(Q:Q)&gt;6,"FY"&amp;RIGHT(YEAR(Q:Q)+1,2),"FY"&amp;RIGHT(YEAR(Q:Q),2)),IF(MONTH(U:U)&gt;6,"FY"&amp;RIGHT(YEAR(U:U)+1,2),"FY"&amp;RIGHT(YEAR(U:U),2))),"")</f>
        <v>FY18</v>
      </c>
      <c r="O219" s="143" t="s">
        <v>2186</v>
      </c>
      <c r="P219" s="9">
        <v>43167</v>
      </c>
      <c r="Q219" s="9">
        <v>43175</v>
      </c>
      <c r="R219" s="8" t="s">
        <v>2058</v>
      </c>
      <c r="S219" s="143"/>
      <c r="T219" s="9"/>
      <c r="U219" s="9"/>
      <c r="V219" s="8"/>
      <c r="W219" s="8" t="s">
        <v>2124</v>
      </c>
    </row>
    <row r="220" spans="1:23" ht="16.5" customHeight="1">
      <c r="A220" s="34"/>
      <c r="C220" s="29"/>
      <c r="D220" s="143">
        <v>28718815</v>
      </c>
      <c r="E220" s="8">
        <v>233</v>
      </c>
      <c r="F220" s="131">
        <v>22662.92</v>
      </c>
      <c r="G220" s="13">
        <v>1359.8</v>
      </c>
      <c r="H220" s="133">
        <v>41997</v>
      </c>
      <c r="I220" s="10">
        <v>1</v>
      </c>
      <c r="J220" s="8" t="s">
        <v>2308</v>
      </c>
      <c r="K220" s="8" t="s">
        <v>2046</v>
      </c>
      <c r="L220" s="13">
        <v>10365.57</v>
      </c>
      <c r="M220" s="8" t="s">
        <v>2329</v>
      </c>
      <c r="N220" s="8" t="s">
        <v>88</v>
      </c>
      <c r="O220" s="143" t="s">
        <v>2338</v>
      </c>
      <c r="P220" s="9">
        <v>14268</v>
      </c>
      <c r="Q220" s="9"/>
      <c r="R220" s="8" t="s">
        <v>2058</v>
      </c>
      <c r="S220" s="143"/>
      <c r="T220" s="9"/>
      <c r="U220" s="9"/>
      <c r="V220" s="8"/>
      <c r="W220" s="8" t="s">
        <v>2050</v>
      </c>
    </row>
    <row r="221" spans="1:23" ht="16.5" customHeight="1">
      <c r="A221" s="34"/>
      <c r="C221" s="29" t="s">
        <v>238</v>
      </c>
      <c r="D221" s="143">
        <v>91568246</v>
      </c>
      <c r="E221" s="8">
        <v>241</v>
      </c>
      <c r="F221" s="131">
        <v>20000</v>
      </c>
      <c r="G221" s="13">
        <v>1800</v>
      </c>
      <c r="H221" s="133">
        <v>42003</v>
      </c>
      <c r="I221" s="10">
        <v>1</v>
      </c>
      <c r="J221" s="8" t="s">
        <v>2308</v>
      </c>
      <c r="K221" s="8" t="s">
        <v>2299</v>
      </c>
      <c r="L221" s="13">
        <v>14225</v>
      </c>
      <c r="M221" s="8" t="s">
        <v>2329</v>
      </c>
      <c r="N221" s="8" t="str">
        <f t="shared" si="12"/>
        <v>FY15</v>
      </c>
      <c r="O221" s="143" t="s">
        <v>2339</v>
      </c>
      <c r="P221" s="9">
        <v>7846</v>
      </c>
      <c r="Q221" s="9">
        <v>42123</v>
      </c>
      <c r="R221" s="8" t="s">
        <v>2049</v>
      </c>
      <c r="S221" s="143"/>
      <c r="T221" s="9"/>
      <c r="U221" s="9"/>
      <c r="V221" s="8"/>
      <c r="W221" s="8" t="s">
        <v>2050</v>
      </c>
    </row>
    <row r="222" spans="1:23" ht="16.5" customHeight="1">
      <c r="A222" s="34"/>
      <c r="C222" s="29"/>
      <c r="D222" s="143">
        <v>38355731</v>
      </c>
      <c r="E222" s="8">
        <v>242</v>
      </c>
      <c r="F222" s="131">
        <v>10000</v>
      </c>
      <c r="G222" s="13">
        <v>540</v>
      </c>
      <c r="H222" s="133">
        <v>42003</v>
      </c>
      <c r="I222" s="10">
        <v>1</v>
      </c>
      <c r="J222" s="8" t="s">
        <v>2308</v>
      </c>
      <c r="K222" s="8" t="s">
        <v>2112</v>
      </c>
      <c r="L222" s="13">
        <v>4151</v>
      </c>
      <c r="M222" s="8" t="s">
        <v>2329</v>
      </c>
      <c r="N222" s="8" t="str">
        <f t="shared" si="12"/>
        <v/>
      </c>
      <c r="O222" s="143" t="s">
        <v>2340</v>
      </c>
      <c r="P222" s="9">
        <v>15783</v>
      </c>
      <c r="Q222" s="9"/>
      <c r="R222" s="8" t="s">
        <v>2049</v>
      </c>
      <c r="S222" s="143"/>
      <c r="T222" s="9"/>
      <c r="U222" s="9"/>
      <c r="V222" s="8"/>
      <c r="W222" s="8" t="s">
        <v>2050</v>
      </c>
    </row>
    <row r="223" spans="1:23" ht="16.5" customHeight="1">
      <c r="A223" s="34"/>
      <c r="C223" s="29"/>
      <c r="D223" s="143">
        <v>30547376</v>
      </c>
      <c r="E223" s="8">
        <v>240</v>
      </c>
      <c r="F223" s="131">
        <v>20017.5</v>
      </c>
      <c r="G223" s="13">
        <v>1241.1199999999999</v>
      </c>
      <c r="H223" s="133">
        <v>42019</v>
      </c>
      <c r="I223" s="10">
        <v>1</v>
      </c>
      <c r="J223" s="8" t="s">
        <v>2308</v>
      </c>
      <c r="K223" s="8" t="s">
        <v>2185</v>
      </c>
      <c r="L223" s="13">
        <v>9320.9500000000007</v>
      </c>
      <c r="M223" s="8" t="s">
        <v>2329</v>
      </c>
      <c r="N223" s="8" t="s">
        <v>88</v>
      </c>
      <c r="O223" s="143" t="s">
        <v>2341</v>
      </c>
      <c r="P223" s="9">
        <v>14060</v>
      </c>
      <c r="Q223" s="9"/>
      <c r="R223" s="8" t="s">
        <v>2049</v>
      </c>
      <c r="S223" s="143"/>
      <c r="T223" s="9"/>
      <c r="U223" s="9"/>
      <c r="V223" s="8"/>
      <c r="W223" s="8" t="s">
        <v>2050</v>
      </c>
    </row>
    <row r="224" spans="1:23" ht="16.5" customHeight="1">
      <c r="A224" s="34"/>
      <c r="C224" s="29"/>
      <c r="D224" s="1002">
        <v>33619990</v>
      </c>
      <c r="E224" s="8">
        <v>243</v>
      </c>
      <c r="F224" s="131">
        <v>10000</v>
      </c>
      <c r="G224" s="13">
        <v>640</v>
      </c>
      <c r="H224" s="133">
        <v>42066</v>
      </c>
      <c r="I224" s="10">
        <v>1</v>
      </c>
      <c r="J224" s="8" t="s">
        <v>2308</v>
      </c>
      <c r="K224" s="8" t="s">
        <v>2046</v>
      </c>
      <c r="L224" s="13">
        <v>4750</v>
      </c>
      <c r="M224" s="8" t="s">
        <v>2329</v>
      </c>
      <c r="N224" s="8" t="str">
        <f t="shared" si="12"/>
        <v/>
      </c>
      <c r="O224" s="143" t="s">
        <v>2342</v>
      </c>
      <c r="P224" s="9">
        <v>13475</v>
      </c>
      <c r="Q224" s="9"/>
      <c r="R224" s="8" t="s">
        <v>2049</v>
      </c>
      <c r="S224" s="143"/>
      <c r="T224" s="9"/>
      <c r="U224" s="9"/>
      <c r="V224" s="8"/>
      <c r="W224" s="8" t="s">
        <v>2050</v>
      </c>
    </row>
    <row r="225" spans="1:23" ht="16.5" customHeight="1">
      <c r="A225" s="34"/>
      <c r="C225" s="29"/>
      <c r="D225" s="143">
        <v>6510</v>
      </c>
      <c r="E225" s="8">
        <v>244</v>
      </c>
      <c r="F225" s="131">
        <v>20000</v>
      </c>
      <c r="G225" s="13">
        <v>1540</v>
      </c>
      <c r="H225" s="133">
        <v>42079</v>
      </c>
      <c r="I225" s="10">
        <v>2</v>
      </c>
      <c r="J225" s="8" t="s">
        <v>2316</v>
      </c>
      <c r="K225" s="8" t="s">
        <v>2052</v>
      </c>
      <c r="L225" s="13">
        <v>11377.8</v>
      </c>
      <c r="M225" s="8" t="s">
        <v>2329</v>
      </c>
      <c r="N225" s="8"/>
      <c r="O225" s="143" t="s">
        <v>2193</v>
      </c>
      <c r="P225" s="9">
        <v>12849</v>
      </c>
      <c r="Q225" s="9"/>
      <c r="R225" s="8" t="s">
        <v>2058</v>
      </c>
      <c r="S225" s="143" t="s">
        <v>2343</v>
      </c>
      <c r="T225" s="9">
        <v>14420</v>
      </c>
      <c r="U225" s="9"/>
      <c r="V225" s="8" t="s">
        <v>2049</v>
      </c>
      <c r="W225" s="8" t="s">
        <v>2124</v>
      </c>
    </row>
    <row r="226" spans="1:23" ht="16.5" customHeight="1">
      <c r="A226" s="34"/>
      <c r="C226" s="29"/>
      <c r="D226" s="142">
        <v>39546981</v>
      </c>
      <c r="E226" s="3">
        <v>246</v>
      </c>
      <c r="F226" s="137">
        <v>50000</v>
      </c>
      <c r="G226" s="138">
        <v>3200</v>
      </c>
      <c r="H226" s="132">
        <v>42131</v>
      </c>
      <c r="I226" s="4">
        <v>1</v>
      </c>
      <c r="J226" s="8" t="s">
        <v>2308</v>
      </c>
      <c r="K226" s="3" t="s">
        <v>2129</v>
      </c>
      <c r="L226" s="138">
        <v>23426</v>
      </c>
      <c r="M226" s="3" t="s">
        <v>2329</v>
      </c>
      <c r="N226" s="3" t="str">
        <f t="shared" ref="N226:N232" si="13">IF(OR(ISBLANK(Q:Q)=FALSE,ISBLANK(U:U)=FALSE),IF(Q:Q&gt;U:U,IF(MONTH(Q:Q)&gt;6,"FY"&amp;RIGHT(YEAR(Q:Q)+1,2),"FY"&amp;RIGHT(YEAR(Q:Q),2)),IF(MONTH(U:U)&gt;6,"FY"&amp;RIGHT(YEAR(U:U)+1,2),"FY"&amp;RIGHT(YEAR(U:U),2))),"")</f>
        <v/>
      </c>
      <c r="O226" s="142" t="s">
        <v>2303</v>
      </c>
      <c r="P226" s="5">
        <v>13520</v>
      </c>
      <c r="Q226" s="5"/>
      <c r="R226" s="3" t="s">
        <v>2058</v>
      </c>
      <c r="S226" s="142"/>
      <c r="T226" s="5"/>
      <c r="U226" s="5"/>
      <c r="V226" s="3"/>
      <c r="W226" s="3" t="s">
        <v>2196</v>
      </c>
    </row>
    <row r="227" spans="1:23" ht="16.5" customHeight="1">
      <c r="A227" s="34"/>
      <c r="C227" s="29"/>
      <c r="D227" s="143">
        <v>56562002</v>
      </c>
      <c r="E227" s="8">
        <v>245</v>
      </c>
      <c r="F227" s="131">
        <v>25000</v>
      </c>
      <c r="G227" s="13">
        <v>247</v>
      </c>
      <c r="H227" s="133">
        <v>42143</v>
      </c>
      <c r="I227" s="10">
        <v>1</v>
      </c>
      <c r="J227" s="8" t="s">
        <v>2308</v>
      </c>
      <c r="K227" s="8" t="s">
        <v>2162</v>
      </c>
      <c r="L227" s="13">
        <v>9791.5</v>
      </c>
      <c r="M227" s="8" t="s">
        <v>2329</v>
      </c>
      <c r="N227" s="8" t="s">
        <v>88</v>
      </c>
      <c r="O227" s="143" t="s">
        <v>2344</v>
      </c>
      <c r="P227" s="9">
        <v>16131</v>
      </c>
      <c r="Q227" s="9"/>
      <c r="R227" s="8" t="s">
        <v>2049</v>
      </c>
      <c r="S227" s="143"/>
      <c r="T227" s="9"/>
      <c r="U227" s="9"/>
      <c r="V227" s="8"/>
      <c r="W227" s="8" t="s">
        <v>2050</v>
      </c>
    </row>
    <row r="228" spans="1:23" ht="16.5" customHeight="1">
      <c r="A228" s="34"/>
      <c r="C228" s="29"/>
      <c r="D228" s="143">
        <v>17554528</v>
      </c>
      <c r="E228" s="8">
        <v>247</v>
      </c>
      <c r="F228" s="131">
        <v>15000</v>
      </c>
      <c r="G228" s="13">
        <v>960</v>
      </c>
      <c r="H228" s="133">
        <v>42147</v>
      </c>
      <c r="I228" s="10">
        <v>1</v>
      </c>
      <c r="J228" s="8" t="s">
        <v>2308</v>
      </c>
      <c r="K228" s="8" t="s">
        <v>2089</v>
      </c>
      <c r="L228" s="13">
        <v>7015.2</v>
      </c>
      <c r="M228" s="8" t="s">
        <v>2329</v>
      </c>
      <c r="N228" s="8" t="str">
        <f t="shared" si="13"/>
        <v/>
      </c>
      <c r="O228" s="143" t="s">
        <v>2345</v>
      </c>
      <c r="P228" s="9">
        <v>13605</v>
      </c>
      <c r="Q228" s="9"/>
      <c r="R228" s="8" t="s">
        <v>2058</v>
      </c>
      <c r="S228" s="143"/>
      <c r="T228" s="9"/>
      <c r="U228" s="9"/>
      <c r="V228" s="8"/>
      <c r="W228" s="8" t="s">
        <v>2050</v>
      </c>
    </row>
    <row r="229" spans="1:23" ht="16.5" customHeight="1">
      <c r="A229" s="34"/>
      <c r="C229" s="29"/>
      <c r="D229" s="143">
        <v>10129187</v>
      </c>
      <c r="E229" s="8">
        <v>249</v>
      </c>
      <c r="F229" s="131">
        <v>25000</v>
      </c>
      <c r="G229" s="13">
        <v>1100</v>
      </c>
      <c r="H229" s="133">
        <v>42198</v>
      </c>
      <c r="I229" s="10">
        <v>2</v>
      </c>
      <c r="J229" s="8" t="s">
        <v>2308</v>
      </c>
      <c r="K229" s="8" t="s">
        <v>2313</v>
      </c>
      <c r="L229" s="13">
        <v>7066.5</v>
      </c>
      <c r="M229" s="8" t="s">
        <v>2346</v>
      </c>
      <c r="N229" s="8" t="s">
        <v>88</v>
      </c>
      <c r="O229" s="143" t="s">
        <v>2347</v>
      </c>
      <c r="P229" s="9">
        <v>17481</v>
      </c>
      <c r="Q229" s="9"/>
      <c r="R229" s="8" t="s">
        <v>2049</v>
      </c>
      <c r="S229" s="143" t="s">
        <v>2348</v>
      </c>
      <c r="T229" s="9">
        <v>17553</v>
      </c>
      <c r="U229" s="9"/>
      <c r="V229" s="8" t="s">
        <v>2058</v>
      </c>
      <c r="W229" s="8" t="s">
        <v>2050</v>
      </c>
    </row>
    <row r="230" spans="1:23" ht="16.5" customHeight="1">
      <c r="A230" s="34"/>
      <c r="C230" s="29"/>
      <c r="D230" s="143">
        <v>24642746</v>
      </c>
      <c r="E230" s="8">
        <v>248</v>
      </c>
      <c r="F230" s="131">
        <v>16628</v>
      </c>
      <c r="G230" s="13">
        <v>1197.24</v>
      </c>
      <c r="H230" s="133">
        <v>42201</v>
      </c>
      <c r="I230" s="10">
        <v>1</v>
      </c>
      <c r="J230" s="8" t="s">
        <v>2058</v>
      </c>
      <c r="K230" s="8" t="s">
        <v>2174</v>
      </c>
      <c r="L230" s="13">
        <v>9024.02</v>
      </c>
      <c r="M230" s="8" t="s">
        <v>2346</v>
      </c>
      <c r="N230" s="8" t="str">
        <f t="shared" si="13"/>
        <v/>
      </c>
      <c r="O230" s="143" t="s">
        <v>2277</v>
      </c>
      <c r="P230" s="9">
        <v>13752</v>
      </c>
      <c r="Q230" s="9"/>
      <c r="R230" s="8" t="s">
        <v>2058</v>
      </c>
      <c r="S230" s="143"/>
      <c r="T230" s="9"/>
      <c r="U230" s="9"/>
      <c r="V230" s="8"/>
      <c r="W230" s="8" t="s">
        <v>2124</v>
      </c>
    </row>
    <row r="231" spans="1:23" ht="16.5" customHeight="1">
      <c r="A231" s="34"/>
      <c r="C231" s="29"/>
      <c r="D231" s="143">
        <v>24642746</v>
      </c>
      <c r="E231" s="8">
        <v>250</v>
      </c>
      <c r="F231" s="131">
        <v>15910</v>
      </c>
      <c r="G231" s="13">
        <v>1145.52</v>
      </c>
      <c r="H231" s="133">
        <v>42209</v>
      </c>
      <c r="I231" s="10">
        <v>1</v>
      </c>
      <c r="J231" s="8" t="s">
        <v>2058</v>
      </c>
      <c r="K231" s="8" t="s">
        <v>2174</v>
      </c>
      <c r="L231" s="13">
        <v>8634.52</v>
      </c>
      <c r="M231" s="8" t="s">
        <v>2346</v>
      </c>
      <c r="N231" s="8" t="str">
        <f t="shared" si="13"/>
        <v/>
      </c>
      <c r="O231" s="143" t="s">
        <v>2277</v>
      </c>
      <c r="P231" s="9">
        <v>17404</v>
      </c>
      <c r="Q231" s="9"/>
      <c r="R231" s="8" t="s">
        <v>2058</v>
      </c>
      <c r="S231" s="143"/>
      <c r="T231" s="9"/>
      <c r="U231" s="9"/>
      <c r="V231" s="8"/>
      <c r="W231" s="8" t="s">
        <v>2196</v>
      </c>
    </row>
    <row r="232" spans="1:23" ht="16.5" customHeight="1">
      <c r="A232" s="34"/>
      <c r="C232" s="29"/>
      <c r="D232" s="143">
        <v>24296279</v>
      </c>
      <c r="E232" s="8">
        <v>253</v>
      </c>
      <c r="F232" s="131">
        <v>10000</v>
      </c>
      <c r="G232" s="13">
        <v>490</v>
      </c>
      <c r="H232" s="133">
        <v>42243</v>
      </c>
      <c r="I232" s="10">
        <v>2</v>
      </c>
      <c r="J232" s="8" t="s">
        <v>2308</v>
      </c>
      <c r="K232" s="8" t="s">
        <v>2081</v>
      </c>
      <c r="L232" s="13">
        <v>3555.2</v>
      </c>
      <c r="M232" s="8" t="s">
        <v>2346</v>
      </c>
      <c r="N232" s="8" t="str">
        <f t="shared" si="13"/>
        <v/>
      </c>
      <c r="O232" s="143" t="s">
        <v>2349</v>
      </c>
      <c r="P232" s="9">
        <v>14058</v>
      </c>
      <c r="Q232" s="9"/>
      <c r="R232" s="8" t="s">
        <v>2049</v>
      </c>
      <c r="S232" s="143" t="s">
        <v>2350</v>
      </c>
      <c r="T232" s="9">
        <v>16435</v>
      </c>
      <c r="U232" s="9"/>
      <c r="V232" s="8" t="s">
        <v>2058</v>
      </c>
      <c r="W232" s="8" t="s">
        <v>2050</v>
      </c>
    </row>
    <row r="233" spans="1:23" ht="16.5" customHeight="1">
      <c r="A233" s="34"/>
      <c r="C233" s="29"/>
      <c r="D233" s="143">
        <v>7904576</v>
      </c>
      <c r="E233" s="8">
        <v>251</v>
      </c>
      <c r="F233" s="131">
        <v>5000</v>
      </c>
      <c r="G233" s="13">
        <v>265</v>
      </c>
      <c r="H233" s="133">
        <v>42244</v>
      </c>
      <c r="I233" s="10">
        <v>1</v>
      </c>
      <c r="J233" s="8" t="s">
        <v>2308</v>
      </c>
      <c r="K233" s="8" t="s">
        <v>2069</v>
      </c>
      <c r="L233" s="13">
        <v>2006.85</v>
      </c>
      <c r="M233" s="8" t="s">
        <v>2346</v>
      </c>
      <c r="N233" s="8" t="s">
        <v>88</v>
      </c>
      <c r="O233" s="143" t="s">
        <v>2273</v>
      </c>
      <c r="P233" s="9">
        <v>16326</v>
      </c>
      <c r="Q233" s="9"/>
      <c r="R233" s="8" t="s">
        <v>2049</v>
      </c>
      <c r="S233" s="143"/>
      <c r="T233" s="9"/>
      <c r="U233" s="9"/>
      <c r="V233" s="8"/>
      <c r="W233" s="8" t="s">
        <v>2292</v>
      </c>
    </row>
    <row r="234" spans="1:23" ht="16.5" customHeight="1">
      <c r="A234" s="34"/>
      <c r="C234" s="29" t="s">
        <v>238</v>
      </c>
      <c r="D234" s="143">
        <v>943365</v>
      </c>
      <c r="E234" s="8">
        <v>254</v>
      </c>
      <c r="F234" s="131">
        <v>10000</v>
      </c>
      <c r="G234" s="13">
        <v>800</v>
      </c>
      <c r="H234" s="133">
        <v>42248</v>
      </c>
      <c r="I234" s="10">
        <v>1</v>
      </c>
      <c r="J234" s="8" t="s">
        <v>2308</v>
      </c>
      <c r="K234" s="8" t="s">
        <v>2106</v>
      </c>
      <c r="L234" s="13">
        <v>5765.5</v>
      </c>
      <c r="M234" s="8" t="s">
        <v>2346</v>
      </c>
      <c r="N234" s="8" t="str">
        <f>IF(OR(ISBLANK(Q:Q)=FALSE,ISBLANK(U:U)=FALSE),IF(Q:Q&gt;U:U,IF(MONTH(Q:Q)&gt;6,"FY"&amp;RIGHT(YEAR(Q:Q)+1,2),"FY"&amp;RIGHT(YEAR(Q:Q),2)),IF(MONTH(U:U)&gt;6,"FY"&amp;RIGHT(YEAR(U:U)+1,2),"FY"&amp;RIGHT(YEAR(U:U),2))),"")</f>
        <v>FY20</v>
      </c>
      <c r="O234" s="143" t="s">
        <v>2351</v>
      </c>
      <c r="P234" s="9">
        <v>10878</v>
      </c>
      <c r="Q234" s="9">
        <v>43850</v>
      </c>
      <c r="R234" s="8" t="s">
        <v>2049</v>
      </c>
      <c r="S234" s="143"/>
      <c r="T234" s="9"/>
      <c r="U234" s="9"/>
      <c r="V234" s="8"/>
      <c r="W234" s="8" t="s">
        <v>2050</v>
      </c>
    </row>
    <row r="235" spans="1:23" ht="16.5" customHeight="1">
      <c r="A235" s="34"/>
      <c r="C235" s="29"/>
      <c r="D235" s="143">
        <v>35288372</v>
      </c>
      <c r="E235" s="8">
        <v>252</v>
      </c>
      <c r="F235" s="131">
        <v>10000</v>
      </c>
      <c r="G235" s="13">
        <v>800</v>
      </c>
      <c r="H235" s="133">
        <v>42249</v>
      </c>
      <c r="I235" s="10">
        <v>1</v>
      </c>
      <c r="J235" s="8" t="s">
        <v>2308</v>
      </c>
      <c r="K235" s="8" t="s">
        <v>2162</v>
      </c>
      <c r="L235" s="13">
        <v>5765.5</v>
      </c>
      <c r="M235" s="8" t="s">
        <v>2346</v>
      </c>
      <c r="N235" s="8" t="str">
        <f>IF(OR(ISBLANK(Q:Q)=FALSE,ISBLANK(U:U)=FALSE),IF(Q:Q&gt;U:U,IF(MONTH(Q:Q)&gt;6,"FY"&amp;RIGHT(YEAR(Q:Q)+1,2),"FY"&amp;RIGHT(YEAR(Q:Q),2)),IF(MONTH(U:U)&gt;6,"FY"&amp;RIGHT(YEAR(U:U)+1,2),"FY"&amp;RIGHT(YEAR(U:U),2))),"")</f>
        <v/>
      </c>
      <c r="O235" s="143" t="s">
        <v>2330</v>
      </c>
      <c r="P235" s="9">
        <v>10677</v>
      </c>
      <c r="Q235" s="9"/>
      <c r="R235" s="8" t="s">
        <v>2049</v>
      </c>
      <c r="S235" s="143"/>
      <c r="T235" s="9"/>
      <c r="U235" s="9"/>
      <c r="V235" s="8"/>
      <c r="W235" s="8" t="s">
        <v>2244</v>
      </c>
    </row>
    <row r="236" spans="1:23" ht="16.5" customHeight="1">
      <c r="A236" s="34"/>
      <c r="C236" s="29"/>
      <c r="D236" s="143">
        <v>37568326</v>
      </c>
      <c r="E236" s="8">
        <v>255</v>
      </c>
      <c r="F236" s="131">
        <v>10000</v>
      </c>
      <c r="G236" s="13">
        <v>660</v>
      </c>
      <c r="H236" s="133">
        <v>42284</v>
      </c>
      <c r="I236" s="10">
        <v>2</v>
      </c>
      <c r="J236" s="8" t="s">
        <v>2308</v>
      </c>
      <c r="K236" s="8" t="s">
        <v>2174</v>
      </c>
      <c r="L236" s="13">
        <v>4730.5</v>
      </c>
      <c r="M236" s="8" t="s">
        <v>2346</v>
      </c>
      <c r="N236" s="8"/>
      <c r="O236" s="143" t="s">
        <v>2352</v>
      </c>
      <c r="P236" s="9">
        <v>11884</v>
      </c>
      <c r="Q236" s="9">
        <v>43752</v>
      </c>
      <c r="R236" s="8" t="s">
        <v>2049</v>
      </c>
      <c r="S236" s="143" t="s">
        <v>2353</v>
      </c>
      <c r="T236" s="9">
        <v>10861</v>
      </c>
      <c r="U236" s="9"/>
      <c r="V236" s="8" t="s">
        <v>2058</v>
      </c>
      <c r="W236" s="8" t="s">
        <v>2050</v>
      </c>
    </row>
    <row r="237" spans="1:23" ht="16.5" customHeight="1">
      <c r="A237" s="34"/>
      <c r="C237" s="29"/>
      <c r="D237" s="143">
        <v>989152</v>
      </c>
      <c r="E237" s="8">
        <v>256</v>
      </c>
      <c r="F237" s="131">
        <v>5000</v>
      </c>
      <c r="G237" s="13">
        <v>420</v>
      </c>
      <c r="H237" s="133">
        <v>42298</v>
      </c>
      <c r="I237" s="10">
        <v>1</v>
      </c>
      <c r="J237" s="8" t="s">
        <v>2308</v>
      </c>
      <c r="K237" s="8" t="s">
        <v>65</v>
      </c>
      <c r="L237" s="13">
        <v>3029.1</v>
      </c>
      <c r="M237" s="8" t="s">
        <v>2346</v>
      </c>
      <c r="N237" s="8" t="str">
        <f>IF(OR(ISBLANK(Q:Q)=FALSE,ISBLANK(U:U)=FALSE),IF(Q:Q&gt;U:U,IF(MONTH(Q:Q)&gt;6,"FY"&amp;RIGHT(YEAR(Q:Q)+1,2),"FY"&amp;RIGHT(YEAR(Q:Q),2)),IF(MONTH(U:U)&gt;6,"FY"&amp;RIGHT(YEAR(U:U)+1,2),"FY"&amp;RIGHT(YEAR(U:U),2))),"")</f>
        <v/>
      </c>
      <c r="O237" s="143" t="s">
        <v>2216</v>
      </c>
      <c r="P237" s="9">
        <v>10282</v>
      </c>
      <c r="Q237" s="9"/>
      <c r="R237" s="8" t="s">
        <v>2049</v>
      </c>
      <c r="S237" s="143"/>
      <c r="T237" s="9"/>
      <c r="U237" s="9"/>
      <c r="V237" s="8"/>
      <c r="W237" s="8" t="s">
        <v>2337</v>
      </c>
    </row>
    <row r="238" spans="1:23" ht="16.5" customHeight="1">
      <c r="A238" s="34"/>
      <c r="C238" s="29"/>
      <c r="D238" s="143">
        <v>39780820</v>
      </c>
      <c r="E238" s="8">
        <v>257</v>
      </c>
      <c r="F238" s="131">
        <v>10000</v>
      </c>
      <c r="G238" s="13">
        <v>800</v>
      </c>
      <c r="H238" s="133">
        <v>42312</v>
      </c>
      <c r="I238" s="10">
        <v>1</v>
      </c>
      <c r="J238" s="8" t="s">
        <v>2308</v>
      </c>
      <c r="K238" s="8" t="s">
        <v>2162</v>
      </c>
      <c r="L238" s="13">
        <v>5765.5</v>
      </c>
      <c r="M238" s="8" t="s">
        <v>2346</v>
      </c>
      <c r="N238" s="8" t="str">
        <f>IF(OR(ISBLANK(Q:Q)=FALSE,ISBLANK(U:U)=FALSE),IF(Q:Q&gt;U:U,IF(MONTH(Q:Q)&gt;6,"FY"&amp;RIGHT(YEAR(Q:Q)+1,2),"FY"&amp;RIGHT(YEAR(Q:Q),2)),IF(MONTH(U:U)&gt;6,"FY"&amp;RIGHT(YEAR(U:U)+1,2),"FY"&amp;RIGHT(YEAR(U:U),2))),"")</f>
        <v/>
      </c>
      <c r="O238" s="143" t="s">
        <v>2354</v>
      </c>
      <c r="P238" s="9">
        <v>10912</v>
      </c>
      <c r="Q238" s="9"/>
      <c r="R238" s="8" t="s">
        <v>2058</v>
      </c>
      <c r="S238" s="143" t="s">
        <v>88</v>
      </c>
      <c r="T238" s="9"/>
      <c r="U238" s="9"/>
      <c r="V238" s="8"/>
      <c r="W238" s="8" t="s">
        <v>2050</v>
      </c>
    </row>
    <row r="239" spans="1:23" ht="16.5" customHeight="1">
      <c r="A239" s="34"/>
      <c r="C239" s="29"/>
      <c r="D239" s="143">
        <v>35019617</v>
      </c>
      <c r="E239" s="8">
        <v>259</v>
      </c>
      <c r="F239" s="131">
        <v>10000</v>
      </c>
      <c r="G239" s="13">
        <v>600</v>
      </c>
      <c r="H239" s="133">
        <v>42318</v>
      </c>
      <c r="I239" s="10">
        <v>1</v>
      </c>
      <c r="J239" s="8" t="s">
        <v>2308</v>
      </c>
      <c r="K239" s="8" t="s">
        <v>2089</v>
      </c>
      <c r="L239" s="141">
        <v>4573.8999999999996</v>
      </c>
      <c r="M239" s="8" t="s">
        <v>2346</v>
      </c>
      <c r="N239" s="8" t="s">
        <v>88</v>
      </c>
      <c r="O239" s="143" t="s">
        <v>2355</v>
      </c>
      <c r="P239" s="9">
        <v>14729</v>
      </c>
      <c r="Q239" s="9"/>
      <c r="R239" s="8" t="s">
        <v>2058</v>
      </c>
      <c r="S239" s="143"/>
      <c r="T239" s="9"/>
      <c r="U239" s="9"/>
      <c r="V239" s="8"/>
      <c r="W239" s="8" t="s">
        <v>2050</v>
      </c>
    </row>
    <row r="240" spans="1:23" ht="16.5" customHeight="1">
      <c r="A240" s="34"/>
      <c r="C240" s="29"/>
      <c r="D240" s="145" t="s">
        <v>2356</v>
      </c>
      <c r="E240" s="11" t="s">
        <v>2357</v>
      </c>
      <c r="F240" s="221">
        <v>10000</v>
      </c>
      <c r="G240" s="140">
        <v>600</v>
      </c>
      <c r="H240" s="134" t="s">
        <v>2358</v>
      </c>
      <c r="I240" s="4">
        <v>1</v>
      </c>
      <c r="J240" s="8" t="s">
        <v>2308</v>
      </c>
      <c r="K240" s="11" t="s">
        <v>2240</v>
      </c>
      <c r="L240" s="140">
        <v>4573.8999999999996</v>
      </c>
      <c r="M240" s="11" t="s">
        <v>2346</v>
      </c>
      <c r="N240" s="11"/>
      <c r="O240" s="145" t="s">
        <v>2245</v>
      </c>
      <c r="P240" s="5">
        <v>14447</v>
      </c>
      <c r="Q240" s="5"/>
      <c r="R240" s="12" t="s">
        <v>2058</v>
      </c>
      <c r="S240" s="145"/>
      <c r="T240" s="5"/>
      <c r="U240" s="5"/>
      <c r="V240" s="11"/>
      <c r="W240" s="11" t="s">
        <v>2292</v>
      </c>
    </row>
    <row r="241" spans="1:23" ht="16.5" customHeight="1">
      <c r="A241" s="34"/>
      <c r="C241" s="29" t="s">
        <v>238</v>
      </c>
      <c r="D241" s="143">
        <v>4861894</v>
      </c>
      <c r="E241" s="8">
        <v>260</v>
      </c>
      <c r="F241" s="131">
        <v>10000</v>
      </c>
      <c r="G241" s="13">
        <v>740</v>
      </c>
      <c r="H241" s="133">
        <v>42338</v>
      </c>
      <c r="I241" s="10">
        <v>1</v>
      </c>
      <c r="J241" s="8" t="s">
        <v>2308</v>
      </c>
      <c r="K241" s="8" t="s">
        <v>2174</v>
      </c>
      <c r="L241" s="13">
        <v>5343.6</v>
      </c>
      <c r="M241" s="8" t="s">
        <v>2346</v>
      </c>
      <c r="N241" s="8" t="str">
        <f t="shared" ref="N241:N246" si="14">IF(OR(ISBLANK(Q:Q)=FALSE,ISBLANK(U:U)=FALSE),IF(Q:Q&gt;U:U,IF(MONTH(Q:Q)&gt;6,"FY"&amp;RIGHT(YEAR(Q:Q)+1,2),"FY"&amp;RIGHT(YEAR(Q:Q),2)),IF(MONTH(U:U)&gt;6,"FY"&amp;RIGHT(YEAR(U:U)+1,2),"FY"&amp;RIGHT(YEAR(U:U),2))),"")</f>
        <v>FY21</v>
      </c>
      <c r="O241" s="143" t="s">
        <v>2234</v>
      </c>
      <c r="P241" s="9">
        <v>11971</v>
      </c>
      <c r="Q241" s="9">
        <v>44187</v>
      </c>
      <c r="R241" s="8" t="s">
        <v>2049</v>
      </c>
      <c r="S241" s="143"/>
      <c r="T241" s="9"/>
      <c r="U241" s="9"/>
      <c r="V241" s="8"/>
      <c r="W241" s="3" t="s">
        <v>2124</v>
      </c>
    </row>
    <row r="242" spans="1:23" ht="16.5" customHeight="1">
      <c r="A242" s="34"/>
      <c r="C242" s="29" t="s">
        <v>238</v>
      </c>
      <c r="D242" s="143">
        <v>5742861</v>
      </c>
      <c r="E242" s="8">
        <v>261</v>
      </c>
      <c r="F242" s="131">
        <v>10000</v>
      </c>
      <c r="G242" s="13">
        <v>840</v>
      </c>
      <c r="H242" s="133">
        <v>42355</v>
      </c>
      <c r="I242" s="10">
        <v>1</v>
      </c>
      <c r="J242" s="8" t="s">
        <v>2308</v>
      </c>
      <c r="K242" s="8" t="s">
        <v>2089</v>
      </c>
      <c r="L242" s="13">
        <v>6027.6</v>
      </c>
      <c r="M242" s="8" t="s">
        <v>2346</v>
      </c>
      <c r="N242" s="8" t="str">
        <f t="shared" si="14"/>
        <v>FY22</v>
      </c>
      <c r="O242" s="143" t="s">
        <v>2147</v>
      </c>
      <c r="P242" s="9">
        <v>10320</v>
      </c>
      <c r="Q242" s="9">
        <v>44457</v>
      </c>
      <c r="R242" s="8" t="s">
        <v>2049</v>
      </c>
      <c r="S242" s="143"/>
      <c r="T242" s="9"/>
      <c r="U242" s="9"/>
      <c r="V242" s="8"/>
      <c r="W242" s="8" t="s">
        <v>2124</v>
      </c>
    </row>
    <row r="243" spans="1:23" ht="16.5" customHeight="1">
      <c r="A243" s="34"/>
      <c r="C243" s="29"/>
      <c r="D243" s="143">
        <v>36687176</v>
      </c>
      <c r="E243" s="8">
        <v>262</v>
      </c>
      <c r="F243" s="131">
        <v>10000</v>
      </c>
      <c r="G243" s="13">
        <v>500</v>
      </c>
      <c r="H243" s="133">
        <v>42368</v>
      </c>
      <c r="I243" s="10">
        <v>1</v>
      </c>
      <c r="J243" s="8" t="s">
        <v>2308</v>
      </c>
      <c r="K243" s="8" t="s">
        <v>2181</v>
      </c>
      <c r="L243" s="13">
        <v>3778.3</v>
      </c>
      <c r="M243" s="8" t="s">
        <v>2346</v>
      </c>
      <c r="N243" s="8" t="str">
        <f t="shared" si="14"/>
        <v/>
      </c>
      <c r="O243" s="143" t="s">
        <v>2359</v>
      </c>
      <c r="P243" s="9">
        <v>17199</v>
      </c>
      <c r="Q243" s="9"/>
      <c r="R243" s="8" t="s">
        <v>2058</v>
      </c>
      <c r="S243" s="143"/>
      <c r="T243" s="9"/>
      <c r="U243" s="9"/>
      <c r="V243" s="8"/>
      <c r="W243" s="8" t="s">
        <v>2050</v>
      </c>
    </row>
    <row r="244" spans="1:23" ht="16.5" customHeight="1">
      <c r="A244" s="34"/>
      <c r="C244" s="29"/>
      <c r="D244" s="143">
        <v>20770947</v>
      </c>
      <c r="E244" s="8">
        <v>263</v>
      </c>
      <c r="F244" s="131">
        <v>10000</v>
      </c>
      <c r="G244" s="13">
        <v>680</v>
      </c>
      <c r="H244" s="133">
        <v>42375</v>
      </c>
      <c r="I244" s="10">
        <v>1</v>
      </c>
      <c r="J244" s="8" t="s">
        <v>2308</v>
      </c>
      <c r="K244" s="8" t="s">
        <v>2081</v>
      </c>
      <c r="L244" s="13">
        <v>4965.1000000000004</v>
      </c>
      <c r="M244" s="8" t="s">
        <v>2346</v>
      </c>
      <c r="N244" s="8" t="str">
        <f t="shared" si="14"/>
        <v/>
      </c>
      <c r="O244" s="143" t="s">
        <v>2360</v>
      </c>
      <c r="P244" s="9">
        <v>13333</v>
      </c>
      <c r="Q244" s="9"/>
      <c r="R244" s="8" t="s">
        <v>2058</v>
      </c>
      <c r="S244" s="143"/>
      <c r="T244" s="9"/>
      <c r="U244" s="9"/>
      <c r="V244" s="8"/>
      <c r="W244" s="8" t="s">
        <v>2050</v>
      </c>
    </row>
    <row r="245" spans="1:23" ht="16.5" customHeight="1">
      <c r="A245" s="34"/>
      <c r="C245" s="29"/>
      <c r="D245" s="143">
        <v>2910453</v>
      </c>
      <c r="E245" s="8">
        <v>264</v>
      </c>
      <c r="F245" s="131">
        <v>10000</v>
      </c>
      <c r="G245" s="13">
        <v>780</v>
      </c>
      <c r="H245" s="133">
        <v>42384</v>
      </c>
      <c r="I245" s="10">
        <v>1</v>
      </c>
      <c r="J245" s="8" t="s">
        <v>2308</v>
      </c>
      <c r="K245" s="8" t="s">
        <v>2129</v>
      </c>
      <c r="L245" s="13">
        <v>5621.6</v>
      </c>
      <c r="M245" s="8" t="s">
        <v>2346</v>
      </c>
      <c r="N245" s="8" t="str">
        <f t="shared" si="14"/>
        <v/>
      </c>
      <c r="O245" s="143" t="s">
        <v>2361</v>
      </c>
      <c r="P245" s="9">
        <v>11256</v>
      </c>
      <c r="Q245" s="9"/>
      <c r="R245" s="8" t="s">
        <v>2058</v>
      </c>
      <c r="S245" s="143"/>
      <c r="T245" s="9"/>
      <c r="U245" s="9"/>
      <c r="V245" s="8"/>
      <c r="W245" s="8" t="s">
        <v>2050</v>
      </c>
    </row>
    <row r="246" spans="1:23" ht="16.5" customHeight="1">
      <c r="A246" s="34"/>
      <c r="C246" s="29"/>
      <c r="D246" s="143">
        <v>24642746</v>
      </c>
      <c r="E246" s="8">
        <v>265</v>
      </c>
      <c r="F246" s="131">
        <v>31872</v>
      </c>
      <c r="G246" s="13">
        <v>2294.8000000000002</v>
      </c>
      <c r="H246" s="133">
        <v>42409</v>
      </c>
      <c r="I246" s="10">
        <v>1</v>
      </c>
      <c r="J246" s="8" t="s">
        <v>2316</v>
      </c>
      <c r="K246" s="8" t="s">
        <v>2174</v>
      </c>
      <c r="L246" s="13">
        <v>17296.93</v>
      </c>
      <c r="M246" s="8" t="s">
        <v>2346</v>
      </c>
      <c r="N246" s="8" t="str">
        <f t="shared" si="14"/>
        <v/>
      </c>
      <c r="O246" s="143" t="s">
        <v>2277</v>
      </c>
      <c r="P246" s="9">
        <v>13752</v>
      </c>
      <c r="Q246" s="9"/>
      <c r="R246" s="8" t="s">
        <v>2058</v>
      </c>
      <c r="S246" s="143"/>
      <c r="T246" s="9"/>
      <c r="U246" s="9"/>
      <c r="V246" s="8"/>
      <c r="W246" s="3" t="s">
        <v>2244</v>
      </c>
    </row>
    <row r="247" spans="1:23" ht="16.5" customHeight="1">
      <c r="A247" s="34"/>
      <c r="C247" s="29"/>
      <c r="D247" s="143">
        <v>32577702</v>
      </c>
      <c r="E247" s="8">
        <v>266</v>
      </c>
      <c r="F247" s="131">
        <v>50000</v>
      </c>
      <c r="G247" s="13">
        <v>3600</v>
      </c>
      <c r="H247" s="133">
        <v>42422</v>
      </c>
      <c r="I247" s="10">
        <v>1</v>
      </c>
      <c r="J247" s="8" t="s">
        <v>2308</v>
      </c>
      <c r="K247" s="8" t="s">
        <v>2129</v>
      </c>
      <c r="L247" s="13">
        <v>26056.5</v>
      </c>
      <c r="M247" s="8" t="s">
        <v>2346</v>
      </c>
      <c r="N247" s="8" t="s">
        <v>88</v>
      </c>
      <c r="O247" s="143" t="s">
        <v>2335</v>
      </c>
      <c r="P247" s="9">
        <v>12377</v>
      </c>
      <c r="Q247" s="9"/>
      <c r="R247" s="8" t="s">
        <v>2049</v>
      </c>
      <c r="S247" s="143"/>
      <c r="T247" s="9"/>
      <c r="U247" s="9"/>
      <c r="V247" s="8"/>
      <c r="W247" s="8" t="s">
        <v>2124</v>
      </c>
    </row>
    <row r="248" spans="1:23" ht="16.5" customHeight="1">
      <c r="A248" s="34"/>
      <c r="C248" s="29"/>
      <c r="D248" s="143">
        <v>20268983</v>
      </c>
      <c r="E248" s="8">
        <v>268</v>
      </c>
      <c r="F248" s="131">
        <v>10007.549999999999</v>
      </c>
      <c r="G248" s="13">
        <v>584.28</v>
      </c>
      <c r="H248" s="133">
        <v>42510</v>
      </c>
      <c r="I248" s="10">
        <v>1</v>
      </c>
      <c r="J248" s="8" t="s">
        <v>2308</v>
      </c>
      <c r="K248" s="8" t="s">
        <v>2185</v>
      </c>
      <c r="L248" s="13">
        <v>4380.08</v>
      </c>
      <c r="M248" s="8" t="s">
        <v>2346</v>
      </c>
      <c r="N248" s="8"/>
      <c r="O248" s="143" t="s">
        <v>2362</v>
      </c>
      <c r="P248" s="9">
        <v>15114</v>
      </c>
      <c r="Q248" s="9"/>
      <c r="R248" s="8" t="s">
        <v>2058</v>
      </c>
      <c r="S248" s="143"/>
      <c r="T248" s="9"/>
      <c r="U248" s="9"/>
      <c r="V248" s="8"/>
      <c r="W248" s="8" t="s">
        <v>2050</v>
      </c>
    </row>
    <row r="249" spans="1:23" ht="16.5" customHeight="1">
      <c r="A249" s="34"/>
      <c r="C249" s="29" t="s">
        <v>238</v>
      </c>
      <c r="D249" s="143">
        <v>25726</v>
      </c>
      <c r="E249" s="8">
        <v>267</v>
      </c>
      <c r="F249" s="131">
        <v>30000</v>
      </c>
      <c r="G249" s="13">
        <v>2520</v>
      </c>
      <c r="H249" s="133">
        <v>42517</v>
      </c>
      <c r="I249" s="10">
        <v>1</v>
      </c>
      <c r="J249" s="8" t="s">
        <v>2308</v>
      </c>
      <c r="K249" s="8" t="s">
        <v>2363</v>
      </c>
      <c r="L249" s="13">
        <v>17991</v>
      </c>
      <c r="M249" s="8" t="s">
        <v>2346</v>
      </c>
      <c r="N249" s="8" t="str">
        <f>IF(OR(ISBLANK(Q:Q)=FALSE,ISBLANK(U:U)=FALSE),IF(Q:Q&gt;U:U,IF(MONTH(Q:Q)&gt;6,"FY"&amp;RIGHT(YEAR(Q:Q)+1,2),"FY"&amp;RIGHT(YEAR(Q:Q),2)),IF(MONTH(U:U)&gt;6,"FY"&amp;RIGHT(YEAR(U:U)+1,2),"FY"&amp;RIGHT(YEAR(U:U),2))),"")</f>
        <v>FY23</v>
      </c>
      <c r="O249" s="143" t="s">
        <v>2364</v>
      </c>
      <c r="P249" s="9">
        <v>10438</v>
      </c>
      <c r="Q249" s="9">
        <v>44888</v>
      </c>
      <c r="R249" s="8" t="s">
        <v>2058</v>
      </c>
      <c r="S249" s="143"/>
      <c r="T249" s="9"/>
      <c r="U249" s="9"/>
      <c r="V249" s="8"/>
      <c r="W249" s="8" t="s">
        <v>2050</v>
      </c>
    </row>
    <row r="250" spans="1:23" ht="16.5" customHeight="1">
      <c r="A250" s="34"/>
      <c r="C250" s="29"/>
      <c r="D250" s="143">
        <v>7904576</v>
      </c>
      <c r="E250" s="8">
        <v>269</v>
      </c>
      <c r="F250" s="131">
        <v>7000</v>
      </c>
      <c r="G250" s="13">
        <v>378</v>
      </c>
      <c r="H250" s="133">
        <v>42531</v>
      </c>
      <c r="I250" s="10">
        <v>1</v>
      </c>
      <c r="J250" s="8" t="s">
        <v>2308</v>
      </c>
      <c r="K250" s="8" t="s">
        <v>2069</v>
      </c>
      <c r="L250" s="13">
        <v>2776.34</v>
      </c>
      <c r="M250" s="8" t="s">
        <v>2346</v>
      </c>
      <c r="N250" s="8" t="str">
        <f>IF(OR(ISBLANK(Q:Q)=FALSE,ISBLANK(U:U)=FALSE),IF(Q:Q&gt;U:U,IF(MONTH(Q:Q)&gt;6,"FY"&amp;RIGHT(YEAR(Q:Q)+1,2),"FY"&amp;RIGHT(YEAR(Q:Q),2)),IF(MONTH(U:U)&gt;6,"FY"&amp;RIGHT(YEAR(U:U)+1,2),"FY"&amp;RIGHT(YEAR(U:U),2))),"")</f>
        <v/>
      </c>
      <c r="O250" s="143" t="s">
        <v>2273</v>
      </c>
      <c r="P250" s="9">
        <v>16326</v>
      </c>
      <c r="Q250" s="9"/>
      <c r="R250" s="8" t="s">
        <v>2049</v>
      </c>
      <c r="S250" s="143"/>
      <c r="T250" s="9"/>
      <c r="U250" s="9"/>
      <c r="V250" s="8"/>
      <c r="W250" s="8" t="s">
        <v>2312</v>
      </c>
    </row>
    <row r="251" spans="1:23" ht="16.5" customHeight="1">
      <c r="A251" s="34"/>
      <c r="C251" s="29"/>
      <c r="D251" s="143">
        <v>57565046</v>
      </c>
      <c r="E251" s="8">
        <v>270</v>
      </c>
      <c r="F251" s="131">
        <v>10000</v>
      </c>
      <c r="G251" s="13">
        <v>530</v>
      </c>
      <c r="H251" s="133">
        <v>42546</v>
      </c>
      <c r="I251" s="10">
        <v>2</v>
      </c>
      <c r="J251" s="8" t="s">
        <v>2308</v>
      </c>
      <c r="K251" s="8" t="s">
        <v>2203</v>
      </c>
      <c r="L251" s="13">
        <v>3910.5</v>
      </c>
      <c r="M251" s="8" t="s">
        <v>2346</v>
      </c>
      <c r="N251" s="8"/>
      <c r="O251" s="143" t="s">
        <v>2365</v>
      </c>
      <c r="P251" s="9">
        <v>14251</v>
      </c>
      <c r="Q251" s="9"/>
      <c r="R251" s="8" t="s">
        <v>2049</v>
      </c>
      <c r="S251" s="143" t="s">
        <v>2366</v>
      </c>
      <c r="T251" s="9">
        <v>13922</v>
      </c>
      <c r="U251" s="9"/>
      <c r="V251" s="8" t="s">
        <v>2058</v>
      </c>
      <c r="W251" s="8" t="s">
        <v>2050</v>
      </c>
    </row>
    <row r="252" spans="1:23" ht="16.5" customHeight="1">
      <c r="A252" s="34"/>
      <c r="C252" s="29"/>
      <c r="D252" s="143">
        <v>29564820</v>
      </c>
      <c r="E252" s="8">
        <v>272</v>
      </c>
      <c r="F252" s="131">
        <v>30000</v>
      </c>
      <c r="G252" s="13">
        <v>1740</v>
      </c>
      <c r="H252" s="133">
        <v>42565</v>
      </c>
      <c r="I252" s="10">
        <v>1</v>
      </c>
      <c r="J252" s="8" t="s">
        <v>2308</v>
      </c>
      <c r="K252" s="8" t="s">
        <v>2299</v>
      </c>
      <c r="L252" s="13">
        <v>13044.6</v>
      </c>
      <c r="M252" s="8" t="s">
        <v>2367</v>
      </c>
      <c r="N252" s="8" t="s">
        <v>88</v>
      </c>
      <c r="O252" s="143" t="s">
        <v>2368</v>
      </c>
      <c r="P252" s="9">
        <v>15264</v>
      </c>
      <c r="Q252" s="9"/>
      <c r="R252" s="8" t="s">
        <v>2058</v>
      </c>
      <c r="S252" s="147"/>
      <c r="T252" s="9"/>
      <c r="U252" s="9"/>
      <c r="V252" s="8"/>
      <c r="W252" s="8" t="s">
        <v>2050</v>
      </c>
    </row>
    <row r="253" spans="1:23" ht="16.5" customHeight="1">
      <c r="A253" s="34" t="s">
        <v>88</v>
      </c>
      <c r="C253" s="29"/>
      <c r="D253" s="143">
        <v>24642746</v>
      </c>
      <c r="E253" s="8">
        <v>273</v>
      </c>
      <c r="F253" s="131">
        <v>18914</v>
      </c>
      <c r="G253" s="13">
        <v>1342.92</v>
      </c>
      <c r="H253" s="133">
        <v>42570</v>
      </c>
      <c r="I253" s="10">
        <v>1</v>
      </c>
      <c r="J253" s="8" t="s">
        <v>2316</v>
      </c>
      <c r="K253" s="8" t="s">
        <v>2174</v>
      </c>
      <c r="L253" s="13">
        <v>9483.2900000000009</v>
      </c>
      <c r="M253" s="8" t="s">
        <v>2367</v>
      </c>
      <c r="N253" s="8" t="str">
        <f>IF(OR(ISBLANK(Q:Q)=FALSE,ISBLANK(U:U)=FALSE),IF(Q:Q&gt;U:U,IF(MONTH(Q:Q)&gt;6,"FY"&amp;RIGHT(YEAR(Q:Q)+1,2),"FY"&amp;RIGHT(YEAR(Q:Q),2)),IF(MONTH(U:U)&gt;6,"FY"&amp;RIGHT(YEAR(U:U)+1,2),"FY"&amp;RIGHT(YEAR(U:U),2))),"")</f>
        <v/>
      </c>
      <c r="O253" s="143" t="s">
        <v>2277</v>
      </c>
      <c r="P253" s="9">
        <v>13752</v>
      </c>
      <c r="Q253" s="9"/>
      <c r="R253" s="8" t="s">
        <v>2058</v>
      </c>
      <c r="S253" s="147"/>
      <c r="T253" s="9"/>
      <c r="U253" s="9"/>
      <c r="V253" s="8"/>
      <c r="W253" s="8" t="s">
        <v>2292</v>
      </c>
    </row>
    <row r="254" spans="1:23" ht="16.5" customHeight="1">
      <c r="A254" s="34"/>
      <c r="C254" s="29" t="s">
        <v>238</v>
      </c>
      <c r="D254" s="143">
        <v>6424907</v>
      </c>
      <c r="E254" s="8">
        <v>274</v>
      </c>
      <c r="F254" s="131">
        <v>10000</v>
      </c>
      <c r="G254" s="13">
        <v>680</v>
      </c>
      <c r="H254" s="133">
        <v>42572</v>
      </c>
      <c r="I254" s="10">
        <v>1</v>
      </c>
      <c r="J254" s="8" t="s">
        <v>2308</v>
      </c>
      <c r="K254" s="8" t="s">
        <v>2069</v>
      </c>
      <c r="L254" s="13">
        <v>4850.3999999999996</v>
      </c>
      <c r="M254" s="8" t="s">
        <v>2367</v>
      </c>
      <c r="N254" s="8" t="str">
        <f>IF(OR(ISBLANK(Q:Q)=FALSE,ISBLANK(U:U)=FALSE),IF(Q:Q&gt;U:U,IF(MONTH(Q:Q)&gt;6,"FY"&amp;RIGHT(YEAR(Q:Q)+1,2),"FY"&amp;RIGHT(YEAR(Q:Q),2)),IF(MONTH(U:U)&gt;6,"FY"&amp;RIGHT(YEAR(U:U)+1,2),"FY"&amp;RIGHT(YEAR(U:U),2))),"")</f>
        <v/>
      </c>
      <c r="O254" s="143" t="s">
        <v>2369</v>
      </c>
      <c r="P254" s="9">
        <v>13529</v>
      </c>
      <c r="Q254" s="9"/>
      <c r="R254" s="8" t="s">
        <v>2058</v>
      </c>
      <c r="S254" s="147"/>
      <c r="T254" s="9"/>
      <c r="U254" s="9"/>
      <c r="V254" s="8"/>
      <c r="W254" s="8" t="s">
        <v>2050</v>
      </c>
    </row>
    <row r="255" spans="1:23" ht="16.5" customHeight="1">
      <c r="A255" s="34"/>
      <c r="C255" s="29"/>
      <c r="D255" s="143">
        <v>39780820</v>
      </c>
      <c r="E255" s="8">
        <v>271</v>
      </c>
      <c r="F255" s="131">
        <v>10000</v>
      </c>
      <c r="G255" s="13">
        <v>820</v>
      </c>
      <c r="H255" s="133">
        <v>42573</v>
      </c>
      <c r="I255" s="10">
        <v>1</v>
      </c>
      <c r="J255" s="8" t="s">
        <v>2308</v>
      </c>
      <c r="K255" s="8" t="s">
        <v>2162</v>
      </c>
      <c r="L255" s="13">
        <v>5844.4</v>
      </c>
      <c r="M255" s="8" t="s">
        <v>2367</v>
      </c>
      <c r="N255" s="8"/>
      <c r="O255" s="143" t="s">
        <v>2354</v>
      </c>
      <c r="P255" s="9">
        <v>10912</v>
      </c>
      <c r="Q255" s="9"/>
      <c r="R255" s="8" t="s">
        <v>2058</v>
      </c>
      <c r="S255" s="143"/>
      <c r="T255" s="9"/>
      <c r="U255" s="9"/>
      <c r="V255" s="8"/>
      <c r="W255" s="8" t="s">
        <v>2124</v>
      </c>
    </row>
    <row r="256" spans="1:23" ht="16.5" customHeight="1">
      <c r="A256" s="34"/>
      <c r="C256" s="29"/>
      <c r="D256" s="143">
        <v>5180450</v>
      </c>
      <c r="E256" s="8">
        <v>275</v>
      </c>
      <c r="F256" s="131">
        <v>10000</v>
      </c>
      <c r="G256" s="13">
        <v>900</v>
      </c>
      <c r="H256" s="133">
        <v>42608</v>
      </c>
      <c r="I256" s="10">
        <v>1</v>
      </c>
      <c r="J256" s="8" t="s">
        <v>2308</v>
      </c>
      <c r="K256" s="8" t="s">
        <v>2081</v>
      </c>
      <c r="L256" s="13">
        <v>6216.9</v>
      </c>
      <c r="M256" s="8" t="s">
        <v>2367</v>
      </c>
      <c r="N256" s="8" t="str">
        <f>IF(OR(ISBLANK(Q:Q)=FALSE,ISBLANK(U:U)=FALSE),IF(Q:Q&gt;U:U,IF(MONTH(Q:Q)&gt;6,"FY"&amp;RIGHT(YEAR(Q:Q)+1,2),"FY"&amp;RIGHT(YEAR(Q:Q),2)),IF(MONTH(U:U)&gt;6,"FY"&amp;RIGHT(YEAR(U:U)+1,2),"FY"&amp;RIGHT(YEAR(U:U),2))),"")</f>
        <v/>
      </c>
      <c r="O256" s="143" t="s">
        <v>2169</v>
      </c>
      <c r="P256" s="9">
        <v>9718</v>
      </c>
      <c r="Q256" s="9"/>
      <c r="R256" s="8" t="s">
        <v>2058</v>
      </c>
      <c r="S256" s="147"/>
      <c r="T256" s="9"/>
      <c r="U256" s="9"/>
      <c r="V256" s="8"/>
      <c r="W256" s="8" t="s">
        <v>2124</v>
      </c>
    </row>
    <row r="257" spans="1:23" ht="16.5" customHeight="1">
      <c r="A257" s="34"/>
      <c r="C257" s="29"/>
      <c r="D257" s="143">
        <v>92403492</v>
      </c>
      <c r="E257" s="8">
        <v>276</v>
      </c>
      <c r="F257" s="131">
        <v>25000</v>
      </c>
      <c r="G257" s="13">
        <v>1375</v>
      </c>
      <c r="H257" s="133">
        <v>42620</v>
      </c>
      <c r="I257" s="10">
        <v>1</v>
      </c>
      <c r="J257" s="8" t="s">
        <v>2308</v>
      </c>
      <c r="K257" s="8" t="s">
        <v>2081</v>
      </c>
      <c r="L257" s="13">
        <v>10303</v>
      </c>
      <c r="M257" s="8" t="s">
        <v>2367</v>
      </c>
      <c r="N257" s="8" t="s">
        <v>88</v>
      </c>
      <c r="O257" s="143" t="s">
        <v>2370</v>
      </c>
      <c r="P257" s="9">
        <v>15997</v>
      </c>
      <c r="Q257" s="9"/>
      <c r="R257" s="8" t="s">
        <v>2049</v>
      </c>
      <c r="S257" s="147"/>
      <c r="T257" s="9"/>
      <c r="U257" s="9"/>
      <c r="V257" s="8"/>
      <c r="W257" s="8" t="s">
        <v>2050</v>
      </c>
    </row>
    <row r="258" spans="1:23" ht="16.5" customHeight="1">
      <c r="A258" s="34"/>
      <c r="C258" s="29"/>
      <c r="D258" s="143">
        <v>127209</v>
      </c>
      <c r="E258" s="8">
        <v>278</v>
      </c>
      <c r="F258" s="131">
        <v>52428.32</v>
      </c>
      <c r="G258" s="13">
        <v>2306.88</v>
      </c>
      <c r="H258" s="133">
        <v>42629</v>
      </c>
      <c r="I258" s="10">
        <v>2</v>
      </c>
      <c r="J258" s="8" t="s">
        <v>2308</v>
      </c>
      <c r="K258" s="8" t="s">
        <v>2106</v>
      </c>
      <c r="L258" s="13">
        <v>13231.34</v>
      </c>
      <c r="M258" s="8" t="s">
        <v>2367</v>
      </c>
      <c r="N258" s="8" t="s">
        <v>88</v>
      </c>
      <c r="O258" s="143" t="s">
        <v>2371</v>
      </c>
      <c r="P258" s="9">
        <v>17874</v>
      </c>
      <c r="Q258" s="9"/>
      <c r="R258" s="8" t="s">
        <v>2058</v>
      </c>
      <c r="S258" s="143" t="s">
        <v>2372</v>
      </c>
      <c r="T258" s="9">
        <v>18193</v>
      </c>
      <c r="U258" s="9"/>
      <c r="V258" s="8" t="s">
        <v>2049</v>
      </c>
      <c r="W258" s="8" t="s">
        <v>2050</v>
      </c>
    </row>
    <row r="259" spans="1:23" ht="16.5" customHeight="1">
      <c r="A259" s="34"/>
      <c r="C259" s="29"/>
      <c r="D259" s="143">
        <v>7904576</v>
      </c>
      <c r="E259" s="8">
        <v>277</v>
      </c>
      <c r="F259" s="131">
        <v>5000</v>
      </c>
      <c r="G259" s="13">
        <v>270</v>
      </c>
      <c r="H259" s="135">
        <v>42632</v>
      </c>
      <c r="I259" s="10">
        <v>1</v>
      </c>
      <c r="J259" s="8" t="s">
        <v>2308</v>
      </c>
      <c r="K259" s="8" t="s">
        <v>2069</v>
      </c>
      <c r="L259" s="13">
        <v>1983.1</v>
      </c>
      <c r="M259" s="8" t="s">
        <v>2367</v>
      </c>
      <c r="N259" s="8"/>
      <c r="O259" s="143" t="s">
        <v>2273</v>
      </c>
      <c r="P259" s="9">
        <v>16326</v>
      </c>
      <c r="Q259" s="9"/>
      <c r="R259" s="8" t="s">
        <v>2049</v>
      </c>
      <c r="S259" s="147"/>
      <c r="T259" s="9"/>
      <c r="U259" s="9"/>
      <c r="V259" s="8"/>
      <c r="W259" s="8" t="s">
        <v>2337</v>
      </c>
    </row>
    <row r="260" spans="1:23" ht="16.5" customHeight="1">
      <c r="A260" s="34"/>
      <c r="C260" s="29" t="s">
        <v>238</v>
      </c>
      <c r="D260" s="143">
        <v>51543593</v>
      </c>
      <c r="E260" s="8">
        <v>279</v>
      </c>
      <c r="F260" s="131">
        <v>10000</v>
      </c>
      <c r="G260" s="13">
        <v>840</v>
      </c>
      <c r="H260" s="133">
        <v>42647</v>
      </c>
      <c r="I260" s="10">
        <v>1</v>
      </c>
      <c r="J260" s="8" t="s">
        <v>2308</v>
      </c>
      <c r="K260" s="8" t="s">
        <v>2069</v>
      </c>
      <c r="L260" s="140">
        <v>5965.5</v>
      </c>
      <c r="M260" s="8" t="s">
        <v>2367</v>
      </c>
      <c r="N260" s="8"/>
      <c r="O260" s="143" t="s">
        <v>2373</v>
      </c>
      <c r="P260" s="9">
        <v>10664</v>
      </c>
      <c r="Q260" s="9">
        <v>45223</v>
      </c>
      <c r="R260" s="8" t="s">
        <v>2049</v>
      </c>
      <c r="S260" s="147"/>
      <c r="T260" s="9"/>
      <c r="U260" s="9"/>
      <c r="V260" s="8"/>
      <c r="W260" s="8" t="s">
        <v>2050</v>
      </c>
    </row>
    <row r="261" spans="1:23" ht="16.5" customHeight="1">
      <c r="A261" s="34"/>
      <c r="C261" s="29"/>
      <c r="D261" s="143">
        <v>6136501</v>
      </c>
      <c r="E261" s="8">
        <v>281</v>
      </c>
      <c r="F261" s="131">
        <v>15000</v>
      </c>
      <c r="G261" s="13">
        <v>855</v>
      </c>
      <c r="H261" s="133">
        <v>42657</v>
      </c>
      <c r="I261" s="10">
        <v>2</v>
      </c>
      <c r="J261" s="8" t="s">
        <v>2308</v>
      </c>
      <c r="K261" s="8" t="s">
        <v>2174</v>
      </c>
      <c r="L261" s="13">
        <v>6131.7</v>
      </c>
      <c r="M261" s="8" t="s">
        <v>2367</v>
      </c>
      <c r="N261" s="8"/>
      <c r="O261" s="143" t="s">
        <v>2198</v>
      </c>
      <c r="P261" s="9">
        <v>12997</v>
      </c>
      <c r="Q261" s="9"/>
      <c r="R261" s="8" t="s">
        <v>2049</v>
      </c>
      <c r="S261" s="147" t="s">
        <v>2199</v>
      </c>
      <c r="T261" s="9">
        <v>13787</v>
      </c>
      <c r="U261" s="9"/>
      <c r="V261" s="8" t="s">
        <v>2058</v>
      </c>
      <c r="W261" s="8" t="s">
        <v>2244</v>
      </c>
    </row>
    <row r="262" spans="1:23" ht="16.5" customHeight="1">
      <c r="A262" s="34"/>
      <c r="C262" s="29"/>
      <c r="D262" s="143">
        <v>30392104</v>
      </c>
      <c r="E262" s="8">
        <v>280</v>
      </c>
      <c r="F262" s="131">
        <v>20000</v>
      </c>
      <c r="G262" s="13">
        <v>1040</v>
      </c>
      <c r="H262" s="133">
        <v>42668</v>
      </c>
      <c r="I262" s="10">
        <v>2</v>
      </c>
      <c r="J262" s="8" t="s">
        <v>2308</v>
      </c>
      <c r="K262" s="8" t="s">
        <v>2201</v>
      </c>
      <c r="L262" s="13">
        <v>7312.4</v>
      </c>
      <c r="M262" s="8" t="s">
        <v>2367</v>
      </c>
      <c r="N262" s="8"/>
      <c r="O262" s="143" t="s">
        <v>2326</v>
      </c>
      <c r="P262" s="9">
        <v>14716</v>
      </c>
      <c r="Q262" s="9"/>
      <c r="R262" s="8" t="s">
        <v>2049</v>
      </c>
      <c r="S262" s="148" t="s">
        <v>2327</v>
      </c>
      <c r="T262" s="9">
        <v>15010</v>
      </c>
      <c r="U262" s="9"/>
      <c r="V262" s="8" t="s">
        <v>2058</v>
      </c>
      <c r="W262" s="8" t="s">
        <v>2124</v>
      </c>
    </row>
    <row r="263" spans="1:23" ht="16.5" customHeight="1">
      <c r="A263" s="34" t="s">
        <v>88</v>
      </c>
      <c r="C263" s="29"/>
      <c r="D263" s="143">
        <v>94598497</v>
      </c>
      <c r="E263" s="8">
        <v>282</v>
      </c>
      <c r="F263" s="131">
        <v>11075.5</v>
      </c>
      <c r="G263" s="13">
        <v>598.08000000000004</v>
      </c>
      <c r="H263" s="133">
        <v>42696</v>
      </c>
      <c r="I263" s="10">
        <v>1</v>
      </c>
      <c r="J263" s="8" t="s">
        <v>2308</v>
      </c>
      <c r="K263" s="8" t="s">
        <v>2274</v>
      </c>
      <c r="L263" s="13">
        <v>4286</v>
      </c>
      <c r="M263" s="8" t="s">
        <v>2367</v>
      </c>
      <c r="N263" s="8"/>
      <c r="O263" s="143" t="s">
        <v>2374</v>
      </c>
      <c r="P263" s="9">
        <v>16576</v>
      </c>
      <c r="Q263" s="9"/>
      <c r="R263" s="8" t="s">
        <v>2058</v>
      </c>
      <c r="S263" s="147"/>
      <c r="T263" s="9"/>
      <c r="U263" s="9"/>
      <c r="V263" s="8"/>
      <c r="W263" s="8" t="s">
        <v>2050</v>
      </c>
    </row>
    <row r="264" spans="1:23" ht="16.5" customHeight="1">
      <c r="A264" s="34"/>
      <c r="C264" s="29"/>
      <c r="D264" s="143">
        <v>92658814</v>
      </c>
      <c r="E264" s="8">
        <v>284</v>
      </c>
      <c r="F264" s="131">
        <v>100000</v>
      </c>
      <c r="G264" s="13">
        <v>5900</v>
      </c>
      <c r="H264" s="133">
        <v>42705</v>
      </c>
      <c r="I264" s="10">
        <v>2</v>
      </c>
      <c r="J264" s="8" t="s">
        <v>2316</v>
      </c>
      <c r="K264" s="8" t="s">
        <v>65</v>
      </c>
      <c r="L264" s="13">
        <v>28545</v>
      </c>
      <c r="M264" s="8" t="s">
        <v>2367</v>
      </c>
      <c r="N264" s="8" t="s">
        <v>88</v>
      </c>
      <c r="O264" s="143" t="s">
        <v>2375</v>
      </c>
      <c r="P264" s="9">
        <v>18255</v>
      </c>
      <c r="Q264" s="9"/>
      <c r="R264" s="8" t="s">
        <v>2058</v>
      </c>
      <c r="S264" s="147" t="s">
        <v>2376</v>
      </c>
      <c r="T264" s="9">
        <v>20652</v>
      </c>
      <c r="U264" s="9"/>
      <c r="V264" s="8" t="s">
        <v>2049</v>
      </c>
      <c r="W264" s="8" t="s">
        <v>2050</v>
      </c>
    </row>
    <row r="265" spans="1:23" ht="16.5" customHeight="1">
      <c r="A265" s="34"/>
      <c r="C265" s="29"/>
      <c r="D265" s="143">
        <v>7372071</v>
      </c>
      <c r="E265" s="8">
        <v>285</v>
      </c>
      <c r="F265" s="131">
        <v>25000</v>
      </c>
      <c r="G265" s="13">
        <v>2250</v>
      </c>
      <c r="H265" s="133">
        <v>42705</v>
      </c>
      <c r="I265" s="10">
        <v>1</v>
      </c>
      <c r="J265" s="8" t="s">
        <v>2308</v>
      </c>
      <c r="K265" s="8" t="s">
        <v>2072</v>
      </c>
      <c r="L265" s="13">
        <v>15542.25</v>
      </c>
      <c r="M265" s="8" t="s">
        <v>2367</v>
      </c>
      <c r="N265" s="8" t="s">
        <v>88</v>
      </c>
      <c r="O265" s="143" t="s">
        <v>2377</v>
      </c>
      <c r="P265" s="9">
        <v>9910</v>
      </c>
      <c r="Q265" s="9"/>
      <c r="R265" s="8" t="s">
        <v>2058</v>
      </c>
      <c r="S265" s="147"/>
      <c r="T265" s="9"/>
      <c r="U265" s="9"/>
      <c r="V265" s="8"/>
      <c r="W265" s="8" t="s">
        <v>2050</v>
      </c>
    </row>
    <row r="266" spans="1:23" ht="16.5" customHeight="1">
      <c r="A266" s="34"/>
      <c r="C266" s="29"/>
      <c r="D266" s="143">
        <v>30481048</v>
      </c>
      <c r="E266" s="8">
        <v>286</v>
      </c>
      <c r="F266" s="131">
        <v>20000</v>
      </c>
      <c r="G266" s="13">
        <v>940</v>
      </c>
      <c r="H266" s="133">
        <v>42707</v>
      </c>
      <c r="I266" s="10">
        <v>2</v>
      </c>
      <c r="J266" s="8" t="s">
        <v>2308</v>
      </c>
      <c r="K266" s="8" t="s">
        <v>2203</v>
      </c>
      <c r="L266" s="13">
        <v>5854.6</v>
      </c>
      <c r="M266" s="8" t="s">
        <v>2367</v>
      </c>
      <c r="N266" s="8" t="s">
        <v>88</v>
      </c>
      <c r="O266" s="143" t="s">
        <v>2378</v>
      </c>
      <c r="P266" s="9">
        <v>16294</v>
      </c>
      <c r="Q266" s="9"/>
      <c r="R266" s="8" t="s">
        <v>2058</v>
      </c>
      <c r="S266" s="147" t="s">
        <v>2379</v>
      </c>
      <c r="T266" s="9">
        <v>17124</v>
      </c>
      <c r="U266" s="9"/>
      <c r="V266" s="8" t="s">
        <v>2049</v>
      </c>
      <c r="W266" s="8" t="s">
        <v>2050</v>
      </c>
    </row>
    <row r="267" spans="1:23" ht="16.5" customHeight="1">
      <c r="A267" s="34"/>
      <c r="C267" s="29"/>
      <c r="D267" s="143">
        <v>39546981</v>
      </c>
      <c r="E267" s="8">
        <v>283</v>
      </c>
      <c r="F267" s="131">
        <v>50000</v>
      </c>
      <c r="G267" s="13">
        <v>3400</v>
      </c>
      <c r="H267" s="133">
        <v>42710</v>
      </c>
      <c r="I267" s="10">
        <v>1</v>
      </c>
      <c r="J267" s="8" t="s">
        <v>2308</v>
      </c>
      <c r="K267" s="8" t="s">
        <v>2129</v>
      </c>
      <c r="L267" s="13">
        <v>24252</v>
      </c>
      <c r="M267" s="8" t="s">
        <v>2367</v>
      </c>
      <c r="N267" s="8"/>
      <c r="O267" s="143" t="s">
        <v>2303</v>
      </c>
      <c r="P267" s="9">
        <v>13520</v>
      </c>
      <c r="Q267" s="9"/>
      <c r="R267" s="8" t="s">
        <v>2058</v>
      </c>
      <c r="S267" s="147"/>
      <c r="T267" s="9"/>
      <c r="U267" s="9"/>
      <c r="V267" s="8"/>
      <c r="W267" s="8" t="s">
        <v>2244</v>
      </c>
    </row>
    <row r="268" spans="1:23" ht="16.5" customHeight="1">
      <c r="A268" s="34"/>
      <c r="C268" s="29"/>
      <c r="D268" s="143">
        <v>989152</v>
      </c>
      <c r="E268" s="8">
        <v>287</v>
      </c>
      <c r="F268" s="131">
        <v>5000</v>
      </c>
      <c r="G268" s="13">
        <v>435</v>
      </c>
      <c r="H268" s="133">
        <v>42711</v>
      </c>
      <c r="I268" s="10">
        <v>1</v>
      </c>
      <c r="J268" s="8" t="s">
        <v>2308</v>
      </c>
      <c r="K268" s="8" t="s">
        <v>65</v>
      </c>
      <c r="L268" s="13">
        <v>3052.3</v>
      </c>
      <c r="M268" s="8" t="s">
        <v>2367</v>
      </c>
      <c r="N268" s="8" t="str">
        <f t="shared" ref="N268:N273" si="15">IF(OR(ISBLANK(Q:Q)=FALSE,ISBLANK(U:U)=FALSE),IF(Q:Q&gt;U:U,IF(MONTH(Q:Q)&gt;6,"FY"&amp;RIGHT(YEAR(Q:Q)+1,2),"FY"&amp;RIGHT(YEAR(Q:Q),2)),IF(MONTH(U:U)&gt;6,"FY"&amp;RIGHT(YEAR(U:U)+1,2),"FY"&amp;RIGHT(YEAR(U:U),2))),"")</f>
        <v/>
      </c>
      <c r="O268" s="143" t="s">
        <v>2216</v>
      </c>
      <c r="P268" s="9">
        <v>10282</v>
      </c>
      <c r="Q268" s="9"/>
      <c r="R268" s="8" t="s">
        <v>2049</v>
      </c>
      <c r="S268" s="147"/>
      <c r="T268" s="9"/>
      <c r="U268" s="9"/>
      <c r="V268" s="8"/>
      <c r="W268" s="8" t="s">
        <v>2380</v>
      </c>
    </row>
    <row r="269" spans="1:23" ht="16.5" customHeight="1">
      <c r="A269" s="34"/>
      <c r="C269" s="29"/>
      <c r="D269" s="143">
        <v>38445581</v>
      </c>
      <c r="E269" s="8">
        <v>288</v>
      </c>
      <c r="F269" s="131">
        <v>12745.62</v>
      </c>
      <c r="G269" s="13">
        <v>739.28</v>
      </c>
      <c r="H269" s="133">
        <v>42717</v>
      </c>
      <c r="I269" s="10">
        <v>1</v>
      </c>
      <c r="J269" s="8" t="s">
        <v>2316</v>
      </c>
      <c r="K269" s="8" t="s">
        <v>2052</v>
      </c>
      <c r="L269" s="13">
        <v>5007.63</v>
      </c>
      <c r="M269" s="8" t="s">
        <v>2367</v>
      </c>
      <c r="N269" s="8" t="str">
        <f t="shared" si="15"/>
        <v/>
      </c>
      <c r="O269" s="143" t="s">
        <v>2381</v>
      </c>
      <c r="P269" s="9">
        <v>18657</v>
      </c>
      <c r="Q269" s="9"/>
      <c r="R269" s="8" t="s">
        <v>2049</v>
      </c>
      <c r="S269" s="147" t="s">
        <v>88</v>
      </c>
      <c r="T269" s="9"/>
      <c r="U269" s="9"/>
      <c r="V269" s="8"/>
      <c r="W269" s="8" t="s">
        <v>2050</v>
      </c>
    </row>
    <row r="270" spans="1:23" ht="16.5" customHeight="1">
      <c r="A270" s="34"/>
      <c r="C270" s="29" t="s">
        <v>238</v>
      </c>
      <c r="D270" s="143">
        <v>13594643</v>
      </c>
      <c r="E270" s="8">
        <v>289</v>
      </c>
      <c r="F270" s="131">
        <v>20000</v>
      </c>
      <c r="G270" s="13">
        <v>1800</v>
      </c>
      <c r="H270" s="133">
        <v>42720</v>
      </c>
      <c r="I270" s="10">
        <v>1</v>
      </c>
      <c r="J270" s="8" t="s">
        <v>2308</v>
      </c>
      <c r="K270" s="8" t="s">
        <v>2094</v>
      </c>
      <c r="L270" s="13">
        <v>13345.6</v>
      </c>
      <c r="M270" s="8" t="s">
        <v>2367</v>
      </c>
      <c r="N270" s="8" t="s">
        <v>3</v>
      </c>
      <c r="O270" s="143" t="s">
        <v>2259</v>
      </c>
      <c r="P270" s="9">
        <v>8990</v>
      </c>
      <c r="Q270" s="9">
        <v>44662</v>
      </c>
      <c r="R270" s="8" t="s">
        <v>2058</v>
      </c>
      <c r="S270" s="147"/>
      <c r="T270" s="9"/>
      <c r="U270" s="9"/>
      <c r="V270" s="8"/>
      <c r="W270" s="8" t="s">
        <v>2124</v>
      </c>
    </row>
    <row r="271" spans="1:23" ht="16.5" customHeight="1">
      <c r="A271" s="34"/>
      <c r="C271" s="29"/>
      <c r="D271" s="143">
        <v>4171906</v>
      </c>
      <c r="E271" s="8">
        <v>291</v>
      </c>
      <c r="F271" s="131">
        <v>20000</v>
      </c>
      <c r="G271" s="13">
        <v>1400</v>
      </c>
      <c r="H271" s="133">
        <v>42723</v>
      </c>
      <c r="I271" s="10">
        <v>1</v>
      </c>
      <c r="J271" s="8" t="s">
        <v>2308</v>
      </c>
      <c r="K271" s="8" t="s">
        <v>2081</v>
      </c>
      <c r="L271" s="13">
        <v>9955.6</v>
      </c>
      <c r="M271" s="8" t="s">
        <v>2367</v>
      </c>
      <c r="N271" s="8" t="s">
        <v>88</v>
      </c>
      <c r="O271" s="143" t="s">
        <v>2200</v>
      </c>
      <c r="P271" s="9">
        <v>13259</v>
      </c>
      <c r="Q271" s="9"/>
      <c r="R271" s="8" t="s">
        <v>2058</v>
      </c>
      <c r="S271" s="143"/>
      <c r="T271" s="9"/>
      <c r="U271" s="9"/>
      <c r="V271" s="8"/>
      <c r="W271" s="8" t="s">
        <v>2124</v>
      </c>
    </row>
    <row r="272" spans="1:23" ht="16.5" customHeight="1">
      <c r="A272" s="34"/>
      <c r="C272" s="29"/>
      <c r="D272" s="143">
        <v>38355731</v>
      </c>
      <c r="E272" s="8">
        <v>290</v>
      </c>
      <c r="F272" s="131">
        <v>10000</v>
      </c>
      <c r="G272" s="13">
        <v>570</v>
      </c>
      <c r="H272" s="133">
        <v>42725</v>
      </c>
      <c r="I272" s="10">
        <v>1</v>
      </c>
      <c r="J272" s="8" t="s">
        <v>2308</v>
      </c>
      <c r="K272" s="8" t="s">
        <v>2112</v>
      </c>
      <c r="L272" s="13">
        <v>4179.3</v>
      </c>
      <c r="M272" s="8" t="s">
        <v>2367</v>
      </c>
      <c r="N272" s="8" t="str">
        <f t="shared" si="15"/>
        <v/>
      </c>
      <c r="O272" s="143" t="s">
        <v>2340</v>
      </c>
      <c r="P272" s="9">
        <v>15783</v>
      </c>
      <c r="Q272" s="9"/>
      <c r="R272" s="8" t="s">
        <v>2049</v>
      </c>
      <c r="S272" s="143"/>
      <c r="T272" s="9"/>
      <c r="U272" s="9"/>
      <c r="V272" s="8"/>
      <c r="W272" s="8" t="s">
        <v>2124</v>
      </c>
    </row>
    <row r="273" spans="1:23" ht="16.5" customHeight="1">
      <c r="A273" s="34"/>
      <c r="C273" s="29"/>
      <c r="D273" s="143">
        <v>35288372</v>
      </c>
      <c r="E273" s="8">
        <v>292</v>
      </c>
      <c r="F273" s="131">
        <v>10000</v>
      </c>
      <c r="G273" s="13">
        <v>840</v>
      </c>
      <c r="H273" s="133">
        <v>42815</v>
      </c>
      <c r="I273" s="10">
        <v>1</v>
      </c>
      <c r="J273" s="8" t="s">
        <v>2308</v>
      </c>
      <c r="K273" s="8" t="s">
        <v>2162</v>
      </c>
      <c r="L273" s="13">
        <v>6117.6</v>
      </c>
      <c r="M273" s="8" t="s">
        <v>2367</v>
      </c>
      <c r="N273" s="8" t="str">
        <f t="shared" si="15"/>
        <v/>
      </c>
      <c r="O273" s="143" t="s">
        <v>2382</v>
      </c>
      <c r="P273" s="9">
        <v>10677</v>
      </c>
      <c r="Q273" s="9"/>
      <c r="R273" s="8" t="s">
        <v>2049</v>
      </c>
      <c r="S273" s="143"/>
      <c r="T273" s="9"/>
      <c r="U273" s="9"/>
      <c r="V273" s="8"/>
      <c r="W273" s="8" t="s">
        <v>2292</v>
      </c>
    </row>
    <row r="274" spans="1:23" ht="16.5" customHeight="1">
      <c r="A274" s="34"/>
      <c r="C274" s="29"/>
      <c r="D274" s="143">
        <v>20268983</v>
      </c>
      <c r="E274" s="8">
        <v>293</v>
      </c>
      <c r="F274" s="131">
        <v>12812.5</v>
      </c>
      <c r="G274" s="13">
        <v>768.76</v>
      </c>
      <c r="H274" s="133">
        <v>42858</v>
      </c>
      <c r="I274" s="10">
        <v>1</v>
      </c>
      <c r="J274" s="8" t="s">
        <v>2308</v>
      </c>
      <c r="K274" s="8" t="s">
        <v>2185</v>
      </c>
      <c r="L274" s="13">
        <v>6039.56</v>
      </c>
      <c r="M274" s="8" t="s">
        <v>2367</v>
      </c>
      <c r="N274" s="8"/>
      <c r="O274" s="143" t="s">
        <v>2362</v>
      </c>
      <c r="P274" s="9">
        <v>15114</v>
      </c>
      <c r="Q274" s="9"/>
      <c r="R274" s="8" t="s">
        <v>2058</v>
      </c>
      <c r="S274" s="143"/>
      <c r="T274" s="9"/>
      <c r="U274" s="9"/>
      <c r="V274" s="8"/>
      <c r="W274" s="8" t="s">
        <v>2124</v>
      </c>
    </row>
    <row r="275" spans="1:23" ht="16.5" customHeight="1">
      <c r="A275" s="34"/>
      <c r="C275" s="29"/>
      <c r="D275" s="143">
        <v>3145455</v>
      </c>
      <c r="E275" s="8">
        <v>294</v>
      </c>
      <c r="F275" s="131">
        <v>20000</v>
      </c>
      <c r="G275" s="13">
        <v>1520</v>
      </c>
      <c r="H275" s="133">
        <v>42863</v>
      </c>
      <c r="I275" s="10">
        <v>1</v>
      </c>
      <c r="J275" s="8" t="s">
        <v>2308</v>
      </c>
      <c r="K275" s="8" t="s">
        <v>2185</v>
      </c>
      <c r="L275" s="13">
        <v>11126.6</v>
      </c>
      <c r="M275" s="8" t="s">
        <v>2367</v>
      </c>
      <c r="N275" s="8" t="s">
        <v>88</v>
      </c>
      <c r="O275" s="143" t="s">
        <v>2383</v>
      </c>
      <c r="P275" s="9">
        <v>12236</v>
      </c>
      <c r="Q275" s="9"/>
      <c r="R275" s="8" t="s">
        <v>2058</v>
      </c>
      <c r="S275" s="143"/>
      <c r="T275" s="9"/>
      <c r="U275" s="9"/>
      <c r="V275" s="8"/>
      <c r="W275" s="8" t="s">
        <v>2050</v>
      </c>
    </row>
    <row r="276" spans="1:23" ht="16.5" customHeight="1">
      <c r="A276" s="34"/>
      <c r="C276" s="29"/>
      <c r="D276" s="143">
        <v>50978790</v>
      </c>
      <c r="E276" s="8">
        <v>295</v>
      </c>
      <c r="F276" s="131">
        <v>25000</v>
      </c>
      <c r="G276" s="13">
        <v>2100</v>
      </c>
      <c r="H276" s="133">
        <v>42870</v>
      </c>
      <c r="I276" s="10">
        <v>1</v>
      </c>
      <c r="J276" s="8" t="s">
        <v>2308</v>
      </c>
      <c r="K276" s="8" t="s">
        <v>2112</v>
      </c>
      <c r="L276" s="13">
        <v>15294</v>
      </c>
      <c r="M276" s="8" t="s">
        <v>2367</v>
      </c>
      <c r="N276" s="8" t="s">
        <v>88</v>
      </c>
      <c r="O276" s="143" t="s">
        <v>2294</v>
      </c>
      <c r="P276" s="9">
        <v>10627</v>
      </c>
      <c r="Q276" s="9"/>
      <c r="R276" s="8" t="s">
        <v>2058</v>
      </c>
      <c r="S276" s="143"/>
      <c r="T276" s="9"/>
      <c r="U276" s="9"/>
      <c r="V276" s="8"/>
      <c r="W276" s="8" t="s">
        <v>2124</v>
      </c>
    </row>
    <row r="277" spans="1:23" ht="16.5" customHeight="1">
      <c r="A277" s="34"/>
      <c r="C277" s="29"/>
      <c r="D277" s="143">
        <v>2422194</v>
      </c>
      <c r="E277" s="8">
        <v>296</v>
      </c>
      <c r="F277" s="131">
        <v>10000</v>
      </c>
      <c r="G277" s="13">
        <v>760</v>
      </c>
      <c r="H277" s="133">
        <v>42889</v>
      </c>
      <c r="I277" s="10">
        <v>1</v>
      </c>
      <c r="J277" s="8" t="s">
        <v>2308</v>
      </c>
      <c r="K277" s="8" t="s">
        <v>2174</v>
      </c>
      <c r="L277" s="13">
        <v>5563.3</v>
      </c>
      <c r="M277" s="8" t="s">
        <v>2367</v>
      </c>
      <c r="N277" s="8" t="str">
        <f>IF(OR(ISBLANK(Q:Q)=FALSE,ISBLANK(U:U)=FALSE),IF(Q:Q&gt;U:U,IF(MONTH(Q:Q)&gt;6,"FY"&amp;RIGHT(YEAR(Q:Q)+1,2),"FY"&amp;RIGHT(YEAR(Q:Q),2)),IF(MONTH(U:U)&gt;6,"FY"&amp;RIGHT(YEAR(U:U)+1,2),"FY"&amp;RIGHT(YEAR(U:U),2))),"")</f>
        <v/>
      </c>
      <c r="O277" s="143" t="s">
        <v>2384</v>
      </c>
      <c r="P277" s="9">
        <v>12110</v>
      </c>
      <c r="Q277" s="9"/>
      <c r="R277" s="8" t="s">
        <v>2049</v>
      </c>
      <c r="S277" s="143"/>
      <c r="T277" s="9" t="s">
        <v>88</v>
      </c>
      <c r="U277" s="9"/>
      <c r="V277" s="8"/>
      <c r="W277" s="8" t="s">
        <v>2050</v>
      </c>
    </row>
    <row r="278" spans="1:23" ht="16.5" customHeight="1">
      <c r="A278" s="34"/>
      <c r="C278" s="29"/>
      <c r="D278" s="143">
        <v>56140593</v>
      </c>
      <c r="E278" s="8">
        <v>297</v>
      </c>
      <c r="F278" s="131">
        <v>10000</v>
      </c>
      <c r="G278" s="13">
        <v>610</v>
      </c>
      <c r="H278" s="133">
        <v>42898</v>
      </c>
      <c r="I278" s="10">
        <v>1</v>
      </c>
      <c r="J278" s="8" t="s">
        <v>2316</v>
      </c>
      <c r="K278" s="8" t="s">
        <v>2266</v>
      </c>
      <c r="L278" s="13">
        <v>4732.1000000000004</v>
      </c>
      <c r="M278" s="8" t="s">
        <v>2367</v>
      </c>
      <c r="N278" s="8" t="str">
        <f>IF(OR(ISBLANK(Q:Q)=FALSE,ISBLANK(U:U)=FALSE),IF(Q:Q&gt;U:U,IF(MONTH(Q:Q)&gt;6,"FY"&amp;RIGHT(YEAR(Q:Q)+1,2),"FY"&amp;RIGHT(YEAR(Q:Q),2)),IF(MONTH(U:U)&gt;6,"FY"&amp;RIGHT(YEAR(U:U)+1,2),"FY"&amp;RIGHT(YEAR(U:U),2))),"")</f>
        <v/>
      </c>
      <c r="O278" s="143" t="s">
        <v>2385</v>
      </c>
      <c r="P278" s="9">
        <v>17956</v>
      </c>
      <c r="Q278" s="9"/>
      <c r="R278" s="8" t="s">
        <v>2058</v>
      </c>
      <c r="S278" s="143"/>
      <c r="T278" s="9"/>
      <c r="U278" s="9"/>
      <c r="V278" s="8"/>
      <c r="W278" s="8" t="s">
        <v>2050</v>
      </c>
    </row>
    <row r="279" spans="1:23" ht="16.5" customHeight="1">
      <c r="A279" s="34"/>
      <c r="C279" s="29" t="s">
        <v>238</v>
      </c>
      <c r="D279" s="143">
        <v>40393878</v>
      </c>
      <c r="E279" s="8">
        <v>298</v>
      </c>
      <c r="F279" s="131">
        <v>25000</v>
      </c>
      <c r="G279" s="13">
        <v>2250</v>
      </c>
      <c r="H279" s="133">
        <v>42936</v>
      </c>
      <c r="I279" s="10">
        <v>1</v>
      </c>
      <c r="J279" s="8" t="s">
        <v>2308</v>
      </c>
      <c r="K279" s="8" t="s">
        <v>2240</v>
      </c>
      <c r="L279" s="13">
        <v>17342</v>
      </c>
      <c r="M279" s="8" t="s">
        <v>2386</v>
      </c>
      <c r="N279" s="8" t="s">
        <v>5</v>
      </c>
      <c r="O279" s="143" t="s">
        <v>2387</v>
      </c>
      <c r="P279" s="9">
        <v>9004</v>
      </c>
      <c r="Q279" s="9">
        <v>43982</v>
      </c>
      <c r="R279" s="8" t="s">
        <v>2049</v>
      </c>
      <c r="S279" s="143"/>
      <c r="T279" s="9"/>
      <c r="U279" s="9"/>
      <c r="V279" s="8"/>
      <c r="W279" s="8" t="s">
        <v>2050</v>
      </c>
    </row>
    <row r="280" spans="1:23" ht="16.5" customHeight="1">
      <c r="A280" s="34"/>
      <c r="C280" s="29"/>
      <c r="D280" s="143">
        <v>33910209</v>
      </c>
      <c r="E280" s="8">
        <v>299</v>
      </c>
      <c r="F280" s="131">
        <v>10000</v>
      </c>
      <c r="G280" s="13">
        <v>540</v>
      </c>
      <c r="H280" s="133">
        <v>43035</v>
      </c>
      <c r="I280" s="10">
        <v>1</v>
      </c>
      <c r="J280" s="8" t="s">
        <v>2308</v>
      </c>
      <c r="K280" s="8" t="s">
        <v>2094</v>
      </c>
      <c r="L280" s="13">
        <v>4239.5</v>
      </c>
      <c r="M280" s="8" t="s">
        <v>2386</v>
      </c>
      <c r="N280" s="8"/>
      <c r="O280" s="143" t="s">
        <v>2388</v>
      </c>
      <c r="P280" s="9">
        <v>16900</v>
      </c>
      <c r="Q280" s="9"/>
      <c r="R280" s="8" t="s">
        <v>2058</v>
      </c>
      <c r="S280" s="143"/>
      <c r="T280" s="9"/>
      <c r="U280" s="9"/>
      <c r="V280" s="8"/>
      <c r="W280" s="8" t="s">
        <v>2050</v>
      </c>
    </row>
    <row r="281" spans="1:23" ht="16.5" customHeight="1">
      <c r="A281" s="34"/>
      <c r="C281" s="29"/>
      <c r="D281" s="1003">
        <v>95110466</v>
      </c>
      <c r="E281" s="14">
        <v>300</v>
      </c>
      <c r="F281" s="222">
        <v>10000</v>
      </c>
      <c r="G281" s="58">
        <v>620</v>
      </c>
      <c r="H281" s="136">
        <v>43035</v>
      </c>
      <c r="I281" s="15">
        <v>1</v>
      </c>
      <c r="J281" s="8" t="s">
        <v>2308</v>
      </c>
      <c r="K281" s="16" t="s">
        <v>2089</v>
      </c>
      <c r="L281" s="58">
        <v>4723.3</v>
      </c>
      <c r="M281" s="16" t="s">
        <v>2386</v>
      </c>
      <c r="N281" s="16"/>
      <c r="O281" s="146" t="s">
        <v>2389</v>
      </c>
      <c r="P281" s="17">
        <v>14787</v>
      </c>
      <c r="Q281" s="18"/>
      <c r="R281" s="16" t="s">
        <v>2058</v>
      </c>
      <c r="S281" s="146"/>
      <c r="T281" s="18"/>
      <c r="U281" s="18"/>
      <c r="V281" s="16"/>
      <c r="W281" s="16" t="s">
        <v>2050</v>
      </c>
    </row>
    <row r="282" spans="1:23" ht="16.5" customHeight="1">
      <c r="A282" s="34"/>
      <c r="C282" s="29"/>
      <c r="D282" s="1003" t="s">
        <v>2390</v>
      </c>
      <c r="E282" s="14" t="s">
        <v>2391</v>
      </c>
      <c r="F282" s="222">
        <v>10000</v>
      </c>
      <c r="G282" s="58">
        <v>450</v>
      </c>
      <c r="H282" s="136">
        <v>43036</v>
      </c>
      <c r="I282" s="15">
        <v>2</v>
      </c>
      <c r="J282" s="8" t="s">
        <v>2308</v>
      </c>
      <c r="K282" s="16" t="s">
        <v>2174</v>
      </c>
      <c r="L282" s="58">
        <v>3139.2</v>
      </c>
      <c r="M282" s="16" t="s">
        <v>2386</v>
      </c>
      <c r="N282" s="16"/>
      <c r="O282" s="146" t="s">
        <v>2392</v>
      </c>
      <c r="P282" s="17">
        <v>17293</v>
      </c>
      <c r="Q282" s="18"/>
      <c r="R282" s="16" t="s">
        <v>2049</v>
      </c>
      <c r="S282" s="146" t="s">
        <v>2393</v>
      </c>
      <c r="T282" s="19" t="s">
        <v>2394</v>
      </c>
      <c r="U282" s="18"/>
      <c r="V282" s="16" t="s">
        <v>2058</v>
      </c>
      <c r="W282" s="16" t="s">
        <v>2050</v>
      </c>
    </row>
    <row r="283" spans="1:23" ht="16.5" customHeight="1">
      <c r="A283" s="34"/>
      <c r="C283" s="29"/>
      <c r="D283" s="143">
        <v>94598497</v>
      </c>
      <c r="E283" s="8">
        <v>305</v>
      </c>
      <c r="F283" s="131">
        <v>10067.4</v>
      </c>
      <c r="G283" s="13">
        <v>553.72</v>
      </c>
      <c r="H283" s="133">
        <v>43073</v>
      </c>
      <c r="I283" s="10">
        <v>1</v>
      </c>
      <c r="J283" s="8" t="s">
        <v>2308</v>
      </c>
      <c r="K283" s="8" t="s">
        <v>2274</v>
      </c>
      <c r="L283" s="13">
        <v>4489.66</v>
      </c>
      <c r="M283" s="8" t="s">
        <v>2386</v>
      </c>
      <c r="N283" s="8"/>
      <c r="O283" s="143" t="s">
        <v>2374</v>
      </c>
      <c r="P283" s="9">
        <v>16576</v>
      </c>
      <c r="Q283" s="9"/>
      <c r="R283" s="8" t="s">
        <v>2058</v>
      </c>
      <c r="S283" s="143"/>
      <c r="T283" s="9"/>
      <c r="U283" s="9"/>
      <c r="V283" s="8"/>
      <c r="W283" s="8" t="s">
        <v>2124</v>
      </c>
    </row>
    <row r="284" spans="1:23" ht="16.5" customHeight="1">
      <c r="A284" s="34"/>
      <c r="C284" s="29"/>
      <c r="D284" s="143">
        <v>77983591</v>
      </c>
      <c r="E284" s="8">
        <v>306</v>
      </c>
      <c r="F284" s="131">
        <v>10341.98</v>
      </c>
      <c r="G284" s="13">
        <v>599.84</v>
      </c>
      <c r="H284" s="133">
        <v>43081</v>
      </c>
      <c r="I284" s="10">
        <v>1</v>
      </c>
      <c r="J284" s="8" t="s">
        <v>2308</v>
      </c>
      <c r="K284" s="8" t="s">
        <v>2395</v>
      </c>
      <c r="L284" s="13">
        <v>4809.2299999999996</v>
      </c>
      <c r="M284" s="8" t="s">
        <v>2386</v>
      </c>
      <c r="N284" s="8" t="str">
        <f>IF(OR(ISBLANK(Q:Q)=FALSE,ISBLANK(U:U)=FALSE),IF(Q:Q&gt;U:U,IF(MONTH(Q:Q)&gt;6,"FY"&amp;RIGHT(YEAR(Q:Q)+1,2),"FY"&amp;RIGHT(YEAR(Q:Q),2)),IF(MONTH(U:U)&gt;6,"FY"&amp;RIGHT(YEAR(U:U)+1,2),"FY"&amp;RIGHT(YEAR(U:U),2))),"")</f>
        <v/>
      </c>
      <c r="O284" s="143" t="s">
        <v>2396</v>
      </c>
      <c r="P284" s="9">
        <v>15709</v>
      </c>
      <c r="Q284" s="9"/>
      <c r="R284" s="8" t="s">
        <v>2058</v>
      </c>
      <c r="S284" s="143"/>
      <c r="T284" s="9"/>
      <c r="U284" s="9"/>
      <c r="V284" s="8"/>
      <c r="W284" s="8" t="s">
        <v>2050</v>
      </c>
    </row>
    <row r="285" spans="1:23" ht="16.5" customHeight="1">
      <c r="A285" s="34"/>
      <c r="C285" s="29"/>
      <c r="D285" s="1003" t="s">
        <v>2397</v>
      </c>
      <c r="E285" s="14" t="s">
        <v>2398</v>
      </c>
      <c r="F285" s="222">
        <v>50000</v>
      </c>
      <c r="G285" s="58">
        <v>3200</v>
      </c>
      <c r="H285" s="136">
        <v>43084</v>
      </c>
      <c r="I285" s="15">
        <v>2</v>
      </c>
      <c r="J285" s="8" t="s">
        <v>2308</v>
      </c>
      <c r="K285" s="16" t="s">
        <v>2129</v>
      </c>
      <c r="L285" s="58">
        <v>23805.5</v>
      </c>
      <c r="M285" s="16" t="s">
        <v>2386</v>
      </c>
      <c r="N285" s="16"/>
      <c r="O285" s="146" t="s">
        <v>2399</v>
      </c>
      <c r="P285" s="17">
        <v>12377</v>
      </c>
      <c r="Q285" s="18"/>
      <c r="R285" s="16" t="s">
        <v>2049</v>
      </c>
      <c r="S285" s="146" t="s">
        <v>2400</v>
      </c>
      <c r="T285" s="19" t="s">
        <v>2401</v>
      </c>
      <c r="U285" s="18"/>
      <c r="V285" s="16" t="s">
        <v>2058</v>
      </c>
      <c r="W285" s="16" t="s">
        <v>2196</v>
      </c>
    </row>
    <row r="286" spans="1:23" ht="16.5" customHeight="1">
      <c r="A286" s="34"/>
      <c r="C286" s="29" t="s">
        <v>238</v>
      </c>
      <c r="D286" s="1003" t="s">
        <v>2402</v>
      </c>
      <c r="E286" s="14" t="s">
        <v>2403</v>
      </c>
      <c r="F286" s="222">
        <v>10000</v>
      </c>
      <c r="G286" s="58">
        <v>640</v>
      </c>
      <c r="H286" s="136">
        <v>43084</v>
      </c>
      <c r="I286" s="15">
        <v>1</v>
      </c>
      <c r="J286" s="8" t="s">
        <v>2308</v>
      </c>
      <c r="K286" s="16" t="s">
        <v>2046</v>
      </c>
      <c r="L286" s="58">
        <v>4875</v>
      </c>
      <c r="M286" s="16" t="s">
        <v>2386</v>
      </c>
      <c r="N286" s="16" t="s">
        <v>1</v>
      </c>
      <c r="O286" s="146" t="s">
        <v>2404</v>
      </c>
      <c r="P286" s="17">
        <v>14690</v>
      </c>
      <c r="Q286" s="17">
        <v>45200</v>
      </c>
      <c r="R286" s="16" t="s">
        <v>2058</v>
      </c>
      <c r="S286" s="146"/>
      <c r="T286" s="18"/>
      <c r="U286" s="18"/>
      <c r="V286" s="16"/>
      <c r="W286" s="16" t="s">
        <v>2050</v>
      </c>
    </row>
    <row r="287" spans="1:23" ht="16.5" customHeight="1">
      <c r="A287" s="34"/>
      <c r="C287" s="29"/>
      <c r="D287" s="1003" t="s">
        <v>2405</v>
      </c>
      <c r="E287" s="14" t="s">
        <v>2406</v>
      </c>
      <c r="F287" s="222">
        <v>10000</v>
      </c>
      <c r="G287" s="58">
        <v>430</v>
      </c>
      <c r="H287" s="136">
        <v>43084</v>
      </c>
      <c r="I287" s="15">
        <v>2</v>
      </c>
      <c r="J287" s="8" t="s">
        <v>2308</v>
      </c>
      <c r="K287" s="16" t="s">
        <v>2206</v>
      </c>
      <c r="L287" s="58">
        <v>2861.2</v>
      </c>
      <c r="M287" s="16" t="s">
        <v>2386</v>
      </c>
      <c r="N287" s="16"/>
      <c r="O287" s="146" t="s">
        <v>2407</v>
      </c>
      <c r="P287" s="17">
        <v>19230</v>
      </c>
      <c r="Q287" s="18"/>
      <c r="R287" s="16" t="s">
        <v>2049</v>
      </c>
      <c r="S287" s="146" t="s">
        <v>2408</v>
      </c>
      <c r="T287" s="19" t="s">
        <v>2409</v>
      </c>
      <c r="U287" s="18"/>
      <c r="V287" s="16" t="s">
        <v>2058</v>
      </c>
      <c r="W287" s="16" t="s">
        <v>2050</v>
      </c>
    </row>
    <row r="288" spans="1:23" ht="16.5" customHeight="1">
      <c r="A288" s="34"/>
      <c r="C288" s="29" t="s">
        <v>88</v>
      </c>
      <c r="D288" s="143">
        <v>1076793</v>
      </c>
      <c r="E288" s="8">
        <v>307</v>
      </c>
      <c r="F288" s="131">
        <v>20000</v>
      </c>
      <c r="G288" s="13">
        <v>1200</v>
      </c>
      <c r="H288" s="133">
        <v>43146</v>
      </c>
      <c r="I288" s="10">
        <v>1</v>
      </c>
      <c r="J288" s="8" t="s">
        <v>2316</v>
      </c>
      <c r="K288" s="8" t="s">
        <v>2176</v>
      </c>
      <c r="L288" s="13">
        <v>8868.6</v>
      </c>
      <c r="M288" s="8" t="s">
        <v>2386</v>
      </c>
      <c r="N288" s="8" t="s">
        <v>88</v>
      </c>
      <c r="O288" s="143" t="s">
        <v>2410</v>
      </c>
      <c r="P288" s="9">
        <v>18460</v>
      </c>
      <c r="Q288" s="9"/>
      <c r="R288" s="8" t="s">
        <v>2049</v>
      </c>
      <c r="S288" s="143"/>
      <c r="T288" s="9"/>
      <c r="U288" s="9"/>
      <c r="V288" s="8"/>
      <c r="W288" s="8" t="s">
        <v>2050</v>
      </c>
    </row>
    <row r="289" spans="1:23" ht="16.5" customHeight="1">
      <c r="A289" s="34"/>
      <c r="C289" s="29"/>
      <c r="D289" s="143">
        <v>1078971</v>
      </c>
      <c r="E289" s="8">
        <v>308</v>
      </c>
      <c r="F289" s="131">
        <v>10000</v>
      </c>
      <c r="G289" s="13">
        <v>540</v>
      </c>
      <c r="H289" s="133">
        <v>43182</v>
      </c>
      <c r="I289" s="10">
        <v>1</v>
      </c>
      <c r="J289" s="8" t="s">
        <v>2308</v>
      </c>
      <c r="K289" s="8" t="s">
        <v>2240</v>
      </c>
      <c r="L289" s="13">
        <v>4492.8999999999996</v>
      </c>
      <c r="M289" s="8" t="s">
        <v>2386</v>
      </c>
      <c r="N289" s="8" t="str">
        <f t="shared" ref="N289:N299" si="16">IF(OR(ISBLANK(Q:Q)=FALSE,ISBLANK(U:U)=FALSE),IF(Q:Q&gt;U:U,IF(MONTH(Q:Q)&gt;6,"FY"&amp;RIGHT(YEAR(Q:Q)+1,2),"FY"&amp;RIGHT(YEAR(Q:Q),2)),IF(MONTH(U:U)&gt;6,"FY"&amp;RIGHT(YEAR(U:U)+1,2),"FY"&amp;RIGHT(YEAR(U:U),2))),"")</f>
        <v/>
      </c>
      <c r="O289" s="143" t="s">
        <v>2411</v>
      </c>
      <c r="P289" s="9">
        <v>16949</v>
      </c>
      <c r="Q289" s="9"/>
      <c r="R289" s="8" t="s">
        <v>2049</v>
      </c>
      <c r="S289" s="143" t="s">
        <v>88</v>
      </c>
      <c r="T289" s="9"/>
      <c r="U289" s="9"/>
      <c r="V289" s="8"/>
      <c r="W289" s="8" t="s">
        <v>2050</v>
      </c>
    </row>
    <row r="290" spans="1:23" ht="16.5" customHeight="1">
      <c r="A290" s="34"/>
      <c r="C290" s="29" t="s">
        <v>238</v>
      </c>
      <c r="D290" s="143">
        <v>91500124</v>
      </c>
      <c r="E290" s="8">
        <v>309</v>
      </c>
      <c r="F290" s="131">
        <v>100000</v>
      </c>
      <c r="G290" s="13">
        <v>1750</v>
      </c>
      <c r="H290" s="133">
        <v>43192</v>
      </c>
      <c r="I290" s="10">
        <v>1</v>
      </c>
      <c r="J290" s="8" t="s">
        <v>2308</v>
      </c>
      <c r="K290" s="8" t="s">
        <v>2081</v>
      </c>
      <c r="L290" s="13">
        <v>53353</v>
      </c>
      <c r="M290" s="8" t="s">
        <v>2386</v>
      </c>
      <c r="N290" s="8" t="s">
        <v>88</v>
      </c>
      <c r="O290" s="143" t="s">
        <v>2412</v>
      </c>
      <c r="P290" s="9">
        <v>13450</v>
      </c>
      <c r="Q290" s="9"/>
      <c r="R290" s="8" t="s">
        <v>2049</v>
      </c>
      <c r="S290" s="143"/>
      <c r="T290" s="9"/>
      <c r="U290" s="9"/>
      <c r="V290" s="8"/>
      <c r="W290" s="8" t="s">
        <v>2050</v>
      </c>
    </row>
    <row r="291" spans="1:23" ht="16.5" customHeight="1">
      <c r="A291" s="34"/>
      <c r="C291" s="29"/>
      <c r="D291" s="143">
        <v>91556332</v>
      </c>
      <c r="E291" s="8">
        <v>310</v>
      </c>
      <c r="F291" s="131">
        <v>12000</v>
      </c>
      <c r="G291" s="13">
        <v>672</v>
      </c>
      <c r="H291" s="133">
        <v>43215</v>
      </c>
      <c r="I291" s="10">
        <v>1</v>
      </c>
      <c r="J291" s="8" t="s">
        <v>2316</v>
      </c>
      <c r="K291" s="8" t="s">
        <v>2413</v>
      </c>
      <c r="L291" s="13">
        <v>5627.4</v>
      </c>
      <c r="M291" s="8" t="s">
        <v>2386</v>
      </c>
      <c r="N291" s="8" t="str">
        <f t="shared" si="16"/>
        <v/>
      </c>
      <c r="O291" s="143" t="s">
        <v>2414</v>
      </c>
      <c r="P291" s="9">
        <v>17279</v>
      </c>
      <c r="Q291" s="9"/>
      <c r="R291" s="8" t="s">
        <v>2058</v>
      </c>
      <c r="S291" s="143"/>
      <c r="T291" s="9"/>
      <c r="U291" s="9"/>
      <c r="V291" s="8"/>
      <c r="W291" s="8" t="s">
        <v>2050</v>
      </c>
    </row>
    <row r="292" spans="1:23" ht="16.5" customHeight="1">
      <c r="A292" s="34"/>
      <c r="C292" s="29"/>
      <c r="D292" s="143">
        <v>6486278</v>
      </c>
      <c r="E292" s="8">
        <v>311</v>
      </c>
      <c r="F292" s="131">
        <v>15000</v>
      </c>
      <c r="G292" s="13">
        <v>750</v>
      </c>
      <c r="H292" s="133">
        <v>43220</v>
      </c>
      <c r="I292" s="10">
        <v>1</v>
      </c>
      <c r="J292" s="8" t="s">
        <v>2308</v>
      </c>
      <c r="K292" s="8" t="s">
        <v>2112</v>
      </c>
      <c r="L292" s="13">
        <v>6559.2</v>
      </c>
      <c r="M292" s="8" t="s">
        <v>2386</v>
      </c>
      <c r="N292" s="8" t="str">
        <f t="shared" si="16"/>
        <v/>
      </c>
      <c r="O292" s="143" t="s">
        <v>2415</v>
      </c>
      <c r="P292" s="9">
        <v>17976</v>
      </c>
      <c r="Q292" s="9"/>
      <c r="R292" s="8" t="s">
        <v>2058</v>
      </c>
      <c r="S292" s="143" t="s">
        <v>88</v>
      </c>
      <c r="T292" s="9"/>
      <c r="U292" s="9"/>
      <c r="V292" s="8"/>
      <c r="W292" s="8" t="s">
        <v>2050</v>
      </c>
    </row>
    <row r="293" spans="1:23" ht="16.5" customHeight="1">
      <c r="A293" s="34"/>
      <c r="C293" s="29" t="s">
        <v>238</v>
      </c>
      <c r="D293" s="143">
        <v>95561056</v>
      </c>
      <c r="E293" s="8">
        <v>312</v>
      </c>
      <c r="F293" s="131">
        <v>25000</v>
      </c>
      <c r="G293" s="13">
        <v>1700</v>
      </c>
      <c r="H293" s="133">
        <v>43221</v>
      </c>
      <c r="I293" s="10">
        <v>1</v>
      </c>
      <c r="J293" s="8" t="s">
        <v>2308</v>
      </c>
      <c r="K293" s="8" t="s">
        <v>2046</v>
      </c>
      <c r="L293" s="13">
        <v>13082.25</v>
      </c>
      <c r="M293" s="8" t="s">
        <v>2386</v>
      </c>
      <c r="N293" s="8" t="s">
        <v>88</v>
      </c>
      <c r="O293" s="143" t="s">
        <v>2416</v>
      </c>
      <c r="P293" s="9">
        <v>14117</v>
      </c>
      <c r="Q293" s="9"/>
      <c r="R293" s="8" t="s">
        <v>2058</v>
      </c>
      <c r="S293" s="143"/>
      <c r="T293" s="9"/>
      <c r="U293" s="9"/>
      <c r="V293" s="8"/>
      <c r="W293" s="8" t="s">
        <v>2050</v>
      </c>
    </row>
    <row r="294" spans="1:23" s="34" customFormat="1" ht="16.5" customHeight="1">
      <c r="C294" s="29"/>
      <c r="D294" s="143">
        <v>9701574</v>
      </c>
      <c r="E294" s="8">
        <v>313</v>
      </c>
      <c r="F294" s="131">
        <v>26240</v>
      </c>
      <c r="G294" s="13">
        <v>1548.16</v>
      </c>
      <c r="H294" s="133">
        <v>43318</v>
      </c>
      <c r="I294" s="10">
        <v>1</v>
      </c>
      <c r="J294" s="8" t="s">
        <v>2308</v>
      </c>
      <c r="K294" s="8" t="s">
        <v>2055</v>
      </c>
      <c r="L294" s="13">
        <v>11507.55</v>
      </c>
      <c r="M294" s="8" t="s">
        <v>2417</v>
      </c>
      <c r="N294" s="8" t="s">
        <v>88</v>
      </c>
      <c r="O294" s="143" t="s">
        <v>2418</v>
      </c>
      <c r="P294" s="9">
        <v>16700</v>
      </c>
      <c r="Q294" s="9"/>
      <c r="R294" s="8" t="s">
        <v>2049</v>
      </c>
      <c r="S294" s="143"/>
      <c r="T294" s="9"/>
      <c r="U294" s="9"/>
      <c r="V294" s="8"/>
      <c r="W294" s="8" t="s">
        <v>2050</v>
      </c>
    </row>
    <row r="295" spans="1:23" ht="16.5" customHeight="1">
      <c r="A295" s="34"/>
      <c r="C295" s="29"/>
      <c r="D295" s="143">
        <v>26168997</v>
      </c>
      <c r="E295" s="8">
        <v>316</v>
      </c>
      <c r="F295" s="131">
        <v>10000</v>
      </c>
      <c r="G295" s="13">
        <v>950</v>
      </c>
      <c r="H295" s="133">
        <v>43374</v>
      </c>
      <c r="I295" s="10">
        <v>1</v>
      </c>
      <c r="J295" s="8" t="s">
        <v>2308</v>
      </c>
      <c r="K295" s="8" t="s">
        <v>2174</v>
      </c>
      <c r="L295" s="13">
        <v>7403.9</v>
      </c>
      <c r="M295" s="8" t="s">
        <v>2417</v>
      </c>
      <c r="N295" s="8" t="str">
        <f t="shared" si="16"/>
        <v/>
      </c>
      <c r="O295" s="143" t="s">
        <v>2208</v>
      </c>
      <c r="P295" s="9">
        <v>8431</v>
      </c>
      <c r="Q295" s="9"/>
      <c r="R295" s="8" t="s">
        <v>2058</v>
      </c>
      <c r="S295" s="143"/>
      <c r="T295" s="9"/>
      <c r="U295" s="9"/>
      <c r="V295" s="8"/>
      <c r="W295" s="8" t="s">
        <v>2124</v>
      </c>
    </row>
    <row r="296" spans="1:23" ht="16.5" customHeight="1">
      <c r="A296" s="34"/>
      <c r="C296" s="29"/>
      <c r="D296" s="143">
        <v>7225212</v>
      </c>
      <c r="E296" s="8">
        <v>315</v>
      </c>
      <c r="F296" s="131">
        <v>10000</v>
      </c>
      <c r="G296" s="13">
        <v>870</v>
      </c>
      <c r="H296" s="133">
        <v>43375</v>
      </c>
      <c r="I296" s="10">
        <v>1</v>
      </c>
      <c r="J296" s="8" t="s">
        <v>2308</v>
      </c>
      <c r="K296" s="8" t="s">
        <v>2419</v>
      </c>
      <c r="L296" s="13">
        <v>5862</v>
      </c>
      <c r="M296" s="8" t="s">
        <v>2417</v>
      </c>
      <c r="N296" s="8" t="str">
        <f t="shared" si="16"/>
        <v/>
      </c>
      <c r="O296" s="143" t="s">
        <v>2420</v>
      </c>
      <c r="P296" s="9">
        <v>11621</v>
      </c>
      <c r="Q296" s="9"/>
      <c r="R296" s="8" t="s">
        <v>2058</v>
      </c>
      <c r="S296" s="143"/>
      <c r="T296" s="9"/>
      <c r="U296" s="9"/>
      <c r="V296" s="8"/>
      <c r="W296" s="8" t="s">
        <v>2050</v>
      </c>
    </row>
    <row r="297" spans="1:23" ht="16.5" customHeight="1">
      <c r="A297" s="34"/>
      <c r="C297" s="29"/>
      <c r="D297" s="143">
        <v>60581626</v>
      </c>
      <c r="E297" s="8">
        <v>314</v>
      </c>
      <c r="F297" s="131">
        <v>20000</v>
      </c>
      <c r="G297" s="13">
        <v>1900</v>
      </c>
      <c r="H297" s="133">
        <v>43378</v>
      </c>
      <c r="I297" s="10">
        <v>1</v>
      </c>
      <c r="J297" s="8" t="s">
        <v>2308</v>
      </c>
      <c r="K297" s="8" t="s">
        <v>2081</v>
      </c>
      <c r="L297" s="13">
        <v>13717.8</v>
      </c>
      <c r="M297" s="8" t="s">
        <v>2417</v>
      </c>
      <c r="N297" s="8" t="s">
        <v>88</v>
      </c>
      <c r="O297" s="143" t="s">
        <v>2421</v>
      </c>
      <c r="P297" s="9">
        <v>9285</v>
      </c>
      <c r="Q297" s="9"/>
      <c r="R297" s="8" t="s">
        <v>2058</v>
      </c>
      <c r="S297" s="143"/>
      <c r="T297" s="9"/>
      <c r="U297" s="9"/>
      <c r="V297" s="8"/>
      <c r="W297" s="8" t="s">
        <v>2050</v>
      </c>
    </row>
    <row r="298" spans="1:23" ht="16.5" customHeight="1">
      <c r="A298" s="34"/>
      <c r="C298" s="29"/>
      <c r="D298" s="143">
        <v>99592834</v>
      </c>
      <c r="E298" s="8">
        <v>317</v>
      </c>
      <c r="F298" s="131">
        <v>15000</v>
      </c>
      <c r="G298" s="13">
        <v>765</v>
      </c>
      <c r="H298" s="133">
        <v>43382</v>
      </c>
      <c r="I298" s="10">
        <v>1</v>
      </c>
      <c r="J298" s="8" t="s">
        <v>2308</v>
      </c>
      <c r="K298" s="8" t="s">
        <v>2072</v>
      </c>
      <c r="L298" s="13">
        <v>5018.55</v>
      </c>
      <c r="M298" s="8" t="s">
        <v>2417</v>
      </c>
      <c r="N298" s="8" t="str">
        <f t="shared" si="16"/>
        <v/>
      </c>
      <c r="O298" s="143" t="s">
        <v>2422</v>
      </c>
      <c r="P298" s="9">
        <v>17253</v>
      </c>
      <c r="Q298" s="9"/>
      <c r="R298" s="8" t="s">
        <v>2049</v>
      </c>
      <c r="S298" s="143" t="s">
        <v>2423</v>
      </c>
      <c r="T298" s="9">
        <v>17889</v>
      </c>
      <c r="U298" s="9"/>
      <c r="V298" s="8" t="s">
        <v>2058</v>
      </c>
      <c r="W298" s="8" t="s">
        <v>2050</v>
      </c>
    </row>
    <row r="299" spans="1:23" ht="16.5" customHeight="1">
      <c r="A299" s="34"/>
      <c r="C299" s="29"/>
      <c r="D299" s="143">
        <v>30269799</v>
      </c>
      <c r="E299" s="8">
        <v>318</v>
      </c>
      <c r="F299" s="131">
        <v>245350</v>
      </c>
      <c r="G299" s="13">
        <v>17419.88</v>
      </c>
      <c r="H299" s="133">
        <v>43397</v>
      </c>
      <c r="I299" s="10">
        <v>1</v>
      </c>
      <c r="J299" s="8" t="s">
        <v>2308</v>
      </c>
      <c r="K299" s="8" t="s">
        <v>2046</v>
      </c>
      <c r="L299" s="13">
        <v>118447.62</v>
      </c>
      <c r="M299" s="8" t="s">
        <v>2417</v>
      </c>
      <c r="N299" s="8" t="str">
        <f t="shared" si="16"/>
        <v/>
      </c>
      <c r="O299" s="766" t="s">
        <v>2424</v>
      </c>
      <c r="P299" s="9">
        <v>14715</v>
      </c>
      <c r="Q299" s="9"/>
      <c r="R299" s="8" t="s">
        <v>2049</v>
      </c>
      <c r="S299" s="143"/>
      <c r="T299" s="9"/>
      <c r="U299" s="9"/>
      <c r="V299" s="8"/>
      <c r="W299" s="8" t="s">
        <v>2196</v>
      </c>
    </row>
    <row r="300" spans="1:23" ht="16.5" customHeight="1">
      <c r="A300" s="34"/>
      <c r="C300" s="29" t="s">
        <v>238</v>
      </c>
      <c r="D300" s="143">
        <v>93434462</v>
      </c>
      <c r="E300" s="8">
        <v>319</v>
      </c>
      <c r="F300" s="131">
        <v>10000</v>
      </c>
      <c r="G300" s="13">
        <v>710</v>
      </c>
      <c r="H300" s="133">
        <v>43424</v>
      </c>
      <c r="I300" s="10">
        <v>1</v>
      </c>
      <c r="J300" s="8" t="s">
        <v>2308</v>
      </c>
      <c r="K300" s="8" t="s">
        <v>2046</v>
      </c>
      <c r="L300" s="13">
        <v>4884.5</v>
      </c>
      <c r="M300" s="8" t="s">
        <v>2417</v>
      </c>
      <c r="N300" s="8" t="s">
        <v>1</v>
      </c>
      <c r="O300" s="143" t="s">
        <v>400</v>
      </c>
      <c r="P300" s="9">
        <v>14690</v>
      </c>
      <c r="Q300" s="9">
        <v>45200</v>
      </c>
      <c r="R300" s="8" t="s">
        <v>2058</v>
      </c>
      <c r="S300" s="143"/>
      <c r="T300" s="9" t="s">
        <v>88</v>
      </c>
      <c r="U300" s="9"/>
      <c r="V300" s="8"/>
      <c r="W300" s="8" t="s">
        <v>2124</v>
      </c>
    </row>
    <row r="301" spans="1:23" ht="16.5" customHeight="1">
      <c r="A301" s="34"/>
      <c r="C301" s="29"/>
      <c r="D301" s="143">
        <v>22611768</v>
      </c>
      <c r="E301" s="8">
        <v>320</v>
      </c>
      <c r="F301" s="131">
        <v>15753.02</v>
      </c>
      <c r="G301" s="13">
        <v>1008.2</v>
      </c>
      <c r="H301" s="133">
        <v>43438</v>
      </c>
      <c r="I301" s="10">
        <v>1</v>
      </c>
      <c r="J301" s="8" t="s">
        <v>2308</v>
      </c>
      <c r="K301" s="8" t="s">
        <v>2072</v>
      </c>
      <c r="L301" s="13">
        <v>7414.95</v>
      </c>
      <c r="M301" s="8" t="s">
        <v>2417</v>
      </c>
      <c r="N301" s="8"/>
      <c r="O301" s="143" t="s">
        <v>2425</v>
      </c>
      <c r="P301" s="9">
        <v>15639</v>
      </c>
      <c r="Q301" s="215"/>
      <c r="R301" s="8" t="s">
        <v>2058</v>
      </c>
      <c r="S301" s="143"/>
      <c r="T301" s="215"/>
      <c r="U301" s="215"/>
      <c r="V301" s="8"/>
      <c r="W301" s="8" t="s">
        <v>2050</v>
      </c>
    </row>
    <row r="302" spans="1:23" ht="16.5" customHeight="1">
      <c r="A302" s="34"/>
      <c r="C302" s="29"/>
      <c r="D302" s="143">
        <v>18546143</v>
      </c>
      <c r="E302" s="8">
        <v>321</v>
      </c>
      <c r="F302" s="131">
        <v>10000</v>
      </c>
      <c r="G302" s="13">
        <v>530</v>
      </c>
      <c r="H302" s="133">
        <v>43444</v>
      </c>
      <c r="I302" s="10">
        <v>1</v>
      </c>
      <c r="J302" s="8" t="s">
        <v>2308</v>
      </c>
      <c r="K302" s="8" t="s">
        <v>2069</v>
      </c>
      <c r="L302" s="13">
        <v>4022.9</v>
      </c>
      <c r="M302" s="8" t="s">
        <v>2417</v>
      </c>
      <c r="N302" s="8"/>
      <c r="O302" s="143" t="s">
        <v>2426</v>
      </c>
      <c r="P302" s="9">
        <v>18695</v>
      </c>
      <c r="Q302" s="215"/>
      <c r="R302" s="8" t="s">
        <v>2049</v>
      </c>
      <c r="S302" s="143"/>
      <c r="T302" s="215"/>
      <c r="U302" s="215"/>
      <c r="V302" s="8"/>
      <c r="W302" s="8" t="s">
        <v>2050</v>
      </c>
    </row>
    <row r="303" spans="1:23" ht="16.5" customHeight="1">
      <c r="A303" s="34"/>
      <c r="C303" s="2"/>
      <c r="D303" s="143">
        <v>13169</v>
      </c>
      <c r="E303" s="8">
        <v>322</v>
      </c>
      <c r="F303" s="131">
        <v>33030</v>
      </c>
      <c r="G303" s="13">
        <v>1849.68</v>
      </c>
      <c r="H303" s="133">
        <v>43465</v>
      </c>
      <c r="I303" s="10">
        <v>2</v>
      </c>
      <c r="J303" s="8" t="s">
        <v>2308</v>
      </c>
      <c r="K303" s="8" t="s">
        <v>2052</v>
      </c>
      <c r="L303" s="13">
        <v>13081.2</v>
      </c>
      <c r="M303" s="8" t="s">
        <v>2417</v>
      </c>
      <c r="N303" s="8" t="s">
        <v>88</v>
      </c>
      <c r="O303" s="143" t="s">
        <v>2287</v>
      </c>
      <c r="P303" s="9">
        <v>14172</v>
      </c>
      <c r="Q303" s="215"/>
      <c r="R303" s="8" t="s">
        <v>2049</v>
      </c>
      <c r="S303" s="143" t="s">
        <v>2427</v>
      </c>
      <c r="T303" s="9">
        <v>16937</v>
      </c>
      <c r="U303" s="215"/>
      <c r="V303" s="8" t="s">
        <v>2049</v>
      </c>
      <c r="W303" s="8" t="s">
        <v>2124</v>
      </c>
    </row>
    <row r="304" spans="1:23" ht="16.5" customHeight="1">
      <c r="A304" s="34"/>
      <c r="C304" s="29"/>
      <c r="D304" s="143">
        <v>1803816</v>
      </c>
      <c r="E304" s="8">
        <v>323</v>
      </c>
      <c r="F304" s="131">
        <v>25000</v>
      </c>
      <c r="G304" s="13">
        <v>1925</v>
      </c>
      <c r="H304" s="133">
        <v>43542</v>
      </c>
      <c r="I304" s="10">
        <v>1</v>
      </c>
      <c r="J304" s="8" t="s">
        <v>2308</v>
      </c>
      <c r="K304" s="8" t="s">
        <v>2162</v>
      </c>
      <c r="L304" s="13">
        <v>12939.5</v>
      </c>
      <c r="M304" s="8" t="s">
        <v>2417</v>
      </c>
      <c r="N304" s="8"/>
      <c r="O304" s="143" t="s">
        <v>2321</v>
      </c>
      <c r="P304" s="9">
        <v>13675</v>
      </c>
      <c r="Q304" s="215"/>
      <c r="R304" s="8" t="s">
        <v>2049</v>
      </c>
      <c r="S304" s="143"/>
      <c r="T304" s="215"/>
      <c r="U304" s="215"/>
      <c r="V304" s="8"/>
      <c r="W304" s="8" t="s">
        <v>2124</v>
      </c>
    </row>
    <row r="305" spans="1:25" ht="16.5" customHeight="1">
      <c r="A305" s="34" t="s">
        <v>88</v>
      </c>
      <c r="C305" s="29"/>
      <c r="D305" s="143">
        <v>1803816</v>
      </c>
      <c r="E305" s="8">
        <v>324</v>
      </c>
      <c r="F305" s="131">
        <v>25000</v>
      </c>
      <c r="G305" s="13">
        <v>1825</v>
      </c>
      <c r="H305" s="133">
        <v>43542</v>
      </c>
      <c r="I305" s="10">
        <v>1</v>
      </c>
      <c r="J305" s="8" t="s">
        <v>2308</v>
      </c>
      <c r="K305" s="8" t="s">
        <v>2162</v>
      </c>
      <c r="L305" s="13">
        <v>12340.75</v>
      </c>
      <c r="M305" s="8" t="s">
        <v>2417</v>
      </c>
      <c r="N305" s="8"/>
      <c r="O305" s="143" t="s">
        <v>2322</v>
      </c>
      <c r="P305" s="9">
        <v>14374</v>
      </c>
      <c r="Q305" s="215"/>
      <c r="R305" s="8" t="s">
        <v>2058</v>
      </c>
      <c r="S305" s="143"/>
      <c r="T305" s="215"/>
      <c r="U305" s="215"/>
      <c r="V305" s="8"/>
      <c r="W305" s="8" t="s">
        <v>2124</v>
      </c>
    </row>
    <row r="306" spans="1:25" ht="16.5" customHeight="1">
      <c r="A306" s="34"/>
      <c r="C306" s="29"/>
      <c r="D306" s="143">
        <v>1078971</v>
      </c>
      <c r="E306" s="8">
        <v>325</v>
      </c>
      <c r="F306" s="131">
        <v>25000</v>
      </c>
      <c r="G306" s="13">
        <v>1475</v>
      </c>
      <c r="H306" s="133">
        <v>43545</v>
      </c>
      <c r="I306" s="10">
        <v>1</v>
      </c>
      <c r="J306" s="8" t="s">
        <v>2308</v>
      </c>
      <c r="K306" s="8" t="s">
        <v>2240</v>
      </c>
      <c r="L306" s="13">
        <v>10963.75</v>
      </c>
      <c r="M306" s="8" t="s">
        <v>2417</v>
      </c>
      <c r="N306" s="8"/>
      <c r="O306" s="143" t="s">
        <v>2411</v>
      </c>
      <c r="P306" s="9">
        <v>16949</v>
      </c>
      <c r="Q306" s="215"/>
      <c r="R306" s="8" t="s">
        <v>2049</v>
      </c>
      <c r="S306" s="143"/>
      <c r="T306" s="215"/>
      <c r="U306" s="215"/>
      <c r="V306" s="8"/>
      <c r="W306" s="8" t="s">
        <v>2124</v>
      </c>
    </row>
    <row r="307" spans="1:25" ht="16.5" customHeight="1">
      <c r="A307" s="34" t="s">
        <v>88</v>
      </c>
      <c r="C307" s="29"/>
      <c r="D307" s="143">
        <v>339648</v>
      </c>
      <c r="E307" s="8">
        <v>326</v>
      </c>
      <c r="F307" s="131">
        <v>10000</v>
      </c>
      <c r="G307" s="13">
        <v>660</v>
      </c>
      <c r="H307" s="133">
        <v>43546</v>
      </c>
      <c r="I307" s="10">
        <v>1</v>
      </c>
      <c r="J307" s="8" t="s">
        <v>2308</v>
      </c>
      <c r="K307" s="8" t="s">
        <v>2428</v>
      </c>
      <c r="L307" s="13">
        <v>4717.2</v>
      </c>
      <c r="M307" s="8" t="s">
        <v>2417</v>
      </c>
      <c r="N307" s="8"/>
      <c r="O307" s="143" t="s">
        <v>2429</v>
      </c>
      <c r="P307" s="9">
        <v>15581</v>
      </c>
      <c r="Q307" s="215"/>
      <c r="R307" s="8" t="s">
        <v>2049</v>
      </c>
      <c r="S307" s="143"/>
      <c r="T307" s="215"/>
      <c r="U307" s="215"/>
      <c r="V307" s="8"/>
      <c r="W307" s="8" t="s">
        <v>2050</v>
      </c>
    </row>
    <row r="308" spans="1:25" ht="16.5" customHeight="1">
      <c r="A308" s="34" t="s">
        <v>88</v>
      </c>
      <c r="C308" s="29"/>
      <c r="D308" s="143">
        <v>39546981</v>
      </c>
      <c r="E308" s="8">
        <v>327</v>
      </c>
      <c r="F308" s="141">
        <v>50000</v>
      </c>
      <c r="G308" s="13">
        <v>3850</v>
      </c>
      <c r="H308" s="133">
        <v>43578</v>
      </c>
      <c r="I308" s="10">
        <v>1</v>
      </c>
      <c r="J308" s="8" t="s">
        <v>2308</v>
      </c>
      <c r="K308" s="8" t="s">
        <v>2129</v>
      </c>
      <c r="L308" s="13">
        <v>25644</v>
      </c>
      <c r="M308" s="8" t="s">
        <v>2417</v>
      </c>
      <c r="N308" s="8"/>
      <c r="O308" s="143" t="s">
        <v>2303</v>
      </c>
      <c r="P308" s="9">
        <v>13520</v>
      </c>
      <c r="Q308" s="215"/>
      <c r="R308" s="8" t="s">
        <v>2058</v>
      </c>
      <c r="S308" s="143"/>
      <c r="T308" s="215"/>
      <c r="U308" s="215"/>
      <c r="V308" s="8"/>
      <c r="W308" s="8" t="s">
        <v>2292</v>
      </c>
    </row>
    <row r="309" spans="1:25" ht="16.5" customHeight="1">
      <c r="A309" s="34"/>
      <c r="C309" s="29"/>
      <c r="D309" s="143">
        <v>27870</v>
      </c>
      <c r="E309" s="8">
        <v>328</v>
      </c>
      <c r="F309" s="131">
        <v>37975.35</v>
      </c>
      <c r="G309" s="13">
        <v>3008.08</v>
      </c>
      <c r="H309" s="133">
        <v>43578</v>
      </c>
      <c r="I309" s="10">
        <v>1</v>
      </c>
      <c r="J309" s="8" t="s">
        <v>2308</v>
      </c>
      <c r="K309" s="8" t="s">
        <v>2363</v>
      </c>
      <c r="L309" s="13">
        <v>19979.21</v>
      </c>
      <c r="M309" s="8" t="s">
        <v>2417</v>
      </c>
      <c r="N309" s="8"/>
      <c r="O309" s="143" t="s">
        <v>2430</v>
      </c>
      <c r="P309" s="9">
        <v>13218</v>
      </c>
      <c r="Q309" s="215"/>
      <c r="R309" s="8" t="s">
        <v>2049</v>
      </c>
      <c r="S309" s="143"/>
      <c r="T309" s="215"/>
      <c r="U309" s="215"/>
      <c r="V309" s="8"/>
      <c r="W309" s="8" t="s">
        <v>2050</v>
      </c>
    </row>
    <row r="310" spans="1:25" ht="16.5" customHeight="1">
      <c r="A310" s="34"/>
      <c r="C310" s="29" t="s">
        <v>88</v>
      </c>
      <c r="D310" s="143">
        <v>50978790</v>
      </c>
      <c r="E310" s="8">
        <v>329</v>
      </c>
      <c r="F310" s="131">
        <v>10000</v>
      </c>
      <c r="G310" s="13">
        <v>950</v>
      </c>
      <c r="H310" s="133">
        <v>43614</v>
      </c>
      <c r="I310" s="10">
        <v>1</v>
      </c>
      <c r="J310" s="8" t="s">
        <v>2308</v>
      </c>
      <c r="K310" s="8" t="s">
        <v>2112</v>
      </c>
      <c r="L310" s="13">
        <v>6193.6</v>
      </c>
      <c r="M310" s="8" t="s">
        <v>2417</v>
      </c>
      <c r="N310" s="8"/>
      <c r="O310" s="143" t="s">
        <v>2294</v>
      </c>
      <c r="P310" s="9">
        <v>10627</v>
      </c>
      <c r="Q310" s="215"/>
      <c r="R310" s="8" t="s">
        <v>2058</v>
      </c>
      <c r="S310" s="143"/>
      <c r="T310" s="215"/>
      <c r="U310" s="215"/>
      <c r="V310" s="8"/>
      <c r="W310" s="8" t="s">
        <v>2196</v>
      </c>
    </row>
    <row r="311" spans="1:25" ht="16.5" customHeight="1">
      <c r="A311" s="34"/>
      <c r="C311" s="29"/>
      <c r="D311" s="143">
        <v>9493479</v>
      </c>
      <c r="E311" s="8">
        <v>330</v>
      </c>
      <c r="F311" s="131">
        <v>10000</v>
      </c>
      <c r="G311" s="13">
        <v>730</v>
      </c>
      <c r="H311" s="133">
        <v>43637</v>
      </c>
      <c r="I311" s="10">
        <v>1</v>
      </c>
      <c r="J311" s="8" t="s">
        <v>2308</v>
      </c>
      <c r="K311" s="8" t="s">
        <v>2046</v>
      </c>
      <c r="L311" s="13">
        <v>4826.8999999999996</v>
      </c>
      <c r="M311" s="8" t="s">
        <v>2417</v>
      </c>
      <c r="N311" s="8"/>
      <c r="O311" s="143" t="s">
        <v>2245</v>
      </c>
      <c r="P311" s="9">
        <v>14447</v>
      </c>
      <c r="Q311" s="215"/>
      <c r="R311" s="8" t="s">
        <v>2058</v>
      </c>
      <c r="S311" s="143"/>
      <c r="T311" s="215"/>
      <c r="U311" s="215"/>
      <c r="V311" s="8"/>
      <c r="W311" s="8" t="s">
        <v>2312</v>
      </c>
    </row>
    <row r="312" spans="1:25" ht="16.5" customHeight="1">
      <c r="A312" s="34" t="s">
        <v>88</v>
      </c>
      <c r="C312" s="29"/>
      <c r="D312" s="143">
        <v>95592366</v>
      </c>
      <c r="E312" s="8">
        <v>331</v>
      </c>
      <c r="F312" s="131">
        <v>10000</v>
      </c>
      <c r="G312" s="13">
        <v>580</v>
      </c>
      <c r="H312" s="133">
        <v>43676</v>
      </c>
      <c r="I312" s="10">
        <v>1</v>
      </c>
      <c r="J312" s="8" t="s">
        <v>2308</v>
      </c>
      <c r="K312" s="8" t="s">
        <v>2106</v>
      </c>
      <c r="L312" s="13">
        <v>3996.9</v>
      </c>
      <c r="M312" s="8" t="s">
        <v>2431</v>
      </c>
      <c r="N312" s="8"/>
      <c r="O312" s="143" t="s">
        <v>2432</v>
      </c>
      <c r="P312" s="9">
        <v>17390</v>
      </c>
      <c r="Q312" s="215"/>
      <c r="R312" s="8" t="s">
        <v>2049</v>
      </c>
      <c r="S312" s="143"/>
      <c r="T312" s="215"/>
      <c r="U312" s="215"/>
      <c r="V312" s="8"/>
      <c r="W312" s="8" t="s">
        <v>2050</v>
      </c>
    </row>
    <row r="313" spans="1:25" ht="16.5" customHeight="1">
      <c r="A313" s="34"/>
      <c r="C313" s="29"/>
      <c r="D313" s="143">
        <v>100219807</v>
      </c>
      <c r="E313" s="8">
        <v>332</v>
      </c>
      <c r="F313" s="131">
        <v>10000</v>
      </c>
      <c r="G313" s="13">
        <v>810</v>
      </c>
      <c r="H313" s="133">
        <v>43678</v>
      </c>
      <c r="I313" s="10">
        <v>1</v>
      </c>
      <c r="J313" s="8" t="s">
        <v>2308</v>
      </c>
      <c r="K313" s="8" t="s">
        <v>2106</v>
      </c>
      <c r="L313" s="13">
        <v>5314.6</v>
      </c>
      <c r="M313" s="8" t="s">
        <v>2431</v>
      </c>
      <c r="N313" s="8"/>
      <c r="O313" s="143" t="s">
        <v>2433</v>
      </c>
      <c r="P313" s="9">
        <v>13091</v>
      </c>
      <c r="Q313" s="215"/>
      <c r="R313" s="8" t="s">
        <v>2058</v>
      </c>
      <c r="S313" s="143"/>
      <c r="T313" s="215"/>
      <c r="U313" s="215"/>
      <c r="V313" s="8"/>
      <c r="W313" s="8" t="s">
        <v>2050</v>
      </c>
    </row>
    <row r="314" spans="1:25" ht="16.5" customHeight="1">
      <c r="A314" s="34" t="s">
        <v>88</v>
      </c>
      <c r="C314" s="29"/>
      <c r="D314" s="143">
        <v>12620944</v>
      </c>
      <c r="E314" s="8">
        <v>333</v>
      </c>
      <c r="F314" s="131">
        <v>15000</v>
      </c>
      <c r="G314" s="13">
        <v>900</v>
      </c>
      <c r="H314" s="133">
        <v>43726</v>
      </c>
      <c r="I314" s="10">
        <v>2</v>
      </c>
      <c r="J314" s="8" t="s">
        <v>2308</v>
      </c>
      <c r="K314" s="8" t="s">
        <v>2106</v>
      </c>
      <c r="L314" s="13">
        <v>5775.75</v>
      </c>
      <c r="M314" s="8" t="s">
        <v>2431</v>
      </c>
      <c r="N314" s="8"/>
      <c r="O314" s="143" t="s">
        <v>2434</v>
      </c>
      <c r="P314" s="9">
        <v>14028</v>
      </c>
      <c r="Q314" s="215"/>
      <c r="R314" s="8" t="s">
        <v>2049</v>
      </c>
      <c r="S314" s="143" t="s">
        <v>2435</v>
      </c>
      <c r="T314" s="9">
        <v>15640</v>
      </c>
      <c r="U314" s="215"/>
      <c r="V314" s="8" t="s">
        <v>2058</v>
      </c>
      <c r="W314" s="8" t="s">
        <v>2050</v>
      </c>
    </row>
    <row r="315" spans="1:25" ht="16.5" customHeight="1">
      <c r="A315" s="34" t="s">
        <v>88</v>
      </c>
      <c r="C315" s="29" t="s">
        <v>238</v>
      </c>
      <c r="D315" s="143">
        <v>66620618</v>
      </c>
      <c r="E315" s="8">
        <v>334</v>
      </c>
      <c r="F315" s="131">
        <v>10000</v>
      </c>
      <c r="G315" s="13">
        <v>790</v>
      </c>
      <c r="H315" s="133">
        <v>43781</v>
      </c>
      <c r="I315" s="10">
        <v>1</v>
      </c>
      <c r="J315" s="8" t="s">
        <v>2308</v>
      </c>
      <c r="K315" s="8" t="s">
        <v>65</v>
      </c>
      <c r="L315" s="13">
        <v>5029</v>
      </c>
      <c r="M315" s="8" t="s">
        <v>2431</v>
      </c>
      <c r="N315" s="8" t="s">
        <v>3</v>
      </c>
      <c r="O315" s="143" t="s">
        <v>2436</v>
      </c>
      <c r="P315" s="9">
        <v>13548</v>
      </c>
      <c r="Q315" s="9">
        <v>44509</v>
      </c>
      <c r="R315" s="8" t="s">
        <v>2049</v>
      </c>
      <c r="S315" s="143"/>
      <c r="T315" s="215"/>
      <c r="U315" s="215"/>
      <c r="V315" s="8"/>
      <c r="W315" s="8" t="s">
        <v>2124</v>
      </c>
    </row>
    <row r="316" spans="1:25" ht="16.5" customHeight="1">
      <c r="A316" s="34"/>
      <c r="C316" s="29"/>
      <c r="D316" s="143">
        <v>3026979</v>
      </c>
      <c r="E316" s="8">
        <v>335</v>
      </c>
      <c r="F316" s="131">
        <v>250000</v>
      </c>
      <c r="G316" s="13">
        <v>18250</v>
      </c>
      <c r="H316" s="133">
        <v>43808</v>
      </c>
      <c r="I316" s="10">
        <v>1</v>
      </c>
      <c r="J316" s="8" t="s">
        <v>2308</v>
      </c>
      <c r="K316" s="8" t="s">
        <v>2046</v>
      </c>
      <c r="L316" s="13">
        <v>111795</v>
      </c>
      <c r="M316" s="8" t="s">
        <v>2431</v>
      </c>
      <c r="N316" s="8"/>
      <c r="O316" s="143" t="s">
        <v>2424</v>
      </c>
      <c r="P316" s="9">
        <v>14715</v>
      </c>
      <c r="Q316" s="215"/>
      <c r="R316" s="8" t="s">
        <v>2049</v>
      </c>
      <c r="S316" s="143"/>
      <c r="T316" s="215"/>
      <c r="U316" s="215" t="s">
        <v>88</v>
      </c>
      <c r="V316" s="8"/>
      <c r="W316" s="8" t="s">
        <v>2244</v>
      </c>
      <c r="Y316" t="s">
        <v>88</v>
      </c>
    </row>
    <row r="317" spans="1:25" ht="16.5" customHeight="1">
      <c r="A317" s="34"/>
      <c r="C317" s="29"/>
      <c r="D317" s="143">
        <v>257105</v>
      </c>
      <c r="E317" s="8">
        <v>336</v>
      </c>
      <c r="F317" s="131">
        <v>10000</v>
      </c>
      <c r="G317" s="13">
        <v>890</v>
      </c>
      <c r="H317" s="133">
        <v>43822</v>
      </c>
      <c r="I317" s="10">
        <v>1</v>
      </c>
      <c r="J317" s="8" t="s">
        <v>2308</v>
      </c>
      <c r="K317" s="8" t="s">
        <v>2059</v>
      </c>
      <c r="L317" s="13">
        <v>5791.1</v>
      </c>
      <c r="M317" s="8" t="s">
        <v>2431</v>
      </c>
      <c r="N317" s="8"/>
      <c r="O317" s="143" t="s">
        <v>2437</v>
      </c>
      <c r="P317" s="9">
        <v>11635</v>
      </c>
      <c r="Q317" s="215"/>
      <c r="R317" s="8" t="s">
        <v>2058</v>
      </c>
      <c r="S317" s="143"/>
      <c r="T317" s="215"/>
      <c r="U317" s="215"/>
      <c r="V317" s="8"/>
      <c r="W317" s="8" t="s">
        <v>2380</v>
      </c>
    </row>
    <row r="318" spans="1:25" ht="16.5" customHeight="1">
      <c r="A318" s="34"/>
      <c r="C318" s="29"/>
      <c r="D318" s="143">
        <v>1078971</v>
      </c>
      <c r="E318" s="8">
        <v>337</v>
      </c>
      <c r="F318" s="131">
        <v>50000</v>
      </c>
      <c r="G318" s="13">
        <v>2800</v>
      </c>
      <c r="H318" s="133">
        <v>43857</v>
      </c>
      <c r="I318" s="10">
        <v>1</v>
      </c>
      <c r="J318" s="8" t="s">
        <v>2308</v>
      </c>
      <c r="K318" s="8" t="s">
        <v>2240</v>
      </c>
      <c r="L318" s="13">
        <v>21817.5</v>
      </c>
      <c r="M318" s="8" t="s">
        <v>2431</v>
      </c>
      <c r="N318" s="8" t="s">
        <v>88</v>
      </c>
      <c r="O318" s="143" t="s">
        <v>2438</v>
      </c>
      <c r="P318" s="9">
        <v>16949</v>
      </c>
      <c r="Q318" s="215"/>
      <c r="R318" s="8" t="s">
        <v>2049</v>
      </c>
      <c r="S318" s="143"/>
      <c r="T318" s="215"/>
      <c r="U318" s="215"/>
      <c r="V318" s="8"/>
      <c r="W318" s="8" t="s">
        <v>2196</v>
      </c>
    </row>
    <row r="319" spans="1:25" ht="16.5" customHeight="1">
      <c r="A319" s="34"/>
      <c r="C319" s="29"/>
      <c r="D319" s="143">
        <v>100334417</v>
      </c>
      <c r="E319" s="8">
        <v>338</v>
      </c>
      <c r="F319" s="131">
        <v>25000</v>
      </c>
      <c r="G319" s="13">
        <v>1800</v>
      </c>
      <c r="H319" s="133">
        <v>43857</v>
      </c>
      <c r="I319" s="10">
        <v>1</v>
      </c>
      <c r="J319" s="8" t="s">
        <v>2308</v>
      </c>
      <c r="K319" s="8" t="s">
        <v>2395</v>
      </c>
      <c r="L319" s="13">
        <v>12224</v>
      </c>
      <c r="M319" s="8" t="s">
        <v>2431</v>
      </c>
      <c r="N319" s="8"/>
      <c r="O319" s="143" t="s">
        <v>2439</v>
      </c>
      <c r="P319" s="9">
        <v>14241</v>
      </c>
      <c r="Q319" s="215"/>
      <c r="R319" s="8" t="s">
        <v>2049</v>
      </c>
      <c r="S319" s="143" t="s">
        <v>88</v>
      </c>
      <c r="T319" s="215"/>
      <c r="U319" s="215"/>
      <c r="V319" s="8"/>
      <c r="W319" s="8" t="s">
        <v>2050</v>
      </c>
    </row>
    <row r="320" spans="1:25" ht="16.5" customHeight="1">
      <c r="A320" s="34"/>
      <c r="C320" s="29"/>
      <c r="D320" s="143">
        <v>59299180</v>
      </c>
      <c r="E320" s="8">
        <v>339</v>
      </c>
      <c r="F320" s="131">
        <v>50000</v>
      </c>
      <c r="G320" s="13">
        <v>3550</v>
      </c>
      <c r="H320" s="133">
        <v>43979</v>
      </c>
      <c r="I320" s="10">
        <v>1</v>
      </c>
      <c r="J320" s="8" t="s">
        <v>2308</v>
      </c>
      <c r="K320" s="8" t="s">
        <v>2201</v>
      </c>
      <c r="L320" s="13">
        <v>25070</v>
      </c>
      <c r="M320" s="8" t="s">
        <v>2431</v>
      </c>
      <c r="N320" s="8" t="s">
        <v>88</v>
      </c>
      <c r="O320" s="143" t="s">
        <v>2440</v>
      </c>
      <c r="P320" s="9">
        <v>15214</v>
      </c>
      <c r="Q320" s="215"/>
      <c r="R320" s="8" t="s">
        <v>2058</v>
      </c>
      <c r="S320" s="143"/>
      <c r="T320" s="215"/>
      <c r="U320" s="215"/>
      <c r="V320" s="8"/>
      <c r="W320" s="8" t="s">
        <v>2050</v>
      </c>
    </row>
    <row r="321" spans="1:24" ht="16.5" customHeight="1">
      <c r="A321" s="34" t="s">
        <v>88</v>
      </c>
      <c r="C321" s="29"/>
      <c r="D321" s="143">
        <v>95110466</v>
      </c>
      <c r="E321" s="8">
        <v>340</v>
      </c>
      <c r="F321" s="131">
        <v>20000</v>
      </c>
      <c r="G321" s="13">
        <v>1380</v>
      </c>
      <c r="H321" s="133">
        <v>43983</v>
      </c>
      <c r="I321" s="10">
        <v>1</v>
      </c>
      <c r="J321" s="8" t="s">
        <v>2308</v>
      </c>
      <c r="K321" s="8" t="s">
        <v>2089</v>
      </c>
      <c r="L321" s="13">
        <v>9181</v>
      </c>
      <c r="M321" s="8" t="s">
        <v>2431</v>
      </c>
      <c r="N321" s="8" t="s">
        <v>88</v>
      </c>
      <c r="O321" s="143" t="s">
        <v>2389</v>
      </c>
      <c r="P321" s="9">
        <v>14787</v>
      </c>
      <c r="Q321" s="215"/>
      <c r="R321" s="8" t="s">
        <v>2058</v>
      </c>
      <c r="S321" s="143"/>
      <c r="T321" s="215"/>
      <c r="U321" s="215"/>
      <c r="V321" s="8"/>
      <c r="W321" s="8" t="s">
        <v>2124</v>
      </c>
    </row>
    <row r="322" spans="1:24" ht="16.5" customHeight="1">
      <c r="A322" s="34"/>
      <c r="C322" s="29"/>
      <c r="D322" s="143">
        <v>35288372</v>
      </c>
      <c r="E322" s="8">
        <v>341</v>
      </c>
      <c r="F322" s="131">
        <v>10000</v>
      </c>
      <c r="G322" s="13">
        <v>900</v>
      </c>
      <c r="H322" s="9">
        <v>43986</v>
      </c>
      <c r="I322" s="10">
        <v>1</v>
      </c>
      <c r="J322" s="8" t="s">
        <v>2308</v>
      </c>
      <c r="K322" s="306" t="s">
        <v>2162</v>
      </c>
      <c r="L322" s="13">
        <v>6378.7</v>
      </c>
      <c r="M322" s="8" t="s">
        <v>2431</v>
      </c>
      <c r="N322" s="8"/>
      <c r="O322" s="143" t="s">
        <v>2382</v>
      </c>
      <c r="P322" s="9">
        <v>10677</v>
      </c>
      <c r="Q322" s="215"/>
      <c r="R322" s="8" t="s">
        <v>2049</v>
      </c>
      <c r="S322" s="143"/>
      <c r="T322" s="215"/>
      <c r="U322" s="215"/>
      <c r="V322" s="8"/>
      <c r="W322" s="8" t="s">
        <v>2312</v>
      </c>
    </row>
    <row r="323" spans="1:24" ht="16.5" customHeight="1">
      <c r="A323" s="34"/>
      <c r="C323" s="29"/>
      <c r="D323" s="143">
        <v>99592834</v>
      </c>
      <c r="E323" s="8">
        <v>342</v>
      </c>
      <c r="F323" s="131">
        <v>15000</v>
      </c>
      <c r="G323" s="13">
        <v>720</v>
      </c>
      <c r="H323" s="133">
        <v>44006</v>
      </c>
      <c r="I323" s="10">
        <v>2</v>
      </c>
      <c r="J323" s="8" t="s">
        <v>2308</v>
      </c>
      <c r="K323" s="8" t="s">
        <v>2072</v>
      </c>
      <c r="L323" s="13">
        <v>4218.1499999999996</v>
      </c>
      <c r="M323" s="8" t="s">
        <v>2431</v>
      </c>
      <c r="N323" s="8"/>
      <c r="O323" s="143" t="s">
        <v>2422</v>
      </c>
      <c r="P323" s="9">
        <v>17253</v>
      </c>
      <c r="Q323" s="9"/>
      <c r="R323" s="8" t="s">
        <v>2049</v>
      </c>
      <c r="S323" s="143" t="s">
        <v>2423</v>
      </c>
      <c r="T323" s="9">
        <v>17889</v>
      </c>
      <c r="U323" s="9"/>
      <c r="V323" s="8" t="s">
        <v>2058</v>
      </c>
      <c r="W323" s="8" t="s">
        <v>2124</v>
      </c>
    </row>
    <row r="324" spans="1:24" ht="16.5" customHeight="1">
      <c r="A324" s="34"/>
      <c r="C324" s="29"/>
      <c r="D324" s="143">
        <v>26168997</v>
      </c>
      <c r="E324" s="8">
        <v>343</v>
      </c>
      <c r="F324" s="131">
        <v>10000</v>
      </c>
      <c r="G324" s="13">
        <v>860</v>
      </c>
      <c r="H324" s="133">
        <v>44077</v>
      </c>
      <c r="I324" s="10">
        <v>1</v>
      </c>
      <c r="J324" s="8" t="s">
        <v>2308</v>
      </c>
      <c r="K324" s="8" t="s">
        <v>2174</v>
      </c>
      <c r="L324" s="13">
        <v>7798</v>
      </c>
      <c r="M324" s="8" t="s">
        <v>2441</v>
      </c>
      <c r="N324" s="8"/>
      <c r="O324" s="143" t="s">
        <v>2208</v>
      </c>
      <c r="P324" s="9">
        <v>8431</v>
      </c>
      <c r="Q324" s="215"/>
      <c r="R324" s="8" t="s">
        <v>2058</v>
      </c>
      <c r="S324" s="143"/>
      <c r="T324" s="215"/>
      <c r="U324" s="215"/>
      <c r="V324" s="8"/>
      <c r="W324" s="8" t="s">
        <v>2196</v>
      </c>
    </row>
    <row r="325" spans="1:24" ht="16.5" customHeight="1">
      <c r="A325" s="34"/>
      <c r="C325" s="29"/>
      <c r="D325" s="143">
        <v>100544279</v>
      </c>
      <c r="E325" s="8">
        <v>344</v>
      </c>
      <c r="F325" s="131">
        <v>20840.650000000001</v>
      </c>
      <c r="G325" s="13">
        <v>1062.8800000000001</v>
      </c>
      <c r="H325" s="133">
        <v>44088</v>
      </c>
      <c r="I325" s="10">
        <v>1</v>
      </c>
      <c r="J325" s="8" t="s">
        <v>2308</v>
      </c>
      <c r="K325" s="8" t="s">
        <v>2174</v>
      </c>
      <c r="L325" s="13">
        <v>8363.14</v>
      </c>
      <c r="M325" s="8" t="s">
        <v>2441</v>
      </c>
      <c r="N325" s="8" t="s">
        <v>88</v>
      </c>
      <c r="O325" s="143" t="s">
        <v>2442</v>
      </c>
      <c r="P325" s="9">
        <v>17450</v>
      </c>
      <c r="Q325" s="215"/>
      <c r="R325" s="8" t="s">
        <v>2049</v>
      </c>
      <c r="S325" s="143" t="s">
        <v>2443</v>
      </c>
      <c r="T325" s="9">
        <v>8431</v>
      </c>
      <c r="U325" s="215"/>
      <c r="V325" s="8"/>
      <c r="W325" s="8" t="s">
        <v>2244</v>
      </c>
    </row>
    <row r="326" spans="1:24" ht="16.5" customHeight="1">
      <c r="A326" s="34"/>
      <c r="C326" s="29"/>
      <c r="D326" s="143">
        <v>30269799</v>
      </c>
      <c r="E326" s="8">
        <v>345</v>
      </c>
      <c r="F326" s="131">
        <v>250000</v>
      </c>
      <c r="G326" s="58">
        <v>16750</v>
      </c>
      <c r="H326" s="133">
        <v>44119</v>
      </c>
      <c r="I326" s="10">
        <v>1</v>
      </c>
      <c r="J326" s="8" t="s">
        <v>2308</v>
      </c>
      <c r="K326" s="8" t="s">
        <v>2046</v>
      </c>
      <c r="L326" s="58">
        <v>120020</v>
      </c>
      <c r="M326" s="8" t="s">
        <v>2441</v>
      </c>
      <c r="N326" s="8" t="s">
        <v>88</v>
      </c>
      <c r="O326" s="144" t="s">
        <v>2260</v>
      </c>
      <c r="P326" s="9">
        <v>14715</v>
      </c>
      <c r="Q326" s="9"/>
      <c r="R326" s="8" t="s">
        <v>2049</v>
      </c>
      <c r="S326" s="143" t="s">
        <v>2261</v>
      </c>
      <c r="T326" s="9">
        <v>16157</v>
      </c>
      <c r="U326" s="215"/>
      <c r="V326" s="8"/>
      <c r="W326" s="8" t="s">
        <v>2244</v>
      </c>
      <c r="X326" t="s">
        <v>88</v>
      </c>
    </row>
    <row r="327" spans="1:24" ht="16.5" customHeight="1">
      <c r="A327" s="34"/>
      <c r="C327" s="29"/>
      <c r="D327" s="143">
        <v>39849542</v>
      </c>
      <c r="E327" s="8">
        <v>346</v>
      </c>
      <c r="F327" s="131">
        <v>10000</v>
      </c>
      <c r="G327" s="13">
        <v>860</v>
      </c>
      <c r="H327" s="133">
        <v>44147</v>
      </c>
      <c r="I327" s="10">
        <v>1</v>
      </c>
      <c r="J327" s="8" t="s">
        <v>2308</v>
      </c>
      <c r="K327" s="8" t="s">
        <v>2046</v>
      </c>
      <c r="L327" s="13">
        <v>7094</v>
      </c>
      <c r="M327" s="8" t="s">
        <v>2441</v>
      </c>
      <c r="N327" s="8"/>
      <c r="O327" s="143" t="s">
        <v>2444</v>
      </c>
      <c r="P327" s="9">
        <v>9823</v>
      </c>
      <c r="Q327" s="215" t="s">
        <v>88</v>
      </c>
      <c r="R327" s="8" t="s">
        <v>2049</v>
      </c>
      <c r="S327" s="143"/>
      <c r="T327" s="215"/>
      <c r="U327" s="215"/>
      <c r="V327" s="8"/>
      <c r="W327" s="8" t="s">
        <v>2050</v>
      </c>
    </row>
    <row r="328" spans="1:24" ht="16.5" customHeight="1">
      <c r="A328" s="34" t="s">
        <v>88</v>
      </c>
      <c r="C328" s="29"/>
      <c r="D328" s="143">
        <v>37037470</v>
      </c>
      <c r="E328" s="8">
        <v>347</v>
      </c>
      <c r="F328" s="131">
        <v>10000</v>
      </c>
      <c r="G328" s="13">
        <v>670</v>
      </c>
      <c r="H328" s="133">
        <v>44152</v>
      </c>
      <c r="I328" s="10">
        <v>1</v>
      </c>
      <c r="J328" s="8" t="s">
        <v>2308</v>
      </c>
      <c r="K328" s="8" t="s">
        <v>2313</v>
      </c>
      <c r="L328" s="13">
        <v>4800.8</v>
      </c>
      <c r="M328" s="8" t="s">
        <v>2441</v>
      </c>
      <c r="N328" s="8"/>
      <c r="O328" s="143" t="s">
        <v>2445</v>
      </c>
      <c r="P328" s="9">
        <v>14509</v>
      </c>
      <c r="Q328" s="215"/>
      <c r="R328" s="8" t="s">
        <v>2049</v>
      </c>
      <c r="S328" s="143"/>
      <c r="T328" s="215"/>
      <c r="U328" s="215"/>
      <c r="V328" s="8"/>
      <c r="W328" s="8" t="s">
        <v>2050</v>
      </c>
    </row>
    <row r="329" spans="1:24" ht="16.5" customHeight="1">
      <c r="A329" s="34"/>
      <c r="C329" s="29"/>
      <c r="D329" s="143">
        <v>75473306</v>
      </c>
      <c r="E329" s="8">
        <v>348</v>
      </c>
      <c r="F329" s="131">
        <v>10000</v>
      </c>
      <c r="G329" s="13">
        <v>600</v>
      </c>
      <c r="H329" s="133">
        <v>44178</v>
      </c>
      <c r="I329" s="10">
        <v>1</v>
      </c>
      <c r="J329" s="8" t="s">
        <v>2308</v>
      </c>
      <c r="K329" s="8" t="s">
        <v>2446</v>
      </c>
      <c r="L329" s="13">
        <v>4555.2</v>
      </c>
      <c r="M329" s="8" t="s">
        <v>2441</v>
      </c>
      <c r="N329" s="8"/>
      <c r="O329" s="143" t="s">
        <v>2447</v>
      </c>
      <c r="P329" s="9">
        <v>15750</v>
      </c>
      <c r="Q329" s="215"/>
      <c r="R329" s="8" t="s">
        <v>2049</v>
      </c>
      <c r="S329" s="143"/>
      <c r="T329" s="215"/>
      <c r="U329" s="215"/>
      <c r="V329" s="8"/>
      <c r="W329" s="8" t="s">
        <v>2050</v>
      </c>
    </row>
    <row r="330" spans="1:24" ht="16.5" customHeight="1">
      <c r="A330" s="34"/>
      <c r="C330" s="29"/>
      <c r="D330" s="143">
        <v>100291522</v>
      </c>
      <c r="E330" s="8">
        <v>349</v>
      </c>
      <c r="F330" s="131">
        <v>50000</v>
      </c>
      <c r="G330" s="13">
        <v>4000</v>
      </c>
      <c r="H330" s="133">
        <v>44189</v>
      </c>
      <c r="I330" s="10">
        <v>1</v>
      </c>
      <c r="J330" s="8" t="s">
        <v>2308</v>
      </c>
      <c r="K330" s="8" t="s">
        <v>2176</v>
      </c>
      <c r="L330" s="835">
        <v>28688</v>
      </c>
      <c r="M330" s="8" t="s">
        <v>2441</v>
      </c>
      <c r="N330" s="8" t="s">
        <v>88</v>
      </c>
      <c r="O330" s="143" t="s">
        <v>2448</v>
      </c>
      <c r="P330" s="9">
        <v>12494</v>
      </c>
      <c r="Q330" s="215"/>
      <c r="R330" s="8" t="s">
        <v>2058</v>
      </c>
      <c r="S330" s="143" t="s">
        <v>88</v>
      </c>
      <c r="T330" s="215"/>
      <c r="U330" s="215"/>
      <c r="V330" s="8"/>
      <c r="W330" s="8" t="s">
        <v>2050</v>
      </c>
    </row>
    <row r="331" spans="1:24" ht="16.5" customHeight="1">
      <c r="A331" s="34"/>
      <c r="C331" s="29"/>
      <c r="D331" s="143">
        <v>100352093</v>
      </c>
      <c r="E331" s="8">
        <v>350</v>
      </c>
      <c r="F331" s="131">
        <v>10000</v>
      </c>
      <c r="G331" s="13">
        <v>440</v>
      </c>
      <c r="H331" s="133">
        <v>44193</v>
      </c>
      <c r="I331" s="10">
        <v>2</v>
      </c>
      <c r="J331" s="8" t="s">
        <v>2308</v>
      </c>
      <c r="K331" s="8" t="s">
        <v>2106</v>
      </c>
      <c r="L331" s="13">
        <v>3190</v>
      </c>
      <c r="M331" s="8" t="s">
        <v>2441</v>
      </c>
      <c r="N331" s="8"/>
      <c r="O331" s="143" t="s">
        <v>2449</v>
      </c>
      <c r="P331" s="9">
        <v>17456</v>
      </c>
      <c r="Q331" s="215"/>
      <c r="R331" s="8" t="s">
        <v>2049</v>
      </c>
      <c r="S331" s="143" t="s">
        <v>2450</v>
      </c>
      <c r="T331" s="9">
        <v>17456</v>
      </c>
      <c r="U331" s="215"/>
      <c r="V331" s="8" t="s">
        <v>2058</v>
      </c>
      <c r="W331" s="8" t="s">
        <v>2050</v>
      </c>
    </row>
    <row r="332" spans="1:24" ht="16.5" customHeight="1">
      <c r="A332" s="34"/>
      <c r="C332" s="29"/>
      <c r="D332" s="143">
        <v>989152</v>
      </c>
      <c r="E332" s="8">
        <v>351</v>
      </c>
      <c r="F332" s="131">
        <v>10000</v>
      </c>
      <c r="G332" s="13">
        <v>860</v>
      </c>
      <c r="H332" s="133">
        <v>44189</v>
      </c>
      <c r="I332" s="10">
        <v>1</v>
      </c>
      <c r="J332" s="8" t="s">
        <v>2308</v>
      </c>
      <c r="K332" s="8" t="s">
        <v>65</v>
      </c>
      <c r="L332" s="13">
        <v>6910</v>
      </c>
      <c r="M332" s="8" t="s">
        <v>2441</v>
      </c>
      <c r="N332" s="8"/>
      <c r="O332" s="143" t="s">
        <v>2451</v>
      </c>
      <c r="P332" s="9">
        <v>10282</v>
      </c>
      <c r="Q332" s="215"/>
      <c r="R332" s="8" t="s">
        <v>2049</v>
      </c>
      <c r="S332" s="143"/>
      <c r="T332" s="215"/>
      <c r="U332" s="215"/>
      <c r="V332" s="8"/>
      <c r="W332" s="8" t="s">
        <v>2452</v>
      </c>
    </row>
    <row r="333" spans="1:24" ht="16.5" customHeight="1">
      <c r="A333" s="34"/>
      <c r="C333" s="29"/>
      <c r="D333" s="143">
        <v>93733947</v>
      </c>
      <c r="E333" s="8">
        <v>352</v>
      </c>
      <c r="F333" s="131">
        <v>15000</v>
      </c>
      <c r="G333" s="13">
        <v>630</v>
      </c>
      <c r="H333" s="133">
        <v>44193</v>
      </c>
      <c r="I333" s="10">
        <v>2</v>
      </c>
      <c r="J333" s="8" t="s">
        <v>2308</v>
      </c>
      <c r="K333" s="8" t="s">
        <v>2274</v>
      </c>
      <c r="L333" s="13">
        <v>3916.5</v>
      </c>
      <c r="M333" s="8" t="s">
        <v>2441</v>
      </c>
      <c r="N333" s="8"/>
      <c r="O333" s="143" t="s">
        <v>2453</v>
      </c>
      <c r="P333" s="9">
        <v>18439</v>
      </c>
      <c r="Q333" s="215"/>
      <c r="R333" s="8" t="s">
        <v>2058</v>
      </c>
      <c r="S333" s="143" t="s">
        <v>2454</v>
      </c>
      <c r="T333" s="9">
        <v>19101</v>
      </c>
      <c r="U333" s="215"/>
      <c r="V333" s="8" t="s">
        <v>2049</v>
      </c>
      <c r="W333" s="8" t="s">
        <v>2050</v>
      </c>
    </row>
    <row r="334" spans="1:24" ht="16.5" customHeight="1">
      <c r="A334" s="34"/>
      <c r="C334" s="29"/>
      <c r="D334" s="143">
        <v>1078971</v>
      </c>
      <c r="E334" s="8">
        <v>353</v>
      </c>
      <c r="F334" s="131">
        <v>70000</v>
      </c>
      <c r="G334" s="13">
        <v>3780</v>
      </c>
      <c r="H334" s="133">
        <v>44229</v>
      </c>
      <c r="I334" s="10">
        <v>1</v>
      </c>
      <c r="J334" s="8" t="s">
        <v>2308</v>
      </c>
      <c r="K334" s="8" t="s">
        <v>2240</v>
      </c>
      <c r="L334" s="13">
        <v>29832.6</v>
      </c>
      <c r="M334" s="8" t="s">
        <v>2441</v>
      </c>
      <c r="N334" s="8"/>
      <c r="O334" s="143" t="s">
        <v>2411</v>
      </c>
      <c r="P334" s="9">
        <v>16949</v>
      </c>
      <c r="Q334" s="215"/>
      <c r="R334" s="8" t="s">
        <v>2049</v>
      </c>
      <c r="S334" s="143"/>
      <c r="T334" s="215"/>
      <c r="U334" s="215"/>
      <c r="V334" s="8"/>
      <c r="W334" s="8" t="s">
        <v>2244</v>
      </c>
    </row>
    <row r="335" spans="1:24" ht="16.5" customHeight="1">
      <c r="A335" s="34"/>
      <c r="C335" s="29"/>
      <c r="D335" s="143">
        <v>100334417</v>
      </c>
      <c r="E335" s="8">
        <v>354</v>
      </c>
      <c r="F335" s="131">
        <v>25000</v>
      </c>
      <c r="G335" s="13">
        <v>1750</v>
      </c>
      <c r="H335" s="133">
        <v>44306</v>
      </c>
      <c r="I335" s="10">
        <v>1</v>
      </c>
      <c r="J335" s="8" t="s">
        <v>2308</v>
      </c>
      <c r="K335" s="8" t="s">
        <v>2395</v>
      </c>
      <c r="L335" s="835">
        <v>12606.5</v>
      </c>
      <c r="M335" s="8" t="s">
        <v>2441</v>
      </c>
      <c r="N335" s="8" t="s">
        <v>88</v>
      </c>
      <c r="O335" s="143" t="s">
        <v>2439</v>
      </c>
      <c r="P335" s="9">
        <v>14241</v>
      </c>
      <c r="Q335" s="215"/>
      <c r="R335" s="8" t="s">
        <v>2049</v>
      </c>
      <c r="S335" s="143"/>
      <c r="T335" s="215"/>
      <c r="U335" s="215"/>
      <c r="V335" s="8"/>
      <c r="W335" s="8" t="s">
        <v>2124</v>
      </c>
    </row>
    <row r="336" spans="1:24" ht="16.5" customHeight="1">
      <c r="A336" s="34"/>
      <c r="C336" s="29"/>
      <c r="D336" s="143">
        <v>100607449</v>
      </c>
      <c r="E336" s="8">
        <v>355</v>
      </c>
      <c r="F336" s="131">
        <v>12500</v>
      </c>
      <c r="G336" s="13">
        <v>650</v>
      </c>
      <c r="H336" s="133">
        <v>44301</v>
      </c>
      <c r="I336" s="10">
        <v>1</v>
      </c>
      <c r="J336" s="8" t="s">
        <v>2308</v>
      </c>
      <c r="K336" s="8" t="s">
        <v>2055</v>
      </c>
      <c r="L336" s="835">
        <v>5455.63</v>
      </c>
      <c r="M336" s="8" t="s">
        <v>2441</v>
      </c>
      <c r="N336" s="8"/>
      <c r="O336" s="143" t="s">
        <v>2455</v>
      </c>
      <c r="P336" s="9">
        <v>17153</v>
      </c>
      <c r="Q336" s="215"/>
      <c r="R336" s="8" t="s">
        <v>2058</v>
      </c>
      <c r="S336" s="143"/>
      <c r="T336" s="215"/>
      <c r="U336" s="215"/>
      <c r="V336" s="8"/>
      <c r="W336" s="8" t="s">
        <v>2050</v>
      </c>
    </row>
    <row r="337" spans="1:23" ht="16.5" customHeight="1">
      <c r="A337" s="34"/>
      <c r="C337" s="29"/>
      <c r="D337" s="143">
        <v>6414502</v>
      </c>
      <c r="E337" s="8">
        <v>356</v>
      </c>
      <c r="F337" s="131">
        <v>10000</v>
      </c>
      <c r="G337" s="13">
        <v>800</v>
      </c>
      <c r="H337" s="133">
        <v>44322</v>
      </c>
      <c r="I337" s="10">
        <v>2</v>
      </c>
      <c r="J337" s="8" t="s">
        <v>2308</v>
      </c>
      <c r="K337" s="8" t="s">
        <v>2059</v>
      </c>
      <c r="L337" s="13">
        <v>5843.9</v>
      </c>
      <c r="M337" s="8" t="s">
        <v>2441</v>
      </c>
      <c r="N337" s="8"/>
      <c r="O337" s="143" t="s">
        <v>2456</v>
      </c>
      <c r="P337" s="9">
        <v>12700</v>
      </c>
      <c r="Q337" s="215"/>
      <c r="R337" s="8" t="s">
        <v>2058</v>
      </c>
      <c r="S337" s="143"/>
      <c r="T337" s="9"/>
      <c r="U337" s="215"/>
      <c r="V337" s="8"/>
      <c r="W337" s="8" t="s">
        <v>2124</v>
      </c>
    </row>
    <row r="338" spans="1:23" ht="16.5" customHeight="1">
      <c r="A338" s="34"/>
      <c r="C338" s="29"/>
      <c r="D338" s="143">
        <v>29613221</v>
      </c>
      <c r="E338" s="8">
        <v>357</v>
      </c>
      <c r="F338" s="131">
        <v>10000</v>
      </c>
      <c r="G338" s="13">
        <v>720</v>
      </c>
      <c r="H338" s="133">
        <v>44391</v>
      </c>
      <c r="I338" s="10">
        <v>1</v>
      </c>
      <c r="J338" s="8" t="s">
        <v>2308</v>
      </c>
      <c r="K338" s="8" t="s">
        <v>2413</v>
      </c>
      <c r="L338" s="13">
        <v>5238.1000000000004</v>
      </c>
      <c r="M338" s="8" t="s">
        <v>2133</v>
      </c>
      <c r="N338" s="8"/>
      <c r="O338" s="143" t="s">
        <v>2457</v>
      </c>
      <c r="P338" s="9">
        <v>14008</v>
      </c>
      <c r="Q338" s="215" t="s">
        <v>88</v>
      </c>
      <c r="R338" s="8" t="s">
        <v>2058</v>
      </c>
      <c r="S338" s="143"/>
      <c r="T338" s="215"/>
      <c r="U338" s="215"/>
      <c r="V338" s="8"/>
      <c r="W338" s="8" t="s">
        <v>2050</v>
      </c>
    </row>
    <row r="339" spans="1:23" ht="16.5" customHeight="1">
      <c r="A339" s="34"/>
      <c r="C339" s="29"/>
      <c r="D339" s="143">
        <v>1319714</v>
      </c>
      <c r="E339" s="8">
        <v>358</v>
      </c>
      <c r="F339" s="131">
        <v>100000</v>
      </c>
      <c r="G339" s="13">
        <v>5700</v>
      </c>
      <c r="H339" s="133">
        <v>44419</v>
      </c>
      <c r="I339" s="10">
        <v>1</v>
      </c>
      <c r="J339" s="8" t="s">
        <v>2308</v>
      </c>
      <c r="K339" s="8" t="s">
        <v>2055</v>
      </c>
      <c r="L339" s="13">
        <v>44884</v>
      </c>
      <c r="M339" s="8" t="s">
        <v>2133</v>
      </c>
      <c r="N339" s="8" t="s">
        <v>88</v>
      </c>
      <c r="O339" s="143" t="s">
        <v>2458</v>
      </c>
      <c r="P339" s="9">
        <v>13076</v>
      </c>
      <c r="Q339" s="215"/>
      <c r="R339" s="8" t="s">
        <v>2049</v>
      </c>
      <c r="S339" s="143" t="s">
        <v>2459</v>
      </c>
      <c r="T339" s="9">
        <v>15719</v>
      </c>
      <c r="U339" s="215"/>
      <c r="V339" s="8"/>
      <c r="W339" s="8" t="s">
        <v>2050</v>
      </c>
    </row>
    <row r="340" spans="1:23" ht="16.5" customHeight="1">
      <c r="A340" s="34"/>
      <c r="C340" s="29"/>
      <c r="D340" s="143">
        <v>30269799</v>
      </c>
      <c r="E340" s="8">
        <v>359</v>
      </c>
      <c r="F340" s="131">
        <v>250000</v>
      </c>
      <c r="G340" s="13">
        <v>17500</v>
      </c>
      <c r="H340" s="133">
        <v>44484</v>
      </c>
      <c r="I340" s="10">
        <v>1</v>
      </c>
      <c r="J340" s="8" t="s">
        <v>2308</v>
      </c>
      <c r="K340" s="8" t="s">
        <v>2046</v>
      </c>
      <c r="L340" s="13">
        <v>126065</v>
      </c>
      <c r="M340" s="8" t="s">
        <v>2133</v>
      </c>
      <c r="N340" s="8"/>
      <c r="O340" s="143" t="s">
        <v>2460</v>
      </c>
      <c r="P340" s="9">
        <v>14715</v>
      </c>
      <c r="Q340" s="215"/>
      <c r="R340" s="8" t="s">
        <v>2049</v>
      </c>
      <c r="S340" s="143"/>
      <c r="T340" s="215"/>
      <c r="U340" s="215"/>
      <c r="V340" s="8"/>
      <c r="W340" s="8" t="s">
        <v>2312</v>
      </c>
    </row>
    <row r="341" spans="1:23" ht="16.5" customHeight="1">
      <c r="A341" s="34"/>
      <c r="C341" s="29"/>
      <c r="D341" s="143">
        <v>100691118</v>
      </c>
      <c r="E341" s="8">
        <v>360</v>
      </c>
      <c r="F341" s="131">
        <v>200000</v>
      </c>
      <c r="G341" s="13">
        <v>13000</v>
      </c>
      <c r="H341" s="133">
        <v>44495</v>
      </c>
      <c r="I341" s="10">
        <v>1</v>
      </c>
      <c r="J341" s="8" t="s">
        <v>2308</v>
      </c>
      <c r="K341" s="8" t="s">
        <v>2046</v>
      </c>
      <c r="L341" s="13">
        <v>98090</v>
      </c>
      <c r="M341" s="8" t="s">
        <v>2133</v>
      </c>
      <c r="N341" s="8" t="s">
        <v>88</v>
      </c>
      <c r="O341" s="143" t="s">
        <v>2461</v>
      </c>
      <c r="P341" s="9">
        <v>15140</v>
      </c>
      <c r="Q341" s="215"/>
      <c r="R341" s="8" t="s">
        <v>2049</v>
      </c>
      <c r="S341" s="143"/>
      <c r="T341" s="215"/>
      <c r="U341" s="215"/>
      <c r="V341" s="8"/>
      <c r="W341" s="8" t="s">
        <v>2050</v>
      </c>
    </row>
    <row r="342" spans="1:23" ht="16.5" customHeight="1">
      <c r="A342" s="34"/>
      <c r="C342" s="29" t="s">
        <v>238</v>
      </c>
      <c r="D342" s="143">
        <v>19305119</v>
      </c>
      <c r="E342" s="8">
        <v>361</v>
      </c>
      <c r="F342" s="131">
        <v>10000</v>
      </c>
      <c r="G342" s="13">
        <v>860</v>
      </c>
      <c r="H342" s="133">
        <v>44497</v>
      </c>
      <c r="I342" s="10">
        <v>1</v>
      </c>
      <c r="J342" s="8" t="s">
        <v>2308</v>
      </c>
      <c r="K342" s="8" t="s">
        <v>2413</v>
      </c>
      <c r="L342" s="13">
        <v>6530.6</v>
      </c>
      <c r="M342" s="8" t="s">
        <v>2133</v>
      </c>
      <c r="N342" s="8"/>
      <c r="O342" s="143" t="s">
        <v>2462</v>
      </c>
      <c r="P342" s="9">
        <v>11334</v>
      </c>
      <c r="Q342" s="9">
        <v>45242</v>
      </c>
      <c r="R342" s="8" t="s">
        <v>2058</v>
      </c>
      <c r="S342" s="143"/>
      <c r="T342" s="215"/>
      <c r="U342" s="215"/>
      <c r="V342" s="8"/>
      <c r="W342" s="8" t="s">
        <v>2050</v>
      </c>
    </row>
    <row r="343" spans="1:23" ht="16.5" customHeight="1">
      <c r="A343" s="34"/>
      <c r="C343" s="29"/>
      <c r="D343" s="143">
        <v>100006723</v>
      </c>
      <c r="E343" s="8">
        <v>362</v>
      </c>
      <c r="F343" s="131">
        <v>20000</v>
      </c>
      <c r="G343" s="13">
        <v>1200</v>
      </c>
      <c r="H343" s="133">
        <v>44509</v>
      </c>
      <c r="I343" s="10">
        <v>1</v>
      </c>
      <c r="J343" s="8" t="s">
        <v>2308</v>
      </c>
      <c r="K343" s="8" t="s">
        <v>2203</v>
      </c>
      <c r="L343" s="13">
        <v>9656.2000000000007</v>
      </c>
      <c r="M343" s="8" t="s">
        <v>2133</v>
      </c>
      <c r="N343" s="8" t="s">
        <v>88</v>
      </c>
      <c r="O343" s="143" t="s">
        <v>2463</v>
      </c>
      <c r="P343" s="9">
        <v>15979</v>
      </c>
      <c r="Q343" s="215"/>
      <c r="R343" s="8" t="s">
        <v>2058</v>
      </c>
      <c r="S343" s="143" t="s">
        <v>88</v>
      </c>
      <c r="T343" s="215"/>
      <c r="U343" s="215"/>
      <c r="V343" s="8"/>
      <c r="W343" s="8" t="s">
        <v>2050</v>
      </c>
    </row>
    <row r="344" spans="1:23" ht="16.5" customHeight="1">
      <c r="A344" s="34"/>
      <c r="C344" s="29"/>
      <c r="D344" s="143">
        <v>20633475</v>
      </c>
      <c r="E344" s="8">
        <v>363</v>
      </c>
      <c r="F344" s="131">
        <v>47406</v>
      </c>
      <c r="G344" s="13">
        <v>2939.2</v>
      </c>
      <c r="H344" s="133">
        <v>44532</v>
      </c>
      <c r="I344" s="10">
        <v>1</v>
      </c>
      <c r="J344" s="8" t="s">
        <v>2308</v>
      </c>
      <c r="K344" s="8" t="s">
        <v>2081</v>
      </c>
      <c r="L344" s="13">
        <v>23657.96</v>
      </c>
      <c r="M344" s="8" t="s">
        <v>2133</v>
      </c>
      <c r="N344" s="8" t="s">
        <v>88</v>
      </c>
      <c r="O344" s="143" t="s">
        <v>2464</v>
      </c>
      <c r="P344" s="9">
        <v>15779</v>
      </c>
      <c r="Q344" s="215"/>
      <c r="R344" s="8" t="s">
        <v>2058</v>
      </c>
      <c r="S344" s="143"/>
      <c r="T344" s="215"/>
      <c r="U344" s="215"/>
      <c r="V344" s="8"/>
      <c r="W344" s="8" t="s">
        <v>2050</v>
      </c>
    </row>
    <row r="345" spans="1:23" ht="16.5" customHeight="1">
      <c r="A345" s="34"/>
      <c r="C345" s="29"/>
      <c r="D345" s="143">
        <v>16633828</v>
      </c>
      <c r="E345" s="8">
        <v>364</v>
      </c>
      <c r="F345" s="141">
        <v>10000</v>
      </c>
      <c r="G345" s="910">
        <v>420</v>
      </c>
      <c r="H345" s="133">
        <v>44556</v>
      </c>
      <c r="I345" s="10">
        <v>2</v>
      </c>
      <c r="J345" s="8" t="s">
        <v>2308</v>
      </c>
      <c r="K345" s="8" t="s">
        <v>2465</v>
      </c>
      <c r="L345" s="13">
        <v>3550.4</v>
      </c>
      <c r="M345" s="8" t="s">
        <v>2133</v>
      </c>
      <c r="N345" s="8"/>
      <c r="O345" s="143" t="s">
        <v>2466</v>
      </c>
      <c r="P345" s="9">
        <v>17309</v>
      </c>
      <c r="Q345" s="215"/>
      <c r="R345" s="8" t="s">
        <v>2049</v>
      </c>
      <c r="S345" s="143" t="s">
        <v>2467</v>
      </c>
      <c r="T345" s="9">
        <v>19586</v>
      </c>
      <c r="U345" s="215"/>
      <c r="V345" s="8"/>
      <c r="W345" s="8" t="s">
        <v>2050</v>
      </c>
    </row>
    <row r="346" spans="1:23" ht="16.5" customHeight="1">
      <c r="A346" s="34"/>
      <c r="C346" s="29"/>
      <c r="D346" s="143">
        <v>1078971</v>
      </c>
      <c r="E346" s="8">
        <v>365</v>
      </c>
      <c r="F346" s="131">
        <v>50000</v>
      </c>
      <c r="G346" s="13">
        <v>2800</v>
      </c>
      <c r="H346" s="133">
        <v>44587</v>
      </c>
      <c r="I346" s="10">
        <v>1</v>
      </c>
      <c r="J346" s="8" t="s">
        <v>2308</v>
      </c>
      <c r="K346" s="8" t="s">
        <v>2240</v>
      </c>
      <c r="L346" s="13">
        <v>23639</v>
      </c>
      <c r="M346" s="8" t="s">
        <v>2133</v>
      </c>
      <c r="N346" s="8"/>
      <c r="O346" s="143" t="s">
        <v>2468</v>
      </c>
      <c r="P346" s="9">
        <v>16949</v>
      </c>
      <c r="Q346" s="215"/>
      <c r="R346" s="8" t="s">
        <v>2049</v>
      </c>
      <c r="S346" s="143"/>
      <c r="T346" s="215"/>
      <c r="U346" s="215"/>
      <c r="V346" s="8"/>
      <c r="W346" s="8" t="s">
        <v>2292</v>
      </c>
    </row>
    <row r="347" spans="1:23" ht="16.5" customHeight="1">
      <c r="A347" s="34"/>
      <c r="C347" s="29"/>
      <c r="D347" s="143">
        <v>100588389</v>
      </c>
      <c r="E347" s="8">
        <v>366</v>
      </c>
      <c r="F347" s="131">
        <v>50000</v>
      </c>
      <c r="G347" s="13">
        <v>2800</v>
      </c>
      <c r="H347" s="133">
        <v>44600</v>
      </c>
      <c r="I347" s="10">
        <v>1</v>
      </c>
      <c r="J347" s="8" t="s">
        <v>2308</v>
      </c>
      <c r="K347" s="8" t="s">
        <v>2219</v>
      </c>
      <c r="L347" s="13">
        <v>23639</v>
      </c>
      <c r="M347" s="8" t="s">
        <v>2133</v>
      </c>
      <c r="N347" s="8"/>
      <c r="O347" s="143" t="s">
        <v>2469</v>
      </c>
      <c r="P347" s="9">
        <v>16702</v>
      </c>
      <c r="Q347" s="215"/>
      <c r="R347" s="8" t="s">
        <v>2058</v>
      </c>
      <c r="S347" s="143"/>
      <c r="T347" s="215"/>
      <c r="U347" s="215"/>
      <c r="V347" s="8"/>
      <c r="W347" s="8" t="s">
        <v>2050</v>
      </c>
    </row>
    <row r="348" spans="1:23" ht="16.5" customHeight="1">
      <c r="A348" s="34"/>
      <c r="C348" s="29"/>
      <c r="D348" s="143">
        <v>79514378</v>
      </c>
      <c r="E348" s="8">
        <v>367</v>
      </c>
      <c r="F348" s="131">
        <v>20000</v>
      </c>
      <c r="G348" s="13">
        <v>940</v>
      </c>
      <c r="H348" s="133">
        <v>44595</v>
      </c>
      <c r="I348" s="10">
        <v>1</v>
      </c>
      <c r="J348" s="8" t="s">
        <v>2308</v>
      </c>
      <c r="K348" s="8" t="s">
        <v>2081</v>
      </c>
      <c r="L348" s="13">
        <v>8373</v>
      </c>
      <c r="M348" s="8" t="s">
        <v>2133</v>
      </c>
      <c r="N348" s="8" t="s">
        <v>88</v>
      </c>
      <c r="O348" s="143" t="s">
        <v>2470</v>
      </c>
      <c r="P348" s="9">
        <v>19052</v>
      </c>
      <c r="Q348" s="215"/>
      <c r="R348" s="8" t="s">
        <v>2058</v>
      </c>
      <c r="S348" s="143" t="s">
        <v>2471</v>
      </c>
      <c r="T348" s="9">
        <v>9229</v>
      </c>
      <c r="U348" s="215"/>
      <c r="V348" s="8" t="s">
        <v>2049</v>
      </c>
      <c r="W348" s="8" t="s">
        <v>2050</v>
      </c>
    </row>
    <row r="349" spans="1:23" ht="16.5" customHeight="1">
      <c r="A349" s="34" t="s">
        <v>88</v>
      </c>
      <c r="C349" s="29"/>
      <c r="D349" s="143">
        <v>100334417</v>
      </c>
      <c r="E349" s="8">
        <v>368</v>
      </c>
      <c r="F349" s="131">
        <v>25000</v>
      </c>
      <c r="G349" s="914">
        <v>1800</v>
      </c>
      <c r="H349" s="133">
        <v>44623</v>
      </c>
      <c r="I349" s="10">
        <v>1</v>
      </c>
      <c r="J349" s="8" t="s">
        <v>2308</v>
      </c>
      <c r="K349" s="8" t="s">
        <v>2395</v>
      </c>
      <c r="L349" s="914">
        <v>13561.75</v>
      </c>
      <c r="M349" s="8" t="s">
        <v>2133</v>
      </c>
      <c r="N349" s="8" t="s">
        <v>88</v>
      </c>
      <c r="O349" s="143" t="s">
        <v>2472</v>
      </c>
      <c r="P349" s="9">
        <v>14241</v>
      </c>
      <c r="Q349" s="215"/>
      <c r="R349" s="8" t="s">
        <v>2049</v>
      </c>
      <c r="S349" s="143"/>
      <c r="T349" s="215"/>
      <c r="U349" s="215"/>
      <c r="V349" s="8"/>
      <c r="W349" s="8" t="s">
        <v>2196</v>
      </c>
    </row>
    <row r="350" spans="1:23" ht="16.5" customHeight="1">
      <c r="A350" s="34" t="s">
        <v>88</v>
      </c>
      <c r="C350" s="29"/>
      <c r="D350" s="143">
        <v>98869597</v>
      </c>
      <c r="E350" s="8">
        <v>369</v>
      </c>
      <c r="F350" s="131">
        <v>10000</v>
      </c>
      <c r="G350" s="13">
        <v>780</v>
      </c>
      <c r="H350" s="133">
        <v>44696</v>
      </c>
      <c r="I350" s="10">
        <v>1</v>
      </c>
      <c r="J350" s="8" t="s">
        <v>2308</v>
      </c>
      <c r="K350" s="8" t="s">
        <v>2219</v>
      </c>
      <c r="L350" s="13">
        <v>6006.6</v>
      </c>
      <c r="M350" s="8" t="s">
        <v>2133</v>
      </c>
      <c r="N350" s="8"/>
      <c r="O350" s="143" t="s">
        <v>2473</v>
      </c>
      <c r="P350" s="9">
        <v>13439</v>
      </c>
      <c r="Q350" s="215"/>
      <c r="R350" s="8" t="s">
        <v>2058</v>
      </c>
      <c r="S350" s="143"/>
      <c r="T350" s="215"/>
      <c r="U350" s="215"/>
      <c r="V350" s="8"/>
      <c r="W350" s="8" t="s">
        <v>2050</v>
      </c>
    </row>
    <row r="351" spans="1:23" ht="16.5" customHeight="1">
      <c r="A351" s="34"/>
      <c r="C351" s="29"/>
      <c r="D351" s="143">
        <v>71333926</v>
      </c>
      <c r="E351" s="8">
        <v>370</v>
      </c>
      <c r="F351" s="131">
        <v>10000</v>
      </c>
      <c r="G351" s="13">
        <v>840</v>
      </c>
      <c r="H351" s="133">
        <v>373445</v>
      </c>
      <c r="I351" s="10">
        <v>1</v>
      </c>
      <c r="J351" s="8" t="s">
        <v>2308</v>
      </c>
      <c r="K351" s="8" t="s">
        <v>65</v>
      </c>
      <c r="L351" s="13">
        <v>5336</v>
      </c>
      <c r="M351" s="8" t="s">
        <v>2133</v>
      </c>
      <c r="N351" s="8"/>
      <c r="O351" s="143" t="s">
        <v>2474</v>
      </c>
      <c r="P351" s="215" t="s">
        <v>2475</v>
      </c>
      <c r="Q351" s="215"/>
      <c r="R351" s="8" t="s">
        <v>2049</v>
      </c>
      <c r="S351" s="143"/>
      <c r="T351" s="215"/>
      <c r="U351" s="215"/>
      <c r="V351" s="8" t="s">
        <v>2049</v>
      </c>
      <c r="W351" s="8" t="s">
        <v>2050</v>
      </c>
    </row>
    <row r="352" spans="1:23" ht="16.5" customHeight="1">
      <c r="A352" s="34"/>
      <c r="C352" s="29"/>
      <c r="D352" s="143">
        <v>27991744</v>
      </c>
      <c r="E352" s="8">
        <v>371</v>
      </c>
      <c r="F352" s="131">
        <v>49740</v>
      </c>
      <c r="G352" s="13">
        <v>3581.28</v>
      </c>
      <c r="H352" s="133">
        <v>44742</v>
      </c>
      <c r="I352" s="10">
        <v>1</v>
      </c>
      <c r="J352" s="8" t="s">
        <v>2308</v>
      </c>
      <c r="K352" s="8" t="s">
        <v>2059</v>
      </c>
      <c r="L352" s="13">
        <v>28653.22</v>
      </c>
      <c r="M352" s="8" t="s">
        <v>2133</v>
      </c>
      <c r="N352" s="8" t="s">
        <v>88</v>
      </c>
      <c r="O352" s="143" t="s">
        <v>2476</v>
      </c>
      <c r="P352" s="9">
        <v>14314</v>
      </c>
      <c r="Q352" s="215"/>
      <c r="R352" s="8" t="s">
        <v>2058</v>
      </c>
      <c r="S352" s="143"/>
      <c r="T352" s="215"/>
      <c r="U352" s="215"/>
      <c r="V352" s="8"/>
      <c r="W352" s="8" t="s">
        <v>2050</v>
      </c>
    </row>
    <row r="353" spans="1:25" ht="16.5" customHeight="1">
      <c r="A353" s="34"/>
      <c r="C353" s="29"/>
      <c r="D353" s="143">
        <v>96603873</v>
      </c>
      <c r="E353" s="8">
        <v>372</v>
      </c>
      <c r="F353" s="131">
        <v>75000</v>
      </c>
      <c r="G353" s="13">
        <v>6825</v>
      </c>
      <c r="H353" s="133">
        <v>44782</v>
      </c>
      <c r="I353" s="10">
        <v>1</v>
      </c>
      <c r="J353" s="8" t="s">
        <v>2308</v>
      </c>
      <c r="K353" s="8" t="s">
        <v>2112</v>
      </c>
      <c r="L353" s="13">
        <v>57668</v>
      </c>
      <c r="M353" s="8" t="s">
        <v>2477</v>
      </c>
      <c r="N353" s="8"/>
      <c r="O353" s="143" t="s">
        <v>2478</v>
      </c>
      <c r="P353" s="9">
        <v>9414</v>
      </c>
      <c r="Q353" s="215"/>
      <c r="R353" s="8" t="s">
        <v>2049</v>
      </c>
      <c r="S353" s="143"/>
      <c r="T353" s="215"/>
      <c r="U353" s="215"/>
      <c r="V353" s="8"/>
      <c r="W353" s="8" t="s">
        <v>2050</v>
      </c>
    </row>
    <row r="354" spans="1:25" ht="16.5" customHeight="1">
      <c r="A354" s="34"/>
      <c r="C354" s="29"/>
      <c r="D354" s="143">
        <v>40675720</v>
      </c>
      <c r="E354" s="8">
        <v>373</v>
      </c>
      <c r="F354" s="131">
        <v>10000</v>
      </c>
      <c r="G354" s="13">
        <v>910</v>
      </c>
      <c r="H354" s="133">
        <v>44804</v>
      </c>
      <c r="I354" s="10">
        <v>1</v>
      </c>
      <c r="J354" s="8" t="s">
        <v>2308</v>
      </c>
      <c r="K354" s="8" t="s">
        <v>2069</v>
      </c>
      <c r="L354" s="13">
        <v>7205.5</v>
      </c>
      <c r="M354" s="8" t="s">
        <v>2477</v>
      </c>
      <c r="N354" s="8"/>
      <c r="O354" s="143" t="s">
        <v>2479</v>
      </c>
      <c r="P354" s="9">
        <v>10613</v>
      </c>
      <c r="Q354" s="215"/>
      <c r="R354" s="8" t="s">
        <v>2049</v>
      </c>
      <c r="S354" s="143"/>
      <c r="T354" s="215"/>
      <c r="U354" s="215"/>
      <c r="V354" s="8"/>
      <c r="W354" s="8" t="s">
        <v>2050</v>
      </c>
    </row>
    <row r="355" spans="1:25" ht="16.5" customHeight="1">
      <c r="A355" s="34"/>
      <c r="C355" s="29"/>
      <c r="D355" s="143">
        <v>19356427</v>
      </c>
      <c r="E355" s="8">
        <v>374</v>
      </c>
      <c r="F355" s="131">
        <v>20000</v>
      </c>
      <c r="G355" s="13">
        <v>1580</v>
      </c>
      <c r="H355" s="133">
        <v>44837</v>
      </c>
      <c r="I355" s="10">
        <v>1</v>
      </c>
      <c r="J355" s="8" t="s">
        <v>2308</v>
      </c>
      <c r="K355" s="8" t="s">
        <v>2112</v>
      </c>
      <c r="L355" s="13">
        <v>11334.8</v>
      </c>
      <c r="M355" s="8" t="s">
        <v>2477</v>
      </c>
      <c r="N355" s="8"/>
      <c r="O355" s="143" t="s">
        <v>2480</v>
      </c>
      <c r="P355" s="9">
        <v>14051</v>
      </c>
      <c r="Q355" s="215"/>
      <c r="R355" s="8" t="s">
        <v>2049</v>
      </c>
      <c r="S355" s="143"/>
      <c r="T355" s="215"/>
      <c r="U355" s="215"/>
      <c r="V355" s="8"/>
      <c r="W355" s="8" t="s">
        <v>2050</v>
      </c>
    </row>
    <row r="356" spans="1:25" ht="16.5" customHeight="1">
      <c r="A356" s="34"/>
      <c r="C356" s="29"/>
      <c r="D356" s="143">
        <v>100006233</v>
      </c>
      <c r="E356" s="8">
        <v>375</v>
      </c>
      <c r="F356" s="131">
        <v>20000</v>
      </c>
      <c r="G356" s="13">
        <v>2000</v>
      </c>
      <c r="H356" s="133">
        <v>44844</v>
      </c>
      <c r="I356" s="10">
        <v>2</v>
      </c>
      <c r="J356" s="8" t="s">
        <v>2316</v>
      </c>
      <c r="K356" s="8" t="s">
        <v>2052</v>
      </c>
      <c r="L356" s="13">
        <v>14324.4</v>
      </c>
      <c r="M356" s="8" t="s">
        <v>2477</v>
      </c>
      <c r="N356" s="8"/>
      <c r="O356" s="143" t="s">
        <v>2481</v>
      </c>
      <c r="P356" s="9">
        <v>14420</v>
      </c>
      <c r="Q356" s="215"/>
      <c r="R356" s="8" t="s">
        <v>2049</v>
      </c>
      <c r="S356" s="143" t="s">
        <v>2482</v>
      </c>
      <c r="T356" s="9">
        <v>14310</v>
      </c>
      <c r="U356" s="215"/>
      <c r="V356" s="8" t="s">
        <v>2058</v>
      </c>
      <c r="W356" s="8" t="s">
        <v>2196</v>
      </c>
      <c r="X356" t="s">
        <v>88</v>
      </c>
    </row>
    <row r="357" spans="1:25" ht="16.5" customHeight="1">
      <c r="A357" s="34"/>
      <c r="C357" s="29"/>
      <c r="D357" s="143">
        <v>30269799</v>
      </c>
      <c r="E357" s="8">
        <v>376</v>
      </c>
      <c r="F357" s="131">
        <v>250000</v>
      </c>
      <c r="G357" s="13">
        <v>19250</v>
      </c>
      <c r="H357" s="133">
        <v>44849</v>
      </c>
      <c r="I357" s="10">
        <v>1</v>
      </c>
      <c r="J357" s="8" t="s">
        <v>2308</v>
      </c>
      <c r="K357" s="8" t="s">
        <v>2176</v>
      </c>
      <c r="L357" s="13">
        <v>130182.5</v>
      </c>
      <c r="M357" s="8" t="s">
        <v>2477</v>
      </c>
      <c r="N357" s="8"/>
      <c r="O357" s="143" t="s">
        <v>2460</v>
      </c>
      <c r="P357" s="9">
        <v>14715</v>
      </c>
      <c r="Q357" s="215"/>
      <c r="R357" s="8" t="s">
        <v>2049</v>
      </c>
      <c r="S357" s="143"/>
      <c r="T357" s="215"/>
      <c r="U357" s="215"/>
      <c r="V357" s="8"/>
      <c r="W357" s="8" t="s">
        <v>2337</v>
      </c>
    </row>
    <row r="358" spans="1:25" ht="16.5" customHeight="1">
      <c r="A358" s="34"/>
      <c r="C358" s="29"/>
      <c r="D358" s="143">
        <v>100769406</v>
      </c>
      <c r="E358" s="8">
        <v>377</v>
      </c>
      <c r="F358" s="131">
        <v>20000</v>
      </c>
      <c r="G358" s="13">
        <v>12000</v>
      </c>
      <c r="H358" s="133">
        <v>44922</v>
      </c>
      <c r="I358" s="10">
        <v>1</v>
      </c>
      <c r="J358" s="8" t="s">
        <v>2308</v>
      </c>
      <c r="K358" s="8" t="s">
        <v>2106</v>
      </c>
      <c r="L358" s="13">
        <v>10610.6</v>
      </c>
      <c r="M358" s="8" t="s">
        <v>2477</v>
      </c>
      <c r="N358" s="8"/>
      <c r="O358" s="143" t="s">
        <v>2483</v>
      </c>
      <c r="P358" s="9">
        <v>17644</v>
      </c>
      <c r="Q358" s="215"/>
      <c r="R358" s="8" t="s">
        <v>2049</v>
      </c>
      <c r="S358" s="143"/>
      <c r="T358" s="215"/>
      <c r="U358" s="215"/>
      <c r="V358" s="8"/>
      <c r="W358" s="8" t="s">
        <v>2050</v>
      </c>
    </row>
    <row r="359" spans="1:25" ht="16.5" customHeight="1">
      <c r="A359" s="34"/>
      <c r="C359" s="29"/>
      <c r="D359" s="143">
        <v>100813357</v>
      </c>
      <c r="E359" s="8">
        <v>378</v>
      </c>
      <c r="F359" s="131">
        <v>10000</v>
      </c>
      <c r="G359" s="13">
        <v>740</v>
      </c>
      <c r="H359" s="133">
        <v>44965</v>
      </c>
      <c r="I359" s="10">
        <v>1</v>
      </c>
      <c r="J359" s="8" t="s">
        <v>2308</v>
      </c>
      <c r="K359" s="8" t="s">
        <v>2484</v>
      </c>
      <c r="L359" s="13">
        <v>5101.5</v>
      </c>
      <c r="M359" s="8" t="s">
        <v>2477</v>
      </c>
      <c r="N359" s="8"/>
      <c r="O359" s="143" t="s">
        <v>2485</v>
      </c>
      <c r="P359" s="9">
        <v>16184</v>
      </c>
      <c r="Q359" s="215"/>
      <c r="R359" s="8" t="s">
        <v>2058</v>
      </c>
      <c r="S359" s="143"/>
      <c r="T359" s="215"/>
      <c r="U359" s="215"/>
      <c r="V359" s="8"/>
      <c r="W359" s="8" t="s">
        <v>2050</v>
      </c>
    </row>
    <row r="360" spans="1:25" ht="16.5" customHeight="1">
      <c r="A360" s="34"/>
      <c r="C360" s="29"/>
      <c r="D360" s="143">
        <v>39533641</v>
      </c>
      <c r="E360" s="8">
        <v>379</v>
      </c>
      <c r="F360" s="131">
        <v>10000</v>
      </c>
      <c r="G360" s="13">
        <v>590</v>
      </c>
      <c r="H360" s="133">
        <v>44972</v>
      </c>
      <c r="I360" s="10">
        <v>1</v>
      </c>
      <c r="J360" s="8" t="s">
        <v>2308</v>
      </c>
      <c r="K360" s="8" t="s">
        <v>2106</v>
      </c>
      <c r="L360" s="13">
        <v>4478.8</v>
      </c>
      <c r="M360" s="8" t="s">
        <v>2477</v>
      </c>
      <c r="N360" s="8"/>
      <c r="O360" s="143" t="s">
        <v>2486</v>
      </c>
      <c r="P360" s="9">
        <v>19389</v>
      </c>
      <c r="Q360" s="215"/>
      <c r="R360" s="8" t="s">
        <v>2058</v>
      </c>
      <c r="S360" s="143"/>
      <c r="T360" s="215"/>
      <c r="U360" s="215"/>
      <c r="V360" s="8"/>
      <c r="W360" s="8" t="s">
        <v>2050</v>
      </c>
    </row>
    <row r="361" spans="1:25" ht="16.5" customHeight="1">
      <c r="A361" s="34"/>
      <c r="C361" s="29"/>
      <c r="D361" s="961">
        <v>1078971</v>
      </c>
      <c r="E361" s="8">
        <v>380</v>
      </c>
      <c r="F361" s="131">
        <v>60000</v>
      </c>
      <c r="G361" s="914">
        <v>4200</v>
      </c>
      <c r="H361" s="133">
        <v>44974</v>
      </c>
      <c r="I361" s="10">
        <v>1</v>
      </c>
      <c r="J361" s="8" t="s">
        <v>2308</v>
      </c>
      <c r="K361" s="8" t="s">
        <v>2240</v>
      </c>
      <c r="L361" s="914">
        <v>29691.599999999999</v>
      </c>
      <c r="M361" s="8" t="s">
        <v>2477</v>
      </c>
      <c r="N361" s="8"/>
      <c r="O361" s="143" t="s">
        <v>2468</v>
      </c>
      <c r="P361" s="9">
        <v>16949</v>
      </c>
      <c r="Q361" s="215"/>
      <c r="R361" s="8" t="s">
        <v>2049</v>
      </c>
      <c r="S361" s="143"/>
      <c r="T361" s="215"/>
      <c r="U361" s="215"/>
      <c r="V361" s="8"/>
      <c r="W361" s="8" t="s">
        <v>2312</v>
      </c>
    </row>
    <row r="362" spans="1:25" ht="16.5" customHeight="1">
      <c r="A362" s="34"/>
      <c r="C362" s="29"/>
      <c r="D362" s="1004">
        <v>6414502</v>
      </c>
      <c r="E362" s="8">
        <v>381</v>
      </c>
      <c r="F362" s="131">
        <v>10000</v>
      </c>
      <c r="G362" s="13">
        <v>930</v>
      </c>
      <c r="H362" s="133">
        <v>44987</v>
      </c>
      <c r="I362" s="10">
        <v>1</v>
      </c>
      <c r="J362" s="8" t="s">
        <v>2308</v>
      </c>
      <c r="K362" s="8" t="s">
        <v>2059</v>
      </c>
      <c r="L362" s="13">
        <v>6004.3</v>
      </c>
      <c r="M362" s="8" t="s">
        <v>2477</v>
      </c>
      <c r="N362" s="8"/>
      <c r="O362" s="143" t="s">
        <v>2487</v>
      </c>
      <c r="P362" s="9">
        <v>12700</v>
      </c>
      <c r="Q362" s="215"/>
      <c r="R362" s="8" t="s">
        <v>2058</v>
      </c>
      <c r="S362" s="143"/>
      <c r="T362" s="215"/>
      <c r="U362" s="215"/>
      <c r="V362" s="8"/>
      <c r="W362" s="8" t="s">
        <v>2196</v>
      </c>
    </row>
    <row r="363" spans="1:25" ht="16.5" customHeight="1">
      <c r="A363" s="34"/>
      <c r="C363" s="29"/>
      <c r="D363" s="143">
        <v>334292</v>
      </c>
      <c r="E363" s="8">
        <v>382</v>
      </c>
      <c r="F363" s="958">
        <v>10751.25</v>
      </c>
      <c r="G363" s="13">
        <v>817.12</v>
      </c>
      <c r="H363" s="133">
        <v>44991</v>
      </c>
      <c r="I363" s="10">
        <v>1</v>
      </c>
      <c r="J363" s="8" t="s">
        <v>2308</v>
      </c>
      <c r="K363" s="8" t="s">
        <v>2072</v>
      </c>
      <c r="L363" s="13">
        <v>5156.1899999999996</v>
      </c>
      <c r="M363" s="8" t="s">
        <v>2477</v>
      </c>
      <c r="N363" s="8"/>
      <c r="O363" s="143" t="s">
        <v>2488</v>
      </c>
      <c r="P363" s="9">
        <v>22688</v>
      </c>
      <c r="Q363" s="215"/>
      <c r="R363" s="8" t="s">
        <v>2058</v>
      </c>
      <c r="S363" s="143"/>
      <c r="T363" s="215"/>
      <c r="U363" s="215"/>
      <c r="V363" s="8"/>
      <c r="W363" s="8" t="s">
        <v>2050</v>
      </c>
    </row>
    <row r="364" spans="1:25" ht="16.5" customHeight="1">
      <c r="A364" s="34"/>
      <c r="C364" s="29"/>
      <c r="D364" s="143">
        <v>95885174</v>
      </c>
      <c r="E364" s="8">
        <v>383</v>
      </c>
      <c r="F364" s="131">
        <v>10000</v>
      </c>
      <c r="G364" s="13">
        <v>540</v>
      </c>
      <c r="H364" s="133">
        <v>45077</v>
      </c>
      <c r="I364" s="10">
        <v>1</v>
      </c>
      <c r="J364" s="8" t="s">
        <v>2308</v>
      </c>
      <c r="K364" s="8" t="s">
        <v>2112</v>
      </c>
      <c r="L364" s="910">
        <v>4064</v>
      </c>
      <c r="M364" s="8" t="s">
        <v>2477</v>
      </c>
      <c r="N364" s="8"/>
      <c r="O364" s="143" t="s">
        <v>2489</v>
      </c>
      <c r="P364" s="9">
        <v>21186</v>
      </c>
      <c r="Q364" s="215" t="s">
        <v>88</v>
      </c>
      <c r="R364" s="8" t="s">
        <v>2058</v>
      </c>
      <c r="S364" s="143"/>
      <c r="T364" s="215"/>
      <c r="U364" s="215"/>
      <c r="V364" s="8"/>
      <c r="W364" s="8" t="s">
        <v>2050</v>
      </c>
    </row>
    <row r="365" spans="1:25" ht="16.5" customHeight="1">
      <c r="A365" s="34"/>
      <c r="C365" s="29"/>
      <c r="D365" s="143">
        <v>584441</v>
      </c>
      <c r="E365" s="8">
        <v>384</v>
      </c>
      <c r="F365" s="131">
        <v>10000</v>
      </c>
      <c r="G365" s="13">
        <v>540</v>
      </c>
      <c r="H365" s="133">
        <v>45162</v>
      </c>
      <c r="I365" s="10">
        <v>2</v>
      </c>
      <c r="J365" s="8" t="s">
        <v>2308</v>
      </c>
      <c r="K365" s="8" t="s">
        <v>2072</v>
      </c>
      <c r="L365" s="914">
        <v>0</v>
      </c>
      <c r="M365" s="8" t="s">
        <v>2490</v>
      </c>
      <c r="N365" s="8"/>
      <c r="O365" s="143" t="s">
        <v>2491</v>
      </c>
      <c r="P365" s="9">
        <v>18374</v>
      </c>
      <c r="Q365" s="215"/>
      <c r="R365" s="8" t="s">
        <v>2049</v>
      </c>
      <c r="S365" s="143" t="s">
        <v>2492</v>
      </c>
      <c r="T365" s="9">
        <v>19707</v>
      </c>
      <c r="U365" s="215"/>
      <c r="V365" s="8"/>
      <c r="W365" s="8" t="s">
        <v>2050</v>
      </c>
      <c r="X365" s="999" t="s">
        <v>2493</v>
      </c>
      <c r="Y365" s="999"/>
    </row>
    <row r="366" spans="1:25" ht="16.5" customHeight="1">
      <c r="A366" s="34"/>
      <c r="C366" s="29"/>
      <c r="D366" s="143">
        <v>100342926</v>
      </c>
      <c r="E366" s="8">
        <v>385</v>
      </c>
      <c r="F366" s="131">
        <v>20000</v>
      </c>
      <c r="G366" s="13">
        <v>1780</v>
      </c>
      <c r="H366" s="133">
        <v>45180</v>
      </c>
      <c r="I366" s="10">
        <v>1</v>
      </c>
      <c r="J366" s="8" t="s">
        <v>2308</v>
      </c>
      <c r="K366" s="8" t="s">
        <v>2046</v>
      </c>
      <c r="L366" s="13">
        <v>11261.6</v>
      </c>
      <c r="M366" s="8" t="s">
        <v>2490</v>
      </c>
      <c r="N366" s="8"/>
      <c r="O366" s="143" t="s">
        <v>2494</v>
      </c>
      <c r="P366" s="9">
        <v>13889</v>
      </c>
      <c r="Q366" s="215"/>
      <c r="R366" s="8" t="s">
        <v>2058</v>
      </c>
      <c r="S366" s="143"/>
      <c r="T366" s="215"/>
      <c r="U366" s="215"/>
      <c r="V366" s="8"/>
      <c r="W366" s="8" t="s">
        <v>2050</v>
      </c>
    </row>
    <row r="367" spans="1:25" ht="16.5" customHeight="1">
      <c r="A367" s="34"/>
      <c r="C367" s="29"/>
      <c r="D367" s="143">
        <v>30269799</v>
      </c>
      <c r="E367" s="8">
        <v>386</v>
      </c>
      <c r="F367" s="131">
        <v>250000</v>
      </c>
      <c r="G367" s="13">
        <v>21250</v>
      </c>
      <c r="H367" s="133">
        <v>45214</v>
      </c>
      <c r="I367" s="10">
        <v>1</v>
      </c>
      <c r="J367" s="8" t="s">
        <v>2308</v>
      </c>
      <c r="K367" s="8" t="s">
        <v>2176</v>
      </c>
      <c r="L367" s="13">
        <v>132775</v>
      </c>
      <c r="M367" s="8" t="s">
        <v>2490</v>
      </c>
      <c r="N367" s="8"/>
      <c r="O367" s="143" t="s">
        <v>2460</v>
      </c>
      <c r="P367" s="9">
        <v>14715</v>
      </c>
      <c r="Q367" s="215"/>
      <c r="R367" s="8" t="s">
        <v>2049</v>
      </c>
      <c r="S367" s="143"/>
      <c r="T367" s="215"/>
      <c r="U367" s="215"/>
      <c r="V367" s="8"/>
      <c r="W367" s="8" t="s">
        <v>2380</v>
      </c>
    </row>
    <row r="368" spans="1:25" ht="16.5" customHeight="1">
      <c r="A368" s="34"/>
      <c r="C368" s="29"/>
      <c r="D368" s="143">
        <v>93813004</v>
      </c>
      <c r="E368" s="8">
        <v>387</v>
      </c>
      <c r="F368" s="131">
        <v>15000</v>
      </c>
      <c r="G368" s="13">
        <v>930</v>
      </c>
      <c r="H368" s="133">
        <v>45237</v>
      </c>
      <c r="I368" s="10">
        <v>1</v>
      </c>
      <c r="J368" s="8" t="s">
        <v>2308</v>
      </c>
      <c r="K368" s="8" t="s">
        <v>2313</v>
      </c>
      <c r="L368" s="13">
        <v>6580.2</v>
      </c>
      <c r="M368" s="8" t="s">
        <v>2490</v>
      </c>
      <c r="N368" s="8"/>
      <c r="O368" s="143" t="s">
        <v>2495</v>
      </c>
      <c r="P368" s="9">
        <v>19076</v>
      </c>
      <c r="Q368" s="215"/>
      <c r="R368" s="8" t="s">
        <v>2049</v>
      </c>
      <c r="S368" s="143"/>
      <c r="T368" s="215"/>
      <c r="U368" s="215"/>
      <c r="V368" s="8"/>
      <c r="W368" s="8" t="s">
        <v>2050</v>
      </c>
    </row>
    <row r="369" spans="1:24" ht="16.5" customHeight="1">
      <c r="A369" s="34"/>
      <c r="C369" s="29"/>
      <c r="D369" s="143">
        <v>20646170</v>
      </c>
      <c r="E369" s="8">
        <v>388</v>
      </c>
      <c r="F369" s="131">
        <v>105565.91</v>
      </c>
      <c r="G369" s="13">
        <v>7811.88</v>
      </c>
      <c r="H369" s="133">
        <v>45251</v>
      </c>
      <c r="I369" s="10">
        <v>1</v>
      </c>
      <c r="J369" s="8" t="s">
        <v>2308</v>
      </c>
      <c r="K369" s="8" t="s">
        <v>65</v>
      </c>
      <c r="L369" s="13">
        <v>51547.83</v>
      </c>
      <c r="M369" s="8" t="s">
        <v>2490</v>
      </c>
      <c r="N369" s="8"/>
      <c r="O369" s="143" t="s">
        <v>2496</v>
      </c>
      <c r="P369" s="9">
        <v>16490</v>
      </c>
      <c r="Q369" s="215"/>
      <c r="R369" s="8" t="s">
        <v>2058</v>
      </c>
      <c r="S369" s="143"/>
      <c r="T369" s="215"/>
      <c r="U369" s="215"/>
      <c r="V369" s="8"/>
      <c r="W369" s="8" t="s">
        <v>2050</v>
      </c>
    </row>
    <row r="370" spans="1:24" ht="16.5" customHeight="1">
      <c r="A370" s="34"/>
      <c r="C370" s="29"/>
      <c r="D370" s="143">
        <v>514778</v>
      </c>
      <c r="E370" s="8">
        <v>389</v>
      </c>
      <c r="F370" s="131">
        <v>50000</v>
      </c>
      <c r="G370" s="1019">
        <v>3950</v>
      </c>
      <c r="H370" s="133">
        <v>45323</v>
      </c>
      <c r="I370" s="10">
        <v>2</v>
      </c>
      <c r="J370" s="8" t="s">
        <v>2308</v>
      </c>
      <c r="K370" s="8" t="s">
        <v>2081</v>
      </c>
      <c r="L370" s="13">
        <v>22662</v>
      </c>
      <c r="M370" s="8" t="s">
        <v>2490</v>
      </c>
      <c r="N370" s="8"/>
      <c r="O370" s="143" t="s">
        <v>2497</v>
      </c>
      <c r="P370" s="9">
        <v>13725</v>
      </c>
      <c r="Q370" s="215"/>
      <c r="R370" s="8" t="s">
        <v>2049</v>
      </c>
      <c r="S370" s="143" t="s">
        <v>2498</v>
      </c>
      <c r="T370" s="9">
        <v>14941</v>
      </c>
      <c r="U370" s="215"/>
      <c r="V370" s="8" t="s">
        <v>2058</v>
      </c>
      <c r="W370" s="8" t="s">
        <v>2050</v>
      </c>
    </row>
    <row r="371" spans="1:24" ht="16.5" customHeight="1">
      <c r="A371" s="34"/>
      <c r="C371" s="29"/>
      <c r="D371" s="143">
        <v>16438079</v>
      </c>
      <c r="E371" s="8">
        <v>390</v>
      </c>
      <c r="F371" s="131">
        <v>10000</v>
      </c>
      <c r="G371" s="13">
        <v>640</v>
      </c>
      <c r="H371" s="133">
        <v>45315</v>
      </c>
      <c r="I371" s="10">
        <v>1</v>
      </c>
      <c r="J371" s="8" t="s">
        <v>2308</v>
      </c>
      <c r="K371" s="8" t="s">
        <v>2174</v>
      </c>
      <c r="L371" s="13">
        <v>4100.7</v>
      </c>
      <c r="M371" s="8" t="s">
        <v>2490</v>
      </c>
      <c r="N371" s="8"/>
      <c r="O371" s="143" t="s">
        <v>2499</v>
      </c>
      <c r="P371" s="9">
        <v>19414</v>
      </c>
      <c r="Q371" s="215"/>
      <c r="R371" s="8" t="s">
        <v>2058</v>
      </c>
      <c r="S371" s="143"/>
      <c r="T371" s="215"/>
      <c r="U371" s="215"/>
      <c r="V371" s="8"/>
      <c r="W371" s="8" t="s">
        <v>2050</v>
      </c>
      <c r="X371" t="s">
        <v>88</v>
      </c>
    </row>
    <row r="372" spans="1:24" ht="16.5" customHeight="1">
      <c r="A372" s="34"/>
      <c r="C372" s="29"/>
      <c r="D372" s="143">
        <v>1078971</v>
      </c>
      <c r="E372" s="8">
        <v>400</v>
      </c>
      <c r="F372" s="131">
        <v>50000</v>
      </c>
      <c r="G372" s="13">
        <v>3800</v>
      </c>
      <c r="H372" s="133">
        <v>45398</v>
      </c>
      <c r="I372" s="10">
        <v>1</v>
      </c>
      <c r="J372" s="8" t="s">
        <v>2308</v>
      </c>
      <c r="K372" s="8" t="s">
        <v>2240</v>
      </c>
      <c r="L372" s="13">
        <v>21937</v>
      </c>
      <c r="M372" s="8" t="s">
        <v>2490</v>
      </c>
      <c r="N372" s="8"/>
      <c r="O372" s="143" t="s">
        <v>2500</v>
      </c>
      <c r="P372" s="9">
        <v>16949</v>
      </c>
      <c r="Q372" s="215"/>
      <c r="R372" s="8" t="s">
        <v>2049</v>
      </c>
      <c r="S372" s="143"/>
      <c r="T372" s="215"/>
      <c r="U372" s="215"/>
      <c r="V372" s="8"/>
      <c r="W372" s="8" t="s">
        <v>2337</v>
      </c>
    </row>
    <row r="373" spans="1:24" ht="16.5" customHeight="1">
      <c r="A373" s="34"/>
      <c r="C373" s="29"/>
      <c r="D373" s="143"/>
      <c r="E373" s="8"/>
      <c r="F373" s="131"/>
      <c r="G373" s="21"/>
      <c r="H373" s="21"/>
      <c r="I373" s="10"/>
      <c r="J373" s="8"/>
      <c r="K373" s="8"/>
      <c r="L373" s="21"/>
      <c r="M373" s="8" t="s">
        <v>88</v>
      </c>
      <c r="N373" s="8"/>
      <c r="O373" s="143"/>
      <c r="P373" s="215"/>
      <c r="Q373" s="215"/>
      <c r="R373" s="8"/>
      <c r="S373" s="143"/>
      <c r="T373" s="215"/>
      <c r="U373" s="215"/>
      <c r="V373" s="8"/>
      <c r="W373" s="8"/>
    </row>
    <row r="374" spans="1:24" ht="16.5" customHeight="1">
      <c r="A374" s="34"/>
      <c r="C374" s="29"/>
      <c r="D374" s="143"/>
      <c r="E374" s="8"/>
      <c r="F374" s="131"/>
      <c r="G374" s="21"/>
      <c r="H374" s="21"/>
      <c r="I374" s="10"/>
      <c r="J374" s="8"/>
      <c r="K374" s="8"/>
      <c r="L374" s="21"/>
      <c r="M374" s="8"/>
      <c r="N374" s="8"/>
      <c r="O374" s="143"/>
      <c r="P374" s="215"/>
      <c r="Q374" s="215"/>
      <c r="R374" s="8"/>
      <c r="S374" s="143"/>
      <c r="T374" s="215"/>
      <c r="U374" s="215"/>
      <c r="V374" s="8"/>
      <c r="W374" s="8"/>
    </row>
    <row r="375" spans="1:24" ht="16.5" customHeight="1">
      <c r="A375" s="34"/>
      <c r="C375" s="29"/>
      <c r="D375" s="143"/>
      <c r="E375" s="8"/>
      <c r="F375" s="131"/>
      <c r="G375" s="21"/>
      <c r="H375" s="21"/>
      <c r="I375" s="10"/>
      <c r="J375" s="8"/>
      <c r="K375" s="8"/>
      <c r="L375" s="21"/>
      <c r="M375" s="8"/>
      <c r="N375" s="8"/>
      <c r="O375" s="143"/>
      <c r="P375" s="215"/>
      <c r="Q375" s="215"/>
      <c r="R375" s="8"/>
      <c r="S375" s="143"/>
      <c r="T375" s="215"/>
      <c r="U375" s="215"/>
      <c r="V375" s="8"/>
      <c r="W375" s="8"/>
    </row>
    <row r="376" spans="1:24" ht="16.5" customHeight="1">
      <c r="A376" s="34"/>
      <c r="C376" s="29"/>
      <c r="D376" s="143"/>
      <c r="E376" s="8"/>
      <c r="F376" s="131"/>
      <c r="G376" s="21"/>
      <c r="H376" s="21"/>
      <c r="I376" s="10"/>
      <c r="J376" s="8"/>
      <c r="K376" s="8"/>
      <c r="L376" s="21"/>
      <c r="M376" s="8"/>
      <c r="N376" s="8"/>
      <c r="O376" s="143"/>
      <c r="P376" s="215"/>
      <c r="Q376" s="215"/>
      <c r="R376" s="8"/>
      <c r="S376" s="143"/>
      <c r="T376" s="215"/>
      <c r="U376" s="215"/>
      <c r="V376" s="8"/>
      <c r="W376" s="8"/>
    </row>
    <row r="377" spans="1:24" ht="16.5" customHeight="1">
      <c r="A377" s="34"/>
      <c r="C377" s="29"/>
      <c r="D377" s="143"/>
      <c r="E377" s="8"/>
      <c r="F377" s="131"/>
      <c r="G377" s="21"/>
      <c r="H377" s="21"/>
      <c r="I377" s="10"/>
      <c r="J377" s="8"/>
      <c r="K377" s="8"/>
      <c r="L377" s="21"/>
      <c r="M377" s="8"/>
      <c r="N377" s="8"/>
      <c r="O377" s="143"/>
      <c r="P377" s="215"/>
      <c r="Q377" s="215"/>
      <c r="R377" s="8"/>
      <c r="S377" s="143"/>
      <c r="T377" s="215"/>
      <c r="U377" s="215"/>
      <c r="V377" s="8"/>
      <c r="W377" s="8"/>
    </row>
    <row r="378" spans="1:24" ht="16.5" customHeight="1">
      <c r="A378" s="34"/>
      <c r="C378" s="29"/>
      <c r="D378" s="143"/>
      <c r="E378" s="8"/>
      <c r="F378" s="131"/>
      <c r="G378" s="21"/>
      <c r="H378" s="21"/>
      <c r="I378" s="10"/>
      <c r="J378" s="8"/>
      <c r="K378" s="8"/>
      <c r="L378" s="21"/>
      <c r="M378" s="8"/>
      <c r="N378" s="8"/>
      <c r="O378" s="143"/>
      <c r="P378" s="215"/>
      <c r="Q378" s="215"/>
      <c r="R378" s="8"/>
      <c r="S378" s="143"/>
      <c r="T378" s="215"/>
      <c r="U378" s="215"/>
      <c r="V378" s="8"/>
      <c r="W378" s="8"/>
    </row>
    <row r="379" spans="1:24" ht="16.5" customHeight="1">
      <c r="A379" s="34"/>
      <c r="C379" s="29"/>
      <c r="D379" s="143"/>
      <c r="E379" s="8"/>
      <c r="F379" s="131"/>
      <c r="G379" s="21"/>
      <c r="H379" s="21"/>
      <c r="I379" s="10"/>
      <c r="J379" s="8"/>
      <c r="K379" s="8"/>
      <c r="L379" s="21"/>
      <c r="M379" s="8"/>
      <c r="N379" s="8"/>
      <c r="O379" s="143"/>
      <c r="P379" s="215"/>
      <c r="Q379" s="215"/>
      <c r="R379" s="8"/>
      <c r="S379" s="143"/>
      <c r="T379" s="215"/>
      <c r="U379" s="215"/>
      <c r="V379" s="8"/>
      <c r="W379" s="8"/>
    </row>
    <row r="380" spans="1:24" ht="16.5" customHeight="1">
      <c r="A380" s="34"/>
      <c r="C380" s="29"/>
      <c r="D380" s="143"/>
      <c r="E380" s="8"/>
      <c r="F380" s="131"/>
      <c r="G380" s="21"/>
      <c r="H380" s="21"/>
      <c r="I380" s="10"/>
      <c r="J380" s="8"/>
      <c r="K380" s="8"/>
      <c r="L380" s="21"/>
      <c r="M380" s="8"/>
      <c r="N380" s="8"/>
      <c r="O380" s="143"/>
      <c r="P380" s="215"/>
      <c r="Q380" s="215"/>
      <c r="R380" s="8"/>
      <c r="S380" s="143"/>
      <c r="T380" s="215"/>
      <c r="U380" s="215"/>
      <c r="V380" s="8"/>
      <c r="W380" s="8"/>
    </row>
    <row r="381" spans="1:24" ht="16.5" customHeight="1">
      <c r="A381" s="34"/>
      <c r="C381" s="29"/>
      <c r="D381" s="143"/>
      <c r="E381" s="8"/>
      <c r="F381" s="131"/>
      <c r="G381" s="21"/>
      <c r="H381" s="21"/>
      <c r="I381" s="10"/>
      <c r="J381" s="8"/>
      <c r="K381" s="8"/>
      <c r="L381" s="21"/>
      <c r="M381" s="8"/>
      <c r="N381" s="8"/>
      <c r="O381" s="143"/>
      <c r="P381" s="215"/>
      <c r="Q381" s="215"/>
      <c r="R381" s="8"/>
      <c r="S381" s="143"/>
      <c r="T381" s="215"/>
      <c r="U381" s="215"/>
      <c r="V381" s="8"/>
      <c r="W381" s="8"/>
    </row>
    <row r="382" spans="1:24" ht="16.5" customHeight="1">
      <c r="A382" s="34"/>
      <c r="C382" s="29"/>
      <c r="D382" s="143"/>
      <c r="E382" s="8"/>
      <c r="F382" s="131"/>
      <c r="G382" s="21"/>
      <c r="H382" s="21"/>
      <c r="I382" s="10"/>
      <c r="J382" s="8"/>
      <c r="K382" s="8"/>
      <c r="L382" s="21"/>
      <c r="M382" s="8"/>
      <c r="N382" s="8"/>
      <c r="O382" s="143"/>
      <c r="P382" s="215"/>
      <c r="Q382" s="215"/>
      <c r="R382" s="8"/>
      <c r="S382" s="143"/>
      <c r="T382" s="215"/>
      <c r="U382" s="215"/>
      <c r="V382" s="8"/>
      <c r="W382" s="8"/>
    </row>
    <row r="383" spans="1:24" ht="16.5" customHeight="1">
      <c r="A383" s="34"/>
      <c r="C383" s="29"/>
      <c r="D383" s="143"/>
      <c r="E383" s="8"/>
      <c r="F383" s="131"/>
      <c r="G383" s="21"/>
      <c r="H383" s="21"/>
      <c r="I383" s="10"/>
      <c r="J383" s="8"/>
      <c r="K383" s="8"/>
      <c r="L383" s="21"/>
      <c r="M383" s="8"/>
      <c r="N383" s="8"/>
      <c r="O383" s="143"/>
      <c r="P383" s="215"/>
      <c r="Q383" s="215"/>
      <c r="R383" s="8"/>
      <c r="S383" s="143"/>
      <c r="T383" s="215"/>
      <c r="U383" s="215"/>
      <c r="V383" s="8"/>
      <c r="W383" s="8"/>
    </row>
    <row r="384" spans="1:24" ht="16.5" customHeight="1">
      <c r="A384" s="34"/>
      <c r="C384" s="29"/>
      <c r="D384" s="143"/>
      <c r="E384" s="8"/>
      <c r="F384" s="131"/>
      <c r="G384" s="21"/>
      <c r="H384" s="21"/>
      <c r="I384" s="10"/>
      <c r="J384" s="8"/>
      <c r="K384" s="8"/>
      <c r="L384" s="21"/>
      <c r="M384" s="8"/>
      <c r="N384" s="8"/>
      <c r="O384" s="143"/>
      <c r="P384" s="215"/>
      <c r="Q384" s="215"/>
      <c r="R384" s="8"/>
      <c r="S384" s="143"/>
      <c r="T384" s="215"/>
      <c r="U384" s="215"/>
      <c r="V384" s="8"/>
      <c r="W384" s="8"/>
    </row>
    <row r="385" spans="1:23" ht="16.5" customHeight="1">
      <c r="A385" s="34"/>
      <c r="C385" s="29"/>
      <c r="D385" s="143"/>
      <c r="E385" s="8"/>
      <c r="F385" s="131"/>
      <c r="G385" s="21"/>
      <c r="H385" s="21"/>
      <c r="I385" s="10"/>
      <c r="J385" s="8"/>
      <c r="K385" s="8"/>
      <c r="L385" s="21"/>
      <c r="M385" s="8"/>
      <c r="N385" s="8"/>
      <c r="O385" s="143"/>
      <c r="P385" s="215"/>
      <c r="Q385" s="215"/>
      <c r="R385" s="8"/>
      <c r="S385" s="143"/>
      <c r="T385" s="215"/>
      <c r="U385" s="215"/>
      <c r="V385" s="8"/>
      <c r="W385" s="8"/>
    </row>
    <row r="386" spans="1:23" ht="16.5" customHeight="1">
      <c r="A386" s="34"/>
      <c r="C386" s="29"/>
      <c r="D386" s="143"/>
      <c r="E386" s="8"/>
      <c r="F386" s="131"/>
      <c r="G386" s="21"/>
      <c r="H386" s="21"/>
      <c r="I386" s="10"/>
      <c r="J386" s="8"/>
      <c r="K386" s="8"/>
      <c r="L386" s="21"/>
      <c r="M386" s="8"/>
      <c r="N386" s="8"/>
      <c r="O386" s="143"/>
      <c r="P386" s="215"/>
      <c r="Q386" s="215"/>
      <c r="R386" s="8"/>
      <c r="S386" s="143"/>
      <c r="T386" s="215"/>
      <c r="U386" s="215"/>
      <c r="V386" s="8"/>
      <c r="W386" s="8"/>
    </row>
    <row r="387" spans="1:23" ht="16.5" customHeight="1">
      <c r="A387" s="34"/>
      <c r="C387" s="29"/>
      <c r="D387" s="143"/>
      <c r="E387" s="8"/>
      <c r="F387" s="131"/>
      <c r="G387" s="21"/>
      <c r="H387" s="21"/>
      <c r="I387" s="10"/>
      <c r="J387" s="8"/>
      <c r="K387" s="8"/>
      <c r="L387" s="21"/>
      <c r="M387" s="8"/>
      <c r="N387" s="8"/>
      <c r="O387" s="143"/>
      <c r="P387" s="215"/>
      <c r="Q387" s="215"/>
      <c r="R387" s="8"/>
      <c r="S387" s="143"/>
      <c r="T387" s="215"/>
      <c r="U387" s="215"/>
      <c r="V387" s="8"/>
      <c r="W387" s="8"/>
    </row>
    <row r="388" spans="1:23" ht="16.5" customHeight="1">
      <c r="A388" s="34"/>
      <c r="C388" s="29"/>
      <c r="D388" s="143"/>
      <c r="E388" s="8"/>
      <c r="F388" s="131"/>
      <c r="G388" s="21"/>
      <c r="H388" s="21"/>
      <c r="I388" s="10"/>
      <c r="J388" s="8"/>
      <c r="K388" s="8"/>
      <c r="L388" s="21"/>
      <c r="M388" s="8"/>
      <c r="N388" s="8"/>
      <c r="O388" s="143"/>
      <c r="P388" s="215"/>
      <c r="Q388" s="215"/>
      <c r="R388" s="8"/>
      <c r="S388" s="143"/>
      <c r="T388" s="215"/>
      <c r="U388" s="215"/>
      <c r="V388" s="8"/>
      <c r="W388" s="8"/>
    </row>
    <row r="389" spans="1:23" ht="16.5" customHeight="1">
      <c r="A389" s="34"/>
      <c r="C389" s="29"/>
      <c r="D389" s="143"/>
      <c r="E389" s="8"/>
      <c r="F389" s="131"/>
      <c r="G389" s="21"/>
      <c r="H389" s="21"/>
      <c r="I389" s="10"/>
      <c r="J389" s="8"/>
      <c r="K389" s="8"/>
      <c r="L389" s="21"/>
      <c r="M389" s="8"/>
      <c r="N389" s="8"/>
      <c r="O389" s="143"/>
      <c r="P389" s="215"/>
      <c r="Q389" s="215"/>
      <c r="R389" s="8"/>
      <c r="S389" s="143"/>
      <c r="T389" s="215"/>
      <c r="U389" s="215"/>
      <c r="V389" s="8"/>
      <c r="W389" s="8"/>
    </row>
    <row r="390" spans="1:23" ht="16.5" customHeight="1">
      <c r="A390" s="34"/>
      <c r="C390" s="29"/>
      <c r="D390" s="143"/>
      <c r="E390" s="8"/>
      <c r="F390" s="131"/>
      <c r="G390" s="21"/>
      <c r="H390" s="21"/>
      <c r="I390" s="10"/>
      <c r="J390" s="8"/>
      <c r="K390" s="8"/>
      <c r="L390" s="21"/>
      <c r="M390" s="8"/>
      <c r="N390" s="8"/>
      <c r="O390" s="143"/>
      <c r="P390" s="215"/>
      <c r="Q390" s="215"/>
      <c r="R390" s="8"/>
      <c r="S390" s="143"/>
      <c r="T390" s="215"/>
      <c r="U390" s="215"/>
      <c r="V390" s="8"/>
      <c r="W390" s="8"/>
    </row>
    <row r="391" spans="1:23" ht="16.5" customHeight="1">
      <c r="A391" s="34"/>
      <c r="C391" s="29"/>
      <c r="D391" s="143"/>
      <c r="E391" s="8"/>
      <c r="F391" s="131"/>
      <c r="G391" s="21"/>
      <c r="H391" s="21"/>
      <c r="I391" s="10"/>
      <c r="J391" s="8"/>
      <c r="K391" s="8"/>
      <c r="L391" s="21"/>
      <c r="M391" s="8"/>
      <c r="N391" s="8"/>
      <c r="O391" s="143"/>
      <c r="P391" s="215"/>
      <c r="Q391" s="215"/>
      <c r="R391" s="8"/>
      <c r="S391" s="143"/>
      <c r="T391" s="215"/>
      <c r="U391" s="215"/>
      <c r="V391" s="8"/>
      <c r="W391" s="8"/>
    </row>
    <row r="392" spans="1:23" ht="16.5" customHeight="1">
      <c r="A392" s="34"/>
      <c r="C392" s="29"/>
      <c r="D392" s="143"/>
      <c r="E392" s="8"/>
      <c r="F392" s="131"/>
      <c r="G392" s="21"/>
      <c r="H392" s="21"/>
      <c r="I392" s="10"/>
      <c r="J392" s="8"/>
      <c r="K392" s="8"/>
      <c r="L392" s="21"/>
      <c r="M392" s="8"/>
      <c r="N392" s="8"/>
      <c r="O392" s="143"/>
      <c r="P392" s="215"/>
      <c r="Q392" s="215"/>
      <c r="R392" s="8"/>
      <c r="S392" s="143"/>
      <c r="T392" s="215"/>
      <c r="U392" s="215"/>
      <c r="V392" s="8"/>
      <c r="W392" s="8"/>
    </row>
    <row r="393" spans="1:23" ht="16.5" customHeight="1">
      <c r="A393" s="34"/>
      <c r="C393" s="29"/>
      <c r="D393" s="143"/>
      <c r="E393" s="8"/>
      <c r="F393" s="131"/>
      <c r="G393" s="21"/>
      <c r="H393" s="21"/>
      <c r="I393" s="10"/>
      <c r="J393" s="8"/>
      <c r="K393" s="8"/>
      <c r="L393" s="21"/>
      <c r="M393" s="8"/>
      <c r="N393" s="8"/>
      <c r="O393" s="143"/>
      <c r="P393" s="215"/>
      <c r="Q393" s="215"/>
      <c r="R393" s="8"/>
      <c r="S393" s="143"/>
      <c r="T393" s="215"/>
      <c r="U393" s="215"/>
      <c r="V393" s="8"/>
      <c r="W393" s="8"/>
    </row>
    <row r="394" spans="1:23" ht="16.5" customHeight="1">
      <c r="A394" s="34"/>
      <c r="C394" s="29"/>
      <c r="D394" s="143"/>
      <c r="E394" s="8"/>
      <c r="F394" s="131"/>
      <c r="G394" s="21"/>
      <c r="H394" s="21"/>
      <c r="I394" s="10"/>
      <c r="J394" s="8"/>
      <c r="K394" s="8"/>
      <c r="L394" s="21"/>
      <c r="M394" s="8"/>
      <c r="N394" s="8"/>
      <c r="O394" s="143"/>
      <c r="P394" s="215"/>
      <c r="Q394" s="215"/>
      <c r="R394" s="8"/>
      <c r="S394" s="143"/>
      <c r="T394" s="215"/>
      <c r="U394" s="215"/>
      <c r="V394" s="8"/>
      <c r="W394" s="8"/>
    </row>
    <row r="395" spans="1:23" ht="16.5" customHeight="1">
      <c r="A395" s="34"/>
      <c r="C395" s="29"/>
      <c r="D395" s="143"/>
      <c r="E395" s="8"/>
      <c r="F395" s="131"/>
      <c r="G395" s="21"/>
      <c r="H395" s="21"/>
      <c r="I395" s="10"/>
      <c r="J395" s="8"/>
      <c r="K395" s="8"/>
      <c r="L395" s="21"/>
      <c r="M395" s="8"/>
      <c r="N395" s="8"/>
      <c r="O395" s="143"/>
      <c r="P395" s="215"/>
      <c r="Q395" s="215"/>
      <c r="R395" s="8"/>
      <c r="S395" s="143"/>
      <c r="T395" s="215"/>
      <c r="U395" s="215"/>
      <c r="V395" s="8"/>
      <c r="W395" s="8"/>
    </row>
    <row r="396" spans="1:23" ht="16.5" customHeight="1">
      <c r="A396" s="34"/>
      <c r="C396" s="29"/>
      <c r="D396" s="143"/>
      <c r="E396" s="8"/>
      <c r="F396" s="131"/>
      <c r="G396" s="21"/>
      <c r="H396" s="21"/>
      <c r="I396" s="10"/>
      <c r="J396" s="8"/>
      <c r="K396" s="8"/>
      <c r="L396" s="21"/>
      <c r="M396" s="8"/>
      <c r="N396" s="8"/>
      <c r="O396" s="143"/>
      <c r="P396" s="215"/>
      <c r="Q396" s="215"/>
      <c r="R396" s="8"/>
      <c r="S396" s="143"/>
      <c r="T396" s="215"/>
      <c r="U396" s="215"/>
      <c r="V396" s="8"/>
      <c r="W396" s="8"/>
    </row>
    <row r="397" spans="1:23" ht="16.5" customHeight="1">
      <c r="A397" s="34"/>
      <c r="C397" s="29"/>
      <c r="D397" s="143"/>
      <c r="E397" s="8"/>
      <c r="F397" s="131"/>
      <c r="G397" s="21"/>
      <c r="H397" s="21"/>
      <c r="I397" s="10"/>
      <c r="J397" s="8"/>
      <c r="K397" s="8"/>
      <c r="L397" s="21"/>
      <c r="M397" s="8"/>
      <c r="N397" s="8"/>
      <c r="O397" s="143"/>
      <c r="P397" s="215"/>
      <c r="Q397" s="215"/>
      <c r="R397" s="8"/>
      <c r="S397" s="143"/>
      <c r="T397" s="215"/>
      <c r="U397" s="215"/>
      <c r="V397" s="8"/>
      <c r="W397" s="8"/>
    </row>
    <row r="398" spans="1:23" ht="16.5" customHeight="1">
      <c r="A398" s="34"/>
      <c r="C398" s="29"/>
      <c r="D398" s="143"/>
      <c r="E398" s="8"/>
      <c r="F398" s="131"/>
      <c r="G398" s="21"/>
      <c r="H398" s="21"/>
      <c r="I398" s="10"/>
      <c r="J398" s="8"/>
      <c r="K398" s="8"/>
      <c r="L398" s="21"/>
      <c r="M398" s="8"/>
      <c r="N398" s="8"/>
      <c r="O398" s="143"/>
      <c r="P398" s="215"/>
      <c r="Q398" s="215"/>
      <c r="R398" s="8"/>
      <c r="S398" s="143"/>
      <c r="T398" s="215"/>
      <c r="U398" s="215"/>
      <c r="V398" s="8"/>
      <c r="W398" s="8"/>
    </row>
    <row r="399" spans="1:23" ht="16.5" customHeight="1">
      <c r="A399" s="34"/>
      <c r="C399" s="29"/>
      <c r="D399" s="143"/>
      <c r="E399" s="8"/>
      <c r="F399" s="131"/>
      <c r="G399" s="21"/>
      <c r="H399" s="21"/>
      <c r="I399" s="10"/>
      <c r="J399" s="8"/>
      <c r="K399" s="8"/>
      <c r="L399" s="21"/>
      <c r="M399" s="8"/>
      <c r="N399" s="8"/>
      <c r="O399" s="143"/>
      <c r="P399" s="215"/>
      <c r="Q399" s="215"/>
      <c r="R399" s="8"/>
      <c r="S399" s="143"/>
      <c r="T399" s="215"/>
      <c r="U399" s="215"/>
      <c r="V399" s="8"/>
      <c r="W399" s="8"/>
    </row>
    <row r="400" spans="1:23" ht="16.5" customHeight="1">
      <c r="C400" s="29"/>
      <c r="D400" s="143"/>
      <c r="E400" s="8"/>
      <c r="F400" s="131"/>
      <c r="G400" s="21"/>
      <c r="H400" s="21"/>
      <c r="I400" s="10"/>
      <c r="J400" s="8"/>
      <c r="K400" s="8"/>
      <c r="L400" s="21"/>
      <c r="M400" s="8"/>
      <c r="N400" s="8"/>
      <c r="O400" s="143"/>
      <c r="P400" s="215"/>
      <c r="Q400" s="215"/>
      <c r="R400" s="8"/>
      <c r="S400" s="143"/>
      <c r="T400" s="215"/>
      <c r="U400" s="215"/>
      <c r="V400" s="8"/>
      <c r="W400" s="8"/>
    </row>
  </sheetData>
  <sortState xmlns:xlrd2="http://schemas.microsoft.com/office/spreadsheetml/2017/richdata2" ref="C2:W307">
    <sortCondition ref="H2:H307"/>
  </sortState>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92D6B6-3916-4A54-B5C9-2CE5FD9E13B7}">
  <sheetPr>
    <pageSetUpPr autoPageBreaks="0"/>
  </sheetPr>
  <dimension ref="A1:O1314"/>
  <sheetViews>
    <sheetView showGridLines="0" workbookViewId="0">
      <pane ySplit="1" topLeftCell="A1311" activePane="bottomLeft" state="frozen"/>
      <selection pane="bottomLeft" activeCell="A1311" sqref="A1311"/>
      <selection activeCell="X1" sqref="X1"/>
    </sheetView>
  </sheetViews>
  <sheetFormatPr defaultColWidth="9.140625" defaultRowHeight="16.5" customHeight="1"/>
  <cols>
    <col min="1" max="1" width="12.140625" style="186" bestFit="1" customWidth="1"/>
    <col min="2" max="2" width="10.28515625" style="186" customWidth="1"/>
    <col min="3" max="3" width="13.5703125" style="549" customWidth="1"/>
    <col min="4" max="6" width="19" style="130" customWidth="1"/>
    <col min="7" max="7" width="12.140625" style="550" customWidth="1"/>
    <col min="8" max="8" width="20.140625" style="130" customWidth="1"/>
    <col min="9" max="9" width="13.42578125" style="165" customWidth="1"/>
    <col min="10" max="10" width="13.42578125" style="551" customWidth="1"/>
    <col min="11" max="11" width="13.42578125" style="552" customWidth="1"/>
    <col min="12" max="12" width="113.42578125" style="130" customWidth="1"/>
  </cols>
  <sheetData>
    <row r="1" spans="1:15" s="151" customFormat="1" ht="16.5" customHeight="1" thickBot="1">
      <c r="A1" s="580" t="s">
        <v>2501</v>
      </c>
      <c r="B1" s="580" t="s">
        <v>2026</v>
      </c>
      <c r="C1" s="581" t="s">
        <v>2502</v>
      </c>
      <c r="D1" s="582" t="s">
        <v>2503</v>
      </c>
      <c r="E1" s="583" t="s">
        <v>2504</v>
      </c>
      <c r="F1" s="584" t="s">
        <v>2505</v>
      </c>
      <c r="G1" s="585" t="s">
        <v>2033</v>
      </c>
      <c r="H1" s="586" t="s">
        <v>2506</v>
      </c>
      <c r="I1" s="587" t="s">
        <v>2507</v>
      </c>
      <c r="J1" s="588" t="s">
        <v>2508</v>
      </c>
      <c r="K1" s="587" t="s">
        <v>2509</v>
      </c>
      <c r="L1" s="589" t="s">
        <v>112</v>
      </c>
    </row>
    <row r="2" spans="1:15" ht="16.5" customHeight="1">
      <c r="A2" s="186" t="s">
        <v>2510</v>
      </c>
      <c r="B2" s="186">
        <v>30269799</v>
      </c>
      <c r="D2" s="130" t="s">
        <v>2511</v>
      </c>
      <c r="E2" s="130" t="s">
        <v>2512</v>
      </c>
      <c r="F2" s="130" t="s">
        <v>2513</v>
      </c>
      <c r="G2" s="550" t="s">
        <v>2046</v>
      </c>
      <c r="H2" s="130" t="s">
        <v>2514</v>
      </c>
      <c r="I2" s="165">
        <v>43347</v>
      </c>
      <c r="J2" s="551" t="s">
        <v>2515</v>
      </c>
      <c r="K2" s="552" t="s">
        <v>2516</v>
      </c>
      <c r="L2" s="130" t="s">
        <v>2517</v>
      </c>
    </row>
    <row r="3" spans="1:15" ht="16.5" customHeight="1">
      <c r="A3" s="186" t="s">
        <v>2510</v>
      </c>
      <c r="B3" s="186">
        <v>22611768</v>
      </c>
      <c r="D3" s="130" t="s">
        <v>2518</v>
      </c>
      <c r="E3" s="130" t="s">
        <v>2519</v>
      </c>
      <c r="F3" s="130" t="s">
        <v>2520</v>
      </c>
      <c r="G3" s="550" t="s">
        <v>2072</v>
      </c>
      <c r="H3" s="130" t="s">
        <v>2521</v>
      </c>
      <c r="I3" s="165">
        <v>43347</v>
      </c>
      <c r="J3" s="551" t="s">
        <v>799</v>
      </c>
      <c r="K3" s="552" t="s">
        <v>2516</v>
      </c>
      <c r="L3" s="130" t="s">
        <v>2522</v>
      </c>
      <c r="O3" t="s">
        <v>88</v>
      </c>
    </row>
    <row r="4" spans="1:15" ht="16.5" customHeight="1">
      <c r="A4" s="186" t="s">
        <v>2510</v>
      </c>
      <c r="B4" s="186">
        <v>17718370</v>
      </c>
      <c r="D4" s="130" t="s">
        <v>2523</v>
      </c>
      <c r="E4" s="130" t="s">
        <v>2524</v>
      </c>
      <c r="F4" s="130" t="s">
        <v>2525</v>
      </c>
      <c r="G4" s="550" t="s">
        <v>2526</v>
      </c>
      <c r="I4" s="165">
        <v>43354</v>
      </c>
      <c r="J4" s="551" t="s">
        <v>67</v>
      </c>
      <c r="L4" s="130" t="s">
        <v>2527</v>
      </c>
    </row>
    <row r="5" spans="1:15" ht="16.5" customHeight="1">
      <c r="A5" s="186" t="s">
        <v>2510</v>
      </c>
      <c r="B5" s="186">
        <v>7225212</v>
      </c>
      <c r="D5" s="130" t="s">
        <v>2528</v>
      </c>
      <c r="E5" s="130" t="s">
        <v>2529</v>
      </c>
      <c r="F5" s="130" t="s">
        <v>2530</v>
      </c>
      <c r="G5" s="550" t="s">
        <v>2419</v>
      </c>
      <c r="I5" s="165">
        <v>43362</v>
      </c>
      <c r="J5" s="551" t="s">
        <v>799</v>
      </c>
      <c r="K5" s="552" t="s">
        <v>2516</v>
      </c>
      <c r="L5" s="130" t="s">
        <v>2531</v>
      </c>
    </row>
    <row r="6" spans="1:15" ht="16.5" customHeight="1">
      <c r="A6" s="186" t="s">
        <v>2510</v>
      </c>
      <c r="B6" s="186">
        <v>37891132</v>
      </c>
      <c r="D6" s="130" t="s">
        <v>2532</v>
      </c>
      <c r="E6" s="130" t="s">
        <v>2533</v>
      </c>
      <c r="F6" s="130" t="s">
        <v>2534</v>
      </c>
      <c r="G6" s="550" t="s">
        <v>2081</v>
      </c>
      <c r="I6" s="165">
        <v>43362</v>
      </c>
      <c r="J6" s="551" t="s">
        <v>799</v>
      </c>
      <c r="L6" s="130" t="s">
        <v>2535</v>
      </c>
    </row>
    <row r="7" spans="1:15" ht="16.5" customHeight="1">
      <c r="A7" s="186" t="s">
        <v>2510</v>
      </c>
      <c r="B7" s="186">
        <v>35711662</v>
      </c>
      <c r="D7" s="130" t="s">
        <v>2536</v>
      </c>
      <c r="E7" s="130" t="s">
        <v>2537</v>
      </c>
      <c r="H7" s="130" t="s">
        <v>2538</v>
      </c>
      <c r="I7" s="165">
        <v>43363</v>
      </c>
      <c r="J7" s="551" t="s">
        <v>799</v>
      </c>
      <c r="K7" s="552" t="s">
        <v>2516</v>
      </c>
      <c r="L7" s="130" t="s">
        <v>2539</v>
      </c>
    </row>
    <row r="8" spans="1:15" ht="16.5" customHeight="1">
      <c r="A8" s="186" t="s">
        <v>2510</v>
      </c>
      <c r="B8" s="186">
        <v>22611768</v>
      </c>
      <c r="D8" s="130" t="s">
        <v>2518</v>
      </c>
      <c r="E8" s="130" t="s">
        <v>2519</v>
      </c>
      <c r="F8" s="130" t="s">
        <v>2520</v>
      </c>
      <c r="G8" s="550" t="s">
        <v>2072</v>
      </c>
      <c r="H8" s="130" t="s">
        <v>2521</v>
      </c>
      <c r="I8" s="165">
        <v>43364</v>
      </c>
      <c r="J8" s="550" t="s">
        <v>2516</v>
      </c>
      <c r="L8" s="130" t="s">
        <v>2540</v>
      </c>
    </row>
    <row r="9" spans="1:15" ht="16.5" customHeight="1">
      <c r="A9" s="186" t="s">
        <v>2510</v>
      </c>
      <c r="B9" s="186">
        <v>9701574</v>
      </c>
      <c r="D9" s="130" t="s">
        <v>2541</v>
      </c>
      <c r="E9" s="130" t="s">
        <v>2542</v>
      </c>
      <c r="F9" s="130" t="s">
        <v>2543</v>
      </c>
      <c r="G9" s="550" t="s">
        <v>2055</v>
      </c>
      <c r="I9" s="165">
        <v>43364</v>
      </c>
      <c r="J9" s="550" t="s">
        <v>2516</v>
      </c>
      <c r="L9" s="130" t="s">
        <v>2544</v>
      </c>
    </row>
    <row r="10" spans="1:15" ht="16.5" customHeight="1">
      <c r="A10" s="186" t="s">
        <v>2510</v>
      </c>
      <c r="B10" s="186">
        <v>9701574</v>
      </c>
      <c r="D10" s="130" t="s">
        <v>2541</v>
      </c>
      <c r="E10" s="130" t="s">
        <v>2542</v>
      </c>
      <c r="F10" s="130" t="s">
        <v>2543</v>
      </c>
      <c r="G10" s="550" t="s">
        <v>2055</v>
      </c>
      <c r="I10" s="165">
        <v>43364</v>
      </c>
      <c r="J10" s="550" t="s">
        <v>2516</v>
      </c>
      <c r="L10" s="130" t="s">
        <v>2545</v>
      </c>
    </row>
    <row r="11" spans="1:15" ht="16.5" customHeight="1">
      <c r="A11" s="186" t="s">
        <v>2510</v>
      </c>
      <c r="B11" s="186">
        <v>35711662</v>
      </c>
      <c r="D11" s="130" t="s">
        <v>2536</v>
      </c>
      <c r="E11" s="130" t="s">
        <v>2537</v>
      </c>
      <c r="H11" s="130" t="s">
        <v>2538</v>
      </c>
      <c r="I11" s="165">
        <v>43364</v>
      </c>
      <c r="J11" s="550" t="s">
        <v>2516</v>
      </c>
      <c r="L11" s="130" t="s">
        <v>2546</v>
      </c>
    </row>
    <row r="12" spans="1:15" ht="16.5" customHeight="1">
      <c r="A12" s="186" t="s">
        <v>2510</v>
      </c>
      <c r="B12" s="186">
        <v>60581626</v>
      </c>
      <c r="D12" s="130" t="s">
        <v>2547</v>
      </c>
      <c r="E12" s="130" t="s">
        <v>2548</v>
      </c>
      <c r="F12" s="130" t="s">
        <v>2549</v>
      </c>
      <c r="G12" s="550" t="s">
        <v>2081</v>
      </c>
      <c r="I12" s="165">
        <v>43364</v>
      </c>
      <c r="J12" s="550" t="s">
        <v>2516</v>
      </c>
      <c r="L12" s="130" t="s">
        <v>2550</v>
      </c>
    </row>
    <row r="13" spans="1:15" ht="16.5" customHeight="1">
      <c r="A13" s="186" t="s">
        <v>2510</v>
      </c>
      <c r="D13" s="130" t="s">
        <v>2551</v>
      </c>
      <c r="E13" s="130" t="s">
        <v>2552</v>
      </c>
      <c r="I13" s="165">
        <v>43368</v>
      </c>
      <c r="J13" s="550" t="s">
        <v>2516</v>
      </c>
      <c r="L13" s="130" t="s">
        <v>2553</v>
      </c>
    </row>
    <row r="14" spans="1:15" ht="16.5" customHeight="1">
      <c r="A14" s="186" t="s">
        <v>2510</v>
      </c>
      <c r="B14" s="186">
        <v>39213343</v>
      </c>
      <c r="D14" s="130" t="s">
        <v>2554</v>
      </c>
      <c r="E14" s="130" t="s">
        <v>2555</v>
      </c>
      <c r="H14" s="130" t="s">
        <v>2556</v>
      </c>
      <c r="I14" s="165">
        <v>43368</v>
      </c>
      <c r="J14" s="550" t="s">
        <v>2516</v>
      </c>
      <c r="L14" s="130" t="s">
        <v>2557</v>
      </c>
    </row>
    <row r="15" spans="1:15" ht="16.5" customHeight="1">
      <c r="A15" s="186" t="s">
        <v>2510</v>
      </c>
      <c r="B15" s="186">
        <v>2780</v>
      </c>
      <c r="D15" s="130" t="s">
        <v>2558</v>
      </c>
      <c r="E15" s="130" t="s">
        <v>2559</v>
      </c>
      <c r="F15" s="130" t="s">
        <v>2560</v>
      </c>
      <c r="G15" s="550" t="s">
        <v>2363</v>
      </c>
      <c r="I15" s="165">
        <v>43368</v>
      </c>
      <c r="J15" s="550" t="s">
        <v>2516</v>
      </c>
      <c r="L15" s="130" t="s">
        <v>2561</v>
      </c>
    </row>
    <row r="16" spans="1:15" ht="16.5" customHeight="1">
      <c r="A16" s="186" t="s">
        <v>2510</v>
      </c>
      <c r="B16" s="186">
        <v>32856890</v>
      </c>
      <c r="D16" s="130" t="s">
        <v>2562</v>
      </c>
      <c r="E16" s="130" t="s">
        <v>2563</v>
      </c>
      <c r="F16" s="130" t="s">
        <v>2564</v>
      </c>
      <c r="G16" s="550" t="s">
        <v>2089</v>
      </c>
      <c r="I16" s="165">
        <v>43371</v>
      </c>
      <c r="J16" s="550" t="s">
        <v>2565</v>
      </c>
      <c r="L16" s="130" t="s">
        <v>2566</v>
      </c>
    </row>
    <row r="17" spans="1:12" ht="16.5" customHeight="1">
      <c r="A17" s="186" t="s">
        <v>2510</v>
      </c>
      <c r="B17" s="186">
        <v>98378359</v>
      </c>
      <c r="D17" s="130" t="s">
        <v>2511</v>
      </c>
      <c r="E17" s="130" t="s">
        <v>2567</v>
      </c>
      <c r="I17" s="165">
        <v>43371</v>
      </c>
      <c r="J17" s="550" t="s">
        <v>2565</v>
      </c>
      <c r="L17" s="130" t="s">
        <v>2568</v>
      </c>
    </row>
    <row r="18" spans="1:12" ht="16.5" customHeight="1">
      <c r="A18" s="186" t="s">
        <v>2510</v>
      </c>
      <c r="B18" s="186">
        <v>5742861</v>
      </c>
      <c r="D18" s="130" t="s">
        <v>2569</v>
      </c>
      <c r="E18" s="130" t="s">
        <v>2570</v>
      </c>
      <c r="F18" s="130" t="s">
        <v>2571</v>
      </c>
      <c r="G18" s="550" t="s">
        <v>2089</v>
      </c>
      <c r="I18" s="165">
        <v>43383</v>
      </c>
      <c r="J18" s="550" t="s">
        <v>2515</v>
      </c>
      <c r="L18" s="130" t="s">
        <v>2572</v>
      </c>
    </row>
    <row r="19" spans="1:12" ht="16.5" customHeight="1">
      <c r="A19" s="186" t="s">
        <v>2510</v>
      </c>
      <c r="B19" s="186">
        <v>9701574</v>
      </c>
      <c r="D19" s="130" t="s">
        <v>2541</v>
      </c>
      <c r="E19" s="130" t="s">
        <v>2542</v>
      </c>
      <c r="F19" s="130" t="s">
        <v>2543</v>
      </c>
      <c r="G19" s="550" t="s">
        <v>2055</v>
      </c>
      <c r="I19" s="165">
        <v>43383</v>
      </c>
      <c r="J19" s="550" t="s">
        <v>2516</v>
      </c>
      <c r="L19" s="130" t="s">
        <v>2573</v>
      </c>
    </row>
    <row r="20" spans="1:12" ht="16.5" customHeight="1">
      <c r="A20" s="186" t="s">
        <v>2510</v>
      </c>
      <c r="B20" s="186">
        <v>98938715</v>
      </c>
      <c r="D20" s="130" t="s">
        <v>2551</v>
      </c>
      <c r="E20" s="130" t="s">
        <v>2574</v>
      </c>
      <c r="F20" s="130" t="s">
        <v>2575</v>
      </c>
      <c r="G20" s="550" t="s">
        <v>2176</v>
      </c>
      <c r="I20" s="165">
        <v>43391</v>
      </c>
      <c r="J20" s="551" t="s">
        <v>799</v>
      </c>
      <c r="K20" s="552" t="s">
        <v>73</v>
      </c>
      <c r="L20" s="130" t="s">
        <v>2576</v>
      </c>
    </row>
    <row r="21" spans="1:12" ht="16.5" customHeight="1">
      <c r="A21" s="186" t="s">
        <v>2510</v>
      </c>
      <c r="D21" s="130" t="s">
        <v>2577</v>
      </c>
      <c r="E21" s="130" t="s">
        <v>2578</v>
      </c>
      <c r="G21" s="550" t="s">
        <v>2174</v>
      </c>
      <c r="I21" s="165">
        <v>43406</v>
      </c>
      <c r="J21" s="551" t="s">
        <v>799</v>
      </c>
      <c r="K21" s="552" t="s">
        <v>67</v>
      </c>
      <c r="L21" s="130" t="s">
        <v>2579</v>
      </c>
    </row>
    <row r="22" spans="1:12" ht="16.5" customHeight="1">
      <c r="A22" s="186" t="s">
        <v>2510</v>
      </c>
      <c r="B22" s="186">
        <v>2532414</v>
      </c>
      <c r="D22" s="130" t="s">
        <v>2580</v>
      </c>
      <c r="E22" s="130" t="s">
        <v>2581</v>
      </c>
      <c r="F22" s="130" t="s">
        <v>2582</v>
      </c>
      <c r="G22" s="550" t="s">
        <v>2174</v>
      </c>
      <c r="I22" s="165">
        <v>43410</v>
      </c>
      <c r="J22" s="551" t="s">
        <v>799</v>
      </c>
      <c r="K22" s="552" t="s">
        <v>67</v>
      </c>
      <c r="L22" s="130" t="s">
        <v>2583</v>
      </c>
    </row>
    <row r="23" spans="1:12" ht="16.5" customHeight="1">
      <c r="A23" s="186" t="s">
        <v>2584</v>
      </c>
      <c r="B23" s="186">
        <v>24642746</v>
      </c>
      <c r="D23" s="130" t="s">
        <v>2585</v>
      </c>
      <c r="E23" s="130" t="s">
        <v>2586</v>
      </c>
      <c r="F23" s="130" t="s">
        <v>2587</v>
      </c>
      <c r="G23" s="550" t="s">
        <v>2174</v>
      </c>
      <c r="I23" s="553">
        <v>43412</v>
      </c>
      <c r="J23" s="550" t="s">
        <v>2515</v>
      </c>
      <c r="L23" s="130" t="s">
        <v>2588</v>
      </c>
    </row>
    <row r="24" spans="1:12" ht="16.5" customHeight="1">
      <c r="A24" s="186" t="s">
        <v>2584</v>
      </c>
      <c r="B24" s="186">
        <v>93434462</v>
      </c>
      <c r="D24" s="130" t="s">
        <v>2589</v>
      </c>
      <c r="E24" s="130" t="s">
        <v>2590</v>
      </c>
      <c r="F24" s="130" t="s">
        <v>2591</v>
      </c>
      <c r="G24" s="550" t="s">
        <v>2046</v>
      </c>
      <c r="I24" s="553">
        <v>43412</v>
      </c>
      <c r="J24" s="551" t="s">
        <v>69</v>
      </c>
      <c r="K24" s="552" t="s">
        <v>2516</v>
      </c>
      <c r="L24" s="130" t="s">
        <v>2592</v>
      </c>
    </row>
    <row r="25" spans="1:12" ht="16.5" customHeight="1">
      <c r="A25" s="186" t="s">
        <v>2584</v>
      </c>
      <c r="B25" s="186">
        <v>21082474</v>
      </c>
      <c r="D25" s="130" t="s">
        <v>2593</v>
      </c>
      <c r="E25" s="130" t="s">
        <v>2594</v>
      </c>
      <c r="F25" s="130" t="s">
        <v>2595</v>
      </c>
      <c r="G25" s="550" t="s">
        <v>2055</v>
      </c>
      <c r="I25" s="165">
        <v>43412</v>
      </c>
      <c r="J25" s="551" t="s">
        <v>69</v>
      </c>
      <c r="K25" s="552" t="s">
        <v>2516</v>
      </c>
      <c r="L25" s="130" t="s">
        <v>2596</v>
      </c>
    </row>
    <row r="26" spans="1:12" ht="16.5" customHeight="1">
      <c r="A26" s="186" t="s">
        <v>2510</v>
      </c>
      <c r="B26" s="186">
        <v>90170531</v>
      </c>
      <c r="D26" s="130" t="s">
        <v>2597</v>
      </c>
      <c r="E26" s="130" t="s">
        <v>2598</v>
      </c>
      <c r="F26" s="130" t="s">
        <v>2599</v>
      </c>
      <c r="G26" s="550" t="s">
        <v>2055</v>
      </c>
      <c r="H26" s="130" t="s">
        <v>2600</v>
      </c>
      <c r="I26" s="165">
        <v>43437</v>
      </c>
      <c r="J26" s="551" t="s">
        <v>799</v>
      </c>
      <c r="K26" s="552" t="s">
        <v>67</v>
      </c>
      <c r="L26" s="130" t="s">
        <v>2601</v>
      </c>
    </row>
    <row r="27" spans="1:12" ht="16.5" customHeight="1">
      <c r="A27" s="186" t="s">
        <v>2510</v>
      </c>
      <c r="B27" s="186">
        <v>98686363</v>
      </c>
      <c r="D27" s="130" t="s">
        <v>2602</v>
      </c>
      <c r="E27" s="130" t="s">
        <v>2603</v>
      </c>
      <c r="F27" s="130" t="s">
        <v>2604</v>
      </c>
      <c r="G27" s="550" t="s">
        <v>2313</v>
      </c>
      <c r="I27" s="165">
        <v>43441</v>
      </c>
      <c r="J27" s="551" t="s">
        <v>799</v>
      </c>
      <c r="K27" s="552" t="s">
        <v>73</v>
      </c>
      <c r="L27" s="130" t="s">
        <v>2605</v>
      </c>
    </row>
    <row r="28" spans="1:12" ht="16.5" customHeight="1">
      <c r="A28" s="186" t="s">
        <v>2510</v>
      </c>
      <c r="B28" s="186">
        <v>60551173</v>
      </c>
      <c r="D28" s="130" t="s">
        <v>2606</v>
      </c>
      <c r="E28" s="130" t="s">
        <v>2607</v>
      </c>
      <c r="F28" s="130" t="s">
        <v>2608</v>
      </c>
      <c r="G28" s="550" t="s">
        <v>2299</v>
      </c>
      <c r="H28" s="130" t="s">
        <v>2609</v>
      </c>
      <c r="I28" s="165">
        <v>43444</v>
      </c>
      <c r="J28" s="551" t="s">
        <v>799</v>
      </c>
      <c r="K28" s="552" t="s">
        <v>73</v>
      </c>
      <c r="L28" s="130" t="s">
        <v>2610</v>
      </c>
    </row>
    <row r="29" spans="1:12" ht="16.5" customHeight="1">
      <c r="A29" s="186" t="s">
        <v>2584</v>
      </c>
      <c r="B29" s="186">
        <v>41314022</v>
      </c>
      <c r="D29" s="130" t="s">
        <v>2611</v>
      </c>
      <c r="E29" s="130" t="s">
        <v>2612</v>
      </c>
      <c r="F29" s="130" t="s">
        <v>2608</v>
      </c>
      <c r="G29" s="550" t="s">
        <v>2299</v>
      </c>
      <c r="I29" s="165">
        <v>43444</v>
      </c>
      <c r="J29" s="551" t="s">
        <v>799</v>
      </c>
      <c r="K29" s="552" t="s">
        <v>73</v>
      </c>
      <c r="L29" s="130" t="s">
        <v>2613</v>
      </c>
    </row>
    <row r="30" spans="1:12" ht="16.5" customHeight="1">
      <c r="A30" s="186" t="s">
        <v>2584</v>
      </c>
      <c r="B30" s="186">
        <v>18546143</v>
      </c>
      <c r="D30" s="130" t="s">
        <v>2614</v>
      </c>
      <c r="E30" s="130" t="s">
        <v>2615</v>
      </c>
      <c r="F30" s="130" t="s">
        <v>2616</v>
      </c>
      <c r="G30" s="550" t="s">
        <v>2069</v>
      </c>
      <c r="I30" s="165">
        <v>43444</v>
      </c>
      <c r="J30" s="551" t="s">
        <v>69</v>
      </c>
      <c r="K30" s="552" t="s">
        <v>2516</v>
      </c>
      <c r="L30" s="130" t="s">
        <v>2617</v>
      </c>
    </row>
    <row r="31" spans="1:12" ht="16.5" customHeight="1">
      <c r="A31" s="186" t="s">
        <v>2584</v>
      </c>
      <c r="B31" s="186">
        <v>20977914</v>
      </c>
      <c r="D31" s="130" t="s">
        <v>2618</v>
      </c>
      <c r="E31" s="130" t="s">
        <v>2619</v>
      </c>
      <c r="F31" s="130" t="s">
        <v>2620</v>
      </c>
      <c r="G31" s="550" t="s">
        <v>2046</v>
      </c>
      <c r="I31" s="165">
        <v>43446</v>
      </c>
      <c r="J31" s="551" t="s">
        <v>69</v>
      </c>
      <c r="K31" s="552" t="s">
        <v>2516</v>
      </c>
      <c r="L31" s="130" t="s">
        <v>2621</v>
      </c>
    </row>
    <row r="32" spans="1:12" ht="16.5" customHeight="1">
      <c r="A32" s="186" t="s">
        <v>2584</v>
      </c>
      <c r="B32" s="186">
        <v>10155208</v>
      </c>
      <c r="D32" s="130" t="s">
        <v>2622</v>
      </c>
      <c r="E32" s="130" t="s">
        <v>2623</v>
      </c>
      <c r="F32" s="130" t="s">
        <v>2624</v>
      </c>
      <c r="G32" s="550" t="s">
        <v>2274</v>
      </c>
      <c r="I32" s="165">
        <v>43446</v>
      </c>
      <c r="J32" s="551" t="s">
        <v>69</v>
      </c>
      <c r="K32" s="552" t="s">
        <v>2516</v>
      </c>
      <c r="L32" s="130" t="s">
        <v>2625</v>
      </c>
    </row>
    <row r="33" spans="1:12" ht="16.5" customHeight="1">
      <c r="A33" s="186" t="s">
        <v>2510</v>
      </c>
      <c r="B33" s="186">
        <v>60551173</v>
      </c>
      <c r="D33" s="130" t="s">
        <v>2606</v>
      </c>
      <c r="E33" s="130" t="s">
        <v>2607</v>
      </c>
      <c r="F33" s="130" t="s">
        <v>2608</v>
      </c>
      <c r="G33" s="550" t="s">
        <v>2299</v>
      </c>
      <c r="H33" s="130" t="s">
        <v>2609</v>
      </c>
      <c r="I33" s="165">
        <v>43451</v>
      </c>
      <c r="J33" s="551" t="s">
        <v>73</v>
      </c>
      <c r="L33" s="130" t="s">
        <v>2626</v>
      </c>
    </row>
    <row r="34" spans="1:12" s="561" customFormat="1" ht="16.5" customHeight="1">
      <c r="A34" s="554" t="s">
        <v>2584</v>
      </c>
      <c r="B34" s="554">
        <v>13169</v>
      </c>
      <c r="C34" s="555"/>
      <c r="D34" s="556" t="s">
        <v>2627</v>
      </c>
      <c r="E34" s="556" t="s">
        <v>2628</v>
      </c>
      <c r="F34" s="556" t="s">
        <v>2629</v>
      </c>
      <c r="G34" s="557" t="s">
        <v>2052</v>
      </c>
      <c r="H34" s="556" t="s">
        <v>2630</v>
      </c>
      <c r="I34" s="558">
        <v>43451</v>
      </c>
      <c r="J34" s="559" t="s">
        <v>69</v>
      </c>
      <c r="K34" s="560" t="s">
        <v>2516</v>
      </c>
      <c r="L34" s="556" t="s">
        <v>2631</v>
      </c>
    </row>
    <row r="35" spans="1:12" ht="16.5" customHeight="1">
      <c r="A35" s="186" t="s">
        <v>2510</v>
      </c>
      <c r="B35" s="186">
        <v>3363942</v>
      </c>
      <c r="D35" s="130" t="s">
        <v>2536</v>
      </c>
      <c r="E35" s="130" t="s">
        <v>2632</v>
      </c>
      <c r="F35" s="130" t="s">
        <v>2633</v>
      </c>
      <c r="G35" s="550" t="s">
        <v>2413</v>
      </c>
      <c r="I35" s="165">
        <v>43470</v>
      </c>
      <c r="J35" s="551" t="s">
        <v>799</v>
      </c>
      <c r="K35" s="552" t="s">
        <v>67</v>
      </c>
      <c r="L35" s="130" t="s">
        <v>2634</v>
      </c>
    </row>
    <row r="36" spans="1:12" ht="16.5" customHeight="1">
      <c r="A36" s="186" t="s">
        <v>2510</v>
      </c>
      <c r="B36" s="186">
        <v>479600</v>
      </c>
      <c r="D36" s="130" t="s">
        <v>2635</v>
      </c>
      <c r="E36" s="130" t="s">
        <v>2636</v>
      </c>
      <c r="F36" s="130" t="s">
        <v>2637</v>
      </c>
      <c r="G36" s="550" t="s">
        <v>2638</v>
      </c>
      <c r="H36" s="130" t="s">
        <v>2639</v>
      </c>
      <c r="I36" s="165">
        <v>43470</v>
      </c>
      <c r="J36" s="551" t="s">
        <v>799</v>
      </c>
      <c r="K36" s="552" t="s">
        <v>67</v>
      </c>
      <c r="L36" s="130" t="s">
        <v>2634</v>
      </c>
    </row>
    <row r="37" spans="1:12" ht="16.5" customHeight="1">
      <c r="A37" s="186" t="s">
        <v>2510</v>
      </c>
      <c r="B37" s="186">
        <v>5652987</v>
      </c>
      <c r="D37" s="130" t="s">
        <v>2640</v>
      </c>
      <c r="E37" s="130" t="s">
        <v>2641</v>
      </c>
      <c r="F37" s="130" t="s">
        <v>2642</v>
      </c>
      <c r="G37" s="550" t="s">
        <v>2274</v>
      </c>
      <c r="I37" s="165">
        <v>43472</v>
      </c>
      <c r="J37" s="551" t="s">
        <v>799</v>
      </c>
      <c r="K37" s="552" t="s">
        <v>73</v>
      </c>
      <c r="L37" s="130" t="s">
        <v>2643</v>
      </c>
    </row>
    <row r="38" spans="1:12" ht="16.5" customHeight="1">
      <c r="A38" s="186" t="s">
        <v>2510</v>
      </c>
      <c r="B38" s="186">
        <v>2572248</v>
      </c>
      <c r="D38" s="130" t="s">
        <v>2644</v>
      </c>
      <c r="E38" s="130" t="s">
        <v>2645</v>
      </c>
      <c r="F38" s="130" t="s">
        <v>2646</v>
      </c>
      <c r="G38" s="550" t="s">
        <v>2069</v>
      </c>
      <c r="H38" s="130" t="s">
        <v>2647</v>
      </c>
      <c r="I38" s="165">
        <v>43472</v>
      </c>
      <c r="J38" s="551" t="s">
        <v>799</v>
      </c>
      <c r="K38" s="552" t="s">
        <v>73</v>
      </c>
      <c r="L38" s="130" t="s">
        <v>2643</v>
      </c>
    </row>
    <row r="39" spans="1:12" ht="16.5" customHeight="1">
      <c r="A39" s="186" t="s">
        <v>2510</v>
      </c>
      <c r="B39" s="186">
        <v>20899233</v>
      </c>
      <c r="D39" s="130" t="s">
        <v>2648</v>
      </c>
      <c r="E39" s="130" t="s">
        <v>2649</v>
      </c>
      <c r="F39" s="130" t="s">
        <v>2650</v>
      </c>
      <c r="G39" s="550" t="s">
        <v>65</v>
      </c>
      <c r="I39" s="165">
        <v>43472</v>
      </c>
      <c r="J39" s="551" t="s">
        <v>799</v>
      </c>
      <c r="K39" s="552" t="s">
        <v>73</v>
      </c>
      <c r="L39" s="130" t="s">
        <v>2643</v>
      </c>
    </row>
    <row r="40" spans="1:12" ht="16.5" customHeight="1">
      <c r="A40" s="186" t="s">
        <v>2510</v>
      </c>
      <c r="B40" s="186">
        <v>77719649</v>
      </c>
      <c r="D40" s="130" t="s">
        <v>2651</v>
      </c>
      <c r="E40" s="130" t="s">
        <v>2652</v>
      </c>
      <c r="F40" s="130" t="s">
        <v>2653</v>
      </c>
      <c r="G40" s="550" t="s">
        <v>2162</v>
      </c>
      <c r="I40" s="165">
        <v>43472</v>
      </c>
      <c r="J40" s="551" t="s">
        <v>799</v>
      </c>
      <c r="K40" s="552" t="s">
        <v>73</v>
      </c>
      <c r="L40" s="130" t="s">
        <v>2643</v>
      </c>
    </row>
    <row r="41" spans="1:12" ht="16.5" customHeight="1">
      <c r="A41" s="186" t="s">
        <v>2510</v>
      </c>
      <c r="B41" s="186">
        <v>79506572</v>
      </c>
      <c r="D41" s="130" t="s">
        <v>2654</v>
      </c>
      <c r="E41" s="130" t="s">
        <v>2655</v>
      </c>
      <c r="F41" s="130" t="s">
        <v>2656</v>
      </c>
      <c r="G41" s="550" t="s">
        <v>2274</v>
      </c>
      <c r="I41" s="165">
        <v>43472</v>
      </c>
      <c r="J41" s="551" t="s">
        <v>799</v>
      </c>
      <c r="K41" s="552" t="s">
        <v>73</v>
      </c>
      <c r="L41" s="130" t="s">
        <v>2643</v>
      </c>
    </row>
    <row r="42" spans="1:12" ht="16.5" customHeight="1">
      <c r="A42" s="186" t="s">
        <v>2584</v>
      </c>
      <c r="B42" s="186">
        <v>49852148</v>
      </c>
      <c r="D42" s="130" t="s">
        <v>2511</v>
      </c>
      <c r="E42" s="130" t="s">
        <v>2657</v>
      </c>
      <c r="F42" s="130" t="s">
        <v>2658</v>
      </c>
      <c r="G42" s="550" t="s">
        <v>2089</v>
      </c>
      <c r="H42" s="130" t="s">
        <v>2602</v>
      </c>
      <c r="I42" s="165">
        <v>43474</v>
      </c>
      <c r="J42" s="551" t="s">
        <v>799</v>
      </c>
      <c r="K42" s="552" t="s">
        <v>2516</v>
      </c>
      <c r="L42" s="556" t="s">
        <v>2659</v>
      </c>
    </row>
    <row r="43" spans="1:12" ht="16.5" customHeight="1">
      <c r="A43" s="186" t="s">
        <v>2510</v>
      </c>
      <c r="B43" s="186">
        <v>61937</v>
      </c>
      <c r="D43" s="130" t="s">
        <v>2660</v>
      </c>
      <c r="E43" s="130" t="s">
        <v>2661</v>
      </c>
      <c r="F43" s="130" t="s">
        <v>2662</v>
      </c>
      <c r="G43" s="550" t="s">
        <v>2129</v>
      </c>
      <c r="I43" s="165">
        <v>43483</v>
      </c>
      <c r="J43" s="551" t="s">
        <v>799</v>
      </c>
      <c r="K43" s="552" t="s">
        <v>67</v>
      </c>
      <c r="L43" s="130" t="s">
        <v>2663</v>
      </c>
    </row>
    <row r="44" spans="1:12" ht="16.5" customHeight="1">
      <c r="A44" s="186" t="s">
        <v>2510</v>
      </c>
      <c r="B44" s="186">
        <v>61937</v>
      </c>
      <c r="D44" s="130" t="s">
        <v>2660</v>
      </c>
      <c r="E44" s="130" t="s">
        <v>2661</v>
      </c>
      <c r="F44" s="130" t="s">
        <v>2662</v>
      </c>
      <c r="G44" s="550" t="s">
        <v>2129</v>
      </c>
      <c r="I44" s="165">
        <v>43487</v>
      </c>
      <c r="J44" s="551" t="s">
        <v>67</v>
      </c>
      <c r="L44" s="130" t="s">
        <v>2664</v>
      </c>
    </row>
    <row r="45" spans="1:12" ht="16.5" customHeight="1">
      <c r="A45" s="186" t="s">
        <v>2510</v>
      </c>
      <c r="B45" s="186">
        <v>35065044</v>
      </c>
      <c r="D45" s="130" t="s">
        <v>2665</v>
      </c>
      <c r="E45" s="130" t="s">
        <v>2666</v>
      </c>
      <c r="F45" s="130" t="s">
        <v>2667</v>
      </c>
      <c r="G45" s="550" t="s">
        <v>2081</v>
      </c>
      <c r="I45" s="165">
        <v>43489</v>
      </c>
      <c r="J45" s="551" t="s">
        <v>799</v>
      </c>
      <c r="K45" s="552" t="s">
        <v>73</v>
      </c>
      <c r="L45" s="130" t="s">
        <v>2668</v>
      </c>
    </row>
    <row r="46" spans="1:12" ht="16.5" customHeight="1">
      <c r="A46" s="186" t="s">
        <v>2510</v>
      </c>
      <c r="B46" s="186">
        <v>158915</v>
      </c>
      <c r="D46" s="130" t="s">
        <v>2669</v>
      </c>
      <c r="E46" s="130" t="s">
        <v>2670</v>
      </c>
      <c r="F46" s="130" t="s">
        <v>2671</v>
      </c>
      <c r="G46" s="550" t="s">
        <v>65</v>
      </c>
      <c r="I46" s="165">
        <v>43490</v>
      </c>
      <c r="J46" s="551" t="s">
        <v>799</v>
      </c>
      <c r="K46" s="552" t="s">
        <v>67</v>
      </c>
      <c r="L46" s="130" t="s">
        <v>2672</v>
      </c>
    </row>
    <row r="47" spans="1:12" ht="16.5" customHeight="1">
      <c r="A47" s="186" t="s">
        <v>2510</v>
      </c>
      <c r="B47" s="186">
        <v>41309899</v>
      </c>
      <c r="D47" s="130" t="s">
        <v>2586</v>
      </c>
      <c r="E47" s="130" t="s">
        <v>2673</v>
      </c>
      <c r="F47" s="130" t="s">
        <v>2674</v>
      </c>
      <c r="G47" s="550" t="s">
        <v>2675</v>
      </c>
      <c r="I47" s="165">
        <v>43490</v>
      </c>
      <c r="J47" s="551" t="s">
        <v>799</v>
      </c>
      <c r="K47" s="552" t="s">
        <v>67</v>
      </c>
      <c r="L47" s="130" t="s">
        <v>2676</v>
      </c>
    </row>
    <row r="48" spans="1:12" ht="16.5" customHeight="1">
      <c r="A48" s="186" t="s">
        <v>2510</v>
      </c>
      <c r="B48" s="186">
        <v>62816574</v>
      </c>
      <c r="D48" s="130" t="s">
        <v>2677</v>
      </c>
      <c r="E48" s="130" t="s">
        <v>2678</v>
      </c>
      <c r="F48" s="130" t="s">
        <v>2679</v>
      </c>
      <c r="G48" s="550" t="s">
        <v>2318</v>
      </c>
      <c r="H48" s="130" t="s">
        <v>2680</v>
      </c>
      <c r="I48" s="165">
        <v>43493</v>
      </c>
      <c r="J48" s="551" t="s">
        <v>799</v>
      </c>
      <c r="K48" s="552" t="s">
        <v>67</v>
      </c>
      <c r="L48" s="130" t="s">
        <v>2634</v>
      </c>
    </row>
    <row r="49" spans="1:12" ht="16.5" customHeight="1">
      <c r="A49" s="186" t="s">
        <v>2584</v>
      </c>
      <c r="B49" s="186">
        <v>92273358</v>
      </c>
      <c r="D49" s="130" t="s">
        <v>2681</v>
      </c>
      <c r="E49" s="130" t="s">
        <v>2682</v>
      </c>
      <c r="F49" s="130" t="s">
        <v>2683</v>
      </c>
      <c r="G49" s="550" t="s">
        <v>2046</v>
      </c>
      <c r="I49" s="165">
        <v>43493</v>
      </c>
      <c r="J49" s="551" t="s">
        <v>799</v>
      </c>
      <c r="K49" s="552" t="s">
        <v>2516</v>
      </c>
      <c r="L49" s="556" t="s">
        <v>2684</v>
      </c>
    </row>
    <row r="50" spans="1:12" ht="16.5" customHeight="1">
      <c r="A50" s="186" t="s">
        <v>2510</v>
      </c>
      <c r="B50" s="186">
        <v>84305697</v>
      </c>
      <c r="D50" s="130" t="s">
        <v>2685</v>
      </c>
      <c r="E50" s="130" t="s">
        <v>2686</v>
      </c>
      <c r="I50" s="165">
        <v>43493</v>
      </c>
      <c r="J50" s="551" t="s">
        <v>799</v>
      </c>
      <c r="K50" s="552" t="s">
        <v>67</v>
      </c>
      <c r="L50" s="130" t="s">
        <v>2634</v>
      </c>
    </row>
    <row r="51" spans="1:12" ht="16.5" customHeight="1">
      <c r="A51" s="186" t="s">
        <v>2584</v>
      </c>
      <c r="B51" s="186">
        <v>92273358</v>
      </c>
      <c r="D51" s="130" t="s">
        <v>2687</v>
      </c>
      <c r="E51" s="130" t="s">
        <v>2682</v>
      </c>
      <c r="F51" s="130" t="s">
        <v>2683</v>
      </c>
      <c r="G51" s="550" t="s">
        <v>2046</v>
      </c>
      <c r="I51" s="165">
        <v>43494</v>
      </c>
      <c r="J51" s="552" t="s">
        <v>799</v>
      </c>
      <c r="K51" s="552">
        <v>919</v>
      </c>
      <c r="L51" s="556" t="s">
        <v>2688</v>
      </c>
    </row>
    <row r="52" spans="1:12" ht="16.5" customHeight="1">
      <c r="A52" s="186" t="s">
        <v>2584</v>
      </c>
      <c r="B52" s="186">
        <v>29246634</v>
      </c>
      <c r="D52" s="130" t="s">
        <v>2541</v>
      </c>
      <c r="E52" s="130" t="s">
        <v>2689</v>
      </c>
      <c r="F52" s="130" t="s">
        <v>2690</v>
      </c>
      <c r="G52" s="550" t="s">
        <v>2094</v>
      </c>
      <c r="H52" s="130" t="s">
        <v>2691</v>
      </c>
      <c r="I52" s="553">
        <v>43501</v>
      </c>
      <c r="J52" s="551" t="s">
        <v>799</v>
      </c>
      <c r="K52" s="552" t="s">
        <v>73</v>
      </c>
      <c r="L52" s="556" t="s">
        <v>2692</v>
      </c>
    </row>
    <row r="53" spans="1:12" ht="16.5" customHeight="1">
      <c r="A53" s="186" t="s">
        <v>2584</v>
      </c>
      <c r="B53" s="186">
        <v>8669525</v>
      </c>
      <c r="D53" s="130" t="s">
        <v>2693</v>
      </c>
      <c r="E53" s="130" t="s">
        <v>2694</v>
      </c>
      <c r="F53" s="130" t="s">
        <v>2695</v>
      </c>
      <c r="G53" s="550" t="s">
        <v>2395</v>
      </c>
      <c r="I53" s="553">
        <v>43501</v>
      </c>
      <c r="J53" s="551" t="s">
        <v>799</v>
      </c>
      <c r="K53" s="552" t="s">
        <v>73</v>
      </c>
      <c r="L53" s="130" t="s">
        <v>2696</v>
      </c>
    </row>
    <row r="54" spans="1:12" ht="16.5" customHeight="1">
      <c r="A54" s="186" t="s">
        <v>799</v>
      </c>
      <c r="B54" s="186">
        <v>97542674</v>
      </c>
      <c r="D54" s="130" t="s">
        <v>2697</v>
      </c>
      <c r="E54" s="130" t="s">
        <v>2698</v>
      </c>
      <c r="F54" s="130" t="s">
        <v>2699</v>
      </c>
      <c r="G54" s="550" t="s">
        <v>2106</v>
      </c>
      <c r="I54" s="165">
        <v>43503</v>
      </c>
      <c r="J54" s="552" t="s">
        <v>799</v>
      </c>
      <c r="K54" s="552" t="s">
        <v>67</v>
      </c>
      <c r="L54" s="556" t="s">
        <v>2700</v>
      </c>
    </row>
    <row r="55" spans="1:12" ht="16.5" customHeight="1">
      <c r="A55" s="186" t="s">
        <v>799</v>
      </c>
      <c r="B55" s="186">
        <v>10091643</v>
      </c>
      <c r="D55" s="130" t="s">
        <v>2701</v>
      </c>
      <c r="E55" s="130" t="s">
        <v>2702</v>
      </c>
      <c r="F55" s="130" t="s">
        <v>2703</v>
      </c>
      <c r="G55" s="550" t="s">
        <v>2064</v>
      </c>
      <c r="I55" s="165">
        <v>43507</v>
      </c>
      <c r="J55" s="551" t="s">
        <v>799</v>
      </c>
      <c r="K55" s="552" t="s">
        <v>67</v>
      </c>
      <c r="L55" s="130" t="s">
        <v>2704</v>
      </c>
    </row>
    <row r="56" spans="1:12" ht="16.5" customHeight="1">
      <c r="A56" s="186" t="s">
        <v>2510</v>
      </c>
      <c r="B56" s="186">
        <v>31518152</v>
      </c>
      <c r="D56" s="130" t="s">
        <v>2705</v>
      </c>
      <c r="E56" s="130" t="s">
        <v>2706</v>
      </c>
      <c r="F56" s="130" t="s">
        <v>2707</v>
      </c>
      <c r="G56" s="550" t="s">
        <v>2162</v>
      </c>
      <c r="H56" s="130" t="s">
        <v>2708</v>
      </c>
      <c r="I56" s="165">
        <v>43508</v>
      </c>
      <c r="J56" s="551" t="s">
        <v>799</v>
      </c>
      <c r="K56" s="552" t="s">
        <v>799</v>
      </c>
      <c r="L56" s="130" t="s">
        <v>2709</v>
      </c>
    </row>
    <row r="57" spans="1:12" ht="16.5" customHeight="1">
      <c r="A57" s="186" t="s">
        <v>2584</v>
      </c>
      <c r="B57" s="186">
        <v>93507887</v>
      </c>
      <c r="D57" s="130" t="s">
        <v>2710</v>
      </c>
      <c r="E57" s="130" t="s">
        <v>2711</v>
      </c>
      <c r="F57" s="130" t="s">
        <v>2712</v>
      </c>
      <c r="G57" s="550" t="s">
        <v>2069</v>
      </c>
      <c r="I57" s="165">
        <v>43509</v>
      </c>
      <c r="J57" s="551" t="s">
        <v>799</v>
      </c>
      <c r="K57" s="552" t="s">
        <v>73</v>
      </c>
      <c r="L57" s="130" t="s">
        <v>2713</v>
      </c>
    </row>
    <row r="58" spans="1:12" ht="16.5" customHeight="1">
      <c r="A58" s="186" t="s">
        <v>2584</v>
      </c>
      <c r="B58" s="186">
        <v>96451091</v>
      </c>
      <c r="D58" s="130" t="s">
        <v>2714</v>
      </c>
      <c r="E58" s="130" t="s">
        <v>2665</v>
      </c>
      <c r="F58" s="130" t="s">
        <v>2715</v>
      </c>
      <c r="G58" s="550" t="s">
        <v>2274</v>
      </c>
      <c r="I58" s="165">
        <v>43509</v>
      </c>
      <c r="J58" s="551" t="s">
        <v>799</v>
      </c>
      <c r="K58" s="552" t="s">
        <v>73</v>
      </c>
      <c r="L58" s="130" t="s">
        <v>2713</v>
      </c>
    </row>
    <row r="59" spans="1:12" ht="16.5" customHeight="1">
      <c r="A59" s="186" t="s">
        <v>2510</v>
      </c>
      <c r="B59" s="186">
        <v>1819028</v>
      </c>
      <c r="D59" s="130" t="s">
        <v>2716</v>
      </c>
      <c r="E59" s="130" t="s">
        <v>2511</v>
      </c>
      <c r="F59" s="130" t="s">
        <v>2717</v>
      </c>
      <c r="G59" s="550" t="s">
        <v>2089</v>
      </c>
      <c r="H59" s="130" t="s">
        <v>2718</v>
      </c>
      <c r="I59" s="165">
        <v>43529</v>
      </c>
      <c r="J59" s="551" t="s">
        <v>67</v>
      </c>
      <c r="L59" s="130" t="s">
        <v>2719</v>
      </c>
    </row>
    <row r="60" spans="1:12" ht="16.5" customHeight="1">
      <c r="A60" s="186" t="s">
        <v>2584</v>
      </c>
      <c r="B60" s="186">
        <v>1078971</v>
      </c>
      <c r="D60" s="130" t="s">
        <v>2720</v>
      </c>
      <c r="E60" s="130" t="s">
        <v>2721</v>
      </c>
      <c r="F60" s="130" t="s">
        <v>2722</v>
      </c>
      <c r="G60" s="550" t="s">
        <v>2240</v>
      </c>
      <c r="I60" s="165">
        <v>43530</v>
      </c>
      <c r="J60" s="551" t="s">
        <v>67</v>
      </c>
      <c r="K60" s="552" t="s">
        <v>2516</v>
      </c>
      <c r="L60" s="130" t="s">
        <v>2723</v>
      </c>
    </row>
    <row r="61" spans="1:12" ht="16.5" customHeight="1">
      <c r="A61" s="186" t="s">
        <v>2584</v>
      </c>
      <c r="B61" s="186">
        <v>40469363</v>
      </c>
      <c r="D61" s="130" t="s">
        <v>2724</v>
      </c>
      <c r="E61" s="130" t="s">
        <v>2725</v>
      </c>
      <c r="F61" s="130" t="s">
        <v>2726</v>
      </c>
      <c r="G61" s="550" t="s">
        <v>65</v>
      </c>
      <c r="I61" s="165">
        <v>43530</v>
      </c>
      <c r="J61" s="551" t="s">
        <v>799</v>
      </c>
      <c r="K61" s="552" t="s">
        <v>67</v>
      </c>
      <c r="L61" s="130" t="s">
        <v>2727</v>
      </c>
    </row>
    <row r="62" spans="1:12" ht="16.5" customHeight="1">
      <c r="A62" s="186" t="s">
        <v>2510</v>
      </c>
      <c r="B62" s="186">
        <v>97857056</v>
      </c>
      <c r="D62" s="130" t="s">
        <v>2728</v>
      </c>
      <c r="E62" s="130" t="s">
        <v>2729</v>
      </c>
      <c r="F62" s="130" t="s">
        <v>2730</v>
      </c>
      <c r="G62" s="550" t="s">
        <v>2174</v>
      </c>
      <c r="I62" s="165">
        <v>43531</v>
      </c>
      <c r="J62" s="551" t="s">
        <v>799</v>
      </c>
      <c r="K62" s="552" t="s">
        <v>67</v>
      </c>
      <c r="L62" s="130" t="s">
        <v>2731</v>
      </c>
    </row>
    <row r="63" spans="1:12" ht="16.5" customHeight="1">
      <c r="A63" s="186" t="s">
        <v>2510</v>
      </c>
      <c r="B63" s="186">
        <v>41302688</v>
      </c>
      <c r="D63" s="130" t="s">
        <v>2732</v>
      </c>
      <c r="E63" s="130" t="s">
        <v>2733</v>
      </c>
      <c r="F63" s="130" t="s">
        <v>2734</v>
      </c>
      <c r="G63" s="550" t="s">
        <v>2395</v>
      </c>
      <c r="I63" s="165">
        <v>43532</v>
      </c>
      <c r="J63" s="551" t="s">
        <v>67</v>
      </c>
      <c r="L63" s="130" t="s">
        <v>2735</v>
      </c>
    </row>
    <row r="64" spans="1:12" ht="16.5" customHeight="1">
      <c r="A64" s="186" t="s">
        <v>2584</v>
      </c>
      <c r="B64" s="186">
        <v>339648</v>
      </c>
      <c r="D64" s="130" t="s">
        <v>2736</v>
      </c>
      <c r="E64" s="130" t="s">
        <v>2530</v>
      </c>
      <c r="F64" s="130" t="s">
        <v>2737</v>
      </c>
      <c r="G64" s="550" t="s">
        <v>2428</v>
      </c>
      <c r="I64" s="165">
        <v>43539</v>
      </c>
      <c r="J64" s="551" t="s">
        <v>799</v>
      </c>
      <c r="K64" s="552" t="s">
        <v>2516</v>
      </c>
      <c r="L64" s="130" t="s">
        <v>2738</v>
      </c>
    </row>
    <row r="65" spans="1:12" ht="16.5" customHeight="1">
      <c r="A65" s="186" t="s">
        <v>2584</v>
      </c>
      <c r="B65" s="186">
        <v>1803816</v>
      </c>
      <c r="D65" s="130" t="s">
        <v>2739</v>
      </c>
      <c r="E65" s="130" t="s">
        <v>2740</v>
      </c>
      <c r="F65" s="130" t="s">
        <v>2741</v>
      </c>
      <c r="G65" s="550" t="s">
        <v>2162</v>
      </c>
      <c r="H65" s="130" t="s">
        <v>2742</v>
      </c>
      <c r="I65" s="165">
        <v>43539</v>
      </c>
      <c r="J65" s="551" t="s">
        <v>67</v>
      </c>
      <c r="K65" s="552" t="s">
        <v>67</v>
      </c>
      <c r="L65" s="130" t="s">
        <v>2743</v>
      </c>
    </row>
    <row r="66" spans="1:12" ht="16.5" customHeight="1">
      <c r="A66" s="186" t="s">
        <v>2584</v>
      </c>
      <c r="B66" s="186">
        <v>94300878</v>
      </c>
      <c r="D66" s="130" t="s">
        <v>2744</v>
      </c>
      <c r="E66" s="130" t="s">
        <v>2745</v>
      </c>
      <c r="F66" s="130" t="s">
        <v>2746</v>
      </c>
      <c r="G66" s="550" t="s">
        <v>2059</v>
      </c>
      <c r="I66" s="165">
        <v>43542</v>
      </c>
      <c r="J66" s="551" t="s">
        <v>799</v>
      </c>
      <c r="K66" s="552" t="s">
        <v>67</v>
      </c>
      <c r="L66" s="130" t="s">
        <v>2747</v>
      </c>
    </row>
    <row r="67" spans="1:12" ht="16.5" customHeight="1">
      <c r="A67" s="186" t="s">
        <v>2584</v>
      </c>
      <c r="B67" s="186">
        <v>99641813</v>
      </c>
      <c r="D67" s="130" t="s">
        <v>2748</v>
      </c>
      <c r="E67" s="130" t="s">
        <v>2749</v>
      </c>
      <c r="F67" s="130" t="s">
        <v>2750</v>
      </c>
      <c r="G67" s="550" t="s">
        <v>2751</v>
      </c>
      <c r="I67" s="165">
        <v>43543</v>
      </c>
      <c r="J67" s="551" t="s">
        <v>799</v>
      </c>
      <c r="K67" s="552" t="s">
        <v>73</v>
      </c>
      <c r="L67" s="130" t="s">
        <v>2752</v>
      </c>
    </row>
    <row r="68" spans="1:12" ht="16.5" customHeight="1">
      <c r="A68" s="186" t="s">
        <v>2584</v>
      </c>
      <c r="B68" s="186">
        <v>442335</v>
      </c>
      <c r="D68" s="130" t="s">
        <v>2753</v>
      </c>
      <c r="E68" s="130" t="s">
        <v>2754</v>
      </c>
      <c r="F68" s="130" t="s">
        <v>2755</v>
      </c>
      <c r="G68" s="550" t="s">
        <v>2072</v>
      </c>
      <c r="I68" s="165">
        <v>43544</v>
      </c>
      <c r="J68" s="551" t="s">
        <v>799</v>
      </c>
      <c r="K68" s="552" t="s">
        <v>73</v>
      </c>
      <c r="L68" s="130" t="s">
        <v>2756</v>
      </c>
    </row>
    <row r="69" spans="1:12" ht="16.5" customHeight="1">
      <c r="A69" s="186" t="s">
        <v>2584</v>
      </c>
      <c r="B69" s="186">
        <v>37311826</v>
      </c>
      <c r="D69" s="130" t="s">
        <v>2757</v>
      </c>
      <c r="E69" s="130" t="s">
        <v>2758</v>
      </c>
      <c r="F69" s="130" t="s">
        <v>2759</v>
      </c>
      <c r="G69" s="550" t="s">
        <v>2046</v>
      </c>
      <c r="I69" s="165">
        <v>43545</v>
      </c>
      <c r="J69" s="551" t="s">
        <v>799</v>
      </c>
      <c r="K69" s="552" t="s">
        <v>73</v>
      </c>
      <c r="L69" s="130" t="s">
        <v>2760</v>
      </c>
    </row>
    <row r="70" spans="1:12" ht="16.5" customHeight="1">
      <c r="A70" s="186" t="s">
        <v>2584</v>
      </c>
      <c r="B70" s="186">
        <v>96045273</v>
      </c>
      <c r="D70" s="130" t="s">
        <v>2761</v>
      </c>
      <c r="E70" s="130" t="s">
        <v>2762</v>
      </c>
      <c r="F70" s="130" t="s">
        <v>2763</v>
      </c>
      <c r="G70" s="550" t="s">
        <v>2106</v>
      </c>
      <c r="I70" s="165">
        <v>43545</v>
      </c>
      <c r="J70" s="551" t="s">
        <v>799</v>
      </c>
      <c r="K70" s="552" t="s">
        <v>73</v>
      </c>
      <c r="L70" s="130" t="s">
        <v>2760</v>
      </c>
    </row>
    <row r="71" spans="1:12" ht="16.5" customHeight="1">
      <c r="A71" s="186" t="s">
        <v>2584</v>
      </c>
      <c r="B71" s="186">
        <v>97456073</v>
      </c>
      <c r="D71" s="130" t="s">
        <v>2764</v>
      </c>
      <c r="E71" s="130" t="s">
        <v>2765</v>
      </c>
      <c r="F71" s="130" t="s">
        <v>2766</v>
      </c>
      <c r="G71" s="550" t="s">
        <v>2176</v>
      </c>
      <c r="I71" s="165">
        <v>43545</v>
      </c>
      <c r="J71" s="551" t="s">
        <v>799</v>
      </c>
      <c r="K71" s="552" t="s">
        <v>73</v>
      </c>
      <c r="L71" s="130" t="s">
        <v>2760</v>
      </c>
    </row>
    <row r="72" spans="1:12" ht="16.5" customHeight="1">
      <c r="A72" s="186" t="s">
        <v>2510</v>
      </c>
      <c r="B72" s="186">
        <v>9655374</v>
      </c>
      <c r="D72" s="130" t="s">
        <v>2767</v>
      </c>
      <c r="E72" s="130" t="s">
        <v>2768</v>
      </c>
      <c r="F72" s="130" t="s">
        <v>2769</v>
      </c>
      <c r="G72" s="550" t="s">
        <v>2118</v>
      </c>
      <c r="I72" s="165">
        <v>43550</v>
      </c>
      <c r="J72" s="551" t="s">
        <v>799</v>
      </c>
      <c r="K72" s="552" t="s">
        <v>73</v>
      </c>
      <c r="L72" s="130" t="s">
        <v>2770</v>
      </c>
    </row>
    <row r="73" spans="1:12" ht="16.5" customHeight="1">
      <c r="A73" s="186" t="s">
        <v>2584</v>
      </c>
      <c r="B73" s="186">
        <v>70887005</v>
      </c>
      <c r="D73" s="130" t="s">
        <v>2771</v>
      </c>
      <c r="E73" s="130" t="s">
        <v>2772</v>
      </c>
      <c r="F73" s="130" t="s">
        <v>2773</v>
      </c>
      <c r="G73" s="550" t="s">
        <v>2064</v>
      </c>
      <c r="I73" s="165">
        <v>43557</v>
      </c>
      <c r="J73" s="551" t="s">
        <v>799</v>
      </c>
      <c r="K73" s="552" t="s">
        <v>73</v>
      </c>
      <c r="L73" s="130" t="s">
        <v>2774</v>
      </c>
    </row>
    <row r="74" spans="1:12" ht="16.5" customHeight="1">
      <c r="A74" s="186" t="s">
        <v>2584</v>
      </c>
      <c r="B74" s="186">
        <v>89027221</v>
      </c>
      <c r="D74" s="130" t="s">
        <v>2775</v>
      </c>
      <c r="E74" s="130" t="s">
        <v>2776</v>
      </c>
      <c r="F74" s="130" t="s">
        <v>2777</v>
      </c>
      <c r="G74" s="550" t="s">
        <v>2094</v>
      </c>
      <c r="I74" s="165">
        <v>43557</v>
      </c>
      <c r="J74" s="551" t="s">
        <v>799</v>
      </c>
      <c r="K74" s="552" t="s">
        <v>73</v>
      </c>
      <c r="L74" s="130" t="s">
        <v>2778</v>
      </c>
    </row>
    <row r="75" spans="1:12" ht="16.5" customHeight="1">
      <c r="A75" s="186" t="s">
        <v>2584</v>
      </c>
      <c r="B75" s="186">
        <v>93995884</v>
      </c>
      <c r="D75" s="130" t="s">
        <v>2779</v>
      </c>
      <c r="E75" s="130" t="s">
        <v>2780</v>
      </c>
      <c r="F75" s="130" t="s">
        <v>2781</v>
      </c>
      <c r="G75" s="550" t="s">
        <v>2176</v>
      </c>
      <c r="I75" s="165">
        <v>43557</v>
      </c>
      <c r="J75" s="551" t="s">
        <v>799</v>
      </c>
      <c r="K75" s="552" t="s">
        <v>73</v>
      </c>
      <c r="L75" s="130" t="s">
        <v>2782</v>
      </c>
    </row>
    <row r="76" spans="1:12" ht="16.5" customHeight="1">
      <c r="A76" s="186" t="s">
        <v>2584</v>
      </c>
      <c r="B76" s="186">
        <v>35204544</v>
      </c>
      <c r="D76" s="130" t="s">
        <v>2783</v>
      </c>
      <c r="E76" s="130" t="s">
        <v>2784</v>
      </c>
      <c r="F76" s="130" t="s">
        <v>2785</v>
      </c>
      <c r="G76" s="550" t="s">
        <v>2112</v>
      </c>
      <c r="I76" s="165">
        <v>43557</v>
      </c>
      <c r="J76" s="551" t="s">
        <v>799</v>
      </c>
      <c r="K76" s="552" t="s">
        <v>73</v>
      </c>
      <c r="L76" s="130" t="s">
        <v>2782</v>
      </c>
    </row>
    <row r="77" spans="1:12" ht="16.5" customHeight="1">
      <c r="A77" s="186" t="s">
        <v>2510</v>
      </c>
      <c r="B77" s="186">
        <v>91973974</v>
      </c>
      <c r="D77" s="130" t="s">
        <v>2786</v>
      </c>
      <c r="E77" s="130" t="s">
        <v>2787</v>
      </c>
      <c r="F77" s="130" t="s">
        <v>2788</v>
      </c>
      <c r="G77" s="550" t="s">
        <v>2052</v>
      </c>
      <c r="H77" s="130" t="s">
        <v>2789</v>
      </c>
      <c r="I77" s="165">
        <v>43557</v>
      </c>
      <c r="J77" s="551" t="s">
        <v>799</v>
      </c>
      <c r="K77" s="552" t="s">
        <v>799</v>
      </c>
      <c r="L77" s="130" t="s">
        <v>2790</v>
      </c>
    </row>
    <row r="78" spans="1:12" ht="16.5" customHeight="1">
      <c r="A78" s="186" t="s">
        <v>2584</v>
      </c>
      <c r="B78" s="186">
        <v>59299180</v>
      </c>
      <c r="D78" s="130" t="s">
        <v>2791</v>
      </c>
      <c r="E78" s="130" t="s">
        <v>2792</v>
      </c>
      <c r="F78" s="130" t="s">
        <v>2793</v>
      </c>
      <c r="G78" s="550" t="s">
        <v>2201</v>
      </c>
      <c r="I78" s="165">
        <v>43557</v>
      </c>
      <c r="J78" s="551" t="s">
        <v>799</v>
      </c>
      <c r="K78" s="552" t="s">
        <v>73</v>
      </c>
      <c r="L78" s="130" t="s">
        <v>2794</v>
      </c>
    </row>
    <row r="79" spans="1:12" ht="16.5" customHeight="1">
      <c r="A79" s="186" t="s">
        <v>2584</v>
      </c>
      <c r="B79" s="186">
        <v>64463375</v>
      </c>
      <c r="D79" s="130" t="s">
        <v>2795</v>
      </c>
      <c r="E79" s="130" t="s">
        <v>2796</v>
      </c>
      <c r="F79" s="130" t="s">
        <v>2797</v>
      </c>
      <c r="G79" s="550" t="s">
        <v>2081</v>
      </c>
      <c r="I79" s="165">
        <v>43558</v>
      </c>
      <c r="J79" s="551" t="s">
        <v>799</v>
      </c>
      <c r="K79" s="552" t="s">
        <v>67</v>
      </c>
      <c r="L79" s="130" t="s">
        <v>2798</v>
      </c>
    </row>
    <row r="80" spans="1:12" ht="16.5" customHeight="1">
      <c r="A80" s="186" t="s">
        <v>2584</v>
      </c>
      <c r="B80" s="186">
        <v>27870</v>
      </c>
      <c r="D80" s="130" t="s">
        <v>2558</v>
      </c>
      <c r="E80" s="130" t="s">
        <v>2559</v>
      </c>
      <c r="F80" s="130" t="s">
        <v>2560</v>
      </c>
      <c r="G80" s="550" t="s">
        <v>2363</v>
      </c>
      <c r="I80" s="165">
        <v>43563</v>
      </c>
      <c r="J80" s="551" t="s">
        <v>799</v>
      </c>
      <c r="K80" s="552" t="s">
        <v>73</v>
      </c>
      <c r="L80" s="562" t="s">
        <v>2799</v>
      </c>
    </row>
    <row r="81" spans="1:12" ht="16.5" customHeight="1">
      <c r="A81" s="186" t="s">
        <v>2510</v>
      </c>
      <c r="B81" s="186">
        <v>711242</v>
      </c>
      <c r="D81" s="130" t="s">
        <v>2800</v>
      </c>
      <c r="E81" s="130" t="s">
        <v>2801</v>
      </c>
      <c r="F81" s="130" t="s">
        <v>2802</v>
      </c>
      <c r="G81" s="550" t="s">
        <v>2176</v>
      </c>
      <c r="I81" s="165">
        <v>43567</v>
      </c>
      <c r="J81" s="551" t="s">
        <v>799</v>
      </c>
      <c r="K81" s="552" t="s">
        <v>67</v>
      </c>
      <c r="L81" s="130" t="s">
        <v>2803</v>
      </c>
    </row>
    <row r="82" spans="1:12" ht="16.5" customHeight="1">
      <c r="A82" s="186" t="s">
        <v>2510</v>
      </c>
      <c r="B82" s="186">
        <v>4953634</v>
      </c>
      <c r="D82" s="130" t="s">
        <v>2804</v>
      </c>
      <c r="E82" s="130" t="s">
        <v>2805</v>
      </c>
      <c r="F82" s="130" t="s">
        <v>2806</v>
      </c>
      <c r="G82" s="550" t="s">
        <v>2081</v>
      </c>
      <c r="I82" s="165">
        <v>43570</v>
      </c>
      <c r="J82" s="551" t="s">
        <v>67</v>
      </c>
      <c r="L82" s="130" t="s">
        <v>2807</v>
      </c>
    </row>
    <row r="83" spans="1:12" ht="16.5" customHeight="1">
      <c r="A83" s="186" t="s">
        <v>2584</v>
      </c>
      <c r="B83" s="186">
        <v>39546981</v>
      </c>
      <c r="D83" s="130" t="s">
        <v>2808</v>
      </c>
      <c r="E83" s="130" t="s">
        <v>2809</v>
      </c>
      <c r="F83" s="130" t="s">
        <v>2810</v>
      </c>
      <c r="G83" s="550" t="s">
        <v>2129</v>
      </c>
      <c r="I83" s="165">
        <v>43570</v>
      </c>
      <c r="J83" s="551" t="s">
        <v>2811</v>
      </c>
      <c r="K83" s="552" t="s">
        <v>2516</v>
      </c>
      <c r="L83" s="130" t="s">
        <v>2812</v>
      </c>
    </row>
    <row r="84" spans="1:12" ht="16.5" customHeight="1">
      <c r="A84" s="186" t="s">
        <v>2584</v>
      </c>
      <c r="B84" s="186">
        <v>188086</v>
      </c>
      <c r="D84" s="130" t="s">
        <v>2813</v>
      </c>
      <c r="E84" s="130" t="s">
        <v>2814</v>
      </c>
      <c r="F84" s="130" t="s">
        <v>2815</v>
      </c>
      <c r="G84" s="550" t="s">
        <v>2266</v>
      </c>
      <c r="I84" s="165">
        <v>43570</v>
      </c>
      <c r="J84" s="551" t="s">
        <v>67</v>
      </c>
      <c r="K84" s="552" t="s">
        <v>2516</v>
      </c>
      <c r="L84" s="130" t="s">
        <v>2816</v>
      </c>
    </row>
    <row r="85" spans="1:12" ht="16.5" customHeight="1">
      <c r="A85" s="186" t="s">
        <v>2510</v>
      </c>
      <c r="B85" s="186">
        <v>711242</v>
      </c>
      <c r="D85" s="130" t="s">
        <v>2800</v>
      </c>
      <c r="E85" s="130" t="s">
        <v>2801</v>
      </c>
      <c r="F85" s="130" t="s">
        <v>2802</v>
      </c>
      <c r="G85" s="550" t="s">
        <v>2176</v>
      </c>
      <c r="I85" s="165">
        <v>43574</v>
      </c>
      <c r="J85" s="551" t="s">
        <v>67</v>
      </c>
      <c r="K85" s="552" t="s">
        <v>2516</v>
      </c>
      <c r="L85" s="130" t="s">
        <v>2817</v>
      </c>
    </row>
    <row r="86" spans="1:12" ht="16.5" customHeight="1">
      <c r="A86" s="186" t="s">
        <v>2510</v>
      </c>
      <c r="B86" s="186">
        <v>90606104</v>
      </c>
      <c r="D86" s="130" t="s">
        <v>2786</v>
      </c>
      <c r="E86" s="130" t="s">
        <v>2818</v>
      </c>
      <c r="F86" s="130" t="s">
        <v>2819</v>
      </c>
      <c r="G86" s="550" t="s">
        <v>2144</v>
      </c>
      <c r="I86" s="165">
        <v>43574</v>
      </c>
      <c r="J86" s="551" t="s">
        <v>799</v>
      </c>
      <c r="K86" s="552" t="s">
        <v>73</v>
      </c>
      <c r="L86" s="130" t="s">
        <v>2820</v>
      </c>
    </row>
    <row r="87" spans="1:12" ht="16.5" customHeight="1">
      <c r="A87" s="186" t="s">
        <v>2510</v>
      </c>
      <c r="B87" s="186">
        <v>99919060</v>
      </c>
      <c r="D87" s="130" t="s">
        <v>2821</v>
      </c>
      <c r="E87" s="130" t="s">
        <v>2822</v>
      </c>
      <c r="F87" s="130" t="s">
        <v>2823</v>
      </c>
      <c r="G87" s="550" t="s">
        <v>2081</v>
      </c>
      <c r="I87" s="165">
        <v>43574</v>
      </c>
      <c r="J87" s="551" t="s">
        <v>799</v>
      </c>
      <c r="K87" s="552" t="s">
        <v>73</v>
      </c>
      <c r="L87" s="130" t="s">
        <v>2824</v>
      </c>
    </row>
    <row r="88" spans="1:12" ht="16.5" customHeight="1">
      <c r="A88" s="186" t="s">
        <v>2584</v>
      </c>
      <c r="B88" s="186">
        <v>116301</v>
      </c>
      <c r="D88" s="130" t="s">
        <v>2825</v>
      </c>
      <c r="E88" s="130" t="s">
        <v>2826</v>
      </c>
      <c r="F88" s="130" t="s">
        <v>2827</v>
      </c>
      <c r="G88" s="550" t="s">
        <v>2203</v>
      </c>
      <c r="I88" s="165">
        <v>43578</v>
      </c>
      <c r="J88" s="551" t="s">
        <v>799</v>
      </c>
      <c r="K88" s="552" t="s">
        <v>73</v>
      </c>
      <c r="L88" s="130" t="s">
        <v>2782</v>
      </c>
    </row>
    <row r="89" spans="1:12" ht="16.5" customHeight="1">
      <c r="A89" s="186" t="s">
        <v>2584</v>
      </c>
      <c r="B89" s="186">
        <v>336743</v>
      </c>
      <c r="D89" s="130" t="s">
        <v>2828</v>
      </c>
      <c r="E89" s="130" t="s">
        <v>2829</v>
      </c>
      <c r="F89" s="130" t="s">
        <v>2830</v>
      </c>
      <c r="G89" s="550" t="s">
        <v>2185</v>
      </c>
      <c r="I89" s="553">
        <v>43581</v>
      </c>
      <c r="J89" s="551" t="s">
        <v>67</v>
      </c>
      <c r="K89" s="552" t="s">
        <v>2516</v>
      </c>
      <c r="L89" s="130" t="s">
        <v>2831</v>
      </c>
    </row>
    <row r="90" spans="1:12" ht="16.5" customHeight="1">
      <c r="A90" s="186" t="s">
        <v>2510</v>
      </c>
      <c r="B90" s="186">
        <v>94473188</v>
      </c>
      <c r="D90" s="130" t="s">
        <v>2832</v>
      </c>
      <c r="E90" s="130" t="s">
        <v>2833</v>
      </c>
      <c r="F90" s="130" t="s">
        <v>2629</v>
      </c>
      <c r="G90" s="550" t="s">
        <v>2052</v>
      </c>
      <c r="H90" s="130" t="s">
        <v>2834</v>
      </c>
      <c r="I90" s="165">
        <v>43607</v>
      </c>
      <c r="J90" s="551" t="s">
        <v>799</v>
      </c>
      <c r="K90" s="552" t="s">
        <v>73</v>
      </c>
      <c r="L90" s="130" t="s">
        <v>2835</v>
      </c>
    </row>
    <row r="91" spans="1:12" ht="16.5" customHeight="1">
      <c r="A91" s="186" t="s">
        <v>2510</v>
      </c>
      <c r="B91" s="186">
        <v>234013</v>
      </c>
      <c r="C91" s="549">
        <v>17820</v>
      </c>
      <c r="D91" s="130" t="s">
        <v>2558</v>
      </c>
      <c r="E91" s="130" t="s">
        <v>2836</v>
      </c>
      <c r="F91" s="130" t="s">
        <v>2837</v>
      </c>
      <c r="G91" s="550" t="s">
        <v>2046</v>
      </c>
      <c r="I91" s="165">
        <v>43607</v>
      </c>
      <c r="J91" s="551" t="s">
        <v>73</v>
      </c>
      <c r="K91" s="552" t="s">
        <v>67</v>
      </c>
      <c r="L91" s="130" t="s">
        <v>2664</v>
      </c>
    </row>
    <row r="92" spans="1:12" ht="16.5" customHeight="1">
      <c r="A92" s="186" t="s">
        <v>2510</v>
      </c>
      <c r="B92" s="186">
        <v>2943413</v>
      </c>
      <c r="C92" s="549">
        <v>9796</v>
      </c>
      <c r="D92" s="130" t="s">
        <v>2838</v>
      </c>
      <c r="E92" s="130" t="s">
        <v>2839</v>
      </c>
      <c r="F92" s="130" t="s">
        <v>2840</v>
      </c>
      <c r="G92" s="550" t="s">
        <v>2112</v>
      </c>
      <c r="I92" s="165">
        <v>43607</v>
      </c>
      <c r="J92" s="551" t="s">
        <v>73</v>
      </c>
      <c r="K92" s="552" t="s">
        <v>67</v>
      </c>
      <c r="L92" s="130" t="s">
        <v>2664</v>
      </c>
    </row>
    <row r="93" spans="1:12" ht="16.5" customHeight="1">
      <c r="A93" s="186" t="s">
        <v>2510</v>
      </c>
      <c r="B93" s="186">
        <v>5463526</v>
      </c>
      <c r="C93" s="549">
        <v>21273</v>
      </c>
      <c r="D93" s="130" t="s">
        <v>2841</v>
      </c>
      <c r="E93" s="130" t="s">
        <v>2842</v>
      </c>
      <c r="F93" s="130" t="s">
        <v>2766</v>
      </c>
      <c r="G93" s="550" t="s">
        <v>2176</v>
      </c>
      <c r="I93" s="165">
        <v>43607</v>
      </c>
      <c r="J93" s="551" t="s">
        <v>73</v>
      </c>
      <c r="K93" s="552" t="s">
        <v>67</v>
      </c>
      <c r="L93" s="130" t="s">
        <v>2664</v>
      </c>
    </row>
    <row r="94" spans="1:12" ht="16.5" customHeight="1">
      <c r="A94" s="186" t="s">
        <v>2510</v>
      </c>
      <c r="B94" s="186">
        <v>33611559</v>
      </c>
      <c r="C94" s="549">
        <v>10395</v>
      </c>
      <c r="D94" s="130" t="s">
        <v>2843</v>
      </c>
      <c r="E94" s="130" t="s">
        <v>2657</v>
      </c>
      <c r="F94" s="130" t="s">
        <v>2844</v>
      </c>
      <c r="G94" s="550" t="s">
        <v>2413</v>
      </c>
      <c r="I94" s="165">
        <v>43607</v>
      </c>
      <c r="J94" s="551" t="s">
        <v>73</v>
      </c>
      <c r="K94" s="552" t="s">
        <v>67</v>
      </c>
      <c r="L94" s="130" t="s">
        <v>2664</v>
      </c>
    </row>
    <row r="95" spans="1:12" ht="16.5" customHeight="1">
      <c r="A95" s="186" t="s">
        <v>2510</v>
      </c>
      <c r="B95" s="186">
        <v>52457785</v>
      </c>
      <c r="C95" s="549">
        <v>12964</v>
      </c>
      <c r="D95" s="130" t="s">
        <v>2845</v>
      </c>
      <c r="E95" s="130" t="s">
        <v>2846</v>
      </c>
      <c r="F95" s="130" t="s">
        <v>2847</v>
      </c>
      <c r="G95" s="550" t="s">
        <v>2081</v>
      </c>
      <c r="I95" s="165">
        <v>43607</v>
      </c>
      <c r="J95" s="551" t="s">
        <v>73</v>
      </c>
      <c r="K95" s="552" t="s">
        <v>67</v>
      </c>
      <c r="L95" s="130" t="s">
        <v>2664</v>
      </c>
    </row>
    <row r="96" spans="1:12" ht="16.5" customHeight="1">
      <c r="A96" s="186" t="s">
        <v>2510</v>
      </c>
      <c r="B96" s="186">
        <v>58758376</v>
      </c>
      <c r="C96" s="549">
        <v>17930</v>
      </c>
      <c r="D96" s="130" t="s">
        <v>2848</v>
      </c>
      <c r="E96" s="130" t="s">
        <v>2849</v>
      </c>
      <c r="F96" s="130" t="s">
        <v>2850</v>
      </c>
      <c r="G96" s="550" t="s">
        <v>2144</v>
      </c>
      <c r="I96" s="165">
        <v>43607</v>
      </c>
      <c r="J96" s="551" t="s">
        <v>73</v>
      </c>
      <c r="K96" s="552" t="s">
        <v>67</v>
      </c>
      <c r="L96" s="130" t="s">
        <v>2664</v>
      </c>
    </row>
    <row r="97" spans="1:12" ht="16.5" customHeight="1">
      <c r="A97" s="186" t="s">
        <v>2510</v>
      </c>
      <c r="B97" s="186">
        <v>100210444</v>
      </c>
      <c r="D97" s="130" t="s">
        <v>2851</v>
      </c>
      <c r="E97" s="130" t="s">
        <v>2852</v>
      </c>
      <c r="F97" s="130" t="s">
        <v>2853</v>
      </c>
      <c r="G97" s="550" t="s">
        <v>2077</v>
      </c>
      <c r="I97" s="165">
        <v>43609</v>
      </c>
      <c r="J97" s="551" t="s">
        <v>799</v>
      </c>
      <c r="K97" s="552" t="s">
        <v>73</v>
      </c>
    </row>
    <row r="98" spans="1:12" ht="16.5" customHeight="1">
      <c r="A98" s="186" t="s">
        <v>2510</v>
      </c>
      <c r="B98" s="186">
        <v>100210444</v>
      </c>
      <c r="D98" s="130" t="s">
        <v>2851</v>
      </c>
      <c r="E98" s="130" t="s">
        <v>2852</v>
      </c>
      <c r="F98" s="130" t="s">
        <v>2853</v>
      </c>
      <c r="G98" s="550" t="s">
        <v>2077</v>
      </c>
      <c r="I98" s="165">
        <v>43609</v>
      </c>
      <c r="J98" s="551" t="s">
        <v>73</v>
      </c>
      <c r="K98" s="552" t="s">
        <v>67</v>
      </c>
      <c r="L98" s="130" t="s">
        <v>2664</v>
      </c>
    </row>
    <row r="99" spans="1:12" ht="16.5" customHeight="1">
      <c r="A99" s="186" t="s">
        <v>2584</v>
      </c>
      <c r="B99" s="186">
        <v>9493479</v>
      </c>
      <c r="C99" s="549">
        <v>14447</v>
      </c>
      <c r="D99" s="130" t="s">
        <v>2854</v>
      </c>
      <c r="E99" s="130" t="s">
        <v>2855</v>
      </c>
      <c r="F99" s="130" t="s">
        <v>2856</v>
      </c>
      <c r="G99" s="550" t="s">
        <v>2046</v>
      </c>
      <c r="I99" s="165">
        <v>43613</v>
      </c>
      <c r="J99" s="551" t="s">
        <v>67</v>
      </c>
      <c r="L99" s="130" t="s">
        <v>2857</v>
      </c>
    </row>
    <row r="100" spans="1:12" ht="16.5" customHeight="1">
      <c r="A100" s="186" t="s">
        <v>2584</v>
      </c>
      <c r="B100" s="186">
        <v>50978790</v>
      </c>
      <c r="C100" s="549">
        <v>10627</v>
      </c>
      <c r="D100" s="130" t="s">
        <v>2858</v>
      </c>
      <c r="E100" s="130" t="s">
        <v>2859</v>
      </c>
      <c r="F100" s="130" t="s">
        <v>2860</v>
      </c>
      <c r="G100" s="550" t="s">
        <v>2112</v>
      </c>
      <c r="I100" s="165">
        <v>43614</v>
      </c>
      <c r="J100" s="551" t="s">
        <v>2861</v>
      </c>
      <c r="L100" s="130" t="s">
        <v>2862</v>
      </c>
    </row>
    <row r="101" spans="1:12" ht="16.5" customHeight="1">
      <c r="A101" s="186" t="s">
        <v>2510</v>
      </c>
      <c r="B101" s="186">
        <v>240085</v>
      </c>
      <c r="C101" s="549">
        <v>16331</v>
      </c>
      <c r="D101" s="130" t="s">
        <v>2863</v>
      </c>
      <c r="E101" s="130" t="s">
        <v>2864</v>
      </c>
      <c r="F101" s="130" t="s">
        <v>2865</v>
      </c>
      <c r="G101" s="550" t="s">
        <v>2094</v>
      </c>
      <c r="I101" s="165">
        <v>43619</v>
      </c>
      <c r="J101" s="551" t="s">
        <v>799</v>
      </c>
      <c r="K101" s="552" t="s">
        <v>72</v>
      </c>
      <c r="L101" s="130" t="s">
        <v>2866</v>
      </c>
    </row>
    <row r="102" spans="1:12" ht="16.5" customHeight="1">
      <c r="A102" s="186" t="s">
        <v>2510</v>
      </c>
      <c r="B102" s="186">
        <v>319665</v>
      </c>
      <c r="C102" s="549">
        <v>18200</v>
      </c>
      <c r="D102" s="130" t="s">
        <v>2867</v>
      </c>
      <c r="E102" s="130" t="s">
        <v>2868</v>
      </c>
      <c r="F102" s="130" t="s">
        <v>2869</v>
      </c>
      <c r="G102" s="550" t="s">
        <v>2274</v>
      </c>
      <c r="I102" s="165">
        <v>43619</v>
      </c>
      <c r="J102" s="551" t="s">
        <v>799</v>
      </c>
      <c r="K102" s="552" t="s">
        <v>73</v>
      </c>
      <c r="L102" s="130" t="s">
        <v>2870</v>
      </c>
    </row>
    <row r="103" spans="1:12" ht="16.5" customHeight="1">
      <c r="A103" s="186" t="s">
        <v>2510</v>
      </c>
      <c r="B103" s="186">
        <v>1222355</v>
      </c>
      <c r="C103" s="549">
        <v>21017</v>
      </c>
      <c r="D103" s="130" t="s">
        <v>2871</v>
      </c>
      <c r="E103" s="130" t="s">
        <v>2872</v>
      </c>
      <c r="F103" s="130" t="s">
        <v>2873</v>
      </c>
      <c r="G103" s="550" t="s">
        <v>2094</v>
      </c>
      <c r="I103" s="165">
        <v>43619</v>
      </c>
      <c r="J103" s="551" t="s">
        <v>799</v>
      </c>
      <c r="K103" s="552" t="s">
        <v>73</v>
      </c>
      <c r="L103" s="130" t="s">
        <v>2870</v>
      </c>
    </row>
    <row r="104" spans="1:12" ht="16.5" customHeight="1">
      <c r="A104" s="186" t="s">
        <v>2510</v>
      </c>
      <c r="B104" s="186">
        <v>3366630</v>
      </c>
      <c r="C104" s="549">
        <v>17667</v>
      </c>
      <c r="D104" s="130" t="s">
        <v>2874</v>
      </c>
      <c r="E104" s="130" t="s">
        <v>2702</v>
      </c>
      <c r="F104" s="130" t="s">
        <v>2875</v>
      </c>
      <c r="G104" s="550" t="s">
        <v>2313</v>
      </c>
      <c r="I104" s="165">
        <v>43619</v>
      </c>
      <c r="J104" s="551" t="s">
        <v>799</v>
      </c>
      <c r="K104" s="552" t="s">
        <v>73</v>
      </c>
      <c r="L104" s="130" t="s">
        <v>2870</v>
      </c>
    </row>
    <row r="105" spans="1:12" ht="16.5" customHeight="1">
      <c r="A105" s="186" t="s">
        <v>2510</v>
      </c>
      <c r="B105" s="186">
        <v>6358964</v>
      </c>
      <c r="C105" s="549">
        <v>20329</v>
      </c>
      <c r="D105" s="130" t="s">
        <v>2876</v>
      </c>
      <c r="E105" s="130" t="s">
        <v>2877</v>
      </c>
      <c r="F105" s="130" t="s">
        <v>2878</v>
      </c>
      <c r="G105" s="550" t="s">
        <v>2313</v>
      </c>
      <c r="I105" s="165">
        <v>43619</v>
      </c>
      <c r="J105" s="551" t="s">
        <v>799</v>
      </c>
      <c r="K105" s="552" t="s">
        <v>73</v>
      </c>
      <c r="L105" s="130" t="s">
        <v>2870</v>
      </c>
    </row>
    <row r="106" spans="1:12" ht="16.5" customHeight="1">
      <c r="A106" s="186" t="s">
        <v>2510</v>
      </c>
      <c r="B106" s="186">
        <v>8548984</v>
      </c>
      <c r="C106" s="549">
        <v>20339</v>
      </c>
      <c r="D106" s="130" t="s">
        <v>2879</v>
      </c>
      <c r="E106" s="130" t="s">
        <v>2880</v>
      </c>
      <c r="F106" s="130" t="s">
        <v>2881</v>
      </c>
      <c r="G106" s="550" t="s">
        <v>2162</v>
      </c>
      <c r="I106" s="165">
        <v>43619</v>
      </c>
      <c r="J106" s="551" t="s">
        <v>799</v>
      </c>
      <c r="K106" s="552" t="s">
        <v>73</v>
      </c>
      <c r="L106" s="130" t="s">
        <v>2870</v>
      </c>
    </row>
    <row r="107" spans="1:12" ht="16.5" customHeight="1">
      <c r="A107" s="186" t="s">
        <v>2510</v>
      </c>
      <c r="B107" s="186">
        <v>14604862</v>
      </c>
      <c r="C107" s="549">
        <v>15738</v>
      </c>
      <c r="D107" s="130" t="s">
        <v>2882</v>
      </c>
      <c r="E107" s="130" t="s">
        <v>2883</v>
      </c>
      <c r="F107" s="130" t="s">
        <v>2884</v>
      </c>
      <c r="G107" s="550" t="s">
        <v>2112</v>
      </c>
      <c r="I107" s="165">
        <v>43619</v>
      </c>
      <c r="J107" s="551" t="s">
        <v>799</v>
      </c>
      <c r="K107" s="552" t="s">
        <v>73</v>
      </c>
      <c r="L107" s="130" t="s">
        <v>2870</v>
      </c>
    </row>
    <row r="108" spans="1:12" ht="16.5" customHeight="1">
      <c r="A108" s="186" t="s">
        <v>2510</v>
      </c>
      <c r="B108" s="186">
        <v>35345784</v>
      </c>
      <c r="C108" s="549">
        <v>12122</v>
      </c>
      <c r="D108" s="130" t="s">
        <v>2687</v>
      </c>
      <c r="E108" s="130" t="s">
        <v>2885</v>
      </c>
      <c r="F108" s="130" t="s">
        <v>2886</v>
      </c>
      <c r="G108" s="550" t="s">
        <v>2106</v>
      </c>
      <c r="I108" s="165">
        <v>43619</v>
      </c>
      <c r="J108" s="551" t="s">
        <v>799</v>
      </c>
      <c r="K108" s="552" t="s">
        <v>73</v>
      </c>
      <c r="L108" s="130" t="s">
        <v>2870</v>
      </c>
    </row>
    <row r="109" spans="1:12" ht="16.5" customHeight="1">
      <c r="A109" s="186" t="s">
        <v>2510</v>
      </c>
      <c r="B109" s="186">
        <v>40372435</v>
      </c>
      <c r="C109" s="549">
        <v>16980</v>
      </c>
      <c r="D109" s="130" t="s">
        <v>2887</v>
      </c>
      <c r="E109" s="130" t="s">
        <v>2851</v>
      </c>
      <c r="F109" s="130" t="s">
        <v>2888</v>
      </c>
      <c r="G109" s="550" t="s">
        <v>2240</v>
      </c>
      <c r="I109" s="165">
        <v>43619</v>
      </c>
      <c r="J109" s="551" t="s">
        <v>799</v>
      </c>
      <c r="K109" s="552" t="s">
        <v>73</v>
      </c>
      <c r="L109" s="130" t="s">
        <v>2870</v>
      </c>
    </row>
    <row r="110" spans="1:12" ht="16.5" customHeight="1">
      <c r="A110" s="186" t="s">
        <v>2510</v>
      </c>
      <c r="B110" s="186">
        <v>79506572</v>
      </c>
      <c r="C110" s="549">
        <v>17950</v>
      </c>
      <c r="D110" s="130" t="s">
        <v>2889</v>
      </c>
      <c r="E110" s="130" t="s">
        <v>2655</v>
      </c>
      <c r="F110" s="130" t="s">
        <v>2656</v>
      </c>
      <c r="G110" s="550" t="s">
        <v>2274</v>
      </c>
      <c r="I110" s="165">
        <v>43619</v>
      </c>
      <c r="J110" s="551" t="s">
        <v>799</v>
      </c>
      <c r="K110" s="552" t="s">
        <v>73</v>
      </c>
      <c r="L110" s="130" t="s">
        <v>2870</v>
      </c>
    </row>
    <row r="111" spans="1:12" ht="16.5" customHeight="1">
      <c r="A111" s="186" t="s">
        <v>2510</v>
      </c>
      <c r="B111" s="186">
        <v>4429437</v>
      </c>
      <c r="C111" s="549">
        <v>17807</v>
      </c>
      <c r="D111" s="130" t="s">
        <v>2890</v>
      </c>
      <c r="E111" s="130" t="s">
        <v>2891</v>
      </c>
      <c r="F111" s="130" t="s">
        <v>2892</v>
      </c>
      <c r="G111" s="550" t="s">
        <v>2106</v>
      </c>
      <c r="I111" s="165">
        <v>43619</v>
      </c>
      <c r="J111" s="551" t="s">
        <v>799</v>
      </c>
      <c r="K111" s="552" t="s">
        <v>73</v>
      </c>
      <c r="L111" s="130" t="s">
        <v>2870</v>
      </c>
    </row>
    <row r="112" spans="1:12" ht="16.5" customHeight="1">
      <c r="A112" s="186" t="s">
        <v>2510</v>
      </c>
      <c r="B112" s="186">
        <v>17342171</v>
      </c>
      <c r="C112" s="549">
        <v>20515</v>
      </c>
      <c r="D112" s="130" t="s">
        <v>2893</v>
      </c>
      <c r="E112" s="130" t="s">
        <v>2894</v>
      </c>
      <c r="F112" s="130" t="s">
        <v>2895</v>
      </c>
      <c r="G112" s="550" t="s">
        <v>2313</v>
      </c>
      <c r="I112" s="165">
        <v>43619</v>
      </c>
      <c r="J112" s="551" t="s">
        <v>799</v>
      </c>
      <c r="K112" s="552" t="s">
        <v>73</v>
      </c>
      <c r="L112" s="130" t="s">
        <v>2870</v>
      </c>
    </row>
    <row r="113" spans="1:12" ht="16.5" customHeight="1">
      <c r="A113" s="186" t="s">
        <v>2510</v>
      </c>
      <c r="B113" s="186">
        <v>36001113</v>
      </c>
      <c r="C113" s="549">
        <v>17768</v>
      </c>
      <c r="D113" s="130" t="s">
        <v>2832</v>
      </c>
      <c r="E113" s="130" t="s">
        <v>2896</v>
      </c>
      <c r="F113" s="130" t="s">
        <v>2897</v>
      </c>
      <c r="G113" s="550" t="s">
        <v>2089</v>
      </c>
      <c r="I113" s="165">
        <v>43619</v>
      </c>
      <c r="J113" s="551" t="s">
        <v>799</v>
      </c>
      <c r="K113" s="552" t="s">
        <v>73</v>
      </c>
      <c r="L113" s="130" t="s">
        <v>2870</v>
      </c>
    </row>
    <row r="114" spans="1:12" ht="16.5" customHeight="1">
      <c r="A114" s="186" t="s">
        <v>2510</v>
      </c>
      <c r="B114" s="186">
        <v>36176428</v>
      </c>
      <c r="C114" s="549">
        <v>19249</v>
      </c>
      <c r="D114" s="130" t="s">
        <v>2898</v>
      </c>
      <c r="E114" s="130" t="s">
        <v>2899</v>
      </c>
      <c r="F114" s="130" t="s">
        <v>2900</v>
      </c>
      <c r="G114" s="550" t="s">
        <v>2072</v>
      </c>
      <c r="I114" s="165">
        <v>43619</v>
      </c>
      <c r="J114" s="551" t="s">
        <v>799</v>
      </c>
      <c r="K114" s="552" t="s">
        <v>73</v>
      </c>
      <c r="L114" s="130" t="s">
        <v>2870</v>
      </c>
    </row>
    <row r="115" spans="1:12" ht="16.5" customHeight="1">
      <c r="A115" s="186" t="s">
        <v>2510</v>
      </c>
      <c r="B115" s="186">
        <v>37243078</v>
      </c>
      <c r="C115" s="549">
        <v>18165</v>
      </c>
      <c r="D115" s="130" t="s">
        <v>2586</v>
      </c>
      <c r="E115" s="130" t="s">
        <v>2901</v>
      </c>
      <c r="F115" s="130" t="s">
        <v>2902</v>
      </c>
      <c r="G115" s="550" t="s">
        <v>2363</v>
      </c>
      <c r="I115" s="165">
        <v>43619</v>
      </c>
      <c r="J115" s="551" t="s">
        <v>799</v>
      </c>
      <c r="K115" s="552" t="s">
        <v>73</v>
      </c>
      <c r="L115" s="130" t="s">
        <v>2870</v>
      </c>
    </row>
    <row r="116" spans="1:12" ht="16.5" customHeight="1">
      <c r="A116" s="186" t="s">
        <v>2510</v>
      </c>
      <c r="B116" s="186">
        <v>305011</v>
      </c>
      <c r="C116" s="549">
        <v>18972</v>
      </c>
      <c r="D116" s="130" t="s">
        <v>2903</v>
      </c>
      <c r="E116" s="130" t="s">
        <v>2904</v>
      </c>
      <c r="F116" s="130" t="s">
        <v>2905</v>
      </c>
      <c r="G116" s="550" t="s">
        <v>2072</v>
      </c>
      <c r="I116" s="165">
        <v>43620</v>
      </c>
      <c r="J116" s="551" t="s">
        <v>799</v>
      </c>
      <c r="K116" s="552" t="s">
        <v>73</v>
      </c>
      <c r="L116" s="130" t="s">
        <v>2870</v>
      </c>
    </row>
    <row r="117" spans="1:12" ht="16.5" customHeight="1">
      <c r="A117" s="186" t="s">
        <v>2510</v>
      </c>
      <c r="B117" s="186">
        <v>4001772</v>
      </c>
      <c r="C117" s="549">
        <v>17809</v>
      </c>
      <c r="D117" s="130" t="s">
        <v>2697</v>
      </c>
      <c r="E117" s="130" t="s">
        <v>2906</v>
      </c>
      <c r="F117" s="130" t="s">
        <v>2907</v>
      </c>
      <c r="G117" s="550" t="s">
        <v>2638</v>
      </c>
      <c r="I117" s="165">
        <v>43620</v>
      </c>
      <c r="J117" s="551" t="s">
        <v>799</v>
      </c>
      <c r="K117" s="552" t="s">
        <v>73</v>
      </c>
      <c r="L117" s="130" t="s">
        <v>2870</v>
      </c>
    </row>
    <row r="118" spans="1:12" ht="16.5" customHeight="1">
      <c r="A118" s="186" t="s">
        <v>2510</v>
      </c>
      <c r="B118" s="186">
        <v>19789007</v>
      </c>
      <c r="C118" s="549">
        <v>18779</v>
      </c>
      <c r="D118" s="130" t="s">
        <v>2908</v>
      </c>
      <c r="E118" s="130" t="s">
        <v>2909</v>
      </c>
      <c r="F118" s="130" t="s">
        <v>2910</v>
      </c>
      <c r="G118" s="550" t="s">
        <v>2274</v>
      </c>
      <c r="I118" s="165">
        <v>43620</v>
      </c>
      <c r="J118" s="551" t="s">
        <v>799</v>
      </c>
      <c r="K118" s="552" t="s">
        <v>73</v>
      </c>
      <c r="L118" s="130" t="s">
        <v>2870</v>
      </c>
    </row>
    <row r="119" spans="1:12" ht="16.5" customHeight="1">
      <c r="A119" s="186" t="s">
        <v>2510</v>
      </c>
      <c r="B119" s="186">
        <v>24992455</v>
      </c>
      <c r="C119" s="549">
        <v>20644</v>
      </c>
      <c r="D119" s="130" t="s">
        <v>2911</v>
      </c>
      <c r="E119" s="130" t="s">
        <v>2912</v>
      </c>
      <c r="F119" s="130" t="s">
        <v>2913</v>
      </c>
      <c r="G119" s="550" t="s">
        <v>2106</v>
      </c>
      <c r="I119" s="165">
        <v>43620</v>
      </c>
      <c r="J119" s="551" t="s">
        <v>799</v>
      </c>
      <c r="K119" s="552" t="s">
        <v>73</v>
      </c>
      <c r="L119" s="130" t="s">
        <v>2870</v>
      </c>
    </row>
    <row r="120" spans="1:12" ht="16.5" customHeight="1">
      <c r="A120" s="186" t="s">
        <v>2510</v>
      </c>
      <c r="B120" s="186">
        <v>26372482</v>
      </c>
      <c r="C120" s="549">
        <v>18718</v>
      </c>
      <c r="D120" s="130" t="s">
        <v>2832</v>
      </c>
      <c r="E120" s="130" t="s">
        <v>2914</v>
      </c>
      <c r="F120" s="130" t="s">
        <v>2915</v>
      </c>
      <c r="G120" s="550" t="s">
        <v>2106</v>
      </c>
      <c r="I120" s="165">
        <v>43620</v>
      </c>
      <c r="J120" s="551" t="s">
        <v>799</v>
      </c>
      <c r="K120" s="552" t="s">
        <v>73</v>
      </c>
      <c r="L120" s="130" t="s">
        <v>2870</v>
      </c>
    </row>
    <row r="121" spans="1:12" ht="16.5" customHeight="1">
      <c r="A121" s="186" t="s">
        <v>2510</v>
      </c>
      <c r="B121" s="186">
        <v>32837635</v>
      </c>
      <c r="C121" s="549">
        <v>18384</v>
      </c>
      <c r="D121" s="130" t="s">
        <v>2903</v>
      </c>
      <c r="E121" s="130" t="s">
        <v>2916</v>
      </c>
      <c r="F121" s="130" t="s">
        <v>2917</v>
      </c>
      <c r="G121" s="550" t="s">
        <v>2363</v>
      </c>
      <c r="I121" s="165">
        <v>43620</v>
      </c>
      <c r="J121" s="551" t="s">
        <v>799</v>
      </c>
      <c r="K121" s="552" t="s">
        <v>73</v>
      </c>
      <c r="L121" s="130" t="s">
        <v>2870</v>
      </c>
    </row>
    <row r="122" spans="1:12" ht="16.5" customHeight="1">
      <c r="A122" s="186" t="s">
        <v>2510</v>
      </c>
      <c r="B122" s="186">
        <v>357848</v>
      </c>
      <c r="C122" s="549">
        <v>18938</v>
      </c>
      <c r="D122" s="130" t="s">
        <v>2918</v>
      </c>
      <c r="E122" s="130" t="s">
        <v>2919</v>
      </c>
      <c r="F122" s="130" t="s">
        <v>2920</v>
      </c>
      <c r="G122" s="550" t="s">
        <v>2129</v>
      </c>
      <c r="I122" s="165">
        <v>43620</v>
      </c>
      <c r="J122" s="551" t="s">
        <v>67</v>
      </c>
      <c r="K122" s="552" t="s">
        <v>799</v>
      </c>
      <c r="L122" s="130" t="s">
        <v>2921</v>
      </c>
    </row>
    <row r="123" spans="1:12" ht="16.5" customHeight="1">
      <c r="A123" s="186" t="s">
        <v>2510</v>
      </c>
      <c r="B123" s="186">
        <v>32430589</v>
      </c>
      <c r="C123" s="549">
        <v>16254</v>
      </c>
      <c r="D123" s="130" t="s">
        <v>2922</v>
      </c>
      <c r="E123" s="130" t="s">
        <v>2923</v>
      </c>
      <c r="F123" s="130" t="s">
        <v>2924</v>
      </c>
      <c r="G123" s="550" t="s">
        <v>65</v>
      </c>
      <c r="I123" s="165">
        <v>43620</v>
      </c>
      <c r="J123" s="551" t="s">
        <v>73</v>
      </c>
      <c r="K123" s="552" t="s">
        <v>67</v>
      </c>
      <c r="L123" s="130" t="s">
        <v>2664</v>
      </c>
    </row>
    <row r="124" spans="1:12" ht="16.5" customHeight="1">
      <c r="A124" s="186" t="s">
        <v>2510</v>
      </c>
      <c r="B124" s="186">
        <v>29071677</v>
      </c>
      <c r="C124" s="549">
        <v>18801</v>
      </c>
      <c r="D124" s="130" t="s">
        <v>2925</v>
      </c>
      <c r="E124" s="130" t="s">
        <v>2926</v>
      </c>
      <c r="F124" s="130" t="s">
        <v>2900</v>
      </c>
      <c r="G124" s="550" t="s">
        <v>2185</v>
      </c>
      <c r="I124" s="165">
        <v>43620</v>
      </c>
      <c r="J124" s="551" t="s">
        <v>799</v>
      </c>
      <c r="K124" s="552" t="s">
        <v>799</v>
      </c>
      <c r="L124" s="130" t="s">
        <v>2927</v>
      </c>
    </row>
    <row r="125" spans="1:12" ht="16.5" customHeight="1">
      <c r="A125" s="186" t="s">
        <v>2584</v>
      </c>
      <c r="B125" s="186">
        <v>33211764</v>
      </c>
      <c r="C125" s="549">
        <v>21373</v>
      </c>
      <c r="D125" s="130" t="s">
        <v>2928</v>
      </c>
      <c r="E125" s="130" t="s">
        <v>2929</v>
      </c>
      <c r="F125" s="130" t="s">
        <v>2930</v>
      </c>
      <c r="G125" s="550" t="s">
        <v>2094</v>
      </c>
      <c r="I125" s="165">
        <v>43620</v>
      </c>
      <c r="J125" s="551" t="s">
        <v>799</v>
      </c>
      <c r="K125" s="552" t="s">
        <v>73</v>
      </c>
      <c r="L125" s="130" t="s">
        <v>2931</v>
      </c>
    </row>
    <row r="126" spans="1:12" ht="16.5" customHeight="1">
      <c r="A126" s="186" t="s">
        <v>2584</v>
      </c>
      <c r="B126" s="186">
        <v>30645014</v>
      </c>
      <c r="C126" s="549">
        <v>17007</v>
      </c>
      <c r="D126" s="130" t="s">
        <v>2932</v>
      </c>
      <c r="E126" s="130" t="s">
        <v>2933</v>
      </c>
      <c r="F126" s="130" t="s">
        <v>2934</v>
      </c>
      <c r="G126" s="550" t="s">
        <v>2313</v>
      </c>
      <c r="I126" s="165">
        <v>43620</v>
      </c>
      <c r="J126" s="551" t="s">
        <v>799</v>
      </c>
      <c r="K126" s="552" t="s">
        <v>73</v>
      </c>
      <c r="L126" s="130" t="s">
        <v>2931</v>
      </c>
    </row>
    <row r="127" spans="1:12" ht="16.5" customHeight="1">
      <c r="A127" s="186" t="s">
        <v>2510</v>
      </c>
      <c r="B127" s="186">
        <v>94473188</v>
      </c>
      <c r="D127" s="130" t="s">
        <v>2832</v>
      </c>
      <c r="E127" s="130" t="s">
        <v>2833</v>
      </c>
      <c r="F127" s="130" t="s">
        <v>2629</v>
      </c>
      <c r="G127" s="550" t="s">
        <v>2052</v>
      </c>
      <c r="H127" s="130" t="s">
        <v>2834</v>
      </c>
      <c r="I127" s="165">
        <v>43620</v>
      </c>
      <c r="J127" s="551" t="s">
        <v>73</v>
      </c>
      <c r="K127" s="552" t="s">
        <v>799</v>
      </c>
      <c r="L127" s="130" t="s">
        <v>2935</v>
      </c>
    </row>
    <row r="128" spans="1:12" ht="16.5" customHeight="1">
      <c r="A128" s="186" t="s">
        <v>2510</v>
      </c>
      <c r="B128" s="186">
        <v>5240585</v>
      </c>
      <c r="C128" s="549">
        <v>20125</v>
      </c>
      <c r="D128" s="130" t="s">
        <v>2863</v>
      </c>
      <c r="E128" s="130" t="s">
        <v>2936</v>
      </c>
      <c r="F128" s="130" t="s">
        <v>2937</v>
      </c>
      <c r="G128" s="550" t="s">
        <v>2290</v>
      </c>
      <c r="I128" s="165">
        <v>43622</v>
      </c>
      <c r="J128" s="551" t="s">
        <v>799</v>
      </c>
      <c r="K128" s="552" t="s">
        <v>67</v>
      </c>
      <c r="L128" s="130" t="s">
        <v>2664</v>
      </c>
    </row>
    <row r="129" spans="1:12" ht="16.5" customHeight="1">
      <c r="A129" s="186" t="s">
        <v>2510</v>
      </c>
      <c r="B129" s="186">
        <v>35745298</v>
      </c>
      <c r="C129" s="549">
        <v>20070</v>
      </c>
      <c r="D129" s="130" t="s">
        <v>2938</v>
      </c>
      <c r="E129" s="130" t="s">
        <v>2939</v>
      </c>
      <c r="F129" s="130" t="s">
        <v>2940</v>
      </c>
      <c r="G129" s="550" t="s">
        <v>2185</v>
      </c>
      <c r="I129" s="165">
        <v>43622</v>
      </c>
      <c r="J129" s="551" t="s">
        <v>799</v>
      </c>
      <c r="K129" s="552" t="s">
        <v>72</v>
      </c>
      <c r="L129" s="130" t="s">
        <v>2866</v>
      </c>
    </row>
    <row r="130" spans="1:12" ht="16.5" customHeight="1">
      <c r="A130" s="186" t="s">
        <v>2510</v>
      </c>
      <c r="B130" s="186">
        <v>234013</v>
      </c>
      <c r="C130" s="549">
        <v>17820</v>
      </c>
      <c r="D130" s="130" t="s">
        <v>2558</v>
      </c>
      <c r="E130" s="130" t="s">
        <v>2836</v>
      </c>
      <c r="F130" s="130" t="s">
        <v>2837</v>
      </c>
      <c r="G130" s="550" t="s">
        <v>2046</v>
      </c>
      <c r="I130" s="165">
        <v>43622</v>
      </c>
      <c r="J130" s="551" t="s">
        <v>67</v>
      </c>
      <c r="L130" s="130" t="s">
        <v>2941</v>
      </c>
    </row>
    <row r="131" spans="1:12" ht="16.5" customHeight="1">
      <c r="A131" s="186" t="s">
        <v>2510</v>
      </c>
      <c r="B131" s="186">
        <v>100215459</v>
      </c>
      <c r="D131" s="130" t="s">
        <v>2942</v>
      </c>
      <c r="E131" s="130" t="s">
        <v>2943</v>
      </c>
      <c r="F131" s="130" t="s">
        <v>2944</v>
      </c>
      <c r="G131" s="550" t="s">
        <v>2413</v>
      </c>
      <c r="I131" s="165">
        <v>43623</v>
      </c>
      <c r="J131" s="551" t="s">
        <v>799</v>
      </c>
      <c r="K131" s="552" t="s">
        <v>799</v>
      </c>
      <c r="L131" s="130" t="s">
        <v>2945</v>
      </c>
    </row>
    <row r="132" spans="1:12" ht="16.5" customHeight="1">
      <c r="A132" s="186" t="s">
        <v>2510</v>
      </c>
      <c r="B132" s="186">
        <v>38492948</v>
      </c>
      <c r="C132" s="549">
        <v>14307</v>
      </c>
      <c r="D132" s="130" t="s">
        <v>2946</v>
      </c>
      <c r="E132" s="130" t="s">
        <v>2772</v>
      </c>
      <c r="F132" s="130" t="s">
        <v>2703</v>
      </c>
      <c r="G132" s="550" t="s">
        <v>2064</v>
      </c>
      <c r="I132" s="165">
        <v>43623</v>
      </c>
      <c r="J132" s="551" t="s">
        <v>73</v>
      </c>
      <c r="K132" s="552" t="s">
        <v>67</v>
      </c>
      <c r="L132" s="130" t="s">
        <v>2664</v>
      </c>
    </row>
    <row r="133" spans="1:12" ht="16.5" customHeight="1">
      <c r="A133" s="186" t="s">
        <v>2584</v>
      </c>
      <c r="B133" s="186">
        <v>100082816</v>
      </c>
      <c r="C133" s="549">
        <v>14418</v>
      </c>
      <c r="D133" s="130" t="s">
        <v>2697</v>
      </c>
      <c r="E133" s="130" t="s">
        <v>2947</v>
      </c>
      <c r="F133" s="130" t="s">
        <v>2948</v>
      </c>
      <c r="G133" s="550" t="s">
        <v>2077</v>
      </c>
      <c r="H133" s="130" t="s">
        <v>2949</v>
      </c>
      <c r="I133" s="165">
        <v>43627</v>
      </c>
      <c r="J133" s="551" t="s">
        <v>799</v>
      </c>
      <c r="K133" s="552" t="s">
        <v>2516</v>
      </c>
      <c r="L133" s="130" t="s">
        <v>2950</v>
      </c>
    </row>
    <row r="134" spans="1:12" ht="16.5" customHeight="1">
      <c r="A134" s="186" t="s">
        <v>2584</v>
      </c>
      <c r="B134" s="186">
        <v>20703229</v>
      </c>
      <c r="D134" s="130" t="s">
        <v>2733</v>
      </c>
      <c r="E134" s="130" t="s">
        <v>2951</v>
      </c>
      <c r="F134" s="130" t="s">
        <v>2952</v>
      </c>
      <c r="G134" s="550" t="s">
        <v>2081</v>
      </c>
      <c r="I134" s="165">
        <v>43634</v>
      </c>
      <c r="J134" s="551" t="s">
        <v>799</v>
      </c>
      <c r="K134" s="552" t="s">
        <v>2516</v>
      </c>
      <c r="L134" s="556" t="s">
        <v>2953</v>
      </c>
    </row>
    <row r="135" spans="1:12" ht="16.5" customHeight="1">
      <c r="A135" s="186" t="s">
        <v>2584</v>
      </c>
      <c r="D135" s="130" t="s">
        <v>2954</v>
      </c>
      <c r="E135" s="130" t="s">
        <v>2955</v>
      </c>
      <c r="F135" s="130" t="s">
        <v>2956</v>
      </c>
      <c r="G135" s="550" t="s">
        <v>2094</v>
      </c>
      <c r="I135" s="165">
        <v>43634</v>
      </c>
      <c r="J135" s="551" t="s">
        <v>799</v>
      </c>
      <c r="K135" s="552" t="s">
        <v>73</v>
      </c>
      <c r="L135" s="130" t="s">
        <v>2957</v>
      </c>
    </row>
    <row r="136" spans="1:12" ht="16.5" customHeight="1">
      <c r="A136" s="186" t="s">
        <v>2510</v>
      </c>
      <c r="B136" s="186">
        <v>35242130</v>
      </c>
      <c r="C136" s="549">
        <v>20791</v>
      </c>
      <c r="D136" s="130" t="s">
        <v>2958</v>
      </c>
      <c r="E136" s="130" t="s">
        <v>2959</v>
      </c>
      <c r="F136" s="130" t="s">
        <v>2960</v>
      </c>
      <c r="G136" s="550" t="s">
        <v>2446</v>
      </c>
      <c r="I136" s="165">
        <v>43634</v>
      </c>
      <c r="J136" s="551" t="s">
        <v>799</v>
      </c>
      <c r="K136" s="552" t="s">
        <v>72</v>
      </c>
      <c r="L136" s="130" t="s">
        <v>2866</v>
      </c>
    </row>
    <row r="137" spans="1:12" ht="16.5" customHeight="1">
      <c r="A137" s="186" t="s">
        <v>2510</v>
      </c>
      <c r="B137" s="186">
        <v>10166593</v>
      </c>
      <c r="C137" s="549">
        <v>19146</v>
      </c>
      <c r="D137" s="130" t="s">
        <v>2961</v>
      </c>
      <c r="E137" s="130" t="s">
        <v>2962</v>
      </c>
      <c r="F137" s="130" t="s">
        <v>2888</v>
      </c>
      <c r="G137" s="550" t="s">
        <v>2274</v>
      </c>
      <c r="I137" s="165">
        <v>43636</v>
      </c>
      <c r="J137" s="551" t="s">
        <v>799</v>
      </c>
      <c r="K137" s="552" t="s">
        <v>73</v>
      </c>
      <c r="L137" s="130" t="s">
        <v>2870</v>
      </c>
    </row>
    <row r="138" spans="1:12" ht="16.5" customHeight="1">
      <c r="A138" s="186" t="s">
        <v>2510</v>
      </c>
      <c r="B138" s="186">
        <v>1115021</v>
      </c>
      <c r="C138" s="549">
        <v>17894</v>
      </c>
      <c r="D138" s="130" t="s">
        <v>2963</v>
      </c>
      <c r="E138" s="130" t="s">
        <v>2964</v>
      </c>
      <c r="F138" s="130" t="s">
        <v>2965</v>
      </c>
      <c r="G138" s="550" t="s">
        <v>2094</v>
      </c>
      <c r="I138" s="165">
        <v>43640</v>
      </c>
      <c r="J138" s="551" t="s">
        <v>799</v>
      </c>
      <c r="K138" s="552" t="s">
        <v>67</v>
      </c>
      <c r="L138" s="130" t="s">
        <v>2664</v>
      </c>
    </row>
    <row r="139" spans="1:12" ht="16.5" customHeight="1">
      <c r="A139" s="186" t="s">
        <v>2510</v>
      </c>
      <c r="B139" s="186">
        <v>29246634</v>
      </c>
      <c r="D139" s="130" t="s">
        <v>2541</v>
      </c>
      <c r="E139" s="130" t="s">
        <v>2689</v>
      </c>
      <c r="F139" s="130" t="s">
        <v>2690</v>
      </c>
      <c r="G139" s="550" t="s">
        <v>2094</v>
      </c>
      <c r="I139" s="165">
        <v>43640</v>
      </c>
      <c r="J139" s="551" t="s">
        <v>799</v>
      </c>
      <c r="K139" s="552" t="s">
        <v>67</v>
      </c>
      <c r="L139" s="130" t="s">
        <v>2664</v>
      </c>
    </row>
    <row r="140" spans="1:12" ht="16.5" customHeight="1">
      <c r="A140" s="186" t="s">
        <v>2510</v>
      </c>
      <c r="B140" s="186">
        <v>370221</v>
      </c>
      <c r="C140" s="549">
        <v>18515</v>
      </c>
      <c r="D140" s="130" t="s">
        <v>2966</v>
      </c>
      <c r="E140" s="130" t="s">
        <v>2964</v>
      </c>
      <c r="F140" s="130" t="s">
        <v>2888</v>
      </c>
      <c r="G140" s="550" t="s">
        <v>2274</v>
      </c>
      <c r="I140" s="165">
        <v>43640</v>
      </c>
      <c r="J140" s="551" t="s">
        <v>799</v>
      </c>
      <c r="K140" s="552" t="s">
        <v>73</v>
      </c>
      <c r="L140" s="130" t="s">
        <v>2870</v>
      </c>
    </row>
    <row r="141" spans="1:12" ht="16.5" customHeight="1">
      <c r="A141" s="186" t="s">
        <v>2510</v>
      </c>
      <c r="B141" s="186">
        <v>474445</v>
      </c>
      <c r="C141" s="549">
        <v>13150</v>
      </c>
      <c r="D141" s="130" t="s">
        <v>2612</v>
      </c>
      <c r="E141" s="130" t="s">
        <v>2967</v>
      </c>
      <c r="F141" s="130" t="s">
        <v>2968</v>
      </c>
      <c r="G141" s="550" t="s">
        <v>2094</v>
      </c>
      <c r="I141" s="165">
        <v>43640</v>
      </c>
      <c r="J141" s="551" t="s">
        <v>799</v>
      </c>
      <c r="K141" s="552" t="s">
        <v>73</v>
      </c>
      <c r="L141" s="130" t="s">
        <v>2870</v>
      </c>
    </row>
    <row r="142" spans="1:12" ht="16.5" customHeight="1">
      <c r="A142" s="186" t="s">
        <v>2510</v>
      </c>
      <c r="B142" s="186">
        <v>886432</v>
      </c>
      <c r="C142" s="549">
        <v>12175</v>
      </c>
      <c r="D142" s="130" t="s">
        <v>2969</v>
      </c>
      <c r="E142" s="130" t="s">
        <v>2970</v>
      </c>
      <c r="F142" s="130" t="s">
        <v>2971</v>
      </c>
      <c r="G142" s="550" t="s">
        <v>2972</v>
      </c>
      <c r="I142" s="165">
        <v>43640</v>
      </c>
      <c r="J142" s="551" t="s">
        <v>799</v>
      </c>
      <c r="K142" s="552" t="s">
        <v>73</v>
      </c>
      <c r="L142" s="130" t="s">
        <v>2870</v>
      </c>
    </row>
    <row r="143" spans="1:12" ht="16.5" customHeight="1">
      <c r="A143" s="186" t="s">
        <v>2510</v>
      </c>
      <c r="B143" s="186">
        <v>921502</v>
      </c>
      <c r="C143" s="549">
        <v>16147</v>
      </c>
      <c r="D143" s="130" t="s">
        <v>2733</v>
      </c>
      <c r="E143" s="130" t="s">
        <v>2973</v>
      </c>
      <c r="F143" s="130" t="s">
        <v>2974</v>
      </c>
      <c r="G143" s="550" t="s">
        <v>2072</v>
      </c>
      <c r="I143" s="165">
        <v>43640</v>
      </c>
      <c r="J143" s="551" t="s">
        <v>799</v>
      </c>
      <c r="K143" s="552" t="s">
        <v>73</v>
      </c>
      <c r="L143" s="130" t="s">
        <v>2870</v>
      </c>
    </row>
    <row r="144" spans="1:12" ht="16.5" customHeight="1">
      <c r="A144" s="186" t="s">
        <v>2510</v>
      </c>
      <c r="B144" s="186">
        <v>6612113</v>
      </c>
      <c r="C144" s="549">
        <v>17900</v>
      </c>
      <c r="D144" s="130" t="s">
        <v>2733</v>
      </c>
      <c r="E144" s="130" t="s">
        <v>2975</v>
      </c>
      <c r="F144" s="130" t="s">
        <v>2976</v>
      </c>
      <c r="G144" s="550" t="s">
        <v>2094</v>
      </c>
      <c r="I144" s="165">
        <v>43640</v>
      </c>
      <c r="J144" s="551" t="s">
        <v>799</v>
      </c>
      <c r="K144" s="552" t="s">
        <v>73</v>
      </c>
      <c r="L144" s="130" t="s">
        <v>2870</v>
      </c>
    </row>
    <row r="145" spans="1:12" ht="16.5" customHeight="1">
      <c r="A145" s="186" t="s">
        <v>2510</v>
      </c>
      <c r="B145" s="186">
        <v>8929341</v>
      </c>
      <c r="C145" s="549">
        <v>18618</v>
      </c>
      <c r="D145" s="130" t="s">
        <v>2733</v>
      </c>
      <c r="E145" s="130" t="s">
        <v>2977</v>
      </c>
      <c r="F145" s="130" t="s">
        <v>2978</v>
      </c>
      <c r="G145" s="550" t="s">
        <v>2162</v>
      </c>
      <c r="I145" s="165">
        <v>43640</v>
      </c>
      <c r="J145" s="551" t="s">
        <v>799</v>
      </c>
      <c r="K145" s="552" t="s">
        <v>73</v>
      </c>
      <c r="L145" s="130" t="s">
        <v>2870</v>
      </c>
    </row>
    <row r="146" spans="1:12" ht="16.5" customHeight="1">
      <c r="A146" s="186" t="s">
        <v>2510</v>
      </c>
      <c r="B146" s="186">
        <v>13610092</v>
      </c>
      <c r="C146" s="549">
        <v>17348</v>
      </c>
      <c r="D146" s="130" t="s">
        <v>2979</v>
      </c>
      <c r="E146" s="130" t="s">
        <v>2980</v>
      </c>
      <c r="F146" s="130" t="s">
        <v>2981</v>
      </c>
      <c r="G146" s="550" t="s">
        <v>2072</v>
      </c>
      <c r="I146" s="165">
        <v>43640</v>
      </c>
      <c r="J146" s="551" t="s">
        <v>799</v>
      </c>
      <c r="K146" s="552" t="s">
        <v>73</v>
      </c>
      <c r="L146" s="130" t="s">
        <v>2870</v>
      </c>
    </row>
    <row r="147" spans="1:12" ht="16.5" customHeight="1">
      <c r="A147" s="186" t="s">
        <v>2510</v>
      </c>
      <c r="B147" s="186">
        <v>16735524</v>
      </c>
      <c r="C147" s="549">
        <v>19865</v>
      </c>
      <c r="D147" s="130" t="s">
        <v>2982</v>
      </c>
      <c r="E147" s="130" t="s">
        <v>2983</v>
      </c>
      <c r="F147" s="130" t="s">
        <v>2984</v>
      </c>
      <c r="G147" s="550" t="s">
        <v>2094</v>
      </c>
      <c r="I147" s="165">
        <v>43640</v>
      </c>
      <c r="J147" s="551" t="s">
        <v>799</v>
      </c>
      <c r="K147" s="552" t="s">
        <v>73</v>
      </c>
      <c r="L147" s="130" t="s">
        <v>2870</v>
      </c>
    </row>
    <row r="148" spans="1:12" ht="16.5" customHeight="1">
      <c r="A148" s="186" t="s">
        <v>2510</v>
      </c>
      <c r="B148" s="186">
        <v>17906223</v>
      </c>
      <c r="C148" s="549">
        <v>21451</v>
      </c>
      <c r="D148" s="130" t="s">
        <v>2985</v>
      </c>
      <c r="E148" s="130" t="s">
        <v>2986</v>
      </c>
      <c r="F148" s="130" t="s">
        <v>2987</v>
      </c>
      <c r="G148" s="550" t="s">
        <v>2106</v>
      </c>
      <c r="I148" s="165">
        <v>43640</v>
      </c>
      <c r="J148" s="551" t="s">
        <v>799</v>
      </c>
      <c r="K148" s="552" t="s">
        <v>73</v>
      </c>
      <c r="L148" s="130" t="s">
        <v>2870</v>
      </c>
    </row>
    <row r="149" spans="1:12" ht="16.5" customHeight="1">
      <c r="A149" s="186" t="s">
        <v>2510</v>
      </c>
      <c r="B149" s="186">
        <v>20480398</v>
      </c>
      <c r="C149" s="549">
        <v>17897</v>
      </c>
      <c r="D149" s="130" t="s">
        <v>2597</v>
      </c>
      <c r="E149" s="130" t="s">
        <v>2988</v>
      </c>
      <c r="F149" s="130" t="s">
        <v>2777</v>
      </c>
      <c r="G149" s="550" t="s">
        <v>2094</v>
      </c>
      <c r="I149" s="165">
        <v>43640</v>
      </c>
      <c r="J149" s="551" t="s">
        <v>799</v>
      </c>
      <c r="K149" s="552" t="s">
        <v>73</v>
      </c>
      <c r="L149" s="130" t="s">
        <v>2870</v>
      </c>
    </row>
    <row r="150" spans="1:12" ht="16.5" customHeight="1">
      <c r="A150" s="186" t="s">
        <v>2510</v>
      </c>
      <c r="B150" s="186">
        <v>20758306</v>
      </c>
      <c r="C150" s="549">
        <v>17456</v>
      </c>
      <c r="D150" s="130" t="s">
        <v>2989</v>
      </c>
      <c r="E150" s="130" t="s">
        <v>2990</v>
      </c>
      <c r="F150" s="130" t="s">
        <v>2991</v>
      </c>
      <c r="G150" s="550" t="s">
        <v>2106</v>
      </c>
      <c r="I150" s="165">
        <v>43640</v>
      </c>
      <c r="J150" s="551" t="s">
        <v>799</v>
      </c>
      <c r="K150" s="552" t="s">
        <v>73</v>
      </c>
      <c r="L150" s="130" t="s">
        <v>2870</v>
      </c>
    </row>
    <row r="151" spans="1:12" ht="16.5" customHeight="1">
      <c r="A151" s="186" t="s">
        <v>2510</v>
      </c>
      <c r="B151" s="186">
        <v>27561240</v>
      </c>
      <c r="C151" s="549">
        <v>12864</v>
      </c>
      <c r="D151" s="130" t="s">
        <v>2992</v>
      </c>
      <c r="E151" s="130" t="s">
        <v>2993</v>
      </c>
      <c r="F151" s="130" t="s">
        <v>2994</v>
      </c>
      <c r="G151" s="550" t="s">
        <v>2072</v>
      </c>
      <c r="I151" s="165">
        <v>43640</v>
      </c>
      <c r="J151" s="551" t="s">
        <v>799</v>
      </c>
      <c r="K151" s="552" t="s">
        <v>73</v>
      </c>
      <c r="L151" s="130" t="s">
        <v>2870</v>
      </c>
    </row>
    <row r="152" spans="1:12" ht="16.5" customHeight="1">
      <c r="A152" s="186" t="s">
        <v>2510</v>
      </c>
      <c r="B152" s="186">
        <v>27628924</v>
      </c>
      <c r="C152" s="549">
        <v>21013</v>
      </c>
      <c r="D152" s="130" t="s">
        <v>2995</v>
      </c>
      <c r="E152" s="130" t="s">
        <v>2996</v>
      </c>
      <c r="F152" s="130" t="s">
        <v>2997</v>
      </c>
      <c r="G152" s="550" t="s">
        <v>2274</v>
      </c>
      <c r="I152" s="165">
        <v>43640</v>
      </c>
      <c r="J152" s="551" t="s">
        <v>799</v>
      </c>
      <c r="K152" s="552" t="s">
        <v>73</v>
      </c>
      <c r="L152" s="130" t="s">
        <v>2870</v>
      </c>
    </row>
    <row r="153" spans="1:12" ht="16.5" customHeight="1">
      <c r="A153" s="186" t="s">
        <v>2510</v>
      </c>
      <c r="B153" s="186">
        <v>30193866</v>
      </c>
      <c r="C153" s="549">
        <v>16070</v>
      </c>
      <c r="D153" s="130" t="s">
        <v>2998</v>
      </c>
      <c r="E153" s="130" t="s">
        <v>2999</v>
      </c>
      <c r="F153" s="130" t="s">
        <v>3000</v>
      </c>
      <c r="G153" s="550" t="s">
        <v>2274</v>
      </c>
      <c r="I153" s="165">
        <v>43640</v>
      </c>
      <c r="J153" s="551" t="s">
        <v>799</v>
      </c>
      <c r="K153" s="552" t="s">
        <v>73</v>
      </c>
      <c r="L153" s="130" t="s">
        <v>2870</v>
      </c>
    </row>
    <row r="154" spans="1:12" ht="16.5" customHeight="1">
      <c r="A154" s="186" t="s">
        <v>2510</v>
      </c>
      <c r="B154" s="186">
        <v>35933092</v>
      </c>
      <c r="C154" s="549">
        <v>13485</v>
      </c>
      <c r="D154" s="130" t="s">
        <v>2586</v>
      </c>
      <c r="E154" s="130" t="s">
        <v>2962</v>
      </c>
      <c r="F154" s="130" t="s">
        <v>3001</v>
      </c>
      <c r="G154" s="550" t="s">
        <v>2072</v>
      </c>
      <c r="I154" s="165">
        <v>43640</v>
      </c>
      <c r="J154" s="551" t="s">
        <v>799</v>
      </c>
      <c r="K154" s="552" t="s">
        <v>73</v>
      </c>
      <c r="L154" s="130" t="s">
        <v>2870</v>
      </c>
    </row>
    <row r="155" spans="1:12" ht="16.5" customHeight="1">
      <c r="A155" s="186" t="s">
        <v>2510</v>
      </c>
      <c r="B155" s="186">
        <v>36522431</v>
      </c>
      <c r="C155" s="549">
        <v>19613</v>
      </c>
      <c r="D155" s="130" t="s">
        <v>3002</v>
      </c>
      <c r="E155" s="130" t="s">
        <v>3003</v>
      </c>
      <c r="F155" s="130" t="s">
        <v>3004</v>
      </c>
      <c r="G155" s="550" t="s">
        <v>2112</v>
      </c>
      <c r="I155" s="165">
        <v>43640</v>
      </c>
      <c r="J155" s="551" t="s">
        <v>799</v>
      </c>
      <c r="K155" s="552" t="s">
        <v>73</v>
      </c>
      <c r="L155" s="130" t="s">
        <v>2870</v>
      </c>
    </row>
    <row r="156" spans="1:12" ht="16.5" customHeight="1">
      <c r="A156" s="186" t="s">
        <v>2510</v>
      </c>
      <c r="B156" s="186">
        <v>37114121</v>
      </c>
      <c r="C156" s="549">
        <v>19115</v>
      </c>
      <c r="D156" s="130" t="s">
        <v>3005</v>
      </c>
      <c r="E156" s="130" t="s">
        <v>3006</v>
      </c>
      <c r="F156" s="130" t="s">
        <v>3007</v>
      </c>
      <c r="G156" s="550" t="s">
        <v>2072</v>
      </c>
      <c r="I156" s="165">
        <v>43640</v>
      </c>
      <c r="J156" s="551" t="s">
        <v>799</v>
      </c>
      <c r="K156" s="552" t="s">
        <v>73</v>
      </c>
      <c r="L156" s="130" t="s">
        <v>2870</v>
      </c>
    </row>
    <row r="157" spans="1:12" ht="16.5" customHeight="1">
      <c r="A157" s="186" t="s">
        <v>2510</v>
      </c>
      <c r="B157" s="186">
        <v>37489580</v>
      </c>
      <c r="C157" s="549">
        <v>18772</v>
      </c>
      <c r="D157" s="130" t="s">
        <v>3008</v>
      </c>
      <c r="E157" s="130" t="s">
        <v>3009</v>
      </c>
      <c r="F157" s="130" t="s">
        <v>3010</v>
      </c>
      <c r="G157" s="550" t="s">
        <v>2094</v>
      </c>
      <c r="I157" s="165">
        <v>43640</v>
      </c>
      <c r="J157" s="551" t="s">
        <v>799</v>
      </c>
      <c r="K157" s="552" t="s">
        <v>73</v>
      </c>
      <c r="L157" s="130" t="s">
        <v>2870</v>
      </c>
    </row>
    <row r="158" spans="1:12" ht="16.5" customHeight="1">
      <c r="A158" s="186" t="s">
        <v>2510</v>
      </c>
      <c r="B158" s="186">
        <v>38063756</v>
      </c>
      <c r="C158" s="549">
        <v>20351</v>
      </c>
      <c r="D158" s="130" t="s">
        <v>3011</v>
      </c>
      <c r="E158" s="130" t="s">
        <v>3012</v>
      </c>
      <c r="F158" s="130" t="s">
        <v>3013</v>
      </c>
      <c r="G158" s="550" t="s">
        <v>2274</v>
      </c>
      <c r="I158" s="165">
        <v>43640</v>
      </c>
      <c r="J158" s="551" t="s">
        <v>799</v>
      </c>
      <c r="K158" s="552" t="s">
        <v>73</v>
      </c>
      <c r="L158" s="130" t="s">
        <v>2870</v>
      </c>
    </row>
    <row r="159" spans="1:12" ht="16.5" customHeight="1">
      <c r="A159" s="186" t="s">
        <v>2510</v>
      </c>
      <c r="B159" s="186">
        <v>39989140</v>
      </c>
      <c r="C159" s="549">
        <v>24280</v>
      </c>
      <c r="D159" s="130" t="s">
        <v>2961</v>
      </c>
      <c r="E159" s="130" t="s">
        <v>3014</v>
      </c>
      <c r="F159" s="130" t="s">
        <v>3015</v>
      </c>
      <c r="G159" s="550" t="s">
        <v>2106</v>
      </c>
      <c r="I159" s="165">
        <v>43640</v>
      </c>
      <c r="J159" s="551" t="s">
        <v>799</v>
      </c>
      <c r="K159" s="552" t="s">
        <v>73</v>
      </c>
      <c r="L159" s="130" t="s">
        <v>2870</v>
      </c>
    </row>
    <row r="160" spans="1:12" ht="16.5" customHeight="1">
      <c r="A160" s="186" t="s">
        <v>2510</v>
      </c>
      <c r="B160" s="186">
        <v>40781106</v>
      </c>
      <c r="C160" s="549">
        <v>16340</v>
      </c>
      <c r="D160" s="130" t="s">
        <v>2841</v>
      </c>
      <c r="E160" s="130" t="s">
        <v>3016</v>
      </c>
      <c r="F160" s="130" t="s">
        <v>3017</v>
      </c>
      <c r="G160" s="550" t="s">
        <v>2112</v>
      </c>
      <c r="I160" s="165">
        <v>43640</v>
      </c>
      <c r="J160" s="551" t="s">
        <v>799</v>
      </c>
      <c r="K160" s="552" t="s">
        <v>73</v>
      </c>
      <c r="L160" s="130" t="s">
        <v>2870</v>
      </c>
    </row>
    <row r="161" spans="1:12" ht="16.5" customHeight="1">
      <c r="A161" s="186" t="s">
        <v>2510</v>
      </c>
      <c r="B161" s="186">
        <v>40783086</v>
      </c>
      <c r="C161" s="549">
        <v>20665</v>
      </c>
      <c r="D161" s="130" t="s">
        <v>2898</v>
      </c>
      <c r="E161" s="130" t="s">
        <v>3018</v>
      </c>
      <c r="F161" s="130" t="s">
        <v>3019</v>
      </c>
      <c r="G161" s="550" t="s">
        <v>2129</v>
      </c>
      <c r="I161" s="165">
        <v>43640</v>
      </c>
      <c r="J161" s="551" t="s">
        <v>799</v>
      </c>
      <c r="K161" s="552" t="s">
        <v>73</v>
      </c>
      <c r="L161" s="130" t="s">
        <v>2870</v>
      </c>
    </row>
    <row r="162" spans="1:12" ht="16.5" customHeight="1">
      <c r="A162" s="186" t="s">
        <v>2510</v>
      </c>
      <c r="B162" s="186">
        <v>1799436</v>
      </c>
      <c r="C162" s="549">
        <v>14512</v>
      </c>
      <c r="D162" s="130" t="s">
        <v>2992</v>
      </c>
      <c r="E162" s="130" t="s">
        <v>3020</v>
      </c>
      <c r="F162" s="130" t="s">
        <v>3021</v>
      </c>
      <c r="G162" s="550" t="s">
        <v>2162</v>
      </c>
      <c r="I162" s="165">
        <v>43640</v>
      </c>
      <c r="J162" s="551" t="s">
        <v>799</v>
      </c>
      <c r="K162" s="552" t="s">
        <v>72</v>
      </c>
      <c r="L162" s="130" t="s">
        <v>2866</v>
      </c>
    </row>
    <row r="163" spans="1:12" ht="16.5" customHeight="1">
      <c r="A163" s="186" t="s">
        <v>2510</v>
      </c>
      <c r="B163" s="186">
        <v>20349866</v>
      </c>
      <c r="C163" s="549">
        <v>18409</v>
      </c>
      <c r="D163" s="130" t="s">
        <v>3022</v>
      </c>
      <c r="E163" s="130" t="s">
        <v>3023</v>
      </c>
      <c r="F163" s="130" t="s">
        <v>3024</v>
      </c>
      <c r="G163" s="550" t="s">
        <v>2072</v>
      </c>
      <c r="I163" s="165">
        <v>43640</v>
      </c>
      <c r="J163" s="551" t="s">
        <v>799</v>
      </c>
      <c r="K163" s="552" t="s">
        <v>72</v>
      </c>
      <c r="L163" s="130" t="s">
        <v>2866</v>
      </c>
    </row>
    <row r="164" spans="1:12" ht="16.5" customHeight="1">
      <c r="A164" s="186" t="s">
        <v>2510</v>
      </c>
      <c r="B164" s="186">
        <v>37370574</v>
      </c>
      <c r="C164" s="549">
        <v>12867</v>
      </c>
      <c r="D164" s="130" t="s">
        <v>3025</v>
      </c>
      <c r="E164" s="130" t="s">
        <v>3026</v>
      </c>
      <c r="F164" s="130" t="s">
        <v>3027</v>
      </c>
      <c r="G164" s="550" t="s">
        <v>2112</v>
      </c>
      <c r="I164" s="165">
        <v>43640</v>
      </c>
      <c r="J164" s="551" t="s">
        <v>799</v>
      </c>
      <c r="K164" s="552" t="s">
        <v>72</v>
      </c>
      <c r="L164" s="130" t="s">
        <v>2866</v>
      </c>
    </row>
    <row r="165" spans="1:12" ht="16.5" customHeight="1">
      <c r="A165" s="186" t="s">
        <v>2510</v>
      </c>
      <c r="B165" s="186">
        <v>37433612</v>
      </c>
      <c r="C165" s="549">
        <v>15036</v>
      </c>
      <c r="D165" s="130" t="s">
        <v>3028</v>
      </c>
      <c r="E165" s="130" t="s">
        <v>3029</v>
      </c>
      <c r="F165" s="130" t="s">
        <v>3030</v>
      </c>
      <c r="G165" s="550" t="s">
        <v>2072</v>
      </c>
      <c r="I165" s="165">
        <v>43640</v>
      </c>
      <c r="J165" s="551" t="s">
        <v>799</v>
      </c>
      <c r="K165" s="552" t="s">
        <v>72</v>
      </c>
      <c r="L165" s="130" t="s">
        <v>2866</v>
      </c>
    </row>
    <row r="166" spans="1:12" ht="16.5" customHeight="1">
      <c r="A166" s="186" t="s">
        <v>2510</v>
      </c>
      <c r="B166" s="186">
        <v>69313377</v>
      </c>
      <c r="C166" s="549">
        <v>13110</v>
      </c>
      <c r="D166" s="130" t="s">
        <v>3031</v>
      </c>
      <c r="E166" s="130" t="s">
        <v>3032</v>
      </c>
      <c r="F166" s="130" t="s">
        <v>3033</v>
      </c>
      <c r="G166" s="550" t="s">
        <v>2081</v>
      </c>
      <c r="I166" s="165">
        <v>43640</v>
      </c>
      <c r="J166" s="551" t="s">
        <v>799</v>
      </c>
      <c r="K166" s="552" t="s">
        <v>73</v>
      </c>
      <c r="L166" s="130" t="s">
        <v>2870</v>
      </c>
    </row>
    <row r="167" spans="1:12" ht="16.5" customHeight="1">
      <c r="A167" s="186" t="s">
        <v>2510</v>
      </c>
      <c r="B167" s="186">
        <v>4010872</v>
      </c>
      <c r="C167" s="549">
        <v>21349</v>
      </c>
      <c r="D167" s="130" t="s">
        <v>2938</v>
      </c>
      <c r="E167" s="130" t="s">
        <v>3034</v>
      </c>
      <c r="F167" s="130" t="s">
        <v>3035</v>
      </c>
      <c r="G167" s="550" t="s">
        <v>2046</v>
      </c>
      <c r="I167" s="165">
        <v>43640</v>
      </c>
      <c r="J167" s="551" t="s">
        <v>799</v>
      </c>
      <c r="K167" s="552" t="s">
        <v>67</v>
      </c>
      <c r="L167" s="130" t="s">
        <v>2664</v>
      </c>
    </row>
    <row r="168" spans="1:12" ht="16.5" customHeight="1">
      <c r="A168" s="186" t="s">
        <v>2510</v>
      </c>
      <c r="B168" s="186">
        <v>6201784</v>
      </c>
      <c r="C168" s="549">
        <v>15342</v>
      </c>
      <c r="D168" s="130" t="s">
        <v>2851</v>
      </c>
      <c r="E168" s="130" t="s">
        <v>3036</v>
      </c>
      <c r="F168" s="130" t="s">
        <v>3037</v>
      </c>
      <c r="G168" s="550" t="s">
        <v>2176</v>
      </c>
      <c r="I168" s="165">
        <v>43640</v>
      </c>
      <c r="J168" s="551" t="s">
        <v>799</v>
      </c>
      <c r="K168" s="552" t="s">
        <v>67</v>
      </c>
      <c r="L168" s="130" t="s">
        <v>2664</v>
      </c>
    </row>
    <row r="169" spans="1:12" ht="16.5" customHeight="1">
      <c r="A169" s="186" t="s">
        <v>2584</v>
      </c>
      <c r="B169" s="563">
        <v>98470974</v>
      </c>
      <c r="C169" s="564" t="s">
        <v>88</v>
      </c>
      <c r="D169" s="565" t="s">
        <v>2779</v>
      </c>
      <c r="E169" s="566" t="s">
        <v>3038</v>
      </c>
      <c r="F169" s="130" t="s">
        <v>2737</v>
      </c>
      <c r="G169" s="550" t="s">
        <v>2077</v>
      </c>
      <c r="I169" s="165">
        <v>43641</v>
      </c>
      <c r="J169" s="551" t="s">
        <v>799</v>
      </c>
      <c r="K169" s="552" t="s">
        <v>73</v>
      </c>
      <c r="L169" s="130" t="s">
        <v>3039</v>
      </c>
    </row>
    <row r="170" spans="1:12" ht="16.5" customHeight="1">
      <c r="A170" s="186" t="s">
        <v>2584</v>
      </c>
      <c r="B170" s="563">
        <v>2969475</v>
      </c>
      <c r="C170" s="567">
        <v>15644</v>
      </c>
      <c r="D170" s="565" t="s">
        <v>2511</v>
      </c>
      <c r="E170" s="565" t="s">
        <v>3040</v>
      </c>
      <c r="F170" s="565" t="s">
        <v>3041</v>
      </c>
      <c r="G170" s="109" t="s">
        <v>2106</v>
      </c>
      <c r="I170" s="165">
        <v>43641</v>
      </c>
      <c r="J170" s="551" t="s">
        <v>799</v>
      </c>
      <c r="K170" s="552" t="s">
        <v>73</v>
      </c>
      <c r="L170" s="130" t="s">
        <v>3042</v>
      </c>
    </row>
    <row r="171" spans="1:12" ht="16.5" customHeight="1">
      <c r="A171" s="186" t="s">
        <v>2584</v>
      </c>
      <c r="B171" s="563">
        <v>6425359</v>
      </c>
      <c r="C171" s="567">
        <v>15705</v>
      </c>
      <c r="D171" s="565" t="s">
        <v>3043</v>
      </c>
      <c r="E171" s="565" t="s">
        <v>3044</v>
      </c>
      <c r="F171" s="565" t="s">
        <v>3045</v>
      </c>
      <c r="G171" s="109" t="s">
        <v>2118</v>
      </c>
      <c r="I171" s="165">
        <v>43641</v>
      </c>
      <c r="J171" s="551" t="s">
        <v>799</v>
      </c>
      <c r="K171" s="552" t="s">
        <v>73</v>
      </c>
      <c r="L171" s="130" t="s">
        <v>3042</v>
      </c>
    </row>
    <row r="172" spans="1:12" ht="16.5" customHeight="1">
      <c r="A172" s="186" t="s">
        <v>2584</v>
      </c>
      <c r="B172" s="563">
        <v>6722359</v>
      </c>
      <c r="C172" s="567">
        <v>11944</v>
      </c>
      <c r="D172" s="565" t="s">
        <v>2724</v>
      </c>
      <c r="E172" s="565" t="s">
        <v>3046</v>
      </c>
      <c r="F172" s="565" t="s">
        <v>2873</v>
      </c>
      <c r="G172" s="109" t="s">
        <v>2094</v>
      </c>
      <c r="I172" s="165">
        <v>43641</v>
      </c>
      <c r="J172" s="551" t="s">
        <v>799</v>
      </c>
      <c r="K172" s="552" t="s">
        <v>73</v>
      </c>
      <c r="L172" s="130" t="s">
        <v>3042</v>
      </c>
    </row>
    <row r="173" spans="1:12" ht="16.5" customHeight="1">
      <c r="A173" s="186" t="s">
        <v>2584</v>
      </c>
      <c r="B173" s="563">
        <v>9078551</v>
      </c>
      <c r="C173" s="567">
        <v>14018</v>
      </c>
      <c r="D173" s="565" t="s">
        <v>3047</v>
      </c>
      <c r="E173" s="565" t="s">
        <v>3048</v>
      </c>
      <c r="F173" s="565" t="s">
        <v>3049</v>
      </c>
      <c r="G173" s="109" t="s">
        <v>2112</v>
      </c>
      <c r="I173" s="165">
        <v>43641</v>
      </c>
      <c r="J173" s="551" t="s">
        <v>799</v>
      </c>
      <c r="K173" s="552" t="s">
        <v>73</v>
      </c>
      <c r="L173" s="130" t="s">
        <v>3042</v>
      </c>
    </row>
    <row r="174" spans="1:12" ht="16.5" customHeight="1">
      <c r="A174" s="186" t="s">
        <v>2584</v>
      </c>
      <c r="B174" s="563">
        <v>27795558</v>
      </c>
      <c r="C174" s="567">
        <v>16352</v>
      </c>
      <c r="D174" s="565" t="s">
        <v>3050</v>
      </c>
      <c r="E174" s="565" t="s">
        <v>3051</v>
      </c>
      <c r="F174" s="565" t="s">
        <v>3052</v>
      </c>
      <c r="G174" s="109" t="s">
        <v>2313</v>
      </c>
      <c r="H174" s="130" t="s">
        <v>88</v>
      </c>
      <c r="I174" s="165">
        <v>43641</v>
      </c>
      <c r="J174" s="551" t="s">
        <v>799</v>
      </c>
      <c r="K174" s="552" t="s">
        <v>73</v>
      </c>
      <c r="L174" s="130" t="s">
        <v>3042</v>
      </c>
    </row>
    <row r="175" spans="1:12" ht="16.5" customHeight="1">
      <c r="A175" s="186" t="s">
        <v>2584</v>
      </c>
      <c r="B175" s="563">
        <v>32898991</v>
      </c>
      <c r="C175" s="567">
        <v>21117</v>
      </c>
      <c r="D175" s="565" t="s">
        <v>3053</v>
      </c>
      <c r="E175" s="565" t="s">
        <v>3054</v>
      </c>
      <c r="F175" s="565" t="s">
        <v>3055</v>
      </c>
      <c r="G175" s="109" t="s">
        <v>2144</v>
      </c>
      <c r="I175" s="165">
        <v>43641</v>
      </c>
      <c r="J175" s="551" t="s">
        <v>799</v>
      </c>
      <c r="K175" s="552" t="s">
        <v>73</v>
      </c>
      <c r="L175" s="130" t="s">
        <v>3042</v>
      </c>
    </row>
    <row r="176" spans="1:12" ht="16.5" customHeight="1">
      <c r="A176" s="186" t="s">
        <v>2584</v>
      </c>
      <c r="B176" s="563">
        <v>37816238</v>
      </c>
      <c r="C176" s="567">
        <v>10714</v>
      </c>
      <c r="D176" s="565" t="s">
        <v>3056</v>
      </c>
      <c r="E176" s="565" t="s">
        <v>2612</v>
      </c>
      <c r="F176" s="565" t="s">
        <v>3057</v>
      </c>
      <c r="G176" s="109" t="s">
        <v>2072</v>
      </c>
      <c r="I176" s="165">
        <v>43641</v>
      </c>
      <c r="J176" s="551" t="s">
        <v>799</v>
      </c>
      <c r="K176" s="552" t="s">
        <v>73</v>
      </c>
      <c r="L176" s="130" t="s">
        <v>3042</v>
      </c>
    </row>
    <row r="177" spans="1:12" ht="16.5" customHeight="1">
      <c r="A177" s="186" t="s">
        <v>2584</v>
      </c>
      <c r="B177" s="563">
        <v>39580972</v>
      </c>
      <c r="C177" s="567">
        <v>16748</v>
      </c>
      <c r="D177" s="565" t="s">
        <v>3058</v>
      </c>
      <c r="E177" s="565" t="s">
        <v>3059</v>
      </c>
      <c r="F177" s="565" t="s">
        <v>3060</v>
      </c>
      <c r="G177" s="109" t="s">
        <v>2112</v>
      </c>
      <c r="I177" s="165">
        <v>43641</v>
      </c>
      <c r="J177" s="551" t="s">
        <v>799</v>
      </c>
      <c r="K177" s="552" t="s">
        <v>73</v>
      </c>
      <c r="L177" s="130" t="s">
        <v>3042</v>
      </c>
    </row>
    <row r="178" spans="1:12" ht="16.5" customHeight="1">
      <c r="A178" s="186" t="s">
        <v>2584</v>
      </c>
      <c r="B178" s="563">
        <v>40570434</v>
      </c>
      <c r="C178" s="567">
        <v>15911</v>
      </c>
      <c r="D178" s="565" t="s">
        <v>3061</v>
      </c>
      <c r="E178" s="565" t="s">
        <v>3062</v>
      </c>
      <c r="F178" s="565" t="s">
        <v>3063</v>
      </c>
      <c r="G178" s="109" t="s">
        <v>2077</v>
      </c>
      <c r="I178" s="165">
        <v>43641</v>
      </c>
      <c r="J178" s="551" t="s">
        <v>799</v>
      </c>
      <c r="K178" s="552" t="s">
        <v>73</v>
      </c>
      <c r="L178" s="130" t="s">
        <v>3042</v>
      </c>
    </row>
    <row r="179" spans="1:12" ht="16.5" customHeight="1">
      <c r="A179" s="186" t="s">
        <v>2510</v>
      </c>
      <c r="B179" s="186">
        <v>92587799</v>
      </c>
      <c r="C179" s="549">
        <v>17310</v>
      </c>
      <c r="D179" s="130" t="s">
        <v>2511</v>
      </c>
      <c r="E179" s="130" t="s">
        <v>3064</v>
      </c>
      <c r="F179" s="130" t="s">
        <v>3065</v>
      </c>
      <c r="G179" s="550" t="s">
        <v>2465</v>
      </c>
      <c r="I179" s="165">
        <v>43641</v>
      </c>
      <c r="J179" s="551" t="s">
        <v>799</v>
      </c>
      <c r="K179" s="552" t="s">
        <v>73</v>
      </c>
      <c r="L179" s="130" t="s">
        <v>2870</v>
      </c>
    </row>
    <row r="180" spans="1:12" ht="16.5" customHeight="1">
      <c r="A180" s="186" t="s">
        <v>2584</v>
      </c>
      <c r="B180" s="186">
        <v>95527578</v>
      </c>
      <c r="C180" s="549">
        <v>11715</v>
      </c>
      <c r="D180" s="130" t="s">
        <v>2898</v>
      </c>
      <c r="E180" s="130" t="s">
        <v>3066</v>
      </c>
      <c r="F180" s="130" t="s">
        <v>3067</v>
      </c>
      <c r="G180" s="550" t="s">
        <v>2274</v>
      </c>
      <c r="I180" s="165">
        <v>43641</v>
      </c>
      <c r="J180" s="551" t="s">
        <v>799</v>
      </c>
      <c r="K180" s="552" t="s">
        <v>2516</v>
      </c>
      <c r="L180" s="130" t="s">
        <v>3068</v>
      </c>
    </row>
    <row r="181" spans="1:12" ht="16.5" customHeight="1">
      <c r="A181" s="186" t="s">
        <v>2584</v>
      </c>
      <c r="B181" s="186">
        <v>1799436</v>
      </c>
      <c r="C181" s="549">
        <v>14512</v>
      </c>
      <c r="D181" s="130" t="s">
        <v>2992</v>
      </c>
      <c r="E181" s="130" t="s">
        <v>3020</v>
      </c>
      <c r="F181" s="130" t="s">
        <v>3021</v>
      </c>
      <c r="G181" s="550" t="s">
        <v>2162</v>
      </c>
      <c r="I181" s="165">
        <v>43641</v>
      </c>
      <c r="J181" s="551" t="s">
        <v>799</v>
      </c>
      <c r="K181" s="552" t="s">
        <v>2516</v>
      </c>
      <c r="L181" s="130" t="s">
        <v>3042</v>
      </c>
    </row>
    <row r="182" spans="1:12" ht="16.5" customHeight="1">
      <c r="A182" s="186" t="s">
        <v>2584</v>
      </c>
      <c r="B182" s="186">
        <v>39989140</v>
      </c>
      <c r="C182" s="549">
        <v>24280</v>
      </c>
      <c r="D182" s="130" t="s">
        <v>3069</v>
      </c>
      <c r="E182" s="130" t="s">
        <v>3014</v>
      </c>
      <c r="F182" s="130" t="s">
        <v>3015</v>
      </c>
      <c r="G182" s="550" t="s">
        <v>2106</v>
      </c>
      <c r="I182" s="165">
        <v>43641</v>
      </c>
      <c r="J182" s="551" t="s">
        <v>799</v>
      </c>
      <c r="K182" s="552" t="s">
        <v>2516</v>
      </c>
      <c r="L182" s="130" t="s">
        <v>3042</v>
      </c>
    </row>
    <row r="183" spans="1:12" ht="16.5" customHeight="1">
      <c r="A183" s="186" t="s">
        <v>2584</v>
      </c>
      <c r="B183" s="186">
        <v>100116890</v>
      </c>
      <c r="C183" s="549">
        <v>21461</v>
      </c>
      <c r="D183" s="130" t="s">
        <v>3043</v>
      </c>
      <c r="E183" s="130" t="s">
        <v>3014</v>
      </c>
      <c r="F183" s="130" t="s">
        <v>3015</v>
      </c>
      <c r="G183" s="550" t="s">
        <v>2106</v>
      </c>
      <c r="I183" s="165">
        <v>43641</v>
      </c>
      <c r="J183" s="551" t="s">
        <v>799</v>
      </c>
      <c r="K183" s="552" t="s">
        <v>2516</v>
      </c>
      <c r="L183" s="130" t="s">
        <v>3042</v>
      </c>
    </row>
    <row r="184" spans="1:12" ht="16.5" customHeight="1">
      <c r="A184" s="186" t="s">
        <v>2584</v>
      </c>
      <c r="B184" s="186">
        <v>37370574</v>
      </c>
      <c r="C184" s="549">
        <v>12867</v>
      </c>
      <c r="D184" s="130" t="s">
        <v>3025</v>
      </c>
      <c r="E184" s="130" t="s">
        <v>3070</v>
      </c>
      <c r="F184" s="130" t="s">
        <v>3027</v>
      </c>
      <c r="G184" s="550" t="s">
        <v>2112</v>
      </c>
      <c r="I184" s="165">
        <v>43641</v>
      </c>
      <c r="J184" s="551" t="s">
        <v>799</v>
      </c>
      <c r="K184" s="552" t="s">
        <v>2516</v>
      </c>
      <c r="L184" s="130" t="s">
        <v>3042</v>
      </c>
    </row>
    <row r="185" spans="1:12" ht="16.5" customHeight="1">
      <c r="A185" s="186" t="s">
        <v>3071</v>
      </c>
      <c r="B185" s="563">
        <v>32623</v>
      </c>
      <c r="C185" s="568">
        <v>17479</v>
      </c>
      <c r="D185" s="569" t="s">
        <v>3072</v>
      </c>
      <c r="E185" s="569" t="s">
        <v>3073</v>
      </c>
      <c r="F185" s="570" t="s">
        <v>3074</v>
      </c>
      <c r="G185" s="109" t="s">
        <v>2240</v>
      </c>
      <c r="I185" s="165">
        <v>43641</v>
      </c>
      <c r="J185" s="551" t="s">
        <v>799</v>
      </c>
      <c r="K185" s="552" t="s">
        <v>73</v>
      </c>
      <c r="L185" s="130" t="s">
        <v>3042</v>
      </c>
    </row>
    <row r="186" spans="1:12" ht="16.5" customHeight="1">
      <c r="A186" s="186" t="s">
        <v>3071</v>
      </c>
      <c r="B186" s="563">
        <v>308833</v>
      </c>
      <c r="C186" s="568">
        <v>20002</v>
      </c>
      <c r="D186" s="569" t="s">
        <v>3075</v>
      </c>
      <c r="E186" s="569" t="s">
        <v>3076</v>
      </c>
      <c r="F186" s="570" t="s">
        <v>3077</v>
      </c>
      <c r="G186" s="109" t="s">
        <v>2072</v>
      </c>
      <c r="I186" s="165">
        <v>43641</v>
      </c>
      <c r="J186" s="551" t="s">
        <v>799</v>
      </c>
      <c r="K186" s="552" t="s">
        <v>73</v>
      </c>
      <c r="L186" s="130" t="s">
        <v>3042</v>
      </c>
    </row>
    <row r="187" spans="1:12" ht="16.5" customHeight="1">
      <c r="A187" s="186" t="s">
        <v>3071</v>
      </c>
      <c r="B187" s="563">
        <v>685107</v>
      </c>
      <c r="C187" s="568">
        <v>18987</v>
      </c>
      <c r="D187" s="569" t="s">
        <v>2541</v>
      </c>
      <c r="E187" s="569" t="s">
        <v>3078</v>
      </c>
      <c r="F187" s="570" t="s">
        <v>3079</v>
      </c>
      <c r="G187" s="109" t="s">
        <v>2106</v>
      </c>
      <c r="I187" s="165">
        <v>43641</v>
      </c>
      <c r="J187" s="551" t="s">
        <v>799</v>
      </c>
      <c r="K187" s="552" t="s">
        <v>73</v>
      </c>
      <c r="L187" s="130" t="s">
        <v>3042</v>
      </c>
    </row>
    <row r="188" spans="1:12" ht="16.5" customHeight="1">
      <c r="A188" s="186" t="s">
        <v>3071</v>
      </c>
      <c r="B188" s="563">
        <v>1764612</v>
      </c>
      <c r="C188" s="568">
        <v>17564</v>
      </c>
      <c r="D188" s="569" t="s">
        <v>3080</v>
      </c>
      <c r="E188" s="569" t="s">
        <v>3081</v>
      </c>
      <c r="F188" s="570" t="s">
        <v>3082</v>
      </c>
      <c r="G188" s="109" t="s">
        <v>2313</v>
      </c>
      <c r="H188" s="130" t="s">
        <v>88</v>
      </c>
      <c r="I188" s="165">
        <v>43641</v>
      </c>
      <c r="J188" s="551" t="s">
        <v>799</v>
      </c>
      <c r="K188" s="552" t="s">
        <v>73</v>
      </c>
      <c r="L188" s="130" t="s">
        <v>3042</v>
      </c>
    </row>
    <row r="189" spans="1:12" ht="16.5" customHeight="1">
      <c r="A189" s="186" t="s">
        <v>3071</v>
      </c>
      <c r="B189" s="563">
        <v>3599263</v>
      </c>
      <c r="C189" s="568">
        <v>17838</v>
      </c>
      <c r="D189" s="569" t="s">
        <v>2739</v>
      </c>
      <c r="E189" s="569" t="s">
        <v>3083</v>
      </c>
      <c r="F189" s="570" t="s">
        <v>3084</v>
      </c>
      <c r="G189" s="109" t="s">
        <v>2112</v>
      </c>
      <c r="I189" s="165">
        <v>43641</v>
      </c>
      <c r="J189" s="551" t="s">
        <v>799</v>
      </c>
      <c r="K189" s="552" t="s">
        <v>73</v>
      </c>
      <c r="L189" s="130" t="s">
        <v>3042</v>
      </c>
    </row>
    <row r="190" spans="1:12" ht="16.5" customHeight="1">
      <c r="A190" s="186" t="s">
        <v>3071</v>
      </c>
      <c r="B190" s="563">
        <v>6675672</v>
      </c>
      <c r="C190" s="568">
        <v>7512</v>
      </c>
      <c r="D190" s="569" t="s">
        <v>3085</v>
      </c>
      <c r="E190" s="569" t="s">
        <v>3086</v>
      </c>
      <c r="F190" s="570" t="s">
        <v>3087</v>
      </c>
      <c r="G190" s="109" t="s">
        <v>2240</v>
      </c>
      <c r="I190" s="165">
        <v>43641</v>
      </c>
      <c r="J190" s="551" t="s">
        <v>799</v>
      </c>
      <c r="K190" s="552" t="s">
        <v>73</v>
      </c>
      <c r="L190" s="130" t="s">
        <v>3042</v>
      </c>
    </row>
    <row r="191" spans="1:12" ht="16.5" customHeight="1">
      <c r="A191" s="186" t="s">
        <v>3071</v>
      </c>
      <c r="B191" s="563">
        <v>14666069</v>
      </c>
      <c r="C191" s="568">
        <v>20184</v>
      </c>
      <c r="D191" s="569" t="s">
        <v>2697</v>
      </c>
      <c r="E191" s="569" t="s">
        <v>3088</v>
      </c>
      <c r="F191" s="570" t="s">
        <v>3089</v>
      </c>
      <c r="G191" s="109" t="s">
        <v>2112</v>
      </c>
      <c r="I191" s="165">
        <v>43641</v>
      </c>
      <c r="J191" s="551" t="s">
        <v>799</v>
      </c>
      <c r="K191" s="552" t="s">
        <v>73</v>
      </c>
      <c r="L191" s="130" t="s">
        <v>3042</v>
      </c>
    </row>
    <row r="192" spans="1:12" ht="16.5" customHeight="1">
      <c r="A192" s="186" t="s">
        <v>3071</v>
      </c>
      <c r="B192" s="563">
        <v>16346595</v>
      </c>
      <c r="C192" s="568">
        <v>17046</v>
      </c>
      <c r="D192" s="569" t="s">
        <v>2518</v>
      </c>
      <c r="E192" s="569" t="s">
        <v>3090</v>
      </c>
      <c r="F192" s="570" t="s">
        <v>3091</v>
      </c>
      <c r="G192" s="109" t="s">
        <v>2290</v>
      </c>
      <c r="I192" s="165">
        <v>43641</v>
      </c>
      <c r="J192" s="551" t="s">
        <v>799</v>
      </c>
      <c r="K192" s="552" t="s">
        <v>73</v>
      </c>
      <c r="L192" s="130" t="s">
        <v>3042</v>
      </c>
    </row>
    <row r="193" spans="1:12" ht="16.5" customHeight="1">
      <c r="A193" s="186" t="s">
        <v>3071</v>
      </c>
      <c r="B193" s="563">
        <v>17175282</v>
      </c>
      <c r="C193" s="568">
        <v>13992</v>
      </c>
      <c r="D193" s="569" t="s">
        <v>2523</v>
      </c>
      <c r="E193" s="569" t="s">
        <v>3092</v>
      </c>
      <c r="F193" s="570" t="s">
        <v>3093</v>
      </c>
      <c r="G193" s="109" t="s">
        <v>2313</v>
      </c>
      <c r="H193" s="130" t="s">
        <v>88</v>
      </c>
      <c r="I193" s="165">
        <v>43641</v>
      </c>
      <c r="J193" s="551" t="s">
        <v>799</v>
      </c>
      <c r="K193" s="552" t="s">
        <v>73</v>
      </c>
      <c r="L193" s="130" t="s">
        <v>3042</v>
      </c>
    </row>
    <row r="194" spans="1:12" ht="16.5" customHeight="1">
      <c r="A194" s="186" t="s">
        <v>3071</v>
      </c>
      <c r="B194" s="563">
        <v>24721706</v>
      </c>
      <c r="C194" s="568">
        <v>9588</v>
      </c>
      <c r="D194" s="569" t="s">
        <v>2602</v>
      </c>
      <c r="E194" s="569" t="s">
        <v>3094</v>
      </c>
      <c r="F194" s="570" t="s">
        <v>2987</v>
      </c>
      <c r="G194" s="109" t="s">
        <v>2106</v>
      </c>
      <c r="I194" s="165">
        <v>43641</v>
      </c>
      <c r="J194" s="551" t="s">
        <v>799</v>
      </c>
      <c r="K194" s="552" t="s">
        <v>73</v>
      </c>
      <c r="L194" s="130" t="s">
        <v>3042</v>
      </c>
    </row>
    <row r="195" spans="1:12" ht="16.5" customHeight="1">
      <c r="A195" s="186" t="s">
        <v>3071</v>
      </c>
      <c r="B195" s="563">
        <v>32617128</v>
      </c>
      <c r="C195" s="568">
        <v>19120</v>
      </c>
      <c r="D195" s="569" t="s">
        <v>3095</v>
      </c>
      <c r="E195" s="569" t="s">
        <v>3096</v>
      </c>
      <c r="F195" s="570" t="s">
        <v>3097</v>
      </c>
      <c r="G195" s="109" t="s">
        <v>2274</v>
      </c>
      <c r="I195" s="165">
        <v>43641</v>
      </c>
      <c r="J195" s="551" t="s">
        <v>799</v>
      </c>
      <c r="K195" s="552" t="s">
        <v>73</v>
      </c>
      <c r="L195" s="130" t="s">
        <v>3042</v>
      </c>
    </row>
    <row r="196" spans="1:12" ht="16.5" customHeight="1">
      <c r="A196" s="186" t="s">
        <v>3071</v>
      </c>
      <c r="B196" s="563">
        <v>36059681</v>
      </c>
      <c r="C196" s="568">
        <v>11857</v>
      </c>
      <c r="D196" s="569" t="s">
        <v>3098</v>
      </c>
      <c r="E196" s="569" t="s">
        <v>3099</v>
      </c>
      <c r="F196" s="570" t="s">
        <v>3100</v>
      </c>
      <c r="G196" s="109" t="s">
        <v>2106</v>
      </c>
      <c r="I196" s="165">
        <v>43641</v>
      </c>
      <c r="J196" s="551" t="s">
        <v>799</v>
      </c>
      <c r="K196" s="552" t="s">
        <v>73</v>
      </c>
      <c r="L196" s="130" t="s">
        <v>3042</v>
      </c>
    </row>
    <row r="197" spans="1:12" ht="16.5" customHeight="1">
      <c r="A197" s="186" t="s">
        <v>3071</v>
      </c>
      <c r="B197" s="563">
        <v>38332995</v>
      </c>
      <c r="C197" s="568">
        <v>15746</v>
      </c>
      <c r="D197" s="569" t="s">
        <v>3101</v>
      </c>
      <c r="E197" s="569" t="s">
        <v>3102</v>
      </c>
      <c r="F197" s="570" t="s">
        <v>2888</v>
      </c>
      <c r="G197" s="109" t="s">
        <v>2274</v>
      </c>
      <c r="I197" s="165">
        <v>43641</v>
      </c>
      <c r="J197" s="551" t="s">
        <v>799</v>
      </c>
      <c r="K197" s="552" t="s">
        <v>73</v>
      </c>
      <c r="L197" s="130" t="s">
        <v>3042</v>
      </c>
    </row>
    <row r="198" spans="1:12" ht="16.5" customHeight="1">
      <c r="A198" s="186" t="s">
        <v>3071</v>
      </c>
      <c r="B198" s="563">
        <v>40621286</v>
      </c>
      <c r="C198" s="568">
        <v>15504</v>
      </c>
      <c r="D198" s="569" t="s">
        <v>3103</v>
      </c>
      <c r="E198" s="569" t="s">
        <v>3104</v>
      </c>
      <c r="F198" s="570" t="s">
        <v>3105</v>
      </c>
      <c r="G198" s="109" t="s">
        <v>2313</v>
      </c>
      <c r="I198" s="165">
        <v>43641</v>
      </c>
      <c r="J198" s="551" t="s">
        <v>799</v>
      </c>
      <c r="K198" s="552" t="s">
        <v>73</v>
      </c>
      <c r="L198" s="130" t="s">
        <v>3042</v>
      </c>
    </row>
    <row r="199" spans="1:12" ht="16.5" customHeight="1">
      <c r="A199" s="186" t="s">
        <v>3071</v>
      </c>
      <c r="B199" s="563">
        <v>44408375</v>
      </c>
      <c r="C199" s="568">
        <v>19899</v>
      </c>
      <c r="D199" s="569" t="s">
        <v>2961</v>
      </c>
      <c r="E199" s="569" t="s">
        <v>3106</v>
      </c>
      <c r="F199" s="570" t="s">
        <v>3107</v>
      </c>
      <c r="G199" s="109" t="s">
        <v>2313</v>
      </c>
      <c r="I199" s="165">
        <v>43641</v>
      </c>
      <c r="J199" s="551" t="s">
        <v>799</v>
      </c>
      <c r="K199" s="552" t="s">
        <v>73</v>
      </c>
      <c r="L199" s="130" t="s">
        <v>3042</v>
      </c>
    </row>
    <row r="200" spans="1:12" ht="16.5" customHeight="1">
      <c r="A200" s="186" t="s">
        <v>2510</v>
      </c>
      <c r="B200" s="186">
        <v>92198027</v>
      </c>
      <c r="D200" s="130" t="s">
        <v>2848</v>
      </c>
      <c r="E200" s="130" t="s">
        <v>3108</v>
      </c>
      <c r="F200" s="130" t="s">
        <v>3109</v>
      </c>
      <c r="G200" s="550" t="s">
        <v>2081</v>
      </c>
      <c r="I200" s="165">
        <v>43641</v>
      </c>
      <c r="J200" s="551" t="s">
        <v>799</v>
      </c>
      <c r="K200" s="552" t="s">
        <v>67</v>
      </c>
      <c r="L200" s="130" t="s">
        <v>3110</v>
      </c>
    </row>
    <row r="201" spans="1:12" ht="16.5" customHeight="1">
      <c r="A201" s="186" t="s">
        <v>2510</v>
      </c>
      <c r="B201" s="186">
        <v>2324929</v>
      </c>
      <c r="C201" s="549">
        <v>18867</v>
      </c>
      <c r="D201" s="130" t="s">
        <v>3111</v>
      </c>
      <c r="E201" s="130" t="s">
        <v>3112</v>
      </c>
      <c r="F201" s="130" t="s">
        <v>3113</v>
      </c>
      <c r="G201" s="550" t="s">
        <v>2094</v>
      </c>
      <c r="I201" s="165">
        <v>43641</v>
      </c>
      <c r="J201" s="551" t="s">
        <v>799</v>
      </c>
      <c r="K201" s="552" t="s">
        <v>67</v>
      </c>
      <c r="L201" s="130" t="s">
        <v>2664</v>
      </c>
    </row>
    <row r="202" spans="1:12" ht="16.5" customHeight="1">
      <c r="A202" s="186" t="s">
        <v>2510</v>
      </c>
      <c r="B202" s="186">
        <v>6425359</v>
      </c>
      <c r="C202" s="549">
        <v>15705</v>
      </c>
      <c r="D202" s="130" t="s">
        <v>3043</v>
      </c>
      <c r="E202" s="130" t="s">
        <v>3044</v>
      </c>
      <c r="F202" s="130" t="s">
        <v>3045</v>
      </c>
      <c r="G202" s="550" t="s">
        <v>2118</v>
      </c>
      <c r="I202" s="165">
        <v>43641</v>
      </c>
      <c r="J202" s="551" t="s">
        <v>799</v>
      </c>
      <c r="K202" s="552" t="s">
        <v>67</v>
      </c>
      <c r="L202" s="130" t="s">
        <v>2664</v>
      </c>
    </row>
    <row r="203" spans="1:12" ht="16.5" customHeight="1">
      <c r="A203" s="186" t="s">
        <v>2510</v>
      </c>
      <c r="B203" s="186">
        <v>6532576</v>
      </c>
      <c r="C203" s="549">
        <v>21245</v>
      </c>
      <c r="D203" s="130" t="s">
        <v>3114</v>
      </c>
      <c r="E203" s="130" t="s">
        <v>3115</v>
      </c>
      <c r="F203" s="130" t="s">
        <v>3116</v>
      </c>
      <c r="G203" s="550" t="s">
        <v>2106</v>
      </c>
      <c r="I203" s="165">
        <v>43641</v>
      </c>
      <c r="J203" s="551" t="s">
        <v>799</v>
      </c>
      <c r="K203" s="552" t="s">
        <v>67</v>
      </c>
      <c r="L203" s="130" t="s">
        <v>2664</v>
      </c>
    </row>
    <row r="204" spans="1:12" ht="16.5" customHeight="1">
      <c r="A204" s="186" t="s">
        <v>2510</v>
      </c>
      <c r="B204" s="186">
        <v>16570616</v>
      </c>
      <c r="C204" s="549">
        <v>17324</v>
      </c>
      <c r="D204" s="130" t="s">
        <v>2511</v>
      </c>
      <c r="E204" s="130" t="s">
        <v>3117</v>
      </c>
      <c r="F204" s="130" t="s">
        <v>3118</v>
      </c>
      <c r="G204" s="550" t="s">
        <v>2274</v>
      </c>
      <c r="I204" s="165">
        <v>43641</v>
      </c>
      <c r="J204" s="551" t="s">
        <v>799</v>
      </c>
      <c r="K204" s="552" t="s">
        <v>67</v>
      </c>
      <c r="L204" s="130" t="s">
        <v>2664</v>
      </c>
    </row>
    <row r="205" spans="1:12" ht="16.5" customHeight="1">
      <c r="A205" s="186" t="s">
        <v>2510</v>
      </c>
      <c r="B205" s="186">
        <v>17946658</v>
      </c>
      <c r="C205" s="549">
        <v>16069</v>
      </c>
      <c r="D205" s="130" t="s">
        <v>3119</v>
      </c>
      <c r="E205" s="130" t="s">
        <v>3120</v>
      </c>
      <c r="F205" s="130" t="s">
        <v>3121</v>
      </c>
      <c r="G205" s="550" t="s">
        <v>2144</v>
      </c>
      <c r="I205" s="165">
        <v>43641</v>
      </c>
      <c r="J205" s="551" t="s">
        <v>799</v>
      </c>
      <c r="K205" s="552" t="s">
        <v>67</v>
      </c>
      <c r="L205" s="130" t="s">
        <v>2664</v>
      </c>
    </row>
    <row r="206" spans="1:12" ht="16.5" customHeight="1">
      <c r="A206" s="186" t="s">
        <v>2510</v>
      </c>
      <c r="B206" s="186">
        <v>18734939</v>
      </c>
      <c r="C206" s="549">
        <v>11536</v>
      </c>
      <c r="D206" s="130" t="s">
        <v>3122</v>
      </c>
      <c r="E206" s="130" t="s">
        <v>3123</v>
      </c>
      <c r="F206" s="130" t="s">
        <v>3124</v>
      </c>
      <c r="G206" s="550" t="s">
        <v>2072</v>
      </c>
      <c r="I206" s="165">
        <v>43641</v>
      </c>
      <c r="J206" s="551" t="s">
        <v>799</v>
      </c>
      <c r="K206" s="552" t="s">
        <v>67</v>
      </c>
      <c r="L206" s="130" t="s">
        <v>2664</v>
      </c>
    </row>
    <row r="207" spans="1:12" ht="16.5" customHeight="1">
      <c r="A207" s="186" t="s">
        <v>2510</v>
      </c>
      <c r="B207" s="186">
        <v>30944789</v>
      </c>
      <c r="C207" s="549">
        <v>13733</v>
      </c>
      <c r="D207" s="130" t="s">
        <v>2697</v>
      </c>
      <c r="E207" s="130" t="s">
        <v>3125</v>
      </c>
      <c r="F207" s="130" t="s">
        <v>3126</v>
      </c>
      <c r="G207" s="550" t="s">
        <v>2118</v>
      </c>
      <c r="I207" s="165">
        <v>43641</v>
      </c>
      <c r="J207" s="551" t="s">
        <v>799</v>
      </c>
      <c r="K207" s="552" t="s">
        <v>67</v>
      </c>
      <c r="L207" s="130" t="s">
        <v>2664</v>
      </c>
    </row>
    <row r="208" spans="1:12" ht="16.5" customHeight="1">
      <c r="A208" s="186" t="s">
        <v>2510</v>
      </c>
      <c r="B208" s="186">
        <v>33862533</v>
      </c>
      <c r="C208" s="549">
        <v>20202</v>
      </c>
      <c r="D208" s="130" t="s">
        <v>2903</v>
      </c>
      <c r="E208" s="130" t="s">
        <v>3127</v>
      </c>
      <c r="F208" s="130" t="s">
        <v>3128</v>
      </c>
      <c r="G208" s="550" t="s">
        <v>2106</v>
      </c>
      <c r="I208" s="165">
        <v>43641</v>
      </c>
      <c r="J208" s="551" t="s">
        <v>799</v>
      </c>
      <c r="K208" s="552" t="s">
        <v>67</v>
      </c>
      <c r="L208" s="130" t="s">
        <v>2664</v>
      </c>
    </row>
    <row r="209" spans="1:12" ht="16.5" customHeight="1">
      <c r="A209" s="186" t="s">
        <v>2510</v>
      </c>
      <c r="B209" s="186">
        <v>36741106</v>
      </c>
      <c r="C209" s="549">
        <v>17535</v>
      </c>
      <c r="D209" s="130" t="s">
        <v>2586</v>
      </c>
      <c r="E209" s="130" t="s">
        <v>3129</v>
      </c>
      <c r="F209" s="130" t="s">
        <v>3130</v>
      </c>
      <c r="G209" s="550" t="s">
        <v>2072</v>
      </c>
      <c r="I209" s="165">
        <v>43641</v>
      </c>
      <c r="J209" s="551" t="s">
        <v>799</v>
      </c>
      <c r="K209" s="552" t="s">
        <v>67</v>
      </c>
      <c r="L209" s="130" t="s">
        <v>2664</v>
      </c>
    </row>
    <row r="210" spans="1:12" ht="16.5" customHeight="1">
      <c r="A210" s="186" t="s">
        <v>2510</v>
      </c>
      <c r="B210" s="186">
        <v>20909529</v>
      </c>
      <c r="C210" s="549">
        <v>16970</v>
      </c>
      <c r="D210" s="130" t="s">
        <v>3131</v>
      </c>
      <c r="E210" s="130" t="s">
        <v>3132</v>
      </c>
      <c r="F210" s="130" t="s">
        <v>3133</v>
      </c>
      <c r="G210" s="550" t="s">
        <v>2313</v>
      </c>
      <c r="I210" s="165">
        <v>43641</v>
      </c>
      <c r="J210" s="551" t="s">
        <v>799</v>
      </c>
      <c r="K210" s="552" t="s">
        <v>67</v>
      </c>
      <c r="L210" s="130" t="s">
        <v>2664</v>
      </c>
    </row>
    <row r="211" spans="1:12" ht="16.5" customHeight="1">
      <c r="A211" s="186" t="s">
        <v>2510</v>
      </c>
      <c r="B211" s="186">
        <v>25056375</v>
      </c>
      <c r="C211" s="549">
        <v>18281</v>
      </c>
      <c r="D211" s="130" t="s">
        <v>3134</v>
      </c>
      <c r="E211" s="130" t="s">
        <v>3135</v>
      </c>
      <c r="F211" s="130" t="s">
        <v>3136</v>
      </c>
      <c r="G211" s="550" t="s">
        <v>2313</v>
      </c>
      <c r="I211" s="165">
        <v>43641</v>
      </c>
      <c r="J211" s="551" t="s">
        <v>799</v>
      </c>
      <c r="K211" s="552" t="s">
        <v>67</v>
      </c>
      <c r="L211" s="130" t="s">
        <v>2664</v>
      </c>
    </row>
    <row r="212" spans="1:12" ht="16.5" customHeight="1">
      <c r="A212" s="186" t="s">
        <v>2510</v>
      </c>
      <c r="B212" s="186">
        <v>28109700</v>
      </c>
      <c r="C212" s="549">
        <v>14489</v>
      </c>
      <c r="D212" s="130" t="s">
        <v>3137</v>
      </c>
      <c r="E212" s="130" t="s">
        <v>3138</v>
      </c>
      <c r="F212" s="130" t="s">
        <v>2915</v>
      </c>
      <c r="G212" s="550" t="s">
        <v>2106</v>
      </c>
      <c r="I212" s="165">
        <v>43641</v>
      </c>
      <c r="J212" s="551" t="s">
        <v>799</v>
      </c>
      <c r="K212" s="552" t="s">
        <v>67</v>
      </c>
      <c r="L212" s="130" t="s">
        <v>2664</v>
      </c>
    </row>
    <row r="213" spans="1:12" ht="16.5" customHeight="1">
      <c r="A213" s="186" t="s">
        <v>2510</v>
      </c>
      <c r="B213" s="186">
        <v>37361094</v>
      </c>
      <c r="C213" s="549">
        <v>19107</v>
      </c>
      <c r="D213" s="130" t="s">
        <v>2724</v>
      </c>
      <c r="E213" s="130" t="s">
        <v>3139</v>
      </c>
      <c r="F213" s="130" t="s">
        <v>3140</v>
      </c>
      <c r="G213" s="550" t="s">
        <v>2185</v>
      </c>
      <c r="I213" s="165">
        <v>43641</v>
      </c>
      <c r="J213" s="551" t="s">
        <v>799</v>
      </c>
      <c r="K213" s="552" t="s">
        <v>67</v>
      </c>
      <c r="L213" s="130" t="s">
        <v>2664</v>
      </c>
    </row>
    <row r="214" spans="1:12" ht="16.5" customHeight="1">
      <c r="A214" s="186" t="s">
        <v>2510</v>
      </c>
      <c r="B214" s="186">
        <v>32623</v>
      </c>
      <c r="C214" s="549">
        <v>17479</v>
      </c>
      <c r="D214" s="130" t="s">
        <v>3072</v>
      </c>
      <c r="E214" s="130" t="s">
        <v>3073</v>
      </c>
      <c r="F214" s="130" t="s">
        <v>3074</v>
      </c>
      <c r="G214" s="550" t="s">
        <v>2240</v>
      </c>
      <c r="I214" s="165">
        <v>43642</v>
      </c>
      <c r="J214" s="551" t="s">
        <v>799</v>
      </c>
      <c r="K214" s="552" t="s">
        <v>73</v>
      </c>
      <c r="L214" s="130" t="s">
        <v>2870</v>
      </c>
    </row>
    <row r="215" spans="1:12" ht="16.5" customHeight="1">
      <c r="A215" s="186" t="s">
        <v>2510</v>
      </c>
      <c r="B215" s="186">
        <v>73411</v>
      </c>
      <c r="C215" s="549">
        <v>20462</v>
      </c>
      <c r="D215" s="130" t="s">
        <v>3141</v>
      </c>
      <c r="E215" s="130" t="s">
        <v>3142</v>
      </c>
      <c r="F215" s="130" t="s">
        <v>3004</v>
      </c>
      <c r="G215" s="550" t="s">
        <v>2112</v>
      </c>
      <c r="I215" s="165">
        <v>43642</v>
      </c>
      <c r="J215" s="551" t="s">
        <v>799</v>
      </c>
      <c r="K215" s="552" t="s">
        <v>73</v>
      </c>
      <c r="L215" s="130" t="s">
        <v>2870</v>
      </c>
    </row>
    <row r="216" spans="1:12" ht="16.5" customHeight="1">
      <c r="A216" s="186" t="s">
        <v>2510</v>
      </c>
      <c r="B216" s="186">
        <v>90951</v>
      </c>
      <c r="C216" s="549">
        <v>19101</v>
      </c>
      <c r="D216" s="130" t="s">
        <v>3114</v>
      </c>
      <c r="E216" s="130" t="s">
        <v>3143</v>
      </c>
      <c r="F216" s="130" t="s">
        <v>3144</v>
      </c>
      <c r="G216" s="550" t="s">
        <v>2112</v>
      </c>
      <c r="I216" s="165">
        <v>43642</v>
      </c>
      <c r="J216" s="551" t="s">
        <v>799</v>
      </c>
      <c r="K216" s="552" t="s">
        <v>73</v>
      </c>
      <c r="L216" s="130" t="s">
        <v>2870</v>
      </c>
    </row>
    <row r="217" spans="1:12" ht="16.5" customHeight="1">
      <c r="A217" s="186" t="s">
        <v>2510</v>
      </c>
      <c r="B217" s="186">
        <v>286153</v>
      </c>
      <c r="C217" s="549">
        <v>19337</v>
      </c>
      <c r="D217" s="130" t="s">
        <v>2697</v>
      </c>
      <c r="E217" s="130" t="s">
        <v>3145</v>
      </c>
      <c r="F217" s="130" t="s">
        <v>3146</v>
      </c>
      <c r="G217" s="550" t="s">
        <v>2144</v>
      </c>
      <c r="I217" s="165">
        <v>43642</v>
      </c>
      <c r="J217" s="551" t="s">
        <v>799</v>
      </c>
      <c r="K217" s="552" t="s">
        <v>73</v>
      </c>
      <c r="L217" s="130" t="s">
        <v>2870</v>
      </c>
    </row>
    <row r="218" spans="1:12" ht="16.5" customHeight="1">
      <c r="A218" s="186" t="s">
        <v>2510</v>
      </c>
      <c r="B218" s="186">
        <v>308833</v>
      </c>
      <c r="C218" s="549">
        <v>20002</v>
      </c>
      <c r="D218" s="130" t="s">
        <v>3147</v>
      </c>
      <c r="E218" s="130" t="s">
        <v>3076</v>
      </c>
      <c r="F218" s="130" t="s">
        <v>3077</v>
      </c>
      <c r="G218" s="550" t="s">
        <v>2072</v>
      </c>
      <c r="I218" s="165">
        <v>43642</v>
      </c>
      <c r="J218" s="551" t="s">
        <v>799</v>
      </c>
      <c r="K218" s="552" t="s">
        <v>73</v>
      </c>
      <c r="L218" s="130" t="s">
        <v>2870</v>
      </c>
    </row>
    <row r="219" spans="1:12" ht="16.5" customHeight="1">
      <c r="A219" s="186" t="s">
        <v>2510</v>
      </c>
      <c r="B219" s="186">
        <v>309260</v>
      </c>
      <c r="C219" s="549">
        <v>20429</v>
      </c>
      <c r="D219" s="130" t="s">
        <v>3148</v>
      </c>
      <c r="E219" s="130" t="s">
        <v>3149</v>
      </c>
      <c r="F219" s="130" t="s">
        <v>3150</v>
      </c>
      <c r="G219" s="550" t="s">
        <v>2072</v>
      </c>
      <c r="I219" s="165">
        <v>43642</v>
      </c>
      <c r="J219" s="551" t="s">
        <v>799</v>
      </c>
      <c r="K219" s="552" t="s">
        <v>73</v>
      </c>
      <c r="L219" s="130" t="s">
        <v>2870</v>
      </c>
    </row>
    <row r="220" spans="1:12" ht="16.5" customHeight="1">
      <c r="A220" s="186" t="s">
        <v>2510</v>
      </c>
      <c r="B220" s="186">
        <v>357202</v>
      </c>
      <c r="C220" s="549">
        <v>20747</v>
      </c>
      <c r="D220" s="130" t="s">
        <v>2733</v>
      </c>
      <c r="E220" s="130" t="s">
        <v>2904</v>
      </c>
      <c r="F220" s="130" t="s">
        <v>3151</v>
      </c>
      <c r="G220" s="550" t="s">
        <v>2313</v>
      </c>
      <c r="I220" s="165">
        <v>43642</v>
      </c>
      <c r="J220" s="551" t="s">
        <v>799</v>
      </c>
      <c r="K220" s="552" t="s">
        <v>73</v>
      </c>
      <c r="L220" s="130" t="s">
        <v>2870</v>
      </c>
    </row>
    <row r="221" spans="1:12" ht="16.5" customHeight="1">
      <c r="A221" s="186" t="s">
        <v>2510</v>
      </c>
      <c r="B221" s="186">
        <v>359265</v>
      </c>
      <c r="C221" s="549">
        <v>16639</v>
      </c>
      <c r="D221" s="130" t="s">
        <v>2733</v>
      </c>
      <c r="E221" s="130" t="s">
        <v>3152</v>
      </c>
      <c r="F221" s="130" t="s">
        <v>3153</v>
      </c>
      <c r="G221" s="550" t="s">
        <v>2313</v>
      </c>
      <c r="I221" s="165">
        <v>43642</v>
      </c>
      <c r="J221" s="551" t="s">
        <v>799</v>
      </c>
      <c r="K221" s="552" t="s">
        <v>73</v>
      </c>
      <c r="L221" s="130" t="s">
        <v>2870</v>
      </c>
    </row>
    <row r="222" spans="1:12" ht="16.5" customHeight="1">
      <c r="A222" s="186" t="s">
        <v>2510</v>
      </c>
      <c r="B222" s="186">
        <v>402016</v>
      </c>
      <c r="C222" s="549">
        <v>14801</v>
      </c>
      <c r="D222" s="130" t="s">
        <v>3154</v>
      </c>
      <c r="E222" s="130" t="s">
        <v>3155</v>
      </c>
      <c r="F222" s="130" t="s">
        <v>3156</v>
      </c>
      <c r="G222" s="550" t="s">
        <v>2118</v>
      </c>
      <c r="I222" s="165">
        <v>43642</v>
      </c>
      <c r="J222" s="551" t="s">
        <v>799</v>
      </c>
      <c r="K222" s="552" t="s">
        <v>73</v>
      </c>
      <c r="L222" s="130" t="s">
        <v>2870</v>
      </c>
    </row>
    <row r="223" spans="1:12" ht="16.5" customHeight="1">
      <c r="A223" s="186" t="s">
        <v>2510</v>
      </c>
      <c r="B223" s="186">
        <v>936112</v>
      </c>
      <c r="C223" s="549">
        <v>12589</v>
      </c>
      <c r="D223" s="130" t="s">
        <v>2580</v>
      </c>
      <c r="E223" s="130" t="s">
        <v>3157</v>
      </c>
      <c r="F223" s="130" t="s">
        <v>3158</v>
      </c>
      <c r="G223" s="550" t="s">
        <v>2106</v>
      </c>
      <c r="I223" s="165">
        <v>43642</v>
      </c>
      <c r="J223" s="551" t="s">
        <v>799</v>
      </c>
      <c r="K223" s="552" t="s">
        <v>73</v>
      </c>
      <c r="L223" s="130" t="s">
        <v>2870</v>
      </c>
    </row>
    <row r="224" spans="1:12" ht="16.5" customHeight="1">
      <c r="A224" s="186" t="s">
        <v>2510</v>
      </c>
      <c r="B224" s="186">
        <v>1218452</v>
      </c>
      <c r="C224" s="549">
        <v>19452</v>
      </c>
      <c r="D224" s="130" t="s">
        <v>3159</v>
      </c>
      <c r="E224" s="130" t="s">
        <v>3160</v>
      </c>
      <c r="F224" s="130" t="s">
        <v>3161</v>
      </c>
      <c r="G224" s="550" t="s">
        <v>2094</v>
      </c>
      <c r="I224" s="165">
        <v>43642</v>
      </c>
      <c r="J224" s="551" t="s">
        <v>799</v>
      </c>
      <c r="K224" s="552" t="s">
        <v>73</v>
      </c>
      <c r="L224" s="130" t="s">
        <v>2870</v>
      </c>
    </row>
    <row r="225" spans="1:12" ht="16.5" customHeight="1">
      <c r="A225" s="186" t="s">
        <v>2510</v>
      </c>
      <c r="B225" s="186">
        <v>1522671</v>
      </c>
      <c r="C225" s="549">
        <v>12559</v>
      </c>
      <c r="D225" s="130" t="s">
        <v>3162</v>
      </c>
      <c r="E225" s="130" t="s">
        <v>3163</v>
      </c>
      <c r="F225" s="130" t="s">
        <v>3164</v>
      </c>
      <c r="G225" s="550" t="s">
        <v>2185</v>
      </c>
      <c r="I225" s="165">
        <v>43642</v>
      </c>
      <c r="J225" s="551" t="s">
        <v>799</v>
      </c>
      <c r="K225" s="552" t="s">
        <v>73</v>
      </c>
      <c r="L225" s="130" t="s">
        <v>2870</v>
      </c>
    </row>
    <row r="226" spans="1:12" ht="16.5" customHeight="1">
      <c r="A226" s="186" t="s">
        <v>2510</v>
      </c>
      <c r="B226" s="186">
        <v>1704089</v>
      </c>
      <c r="C226" s="549">
        <v>11094</v>
      </c>
      <c r="D226" s="130" t="s">
        <v>3165</v>
      </c>
      <c r="E226" s="130" t="s">
        <v>3166</v>
      </c>
      <c r="F226" s="130" t="s">
        <v>3167</v>
      </c>
      <c r="G226" s="550" t="s">
        <v>2072</v>
      </c>
      <c r="I226" s="165">
        <v>43642</v>
      </c>
      <c r="J226" s="551" t="s">
        <v>799</v>
      </c>
      <c r="K226" s="552" t="s">
        <v>73</v>
      </c>
      <c r="L226" s="130" t="s">
        <v>2870</v>
      </c>
    </row>
    <row r="227" spans="1:12" ht="16.5" customHeight="1">
      <c r="A227" s="186" t="s">
        <v>2510</v>
      </c>
      <c r="B227" s="186">
        <v>1764612</v>
      </c>
      <c r="C227" s="549">
        <v>17564</v>
      </c>
      <c r="D227" s="130" t="s">
        <v>3080</v>
      </c>
      <c r="E227" s="130" t="s">
        <v>3081</v>
      </c>
      <c r="F227" s="130" t="s">
        <v>3082</v>
      </c>
      <c r="G227" s="550" t="s">
        <v>2313</v>
      </c>
      <c r="I227" s="165">
        <v>43642</v>
      </c>
      <c r="J227" s="551" t="s">
        <v>799</v>
      </c>
      <c r="K227" s="552" t="s">
        <v>73</v>
      </c>
      <c r="L227" s="130" t="s">
        <v>2870</v>
      </c>
    </row>
    <row r="228" spans="1:12" ht="16.5" customHeight="1">
      <c r="A228" s="186" t="s">
        <v>2510</v>
      </c>
      <c r="B228" s="186">
        <v>1783570</v>
      </c>
      <c r="C228" s="549">
        <v>3744</v>
      </c>
      <c r="D228" s="130" t="s">
        <v>2851</v>
      </c>
      <c r="E228" s="130" t="s">
        <v>3168</v>
      </c>
      <c r="F228" s="130" t="s">
        <v>3169</v>
      </c>
      <c r="G228" s="550" t="s">
        <v>2240</v>
      </c>
      <c r="I228" s="165">
        <v>43642</v>
      </c>
      <c r="J228" s="551" t="s">
        <v>799</v>
      </c>
      <c r="K228" s="552" t="s">
        <v>73</v>
      </c>
      <c r="L228" s="130" t="s">
        <v>2870</v>
      </c>
    </row>
    <row r="229" spans="1:12" ht="16.5" customHeight="1">
      <c r="A229" s="186" t="s">
        <v>2510</v>
      </c>
      <c r="B229" s="186">
        <v>2678779</v>
      </c>
      <c r="C229" s="549">
        <v>15876</v>
      </c>
      <c r="D229" s="130" t="s">
        <v>2979</v>
      </c>
      <c r="E229" s="130" t="s">
        <v>3170</v>
      </c>
      <c r="F229" s="130" t="s">
        <v>3171</v>
      </c>
      <c r="G229" s="550" t="s">
        <v>2185</v>
      </c>
      <c r="I229" s="165">
        <v>43642</v>
      </c>
      <c r="J229" s="551" t="s">
        <v>799</v>
      </c>
      <c r="K229" s="552" t="s">
        <v>73</v>
      </c>
      <c r="L229" s="130" t="s">
        <v>2870</v>
      </c>
    </row>
    <row r="230" spans="1:12" ht="16.5" customHeight="1">
      <c r="A230" s="186" t="s">
        <v>2510</v>
      </c>
      <c r="B230" s="186">
        <v>2920833</v>
      </c>
      <c r="C230" s="549">
        <v>5753</v>
      </c>
      <c r="D230" s="130" t="s">
        <v>3172</v>
      </c>
      <c r="E230" s="130" t="s">
        <v>3173</v>
      </c>
      <c r="F230" s="130" t="s">
        <v>3174</v>
      </c>
      <c r="G230" s="550" t="s">
        <v>2072</v>
      </c>
      <c r="I230" s="165">
        <v>43642</v>
      </c>
      <c r="J230" s="551" t="s">
        <v>799</v>
      </c>
      <c r="K230" s="552" t="s">
        <v>73</v>
      </c>
      <c r="L230" s="130" t="s">
        <v>2870</v>
      </c>
    </row>
    <row r="231" spans="1:12" ht="16.5" customHeight="1">
      <c r="A231" s="186" t="s">
        <v>2510</v>
      </c>
      <c r="B231" s="186">
        <v>2969475</v>
      </c>
      <c r="C231" s="549">
        <v>15644</v>
      </c>
      <c r="D231" s="130" t="s">
        <v>2511</v>
      </c>
      <c r="E231" s="130" t="s">
        <v>3040</v>
      </c>
      <c r="F231" s="130" t="s">
        <v>3041</v>
      </c>
      <c r="G231" s="550" t="s">
        <v>2106</v>
      </c>
      <c r="I231" s="165">
        <v>43642</v>
      </c>
      <c r="J231" s="551" t="s">
        <v>799</v>
      </c>
      <c r="K231" s="552" t="s">
        <v>73</v>
      </c>
      <c r="L231" s="130" t="s">
        <v>2870</v>
      </c>
    </row>
    <row r="232" spans="1:12" ht="16.5" customHeight="1">
      <c r="A232" s="186" t="s">
        <v>2510</v>
      </c>
      <c r="B232" s="186">
        <v>3599263</v>
      </c>
      <c r="C232" s="549">
        <v>17838</v>
      </c>
      <c r="D232" s="130" t="s">
        <v>2739</v>
      </c>
      <c r="E232" s="130" t="s">
        <v>3083</v>
      </c>
      <c r="F232" s="130" t="s">
        <v>3084</v>
      </c>
      <c r="G232" s="550" t="s">
        <v>2112</v>
      </c>
      <c r="I232" s="165">
        <v>43642</v>
      </c>
      <c r="J232" s="551" t="s">
        <v>799</v>
      </c>
      <c r="K232" s="552" t="s">
        <v>73</v>
      </c>
      <c r="L232" s="130" t="s">
        <v>2870</v>
      </c>
    </row>
    <row r="233" spans="1:12" ht="16.5" customHeight="1">
      <c r="A233" s="186" t="s">
        <v>2510</v>
      </c>
      <c r="B233" s="186">
        <v>3764339</v>
      </c>
      <c r="C233" s="549">
        <v>16988</v>
      </c>
      <c r="D233" s="130" t="s">
        <v>2665</v>
      </c>
      <c r="E233" s="130" t="s">
        <v>3175</v>
      </c>
      <c r="F233" s="130" t="s">
        <v>3176</v>
      </c>
      <c r="G233" s="550" t="s">
        <v>2313</v>
      </c>
      <c r="I233" s="165">
        <v>43642</v>
      </c>
      <c r="J233" s="551" t="s">
        <v>799</v>
      </c>
      <c r="K233" s="552" t="s">
        <v>73</v>
      </c>
      <c r="L233" s="130" t="s">
        <v>2870</v>
      </c>
    </row>
    <row r="234" spans="1:12" ht="16.5" customHeight="1">
      <c r="A234" s="186" t="s">
        <v>2510</v>
      </c>
      <c r="B234" s="186">
        <v>3984580</v>
      </c>
      <c r="C234" s="549">
        <v>18598</v>
      </c>
      <c r="D234" s="130" t="s">
        <v>2558</v>
      </c>
      <c r="E234" s="130" t="s">
        <v>3177</v>
      </c>
      <c r="F234" s="130" t="s">
        <v>3178</v>
      </c>
      <c r="G234" s="550" t="s">
        <v>2274</v>
      </c>
      <c r="I234" s="165">
        <v>43642</v>
      </c>
      <c r="J234" s="551" t="s">
        <v>799</v>
      </c>
      <c r="K234" s="552" t="s">
        <v>73</v>
      </c>
      <c r="L234" s="130" t="s">
        <v>2870</v>
      </c>
    </row>
    <row r="235" spans="1:12" ht="16.5" customHeight="1">
      <c r="A235" s="186" t="s">
        <v>2510</v>
      </c>
      <c r="B235" s="186">
        <v>4169975</v>
      </c>
      <c r="C235" s="549">
        <v>16102</v>
      </c>
      <c r="D235" s="130" t="s">
        <v>3179</v>
      </c>
      <c r="E235" s="130" t="s">
        <v>3180</v>
      </c>
      <c r="F235" s="130" t="s">
        <v>3181</v>
      </c>
      <c r="G235" s="550" t="s">
        <v>2094</v>
      </c>
      <c r="I235" s="165">
        <v>43642</v>
      </c>
      <c r="J235" s="551" t="s">
        <v>799</v>
      </c>
      <c r="K235" s="552" t="s">
        <v>73</v>
      </c>
      <c r="L235" s="130" t="s">
        <v>2870</v>
      </c>
    </row>
    <row r="236" spans="1:12" ht="16.5" customHeight="1">
      <c r="A236" s="186" t="s">
        <v>2510</v>
      </c>
      <c r="B236" s="186">
        <v>4618468</v>
      </c>
      <c r="C236" s="549">
        <v>20793</v>
      </c>
      <c r="D236" s="130" t="s">
        <v>2863</v>
      </c>
      <c r="E236" s="130" t="s">
        <v>3182</v>
      </c>
      <c r="F236" s="130" t="s">
        <v>3183</v>
      </c>
      <c r="G236" s="550" t="s">
        <v>2106</v>
      </c>
      <c r="I236" s="165">
        <v>43642</v>
      </c>
      <c r="J236" s="551" t="s">
        <v>799</v>
      </c>
      <c r="K236" s="552" t="s">
        <v>73</v>
      </c>
      <c r="L236" s="130" t="s">
        <v>2870</v>
      </c>
    </row>
    <row r="237" spans="1:12" ht="16.5" customHeight="1">
      <c r="A237" s="186" t="s">
        <v>2510</v>
      </c>
      <c r="B237" s="186">
        <v>4741385</v>
      </c>
      <c r="C237" s="549">
        <v>15716</v>
      </c>
      <c r="D237" s="130" t="s">
        <v>3184</v>
      </c>
      <c r="E237" s="130" t="s">
        <v>3185</v>
      </c>
      <c r="F237" s="130" t="s">
        <v>3186</v>
      </c>
      <c r="G237" s="550" t="s">
        <v>2112</v>
      </c>
      <c r="I237" s="165">
        <v>43642</v>
      </c>
      <c r="J237" s="551" t="s">
        <v>799</v>
      </c>
      <c r="K237" s="552" t="s">
        <v>73</v>
      </c>
      <c r="L237" s="130" t="s">
        <v>2870</v>
      </c>
    </row>
    <row r="238" spans="1:12" ht="16.5" customHeight="1">
      <c r="A238" s="186" t="s">
        <v>2510</v>
      </c>
      <c r="B238" s="186">
        <v>5166590</v>
      </c>
      <c r="C238" s="549">
        <v>21002</v>
      </c>
      <c r="D238" s="130" t="s">
        <v>3187</v>
      </c>
      <c r="E238" s="130" t="s">
        <v>3188</v>
      </c>
      <c r="F238" s="130" t="s">
        <v>3189</v>
      </c>
      <c r="G238" s="550" t="s">
        <v>2638</v>
      </c>
      <c r="I238" s="165">
        <v>43642</v>
      </c>
      <c r="J238" s="551" t="s">
        <v>799</v>
      </c>
      <c r="K238" s="552" t="s">
        <v>73</v>
      </c>
      <c r="L238" s="130" t="s">
        <v>2870</v>
      </c>
    </row>
    <row r="239" spans="1:12" ht="16.5" customHeight="1">
      <c r="A239" s="186" t="s">
        <v>2510</v>
      </c>
      <c r="B239" s="186">
        <v>5651971</v>
      </c>
      <c r="C239" s="549">
        <v>16490</v>
      </c>
      <c r="D239" s="130" t="s">
        <v>2739</v>
      </c>
      <c r="E239" s="130" t="s">
        <v>3190</v>
      </c>
      <c r="F239" s="130" t="s">
        <v>3191</v>
      </c>
      <c r="G239" s="550" t="s">
        <v>2313</v>
      </c>
      <c r="I239" s="165">
        <v>43642</v>
      </c>
      <c r="J239" s="551" t="s">
        <v>799</v>
      </c>
      <c r="K239" s="552" t="s">
        <v>73</v>
      </c>
      <c r="L239" s="130" t="s">
        <v>2870</v>
      </c>
    </row>
    <row r="240" spans="1:12" ht="16.5" customHeight="1">
      <c r="A240" s="186" t="s">
        <v>2510</v>
      </c>
      <c r="B240" s="186">
        <v>7696305</v>
      </c>
      <c r="C240" s="549">
        <v>20597</v>
      </c>
      <c r="D240" s="130" t="s">
        <v>3192</v>
      </c>
      <c r="E240" s="130" t="s">
        <v>3193</v>
      </c>
      <c r="F240" s="130" t="s">
        <v>3194</v>
      </c>
      <c r="G240" s="550" t="s">
        <v>2106</v>
      </c>
      <c r="I240" s="165">
        <v>43642</v>
      </c>
      <c r="J240" s="551" t="s">
        <v>799</v>
      </c>
      <c r="K240" s="552" t="s">
        <v>73</v>
      </c>
      <c r="L240" s="130" t="s">
        <v>2870</v>
      </c>
    </row>
    <row r="241" spans="1:12" ht="16.5" customHeight="1">
      <c r="A241" s="186" t="s">
        <v>2510</v>
      </c>
      <c r="B241" s="186">
        <v>7901093</v>
      </c>
      <c r="C241" s="549">
        <v>17287</v>
      </c>
      <c r="D241" s="130" t="s">
        <v>2992</v>
      </c>
      <c r="E241" s="130" t="s">
        <v>3195</v>
      </c>
      <c r="F241" s="130" t="s">
        <v>3196</v>
      </c>
      <c r="G241" s="550" t="s">
        <v>2106</v>
      </c>
      <c r="I241" s="165">
        <v>43642</v>
      </c>
      <c r="J241" s="551" t="s">
        <v>799</v>
      </c>
      <c r="K241" s="552" t="s">
        <v>73</v>
      </c>
      <c r="L241" s="130" t="s">
        <v>2870</v>
      </c>
    </row>
    <row r="242" spans="1:12" ht="16.5" customHeight="1">
      <c r="A242" s="186" t="s">
        <v>2510</v>
      </c>
      <c r="B242" s="186">
        <v>8058224</v>
      </c>
      <c r="C242" s="549">
        <v>13787</v>
      </c>
      <c r="D242" s="130" t="s">
        <v>2851</v>
      </c>
      <c r="E242" s="130" t="s">
        <v>3197</v>
      </c>
      <c r="F242" s="130" t="s">
        <v>3198</v>
      </c>
      <c r="G242" s="550" t="s">
        <v>2112</v>
      </c>
      <c r="I242" s="165">
        <v>43642</v>
      </c>
      <c r="J242" s="551" t="s">
        <v>799</v>
      </c>
      <c r="K242" s="552" t="s">
        <v>73</v>
      </c>
      <c r="L242" s="130" t="s">
        <v>2870</v>
      </c>
    </row>
    <row r="243" spans="1:12" ht="16.5" customHeight="1">
      <c r="A243" s="186" t="s">
        <v>2510</v>
      </c>
      <c r="B243" s="186">
        <v>8133803</v>
      </c>
      <c r="C243" s="549">
        <v>16335</v>
      </c>
      <c r="D243" s="130" t="s">
        <v>2669</v>
      </c>
      <c r="E243" s="130" t="s">
        <v>3199</v>
      </c>
      <c r="F243" s="130" t="s">
        <v>3200</v>
      </c>
      <c r="G243" s="550" t="s">
        <v>2274</v>
      </c>
      <c r="I243" s="165">
        <v>43642</v>
      </c>
      <c r="J243" s="551" t="s">
        <v>799</v>
      </c>
      <c r="K243" s="552" t="s">
        <v>73</v>
      </c>
      <c r="L243" s="130" t="s">
        <v>2870</v>
      </c>
    </row>
    <row r="244" spans="1:12" ht="16.5" customHeight="1">
      <c r="A244" s="186" t="s">
        <v>2510</v>
      </c>
      <c r="B244" s="186">
        <v>8591729</v>
      </c>
      <c r="C244" s="549">
        <v>12563</v>
      </c>
      <c r="D244" s="130" t="s">
        <v>3201</v>
      </c>
      <c r="E244" s="130" t="s">
        <v>3202</v>
      </c>
      <c r="F244" s="130" t="s">
        <v>3203</v>
      </c>
      <c r="G244" s="550" t="s">
        <v>2313</v>
      </c>
      <c r="I244" s="165">
        <v>43642</v>
      </c>
      <c r="J244" s="551" t="s">
        <v>799</v>
      </c>
      <c r="K244" s="552" t="s">
        <v>73</v>
      </c>
      <c r="L244" s="130" t="s">
        <v>2870</v>
      </c>
    </row>
    <row r="245" spans="1:12" ht="16.5" customHeight="1">
      <c r="A245" s="186" t="s">
        <v>2510</v>
      </c>
      <c r="B245" s="186">
        <v>8652224</v>
      </c>
      <c r="C245" s="549">
        <v>19477</v>
      </c>
      <c r="D245" s="130" t="s">
        <v>2511</v>
      </c>
      <c r="E245" s="130" t="s">
        <v>3204</v>
      </c>
      <c r="F245" s="130" t="s">
        <v>3205</v>
      </c>
      <c r="G245" s="550" t="s">
        <v>2106</v>
      </c>
      <c r="I245" s="165">
        <v>43642</v>
      </c>
      <c r="J245" s="551" t="s">
        <v>799</v>
      </c>
      <c r="K245" s="552" t="s">
        <v>73</v>
      </c>
      <c r="L245" s="130" t="s">
        <v>2870</v>
      </c>
    </row>
    <row r="246" spans="1:12" ht="16.5" customHeight="1">
      <c r="A246" s="186" t="s">
        <v>2510</v>
      </c>
      <c r="B246" s="186">
        <v>9281767</v>
      </c>
      <c r="C246" s="549">
        <v>19845</v>
      </c>
      <c r="D246" s="130" t="s">
        <v>3206</v>
      </c>
      <c r="E246" s="130" t="s">
        <v>3207</v>
      </c>
      <c r="F246" s="130" t="s">
        <v>3208</v>
      </c>
      <c r="G246" s="550" t="s">
        <v>2106</v>
      </c>
      <c r="I246" s="165">
        <v>43642</v>
      </c>
      <c r="J246" s="551" t="s">
        <v>799</v>
      </c>
      <c r="K246" s="552" t="s">
        <v>73</v>
      </c>
      <c r="L246" s="130" t="s">
        <v>2870</v>
      </c>
    </row>
    <row r="247" spans="1:12" ht="16.5" customHeight="1">
      <c r="A247" s="186" t="s">
        <v>2510</v>
      </c>
      <c r="B247" s="186">
        <v>9474883</v>
      </c>
      <c r="C247" s="549">
        <v>16729</v>
      </c>
      <c r="D247" s="130" t="s">
        <v>3209</v>
      </c>
      <c r="E247" s="130" t="s">
        <v>3210</v>
      </c>
      <c r="F247" s="130" t="s">
        <v>3211</v>
      </c>
      <c r="G247" s="550" t="s">
        <v>2313</v>
      </c>
      <c r="I247" s="165">
        <v>43642</v>
      </c>
      <c r="J247" s="551" t="s">
        <v>799</v>
      </c>
      <c r="K247" s="552" t="s">
        <v>73</v>
      </c>
      <c r="L247" s="130" t="s">
        <v>2870</v>
      </c>
    </row>
    <row r="248" spans="1:12" ht="16.5" customHeight="1">
      <c r="A248" s="186" t="s">
        <v>2510</v>
      </c>
      <c r="B248" s="186">
        <v>9629080</v>
      </c>
      <c r="C248" s="549">
        <v>13909</v>
      </c>
      <c r="D248" s="130" t="s">
        <v>2863</v>
      </c>
      <c r="E248" s="130" t="s">
        <v>3212</v>
      </c>
      <c r="F248" s="130" t="s">
        <v>3213</v>
      </c>
      <c r="G248" s="550" t="s">
        <v>2094</v>
      </c>
      <c r="I248" s="165">
        <v>43642</v>
      </c>
      <c r="J248" s="551" t="s">
        <v>799</v>
      </c>
      <c r="K248" s="552" t="s">
        <v>73</v>
      </c>
      <c r="L248" s="130" t="s">
        <v>2870</v>
      </c>
    </row>
    <row r="249" spans="1:12" ht="16.5" customHeight="1">
      <c r="A249" s="186" t="s">
        <v>2510</v>
      </c>
      <c r="B249" s="186">
        <v>9683384</v>
      </c>
      <c r="C249" s="549">
        <v>13881</v>
      </c>
      <c r="D249" s="130" t="s">
        <v>2879</v>
      </c>
      <c r="E249" s="130" t="s">
        <v>3214</v>
      </c>
      <c r="F249" s="130" t="s">
        <v>3215</v>
      </c>
      <c r="G249" s="550" t="s">
        <v>2129</v>
      </c>
      <c r="I249" s="165">
        <v>43642</v>
      </c>
      <c r="J249" s="551" t="s">
        <v>799</v>
      </c>
      <c r="K249" s="552" t="s">
        <v>73</v>
      </c>
      <c r="L249" s="130" t="s">
        <v>2870</v>
      </c>
    </row>
    <row r="250" spans="1:12" ht="16.5" customHeight="1">
      <c r="A250" s="186" t="s">
        <v>2510</v>
      </c>
      <c r="B250" s="186">
        <v>11393972</v>
      </c>
      <c r="C250" s="549">
        <v>18810</v>
      </c>
      <c r="D250" s="130" t="s">
        <v>2969</v>
      </c>
      <c r="E250" s="130" t="s">
        <v>3216</v>
      </c>
      <c r="F250" s="130" t="s">
        <v>2624</v>
      </c>
      <c r="G250" s="550" t="s">
        <v>2144</v>
      </c>
      <c r="I250" s="165">
        <v>43642</v>
      </c>
      <c r="J250" s="551" t="s">
        <v>799</v>
      </c>
      <c r="K250" s="552" t="s">
        <v>73</v>
      </c>
      <c r="L250" s="130" t="s">
        <v>2870</v>
      </c>
    </row>
    <row r="251" spans="1:12" ht="16.5" customHeight="1">
      <c r="A251" s="186" t="s">
        <v>2510</v>
      </c>
      <c r="B251" s="186">
        <v>11468162</v>
      </c>
      <c r="C251" s="549">
        <v>12366</v>
      </c>
      <c r="D251" s="130" t="s">
        <v>3217</v>
      </c>
      <c r="E251" s="130" t="s">
        <v>3218</v>
      </c>
      <c r="F251" s="130" t="s">
        <v>3219</v>
      </c>
      <c r="G251" s="550" t="s">
        <v>2129</v>
      </c>
      <c r="I251" s="165">
        <v>43642</v>
      </c>
      <c r="J251" s="551" t="s">
        <v>799</v>
      </c>
      <c r="K251" s="552" t="s">
        <v>73</v>
      </c>
      <c r="L251" s="130" t="s">
        <v>2870</v>
      </c>
    </row>
    <row r="252" spans="1:12" ht="16.5" customHeight="1">
      <c r="A252" s="186" t="s">
        <v>2510</v>
      </c>
      <c r="B252" s="186">
        <v>13106935</v>
      </c>
      <c r="C252" s="549">
        <v>15300</v>
      </c>
      <c r="D252" s="130" t="s">
        <v>3220</v>
      </c>
      <c r="E252" s="130" t="s">
        <v>3221</v>
      </c>
      <c r="F252" s="130" t="s">
        <v>3222</v>
      </c>
      <c r="G252" s="550" t="s">
        <v>2185</v>
      </c>
      <c r="I252" s="165">
        <v>43642</v>
      </c>
      <c r="J252" s="551" t="s">
        <v>799</v>
      </c>
      <c r="K252" s="552" t="s">
        <v>73</v>
      </c>
      <c r="L252" s="130" t="s">
        <v>2870</v>
      </c>
    </row>
    <row r="253" spans="1:12" ht="16.5" customHeight="1">
      <c r="A253" s="186" t="s">
        <v>2510</v>
      </c>
      <c r="B253" s="186">
        <v>14669824</v>
      </c>
      <c r="C253" s="549">
        <v>14885</v>
      </c>
      <c r="D253" s="130" t="s">
        <v>3223</v>
      </c>
      <c r="E253" s="130" t="s">
        <v>3224</v>
      </c>
      <c r="F253" s="130" t="s">
        <v>3225</v>
      </c>
      <c r="G253" s="550" t="s">
        <v>2072</v>
      </c>
      <c r="I253" s="165">
        <v>43642</v>
      </c>
      <c r="J253" s="551" t="s">
        <v>799</v>
      </c>
      <c r="K253" s="552" t="s">
        <v>73</v>
      </c>
      <c r="L253" s="130" t="s">
        <v>2870</v>
      </c>
    </row>
    <row r="254" spans="1:12" ht="16.5" customHeight="1">
      <c r="A254" s="186" t="s">
        <v>2510</v>
      </c>
      <c r="B254" s="186">
        <v>15203516</v>
      </c>
      <c r="C254" s="549">
        <v>7407</v>
      </c>
      <c r="D254" s="130" t="s">
        <v>3226</v>
      </c>
      <c r="E254" s="130" t="s">
        <v>3227</v>
      </c>
      <c r="F254" s="130" t="s">
        <v>3211</v>
      </c>
      <c r="G254" s="550" t="s">
        <v>2313</v>
      </c>
      <c r="I254" s="165">
        <v>43642</v>
      </c>
      <c r="J254" s="551" t="s">
        <v>799</v>
      </c>
      <c r="K254" s="552" t="s">
        <v>73</v>
      </c>
      <c r="L254" s="130" t="s">
        <v>2870</v>
      </c>
    </row>
    <row r="255" spans="1:12" ht="16.5" customHeight="1">
      <c r="A255" s="186" t="s">
        <v>2510</v>
      </c>
      <c r="B255" s="186">
        <v>15852734</v>
      </c>
      <c r="C255" s="549">
        <v>20090</v>
      </c>
      <c r="D255" s="130" t="s">
        <v>3228</v>
      </c>
      <c r="E255" s="130" t="s">
        <v>2706</v>
      </c>
      <c r="F255" s="130" t="s">
        <v>3229</v>
      </c>
      <c r="G255" s="550" t="s">
        <v>2094</v>
      </c>
      <c r="I255" s="165">
        <v>43642</v>
      </c>
      <c r="J255" s="551" t="s">
        <v>799</v>
      </c>
      <c r="K255" s="552" t="s">
        <v>73</v>
      </c>
      <c r="L255" s="130" t="s">
        <v>2870</v>
      </c>
    </row>
    <row r="256" spans="1:12" ht="16.5" customHeight="1">
      <c r="A256" s="186" t="s">
        <v>2510</v>
      </c>
      <c r="B256" s="186">
        <v>16158222</v>
      </c>
      <c r="C256" s="549">
        <v>17863</v>
      </c>
      <c r="D256" s="130" t="s">
        <v>3230</v>
      </c>
      <c r="E256" s="130" t="s">
        <v>3231</v>
      </c>
      <c r="F256" s="130" t="s">
        <v>2853</v>
      </c>
      <c r="G256" s="550" t="s">
        <v>2077</v>
      </c>
      <c r="I256" s="165">
        <v>43642</v>
      </c>
      <c r="J256" s="551" t="s">
        <v>799</v>
      </c>
      <c r="K256" s="552" t="s">
        <v>73</v>
      </c>
      <c r="L256" s="130" t="s">
        <v>2870</v>
      </c>
    </row>
    <row r="257" spans="1:12" ht="16.5" customHeight="1">
      <c r="A257" s="186" t="s">
        <v>2510</v>
      </c>
      <c r="B257" s="186">
        <v>16346595</v>
      </c>
      <c r="C257" s="549">
        <v>17046</v>
      </c>
      <c r="D257" s="130" t="s">
        <v>2518</v>
      </c>
      <c r="E257" s="130" t="s">
        <v>3090</v>
      </c>
      <c r="F257" s="130" t="s">
        <v>3091</v>
      </c>
      <c r="G257" s="550" t="s">
        <v>2290</v>
      </c>
      <c r="I257" s="165">
        <v>43642</v>
      </c>
      <c r="J257" s="551" t="s">
        <v>799</v>
      </c>
      <c r="K257" s="552" t="s">
        <v>73</v>
      </c>
      <c r="L257" s="130" t="s">
        <v>2870</v>
      </c>
    </row>
    <row r="258" spans="1:12" ht="16.5" customHeight="1">
      <c r="A258" s="186" t="s">
        <v>2510</v>
      </c>
      <c r="B258" s="186">
        <v>16610933</v>
      </c>
      <c r="C258" s="549">
        <v>21079</v>
      </c>
      <c r="D258" s="130" t="s">
        <v>3232</v>
      </c>
      <c r="E258" s="130" t="s">
        <v>3233</v>
      </c>
      <c r="F258" s="130" t="s">
        <v>3234</v>
      </c>
      <c r="G258" s="550" t="s">
        <v>2274</v>
      </c>
      <c r="I258" s="165">
        <v>43642</v>
      </c>
      <c r="J258" s="551" t="s">
        <v>799</v>
      </c>
      <c r="K258" s="552" t="s">
        <v>73</v>
      </c>
      <c r="L258" s="130" t="s">
        <v>2870</v>
      </c>
    </row>
    <row r="259" spans="1:12" ht="16.5" customHeight="1">
      <c r="A259" s="186" t="s">
        <v>2510</v>
      </c>
      <c r="B259" s="186">
        <v>16720872</v>
      </c>
      <c r="C259" s="549">
        <v>11509</v>
      </c>
      <c r="D259" s="130" t="s">
        <v>3103</v>
      </c>
      <c r="E259" s="130" t="s">
        <v>3235</v>
      </c>
      <c r="F259" s="130" t="s">
        <v>3236</v>
      </c>
      <c r="G259" s="550" t="s">
        <v>2112</v>
      </c>
      <c r="I259" s="165">
        <v>43642</v>
      </c>
      <c r="J259" s="551" t="s">
        <v>799</v>
      </c>
      <c r="K259" s="552" t="s">
        <v>73</v>
      </c>
      <c r="L259" s="130" t="s">
        <v>2870</v>
      </c>
    </row>
    <row r="260" spans="1:12" ht="16.5" customHeight="1">
      <c r="A260" s="186" t="s">
        <v>2510</v>
      </c>
      <c r="B260" s="186">
        <v>17640061</v>
      </c>
      <c r="C260" s="549">
        <v>17620</v>
      </c>
      <c r="D260" s="130" t="s">
        <v>3237</v>
      </c>
      <c r="E260" s="130" t="s">
        <v>3238</v>
      </c>
      <c r="F260" s="130" t="s">
        <v>3239</v>
      </c>
      <c r="G260" s="550" t="s">
        <v>2313</v>
      </c>
      <c r="I260" s="165">
        <v>43642</v>
      </c>
      <c r="J260" s="551" t="s">
        <v>799</v>
      </c>
      <c r="K260" s="552" t="s">
        <v>73</v>
      </c>
      <c r="L260" s="130" t="s">
        <v>2870</v>
      </c>
    </row>
    <row r="261" spans="1:12" ht="16.5" customHeight="1">
      <c r="A261" s="186" t="s">
        <v>2510</v>
      </c>
      <c r="B261" s="186">
        <v>17640749</v>
      </c>
      <c r="C261" s="549">
        <v>9890</v>
      </c>
      <c r="D261" s="130" t="s">
        <v>2541</v>
      </c>
      <c r="E261" s="130" t="s">
        <v>2661</v>
      </c>
      <c r="F261" s="130" t="s">
        <v>3240</v>
      </c>
      <c r="G261" s="550" t="s">
        <v>2094</v>
      </c>
      <c r="I261" s="165">
        <v>43642</v>
      </c>
      <c r="J261" s="551" t="s">
        <v>799</v>
      </c>
      <c r="K261" s="552" t="s">
        <v>73</v>
      </c>
      <c r="L261" s="130" t="s">
        <v>2870</v>
      </c>
    </row>
    <row r="262" spans="1:12" ht="16.5" customHeight="1">
      <c r="A262" s="186" t="s">
        <v>2510</v>
      </c>
      <c r="B262" s="186">
        <v>18051037</v>
      </c>
      <c r="C262" s="549">
        <v>30341</v>
      </c>
      <c r="D262" s="130" t="s">
        <v>3241</v>
      </c>
      <c r="E262" s="130" t="s">
        <v>3242</v>
      </c>
      <c r="F262" s="130" t="s">
        <v>3243</v>
      </c>
      <c r="G262" s="550" t="s">
        <v>2129</v>
      </c>
      <c r="I262" s="165">
        <v>43642</v>
      </c>
      <c r="J262" s="551" t="s">
        <v>799</v>
      </c>
      <c r="K262" s="552" t="s">
        <v>73</v>
      </c>
      <c r="L262" s="130" t="s">
        <v>2870</v>
      </c>
    </row>
    <row r="263" spans="1:12" ht="16.5" customHeight="1">
      <c r="A263" s="186" t="s">
        <v>2510</v>
      </c>
      <c r="B263" s="186">
        <v>18182840</v>
      </c>
      <c r="C263" s="549">
        <v>14878</v>
      </c>
      <c r="D263" s="130" t="s">
        <v>2898</v>
      </c>
      <c r="E263" s="130" t="s">
        <v>3244</v>
      </c>
      <c r="F263" s="130" t="s">
        <v>3245</v>
      </c>
      <c r="G263" s="550" t="s">
        <v>2274</v>
      </c>
      <c r="I263" s="165">
        <v>43642</v>
      </c>
      <c r="J263" s="551" t="s">
        <v>799</v>
      </c>
      <c r="K263" s="552" t="s">
        <v>73</v>
      </c>
      <c r="L263" s="130" t="s">
        <v>2870</v>
      </c>
    </row>
    <row r="264" spans="1:12" ht="16.5" customHeight="1">
      <c r="A264" s="186" t="s">
        <v>2510</v>
      </c>
      <c r="B264" s="186">
        <v>18441584</v>
      </c>
      <c r="C264" s="549">
        <v>17617</v>
      </c>
      <c r="D264" s="130" t="s">
        <v>3246</v>
      </c>
      <c r="E264" s="130" t="s">
        <v>3247</v>
      </c>
      <c r="F264" s="130" t="s">
        <v>3248</v>
      </c>
      <c r="G264" s="550" t="s">
        <v>2274</v>
      </c>
      <c r="I264" s="165">
        <v>43642</v>
      </c>
      <c r="J264" s="551" t="s">
        <v>799</v>
      </c>
      <c r="K264" s="552" t="s">
        <v>73</v>
      </c>
      <c r="L264" s="130" t="s">
        <v>2870</v>
      </c>
    </row>
    <row r="265" spans="1:12" ht="16.5" customHeight="1">
      <c r="A265" s="186" t="s">
        <v>2510</v>
      </c>
      <c r="B265" s="186">
        <v>18561480</v>
      </c>
      <c r="C265" s="549">
        <v>16690</v>
      </c>
      <c r="D265" s="130" t="s">
        <v>3249</v>
      </c>
      <c r="E265" s="130" t="s">
        <v>3250</v>
      </c>
      <c r="F265" s="130" t="s">
        <v>3251</v>
      </c>
      <c r="G265" s="550" t="s">
        <v>2112</v>
      </c>
      <c r="I265" s="165">
        <v>43642</v>
      </c>
      <c r="J265" s="551" t="s">
        <v>799</v>
      </c>
      <c r="K265" s="552" t="s">
        <v>73</v>
      </c>
      <c r="L265" s="130" t="s">
        <v>2870</v>
      </c>
    </row>
    <row r="266" spans="1:12" ht="16.5" customHeight="1">
      <c r="A266" s="186" t="s">
        <v>2510</v>
      </c>
      <c r="B266" s="186">
        <v>18889535</v>
      </c>
      <c r="C266" s="549">
        <v>19733</v>
      </c>
      <c r="D266" s="130" t="s">
        <v>2687</v>
      </c>
      <c r="E266" s="130" t="s">
        <v>3252</v>
      </c>
      <c r="F266" s="130" t="s">
        <v>3253</v>
      </c>
      <c r="G266" s="550" t="s">
        <v>2144</v>
      </c>
      <c r="I266" s="165">
        <v>43642</v>
      </c>
      <c r="J266" s="551" t="s">
        <v>799</v>
      </c>
      <c r="K266" s="552" t="s">
        <v>73</v>
      </c>
      <c r="L266" s="130" t="s">
        <v>2870</v>
      </c>
    </row>
    <row r="267" spans="1:12" ht="16.5" customHeight="1">
      <c r="A267" s="186" t="s">
        <v>2510</v>
      </c>
      <c r="B267" s="186">
        <v>19725829</v>
      </c>
      <c r="C267" s="549">
        <v>16139</v>
      </c>
      <c r="D267" s="130" t="s">
        <v>3254</v>
      </c>
      <c r="E267" s="130" t="s">
        <v>3255</v>
      </c>
      <c r="F267" s="130" t="s">
        <v>3256</v>
      </c>
      <c r="G267" s="550" t="s">
        <v>2129</v>
      </c>
      <c r="I267" s="165">
        <v>43642</v>
      </c>
      <c r="J267" s="551" t="s">
        <v>799</v>
      </c>
      <c r="K267" s="552" t="s">
        <v>73</v>
      </c>
      <c r="L267" s="130" t="s">
        <v>2870</v>
      </c>
    </row>
    <row r="268" spans="1:12" ht="16.5" customHeight="1">
      <c r="A268" s="186" t="s">
        <v>2510</v>
      </c>
      <c r="B268" s="186">
        <v>19756550</v>
      </c>
      <c r="C268" s="549">
        <v>16163</v>
      </c>
      <c r="D268" s="130" t="s">
        <v>2733</v>
      </c>
      <c r="E268" s="130" t="s">
        <v>3257</v>
      </c>
      <c r="F268" s="130" t="s">
        <v>3258</v>
      </c>
      <c r="G268" s="550" t="s">
        <v>2106</v>
      </c>
      <c r="I268" s="165">
        <v>43642</v>
      </c>
      <c r="J268" s="551" t="s">
        <v>799</v>
      </c>
      <c r="K268" s="552" t="s">
        <v>73</v>
      </c>
      <c r="L268" s="130" t="s">
        <v>2870</v>
      </c>
    </row>
    <row r="269" spans="1:12" ht="16.5" customHeight="1">
      <c r="A269" s="186" t="s">
        <v>2510</v>
      </c>
      <c r="B269" s="186">
        <v>20303541</v>
      </c>
      <c r="C269" s="549">
        <v>18263</v>
      </c>
      <c r="D269" s="130" t="s">
        <v>2876</v>
      </c>
      <c r="E269" s="130" t="s">
        <v>3259</v>
      </c>
      <c r="F269" s="130" t="s">
        <v>3260</v>
      </c>
      <c r="G269" s="550" t="s">
        <v>2072</v>
      </c>
      <c r="I269" s="165">
        <v>43642</v>
      </c>
      <c r="J269" s="551" t="s">
        <v>799</v>
      </c>
      <c r="K269" s="552" t="s">
        <v>73</v>
      </c>
      <c r="L269" s="130" t="s">
        <v>2870</v>
      </c>
    </row>
    <row r="270" spans="1:12" ht="16.5" customHeight="1">
      <c r="A270" s="186" t="s">
        <v>2510</v>
      </c>
      <c r="B270" s="186">
        <v>20648481</v>
      </c>
      <c r="C270" s="549">
        <v>15814</v>
      </c>
      <c r="D270" s="130" t="s">
        <v>2871</v>
      </c>
      <c r="E270" s="130" t="s">
        <v>3261</v>
      </c>
      <c r="F270" s="130" t="s">
        <v>3262</v>
      </c>
      <c r="G270" s="550" t="s">
        <v>2106</v>
      </c>
      <c r="I270" s="165">
        <v>43642</v>
      </c>
      <c r="J270" s="551" t="s">
        <v>799</v>
      </c>
      <c r="K270" s="552" t="s">
        <v>73</v>
      </c>
      <c r="L270" s="130" t="s">
        <v>2870</v>
      </c>
    </row>
    <row r="271" spans="1:12" ht="16.5" customHeight="1">
      <c r="A271" s="186" t="s">
        <v>2510</v>
      </c>
      <c r="B271" s="186">
        <v>21579727</v>
      </c>
      <c r="C271" s="549">
        <v>19282</v>
      </c>
      <c r="D271" s="130" t="s">
        <v>2665</v>
      </c>
      <c r="E271" s="130" t="s">
        <v>3263</v>
      </c>
      <c r="F271" s="130" t="s">
        <v>3264</v>
      </c>
      <c r="G271" s="550" t="s">
        <v>2185</v>
      </c>
      <c r="I271" s="165">
        <v>43642</v>
      </c>
      <c r="J271" s="551" t="s">
        <v>799</v>
      </c>
      <c r="K271" s="552" t="s">
        <v>73</v>
      </c>
      <c r="L271" s="130" t="s">
        <v>2870</v>
      </c>
    </row>
    <row r="272" spans="1:12" ht="16.5" customHeight="1">
      <c r="A272" s="186" t="s">
        <v>2510</v>
      </c>
      <c r="B272" s="186">
        <v>21711999</v>
      </c>
      <c r="C272" s="549">
        <v>20371</v>
      </c>
      <c r="D272" s="130" t="s">
        <v>3246</v>
      </c>
      <c r="E272" s="130" t="s">
        <v>3265</v>
      </c>
      <c r="F272" s="130" t="s">
        <v>3266</v>
      </c>
      <c r="G272" s="550" t="s">
        <v>2274</v>
      </c>
      <c r="I272" s="165">
        <v>43642</v>
      </c>
      <c r="J272" s="551" t="s">
        <v>799</v>
      </c>
      <c r="K272" s="552" t="s">
        <v>73</v>
      </c>
      <c r="L272" s="130" t="s">
        <v>2870</v>
      </c>
    </row>
    <row r="273" spans="1:12" ht="16.5" customHeight="1">
      <c r="A273" s="186" t="s">
        <v>2510</v>
      </c>
      <c r="B273" s="186">
        <v>22643696</v>
      </c>
      <c r="C273" s="549">
        <v>14708</v>
      </c>
      <c r="D273" s="130" t="s">
        <v>2697</v>
      </c>
      <c r="E273" s="130" t="s">
        <v>3267</v>
      </c>
      <c r="F273" s="130" t="s">
        <v>3268</v>
      </c>
      <c r="G273" s="550" t="s">
        <v>2274</v>
      </c>
      <c r="I273" s="165">
        <v>43642</v>
      </c>
      <c r="J273" s="551" t="s">
        <v>799</v>
      </c>
      <c r="K273" s="552" t="s">
        <v>73</v>
      </c>
      <c r="L273" s="130" t="s">
        <v>2870</v>
      </c>
    </row>
    <row r="274" spans="1:12" ht="16.5" customHeight="1">
      <c r="A274" s="186" t="s">
        <v>2510</v>
      </c>
      <c r="B274" s="186">
        <v>23059967</v>
      </c>
      <c r="C274" s="549">
        <v>14389</v>
      </c>
      <c r="D274" s="130" t="s">
        <v>3095</v>
      </c>
      <c r="E274" s="130" t="s">
        <v>3269</v>
      </c>
      <c r="F274" s="130" t="s">
        <v>2679</v>
      </c>
      <c r="G274" s="550" t="s">
        <v>2313</v>
      </c>
      <c r="I274" s="165">
        <v>43642</v>
      </c>
      <c r="J274" s="551" t="s">
        <v>799</v>
      </c>
      <c r="K274" s="552" t="s">
        <v>73</v>
      </c>
      <c r="L274" s="130" t="s">
        <v>2870</v>
      </c>
    </row>
    <row r="275" spans="1:12" ht="16.5" customHeight="1">
      <c r="A275" s="186" t="s">
        <v>2510</v>
      </c>
      <c r="B275" s="186">
        <v>23726375</v>
      </c>
      <c r="C275" s="549">
        <v>17170</v>
      </c>
      <c r="D275" s="130" t="s">
        <v>2511</v>
      </c>
      <c r="E275" s="130" t="s">
        <v>3270</v>
      </c>
      <c r="F275" s="130" t="s">
        <v>3271</v>
      </c>
      <c r="G275" s="550" t="s">
        <v>2112</v>
      </c>
      <c r="I275" s="165">
        <v>43642</v>
      </c>
      <c r="J275" s="551" t="s">
        <v>799</v>
      </c>
      <c r="K275" s="552" t="s">
        <v>73</v>
      </c>
      <c r="L275" s="130" t="s">
        <v>2870</v>
      </c>
    </row>
    <row r="276" spans="1:12" ht="16.5" customHeight="1">
      <c r="A276" s="186" t="s">
        <v>2510</v>
      </c>
      <c r="B276" s="186">
        <v>23754443</v>
      </c>
      <c r="C276" s="549">
        <v>20444</v>
      </c>
      <c r="D276" s="130" t="s">
        <v>3272</v>
      </c>
      <c r="E276" s="130" t="s">
        <v>2537</v>
      </c>
      <c r="F276" s="130" t="s">
        <v>3273</v>
      </c>
      <c r="G276" s="550" t="s">
        <v>2313</v>
      </c>
      <c r="I276" s="165">
        <v>43642</v>
      </c>
      <c r="J276" s="551" t="s">
        <v>799</v>
      </c>
      <c r="K276" s="552" t="s">
        <v>73</v>
      </c>
      <c r="L276" s="130" t="s">
        <v>2870</v>
      </c>
    </row>
    <row r="277" spans="1:12" ht="16.5" customHeight="1">
      <c r="A277" s="186" t="s">
        <v>2510</v>
      </c>
      <c r="B277" s="186">
        <v>24203481</v>
      </c>
      <c r="C277" s="549">
        <v>18629</v>
      </c>
      <c r="D277" s="130" t="s">
        <v>3101</v>
      </c>
      <c r="E277" s="130" t="s">
        <v>3274</v>
      </c>
      <c r="F277" s="130" t="s">
        <v>3275</v>
      </c>
      <c r="G277" s="550" t="s">
        <v>2129</v>
      </c>
      <c r="I277" s="165">
        <v>43642</v>
      </c>
      <c r="J277" s="551" t="s">
        <v>799</v>
      </c>
      <c r="K277" s="552" t="s">
        <v>73</v>
      </c>
      <c r="L277" s="130" t="s">
        <v>2870</v>
      </c>
    </row>
    <row r="278" spans="1:12" ht="16.5" customHeight="1">
      <c r="A278" s="186" t="s">
        <v>2510</v>
      </c>
      <c r="B278" s="186">
        <v>24721706</v>
      </c>
      <c r="C278" s="549">
        <v>9588</v>
      </c>
      <c r="D278" s="130" t="s">
        <v>2602</v>
      </c>
      <c r="E278" s="130" t="s">
        <v>3094</v>
      </c>
      <c r="F278" s="130" t="s">
        <v>2987</v>
      </c>
      <c r="G278" s="550" t="s">
        <v>2106</v>
      </c>
      <c r="I278" s="165">
        <v>43642</v>
      </c>
      <c r="J278" s="551" t="s">
        <v>799</v>
      </c>
      <c r="K278" s="552" t="s">
        <v>73</v>
      </c>
      <c r="L278" s="130" t="s">
        <v>2870</v>
      </c>
    </row>
    <row r="279" spans="1:12" ht="16.5" customHeight="1">
      <c r="A279" s="186" t="s">
        <v>2510</v>
      </c>
      <c r="B279" s="186">
        <v>24827065</v>
      </c>
      <c r="C279" s="549">
        <v>19725</v>
      </c>
      <c r="D279" s="130" t="s">
        <v>3276</v>
      </c>
      <c r="E279" s="130" t="s">
        <v>3277</v>
      </c>
      <c r="F279" s="130" t="s">
        <v>3278</v>
      </c>
      <c r="G279" s="550" t="s">
        <v>2240</v>
      </c>
      <c r="I279" s="165">
        <v>43642</v>
      </c>
      <c r="J279" s="551" t="s">
        <v>799</v>
      </c>
      <c r="K279" s="552" t="s">
        <v>73</v>
      </c>
      <c r="L279" s="130" t="s">
        <v>2870</v>
      </c>
    </row>
    <row r="280" spans="1:12" ht="16.5" customHeight="1">
      <c r="A280" s="186" t="s">
        <v>2510</v>
      </c>
      <c r="B280" s="186">
        <v>26169813</v>
      </c>
      <c r="C280" s="549">
        <v>16578</v>
      </c>
      <c r="D280" s="130" t="s">
        <v>3279</v>
      </c>
      <c r="E280" s="130" t="s">
        <v>3280</v>
      </c>
      <c r="F280" s="130" t="s">
        <v>3281</v>
      </c>
      <c r="G280" s="550" t="s">
        <v>2313</v>
      </c>
      <c r="I280" s="165">
        <v>43642</v>
      </c>
      <c r="J280" s="551" t="s">
        <v>799</v>
      </c>
      <c r="K280" s="552" t="s">
        <v>73</v>
      </c>
      <c r="L280" s="130" t="s">
        <v>2870</v>
      </c>
    </row>
    <row r="281" spans="1:12" ht="16.5" customHeight="1">
      <c r="A281" s="186" t="s">
        <v>2510</v>
      </c>
      <c r="B281" s="186">
        <v>26294744</v>
      </c>
      <c r="C281" s="549">
        <v>18643</v>
      </c>
      <c r="D281" s="130" t="s">
        <v>2889</v>
      </c>
      <c r="E281" s="130" t="s">
        <v>3282</v>
      </c>
      <c r="F281" s="130" t="s">
        <v>3082</v>
      </c>
      <c r="G281" s="550" t="s">
        <v>2313</v>
      </c>
      <c r="I281" s="165">
        <v>43642</v>
      </c>
      <c r="J281" s="551" t="s">
        <v>799</v>
      </c>
      <c r="K281" s="552" t="s">
        <v>73</v>
      </c>
      <c r="L281" s="130" t="s">
        <v>2870</v>
      </c>
    </row>
    <row r="282" spans="1:12" ht="16.5" customHeight="1">
      <c r="A282" s="186" t="s">
        <v>2510</v>
      </c>
      <c r="B282" s="186">
        <v>26888289</v>
      </c>
      <c r="C282" s="549">
        <v>14880</v>
      </c>
      <c r="D282" s="130" t="s">
        <v>3283</v>
      </c>
      <c r="E282" s="130" t="s">
        <v>3284</v>
      </c>
      <c r="F282" s="130" t="s">
        <v>3285</v>
      </c>
      <c r="G282" s="550" t="s">
        <v>2313</v>
      </c>
      <c r="I282" s="165">
        <v>43642</v>
      </c>
      <c r="J282" s="551" t="s">
        <v>799</v>
      </c>
      <c r="K282" s="552" t="s">
        <v>73</v>
      </c>
      <c r="L282" s="130" t="s">
        <v>2870</v>
      </c>
    </row>
    <row r="283" spans="1:12" ht="16.5" customHeight="1">
      <c r="A283" s="186" t="s">
        <v>2510</v>
      </c>
      <c r="B283" s="186">
        <v>27480748</v>
      </c>
      <c r="C283" s="549">
        <v>19422</v>
      </c>
      <c r="D283" s="130" t="s">
        <v>2541</v>
      </c>
      <c r="E283" s="130" t="s">
        <v>3286</v>
      </c>
      <c r="F283" s="130" t="s">
        <v>3287</v>
      </c>
      <c r="G283" s="550" t="s">
        <v>2106</v>
      </c>
      <c r="I283" s="165">
        <v>43642</v>
      </c>
      <c r="J283" s="551" t="s">
        <v>799</v>
      </c>
      <c r="K283" s="552" t="s">
        <v>73</v>
      </c>
      <c r="L283" s="130" t="s">
        <v>2870</v>
      </c>
    </row>
    <row r="284" spans="1:12" ht="16.5" customHeight="1">
      <c r="A284" s="186" t="s">
        <v>2510</v>
      </c>
      <c r="B284" s="186">
        <v>27497460</v>
      </c>
      <c r="C284" s="549">
        <v>13023</v>
      </c>
      <c r="D284" s="130" t="s">
        <v>3288</v>
      </c>
      <c r="E284" s="130" t="s">
        <v>2864</v>
      </c>
      <c r="F284" s="130" t="s">
        <v>3289</v>
      </c>
      <c r="G284" s="550" t="s">
        <v>2290</v>
      </c>
      <c r="I284" s="165">
        <v>43642</v>
      </c>
      <c r="J284" s="551" t="s">
        <v>799</v>
      </c>
      <c r="K284" s="552" t="s">
        <v>73</v>
      </c>
      <c r="L284" s="130" t="s">
        <v>2870</v>
      </c>
    </row>
    <row r="285" spans="1:12" ht="16.5" customHeight="1">
      <c r="A285" s="186" t="s">
        <v>2510</v>
      </c>
      <c r="B285" s="186">
        <v>27754837</v>
      </c>
      <c r="C285" s="549">
        <v>19101</v>
      </c>
      <c r="D285" s="130" t="s">
        <v>3290</v>
      </c>
      <c r="E285" s="130" t="s">
        <v>3291</v>
      </c>
      <c r="F285" s="130" t="s">
        <v>3292</v>
      </c>
      <c r="G285" s="550" t="s">
        <v>2144</v>
      </c>
      <c r="I285" s="165">
        <v>43642</v>
      </c>
      <c r="J285" s="551" t="s">
        <v>799</v>
      </c>
      <c r="K285" s="552" t="s">
        <v>73</v>
      </c>
      <c r="L285" s="130" t="s">
        <v>2870</v>
      </c>
    </row>
    <row r="286" spans="1:12" ht="16.5" customHeight="1">
      <c r="A286" s="186" t="s">
        <v>2510</v>
      </c>
      <c r="B286" s="186">
        <v>27795558</v>
      </c>
      <c r="C286" s="549">
        <v>16352</v>
      </c>
      <c r="D286" s="130" t="s">
        <v>3293</v>
      </c>
      <c r="E286" s="130" t="s">
        <v>3051</v>
      </c>
      <c r="F286" s="130" t="s">
        <v>3052</v>
      </c>
      <c r="G286" s="550" t="s">
        <v>2313</v>
      </c>
      <c r="I286" s="165">
        <v>43642</v>
      </c>
      <c r="J286" s="551" t="s">
        <v>799</v>
      </c>
      <c r="K286" s="552" t="s">
        <v>73</v>
      </c>
      <c r="L286" s="130" t="s">
        <v>2870</v>
      </c>
    </row>
    <row r="287" spans="1:12" ht="16.5" customHeight="1">
      <c r="A287" s="186" t="s">
        <v>2510</v>
      </c>
      <c r="B287" s="186">
        <v>27847409</v>
      </c>
      <c r="C287" s="549">
        <v>11906</v>
      </c>
      <c r="D287" s="130" t="s">
        <v>3294</v>
      </c>
      <c r="E287" s="130" t="s">
        <v>3295</v>
      </c>
      <c r="F287" s="130" t="s">
        <v>3296</v>
      </c>
      <c r="G287" s="550" t="s">
        <v>2162</v>
      </c>
      <c r="I287" s="165">
        <v>43642</v>
      </c>
      <c r="J287" s="551" t="s">
        <v>799</v>
      </c>
      <c r="K287" s="552" t="s">
        <v>73</v>
      </c>
      <c r="L287" s="130" t="s">
        <v>2870</v>
      </c>
    </row>
    <row r="288" spans="1:12" ht="16.5" customHeight="1">
      <c r="A288" s="186" t="s">
        <v>2510</v>
      </c>
      <c r="B288" s="186">
        <v>27847953</v>
      </c>
      <c r="C288" s="549">
        <v>15741</v>
      </c>
      <c r="D288" s="130" t="s">
        <v>2786</v>
      </c>
      <c r="E288" s="130" t="s">
        <v>3297</v>
      </c>
      <c r="F288" s="130" t="s">
        <v>3298</v>
      </c>
      <c r="G288" s="550" t="s">
        <v>2274</v>
      </c>
      <c r="I288" s="165">
        <v>43642</v>
      </c>
      <c r="J288" s="551" t="s">
        <v>799</v>
      </c>
      <c r="K288" s="552" t="s">
        <v>73</v>
      </c>
      <c r="L288" s="130" t="s">
        <v>2870</v>
      </c>
    </row>
    <row r="289" spans="1:12" ht="16.5" customHeight="1">
      <c r="A289" s="186" t="s">
        <v>2510</v>
      </c>
      <c r="B289" s="186">
        <v>27924323</v>
      </c>
      <c r="C289" s="549">
        <v>19862</v>
      </c>
      <c r="D289" s="130" t="s">
        <v>3299</v>
      </c>
      <c r="E289" s="130" t="s">
        <v>3300</v>
      </c>
      <c r="F289" s="130" t="s">
        <v>3301</v>
      </c>
      <c r="G289" s="550" t="s">
        <v>2313</v>
      </c>
      <c r="I289" s="165">
        <v>43642</v>
      </c>
      <c r="J289" s="551" t="s">
        <v>799</v>
      </c>
      <c r="K289" s="552" t="s">
        <v>73</v>
      </c>
      <c r="L289" s="130" t="s">
        <v>2870</v>
      </c>
    </row>
    <row r="290" spans="1:12" ht="16.5" customHeight="1">
      <c r="A290" s="186" t="s">
        <v>2510</v>
      </c>
      <c r="B290" s="186">
        <v>28148641</v>
      </c>
      <c r="C290" s="549">
        <v>10141</v>
      </c>
      <c r="D290" s="130" t="s">
        <v>3302</v>
      </c>
      <c r="E290" s="130" t="s">
        <v>3303</v>
      </c>
      <c r="F290" s="130" t="s">
        <v>3121</v>
      </c>
      <c r="G290" s="550" t="s">
        <v>2144</v>
      </c>
      <c r="I290" s="165">
        <v>43642</v>
      </c>
      <c r="J290" s="551" t="s">
        <v>799</v>
      </c>
      <c r="K290" s="552" t="s">
        <v>73</v>
      </c>
      <c r="L290" s="130" t="s">
        <v>2870</v>
      </c>
    </row>
    <row r="291" spans="1:12" ht="16.5" customHeight="1">
      <c r="A291" s="186" t="s">
        <v>2510</v>
      </c>
      <c r="B291" s="186">
        <v>28437309</v>
      </c>
      <c r="C291" s="549">
        <v>16224</v>
      </c>
      <c r="D291" s="130" t="s">
        <v>3304</v>
      </c>
      <c r="E291" s="130" t="s">
        <v>2661</v>
      </c>
      <c r="F291" s="130" t="s">
        <v>3305</v>
      </c>
      <c r="G291" s="550" t="s">
        <v>2274</v>
      </c>
      <c r="I291" s="165">
        <v>43642</v>
      </c>
      <c r="J291" s="551" t="s">
        <v>799</v>
      </c>
      <c r="K291" s="552" t="s">
        <v>73</v>
      </c>
      <c r="L291" s="130" t="s">
        <v>2870</v>
      </c>
    </row>
    <row r="292" spans="1:12" ht="16.5" customHeight="1">
      <c r="A292" s="186" t="s">
        <v>2510</v>
      </c>
      <c r="B292" s="186">
        <v>28937043</v>
      </c>
      <c r="C292" s="549">
        <v>6849</v>
      </c>
      <c r="D292" s="130" t="s">
        <v>3306</v>
      </c>
      <c r="E292" s="130" t="s">
        <v>3307</v>
      </c>
      <c r="F292" s="130" t="s">
        <v>3308</v>
      </c>
      <c r="G292" s="550" t="s">
        <v>2313</v>
      </c>
      <c r="I292" s="165">
        <v>43642</v>
      </c>
      <c r="J292" s="551" t="s">
        <v>799</v>
      </c>
      <c r="K292" s="552" t="s">
        <v>73</v>
      </c>
      <c r="L292" s="130" t="s">
        <v>2870</v>
      </c>
    </row>
    <row r="293" spans="1:12" ht="16.5" customHeight="1">
      <c r="A293" s="186" t="s">
        <v>2510</v>
      </c>
      <c r="B293" s="186">
        <v>29727104</v>
      </c>
      <c r="C293" s="549">
        <v>20607</v>
      </c>
      <c r="D293" s="130" t="s">
        <v>2832</v>
      </c>
      <c r="E293" s="130" t="s">
        <v>3309</v>
      </c>
      <c r="F293" s="130" t="s">
        <v>3310</v>
      </c>
      <c r="G293" s="550" t="s">
        <v>2106</v>
      </c>
      <c r="I293" s="165">
        <v>43642</v>
      </c>
      <c r="J293" s="551" t="s">
        <v>799</v>
      </c>
      <c r="K293" s="552" t="s">
        <v>73</v>
      </c>
      <c r="L293" s="130" t="s">
        <v>2870</v>
      </c>
    </row>
    <row r="294" spans="1:12" ht="16.5" customHeight="1">
      <c r="A294" s="186" t="s">
        <v>2510</v>
      </c>
      <c r="B294" s="186">
        <v>29824232</v>
      </c>
      <c r="C294" s="549">
        <v>10959</v>
      </c>
      <c r="D294" s="130" t="s">
        <v>3311</v>
      </c>
      <c r="E294" s="130" t="s">
        <v>3312</v>
      </c>
      <c r="F294" s="130" t="s">
        <v>3313</v>
      </c>
      <c r="G294" s="550" t="s">
        <v>2106</v>
      </c>
      <c r="I294" s="165">
        <v>43642</v>
      </c>
      <c r="J294" s="551" t="s">
        <v>799</v>
      </c>
      <c r="K294" s="552" t="s">
        <v>73</v>
      </c>
      <c r="L294" s="130" t="s">
        <v>2870</v>
      </c>
    </row>
    <row r="295" spans="1:12" ht="16.5" customHeight="1">
      <c r="A295" s="186" t="s">
        <v>2510</v>
      </c>
      <c r="B295" s="186">
        <v>30496830</v>
      </c>
      <c r="C295" s="549">
        <v>14022</v>
      </c>
      <c r="D295" s="130" t="s">
        <v>3314</v>
      </c>
      <c r="E295" s="130" t="s">
        <v>3315</v>
      </c>
      <c r="F295" s="130" t="s">
        <v>3316</v>
      </c>
      <c r="G295" s="550" t="s">
        <v>2313</v>
      </c>
      <c r="I295" s="165">
        <v>43642</v>
      </c>
      <c r="J295" s="551" t="s">
        <v>799</v>
      </c>
      <c r="K295" s="552" t="s">
        <v>73</v>
      </c>
      <c r="L295" s="130" t="s">
        <v>2870</v>
      </c>
    </row>
    <row r="296" spans="1:12" ht="16.5" customHeight="1">
      <c r="A296" s="186" t="s">
        <v>2510</v>
      </c>
      <c r="B296" s="186">
        <v>31651425</v>
      </c>
      <c r="C296" s="549">
        <v>19965</v>
      </c>
      <c r="D296" s="130" t="s">
        <v>3317</v>
      </c>
      <c r="E296" s="130" t="s">
        <v>3318</v>
      </c>
      <c r="F296" s="130" t="s">
        <v>3319</v>
      </c>
      <c r="G296" s="550" t="s">
        <v>2185</v>
      </c>
      <c r="I296" s="165">
        <v>43642</v>
      </c>
      <c r="J296" s="551" t="s">
        <v>799</v>
      </c>
      <c r="K296" s="552" t="s">
        <v>73</v>
      </c>
      <c r="L296" s="130" t="s">
        <v>2870</v>
      </c>
    </row>
    <row r="297" spans="1:12" ht="16.5" customHeight="1">
      <c r="A297" s="186" t="s">
        <v>2510</v>
      </c>
      <c r="B297" s="186">
        <v>31763261</v>
      </c>
      <c r="C297" s="549">
        <v>19176</v>
      </c>
      <c r="D297" s="130" t="s">
        <v>3147</v>
      </c>
      <c r="E297" s="130" t="s">
        <v>3320</v>
      </c>
      <c r="F297" s="130" t="s">
        <v>3113</v>
      </c>
      <c r="G297" s="550" t="s">
        <v>2094</v>
      </c>
      <c r="I297" s="165">
        <v>43642</v>
      </c>
      <c r="J297" s="551" t="s">
        <v>799</v>
      </c>
      <c r="K297" s="552" t="s">
        <v>73</v>
      </c>
      <c r="L297" s="130" t="s">
        <v>2870</v>
      </c>
    </row>
    <row r="298" spans="1:12" ht="16.5" customHeight="1">
      <c r="A298" s="186" t="s">
        <v>2510</v>
      </c>
      <c r="B298" s="186">
        <v>31770886</v>
      </c>
      <c r="C298" s="549">
        <v>20081</v>
      </c>
      <c r="D298" s="130" t="s">
        <v>3321</v>
      </c>
      <c r="E298" s="130" t="s">
        <v>3322</v>
      </c>
      <c r="F298" s="130" t="s">
        <v>3323</v>
      </c>
      <c r="G298" s="550" t="s">
        <v>2144</v>
      </c>
      <c r="I298" s="165">
        <v>43642</v>
      </c>
      <c r="J298" s="551" t="s">
        <v>799</v>
      </c>
      <c r="K298" s="552" t="s">
        <v>73</v>
      </c>
      <c r="L298" s="130" t="s">
        <v>2870</v>
      </c>
    </row>
    <row r="299" spans="1:12" ht="16.5" customHeight="1">
      <c r="A299" s="186" t="s">
        <v>2510</v>
      </c>
      <c r="B299" s="186">
        <v>32044562</v>
      </c>
      <c r="C299" s="549">
        <v>13516</v>
      </c>
      <c r="D299" s="130" t="s">
        <v>3324</v>
      </c>
      <c r="E299" s="130" t="s">
        <v>3163</v>
      </c>
      <c r="F299" s="130" t="s">
        <v>3325</v>
      </c>
      <c r="G299" s="550" t="s">
        <v>2094</v>
      </c>
      <c r="I299" s="165">
        <v>43642</v>
      </c>
      <c r="J299" s="551" t="s">
        <v>799</v>
      </c>
      <c r="K299" s="552" t="s">
        <v>73</v>
      </c>
      <c r="L299" s="130" t="s">
        <v>2870</v>
      </c>
    </row>
    <row r="300" spans="1:12" ht="16.5" customHeight="1">
      <c r="A300" s="186" t="s">
        <v>2510</v>
      </c>
      <c r="B300" s="186">
        <v>32122160</v>
      </c>
      <c r="C300" s="549">
        <v>14936</v>
      </c>
      <c r="D300" s="130" t="s">
        <v>3326</v>
      </c>
      <c r="E300" s="130" t="s">
        <v>3327</v>
      </c>
      <c r="F300" s="130" t="s">
        <v>3328</v>
      </c>
      <c r="G300" s="550" t="s">
        <v>2106</v>
      </c>
      <c r="I300" s="165">
        <v>43642</v>
      </c>
      <c r="J300" s="551" t="s">
        <v>799</v>
      </c>
      <c r="K300" s="552" t="s">
        <v>73</v>
      </c>
      <c r="L300" s="130" t="s">
        <v>2870</v>
      </c>
    </row>
    <row r="301" spans="1:12" ht="16.5" customHeight="1">
      <c r="A301" s="186" t="s">
        <v>2510</v>
      </c>
      <c r="B301" s="186">
        <v>33111477</v>
      </c>
      <c r="C301" s="549">
        <v>20649</v>
      </c>
      <c r="D301" s="130" t="s">
        <v>3329</v>
      </c>
      <c r="E301" s="130" t="s">
        <v>3330</v>
      </c>
      <c r="F301" s="130" t="s">
        <v>3331</v>
      </c>
      <c r="G301" s="550" t="s">
        <v>2240</v>
      </c>
      <c r="I301" s="165">
        <v>43642</v>
      </c>
      <c r="J301" s="551" t="s">
        <v>799</v>
      </c>
      <c r="K301" s="552" t="s">
        <v>73</v>
      </c>
      <c r="L301" s="130" t="s">
        <v>2870</v>
      </c>
    </row>
    <row r="302" spans="1:12" ht="16.5" customHeight="1">
      <c r="A302" s="186" t="s">
        <v>2510</v>
      </c>
      <c r="B302" s="186">
        <v>33173238</v>
      </c>
      <c r="C302" s="549">
        <v>14783</v>
      </c>
      <c r="D302" s="130" t="s">
        <v>3332</v>
      </c>
      <c r="E302" s="130" t="s">
        <v>3333</v>
      </c>
      <c r="F302" s="130" t="s">
        <v>3334</v>
      </c>
      <c r="G302" s="550" t="s">
        <v>2129</v>
      </c>
      <c r="I302" s="165">
        <v>43642</v>
      </c>
      <c r="J302" s="551" t="s">
        <v>799</v>
      </c>
      <c r="K302" s="552" t="s">
        <v>73</v>
      </c>
      <c r="L302" s="130" t="s">
        <v>2870</v>
      </c>
    </row>
    <row r="303" spans="1:12" ht="16.5" customHeight="1">
      <c r="A303" s="186" t="s">
        <v>2510</v>
      </c>
      <c r="B303" s="186">
        <v>33203977</v>
      </c>
      <c r="C303" s="549">
        <v>13262</v>
      </c>
      <c r="D303" s="130" t="s">
        <v>2724</v>
      </c>
      <c r="E303" s="130" t="s">
        <v>3335</v>
      </c>
      <c r="F303" s="130" t="s">
        <v>3082</v>
      </c>
      <c r="G303" s="550" t="s">
        <v>2313</v>
      </c>
      <c r="I303" s="165">
        <v>43642</v>
      </c>
      <c r="J303" s="551" t="s">
        <v>799</v>
      </c>
      <c r="K303" s="552" t="s">
        <v>73</v>
      </c>
      <c r="L303" s="130" t="s">
        <v>2870</v>
      </c>
    </row>
    <row r="304" spans="1:12" ht="16.5" customHeight="1">
      <c r="A304" s="186" t="s">
        <v>2510</v>
      </c>
      <c r="B304" s="186">
        <v>33323577</v>
      </c>
      <c r="C304" s="549">
        <v>20699</v>
      </c>
      <c r="D304" s="130" t="s">
        <v>3336</v>
      </c>
      <c r="E304" s="130" t="s">
        <v>3337</v>
      </c>
      <c r="F304" s="130" t="s">
        <v>3338</v>
      </c>
      <c r="G304" s="550" t="s">
        <v>2129</v>
      </c>
      <c r="I304" s="165">
        <v>43642</v>
      </c>
      <c r="J304" s="551" t="s">
        <v>799</v>
      </c>
      <c r="K304" s="552" t="s">
        <v>73</v>
      </c>
      <c r="L304" s="130" t="s">
        <v>2870</v>
      </c>
    </row>
    <row r="305" spans="1:12" ht="16.5" customHeight="1">
      <c r="A305" s="186" t="s">
        <v>2510</v>
      </c>
      <c r="B305" s="186">
        <v>35118199</v>
      </c>
      <c r="C305" s="549">
        <v>18734</v>
      </c>
      <c r="D305" s="130" t="s">
        <v>3254</v>
      </c>
      <c r="E305" s="130" t="s">
        <v>3339</v>
      </c>
      <c r="F305" s="130" t="s">
        <v>3340</v>
      </c>
      <c r="G305" s="550" t="s">
        <v>2072</v>
      </c>
      <c r="I305" s="165">
        <v>43642</v>
      </c>
      <c r="J305" s="551" t="s">
        <v>799</v>
      </c>
      <c r="K305" s="552" t="s">
        <v>73</v>
      </c>
      <c r="L305" s="130" t="s">
        <v>2870</v>
      </c>
    </row>
    <row r="306" spans="1:12" ht="16.5" customHeight="1">
      <c r="A306" s="186" t="s">
        <v>2510</v>
      </c>
      <c r="B306" s="186">
        <v>35228543</v>
      </c>
      <c r="C306" s="549">
        <v>19814</v>
      </c>
      <c r="D306" s="130" t="s">
        <v>3341</v>
      </c>
      <c r="E306" s="130" t="s">
        <v>3342</v>
      </c>
      <c r="F306" s="130" t="s">
        <v>3343</v>
      </c>
      <c r="G306" s="550" t="s">
        <v>2313</v>
      </c>
      <c r="I306" s="165">
        <v>43642</v>
      </c>
      <c r="J306" s="551" t="s">
        <v>799</v>
      </c>
      <c r="K306" s="552" t="s">
        <v>73</v>
      </c>
      <c r="L306" s="130" t="s">
        <v>2870</v>
      </c>
    </row>
    <row r="307" spans="1:12" ht="16.5" customHeight="1">
      <c r="A307" s="186" t="s">
        <v>2510</v>
      </c>
      <c r="B307" s="186">
        <v>35491752</v>
      </c>
      <c r="C307" s="549">
        <v>20240</v>
      </c>
      <c r="D307" s="130" t="s">
        <v>2903</v>
      </c>
      <c r="E307" s="130" t="s">
        <v>3344</v>
      </c>
      <c r="F307" s="130" t="s">
        <v>3345</v>
      </c>
      <c r="G307" s="550" t="s">
        <v>2274</v>
      </c>
      <c r="I307" s="165">
        <v>43642</v>
      </c>
      <c r="J307" s="551" t="s">
        <v>799</v>
      </c>
      <c r="K307" s="552" t="s">
        <v>73</v>
      </c>
      <c r="L307" s="130" t="s">
        <v>2870</v>
      </c>
    </row>
    <row r="308" spans="1:12" ht="16.5" customHeight="1">
      <c r="A308" s="186" t="s">
        <v>2510</v>
      </c>
      <c r="B308" s="186">
        <v>35736420</v>
      </c>
      <c r="C308" s="549">
        <v>15018</v>
      </c>
      <c r="D308" s="130" t="s">
        <v>2551</v>
      </c>
      <c r="E308" s="130" t="s">
        <v>3346</v>
      </c>
      <c r="F308" s="130" t="s">
        <v>3347</v>
      </c>
      <c r="G308" s="550" t="s">
        <v>2274</v>
      </c>
      <c r="I308" s="165">
        <v>43642</v>
      </c>
      <c r="J308" s="551" t="s">
        <v>799</v>
      </c>
      <c r="K308" s="552" t="s">
        <v>73</v>
      </c>
      <c r="L308" s="130" t="s">
        <v>2870</v>
      </c>
    </row>
    <row r="309" spans="1:12" ht="16.5" customHeight="1">
      <c r="A309" s="186" t="s">
        <v>2510</v>
      </c>
      <c r="B309" s="186">
        <v>36059681</v>
      </c>
      <c r="C309" s="549">
        <v>11857</v>
      </c>
      <c r="D309" s="130" t="s">
        <v>3098</v>
      </c>
      <c r="E309" s="130" t="s">
        <v>3099</v>
      </c>
      <c r="F309" s="130" t="s">
        <v>3100</v>
      </c>
      <c r="G309" s="550" t="s">
        <v>2106</v>
      </c>
      <c r="I309" s="165">
        <v>43642</v>
      </c>
      <c r="J309" s="551" t="s">
        <v>799</v>
      </c>
      <c r="K309" s="552" t="s">
        <v>73</v>
      </c>
      <c r="L309" s="130" t="s">
        <v>2870</v>
      </c>
    </row>
    <row r="310" spans="1:12" ht="16.5" customHeight="1">
      <c r="A310" s="186" t="s">
        <v>2510</v>
      </c>
      <c r="B310" s="186">
        <v>36178473</v>
      </c>
      <c r="C310" s="549">
        <v>16149</v>
      </c>
      <c r="D310" s="130" t="s">
        <v>2697</v>
      </c>
      <c r="E310" s="130" t="s">
        <v>3348</v>
      </c>
      <c r="F310" s="130" t="s">
        <v>3349</v>
      </c>
      <c r="G310" s="550" t="s">
        <v>2118</v>
      </c>
      <c r="I310" s="165">
        <v>43642</v>
      </c>
      <c r="J310" s="551" t="s">
        <v>799</v>
      </c>
      <c r="K310" s="552" t="s">
        <v>73</v>
      </c>
      <c r="L310" s="130" t="s">
        <v>2870</v>
      </c>
    </row>
    <row r="311" spans="1:12" ht="16.5" customHeight="1">
      <c r="A311" s="186" t="s">
        <v>2510</v>
      </c>
      <c r="B311" s="186">
        <v>36451995</v>
      </c>
      <c r="C311" s="549">
        <v>15057</v>
      </c>
      <c r="D311" s="130" t="s">
        <v>3350</v>
      </c>
      <c r="E311" s="130" t="s">
        <v>3351</v>
      </c>
      <c r="F311" s="130" t="s">
        <v>3352</v>
      </c>
      <c r="G311" s="550" t="s">
        <v>2106</v>
      </c>
      <c r="I311" s="165">
        <v>43642</v>
      </c>
      <c r="J311" s="551" t="s">
        <v>799</v>
      </c>
      <c r="K311" s="552" t="s">
        <v>73</v>
      </c>
      <c r="L311" s="130" t="s">
        <v>2870</v>
      </c>
    </row>
    <row r="312" spans="1:12" ht="16.5" customHeight="1">
      <c r="A312" s="186" t="s">
        <v>2510</v>
      </c>
      <c r="B312" s="186">
        <v>36802940</v>
      </c>
      <c r="C312" s="549">
        <v>20668</v>
      </c>
      <c r="D312" s="130" t="s">
        <v>2804</v>
      </c>
      <c r="E312" s="130" t="s">
        <v>3353</v>
      </c>
      <c r="F312" s="130" t="s">
        <v>3354</v>
      </c>
      <c r="G312" s="550" t="s">
        <v>2106</v>
      </c>
      <c r="I312" s="165">
        <v>43642</v>
      </c>
      <c r="J312" s="551" t="s">
        <v>799</v>
      </c>
      <c r="K312" s="552" t="s">
        <v>73</v>
      </c>
      <c r="L312" s="130" t="s">
        <v>2870</v>
      </c>
    </row>
    <row r="313" spans="1:12" ht="16.5" customHeight="1">
      <c r="A313" s="186" t="s">
        <v>2510</v>
      </c>
      <c r="B313" s="186">
        <v>36825644</v>
      </c>
      <c r="C313" s="549">
        <v>21123</v>
      </c>
      <c r="D313" s="130" t="s">
        <v>3228</v>
      </c>
      <c r="E313" s="130" t="s">
        <v>3355</v>
      </c>
      <c r="F313" s="130" t="s">
        <v>3356</v>
      </c>
      <c r="G313" s="550" t="s">
        <v>2313</v>
      </c>
      <c r="I313" s="165">
        <v>43642</v>
      </c>
      <c r="J313" s="551" t="s">
        <v>799</v>
      </c>
      <c r="K313" s="552" t="s">
        <v>73</v>
      </c>
      <c r="L313" s="130" t="s">
        <v>2870</v>
      </c>
    </row>
    <row r="314" spans="1:12" ht="16.5" customHeight="1">
      <c r="A314" s="186" t="s">
        <v>2510</v>
      </c>
      <c r="B314" s="186">
        <v>37184710</v>
      </c>
      <c r="C314" s="549">
        <v>16465</v>
      </c>
      <c r="D314" s="130" t="s">
        <v>2551</v>
      </c>
      <c r="E314" s="130" t="s">
        <v>2999</v>
      </c>
      <c r="F314" s="130" t="s">
        <v>3357</v>
      </c>
      <c r="G314" s="550" t="s">
        <v>2185</v>
      </c>
      <c r="I314" s="165">
        <v>43642</v>
      </c>
      <c r="J314" s="551" t="s">
        <v>799</v>
      </c>
      <c r="K314" s="552" t="s">
        <v>73</v>
      </c>
      <c r="L314" s="130" t="s">
        <v>2870</v>
      </c>
    </row>
    <row r="315" spans="1:12" ht="16.5" customHeight="1">
      <c r="A315" s="186" t="s">
        <v>2510</v>
      </c>
      <c r="B315" s="186">
        <v>37229150</v>
      </c>
      <c r="C315" s="549">
        <v>18058</v>
      </c>
      <c r="D315" s="130" t="s">
        <v>3358</v>
      </c>
      <c r="E315" s="130" t="s">
        <v>3359</v>
      </c>
      <c r="F315" s="130" t="s">
        <v>2777</v>
      </c>
      <c r="G315" s="550" t="s">
        <v>2094</v>
      </c>
      <c r="I315" s="165">
        <v>43642</v>
      </c>
      <c r="J315" s="551" t="s">
        <v>799</v>
      </c>
      <c r="K315" s="552" t="s">
        <v>73</v>
      </c>
      <c r="L315" s="130" t="s">
        <v>2870</v>
      </c>
    </row>
    <row r="316" spans="1:12" ht="16.5" customHeight="1">
      <c r="A316" s="186" t="s">
        <v>2510</v>
      </c>
      <c r="B316" s="186">
        <v>37732120</v>
      </c>
      <c r="C316" s="549">
        <v>12663</v>
      </c>
      <c r="D316" s="130" t="s">
        <v>3360</v>
      </c>
      <c r="E316" s="130" t="s">
        <v>3361</v>
      </c>
      <c r="F316" s="130" t="s">
        <v>3362</v>
      </c>
      <c r="G316" s="550" t="s">
        <v>2106</v>
      </c>
      <c r="I316" s="165">
        <v>43642</v>
      </c>
      <c r="J316" s="551" t="s">
        <v>799</v>
      </c>
      <c r="K316" s="552" t="s">
        <v>73</v>
      </c>
      <c r="L316" s="130" t="s">
        <v>2870</v>
      </c>
    </row>
    <row r="317" spans="1:12" ht="16.5" customHeight="1">
      <c r="A317" s="186" t="s">
        <v>2510</v>
      </c>
      <c r="B317" s="186">
        <v>37875358</v>
      </c>
      <c r="C317" s="549">
        <v>20699</v>
      </c>
      <c r="D317" s="130" t="s">
        <v>3363</v>
      </c>
      <c r="E317" s="130" t="s">
        <v>3364</v>
      </c>
      <c r="F317" s="130" t="s">
        <v>3365</v>
      </c>
      <c r="G317" s="550" t="s">
        <v>2313</v>
      </c>
      <c r="I317" s="165">
        <v>43642</v>
      </c>
      <c r="J317" s="551" t="s">
        <v>799</v>
      </c>
      <c r="K317" s="552" t="s">
        <v>73</v>
      </c>
      <c r="L317" s="130" t="s">
        <v>2870</v>
      </c>
    </row>
    <row r="318" spans="1:12" ht="16.5" customHeight="1">
      <c r="A318" s="186" t="s">
        <v>2510</v>
      </c>
      <c r="B318" s="186">
        <v>37942455</v>
      </c>
      <c r="C318" s="549">
        <v>17228</v>
      </c>
      <c r="D318" s="130" t="s">
        <v>3317</v>
      </c>
      <c r="E318" s="130" t="s">
        <v>3366</v>
      </c>
      <c r="F318" s="130" t="s">
        <v>3367</v>
      </c>
      <c r="G318" s="550" t="s">
        <v>2112</v>
      </c>
      <c r="I318" s="165">
        <v>43642</v>
      </c>
      <c r="J318" s="551" t="s">
        <v>799</v>
      </c>
      <c r="K318" s="552" t="s">
        <v>73</v>
      </c>
      <c r="L318" s="130" t="s">
        <v>2870</v>
      </c>
    </row>
    <row r="319" spans="1:12" ht="16.5" customHeight="1">
      <c r="A319" s="186" t="s">
        <v>2510</v>
      </c>
      <c r="B319" s="186">
        <v>38008652</v>
      </c>
      <c r="C319" s="549">
        <v>12389</v>
      </c>
      <c r="D319" s="130" t="s">
        <v>3368</v>
      </c>
      <c r="E319" s="130" t="s">
        <v>3369</v>
      </c>
      <c r="F319" s="130" t="s">
        <v>3370</v>
      </c>
      <c r="G319" s="550" t="s">
        <v>2363</v>
      </c>
      <c r="I319" s="165">
        <v>43642</v>
      </c>
      <c r="J319" s="551" t="s">
        <v>799</v>
      </c>
      <c r="K319" s="552" t="s">
        <v>73</v>
      </c>
      <c r="L319" s="130" t="s">
        <v>2870</v>
      </c>
    </row>
    <row r="320" spans="1:12" ht="16.5" customHeight="1">
      <c r="A320" s="186" t="s">
        <v>2510</v>
      </c>
      <c r="B320" s="186">
        <v>38472692</v>
      </c>
      <c r="C320" s="549">
        <v>20614</v>
      </c>
      <c r="D320" s="130" t="s">
        <v>2995</v>
      </c>
      <c r="E320" s="130" t="s">
        <v>3371</v>
      </c>
      <c r="F320" s="130" t="s">
        <v>3372</v>
      </c>
      <c r="G320" s="550" t="s">
        <v>2129</v>
      </c>
      <c r="I320" s="165">
        <v>43642</v>
      </c>
      <c r="J320" s="551" t="s">
        <v>799</v>
      </c>
      <c r="K320" s="552" t="s">
        <v>73</v>
      </c>
      <c r="L320" s="130" t="s">
        <v>2870</v>
      </c>
    </row>
    <row r="321" spans="1:12" ht="16.5" customHeight="1">
      <c r="A321" s="186" t="s">
        <v>2510</v>
      </c>
      <c r="B321" s="186">
        <v>38720926</v>
      </c>
      <c r="C321" s="549">
        <v>17258</v>
      </c>
      <c r="D321" s="130" t="s">
        <v>3373</v>
      </c>
      <c r="E321" s="130" t="s">
        <v>2706</v>
      </c>
      <c r="F321" s="130" t="s">
        <v>3374</v>
      </c>
      <c r="G321" s="550" t="s">
        <v>2129</v>
      </c>
      <c r="I321" s="165">
        <v>43642</v>
      </c>
      <c r="J321" s="551" t="s">
        <v>799</v>
      </c>
      <c r="K321" s="552" t="s">
        <v>73</v>
      </c>
      <c r="L321" s="130" t="s">
        <v>2870</v>
      </c>
    </row>
    <row r="322" spans="1:12" ht="16.5" customHeight="1">
      <c r="A322" s="186" t="s">
        <v>2510</v>
      </c>
      <c r="B322" s="186">
        <v>38804704</v>
      </c>
      <c r="C322" s="549">
        <v>13893</v>
      </c>
      <c r="D322" s="130" t="s">
        <v>2989</v>
      </c>
      <c r="E322" s="130" t="s">
        <v>3375</v>
      </c>
      <c r="F322" s="130" t="s">
        <v>3376</v>
      </c>
      <c r="G322" s="550" t="s">
        <v>2094</v>
      </c>
      <c r="I322" s="165">
        <v>43642</v>
      </c>
      <c r="J322" s="551" t="s">
        <v>799</v>
      </c>
      <c r="K322" s="552" t="s">
        <v>73</v>
      </c>
      <c r="L322" s="130" t="s">
        <v>2870</v>
      </c>
    </row>
    <row r="323" spans="1:12" ht="16.5" customHeight="1">
      <c r="A323" s="186" t="s">
        <v>2510</v>
      </c>
      <c r="B323" s="186">
        <v>39761432</v>
      </c>
      <c r="C323" s="549">
        <v>15950</v>
      </c>
      <c r="D323" s="130" t="s">
        <v>3377</v>
      </c>
      <c r="E323" s="130" t="s">
        <v>3378</v>
      </c>
      <c r="F323" s="130" t="s">
        <v>2520</v>
      </c>
      <c r="G323" s="550" t="s">
        <v>2072</v>
      </c>
      <c r="I323" s="165">
        <v>43642</v>
      </c>
      <c r="J323" s="551" t="s">
        <v>799</v>
      </c>
      <c r="K323" s="552" t="s">
        <v>73</v>
      </c>
      <c r="L323" s="130" t="s">
        <v>2870</v>
      </c>
    </row>
    <row r="324" spans="1:12" ht="16.5" customHeight="1">
      <c r="A324" s="186" t="s">
        <v>2510</v>
      </c>
      <c r="B324" s="186">
        <v>40025702</v>
      </c>
      <c r="C324" s="549">
        <v>16392</v>
      </c>
      <c r="D324" s="130" t="s">
        <v>3043</v>
      </c>
      <c r="E324" s="130" t="s">
        <v>3379</v>
      </c>
      <c r="F324" s="130" t="s">
        <v>3380</v>
      </c>
      <c r="G324" s="550" t="s">
        <v>2072</v>
      </c>
      <c r="I324" s="165">
        <v>43642</v>
      </c>
      <c r="J324" s="551" t="s">
        <v>799</v>
      </c>
      <c r="K324" s="552" t="s">
        <v>73</v>
      </c>
      <c r="L324" s="130" t="s">
        <v>2870</v>
      </c>
    </row>
    <row r="325" spans="1:12" ht="16.5" customHeight="1">
      <c r="A325" s="186" t="s">
        <v>2510</v>
      </c>
      <c r="B325" s="186">
        <v>40074155</v>
      </c>
      <c r="C325" s="549">
        <v>18735</v>
      </c>
      <c r="D325" s="130" t="s">
        <v>3381</v>
      </c>
      <c r="E325" s="130" t="s">
        <v>3382</v>
      </c>
      <c r="F325" s="130" t="s">
        <v>3383</v>
      </c>
      <c r="G325" s="550" t="s">
        <v>2313</v>
      </c>
      <c r="I325" s="165">
        <v>43642</v>
      </c>
      <c r="J325" s="551" t="s">
        <v>799</v>
      </c>
      <c r="K325" s="552" t="s">
        <v>73</v>
      </c>
      <c r="L325" s="130" t="s">
        <v>2870</v>
      </c>
    </row>
    <row r="326" spans="1:12" ht="16.5" customHeight="1">
      <c r="A326" s="186" t="s">
        <v>2510</v>
      </c>
      <c r="B326" s="186">
        <v>40130502</v>
      </c>
      <c r="C326" s="549">
        <v>18787</v>
      </c>
      <c r="D326" s="130" t="s">
        <v>3384</v>
      </c>
      <c r="E326" s="130" t="s">
        <v>3385</v>
      </c>
      <c r="F326" s="130" t="s">
        <v>2860</v>
      </c>
      <c r="G326" s="550" t="s">
        <v>2162</v>
      </c>
      <c r="I326" s="165">
        <v>43642</v>
      </c>
      <c r="J326" s="551" t="s">
        <v>799</v>
      </c>
      <c r="K326" s="552" t="s">
        <v>73</v>
      </c>
      <c r="L326" s="130" t="s">
        <v>2870</v>
      </c>
    </row>
    <row r="327" spans="1:12" ht="16.5" customHeight="1">
      <c r="A327" s="186" t="s">
        <v>2510</v>
      </c>
      <c r="B327" s="186">
        <v>40339426</v>
      </c>
      <c r="C327" s="549">
        <v>18532</v>
      </c>
      <c r="D327" s="130" t="s">
        <v>3386</v>
      </c>
      <c r="E327" s="130" t="s">
        <v>3387</v>
      </c>
      <c r="F327" s="130" t="s">
        <v>3388</v>
      </c>
      <c r="G327" s="550" t="s">
        <v>2290</v>
      </c>
      <c r="I327" s="165">
        <v>43642</v>
      </c>
      <c r="J327" s="551" t="s">
        <v>799</v>
      </c>
      <c r="K327" s="552" t="s">
        <v>73</v>
      </c>
      <c r="L327" s="130" t="s">
        <v>2870</v>
      </c>
    </row>
    <row r="328" spans="1:12" ht="16.5" customHeight="1">
      <c r="A328" s="186" t="s">
        <v>2510</v>
      </c>
      <c r="B328" s="186">
        <v>40621286</v>
      </c>
      <c r="C328" s="549">
        <v>15504</v>
      </c>
      <c r="D328" s="130" t="s">
        <v>3103</v>
      </c>
      <c r="E328" s="130" t="s">
        <v>3104</v>
      </c>
      <c r="F328" s="130" t="s">
        <v>3105</v>
      </c>
      <c r="G328" s="550" t="s">
        <v>2313</v>
      </c>
      <c r="I328" s="165">
        <v>43642</v>
      </c>
      <c r="J328" s="551" t="s">
        <v>799</v>
      </c>
      <c r="K328" s="552" t="s">
        <v>73</v>
      </c>
      <c r="L328" s="130" t="s">
        <v>2870</v>
      </c>
    </row>
    <row r="329" spans="1:12" ht="16.5" customHeight="1">
      <c r="A329" s="186" t="s">
        <v>2510</v>
      </c>
      <c r="B329" s="186">
        <v>41133869</v>
      </c>
      <c r="C329" s="549">
        <v>16842</v>
      </c>
      <c r="D329" s="130" t="s">
        <v>2511</v>
      </c>
      <c r="E329" s="130" t="s">
        <v>3389</v>
      </c>
      <c r="F329" s="130" t="s">
        <v>3390</v>
      </c>
      <c r="G329" s="550" t="s">
        <v>2144</v>
      </c>
      <c r="I329" s="165">
        <v>43642</v>
      </c>
      <c r="J329" s="551" t="s">
        <v>799</v>
      </c>
      <c r="K329" s="552" t="s">
        <v>73</v>
      </c>
      <c r="L329" s="130" t="s">
        <v>2870</v>
      </c>
    </row>
    <row r="330" spans="1:12" ht="16.5" customHeight="1">
      <c r="A330" s="186" t="s">
        <v>2510</v>
      </c>
      <c r="B330" s="186">
        <v>41163650</v>
      </c>
      <c r="C330" s="549">
        <v>17590</v>
      </c>
      <c r="D330" s="130" t="s">
        <v>2982</v>
      </c>
      <c r="E330" s="130" t="s">
        <v>3391</v>
      </c>
      <c r="F330" s="130" t="s">
        <v>3392</v>
      </c>
      <c r="G330" s="550" t="s">
        <v>2112</v>
      </c>
      <c r="I330" s="165">
        <v>43642</v>
      </c>
      <c r="J330" s="551" t="s">
        <v>799</v>
      </c>
      <c r="K330" s="552" t="s">
        <v>73</v>
      </c>
      <c r="L330" s="130" t="s">
        <v>2870</v>
      </c>
    </row>
    <row r="331" spans="1:12" ht="16.5" customHeight="1">
      <c r="A331" s="186" t="s">
        <v>2510</v>
      </c>
      <c r="B331" s="186">
        <v>42331975</v>
      </c>
      <c r="C331" s="549">
        <v>17844</v>
      </c>
      <c r="D331" s="130" t="s">
        <v>3384</v>
      </c>
      <c r="E331" s="130" t="s">
        <v>2510</v>
      </c>
      <c r="F331" s="130" t="s">
        <v>3181</v>
      </c>
      <c r="G331" s="550" t="s">
        <v>2094</v>
      </c>
      <c r="I331" s="165">
        <v>43642</v>
      </c>
      <c r="J331" s="551" t="s">
        <v>799</v>
      </c>
      <c r="K331" s="552" t="s">
        <v>73</v>
      </c>
      <c r="L331" s="130" t="s">
        <v>2870</v>
      </c>
    </row>
    <row r="332" spans="1:12" ht="16.5" customHeight="1">
      <c r="A332" s="186" t="s">
        <v>2510</v>
      </c>
      <c r="B332" s="186">
        <v>339291</v>
      </c>
      <c r="C332" s="549">
        <v>17879</v>
      </c>
      <c r="D332" s="130" t="s">
        <v>3393</v>
      </c>
      <c r="E332" s="130" t="s">
        <v>3394</v>
      </c>
      <c r="F332" s="130" t="s">
        <v>3060</v>
      </c>
      <c r="G332" s="550" t="s">
        <v>2185</v>
      </c>
      <c r="I332" s="165">
        <v>43642</v>
      </c>
      <c r="J332" s="551" t="s">
        <v>799</v>
      </c>
      <c r="K332" s="552" t="s">
        <v>72</v>
      </c>
      <c r="L332" s="130" t="s">
        <v>2866</v>
      </c>
    </row>
    <row r="333" spans="1:12" ht="16.5" customHeight="1">
      <c r="A333" s="186" t="s">
        <v>2510</v>
      </c>
      <c r="B333" s="186">
        <v>353904</v>
      </c>
      <c r="C333" s="549">
        <v>19709</v>
      </c>
      <c r="D333" s="130" t="s">
        <v>3101</v>
      </c>
      <c r="E333" s="130" t="s">
        <v>3395</v>
      </c>
      <c r="F333" s="130" t="s">
        <v>3301</v>
      </c>
      <c r="G333" s="550" t="s">
        <v>2313</v>
      </c>
      <c r="I333" s="165">
        <v>43642</v>
      </c>
      <c r="J333" s="551" t="s">
        <v>799</v>
      </c>
      <c r="K333" s="552" t="s">
        <v>72</v>
      </c>
      <c r="L333" s="130" t="s">
        <v>2866</v>
      </c>
    </row>
    <row r="334" spans="1:12" ht="16.5" customHeight="1">
      <c r="A334" s="186" t="s">
        <v>2510</v>
      </c>
      <c r="B334" s="186">
        <v>477653</v>
      </c>
      <c r="C334" s="549">
        <v>17462</v>
      </c>
      <c r="D334" s="130" t="s">
        <v>3317</v>
      </c>
      <c r="E334" s="130" t="s">
        <v>3396</v>
      </c>
      <c r="F334" s="130" t="s">
        <v>3397</v>
      </c>
      <c r="G334" s="550" t="s">
        <v>2094</v>
      </c>
      <c r="I334" s="165">
        <v>43642</v>
      </c>
      <c r="J334" s="551" t="s">
        <v>799</v>
      </c>
      <c r="K334" s="552" t="s">
        <v>72</v>
      </c>
      <c r="L334" s="130" t="s">
        <v>2866</v>
      </c>
    </row>
    <row r="335" spans="1:12" ht="16.5" customHeight="1">
      <c r="A335" s="186" t="s">
        <v>2510</v>
      </c>
      <c r="B335" s="186">
        <v>680520</v>
      </c>
      <c r="C335" s="549">
        <v>20204</v>
      </c>
      <c r="D335" s="130" t="s">
        <v>3398</v>
      </c>
      <c r="E335" s="130" t="s">
        <v>3399</v>
      </c>
      <c r="F335" s="130" t="s">
        <v>2860</v>
      </c>
      <c r="G335" s="550" t="s">
        <v>2112</v>
      </c>
      <c r="I335" s="165">
        <v>43642</v>
      </c>
      <c r="J335" s="551" t="s">
        <v>799</v>
      </c>
      <c r="K335" s="552" t="s">
        <v>72</v>
      </c>
      <c r="L335" s="130" t="s">
        <v>2866</v>
      </c>
    </row>
    <row r="336" spans="1:12" ht="16.5" customHeight="1">
      <c r="A336" s="186" t="s">
        <v>2510</v>
      </c>
      <c r="B336" s="186">
        <v>685107</v>
      </c>
      <c r="C336" s="549">
        <v>18987</v>
      </c>
      <c r="D336" s="130" t="s">
        <v>2541</v>
      </c>
      <c r="E336" s="130" t="s">
        <v>3078</v>
      </c>
      <c r="F336" s="130" t="s">
        <v>3079</v>
      </c>
      <c r="G336" s="550" t="s">
        <v>2106</v>
      </c>
      <c r="I336" s="165">
        <v>43642</v>
      </c>
      <c r="J336" s="551" t="s">
        <v>799</v>
      </c>
      <c r="K336" s="552" t="s">
        <v>72</v>
      </c>
      <c r="L336" s="130" t="s">
        <v>2866</v>
      </c>
    </row>
    <row r="337" spans="1:12" ht="16.5" customHeight="1">
      <c r="A337" s="186" t="s">
        <v>2510</v>
      </c>
      <c r="B337" s="186">
        <v>1071471</v>
      </c>
      <c r="C337" s="549">
        <v>11672</v>
      </c>
      <c r="D337" s="130" t="s">
        <v>3400</v>
      </c>
      <c r="E337" s="130" t="s">
        <v>3401</v>
      </c>
      <c r="F337" s="130" t="s">
        <v>3402</v>
      </c>
      <c r="G337" s="550" t="s">
        <v>2240</v>
      </c>
      <c r="I337" s="165">
        <v>43642</v>
      </c>
      <c r="J337" s="551" t="s">
        <v>799</v>
      </c>
      <c r="K337" s="552" t="s">
        <v>72</v>
      </c>
      <c r="L337" s="130" t="s">
        <v>2866</v>
      </c>
    </row>
    <row r="338" spans="1:12" ht="16.5" customHeight="1">
      <c r="A338" s="186" t="s">
        <v>2510</v>
      </c>
      <c r="B338" s="186">
        <v>2533768</v>
      </c>
      <c r="C338" s="549">
        <v>16509</v>
      </c>
      <c r="D338" s="130" t="s">
        <v>3101</v>
      </c>
      <c r="E338" s="130" t="s">
        <v>3175</v>
      </c>
      <c r="F338" s="130" t="s">
        <v>3121</v>
      </c>
      <c r="G338" s="550" t="s">
        <v>2144</v>
      </c>
      <c r="I338" s="165">
        <v>43642</v>
      </c>
      <c r="J338" s="551" t="s">
        <v>799</v>
      </c>
      <c r="K338" s="552" t="s">
        <v>72</v>
      </c>
      <c r="L338" s="130" t="s">
        <v>2866</v>
      </c>
    </row>
    <row r="339" spans="1:12" ht="16.5" customHeight="1">
      <c r="A339" s="186" t="s">
        <v>2510</v>
      </c>
      <c r="B339" s="186">
        <v>4456976</v>
      </c>
      <c r="C339" s="549">
        <v>14904</v>
      </c>
      <c r="D339" s="130" t="s">
        <v>3403</v>
      </c>
      <c r="E339" s="130" t="s">
        <v>3404</v>
      </c>
      <c r="F339" s="130" t="s">
        <v>3181</v>
      </c>
      <c r="G339" s="550" t="s">
        <v>2094</v>
      </c>
      <c r="I339" s="165">
        <v>43642</v>
      </c>
      <c r="J339" s="551" t="s">
        <v>799</v>
      </c>
      <c r="K339" s="552" t="s">
        <v>72</v>
      </c>
      <c r="L339" s="130" t="s">
        <v>2866</v>
      </c>
    </row>
    <row r="340" spans="1:12" ht="16.5" customHeight="1">
      <c r="A340" s="186" t="s">
        <v>2510</v>
      </c>
      <c r="B340" s="186">
        <v>6675672</v>
      </c>
      <c r="C340" s="549">
        <v>7512</v>
      </c>
      <c r="D340" s="130" t="s">
        <v>3101</v>
      </c>
      <c r="E340" s="130" t="s">
        <v>3086</v>
      </c>
      <c r="F340" s="130" t="s">
        <v>3087</v>
      </c>
      <c r="G340" s="550" t="s">
        <v>2240</v>
      </c>
      <c r="I340" s="165">
        <v>43642</v>
      </c>
      <c r="J340" s="551" t="s">
        <v>799</v>
      </c>
      <c r="K340" s="552" t="s">
        <v>72</v>
      </c>
      <c r="L340" s="130" t="s">
        <v>2866</v>
      </c>
    </row>
    <row r="341" spans="1:12" ht="16.5" customHeight="1">
      <c r="A341" s="186" t="s">
        <v>2510</v>
      </c>
      <c r="B341" s="186">
        <v>7438518</v>
      </c>
      <c r="C341" s="549">
        <v>12894</v>
      </c>
      <c r="D341" s="130" t="s">
        <v>3290</v>
      </c>
      <c r="E341" s="130" t="s">
        <v>3405</v>
      </c>
      <c r="F341" s="130" t="s">
        <v>3406</v>
      </c>
      <c r="G341" s="550" t="s">
        <v>2094</v>
      </c>
      <c r="I341" s="165">
        <v>43642</v>
      </c>
      <c r="J341" s="551" t="s">
        <v>799</v>
      </c>
      <c r="K341" s="552" t="s">
        <v>72</v>
      </c>
      <c r="L341" s="130" t="s">
        <v>2866</v>
      </c>
    </row>
    <row r="342" spans="1:12" ht="16.5" customHeight="1">
      <c r="A342" s="186" t="s">
        <v>2510</v>
      </c>
      <c r="B342" s="186">
        <v>7773898</v>
      </c>
      <c r="C342" s="549">
        <v>19078</v>
      </c>
      <c r="D342" s="130" t="s">
        <v>2979</v>
      </c>
      <c r="E342" s="130" t="s">
        <v>3407</v>
      </c>
      <c r="F342" s="130" t="s">
        <v>3408</v>
      </c>
      <c r="G342" s="550" t="s">
        <v>2313</v>
      </c>
      <c r="I342" s="165">
        <v>43642</v>
      </c>
      <c r="J342" s="551" t="s">
        <v>799</v>
      </c>
      <c r="K342" s="552" t="s">
        <v>72</v>
      </c>
      <c r="L342" s="130" t="s">
        <v>2866</v>
      </c>
    </row>
    <row r="343" spans="1:12" ht="16.5" customHeight="1">
      <c r="A343" s="186" t="s">
        <v>2510</v>
      </c>
      <c r="B343" s="186">
        <v>9894643</v>
      </c>
      <c r="C343" s="549">
        <v>16904</v>
      </c>
      <c r="D343" s="130" t="s">
        <v>3409</v>
      </c>
      <c r="E343" s="130" t="s">
        <v>3410</v>
      </c>
      <c r="F343" s="130" t="s">
        <v>3134</v>
      </c>
      <c r="G343" s="550" t="s">
        <v>2106</v>
      </c>
      <c r="I343" s="165">
        <v>43642</v>
      </c>
      <c r="J343" s="551" t="s">
        <v>799</v>
      </c>
      <c r="K343" s="552" t="s">
        <v>72</v>
      </c>
      <c r="L343" s="130" t="s">
        <v>2866</v>
      </c>
    </row>
    <row r="344" spans="1:12" ht="16.5" customHeight="1">
      <c r="A344" s="186" t="s">
        <v>2510</v>
      </c>
      <c r="B344" s="186">
        <v>14666069</v>
      </c>
      <c r="C344" s="549">
        <v>20184</v>
      </c>
      <c r="D344" s="130" t="s">
        <v>2697</v>
      </c>
      <c r="E344" s="130" t="s">
        <v>3088</v>
      </c>
      <c r="F344" s="130" t="s">
        <v>3089</v>
      </c>
      <c r="G344" s="550" t="s">
        <v>2112</v>
      </c>
      <c r="I344" s="165">
        <v>43642</v>
      </c>
      <c r="J344" s="551" t="s">
        <v>799</v>
      </c>
      <c r="K344" s="552" t="s">
        <v>72</v>
      </c>
      <c r="L344" s="130" t="s">
        <v>2866</v>
      </c>
    </row>
    <row r="345" spans="1:12" ht="16.5" customHeight="1">
      <c r="A345" s="186" t="s">
        <v>2510</v>
      </c>
      <c r="B345" s="186">
        <v>16991077</v>
      </c>
      <c r="C345" s="549">
        <v>18055</v>
      </c>
      <c r="D345" s="130" t="s">
        <v>3411</v>
      </c>
      <c r="E345" s="130" t="s">
        <v>3412</v>
      </c>
      <c r="F345" s="130" t="s">
        <v>3413</v>
      </c>
      <c r="G345" s="550" t="s">
        <v>2072</v>
      </c>
      <c r="I345" s="165">
        <v>43642</v>
      </c>
      <c r="J345" s="551" t="s">
        <v>799</v>
      </c>
      <c r="K345" s="552" t="s">
        <v>72</v>
      </c>
      <c r="L345" s="130" t="s">
        <v>2866</v>
      </c>
    </row>
    <row r="346" spans="1:12" ht="16.5" customHeight="1">
      <c r="A346" s="186" t="s">
        <v>2510</v>
      </c>
      <c r="B346" s="186">
        <v>17175282</v>
      </c>
      <c r="C346" s="549">
        <v>13992</v>
      </c>
      <c r="D346" s="130" t="s">
        <v>2523</v>
      </c>
      <c r="E346" s="130" t="s">
        <v>3092</v>
      </c>
      <c r="F346" s="130" t="s">
        <v>3093</v>
      </c>
      <c r="G346" s="550" t="s">
        <v>2313</v>
      </c>
      <c r="I346" s="165">
        <v>43642</v>
      </c>
      <c r="J346" s="551" t="s">
        <v>799</v>
      </c>
      <c r="K346" s="552" t="s">
        <v>72</v>
      </c>
      <c r="L346" s="130" t="s">
        <v>2866</v>
      </c>
    </row>
    <row r="347" spans="1:12" ht="16.5" customHeight="1">
      <c r="A347" s="186" t="s">
        <v>2510</v>
      </c>
      <c r="B347" s="186">
        <v>26241984</v>
      </c>
      <c r="C347" s="549">
        <v>19618</v>
      </c>
      <c r="D347" s="130" t="s">
        <v>3011</v>
      </c>
      <c r="E347" s="130" t="s">
        <v>3414</v>
      </c>
      <c r="F347" s="130" t="s">
        <v>3415</v>
      </c>
      <c r="G347" s="550" t="s">
        <v>2094</v>
      </c>
      <c r="I347" s="165">
        <v>43642</v>
      </c>
      <c r="J347" s="551" t="s">
        <v>799</v>
      </c>
      <c r="K347" s="552" t="s">
        <v>72</v>
      </c>
      <c r="L347" s="130" t="s">
        <v>2866</v>
      </c>
    </row>
    <row r="348" spans="1:12" ht="16.5" customHeight="1">
      <c r="A348" s="186" t="s">
        <v>2510</v>
      </c>
      <c r="B348" s="186">
        <v>30397400</v>
      </c>
      <c r="C348" s="549">
        <v>15785</v>
      </c>
      <c r="D348" s="130" t="s">
        <v>3400</v>
      </c>
      <c r="E348" s="130" t="s">
        <v>3416</v>
      </c>
      <c r="F348" s="130" t="s">
        <v>3417</v>
      </c>
      <c r="G348" s="550" t="s">
        <v>2290</v>
      </c>
      <c r="I348" s="165">
        <v>43642</v>
      </c>
      <c r="J348" s="551" t="s">
        <v>799</v>
      </c>
      <c r="K348" s="552" t="s">
        <v>72</v>
      </c>
      <c r="L348" s="130" t="s">
        <v>2866</v>
      </c>
    </row>
    <row r="349" spans="1:12" ht="16.5" customHeight="1">
      <c r="A349" s="186" t="s">
        <v>2510</v>
      </c>
      <c r="B349" s="186">
        <v>36032555</v>
      </c>
      <c r="C349" s="549">
        <v>18199</v>
      </c>
      <c r="D349" s="130" t="s">
        <v>2733</v>
      </c>
      <c r="E349" s="130" t="s">
        <v>2510</v>
      </c>
      <c r="F349" s="130" t="s">
        <v>3418</v>
      </c>
      <c r="G349" s="550" t="s">
        <v>2144</v>
      </c>
      <c r="I349" s="165">
        <v>43642</v>
      </c>
      <c r="J349" s="551" t="s">
        <v>799</v>
      </c>
      <c r="K349" s="552" t="s">
        <v>72</v>
      </c>
      <c r="L349" s="130" t="s">
        <v>2866</v>
      </c>
    </row>
    <row r="350" spans="1:12" ht="16.5" customHeight="1">
      <c r="A350" s="186" t="s">
        <v>2510</v>
      </c>
      <c r="B350" s="186">
        <v>38184040</v>
      </c>
      <c r="C350" s="549">
        <v>16489</v>
      </c>
      <c r="D350" s="130" t="s">
        <v>3419</v>
      </c>
      <c r="E350" s="130" t="s">
        <v>3420</v>
      </c>
      <c r="F350" s="130" t="s">
        <v>3082</v>
      </c>
      <c r="G350" s="550" t="s">
        <v>2313</v>
      </c>
      <c r="I350" s="165">
        <v>43642</v>
      </c>
      <c r="J350" s="551" t="s">
        <v>799</v>
      </c>
      <c r="K350" s="552" t="s">
        <v>72</v>
      </c>
      <c r="L350" s="130" t="s">
        <v>2866</v>
      </c>
    </row>
    <row r="351" spans="1:12" ht="16.5" customHeight="1">
      <c r="A351" s="186" t="s">
        <v>2510</v>
      </c>
      <c r="B351" s="186">
        <v>38752762</v>
      </c>
      <c r="C351" s="549">
        <v>13254</v>
      </c>
      <c r="D351" s="130" t="s">
        <v>3373</v>
      </c>
      <c r="E351" s="130" t="s">
        <v>2962</v>
      </c>
      <c r="F351" s="130" t="s">
        <v>3421</v>
      </c>
      <c r="G351" s="550" t="s">
        <v>2106</v>
      </c>
      <c r="I351" s="165">
        <v>43642</v>
      </c>
      <c r="J351" s="551" t="s">
        <v>799</v>
      </c>
      <c r="K351" s="552" t="s">
        <v>72</v>
      </c>
      <c r="L351" s="130" t="s">
        <v>2866</v>
      </c>
    </row>
    <row r="352" spans="1:12" ht="16.5" customHeight="1">
      <c r="A352" s="186" t="s">
        <v>2584</v>
      </c>
      <c r="B352" s="186">
        <v>95592366</v>
      </c>
      <c r="C352" s="549">
        <v>17390</v>
      </c>
      <c r="D352" s="130" t="s">
        <v>2518</v>
      </c>
      <c r="E352" s="130" t="s">
        <v>3422</v>
      </c>
      <c r="F352" s="130" t="s">
        <v>3423</v>
      </c>
      <c r="G352" s="550" t="s">
        <v>2106</v>
      </c>
      <c r="I352" s="165">
        <v>43642</v>
      </c>
      <c r="J352" s="551" t="s">
        <v>799</v>
      </c>
      <c r="K352" s="552" t="s">
        <v>2516</v>
      </c>
      <c r="L352" s="130" t="s">
        <v>3042</v>
      </c>
    </row>
    <row r="353" spans="1:12" ht="16.5" customHeight="1">
      <c r="A353" s="186" t="s">
        <v>2510</v>
      </c>
      <c r="B353" s="186">
        <v>69176378</v>
      </c>
      <c r="C353" s="549">
        <v>19217</v>
      </c>
      <c r="D353" s="130" t="s">
        <v>3373</v>
      </c>
      <c r="E353" s="130" t="s">
        <v>3424</v>
      </c>
      <c r="F353" s="130" t="s">
        <v>3425</v>
      </c>
      <c r="G353" s="550" t="s">
        <v>2069</v>
      </c>
      <c r="I353" s="165">
        <v>43642</v>
      </c>
      <c r="J353" s="551" t="s">
        <v>799</v>
      </c>
      <c r="K353" s="552" t="s">
        <v>73</v>
      </c>
      <c r="L353" s="130" t="s">
        <v>2870</v>
      </c>
    </row>
    <row r="354" spans="1:12" ht="16.5" customHeight="1">
      <c r="A354" s="186" t="s">
        <v>2510</v>
      </c>
      <c r="B354" s="186">
        <v>95592366</v>
      </c>
      <c r="C354" s="549">
        <v>17390</v>
      </c>
      <c r="D354" s="130" t="s">
        <v>2518</v>
      </c>
      <c r="E354" s="130" t="s">
        <v>3422</v>
      </c>
      <c r="F354" s="130" t="s">
        <v>3426</v>
      </c>
      <c r="G354" s="550" t="s">
        <v>2106</v>
      </c>
      <c r="I354" s="165">
        <v>43642</v>
      </c>
      <c r="J354" s="551" t="s">
        <v>799</v>
      </c>
      <c r="K354" s="552" t="s">
        <v>73</v>
      </c>
      <c r="L354" s="130" t="s">
        <v>2870</v>
      </c>
    </row>
    <row r="355" spans="1:12" ht="16.5" customHeight="1">
      <c r="A355" s="186" t="s">
        <v>2510</v>
      </c>
      <c r="B355" s="186">
        <v>92750546</v>
      </c>
      <c r="C355" s="549">
        <v>18771</v>
      </c>
      <c r="D355" s="130" t="s">
        <v>2593</v>
      </c>
      <c r="E355" s="130" t="s">
        <v>3427</v>
      </c>
      <c r="F355" s="130" t="s">
        <v>3428</v>
      </c>
      <c r="G355" s="550" t="s">
        <v>2118</v>
      </c>
      <c r="I355" s="165">
        <v>43642</v>
      </c>
      <c r="J355" s="551" t="s">
        <v>799</v>
      </c>
      <c r="K355" s="552" t="s">
        <v>73</v>
      </c>
      <c r="L355" s="130" t="s">
        <v>2870</v>
      </c>
    </row>
    <row r="356" spans="1:12" ht="16.5" customHeight="1">
      <c r="A356" s="186" t="s">
        <v>3071</v>
      </c>
      <c r="B356" s="571">
        <v>57836</v>
      </c>
      <c r="C356" s="572">
        <v>20944</v>
      </c>
      <c r="D356" s="569" t="s">
        <v>2511</v>
      </c>
      <c r="E356" s="569" t="s">
        <v>2985</v>
      </c>
      <c r="F356" s="573" t="s">
        <v>3429</v>
      </c>
      <c r="G356" s="109" t="s">
        <v>2129</v>
      </c>
      <c r="I356" s="165">
        <v>43643</v>
      </c>
      <c r="J356" s="551" t="s">
        <v>799</v>
      </c>
      <c r="K356" s="552" t="s">
        <v>3430</v>
      </c>
      <c r="L356" s="130" t="s">
        <v>3042</v>
      </c>
    </row>
    <row r="357" spans="1:12" ht="16.5" customHeight="1">
      <c r="A357" s="186" t="s">
        <v>3071</v>
      </c>
      <c r="B357" s="571">
        <v>3612660</v>
      </c>
      <c r="C357" s="572">
        <v>19643</v>
      </c>
      <c r="D357" s="569" t="s">
        <v>3431</v>
      </c>
      <c r="E357" s="569" t="s">
        <v>3432</v>
      </c>
      <c r="F357" s="573" t="s">
        <v>3433</v>
      </c>
      <c r="G357" s="109" t="s">
        <v>2112</v>
      </c>
      <c r="I357" s="165">
        <v>43643</v>
      </c>
      <c r="J357" s="551" t="s">
        <v>799</v>
      </c>
      <c r="K357" s="552" t="s">
        <v>3430</v>
      </c>
      <c r="L357" s="130" t="s">
        <v>3042</v>
      </c>
    </row>
    <row r="358" spans="1:12" ht="16.5" customHeight="1">
      <c r="A358" s="186" t="s">
        <v>3071</v>
      </c>
      <c r="B358" s="571">
        <v>7749443</v>
      </c>
      <c r="C358" s="572">
        <v>11469</v>
      </c>
      <c r="D358" s="569" t="s">
        <v>2541</v>
      </c>
      <c r="E358" s="569" t="s">
        <v>2893</v>
      </c>
      <c r="F358" s="573" t="s">
        <v>3434</v>
      </c>
      <c r="G358" s="109" t="s">
        <v>2072</v>
      </c>
      <c r="I358" s="165">
        <v>43643</v>
      </c>
      <c r="J358" s="551" t="s">
        <v>799</v>
      </c>
      <c r="K358" s="552" t="s">
        <v>3430</v>
      </c>
      <c r="L358" s="130" t="s">
        <v>3042</v>
      </c>
    </row>
    <row r="359" spans="1:12" ht="16.5" customHeight="1">
      <c r="A359" s="186" t="s">
        <v>3071</v>
      </c>
      <c r="B359" s="571">
        <v>17981200</v>
      </c>
      <c r="C359" s="572">
        <v>17362</v>
      </c>
      <c r="D359" s="569" t="s">
        <v>3435</v>
      </c>
      <c r="E359" s="569" t="s">
        <v>3436</v>
      </c>
      <c r="F359" s="573" t="s">
        <v>3437</v>
      </c>
      <c r="G359" s="109" t="s">
        <v>2313</v>
      </c>
      <c r="I359" s="165">
        <v>43643</v>
      </c>
      <c r="J359" s="551" t="s">
        <v>799</v>
      </c>
      <c r="K359" s="552" t="s">
        <v>3430</v>
      </c>
      <c r="L359" s="130" t="s">
        <v>3042</v>
      </c>
    </row>
    <row r="360" spans="1:12" ht="16.5" customHeight="1">
      <c r="A360" s="186" t="s">
        <v>3071</v>
      </c>
      <c r="B360" s="571">
        <v>20652426</v>
      </c>
      <c r="C360" s="572">
        <v>11193</v>
      </c>
      <c r="D360" s="569" t="s">
        <v>3101</v>
      </c>
      <c r="E360" s="569" t="s">
        <v>3438</v>
      </c>
      <c r="F360" s="573" t="s">
        <v>3439</v>
      </c>
      <c r="G360" s="109" t="s">
        <v>2112</v>
      </c>
      <c r="I360" s="165">
        <v>43643</v>
      </c>
      <c r="J360" s="551" t="s">
        <v>799</v>
      </c>
      <c r="K360" s="552" t="s">
        <v>3430</v>
      </c>
      <c r="L360" s="130" t="s">
        <v>3042</v>
      </c>
    </row>
    <row r="361" spans="1:12" ht="16.5" customHeight="1">
      <c r="A361" s="186" t="s">
        <v>3071</v>
      </c>
      <c r="B361" s="571">
        <v>24035636</v>
      </c>
      <c r="C361" s="572">
        <v>15220</v>
      </c>
      <c r="D361" s="569" t="s">
        <v>3293</v>
      </c>
      <c r="E361" s="569" t="s">
        <v>3440</v>
      </c>
      <c r="F361" s="573" t="s">
        <v>3441</v>
      </c>
      <c r="G361" s="109" t="s">
        <v>2313</v>
      </c>
      <c r="I361" s="165">
        <v>43643</v>
      </c>
      <c r="J361" s="551" t="s">
        <v>799</v>
      </c>
      <c r="K361" s="552" t="s">
        <v>3430</v>
      </c>
      <c r="L361" s="130" t="s">
        <v>3042</v>
      </c>
    </row>
    <row r="362" spans="1:12" ht="16.5" customHeight="1">
      <c r="A362" s="186" t="s">
        <v>3071</v>
      </c>
      <c r="B362" s="571">
        <v>29283892</v>
      </c>
      <c r="C362" s="572">
        <v>16113</v>
      </c>
      <c r="D362" s="569" t="s">
        <v>3043</v>
      </c>
      <c r="E362" s="569" t="s">
        <v>3442</v>
      </c>
      <c r="F362" s="573" t="s">
        <v>3443</v>
      </c>
      <c r="G362" s="109" t="s">
        <v>2094</v>
      </c>
      <c r="I362" s="165">
        <v>43643</v>
      </c>
      <c r="J362" s="551" t="s">
        <v>799</v>
      </c>
      <c r="K362" s="552" t="s">
        <v>3430</v>
      </c>
      <c r="L362" s="130" t="s">
        <v>3042</v>
      </c>
    </row>
    <row r="363" spans="1:12" ht="16.5" customHeight="1">
      <c r="A363" s="186" t="s">
        <v>3071</v>
      </c>
      <c r="B363" s="571">
        <v>30243232</v>
      </c>
      <c r="C363" s="572">
        <v>14534</v>
      </c>
      <c r="D363" s="569" t="s">
        <v>3444</v>
      </c>
      <c r="E363" s="569" t="s">
        <v>2947</v>
      </c>
      <c r="F363" s="573" t="s">
        <v>2948</v>
      </c>
      <c r="G363" s="109" t="s">
        <v>2077</v>
      </c>
      <c r="I363" s="165">
        <v>43643</v>
      </c>
      <c r="J363" s="551" t="s">
        <v>799</v>
      </c>
      <c r="K363" s="552" t="s">
        <v>3430</v>
      </c>
      <c r="L363" s="130" t="s">
        <v>3042</v>
      </c>
    </row>
    <row r="364" spans="1:12" ht="16.5" customHeight="1">
      <c r="A364" s="186" t="s">
        <v>3071</v>
      </c>
      <c r="B364" s="571">
        <v>35621309</v>
      </c>
      <c r="C364" s="572">
        <v>16267</v>
      </c>
      <c r="D364" s="569" t="s">
        <v>2832</v>
      </c>
      <c r="E364" s="569" t="s">
        <v>2728</v>
      </c>
      <c r="F364" s="573" t="s">
        <v>3445</v>
      </c>
      <c r="G364" s="109" t="s">
        <v>2112</v>
      </c>
      <c r="I364" s="165">
        <v>43643</v>
      </c>
      <c r="J364" s="551" t="s">
        <v>799</v>
      </c>
      <c r="K364" s="552" t="s">
        <v>3430</v>
      </c>
      <c r="L364" s="130" t="s">
        <v>3042</v>
      </c>
    </row>
    <row r="365" spans="1:12" ht="16.5" customHeight="1">
      <c r="A365" s="186" t="s">
        <v>3071</v>
      </c>
      <c r="B365" s="571">
        <v>37417730</v>
      </c>
      <c r="C365" s="572">
        <v>19442</v>
      </c>
      <c r="D365" s="569" t="s">
        <v>2718</v>
      </c>
      <c r="E365" s="569" t="s">
        <v>2893</v>
      </c>
      <c r="F365" s="573" t="s">
        <v>3446</v>
      </c>
      <c r="G365" s="109" t="s">
        <v>2112</v>
      </c>
      <c r="I365" s="165">
        <v>43643</v>
      </c>
      <c r="J365" s="551" t="s">
        <v>799</v>
      </c>
      <c r="K365" s="552" t="s">
        <v>3430</v>
      </c>
      <c r="L365" s="130" t="s">
        <v>3042</v>
      </c>
    </row>
    <row r="366" spans="1:12" ht="16.5" customHeight="1">
      <c r="A366" s="186" t="s">
        <v>3071</v>
      </c>
      <c r="B366" s="571">
        <v>38351052</v>
      </c>
      <c r="C366" s="572">
        <v>15104</v>
      </c>
      <c r="D366" s="569" t="s">
        <v>3288</v>
      </c>
      <c r="E366" s="569" t="s">
        <v>3447</v>
      </c>
      <c r="F366" s="573" t="s">
        <v>3448</v>
      </c>
      <c r="G366" s="109" t="s">
        <v>2313</v>
      </c>
      <c r="I366" s="165">
        <v>43643</v>
      </c>
      <c r="J366" s="551" t="s">
        <v>799</v>
      </c>
      <c r="K366" s="552" t="s">
        <v>3430</v>
      </c>
      <c r="L366" s="130" t="s">
        <v>3042</v>
      </c>
    </row>
    <row r="367" spans="1:12" ht="16.5" customHeight="1">
      <c r="A367" s="186" t="s">
        <v>3071</v>
      </c>
      <c r="B367" s="571">
        <v>39951694</v>
      </c>
      <c r="C367" s="572">
        <v>16954</v>
      </c>
      <c r="D367" s="569" t="s">
        <v>3122</v>
      </c>
      <c r="E367" s="569" t="s">
        <v>3449</v>
      </c>
      <c r="F367" s="573" t="s">
        <v>3130</v>
      </c>
      <c r="G367" s="109" t="s">
        <v>2072</v>
      </c>
      <c r="I367" s="165">
        <v>43643</v>
      </c>
      <c r="J367" s="551" t="s">
        <v>799</v>
      </c>
      <c r="K367" s="552" t="s">
        <v>3430</v>
      </c>
      <c r="L367" s="130" t="s">
        <v>3042</v>
      </c>
    </row>
    <row r="368" spans="1:12" ht="16.5" customHeight="1">
      <c r="A368" s="186" t="s">
        <v>3071</v>
      </c>
      <c r="B368" s="571">
        <v>40011736</v>
      </c>
      <c r="C368" s="572">
        <v>15351</v>
      </c>
      <c r="D368" s="569" t="s">
        <v>3450</v>
      </c>
      <c r="E368" s="569" t="s">
        <v>3451</v>
      </c>
      <c r="F368" s="573" t="s">
        <v>3452</v>
      </c>
      <c r="G368" s="109" t="s">
        <v>2274</v>
      </c>
      <c r="I368" s="165">
        <v>43643</v>
      </c>
      <c r="J368" s="551" t="s">
        <v>799</v>
      </c>
      <c r="K368" s="552" t="s">
        <v>3430</v>
      </c>
      <c r="L368" s="130" t="s">
        <v>3042</v>
      </c>
    </row>
    <row r="369" spans="1:12" ht="16.5" customHeight="1">
      <c r="A369" s="186" t="s">
        <v>3071</v>
      </c>
      <c r="B369" s="571">
        <v>2293397</v>
      </c>
      <c r="C369" s="572">
        <v>14389</v>
      </c>
      <c r="D369" s="569" t="s">
        <v>3453</v>
      </c>
      <c r="E369" s="569" t="s">
        <v>3454</v>
      </c>
      <c r="F369" s="573" t="s">
        <v>3455</v>
      </c>
      <c r="G369" s="109" t="s">
        <v>2162</v>
      </c>
      <c r="I369" s="165">
        <v>43643</v>
      </c>
      <c r="J369" s="551" t="s">
        <v>799</v>
      </c>
      <c r="K369" s="552" t="s">
        <v>3430</v>
      </c>
      <c r="L369" s="130" t="s">
        <v>3042</v>
      </c>
    </row>
    <row r="370" spans="1:12" ht="16.5" customHeight="1">
      <c r="A370" s="186" t="s">
        <v>2510</v>
      </c>
      <c r="B370" s="186">
        <v>93896249</v>
      </c>
      <c r="C370" s="549">
        <v>13603</v>
      </c>
      <c r="D370" s="130" t="s">
        <v>2602</v>
      </c>
      <c r="E370" s="130" t="s">
        <v>3456</v>
      </c>
      <c r="F370" s="130" t="s">
        <v>3082</v>
      </c>
      <c r="G370" s="550" t="s">
        <v>2313</v>
      </c>
      <c r="I370" s="165">
        <v>43643</v>
      </c>
      <c r="J370" s="551" t="s">
        <v>799</v>
      </c>
      <c r="K370" s="552" t="s">
        <v>2516</v>
      </c>
      <c r="L370" s="130" t="s">
        <v>3457</v>
      </c>
    </row>
    <row r="371" spans="1:12" ht="16.5" customHeight="1">
      <c r="A371" s="186" t="s">
        <v>2510</v>
      </c>
      <c r="B371" s="186">
        <v>132332</v>
      </c>
      <c r="C371" s="549">
        <v>18749</v>
      </c>
      <c r="D371" s="130" t="s">
        <v>2821</v>
      </c>
      <c r="E371" s="130" t="s">
        <v>3458</v>
      </c>
      <c r="F371" s="130" t="s">
        <v>3459</v>
      </c>
      <c r="G371" s="550" t="s">
        <v>2106</v>
      </c>
      <c r="I371" s="165">
        <v>43647</v>
      </c>
      <c r="J371" s="551" t="s">
        <v>799</v>
      </c>
      <c r="K371" s="552" t="s">
        <v>67</v>
      </c>
      <c r="L371" s="130" t="s">
        <v>2664</v>
      </c>
    </row>
    <row r="372" spans="1:12" ht="16.5" customHeight="1">
      <c r="A372" s="186" t="s">
        <v>2510</v>
      </c>
      <c r="B372" s="186">
        <v>2538601</v>
      </c>
      <c r="C372" s="549">
        <v>13971</v>
      </c>
      <c r="D372" s="130" t="s">
        <v>3460</v>
      </c>
      <c r="E372" s="130" t="s">
        <v>3461</v>
      </c>
      <c r="F372" s="130" t="s">
        <v>3462</v>
      </c>
      <c r="G372" s="550" t="s">
        <v>2112</v>
      </c>
      <c r="I372" s="165">
        <v>43647</v>
      </c>
      <c r="J372" s="551" t="s">
        <v>799</v>
      </c>
      <c r="K372" s="552" t="s">
        <v>67</v>
      </c>
      <c r="L372" s="130" t="s">
        <v>2664</v>
      </c>
    </row>
    <row r="373" spans="1:12" ht="16.5" customHeight="1">
      <c r="A373" s="186" t="s">
        <v>2510</v>
      </c>
      <c r="B373" s="186">
        <v>5172952</v>
      </c>
      <c r="C373" s="549">
        <v>18217</v>
      </c>
      <c r="D373" s="130" t="s">
        <v>3463</v>
      </c>
      <c r="E373" s="130" t="s">
        <v>3464</v>
      </c>
      <c r="F373" s="130" t="s">
        <v>3465</v>
      </c>
      <c r="G373" s="550" t="s">
        <v>2162</v>
      </c>
      <c r="I373" s="165">
        <v>43647</v>
      </c>
      <c r="J373" s="551" t="s">
        <v>799</v>
      </c>
      <c r="K373" s="552" t="s">
        <v>67</v>
      </c>
      <c r="L373" s="130" t="s">
        <v>2664</v>
      </c>
    </row>
    <row r="374" spans="1:12" ht="16.5" customHeight="1">
      <c r="A374" s="186" t="s">
        <v>2510</v>
      </c>
      <c r="B374" s="186">
        <v>6060552</v>
      </c>
      <c r="C374" s="549">
        <v>10024</v>
      </c>
      <c r="D374" s="130" t="s">
        <v>2669</v>
      </c>
      <c r="E374" s="130" t="s">
        <v>3466</v>
      </c>
      <c r="F374" s="130" t="s">
        <v>3467</v>
      </c>
      <c r="G374" s="550" t="s">
        <v>2072</v>
      </c>
      <c r="I374" s="165">
        <v>43647</v>
      </c>
      <c r="J374" s="551" t="s">
        <v>799</v>
      </c>
      <c r="K374" s="552" t="s">
        <v>67</v>
      </c>
      <c r="L374" s="130" t="s">
        <v>2664</v>
      </c>
    </row>
    <row r="375" spans="1:12" ht="16.5" customHeight="1">
      <c r="A375" s="186" t="s">
        <v>2510</v>
      </c>
      <c r="B375" s="186">
        <v>16501876</v>
      </c>
      <c r="C375" s="549">
        <v>19893</v>
      </c>
      <c r="D375" s="130" t="s">
        <v>3468</v>
      </c>
      <c r="E375" s="130" t="s">
        <v>3469</v>
      </c>
      <c r="F375" s="130" t="s">
        <v>3470</v>
      </c>
      <c r="G375" s="550" t="s">
        <v>2176</v>
      </c>
      <c r="I375" s="165">
        <v>43647</v>
      </c>
      <c r="J375" s="551" t="s">
        <v>799</v>
      </c>
      <c r="K375" s="552" t="s">
        <v>67</v>
      </c>
      <c r="L375" s="130" t="s">
        <v>2664</v>
      </c>
    </row>
    <row r="376" spans="1:12" ht="16.5" customHeight="1">
      <c r="A376" s="186" t="s">
        <v>2510</v>
      </c>
      <c r="B376" s="186">
        <v>20070629</v>
      </c>
      <c r="C376" s="549">
        <v>12060</v>
      </c>
      <c r="D376" s="130" t="s">
        <v>2918</v>
      </c>
      <c r="E376" s="130" t="s">
        <v>2772</v>
      </c>
      <c r="F376" s="130" t="s">
        <v>3471</v>
      </c>
      <c r="G376" s="550" t="s">
        <v>2118</v>
      </c>
      <c r="I376" s="165">
        <v>43647</v>
      </c>
      <c r="J376" s="551" t="s">
        <v>799</v>
      </c>
      <c r="K376" s="552" t="s">
        <v>67</v>
      </c>
      <c r="L376" s="130" t="s">
        <v>2664</v>
      </c>
    </row>
    <row r="377" spans="1:12" ht="16.5" customHeight="1">
      <c r="A377" s="186" t="s">
        <v>2510</v>
      </c>
      <c r="B377" s="186">
        <v>27894195</v>
      </c>
      <c r="C377" s="549">
        <v>18045</v>
      </c>
      <c r="D377" s="130" t="s">
        <v>3103</v>
      </c>
      <c r="E377" s="130" t="s">
        <v>3112</v>
      </c>
      <c r="F377" s="130" t="s">
        <v>3472</v>
      </c>
      <c r="G377" s="550" t="s">
        <v>2638</v>
      </c>
      <c r="I377" s="165">
        <v>43647</v>
      </c>
      <c r="J377" s="551" t="s">
        <v>799</v>
      </c>
      <c r="K377" s="552" t="s">
        <v>67</v>
      </c>
      <c r="L377" s="130" t="s">
        <v>2664</v>
      </c>
    </row>
    <row r="378" spans="1:12" ht="16.5" customHeight="1">
      <c r="A378" s="186" t="s">
        <v>2510</v>
      </c>
      <c r="B378" s="186">
        <v>28411627</v>
      </c>
      <c r="C378" s="549">
        <v>17899</v>
      </c>
      <c r="D378" s="130" t="s">
        <v>3435</v>
      </c>
      <c r="E378" s="130" t="s">
        <v>3473</v>
      </c>
      <c r="F378" s="130" t="s">
        <v>3181</v>
      </c>
      <c r="G378" s="550" t="s">
        <v>2094</v>
      </c>
      <c r="I378" s="165">
        <v>43647</v>
      </c>
      <c r="J378" s="551" t="s">
        <v>799</v>
      </c>
      <c r="K378" s="552" t="s">
        <v>67</v>
      </c>
      <c r="L378" s="130" t="s">
        <v>2664</v>
      </c>
    </row>
    <row r="379" spans="1:12" ht="16.5" customHeight="1">
      <c r="A379" s="186" t="s">
        <v>2510</v>
      </c>
      <c r="B379" s="186">
        <v>36755015</v>
      </c>
      <c r="C379" s="549">
        <v>18479</v>
      </c>
      <c r="D379" s="130" t="s">
        <v>3474</v>
      </c>
      <c r="E379" s="130" t="s">
        <v>3475</v>
      </c>
      <c r="F379" s="130" t="s">
        <v>3476</v>
      </c>
      <c r="G379" s="550" t="s">
        <v>2185</v>
      </c>
      <c r="I379" s="165">
        <v>43647</v>
      </c>
      <c r="J379" s="551" t="s">
        <v>799</v>
      </c>
      <c r="K379" s="552" t="s">
        <v>67</v>
      </c>
      <c r="L379" s="130" t="s">
        <v>2664</v>
      </c>
    </row>
    <row r="380" spans="1:12" ht="16.5" customHeight="1">
      <c r="A380" s="186" t="s">
        <v>2510</v>
      </c>
      <c r="B380" s="186">
        <v>36895589</v>
      </c>
      <c r="C380" s="549">
        <v>17329</v>
      </c>
      <c r="D380" s="130" t="s">
        <v>2602</v>
      </c>
      <c r="E380" s="130" t="s">
        <v>3201</v>
      </c>
      <c r="F380" s="130" t="s">
        <v>3477</v>
      </c>
      <c r="G380" s="550" t="s">
        <v>2077</v>
      </c>
      <c r="I380" s="165">
        <v>43647</v>
      </c>
      <c r="J380" s="551" t="s">
        <v>799</v>
      </c>
      <c r="K380" s="552" t="s">
        <v>67</v>
      </c>
      <c r="L380" s="130" t="s">
        <v>2664</v>
      </c>
    </row>
    <row r="381" spans="1:12" ht="16.5" customHeight="1">
      <c r="A381" s="186" t="s">
        <v>2510</v>
      </c>
      <c r="B381" s="186">
        <v>38817474</v>
      </c>
      <c r="C381" s="549">
        <v>20307</v>
      </c>
      <c r="D381" s="130" t="s">
        <v>3478</v>
      </c>
      <c r="E381" s="130" t="s">
        <v>3479</v>
      </c>
      <c r="F381" s="130" t="s">
        <v>2974</v>
      </c>
      <c r="G381" s="550" t="s">
        <v>2072</v>
      </c>
      <c r="I381" s="165">
        <v>43647</v>
      </c>
      <c r="J381" s="551" t="s">
        <v>799</v>
      </c>
      <c r="K381" s="552" t="s">
        <v>67</v>
      </c>
      <c r="L381" s="130" t="s">
        <v>2664</v>
      </c>
    </row>
    <row r="382" spans="1:12" ht="16.5" customHeight="1">
      <c r="A382" s="186" t="s">
        <v>2510</v>
      </c>
      <c r="B382" s="186">
        <v>308924</v>
      </c>
      <c r="C382" s="549">
        <v>17909</v>
      </c>
      <c r="D382" s="130" t="s">
        <v>2586</v>
      </c>
      <c r="E382" s="130" t="s">
        <v>3120</v>
      </c>
      <c r="F382" s="130" t="s">
        <v>3319</v>
      </c>
      <c r="G382" s="550" t="s">
        <v>2072</v>
      </c>
      <c r="I382" s="165">
        <v>43647</v>
      </c>
      <c r="J382" s="551" t="s">
        <v>799</v>
      </c>
      <c r="K382" s="552" t="s">
        <v>73</v>
      </c>
      <c r="L382" s="130" t="s">
        <v>2870</v>
      </c>
    </row>
    <row r="383" spans="1:12" ht="16.5" customHeight="1">
      <c r="A383" s="186" t="s">
        <v>2510</v>
      </c>
      <c r="B383" s="186">
        <v>389213</v>
      </c>
      <c r="C383" s="549">
        <v>21030</v>
      </c>
      <c r="D383" s="130" t="s">
        <v>3480</v>
      </c>
      <c r="E383" s="130" t="s">
        <v>3481</v>
      </c>
      <c r="F383" s="130" t="s">
        <v>3482</v>
      </c>
      <c r="G383" s="550" t="s">
        <v>2094</v>
      </c>
      <c r="I383" s="165">
        <v>43647</v>
      </c>
      <c r="J383" s="551" t="s">
        <v>799</v>
      </c>
      <c r="K383" s="552" t="s">
        <v>73</v>
      </c>
      <c r="L383" s="130" t="s">
        <v>2870</v>
      </c>
    </row>
    <row r="384" spans="1:12" ht="16.5" customHeight="1">
      <c r="A384" s="186" t="s">
        <v>2510</v>
      </c>
      <c r="B384" s="186">
        <v>1861079</v>
      </c>
      <c r="C384" s="549">
        <v>17631</v>
      </c>
      <c r="D384" s="130" t="s">
        <v>3137</v>
      </c>
      <c r="E384" s="130" t="s">
        <v>3483</v>
      </c>
      <c r="F384" s="130" t="s">
        <v>3484</v>
      </c>
      <c r="G384" s="550" t="s">
        <v>2072</v>
      </c>
      <c r="I384" s="165">
        <v>43647</v>
      </c>
      <c r="J384" s="551" t="s">
        <v>799</v>
      </c>
      <c r="K384" s="552" t="s">
        <v>73</v>
      </c>
      <c r="L384" s="130" t="s">
        <v>2870</v>
      </c>
    </row>
    <row r="385" spans="1:12" ht="16.5" customHeight="1">
      <c r="A385" s="186" t="s">
        <v>2510</v>
      </c>
      <c r="B385" s="186">
        <v>2545309</v>
      </c>
      <c r="C385" s="549">
        <v>15017</v>
      </c>
      <c r="D385" s="130" t="s">
        <v>3485</v>
      </c>
      <c r="E385" s="130" t="s">
        <v>3486</v>
      </c>
      <c r="F385" s="130" t="s">
        <v>3487</v>
      </c>
      <c r="G385" s="550" t="s">
        <v>2106</v>
      </c>
      <c r="H385" s="130" t="s">
        <v>88</v>
      </c>
      <c r="I385" s="165">
        <v>43647</v>
      </c>
      <c r="J385" s="551" t="s">
        <v>799</v>
      </c>
      <c r="K385" s="552" t="s">
        <v>73</v>
      </c>
      <c r="L385" s="130" t="s">
        <v>2870</v>
      </c>
    </row>
    <row r="386" spans="1:12" ht="16.5" customHeight="1">
      <c r="A386" s="186" t="s">
        <v>2510</v>
      </c>
      <c r="B386" s="186">
        <v>3045382</v>
      </c>
      <c r="C386" s="549">
        <v>13275</v>
      </c>
      <c r="D386" s="130" t="s">
        <v>3103</v>
      </c>
      <c r="E386" s="130" t="s">
        <v>2758</v>
      </c>
      <c r="F386" s="130" t="s">
        <v>3488</v>
      </c>
      <c r="G386" s="550" t="s">
        <v>2072</v>
      </c>
      <c r="I386" s="165">
        <v>43647</v>
      </c>
      <c r="J386" s="551" t="s">
        <v>799</v>
      </c>
      <c r="K386" s="552" t="s">
        <v>73</v>
      </c>
      <c r="L386" s="130" t="s">
        <v>2870</v>
      </c>
    </row>
    <row r="387" spans="1:12" ht="16.5" customHeight="1">
      <c r="A387" s="186" t="s">
        <v>2510</v>
      </c>
      <c r="B387" s="186">
        <v>3598414</v>
      </c>
      <c r="C387" s="549">
        <v>18007</v>
      </c>
      <c r="D387" s="130" t="s">
        <v>3489</v>
      </c>
      <c r="E387" s="130" t="s">
        <v>3490</v>
      </c>
      <c r="F387" s="130" t="s">
        <v>3491</v>
      </c>
      <c r="G387" s="550" t="s">
        <v>2185</v>
      </c>
      <c r="I387" s="165">
        <v>43647</v>
      </c>
      <c r="J387" s="551" t="s">
        <v>799</v>
      </c>
      <c r="K387" s="552" t="s">
        <v>73</v>
      </c>
      <c r="L387" s="130" t="s">
        <v>2870</v>
      </c>
    </row>
    <row r="388" spans="1:12" ht="16.5" customHeight="1">
      <c r="A388" s="186" t="s">
        <v>2510</v>
      </c>
      <c r="B388" s="186">
        <v>3612660</v>
      </c>
      <c r="C388" s="549">
        <v>19643</v>
      </c>
      <c r="D388" s="130" t="s">
        <v>3431</v>
      </c>
      <c r="E388" s="130" t="s">
        <v>3432</v>
      </c>
      <c r="F388" s="130" t="s">
        <v>3433</v>
      </c>
      <c r="G388" s="550" t="s">
        <v>2112</v>
      </c>
      <c r="I388" s="165">
        <v>43647</v>
      </c>
      <c r="J388" s="551" t="s">
        <v>799</v>
      </c>
      <c r="K388" s="552" t="s">
        <v>73</v>
      </c>
      <c r="L388" s="130" t="s">
        <v>2870</v>
      </c>
    </row>
    <row r="389" spans="1:12" ht="16.5" customHeight="1">
      <c r="A389" s="186" t="s">
        <v>2510</v>
      </c>
      <c r="B389" s="186">
        <v>3928850</v>
      </c>
      <c r="C389" s="549">
        <v>13502</v>
      </c>
      <c r="D389" s="130" t="s">
        <v>3489</v>
      </c>
      <c r="E389" s="130" t="s">
        <v>3492</v>
      </c>
      <c r="F389" s="130" t="s">
        <v>3465</v>
      </c>
      <c r="G389" s="550" t="s">
        <v>2162</v>
      </c>
      <c r="I389" s="165">
        <v>43647</v>
      </c>
      <c r="J389" s="551" t="s">
        <v>799</v>
      </c>
      <c r="K389" s="552" t="s">
        <v>73</v>
      </c>
      <c r="L389" s="130" t="s">
        <v>2870</v>
      </c>
    </row>
    <row r="390" spans="1:12" ht="16.5" customHeight="1">
      <c r="A390" s="186" t="s">
        <v>2510</v>
      </c>
      <c r="B390" s="186">
        <v>4271672</v>
      </c>
      <c r="C390" s="549">
        <v>13091</v>
      </c>
      <c r="D390" s="130" t="s">
        <v>3134</v>
      </c>
      <c r="E390" s="130" t="s">
        <v>2570</v>
      </c>
      <c r="F390" s="130" t="s">
        <v>3493</v>
      </c>
      <c r="G390" s="550" t="s">
        <v>2112</v>
      </c>
      <c r="I390" s="165">
        <v>43647</v>
      </c>
      <c r="J390" s="551" t="s">
        <v>799</v>
      </c>
      <c r="K390" s="552" t="s">
        <v>73</v>
      </c>
      <c r="L390" s="130" t="s">
        <v>2870</v>
      </c>
    </row>
    <row r="391" spans="1:12" ht="16.5" customHeight="1">
      <c r="A391" s="186" t="s">
        <v>2510</v>
      </c>
      <c r="B391" s="186">
        <v>4912721</v>
      </c>
      <c r="C391" s="549">
        <v>19314</v>
      </c>
      <c r="D391" s="130" t="s">
        <v>3444</v>
      </c>
      <c r="E391" s="130" t="s">
        <v>3494</v>
      </c>
      <c r="F391" s="130" t="s">
        <v>3495</v>
      </c>
      <c r="G391" s="550" t="s">
        <v>2072</v>
      </c>
      <c r="I391" s="165">
        <v>43647</v>
      </c>
      <c r="J391" s="551" t="s">
        <v>799</v>
      </c>
      <c r="K391" s="552" t="s">
        <v>73</v>
      </c>
      <c r="L391" s="130" t="s">
        <v>2870</v>
      </c>
    </row>
    <row r="392" spans="1:12" ht="16.5" customHeight="1">
      <c r="A392" s="186" t="s">
        <v>2510</v>
      </c>
      <c r="B392" s="186">
        <v>4950523</v>
      </c>
      <c r="C392" s="549">
        <v>13241</v>
      </c>
      <c r="D392" s="130" t="s">
        <v>3496</v>
      </c>
      <c r="E392" s="130" t="s">
        <v>3497</v>
      </c>
      <c r="F392" s="130" t="s">
        <v>3498</v>
      </c>
      <c r="G392" s="550" t="s">
        <v>2162</v>
      </c>
      <c r="I392" s="165">
        <v>43647</v>
      </c>
      <c r="J392" s="551" t="s">
        <v>799</v>
      </c>
      <c r="K392" s="552" t="s">
        <v>73</v>
      </c>
      <c r="L392" s="130" t="s">
        <v>2870</v>
      </c>
    </row>
    <row r="393" spans="1:12" ht="16.5" customHeight="1">
      <c r="A393" s="186" t="s">
        <v>2510</v>
      </c>
      <c r="B393" s="186">
        <v>5895941</v>
      </c>
      <c r="C393" s="549">
        <v>16079</v>
      </c>
      <c r="D393" s="130" t="s">
        <v>3499</v>
      </c>
      <c r="E393" s="130" t="s">
        <v>3500</v>
      </c>
      <c r="F393" s="130" t="s">
        <v>3501</v>
      </c>
      <c r="G393" s="550" t="s">
        <v>2129</v>
      </c>
      <c r="I393" s="165">
        <v>43647</v>
      </c>
      <c r="J393" s="551" t="s">
        <v>799</v>
      </c>
      <c r="K393" s="552" t="s">
        <v>73</v>
      </c>
      <c r="L393" s="130" t="s">
        <v>2870</v>
      </c>
    </row>
    <row r="394" spans="1:12" ht="16.5" customHeight="1">
      <c r="A394" s="186" t="s">
        <v>2510</v>
      </c>
      <c r="B394" s="186">
        <v>6265995</v>
      </c>
      <c r="C394" s="549">
        <v>19023</v>
      </c>
      <c r="D394" s="130" t="s">
        <v>3502</v>
      </c>
      <c r="E394" s="130" t="s">
        <v>3503</v>
      </c>
      <c r="F394" s="130" t="s">
        <v>3488</v>
      </c>
      <c r="G394" s="550" t="s">
        <v>2072</v>
      </c>
      <c r="I394" s="165">
        <v>43647</v>
      </c>
      <c r="J394" s="551" t="s">
        <v>799</v>
      </c>
      <c r="K394" s="552" t="s">
        <v>73</v>
      </c>
      <c r="L394" s="130" t="s">
        <v>2870</v>
      </c>
    </row>
    <row r="395" spans="1:12" ht="16.5" customHeight="1">
      <c r="A395" s="186" t="s">
        <v>2510</v>
      </c>
      <c r="B395" s="186">
        <v>6663173</v>
      </c>
      <c r="C395" s="549">
        <v>15646</v>
      </c>
      <c r="D395" s="130" t="s">
        <v>2602</v>
      </c>
      <c r="E395" s="130" t="s">
        <v>2706</v>
      </c>
      <c r="F395" s="130" t="s">
        <v>3428</v>
      </c>
      <c r="G395" s="550" t="s">
        <v>2072</v>
      </c>
      <c r="I395" s="165">
        <v>43647</v>
      </c>
      <c r="J395" s="551" t="s">
        <v>799</v>
      </c>
      <c r="K395" s="552" t="s">
        <v>73</v>
      </c>
      <c r="L395" s="130" t="s">
        <v>2870</v>
      </c>
    </row>
    <row r="396" spans="1:12" ht="16.5" customHeight="1">
      <c r="A396" s="186" t="s">
        <v>2510</v>
      </c>
      <c r="B396" s="186">
        <v>6734073</v>
      </c>
      <c r="C396" s="549">
        <v>20113</v>
      </c>
      <c r="D396" s="130" t="s">
        <v>3504</v>
      </c>
      <c r="E396" s="130" t="s">
        <v>2988</v>
      </c>
      <c r="F396" s="130" t="s">
        <v>3505</v>
      </c>
      <c r="G396" s="550" t="s">
        <v>2144</v>
      </c>
      <c r="I396" s="165">
        <v>43647</v>
      </c>
      <c r="J396" s="551" t="s">
        <v>799</v>
      </c>
      <c r="K396" s="552" t="s">
        <v>73</v>
      </c>
      <c r="L396" s="130" t="s">
        <v>2870</v>
      </c>
    </row>
    <row r="397" spans="1:12" ht="16.5" customHeight="1">
      <c r="A397" s="186" t="s">
        <v>2510</v>
      </c>
      <c r="B397" s="186">
        <v>6896930</v>
      </c>
      <c r="C397" s="549">
        <v>14489</v>
      </c>
      <c r="D397" s="130" t="s">
        <v>3101</v>
      </c>
      <c r="E397" s="130" t="s">
        <v>2772</v>
      </c>
      <c r="F397" s="130" t="s">
        <v>3093</v>
      </c>
      <c r="G397" s="550" t="s">
        <v>2313</v>
      </c>
      <c r="I397" s="165">
        <v>43647</v>
      </c>
      <c r="J397" s="551" t="s">
        <v>799</v>
      </c>
      <c r="K397" s="552" t="s">
        <v>73</v>
      </c>
      <c r="L397" s="130" t="s">
        <v>2870</v>
      </c>
    </row>
    <row r="398" spans="1:12" ht="16.5" customHeight="1">
      <c r="A398" s="186" t="s">
        <v>2510</v>
      </c>
      <c r="B398" s="186">
        <v>6968853</v>
      </c>
      <c r="C398" s="549">
        <v>10718</v>
      </c>
      <c r="D398" s="130" t="s">
        <v>3506</v>
      </c>
      <c r="E398" s="130" t="s">
        <v>3507</v>
      </c>
      <c r="F398" s="130" t="s">
        <v>3508</v>
      </c>
      <c r="G398" s="550" t="s">
        <v>2112</v>
      </c>
      <c r="I398" s="165">
        <v>43647</v>
      </c>
      <c r="J398" s="551" t="s">
        <v>799</v>
      </c>
      <c r="K398" s="552" t="s">
        <v>73</v>
      </c>
      <c r="L398" s="130" t="s">
        <v>2870</v>
      </c>
    </row>
    <row r="399" spans="1:12" ht="16.5" customHeight="1">
      <c r="A399" s="186" t="s">
        <v>2510</v>
      </c>
      <c r="B399" s="186">
        <v>7318686</v>
      </c>
      <c r="C399" s="549">
        <v>20437</v>
      </c>
      <c r="D399" s="130" t="s">
        <v>2954</v>
      </c>
      <c r="E399" s="130" t="s">
        <v>3509</v>
      </c>
      <c r="F399" s="130" t="s">
        <v>3510</v>
      </c>
      <c r="G399" s="550" t="s">
        <v>2185</v>
      </c>
      <c r="I399" s="165">
        <v>43647</v>
      </c>
      <c r="J399" s="551" t="s">
        <v>799</v>
      </c>
      <c r="K399" s="552" t="s">
        <v>73</v>
      </c>
      <c r="L399" s="130" t="s">
        <v>2870</v>
      </c>
    </row>
    <row r="400" spans="1:12" ht="16.5" customHeight="1">
      <c r="A400" s="186" t="s">
        <v>2510</v>
      </c>
      <c r="B400" s="186">
        <v>8357774</v>
      </c>
      <c r="C400" s="549">
        <v>15144</v>
      </c>
      <c r="D400" s="130" t="s">
        <v>3511</v>
      </c>
      <c r="E400" s="130" t="s">
        <v>3512</v>
      </c>
      <c r="F400" s="130" t="s">
        <v>3513</v>
      </c>
      <c r="G400" s="550" t="s">
        <v>2419</v>
      </c>
      <c r="I400" s="165">
        <v>43647</v>
      </c>
      <c r="J400" s="551" t="s">
        <v>799</v>
      </c>
      <c r="K400" s="552" t="s">
        <v>73</v>
      </c>
      <c r="L400" s="130" t="s">
        <v>2870</v>
      </c>
    </row>
    <row r="401" spans="1:12" ht="16.5" customHeight="1">
      <c r="A401" s="186" t="s">
        <v>2510</v>
      </c>
      <c r="B401" s="186">
        <v>9420282</v>
      </c>
      <c r="C401" s="549">
        <v>17199</v>
      </c>
      <c r="D401" s="130" t="s">
        <v>2586</v>
      </c>
      <c r="E401" s="130" t="s">
        <v>3514</v>
      </c>
      <c r="F401" s="130" t="s">
        <v>3515</v>
      </c>
      <c r="G401" s="550" t="s">
        <v>2638</v>
      </c>
      <c r="I401" s="165">
        <v>43647</v>
      </c>
      <c r="J401" s="551" t="s">
        <v>799</v>
      </c>
      <c r="K401" s="552" t="s">
        <v>73</v>
      </c>
      <c r="L401" s="130" t="s">
        <v>2870</v>
      </c>
    </row>
    <row r="402" spans="1:12" ht="16.5" customHeight="1">
      <c r="A402" s="186" t="s">
        <v>2510</v>
      </c>
      <c r="B402" s="186">
        <v>10109650</v>
      </c>
      <c r="C402" s="549">
        <v>16601</v>
      </c>
      <c r="D402" s="130" t="s">
        <v>3516</v>
      </c>
      <c r="E402" s="130" t="s">
        <v>3175</v>
      </c>
      <c r="F402" s="130" t="s">
        <v>3517</v>
      </c>
      <c r="G402" s="550" t="s">
        <v>2240</v>
      </c>
      <c r="I402" s="165">
        <v>43647</v>
      </c>
      <c r="J402" s="551" t="s">
        <v>799</v>
      </c>
      <c r="K402" s="552" t="s">
        <v>73</v>
      </c>
      <c r="L402" s="130" t="s">
        <v>2870</v>
      </c>
    </row>
    <row r="403" spans="1:12" ht="16.5" customHeight="1">
      <c r="A403" s="186" t="s">
        <v>2510</v>
      </c>
      <c r="B403" s="186">
        <v>10545267</v>
      </c>
      <c r="C403" s="549">
        <v>15798</v>
      </c>
      <c r="D403" s="130" t="s">
        <v>3122</v>
      </c>
      <c r="E403" s="130" t="s">
        <v>3518</v>
      </c>
      <c r="F403" s="130" t="s">
        <v>3519</v>
      </c>
      <c r="G403" s="550" t="s">
        <v>2112</v>
      </c>
      <c r="I403" s="165">
        <v>43647</v>
      </c>
      <c r="J403" s="551" t="s">
        <v>799</v>
      </c>
      <c r="K403" s="552" t="s">
        <v>73</v>
      </c>
      <c r="L403" s="130" t="s">
        <v>2870</v>
      </c>
    </row>
    <row r="404" spans="1:12" ht="16.5" customHeight="1">
      <c r="A404" s="186" t="s">
        <v>2510</v>
      </c>
      <c r="B404" s="186">
        <v>16062986</v>
      </c>
      <c r="C404" s="549">
        <v>14081</v>
      </c>
      <c r="D404" s="130" t="s">
        <v>2821</v>
      </c>
      <c r="E404" s="130" t="s">
        <v>3520</v>
      </c>
      <c r="F404" s="130" t="s">
        <v>3521</v>
      </c>
      <c r="G404" s="550" t="s">
        <v>2162</v>
      </c>
      <c r="I404" s="165">
        <v>43647</v>
      </c>
      <c r="J404" s="551" t="s">
        <v>799</v>
      </c>
      <c r="K404" s="552" t="s">
        <v>73</v>
      </c>
      <c r="L404" s="130" t="s">
        <v>2870</v>
      </c>
    </row>
    <row r="405" spans="1:12" ht="16.5" customHeight="1">
      <c r="A405" s="186" t="s">
        <v>2510</v>
      </c>
      <c r="B405" s="186">
        <v>16405508</v>
      </c>
      <c r="C405" s="549">
        <v>18253</v>
      </c>
      <c r="D405" s="130" t="s">
        <v>3522</v>
      </c>
      <c r="E405" s="130" t="s">
        <v>3523</v>
      </c>
      <c r="F405" s="130" t="s">
        <v>3524</v>
      </c>
      <c r="G405" s="550" t="s">
        <v>2162</v>
      </c>
      <c r="I405" s="165">
        <v>43647</v>
      </c>
      <c r="J405" s="551" t="s">
        <v>799</v>
      </c>
      <c r="K405" s="552" t="s">
        <v>73</v>
      </c>
      <c r="L405" s="130" t="s">
        <v>2870</v>
      </c>
    </row>
    <row r="406" spans="1:12" ht="16.5" customHeight="1">
      <c r="A406" s="186" t="s">
        <v>2510</v>
      </c>
      <c r="B406" s="186">
        <v>19484351</v>
      </c>
      <c r="C406" s="549">
        <v>12816</v>
      </c>
      <c r="D406" s="130" t="s">
        <v>2832</v>
      </c>
      <c r="E406" s="130" t="s">
        <v>3525</v>
      </c>
      <c r="F406" s="130" t="s">
        <v>3526</v>
      </c>
      <c r="G406" s="550" t="s">
        <v>2106</v>
      </c>
      <c r="I406" s="165">
        <v>43647</v>
      </c>
      <c r="J406" s="551" t="s">
        <v>799</v>
      </c>
      <c r="K406" s="552" t="s">
        <v>73</v>
      </c>
      <c r="L406" s="130" t="s">
        <v>2870</v>
      </c>
    </row>
    <row r="407" spans="1:12" ht="16.5" customHeight="1">
      <c r="A407" s="186" t="s">
        <v>2510</v>
      </c>
      <c r="B407" s="186">
        <v>20652426</v>
      </c>
      <c r="C407" s="549">
        <v>11193</v>
      </c>
      <c r="D407" s="130" t="s">
        <v>3101</v>
      </c>
      <c r="E407" s="130" t="s">
        <v>3438</v>
      </c>
      <c r="F407" s="130" t="s">
        <v>3439</v>
      </c>
      <c r="G407" s="550" t="s">
        <v>2112</v>
      </c>
      <c r="I407" s="165">
        <v>43647</v>
      </c>
      <c r="J407" s="551" t="s">
        <v>799</v>
      </c>
      <c r="K407" s="552" t="s">
        <v>73</v>
      </c>
      <c r="L407" s="130" t="s">
        <v>2870</v>
      </c>
    </row>
    <row r="408" spans="1:12" ht="16.5" customHeight="1">
      <c r="A408" s="186" t="s">
        <v>2510</v>
      </c>
      <c r="B408" s="186">
        <v>20691259</v>
      </c>
      <c r="C408" s="549">
        <v>19969</v>
      </c>
      <c r="D408" s="130" t="s">
        <v>3527</v>
      </c>
      <c r="E408" s="130" t="s">
        <v>3528</v>
      </c>
      <c r="F408" s="130" t="s">
        <v>3529</v>
      </c>
      <c r="G408" s="550" t="s">
        <v>2072</v>
      </c>
      <c r="I408" s="165">
        <v>43647</v>
      </c>
      <c r="J408" s="551" t="s">
        <v>799</v>
      </c>
      <c r="K408" s="552" t="s">
        <v>73</v>
      </c>
      <c r="L408" s="130" t="s">
        <v>2870</v>
      </c>
    </row>
    <row r="409" spans="1:12" ht="16.5" customHeight="1">
      <c r="A409" s="186" t="s">
        <v>2510</v>
      </c>
      <c r="B409" s="186">
        <v>20988333</v>
      </c>
      <c r="C409" s="549">
        <v>17448</v>
      </c>
      <c r="D409" s="130" t="s">
        <v>2718</v>
      </c>
      <c r="E409" s="130" t="s">
        <v>3530</v>
      </c>
      <c r="F409" s="130" t="s">
        <v>2888</v>
      </c>
      <c r="G409" s="550" t="s">
        <v>2274</v>
      </c>
      <c r="I409" s="165">
        <v>43647</v>
      </c>
      <c r="J409" s="551" t="s">
        <v>799</v>
      </c>
      <c r="K409" s="552" t="s">
        <v>73</v>
      </c>
      <c r="L409" s="130" t="s">
        <v>2870</v>
      </c>
    </row>
    <row r="410" spans="1:12" ht="16.5" customHeight="1">
      <c r="A410" s="186" t="s">
        <v>2510</v>
      </c>
      <c r="B410" s="186">
        <v>21099916</v>
      </c>
      <c r="C410" s="549">
        <v>14094</v>
      </c>
      <c r="D410" s="130" t="s">
        <v>3101</v>
      </c>
      <c r="E410" s="130" t="s">
        <v>3531</v>
      </c>
      <c r="F410" s="130" t="s">
        <v>3532</v>
      </c>
      <c r="G410" s="550" t="s">
        <v>2072</v>
      </c>
      <c r="I410" s="165">
        <v>43647</v>
      </c>
      <c r="J410" s="551" t="s">
        <v>799</v>
      </c>
      <c r="K410" s="552" t="s">
        <v>73</v>
      </c>
      <c r="L410" s="130" t="s">
        <v>2870</v>
      </c>
    </row>
    <row r="411" spans="1:12" ht="16.5" customHeight="1">
      <c r="A411" s="186" t="s">
        <v>2510</v>
      </c>
      <c r="B411" s="186">
        <v>23866981</v>
      </c>
      <c r="C411" s="549">
        <v>17241</v>
      </c>
      <c r="D411" s="130" t="s">
        <v>3533</v>
      </c>
      <c r="E411" s="130" t="s">
        <v>3534</v>
      </c>
      <c r="F411" s="130" t="s">
        <v>3535</v>
      </c>
      <c r="G411" s="550" t="s">
        <v>2313</v>
      </c>
      <c r="I411" s="165">
        <v>43647</v>
      </c>
      <c r="J411" s="551" t="s">
        <v>799</v>
      </c>
      <c r="K411" s="552" t="s">
        <v>73</v>
      </c>
      <c r="L411" s="130" t="s">
        <v>2870</v>
      </c>
    </row>
    <row r="412" spans="1:12" ht="16.5" customHeight="1">
      <c r="A412" s="186" t="s">
        <v>2510</v>
      </c>
      <c r="B412" s="186">
        <v>24035636</v>
      </c>
      <c r="C412" s="549">
        <v>15220</v>
      </c>
      <c r="D412" s="130" t="s">
        <v>3293</v>
      </c>
      <c r="E412" s="130" t="s">
        <v>3440</v>
      </c>
      <c r="F412" s="130" t="s">
        <v>3441</v>
      </c>
      <c r="G412" s="550" t="s">
        <v>2313</v>
      </c>
      <c r="I412" s="165">
        <v>43647</v>
      </c>
      <c r="J412" s="551" t="s">
        <v>799</v>
      </c>
      <c r="K412" s="552" t="s">
        <v>73</v>
      </c>
      <c r="L412" s="130" t="s">
        <v>2870</v>
      </c>
    </row>
    <row r="413" spans="1:12" ht="16.5" customHeight="1">
      <c r="A413" s="186" t="s">
        <v>2510</v>
      </c>
      <c r="B413" s="186">
        <v>24791667</v>
      </c>
      <c r="C413" s="549">
        <v>12206</v>
      </c>
      <c r="D413" s="130" t="s">
        <v>3536</v>
      </c>
      <c r="E413" s="130" t="s">
        <v>3537</v>
      </c>
      <c r="F413" s="130" t="s">
        <v>3538</v>
      </c>
      <c r="G413" s="550" t="s">
        <v>2185</v>
      </c>
      <c r="I413" s="165">
        <v>43647</v>
      </c>
      <c r="J413" s="551" t="s">
        <v>799</v>
      </c>
      <c r="K413" s="552" t="s">
        <v>73</v>
      </c>
      <c r="L413" s="130" t="s">
        <v>2870</v>
      </c>
    </row>
    <row r="414" spans="1:12" ht="16.5" customHeight="1">
      <c r="A414" s="186" t="s">
        <v>2510</v>
      </c>
      <c r="B414" s="186">
        <v>24886038</v>
      </c>
      <c r="C414" s="549">
        <v>14609</v>
      </c>
      <c r="D414" s="130" t="s">
        <v>2602</v>
      </c>
      <c r="E414" s="130" t="s">
        <v>3539</v>
      </c>
      <c r="F414" s="130" t="s">
        <v>3060</v>
      </c>
      <c r="G414" s="550" t="s">
        <v>2112</v>
      </c>
      <c r="I414" s="165">
        <v>43647</v>
      </c>
      <c r="J414" s="551" t="s">
        <v>799</v>
      </c>
      <c r="K414" s="552" t="s">
        <v>73</v>
      </c>
      <c r="L414" s="130" t="s">
        <v>2870</v>
      </c>
    </row>
    <row r="415" spans="1:12" ht="16.5" customHeight="1">
      <c r="A415" s="186" t="s">
        <v>2510</v>
      </c>
      <c r="B415" s="186">
        <v>25403718</v>
      </c>
      <c r="C415" s="549">
        <v>18814</v>
      </c>
      <c r="D415" s="130" t="s">
        <v>3317</v>
      </c>
      <c r="E415" s="130" t="s">
        <v>3540</v>
      </c>
      <c r="F415" s="130" t="s">
        <v>3541</v>
      </c>
      <c r="G415" s="550" t="s">
        <v>2106</v>
      </c>
      <c r="I415" s="165">
        <v>43647</v>
      </c>
      <c r="J415" s="551" t="s">
        <v>799</v>
      </c>
      <c r="K415" s="552" t="s">
        <v>73</v>
      </c>
      <c r="L415" s="130" t="s">
        <v>2870</v>
      </c>
    </row>
    <row r="416" spans="1:12" ht="16.5" customHeight="1">
      <c r="A416" s="186" t="s">
        <v>2510</v>
      </c>
      <c r="B416" s="186">
        <v>29044575</v>
      </c>
      <c r="C416" s="549">
        <v>18806</v>
      </c>
      <c r="D416" s="130" t="s">
        <v>3542</v>
      </c>
      <c r="E416" s="130" t="s">
        <v>3543</v>
      </c>
      <c r="F416" s="130" t="s">
        <v>3544</v>
      </c>
      <c r="G416" s="550" t="s">
        <v>2185</v>
      </c>
      <c r="I416" s="165">
        <v>43647</v>
      </c>
      <c r="J416" s="551" t="s">
        <v>799</v>
      </c>
      <c r="K416" s="552" t="s">
        <v>73</v>
      </c>
      <c r="L416" s="130" t="s">
        <v>2870</v>
      </c>
    </row>
    <row r="417" spans="1:12" ht="16.5" customHeight="1">
      <c r="A417" s="186" t="s">
        <v>2510</v>
      </c>
      <c r="B417" s="186">
        <v>29283892</v>
      </c>
      <c r="C417" s="549">
        <v>16113</v>
      </c>
      <c r="D417" s="130" t="s">
        <v>3043</v>
      </c>
      <c r="E417" s="130" t="s">
        <v>3442</v>
      </c>
      <c r="F417" s="130" t="s">
        <v>3443</v>
      </c>
      <c r="G417" s="550" t="s">
        <v>2094</v>
      </c>
      <c r="I417" s="165">
        <v>43647</v>
      </c>
      <c r="J417" s="551" t="s">
        <v>799</v>
      </c>
      <c r="K417" s="552" t="s">
        <v>73</v>
      </c>
      <c r="L417" s="130" t="s">
        <v>2870</v>
      </c>
    </row>
    <row r="418" spans="1:12" ht="16.5" customHeight="1">
      <c r="A418" s="186" t="s">
        <v>2510</v>
      </c>
      <c r="B418" s="186">
        <v>29863735</v>
      </c>
      <c r="C418" s="549">
        <v>18841</v>
      </c>
      <c r="D418" s="130" t="s">
        <v>3545</v>
      </c>
      <c r="E418" s="130" t="s">
        <v>3546</v>
      </c>
      <c r="F418" s="130" t="s">
        <v>2878</v>
      </c>
      <c r="G418" s="550" t="s">
        <v>2313</v>
      </c>
      <c r="I418" s="165">
        <v>43647</v>
      </c>
      <c r="J418" s="551" t="s">
        <v>799</v>
      </c>
      <c r="K418" s="552" t="s">
        <v>73</v>
      </c>
      <c r="L418" s="130" t="s">
        <v>2870</v>
      </c>
    </row>
    <row r="419" spans="1:12" ht="16.5" customHeight="1">
      <c r="A419" s="186" t="s">
        <v>2510</v>
      </c>
      <c r="B419" s="186">
        <v>29993631</v>
      </c>
      <c r="C419" s="549">
        <v>18110</v>
      </c>
      <c r="D419" s="130" t="s">
        <v>3547</v>
      </c>
      <c r="E419" s="130" t="s">
        <v>3548</v>
      </c>
      <c r="F419" s="130" t="s">
        <v>3549</v>
      </c>
      <c r="G419" s="550" t="s">
        <v>2112</v>
      </c>
      <c r="I419" s="165">
        <v>43647</v>
      </c>
      <c r="J419" s="551" t="s">
        <v>799</v>
      </c>
      <c r="K419" s="552" t="s">
        <v>73</v>
      </c>
      <c r="L419" s="130" t="s">
        <v>2870</v>
      </c>
    </row>
    <row r="420" spans="1:12" ht="16.5" customHeight="1">
      <c r="A420" s="186" t="s">
        <v>2510</v>
      </c>
      <c r="B420" s="186">
        <v>30243232</v>
      </c>
      <c r="C420" s="549">
        <v>14534</v>
      </c>
      <c r="D420" s="130" t="s">
        <v>3444</v>
      </c>
      <c r="E420" s="130" t="s">
        <v>2947</v>
      </c>
      <c r="F420" s="130" t="s">
        <v>2948</v>
      </c>
      <c r="G420" s="550" t="s">
        <v>2077</v>
      </c>
      <c r="I420" s="165">
        <v>43647</v>
      </c>
      <c r="J420" s="551" t="s">
        <v>799</v>
      </c>
      <c r="K420" s="552" t="s">
        <v>73</v>
      </c>
      <c r="L420" s="130" t="s">
        <v>2870</v>
      </c>
    </row>
    <row r="421" spans="1:12" ht="16.5" customHeight="1">
      <c r="A421" s="186" t="s">
        <v>2510</v>
      </c>
      <c r="B421" s="186">
        <v>33132812</v>
      </c>
      <c r="C421" s="549">
        <v>14348</v>
      </c>
      <c r="D421" s="130" t="s">
        <v>3550</v>
      </c>
      <c r="E421" s="130" t="s">
        <v>3188</v>
      </c>
      <c r="F421" s="130" t="s">
        <v>3551</v>
      </c>
      <c r="G421" s="550" t="s">
        <v>2112</v>
      </c>
      <c r="I421" s="165">
        <v>43647</v>
      </c>
      <c r="J421" s="551" t="s">
        <v>799</v>
      </c>
      <c r="K421" s="552" t="s">
        <v>73</v>
      </c>
      <c r="L421" s="130" t="s">
        <v>2870</v>
      </c>
    </row>
    <row r="422" spans="1:12" ht="16.5" customHeight="1">
      <c r="A422" s="186" t="s">
        <v>2510</v>
      </c>
      <c r="B422" s="186">
        <v>35185578</v>
      </c>
      <c r="C422" s="549">
        <v>20268</v>
      </c>
      <c r="D422" s="130" t="s">
        <v>2724</v>
      </c>
      <c r="E422" s="130" t="s">
        <v>3552</v>
      </c>
      <c r="F422" s="130" t="s">
        <v>3553</v>
      </c>
      <c r="G422" s="550" t="s">
        <v>2185</v>
      </c>
      <c r="I422" s="165">
        <v>43647</v>
      </c>
      <c r="J422" s="551" t="s">
        <v>799</v>
      </c>
      <c r="K422" s="552" t="s">
        <v>73</v>
      </c>
      <c r="L422" s="130" t="s">
        <v>2870</v>
      </c>
    </row>
    <row r="423" spans="1:12" ht="16.5" customHeight="1">
      <c r="A423" s="186" t="s">
        <v>2510</v>
      </c>
      <c r="B423" s="186">
        <v>35287762</v>
      </c>
      <c r="C423" s="549">
        <v>15105</v>
      </c>
      <c r="D423" s="130" t="s">
        <v>3554</v>
      </c>
      <c r="E423" s="130" t="s">
        <v>3555</v>
      </c>
      <c r="F423" s="130" t="s">
        <v>3556</v>
      </c>
      <c r="G423" s="550" t="s">
        <v>2112</v>
      </c>
      <c r="I423" s="165">
        <v>43647</v>
      </c>
      <c r="J423" s="551" t="s">
        <v>799</v>
      </c>
      <c r="K423" s="552" t="s">
        <v>73</v>
      </c>
      <c r="L423" s="130" t="s">
        <v>2870</v>
      </c>
    </row>
    <row r="424" spans="1:12" ht="16.5" customHeight="1">
      <c r="A424" s="186" t="s">
        <v>2510</v>
      </c>
      <c r="B424" s="186">
        <v>35620277</v>
      </c>
      <c r="D424" s="130" t="s">
        <v>2511</v>
      </c>
      <c r="E424" s="130" t="s">
        <v>3557</v>
      </c>
      <c r="F424" s="130" t="s">
        <v>3558</v>
      </c>
      <c r="G424" s="550" t="s">
        <v>2313</v>
      </c>
      <c r="I424" s="165">
        <v>43647</v>
      </c>
      <c r="J424" s="551" t="s">
        <v>799</v>
      </c>
      <c r="K424" s="552" t="s">
        <v>73</v>
      </c>
      <c r="L424" s="130" t="s">
        <v>2870</v>
      </c>
    </row>
    <row r="425" spans="1:12" ht="16.5" customHeight="1">
      <c r="A425" s="186" t="s">
        <v>2510</v>
      </c>
      <c r="B425" s="186">
        <v>37036910</v>
      </c>
      <c r="C425" s="549">
        <v>21291</v>
      </c>
      <c r="D425" s="130" t="s">
        <v>3559</v>
      </c>
      <c r="E425" s="130" t="s">
        <v>3560</v>
      </c>
      <c r="F425" s="130" t="s">
        <v>3561</v>
      </c>
      <c r="G425" s="550" t="s">
        <v>2106</v>
      </c>
      <c r="I425" s="165">
        <v>43647</v>
      </c>
      <c r="J425" s="551" t="s">
        <v>799</v>
      </c>
      <c r="K425" s="552" t="s">
        <v>73</v>
      </c>
      <c r="L425" s="130" t="s">
        <v>2870</v>
      </c>
    </row>
    <row r="426" spans="1:12" ht="16.5" customHeight="1">
      <c r="A426" s="186" t="s">
        <v>2510</v>
      </c>
      <c r="B426" s="186">
        <v>37718681</v>
      </c>
      <c r="C426" s="549">
        <v>17535</v>
      </c>
      <c r="D426" s="130" t="s">
        <v>3562</v>
      </c>
      <c r="E426" s="130" t="s">
        <v>3563</v>
      </c>
      <c r="F426" s="130" t="s">
        <v>3564</v>
      </c>
      <c r="G426" s="550" t="s">
        <v>2129</v>
      </c>
      <c r="I426" s="165">
        <v>43647</v>
      </c>
      <c r="J426" s="551" t="s">
        <v>799</v>
      </c>
      <c r="K426" s="552" t="s">
        <v>73</v>
      </c>
      <c r="L426" s="130" t="s">
        <v>2870</v>
      </c>
    </row>
    <row r="427" spans="1:12" ht="16.5" customHeight="1">
      <c r="A427" s="186" t="s">
        <v>2510</v>
      </c>
      <c r="B427" s="186">
        <v>37815180</v>
      </c>
      <c r="C427" s="549">
        <v>17227</v>
      </c>
      <c r="D427" s="130" t="s">
        <v>3565</v>
      </c>
      <c r="E427" s="130" t="s">
        <v>3566</v>
      </c>
      <c r="F427" s="130" t="s">
        <v>3567</v>
      </c>
      <c r="G427" s="550" t="s">
        <v>2106</v>
      </c>
      <c r="I427" s="165">
        <v>43647</v>
      </c>
      <c r="J427" s="551" t="s">
        <v>799</v>
      </c>
      <c r="K427" s="552" t="s">
        <v>73</v>
      </c>
      <c r="L427" s="130" t="s">
        <v>2870</v>
      </c>
    </row>
    <row r="428" spans="1:12" ht="16.5" customHeight="1">
      <c r="A428" s="186" t="s">
        <v>2510</v>
      </c>
      <c r="B428" s="186">
        <v>38441721</v>
      </c>
      <c r="C428" s="549">
        <v>19580</v>
      </c>
      <c r="D428" s="130" t="s">
        <v>2771</v>
      </c>
      <c r="E428" s="130" t="s">
        <v>3568</v>
      </c>
      <c r="F428" s="130" t="s">
        <v>2873</v>
      </c>
      <c r="G428" s="550" t="s">
        <v>2094</v>
      </c>
      <c r="I428" s="165">
        <v>43647</v>
      </c>
      <c r="J428" s="551" t="s">
        <v>799</v>
      </c>
      <c r="K428" s="552" t="s">
        <v>73</v>
      </c>
      <c r="L428" s="130" t="s">
        <v>2870</v>
      </c>
    </row>
    <row r="429" spans="1:12" ht="16.5" customHeight="1">
      <c r="A429" s="186" t="s">
        <v>2510</v>
      </c>
      <c r="B429" s="186">
        <v>38638672</v>
      </c>
      <c r="C429" s="549">
        <v>19835</v>
      </c>
      <c r="D429" s="130" t="s">
        <v>3431</v>
      </c>
      <c r="E429" s="130" t="s">
        <v>3569</v>
      </c>
      <c r="F429" s="130" t="s">
        <v>3570</v>
      </c>
      <c r="G429" s="550" t="s">
        <v>2185</v>
      </c>
      <c r="I429" s="165">
        <v>43647</v>
      </c>
      <c r="J429" s="551" t="s">
        <v>799</v>
      </c>
      <c r="K429" s="552" t="s">
        <v>73</v>
      </c>
      <c r="L429" s="130" t="s">
        <v>2870</v>
      </c>
    </row>
    <row r="430" spans="1:12" ht="16.5" customHeight="1">
      <c r="A430" s="186" t="s">
        <v>2510</v>
      </c>
      <c r="B430" s="186">
        <v>39951694</v>
      </c>
      <c r="C430" s="549">
        <v>16954</v>
      </c>
      <c r="D430" s="130" t="s">
        <v>3122</v>
      </c>
      <c r="E430" s="130" t="s">
        <v>3449</v>
      </c>
      <c r="F430" s="130" t="s">
        <v>3130</v>
      </c>
      <c r="G430" s="550" t="s">
        <v>2072</v>
      </c>
      <c r="I430" s="165">
        <v>43647</v>
      </c>
      <c r="J430" s="551" t="s">
        <v>799</v>
      </c>
      <c r="K430" s="552" t="s">
        <v>73</v>
      </c>
      <c r="L430" s="130" t="s">
        <v>2870</v>
      </c>
    </row>
    <row r="431" spans="1:12" ht="16.5" customHeight="1">
      <c r="A431" s="186" t="s">
        <v>2510</v>
      </c>
      <c r="B431" s="186">
        <v>40194615</v>
      </c>
      <c r="C431" s="549">
        <v>18557</v>
      </c>
      <c r="D431" s="130" t="s">
        <v>3411</v>
      </c>
      <c r="E431" s="130" t="s">
        <v>3571</v>
      </c>
      <c r="F431" s="130" t="s">
        <v>3572</v>
      </c>
      <c r="G431" s="550" t="s">
        <v>2274</v>
      </c>
      <c r="I431" s="165">
        <v>43647</v>
      </c>
      <c r="J431" s="551" t="s">
        <v>799</v>
      </c>
      <c r="K431" s="552" t="s">
        <v>73</v>
      </c>
      <c r="L431" s="130" t="s">
        <v>2870</v>
      </c>
    </row>
    <row r="432" spans="1:12" ht="16.5" customHeight="1">
      <c r="A432" s="186" t="s">
        <v>2510</v>
      </c>
      <c r="B432" s="186">
        <v>40391344</v>
      </c>
      <c r="C432" s="549">
        <v>18538</v>
      </c>
      <c r="D432" s="130" t="s">
        <v>3011</v>
      </c>
      <c r="E432" s="130" t="s">
        <v>3573</v>
      </c>
      <c r="F432" s="130" t="s">
        <v>3434</v>
      </c>
      <c r="G432" s="550" t="s">
        <v>2072</v>
      </c>
      <c r="I432" s="165">
        <v>43647</v>
      </c>
      <c r="J432" s="551" t="s">
        <v>799</v>
      </c>
      <c r="K432" s="552" t="s">
        <v>73</v>
      </c>
      <c r="L432" s="130" t="s">
        <v>2870</v>
      </c>
    </row>
    <row r="433" spans="1:12" ht="16.5" customHeight="1">
      <c r="A433" s="186" t="s">
        <v>2510</v>
      </c>
      <c r="B433" s="186">
        <v>40739393</v>
      </c>
      <c r="C433" s="549">
        <v>13242</v>
      </c>
      <c r="D433" s="130" t="s">
        <v>3574</v>
      </c>
      <c r="E433" s="130" t="s">
        <v>3575</v>
      </c>
      <c r="F433" s="130" t="s">
        <v>3576</v>
      </c>
      <c r="G433" s="550" t="s">
        <v>2313</v>
      </c>
      <c r="I433" s="165">
        <v>43647</v>
      </c>
      <c r="J433" s="551" t="s">
        <v>799</v>
      </c>
      <c r="K433" s="552" t="s">
        <v>73</v>
      </c>
      <c r="L433" s="130" t="s">
        <v>2870</v>
      </c>
    </row>
    <row r="434" spans="1:12" ht="16.5" customHeight="1">
      <c r="A434" s="186" t="s">
        <v>2510</v>
      </c>
      <c r="B434" s="186">
        <v>40914913</v>
      </c>
      <c r="C434" s="549">
        <v>14032</v>
      </c>
      <c r="D434" s="130" t="s">
        <v>2541</v>
      </c>
      <c r="E434" s="130" t="s">
        <v>3349</v>
      </c>
      <c r="F434" s="130" t="s">
        <v>3577</v>
      </c>
      <c r="G434" s="550" t="s">
        <v>2129</v>
      </c>
      <c r="I434" s="165">
        <v>43647</v>
      </c>
      <c r="J434" s="551" t="s">
        <v>799</v>
      </c>
      <c r="K434" s="552" t="s">
        <v>73</v>
      </c>
      <c r="L434" s="130" t="s">
        <v>2870</v>
      </c>
    </row>
    <row r="435" spans="1:12" ht="16.5" customHeight="1">
      <c r="A435" s="186" t="s">
        <v>2510</v>
      </c>
      <c r="B435" s="186">
        <v>40960106</v>
      </c>
      <c r="C435" s="549">
        <v>19204</v>
      </c>
      <c r="D435" s="130" t="s">
        <v>2697</v>
      </c>
      <c r="E435" s="130" t="s">
        <v>3578</v>
      </c>
      <c r="F435" s="130" t="s">
        <v>3579</v>
      </c>
      <c r="G435" s="550" t="s">
        <v>2072</v>
      </c>
      <c r="I435" s="165">
        <v>43647</v>
      </c>
      <c r="J435" s="551" t="s">
        <v>799</v>
      </c>
      <c r="K435" s="552" t="s">
        <v>73</v>
      </c>
      <c r="L435" s="130" t="s">
        <v>2870</v>
      </c>
    </row>
    <row r="436" spans="1:12" ht="16.5" customHeight="1">
      <c r="A436" s="186" t="s">
        <v>2510</v>
      </c>
      <c r="B436" s="186">
        <v>41081845</v>
      </c>
      <c r="C436" s="549">
        <v>18696</v>
      </c>
      <c r="D436" s="130" t="s">
        <v>3580</v>
      </c>
      <c r="E436" s="130" t="s">
        <v>3581</v>
      </c>
      <c r="F436" s="130" t="s">
        <v>3582</v>
      </c>
      <c r="G436" s="550" t="s">
        <v>2112</v>
      </c>
      <c r="I436" s="165">
        <v>43647</v>
      </c>
      <c r="J436" s="551" t="s">
        <v>799</v>
      </c>
      <c r="K436" s="552" t="s">
        <v>73</v>
      </c>
      <c r="L436" s="130" t="s">
        <v>2870</v>
      </c>
    </row>
    <row r="437" spans="1:12" ht="16.5" customHeight="1">
      <c r="A437" s="186" t="s">
        <v>2510</v>
      </c>
      <c r="B437" s="186">
        <v>41432774</v>
      </c>
      <c r="C437" s="549">
        <v>17704</v>
      </c>
      <c r="D437" s="130" t="s">
        <v>2511</v>
      </c>
      <c r="E437" s="130" t="s">
        <v>3583</v>
      </c>
      <c r="F437" s="130" t="s">
        <v>3131</v>
      </c>
      <c r="G437" s="550" t="s">
        <v>2240</v>
      </c>
      <c r="I437" s="165">
        <v>43647</v>
      </c>
      <c r="J437" s="551" t="s">
        <v>799</v>
      </c>
      <c r="K437" s="552" t="s">
        <v>73</v>
      </c>
      <c r="L437" s="130" t="s">
        <v>2870</v>
      </c>
    </row>
    <row r="438" spans="1:12" ht="16.5" customHeight="1">
      <c r="A438" s="186" t="s">
        <v>2510</v>
      </c>
      <c r="B438" s="186">
        <v>41596172</v>
      </c>
      <c r="C438" s="549">
        <v>19052</v>
      </c>
      <c r="D438" s="130" t="s">
        <v>3584</v>
      </c>
      <c r="E438" s="130" t="s">
        <v>3585</v>
      </c>
      <c r="F438" s="130" t="s">
        <v>3146</v>
      </c>
      <c r="G438" s="550" t="s">
        <v>2112</v>
      </c>
      <c r="I438" s="165">
        <v>43647</v>
      </c>
      <c r="J438" s="551" t="s">
        <v>799</v>
      </c>
      <c r="K438" s="552" t="s">
        <v>73</v>
      </c>
      <c r="L438" s="130" t="s">
        <v>2870</v>
      </c>
    </row>
    <row r="439" spans="1:12" ht="16.5" customHeight="1">
      <c r="A439" s="186" t="s">
        <v>2510</v>
      </c>
      <c r="B439" s="186">
        <v>42943175</v>
      </c>
      <c r="C439" s="549">
        <v>18009</v>
      </c>
      <c r="D439" s="130" t="s">
        <v>205</v>
      </c>
      <c r="E439" s="130" t="s">
        <v>3586</v>
      </c>
      <c r="F439" s="130" t="s">
        <v>3587</v>
      </c>
      <c r="G439" s="550" t="s">
        <v>2106</v>
      </c>
      <c r="I439" s="165">
        <v>43647</v>
      </c>
      <c r="J439" s="551" t="s">
        <v>799</v>
      </c>
      <c r="K439" s="552" t="s">
        <v>73</v>
      </c>
      <c r="L439" s="130" t="s">
        <v>2870</v>
      </c>
    </row>
    <row r="440" spans="1:12" ht="16.5" customHeight="1">
      <c r="A440" s="186" t="s">
        <v>2510</v>
      </c>
      <c r="B440" s="186">
        <v>45693579</v>
      </c>
      <c r="C440" s="549">
        <v>19107</v>
      </c>
      <c r="D440" s="130" t="s">
        <v>3588</v>
      </c>
      <c r="E440" s="130" t="s">
        <v>3589</v>
      </c>
      <c r="F440" s="130" t="s">
        <v>3590</v>
      </c>
      <c r="G440" s="550" t="s">
        <v>2290</v>
      </c>
      <c r="I440" s="165">
        <v>43647</v>
      </c>
      <c r="J440" s="551" t="s">
        <v>799</v>
      </c>
      <c r="K440" s="552" t="s">
        <v>73</v>
      </c>
      <c r="L440" s="130" t="s">
        <v>2870</v>
      </c>
    </row>
    <row r="441" spans="1:12" ht="16.5" customHeight="1">
      <c r="A441" s="186" t="s">
        <v>2510</v>
      </c>
      <c r="B441" s="186">
        <v>3256062</v>
      </c>
      <c r="C441" s="549">
        <v>18887</v>
      </c>
      <c r="D441" s="130" t="s">
        <v>2733</v>
      </c>
      <c r="E441" s="130" t="s">
        <v>3591</v>
      </c>
      <c r="F441" s="130" t="s">
        <v>3592</v>
      </c>
      <c r="G441" s="550" t="s">
        <v>2240</v>
      </c>
      <c r="I441" s="165">
        <v>43647</v>
      </c>
      <c r="J441" s="551" t="s">
        <v>799</v>
      </c>
      <c r="K441" s="552" t="s">
        <v>72</v>
      </c>
      <c r="L441" s="130" t="s">
        <v>2866</v>
      </c>
    </row>
    <row r="442" spans="1:12" ht="16.5" customHeight="1">
      <c r="A442" s="186" t="s">
        <v>2510</v>
      </c>
      <c r="B442" s="186">
        <v>9252305</v>
      </c>
      <c r="C442" s="549">
        <v>17977</v>
      </c>
      <c r="D442" s="130" t="s">
        <v>3593</v>
      </c>
      <c r="E442" s="130" t="s">
        <v>3594</v>
      </c>
      <c r="F442" s="130" t="s">
        <v>3595</v>
      </c>
      <c r="G442" s="550" t="s">
        <v>2072</v>
      </c>
      <c r="I442" s="165">
        <v>43647</v>
      </c>
      <c r="J442" s="551" t="s">
        <v>799</v>
      </c>
      <c r="K442" s="552" t="s">
        <v>72</v>
      </c>
      <c r="L442" s="130" t="s">
        <v>2866</v>
      </c>
    </row>
    <row r="443" spans="1:12" ht="16.5" customHeight="1">
      <c r="A443" s="186" t="s">
        <v>2510</v>
      </c>
      <c r="B443" s="186">
        <v>18923664</v>
      </c>
      <c r="C443" s="549">
        <v>19419</v>
      </c>
      <c r="D443" s="130" t="s">
        <v>3596</v>
      </c>
      <c r="E443" s="130" t="s">
        <v>3597</v>
      </c>
      <c r="F443" s="130" t="s">
        <v>3082</v>
      </c>
      <c r="G443" s="550" t="s">
        <v>2313</v>
      </c>
      <c r="I443" s="165">
        <v>43647</v>
      </c>
      <c r="J443" s="551" t="s">
        <v>799</v>
      </c>
      <c r="K443" s="552" t="s">
        <v>72</v>
      </c>
      <c r="L443" s="130" t="s">
        <v>2866</v>
      </c>
    </row>
    <row r="444" spans="1:12" ht="16.5" customHeight="1">
      <c r="A444" s="186" t="s">
        <v>2510</v>
      </c>
      <c r="B444" s="186">
        <v>27372663</v>
      </c>
      <c r="C444" s="549">
        <v>9903</v>
      </c>
      <c r="D444" s="130" t="s">
        <v>3598</v>
      </c>
      <c r="E444" s="130" t="s">
        <v>3599</v>
      </c>
      <c r="F444" s="130" t="s">
        <v>3004</v>
      </c>
      <c r="G444" s="550" t="s">
        <v>2112</v>
      </c>
      <c r="I444" s="165">
        <v>43647</v>
      </c>
      <c r="J444" s="551" t="s">
        <v>799</v>
      </c>
      <c r="K444" s="552" t="s">
        <v>72</v>
      </c>
      <c r="L444" s="130" t="s">
        <v>2866</v>
      </c>
    </row>
    <row r="445" spans="1:12" ht="16.5" customHeight="1">
      <c r="A445" s="186" t="s">
        <v>2510</v>
      </c>
      <c r="B445" s="186">
        <v>91036111</v>
      </c>
      <c r="D445" s="130" t="s">
        <v>3393</v>
      </c>
      <c r="E445" s="130" t="s">
        <v>3600</v>
      </c>
      <c r="F445" s="130" t="s">
        <v>3601</v>
      </c>
      <c r="G445" s="550" t="s">
        <v>2201</v>
      </c>
      <c r="I445" s="165">
        <v>43647</v>
      </c>
      <c r="J445" s="551" t="s">
        <v>799</v>
      </c>
      <c r="K445" s="552" t="s">
        <v>72</v>
      </c>
      <c r="L445" s="130" t="s">
        <v>2866</v>
      </c>
    </row>
    <row r="446" spans="1:12" ht="16.5" customHeight="1">
      <c r="A446" s="186" t="s">
        <v>2510</v>
      </c>
      <c r="B446" s="186">
        <v>35283506</v>
      </c>
      <c r="C446" s="549">
        <v>19450</v>
      </c>
      <c r="D446" s="130" t="s">
        <v>3317</v>
      </c>
      <c r="E446" s="130" t="s">
        <v>3602</v>
      </c>
      <c r="F446" s="130" t="s">
        <v>3427</v>
      </c>
      <c r="G446" s="550" t="s">
        <v>2290</v>
      </c>
      <c r="I446" s="165">
        <v>43649</v>
      </c>
      <c r="J446" s="551" t="s">
        <v>799</v>
      </c>
      <c r="K446" s="552" t="s">
        <v>73</v>
      </c>
      <c r="L446" s="130" t="s">
        <v>2870</v>
      </c>
    </row>
    <row r="447" spans="1:12" ht="16.5" customHeight="1">
      <c r="A447" s="186" t="s">
        <v>2584</v>
      </c>
      <c r="B447" s="186">
        <v>21040134</v>
      </c>
      <c r="C447" s="549">
        <v>21427</v>
      </c>
      <c r="D447" s="130" t="s">
        <v>3603</v>
      </c>
      <c r="E447" s="130" t="s">
        <v>3604</v>
      </c>
      <c r="F447" s="130" t="s">
        <v>2679</v>
      </c>
      <c r="G447" s="550" t="s">
        <v>2318</v>
      </c>
      <c r="I447" s="165">
        <v>43649</v>
      </c>
      <c r="J447" s="551" t="s">
        <v>73</v>
      </c>
      <c r="K447" s="552" t="s">
        <v>67</v>
      </c>
      <c r="L447" s="130" t="s">
        <v>2664</v>
      </c>
    </row>
    <row r="448" spans="1:12" ht="16.5" customHeight="1">
      <c r="A448" s="186" t="s">
        <v>2510</v>
      </c>
      <c r="B448" s="186">
        <v>38157822</v>
      </c>
      <c r="D448" s="130" t="s">
        <v>2979</v>
      </c>
      <c r="E448" s="130" t="s">
        <v>3605</v>
      </c>
      <c r="F448" s="130" t="s">
        <v>3606</v>
      </c>
      <c r="G448" s="550" t="s">
        <v>2413</v>
      </c>
      <c r="I448" s="165">
        <v>43649</v>
      </c>
      <c r="J448" s="551" t="s">
        <v>73</v>
      </c>
      <c r="K448" s="552" t="s">
        <v>67</v>
      </c>
      <c r="L448" s="130" t="s">
        <v>2664</v>
      </c>
    </row>
    <row r="449" spans="1:12" ht="16.5" customHeight="1">
      <c r="A449" s="186" t="s">
        <v>2510</v>
      </c>
      <c r="B449" s="186">
        <v>20211223</v>
      </c>
      <c r="C449" s="549">
        <v>21702</v>
      </c>
      <c r="D449" s="130" t="s">
        <v>3580</v>
      </c>
      <c r="E449" s="130" t="s">
        <v>3607</v>
      </c>
      <c r="F449" s="130" t="s">
        <v>3608</v>
      </c>
      <c r="G449" s="550" t="s">
        <v>2129</v>
      </c>
      <c r="I449" s="165">
        <v>43649</v>
      </c>
      <c r="J449" s="551" t="s">
        <v>67</v>
      </c>
      <c r="L449" s="130" t="s">
        <v>3609</v>
      </c>
    </row>
    <row r="450" spans="1:12" ht="16.5" customHeight="1">
      <c r="A450" s="186" t="s">
        <v>2510</v>
      </c>
      <c r="B450" s="186">
        <v>56262199</v>
      </c>
      <c r="D450" s="130" t="s">
        <v>2848</v>
      </c>
      <c r="E450" s="130" t="s">
        <v>3610</v>
      </c>
      <c r="F450" s="130" t="s">
        <v>3611</v>
      </c>
      <c r="G450" s="550" t="s">
        <v>2055</v>
      </c>
      <c r="I450" s="165">
        <v>43649</v>
      </c>
      <c r="J450" s="551" t="s">
        <v>799</v>
      </c>
      <c r="K450" s="552" t="s">
        <v>67</v>
      </c>
      <c r="L450" s="130" t="s">
        <v>3612</v>
      </c>
    </row>
    <row r="451" spans="1:12" ht="16.5" customHeight="1">
      <c r="A451" s="186" t="s">
        <v>2584</v>
      </c>
      <c r="B451" s="574">
        <v>356048</v>
      </c>
      <c r="C451" s="549">
        <v>19254</v>
      </c>
      <c r="D451" s="130" t="s">
        <v>3613</v>
      </c>
      <c r="E451" s="130" t="s">
        <v>3614</v>
      </c>
      <c r="F451" s="130" t="s">
        <v>3615</v>
      </c>
      <c r="G451" s="550" t="s">
        <v>2094</v>
      </c>
      <c r="H451" s="130" t="s">
        <v>3616</v>
      </c>
      <c r="I451" s="165">
        <v>43654</v>
      </c>
      <c r="J451" s="551" t="s">
        <v>799</v>
      </c>
      <c r="K451" s="552" t="s">
        <v>67</v>
      </c>
      <c r="L451" s="130" t="s">
        <v>2664</v>
      </c>
    </row>
    <row r="452" spans="1:12" ht="16.5" customHeight="1">
      <c r="A452" s="186" t="s">
        <v>2584</v>
      </c>
      <c r="B452" s="574">
        <v>5915632</v>
      </c>
      <c r="C452" s="575">
        <v>17848</v>
      </c>
      <c r="D452" s="574" t="s">
        <v>3617</v>
      </c>
      <c r="E452" s="574" t="s">
        <v>3618</v>
      </c>
      <c r="F452" s="574" t="s">
        <v>3279</v>
      </c>
      <c r="G452" s="576" t="s">
        <v>2094</v>
      </c>
      <c r="H452" s="130" t="s">
        <v>3619</v>
      </c>
      <c r="I452" s="165">
        <v>43655</v>
      </c>
      <c r="J452" s="551" t="s">
        <v>799</v>
      </c>
      <c r="K452" s="552" t="s">
        <v>3620</v>
      </c>
      <c r="L452" s="130" t="s">
        <v>2870</v>
      </c>
    </row>
    <row r="453" spans="1:12" ht="16.5" customHeight="1">
      <c r="A453" s="186" t="s">
        <v>2584</v>
      </c>
      <c r="B453" s="574">
        <v>6896930</v>
      </c>
      <c r="C453" s="575">
        <v>14489</v>
      </c>
      <c r="D453" s="574" t="s">
        <v>3101</v>
      </c>
      <c r="E453" s="574" t="s">
        <v>2772</v>
      </c>
      <c r="F453" s="574" t="s">
        <v>3093</v>
      </c>
      <c r="G453" s="576" t="s">
        <v>2313</v>
      </c>
      <c r="I453" s="165">
        <v>43655</v>
      </c>
      <c r="J453" s="551" t="s">
        <v>799</v>
      </c>
      <c r="K453" s="552" t="s">
        <v>3620</v>
      </c>
      <c r="L453" s="130" t="s">
        <v>2870</v>
      </c>
    </row>
    <row r="454" spans="1:12" ht="16.5" customHeight="1">
      <c r="A454" s="186" t="s">
        <v>2584</v>
      </c>
      <c r="B454" s="574">
        <v>9420282</v>
      </c>
      <c r="C454" s="575">
        <v>17199</v>
      </c>
      <c r="D454" s="574" t="s">
        <v>2586</v>
      </c>
      <c r="E454" s="574" t="s">
        <v>3514</v>
      </c>
      <c r="F454" s="574" t="s">
        <v>3515</v>
      </c>
      <c r="G454" s="576" t="s">
        <v>2638</v>
      </c>
      <c r="I454" s="165">
        <v>43655</v>
      </c>
      <c r="J454" s="551" t="s">
        <v>799</v>
      </c>
      <c r="K454" s="552" t="s">
        <v>3620</v>
      </c>
      <c r="L454" s="130" t="s">
        <v>2870</v>
      </c>
    </row>
    <row r="455" spans="1:12" ht="16.5" customHeight="1">
      <c r="A455" s="186" t="s">
        <v>2584</v>
      </c>
      <c r="B455" s="574">
        <v>18990697</v>
      </c>
      <c r="C455" s="575">
        <v>14746</v>
      </c>
      <c r="D455" s="574" t="s">
        <v>3621</v>
      </c>
      <c r="E455" s="574" t="s">
        <v>3622</v>
      </c>
      <c r="F455" s="574" t="s">
        <v>3623</v>
      </c>
      <c r="G455" s="576" t="s">
        <v>2162</v>
      </c>
      <c r="H455" s="130" t="s">
        <v>88</v>
      </c>
      <c r="I455" s="165">
        <v>43655</v>
      </c>
      <c r="J455" s="551" t="s">
        <v>799</v>
      </c>
      <c r="K455" s="552" t="s">
        <v>3620</v>
      </c>
      <c r="L455" s="130" t="s">
        <v>2870</v>
      </c>
    </row>
    <row r="456" spans="1:12" ht="16.5" customHeight="1">
      <c r="A456" s="186" t="s">
        <v>2584</v>
      </c>
      <c r="B456" s="574">
        <v>42924779</v>
      </c>
      <c r="C456" s="575">
        <v>20048</v>
      </c>
      <c r="D456" s="574" t="s">
        <v>3624</v>
      </c>
      <c r="E456" s="574" t="s">
        <v>3625</v>
      </c>
      <c r="F456" s="574" t="s">
        <v>2722</v>
      </c>
      <c r="G456" s="576" t="s">
        <v>2240</v>
      </c>
      <c r="I456" s="165">
        <v>43655</v>
      </c>
      <c r="J456" s="551" t="s">
        <v>799</v>
      </c>
      <c r="K456" s="552" t="s">
        <v>3620</v>
      </c>
      <c r="L456" s="130" t="s">
        <v>2870</v>
      </c>
    </row>
    <row r="457" spans="1:12" ht="16.5" customHeight="1">
      <c r="A457" s="186" t="s">
        <v>2510</v>
      </c>
      <c r="B457" s="186">
        <v>20110441</v>
      </c>
      <c r="C457" s="549">
        <v>19388</v>
      </c>
      <c r="D457" s="130" t="s">
        <v>2863</v>
      </c>
      <c r="E457" s="130" t="s">
        <v>3626</v>
      </c>
      <c r="F457" s="130" t="s">
        <v>3627</v>
      </c>
      <c r="G457" s="550" t="s">
        <v>2059</v>
      </c>
      <c r="H457" s="130" t="s">
        <v>3628</v>
      </c>
      <c r="I457" s="165">
        <v>43655</v>
      </c>
      <c r="J457" s="551" t="s">
        <v>799</v>
      </c>
      <c r="K457" s="552" t="s">
        <v>73</v>
      </c>
      <c r="L457" s="130" t="s">
        <v>3629</v>
      </c>
    </row>
    <row r="458" spans="1:12" ht="16.5" customHeight="1">
      <c r="A458" s="186" t="s">
        <v>2510</v>
      </c>
      <c r="B458" s="186">
        <v>2132421</v>
      </c>
      <c r="C458" s="549">
        <v>17472</v>
      </c>
      <c r="D458" s="130" t="s">
        <v>2733</v>
      </c>
      <c r="E458" s="130" t="s">
        <v>3630</v>
      </c>
      <c r="F458" s="130" t="s">
        <v>3631</v>
      </c>
      <c r="G458" s="550" t="s">
        <v>2313</v>
      </c>
      <c r="I458" s="165">
        <v>43655</v>
      </c>
      <c r="J458" s="551" t="s">
        <v>799</v>
      </c>
      <c r="K458" s="552" t="s">
        <v>72</v>
      </c>
      <c r="L458" s="130" t="s">
        <v>2866</v>
      </c>
    </row>
    <row r="459" spans="1:12" ht="16.5" customHeight="1">
      <c r="A459" s="186" t="s">
        <v>2510</v>
      </c>
      <c r="B459" s="186">
        <v>3199304</v>
      </c>
      <c r="C459" s="549">
        <v>19909</v>
      </c>
      <c r="D459" s="130" t="s">
        <v>3632</v>
      </c>
      <c r="E459" s="130" t="s">
        <v>3633</v>
      </c>
      <c r="F459" s="130" t="s">
        <v>3634</v>
      </c>
      <c r="G459" s="550" t="s">
        <v>2112</v>
      </c>
      <c r="I459" s="165">
        <v>43655</v>
      </c>
      <c r="J459" s="551" t="s">
        <v>799</v>
      </c>
      <c r="K459" s="552" t="s">
        <v>72</v>
      </c>
      <c r="L459" s="130" t="s">
        <v>2866</v>
      </c>
    </row>
    <row r="460" spans="1:12" ht="16.5" customHeight="1">
      <c r="A460" s="186" t="s">
        <v>2510</v>
      </c>
      <c r="B460" s="186">
        <v>24256117</v>
      </c>
      <c r="C460" s="549">
        <v>16673</v>
      </c>
      <c r="D460" s="130" t="s">
        <v>3635</v>
      </c>
      <c r="E460" s="130" t="s">
        <v>3636</v>
      </c>
      <c r="F460" s="130" t="s">
        <v>3637</v>
      </c>
      <c r="G460" s="550" t="s">
        <v>2112</v>
      </c>
      <c r="I460" s="165">
        <v>43655</v>
      </c>
      <c r="J460" s="551" t="s">
        <v>799</v>
      </c>
      <c r="K460" s="552" t="s">
        <v>72</v>
      </c>
      <c r="L460" s="130" t="s">
        <v>2866</v>
      </c>
    </row>
    <row r="461" spans="1:12" ht="16.5" customHeight="1">
      <c r="A461" s="186" t="s">
        <v>2510</v>
      </c>
      <c r="B461" s="186">
        <v>4001087</v>
      </c>
      <c r="C461" s="549">
        <v>17844</v>
      </c>
      <c r="D461" s="130" t="s">
        <v>3072</v>
      </c>
      <c r="E461" s="130" t="s">
        <v>2904</v>
      </c>
      <c r="F461" s="130" t="s">
        <v>3638</v>
      </c>
      <c r="G461" s="550" t="s">
        <v>2072</v>
      </c>
      <c r="I461" s="165">
        <v>43655</v>
      </c>
      <c r="J461" s="551" t="s">
        <v>799</v>
      </c>
      <c r="K461" s="552" t="s">
        <v>73</v>
      </c>
      <c r="L461" s="130" t="s">
        <v>2870</v>
      </c>
    </row>
    <row r="462" spans="1:12" ht="16.5" customHeight="1">
      <c r="A462" s="186" t="s">
        <v>2510</v>
      </c>
      <c r="B462" s="186">
        <v>6958193</v>
      </c>
      <c r="C462" s="549">
        <v>17426</v>
      </c>
      <c r="D462" s="130" t="s">
        <v>3098</v>
      </c>
      <c r="E462" s="130" t="s">
        <v>3639</v>
      </c>
      <c r="F462" s="130" t="s">
        <v>3640</v>
      </c>
      <c r="G462" s="550" t="s">
        <v>2313</v>
      </c>
      <c r="I462" s="165">
        <v>43655</v>
      </c>
      <c r="J462" s="551" t="s">
        <v>799</v>
      </c>
      <c r="K462" s="552" t="s">
        <v>73</v>
      </c>
      <c r="L462" s="130" t="s">
        <v>2870</v>
      </c>
    </row>
    <row r="463" spans="1:12" ht="16.5" customHeight="1">
      <c r="A463" s="186" t="s">
        <v>2510</v>
      </c>
      <c r="B463" s="186">
        <v>16962698</v>
      </c>
      <c r="C463" s="549">
        <v>17215</v>
      </c>
      <c r="D463" s="130" t="s">
        <v>3101</v>
      </c>
      <c r="E463" s="130" t="s">
        <v>3641</v>
      </c>
      <c r="F463" s="130" t="s">
        <v>3642</v>
      </c>
      <c r="G463" s="550" t="s">
        <v>2112</v>
      </c>
      <c r="I463" s="165">
        <v>43655</v>
      </c>
      <c r="J463" s="551" t="s">
        <v>799</v>
      </c>
      <c r="K463" s="552" t="s">
        <v>73</v>
      </c>
      <c r="L463" s="130" t="s">
        <v>2870</v>
      </c>
    </row>
    <row r="464" spans="1:12" ht="16.5" customHeight="1">
      <c r="A464" s="186" t="s">
        <v>2510</v>
      </c>
      <c r="B464" s="186">
        <v>19694066</v>
      </c>
      <c r="C464" s="549">
        <v>17341</v>
      </c>
      <c r="D464" s="130" t="s">
        <v>2665</v>
      </c>
      <c r="E464" s="130" t="s">
        <v>3643</v>
      </c>
      <c r="F464" s="130" t="s">
        <v>3644</v>
      </c>
      <c r="G464" s="550" t="s">
        <v>2112</v>
      </c>
      <c r="I464" s="165">
        <v>43655</v>
      </c>
      <c r="J464" s="551" t="s">
        <v>799</v>
      </c>
      <c r="K464" s="552" t="s">
        <v>73</v>
      </c>
      <c r="L464" s="130" t="s">
        <v>2870</v>
      </c>
    </row>
    <row r="465" spans="1:12" ht="16.5" customHeight="1">
      <c r="A465" s="186" t="s">
        <v>2510</v>
      </c>
      <c r="B465" s="186">
        <v>37995131</v>
      </c>
      <c r="C465" s="549">
        <v>17933</v>
      </c>
      <c r="D465" s="130" t="s">
        <v>2733</v>
      </c>
      <c r="E465" s="130" t="s">
        <v>3645</v>
      </c>
      <c r="F465" s="130" t="s">
        <v>2679</v>
      </c>
      <c r="G465" s="550" t="s">
        <v>2638</v>
      </c>
      <c r="I465" s="165">
        <v>43655</v>
      </c>
      <c r="J465" s="551" t="s">
        <v>799</v>
      </c>
      <c r="K465" s="552" t="s">
        <v>73</v>
      </c>
      <c r="L465" s="130" t="s">
        <v>2870</v>
      </c>
    </row>
    <row r="466" spans="1:12" ht="16.5" customHeight="1">
      <c r="A466" s="186" t="s">
        <v>2510</v>
      </c>
      <c r="B466" s="186">
        <v>38499265</v>
      </c>
      <c r="C466" s="549">
        <v>20724</v>
      </c>
      <c r="D466" s="130" t="s">
        <v>2551</v>
      </c>
      <c r="E466" s="129" t="s">
        <v>3646</v>
      </c>
      <c r="F466" s="577" t="s">
        <v>3647</v>
      </c>
      <c r="G466" s="578" t="s">
        <v>2313</v>
      </c>
      <c r="I466" s="165">
        <v>43655</v>
      </c>
      <c r="J466" s="551" t="s">
        <v>799</v>
      </c>
      <c r="K466" s="552" t="s">
        <v>73</v>
      </c>
      <c r="L466" s="130" t="s">
        <v>2870</v>
      </c>
    </row>
    <row r="467" spans="1:12" ht="16.5" customHeight="1">
      <c r="A467" s="563" t="s">
        <v>3071</v>
      </c>
      <c r="B467" s="569">
        <v>5915632</v>
      </c>
      <c r="C467" s="568">
        <v>17848</v>
      </c>
      <c r="D467" s="569" t="s">
        <v>3617</v>
      </c>
      <c r="E467" s="569" t="s">
        <v>3618</v>
      </c>
      <c r="F467" s="569" t="s">
        <v>3279</v>
      </c>
      <c r="G467" s="579" t="s">
        <v>2094</v>
      </c>
      <c r="I467" s="165">
        <v>43655</v>
      </c>
      <c r="J467" s="551" t="s">
        <v>799</v>
      </c>
      <c r="K467" s="552" t="s">
        <v>73</v>
      </c>
      <c r="L467" s="130" t="s">
        <v>3042</v>
      </c>
    </row>
    <row r="468" spans="1:12" ht="16.5" customHeight="1">
      <c r="A468" s="563" t="s">
        <v>3071</v>
      </c>
      <c r="B468" s="569">
        <v>6896930</v>
      </c>
      <c r="C468" s="568">
        <v>14489</v>
      </c>
      <c r="D468" s="569" t="s">
        <v>3101</v>
      </c>
      <c r="E468" s="569" t="s">
        <v>2772</v>
      </c>
      <c r="F468" s="569" t="s">
        <v>3093</v>
      </c>
      <c r="G468" s="579" t="s">
        <v>2313</v>
      </c>
      <c r="I468" s="165">
        <v>43655</v>
      </c>
      <c r="J468" s="551" t="s">
        <v>799</v>
      </c>
      <c r="K468" s="552" t="s">
        <v>73</v>
      </c>
      <c r="L468" s="130" t="s">
        <v>3042</v>
      </c>
    </row>
    <row r="469" spans="1:12" ht="16.5" customHeight="1">
      <c r="A469" s="563" t="s">
        <v>3071</v>
      </c>
      <c r="B469" s="569">
        <v>9420282</v>
      </c>
      <c r="C469" s="568">
        <v>17199</v>
      </c>
      <c r="D469" s="569" t="s">
        <v>2586</v>
      </c>
      <c r="E469" s="569" t="s">
        <v>3514</v>
      </c>
      <c r="F469" s="569" t="s">
        <v>3515</v>
      </c>
      <c r="G469" s="579" t="s">
        <v>2638</v>
      </c>
      <c r="I469" s="165">
        <v>43655</v>
      </c>
      <c r="J469" s="551" t="s">
        <v>799</v>
      </c>
      <c r="K469" s="552" t="s">
        <v>73</v>
      </c>
      <c r="L469" s="130" t="s">
        <v>3042</v>
      </c>
    </row>
    <row r="470" spans="1:12" ht="16.5" customHeight="1">
      <c r="A470" s="563" t="s">
        <v>3071</v>
      </c>
      <c r="B470" s="569">
        <v>18990697</v>
      </c>
      <c r="C470" s="568">
        <v>14746</v>
      </c>
      <c r="D470" s="569" t="s">
        <v>3621</v>
      </c>
      <c r="E470" s="569" t="s">
        <v>3622</v>
      </c>
      <c r="F470" s="569" t="s">
        <v>3623</v>
      </c>
      <c r="G470" s="579" t="s">
        <v>2162</v>
      </c>
      <c r="I470" s="165">
        <v>43655</v>
      </c>
      <c r="J470" s="551" t="s">
        <v>799</v>
      </c>
      <c r="K470" s="552" t="s">
        <v>73</v>
      </c>
      <c r="L470" s="130" t="s">
        <v>3042</v>
      </c>
    </row>
    <row r="471" spans="1:12" ht="16.5" customHeight="1">
      <c r="A471" s="563" t="s">
        <v>3071</v>
      </c>
      <c r="B471" s="569">
        <v>42924779</v>
      </c>
      <c r="C471" s="568">
        <v>20048</v>
      </c>
      <c r="D471" s="569" t="s">
        <v>3624</v>
      </c>
      <c r="E471" s="569" t="s">
        <v>3625</v>
      </c>
      <c r="F471" s="569" t="s">
        <v>2722</v>
      </c>
      <c r="G471" s="579" t="s">
        <v>2240</v>
      </c>
      <c r="I471" s="165">
        <v>43655</v>
      </c>
      <c r="J471" s="551" t="s">
        <v>799</v>
      </c>
      <c r="K471" s="552" t="s">
        <v>73</v>
      </c>
      <c r="L471" s="130" t="s">
        <v>3042</v>
      </c>
    </row>
    <row r="472" spans="1:12" ht="16.5" customHeight="1">
      <c r="A472" s="186" t="s">
        <v>3071</v>
      </c>
      <c r="B472" s="186">
        <v>100219807</v>
      </c>
      <c r="C472" s="549">
        <v>13091</v>
      </c>
      <c r="D472" s="130" t="s">
        <v>3648</v>
      </c>
      <c r="E472" s="130" t="s">
        <v>3649</v>
      </c>
      <c r="F472" s="130" t="s">
        <v>2750</v>
      </c>
      <c r="G472" s="550" t="s">
        <v>2106</v>
      </c>
      <c r="I472" s="165">
        <v>43657</v>
      </c>
      <c r="J472" s="551" t="s">
        <v>799</v>
      </c>
      <c r="K472" s="552" t="s">
        <v>73</v>
      </c>
      <c r="L472" s="130" t="s">
        <v>3650</v>
      </c>
    </row>
    <row r="473" spans="1:12" ht="16.5" customHeight="1">
      <c r="A473" s="186" t="s">
        <v>2510</v>
      </c>
      <c r="B473" s="186">
        <v>27396316</v>
      </c>
      <c r="C473" s="549" t="s">
        <v>3651</v>
      </c>
      <c r="D473" s="130" t="s">
        <v>3652</v>
      </c>
      <c r="E473" s="130" t="s">
        <v>3653</v>
      </c>
      <c r="F473" s="130" t="s">
        <v>3654</v>
      </c>
      <c r="G473" s="550" t="s">
        <v>2299</v>
      </c>
      <c r="I473" s="165">
        <v>43664</v>
      </c>
      <c r="J473" s="551" t="s">
        <v>799</v>
      </c>
      <c r="K473" s="551" t="s">
        <v>73</v>
      </c>
      <c r="L473" s="556" t="s">
        <v>3655</v>
      </c>
    </row>
    <row r="474" spans="1:12" ht="16.5" customHeight="1">
      <c r="A474" s="186" t="s">
        <v>2510</v>
      </c>
      <c r="B474" s="186">
        <v>2478212</v>
      </c>
      <c r="C474" s="549">
        <v>10342</v>
      </c>
      <c r="D474" s="130" t="s">
        <v>2851</v>
      </c>
      <c r="E474" s="130" t="s">
        <v>3656</v>
      </c>
      <c r="F474" s="130" t="s">
        <v>3657</v>
      </c>
      <c r="G474" s="550" t="s">
        <v>2185</v>
      </c>
      <c r="I474" s="165">
        <v>43669</v>
      </c>
      <c r="J474" s="551" t="s">
        <v>799</v>
      </c>
      <c r="K474" s="551" t="s">
        <v>73</v>
      </c>
      <c r="L474" s="130" t="s">
        <v>2870</v>
      </c>
    </row>
    <row r="475" spans="1:12" ht="16.5" customHeight="1">
      <c r="A475" s="186" t="s">
        <v>2510</v>
      </c>
      <c r="B475" s="186">
        <v>3768116</v>
      </c>
      <c r="C475" s="549">
        <v>20176</v>
      </c>
      <c r="D475" s="130" t="s">
        <v>3658</v>
      </c>
      <c r="E475" s="130" t="s">
        <v>3659</v>
      </c>
      <c r="F475" s="130" t="s">
        <v>3660</v>
      </c>
      <c r="G475" s="550" t="s">
        <v>2072</v>
      </c>
      <c r="I475" s="165">
        <v>43669</v>
      </c>
      <c r="J475" s="551" t="s">
        <v>799</v>
      </c>
      <c r="K475" s="551" t="s">
        <v>73</v>
      </c>
      <c r="L475" s="130" t="s">
        <v>2870</v>
      </c>
    </row>
    <row r="476" spans="1:12" ht="16.5" customHeight="1">
      <c r="A476" s="186" t="s">
        <v>2510</v>
      </c>
      <c r="B476" s="186">
        <v>29354065</v>
      </c>
      <c r="C476" s="549">
        <v>16438</v>
      </c>
      <c r="D476" s="130" t="s">
        <v>3463</v>
      </c>
      <c r="E476" s="130" t="s">
        <v>3661</v>
      </c>
      <c r="F476" s="130" t="s">
        <v>3662</v>
      </c>
      <c r="G476" s="550" t="s">
        <v>2094</v>
      </c>
      <c r="I476" s="165">
        <v>43669</v>
      </c>
      <c r="J476" s="551" t="s">
        <v>799</v>
      </c>
      <c r="K476" s="551" t="s">
        <v>73</v>
      </c>
      <c r="L476" s="130" t="s">
        <v>2870</v>
      </c>
    </row>
    <row r="477" spans="1:12" ht="16.5" customHeight="1">
      <c r="A477" s="186" t="s">
        <v>2510</v>
      </c>
      <c r="B477" s="186">
        <v>37965340</v>
      </c>
      <c r="C477" s="549">
        <v>9713</v>
      </c>
      <c r="D477" s="130" t="s">
        <v>3663</v>
      </c>
      <c r="E477" s="130" t="s">
        <v>3664</v>
      </c>
      <c r="F477" s="130" t="s">
        <v>3498</v>
      </c>
      <c r="G477" s="550" t="s">
        <v>2162</v>
      </c>
      <c r="I477" s="165">
        <v>43669</v>
      </c>
      <c r="J477" s="551" t="s">
        <v>799</v>
      </c>
      <c r="K477" s="551" t="s">
        <v>73</v>
      </c>
      <c r="L477" s="130" t="s">
        <v>2870</v>
      </c>
    </row>
    <row r="478" spans="1:12" ht="16.5" customHeight="1">
      <c r="A478" s="186" t="s">
        <v>2510</v>
      </c>
      <c r="B478" s="186">
        <v>40863227</v>
      </c>
      <c r="C478" s="549">
        <v>16948</v>
      </c>
      <c r="D478" s="130" t="s">
        <v>3665</v>
      </c>
      <c r="E478" s="130" t="s">
        <v>3666</v>
      </c>
      <c r="F478" s="130" t="s">
        <v>3667</v>
      </c>
      <c r="G478" s="550" t="s">
        <v>2313</v>
      </c>
      <c r="I478" s="165">
        <v>43669</v>
      </c>
      <c r="J478" s="551" t="s">
        <v>799</v>
      </c>
      <c r="K478" s="551" t="s">
        <v>73</v>
      </c>
      <c r="L478" s="130" t="s">
        <v>2870</v>
      </c>
    </row>
    <row r="479" spans="1:12" ht="16.5" customHeight="1">
      <c r="A479" s="186" t="s">
        <v>2510</v>
      </c>
      <c r="B479" s="186">
        <v>23006307</v>
      </c>
      <c r="C479" s="549">
        <v>13783</v>
      </c>
      <c r="D479" s="130" t="s">
        <v>3668</v>
      </c>
      <c r="E479" s="130" t="s">
        <v>2772</v>
      </c>
      <c r="F479" s="130" t="s">
        <v>2777</v>
      </c>
      <c r="G479" s="550" t="s">
        <v>2094</v>
      </c>
      <c r="I479" s="165">
        <v>43669</v>
      </c>
      <c r="J479" s="551" t="s">
        <v>799</v>
      </c>
      <c r="K479" s="552" t="s">
        <v>72</v>
      </c>
      <c r="L479" s="130" t="s">
        <v>2866</v>
      </c>
    </row>
    <row r="480" spans="1:12" ht="16.5" customHeight="1">
      <c r="A480" s="186" t="s">
        <v>2510</v>
      </c>
      <c r="B480" s="186">
        <v>36441848</v>
      </c>
      <c r="C480" s="549">
        <v>17713</v>
      </c>
      <c r="D480" s="130" t="s">
        <v>3593</v>
      </c>
      <c r="E480" s="130" t="s">
        <v>3669</v>
      </c>
      <c r="F480" s="130" t="s">
        <v>3308</v>
      </c>
      <c r="G480" s="550" t="s">
        <v>2144</v>
      </c>
      <c r="I480" s="165">
        <v>43669</v>
      </c>
      <c r="J480" s="551" t="s">
        <v>799</v>
      </c>
      <c r="K480" s="552" t="s">
        <v>72</v>
      </c>
      <c r="L480" s="130" t="s">
        <v>2866</v>
      </c>
    </row>
    <row r="481" spans="1:12" ht="16.5" customHeight="1">
      <c r="A481" s="186" t="s">
        <v>2510</v>
      </c>
      <c r="B481" s="186">
        <v>356048</v>
      </c>
      <c r="C481" s="549">
        <v>19254</v>
      </c>
      <c r="D481" s="130" t="s">
        <v>3670</v>
      </c>
      <c r="E481" s="130" t="s">
        <v>3614</v>
      </c>
      <c r="F481" s="130" t="s">
        <v>3615</v>
      </c>
      <c r="G481" s="550" t="s">
        <v>2094</v>
      </c>
      <c r="I481" s="165">
        <v>43669</v>
      </c>
      <c r="J481" s="551" t="s">
        <v>799</v>
      </c>
      <c r="K481" s="552" t="s">
        <v>67</v>
      </c>
      <c r="L481" s="130" t="s">
        <v>2664</v>
      </c>
    </row>
    <row r="482" spans="1:12" ht="16.5" customHeight="1">
      <c r="A482" s="186" t="s">
        <v>2510</v>
      </c>
      <c r="B482" s="186">
        <v>33376864</v>
      </c>
      <c r="C482" s="549">
        <v>19694</v>
      </c>
      <c r="D482" s="130" t="s">
        <v>2871</v>
      </c>
      <c r="E482" s="130" t="s">
        <v>3671</v>
      </c>
      <c r="F482" s="130" t="s">
        <v>3437</v>
      </c>
      <c r="G482" s="550" t="s">
        <v>2313</v>
      </c>
      <c r="I482" s="165">
        <v>43669</v>
      </c>
      <c r="J482" s="551" t="s">
        <v>799</v>
      </c>
      <c r="K482" s="552" t="s">
        <v>67</v>
      </c>
      <c r="L482" s="130" t="s">
        <v>2664</v>
      </c>
    </row>
    <row r="483" spans="1:12" ht="16.5" customHeight="1">
      <c r="A483" s="186" t="s">
        <v>2510</v>
      </c>
      <c r="B483" s="186">
        <v>64458573</v>
      </c>
      <c r="C483" s="549">
        <v>15683</v>
      </c>
      <c r="D483" s="130" t="s">
        <v>3672</v>
      </c>
      <c r="E483" s="130" t="s">
        <v>3645</v>
      </c>
      <c r="F483" s="130" t="s">
        <v>3673</v>
      </c>
      <c r="G483" s="550" t="s">
        <v>2081</v>
      </c>
      <c r="I483" s="165">
        <v>43670</v>
      </c>
      <c r="J483" s="551" t="s">
        <v>799</v>
      </c>
      <c r="K483" s="552" t="s">
        <v>67</v>
      </c>
      <c r="L483" s="130" t="s">
        <v>3674</v>
      </c>
    </row>
    <row r="484" spans="1:12" ht="16.5" customHeight="1">
      <c r="A484" s="186" t="s">
        <v>2510</v>
      </c>
      <c r="B484" s="186">
        <v>1799436</v>
      </c>
      <c r="C484" s="549">
        <v>14512</v>
      </c>
      <c r="D484" s="130" t="s">
        <v>2992</v>
      </c>
      <c r="E484" s="130" t="s">
        <v>3020</v>
      </c>
      <c r="F484" s="130" t="s">
        <v>3021</v>
      </c>
      <c r="G484" s="550" t="s">
        <v>2162</v>
      </c>
      <c r="I484" s="165">
        <v>43670</v>
      </c>
      <c r="J484" s="551" t="s">
        <v>72</v>
      </c>
      <c r="K484" s="552" t="s">
        <v>799</v>
      </c>
      <c r="L484" s="130" t="s">
        <v>3675</v>
      </c>
    </row>
    <row r="485" spans="1:12" ht="16.5" customHeight="1">
      <c r="A485" s="186" t="s">
        <v>2510</v>
      </c>
      <c r="B485" s="186">
        <v>40426744</v>
      </c>
      <c r="C485" s="549">
        <v>16459</v>
      </c>
      <c r="D485" s="130" t="s">
        <v>3336</v>
      </c>
      <c r="E485" s="130" t="s">
        <v>3676</v>
      </c>
      <c r="F485" s="130" t="s">
        <v>3677</v>
      </c>
      <c r="G485" s="550" t="s">
        <v>2118</v>
      </c>
      <c r="I485" s="165">
        <v>43670</v>
      </c>
      <c r="J485" s="551" t="s">
        <v>73</v>
      </c>
      <c r="K485" s="552" t="s">
        <v>67</v>
      </c>
      <c r="L485" s="130" t="s">
        <v>2664</v>
      </c>
    </row>
    <row r="486" spans="1:12" ht="16.5" customHeight="1">
      <c r="A486" s="186" t="s">
        <v>2510</v>
      </c>
      <c r="B486" s="186">
        <v>20110441</v>
      </c>
      <c r="C486" s="549">
        <v>19388</v>
      </c>
      <c r="D486" s="130" t="s">
        <v>2863</v>
      </c>
      <c r="E486" s="130" t="s">
        <v>3626</v>
      </c>
      <c r="F486" s="130" t="s">
        <v>3627</v>
      </c>
      <c r="G486" s="550" t="s">
        <v>2059</v>
      </c>
      <c r="H486" s="130" t="s">
        <v>3628</v>
      </c>
      <c r="I486" s="165">
        <v>43670</v>
      </c>
      <c r="J486" s="551" t="s">
        <v>73</v>
      </c>
      <c r="K486" s="552" t="s">
        <v>799</v>
      </c>
      <c r="L486" s="130" t="s">
        <v>3678</v>
      </c>
    </row>
    <row r="487" spans="1:12" ht="16.5" customHeight="1">
      <c r="A487" s="186" t="s">
        <v>2510</v>
      </c>
      <c r="B487" s="186">
        <v>27396316</v>
      </c>
      <c r="C487" s="549" t="s">
        <v>3651</v>
      </c>
      <c r="D487" s="130" t="s">
        <v>3652</v>
      </c>
      <c r="E487" s="130" t="s">
        <v>3653</v>
      </c>
      <c r="F487" s="130" t="s">
        <v>3654</v>
      </c>
      <c r="G487" s="550" t="s">
        <v>2299</v>
      </c>
      <c r="I487" s="165">
        <v>43675</v>
      </c>
      <c r="J487" s="551" t="s">
        <v>799</v>
      </c>
      <c r="K487" s="551" t="s">
        <v>67</v>
      </c>
      <c r="L487" s="556" t="s">
        <v>3679</v>
      </c>
    </row>
    <row r="488" spans="1:12" ht="16.5" customHeight="1">
      <c r="A488" s="186" t="s">
        <v>3071</v>
      </c>
      <c r="B488" s="186">
        <v>27396316</v>
      </c>
      <c r="C488" s="549">
        <v>14758</v>
      </c>
      <c r="D488" s="130" t="s">
        <v>3652</v>
      </c>
      <c r="E488" s="130" t="s">
        <v>3653</v>
      </c>
      <c r="F488" s="130" t="s">
        <v>3654</v>
      </c>
      <c r="G488" s="550" t="s">
        <v>2299</v>
      </c>
      <c r="I488" s="165">
        <v>43675</v>
      </c>
      <c r="J488" s="551" t="s">
        <v>799</v>
      </c>
      <c r="K488" s="552" t="s">
        <v>67</v>
      </c>
      <c r="L488" s="130" t="s">
        <v>3680</v>
      </c>
    </row>
    <row r="489" spans="1:12" ht="16.5" customHeight="1">
      <c r="A489" s="186" t="s">
        <v>2510</v>
      </c>
      <c r="B489" s="186">
        <v>36022895</v>
      </c>
      <c r="C489" s="549">
        <v>15209</v>
      </c>
      <c r="D489" s="130" t="s">
        <v>2523</v>
      </c>
      <c r="E489" s="130" t="s">
        <v>3681</v>
      </c>
      <c r="F489" s="130" t="s">
        <v>3682</v>
      </c>
      <c r="G489" s="550" t="s">
        <v>2290</v>
      </c>
      <c r="I489" s="165">
        <v>43676</v>
      </c>
      <c r="J489" s="551" t="s">
        <v>799</v>
      </c>
      <c r="K489" s="552" t="s">
        <v>73</v>
      </c>
      <c r="L489" s="130" t="s">
        <v>2870</v>
      </c>
    </row>
    <row r="490" spans="1:12" ht="16.5" customHeight="1">
      <c r="A490" s="186" t="s">
        <v>2510</v>
      </c>
      <c r="B490" s="186">
        <v>45592979</v>
      </c>
      <c r="C490" s="549">
        <v>12596</v>
      </c>
      <c r="D490" s="130" t="s">
        <v>3683</v>
      </c>
      <c r="E490" s="130" t="s">
        <v>3684</v>
      </c>
      <c r="F490" s="130" t="s">
        <v>3465</v>
      </c>
      <c r="G490" s="550" t="s">
        <v>2162</v>
      </c>
      <c r="I490" s="165">
        <v>43676</v>
      </c>
      <c r="J490" s="551" t="s">
        <v>799</v>
      </c>
      <c r="K490" s="552" t="s">
        <v>72</v>
      </c>
      <c r="L490" s="130" t="s">
        <v>2866</v>
      </c>
    </row>
    <row r="491" spans="1:12" ht="16.5" customHeight="1">
      <c r="A491" s="186" t="s">
        <v>2510</v>
      </c>
      <c r="B491" s="186">
        <v>9585078</v>
      </c>
      <c r="C491" s="549">
        <v>11575</v>
      </c>
      <c r="D491" s="130" t="s">
        <v>3685</v>
      </c>
      <c r="E491" s="130" t="s">
        <v>3686</v>
      </c>
      <c r="F491" s="130" t="s">
        <v>3687</v>
      </c>
      <c r="G491" s="550" t="s">
        <v>2240</v>
      </c>
      <c r="I491" s="165">
        <v>43676</v>
      </c>
      <c r="J491" s="551" t="s">
        <v>799</v>
      </c>
      <c r="K491" s="552" t="s">
        <v>67</v>
      </c>
      <c r="L491" s="130" t="s">
        <v>3688</v>
      </c>
    </row>
    <row r="492" spans="1:12" ht="16.5" customHeight="1">
      <c r="A492" s="186" t="s">
        <v>2510</v>
      </c>
      <c r="B492" s="186">
        <v>674614</v>
      </c>
      <c r="C492" s="549">
        <v>16589</v>
      </c>
      <c r="D492" s="130" t="s">
        <v>3689</v>
      </c>
      <c r="E492" s="130" t="s">
        <v>3145</v>
      </c>
      <c r="F492" s="130" t="s">
        <v>3690</v>
      </c>
      <c r="G492" s="550" t="s">
        <v>2077</v>
      </c>
      <c r="I492" s="165">
        <v>43678</v>
      </c>
      <c r="J492" s="551" t="s">
        <v>799</v>
      </c>
      <c r="K492" s="552" t="s">
        <v>67</v>
      </c>
      <c r="L492" s="130" t="s">
        <v>3691</v>
      </c>
    </row>
    <row r="493" spans="1:12" ht="16.5" customHeight="1">
      <c r="A493" s="186" t="s">
        <v>2510</v>
      </c>
      <c r="B493" s="186">
        <v>10136448</v>
      </c>
      <c r="C493" s="549">
        <v>19956</v>
      </c>
      <c r="D493" s="130" t="s">
        <v>3692</v>
      </c>
      <c r="E493" s="130" t="s">
        <v>3693</v>
      </c>
      <c r="F493" s="130" t="s">
        <v>3694</v>
      </c>
      <c r="G493" s="550" t="s">
        <v>2313</v>
      </c>
      <c r="I493" s="165">
        <v>43682</v>
      </c>
      <c r="J493" s="551" t="s">
        <v>799</v>
      </c>
      <c r="K493" s="552" t="s">
        <v>73</v>
      </c>
      <c r="L493" s="130" t="s">
        <v>2870</v>
      </c>
    </row>
    <row r="494" spans="1:12" ht="16.5" customHeight="1">
      <c r="A494" s="186" t="s">
        <v>2510</v>
      </c>
      <c r="B494" s="186">
        <v>27382613</v>
      </c>
      <c r="C494" s="549">
        <v>21482</v>
      </c>
      <c r="D494" s="130" t="s">
        <v>3695</v>
      </c>
      <c r="E494" s="130" t="s">
        <v>3696</v>
      </c>
      <c r="F494" s="130" t="s">
        <v>3697</v>
      </c>
      <c r="G494" s="550" t="s">
        <v>2106</v>
      </c>
      <c r="I494" s="165">
        <v>43682</v>
      </c>
      <c r="J494" s="551" t="s">
        <v>799</v>
      </c>
      <c r="K494" s="552" t="s">
        <v>73</v>
      </c>
      <c r="L494" s="130" t="s">
        <v>2870</v>
      </c>
    </row>
    <row r="495" spans="1:12" ht="16.5" customHeight="1">
      <c r="A495" s="186" t="s">
        <v>3071</v>
      </c>
      <c r="B495" s="186">
        <v>100219807</v>
      </c>
      <c r="C495" s="549">
        <v>13091</v>
      </c>
      <c r="D495" s="130" t="s">
        <v>3648</v>
      </c>
      <c r="E495" s="130" t="s">
        <v>3649</v>
      </c>
      <c r="F495" s="130" t="s">
        <v>2750</v>
      </c>
      <c r="G495" s="550" t="s">
        <v>2106</v>
      </c>
      <c r="I495" s="165">
        <v>43684</v>
      </c>
      <c r="J495" s="551" t="s">
        <v>799</v>
      </c>
      <c r="K495" s="552" t="s">
        <v>67</v>
      </c>
      <c r="L495" s="130" t="s">
        <v>3698</v>
      </c>
    </row>
    <row r="496" spans="1:12" ht="16.5" customHeight="1">
      <c r="A496" s="186" t="s">
        <v>3071</v>
      </c>
      <c r="B496" s="186">
        <v>95592366</v>
      </c>
      <c r="C496" s="549">
        <v>17390</v>
      </c>
      <c r="D496" s="130" t="s">
        <v>2518</v>
      </c>
      <c r="E496" s="130" t="s">
        <v>3422</v>
      </c>
      <c r="F496" s="130" t="s">
        <v>3423</v>
      </c>
      <c r="G496" s="550" t="s">
        <v>2106</v>
      </c>
      <c r="I496" s="165">
        <v>43684</v>
      </c>
      <c r="J496" s="551" t="s">
        <v>799</v>
      </c>
      <c r="K496" s="552" t="s">
        <v>67</v>
      </c>
      <c r="L496" s="130" t="s">
        <v>3698</v>
      </c>
    </row>
    <row r="497" spans="1:12" ht="16.5" customHeight="1">
      <c r="A497" s="186" t="s">
        <v>2510</v>
      </c>
      <c r="B497" s="186">
        <v>9330820</v>
      </c>
      <c r="C497" s="549">
        <v>9159</v>
      </c>
      <c r="D497" s="130" t="s">
        <v>3431</v>
      </c>
      <c r="E497" s="130" t="s">
        <v>3699</v>
      </c>
      <c r="F497" s="130" t="s">
        <v>3700</v>
      </c>
      <c r="G497" s="550" t="s">
        <v>2069</v>
      </c>
      <c r="I497" s="165">
        <v>43684</v>
      </c>
      <c r="J497" s="551" t="s">
        <v>799</v>
      </c>
      <c r="K497" s="552" t="s">
        <v>799</v>
      </c>
      <c r="L497" s="130" t="s">
        <v>3701</v>
      </c>
    </row>
    <row r="498" spans="1:12" ht="16.5" customHeight="1">
      <c r="A498" s="186" t="s">
        <v>2510</v>
      </c>
      <c r="B498" s="186">
        <v>11573532</v>
      </c>
      <c r="C498" s="549">
        <v>16430</v>
      </c>
      <c r="D498" s="130" t="s">
        <v>3702</v>
      </c>
      <c r="E498" s="130" t="s">
        <v>3703</v>
      </c>
      <c r="F498" s="130" t="s">
        <v>3704</v>
      </c>
      <c r="G498" s="550" t="s">
        <v>2144</v>
      </c>
      <c r="I498" s="165">
        <v>43685</v>
      </c>
      <c r="J498" s="551" t="s">
        <v>799</v>
      </c>
      <c r="K498" s="552" t="s">
        <v>73</v>
      </c>
      <c r="L498" s="130" t="s">
        <v>2870</v>
      </c>
    </row>
    <row r="499" spans="1:12" ht="16.5" customHeight="1">
      <c r="A499" s="186" t="s">
        <v>3071</v>
      </c>
      <c r="B499" s="186">
        <v>4324521</v>
      </c>
      <c r="C499" s="549">
        <v>18355</v>
      </c>
      <c r="D499" s="130" t="s">
        <v>2733</v>
      </c>
      <c r="E499" s="130" t="s">
        <v>3705</v>
      </c>
      <c r="F499" s="130" t="s">
        <v>3706</v>
      </c>
      <c r="G499" s="550" t="s">
        <v>2081</v>
      </c>
      <c r="I499" s="165">
        <v>43689</v>
      </c>
      <c r="J499" s="551" t="s">
        <v>799</v>
      </c>
      <c r="K499" s="552" t="s">
        <v>2516</v>
      </c>
      <c r="L499" s="130" t="s">
        <v>3707</v>
      </c>
    </row>
    <row r="500" spans="1:12" ht="16.5" customHeight="1">
      <c r="A500" s="186" t="s">
        <v>3071</v>
      </c>
      <c r="B500" s="186">
        <v>100233076</v>
      </c>
      <c r="C500" s="549">
        <v>13353</v>
      </c>
      <c r="D500" s="130" t="s">
        <v>2832</v>
      </c>
      <c r="E500" s="130" t="s">
        <v>3708</v>
      </c>
      <c r="F500" s="130" t="s">
        <v>3709</v>
      </c>
      <c r="G500" s="550" t="s">
        <v>2081</v>
      </c>
      <c r="I500" s="165">
        <v>43689</v>
      </c>
      <c r="J500" s="551" t="s">
        <v>799</v>
      </c>
      <c r="K500" s="552" t="s">
        <v>2516</v>
      </c>
      <c r="L500" s="130" t="s">
        <v>3707</v>
      </c>
    </row>
    <row r="501" spans="1:12" ht="16.5" customHeight="1">
      <c r="A501" s="186" t="s">
        <v>2510</v>
      </c>
      <c r="B501" s="186">
        <v>37290442</v>
      </c>
      <c r="C501" s="549">
        <v>19485</v>
      </c>
      <c r="D501" s="130" t="s">
        <v>2832</v>
      </c>
      <c r="E501" s="130" t="s">
        <v>3710</v>
      </c>
      <c r="F501" s="130" t="s">
        <v>3711</v>
      </c>
      <c r="G501" s="550" t="s">
        <v>2112</v>
      </c>
      <c r="I501" s="165">
        <v>43690</v>
      </c>
      <c r="J501" s="551" t="s">
        <v>73</v>
      </c>
      <c r="K501" s="552" t="s">
        <v>72</v>
      </c>
      <c r="L501" s="130" t="s">
        <v>3712</v>
      </c>
    </row>
    <row r="502" spans="1:12" ht="16.5" customHeight="1">
      <c r="A502" s="186" t="s">
        <v>2510</v>
      </c>
      <c r="B502" s="186">
        <v>19369198</v>
      </c>
      <c r="C502" s="549">
        <v>15984</v>
      </c>
      <c r="D502" s="130" t="s">
        <v>2511</v>
      </c>
      <c r="E502" s="130" t="s">
        <v>3713</v>
      </c>
      <c r="F502" s="130" t="s">
        <v>3714</v>
      </c>
      <c r="G502" s="550" t="s">
        <v>2052</v>
      </c>
      <c r="I502" s="165">
        <v>43690</v>
      </c>
      <c r="J502" s="551" t="s">
        <v>73</v>
      </c>
      <c r="K502" s="552" t="s">
        <v>72</v>
      </c>
      <c r="L502" s="130" t="s">
        <v>3712</v>
      </c>
    </row>
    <row r="503" spans="1:12" ht="16.5" customHeight="1">
      <c r="A503" s="186" t="s">
        <v>2510</v>
      </c>
      <c r="B503" s="186">
        <v>4324521</v>
      </c>
      <c r="C503" s="549">
        <v>18355</v>
      </c>
      <c r="D503" s="130" t="s">
        <v>2733</v>
      </c>
      <c r="E503" s="130" t="s">
        <v>3705</v>
      </c>
      <c r="F503" s="130" t="s">
        <v>3706</v>
      </c>
      <c r="G503" s="550" t="s">
        <v>2081</v>
      </c>
      <c r="I503" s="165">
        <v>43690</v>
      </c>
      <c r="J503" s="551" t="s">
        <v>799</v>
      </c>
      <c r="K503" s="552" t="s">
        <v>73</v>
      </c>
      <c r="L503" s="130" t="s">
        <v>2870</v>
      </c>
    </row>
    <row r="504" spans="1:12" ht="16.5" customHeight="1">
      <c r="A504" s="186" t="s">
        <v>2510</v>
      </c>
      <c r="B504" s="186">
        <v>6021521</v>
      </c>
      <c r="C504" s="549">
        <v>18864</v>
      </c>
      <c r="D504" s="130" t="s">
        <v>3715</v>
      </c>
      <c r="E504" s="130" t="s">
        <v>3716</v>
      </c>
      <c r="F504" s="130" t="s">
        <v>3717</v>
      </c>
      <c r="G504" s="550" t="s">
        <v>2059</v>
      </c>
      <c r="I504" s="165">
        <v>43691</v>
      </c>
      <c r="J504" s="551" t="s">
        <v>799</v>
      </c>
      <c r="K504" s="552" t="s">
        <v>73</v>
      </c>
      <c r="L504" s="130" t="s">
        <v>2870</v>
      </c>
    </row>
    <row r="505" spans="1:12" ht="16.5" customHeight="1">
      <c r="A505" s="186" t="s">
        <v>2510</v>
      </c>
      <c r="B505" s="186">
        <v>94473188</v>
      </c>
      <c r="D505" s="130" t="s">
        <v>2832</v>
      </c>
      <c r="E505" s="130" t="s">
        <v>2833</v>
      </c>
      <c r="F505" s="130" t="s">
        <v>2629</v>
      </c>
      <c r="G505" s="550" t="s">
        <v>2052</v>
      </c>
      <c r="H505" s="130" t="s">
        <v>2834</v>
      </c>
      <c r="I505" s="165">
        <v>43691</v>
      </c>
      <c r="J505" s="551" t="s">
        <v>73</v>
      </c>
      <c r="K505" s="552" t="s">
        <v>799</v>
      </c>
      <c r="L505" s="130" t="s">
        <v>3718</v>
      </c>
    </row>
    <row r="506" spans="1:12" ht="16.5" customHeight="1">
      <c r="A506" s="186" t="s">
        <v>2510</v>
      </c>
      <c r="B506" s="186">
        <v>69994309</v>
      </c>
      <c r="C506" s="549">
        <v>16720</v>
      </c>
      <c r="D506" s="130" t="s">
        <v>3719</v>
      </c>
      <c r="E506" s="130" t="s">
        <v>3720</v>
      </c>
      <c r="F506" s="130" t="s">
        <v>3721</v>
      </c>
      <c r="G506" s="550" t="s">
        <v>2081</v>
      </c>
      <c r="I506" s="165">
        <v>43691</v>
      </c>
      <c r="J506" s="551" t="s">
        <v>73</v>
      </c>
      <c r="K506" s="552" t="s">
        <v>67</v>
      </c>
      <c r="L506" s="130" t="s">
        <v>2664</v>
      </c>
    </row>
    <row r="507" spans="1:12" ht="16.5" customHeight="1">
      <c r="A507" s="186" t="s">
        <v>2510</v>
      </c>
      <c r="B507" s="186">
        <v>64839384</v>
      </c>
      <c r="C507" s="549">
        <v>9438</v>
      </c>
      <c r="D507" s="130" t="s">
        <v>3722</v>
      </c>
      <c r="E507" s="130" t="s">
        <v>3723</v>
      </c>
      <c r="F507" s="130" t="s">
        <v>3724</v>
      </c>
      <c r="G507" s="550" t="s">
        <v>2112</v>
      </c>
      <c r="I507" s="165">
        <v>43691</v>
      </c>
      <c r="J507" s="551" t="s">
        <v>73</v>
      </c>
      <c r="K507" s="552" t="s">
        <v>67</v>
      </c>
      <c r="L507" s="130" t="s">
        <v>2664</v>
      </c>
    </row>
    <row r="508" spans="1:12" ht="16.5" customHeight="1">
      <c r="A508" s="186" t="s">
        <v>2510</v>
      </c>
      <c r="B508" s="186">
        <v>25871112</v>
      </c>
      <c r="C508" s="549">
        <v>20192</v>
      </c>
      <c r="D508" s="130" t="s">
        <v>3114</v>
      </c>
      <c r="E508" s="130" t="s">
        <v>3725</v>
      </c>
      <c r="F508" s="130" t="s">
        <v>3726</v>
      </c>
      <c r="G508" s="550" t="s">
        <v>2052</v>
      </c>
      <c r="I508" s="165">
        <v>43692</v>
      </c>
      <c r="J508" s="551" t="s">
        <v>799</v>
      </c>
      <c r="K508" s="552" t="s">
        <v>73</v>
      </c>
      <c r="L508" s="130" t="s">
        <v>2870</v>
      </c>
    </row>
    <row r="509" spans="1:12" ht="16.5" customHeight="1">
      <c r="A509" s="186" t="s">
        <v>2510</v>
      </c>
      <c r="B509" s="186">
        <v>23616899</v>
      </c>
      <c r="C509" s="549">
        <v>17463</v>
      </c>
      <c r="D509" s="130" t="s">
        <v>2871</v>
      </c>
      <c r="E509" s="130" t="s">
        <v>3727</v>
      </c>
      <c r="F509" s="130" t="s">
        <v>3728</v>
      </c>
      <c r="G509" s="550" t="s">
        <v>2484</v>
      </c>
      <c r="I509" s="165">
        <v>43693</v>
      </c>
      <c r="J509" s="551" t="s">
        <v>799</v>
      </c>
      <c r="K509" s="552" t="s">
        <v>73</v>
      </c>
      <c r="L509" s="130" t="s">
        <v>3729</v>
      </c>
    </row>
    <row r="510" spans="1:12" ht="16.5" customHeight="1">
      <c r="A510" s="186" t="s">
        <v>2510</v>
      </c>
      <c r="B510" s="186">
        <v>33129099</v>
      </c>
      <c r="C510" s="549">
        <v>19233</v>
      </c>
      <c r="D510" s="130" t="s">
        <v>3730</v>
      </c>
      <c r="E510" s="130" t="s">
        <v>3247</v>
      </c>
      <c r="F510" s="130" t="s">
        <v>2582</v>
      </c>
      <c r="G510" s="550" t="s">
        <v>2174</v>
      </c>
      <c r="I510" s="165">
        <v>43696</v>
      </c>
      <c r="J510" s="551" t="s">
        <v>67</v>
      </c>
      <c r="L510" s="130" t="s">
        <v>3731</v>
      </c>
    </row>
    <row r="511" spans="1:12" ht="16.5" customHeight="1">
      <c r="A511" s="186" t="s">
        <v>2510</v>
      </c>
      <c r="B511" s="186">
        <v>44655173</v>
      </c>
      <c r="C511" s="549">
        <v>20297</v>
      </c>
      <c r="D511" s="130" t="s">
        <v>3732</v>
      </c>
      <c r="E511" s="130" t="s">
        <v>3733</v>
      </c>
      <c r="F511" s="130" t="s">
        <v>3734</v>
      </c>
      <c r="G511" s="550" t="s">
        <v>2413</v>
      </c>
      <c r="I511" s="165">
        <v>43696</v>
      </c>
      <c r="J511" s="551" t="s">
        <v>799</v>
      </c>
      <c r="K511" s="552" t="s">
        <v>799</v>
      </c>
      <c r="L511" s="130" t="s">
        <v>3735</v>
      </c>
    </row>
    <row r="512" spans="1:12" ht="16.5" customHeight="1">
      <c r="A512" s="186" t="s">
        <v>2510</v>
      </c>
      <c r="B512" s="186">
        <v>100235174</v>
      </c>
      <c r="D512" s="130" t="s">
        <v>3593</v>
      </c>
      <c r="E512" s="130" t="s">
        <v>3347</v>
      </c>
      <c r="I512" s="165">
        <v>43696</v>
      </c>
      <c r="J512" s="551" t="s">
        <v>799</v>
      </c>
      <c r="K512" s="552" t="s">
        <v>73</v>
      </c>
      <c r="L512" s="130" t="s">
        <v>3736</v>
      </c>
    </row>
    <row r="513" spans="1:12" ht="16.5" customHeight="1">
      <c r="A513" s="186" t="s">
        <v>2510</v>
      </c>
      <c r="B513" s="186">
        <v>35151497</v>
      </c>
      <c r="C513" s="549">
        <v>20967</v>
      </c>
      <c r="D513" s="130" t="s">
        <v>3737</v>
      </c>
      <c r="E513" s="130" t="s">
        <v>3738</v>
      </c>
      <c r="F513" s="130" t="s">
        <v>3739</v>
      </c>
      <c r="G513" s="550" t="s">
        <v>2055</v>
      </c>
      <c r="I513" s="165">
        <v>43696</v>
      </c>
      <c r="J513" s="551" t="s">
        <v>799</v>
      </c>
      <c r="K513" s="552" t="s">
        <v>72</v>
      </c>
      <c r="L513" s="130" t="s">
        <v>2866</v>
      </c>
    </row>
    <row r="514" spans="1:12" ht="16.5" customHeight="1">
      <c r="A514" s="186" t="s">
        <v>2510</v>
      </c>
      <c r="B514" s="186">
        <v>35921659</v>
      </c>
      <c r="C514" s="549">
        <v>9452</v>
      </c>
      <c r="D514" s="130" t="s">
        <v>3740</v>
      </c>
      <c r="E514" s="130" t="s">
        <v>3741</v>
      </c>
      <c r="F514" s="130" t="s">
        <v>3742</v>
      </c>
      <c r="G514" s="550" t="s">
        <v>2174</v>
      </c>
      <c r="I514" s="165">
        <v>43696</v>
      </c>
      <c r="J514" s="551" t="s">
        <v>799</v>
      </c>
      <c r="K514" s="552" t="s">
        <v>73</v>
      </c>
      <c r="L514" s="130" t="s">
        <v>2870</v>
      </c>
    </row>
    <row r="515" spans="1:12" ht="16.5" customHeight="1">
      <c r="A515" s="186" t="s">
        <v>2510</v>
      </c>
      <c r="B515" s="186">
        <v>19537117</v>
      </c>
      <c r="C515" s="549">
        <v>17228</v>
      </c>
      <c r="D515" s="130" t="s">
        <v>2982</v>
      </c>
      <c r="E515" s="130" t="s">
        <v>3743</v>
      </c>
      <c r="F515" s="130" t="s">
        <v>2869</v>
      </c>
      <c r="G515" s="550" t="s">
        <v>2266</v>
      </c>
      <c r="H515" s="130" t="s">
        <v>3744</v>
      </c>
      <c r="I515" s="165">
        <v>43696</v>
      </c>
      <c r="J515" s="551" t="s">
        <v>799</v>
      </c>
      <c r="K515" s="552" t="s">
        <v>73</v>
      </c>
      <c r="L515" s="130" t="s">
        <v>2870</v>
      </c>
    </row>
    <row r="516" spans="1:12" ht="16.5" customHeight="1">
      <c r="A516" s="186" t="s">
        <v>2510</v>
      </c>
      <c r="B516" s="186">
        <v>68627</v>
      </c>
      <c r="C516" s="549">
        <v>10637</v>
      </c>
      <c r="D516" s="130" t="s">
        <v>3745</v>
      </c>
      <c r="E516" s="130" t="s">
        <v>3746</v>
      </c>
      <c r="F516" s="130" t="s">
        <v>3747</v>
      </c>
      <c r="G516" s="550" t="s">
        <v>2112</v>
      </c>
      <c r="I516" s="165">
        <v>43696</v>
      </c>
      <c r="J516" s="551" t="s">
        <v>799</v>
      </c>
      <c r="K516" s="552" t="s">
        <v>73</v>
      </c>
      <c r="L516" s="130" t="s">
        <v>2870</v>
      </c>
    </row>
    <row r="517" spans="1:12" ht="16.5" customHeight="1">
      <c r="A517" s="186" t="s">
        <v>2510</v>
      </c>
      <c r="B517" s="186">
        <v>29345394</v>
      </c>
      <c r="C517" s="549">
        <v>17418</v>
      </c>
      <c r="D517" s="130" t="s">
        <v>3748</v>
      </c>
      <c r="E517" s="130" t="s">
        <v>3749</v>
      </c>
      <c r="F517" s="130" t="s">
        <v>3750</v>
      </c>
      <c r="G517" s="550" t="s">
        <v>2055</v>
      </c>
      <c r="I517" s="165">
        <v>43703</v>
      </c>
      <c r="J517" s="551" t="s">
        <v>799</v>
      </c>
      <c r="K517" s="552" t="s">
        <v>73</v>
      </c>
      <c r="L517" s="130" t="s">
        <v>2870</v>
      </c>
    </row>
    <row r="518" spans="1:12" ht="16.5" customHeight="1">
      <c r="A518" s="186" t="s">
        <v>2510</v>
      </c>
      <c r="B518" s="186">
        <v>16404162</v>
      </c>
      <c r="C518" s="549">
        <v>8827</v>
      </c>
      <c r="D518" s="130" t="s">
        <v>3302</v>
      </c>
      <c r="E518" s="130" t="s">
        <v>3751</v>
      </c>
      <c r="F518" s="130" t="s">
        <v>3245</v>
      </c>
      <c r="G518" s="550" t="s">
        <v>2274</v>
      </c>
      <c r="I518" s="165">
        <v>43703</v>
      </c>
      <c r="J518" s="551" t="s">
        <v>799</v>
      </c>
      <c r="K518" s="552" t="s">
        <v>67</v>
      </c>
      <c r="L518" s="130" t="s">
        <v>2664</v>
      </c>
    </row>
    <row r="519" spans="1:12" ht="16.5" customHeight="1">
      <c r="A519" s="186" t="s">
        <v>3071</v>
      </c>
      <c r="B519" s="186">
        <v>35151497</v>
      </c>
      <c r="C519" s="549">
        <v>20967</v>
      </c>
      <c r="D519" s="130" t="s">
        <v>3737</v>
      </c>
      <c r="E519" s="130" t="s">
        <v>3738</v>
      </c>
      <c r="F519" s="130" t="s">
        <v>3739</v>
      </c>
      <c r="G519" s="550" t="s">
        <v>2055</v>
      </c>
      <c r="I519" s="165">
        <v>43707</v>
      </c>
      <c r="J519" s="551" t="s">
        <v>799</v>
      </c>
      <c r="K519" s="552" t="s">
        <v>2516</v>
      </c>
      <c r="L519" s="130" t="s">
        <v>3752</v>
      </c>
    </row>
    <row r="520" spans="1:12" ht="16.5" customHeight="1">
      <c r="A520" s="186" t="s">
        <v>3071</v>
      </c>
      <c r="B520" s="186">
        <v>100237252</v>
      </c>
      <c r="D520" s="130" t="s">
        <v>3753</v>
      </c>
      <c r="E520" s="130" t="s">
        <v>3754</v>
      </c>
      <c r="I520" s="165">
        <v>43707</v>
      </c>
      <c r="J520" s="551" t="s">
        <v>799</v>
      </c>
      <c r="K520" s="552" t="s">
        <v>2516</v>
      </c>
      <c r="L520" s="130" t="s">
        <v>3755</v>
      </c>
    </row>
    <row r="521" spans="1:12" ht="16.5" customHeight="1">
      <c r="A521" s="186" t="s">
        <v>3071</v>
      </c>
      <c r="B521" s="186">
        <v>35647460</v>
      </c>
      <c r="C521" s="549">
        <v>21074</v>
      </c>
      <c r="D521" s="130" t="s">
        <v>3756</v>
      </c>
      <c r="E521" s="130" t="s">
        <v>3757</v>
      </c>
      <c r="F521" s="130" t="s">
        <v>3758</v>
      </c>
      <c r="G521" s="550" t="s">
        <v>2174</v>
      </c>
      <c r="I521" s="165">
        <v>43707</v>
      </c>
      <c r="J521" s="551" t="s">
        <v>799</v>
      </c>
      <c r="K521" s="552" t="s">
        <v>2516</v>
      </c>
      <c r="L521" s="130" t="s">
        <v>3759</v>
      </c>
    </row>
    <row r="522" spans="1:12" ht="16.5" customHeight="1">
      <c r="A522" s="186" t="s">
        <v>2510</v>
      </c>
      <c r="B522" s="186">
        <v>32228355</v>
      </c>
      <c r="C522" s="549">
        <v>20302</v>
      </c>
      <c r="D522" s="130" t="s">
        <v>2871</v>
      </c>
      <c r="E522" s="130" t="s">
        <v>3760</v>
      </c>
      <c r="F522" s="130" t="s">
        <v>3761</v>
      </c>
      <c r="G522" s="550" t="s">
        <v>2059</v>
      </c>
      <c r="I522" s="165">
        <v>43711</v>
      </c>
      <c r="J522" s="551" t="s">
        <v>799</v>
      </c>
      <c r="K522" s="552" t="s">
        <v>72</v>
      </c>
      <c r="L522" s="130" t="s">
        <v>2866</v>
      </c>
    </row>
    <row r="523" spans="1:12" ht="16.5" customHeight="1">
      <c r="A523" s="186" t="s">
        <v>2510</v>
      </c>
      <c r="B523" s="186">
        <v>9313651</v>
      </c>
      <c r="C523" s="549">
        <v>17807</v>
      </c>
      <c r="D523" s="130" t="s">
        <v>3272</v>
      </c>
      <c r="E523" s="130" t="s">
        <v>3762</v>
      </c>
      <c r="F523" s="130" t="s">
        <v>3763</v>
      </c>
      <c r="G523" s="550" t="s">
        <v>2484</v>
      </c>
      <c r="I523" s="165">
        <v>43711</v>
      </c>
      <c r="J523" s="551" t="s">
        <v>799</v>
      </c>
      <c r="K523" s="552" t="s">
        <v>67</v>
      </c>
      <c r="L523" s="130" t="s">
        <v>2664</v>
      </c>
    </row>
    <row r="524" spans="1:12" ht="16.5" customHeight="1">
      <c r="A524" s="186" t="s">
        <v>2510</v>
      </c>
      <c r="B524" s="186">
        <v>37830585</v>
      </c>
      <c r="C524" s="549">
        <v>13362</v>
      </c>
      <c r="D524" s="130" t="s">
        <v>3764</v>
      </c>
      <c r="E524" s="130" t="s">
        <v>3765</v>
      </c>
      <c r="F524" s="130" t="s">
        <v>2520</v>
      </c>
      <c r="G524" s="550" t="s">
        <v>2174</v>
      </c>
      <c r="I524" s="165">
        <v>43711</v>
      </c>
      <c r="J524" s="551" t="s">
        <v>799</v>
      </c>
      <c r="K524" s="552" t="s">
        <v>73</v>
      </c>
      <c r="L524" s="130" t="s">
        <v>2870</v>
      </c>
    </row>
    <row r="525" spans="1:12" ht="16.5" customHeight="1">
      <c r="A525" s="186" t="s">
        <v>2510</v>
      </c>
      <c r="B525" s="186">
        <v>9998139</v>
      </c>
      <c r="C525" s="549">
        <v>19855</v>
      </c>
      <c r="D525" s="130" t="s">
        <v>3147</v>
      </c>
      <c r="E525" s="130" t="s">
        <v>3766</v>
      </c>
      <c r="F525" s="130" t="s">
        <v>3767</v>
      </c>
      <c r="G525" s="550" t="s">
        <v>2059</v>
      </c>
      <c r="I525" s="165">
        <v>43711</v>
      </c>
      <c r="J525" s="551" t="s">
        <v>799</v>
      </c>
      <c r="K525" s="552" t="s">
        <v>73</v>
      </c>
      <c r="L525" s="130" t="s">
        <v>2870</v>
      </c>
    </row>
    <row r="526" spans="1:12" ht="16.5" customHeight="1">
      <c r="A526" s="186" t="s">
        <v>2510</v>
      </c>
      <c r="B526" s="186">
        <v>36515740</v>
      </c>
      <c r="C526" s="549">
        <v>20994</v>
      </c>
      <c r="D526" s="130" t="s">
        <v>3768</v>
      </c>
      <c r="E526" s="130" t="s">
        <v>3769</v>
      </c>
      <c r="F526" s="130" t="s">
        <v>3770</v>
      </c>
      <c r="G526" s="550" t="s">
        <v>2174</v>
      </c>
      <c r="I526" s="165">
        <v>43711</v>
      </c>
      <c r="J526" s="551" t="s">
        <v>799</v>
      </c>
      <c r="K526" s="552" t="s">
        <v>73</v>
      </c>
      <c r="L526" s="130" t="s">
        <v>2870</v>
      </c>
    </row>
    <row r="527" spans="1:12" ht="16.5" customHeight="1">
      <c r="A527" s="186" t="s">
        <v>2510</v>
      </c>
      <c r="B527" s="186">
        <v>592568</v>
      </c>
      <c r="C527" s="549">
        <v>15273</v>
      </c>
      <c r="D527" s="130" t="s">
        <v>3478</v>
      </c>
      <c r="E527" s="130" t="s">
        <v>3771</v>
      </c>
      <c r="F527" s="130" t="s">
        <v>3772</v>
      </c>
      <c r="G527" s="550" t="s">
        <v>2299</v>
      </c>
      <c r="I527" s="165">
        <v>43711</v>
      </c>
      <c r="J527" s="551" t="s">
        <v>799</v>
      </c>
      <c r="K527" s="552" t="s">
        <v>73</v>
      </c>
      <c r="L527" s="130" t="s">
        <v>2870</v>
      </c>
    </row>
    <row r="528" spans="1:12" ht="16.5" customHeight="1">
      <c r="A528" s="186" t="s">
        <v>3071</v>
      </c>
      <c r="B528" s="186">
        <v>1335710</v>
      </c>
      <c r="C528" s="549">
        <v>16174</v>
      </c>
      <c r="D528" s="130" t="s">
        <v>3773</v>
      </c>
      <c r="E528" s="130" t="s">
        <v>3774</v>
      </c>
      <c r="F528" s="130" t="s">
        <v>3775</v>
      </c>
      <c r="G528" s="550" t="s">
        <v>65</v>
      </c>
      <c r="I528" s="165">
        <v>43711</v>
      </c>
      <c r="J528" s="551" t="s">
        <v>799</v>
      </c>
      <c r="K528" s="552" t="s">
        <v>67</v>
      </c>
      <c r="L528" s="130" t="s">
        <v>2664</v>
      </c>
    </row>
    <row r="529" spans="1:12" ht="16.5" customHeight="1">
      <c r="A529" s="186" t="s">
        <v>2510</v>
      </c>
      <c r="B529" s="186">
        <v>80723778</v>
      </c>
      <c r="D529" s="130" t="s">
        <v>3603</v>
      </c>
      <c r="E529" s="130" t="s">
        <v>3776</v>
      </c>
      <c r="F529" s="130" t="s">
        <v>3592</v>
      </c>
      <c r="G529" s="550" t="s">
        <v>2240</v>
      </c>
      <c r="I529" s="165">
        <v>43717</v>
      </c>
      <c r="J529" s="551" t="s">
        <v>799</v>
      </c>
      <c r="K529" s="552" t="s">
        <v>799</v>
      </c>
      <c r="L529" s="130" t="s">
        <v>3777</v>
      </c>
    </row>
    <row r="530" spans="1:12" ht="16.5" customHeight="1">
      <c r="A530" s="186" t="s">
        <v>2510</v>
      </c>
      <c r="B530" s="186">
        <v>73132573</v>
      </c>
      <c r="C530" s="549">
        <v>26877</v>
      </c>
      <c r="D530" s="130" t="s">
        <v>3778</v>
      </c>
      <c r="E530" s="130" t="s">
        <v>3779</v>
      </c>
      <c r="F530" s="130" t="s">
        <v>3780</v>
      </c>
      <c r="G530" s="550" t="s">
        <v>2055</v>
      </c>
      <c r="I530" s="165">
        <v>43720</v>
      </c>
      <c r="J530" s="551" t="s">
        <v>799</v>
      </c>
      <c r="K530" s="552" t="s">
        <v>67</v>
      </c>
      <c r="L530" s="130" t="s">
        <v>3781</v>
      </c>
    </row>
    <row r="531" spans="1:12" ht="16.5" customHeight="1">
      <c r="A531" s="186" t="s">
        <v>2510</v>
      </c>
      <c r="B531" s="186">
        <v>100292992</v>
      </c>
      <c r="D531" s="130" t="s">
        <v>3782</v>
      </c>
      <c r="E531" s="130" t="s">
        <v>3783</v>
      </c>
      <c r="F531" s="130" t="s">
        <v>3784</v>
      </c>
      <c r="G531" s="550" t="s">
        <v>2059</v>
      </c>
      <c r="I531" s="165">
        <v>43721</v>
      </c>
      <c r="J531" s="551" t="s">
        <v>799</v>
      </c>
      <c r="K531" s="552" t="s">
        <v>67</v>
      </c>
      <c r="L531" s="130" t="s">
        <v>2664</v>
      </c>
    </row>
    <row r="532" spans="1:12" ht="16.5" customHeight="1">
      <c r="A532" s="186" t="s">
        <v>2510</v>
      </c>
      <c r="B532" s="186">
        <v>1308246</v>
      </c>
      <c r="C532" s="549">
        <v>16920</v>
      </c>
      <c r="D532" s="130" t="s">
        <v>3785</v>
      </c>
      <c r="E532" s="130" t="s">
        <v>3786</v>
      </c>
      <c r="F532" s="130" t="s">
        <v>3787</v>
      </c>
      <c r="G532" s="550" t="s">
        <v>2094</v>
      </c>
      <c r="I532" s="165">
        <v>43728</v>
      </c>
      <c r="J532" s="551" t="s">
        <v>67</v>
      </c>
      <c r="L532" s="130" t="s">
        <v>3788</v>
      </c>
    </row>
    <row r="533" spans="1:12" ht="16.5" customHeight="1">
      <c r="A533" s="186" t="s">
        <v>2510</v>
      </c>
      <c r="B533" s="186">
        <v>100298620</v>
      </c>
      <c r="D533" s="130" t="s">
        <v>3702</v>
      </c>
      <c r="E533" s="130" t="s">
        <v>3789</v>
      </c>
      <c r="F533" s="130" t="s">
        <v>3790</v>
      </c>
      <c r="G533" s="550" t="s">
        <v>2081</v>
      </c>
      <c r="I533" s="165">
        <v>43728</v>
      </c>
      <c r="J533" s="551" t="s">
        <v>799</v>
      </c>
      <c r="K533" s="552" t="s">
        <v>73</v>
      </c>
      <c r="L533" s="130" t="s">
        <v>3791</v>
      </c>
    </row>
    <row r="534" spans="1:12" ht="16.5" customHeight="1">
      <c r="A534" s="186" t="s">
        <v>2510</v>
      </c>
      <c r="B534" s="186">
        <v>27396316</v>
      </c>
      <c r="D534" s="130" t="s">
        <v>3652</v>
      </c>
      <c r="E534" s="130" t="s">
        <v>3653</v>
      </c>
      <c r="F534" s="130" t="s">
        <v>3654</v>
      </c>
      <c r="G534" s="550" t="s">
        <v>2299</v>
      </c>
      <c r="I534" s="165">
        <v>43728</v>
      </c>
      <c r="J534" s="551" t="s">
        <v>67</v>
      </c>
      <c r="L534" s="130" t="s">
        <v>3792</v>
      </c>
    </row>
    <row r="535" spans="1:12" ht="16.5" customHeight="1">
      <c r="A535" s="186" t="s">
        <v>3071</v>
      </c>
      <c r="C535" s="549">
        <v>14028</v>
      </c>
      <c r="D535" s="130" t="s">
        <v>3793</v>
      </c>
      <c r="E535" s="130" t="s">
        <v>3794</v>
      </c>
      <c r="F535" s="130" t="s">
        <v>3795</v>
      </c>
      <c r="G535" s="550" t="s">
        <v>2106</v>
      </c>
      <c r="I535" s="165">
        <v>43728</v>
      </c>
      <c r="J535" s="551" t="s">
        <v>799</v>
      </c>
      <c r="K535" s="552" t="s">
        <v>67</v>
      </c>
      <c r="L535" s="130" t="s">
        <v>3796</v>
      </c>
    </row>
    <row r="536" spans="1:12" ht="16.5" customHeight="1">
      <c r="A536" s="186" t="s">
        <v>2510</v>
      </c>
      <c r="B536" s="186">
        <v>95642260</v>
      </c>
      <c r="C536" s="549">
        <v>16224</v>
      </c>
      <c r="D536" s="130" t="s">
        <v>3311</v>
      </c>
      <c r="E536" s="130" t="s">
        <v>3797</v>
      </c>
      <c r="F536" s="130" t="s">
        <v>3004</v>
      </c>
      <c r="G536" s="550" t="s">
        <v>2112</v>
      </c>
      <c r="I536" s="165">
        <v>43728</v>
      </c>
      <c r="J536" s="551" t="s">
        <v>799</v>
      </c>
      <c r="K536" s="552" t="s">
        <v>2516</v>
      </c>
      <c r="L536" s="130" t="s">
        <v>3798</v>
      </c>
    </row>
    <row r="537" spans="1:12" ht="16.5" customHeight="1">
      <c r="A537" s="186" t="s">
        <v>2510</v>
      </c>
      <c r="B537" s="186">
        <v>611970</v>
      </c>
      <c r="C537" s="549">
        <v>21003</v>
      </c>
      <c r="D537" s="130" t="s">
        <v>2828</v>
      </c>
      <c r="E537" s="130" t="s">
        <v>3799</v>
      </c>
      <c r="F537" s="130" t="s">
        <v>3739</v>
      </c>
      <c r="G537" s="550" t="s">
        <v>2055</v>
      </c>
      <c r="H537" s="130" t="s">
        <v>3800</v>
      </c>
      <c r="I537" s="165">
        <v>43731</v>
      </c>
      <c r="J537" s="551" t="s">
        <v>799</v>
      </c>
      <c r="K537" s="552" t="s">
        <v>72</v>
      </c>
      <c r="L537" s="130" t="s">
        <v>2866</v>
      </c>
    </row>
    <row r="538" spans="1:12" ht="16.5" customHeight="1">
      <c r="A538" s="186" t="s">
        <v>2510</v>
      </c>
      <c r="B538" s="186">
        <v>3145455</v>
      </c>
      <c r="C538" s="549">
        <v>12236</v>
      </c>
      <c r="D538" s="130" t="s">
        <v>3801</v>
      </c>
      <c r="E538" s="130" t="s">
        <v>3802</v>
      </c>
      <c r="F538" s="130" t="s">
        <v>3803</v>
      </c>
      <c r="G538" s="550" t="s">
        <v>2185</v>
      </c>
      <c r="I538" s="165">
        <v>43731</v>
      </c>
      <c r="J538" s="551" t="s">
        <v>3804</v>
      </c>
      <c r="L538" s="130" t="s">
        <v>3805</v>
      </c>
    </row>
    <row r="539" spans="1:12" ht="16.5" customHeight="1">
      <c r="A539" s="186" t="s">
        <v>2510</v>
      </c>
      <c r="B539" s="186">
        <v>7901093</v>
      </c>
      <c r="C539" s="549">
        <v>17287</v>
      </c>
      <c r="D539" s="130" t="s">
        <v>2992</v>
      </c>
      <c r="E539" s="130" t="s">
        <v>3195</v>
      </c>
      <c r="F539" s="130" t="s">
        <v>3196</v>
      </c>
      <c r="G539" s="550" t="s">
        <v>2106</v>
      </c>
      <c r="H539" s="130" t="s">
        <v>3806</v>
      </c>
      <c r="I539" s="165">
        <v>43731</v>
      </c>
      <c r="J539" s="551" t="s">
        <v>73</v>
      </c>
      <c r="L539" s="130" t="s">
        <v>3807</v>
      </c>
    </row>
    <row r="540" spans="1:12" ht="16.5" customHeight="1">
      <c r="A540" s="186" t="s">
        <v>2510</v>
      </c>
      <c r="B540" s="186">
        <v>19756550</v>
      </c>
      <c r="C540" s="549">
        <v>16163</v>
      </c>
      <c r="D540" s="130" t="s">
        <v>2733</v>
      </c>
      <c r="E540" s="130" t="s">
        <v>3257</v>
      </c>
      <c r="F540" s="130" t="s">
        <v>3258</v>
      </c>
      <c r="G540" s="550" t="s">
        <v>2106</v>
      </c>
      <c r="I540" s="165">
        <v>43731</v>
      </c>
      <c r="J540" s="551" t="s">
        <v>73</v>
      </c>
      <c r="L540" s="130" t="s">
        <v>3807</v>
      </c>
    </row>
    <row r="541" spans="1:12" ht="16.5" customHeight="1">
      <c r="A541" s="186" t="s">
        <v>2510</v>
      </c>
      <c r="B541" s="186">
        <v>639096</v>
      </c>
      <c r="C541" s="549">
        <v>16270</v>
      </c>
      <c r="D541" s="130" t="s">
        <v>3470</v>
      </c>
      <c r="E541" s="130" t="s">
        <v>3808</v>
      </c>
      <c r="F541" s="130" t="s">
        <v>3809</v>
      </c>
      <c r="G541" s="550" t="s">
        <v>2413</v>
      </c>
      <c r="I541" s="165">
        <v>43731</v>
      </c>
      <c r="J541" s="551" t="s">
        <v>799</v>
      </c>
      <c r="K541" s="552" t="s">
        <v>67</v>
      </c>
      <c r="L541" s="130" t="s">
        <v>2664</v>
      </c>
    </row>
    <row r="542" spans="1:12" ht="16.5" customHeight="1">
      <c r="A542" s="186" t="s">
        <v>2510</v>
      </c>
      <c r="B542" s="186">
        <v>2814309</v>
      </c>
      <c r="C542" s="549">
        <v>15231</v>
      </c>
      <c r="D542" s="130" t="s">
        <v>3593</v>
      </c>
      <c r="E542" s="130" t="s">
        <v>3180</v>
      </c>
      <c r="F542" s="130" t="s">
        <v>3810</v>
      </c>
      <c r="G542" s="550" t="s">
        <v>2055</v>
      </c>
      <c r="I542" s="165">
        <v>43731</v>
      </c>
      <c r="J542" s="551" t="s">
        <v>799</v>
      </c>
      <c r="K542" s="552" t="s">
        <v>67</v>
      </c>
      <c r="L542" s="130" t="s">
        <v>2664</v>
      </c>
    </row>
    <row r="543" spans="1:12" ht="16.5" customHeight="1">
      <c r="A543" s="186" t="s">
        <v>2510</v>
      </c>
      <c r="B543" s="186">
        <v>3499498</v>
      </c>
      <c r="C543" s="549">
        <v>14953</v>
      </c>
      <c r="D543" s="130" t="s">
        <v>2733</v>
      </c>
      <c r="E543" s="130" t="s">
        <v>3661</v>
      </c>
      <c r="F543" s="130" t="s">
        <v>3811</v>
      </c>
      <c r="G543" s="550" t="s">
        <v>2299</v>
      </c>
      <c r="I543" s="165">
        <v>43731</v>
      </c>
      <c r="J543" s="551" t="s">
        <v>799</v>
      </c>
      <c r="K543" s="552" t="s">
        <v>67</v>
      </c>
      <c r="L543" s="130" t="s">
        <v>2664</v>
      </c>
    </row>
    <row r="544" spans="1:12" ht="16.5" customHeight="1">
      <c r="A544" s="186" t="s">
        <v>2510</v>
      </c>
      <c r="B544" s="186">
        <v>4167813</v>
      </c>
      <c r="C544" s="549">
        <v>18000</v>
      </c>
      <c r="D544" s="130" t="s">
        <v>3293</v>
      </c>
      <c r="E544" s="130" t="s">
        <v>3812</v>
      </c>
      <c r="F544" s="130" t="s">
        <v>3813</v>
      </c>
      <c r="G544" s="550" t="s">
        <v>2055</v>
      </c>
      <c r="I544" s="165">
        <v>43731</v>
      </c>
      <c r="J544" s="551" t="s">
        <v>799</v>
      </c>
      <c r="K544" s="552" t="s">
        <v>67</v>
      </c>
      <c r="L544" s="130" t="s">
        <v>2664</v>
      </c>
    </row>
    <row r="545" spans="1:12" ht="16.5" customHeight="1">
      <c r="A545" s="186" t="s">
        <v>2510</v>
      </c>
      <c r="B545" s="186">
        <v>4451175</v>
      </c>
      <c r="C545" s="549">
        <v>16670</v>
      </c>
      <c r="D545" s="130" t="s">
        <v>3574</v>
      </c>
      <c r="E545" s="130" t="s">
        <v>3814</v>
      </c>
      <c r="F545" s="130" t="s">
        <v>3815</v>
      </c>
      <c r="G545" s="550" t="s">
        <v>2059</v>
      </c>
      <c r="I545" s="165">
        <v>43731</v>
      </c>
      <c r="J545" s="551" t="s">
        <v>799</v>
      </c>
      <c r="K545" s="552" t="s">
        <v>67</v>
      </c>
      <c r="L545" s="130" t="s">
        <v>2664</v>
      </c>
    </row>
    <row r="546" spans="1:12" ht="16.5" customHeight="1">
      <c r="A546" s="186" t="s">
        <v>2510</v>
      </c>
      <c r="B546" s="186">
        <v>7569403</v>
      </c>
      <c r="C546" s="549">
        <v>18310</v>
      </c>
      <c r="D546" s="130" t="s">
        <v>3254</v>
      </c>
      <c r="E546" s="130" t="s">
        <v>3816</v>
      </c>
      <c r="F546" s="130" t="s">
        <v>3817</v>
      </c>
      <c r="G546" s="550" t="s">
        <v>2052</v>
      </c>
      <c r="I546" s="165">
        <v>43731</v>
      </c>
      <c r="J546" s="551" t="s">
        <v>799</v>
      </c>
      <c r="K546" s="552" t="s">
        <v>67</v>
      </c>
      <c r="L546" s="130" t="s">
        <v>2664</v>
      </c>
    </row>
    <row r="547" spans="1:12" ht="16.5" customHeight="1">
      <c r="A547" s="186" t="s">
        <v>2510</v>
      </c>
      <c r="B547" s="186">
        <v>21268602</v>
      </c>
      <c r="C547" s="549">
        <v>16749</v>
      </c>
      <c r="D547" s="130" t="s">
        <v>3818</v>
      </c>
      <c r="E547" s="130" t="s">
        <v>3819</v>
      </c>
      <c r="F547" s="130" t="s">
        <v>2974</v>
      </c>
      <c r="G547" s="550" t="s">
        <v>2052</v>
      </c>
      <c r="I547" s="165">
        <v>43731</v>
      </c>
      <c r="J547" s="551" t="s">
        <v>799</v>
      </c>
      <c r="K547" s="552" t="s">
        <v>67</v>
      </c>
      <c r="L547" s="130" t="s">
        <v>2664</v>
      </c>
    </row>
    <row r="548" spans="1:12" ht="16.5" customHeight="1">
      <c r="A548" s="186" t="s">
        <v>2510</v>
      </c>
      <c r="B548" s="186">
        <v>22757660</v>
      </c>
      <c r="C548" s="549">
        <v>10321</v>
      </c>
      <c r="D548" s="130" t="s">
        <v>3820</v>
      </c>
      <c r="E548" s="130" t="s">
        <v>3821</v>
      </c>
      <c r="F548" s="130" t="s">
        <v>3822</v>
      </c>
      <c r="G548" s="550" t="s">
        <v>2055</v>
      </c>
      <c r="I548" s="165">
        <v>43731</v>
      </c>
      <c r="J548" s="551" t="s">
        <v>799</v>
      </c>
      <c r="K548" s="552" t="s">
        <v>67</v>
      </c>
      <c r="L548" s="130" t="s">
        <v>2664</v>
      </c>
    </row>
    <row r="549" spans="1:12" ht="16.5" customHeight="1">
      <c r="A549" s="186" t="s">
        <v>2510</v>
      </c>
      <c r="B549" s="186">
        <v>26968115</v>
      </c>
      <c r="C549" s="549">
        <v>17107</v>
      </c>
      <c r="D549" s="130" t="s">
        <v>2724</v>
      </c>
      <c r="E549" s="130" t="s">
        <v>3823</v>
      </c>
      <c r="F549" s="130" t="s">
        <v>3824</v>
      </c>
      <c r="G549" s="550" t="s">
        <v>2059</v>
      </c>
      <c r="I549" s="165">
        <v>43731</v>
      </c>
      <c r="J549" s="551" t="s">
        <v>799</v>
      </c>
      <c r="K549" s="552" t="s">
        <v>67</v>
      </c>
      <c r="L549" s="130" t="s">
        <v>2664</v>
      </c>
    </row>
    <row r="550" spans="1:12" ht="16.5" customHeight="1">
      <c r="A550" s="186" t="s">
        <v>2510</v>
      </c>
      <c r="B550" s="186">
        <v>28356251</v>
      </c>
      <c r="C550" s="549">
        <v>18784</v>
      </c>
      <c r="D550" s="130" t="s">
        <v>3825</v>
      </c>
      <c r="E550" s="130" t="s">
        <v>3826</v>
      </c>
      <c r="F550" s="130" t="s">
        <v>3827</v>
      </c>
      <c r="G550" s="550" t="s">
        <v>2059</v>
      </c>
      <c r="I550" s="165">
        <v>43731</v>
      </c>
      <c r="J550" s="551" t="s">
        <v>799</v>
      </c>
      <c r="K550" s="552" t="s">
        <v>67</v>
      </c>
      <c r="L550" s="130" t="s">
        <v>2664</v>
      </c>
    </row>
    <row r="551" spans="1:12" ht="16.5" customHeight="1">
      <c r="A551" s="186" t="s">
        <v>2510</v>
      </c>
      <c r="B551" s="186">
        <v>35242130</v>
      </c>
      <c r="C551" s="549">
        <v>20791</v>
      </c>
      <c r="D551" s="130" t="s">
        <v>2958</v>
      </c>
      <c r="E551" s="130" t="s">
        <v>2959</v>
      </c>
      <c r="F551" s="130" t="s">
        <v>2960</v>
      </c>
      <c r="G551" s="550" t="s">
        <v>2446</v>
      </c>
      <c r="I551" s="165">
        <v>43731</v>
      </c>
      <c r="J551" s="551" t="s">
        <v>799</v>
      </c>
      <c r="K551" s="552" t="s">
        <v>67</v>
      </c>
      <c r="L551" s="130" t="s">
        <v>2664</v>
      </c>
    </row>
    <row r="552" spans="1:12" ht="16.5" customHeight="1">
      <c r="A552" s="186" t="s">
        <v>2510</v>
      </c>
      <c r="B552" s="186">
        <v>37673621</v>
      </c>
      <c r="C552" s="549">
        <v>17446</v>
      </c>
      <c r="D552" s="130" t="s">
        <v>2733</v>
      </c>
      <c r="E552" s="130" t="s">
        <v>3828</v>
      </c>
      <c r="F552" s="130" t="s">
        <v>3829</v>
      </c>
      <c r="G552" s="550" t="s">
        <v>2446</v>
      </c>
      <c r="I552" s="165">
        <v>43731</v>
      </c>
      <c r="J552" s="551" t="s">
        <v>799</v>
      </c>
      <c r="K552" s="552" t="s">
        <v>67</v>
      </c>
      <c r="L552" s="130" t="s">
        <v>2664</v>
      </c>
    </row>
    <row r="553" spans="1:12" ht="16.5" customHeight="1">
      <c r="A553" s="186" t="s">
        <v>2510</v>
      </c>
      <c r="B553" s="186">
        <v>38252102</v>
      </c>
      <c r="C553" s="549">
        <v>20455</v>
      </c>
      <c r="D553" s="130" t="s">
        <v>3830</v>
      </c>
      <c r="E553" s="130" t="s">
        <v>3831</v>
      </c>
      <c r="F553" s="130" t="s">
        <v>3832</v>
      </c>
      <c r="G553" s="550" t="s">
        <v>2055</v>
      </c>
      <c r="I553" s="165">
        <v>43731</v>
      </c>
      <c r="J553" s="551" t="s">
        <v>799</v>
      </c>
      <c r="K553" s="552" t="s">
        <v>67</v>
      </c>
      <c r="L553" s="130" t="s">
        <v>2664</v>
      </c>
    </row>
    <row r="554" spans="1:12" ht="16.5" customHeight="1">
      <c r="A554" s="186" t="s">
        <v>2510</v>
      </c>
      <c r="B554" s="186">
        <v>39606652</v>
      </c>
      <c r="C554" s="549">
        <v>15211</v>
      </c>
      <c r="D554" s="130" t="s">
        <v>3833</v>
      </c>
      <c r="E554" s="130" t="s">
        <v>3834</v>
      </c>
      <c r="F554" s="130" t="s">
        <v>3835</v>
      </c>
      <c r="G554" s="550" t="s">
        <v>2174</v>
      </c>
      <c r="I554" s="165">
        <v>43731</v>
      </c>
      <c r="J554" s="551" t="s">
        <v>799</v>
      </c>
      <c r="K554" s="552" t="s">
        <v>67</v>
      </c>
      <c r="L554" s="130" t="s">
        <v>2664</v>
      </c>
    </row>
    <row r="555" spans="1:12" ht="16.5" customHeight="1">
      <c r="A555" s="186" t="s">
        <v>2510</v>
      </c>
      <c r="B555" s="186">
        <v>41156944</v>
      </c>
      <c r="C555" s="549">
        <v>18312</v>
      </c>
      <c r="D555" s="130" t="s">
        <v>2541</v>
      </c>
      <c r="E555" s="130" t="s">
        <v>3836</v>
      </c>
      <c r="F555" s="130" t="s">
        <v>3837</v>
      </c>
      <c r="G555" s="550" t="s">
        <v>2413</v>
      </c>
      <c r="I555" s="165">
        <v>43731</v>
      </c>
      <c r="J555" s="551" t="s">
        <v>799</v>
      </c>
      <c r="K555" s="552" t="s">
        <v>67</v>
      </c>
      <c r="L555" s="130" t="s">
        <v>2664</v>
      </c>
    </row>
    <row r="556" spans="1:12" ht="16.5" customHeight="1">
      <c r="A556" s="186" t="s">
        <v>2510</v>
      </c>
      <c r="B556" s="186">
        <v>41219155</v>
      </c>
      <c r="C556" s="549">
        <v>19915</v>
      </c>
      <c r="D556" s="130" t="s">
        <v>3838</v>
      </c>
      <c r="E556" s="130" t="s">
        <v>3839</v>
      </c>
      <c r="F556" s="130" t="s">
        <v>3840</v>
      </c>
      <c r="G556" s="550" t="s">
        <v>2484</v>
      </c>
      <c r="I556" s="165">
        <v>43731</v>
      </c>
      <c r="J556" s="551" t="s">
        <v>799</v>
      </c>
      <c r="K556" s="552" t="s">
        <v>67</v>
      </c>
      <c r="L556" s="130" t="s">
        <v>2664</v>
      </c>
    </row>
    <row r="557" spans="1:12" ht="16.5" customHeight="1">
      <c r="A557" s="186" t="s">
        <v>3841</v>
      </c>
      <c r="B557" s="186">
        <v>95642260</v>
      </c>
      <c r="C557" s="549">
        <v>16224</v>
      </c>
      <c r="D557" s="130" t="s">
        <v>3311</v>
      </c>
      <c r="E557" s="130" t="s">
        <v>3797</v>
      </c>
      <c r="F557" s="130" t="s">
        <v>3004</v>
      </c>
      <c r="G557" s="550" t="s">
        <v>2112</v>
      </c>
      <c r="I557" s="165">
        <v>43731</v>
      </c>
      <c r="J557" s="551" t="s">
        <v>2516</v>
      </c>
      <c r="L557" s="130" t="s">
        <v>3842</v>
      </c>
    </row>
    <row r="558" spans="1:12" ht="16.5" customHeight="1">
      <c r="A558" s="186" t="s">
        <v>3841</v>
      </c>
      <c r="B558" s="186">
        <v>95059952</v>
      </c>
      <c r="D558" s="130" t="s">
        <v>3843</v>
      </c>
      <c r="E558" s="130" t="s">
        <v>3259</v>
      </c>
      <c r="F558" s="130" t="s">
        <v>3844</v>
      </c>
      <c r="G558" s="550" t="s">
        <v>2972</v>
      </c>
      <c r="H558" s="130" t="s">
        <v>3845</v>
      </c>
      <c r="I558" s="165">
        <v>43731</v>
      </c>
      <c r="J558" s="551" t="s">
        <v>799</v>
      </c>
      <c r="K558" s="552" t="s">
        <v>2516</v>
      </c>
      <c r="L558" s="130" t="s">
        <v>3846</v>
      </c>
    </row>
    <row r="559" spans="1:12" ht="16.5" customHeight="1">
      <c r="A559" s="186" t="s">
        <v>3841</v>
      </c>
      <c r="B559" s="186">
        <v>82368986</v>
      </c>
      <c r="D559" s="130" t="s">
        <v>2602</v>
      </c>
      <c r="E559" s="130" t="s">
        <v>3847</v>
      </c>
      <c r="F559" s="130" t="s">
        <v>3848</v>
      </c>
      <c r="G559" s="550" t="s">
        <v>2081</v>
      </c>
      <c r="H559" s="130" t="s">
        <v>3849</v>
      </c>
      <c r="I559" s="165">
        <v>43731</v>
      </c>
      <c r="J559" s="551" t="s">
        <v>799</v>
      </c>
      <c r="K559" s="552" t="s">
        <v>2516</v>
      </c>
      <c r="L559" s="130" t="s">
        <v>3846</v>
      </c>
    </row>
    <row r="560" spans="1:12" ht="16.5" customHeight="1">
      <c r="A560" s="186" t="s">
        <v>2510</v>
      </c>
      <c r="B560" s="186">
        <v>96899885</v>
      </c>
      <c r="C560" s="549">
        <v>24624</v>
      </c>
      <c r="D560" s="130" t="s">
        <v>3224</v>
      </c>
      <c r="E560" s="130" t="s">
        <v>3850</v>
      </c>
      <c r="F560" s="130" t="s">
        <v>3851</v>
      </c>
      <c r="G560" s="550" t="s">
        <v>2174</v>
      </c>
      <c r="I560" s="165">
        <v>43731</v>
      </c>
      <c r="J560" s="551" t="s">
        <v>799</v>
      </c>
      <c r="K560" s="552" t="s">
        <v>73</v>
      </c>
      <c r="L560" s="130" t="s">
        <v>2870</v>
      </c>
    </row>
    <row r="561" spans="1:12" ht="16.5" customHeight="1">
      <c r="A561" s="186" t="s">
        <v>2510</v>
      </c>
      <c r="B561" s="186">
        <v>22301</v>
      </c>
      <c r="C561" s="549">
        <v>17168</v>
      </c>
      <c r="D561" s="130" t="s">
        <v>3317</v>
      </c>
      <c r="E561" s="130" t="s">
        <v>3852</v>
      </c>
      <c r="F561" s="130" t="s">
        <v>3853</v>
      </c>
      <c r="G561" s="550" t="s">
        <v>2465</v>
      </c>
      <c r="I561" s="165">
        <v>43732</v>
      </c>
      <c r="J561" s="551" t="s">
        <v>799</v>
      </c>
      <c r="K561" s="552" t="s">
        <v>72</v>
      </c>
      <c r="L561" s="130" t="s">
        <v>2866</v>
      </c>
    </row>
    <row r="562" spans="1:12" ht="16.5" customHeight="1">
      <c r="A562" s="186" t="s">
        <v>2510</v>
      </c>
      <c r="B562" s="186">
        <v>1235753</v>
      </c>
      <c r="C562" s="549">
        <v>15235</v>
      </c>
      <c r="D562" s="130" t="s">
        <v>3468</v>
      </c>
      <c r="E562" s="130" t="s">
        <v>3854</v>
      </c>
      <c r="F562" s="130" t="s">
        <v>3855</v>
      </c>
      <c r="G562" s="550" t="s">
        <v>2055</v>
      </c>
      <c r="I562" s="165">
        <v>43732</v>
      </c>
      <c r="J562" s="551" t="s">
        <v>799</v>
      </c>
      <c r="K562" s="552" t="s">
        <v>72</v>
      </c>
      <c r="L562" s="130" t="s">
        <v>2866</v>
      </c>
    </row>
    <row r="563" spans="1:12" ht="16.5" customHeight="1">
      <c r="A563" s="186" t="s">
        <v>2510</v>
      </c>
      <c r="B563" s="186">
        <v>1647767</v>
      </c>
      <c r="C563" s="549">
        <v>18773</v>
      </c>
      <c r="D563" s="130" t="s">
        <v>3856</v>
      </c>
      <c r="E563" s="130" t="s">
        <v>3857</v>
      </c>
      <c r="F563" s="130" t="s">
        <v>3858</v>
      </c>
      <c r="G563" s="550" t="s">
        <v>2055</v>
      </c>
      <c r="I563" s="165">
        <v>43732</v>
      </c>
      <c r="J563" s="551" t="s">
        <v>799</v>
      </c>
      <c r="K563" s="552" t="s">
        <v>72</v>
      </c>
      <c r="L563" s="130" t="s">
        <v>2866</v>
      </c>
    </row>
    <row r="564" spans="1:12" ht="16.5" customHeight="1">
      <c r="A564" s="186" t="s">
        <v>2510</v>
      </c>
      <c r="B564" s="186">
        <v>3354701</v>
      </c>
      <c r="C564" s="549">
        <v>21174</v>
      </c>
      <c r="D564" s="130" t="s">
        <v>3011</v>
      </c>
      <c r="E564" s="130" t="s">
        <v>3859</v>
      </c>
      <c r="F564" s="130" t="s">
        <v>3855</v>
      </c>
      <c r="G564" s="550" t="s">
        <v>2055</v>
      </c>
      <c r="I564" s="165">
        <v>43732</v>
      </c>
      <c r="J564" s="551" t="s">
        <v>799</v>
      </c>
      <c r="K564" s="552" t="s">
        <v>72</v>
      </c>
      <c r="L564" s="130" t="s">
        <v>2866</v>
      </c>
    </row>
    <row r="565" spans="1:12" ht="16.5" customHeight="1">
      <c r="A565" s="186" t="s">
        <v>2510</v>
      </c>
      <c r="B565" s="186">
        <v>21271168</v>
      </c>
      <c r="C565" s="549">
        <v>21283</v>
      </c>
      <c r="D565" s="130" t="s">
        <v>3478</v>
      </c>
      <c r="E565" s="130" t="s">
        <v>3860</v>
      </c>
      <c r="F565" s="130" t="s">
        <v>3861</v>
      </c>
      <c r="G565" s="550" t="s">
        <v>2059</v>
      </c>
      <c r="I565" s="165">
        <v>43732</v>
      </c>
      <c r="J565" s="551" t="s">
        <v>799</v>
      </c>
      <c r="K565" s="552" t="s">
        <v>72</v>
      </c>
      <c r="L565" s="130" t="s">
        <v>2866</v>
      </c>
    </row>
    <row r="566" spans="1:12" ht="16.5" customHeight="1">
      <c r="A566" s="186" t="s">
        <v>2510</v>
      </c>
      <c r="B566" s="186">
        <v>23296452</v>
      </c>
      <c r="C566" s="549">
        <v>6520</v>
      </c>
      <c r="D566" s="130" t="s">
        <v>2597</v>
      </c>
      <c r="E566" s="130" t="s">
        <v>3862</v>
      </c>
      <c r="F566" s="130" t="s">
        <v>3863</v>
      </c>
      <c r="G566" s="550" t="s">
        <v>2240</v>
      </c>
      <c r="I566" s="165">
        <v>43732</v>
      </c>
      <c r="J566" s="551" t="s">
        <v>799</v>
      </c>
      <c r="K566" s="552" t="s">
        <v>72</v>
      </c>
      <c r="L566" s="130" t="s">
        <v>2866</v>
      </c>
    </row>
    <row r="567" spans="1:12" ht="16.5" customHeight="1">
      <c r="A567" s="186" t="s">
        <v>2510</v>
      </c>
      <c r="B567" s="186">
        <v>26566133</v>
      </c>
      <c r="C567" s="549">
        <v>18994</v>
      </c>
      <c r="D567" s="130" t="s">
        <v>3825</v>
      </c>
      <c r="E567" s="130" t="s">
        <v>3864</v>
      </c>
      <c r="F567" s="130" t="s">
        <v>3865</v>
      </c>
      <c r="G567" s="550" t="s">
        <v>2059</v>
      </c>
      <c r="I567" s="165">
        <v>43732</v>
      </c>
      <c r="J567" s="551" t="s">
        <v>799</v>
      </c>
      <c r="K567" s="552" t="s">
        <v>72</v>
      </c>
      <c r="L567" s="130" t="s">
        <v>2866</v>
      </c>
    </row>
    <row r="568" spans="1:12" ht="16.5" customHeight="1">
      <c r="A568" s="186" t="s">
        <v>2510</v>
      </c>
      <c r="B568" s="186">
        <v>28281806</v>
      </c>
      <c r="C568" s="549">
        <v>18780</v>
      </c>
      <c r="D568" s="130" t="s">
        <v>3103</v>
      </c>
      <c r="E568" s="130" t="s">
        <v>3866</v>
      </c>
      <c r="F568" s="130" t="s">
        <v>3867</v>
      </c>
      <c r="G568" s="550" t="s">
        <v>2413</v>
      </c>
      <c r="I568" s="165">
        <v>43732</v>
      </c>
      <c r="J568" s="551" t="s">
        <v>799</v>
      </c>
      <c r="K568" s="552" t="s">
        <v>72</v>
      </c>
      <c r="L568" s="130" t="s">
        <v>2866</v>
      </c>
    </row>
    <row r="569" spans="1:12" ht="16.5" customHeight="1">
      <c r="A569" s="186" t="s">
        <v>2510</v>
      </c>
      <c r="B569" s="186">
        <v>29351046</v>
      </c>
      <c r="C569" s="549">
        <v>16316</v>
      </c>
      <c r="D569" s="130" t="s">
        <v>3868</v>
      </c>
      <c r="E569" s="130" t="s">
        <v>2998</v>
      </c>
      <c r="F569" s="130" t="s">
        <v>3460</v>
      </c>
      <c r="G569" s="550" t="s">
        <v>2299</v>
      </c>
      <c r="I569" s="165">
        <v>43732</v>
      </c>
      <c r="J569" s="551" t="s">
        <v>799</v>
      </c>
      <c r="K569" s="552" t="s">
        <v>72</v>
      </c>
      <c r="L569" s="130" t="s">
        <v>2866</v>
      </c>
    </row>
    <row r="570" spans="1:12" ht="16.5" customHeight="1">
      <c r="A570" s="186" t="s">
        <v>2510</v>
      </c>
      <c r="B570" s="186">
        <v>33114893</v>
      </c>
      <c r="C570" s="549">
        <v>16680</v>
      </c>
      <c r="D570" s="130" t="s">
        <v>3869</v>
      </c>
      <c r="E570" s="130" t="s">
        <v>3870</v>
      </c>
      <c r="F570" s="130" t="s">
        <v>3871</v>
      </c>
      <c r="G570" s="550" t="s">
        <v>2446</v>
      </c>
      <c r="I570" s="165">
        <v>43732</v>
      </c>
      <c r="J570" s="551" t="s">
        <v>799</v>
      </c>
      <c r="K570" s="552" t="s">
        <v>72</v>
      </c>
      <c r="L570" s="130" t="s">
        <v>2866</v>
      </c>
    </row>
    <row r="571" spans="1:12" ht="16.5" customHeight="1">
      <c r="A571" s="186" t="s">
        <v>2510</v>
      </c>
      <c r="B571" s="186">
        <v>35693720</v>
      </c>
      <c r="C571" s="549">
        <v>21034</v>
      </c>
      <c r="D571" s="130" t="s">
        <v>3872</v>
      </c>
      <c r="E571" s="130" t="s">
        <v>3873</v>
      </c>
      <c r="F571" s="130" t="s">
        <v>3874</v>
      </c>
      <c r="G571" s="550" t="s">
        <v>2413</v>
      </c>
      <c r="I571" s="165">
        <v>43732</v>
      </c>
      <c r="J571" s="551" t="s">
        <v>799</v>
      </c>
      <c r="K571" s="552" t="s">
        <v>72</v>
      </c>
      <c r="L571" s="130" t="s">
        <v>2866</v>
      </c>
    </row>
    <row r="572" spans="1:12" ht="16.5" customHeight="1">
      <c r="A572" s="186" t="s">
        <v>2510</v>
      </c>
      <c r="B572" s="186">
        <v>35751114</v>
      </c>
      <c r="C572" s="549">
        <v>19886</v>
      </c>
      <c r="D572" s="130" t="s">
        <v>3875</v>
      </c>
      <c r="E572" s="130" t="s">
        <v>3876</v>
      </c>
      <c r="F572" s="130" t="s">
        <v>3371</v>
      </c>
      <c r="G572" s="550" t="s">
        <v>2174</v>
      </c>
      <c r="I572" s="165">
        <v>43732</v>
      </c>
      <c r="J572" s="551" t="s">
        <v>799</v>
      </c>
      <c r="K572" s="552" t="s">
        <v>72</v>
      </c>
      <c r="L572" s="130" t="s">
        <v>2866</v>
      </c>
    </row>
    <row r="573" spans="1:12" ht="16.5" customHeight="1">
      <c r="A573" s="186" t="s">
        <v>2510</v>
      </c>
      <c r="B573" s="186">
        <v>37672714</v>
      </c>
      <c r="C573" s="549">
        <v>14382</v>
      </c>
      <c r="D573" s="130" t="s">
        <v>2511</v>
      </c>
      <c r="E573" s="130" t="s">
        <v>3877</v>
      </c>
      <c r="F573" s="130" t="s">
        <v>3878</v>
      </c>
      <c r="G573" s="550" t="s">
        <v>2055</v>
      </c>
      <c r="I573" s="165">
        <v>43732</v>
      </c>
      <c r="J573" s="551" t="s">
        <v>799</v>
      </c>
      <c r="K573" s="552" t="s">
        <v>72</v>
      </c>
      <c r="L573" s="130" t="s">
        <v>2866</v>
      </c>
    </row>
    <row r="574" spans="1:12" ht="16.5" customHeight="1">
      <c r="A574" s="186" t="s">
        <v>2510</v>
      </c>
      <c r="B574" s="186">
        <v>38307609</v>
      </c>
      <c r="C574" s="549">
        <v>17197</v>
      </c>
      <c r="D574" s="130" t="s">
        <v>3879</v>
      </c>
      <c r="E574" s="130" t="s">
        <v>3880</v>
      </c>
      <c r="F574" s="130" t="s">
        <v>3881</v>
      </c>
      <c r="G574" s="550" t="s">
        <v>2174</v>
      </c>
      <c r="I574" s="165">
        <v>43732</v>
      </c>
      <c r="J574" s="551" t="s">
        <v>799</v>
      </c>
      <c r="K574" s="552" t="s">
        <v>72</v>
      </c>
      <c r="L574" s="130" t="s">
        <v>2866</v>
      </c>
    </row>
    <row r="575" spans="1:12" ht="16.5" customHeight="1">
      <c r="A575" s="186" t="s">
        <v>2510</v>
      </c>
      <c r="B575" s="186">
        <v>38758918</v>
      </c>
      <c r="C575" s="549">
        <v>18572</v>
      </c>
      <c r="D575" s="130" t="s">
        <v>3409</v>
      </c>
      <c r="E575" s="130" t="s">
        <v>3882</v>
      </c>
      <c r="F575" s="130" t="s">
        <v>3883</v>
      </c>
      <c r="G575" s="550" t="s">
        <v>2059</v>
      </c>
      <c r="I575" s="165">
        <v>43732</v>
      </c>
      <c r="J575" s="551" t="s">
        <v>799</v>
      </c>
      <c r="K575" s="552" t="s">
        <v>72</v>
      </c>
      <c r="L575" s="130" t="s">
        <v>2866</v>
      </c>
    </row>
    <row r="576" spans="1:12" ht="16.5" customHeight="1">
      <c r="A576" s="186" t="s">
        <v>2510</v>
      </c>
      <c r="B576" s="186">
        <v>38816401</v>
      </c>
      <c r="C576" s="549">
        <v>15462</v>
      </c>
      <c r="D576" s="130" t="s">
        <v>3400</v>
      </c>
      <c r="E576" s="130" t="s">
        <v>3884</v>
      </c>
      <c r="F576" s="130" t="s">
        <v>3885</v>
      </c>
      <c r="G576" s="550" t="s">
        <v>2255</v>
      </c>
      <c r="I576" s="165">
        <v>43732</v>
      </c>
      <c r="J576" s="551" t="s">
        <v>799</v>
      </c>
      <c r="K576" s="552" t="s">
        <v>72</v>
      </c>
      <c r="L576" s="130" t="s">
        <v>2866</v>
      </c>
    </row>
    <row r="577" spans="1:12" ht="16.5" customHeight="1">
      <c r="A577" s="186" t="s">
        <v>2510</v>
      </c>
      <c r="B577" s="186">
        <v>514919</v>
      </c>
      <c r="C577" s="549">
        <v>8402</v>
      </c>
      <c r="D577" s="130" t="s">
        <v>3886</v>
      </c>
      <c r="E577" s="130" t="s">
        <v>3887</v>
      </c>
      <c r="F577" s="130" t="s">
        <v>3855</v>
      </c>
      <c r="G577" s="550" t="s">
        <v>2055</v>
      </c>
      <c r="I577" s="165">
        <v>43732</v>
      </c>
      <c r="J577" s="551" t="s">
        <v>799</v>
      </c>
      <c r="K577" s="552" t="s">
        <v>73</v>
      </c>
      <c r="L577" s="130" t="s">
        <v>2870</v>
      </c>
    </row>
    <row r="578" spans="1:12" ht="16.5" customHeight="1">
      <c r="A578" s="186" t="s">
        <v>2510</v>
      </c>
      <c r="B578" s="186">
        <v>606749</v>
      </c>
      <c r="C578" s="549">
        <v>15012</v>
      </c>
      <c r="D578" s="130" t="s">
        <v>3888</v>
      </c>
      <c r="E578" s="130" t="s">
        <v>2657</v>
      </c>
      <c r="F578" s="130" t="s">
        <v>2608</v>
      </c>
      <c r="G578" s="550" t="s">
        <v>2299</v>
      </c>
      <c r="I578" s="165">
        <v>43732</v>
      </c>
      <c r="J578" s="551" t="s">
        <v>799</v>
      </c>
      <c r="K578" s="552" t="s">
        <v>73</v>
      </c>
      <c r="L578" s="130" t="s">
        <v>2870</v>
      </c>
    </row>
    <row r="579" spans="1:12" ht="16.5" customHeight="1">
      <c r="A579" s="186" t="s">
        <v>2510</v>
      </c>
      <c r="B579" s="186">
        <v>647552</v>
      </c>
      <c r="C579" s="549">
        <v>18536</v>
      </c>
      <c r="D579" s="130" t="s">
        <v>3889</v>
      </c>
      <c r="E579" s="130" t="s">
        <v>3890</v>
      </c>
      <c r="F579" s="130" t="s">
        <v>3891</v>
      </c>
      <c r="G579" s="550" t="s">
        <v>2055</v>
      </c>
      <c r="I579" s="165">
        <v>43732</v>
      </c>
      <c r="J579" s="551" t="s">
        <v>799</v>
      </c>
      <c r="K579" s="552" t="s">
        <v>73</v>
      </c>
      <c r="L579" s="130" t="s">
        <v>2870</v>
      </c>
    </row>
    <row r="580" spans="1:12" ht="16.5" customHeight="1">
      <c r="A580" s="186" t="s">
        <v>2510</v>
      </c>
      <c r="B580" s="186">
        <v>650697</v>
      </c>
      <c r="C580" s="549">
        <v>19201</v>
      </c>
      <c r="D580" s="130" t="s">
        <v>3317</v>
      </c>
      <c r="E580" s="130" t="s">
        <v>3892</v>
      </c>
      <c r="F580" s="130" t="s">
        <v>3893</v>
      </c>
      <c r="G580" s="550" t="s">
        <v>2465</v>
      </c>
      <c r="I580" s="165">
        <v>43732</v>
      </c>
      <c r="J580" s="551" t="s">
        <v>799</v>
      </c>
      <c r="K580" s="552" t="s">
        <v>73</v>
      </c>
      <c r="L580" s="130" t="s">
        <v>2870</v>
      </c>
    </row>
    <row r="581" spans="1:12" ht="16.5" customHeight="1">
      <c r="A581" s="186" t="s">
        <v>2510</v>
      </c>
      <c r="B581" s="186">
        <v>2282622</v>
      </c>
      <c r="C581" s="549">
        <v>13889</v>
      </c>
      <c r="D581" s="130" t="s">
        <v>3101</v>
      </c>
      <c r="E581" s="130" t="s">
        <v>3894</v>
      </c>
      <c r="F581" s="130" t="s">
        <v>3079</v>
      </c>
      <c r="G581" s="550" t="s">
        <v>2052</v>
      </c>
      <c r="I581" s="165">
        <v>43732</v>
      </c>
      <c r="J581" s="551" t="s">
        <v>799</v>
      </c>
      <c r="K581" s="552" t="s">
        <v>73</v>
      </c>
      <c r="L581" s="130" t="s">
        <v>2870</v>
      </c>
    </row>
    <row r="582" spans="1:12" ht="16.5" customHeight="1">
      <c r="A582" s="186" t="s">
        <v>2510</v>
      </c>
      <c r="B582" s="186">
        <v>2359354</v>
      </c>
      <c r="C582" s="549">
        <v>18416</v>
      </c>
      <c r="D582" s="130" t="s">
        <v>2871</v>
      </c>
      <c r="E582" s="130" t="s">
        <v>3895</v>
      </c>
      <c r="F582" s="130" t="s">
        <v>2869</v>
      </c>
      <c r="G582" s="550" t="s">
        <v>2413</v>
      </c>
      <c r="I582" s="165">
        <v>43732</v>
      </c>
      <c r="J582" s="551" t="s">
        <v>799</v>
      </c>
      <c r="K582" s="552" t="s">
        <v>73</v>
      </c>
      <c r="L582" s="130" t="s">
        <v>2870</v>
      </c>
    </row>
    <row r="583" spans="1:12" ht="16.5" customHeight="1">
      <c r="A583" s="186" t="s">
        <v>2510</v>
      </c>
      <c r="B583" s="186">
        <v>2425072</v>
      </c>
      <c r="C583" s="549">
        <v>17737</v>
      </c>
      <c r="D583" s="130" t="s">
        <v>3896</v>
      </c>
      <c r="E583" s="130" t="s">
        <v>3897</v>
      </c>
      <c r="F583" s="130" t="s">
        <v>2582</v>
      </c>
      <c r="G583" s="550" t="s">
        <v>2174</v>
      </c>
      <c r="I583" s="165">
        <v>43732</v>
      </c>
      <c r="J583" s="551" t="s">
        <v>799</v>
      </c>
      <c r="K583" s="552" t="s">
        <v>73</v>
      </c>
      <c r="L583" s="130" t="s">
        <v>2870</v>
      </c>
    </row>
    <row r="584" spans="1:12" ht="16.5" customHeight="1">
      <c r="A584" s="186" t="s">
        <v>2510</v>
      </c>
      <c r="B584" s="186">
        <v>3004041</v>
      </c>
      <c r="C584" s="549">
        <v>16762</v>
      </c>
      <c r="D584" s="130" t="s">
        <v>3898</v>
      </c>
      <c r="E584" s="130" t="s">
        <v>3899</v>
      </c>
      <c r="F584" s="130" t="s">
        <v>3900</v>
      </c>
      <c r="G584" s="550" t="s">
        <v>2055</v>
      </c>
      <c r="I584" s="165">
        <v>43732</v>
      </c>
      <c r="J584" s="551" t="s">
        <v>799</v>
      </c>
      <c r="K584" s="552" t="s">
        <v>73</v>
      </c>
      <c r="L584" s="130" t="s">
        <v>2870</v>
      </c>
    </row>
    <row r="585" spans="1:12" ht="16.5" customHeight="1">
      <c r="A585" s="186" t="s">
        <v>2510</v>
      </c>
      <c r="B585" s="186">
        <v>3091337</v>
      </c>
      <c r="C585" s="549">
        <v>16459</v>
      </c>
      <c r="D585" s="130" t="s">
        <v>3901</v>
      </c>
      <c r="E585" s="130" t="s">
        <v>3902</v>
      </c>
      <c r="F585" s="130" t="s">
        <v>3903</v>
      </c>
      <c r="G585" s="550" t="s">
        <v>2052</v>
      </c>
      <c r="I585" s="165">
        <v>43732</v>
      </c>
      <c r="J585" s="551" t="s">
        <v>799</v>
      </c>
      <c r="K585" s="552" t="s">
        <v>73</v>
      </c>
      <c r="L585" s="130" t="s">
        <v>2870</v>
      </c>
    </row>
    <row r="586" spans="1:12" ht="16.5" customHeight="1">
      <c r="A586" s="186" t="s">
        <v>2510</v>
      </c>
      <c r="B586" s="186">
        <v>3199601</v>
      </c>
      <c r="C586" s="549">
        <v>17832</v>
      </c>
      <c r="D586" s="130" t="s">
        <v>3103</v>
      </c>
      <c r="E586" s="130" t="s">
        <v>3904</v>
      </c>
      <c r="F586" s="130" t="s">
        <v>3905</v>
      </c>
      <c r="G586" s="550" t="s">
        <v>2055</v>
      </c>
      <c r="I586" s="165">
        <v>43732</v>
      </c>
      <c r="J586" s="551" t="s">
        <v>799</v>
      </c>
      <c r="K586" s="552" t="s">
        <v>73</v>
      </c>
      <c r="L586" s="130" t="s">
        <v>2870</v>
      </c>
    </row>
    <row r="587" spans="1:12" ht="16.5" customHeight="1">
      <c r="A587" s="186" t="s">
        <v>2510</v>
      </c>
      <c r="B587" s="186">
        <v>4102141</v>
      </c>
      <c r="C587" s="549">
        <v>21430</v>
      </c>
      <c r="D587" s="130" t="s">
        <v>2665</v>
      </c>
      <c r="E587" s="130" t="s">
        <v>3906</v>
      </c>
      <c r="F587" s="130" t="s">
        <v>3907</v>
      </c>
      <c r="G587" s="550" t="s">
        <v>2446</v>
      </c>
      <c r="I587" s="165">
        <v>43732</v>
      </c>
      <c r="J587" s="551" t="s">
        <v>799</v>
      </c>
      <c r="K587" s="552" t="s">
        <v>73</v>
      </c>
      <c r="L587" s="130" t="s">
        <v>2870</v>
      </c>
    </row>
    <row r="588" spans="1:12" ht="16.5" customHeight="1">
      <c r="A588" s="186" t="s">
        <v>2510</v>
      </c>
      <c r="B588" s="186">
        <v>4563201</v>
      </c>
      <c r="C588" s="549">
        <v>18378</v>
      </c>
      <c r="D588" s="130" t="s">
        <v>3908</v>
      </c>
      <c r="E588" s="130" t="s">
        <v>2552</v>
      </c>
      <c r="F588" s="130" t="s">
        <v>3909</v>
      </c>
      <c r="G588" s="550" t="s">
        <v>2299</v>
      </c>
      <c r="I588" s="165">
        <v>43732</v>
      </c>
      <c r="J588" s="551" t="s">
        <v>799</v>
      </c>
      <c r="K588" s="552" t="s">
        <v>73</v>
      </c>
      <c r="L588" s="130" t="s">
        <v>2870</v>
      </c>
    </row>
    <row r="589" spans="1:12" ht="16.5" customHeight="1">
      <c r="A589" s="186" t="s">
        <v>2510</v>
      </c>
      <c r="B589" s="186">
        <v>4837241</v>
      </c>
      <c r="C589" s="549">
        <v>21467</v>
      </c>
      <c r="D589" s="130" t="s">
        <v>2665</v>
      </c>
      <c r="E589" s="130" t="s">
        <v>3910</v>
      </c>
      <c r="F589" s="130" t="s">
        <v>3911</v>
      </c>
      <c r="G589" s="550" t="s">
        <v>2274</v>
      </c>
      <c r="I589" s="165">
        <v>43732</v>
      </c>
      <c r="J589" s="551" t="s">
        <v>799</v>
      </c>
      <c r="K589" s="552" t="s">
        <v>73</v>
      </c>
      <c r="L589" s="130" t="s">
        <v>2870</v>
      </c>
    </row>
    <row r="590" spans="1:12" ht="16.5" customHeight="1">
      <c r="A590" s="186" t="s">
        <v>2510</v>
      </c>
      <c r="B590" s="186">
        <v>4979746</v>
      </c>
      <c r="C590" s="549">
        <v>20941</v>
      </c>
      <c r="D590" s="130" t="s">
        <v>3912</v>
      </c>
      <c r="E590" s="130" t="s">
        <v>3913</v>
      </c>
      <c r="F590" s="130" t="s">
        <v>3914</v>
      </c>
      <c r="G590" s="550" t="s">
        <v>2055</v>
      </c>
      <c r="I590" s="165">
        <v>43732</v>
      </c>
      <c r="J590" s="551" t="s">
        <v>799</v>
      </c>
      <c r="K590" s="552" t="s">
        <v>73</v>
      </c>
      <c r="L590" s="130" t="s">
        <v>2870</v>
      </c>
    </row>
    <row r="591" spans="1:12" ht="16.5" customHeight="1">
      <c r="A591" s="186" t="s">
        <v>2510</v>
      </c>
      <c r="B591" s="186">
        <v>5666623</v>
      </c>
      <c r="C591" s="549">
        <v>19238</v>
      </c>
      <c r="D591" s="130" t="s">
        <v>2665</v>
      </c>
      <c r="E591" s="130" t="s">
        <v>3915</v>
      </c>
      <c r="F591" s="130" t="s">
        <v>3916</v>
      </c>
      <c r="G591" s="550" t="s">
        <v>2059</v>
      </c>
      <c r="I591" s="165">
        <v>43732</v>
      </c>
      <c r="J591" s="551" t="s">
        <v>799</v>
      </c>
      <c r="K591" s="552" t="s">
        <v>73</v>
      </c>
      <c r="L591" s="130" t="s">
        <v>2870</v>
      </c>
    </row>
    <row r="592" spans="1:12" ht="16.5" customHeight="1">
      <c r="A592" s="186" t="s">
        <v>2510</v>
      </c>
      <c r="B592" s="186">
        <v>6098933</v>
      </c>
      <c r="C592" s="549">
        <v>13394</v>
      </c>
      <c r="D592" s="130" t="s">
        <v>3740</v>
      </c>
      <c r="E592" s="130" t="s">
        <v>3917</v>
      </c>
      <c r="F592" s="130" t="s">
        <v>3918</v>
      </c>
      <c r="G592" s="550" t="s">
        <v>2055</v>
      </c>
      <c r="I592" s="165">
        <v>43732</v>
      </c>
      <c r="J592" s="551" t="s">
        <v>799</v>
      </c>
      <c r="K592" s="552" t="s">
        <v>73</v>
      </c>
      <c r="L592" s="130" t="s">
        <v>2870</v>
      </c>
    </row>
    <row r="593" spans="1:12" ht="16.5" customHeight="1">
      <c r="A593" s="186" t="s">
        <v>2510</v>
      </c>
      <c r="B593" s="186">
        <v>6943427</v>
      </c>
      <c r="C593" s="549">
        <v>19628</v>
      </c>
      <c r="D593" s="130" t="s">
        <v>3919</v>
      </c>
      <c r="E593" s="130" t="s">
        <v>3920</v>
      </c>
      <c r="F593" s="130" t="s">
        <v>3921</v>
      </c>
      <c r="G593" s="550" t="s">
        <v>2059</v>
      </c>
      <c r="I593" s="165">
        <v>43732</v>
      </c>
      <c r="J593" s="551" t="s">
        <v>799</v>
      </c>
      <c r="K593" s="552" t="s">
        <v>73</v>
      </c>
      <c r="L593" s="130" t="s">
        <v>2870</v>
      </c>
    </row>
    <row r="594" spans="1:12" ht="16.5" customHeight="1">
      <c r="A594" s="186" t="s">
        <v>2510</v>
      </c>
      <c r="B594" s="186">
        <v>7051485</v>
      </c>
      <c r="C594" s="549">
        <v>19318</v>
      </c>
      <c r="D594" s="130" t="s">
        <v>3922</v>
      </c>
      <c r="E594" s="130" t="s">
        <v>3923</v>
      </c>
      <c r="F594" s="130" t="s">
        <v>3924</v>
      </c>
      <c r="G594" s="550" t="s">
        <v>2413</v>
      </c>
      <c r="I594" s="165">
        <v>43732</v>
      </c>
      <c r="J594" s="551" t="s">
        <v>799</v>
      </c>
      <c r="K594" s="552" t="s">
        <v>73</v>
      </c>
      <c r="L594" s="130" t="s">
        <v>2870</v>
      </c>
    </row>
    <row r="595" spans="1:12" ht="16.5" customHeight="1">
      <c r="A595" s="186" t="s">
        <v>2510</v>
      </c>
      <c r="B595" s="186">
        <v>7071582</v>
      </c>
      <c r="C595" s="549">
        <v>15301</v>
      </c>
      <c r="D595" s="130" t="s">
        <v>2597</v>
      </c>
      <c r="E595" s="130" t="s">
        <v>3925</v>
      </c>
      <c r="F595" s="130" t="s">
        <v>3926</v>
      </c>
      <c r="G595" s="550" t="s">
        <v>2059</v>
      </c>
      <c r="I595" s="165">
        <v>43732</v>
      </c>
      <c r="J595" s="551" t="s">
        <v>799</v>
      </c>
      <c r="K595" s="552" t="s">
        <v>73</v>
      </c>
      <c r="L595" s="130" t="s">
        <v>2870</v>
      </c>
    </row>
    <row r="596" spans="1:12" ht="16.5" customHeight="1">
      <c r="A596" s="186" t="s">
        <v>2510</v>
      </c>
      <c r="B596" s="186">
        <v>7705684</v>
      </c>
      <c r="C596" s="549">
        <v>11936</v>
      </c>
      <c r="D596" s="130" t="s">
        <v>3053</v>
      </c>
      <c r="E596" s="130" t="s">
        <v>3927</v>
      </c>
      <c r="F596" s="130" t="s">
        <v>2582</v>
      </c>
      <c r="G596" s="550" t="s">
        <v>2174</v>
      </c>
      <c r="I596" s="165">
        <v>43732</v>
      </c>
      <c r="J596" s="551" t="s">
        <v>799</v>
      </c>
      <c r="K596" s="552" t="s">
        <v>73</v>
      </c>
      <c r="L596" s="130" t="s">
        <v>2870</v>
      </c>
    </row>
    <row r="597" spans="1:12" ht="16.5" customHeight="1">
      <c r="A597" s="186" t="s">
        <v>2510</v>
      </c>
      <c r="B597" s="186">
        <v>7868722</v>
      </c>
      <c r="C597" s="549">
        <v>19500</v>
      </c>
      <c r="D597" s="130" t="s">
        <v>3103</v>
      </c>
      <c r="E597" s="130" t="s">
        <v>3928</v>
      </c>
      <c r="F597" s="130" t="s">
        <v>3929</v>
      </c>
      <c r="G597" s="550" t="s">
        <v>2059</v>
      </c>
      <c r="I597" s="165">
        <v>43732</v>
      </c>
      <c r="J597" s="551" t="s">
        <v>799</v>
      </c>
      <c r="K597" s="552" t="s">
        <v>73</v>
      </c>
      <c r="L597" s="130" t="s">
        <v>2870</v>
      </c>
    </row>
    <row r="598" spans="1:12" ht="16.5" customHeight="1">
      <c r="A598" s="186" t="s">
        <v>2510</v>
      </c>
      <c r="B598" s="186">
        <v>9428426</v>
      </c>
      <c r="C598" s="549">
        <v>14334</v>
      </c>
      <c r="D598" s="130" t="s">
        <v>3930</v>
      </c>
      <c r="E598" s="130" t="s">
        <v>3931</v>
      </c>
      <c r="F598" s="130" t="s">
        <v>3932</v>
      </c>
      <c r="G598" s="550" t="s">
        <v>2174</v>
      </c>
      <c r="I598" s="165">
        <v>43732</v>
      </c>
      <c r="J598" s="551" t="s">
        <v>799</v>
      </c>
      <c r="K598" s="552" t="s">
        <v>73</v>
      </c>
      <c r="L598" s="130" t="s">
        <v>2870</v>
      </c>
    </row>
    <row r="599" spans="1:12" ht="16.5" customHeight="1">
      <c r="A599" s="186" t="s">
        <v>2510</v>
      </c>
      <c r="B599" s="186">
        <v>9759721</v>
      </c>
      <c r="C599" s="549">
        <v>20526</v>
      </c>
      <c r="D599" s="130" t="s">
        <v>3147</v>
      </c>
      <c r="E599" s="130" t="s">
        <v>3933</v>
      </c>
      <c r="F599" s="130" t="s">
        <v>3934</v>
      </c>
      <c r="G599" s="550" t="s">
        <v>2059</v>
      </c>
      <c r="I599" s="165">
        <v>43732</v>
      </c>
      <c r="J599" s="551" t="s">
        <v>799</v>
      </c>
      <c r="K599" s="552" t="s">
        <v>73</v>
      </c>
      <c r="L599" s="130" t="s">
        <v>2870</v>
      </c>
    </row>
    <row r="600" spans="1:12" ht="16.5" customHeight="1">
      <c r="A600" s="186" t="s">
        <v>2510</v>
      </c>
      <c r="B600" s="186">
        <v>9959362</v>
      </c>
      <c r="C600" s="549">
        <v>12645</v>
      </c>
      <c r="D600" s="130" t="s">
        <v>3935</v>
      </c>
      <c r="E600" s="130" t="s">
        <v>3936</v>
      </c>
      <c r="F600" s="130" t="s">
        <v>3937</v>
      </c>
      <c r="G600" s="550" t="s">
        <v>2174</v>
      </c>
      <c r="I600" s="165">
        <v>43732</v>
      </c>
      <c r="J600" s="551" t="s">
        <v>799</v>
      </c>
      <c r="K600" s="552" t="s">
        <v>73</v>
      </c>
      <c r="L600" s="130" t="s">
        <v>2870</v>
      </c>
    </row>
    <row r="601" spans="1:12" ht="16.5" customHeight="1">
      <c r="A601" s="186" t="s">
        <v>2510</v>
      </c>
      <c r="B601" s="186">
        <v>10078236</v>
      </c>
      <c r="C601" s="549">
        <v>15841</v>
      </c>
      <c r="D601" s="130" t="s">
        <v>3318</v>
      </c>
      <c r="E601" s="130" t="s">
        <v>3938</v>
      </c>
      <c r="F601" s="130" t="s">
        <v>3939</v>
      </c>
      <c r="G601" s="550" t="s">
        <v>2052</v>
      </c>
      <c r="I601" s="165">
        <v>43732</v>
      </c>
      <c r="J601" s="551" t="s">
        <v>799</v>
      </c>
      <c r="K601" s="552" t="s">
        <v>73</v>
      </c>
      <c r="L601" s="130" t="s">
        <v>2870</v>
      </c>
    </row>
    <row r="602" spans="1:12" ht="16.5" customHeight="1">
      <c r="A602" s="186" t="s">
        <v>2510</v>
      </c>
      <c r="B602" s="186">
        <v>10169720</v>
      </c>
      <c r="C602" s="549">
        <v>18046</v>
      </c>
      <c r="D602" s="130" t="s">
        <v>3940</v>
      </c>
      <c r="E602" s="130" t="s">
        <v>3941</v>
      </c>
      <c r="F602" s="130" t="s">
        <v>3526</v>
      </c>
      <c r="G602" s="550" t="s">
        <v>2446</v>
      </c>
      <c r="I602" s="165">
        <v>43732</v>
      </c>
      <c r="J602" s="551" t="s">
        <v>799</v>
      </c>
      <c r="K602" s="552" t="s">
        <v>73</v>
      </c>
      <c r="L602" s="130" t="s">
        <v>2870</v>
      </c>
    </row>
    <row r="603" spans="1:12" ht="16.5" customHeight="1">
      <c r="A603" s="186" t="s">
        <v>2510</v>
      </c>
      <c r="B603" s="186">
        <v>10671931</v>
      </c>
      <c r="C603" s="549">
        <v>17630</v>
      </c>
      <c r="D603" s="130" t="s">
        <v>2724</v>
      </c>
      <c r="E603" s="130" t="s">
        <v>3942</v>
      </c>
      <c r="F603" s="130" t="s">
        <v>2608</v>
      </c>
      <c r="G603" s="550" t="s">
        <v>2299</v>
      </c>
      <c r="I603" s="165">
        <v>43732</v>
      </c>
      <c r="J603" s="551" t="s">
        <v>799</v>
      </c>
      <c r="K603" s="552" t="s">
        <v>73</v>
      </c>
      <c r="L603" s="130" t="s">
        <v>2870</v>
      </c>
    </row>
    <row r="604" spans="1:12" ht="16.5" customHeight="1">
      <c r="A604" s="186" t="s">
        <v>2510</v>
      </c>
      <c r="B604" s="186">
        <v>11393691</v>
      </c>
      <c r="C604" s="549">
        <v>21186</v>
      </c>
      <c r="D604" s="130" t="s">
        <v>3943</v>
      </c>
      <c r="E604" s="130" t="s">
        <v>3944</v>
      </c>
      <c r="F604" s="130" t="s">
        <v>3855</v>
      </c>
      <c r="G604" s="550" t="s">
        <v>2055</v>
      </c>
      <c r="I604" s="165">
        <v>43732</v>
      </c>
      <c r="J604" s="551" t="s">
        <v>799</v>
      </c>
      <c r="K604" s="552" t="s">
        <v>73</v>
      </c>
      <c r="L604" s="130" t="s">
        <v>2870</v>
      </c>
    </row>
    <row r="605" spans="1:12" ht="16.5" customHeight="1">
      <c r="A605" s="186" t="s">
        <v>2510</v>
      </c>
      <c r="B605" s="186">
        <v>11412483</v>
      </c>
      <c r="C605" s="549">
        <v>21049</v>
      </c>
      <c r="D605" s="130" t="s">
        <v>3692</v>
      </c>
      <c r="E605" s="130" t="s">
        <v>3945</v>
      </c>
      <c r="F605" s="130" t="s">
        <v>3946</v>
      </c>
      <c r="G605" s="550" t="s">
        <v>2055</v>
      </c>
      <c r="I605" s="165">
        <v>43732</v>
      </c>
      <c r="J605" s="551" t="s">
        <v>799</v>
      </c>
      <c r="K605" s="552" t="s">
        <v>73</v>
      </c>
      <c r="L605" s="130" t="s">
        <v>2870</v>
      </c>
    </row>
    <row r="606" spans="1:12" ht="16.5" customHeight="1">
      <c r="A606" s="186" t="s">
        <v>2510</v>
      </c>
      <c r="B606" s="186">
        <v>16609588</v>
      </c>
      <c r="C606" s="549">
        <v>17481</v>
      </c>
      <c r="D606" s="130" t="s">
        <v>3232</v>
      </c>
      <c r="E606" s="130" t="s">
        <v>3947</v>
      </c>
      <c r="F606" s="130" t="s">
        <v>3948</v>
      </c>
      <c r="G606" s="550" t="s">
        <v>2059</v>
      </c>
      <c r="I606" s="165">
        <v>43732</v>
      </c>
      <c r="J606" s="551" t="s">
        <v>799</v>
      </c>
      <c r="K606" s="552" t="s">
        <v>73</v>
      </c>
      <c r="L606" s="130" t="s">
        <v>2870</v>
      </c>
    </row>
    <row r="607" spans="1:12" ht="16.5" customHeight="1">
      <c r="A607" s="186" t="s">
        <v>2510</v>
      </c>
      <c r="B607" s="186">
        <v>16633828</v>
      </c>
      <c r="C607" s="549">
        <v>17309</v>
      </c>
      <c r="D607" s="130" t="s">
        <v>2541</v>
      </c>
      <c r="E607" s="130" t="s">
        <v>3949</v>
      </c>
      <c r="F607" s="130" t="s">
        <v>3950</v>
      </c>
      <c r="G607" s="550" t="s">
        <v>2465</v>
      </c>
      <c r="I607" s="165">
        <v>43732</v>
      </c>
      <c r="J607" s="551" t="s">
        <v>799</v>
      </c>
      <c r="K607" s="552" t="s">
        <v>73</v>
      </c>
      <c r="L607" s="130" t="s">
        <v>2870</v>
      </c>
    </row>
    <row r="608" spans="1:12" ht="16.5" customHeight="1">
      <c r="A608" s="186" t="s">
        <v>2510</v>
      </c>
      <c r="B608" s="186">
        <v>17289885</v>
      </c>
      <c r="C608" s="549">
        <v>20607</v>
      </c>
      <c r="D608" s="130" t="s">
        <v>3951</v>
      </c>
      <c r="E608" s="130" t="s">
        <v>3952</v>
      </c>
      <c r="F608" s="130" t="s">
        <v>3953</v>
      </c>
      <c r="G608" s="550" t="s">
        <v>2059</v>
      </c>
      <c r="I608" s="165">
        <v>43732</v>
      </c>
      <c r="J608" s="551" t="s">
        <v>799</v>
      </c>
      <c r="K608" s="552" t="s">
        <v>73</v>
      </c>
      <c r="L608" s="130" t="s">
        <v>2870</v>
      </c>
    </row>
    <row r="609" spans="1:12" ht="16.5" customHeight="1">
      <c r="A609" s="186" t="s">
        <v>2510</v>
      </c>
      <c r="B609" s="186">
        <v>18910547</v>
      </c>
      <c r="C609" s="549">
        <v>12872</v>
      </c>
      <c r="D609" s="130" t="s">
        <v>3783</v>
      </c>
      <c r="E609" s="130" t="s">
        <v>3954</v>
      </c>
      <c r="F609" s="130" t="s">
        <v>2737</v>
      </c>
      <c r="G609" s="550" t="s">
        <v>2059</v>
      </c>
      <c r="I609" s="165">
        <v>43732</v>
      </c>
      <c r="J609" s="551" t="s">
        <v>799</v>
      </c>
      <c r="K609" s="552" t="s">
        <v>73</v>
      </c>
      <c r="L609" s="130" t="s">
        <v>2870</v>
      </c>
    </row>
    <row r="610" spans="1:12" ht="16.5" customHeight="1">
      <c r="A610" s="186" t="s">
        <v>2510</v>
      </c>
      <c r="B610" s="186">
        <v>19269257</v>
      </c>
      <c r="C610" s="549">
        <v>10406</v>
      </c>
      <c r="D610" s="130" t="s">
        <v>3901</v>
      </c>
      <c r="E610" s="130" t="s">
        <v>3955</v>
      </c>
      <c r="F610" s="130" t="s">
        <v>3956</v>
      </c>
      <c r="G610" s="550" t="s">
        <v>2174</v>
      </c>
      <c r="I610" s="165">
        <v>43732</v>
      </c>
      <c r="J610" s="551" t="s">
        <v>799</v>
      </c>
      <c r="K610" s="552" t="s">
        <v>73</v>
      </c>
      <c r="L610" s="130" t="s">
        <v>2870</v>
      </c>
    </row>
    <row r="611" spans="1:12" ht="16.5" customHeight="1">
      <c r="A611" s="186" t="s">
        <v>2510</v>
      </c>
      <c r="B611" s="186">
        <v>19704071</v>
      </c>
      <c r="C611" s="549">
        <v>23236</v>
      </c>
      <c r="D611" s="130" t="s">
        <v>2758</v>
      </c>
      <c r="E611" s="130" t="s">
        <v>3957</v>
      </c>
      <c r="F611" s="130" t="s">
        <v>3958</v>
      </c>
      <c r="G611" s="550" t="s">
        <v>2055</v>
      </c>
      <c r="I611" s="165">
        <v>43732</v>
      </c>
      <c r="J611" s="551" t="s">
        <v>799</v>
      </c>
      <c r="K611" s="552" t="s">
        <v>73</v>
      </c>
      <c r="L611" s="130" t="s">
        <v>2870</v>
      </c>
    </row>
    <row r="612" spans="1:12" ht="16.5" customHeight="1">
      <c r="A612" s="186" t="s">
        <v>2510</v>
      </c>
      <c r="B612" s="186">
        <v>20031035</v>
      </c>
      <c r="C612" s="549">
        <v>19694</v>
      </c>
      <c r="D612" s="130" t="s">
        <v>2718</v>
      </c>
      <c r="E612" s="130" t="s">
        <v>3959</v>
      </c>
      <c r="F612" s="130" t="s">
        <v>3960</v>
      </c>
      <c r="G612" s="550" t="s">
        <v>2413</v>
      </c>
      <c r="I612" s="165">
        <v>43732</v>
      </c>
      <c r="J612" s="551" t="s">
        <v>799</v>
      </c>
      <c r="K612" s="552" t="s">
        <v>73</v>
      </c>
      <c r="L612" s="130" t="s">
        <v>2870</v>
      </c>
    </row>
    <row r="613" spans="1:12" ht="16.5" customHeight="1">
      <c r="A613" s="186" t="s">
        <v>2510</v>
      </c>
      <c r="B613" s="186">
        <v>21039169</v>
      </c>
      <c r="C613" s="549">
        <v>16173</v>
      </c>
      <c r="D613" s="130" t="s">
        <v>3961</v>
      </c>
      <c r="E613" s="130" t="s">
        <v>3962</v>
      </c>
      <c r="F613" s="130" t="s">
        <v>3963</v>
      </c>
      <c r="G613" s="550" t="s">
        <v>2413</v>
      </c>
      <c r="I613" s="165">
        <v>43732</v>
      </c>
      <c r="J613" s="551" t="s">
        <v>799</v>
      </c>
      <c r="K613" s="552" t="s">
        <v>73</v>
      </c>
      <c r="L613" s="130" t="s">
        <v>2870</v>
      </c>
    </row>
    <row r="614" spans="1:12" ht="16.5" customHeight="1">
      <c r="A614" s="186" t="s">
        <v>2510</v>
      </c>
      <c r="B614" s="186">
        <v>21939954</v>
      </c>
      <c r="C614" s="549">
        <v>16558</v>
      </c>
      <c r="D614" s="130" t="s">
        <v>2779</v>
      </c>
      <c r="E614" s="130" t="s">
        <v>3964</v>
      </c>
      <c r="F614" s="130" t="s">
        <v>3965</v>
      </c>
      <c r="G614" s="550" t="s">
        <v>2266</v>
      </c>
      <c r="I614" s="165">
        <v>43732</v>
      </c>
      <c r="J614" s="551" t="s">
        <v>799</v>
      </c>
      <c r="K614" s="552" t="s">
        <v>73</v>
      </c>
      <c r="L614" s="130" t="s">
        <v>2870</v>
      </c>
    </row>
    <row r="615" spans="1:12" ht="16.5" customHeight="1">
      <c r="A615" s="186" t="s">
        <v>2510</v>
      </c>
      <c r="B615" s="186">
        <v>23521586</v>
      </c>
      <c r="C615" s="549">
        <v>16704</v>
      </c>
      <c r="D615" s="130" t="s">
        <v>3510</v>
      </c>
      <c r="E615" s="130" t="s">
        <v>3966</v>
      </c>
      <c r="F615" s="130" t="s">
        <v>3967</v>
      </c>
      <c r="G615" s="550" t="s">
        <v>2174</v>
      </c>
      <c r="I615" s="165">
        <v>43732</v>
      </c>
      <c r="J615" s="551" t="s">
        <v>799</v>
      </c>
      <c r="K615" s="552" t="s">
        <v>73</v>
      </c>
      <c r="L615" s="130" t="s">
        <v>2870</v>
      </c>
    </row>
    <row r="616" spans="1:12" ht="16.5" customHeight="1">
      <c r="A616" s="186" t="s">
        <v>2510</v>
      </c>
      <c r="B616" s="186">
        <v>24927659</v>
      </c>
      <c r="C616" s="549">
        <v>16556</v>
      </c>
      <c r="D616" s="130" t="s">
        <v>3968</v>
      </c>
      <c r="E616" s="130" t="s">
        <v>3969</v>
      </c>
      <c r="F616" s="130" t="s">
        <v>3415</v>
      </c>
      <c r="G616" s="550" t="s">
        <v>2059</v>
      </c>
      <c r="I616" s="165">
        <v>43732</v>
      </c>
      <c r="J616" s="551" t="s">
        <v>799</v>
      </c>
      <c r="K616" s="552" t="s">
        <v>73</v>
      </c>
      <c r="L616" s="130" t="s">
        <v>2870</v>
      </c>
    </row>
    <row r="617" spans="1:12" ht="16.5" customHeight="1">
      <c r="A617" s="186" t="s">
        <v>2510</v>
      </c>
      <c r="B617" s="186">
        <v>25698879</v>
      </c>
      <c r="C617" s="549">
        <v>20821</v>
      </c>
      <c r="D617" s="130" t="s">
        <v>2665</v>
      </c>
      <c r="E617" s="130" t="s">
        <v>2909</v>
      </c>
      <c r="F617" s="130" t="s">
        <v>3970</v>
      </c>
      <c r="G617" s="550" t="s">
        <v>2413</v>
      </c>
      <c r="I617" s="165">
        <v>43732</v>
      </c>
      <c r="J617" s="551" t="s">
        <v>799</v>
      </c>
      <c r="K617" s="552" t="s">
        <v>73</v>
      </c>
      <c r="L617" s="130" t="s">
        <v>2870</v>
      </c>
    </row>
    <row r="618" spans="1:12" ht="16.5" customHeight="1">
      <c r="A618" s="186" t="s">
        <v>2510</v>
      </c>
      <c r="B618" s="186">
        <v>25841628</v>
      </c>
      <c r="C618" s="549">
        <v>18417</v>
      </c>
      <c r="D618" s="130" t="s">
        <v>3101</v>
      </c>
      <c r="E618" s="130" t="s">
        <v>3971</v>
      </c>
      <c r="F618" s="130" t="s">
        <v>2940</v>
      </c>
      <c r="G618" s="550" t="s">
        <v>2484</v>
      </c>
      <c r="I618" s="165">
        <v>43732</v>
      </c>
      <c r="J618" s="551" t="s">
        <v>799</v>
      </c>
      <c r="K618" s="552" t="s">
        <v>73</v>
      </c>
      <c r="L618" s="130" t="s">
        <v>2870</v>
      </c>
    </row>
    <row r="619" spans="1:12" ht="16.5" customHeight="1">
      <c r="A619" s="186" t="s">
        <v>2510</v>
      </c>
      <c r="B619" s="186">
        <v>25844036</v>
      </c>
      <c r="C619" s="549">
        <v>21107</v>
      </c>
      <c r="D619" s="130" t="s">
        <v>2903</v>
      </c>
      <c r="E619" s="130" t="s">
        <v>3972</v>
      </c>
      <c r="F619" s="130" t="s">
        <v>3973</v>
      </c>
      <c r="G619" s="550" t="s">
        <v>2059</v>
      </c>
      <c r="I619" s="165">
        <v>43732</v>
      </c>
      <c r="J619" s="551" t="s">
        <v>799</v>
      </c>
      <c r="K619" s="552" t="s">
        <v>73</v>
      </c>
      <c r="L619" s="130" t="s">
        <v>2870</v>
      </c>
    </row>
    <row r="620" spans="1:12" ht="16.5" customHeight="1">
      <c r="A620" s="186" t="s">
        <v>2510</v>
      </c>
      <c r="B620" s="186">
        <v>26868851</v>
      </c>
      <c r="C620" s="549">
        <v>19005</v>
      </c>
      <c r="D620" s="130" t="s">
        <v>2903</v>
      </c>
      <c r="E620" s="130" t="s">
        <v>3974</v>
      </c>
      <c r="F620" s="130" t="s">
        <v>3975</v>
      </c>
      <c r="G620" s="550" t="s">
        <v>2413</v>
      </c>
      <c r="I620" s="165">
        <v>43732</v>
      </c>
      <c r="J620" s="551" t="s">
        <v>799</v>
      </c>
      <c r="K620" s="552" t="s">
        <v>73</v>
      </c>
      <c r="L620" s="130" t="s">
        <v>2870</v>
      </c>
    </row>
    <row r="621" spans="1:12" ht="16.5" customHeight="1">
      <c r="A621" s="186" t="s">
        <v>2510</v>
      </c>
      <c r="B621" s="186">
        <v>26882522</v>
      </c>
      <c r="C621" s="549">
        <v>11930</v>
      </c>
      <c r="D621" s="130" t="s">
        <v>3384</v>
      </c>
      <c r="E621" s="130" t="s">
        <v>3976</v>
      </c>
      <c r="F621" s="130" t="s">
        <v>3977</v>
      </c>
      <c r="G621" s="550" t="s">
        <v>2299</v>
      </c>
      <c r="I621" s="165">
        <v>43732</v>
      </c>
      <c r="J621" s="551" t="s">
        <v>799</v>
      </c>
      <c r="K621" s="552" t="s">
        <v>73</v>
      </c>
      <c r="L621" s="130" t="s">
        <v>2870</v>
      </c>
    </row>
    <row r="622" spans="1:12" ht="16.5" customHeight="1">
      <c r="A622" s="186" t="s">
        <v>2510</v>
      </c>
      <c r="B622" s="186">
        <v>26890764</v>
      </c>
      <c r="C622" s="549">
        <v>21470</v>
      </c>
      <c r="D622" s="130" t="s">
        <v>2665</v>
      </c>
      <c r="E622" s="130" t="s">
        <v>3978</v>
      </c>
      <c r="F622" s="130" t="s">
        <v>3979</v>
      </c>
      <c r="G622" s="550" t="s">
        <v>2299</v>
      </c>
      <c r="I622" s="165">
        <v>43732</v>
      </c>
      <c r="J622" s="551" t="s">
        <v>799</v>
      </c>
      <c r="K622" s="552" t="s">
        <v>73</v>
      </c>
      <c r="L622" s="130" t="s">
        <v>2870</v>
      </c>
    </row>
    <row r="623" spans="1:12" ht="16.5" customHeight="1">
      <c r="A623" s="186" t="s">
        <v>2510</v>
      </c>
      <c r="B623" s="186">
        <v>27137116</v>
      </c>
      <c r="C623" s="549">
        <v>18218</v>
      </c>
      <c r="D623" s="130" t="s">
        <v>3080</v>
      </c>
      <c r="E623" s="130" t="s">
        <v>3980</v>
      </c>
      <c r="F623" s="130" t="s">
        <v>3815</v>
      </c>
      <c r="G623" s="550" t="s">
        <v>2059</v>
      </c>
      <c r="I623" s="165">
        <v>43732</v>
      </c>
      <c r="J623" s="551" t="s">
        <v>799</v>
      </c>
      <c r="K623" s="552" t="s">
        <v>73</v>
      </c>
      <c r="L623" s="130" t="s">
        <v>2870</v>
      </c>
    </row>
    <row r="624" spans="1:12" ht="16.5" customHeight="1">
      <c r="A624" s="186" t="s">
        <v>2510</v>
      </c>
      <c r="B624" s="186">
        <v>27341155</v>
      </c>
      <c r="C624" s="549">
        <v>18068</v>
      </c>
      <c r="D624" s="130" t="s">
        <v>3981</v>
      </c>
      <c r="E624" s="130" t="s">
        <v>3982</v>
      </c>
      <c r="F624" s="130" t="s">
        <v>3983</v>
      </c>
      <c r="G624" s="550" t="s">
        <v>2055</v>
      </c>
      <c r="I624" s="165">
        <v>43732</v>
      </c>
      <c r="J624" s="551" t="s">
        <v>799</v>
      </c>
      <c r="K624" s="552" t="s">
        <v>73</v>
      </c>
      <c r="L624" s="130" t="s">
        <v>2870</v>
      </c>
    </row>
    <row r="625" spans="1:12" ht="16.5" customHeight="1">
      <c r="A625" s="186" t="s">
        <v>2510</v>
      </c>
      <c r="B625" s="186">
        <v>27350230</v>
      </c>
      <c r="C625" s="549">
        <v>19725</v>
      </c>
      <c r="D625" s="130" t="s">
        <v>3101</v>
      </c>
      <c r="E625" s="130" t="s">
        <v>3984</v>
      </c>
      <c r="F625" s="130" t="s">
        <v>3985</v>
      </c>
      <c r="G625" s="550" t="s">
        <v>2055</v>
      </c>
      <c r="I625" s="165">
        <v>43732</v>
      </c>
      <c r="J625" s="551" t="s">
        <v>799</v>
      </c>
      <c r="K625" s="552" t="s">
        <v>73</v>
      </c>
      <c r="L625" s="130" t="s">
        <v>2870</v>
      </c>
    </row>
    <row r="626" spans="1:12" ht="16.5" customHeight="1">
      <c r="A626" s="186" t="s">
        <v>2510</v>
      </c>
      <c r="B626" s="186">
        <v>27813989</v>
      </c>
      <c r="C626" s="549">
        <v>15207</v>
      </c>
      <c r="D626" s="130" t="s">
        <v>3302</v>
      </c>
      <c r="E626" s="130" t="s">
        <v>2749</v>
      </c>
      <c r="F626" s="130" t="s">
        <v>3855</v>
      </c>
      <c r="G626" s="550" t="s">
        <v>2055</v>
      </c>
      <c r="I626" s="165">
        <v>43732</v>
      </c>
      <c r="J626" s="551" t="s">
        <v>799</v>
      </c>
      <c r="K626" s="552" t="s">
        <v>73</v>
      </c>
      <c r="L626" s="130" t="s">
        <v>2870</v>
      </c>
    </row>
    <row r="627" spans="1:12" ht="16.5" customHeight="1">
      <c r="A627" s="186" t="s">
        <v>2510</v>
      </c>
      <c r="B627" s="186">
        <v>28215838</v>
      </c>
      <c r="C627" s="549">
        <v>13608</v>
      </c>
      <c r="D627" s="130" t="s">
        <v>2602</v>
      </c>
      <c r="E627" s="130" t="s">
        <v>3986</v>
      </c>
      <c r="F627" s="130" t="s">
        <v>3987</v>
      </c>
      <c r="G627" s="550" t="s">
        <v>2446</v>
      </c>
      <c r="I627" s="165">
        <v>43732</v>
      </c>
      <c r="J627" s="551" t="s">
        <v>799</v>
      </c>
      <c r="K627" s="552" t="s">
        <v>73</v>
      </c>
      <c r="L627" s="130" t="s">
        <v>2870</v>
      </c>
    </row>
    <row r="628" spans="1:12" ht="16.5" customHeight="1">
      <c r="A628" s="186" t="s">
        <v>2510</v>
      </c>
      <c r="B628" s="186">
        <v>28291375</v>
      </c>
      <c r="C628" s="549">
        <v>18313</v>
      </c>
      <c r="D628" s="130" t="s">
        <v>2969</v>
      </c>
      <c r="E628" s="130" t="s">
        <v>3988</v>
      </c>
      <c r="F628" s="130" t="s">
        <v>3989</v>
      </c>
      <c r="G628" s="550" t="s">
        <v>2174</v>
      </c>
      <c r="I628" s="165">
        <v>43732</v>
      </c>
      <c r="J628" s="551" t="s">
        <v>799</v>
      </c>
      <c r="K628" s="552" t="s">
        <v>73</v>
      </c>
      <c r="L628" s="130" t="s">
        <v>2870</v>
      </c>
    </row>
    <row r="629" spans="1:12" ht="16.5" customHeight="1">
      <c r="A629" s="186" t="s">
        <v>2510</v>
      </c>
      <c r="B629" s="186">
        <v>28800068</v>
      </c>
      <c r="C629" s="549">
        <v>20772</v>
      </c>
      <c r="D629" s="130" t="s">
        <v>3990</v>
      </c>
      <c r="E629" s="130" t="s">
        <v>2624</v>
      </c>
      <c r="F629" s="130" t="s">
        <v>2633</v>
      </c>
      <c r="G629" s="550" t="s">
        <v>2174</v>
      </c>
      <c r="I629" s="165">
        <v>43732</v>
      </c>
      <c r="J629" s="551" t="s">
        <v>799</v>
      </c>
      <c r="K629" s="552" t="s">
        <v>73</v>
      </c>
      <c r="L629" s="130" t="s">
        <v>2870</v>
      </c>
    </row>
    <row r="630" spans="1:12" ht="16.5" customHeight="1">
      <c r="A630" s="186" t="s">
        <v>2510</v>
      </c>
      <c r="B630" s="186">
        <v>28930634</v>
      </c>
      <c r="C630" s="549">
        <v>15059</v>
      </c>
      <c r="D630" s="130" t="s">
        <v>3991</v>
      </c>
      <c r="E630" s="130" t="s">
        <v>3992</v>
      </c>
      <c r="F630" s="130" t="s">
        <v>3993</v>
      </c>
      <c r="G630" s="550" t="s">
        <v>2413</v>
      </c>
      <c r="I630" s="165">
        <v>43732</v>
      </c>
      <c r="J630" s="551" t="s">
        <v>799</v>
      </c>
      <c r="K630" s="552" t="s">
        <v>73</v>
      </c>
      <c r="L630" s="130" t="s">
        <v>2870</v>
      </c>
    </row>
    <row r="631" spans="1:12" ht="16.5" customHeight="1">
      <c r="A631" s="186" t="s">
        <v>2510</v>
      </c>
      <c r="B631" s="186">
        <v>29396801</v>
      </c>
      <c r="C631" s="549">
        <v>16469</v>
      </c>
      <c r="D631" s="130" t="s">
        <v>3400</v>
      </c>
      <c r="E631" s="130" t="s">
        <v>3994</v>
      </c>
      <c r="F631" s="130" t="s">
        <v>3885</v>
      </c>
      <c r="G631" s="550" t="s">
        <v>2465</v>
      </c>
      <c r="I631" s="165">
        <v>43732</v>
      </c>
      <c r="J631" s="551" t="s">
        <v>799</v>
      </c>
      <c r="K631" s="552" t="s">
        <v>73</v>
      </c>
      <c r="L631" s="130" t="s">
        <v>2870</v>
      </c>
    </row>
    <row r="632" spans="1:12" ht="16.5" customHeight="1">
      <c r="A632" s="186" t="s">
        <v>2510</v>
      </c>
      <c r="B632" s="186">
        <v>29418324</v>
      </c>
      <c r="C632" s="549">
        <v>18904</v>
      </c>
      <c r="D632" s="130" t="s">
        <v>2586</v>
      </c>
      <c r="E632" s="130" t="s">
        <v>3995</v>
      </c>
      <c r="F632" s="130" t="s">
        <v>3996</v>
      </c>
      <c r="G632" s="550" t="s">
        <v>2174</v>
      </c>
      <c r="I632" s="165">
        <v>43732</v>
      </c>
      <c r="J632" s="551" t="s">
        <v>799</v>
      </c>
      <c r="K632" s="552" t="s">
        <v>73</v>
      </c>
      <c r="L632" s="130" t="s">
        <v>2870</v>
      </c>
    </row>
    <row r="633" spans="1:12" ht="16.5" customHeight="1">
      <c r="A633" s="186" t="s">
        <v>2510</v>
      </c>
      <c r="B633" s="186">
        <v>30513022</v>
      </c>
      <c r="C633" s="549">
        <v>16984</v>
      </c>
      <c r="D633" s="130" t="s">
        <v>3103</v>
      </c>
      <c r="E633" s="130" t="s">
        <v>3092</v>
      </c>
      <c r="F633" s="130" t="s">
        <v>3997</v>
      </c>
      <c r="G633" s="550" t="s">
        <v>2174</v>
      </c>
      <c r="I633" s="165">
        <v>43732</v>
      </c>
      <c r="J633" s="551" t="s">
        <v>799</v>
      </c>
      <c r="K633" s="552" t="s">
        <v>73</v>
      </c>
      <c r="L633" s="130" t="s">
        <v>2870</v>
      </c>
    </row>
    <row r="634" spans="1:12" ht="16.5" customHeight="1">
      <c r="A634" s="186" t="s">
        <v>2510</v>
      </c>
      <c r="B634" s="186">
        <v>30846273</v>
      </c>
      <c r="C634" s="549">
        <v>17365</v>
      </c>
      <c r="D634" s="130" t="s">
        <v>2879</v>
      </c>
      <c r="E634" s="130" t="s">
        <v>3998</v>
      </c>
      <c r="F634" s="130" t="s">
        <v>3999</v>
      </c>
      <c r="G634" s="550" t="s">
        <v>2052</v>
      </c>
      <c r="I634" s="165">
        <v>43732</v>
      </c>
      <c r="J634" s="551" t="s">
        <v>799</v>
      </c>
      <c r="K634" s="552" t="s">
        <v>73</v>
      </c>
      <c r="L634" s="130" t="s">
        <v>2870</v>
      </c>
    </row>
    <row r="635" spans="1:12" ht="16.5" customHeight="1">
      <c r="A635" s="186" t="s">
        <v>2510</v>
      </c>
      <c r="B635" s="186">
        <v>32376832</v>
      </c>
      <c r="C635" s="549">
        <v>14265</v>
      </c>
      <c r="D635" s="130" t="s">
        <v>4000</v>
      </c>
      <c r="E635" s="130" t="s">
        <v>4001</v>
      </c>
      <c r="F635" s="130" t="s">
        <v>4002</v>
      </c>
      <c r="G635" s="550" t="s">
        <v>2055</v>
      </c>
      <c r="I635" s="165">
        <v>43732</v>
      </c>
      <c r="J635" s="551" t="s">
        <v>799</v>
      </c>
      <c r="K635" s="552" t="s">
        <v>73</v>
      </c>
      <c r="L635" s="130" t="s">
        <v>2870</v>
      </c>
    </row>
    <row r="636" spans="1:12" ht="16.5" customHeight="1">
      <c r="A636" s="186" t="s">
        <v>2510</v>
      </c>
      <c r="B636" s="186">
        <v>33079914</v>
      </c>
      <c r="C636" s="549">
        <v>15502</v>
      </c>
      <c r="D636" s="130" t="s">
        <v>2580</v>
      </c>
      <c r="E636" s="130" t="s">
        <v>3808</v>
      </c>
      <c r="F636" s="130" t="s">
        <v>3815</v>
      </c>
      <c r="G636" s="550" t="s">
        <v>2059</v>
      </c>
      <c r="I636" s="165">
        <v>43732</v>
      </c>
      <c r="J636" s="551" t="s">
        <v>799</v>
      </c>
      <c r="K636" s="552" t="s">
        <v>73</v>
      </c>
      <c r="L636" s="130" t="s">
        <v>2870</v>
      </c>
    </row>
    <row r="637" spans="1:12" ht="16.5" customHeight="1">
      <c r="A637" s="186" t="s">
        <v>2510</v>
      </c>
      <c r="B637" s="186">
        <v>33091349</v>
      </c>
      <c r="C637" s="549">
        <v>19761</v>
      </c>
      <c r="D637" s="130" t="s">
        <v>2863</v>
      </c>
      <c r="E637" s="130" t="s">
        <v>4003</v>
      </c>
      <c r="F637" s="130" t="s">
        <v>3061</v>
      </c>
      <c r="G637" s="550" t="s">
        <v>2059</v>
      </c>
      <c r="I637" s="165">
        <v>43732</v>
      </c>
      <c r="J637" s="551" t="s">
        <v>799</v>
      </c>
      <c r="K637" s="552" t="s">
        <v>73</v>
      </c>
      <c r="L637" s="130" t="s">
        <v>2870</v>
      </c>
    </row>
    <row r="638" spans="1:12" ht="16.5" customHeight="1">
      <c r="A638" s="186" t="s">
        <v>2510</v>
      </c>
      <c r="B638" s="186">
        <v>33749136</v>
      </c>
      <c r="C638" s="549">
        <v>12328</v>
      </c>
      <c r="D638" s="130" t="s">
        <v>2511</v>
      </c>
      <c r="E638" s="130" t="s">
        <v>4004</v>
      </c>
      <c r="F638" s="130" t="s">
        <v>4005</v>
      </c>
      <c r="G638" s="550" t="s">
        <v>2446</v>
      </c>
      <c r="I638" s="165">
        <v>43732</v>
      </c>
      <c r="J638" s="551" t="s">
        <v>799</v>
      </c>
      <c r="K638" s="552" t="s">
        <v>73</v>
      </c>
      <c r="L638" s="130" t="s">
        <v>2870</v>
      </c>
    </row>
    <row r="639" spans="1:12" ht="16.5" customHeight="1">
      <c r="A639" s="186" t="s">
        <v>2510</v>
      </c>
      <c r="B639" s="186">
        <v>35610161</v>
      </c>
      <c r="C639" s="549">
        <v>19095</v>
      </c>
      <c r="D639" s="130" t="s">
        <v>3901</v>
      </c>
      <c r="E639" s="130" t="s">
        <v>2555</v>
      </c>
      <c r="F639" s="130" t="s">
        <v>4006</v>
      </c>
      <c r="G639" s="550" t="s">
        <v>2174</v>
      </c>
      <c r="I639" s="165">
        <v>43732</v>
      </c>
      <c r="J639" s="551" t="s">
        <v>799</v>
      </c>
      <c r="K639" s="552" t="s">
        <v>73</v>
      </c>
      <c r="L639" s="130" t="s">
        <v>2870</v>
      </c>
    </row>
    <row r="640" spans="1:12" ht="16.5" customHeight="1">
      <c r="A640" s="186" t="s">
        <v>2510</v>
      </c>
      <c r="B640" s="186">
        <v>35747435</v>
      </c>
      <c r="C640" s="549">
        <v>12236</v>
      </c>
      <c r="D640" s="130" t="s">
        <v>4007</v>
      </c>
      <c r="E640" s="130" t="s">
        <v>2732</v>
      </c>
      <c r="F640" s="130" t="s">
        <v>4008</v>
      </c>
      <c r="G640" s="550" t="s">
        <v>2266</v>
      </c>
      <c r="I640" s="165">
        <v>43732</v>
      </c>
      <c r="J640" s="551" t="s">
        <v>799</v>
      </c>
      <c r="K640" s="552" t="s">
        <v>73</v>
      </c>
      <c r="L640" s="130" t="s">
        <v>2870</v>
      </c>
    </row>
    <row r="641" spans="1:12" ht="16.5" customHeight="1">
      <c r="A641" s="186" t="s">
        <v>2510</v>
      </c>
      <c r="B641" s="186">
        <v>35902766</v>
      </c>
      <c r="C641" s="549">
        <v>13869</v>
      </c>
      <c r="D641" s="130" t="s">
        <v>4009</v>
      </c>
      <c r="E641" s="130" t="s">
        <v>4010</v>
      </c>
      <c r="F641" s="130" t="s">
        <v>3371</v>
      </c>
      <c r="G641" s="550" t="s">
        <v>2174</v>
      </c>
      <c r="I641" s="165">
        <v>43732</v>
      </c>
      <c r="J641" s="551" t="s">
        <v>799</v>
      </c>
      <c r="K641" s="552" t="s">
        <v>73</v>
      </c>
      <c r="L641" s="130" t="s">
        <v>2870</v>
      </c>
    </row>
    <row r="642" spans="1:12" ht="16.5" customHeight="1">
      <c r="A642" s="186" t="s">
        <v>2510</v>
      </c>
      <c r="B642" s="186">
        <v>36059889</v>
      </c>
      <c r="C642" s="549">
        <v>13201</v>
      </c>
      <c r="D642" s="130" t="s">
        <v>2832</v>
      </c>
      <c r="E642" s="130" t="s">
        <v>4011</v>
      </c>
      <c r="F642" s="130" t="s">
        <v>4012</v>
      </c>
      <c r="G642" s="550" t="s">
        <v>2174</v>
      </c>
      <c r="I642" s="165">
        <v>43732</v>
      </c>
      <c r="J642" s="551" t="s">
        <v>799</v>
      </c>
      <c r="K642" s="552" t="s">
        <v>73</v>
      </c>
      <c r="L642" s="130" t="s">
        <v>2870</v>
      </c>
    </row>
    <row r="643" spans="1:12" ht="16.5" customHeight="1">
      <c r="A643" s="186" t="s">
        <v>2510</v>
      </c>
      <c r="B643" s="186">
        <v>36574978</v>
      </c>
      <c r="C643" s="549">
        <v>11810</v>
      </c>
      <c r="D643" s="130" t="s">
        <v>4013</v>
      </c>
      <c r="E643" s="130" t="s">
        <v>3870</v>
      </c>
      <c r="F643" s="130" t="s">
        <v>3761</v>
      </c>
      <c r="G643" s="550" t="s">
        <v>2059</v>
      </c>
      <c r="I643" s="165">
        <v>43732</v>
      </c>
      <c r="J643" s="551" t="s">
        <v>799</v>
      </c>
      <c r="K643" s="552" t="s">
        <v>73</v>
      </c>
      <c r="L643" s="130" t="s">
        <v>2870</v>
      </c>
    </row>
    <row r="644" spans="1:12" ht="16.5" customHeight="1">
      <c r="A644" s="186" t="s">
        <v>2510</v>
      </c>
      <c r="B644" s="186">
        <v>36948115</v>
      </c>
      <c r="C644" s="549">
        <v>21029</v>
      </c>
      <c r="D644" s="130" t="s">
        <v>2602</v>
      </c>
      <c r="E644" s="130" t="s">
        <v>4014</v>
      </c>
      <c r="F644" s="130" t="s">
        <v>4015</v>
      </c>
      <c r="G644" s="550" t="s">
        <v>2174</v>
      </c>
      <c r="I644" s="165">
        <v>43732</v>
      </c>
      <c r="J644" s="551" t="s">
        <v>799</v>
      </c>
      <c r="K644" s="552" t="s">
        <v>73</v>
      </c>
      <c r="L644" s="130" t="s">
        <v>2870</v>
      </c>
    </row>
    <row r="645" spans="1:12" ht="16.5" customHeight="1">
      <c r="A645" s="186" t="s">
        <v>2510</v>
      </c>
      <c r="B645" s="186">
        <v>36960631</v>
      </c>
      <c r="C645" s="549">
        <v>15866</v>
      </c>
      <c r="D645" s="130" t="s">
        <v>2845</v>
      </c>
      <c r="E645" s="130" t="s">
        <v>4016</v>
      </c>
      <c r="F645" s="130" t="s">
        <v>4017</v>
      </c>
      <c r="G645" s="550" t="s">
        <v>2446</v>
      </c>
      <c r="I645" s="165">
        <v>43732</v>
      </c>
      <c r="J645" s="551" t="s">
        <v>799</v>
      </c>
      <c r="K645" s="552" t="s">
        <v>73</v>
      </c>
      <c r="L645" s="130" t="s">
        <v>2870</v>
      </c>
    </row>
    <row r="646" spans="1:12" ht="16.5" customHeight="1">
      <c r="A646" s="186" t="s">
        <v>2510</v>
      </c>
      <c r="B646" s="186">
        <v>37229408</v>
      </c>
      <c r="C646" s="549">
        <v>18033</v>
      </c>
      <c r="D646" s="130" t="s">
        <v>4018</v>
      </c>
      <c r="E646" s="130" t="s">
        <v>4019</v>
      </c>
      <c r="F646" s="130" t="s">
        <v>4020</v>
      </c>
      <c r="G646" s="550" t="s">
        <v>2174</v>
      </c>
      <c r="I646" s="165">
        <v>43732</v>
      </c>
      <c r="J646" s="551" t="s">
        <v>799</v>
      </c>
      <c r="K646" s="552" t="s">
        <v>73</v>
      </c>
      <c r="L646" s="130" t="s">
        <v>2870</v>
      </c>
    </row>
    <row r="647" spans="1:12" ht="16.5" customHeight="1">
      <c r="A647" s="186" t="s">
        <v>2510</v>
      </c>
      <c r="B647" s="186">
        <v>37370814</v>
      </c>
      <c r="C647" s="549">
        <v>18050</v>
      </c>
      <c r="D647" s="130" t="s">
        <v>2995</v>
      </c>
      <c r="E647" s="130" t="s">
        <v>2964</v>
      </c>
      <c r="F647" s="130" t="s">
        <v>4021</v>
      </c>
      <c r="G647" s="550" t="s">
        <v>2055</v>
      </c>
      <c r="I647" s="165">
        <v>43732</v>
      </c>
      <c r="J647" s="551" t="s">
        <v>799</v>
      </c>
      <c r="K647" s="552" t="s">
        <v>73</v>
      </c>
      <c r="L647" s="130" t="s">
        <v>2870</v>
      </c>
    </row>
    <row r="648" spans="1:12" ht="16.5" customHeight="1">
      <c r="A648" s="186" t="s">
        <v>2510</v>
      </c>
      <c r="B648" s="186">
        <v>37418936</v>
      </c>
      <c r="C648" s="549">
        <v>21518</v>
      </c>
      <c r="D648" s="130" t="s">
        <v>4022</v>
      </c>
      <c r="E648" s="130" t="s">
        <v>4023</v>
      </c>
      <c r="F648" s="130" t="s">
        <v>2633</v>
      </c>
      <c r="G648" s="550" t="s">
        <v>2052</v>
      </c>
      <c r="I648" s="165">
        <v>43732</v>
      </c>
      <c r="J648" s="551" t="s">
        <v>799</v>
      </c>
      <c r="K648" s="552" t="s">
        <v>73</v>
      </c>
      <c r="L648" s="130" t="s">
        <v>2870</v>
      </c>
    </row>
    <row r="649" spans="1:12" ht="16.5" customHeight="1">
      <c r="A649" s="186" t="s">
        <v>2510</v>
      </c>
      <c r="B649" s="186">
        <v>37739117</v>
      </c>
      <c r="C649" s="549">
        <v>17721</v>
      </c>
      <c r="D649" s="130" t="s">
        <v>4024</v>
      </c>
      <c r="E649" s="130" t="s">
        <v>4025</v>
      </c>
      <c r="F649" s="130" t="s">
        <v>4026</v>
      </c>
      <c r="G649" s="550" t="s">
        <v>2055</v>
      </c>
      <c r="I649" s="165">
        <v>43732</v>
      </c>
      <c r="J649" s="551" t="s">
        <v>799</v>
      </c>
      <c r="K649" s="552" t="s">
        <v>73</v>
      </c>
      <c r="L649" s="130" t="s">
        <v>2870</v>
      </c>
    </row>
    <row r="650" spans="1:12" ht="16.5" customHeight="1">
      <c r="A650" s="186" t="s">
        <v>2510</v>
      </c>
      <c r="B650" s="186">
        <v>38108767</v>
      </c>
      <c r="C650" s="549">
        <v>12968</v>
      </c>
      <c r="D650" s="130" t="s">
        <v>3254</v>
      </c>
      <c r="E650" s="130" t="s">
        <v>4027</v>
      </c>
      <c r="F650" s="130" t="s">
        <v>4028</v>
      </c>
      <c r="G650" s="550" t="s">
        <v>2446</v>
      </c>
      <c r="I650" s="165">
        <v>43732</v>
      </c>
      <c r="J650" s="551" t="s">
        <v>799</v>
      </c>
      <c r="K650" s="552" t="s">
        <v>73</v>
      </c>
      <c r="L650" s="130" t="s">
        <v>2870</v>
      </c>
    </row>
    <row r="651" spans="1:12" ht="16.5" customHeight="1">
      <c r="A651" s="186" t="s">
        <v>2510</v>
      </c>
      <c r="B651" s="186">
        <v>39470976</v>
      </c>
      <c r="C651" s="549">
        <v>20836</v>
      </c>
      <c r="D651" s="130" t="s">
        <v>2742</v>
      </c>
      <c r="E651" s="130" t="s">
        <v>2706</v>
      </c>
      <c r="F651" s="130" t="s">
        <v>3770</v>
      </c>
      <c r="G651" s="550" t="s">
        <v>2174</v>
      </c>
      <c r="I651" s="165">
        <v>43732</v>
      </c>
      <c r="J651" s="551" t="s">
        <v>799</v>
      </c>
      <c r="K651" s="552" t="s">
        <v>73</v>
      </c>
      <c r="L651" s="130" t="s">
        <v>2870</v>
      </c>
    </row>
    <row r="652" spans="1:12" ht="16.5" customHeight="1">
      <c r="A652" s="186" t="s">
        <v>2510</v>
      </c>
      <c r="B652" s="186">
        <v>39549969</v>
      </c>
      <c r="C652" s="549">
        <v>18788</v>
      </c>
      <c r="D652" s="130" t="s">
        <v>2602</v>
      </c>
      <c r="E652" s="130" t="s">
        <v>4029</v>
      </c>
      <c r="F652" s="130" t="s">
        <v>3855</v>
      </c>
      <c r="G652" s="550" t="s">
        <v>2055</v>
      </c>
      <c r="I652" s="165">
        <v>43732</v>
      </c>
      <c r="J652" s="551" t="s">
        <v>799</v>
      </c>
      <c r="K652" s="552" t="s">
        <v>73</v>
      </c>
      <c r="L652" s="130" t="s">
        <v>2870</v>
      </c>
    </row>
    <row r="653" spans="1:12" ht="16.5" customHeight="1">
      <c r="A653" s="186" t="s">
        <v>2510</v>
      </c>
      <c r="B653" s="186">
        <v>40373623</v>
      </c>
      <c r="C653" s="549">
        <v>19266</v>
      </c>
      <c r="D653" s="130" t="s">
        <v>2687</v>
      </c>
      <c r="E653" s="130" t="s">
        <v>4030</v>
      </c>
      <c r="F653" s="130" t="s">
        <v>4031</v>
      </c>
      <c r="G653" s="550" t="s">
        <v>2059</v>
      </c>
      <c r="I653" s="165">
        <v>43732</v>
      </c>
      <c r="J653" s="551" t="s">
        <v>799</v>
      </c>
      <c r="K653" s="552" t="s">
        <v>73</v>
      </c>
      <c r="L653" s="130" t="s">
        <v>2870</v>
      </c>
    </row>
    <row r="654" spans="1:12" ht="16.5" customHeight="1">
      <c r="A654" s="186" t="s">
        <v>2510</v>
      </c>
      <c r="B654" s="186">
        <v>40451437</v>
      </c>
      <c r="C654" s="549">
        <v>12458</v>
      </c>
      <c r="D654" s="130" t="s">
        <v>4032</v>
      </c>
      <c r="E654" s="130" t="s">
        <v>4033</v>
      </c>
      <c r="F654" s="130" t="s">
        <v>3815</v>
      </c>
      <c r="G654" s="550" t="s">
        <v>2059</v>
      </c>
      <c r="I654" s="165">
        <v>43732</v>
      </c>
      <c r="J654" s="551" t="s">
        <v>799</v>
      </c>
      <c r="K654" s="552" t="s">
        <v>73</v>
      </c>
      <c r="L654" s="130" t="s">
        <v>2870</v>
      </c>
    </row>
    <row r="655" spans="1:12" ht="16.5" customHeight="1">
      <c r="A655" s="186" t="s">
        <v>2510</v>
      </c>
      <c r="B655" s="186">
        <v>40827255</v>
      </c>
      <c r="C655" s="549">
        <v>18059</v>
      </c>
      <c r="D655" s="130" t="s">
        <v>2851</v>
      </c>
      <c r="E655" s="130" t="s">
        <v>4034</v>
      </c>
      <c r="F655" s="130" t="s">
        <v>3815</v>
      </c>
      <c r="G655" s="550" t="s">
        <v>2059</v>
      </c>
      <c r="I655" s="165">
        <v>43732</v>
      </c>
      <c r="J655" s="551" t="s">
        <v>799</v>
      </c>
      <c r="K655" s="552" t="s">
        <v>73</v>
      </c>
      <c r="L655" s="130" t="s">
        <v>2870</v>
      </c>
    </row>
    <row r="656" spans="1:12" ht="16.5" customHeight="1">
      <c r="A656" s="186" t="s">
        <v>2510</v>
      </c>
      <c r="B656" s="186">
        <v>40943847</v>
      </c>
      <c r="C656" s="549">
        <v>16159</v>
      </c>
      <c r="D656" s="130" t="s">
        <v>4035</v>
      </c>
      <c r="E656" s="130" t="s">
        <v>4036</v>
      </c>
      <c r="F656" s="130" t="s">
        <v>2616</v>
      </c>
      <c r="G656" s="550" t="s">
        <v>2185</v>
      </c>
      <c r="I656" s="165">
        <v>43732</v>
      </c>
      <c r="J656" s="551" t="s">
        <v>799</v>
      </c>
      <c r="K656" s="552" t="s">
        <v>73</v>
      </c>
      <c r="L656" s="130" t="s">
        <v>2870</v>
      </c>
    </row>
    <row r="657" spans="1:12" ht="16.5" customHeight="1">
      <c r="A657" s="186" t="s">
        <v>2510</v>
      </c>
      <c r="B657" s="186">
        <v>41076035</v>
      </c>
      <c r="C657" s="549">
        <v>13759</v>
      </c>
      <c r="D657" s="130" t="s">
        <v>4037</v>
      </c>
      <c r="E657" s="130" t="s">
        <v>4038</v>
      </c>
      <c r="F657" s="130" t="s">
        <v>2999</v>
      </c>
      <c r="G657" s="550" t="s">
        <v>2446</v>
      </c>
      <c r="I657" s="165">
        <v>43732</v>
      </c>
      <c r="J657" s="551" t="s">
        <v>799</v>
      </c>
      <c r="K657" s="552" t="s">
        <v>73</v>
      </c>
      <c r="L657" s="130" t="s">
        <v>2870</v>
      </c>
    </row>
    <row r="658" spans="1:12" ht="16.5" customHeight="1">
      <c r="A658" s="186" t="s">
        <v>2510</v>
      </c>
      <c r="B658" s="186">
        <v>41221854</v>
      </c>
      <c r="C658" s="549">
        <v>19049</v>
      </c>
      <c r="D658" s="130" t="s">
        <v>4039</v>
      </c>
      <c r="E658" s="130" t="s">
        <v>4040</v>
      </c>
      <c r="F658" s="130" t="s">
        <v>4041</v>
      </c>
      <c r="G658" s="550" t="s">
        <v>2052</v>
      </c>
      <c r="I658" s="165">
        <v>43732</v>
      </c>
      <c r="J658" s="551" t="s">
        <v>799</v>
      </c>
      <c r="K658" s="552" t="s">
        <v>73</v>
      </c>
      <c r="L658" s="130" t="s">
        <v>2870</v>
      </c>
    </row>
    <row r="659" spans="1:12" ht="16.5" customHeight="1">
      <c r="A659" s="186" t="s">
        <v>2510</v>
      </c>
      <c r="B659" s="186">
        <v>41296815</v>
      </c>
      <c r="C659" s="549">
        <v>18910</v>
      </c>
      <c r="D659" s="130" t="s">
        <v>3317</v>
      </c>
      <c r="E659" s="130" t="s">
        <v>3870</v>
      </c>
      <c r="F659" s="130" t="s">
        <v>3891</v>
      </c>
      <c r="G659" s="550" t="s">
        <v>2055</v>
      </c>
      <c r="I659" s="165">
        <v>43732</v>
      </c>
      <c r="J659" s="551" t="s">
        <v>799</v>
      </c>
      <c r="K659" s="552" t="s">
        <v>73</v>
      </c>
      <c r="L659" s="130" t="s">
        <v>2870</v>
      </c>
    </row>
    <row r="660" spans="1:12" ht="16.5" customHeight="1">
      <c r="A660" s="186" t="s">
        <v>2510</v>
      </c>
      <c r="B660" s="186">
        <v>41552555</v>
      </c>
      <c r="C660" s="549">
        <v>19768</v>
      </c>
      <c r="D660" s="130" t="s">
        <v>4042</v>
      </c>
      <c r="E660" s="130" t="s">
        <v>4043</v>
      </c>
      <c r="F660" s="130" t="s">
        <v>3926</v>
      </c>
      <c r="G660" s="550" t="s">
        <v>2059</v>
      </c>
      <c r="I660" s="165">
        <v>43732</v>
      </c>
      <c r="J660" s="551" t="s">
        <v>799</v>
      </c>
      <c r="K660" s="552" t="s">
        <v>73</v>
      </c>
      <c r="L660" s="130" t="s">
        <v>2870</v>
      </c>
    </row>
    <row r="661" spans="1:12" ht="16.5" customHeight="1">
      <c r="A661" s="186" t="s">
        <v>2510</v>
      </c>
      <c r="B661" s="186">
        <v>45791373</v>
      </c>
      <c r="C661" s="549">
        <v>15337</v>
      </c>
      <c r="D661" s="130" t="s">
        <v>4044</v>
      </c>
      <c r="E661" s="130" t="s">
        <v>4045</v>
      </c>
      <c r="F661" s="130" t="s">
        <v>3815</v>
      </c>
      <c r="G661" s="550" t="s">
        <v>2059</v>
      </c>
      <c r="I661" s="165">
        <v>43732</v>
      </c>
      <c r="J661" s="551" t="s">
        <v>799</v>
      </c>
      <c r="K661" s="552" t="s">
        <v>73</v>
      </c>
      <c r="L661" s="130" t="s">
        <v>2870</v>
      </c>
    </row>
    <row r="662" spans="1:12" ht="16.5" customHeight="1">
      <c r="A662" s="186" t="s">
        <v>2510</v>
      </c>
      <c r="B662" s="186">
        <v>48309777</v>
      </c>
      <c r="C662" s="549">
        <v>17381</v>
      </c>
      <c r="D662" s="130" t="s">
        <v>4018</v>
      </c>
      <c r="E662" s="130" t="s">
        <v>4046</v>
      </c>
      <c r="F662" s="130" t="s">
        <v>4047</v>
      </c>
      <c r="G662" s="550" t="s">
        <v>2055</v>
      </c>
      <c r="I662" s="165">
        <v>43732</v>
      </c>
      <c r="J662" s="551" t="s">
        <v>799</v>
      </c>
      <c r="K662" s="552" t="s">
        <v>73</v>
      </c>
      <c r="L662" s="130" t="s">
        <v>2870</v>
      </c>
    </row>
    <row r="663" spans="1:12" ht="16.5" customHeight="1">
      <c r="A663" s="186" t="s">
        <v>3841</v>
      </c>
      <c r="B663" s="186">
        <v>95642260</v>
      </c>
      <c r="C663" s="549">
        <v>16224</v>
      </c>
      <c r="D663" s="130" t="s">
        <v>3311</v>
      </c>
      <c r="E663" s="130" t="s">
        <v>3797</v>
      </c>
      <c r="F663" s="130" t="s">
        <v>3004</v>
      </c>
      <c r="G663" s="550" t="s">
        <v>2112</v>
      </c>
      <c r="H663" s="130" t="s">
        <v>4048</v>
      </c>
      <c r="I663" s="165">
        <v>43733</v>
      </c>
      <c r="J663" s="551" t="s">
        <v>2516</v>
      </c>
      <c r="L663" s="130" t="s">
        <v>4049</v>
      </c>
    </row>
    <row r="664" spans="1:12" ht="16.5" customHeight="1">
      <c r="A664" s="186" t="s">
        <v>3841</v>
      </c>
      <c r="B664" s="186">
        <v>100230772</v>
      </c>
      <c r="D664" s="130" t="s">
        <v>2724</v>
      </c>
      <c r="E664" s="130" t="s">
        <v>4050</v>
      </c>
      <c r="F664" s="130" t="s">
        <v>4051</v>
      </c>
      <c r="G664" s="550" t="s">
        <v>2112</v>
      </c>
      <c r="H664" s="130" t="s">
        <v>4052</v>
      </c>
      <c r="I664" s="165">
        <v>43733</v>
      </c>
      <c r="J664" s="551" t="s">
        <v>799</v>
      </c>
      <c r="K664" s="552" t="s">
        <v>2516</v>
      </c>
      <c r="L664" s="130" t="s">
        <v>4053</v>
      </c>
    </row>
    <row r="665" spans="1:12" ht="16.5" customHeight="1">
      <c r="A665" s="186" t="s">
        <v>3071</v>
      </c>
      <c r="B665" s="186">
        <v>22301</v>
      </c>
      <c r="C665" s="549">
        <v>17168</v>
      </c>
      <c r="D665" s="130" t="s">
        <v>3317</v>
      </c>
      <c r="E665" s="130" t="s">
        <v>3852</v>
      </c>
      <c r="F665" s="130" t="s">
        <v>3853</v>
      </c>
      <c r="G665" s="550" t="s">
        <v>2465</v>
      </c>
      <c r="I665" s="165">
        <v>43733</v>
      </c>
      <c r="J665" s="551" t="s">
        <v>799</v>
      </c>
      <c r="K665" s="552" t="s">
        <v>73</v>
      </c>
      <c r="L665" s="130" t="s">
        <v>4054</v>
      </c>
    </row>
    <row r="666" spans="1:12" ht="16.5" customHeight="1">
      <c r="A666" s="186" t="s">
        <v>3071</v>
      </c>
      <c r="B666" s="186">
        <v>3091337</v>
      </c>
      <c r="C666" s="549">
        <v>16459</v>
      </c>
      <c r="D666" s="130" t="s">
        <v>3901</v>
      </c>
      <c r="E666" s="130" t="s">
        <v>3902</v>
      </c>
      <c r="F666" s="130" t="s">
        <v>3903</v>
      </c>
      <c r="G666" s="550" t="s">
        <v>2052</v>
      </c>
      <c r="I666" s="165">
        <v>43733</v>
      </c>
      <c r="J666" s="551" t="s">
        <v>799</v>
      </c>
      <c r="K666" s="552" t="s">
        <v>73</v>
      </c>
      <c r="L666" s="130" t="s">
        <v>4054</v>
      </c>
    </row>
    <row r="667" spans="1:12" ht="16.5" customHeight="1">
      <c r="A667" s="186" t="s">
        <v>3071</v>
      </c>
      <c r="B667" s="186">
        <v>9428426</v>
      </c>
      <c r="C667" s="549">
        <v>14334</v>
      </c>
      <c r="D667" s="130" t="s">
        <v>3930</v>
      </c>
      <c r="E667" s="130" t="s">
        <v>3931</v>
      </c>
      <c r="F667" s="130" t="s">
        <v>3932</v>
      </c>
      <c r="G667" s="550" t="s">
        <v>2174</v>
      </c>
      <c r="I667" s="165">
        <v>43733</v>
      </c>
      <c r="J667" s="551" t="s">
        <v>799</v>
      </c>
      <c r="K667" s="552" t="s">
        <v>73</v>
      </c>
      <c r="L667" s="130" t="s">
        <v>4054</v>
      </c>
    </row>
    <row r="668" spans="1:12" ht="16.5" customHeight="1">
      <c r="A668" s="186" t="s">
        <v>3071</v>
      </c>
      <c r="B668" s="186">
        <v>16633828</v>
      </c>
      <c r="C668" s="549">
        <v>17309</v>
      </c>
      <c r="D668" s="130" t="s">
        <v>2541</v>
      </c>
      <c r="E668" s="130" t="s">
        <v>3949</v>
      </c>
      <c r="F668" s="130" t="s">
        <v>3950</v>
      </c>
      <c r="G668" s="550" t="s">
        <v>2465</v>
      </c>
      <c r="I668" s="165">
        <v>43733</v>
      </c>
      <c r="J668" s="551" t="s">
        <v>799</v>
      </c>
      <c r="K668" s="552" t="s">
        <v>73</v>
      </c>
      <c r="L668" s="130" t="s">
        <v>4054</v>
      </c>
    </row>
    <row r="669" spans="1:12" ht="16.5" customHeight="1">
      <c r="A669" s="186" t="s">
        <v>3071</v>
      </c>
      <c r="B669" s="186">
        <v>20031035</v>
      </c>
      <c r="D669" s="130" t="s">
        <v>2718</v>
      </c>
      <c r="E669" s="130" t="s">
        <v>3959</v>
      </c>
      <c r="F669" s="130" t="s">
        <v>3960</v>
      </c>
      <c r="G669" s="550" t="s">
        <v>2413</v>
      </c>
      <c r="I669" s="165">
        <v>43733</v>
      </c>
      <c r="J669" s="551" t="s">
        <v>799</v>
      </c>
      <c r="K669" s="552" t="s">
        <v>73</v>
      </c>
      <c r="L669" s="130" t="s">
        <v>4054</v>
      </c>
    </row>
    <row r="670" spans="1:12" ht="16.5" customHeight="1">
      <c r="A670" s="186" t="s">
        <v>3071</v>
      </c>
      <c r="B670" s="186">
        <v>32376832</v>
      </c>
      <c r="C670" s="549">
        <v>14265</v>
      </c>
      <c r="D670" s="130" t="s">
        <v>4000</v>
      </c>
      <c r="E670" s="130" t="s">
        <v>4001</v>
      </c>
      <c r="F670" s="130" t="s">
        <v>4002</v>
      </c>
      <c r="G670" s="550" t="s">
        <v>2055</v>
      </c>
      <c r="I670" s="165">
        <v>43733</v>
      </c>
      <c r="J670" s="551" t="s">
        <v>799</v>
      </c>
      <c r="K670" s="552" t="s">
        <v>73</v>
      </c>
      <c r="L670" s="130" t="s">
        <v>4054</v>
      </c>
    </row>
    <row r="671" spans="1:12" ht="16.5" customHeight="1">
      <c r="A671" s="186" t="s">
        <v>3071</v>
      </c>
      <c r="B671" s="186">
        <v>32748469</v>
      </c>
      <c r="C671" s="549">
        <v>20860</v>
      </c>
      <c r="D671" s="130" t="s">
        <v>2541</v>
      </c>
      <c r="E671" s="130" t="s">
        <v>3360</v>
      </c>
      <c r="F671" s="130" t="s">
        <v>4055</v>
      </c>
      <c r="G671" s="550" t="s">
        <v>2052</v>
      </c>
      <c r="I671" s="165">
        <v>43733</v>
      </c>
      <c r="J671" s="551" t="s">
        <v>799</v>
      </c>
      <c r="K671" s="552" t="s">
        <v>73</v>
      </c>
      <c r="L671" s="130" t="s">
        <v>4054</v>
      </c>
    </row>
    <row r="672" spans="1:12" ht="16.5" customHeight="1">
      <c r="A672" s="186" t="s">
        <v>3071</v>
      </c>
      <c r="B672" s="186">
        <v>33091349</v>
      </c>
      <c r="C672" s="549">
        <v>19761</v>
      </c>
      <c r="D672" s="130" t="s">
        <v>2863</v>
      </c>
      <c r="E672" s="130" t="s">
        <v>4003</v>
      </c>
      <c r="F672" s="130" t="s">
        <v>3061</v>
      </c>
      <c r="G672" s="550" t="s">
        <v>2059</v>
      </c>
      <c r="I672" s="165">
        <v>43733</v>
      </c>
      <c r="J672" s="551" t="s">
        <v>799</v>
      </c>
      <c r="K672" s="552" t="s">
        <v>73</v>
      </c>
      <c r="L672" s="130" t="s">
        <v>4054</v>
      </c>
    </row>
    <row r="673" spans="1:12" ht="16.5" customHeight="1">
      <c r="A673" s="186" t="s">
        <v>3071</v>
      </c>
      <c r="B673" s="186">
        <v>35647460</v>
      </c>
      <c r="C673" s="549">
        <v>21074</v>
      </c>
      <c r="D673" s="130" t="s">
        <v>3756</v>
      </c>
      <c r="E673" s="130" t="s">
        <v>4056</v>
      </c>
      <c r="F673" s="130" t="s">
        <v>3758</v>
      </c>
      <c r="G673" s="550" t="s">
        <v>2174</v>
      </c>
      <c r="I673" s="165">
        <v>43733</v>
      </c>
      <c r="J673" s="551" t="s">
        <v>799</v>
      </c>
      <c r="K673" s="552" t="s">
        <v>73</v>
      </c>
      <c r="L673" s="130" t="s">
        <v>4054</v>
      </c>
    </row>
    <row r="674" spans="1:12" ht="16.5" customHeight="1">
      <c r="A674" s="186" t="s">
        <v>3071</v>
      </c>
      <c r="B674" s="186">
        <v>35902766</v>
      </c>
      <c r="C674" s="549">
        <v>13869</v>
      </c>
      <c r="D674" s="130" t="s">
        <v>4009</v>
      </c>
      <c r="E674" s="130" t="s">
        <v>4010</v>
      </c>
      <c r="F674" s="130" t="s">
        <v>3371</v>
      </c>
      <c r="G674" s="550" t="s">
        <v>2174</v>
      </c>
      <c r="I674" s="165">
        <v>43733</v>
      </c>
      <c r="J674" s="551" t="s">
        <v>799</v>
      </c>
      <c r="K674" s="552" t="s">
        <v>73</v>
      </c>
      <c r="L674" s="130" t="s">
        <v>4054</v>
      </c>
    </row>
    <row r="675" spans="1:12" ht="16.5" customHeight="1">
      <c r="A675" s="186" t="s">
        <v>3071</v>
      </c>
      <c r="B675" s="186">
        <v>38108767</v>
      </c>
      <c r="C675" s="549">
        <v>12968</v>
      </c>
      <c r="D675" s="130" t="s">
        <v>3254</v>
      </c>
      <c r="E675" s="130" t="s">
        <v>4027</v>
      </c>
      <c r="F675" s="130" t="s">
        <v>4028</v>
      </c>
      <c r="G675" s="550" t="s">
        <v>2446</v>
      </c>
      <c r="I675" s="165">
        <v>43733</v>
      </c>
      <c r="J675" s="551" t="s">
        <v>799</v>
      </c>
      <c r="K675" s="552" t="s">
        <v>73</v>
      </c>
      <c r="L675" s="130" t="s">
        <v>4054</v>
      </c>
    </row>
    <row r="676" spans="1:12" ht="16.5" customHeight="1">
      <c r="A676" s="186" t="s">
        <v>3071</v>
      </c>
      <c r="B676" s="186">
        <v>39970751</v>
      </c>
      <c r="C676" s="549">
        <v>18295</v>
      </c>
      <c r="D676" s="130" t="s">
        <v>3652</v>
      </c>
      <c r="E676" s="130" t="s">
        <v>3498</v>
      </c>
      <c r="F676" s="130" t="s">
        <v>3551</v>
      </c>
      <c r="G676" s="550" t="s">
        <v>2299</v>
      </c>
      <c r="I676" s="165">
        <v>43733</v>
      </c>
      <c r="J676" s="551" t="s">
        <v>799</v>
      </c>
      <c r="K676" s="552" t="s">
        <v>73</v>
      </c>
      <c r="L676" s="130" t="s">
        <v>4054</v>
      </c>
    </row>
    <row r="677" spans="1:12" ht="16.5" customHeight="1">
      <c r="A677" s="186" t="s">
        <v>3071</v>
      </c>
      <c r="B677" s="186">
        <v>41156944</v>
      </c>
      <c r="C677" s="549">
        <v>18312</v>
      </c>
      <c r="D677" s="130" t="s">
        <v>2541</v>
      </c>
      <c r="E677" s="130" t="s">
        <v>3836</v>
      </c>
      <c r="F677" s="130" t="s">
        <v>3837</v>
      </c>
      <c r="G677" s="550" t="s">
        <v>2413</v>
      </c>
      <c r="I677" s="165">
        <v>43733</v>
      </c>
      <c r="J677" s="551" t="s">
        <v>799</v>
      </c>
      <c r="K677" s="552" t="s">
        <v>73</v>
      </c>
      <c r="L677" s="130" t="s">
        <v>4054</v>
      </c>
    </row>
    <row r="678" spans="1:12" ht="16.5" customHeight="1">
      <c r="A678" s="186" t="s">
        <v>3071</v>
      </c>
      <c r="B678" s="186">
        <v>41552555</v>
      </c>
      <c r="C678" s="549">
        <v>19768</v>
      </c>
      <c r="D678" s="130" t="s">
        <v>4042</v>
      </c>
      <c r="E678" s="130" t="s">
        <v>4043</v>
      </c>
      <c r="F678" s="130" t="s">
        <v>3926</v>
      </c>
      <c r="G678" s="550" t="s">
        <v>2059</v>
      </c>
      <c r="I678" s="165">
        <v>43733</v>
      </c>
      <c r="J678" s="551" t="s">
        <v>799</v>
      </c>
      <c r="K678" s="552" t="s">
        <v>73</v>
      </c>
      <c r="L678" s="130" t="s">
        <v>4054</v>
      </c>
    </row>
    <row r="679" spans="1:12" ht="16.5" customHeight="1">
      <c r="A679" s="186" t="s">
        <v>3071</v>
      </c>
      <c r="B679" s="186">
        <v>96296579</v>
      </c>
      <c r="C679" s="549">
        <v>21183</v>
      </c>
      <c r="D679" s="130" t="s">
        <v>2586</v>
      </c>
      <c r="E679" s="130" t="s">
        <v>4057</v>
      </c>
      <c r="F679" s="130" t="s">
        <v>4058</v>
      </c>
      <c r="G679" s="550" t="s">
        <v>65</v>
      </c>
      <c r="I679" s="165">
        <v>43733</v>
      </c>
      <c r="J679" s="551" t="s">
        <v>799</v>
      </c>
      <c r="K679" s="552" t="s">
        <v>73</v>
      </c>
      <c r="L679" s="130" t="s">
        <v>4054</v>
      </c>
    </row>
    <row r="680" spans="1:12" ht="16.5" customHeight="1">
      <c r="A680" s="186" t="s">
        <v>3071</v>
      </c>
      <c r="B680" s="186">
        <v>100298972</v>
      </c>
      <c r="C680" s="549">
        <v>19558</v>
      </c>
      <c r="D680" s="130" t="s">
        <v>2511</v>
      </c>
      <c r="E680" s="130" t="s">
        <v>4057</v>
      </c>
      <c r="F680" s="130" t="s">
        <v>4058</v>
      </c>
      <c r="G680" s="550" t="s">
        <v>65</v>
      </c>
      <c r="I680" s="165">
        <v>43733</v>
      </c>
      <c r="J680" s="551" t="s">
        <v>799</v>
      </c>
      <c r="K680" s="552" t="s">
        <v>73</v>
      </c>
      <c r="L680" s="130" t="s">
        <v>4054</v>
      </c>
    </row>
    <row r="681" spans="1:12" ht="16.5" customHeight="1">
      <c r="A681" s="186" t="s">
        <v>2510</v>
      </c>
      <c r="B681" s="186">
        <v>68935899</v>
      </c>
      <c r="C681" s="186"/>
      <c r="D681" s="186" t="s">
        <v>4059</v>
      </c>
      <c r="E681" s="186" t="s">
        <v>4060</v>
      </c>
      <c r="F681" s="186" t="s">
        <v>3266</v>
      </c>
      <c r="G681" s="576" t="s">
        <v>2274</v>
      </c>
      <c r="I681" s="165">
        <v>43734</v>
      </c>
      <c r="J681" s="551" t="s">
        <v>799</v>
      </c>
      <c r="K681" s="552" t="s">
        <v>67</v>
      </c>
      <c r="L681" s="130" t="s">
        <v>4061</v>
      </c>
    </row>
    <row r="682" spans="1:12" ht="16.5" customHeight="1">
      <c r="A682" s="186" t="s">
        <v>3841</v>
      </c>
      <c r="B682" s="186">
        <v>82368986</v>
      </c>
      <c r="D682" s="130" t="s">
        <v>2602</v>
      </c>
      <c r="E682" s="130" t="s">
        <v>3847</v>
      </c>
      <c r="F682" s="130" t="s">
        <v>3848</v>
      </c>
      <c r="G682" s="550" t="s">
        <v>2081</v>
      </c>
      <c r="H682" s="130" t="s">
        <v>3849</v>
      </c>
      <c r="I682" s="165">
        <v>43734</v>
      </c>
      <c r="J682" s="551" t="s">
        <v>2516</v>
      </c>
      <c r="L682" s="130" t="s">
        <v>4062</v>
      </c>
    </row>
    <row r="683" spans="1:12" ht="16.5" customHeight="1">
      <c r="A683" s="186" t="s">
        <v>3071</v>
      </c>
      <c r="B683" s="186">
        <v>989152</v>
      </c>
      <c r="C683" s="549">
        <v>10282</v>
      </c>
      <c r="D683" s="186" t="s">
        <v>4063</v>
      </c>
      <c r="E683" s="186" t="s">
        <v>2732</v>
      </c>
      <c r="F683" s="186" t="s">
        <v>2924</v>
      </c>
      <c r="G683" s="576" t="s">
        <v>65</v>
      </c>
      <c r="I683" s="165">
        <v>43738</v>
      </c>
      <c r="J683" s="551" t="s">
        <v>67</v>
      </c>
      <c r="L683" s="556" t="s">
        <v>4064</v>
      </c>
    </row>
    <row r="684" spans="1:12" ht="16.5" customHeight="1">
      <c r="A684" s="186" t="s">
        <v>2510</v>
      </c>
      <c r="B684" s="186">
        <v>100298620</v>
      </c>
      <c r="C684" s="186"/>
      <c r="D684" s="186" t="s">
        <v>3702</v>
      </c>
      <c r="E684" s="186" t="s">
        <v>3789</v>
      </c>
      <c r="F684" s="186" t="s">
        <v>3790</v>
      </c>
      <c r="G684" s="576" t="s">
        <v>2081</v>
      </c>
      <c r="I684" s="165">
        <v>43745</v>
      </c>
      <c r="J684" s="551" t="s">
        <v>73</v>
      </c>
      <c r="L684" s="130" t="s">
        <v>4065</v>
      </c>
    </row>
    <row r="685" spans="1:12" ht="16.5" customHeight="1">
      <c r="A685" s="186" t="s">
        <v>2510</v>
      </c>
      <c r="B685" s="186">
        <v>7411457</v>
      </c>
      <c r="C685" s="186">
        <v>17856</v>
      </c>
      <c r="D685" s="186" t="s">
        <v>3689</v>
      </c>
      <c r="E685" s="186" t="s">
        <v>4066</v>
      </c>
      <c r="F685" s="186" t="s">
        <v>4067</v>
      </c>
      <c r="G685" s="576" t="s">
        <v>2055</v>
      </c>
      <c r="I685" s="165">
        <v>43745</v>
      </c>
      <c r="J685" s="551" t="s">
        <v>799</v>
      </c>
      <c r="K685" s="552" t="s">
        <v>67</v>
      </c>
      <c r="L685" s="130" t="s">
        <v>2664</v>
      </c>
    </row>
    <row r="686" spans="1:12" ht="16.5" customHeight="1">
      <c r="A686" s="186" t="s">
        <v>2510</v>
      </c>
      <c r="B686" s="186">
        <v>20634754</v>
      </c>
      <c r="C686" s="186">
        <v>25416</v>
      </c>
      <c r="D686" s="186" t="s">
        <v>3293</v>
      </c>
      <c r="E686" s="186" t="s">
        <v>4068</v>
      </c>
      <c r="F686" s="186" t="s">
        <v>3855</v>
      </c>
      <c r="G686" s="576" t="s">
        <v>2055</v>
      </c>
      <c r="I686" s="165">
        <v>43745</v>
      </c>
      <c r="J686" s="551" t="s">
        <v>799</v>
      </c>
      <c r="K686" s="552" t="s">
        <v>67</v>
      </c>
      <c r="L686" s="130" t="s">
        <v>2664</v>
      </c>
    </row>
    <row r="687" spans="1:12" ht="16.5" customHeight="1">
      <c r="A687" s="186" t="s">
        <v>2510</v>
      </c>
      <c r="B687" s="186">
        <v>36091569</v>
      </c>
      <c r="C687" s="186">
        <v>16277</v>
      </c>
      <c r="D687" s="186" t="s">
        <v>3689</v>
      </c>
      <c r="E687" s="186" t="s">
        <v>4069</v>
      </c>
      <c r="F687" s="186" t="s">
        <v>4070</v>
      </c>
      <c r="G687" s="576" t="s">
        <v>2174</v>
      </c>
      <c r="I687" s="165">
        <v>43745</v>
      </c>
      <c r="J687" s="551" t="s">
        <v>799</v>
      </c>
      <c r="K687" s="552" t="s">
        <v>67</v>
      </c>
      <c r="L687" s="130" t="s">
        <v>2664</v>
      </c>
    </row>
    <row r="688" spans="1:12" ht="16.5" customHeight="1">
      <c r="A688" s="186" t="s">
        <v>2510</v>
      </c>
      <c r="B688" s="186">
        <v>36597078</v>
      </c>
      <c r="C688" s="186">
        <v>16806</v>
      </c>
      <c r="D688" s="186" t="s">
        <v>3574</v>
      </c>
      <c r="E688" s="186" t="s">
        <v>4071</v>
      </c>
      <c r="F688" s="186" t="s">
        <v>4072</v>
      </c>
      <c r="G688" s="576" t="s">
        <v>2055</v>
      </c>
      <c r="I688" s="165">
        <v>43745</v>
      </c>
      <c r="J688" s="551" t="s">
        <v>799</v>
      </c>
      <c r="K688" s="552" t="s">
        <v>67</v>
      </c>
      <c r="L688" s="130" t="s">
        <v>2664</v>
      </c>
    </row>
    <row r="689" spans="1:12" ht="16.5" customHeight="1">
      <c r="A689" s="186" t="s">
        <v>2510</v>
      </c>
      <c r="B689" s="186">
        <v>5524830</v>
      </c>
      <c r="C689" s="186">
        <v>21171</v>
      </c>
      <c r="D689" s="186" t="s">
        <v>2669</v>
      </c>
      <c r="E689" s="186" t="s">
        <v>4073</v>
      </c>
      <c r="F689" s="186" t="s">
        <v>4074</v>
      </c>
      <c r="G689" s="576" t="s">
        <v>2055</v>
      </c>
      <c r="I689" s="165">
        <v>43745</v>
      </c>
      <c r="J689" s="551" t="s">
        <v>799</v>
      </c>
      <c r="K689" s="552" t="s">
        <v>72</v>
      </c>
      <c r="L689" s="130" t="s">
        <v>2866</v>
      </c>
    </row>
    <row r="690" spans="1:12" ht="16.5" customHeight="1">
      <c r="A690" s="186" t="s">
        <v>2510</v>
      </c>
      <c r="B690" s="186">
        <v>8695736</v>
      </c>
      <c r="C690" s="186">
        <v>13957</v>
      </c>
      <c r="D690" s="186" t="s">
        <v>3131</v>
      </c>
      <c r="E690" s="186" t="s">
        <v>4075</v>
      </c>
      <c r="F690" s="186" t="s">
        <v>4076</v>
      </c>
      <c r="G690" s="576" t="s">
        <v>2055</v>
      </c>
      <c r="I690" s="165">
        <v>43745</v>
      </c>
      <c r="J690" s="551" t="s">
        <v>799</v>
      </c>
      <c r="K690" s="552" t="s">
        <v>72</v>
      </c>
      <c r="L690" s="130" t="s">
        <v>2866</v>
      </c>
    </row>
    <row r="691" spans="1:12" ht="16.5" customHeight="1">
      <c r="A691" s="186" t="s">
        <v>2510</v>
      </c>
      <c r="B691" s="186">
        <v>10357234</v>
      </c>
      <c r="C691" s="186">
        <v>17913</v>
      </c>
      <c r="D691" s="186" t="s">
        <v>2898</v>
      </c>
      <c r="E691" s="186" t="s">
        <v>4077</v>
      </c>
      <c r="F691" s="186" t="s">
        <v>4078</v>
      </c>
      <c r="G691" s="576" t="s">
        <v>2255</v>
      </c>
      <c r="I691" s="165">
        <v>43745</v>
      </c>
      <c r="J691" s="551" t="s">
        <v>799</v>
      </c>
      <c r="K691" s="552" t="s">
        <v>72</v>
      </c>
      <c r="L691" s="130" t="s">
        <v>2866</v>
      </c>
    </row>
    <row r="692" spans="1:12" ht="16.5" customHeight="1">
      <c r="A692" s="186" t="s">
        <v>2510</v>
      </c>
      <c r="B692" s="186">
        <v>27455260</v>
      </c>
      <c r="C692" s="186">
        <v>10548</v>
      </c>
      <c r="D692" s="186" t="s">
        <v>4079</v>
      </c>
      <c r="E692" s="186" t="s">
        <v>2530</v>
      </c>
      <c r="F692" s="186" t="s">
        <v>4012</v>
      </c>
      <c r="G692" s="576" t="s">
        <v>2174</v>
      </c>
      <c r="I692" s="165">
        <v>43745</v>
      </c>
      <c r="J692" s="551" t="s">
        <v>799</v>
      </c>
      <c r="K692" s="552" t="s">
        <v>72</v>
      </c>
      <c r="L692" s="130" t="s">
        <v>2866</v>
      </c>
    </row>
    <row r="693" spans="1:12" ht="16.5" customHeight="1">
      <c r="A693" s="186" t="s">
        <v>2510</v>
      </c>
      <c r="B693" s="186">
        <v>37547536</v>
      </c>
      <c r="C693" s="186">
        <v>18460</v>
      </c>
      <c r="D693" s="186" t="s">
        <v>4080</v>
      </c>
      <c r="E693" s="186" t="s">
        <v>4081</v>
      </c>
      <c r="F693" s="186" t="s">
        <v>4082</v>
      </c>
      <c r="G693" s="576" t="s">
        <v>2055</v>
      </c>
      <c r="I693" s="165">
        <v>43745</v>
      </c>
      <c r="J693" s="551" t="s">
        <v>799</v>
      </c>
      <c r="K693" s="552" t="s">
        <v>72</v>
      </c>
      <c r="L693" s="130" t="s">
        <v>2866</v>
      </c>
    </row>
    <row r="694" spans="1:12" ht="16.5" customHeight="1">
      <c r="A694" s="186" t="s">
        <v>2510</v>
      </c>
      <c r="B694" s="186">
        <v>6296</v>
      </c>
      <c r="C694" s="186">
        <v>14691</v>
      </c>
      <c r="D694" s="186" t="s">
        <v>4083</v>
      </c>
      <c r="E694" s="186" t="s">
        <v>2962</v>
      </c>
      <c r="F694" s="186" t="s">
        <v>4084</v>
      </c>
      <c r="G694" s="576" t="s">
        <v>2052</v>
      </c>
      <c r="I694" s="165">
        <v>43746</v>
      </c>
      <c r="J694" s="551" t="s">
        <v>799</v>
      </c>
      <c r="K694" s="552" t="s">
        <v>73</v>
      </c>
      <c r="L694" s="130" t="s">
        <v>2870</v>
      </c>
    </row>
    <row r="695" spans="1:12" ht="16.5" customHeight="1">
      <c r="A695" s="186" t="s">
        <v>2510</v>
      </c>
      <c r="B695" s="186">
        <v>613257</v>
      </c>
      <c r="C695" s="186">
        <v>16473</v>
      </c>
      <c r="D695" s="186" t="s">
        <v>2832</v>
      </c>
      <c r="E695" s="186" t="s">
        <v>3479</v>
      </c>
      <c r="F695" s="186" t="s">
        <v>4085</v>
      </c>
      <c r="G695" s="576" t="s">
        <v>2055</v>
      </c>
      <c r="I695" s="165">
        <v>43746</v>
      </c>
      <c r="J695" s="551" t="s">
        <v>799</v>
      </c>
      <c r="K695" s="552" t="s">
        <v>73</v>
      </c>
      <c r="L695" s="130" t="s">
        <v>2870</v>
      </c>
    </row>
    <row r="696" spans="1:12" ht="16.5" customHeight="1">
      <c r="A696" s="186" t="s">
        <v>2510</v>
      </c>
      <c r="B696" s="186">
        <v>2535292</v>
      </c>
      <c r="C696" s="186">
        <v>9634</v>
      </c>
      <c r="D696" s="186" t="s">
        <v>4086</v>
      </c>
      <c r="E696" s="186" t="s">
        <v>4087</v>
      </c>
      <c r="F696" s="186" t="s">
        <v>3750</v>
      </c>
      <c r="G696" s="576" t="s">
        <v>2055</v>
      </c>
      <c r="I696" s="165">
        <v>43746</v>
      </c>
      <c r="J696" s="551" t="s">
        <v>799</v>
      </c>
      <c r="K696" s="552" t="s">
        <v>73</v>
      </c>
      <c r="L696" s="130" t="s">
        <v>2870</v>
      </c>
    </row>
    <row r="697" spans="1:12" ht="16.5" customHeight="1">
      <c r="A697" s="186" t="s">
        <v>2510</v>
      </c>
      <c r="B697" s="186">
        <v>2945905</v>
      </c>
      <c r="C697" s="186">
        <v>16558</v>
      </c>
      <c r="D697" s="186" t="s">
        <v>2558</v>
      </c>
      <c r="E697" s="186" t="s">
        <v>4088</v>
      </c>
      <c r="F697" s="186" t="s">
        <v>3455</v>
      </c>
      <c r="G697" s="576" t="s">
        <v>2055</v>
      </c>
      <c r="I697" s="165">
        <v>43746</v>
      </c>
      <c r="J697" s="551" t="s">
        <v>799</v>
      </c>
      <c r="K697" s="552" t="s">
        <v>73</v>
      </c>
      <c r="L697" s="130" t="s">
        <v>2870</v>
      </c>
    </row>
    <row r="698" spans="1:12" ht="16.5" customHeight="1">
      <c r="A698" s="186" t="s">
        <v>2510</v>
      </c>
      <c r="B698" s="186">
        <v>3001773</v>
      </c>
      <c r="C698" s="186">
        <v>16068</v>
      </c>
      <c r="D698" s="186" t="s">
        <v>4089</v>
      </c>
      <c r="E698" s="186" t="s">
        <v>4030</v>
      </c>
      <c r="F698" s="186" t="s">
        <v>3960</v>
      </c>
      <c r="G698" s="576" t="s">
        <v>2413</v>
      </c>
      <c r="I698" s="165">
        <v>43746</v>
      </c>
      <c r="J698" s="551" t="s">
        <v>799</v>
      </c>
      <c r="K698" s="552" t="s">
        <v>73</v>
      </c>
      <c r="L698" s="130" t="s">
        <v>2870</v>
      </c>
    </row>
    <row r="699" spans="1:12" ht="16.5" customHeight="1">
      <c r="A699" s="186" t="s">
        <v>2510</v>
      </c>
      <c r="B699" s="186">
        <v>3440286</v>
      </c>
      <c r="C699" s="186">
        <v>18504</v>
      </c>
      <c r="D699" s="186" t="s">
        <v>3103</v>
      </c>
      <c r="E699" s="186" t="s">
        <v>2893</v>
      </c>
      <c r="F699" s="186" t="s">
        <v>3953</v>
      </c>
      <c r="G699" s="576" t="s">
        <v>2059</v>
      </c>
      <c r="I699" s="165">
        <v>43746</v>
      </c>
      <c r="J699" s="551" t="s">
        <v>799</v>
      </c>
      <c r="K699" s="552" t="s">
        <v>73</v>
      </c>
      <c r="L699" s="130" t="s">
        <v>2870</v>
      </c>
    </row>
    <row r="700" spans="1:12" ht="16.5" customHeight="1">
      <c r="A700" s="186" t="s">
        <v>2510</v>
      </c>
      <c r="B700" s="186">
        <v>3973500</v>
      </c>
      <c r="C700" s="186">
        <v>17949</v>
      </c>
      <c r="D700" s="186" t="s">
        <v>3223</v>
      </c>
      <c r="E700" s="186" t="s">
        <v>4090</v>
      </c>
      <c r="F700" s="186" t="s">
        <v>4091</v>
      </c>
      <c r="G700" s="576" t="s">
        <v>2446</v>
      </c>
      <c r="I700" s="165">
        <v>43746</v>
      </c>
      <c r="J700" s="551" t="s">
        <v>799</v>
      </c>
      <c r="K700" s="552" t="s">
        <v>73</v>
      </c>
      <c r="L700" s="130" t="s">
        <v>2870</v>
      </c>
    </row>
    <row r="701" spans="1:12" ht="16.5" customHeight="1">
      <c r="A701" s="186" t="s">
        <v>2510</v>
      </c>
      <c r="B701" s="186">
        <v>3991684</v>
      </c>
      <c r="C701" s="549">
        <v>20302</v>
      </c>
      <c r="D701" s="130" t="s">
        <v>2651</v>
      </c>
      <c r="E701" s="130" t="s">
        <v>4092</v>
      </c>
      <c r="F701" s="130" t="s">
        <v>4006</v>
      </c>
      <c r="G701" s="550" t="s">
        <v>2174</v>
      </c>
      <c r="I701" s="165">
        <v>43746</v>
      </c>
      <c r="J701" s="551" t="s">
        <v>799</v>
      </c>
      <c r="K701" s="552" t="s">
        <v>73</v>
      </c>
      <c r="L701" s="130" t="s">
        <v>2870</v>
      </c>
    </row>
    <row r="702" spans="1:12" ht="16.5" customHeight="1">
      <c r="A702" s="186" t="s">
        <v>2510</v>
      </c>
      <c r="B702" s="186">
        <v>4622320</v>
      </c>
      <c r="C702" s="549">
        <v>16987</v>
      </c>
      <c r="D702" s="130" t="s">
        <v>2903</v>
      </c>
      <c r="E702" s="130" t="s">
        <v>2706</v>
      </c>
      <c r="F702" s="130" t="s">
        <v>4031</v>
      </c>
      <c r="G702" s="550" t="s">
        <v>2059</v>
      </c>
      <c r="I702" s="165">
        <v>43746</v>
      </c>
      <c r="J702" s="551" t="s">
        <v>799</v>
      </c>
      <c r="K702" s="552" t="s">
        <v>73</v>
      </c>
      <c r="L702" s="130" t="s">
        <v>2870</v>
      </c>
    </row>
    <row r="703" spans="1:12" ht="16.5" customHeight="1">
      <c r="A703" s="186" t="s">
        <v>2510</v>
      </c>
      <c r="B703" s="186">
        <v>4629390</v>
      </c>
      <c r="C703" s="549">
        <v>18916</v>
      </c>
      <c r="D703" s="130" t="s">
        <v>4093</v>
      </c>
      <c r="E703" s="130" t="s">
        <v>4094</v>
      </c>
      <c r="F703" s="130" t="s">
        <v>4095</v>
      </c>
      <c r="G703" s="550" t="s">
        <v>2313</v>
      </c>
      <c r="I703" s="165">
        <v>43746</v>
      </c>
      <c r="J703" s="551" t="s">
        <v>799</v>
      </c>
      <c r="K703" s="552" t="s">
        <v>73</v>
      </c>
      <c r="L703" s="130" t="s">
        <v>2870</v>
      </c>
    </row>
    <row r="704" spans="1:12" ht="16.5" customHeight="1">
      <c r="A704" s="186" t="s">
        <v>2510</v>
      </c>
      <c r="B704" s="186">
        <v>4818373</v>
      </c>
      <c r="C704" s="549">
        <v>21271</v>
      </c>
      <c r="D704" s="130" t="s">
        <v>4096</v>
      </c>
      <c r="E704" s="130" t="s">
        <v>4097</v>
      </c>
      <c r="F704" s="130" t="s">
        <v>3761</v>
      </c>
      <c r="G704" s="550" t="s">
        <v>2059</v>
      </c>
      <c r="I704" s="165">
        <v>43746</v>
      </c>
      <c r="J704" s="551" t="s">
        <v>799</v>
      </c>
      <c r="K704" s="552" t="s">
        <v>73</v>
      </c>
      <c r="L704" s="130" t="s">
        <v>2870</v>
      </c>
    </row>
    <row r="705" spans="1:12" ht="16.5" customHeight="1">
      <c r="A705" s="186" t="s">
        <v>2510</v>
      </c>
      <c r="B705" s="186">
        <v>4945978</v>
      </c>
      <c r="C705" s="549">
        <v>17275</v>
      </c>
      <c r="D705" s="130" t="s">
        <v>3632</v>
      </c>
      <c r="E705" s="130" t="s">
        <v>4098</v>
      </c>
      <c r="F705" s="130" t="s">
        <v>3815</v>
      </c>
      <c r="G705" s="550" t="s">
        <v>2059</v>
      </c>
      <c r="I705" s="165">
        <v>43746</v>
      </c>
      <c r="J705" s="551" t="s">
        <v>799</v>
      </c>
      <c r="K705" s="552" t="s">
        <v>73</v>
      </c>
      <c r="L705" s="130" t="s">
        <v>2870</v>
      </c>
    </row>
    <row r="706" spans="1:12" ht="16.5" customHeight="1">
      <c r="A706" s="186" t="s">
        <v>2510</v>
      </c>
      <c r="B706" s="186">
        <v>6221063</v>
      </c>
      <c r="C706" s="549">
        <v>18839</v>
      </c>
      <c r="D706" s="130" t="s">
        <v>3072</v>
      </c>
      <c r="E706" s="130" t="s">
        <v>4099</v>
      </c>
      <c r="F706" s="130" t="s">
        <v>3347</v>
      </c>
      <c r="G706" s="550" t="s">
        <v>2055</v>
      </c>
      <c r="I706" s="165">
        <v>43746</v>
      </c>
      <c r="J706" s="551" t="s">
        <v>799</v>
      </c>
      <c r="K706" s="552" t="s">
        <v>73</v>
      </c>
      <c r="L706" s="130" t="s">
        <v>2870</v>
      </c>
    </row>
    <row r="707" spans="1:12" ht="16.5" customHeight="1">
      <c r="A707" s="186" t="s">
        <v>2510</v>
      </c>
      <c r="B707" s="186">
        <v>6596050</v>
      </c>
      <c r="C707" s="549">
        <v>18868</v>
      </c>
      <c r="D707" s="130" t="s">
        <v>3217</v>
      </c>
      <c r="E707" s="130" t="s">
        <v>4100</v>
      </c>
      <c r="F707" s="130" t="s">
        <v>4101</v>
      </c>
      <c r="G707" s="550" t="s">
        <v>2299</v>
      </c>
      <c r="I707" s="165">
        <v>43746</v>
      </c>
      <c r="J707" s="551" t="s">
        <v>799</v>
      </c>
      <c r="K707" s="552" t="s">
        <v>73</v>
      </c>
      <c r="L707" s="130" t="s">
        <v>2870</v>
      </c>
    </row>
    <row r="708" spans="1:12" ht="16.5" customHeight="1">
      <c r="A708" s="186" t="s">
        <v>2510</v>
      </c>
      <c r="B708" s="186">
        <v>8892523</v>
      </c>
      <c r="C708" s="549">
        <v>21390</v>
      </c>
      <c r="D708" s="130" t="s">
        <v>2671</v>
      </c>
      <c r="E708" s="130" t="s">
        <v>4102</v>
      </c>
      <c r="F708" s="130" t="s">
        <v>4101</v>
      </c>
      <c r="G708" s="550" t="s">
        <v>2299</v>
      </c>
      <c r="I708" s="165">
        <v>43746</v>
      </c>
      <c r="J708" s="551" t="s">
        <v>799</v>
      </c>
      <c r="K708" s="552" t="s">
        <v>73</v>
      </c>
      <c r="L708" s="130" t="s">
        <v>2870</v>
      </c>
    </row>
    <row r="709" spans="1:12" ht="16.5" customHeight="1">
      <c r="A709" s="186" t="s">
        <v>2510</v>
      </c>
      <c r="B709" s="186">
        <v>8932642</v>
      </c>
      <c r="C709" s="549">
        <v>19437</v>
      </c>
      <c r="D709" s="130" t="s">
        <v>3478</v>
      </c>
      <c r="E709" s="130" t="s">
        <v>4103</v>
      </c>
      <c r="F709" s="130" t="s">
        <v>4104</v>
      </c>
      <c r="G709" s="550" t="s">
        <v>2465</v>
      </c>
      <c r="I709" s="165">
        <v>43746</v>
      </c>
      <c r="J709" s="551" t="s">
        <v>799</v>
      </c>
      <c r="K709" s="552" t="s">
        <v>73</v>
      </c>
      <c r="L709" s="130" t="s">
        <v>2870</v>
      </c>
    </row>
    <row r="710" spans="1:12" ht="16.5" customHeight="1">
      <c r="A710" s="186" t="s">
        <v>2510</v>
      </c>
      <c r="B710" s="186">
        <v>8938672</v>
      </c>
      <c r="C710" s="549">
        <v>18933</v>
      </c>
      <c r="D710" s="130" t="s">
        <v>4105</v>
      </c>
      <c r="E710" s="130" t="s">
        <v>4106</v>
      </c>
      <c r="F710" s="130" t="s">
        <v>4107</v>
      </c>
      <c r="G710" s="550" t="s">
        <v>2055</v>
      </c>
      <c r="I710" s="165">
        <v>43746</v>
      </c>
      <c r="J710" s="551" t="s">
        <v>799</v>
      </c>
      <c r="K710" s="552" t="s">
        <v>73</v>
      </c>
      <c r="L710" s="130" t="s">
        <v>2870</v>
      </c>
    </row>
    <row r="711" spans="1:12" ht="16.5" customHeight="1">
      <c r="A711" s="186" t="s">
        <v>2510</v>
      </c>
      <c r="B711" s="186">
        <v>10345890</v>
      </c>
      <c r="C711" s="549">
        <v>14648</v>
      </c>
      <c r="D711" s="130" t="s">
        <v>4108</v>
      </c>
      <c r="E711" s="130" t="s">
        <v>4109</v>
      </c>
      <c r="F711" s="130" t="s">
        <v>4091</v>
      </c>
      <c r="G711" s="550" t="s">
        <v>2446</v>
      </c>
      <c r="I711" s="165">
        <v>43746</v>
      </c>
      <c r="J711" s="551" t="s">
        <v>799</v>
      </c>
      <c r="K711" s="552" t="s">
        <v>73</v>
      </c>
      <c r="L711" s="130" t="s">
        <v>2870</v>
      </c>
    </row>
    <row r="712" spans="1:12" ht="16.5" customHeight="1">
      <c r="A712" s="186" t="s">
        <v>2510</v>
      </c>
      <c r="B712" s="186">
        <v>13128103</v>
      </c>
      <c r="C712" s="549">
        <v>18187</v>
      </c>
      <c r="D712" s="130" t="s">
        <v>3246</v>
      </c>
      <c r="E712" s="130" t="s">
        <v>2889</v>
      </c>
      <c r="F712" s="130" t="s">
        <v>4031</v>
      </c>
      <c r="G712" s="550" t="s">
        <v>2059</v>
      </c>
      <c r="I712" s="165">
        <v>43746</v>
      </c>
      <c r="J712" s="551" t="s">
        <v>799</v>
      </c>
      <c r="K712" s="552" t="s">
        <v>73</v>
      </c>
      <c r="L712" s="130" t="s">
        <v>2870</v>
      </c>
    </row>
    <row r="713" spans="1:12" ht="16.5" customHeight="1">
      <c r="A713" s="186" t="s">
        <v>2510</v>
      </c>
      <c r="B713" s="186">
        <v>16660334</v>
      </c>
      <c r="C713" s="549">
        <v>19010</v>
      </c>
      <c r="D713" s="130" t="s">
        <v>2898</v>
      </c>
      <c r="E713" s="130" t="s">
        <v>4110</v>
      </c>
      <c r="F713" s="130" t="s">
        <v>3932</v>
      </c>
      <c r="G713" s="550" t="s">
        <v>2174</v>
      </c>
      <c r="I713" s="165">
        <v>43746</v>
      </c>
      <c r="J713" s="551" t="s">
        <v>799</v>
      </c>
      <c r="K713" s="552" t="s">
        <v>73</v>
      </c>
      <c r="L713" s="130" t="s">
        <v>2870</v>
      </c>
    </row>
    <row r="714" spans="1:12" ht="16.5" customHeight="1">
      <c r="A714" s="186" t="s">
        <v>2510</v>
      </c>
      <c r="B714" s="186">
        <v>17121336</v>
      </c>
      <c r="C714" s="549">
        <v>19636</v>
      </c>
      <c r="D714" s="130" t="s">
        <v>4111</v>
      </c>
      <c r="E714" s="130" t="s">
        <v>4112</v>
      </c>
      <c r="F714" s="130" t="s">
        <v>3975</v>
      </c>
      <c r="G714" s="550" t="s">
        <v>2413</v>
      </c>
      <c r="I714" s="165">
        <v>43746</v>
      </c>
      <c r="J714" s="551" t="s">
        <v>799</v>
      </c>
      <c r="K714" s="552" t="s">
        <v>73</v>
      </c>
      <c r="L714" s="130" t="s">
        <v>2870</v>
      </c>
    </row>
    <row r="715" spans="1:12" ht="16.5" customHeight="1">
      <c r="A715" s="186" t="s">
        <v>2510</v>
      </c>
      <c r="B715" s="186">
        <v>18220236</v>
      </c>
      <c r="C715" s="549">
        <v>18691</v>
      </c>
      <c r="D715" s="130" t="s">
        <v>2669</v>
      </c>
      <c r="E715" s="130" t="s">
        <v>4113</v>
      </c>
      <c r="F715" s="130" t="s">
        <v>4114</v>
      </c>
      <c r="G715" s="550" t="s">
        <v>2052</v>
      </c>
      <c r="I715" s="165">
        <v>43746</v>
      </c>
      <c r="J715" s="551" t="s">
        <v>799</v>
      </c>
      <c r="K715" s="552" t="s">
        <v>73</v>
      </c>
      <c r="L715" s="130" t="s">
        <v>2870</v>
      </c>
    </row>
    <row r="716" spans="1:12" ht="16.5" customHeight="1">
      <c r="A716" s="186" t="s">
        <v>2510</v>
      </c>
      <c r="B716" s="186">
        <v>20540613</v>
      </c>
      <c r="C716" s="549">
        <v>13340</v>
      </c>
      <c r="D716" s="130" t="s">
        <v>3400</v>
      </c>
      <c r="E716" s="130" t="s">
        <v>4115</v>
      </c>
      <c r="F716" s="130" t="s">
        <v>4116</v>
      </c>
      <c r="G716" s="550" t="s">
        <v>2052</v>
      </c>
      <c r="I716" s="165">
        <v>43746</v>
      </c>
      <c r="J716" s="551" t="s">
        <v>799</v>
      </c>
      <c r="K716" s="552" t="s">
        <v>73</v>
      </c>
      <c r="L716" s="130" t="s">
        <v>2870</v>
      </c>
    </row>
    <row r="717" spans="1:12" ht="16.5" customHeight="1">
      <c r="A717" s="186" t="s">
        <v>2510</v>
      </c>
      <c r="B717" s="186">
        <v>24906059</v>
      </c>
      <c r="C717" s="549">
        <v>13180</v>
      </c>
      <c r="D717" s="130" t="s">
        <v>3542</v>
      </c>
      <c r="E717" s="130" t="s">
        <v>4117</v>
      </c>
      <c r="F717" s="130" t="s">
        <v>3770</v>
      </c>
      <c r="G717" s="550" t="s">
        <v>2174</v>
      </c>
      <c r="I717" s="165">
        <v>43746</v>
      </c>
      <c r="J717" s="551" t="s">
        <v>799</v>
      </c>
      <c r="K717" s="552" t="s">
        <v>73</v>
      </c>
      <c r="L717" s="130" t="s">
        <v>2870</v>
      </c>
    </row>
    <row r="718" spans="1:12" ht="16.5" customHeight="1">
      <c r="A718" s="186" t="s">
        <v>2510</v>
      </c>
      <c r="B718" s="186">
        <v>26830604</v>
      </c>
      <c r="C718" s="549">
        <v>16390</v>
      </c>
      <c r="D718" s="130" t="s">
        <v>2614</v>
      </c>
      <c r="E718" s="130" t="s">
        <v>4118</v>
      </c>
      <c r="F718" s="130" t="s">
        <v>4119</v>
      </c>
      <c r="G718" s="550" t="s">
        <v>2052</v>
      </c>
      <c r="I718" s="165">
        <v>43746</v>
      </c>
      <c r="J718" s="551" t="s">
        <v>799</v>
      </c>
      <c r="K718" s="552" t="s">
        <v>73</v>
      </c>
      <c r="L718" s="130" t="s">
        <v>2870</v>
      </c>
    </row>
    <row r="719" spans="1:12" ht="16.5" customHeight="1">
      <c r="A719" s="186" t="s">
        <v>2510</v>
      </c>
      <c r="B719" s="186">
        <v>27609403</v>
      </c>
      <c r="C719" s="549">
        <v>14093</v>
      </c>
      <c r="D719" s="130" t="s">
        <v>3510</v>
      </c>
      <c r="E719" s="130" t="s">
        <v>4120</v>
      </c>
      <c r="F719" s="130" t="s">
        <v>4121</v>
      </c>
      <c r="G719" s="550" t="s">
        <v>2059</v>
      </c>
      <c r="I719" s="165">
        <v>43746</v>
      </c>
      <c r="J719" s="551" t="s">
        <v>799</v>
      </c>
      <c r="K719" s="552" t="s">
        <v>73</v>
      </c>
      <c r="L719" s="130" t="s">
        <v>2870</v>
      </c>
    </row>
    <row r="720" spans="1:12" ht="16.5" customHeight="1">
      <c r="A720" s="186" t="s">
        <v>2510</v>
      </c>
      <c r="B720" s="186">
        <v>28322998</v>
      </c>
      <c r="C720" s="549">
        <v>15554</v>
      </c>
      <c r="D720" s="130" t="s">
        <v>2954</v>
      </c>
      <c r="E720" s="130" t="s">
        <v>4122</v>
      </c>
      <c r="F720" s="130" t="s">
        <v>4123</v>
      </c>
      <c r="G720" s="550" t="s">
        <v>2413</v>
      </c>
      <c r="I720" s="165">
        <v>43746</v>
      </c>
      <c r="J720" s="551" t="s">
        <v>799</v>
      </c>
      <c r="K720" s="552" t="s">
        <v>73</v>
      </c>
      <c r="L720" s="130" t="s">
        <v>2870</v>
      </c>
    </row>
    <row r="721" spans="1:12" ht="16.5" customHeight="1">
      <c r="A721" s="186" t="s">
        <v>2510</v>
      </c>
      <c r="B721" s="186">
        <v>28349298</v>
      </c>
      <c r="C721" s="549">
        <v>15376</v>
      </c>
      <c r="D721" s="130" t="s">
        <v>4124</v>
      </c>
      <c r="E721" s="130" t="s">
        <v>4125</v>
      </c>
      <c r="F721" s="130" t="s">
        <v>4126</v>
      </c>
      <c r="G721" s="550" t="s">
        <v>2052</v>
      </c>
      <c r="I721" s="165">
        <v>43746</v>
      </c>
      <c r="J721" s="551" t="s">
        <v>799</v>
      </c>
      <c r="K721" s="552" t="s">
        <v>73</v>
      </c>
      <c r="L721" s="130" t="s">
        <v>2870</v>
      </c>
    </row>
    <row r="722" spans="1:12" ht="16.5" customHeight="1">
      <c r="A722" s="186" t="s">
        <v>2510</v>
      </c>
      <c r="B722" s="186">
        <v>28570554</v>
      </c>
      <c r="C722" s="549">
        <v>19681</v>
      </c>
      <c r="D722" s="130" t="s">
        <v>2590</v>
      </c>
      <c r="E722" s="130" t="s">
        <v>4127</v>
      </c>
      <c r="F722" s="130" t="s">
        <v>4128</v>
      </c>
      <c r="G722" s="550" t="s">
        <v>2052</v>
      </c>
      <c r="I722" s="165">
        <v>43746</v>
      </c>
      <c r="J722" s="551" t="s">
        <v>799</v>
      </c>
      <c r="K722" s="552" t="s">
        <v>73</v>
      </c>
      <c r="L722" s="130" t="s">
        <v>2870</v>
      </c>
    </row>
    <row r="723" spans="1:12" ht="16.5" customHeight="1">
      <c r="A723" s="186" t="s">
        <v>2510</v>
      </c>
      <c r="B723" s="186">
        <v>29025079</v>
      </c>
      <c r="C723" s="549">
        <v>12497</v>
      </c>
      <c r="D723" s="130" t="s">
        <v>2586</v>
      </c>
      <c r="E723" s="130" t="s">
        <v>4129</v>
      </c>
      <c r="F723" s="130" t="s">
        <v>3551</v>
      </c>
      <c r="G723" s="550" t="s">
        <v>2299</v>
      </c>
      <c r="I723" s="165">
        <v>43746</v>
      </c>
      <c r="J723" s="551" t="s">
        <v>799</v>
      </c>
      <c r="K723" s="552" t="s">
        <v>73</v>
      </c>
      <c r="L723" s="130" t="s">
        <v>2870</v>
      </c>
    </row>
    <row r="724" spans="1:12" ht="16.5" customHeight="1">
      <c r="A724" s="186" t="s">
        <v>2510</v>
      </c>
      <c r="B724" s="186">
        <v>30177950</v>
      </c>
      <c r="C724" s="549">
        <v>17422</v>
      </c>
      <c r="D724" s="130" t="s">
        <v>3095</v>
      </c>
      <c r="E724" s="130" t="s">
        <v>4130</v>
      </c>
      <c r="F724" s="130" t="s">
        <v>2582</v>
      </c>
      <c r="G724" s="550" t="s">
        <v>2174</v>
      </c>
      <c r="I724" s="165">
        <v>43746</v>
      </c>
      <c r="J724" s="551" t="s">
        <v>799</v>
      </c>
      <c r="K724" s="552" t="s">
        <v>73</v>
      </c>
      <c r="L724" s="130" t="s">
        <v>2870</v>
      </c>
    </row>
    <row r="725" spans="1:12" ht="16.5" customHeight="1">
      <c r="A725" s="186" t="s">
        <v>2510</v>
      </c>
      <c r="B725" s="186">
        <v>30358329</v>
      </c>
      <c r="C725" s="549">
        <v>14093</v>
      </c>
      <c r="D725" s="130" t="s">
        <v>4131</v>
      </c>
      <c r="E725" s="130" t="s">
        <v>4132</v>
      </c>
      <c r="F725" s="130" t="s">
        <v>4133</v>
      </c>
      <c r="G725" s="550" t="s">
        <v>2413</v>
      </c>
      <c r="I725" s="165">
        <v>43746</v>
      </c>
      <c r="J725" s="551" t="s">
        <v>799</v>
      </c>
      <c r="K725" s="552" t="s">
        <v>73</v>
      </c>
      <c r="L725" s="130" t="s">
        <v>2870</v>
      </c>
    </row>
    <row r="726" spans="1:12" ht="16.5" customHeight="1">
      <c r="A726" s="186" t="s">
        <v>2510</v>
      </c>
      <c r="B726" s="186">
        <v>32882052</v>
      </c>
      <c r="C726" s="549">
        <v>20749</v>
      </c>
      <c r="D726" s="130" t="s">
        <v>4134</v>
      </c>
      <c r="E726" s="130" t="s">
        <v>3852</v>
      </c>
      <c r="F726" s="130" t="s">
        <v>4135</v>
      </c>
      <c r="G726" s="550" t="s">
        <v>2052</v>
      </c>
      <c r="I726" s="165">
        <v>43746</v>
      </c>
      <c r="J726" s="551" t="s">
        <v>799</v>
      </c>
      <c r="K726" s="552" t="s">
        <v>73</v>
      </c>
      <c r="L726" s="130" t="s">
        <v>2870</v>
      </c>
    </row>
    <row r="727" spans="1:12" ht="16.5" customHeight="1">
      <c r="A727" s="186" t="s">
        <v>2510</v>
      </c>
      <c r="B727" s="186">
        <v>33687229</v>
      </c>
      <c r="C727" s="549">
        <v>10573</v>
      </c>
      <c r="D727" s="130" t="s">
        <v>4136</v>
      </c>
      <c r="E727" s="130" t="s">
        <v>4137</v>
      </c>
      <c r="F727" s="130" t="s">
        <v>4138</v>
      </c>
      <c r="G727" s="550" t="s">
        <v>2465</v>
      </c>
      <c r="I727" s="165">
        <v>43746</v>
      </c>
      <c r="J727" s="551" t="s">
        <v>799</v>
      </c>
      <c r="K727" s="552" t="s">
        <v>73</v>
      </c>
      <c r="L727" s="130" t="s">
        <v>2870</v>
      </c>
    </row>
    <row r="728" spans="1:12" ht="16.5" customHeight="1">
      <c r="A728" s="186" t="s">
        <v>2510</v>
      </c>
      <c r="B728" s="186">
        <v>35009595</v>
      </c>
      <c r="C728" s="549">
        <v>17599</v>
      </c>
      <c r="D728" s="130" t="s">
        <v>4139</v>
      </c>
      <c r="E728" s="130" t="s">
        <v>3063</v>
      </c>
      <c r="F728" s="130" t="s">
        <v>3924</v>
      </c>
      <c r="G728" s="550" t="s">
        <v>2413</v>
      </c>
      <c r="I728" s="165">
        <v>43746</v>
      </c>
      <c r="J728" s="551" t="s">
        <v>799</v>
      </c>
      <c r="K728" s="552" t="s">
        <v>73</v>
      </c>
      <c r="L728" s="130" t="s">
        <v>2870</v>
      </c>
    </row>
    <row r="729" spans="1:12" ht="16.5" customHeight="1">
      <c r="A729" s="186" t="s">
        <v>2510</v>
      </c>
      <c r="B729" s="186">
        <v>35358035</v>
      </c>
      <c r="C729" s="549">
        <v>13432</v>
      </c>
      <c r="D729" s="130" t="s">
        <v>4140</v>
      </c>
      <c r="E729" s="130" t="s">
        <v>4141</v>
      </c>
      <c r="F729" s="130" t="s">
        <v>3815</v>
      </c>
      <c r="G729" s="550" t="s">
        <v>2059</v>
      </c>
      <c r="I729" s="165">
        <v>43746</v>
      </c>
      <c r="J729" s="551" t="s">
        <v>799</v>
      </c>
      <c r="K729" s="552" t="s">
        <v>73</v>
      </c>
      <c r="L729" s="130" t="s">
        <v>2870</v>
      </c>
    </row>
    <row r="730" spans="1:12" ht="16.5" customHeight="1">
      <c r="A730" s="186" t="s">
        <v>2510</v>
      </c>
      <c r="B730" s="186">
        <v>35825926</v>
      </c>
      <c r="C730" s="549">
        <v>16526</v>
      </c>
      <c r="D730" s="130" t="s">
        <v>4142</v>
      </c>
      <c r="E730" s="130" t="s">
        <v>4143</v>
      </c>
      <c r="F730" s="130" t="s">
        <v>4006</v>
      </c>
      <c r="G730" s="550" t="s">
        <v>2174</v>
      </c>
      <c r="I730" s="165">
        <v>43746</v>
      </c>
      <c r="J730" s="551" t="s">
        <v>799</v>
      </c>
      <c r="K730" s="552" t="s">
        <v>73</v>
      </c>
      <c r="L730" s="130" t="s">
        <v>2870</v>
      </c>
    </row>
    <row r="731" spans="1:12" ht="16.5" customHeight="1">
      <c r="A731" s="186" t="s">
        <v>2510</v>
      </c>
      <c r="B731" s="186">
        <v>36024156</v>
      </c>
      <c r="C731" s="549">
        <v>17631</v>
      </c>
      <c r="D731" s="130" t="s">
        <v>4144</v>
      </c>
      <c r="E731" s="130" t="s">
        <v>4145</v>
      </c>
      <c r="F731" s="130" t="s">
        <v>3855</v>
      </c>
      <c r="G731" s="550" t="s">
        <v>2055</v>
      </c>
      <c r="I731" s="165">
        <v>43746</v>
      </c>
      <c r="J731" s="551" t="s">
        <v>799</v>
      </c>
      <c r="K731" s="552" t="s">
        <v>73</v>
      </c>
      <c r="L731" s="130" t="s">
        <v>2870</v>
      </c>
    </row>
    <row r="732" spans="1:12" ht="16.5" customHeight="1">
      <c r="A732" s="186" t="s">
        <v>2510</v>
      </c>
      <c r="B732" s="186">
        <v>36177616</v>
      </c>
      <c r="C732" s="549">
        <v>22046</v>
      </c>
      <c r="D732" s="130" t="s">
        <v>4146</v>
      </c>
      <c r="E732" s="130" t="s">
        <v>4147</v>
      </c>
      <c r="F732" s="130" t="s">
        <v>4148</v>
      </c>
      <c r="G732" s="550" t="s">
        <v>2206</v>
      </c>
      <c r="I732" s="165">
        <v>43746</v>
      </c>
      <c r="J732" s="551" t="s">
        <v>799</v>
      </c>
      <c r="K732" s="552" t="s">
        <v>73</v>
      </c>
      <c r="L732" s="130" t="s">
        <v>2870</v>
      </c>
    </row>
    <row r="733" spans="1:12" ht="16.5" customHeight="1">
      <c r="A733" s="186" t="s">
        <v>2510</v>
      </c>
      <c r="B733" s="186">
        <v>36528925</v>
      </c>
      <c r="C733" s="549">
        <v>20478</v>
      </c>
      <c r="D733" s="130" t="s">
        <v>3101</v>
      </c>
      <c r="E733" s="130" t="s">
        <v>4149</v>
      </c>
      <c r="F733" s="130" t="s">
        <v>2624</v>
      </c>
      <c r="G733" s="550" t="s">
        <v>2052</v>
      </c>
      <c r="I733" s="165">
        <v>43746</v>
      </c>
      <c r="J733" s="551" t="s">
        <v>799</v>
      </c>
      <c r="K733" s="552" t="s">
        <v>73</v>
      </c>
      <c r="L733" s="130" t="s">
        <v>2870</v>
      </c>
    </row>
    <row r="734" spans="1:12" ht="16.5" customHeight="1">
      <c r="A734" s="186" t="s">
        <v>2510</v>
      </c>
      <c r="B734" s="186">
        <v>36541423</v>
      </c>
      <c r="C734" s="549">
        <v>20067</v>
      </c>
      <c r="D734" s="130" t="s">
        <v>3002</v>
      </c>
      <c r="E734" s="130" t="s">
        <v>3422</v>
      </c>
      <c r="F734" s="130" t="s">
        <v>2730</v>
      </c>
      <c r="G734" s="550" t="s">
        <v>2174</v>
      </c>
      <c r="I734" s="165">
        <v>43746</v>
      </c>
      <c r="J734" s="551" t="s">
        <v>799</v>
      </c>
      <c r="K734" s="552" t="s">
        <v>73</v>
      </c>
      <c r="L734" s="130" t="s">
        <v>2870</v>
      </c>
    </row>
    <row r="735" spans="1:12" ht="16.5" customHeight="1">
      <c r="A735" s="186" t="s">
        <v>2510</v>
      </c>
      <c r="B735" s="186">
        <v>36831477</v>
      </c>
      <c r="C735" s="549">
        <v>20011</v>
      </c>
      <c r="D735" s="130" t="s">
        <v>2665</v>
      </c>
      <c r="E735" s="130" t="s">
        <v>4150</v>
      </c>
      <c r="F735" s="130" t="s">
        <v>4151</v>
      </c>
      <c r="G735" s="550" t="s">
        <v>2055</v>
      </c>
      <c r="I735" s="165">
        <v>43746</v>
      </c>
      <c r="J735" s="551" t="s">
        <v>799</v>
      </c>
      <c r="K735" s="552" t="s">
        <v>73</v>
      </c>
      <c r="L735" s="130" t="s">
        <v>2870</v>
      </c>
    </row>
    <row r="736" spans="1:12" ht="16.5" customHeight="1">
      <c r="A736" s="186" t="s">
        <v>2510</v>
      </c>
      <c r="B736" s="186">
        <v>38506341</v>
      </c>
      <c r="C736" s="549">
        <v>11043</v>
      </c>
      <c r="D736" s="130" t="s">
        <v>4152</v>
      </c>
      <c r="E736" s="130" t="s">
        <v>2632</v>
      </c>
      <c r="F736" s="130" t="s">
        <v>4153</v>
      </c>
      <c r="G736" s="550" t="s">
        <v>2413</v>
      </c>
      <c r="I736" s="165">
        <v>43746</v>
      </c>
      <c r="J736" s="551" t="s">
        <v>799</v>
      </c>
      <c r="K736" s="552" t="s">
        <v>73</v>
      </c>
      <c r="L736" s="130" t="s">
        <v>2870</v>
      </c>
    </row>
    <row r="737" spans="1:12" ht="16.5" customHeight="1">
      <c r="A737" s="186" t="s">
        <v>2510</v>
      </c>
      <c r="B737" s="186">
        <v>38594966</v>
      </c>
      <c r="C737" s="549">
        <v>20961</v>
      </c>
      <c r="D737" s="130" t="s">
        <v>2697</v>
      </c>
      <c r="E737" s="130" t="s">
        <v>4154</v>
      </c>
      <c r="F737" s="130" t="s">
        <v>3958</v>
      </c>
      <c r="G737" s="550" t="s">
        <v>2055</v>
      </c>
      <c r="I737" s="165">
        <v>43746</v>
      </c>
      <c r="J737" s="551" t="s">
        <v>799</v>
      </c>
      <c r="K737" s="552" t="s">
        <v>73</v>
      </c>
      <c r="L737" s="130" t="s">
        <v>2870</v>
      </c>
    </row>
    <row r="738" spans="1:12" ht="16.5" customHeight="1">
      <c r="A738" s="186" t="s">
        <v>2510</v>
      </c>
      <c r="B738" s="186">
        <v>38706495</v>
      </c>
      <c r="C738" s="549">
        <v>18321</v>
      </c>
      <c r="D738" s="130" t="s">
        <v>4155</v>
      </c>
      <c r="E738" s="130" t="s">
        <v>4156</v>
      </c>
      <c r="F738" s="130" t="s">
        <v>4157</v>
      </c>
      <c r="G738" s="550" t="s">
        <v>2419</v>
      </c>
      <c r="H738" s="130" t="s">
        <v>88</v>
      </c>
      <c r="I738" s="165">
        <v>43746</v>
      </c>
      <c r="J738" s="551" t="s">
        <v>799</v>
      </c>
      <c r="K738" s="552" t="s">
        <v>73</v>
      </c>
      <c r="L738" s="130" t="s">
        <v>2870</v>
      </c>
    </row>
    <row r="739" spans="1:12" ht="16.5" customHeight="1">
      <c r="A739" s="186" t="s">
        <v>2510</v>
      </c>
      <c r="B739" s="186">
        <v>40195612</v>
      </c>
      <c r="C739" s="549">
        <v>14875</v>
      </c>
      <c r="D739" s="130" t="s">
        <v>2718</v>
      </c>
      <c r="E739" s="130" t="s">
        <v>4158</v>
      </c>
      <c r="F739" s="130" t="s">
        <v>4159</v>
      </c>
      <c r="G739" s="550" t="s">
        <v>2055</v>
      </c>
      <c r="I739" s="165">
        <v>43746</v>
      </c>
      <c r="J739" s="551" t="s">
        <v>799</v>
      </c>
      <c r="K739" s="552" t="s">
        <v>73</v>
      </c>
      <c r="L739" s="130" t="s">
        <v>2870</v>
      </c>
    </row>
    <row r="740" spans="1:12" ht="16.5" customHeight="1">
      <c r="A740" s="186" t="s">
        <v>2510</v>
      </c>
      <c r="B740" s="186">
        <v>40352619</v>
      </c>
      <c r="C740" s="549">
        <v>20915</v>
      </c>
      <c r="D740" s="130" t="s">
        <v>4160</v>
      </c>
      <c r="E740" s="130" t="s">
        <v>4161</v>
      </c>
      <c r="F740" s="130" t="s">
        <v>3750</v>
      </c>
      <c r="G740" s="550" t="s">
        <v>2055</v>
      </c>
      <c r="I740" s="165">
        <v>43746</v>
      </c>
      <c r="J740" s="551" t="s">
        <v>799</v>
      </c>
      <c r="K740" s="552" t="s">
        <v>73</v>
      </c>
      <c r="L740" s="130" t="s">
        <v>2870</v>
      </c>
    </row>
    <row r="741" spans="1:12" ht="16.5" customHeight="1">
      <c r="A741" s="186" t="s">
        <v>2510</v>
      </c>
      <c r="B741" s="186">
        <v>47332374</v>
      </c>
      <c r="C741" s="549">
        <v>18347</v>
      </c>
      <c r="D741" s="130" t="s">
        <v>2718</v>
      </c>
      <c r="E741" s="130" t="s">
        <v>4162</v>
      </c>
      <c r="F741" s="130" t="s">
        <v>4163</v>
      </c>
      <c r="G741" s="550" t="s">
        <v>2484</v>
      </c>
      <c r="I741" s="165">
        <v>43746</v>
      </c>
      <c r="J741" s="551" t="s">
        <v>799</v>
      </c>
      <c r="K741" s="552" t="s">
        <v>73</v>
      </c>
      <c r="L741" s="130" t="s">
        <v>2870</v>
      </c>
    </row>
    <row r="742" spans="1:12" ht="16.5" customHeight="1">
      <c r="A742" s="186" t="s">
        <v>2510</v>
      </c>
      <c r="B742" s="186">
        <v>35242130</v>
      </c>
      <c r="C742" s="549">
        <v>20791</v>
      </c>
      <c r="D742" s="130" t="s">
        <v>2958</v>
      </c>
      <c r="E742" s="130" t="s">
        <v>2959</v>
      </c>
      <c r="F742" s="130" t="s">
        <v>2960</v>
      </c>
      <c r="G742" s="550" t="s">
        <v>2446</v>
      </c>
      <c r="I742" s="165">
        <v>43746</v>
      </c>
      <c r="J742" s="551" t="s">
        <v>67</v>
      </c>
      <c r="L742" s="130" t="s">
        <v>4164</v>
      </c>
    </row>
    <row r="743" spans="1:12" ht="16.5" customHeight="1">
      <c r="A743" s="186" t="s">
        <v>2510</v>
      </c>
      <c r="B743" s="186">
        <v>41156944</v>
      </c>
      <c r="C743" s="549">
        <v>18312</v>
      </c>
      <c r="D743" s="130" t="s">
        <v>2541</v>
      </c>
      <c r="E743" s="130" t="s">
        <v>3836</v>
      </c>
      <c r="F743" s="130" t="s">
        <v>3837</v>
      </c>
      <c r="G743" s="550" t="s">
        <v>2413</v>
      </c>
      <c r="H743" s="130" t="s">
        <v>4165</v>
      </c>
      <c r="I743" s="165">
        <v>43746</v>
      </c>
      <c r="J743" s="551" t="s">
        <v>67</v>
      </c>
      <c r="L743" s="130" t="s">
        <v>4164</v>
      </c>
    </row>
    <row r="744" spans="1:12" ht="16.5" customHeight="1">
      <c r="A744" s="186" t="s">
        <v>2510</v>
      </c>
      <c r="B744" s="186">
        <v>7569403</v>
      </c>
      <c r="C744" s="549">
        <v>18310</v>
      </c>
      <c r="D744" s="130" t="s">
        <v>3254</v>
      </c>
      <c r="E744" s="130" t="s">
        <v>3816</v>
      </c>
      <c r="F744" s="130" t="s">
        <v>3817</v>
      </c>
      <c r="G744" s="550" t="s">
        <v>2052</v>
      </c>
      <c r="H744" s="130" t="s">
        <v>4166</v>
      </c>
      <c r="I744" s="165">
        <v>43746</v>
      </c>
      <c r="J744" s="551" t="s">
        <v>67</v>
      </c>
      <c r="L744" s="130" t="s">
        <v>4164</v>
      </c>
    </row>
    <row r="745" spans="1:12" ht="16.5" customHeight="1">
      <c r="A745" s="186" t="s">
        <v>2510</v>
      </c>
      <c r="B745" s="186">
        <v>63891907</v>
      </c>
      <c r="C745" s="549">
        <v>15842</v>
      </c>
      <c r="D745" s="130" t="s">
        <v>2697</v>
      </c>
      <c r="E745" s="130" t="s">
        <v>4167</v>
      </c>
      <c r="F745" s="130" t="s">
        <v>3004</v>
      </c>
      <c r="G745" s="550" t="s">
        <v>2112</v>
      </c>
      <c r="I745" s="165">
        <v>43746</v>
      </c>
      <c r="J745" s="551" t="s">
        <v>67</v>
      </c>
      <c r="L745" s="130" t="s">
        <v>4168</v>
      </c>
    </row>
    <row r="746" spans="1:12" ht="16.5" customHeight="1">
      <c r="A746" s="186" t="s">
        <v>2510</v>
      </c>
      <c r="B746" s="186">
        <v>61785630</v>
      </c>
      <c r="C746" s="549">
        <v>15669</v>
      </c>
      <c r="D746" s="130" t="s">
        <v>4169</v>
      </c>
      <c r="E746" s="130" t="s">
        <v>2771</v>
      </c>
      <c r="F746" s="130" t="s">
        <v>3488</v>
      </c>
      <c r="G746" s="550" t="s">
        <v>2072</v>
      </c>
      <c r="I746" s="165">
        <v>43746</v>
      </c>
      <c r="J746" s="551" t="s">
        <v>799</v>
      </c>
      <c r="K746" s="552" t="s">
        <v>67</v>
      </c>
      <c r="L746" s="130" t="s">
        <v>4170</v>
      </c>
    </row>
    <row r="747" spans="1:12" ht="16.5" customHeight="1">
      <c r="A747" s="186" t="s">
        <v>2510</v>
      </c>
      <c r="B747" s="186">
        <v>100309611</v>
      </c>
      <c r="C747" s="549">
        <v>13150</v>
      </c>
      <c r="D747" s="130" t="s">
        <v>3223</v>
      </c>
      <c r="E747" s="130" t="s">
        <v>4171</v>
      </c>
      <c r="F747" s="130" t="s">
        <v>4172</v>
      </c>
      <c r="G747" s="550" t="s">
        <v>2274</v>
      </c>
      <c r="I747" s="165">
        <v>43746</v>
      </c>
      <c r="J747" s="551" t="s">
        <v>799</v>
      </c>
      <c r="K747" s="552" t="s">
        <v>73</v>
      </c>
      <c r="L747" s="130" t="s">
        <v>4173</v>
      </c>
    </row>
    <row r="748" spans="1:12" ht="16.5" customHeight="1">
      <c r="A748" s="186" t="s">
        <v>3071</v>
      </c>
      <c r="B748" s="186">
        <v>4629390</v>
      </c>
      <c r="C748" s="549">
        <v>18916</v>
      </c>
      <c r="D748" s="130" t="s">
        <v>4093</v>
      </c>
      <c r="E748" s="130" t="s">
        <v>4094</v>
      </c>
      <c r="F748" s="130" t="s">
        <v>4095</v>
      </c>
      <c r="G748" s="550" t="s">
        <v>2313</v>
      </c>
      <c r="I748" s="165">
        <v>43747</v>
      </c>
      <c r="J748" s="551" t="s">
        <v>799</v>
      </c>
      <c r="K748" s="552" t="s">
        <v>2516</v>
      </c>
      <c r="L748" s="130" t="s">
        <v>4174</v>
      </c>
    </row>
    <row r="749" spans="1:12" ht="16.5" customHeight="1">
      <c r="A749" s="186" t="s">
        <v>3071</v>
      </c>
      <c r="B749" s="186">
        <v>35825926</v>
      </c>
      <c r="C749" s="549">
        <v>16526</v>
      </c>
      <c r="D749" s="130" t="s">
        <v>4142</v>
      </c>
      <c r="E749" s="130" t="s">
        <v>4143</v>
      </c>
      <c r="F749" s="130" t="s">
        <v>4006</v>
      </c>
      <c r="G749" s="550" t="s">
        <v>2174</v>
      </c>
      <c r="I749" s="165">
        <v>43747</v>
      </c>
      <c r="J749" s="551" t="s">
        <v>799</v>
      </c>
      <c r="K749" s="552" t="s">
        <v>2516</v>
      </c>
      <c r="L749" s="130" t="s">
        <v>4174</v>
      </c>
    </row>
    <row r="750" spans="1:12" ht="16.5" customHeight="1">
      <c r="A750" s="186" t="s">
        <v>3071</v>
      </c>
      <c r="B750" s="186">
        <v>36177616</v>
      </c>
      <c r="C750" s="549">
        <v>22046</v>
      </c>
      <c r="D750" s="130" t="s">
        <v>4146</v>
      </c>
      <c r="E750" s="130" t="s">
        <v>4147</v>
      </c>
      <c r="F750" s="130" t="s">
        <v>4148</v>
      </c>
      <c r="G750" s="550" t="s">
        <v>2206</v>
      </c>
      <c r="I750" s="165">
        <v>43747</v>
      </c>
      <c r="J750" s="551" t="s">
        <v>799</v>
      </c>
      <c r="K750" s="552" t="s">
        <v>2516</v>
      </c>
      <c r="L750" s="130" t="s">
        <v>4174</v>
      </c>
    </row>
    <row r="751" spans="1:12" ht="16.5" customHeight="1">
      <c r="A751" s="186" t="s">
        <v>3071</v>
      </c>
      <c r="B751" s="186">
        <v>38594966</v>
      </c>
      <c r="C751" s="549">
        <v>20961</v>
      </c>
      <c r="D751" s="130" t="s">
        <v>2697</v>
      </c>
      <c r="E751" s="130" t="s">
        <v>4154</v>
      </c>
      <c r="F751" s="130" t="s">
        <v>3958</v>
      </c>
      <c r="G751" s="550" t="s">
        <v>2055</v>
      </c>
      <c r="I751" s="165">
        <v>43747</v>
      </c>
      <c r="J751" s="551" t="s">
        <v>799</v>
      </c>
      <c r="K751" s="552" t="s">
        <v>2516</v>
      </c>
      <c r="L751" s="130" t="s">
        <v>4174</v>
      </c>
    </row>
    <row r="752" spans="1:12" ht="16.5" customHeight="1">
      <c r="A752" s="186" t="s">
        <v>3071</v>
      </c>
      <c r="B752" s="186">
        <v>38706495</v>
      </c>
      <c r="C752" s="549">
        <v>18321</v>
      </c>
      <c r="D752" s="130" t="s">
        <v>4155</v>
      </c>
      <c r="E752" s="130" t="s">
        <v>4156</v>
      </c>
      <c r="F752" s="130" t="s">
        <v>4157</v>
      </c>
      <c r="G752" s="550" t="s">
        <v>2419</v>
      </c>
      <c r="I752" s="165">
        <v>43747</v>
      </c>
      <c r="J752" s="551" t="s">
        <v>799</v>
      </c>
      <c r="K752" s="552" t="s">
        <v>2516</v>
      </c>
      <c r="L752" s="130" t="s">
        <v>4174</v>
      </c>
    </row>
    <row r="753" spans="1:12" ht="16.5" customHeight="1">
      <c r="A753" s="186" t="s">
        <v>3071</v>
      </c>
      <c r="B753" s="186">
        <v>40195612</v>
      </c>
      <c r="C753" s="549">
        <v>14875</v>
      </c>
      <c r="D753" s="130" t="s">
        <v>2718</v>
      </c>
      <c r="E753" s="130" t="s">
        <v>4158</v>
      </c>
      <c r="F753" s="130" t="s">
        <v>4159</v>
      </c>
      <c r="G753" s="550" t="s">
        <v>2055</v>
      </c>
      <c r="I753" s="165">
        <v>43747</v>
      </c>
      <c r="J753" s="551" t="s">
        <v>799</v>
      </c>
      <c r="K753" s="552" t="s">
        <v>2516</v>
      </c>
      <c r="L753" s="130" t="s">
        <v>4174</v>
      </c>
    </row>
    <row r="754" spans="1:12" ht="16.5" customHeight="1">
      <c r="A754" s="186" t="s">
        <v>3071</v>
      </c>
      <c r="B754" s="186">
        <v>40415853</v>
      </c>
      <c r="C754" s="549">
        <v>11797</v>
      </c>
      <c r="D754" s="130" t="s">
        <v>2771</v>
      </c>
      <c r="E754" s="130" t="s">
        <v>3427</v>
      </c>
      <c r="F754" s="130" t="s">
        <v>4031</v>
      </c>
      <c r="G754" s="550" t="s">
        <v>2059</v>
      </c>
      <c r="I754" s="165">
        <v>43747</v>
      </c>
      <c r="J754" s="551" t="s">
        <v>799</v>
      </c>
      <c r="K754" s="552" t="s">
        <v>2516</v>
      </c>
      <c r="L754" s="130" t="s">
        <v>4174</v>
      </c>
    </row>
    <row r="755" spans="1:12" ht="16.5" customHeight="1">
      <c r="A755" s="186" t="s">
        <v>3071</v>
      </c>
      <c r="B755" s="186">
        <v>41108671</v>
      </c>
      <c r="D755" s="130" t="s">
        <v>4175</v>
      </c>
      <c r="E755" s="130" t="s">
        <v>4176</v>
      </c>
      <c r="F755" s="130" t="s">
        <v>4177</v>
      </c>
      <c r="G755" s="550" t="s">
        <v>2174</v>
      </c>
      <c r="I755" s="165">
        <v>43748</v>
      </c>
      <c r="J755" s="551" t="s">
        <v>799</v>
      </c>
      <c r="K755" s="552" t="s">
        <v>2516</v>
      </c>
      <c r="L755" s="130" t="s">
        <v>4178</v>
      </c>
    </row>
    <row r="756" spans="1:12" ht="16.5" customHeight="1">
      <c r="A756" s="186" t="s">
        <v>2510</v>
      </c>
      <c r="B756" s="186">
        <v>30569081</v>
      </c>
      <c r="C756" s="549">
        <v>21855</v>
      </c>
      <c r="D756" s="130" t="s">
        <v>4179</v>
      </c>
      <c r="E756" s="130" t="s">
        <v>4180</v>
      </c>
      <c r="F756" s="130" t="s">
        <v>4181</v>
      </c>
      <c r="G756" s="550" t="s">
        <v>2081</v>
      </c>
      <c r="I756" s="165">
        <v>43752</v>
      </c>
      <c r="J756" s="551" t="s">
        <v>799</v>
      </c>
      <c r="K756" s="552" t="s">
        <v>73</v>
      </c>
      <c r="L756" s="130" t="s">
        <v>2870</v>
      </c>
    </row>
    <row r="757" spans="1:12" ht="16.5" customHeight="1">
      <c r="A757" s="186" t="s">
        <v>2510</v>
      </c>
      <c r="B757" s="186">
        <v>493361</v>
      </c>
      <c r="C757" s="549">
        <v>14690</v>
      </c>
      <c r="D757" s="130" t="s">
        <v>4089</v>
      </c>
      <c r="E757" s="130" t="s">
        <v>4182</v>
      </c>
      <c r="F757" s="130" t="s">
        <v>4183</v>
      </c>
      <c r="G757" s="550" t="s">
        <v>2089</v>
      </c>
      <c r="I757" s="165">
        <v>43752</v>
      </c>
      <c r="J757" s="551" t="s">
        <v>799</v>
      </c>
      <c r="K757" s="552" t="s">
        <v>73</v>
      </c>
      <c r="L757" s="130" t="s">
        <v>2870</v>
      </c>
    </row>
    <row r="758" spans="1:12" ht="16.5" customHeight="1">
      <c r="A758" s="186" t="s">
        <v>2510</v>
      </c>
      <c r="B758" s="186">
        <v>13104260</v>
      </c>
      <c r="C758" s="549">
        <v>19725</v>
      </c>
      <c r="D758" s="130" t="s">
        <v>3147</v>
      </c>
      <c r="E758" s="130" t="s">
        <v>4184</v>
      </c>
      <c r="F758" s="130" t="s">
        <v>4185</v>
      </c>
      <c r="G758" s="550" t="s">
        <v>2201</v>
      </c>
      <c r="I758" s="165">
        <v>43752</v>
      </c>
      <c r="J758" s="551" t="s">
        <v>799</v>
      </c>
      <c r="K758" s="552" t="s">
        <v>73</v>
      </c>
      <c r="L758" s="130" t="s">
        <v>2870</v>
      </c>
    </row>
    <row r="759" spans="1:12" ht="16.5" customHeight="1">
      <c r="A759" s="186" t="s">
        <v>2510</v>
      </c>
      <c r="B759" s="186">
        <v>33848219</v>
      </c>
      <c r="C759" s="549">
        <v>20626</v>
      </c>
      <c r="D759" s="130" t="s">
        <v>3147</v>
      </c>
      <c r="E759" s="130" t="s">
        <v>4186</v>
      </c>
      <c r="F759" s="130" t="s">
        <v>4187</v>
      </c>
      <c r="G759" s="550" t="s">
        <v>2046</v>
      </c>
      <c r="I759" s="165">
        <v>43753</v>
      </c>
      <c r="J759" s="551" t="s">
        <v>799</v>
      </c>
      <c r="K759" s="552" t="s">
        <v>73</v>
      </c>
      <c r="L759" s="130" t="s">
        <v>2870</v>
      </c>
    </row>
    <row r="760" spans="1:12" ht="16.5" customHeight="1">
      <c r="A760" s="186" t="s">
        <v>2510</v>
      </c>
      <c r="B760" s="186">
        <v>6980544</v>
      </c>
      <c r="C760" s="549">
        <v>18320</v>
      </c>
      <c r="D760" s="130" t="s">
        <v>2523</v>
      </c>
      <c r="E760" s="130" t="s">
        <v>4188</v>
      </c>
      <c r="F760" s="130" t="s">
        <v>3082</v>
      </c>
      <c r="G760" s="550" t="s">
        <v>2313</v>
      </c>
      <c r="I760" s="165">
        <v>43753</v>
      </c>
      <c r="J760" s="551" t="s">
        <v>799</v>
      </c>
      <c r="K760" s="552" t="s">
        <v>67</v>
      </c>
      <c r="L760" s="130" t="s">
        <v>2664</v>
      </c>
    </row>
    <row r="761" spans="1:12" ht="16.5" customHeight="1">
      <c r="A761" s="186" t="s">
        <v>2510</v>
      </c>
      <c r="B761" s="186">
        <v>20634754</v>
      </c>
      <c r="C761" s="549">
        <v>25416</v>
      </c>
      <c r="D761" s="130" t="s">
        <v>3293</v>
      </c>
      <c r="E761" s="130" t="s">
        <v>4068</v>
      </c>
      <c r="F761" s="130" t="s">
        <v>3855</v>
      </c>
      <c r="G761" s="550" t="s">
        <v>2055</v>
      </c>
      <c r="I761" s="165">
        <v>43753</v>
      </c>
      <c r="J761" s="551" t="s">
        <v>67</v>
      </c>
      <c r="L761" s="130" t="s">
        <v>4189</v>
      </c>
    </row>
    <row r="762" spans="1:12" ht="16.5" customHeight="1">
      <c r="A762" s="186" t="s">
        <v>2510</v>
      </c>
      <c r="B762" s="186">
        <v>23831035</v>
      </c>
      <c r="C762" s="549">
        <v>18384</v>
      </c>
      <c r="D762" s="130" t="s">
        <v>4190</v>
      </c>
      <c r="E762" s="130" t="s">
        <v>4191</v>
      </c>
      <c r="F762" s="130" t="s">
        <v>4192</v>
      </c>
      <c r="G762" s="550" t="s">
        <v>2081</v>
      </c>
      <c r="I762" s="165">
        <v>43754</v>
      </c>
      <c r="J762" s="551" t="s">
        <v>799</v>
      </c>
      <c r="K762" s="552" t="s">
        <v>73</v>
      </c>
      <c r="L762" s="130" t="s">
        <v>2870</v>
      </c>
    </row>
    <row r="763" spans="1:12" ht="16.5" customHeight="1">
      <c r="A763" s="186" t="s">
        <v>3071</v>
      </c>
      <c r="B763" s="186">
        <v>66620618</v>
      </c>
      <c r="C763" s="549">
        <v>13566</v>
      </c>
      <c r="D763" s="130" t="s">
        <v>4193</v>
      </c>
      <c r="E763" s="130" t="s">
        <v>3250</v>
      </c>
      <c r="F763" s="130" t="s">
        <v>4148</v>
      </c>
      <c r="G763" s="550" t="s">
        <v>65</v>
      </c>
      <c r="I763" s="165">
        <v>43756</v>
      </c>
      <c r="J763" s="551" t="s">
        <v>67</v>
      </c>
      <c r="K763" s="552" t="s">
        <v>2516</v>
      </c>
      <c r="L763" s="130" t="s">
        <v>4194</v>
      </c>
    </row>
    <row r="764" spans="1:12" ht="16.5" customHeight="1">
      <c r="A764" s="186" t="s">
        <v>2510</v>
      </c>
      <c r="B764" s="186">
        <v>7641665</v>
      </c>
      <c r="C764" s="549">
        <v>14678</v>
      </c>
      <c r="D764" s="130" t="s">
        <v>2602</v>
      </c>
      <c r="E764" s="130" t="s">
        <v>3969</v>
      </c>
      <c r="F764" s="130" t="s">
        <v>4195</v>
      </c>
      <c r="G764" s="550" t="s">
        <v>2059</v>
      </c>
      <c r="I764" s="165">
        <v>43761</v>
      </c>
      <c r="J764" s="551" t="s">
        <v>799</v>
      </c>
      <c r="K764" s="552" t="s">
        <v>67</v>
      </c>
      <c r="L764" s="130" t="s">
        <v>2664</v>
      </c>
    </row>
    <row r="765" spans="1:12" ht="16.5" customHeight="1">
      <c r="A765" s="186" t="s">
        <v>2510</v>
      </c>
      <c r="B765" s="186">
        <v>25797481</v>
      </c>
      <c r="C765" s="549">
        <v>12646</v>
      </c>
      <c r="D765" s="130" t="s">
        <v>2511</v>
      </c>
      <c r="E765" s="130" t="s">
        <v>4196</v>
      </c>
      <c r="F765" s="130" t="s">
        <v>4197</v>
      </c>
      <c r="G765" s="550" t="s">
        <v>2185</v>
      </c>
      <c r="I765" s="165">
        <v>43761</v>
      </c>
      <c r="J765" s="551" t="s">
        <v>799</v>
      </c>
      <c r="K765" s="552" t="s">
        <v>72</v>
      </c>
      <c r="L765" s="130" t="s">
        <v>2866</v>
      </c>
    </row>
    <row r="766" spans="1:12" ht="16.5" customHeight="1">
      <c r="A766" s="186" t="s">
        <v>2510</v>
      </c>
      <c r="B766" s="186">
        <v>1102466</v>
      </c>
      <c r="C766" s="549">
        <v>17857</v>
      </c>
      <c r="D766" s="130" t="s">
        <v>3384</v>
      </c>
      <c r="E766" s="130" t="s">
        <v>4198</v>
      </c>
      <c r="F766" s="130" t="s">
        <v>4199</v>
      </c>
      <c r="G766" s="550" t="s">
        <v>2046</v>
      </c>
      <c r="I766" s="165">
        <v>43761</v>
      </c>
      <c r="J766" s="551" t="s">
        <v>799</v>
      </c>
      <c r="K766" s="552" t="s">
        <v>73</v>
      </c>
      <c r="L766" s="130" t="s">
        <v>2870</v>
      </c>
    </row>
    <row r="767" spans="1:12" ht="16.5" customHeight="1">
      <c r="A767" s="186" t="s">
        <v>2510</v>
      </c>
      <c r="B767" s="186">
        <v>3198736</v>
      </c>
      <c r="C767" s="549">
        <v>20889</v>
      </c>
      <c r="D767" s="130" t="s">
        <v>3103</v>
      </c>
      <c r="E767" s="130" t="s">
        <v>4200</v>
      </c>
      <c r="F767" s="130" t="s">
        <v>3601</v>
      </c>
      <c r="G767" s="550" t="s">
        <v>2201</v>
      </c>
      <c r="I767" s="165">
        <v>43761</v>
      </c>
      <c r="J767" s="551" t="s">
        <v>799</v>
      </c>
      <c r="K767" s="552" t="s">
        <v>73</v>
      </c>
      <c r="L767" s="130" t="s">
        <v>2870</v>
      </c>
    </row>
    <row r="768" spans="1:12" ht="14.45">
      <c r="A768" s="186" t="s">
        <v>2510</v>
      </c>
      <c r="B768" s="186">
        <v>8498313</v>
      </c>
      <c r="C768" s="549">
        <v>11574</v>
      </c>
      <c r="D768" s="130" t="s">
        <v>2602</v>
      </c>
      <c r="E768" s="130" t="s">
        <v>2899</v>
      </c>
      <c r="F768" s="130" t="s">
        <v>4201</v>
      </c>
      <c r="G768" s="550" t="s">
        <v>2046</v>
      </c>
      <c r="I768" s="165">
        <v>43761</v>
      </c>
      <c r="J768" s="551" t="s">
        <v>799</v>
      </c>
      <c r="K768" s="552" t="s">
        <v>73</v>
      </c>
      <c r="L768" s="130" t="s">
        <v>2870</v>
      </c>
    </row>
    <row r="769" spans="1:12" ht="16.5" customHeight="1">
      <c r="A769" s="186" t="s">
        <v>2510</v>
      </c>
      <c r="B769" s="186">
        <v>8754459</v>
      </c>
      <c r="C769" s="549">
        <v>19141</v>
      </c>
      <c r="D769" s="130" t="s">
        <v>3134</v>
      </c>
      <c r="E769" s="130" t="s">
        <v>4202</v>
      </c>
      <c r="F769" s="130" t="s">
        <v>4203</v>
      </c>
      <c r="G769" s="550" t="s">
        <v>2081</v>
      </c>
      <c r="I769" s="165">
        <v>43761</v>
      </c>
      <c r="J769" s="551" t="s">
        <v>799</v>
      </c>
      <c r="K769" s="552" t="s">
        <v>73</v>
      </c>
      <c r="L769" s="130" t="s">
        <v>2870</v>
      </c>
    </row>
    <row r="770" spans="1:12" ht="16.5" customHeight="1">
      <c r="A770" s="186" t="s">
        <v>2510</v>
      </c>
      <c r="B770" s="186">
        <v>9473687</v>
      </c>
      <c r="C770" s="549">
        <v>12207</v>
      </c>
      <c r="D770" s="130" t="s">
        <v>4204</v>
      </c>
      <c r="E770" s="130" t="s">
        <v>4205</v>
      </c>
      <c r="F770" s="130" t="s">
        <v>4206</v>
      </c>
      <c r="G770" s="550" t="s">
        <v>2072</v>
      </c>
      <c r="I770" s="165">
        <v>43761</v>
      </c>
      <c r="J770" s="551" t="s">
        <v>799</v>
      </c>
      <c r="K770" s="552" t="s">
        <v>73</v>
      </c>
      <c r="L770" s="130" t="s">
        <v>2870</v>
      </c>
    </row>
    <row r="771" spans="1:12" ht="16.5" customHeight="1">
      <c r="A771" s="186" t="s">
        <v>2510</v>
      </c>
      <c r="B771" s="186">
        <v>18257980</v>
      </c>
      <c r="C771" s="549">
        <v>15981</v>
      </c>
      <c r="D771" s="130" t="s">
        <v>4207</v>
      </c>
      <c r="E771" s="130" t="s">
        <v>4208</v>
      </c>
      <c r="F771" s="130" t="s">
        <v>4209</v>
      </c>
      <c r="G771" s="550" t="s">
        <v>2201</v>
      </c>
      <c r="I771" s="165">
        <v>43761</v>
      </c>
      <c r="J771" s="551" t="s">
        <v>799</v>
      </c>
      <c r="K771" s="552" t="s">
        <v>73</v>
      </c>
      <c r="L771" s="130" t="s">
        <v>2870</v>
      </c>
    </row>
    <row r="772" spans="1:12" ht="16.5" customHeight="1">
      <c r="A772" s="186" t="s">
        <v>2510</v>
      </c>
      <c r="B772" s="186">
        <v>23587926</v>
      </c>
      <c r="C772" s="549">
        <v>16278</v>
      </c>
      <c r="D772" s="130" t="s">
        <v>4210</v>
      </c>
      <c r="E772" s="130" t="s">
        <v>4211</v>
      </c>
      <c r="F772" s="130" t="s">
        <v>4212</v>
      </c>
      <c r="G772" s="550" t="s">
        <v>2046</v>
      </c>
      <c r="I772" s="165">
        <v>43761</v>
      </c>
      <c r="J772" s="551" t="s">
        <v>799</v>
      </c>
      <c r="K772" s="552" t="s">
        <v>73</v>
      </c>
      <c r="L772" s="130" t="s">
        <v>2870</v>
      </c>
    </row>
    <row r="773" spans="1:12" ht="16.5" customHeight="1">
      <c r="A773" s="186" t="s">
        <v>2510</v>
      </c>
      <c r="B773" s="186">
        <v>26982140</v>
      </c>
      <c r="C773" s="549">
        <v>11806</v>
      </c>
      <c r="D773" s="130" t="s">
        <v>2541</v>
      </c>
      <c r="E773" s="130" t="s">
        <v>4044</v>
      </c>
      <c r="F773" s="130" t="s">
        <v>4213</v>
      </c>
      <c r="G773" s="550" t="s">
        <v>2046</v>
      </c>
      <c r="I773" s="165">
        <v>43761</v>
      </c>
      <c r="J773" s="551" t="s">
        <v>799</v>
      </c>
      <c r="K773" s="552" t="s">
        <v>73</v>
      </c>
      <c r="L773" s="130" t="s">
        <v>2870</v>
      </c>
    </row>
    <row r="774" spans="1:12" ht="16.5" customHeight="1">
      <c r="A774" s="186" t="s">
        <v>2510</v>
      </c>
      <c r="B774" s="186">
        <v>35655315</v>
      </c>
      <c r="C774" s="549">
        <v>19570</v>
      </c>
      <c r="D774" s="130" t="s">
        <v>2602</v>
      </c>
      <c r="E774" s="130" t="s">
        <v>4214</v>
      </c>
      <c r="F774" s="130" t="s">
        <v>4215</v>
      </c>
      <c r="G774" s="550" t="s">
        <v>2046</v>
      </c>
      <c r="I774" s="165">
        <v>43761</v>
      </c>
      <c r="J774" s="551" t="s">
        <v>799</v>
      </c>
      <c r="K774" s="552" t="s">
        <v>73</v>
      </c>
      <c r="L774" s="130" t="s">
        <v>2870</v>
      </c>
    </row>
    <row r="775" spans="1:12" ht="16.5" customHeight="1">
      <c r="A775" s="186" t="s">
        <v>2510</v>
      </c>
      <c r="B775" s="186">
        <v>38530200</v>
      </c>
      <c r="C775" s="549">
        <v>21406</v>
      </c>
      <c r="D775" s="130" t="s">
        <v>2851</v>
      </c>
      <c r="E775" s="130" t="s">
        <v>4216</v>
      </c>
      <c r="F775" s="130" t="s">
        <v>4217</v>
      </c>
      <c r="G775" s="550" t="s">
        <v>2046</v>
      </c>
      <c r="I775" s="165">
        <v>43761</v>
      </c>
      <c r="J775" s="551" t="s">
        <v>799</v>
      </c>
      <c r="K775" s="552" t="s">
        <v>73</v>
      </c>
      <c r="L775" s="130" t="s">
        <v>2870</v>
      </c>
    </row>
    <row r="776" spans="1:12" ht="16.5" customHeight="1">
      <c r="A776" s="186" t="s">
        <v>2510</v>
      </c>
      <c r="B776" s="186">
        <v>39670252</v>
      </c>
      <c r="C776" s="549">
        <v>18774</v>
      </c>
      <c r="D776" s="130" t="s">
        <v>3134</v>
      </c>
      <c r="E776" s="130" t="s">
        <v>4218</v>
      </c>
      <c r="F776" s="130" t="s">
        <v>4201</v>
      </c>
      <c r="G776" s="550" t="s">
        <v>2046</v>
      </c>
      <c r="I776" s="165">
        <v>43761</v>
      </c>
      <c r="J776" s="551" t="s">
        <v>799</v>
      </c>
      <c r="K776" s="552" t="s">
        <v>73</v>
      </c>
      <c r="L776" s="130" t="s">
        <v>2870</v>
      </c>
    </row>
    <row r="777" spans="1:12" ht="16.5" customHeight="1">
      <c r="A777" s="186" t="s">
        <v>2510</v>
      </c>
      <c r="B777" s="186">
        <v>40874885</v>
      </c>
      <c r="C777" s="549">
        <v>15373</v>
      </c>
      <c r="D777" s="130" t="s">
        <v>2832</v>
      </c>
      <c r="E777" s="130" t="s">
        <v>4219</v>
      </c>
      <c r="F777" s="130" t="s">
        <v>4220</v>
      </c>
      <c r="G777" s="550" t="s">
        <v>2201</v>
      </c>
      <c r="I777" s="165">
        <v>43761</v>
      </c>
      <c r="J777" s="551" t="s">
        <v>799</v>
      </c>
      <c r="K777" s="552" t="s">
        <v>73</v>
      </c>
      <c r="L777" s="130" t="s">
        <v>2870</v>
      </c>
    </row>
    <row r="778" spans="1:12" ht="16.5" customHeight="1">
      <c r="A778" s="186" t="s">
        <v>2510</v>
      </c>
      <c r="B778" s="186">
        <v>38245015</v>
      </c>
      <c r="C778" s="549">
        <v>19373</v>
      </c>
      <c r="D778" s="130" t="s">
        <v>2898</v>
      </c>
      <c r="E778" s="130" t="s">
        <v>2962</v>
      </c>
      <c r="F778" s="130" t="s">
        <v>4221</v>
      </c>
      <c r="G778" s="550" t="s">
        <v>2081</v>
      </c>
      <c r="I778" s="165">
        <v>43761</v>
      </c>
      <c r="J778" s="551" t="s">
        <v>799</v>
      </c>
      <c r="K778" s="552" t="s">
        <v>73</v>
      </c>
      <c r="L778" s="130" t="s">
        <v>2870</v>
      </c>
    </row>
    <row r="779" spans="1:12" ht="16.5" customHeight="1">
      <c r="A779" s="186" t="s">
        <v>3071</v>
      </c>
      <c r="B779" s="186">
        <v>23665557</v>
      </c>
      <c r="C779" s="549">
        <v>15281</v>
      </c>
      <c r="D779" s="130" t="s">
        <v>3825</v>
      </c>
      <c r="E779" s="130" t="s">
        <v>4222</v>
      </c>
      <c r="F779" s="130" t="s">
        <v>4215</v>
      </c>
      <c r="G779" s="550" t="s">
        <v>2046</v>
      </c>
      <c r="I779" s="165">
        <v>43766</v>
      </c>
      <c r="J779" s="551" t="s">
        <v>799</v>
      </c>
      <c r="K779" s="552" t="s">
        <v>2516</v>
      </c>
      <c r="L779" s="130" t="s">
        <v>4223</v>
      </c>
    </row>
    <row r="780" spans="1:12" ht="16.5" customHeight="1">
      <c r="A780" s="186" t="s">
        <v>3071</v>
      </c>
      <c r="B780" s="186">
        <v>64460389</v>
      </c>
      <c r="C780" s="549">
        <v>20618</v>
      </c>
      <c r="D780" s="130" t="s">
        <v>2958</v>
      </c>
      <c r="E780" s="130" t="s">
        <v>4224</v>
      </c>
      <c r="F780" s="130" t="s">
        <v>4225</v>
      </c>
      <c r="G780" s="550" t="s">
        <v>2072</v>
      </c>
      <c r="I780" s="165">
        <v>43767</v>
      </c>
      <c r="J780" s="551" t="s">
        <v>799</v>
      </c>
      <c r="K780" s="552" t="s">
        <v>2516</v>
      </c>
      <c r="L780" s="130" t="s">
        <v>4223</v>
      </c>
    </row>
    <row r="781" spans="1:12" ht="16.5" customHeight="1">
      <c r="A781" s="186" t="s">
        <v>3071</v>
      </c>
      <c r="B781" s="186">
        <v>2285484</v>
      </c>
      <c r="C781" s="549">
        <v>17533</v>
      </c>
      <c r="D781" s="130" t="s">
        <v>3220</v>
      </c>
      <c r="E781" s="130" t="s">
        <v>4226</v>
      </c>
      <c r="F781" s="130" t="s">
        <v>4227</v>
      </c>
      <c r="G781" s="550" t="s">
        <v>2201</v>
      </c>
      <c r="I781" s="165">
        <v>43773</v>
      </c>
      <c r="J781" s="551" t="s">
        <v>799</v>
      </c>
      <c r="K781" s="552" t="s">
        <v>67</v>
      </c>
      <c r="L781" s="130" t="s">
        <v>2664</v>
      </c>
    </row>
    <row r="782" spans="1:12" ht="16.5" customHeight="1">
      <c r="A782" s="186" t="s">
        <v>2510</v>
      </c>
      <c r="B782" s="186">
        <v>4010872</v>
      </c>
      <c r="C782" s="549">
        <v>21349</v>
      </c>
      <c r="D782" s="130" t="s">
        <v>2938</v>
      </c>
      <c r="E782" s="130" t="s">
        <v>3034</v>
      </c>
      <c r="F782" s="130" t="s">
        <v>3035</v>
      </c>
      <c r="G782" s="550" t="s">
        <v>2046</v>
      </c>
      <c r="I782" s="165">
        <v>43773</v>
      </c>
      <c r="J782" s="551" t="s">
        <v>799</v>
      </c>
      <c r="K782" s="552" t="s">
        <v>67</v>
      </c>
      <c r="L782" s="130" t="s">
        <v>2664</v>
      </c>
    </row>
    <row r="783" spans="1:12" ht="16.5" customHeight="1">
      <c r="A783" s="186" t="s">
        <v>2510</v>
      </c>
      <c r="B783" s="186">
        <v>4172110</v>
      </c>
      <c r="C783" s="549">
        <v>13916</v>
      </c>
      <c r="D783" s="130" t="s">
        <v>3122</v>
      </c>
      <c r="E783" s="130" t="s">
        <v>4228</v>
      </c>
      <c r="F783" s="130" t="s">
        <v>4229</v>
      </c>
      <c r="G783" s="550" t="s">
        <v>2081</v>
      </c>
      <c r="I783" s="165">
        <v>43773</v>
      </c>
      <c r="J783" s="551" t="s">
        <v>799</v>
      </c>
      <c r="K783" s="552" t="s">
        <v>67</v>
      </c>
      <c r="L783" s="130" t="s">
        <v>2664</v>
      </c>
    </row>
    <row r="784" spans="1:12" ht="16.5" customHeight="1">
      <c r="A784" s="186" t="s">
        <v>2510</v>
      </c>
      <c r="B784" s="186">
        <v>16653263</v>
      </c>
      <c r="C784" s="549">
        <v>18175</v>
      </c>
      <c r="D784" s="130" t="s">
        <v>2733</v>
      </c>
      <c r="E784" s="130" t="s">
        <v>4230</v>
      </c>
      <c r="F784" s="130" t="s">
        <v>4231</v>
      </c>
      <c r="G784" s="550" t="s">
        <v>2081</v>
      </c>
      <c r="I784" s="165">
        <v>43773</v>
      </c>
      <c r="J784" s="551" t="s">
        <v>799</v>
      </c>
      <c r="K784" s="552" t="s">
        <v>67</v>
      </c>
      <c r="L784" s="130" t="s">
        <v>2664</v>
      </c>
    </row>
    <row r="785" spans="1:12" ht="16.5" customHeight="1">
      <c r="A785" s="186" t="s">
        <v>2510</v>
      </c>
      <c r="B785" s="186">
        <v>25566027</v>
      </c>
      <c r="C785" s="549">
        <v>17538</v>
      </c>
      <c r="D785" s="130" t="s">
        <v>4210</v>
      </c>
      <c r="E785" s="130" t="s">
        <v>4232</v>
      </c>
      <c r="F785" s="130" t="s">
        <v>4233</v>
      </c>
      <c r="G785" s="550" t="s">
        <v>2081</v>
      </c>
      <c r="I785" s="165">
        <v>43773</v>
      </c>
      <c r="J785" s="551" t="s">
        <v>799</v>
      </c>
      <c r="K785" s="552" t="s">
        <v>67</v>
      </c>
      <c r="L785" s="130" t="s">
        <v>2664</v>
      </c>
    </row>
    <row r="786" spans="1:12" ht="16.5" customHeight="1">
      <c r="A786" s="186" t="s">
        <v>2510</v>
      </c>
      <c r="B786" s="186">
        <v>37169497</v>
      </c>
      <c r="C786" s="549">
        <v>17199</v>
      </c>
      <c r="D786" s="130" t="s">
        <v>4234</v>
      </c>
      <c r="E786" s="130" t="s">
        <v>2732</v>
      </c>
      <c r="F786" s="130" t="s">
        <v>4235</v>
      </c>
      <c r="G786" s="550" t="s">
        <v>2201</v>
      </c>
      <c r="I786" s="165">
        <v>43773</v>
      </c>
      <c r="J786" s="551" t="s">
        <v>799</v>
      </c>
      <c r="K786" s="552" t="s">
        <v>67</v>
      </c>
      <c r="L786" s="130" t="s">
        <v>2664</v>
      </c>
    </row>
    <row r="787" spans="1:12" ht="16.5" customHeight="1">
      <c r="A787" s="186" t="s">
        <v>2510</v>
      </c>
      <c r="B787" s="186">
        <v>47204672</v>
      </c>
      <c r="C787" s="549">
        <v>18227</v>
      </c>
      <c r="D787" s="130" t="s">
        <v>4236</v>
      </c>
      <c r="E787" s="130" t="s">
        <v>4237</v>
      </c>
      <c r="F787" s="130" t="s">
        <v>4238</v>
      </c>
      <c r="G787" s="550" t="s">
        <v>2046</v>
      </c>
      <c r="I787" s="165">
        <v>43773</v>
      </c>
      <c r="J787" s="551" t="s">
        <v>799</v>
      </c>
      <c r="K787" s="552" t="s">
        <v>67</v>
      </c>
      <c r="L787" s="130" t="s">
        <v>2664</v>
      </c>
    </row>
    <row r="788" spans="1:12" ht="16.5" customHeight="1">
      <c r="A788" s="186" t="s">
        <v>2510</v>
      </c>
      <c r="B788" s="186">
        <v>14444335</v>
      </c>
      <c r="C788" s="549">
        <v>17199</v>
      </c>
      <c r="D788" s="130" t="s">
        <v>2602</v>
      </c>
      <c r="E788" s="130" t="s">
        <v>4239</v>
      </c>
      <c r="F788" s="130" t="s">
        <v>4240</v>
      </c>
      <c r="G788" s="550" t="s">
        <v>2046</v>
      </c>
      <c r="I788" s="165">
        <v>43773</v>
      </c>
      <c r="J788" s="551" t="s">
        <v>799</v>
      </c>
      <c r="K788" s="552" t="s">
        <v>72</v>
      </c>
      <c r="L788" s="130" t="s">
        <v>2866</v>
      </c>
    </row>
    <row r="789" spans="1:12" ht="16.5" customHeight="1">
      <c r="A789" s="186" t="s">
        <v>2510</v>
      </c>
      <c r="B789" s="186">
        <v>35274711</v>
      </c>
      <c r="C789" s="549">
        <v>19790</v>
      </c>
      <c r="D789" s="130" t="s">
        <v>4241</v>
      </c>
      <c r="E789" s="130" t="s">
        <v>4242</v>
      </c>
      <c r="F789" s="130" t="s">
        <v>4243</v>
      </c>
      <c r="G789" s="550" t="s">
        <v>2081</v>
      </c>
      <c r="I789" s="165">
        <v>43773</v>
      </c>
      <c r="J789" s="551" t="s">
        <v>799</v>
      </c>
      <c r="K789" s="552" t="s">
        <v>72</v>
      </c>
      <c r="L789" s="130" t="s">
        <v>2866</v>
      </c>
    </row>
    <row r="790" spans="1:12" ht="16.5" customHeight="1">
      <c r="A790" s="186" t="s">
        <v>2510</v>
      </c>
      <c r="B790" s="186">
        <v>2510261</v>
      </c>
      <c r="C790" s="549">
        <v>19317</v>
      </c>
      <c r="D790" s="130" t="s">
        <v>2530</v>
      </c>
      <c r="E790" s="130" t="s">
        <v>4244</v>
      </c>
      <c r="F790" s="130" t="s">
        <v>4245</v>
      </c>
      <c r="G790" s="550" t="s">
        <v>2081</v>
      </c>
      <c r="I790" s="165">
        <v>43773</v>
      </c>
      <c r="J790" s="551" t="s">
        <v>799</v>
      </c>
      <c r="K790" s="552" t="s">
        <v>73</v>
      </c>
      <c r="L790" s="130" t="s">
        <v>2870</v>
      </c>
    </row>
    <row r="791" spans="1:12" ht="16.5" customHeight="1">
      <c r="A791" s="186" t="s">
        <v>2510</v>
      </c>
      <c r="B791" s="186">
        <v>3723806</v>
      </c>
      <c r="C791" s="549">
        <v>19207</v>
      </c>
      <c r="D791" s="130" t="s">
        <v>4246</v>
      </c>
      <c r="E791" s="130" t="s">
        <v>4247</v>
      </c>
      <c r="F791" s="130" t="s">
        <v>4248</v>
      </c>
      <c r="G791" s="550" t="s">
        <v>2081</v>
      </c>
      <c r="I791" s="165">
        <v>43773</v>
      </c>
      <c r="J791" s="551" t="s">
        <v>799</v>
      </c>
      <c r="K791" s="552" t="s">
        <v>73</v>
      </c>
      <c r="L791" s="130" t="s">
        <v>2870</v>
      </c>
    </row>
    <row r="792" spans="1:12" ht="16.5" customHeight="1">
      <c r="A792" s="186" t="s">
        <v>2510</v>
      </c>
      <c r="B792" s="186">
        <v>3797297</v>
      </c>
      <c r="C792" s="549">
        <v>13762</v>
      </c>
      <c r="D792" s="130" t="s">
        <v>3689</v>
      </c>
      <c r="E792" s="130" t="s">
        <v>4249</v>
      </c>
      <c r="F792" s="130" t="s">
        <v>2513</v>
      </c>
      <c r="G792" s="550" t="s">
        <v>2046</v>
      </c>
      <c r="I792" s="165">
        <v>43773</v>
      </c>
      <c r="J792" s="551" t="s">
        <v>799</v>
      </c>
      <c r="K792" s="552" t="s">
        <v>73</v>
      </c>
      <c r="L792" s="130" t="s">
        <v>2870</v>
      </c>
    </row>
    <row r="793" spans="1:12" ht="16.5" customHeight="1">
      <c r="A793" s="186" t="s">
        <v>2510</v>
      </c>
      <c r="B793" s="186">
        <v>4350724</v>
      </c>
      <c r="C793" s="549">
        <v>5947</v>
      </c>
      <c r="D793" s="130" t="s">
        <v>3510</v>
      </c>
      <c r="E793" s="130" t="s">
        <v>4250</v>
      </c>
      <c r="F793" s="130" t="s">
        <v>4251</v>
      </c>
      <c r="G793" s="550" t="s">
        <v>2081</v>
      </c>
      <c r="I793" s="165">
        <v>43773</v>
      </c>
      <c r="J793" s="551" t="s">
        <v>799</v>
      </c>
      <c r="K793" s="552" t="s">
        <v>73</v>
      </c>
      <c r="L793" s="130" t="s">
        <v>2870</v>
      </c>
    </row>
    <row r="794" spans="1:12" ht="16.5" customHeight="1">
      <c r="A794" s="186" t="s">
        <v>2510</v>
      </c>
      <c r="B794" s="186">
        <v>4986568</v>
      </c>
      <c r="C794" s="549">
        <v>21031</v>
      </c>
      <c r="D794" s="130" t="s">
        <v>4152</v>
      </c>
      <c r="E794" s="130" t="s">
        <v>4252</v>
      </c>
      <c r="F794" s="130" t="s">
        <v>4253</v>
      </c>
      <c r="G794" s="550" t="s">
        <v>2046</v>
      </c>
      <c r="I794" s="165">
        <v>43773</v>
      </c>
      <c r="J794" s="551" t="s">
        <v>799</v>
      </c>
      <c r="K794" s="552" t="s">
        <v>73</v>
      </c>
      <c r="L794" s="130" t="s">
        <v>2870</v>
      </c>
    </row>
    <row r="795" spans="1:12" ht="16.5" customHeight="1">
      <c r="A795" s="186" t="s">
        <v>2510</v>
      </c>
      <c r="B795" s="186">
        <v>8732265</v>
      </c>
      <c r="C795" s="549">
        <v>17453</v>
      </c>
      <c r="D795" s="130" t="s">
        <v>4254</v>
      </c>
      <c r="E795" s="130" t="s">
        <v>4255</v>
      </c>
      <c r="F795" s="130" t="s">
        <v>4256</v>
      </c>
      <c r="G795" s="550" t="s">
        <v>2046</v>
      </c>
      <c r="I795" s="165">
        <v>43773</v>
      </c>
      <c r="J795" s="551" t="s">
        <v>799</v>
      </c>
      <c r="K795" s="552" t="s">
        <v>73</v>
      </c>
      <c r="L795" s="130" t="s">
        <v>2870</v>
      </c>
    </row>
    <row r="796" spans="1:12" ht="16.5" customHeight="1">
      <c r="A796" s="186" t="s">
        <v>2510</v>
      </c>
      <c r="B796" s="186">
        <v>8919474</v>
      </c>
      <c r="C796" s="549">
        <v>9910</v>
      </c>
      <c r="D796" s="130" t="s">
        <v>4257</v>
      </c>
      <c r="E796" s="130" t="s">
        <v>2657</v>
      </c>
      <c r="F796" s="130" t="s">
        <v>4258</v>
      </c>
      <c r="G796" s="550" t="s">
        <v>2081</v>
      </c>
      <c r="I796" s="165">
        <v>43773</v>
      </c>
      <c r="J796" s="551" t="s">
        <v>799</v>
      </c>
      <c r="K796" s="552" t="s">
        <v>73</v>
      </c>
      <c r="L796" s="130" t="s">
        <v>2870</v>
      </c>
    </row>
    <row r="797" spans="1:12" ht="16.5" customHeight="1">
      <c r="A797" s="186" t="s">
        <v>2510</v>
      </c>
      <c r="B797" s="186">
        <v>10102150</v>
      </c>
      <c r="C797" s="549">
        <v>10250</v>
      </c>
      <c r="D797" s="130" t="s">
        <v>3101</v>
      </c>
      <c r="E797" s="130" t="s">
        <v>4259</v>
      </c>
      <c r="F797" s="130" t="s">
        <v>2806</v>
      </c>
      <c r="G797" s="550" t="s">
        <v>2081</v>
      </c>
      <c r="I797" s="165">
        <v>43773</v>
      </c>
      <c r="J797" s="551" t="s">
        <v>799</v>
      </c>
      <c r="K797" s="552" t="s">
        <v>73</v>
      </c>
      <c r="L797" s="130" t="s">
        <v>2870</v>
      </c>
    </row>
    <row r="798" spans="1:12" ht="16.5" customHeight="1">
      <c r="A798" s="186" t="s">
        <v>2510</v>
      </c>
      <c r="B798" s="186">
        <v>17478611</v>
      </c>
      <c r="C798" s="549">
        <v>16356</v>
      </c>
      <c r="D798" s="130" t="s">
        <v>3230</v>
      </c>
      <c r="E798" s="130" t="s">
        <v>2594</v>
      </c>
      <c r="F798" s="130" t="s">
        <v>4209</v>
      </c>
      <c r="G798" s="550" t="s">
        <v>2201</v>
      </c>
      <c r="I798" s="165">
        <v>43773</v>
      </c>
      <c r="J798" s="551" t="s">
        <v>799</v>
      </c>
      <c r="K798" s="552" t="s">
        <v>73</v>
      </c>
      <c r="L798" s="130" t="s">
        <v>2870</v>
      </c>
    </row>
    <row r="799" spans="1:12" ht="16.5" customHeight="1">
      <c r="A799" s="186" t="s">
        <v>2510</v>
      </c>
      <c r="B799" s="186">
        <v>24922049</v>
      </c>
      <c r="C799" s="549">
        <v>19238</v>
      </c>
      <c r="D799" s="130" t="s">
        <v>2979</v>
      </c>
      <c r="E799" s="130" t="s">
        <v>4260</v>
      </c>
      <c r="F799" s="130" t="s">
        <v>3109</v>
      </c>
      <c r="G799" s="550" t="s">
        <v>2081</v>
      </c>
      <c r="I799" s="165">
        <v>43773</v>
      </c>
      <c r="J799" s="551" t="s">
        <v>799</v>
      </c>
      <c r="K799" s="552" t="s">
        <v>73</v>
      </c>
      <c r="L799" s="130" t="s">
        <v>2870</v>
      </c>
    </row>
    <row r="800" spans="1:12" ht="16.5" customHeight="1">
      <c r="A800" s="186" t="s">
        <v>2510</v>
      </c>
      <c r="B800" s="186">
        <v>25507286</v>
      </c>
      <c r="C800" s="549">
        <v>16303</v>
      </c>
      <c r="D800" s="130" t="s">
        <v>3101</v>
      </c>
      <c r="E800" s="130" t="s">
        <v>4261</v>
      </c>
      <c r="F800" s="130" t="s">
        <v>4262</v>
      </c>
      <c r="G800" s="550" t="s">
        <v>2046</v>
      </c>
      <c r="I800" s="165">
        <v>43773</v>
      </c>
      <c r="J800" s="551" t="s">
        <v>799</v>
      </c>
      <c r="K800" s="552" t="s">
        <v>73</v>
      </c>
      <c r="L800" s="130" t="s">
        <v>2870</v>
      </c>
    </row>
    <row r="801" spans="1:12" ht="16.5" customHeight="1">
      <c r="A801" s="186" t="s">
        <v>2510</v>
      </c>
      <c r="B801" s="186">
        <v>25747916</v>
      </c>
      <c r="C801" s="549">
        <v>17104</v>
      </c>
      <c r="D801" s="130" t="s">
        <v>3384</v>
      </c>
      <c r="E801" s="130" t="s">
        <v>2999</v>
      </c>
      <c r="F801" s="130" t="s">
        <v>4263</v>
      </c>
      <c r="G801" s="550" t="s">
        <v>2046</v>
      </c>
      <c r="I801" s="165">
        <v>43773</v>
      </c>
      <c r="J801" s="551" t="s">
        <v>799</v>
      </c>
      <c r="K801" s="552" t="s">
        <v>73</v>
      </c>
      <c r="L801" s="130" t="s">
        <v>2870</v>
      </c>
    </row>
    <row r="802" spans="1:12" ht="16.5" customHeight="1">
      <c r="A802" s="186" t="s">
        <v>2510</v>
      </c>
      <c r="B802" s="186">
        <v>31149339</v>
      </c>
      <c r="C802" s="549">
        <v>16129</v>
      </c>
      <c r="D802" s="130" t="s">
        <v>4264</v>
      </c>
      <c r="E802" s="130" t="s">
        <v>4265</v>
      </c>
      <c r="F802" s="130" t="s">
        <v>4266</v>
      </c>
      <c r="G802" s="550" t="s">
        <v>2046</v>
      </c>
      <c r="I802" s="165">
        <v>43773</v>
      </c>
      <c r="J802" s="551" t="s">
        <v>799</v>
      </c>
      <c r="K802" s="552" t="s">
        <v>73</v>
      </c>
      <c r="L802" s="130" t="s">
        <v>2870</v>
      </c>
    </row>
    <row r="803" spans="1:12" ht="16.5" customHeight="1">
      <c r="A803" s="186" t="s">
        <v>2510</v>
      </c>
      <c r="B803" s="186">
        <v>35100650</v>
      </c>
      <c r="C803" s="549">
        <v>21358</v>
      </c>
      <c r="D803" s="130" t="s">
        <v>4267</v>
      </c>
      <c r="E803" s="130" t="s">
        <v>3569</v>
      </c>
      <c r="F803" s="130" t="s">
        <v>2564</v>
      </c>
      <c r="G803" s="550" t="s">
        <v>2089</v>
      </c>
      <c r="I803" s="165">
        <v>43773</v>
      </c>
      <c r="J803" s="551" t="s">
        <v>799</v>
      </c>
      <c r="K803" s="552" t="s">
        <v>73</v>
      </c>
      <c r="L803" s="130" t="s">
        <v>2870</v>
      </c>
    </row>
    <row r="804" spans="1:12" ht="16.5" customHeight="1">
      <c r="A804" s="186" t="s">
        <v>2510</v>
      </c>
      <c r="B804" s="186">
        <v>35451616</v>
      </c>
      <c r="C804" s="549">
        <v>17685</v>
      </c>
      <c r="D804" s="130" t="s">
        <v>2687</v>
      </c>
      <c r="E804" s="130" t="s">
        <v>3539</v>
      </c>
      <c r="F804" s="130" t="s">
        <v>4268</v>
      </c>
      <c r="G804" s="550" t="s">
        <v>2081</v>
      </c>
      <c r="I804" s="165">
        <v>43773</v>
      </c>
      <c r="J804" s="551" t="s">
        <v>799</v>
      </c>
      <c r="K804" s="552" t="s">
        <v>73</v>
      </c>
      <c r="L804" s="130" t="s">
        <v>2870</v>
      </c>
    </row>
    <row r="805" spans="1:12" ht="16.5" customHeight="1">
      <c r="A805" s="186" t="s">
        <v>2510</v>
      </c>
      <c r="B805" s="186">
        <v>37123023</v>
      </c>
      <c r="C805" s="549">
        <v>18117</v>
      </c>
      <c r="D805" s="130" t="s">
        <v>2511</v>
      </c>
      <c r="E805" s="130" t="s">
        <v>4269</v>
      </c>
      <c r="F805" s="130" t="s">
        <v>4270</v>
      </c>
      <c r="G805" s="550" t="s">
        <v>2526</v>
      </c>
      <c r="I805" s="165">
        <v>43773</v>
      </c>
      <c r="J805" s="551" t="s">
        <v>799</v>
      </c>
      <c r="K805" s="552" t="s">
        <v>73</v>
      </c>
      <c r="L805" s="130" t="s">
        <v>2870</v>
      </c>
    </row>
    <row r="806" spans="1:12" ht="16.5" customHeight="1">
      <c r="A806" s="186" t="s">
        <v>2510</v>
      </c>
      <c r="B806" s="186">
        <v>37441086</v>
      </c>
      <c r="C806" s="549">
        <v>19275</v>
      </c>
      <c r="D806" s="130" t="s">
        <v>3311</v>
      </c>
      <c r="E806" s="130" t="s">
        <v>4271</v>
      </c>
      <c r="F806" s="130" t="s">
        <v>4272</v>
      </c>
      <c r="G806" s="550" t="s">
        <v>2081</v>
      </c>
      <c r="I806" s="165">
        <v>43773</v>
      </c>
      <c r="J806" s="551" t="s">
        <v>799</v>
      </c>
      <c r="K806" s="552" t="s">
        <v>73</v>
      </c>
      <c r="L806" s="130" t="s">
        <v>2870</v>
      </c>
    </row>
    <row r="807" spans="1:12" ht="16.5" customHeight="1">
      <c r="A807" s="186" t="s">
        <v>2510</v>
      </c>
      <c r="B807" s="186">
        <v>38502258</v>
      </c>
      <c r="C807" s="549">
        <v>19710</v>
      </c>
      <c r="D807" s="130" t="s">
        <v>3574</v>
      </c>
      <c r="E807" s="130" t="s">
        <v>4273</v>
      </c>
      <c r="F807" s="130" t="s">
        <v>4274</v>
      </c>
      <c r="G807" s="550" t="s">
        <v>2046</v>
      </c>
      <c r="I807" s="165">
        <v>43773</v>
      </c>
      <c r="J807" s="551" t="s">
        <v>799</v>
      </c>
      <c r="K807" s="552" t="s">
        <v>73</v>
      </c>
      <c r="L807" s="130" t="s">
        <v>2870</v>
      </c>
    </row>
    <row r="808" spans="1:12" ht="16.5" customHeight="1">
      <c r="A808" s="186" t="s">
        <v>2510</v>
      </c>
      <c r="B808" s="186">
        <v>40944175</v>
      </c>
      <c r="C808" s="549">
        <v>10500</v>
      </c>
      <c r="D808" s="130" t="s">
        <v>2832</v>
      </c>
      <c r="E808" s="130" t="s">
        <v>4275</v>
      </c>
      <c r="F808" s="130" t="s">
        <v>4276</v>
      </c>
      <c r="G808" s="550" t="s">
        <v>2046</v>
      </c>
      <c r="I808" s="165">
        <v>43773</v>
      </c>
      <c r="J808" s="551" t="s">
        <v>799</v>
      </c>
      <c r="K808" s="552" t="s">
        <v>73</v>
      </c>
      <c r="L808" s="130" t="s">
        <v>2870</v>
      </c>
    </row>
    <row r="809" spans="1:12" ht="16.5" customHeight="1">
      <c r="A809" s="186" t="s">
        <v>2510</v>
      </c>
      <c r="B809" s="186">
        <v>41131137</v>
      </c>
      <c r="C809" s="549">
        <v>18255</v>
      </c>
      <c r="D809" s="130" t="s">
        <v>3028</v>
      </c>
      <c r="E809" s="130" t="s">
        <v>4277</v>
      </c>
      <c r="F809" s="130" t="s">
        <v>4278</v>
      </c>
      <c r="G809" s="550" t="s">
        <v>2081</v>
      </c>
      <c r="I809" s="165">
        <v>43773</v>
      </c>
      <c r="J809" s="551" t="s">
        <v>799</v>
      </c>
      <c r="K809" s="552" t="s">
        <v>73</v>
      </c>
      <c r="L809" s="130" t="s">
        <v>2870</v>
      </c>
    </row>
    <row r="810" spans="1:12" ht="16.5" customHeight="1">
      <c r="A810" s="186" t="s">
        <v>2510</v>
      </c>
      <c r="B810" s="186">
        <v>46641577</v>
      </c>
      <c r="C810" s="549">
        <v>16654</v>
      </c>
      <c r="D810" s="130" t="s">
        <v>4279</v>
      </c>
      <c r="E810" s="130" t="s">
        <v>4280</v>
      </c>
      <c r="F810" s="130" t="s">
        <v>4281</v>
      </c>
      <c r="G810" s="550" t="s">
        <v>2081</v>
      </c>
      <c r="I810" s="165">
        <v>43773</v>
      </c>
      <c r="J810" s="551" t="s">
        <v>799</v>
      </c>
      <c r="K810" s="552" t="s">
        <v>73</v>
      </c>
      <c r="L810" s="130" t="s">
        <v>2870</v>
      </c>
    </row>
    <row r="811" spans="1:12" ht="16.5" customHeight="1">
      <c r="A811" s="186" t="s">
        <v>2510</v>
      </c>
      <c r="B811" s="186">
        <v>78386570</v>
      </c>
      <c r="C811" s="549">
        <v>18531</v>
      </c>
      <c r="D811" s="130" t="s">
        <v>4282</v>
      </c>
      <c r="E811" s="130" t="s">
        <v>3514</v>
      </c>
      <c r="F811" s="130" t="s">
        <v>4283</v>
      </c>
      <c r="G811" s="550" t="s">
        <v>2162</v>
      </c>
      <c r="I811" s="165">
        <v>43781</v>
      </c>
      <c r="J811" s="551" t="s">
        <v>799</v>
      </c>
      <c r="K811" s="552" t="s">
        <v>67</v>
      </c>
      <c r="L811" s="130" t="s">
        <v>4284</v>
      </c>
    </row>
    <row r="812" spans="1:12" ht="16.5" customHeight="1">
      <c r="A812" s="186" t="s">
        <v>2510</v>
      </c>
      <c r="B812" s="186">
        <v>31993116</v>
      </c>
      <c r="D812" s="130" t="s">
        <v>3306</v>
      </c>
      <c r="E812" s="130" t="s">
        <v>4285</v>
      </c>
      <c r="F812" s="130" t="s">
        <v>4286</v>
      </c>
      <c r="G812" s="550" t="s">
        <v>2059</v>
      </c>
      <c r="I812" s="165">
        <v>43782</v>
      </c>
      <c r="J812" s="551" t="s">
        <v>67</v>
      </c>
      <c r="K812" s="552" t="s">
        <v>799</v>
      </c>
      <c r="L812" s="130" t="s">
        <v>4287</v>
      </c>
    </row>
    <row r="813" spans="1:12" ht="16.5" customHeight="1">
      <c r="A813" s="186" t="s">
        <v>2510</v>
      </c>
      <c r="B813" s="186">
        <v>573667</v>
      </c>
      <c r="C813" s="549">
        <v>18315</v>
      </c>
      <c r="D813" s="130" t="s">
        <v>4288</v>
      </c>
      <c r="E813" s="130" t="s">
        <v>4289</v>
      </c>
      <c r="F813" s="130" t="s">
        <v>2525</v>
      </c>
      <c r="G813" s="550" t="s">
        <v>2526</v>
      </c>
      <c r="I813" s="165">
        <v>43801</v>
      </c>
      <c r="J813" s="551" t="s">
        <v>799</v>
      </c>
      <c r="K813" s="552" t="s">
        <v>67</v>
      </c>
      <c r="L813" s="130" t="s">
        <v>2664</v>
      </c>
    </row>
    <row r="814" spans="1:12" ht="16.5" customHeight="1">
      <c r="A814" s="186" t="s">
        <v>2510</v>
      </c>
      <c r="B814" s="186">
        <v>2350783</v>
      </c>
      <c r="C814" s="549">
        <v>17940</v>
      </c>
      <c r="D814" s="130" t="s">
        <v>3981</v>
      </c>
      <c r="E814" s="130" t="s">
        <v>2512</v>
      </c>
      <c r="F814" s="130" t="s">
        <v>4290</v>
      </c>
      <c r="G814" s="550" t="s">
        <v>2081</v>
      </c>
      <c r="I814" s="165">
        <v>43801</v>
      </c>
      <c r="J814" s="551" t="s">
        <v>799</v>
      </c>
      <c r="K814" s="552" t="s">
        <v>67</v>
      </c>
      <c r="L814" s="130" t="s">
        <v>2664</v>
      </c>
    </row>
    <row r="815" spans="1:12" ht="16.5" customHeight="1">
      <c r="A815" s="186" t="s">
        <v>2510</v>
      </c>
      <c r="B815" s="186">
        <v>8216764</v>
      </c>
      <c r="C815" s="549">
        <v>10113</v>
      </c>
      <c r="D815" s="130" t="s">
        <v>2863</v>
      </c>
      <c r="E815" s="130" t="s">
        <v>4291</v>
      </c>
      <c r="F815" s="130" t="s">
        <v>4292</v>
      </c>
      <c r="G815" s="550" t="s">
        <v>2046</v>
      </c>
      <c r="I815" s="165">
        <v>43801</v>
      </c>
      <c r="J815" s="551" t="s">
        <v>799</v>
      </c>
      <c r="K815" s="552" t="s">
        <v>67</v>
      </c>
      <c r="L815" s="130" t="s">
        <v>2664</v>
      </c>
    </row>
    <row r="816" spans="1:12" ht="16.5" customHeight="1">
      <c r="A816" s="186" t="s">
        <v>2510</v>
      </c>
      <c r="B816" s="186">
        <v>16489429</v>
      </c>
      <c r="C816" s="549">
        <v>18393</v>
      </c>
      <c r="D816" s="130" t="s">
        <v>2635</v>
      </c>
      <c r="E816" s="130" t="s">
        <v>3539</v>
      </c>
      <c r="F816" s="130" t="s">
        <v>4293</v>
      </c>
      <c r="G816" s="550" t="s">
        <v>2046</v>
      </c>
      <c r="I816" s="165">
        <v>43801</v>
      </c>
      <c r="J816" s="551" t="s">
        <v>799</v>
      </c>
      <c r="K816" s="552" t="s">
        <v>67</v>
      </c>
      <c r="L816" s="130" t="s">
        <v>2664</v>
      </c>
    </row>
    <row r="817" spans="1:12" ht="16.5" customHeight="1">
      <c r="A817" s="186" t="s">
        <v>2510</v>
      </c>
      <c r="B817" s="186">
        <v>22898761</v>
      </c>
      <c r="C817" s="549">
        <v>17711</v>
      </c>
      <c r="D817" s="130" t="s">
        <v>2903</v>
      </c>
      <c r="E817" s="130" t="s">
        <v>4294</v>
      </c>
      <c r="F817" s="130" t="s">
        <v>4295</v>
      </c>
      <c r="G817" s="550" t="s">
        <v>2089</v>
      </c>
      <c r="I817" s="165">
        <v>43801</v>
      </c>
      <c r="J817" s="551" t="s">
        <v>799</v>
      </c>
      <c r="K817" s="552" t="s">
        <v>67</v>
      </c>
      <c r="L817" s="130" t="s">
        <v>2664</v>
      </c>
    </row>
    <row r="818" spans="1:12" ht="16.5" customHeight="1">
      <c r="A818" s="186" t="s">
        <v>2510</v>
      </c>
      <c r="B818" s="186">
        <v>26152819</v>
      </c>
      <c r="C818" s="549">
        <v>17533</v>
      </c>
      <c r="D818" s="130" t="s">
        <v>2898</v>
      </c>
      <c r="E818" s="130" t="s">
        <v>4296</v>
      </c>
      <c r="F818" s="130" t="s">
        <v>4297</v>
      </c>
      <c r="G818" s="550" t="s">
        <v>2526</v>
      </c>
      <c r="I818" s="165">
        <v>43801</v>
      </c>
      <c r="J818" s="551" t="s">
        <v>799</v>
      </c>
      <c r="K818" s="552" t="s">
        <v>67</v>
      </c>
      <c r="L818" s="130" t="s">
        <v>2664</v>
      </c>
    </row>
    <row r="819" spans="1:12" ht="16.5" customHeight="1">
      <c r="A819" s="186" t="s">
        <v>2510</v>
      </c>
      <c r="B819" s="186">
        <v>27604321</v>
      </c>
      <c r="C819" s="549">
        <v>20424</v>
      </c>
      <c r="D819" s="130" t="s">
        <v>3147</v>
      </c>
      <c r="E819" s="130" t="s">
        <v>4298</v>
      </c>
      <c r="F819" s="130" t="s">
        <v>4299</v>
      </c>
      <c r="G819" s="550" t="s">
        <v>2089</v>
      </c>
      <c r="I819" s="165">
        <v>43801</v>
      </c>
      <c r="J819" s="551" t="s">
        <v>799</v>
      </c>
      <c r="K819" s="552" t="s">
        <v>67</v>
      </c>
      <c r="L819" s="130" t="s">
        <v>2664</v>
      </c>
    </row>
    <row r="820" spans="1:12" ht="16.5" customHeight="1">
      <c r="A820" s="186" t="s">
        <v>2510</v>
      </c>
      <c r="B820" s="186">
        <v>27981042</v>
      </c>
      <c r="C820" s="549">
        <v>20699</v>
      </c>
      <c r="D820" s="130" t="s">
        <v>4300</v>
      </c>
      <c r="E820" s="130" t="s">
        <v>4301</v>
      </c>
      <c r="F820" s="130" t="s">
        <v>4302</v>
      </c>
      <c r="G820" s="550" t="s">
        <v>2081</v>
      </c>
      <c r="I820" s="165">
        <v>43801</v>
      </c>
      <c r="J820" s="551" t="s">
        <v>799</v>
      </c>
      <c r="K820" s="552" t="s">
        <v>67</v>
      </c>
      <c r="L820" s="130" t="s">
        <v>2664</v>
      </c>
    </row>
    <row r="821" spans="1:12" ht="16.5" customHeight="1">
      <c r="A821" s="186" t="s">
        <v>2510</v>
      </c>
      <c r="B821" s="186">
        <v>31227861</v>
      </c>
      <c r="C821" s="549">
        <v>22920</v>
      </c>
      <c r="D821" s="130" t="s">
        <v>4303</v>
      </c>
      <c r="E821" s="130" t="s">
        <v>4304</v>
      </c>
      <c r="F821" s="130" t="s">
        <v>4305</v>
      </c>
      <c r="G821" s="550" t="s">
        <v>2081</v>
      </c>
      <c r="I821" s="165">
        <v>43801</v>
      </c>
      <c r="J821" s="551" t="s">
        <v>799</v>
      </c>
      <c r="K821" s="552" t="s">
        <v>67</v>
      </c>
      <c r="L821" s="130" t="s">
        <v>2664</v>
      </c>
    </row>
    <row r="822" spans="1:12" ht="16.5" customHeight="1">
      <c r="A822" s="186" t="s">
        <v>2510</v>
      </c>
      <c r="B822" s="186">
        <v>33270992</v>
      </c>
      <c r="C822" s="549">
        <v>14212</v>
      </c>
      <c r="D822" s="130" t="s">
        <v>3103</v>
      </c>
      <c r="E822" s="130" t="s">
        <v>4306</v>
      </c>
      <c r="F822" s="130" t="s">
        <v>3958</v>
      </c>
      <c r="G822" s="550" t="s">
        <v>2055</v>
      </c>
      <c r="I822" s="165">
        <v>43801</v>
      </c>
      <c r="J822" s="551" t="s">
        <v>799</v>
      </c>
      <c r="K822" s="552" t="s">
        <v>67</v>
      </c>
      <c r="L822" s="130" t="s">
        <v>2664</v>
      </c>
    </row>
    <row r="823" spans="1:12" ht="16.5" customHeight="1">
      <c r="A823" s="186" t="s">
        <v>2510</v>
      </c>
      <c r="B823" s="186">
        <v>33888892</v>
      </c>
      <c r="C823" s="549">
        <v>21407</v>
      </c>
      <c r="D823" s="130" t="s">
        <v>3223</v>
      </c>
      <c r="E823" s="130" t="s">
        <v>4307</v>
      </c>
      <c r="F823" s="130" t="s">
        <v>4138</v>
      </c>
      <c r="G823" s="550" t="s">
        <v>2081</v>
      </c>
      <c r="I823" s="165">
        <v>43801</v>
      </c>
      <c r="J823" s="551" t="s">
        <v>799</v>
      </c>
      <c r="K823" s="552" t="s">
        <v>67</v>
      </c>
      <c r="L823" s="130" t="s">
        <v>2664</v>
      </c>
    </row>
    <row r="824" spans="1:12" ht="16.5" customHeight="1">
      <c r="A824" s="186" t="s">
        <v>2510</v>
      </c>
      <c r="B824" s="186">
        <v>37481728</v>
      </c>
      <c r="C824" s="549">
        <v>11360</v>
      </c>
      <c r="D824" s="130" t="s">
        <v>3658</v>
      </c>
      <c r="E824" s="130" t="s">
        <v>4308</v>
      </c>
      <c r="F824" s="130" t="s">
        <v>4309</v>
      </c>
      <c r="G824" s="550" t="s">
        <v>2081</v>
      </c>
      <c r="I824" s="165">
        <v>43801</v>
      </c>
      <c r="J824" s="551" t="s">
        <v>799</v>
      </c>
      <c r="K824" s="552" t="s">
        <v>67</v>
      </c>
      <c r="L824" s="130" t="s">
        <v>2664</v>
      </c>
    </row>
    <row r="825" spans="1:12" ht="16.5" customHeight="1">
      <c r="A825" s="186" t="s">
        <v>2510</v>
      </c>
      <c r="B825" s="186">
        <v>39865902</v>
      </c>
      <c r="C825" s="549">
        <v>18393</v>
      </c>
      <c r="D825" s="130" t="s">
        <v>2871</v>
      </c>
      <c r="E825" s="130" t="s">
        <v>3233</v>
      </c>
      <c r="F825" s="130" t="s">
        <v>4310</v>
      </c>
      <c r="G825" s="550" t="s">
        <v>2081</v>
      </c>
      <c r="I825" s="165">
        <v>43801</v>
      </c>
      <c r="J825" s="551" t="s">
        <v>799</v>
      </c>
      <c r="K825" s="552" t="s">
        <v>67</v>
      </c>
      <c r="L825" s="130" t="s">
        <v>2664</v>
      </c>
    </row>
    <row r="826" spans="1:12" ht="16.5" customHeight="1">
      <c r="A826" s="186" t="s">
        <v>2510</v>
      </c>
      <c r="B826" s="186">
        <v>2669349</v>
      </c>
      <c r="C826" s="549">
        <v>17473</v>
      </c>
      <c r="D826" s="130" t="s">
        <v>3783</v>
      </c>
      <c r="E826" s="130" t="s">
        <v>4311</v>
      </c>
      <c r="F826" s="130" t="s">
        <v>4312</v>
      </c>
      <c r="G826" s="550" t="s">
        <v>2081</v>
      </c>
      <c r="I826" s="165">
        <v>43801</v>
      </c>
      <c r="J826" s="551" t="s">
        <v>799</v>
      </c>
      <c r="K826" s="552" t="s">
        <v>72</v>
      </c>
      <c r="L826" s="130" t="s">
        <v>2866</v>
      </c>
    </row>
    <row r="827" spans="1:12" ht="16.5" customHeight="1">
      <c r="A827" s="186" t="s">
        <v>2510</v>
      </c>
      <c r="B827" s="186">
        <v>4584934</v>
      </c>
      <c r="C827" s="549">
        <v>18022</v>
      </c>
      <c r="D827" s="130" t="s">
        <v>3008</v>
      </c>
      <c r="E827" s="130" t="s">
        <v>4313</v>
      </c>
      <c r="F827" s="130" t="s">
        <v>4314</v>
      </c>
      <c r="G827" s="550" t="s">
        <v>2081</v>
      </c>
      <c r="I827" s="165">
        <v>43801</v>
      </c>
      <c r="J827" s="551" t="s">
        <v>799</v>
      </c>
      <c r="K827" s="552" t="s">
        <v>72</v>
      </c>
      <c r="L827" s="130" t="s">
        <v>2866</v>
      </c>
    </row>
    <row r="828" spans="1:12" ht="16.5" customHeight="1">
      <c r="A828" s="186" t="s">
        <v>2510</v>
      </c>
      <c r="B828" s="186">
        <v>6098883</v>
      </c>
      <c r="C828" s="549">
        <v>20425</v>
      </c>
      <c r="D828" s="130" t="s">
        <v>3875</v>
      </c>
      <c r="E828" s="130" t="s">
        <v>4315</v>
      </c>
      <c r="F828" s="130" t="s">
        <v>4316</v>
      </c>
      <c r="G828" s="550" t="s">
        <v>2089</v>
      </c>
      <c r="I828" s="165">
        <v>43801</v>
      </c>
      <c r="J828" s="551" t="s">
        <v>799</v>
      </c>
      <c r="K828" s="552" t="s">
        <v>72</v>
      </c>
      <c r="L828" s="130" t="s">
        <v>2866</v>
      </c>
    </row>
    <row r="829" spans="1:12" ht="16.5" customHeight="1">
      <c r="A829" s="186" t="s">
        <v>2510</v>
      </c>
      <c r="B829" s="186">
        <v>41428970</v>
      </c>
      <c r="C829" s="549">
        <v>13187</v>
      </c>
      <c r="D829" s="130" t="s">
        <v>2697</v>
      </c>
      <c r="E829" s="130" t="s">
        <v>4317</v>
      </c>
      <c r="F829" s="130" t="s">
        <v>4318</v>
      </c>
      <c r="G829" s="550" t="s">
        <v>2081</v>
      </c>
      <c r="I829" s="165">
        <v>43801</v>
      </c>
      <c r="J829" s="551" t="s">
        <v>799</v>
      </c>
      <c r="K829" s="552" t="s">
        <v>72</v>
      </c>
      <c r="L829" s="130" t="s">
        <v>2866</v>
      </c>
    </row>
    <row r="830" spans="1:12" ht="16.5" customHeight="1">
      <c r="A830" s="186" t="s">
        <v>2510</v>
      </c>
      <c r="B830" s="186">
        <v>43635374</v>
      </c>
      <c r="C830" s="549">
        <v>18802</v>
      </c>
      <c r="D830" s="130" t="s">
        <v>3355</v>
      </c>
      <c r="E830" s="130" t="s">
        <v>4319</v>
      </c>
      <c r="F830" s="130" t="s">
        <v>4320</v>
      </c>
      <c r="G830" s="550" t="s">
        <v>2046</v>
      </c>
      <c r="I830" s="165">
        <v>43801</v>
      </c>
      <c r="J830" s="551" t="s">
        <v>799</v>
      </c>
      <c r="K830" s="552" t="s">
        <v>72</v>
      </c>
      <c r="L830" s="130" t="s">
        <v>2866</v>
      </c>
    </row>
    <row r="831" spans="1:12" ht="16.5" customHeight="1">
      <c r="A831" s="186" t="s">
        <v>2510</v>
      </c>
      <c r="B831" s="186">
        <v>501718</v>
      </c>
      <c r="C831" s="549">
        <v>13728</v>
      </c>
      <c r="D831" s="130" t="s">
        <v>2975</v>
      </c>
      <c r="E831" s="130" t="s">
        <v>4321</v>
      </c>
      <c r="F831" s="130" t="s">
        <v>4209</v>
      </c>
      <c r="G831" s="550" t="s">
        <v>2201</v>
      </c>
      <c r="I831" s="165">
        <v>43801</v>
      </c>
      <c r="J831" s="551" t="s">
        <v>799</v>
      </c>
      <c r="K831" s="552" t="s">
        <v>73</v>
      </c>
      <c r="L831" s="130" t="s">
        <v>2870</v>
      </c>
    </row>
    <row r="832" spans="1:12" ht="16.5" customHeight="1">
      <c r="A832" s="186" t="s">
        <v>2510</v>
      </c>
      <c r="B832" s="186">
        <v>1026483</v>
      </c>
      <c r="C832" s="549">
        <v>18586</v>
      </c>
      <c r="D832" s="130" t="s">
        <v>3444</v>
      </c>
      <c r="E832" s="130" t="s">
        <v>3520</v>
      </c>
      <c r="F832" s="130" t="s">
        <v>4322</v>
      </c>
      <c r="G832" s="550" t="s">
        <v>2046</v>
      </c>
      <c r="I832" s="165">
        <v>43801</v>
      </c>
      <c r="J832" s="551" t="s">
        <v>799</v>
      </c>
      <c r="K832" s="552" t="s">
        <v>73</v>
      </c>
      <c r="L832" s="130" t="s">
        <v>2870</v>
      </c>
    </row>
    <row r="833" spans="1:12" ht="16.5" customHeight="1">
      <c r="A833" s="186" t="s">
        <v>2510</v>
      </c>
      <c r="B833" s="186">
        <v>1055375</v>
      </c>
      <c r="C833" s="549">
        <v>18598</v>
      </c>
      <c r="D833" s="130" t="s">
        <v>2851</v>
      </c>
      <c r="E833" s="130" t="s">
        <v>4323</v>
      </c>
      <c r="F833" s="130" t="s">
        <v>4324</v>
      </c>
      <c r="G833" s="550" t="s">
        <v>2081</v>
      </c>
      <c r="I833" s="165">
        <v>43801</v>
      </c>
      <c r="J833" s="551" t="s">
        <v>799</v>
      </c>
      <c r="K833" s="552" t="s">
        <v>73</v>
      </c>
      <c r="L833" s="130" t="s">
        <v>2870</v>
      </c>
    </row>
    <row r="834" spans="1:12" ht="16.5" customHeight="1">
      <c r="A834" s="186" t="s">
        <v>2510</v>
      </c>
      <c r="B834" s="186">
        <v>1316124</v>
      </c>
      <c r="C834" s="549">
        <v>18322</v>
      </c>
      <c r="D834" s="130" t="s">
        <v>4325</v>
      </c>
      <c r="E834" s="130" t="s">
        <v>4326</v>
      </c>
      <c r="F834" s="130" t="s">
        <v>3601</v>
      </c>
      <c r="G834" s="550" t="s">
        <v>2201</v>
      </c>
      <c r="I834" s="165">
        <v>43801</v>
      </c>
      <c r="J834" s="551" t="s">
        <v>799</v>
      </c>
      <c r="K834" s="552" t="s">
        <v>73</v>
      </c>
      <c r="L834" s="130" t="s">
        <v>2870</v>
      </c>
    </row>
    <row r="835" spans="1:12" ht="16.5" customHeight="1">
      <c r="A835" s="186" t="s">
        <v>2510</v>
      </c>
      <c r="B835" s="186">
        <v>1867316</v>
      </c>
      <c r="C835" s="549">
        <v>9498</v>
      </c>
      <c r="D835" s="130" t="s">
        <v>4327</v>
      </c>
      <c r="E835" s="130" t="s">
        <v>4328</v>
      </c>
      <c r="F835" s="130" t="s">
        <v>4329</v>
      </c>
      <c r="G835" s="550" t="s">
        <v>2066</v>
      </c>
      <c r="I835" s="165">
        <v>43801</v>
      </c>
      <c r="J835" s="551" t="s">
        <v>799</v>
      </c>
      <c r="K835" s="552" t="s">
        <v>73</v>
      </c>
      <c r="L835" s="130" t="s">
        <v>2870</v>
      </c>
    </row>
    <row r="836" spans="1:12" ht="16.5" customHeight="1">
      <c r="A836" s="186" t="s">
        <v>2510</v>
      </c>
      <c r="B836" s="186">
        <v>1889476</v>
      </c>
      <c r="C836" s="549">
        <v>16558</v>
      </c>
      <c r="D836" s="130" t="s">
        <v>4330</v>
      </c>
      <c r="E836" s="130" t="s">
        <v>2962</v>
      </c>
      <c r="F836" s="130" t="s">
        <v>4331</v>
      </c>
      <c r="G836" s="550" t="s">
        <v>2081</v>
      </c>
      <c r="I836" s="165">
        <v>43801</v>
      </c>
      <c r="J836" s="551" t="s">
        <v>799</v>
      </c>
      <c r="K836" s="552" t="s">
        <v>73</v>
      </c>
      <c r="L836" s="130" t="s">
        <v>2870</v>
      </c>
    </row>
    <row r="837" spans="1:12" ht="16.5" customHeight="1">
      <c r="A837" s="186" t="s">
        <v>2510</v>
      </c>
      <c r="B837" s="186">
        <v>2425270</v>
      </c>
      <c r="C837" s="549">
        <v>12867</v>
      </c>
      <c r="D837" s="130" t="s">
        <v>4332</v>
      </c>
      <c r="E837" s="130" t="s">
        <v>3321</v>
      </c>
      <c r="F837" s="130" t="s">
        <v>4312</v>
      </c>
      <c r="G837" s="550" t="s">
        <v>2081</v>
      </c>
      <c r="I837" s="165">
        <v>43801</v>
      </c>
      <c r="J837" s="551" t="s">
        <v>799</v>
      </c>
      <c r="K837" s="552" t="s">
        <v>73</v>
      </c>
      <c r="L837" s="130" t="s">
        <v>2870</v>
      </c>
    </row>
    <row r="838" spans="1:12" ht="16.5" customHeight="1">
      <c r="A838" s="186" t="s">
        <v>2510</v>
      </c>
      <c r="B838" s="186">
        <v>2495539</v>
      </c>
      <c r="C838" s="549">
        <v>19302</v>
      </c>
      <c r="D838" s="130" t="s">
        <v>3122</v>
      </c>
      <c r="E838" s="130" t="s">
        <v>4333</v>
      </c>
      <c r="F838" s="130" t="s">
        <v>4334</v>
      </c>
      <c r="G838" s="550" t="s">
        <v>2046</v>
      </c>
      <c r="I838" s="165">
        <v>43801</v>
      </c>
      <c r="J838" s="551" t="s">
        <v>799</v>
      </c>
      <c r="K838" s="552" t="s">
        <v>73</v>
      </c>
      <c r="L838" s="130" t="s">
        <v>2870</v>
      </c>
    </row>
    <row r="839" spans="1:12" ht="16.5" customHeight="1">
      <c r="A839" s="186" t="s">
        <v>2510</v>
      </c>
      <c r="B839" s="186">
        <v>2960490</v>
      </c>
      <c r="C839" s="549">
        <v>14671</v>
      </c>
      <c r="D839" s="130" t="s">
        <v>2609</v>
      </c>
      <c r="E839" s="130" t="s">
        <v>4335</v>
      </c>
      <c r="F839" s="130" t="s">
        <v>4336</v>
      </c>
      <c r="G839" s="550" t="s">
        <v>2081</v>
      </c>
      <c r="I839" s="165">
        <v>43801</v>
      </c>
      <c r="J839" s="551" t="s">
        <v>799</v>
      </c>
      <c r="K839" s="552" t="s">
        <v>73</v>
      </c>
      <c r="L839" s="130" t="s">
        <v>2870</v>
      </c>
    </row>
    <row r="840" spans="1:12" ht="16.5" customHeight="1">
      <c r="A840" s="186" t="s">
        <v>2510</v>
      </c>
      <c r="B840" s="186">
        <v>3067311</v>
      </c>
      <c r="C840" s="549">
        <v>13865</v>
      </c>
      <c r="D840" s="130" t="s">
        <v>4337</v>
      </c>
      <c r="E840" s="130" t="s">
        <v>4338</v>
      </c>
      <c r="F840" s="130" t="s">
        <v>4339</v>
      </c>
      <c r="G840" s="550" t="s">
        <v>2052</v>
      </c>
      <c r="I840" s="165">
        <v>43801</v>
      </c>
      <c r="J840" s="551" t="s">
        <v>799</v>
      </c>
      <c r="K840" s="552" t="s">
        <v>73</v>
      </c>
      <c r="L840" s="130" t="s">
        <v>2870</v>
      </c>
    </row>
    <row r="841" spans="1:12" ht="16.5" customHeight="1">
      <c r="A841" s="186" t="s">
        <v>2510</v>
      </c>
      <c r="B841" s="186">
        <v>3257334</v>
      </c>
      <c r="C841" s="549">
        <v>18897</v>
      </c>
      <c r="D841" s="130" t="s">
        <v>2586</v>
      </c>
      <c r="E841" s="130" t="s">
        <v>2936</v>
      </c>
      <c r="F841" s="130" t="s">
        <v>4340</v>
      </c>
      <c r="G841" s="550" t="s">
        <v>2081</v>
      </c>
      <c r="I841" s="165">
        <v>43801</v>
      </c>
      <c r="J841" s="551" t="s">
        <v>799</v>
      </c>
      <c r="K841" s="552" t="s">
        <v>73</v>
      </c>
      <c r="L841" s="130" t="s">
        <v>2870</v>
      </c>
    </row>
    <row r="842" spans="1:12" ht="16.5" customHeight="1">
      <c r="A842" s="186" t="s">
        <v>2510</v>
      </c>
      <c r="B842" s="186">
        <v>3542826</v>
      </c>
      <c r="C842" s="549">
        <v>19357</v>
      </c>
      <c r="D842" s="130" t="s">
        <v>2733</v>
      </c>
      <c r="E842" s="130" t="s">
        <v>4341</v>
      </c>
      <c r="F842" s="130" t="s">
        <v>4342</v>
      </c>
      <c r="G842" s="550" t="s">
        <v>2081</v>
      </c>
      <c r="I842" s="165">
        <v>43801</v>
      </c>
      <c r="J842" s="551" t="s">
        <v>799</v>
      </c>
      <c r="K842" s="552" t="s">
        <v>73</v>
      </c>
      <c r="L842" s="130" t="s">
        <v>2870</v>
      </c>
    </row>
    <row r="843" spans="1:12" ht="16.5" customHeight="1">
      <c r="A843" s="186" t="s">
        <v>2510</v>
      </c>
      <c r="B843" s="186">
        <v>3703659</v>
      </c>
      <c r="C843" s="549">
        <v>24306</v>
      </c>
      <c r="D843" s="130" t="s">
        <v>3290</v>
      </c>
      <c r="E843" s="130" t="s">
        <v>4343</v>
      </c>
      <c r="F843" s="130" t="s">
        <v>4344</v>
      </c>
      <c r="G843" s="550" t="s">
        <v>2089</v>
      </c>
      <c r="I843" s="165">
        <v>43801</v>
      </c>
      <c r="J843" s="551" t="s">
        <v>799</v>
      </c>
      <c r="K843" s="552" t="s">
        <v>73</v>
      </c>
      <c r="L843" s="130" t="s">
        <v>2870</v>
      </c>
    </row>
    <row r="844" spans="1:12" ht="16.5" customHeight="1">
      <c r="A844" s="186" t="s">
        <v>2510</v>
      </c>
      <c r="B844" s="186">
        <v>3709797</v>
      </c>
      <c r="C844" s="549">
        <v>21186</v>
      </c>
      <c r="D844" s="130" t="s">
        <v>3748</v>
      </c>
      <c r="E844" s="130" t="s">
        <v>4345</v>
      </c>
      <c r="F844" s="130" t="s">
        <v>4346</v>
      </c>
      <c r="G844" s="550" t="s">
        <v>2081</v>
      </c>
      <c r="I844" s="165">
        <v>43801</v>
      </c>
      <c r="J844" s="551" t="s">
        <v>799</v>
      </c>
      <c r="K844" s="552" t="s">
        <v>73</v>
      </c>
      <c r="L844" s="130" t="s">
        <v>2870</v>
      </c>
    </row>
    <row r="845" spans="1:12" ht="16.5" customHeight="1">
      <c r="A845" s="186" t="s">
        <v>2510</v>
      </c>
      <c r="B845" s="186">
        <v>5139829</v>
      </c>
      <c r="C845" s="549">
        <v>21073</v>
      </c>
      <c r="D845" s="130" t="s">
        <v>4347</v>
      </c>
      <c r="E845" s="130" t="s">
        <v>4348</v>
      </c>
      <c r="F845" s="130" t="s">
        <v>4349</v>
      </c>
      <c r="G845" s="550" t="s">
        <v>2081</v>
      </c>
      <c r="I845" s="165">
        <v>43801</v>
      </c>
      <c r="J845" s="551" t="s">
        <v>799</v>
      </c>
      <c r="K845" s="552" t="s">
        <v>73</v>
      </c>
      <c r="L845" s="130" t="s">
        <v>2870</v>
      </c>
    </row>
    <row r="846" spans="1:12" ht="16.5" customHeight="1">
      <c r="A846" s="186" t="s">
        <v>2510</v>
      </c>
      <c r="B846" s="186">
        <v>5680525</v>
      </c>
      <c r="C846" s="549">
        <v>12422</v>
      </c>
      <c r="D846" s="130" t="s">
        <v>2551</v>
      </c>
      <c r="E846" s="130" t="s">
        <v>4350</v>
      </c>
      <c r="F846" s="130" t="s">
        <v>4351</v>
      </c>
      <c r="G846" s="550" t="s">
        <v>2046</v>
      </c>
      <c r="I846" s="165">
        <v>43801</v>
      </c>
      <c r="J846" s="551" t="s">
        <v>799</v>
      </c>
      <c r="K846" s="552" t="s">
        <v>73</v>
      </c>
      <c r="L846" s="130" t="s">
        <v>2870</v>
      </c>
    </row>
    <row r="847" spans="1:12" ht="16.5" customHeight="1">
      <c r="A847" s="186" t="s">
        <v>2510</v>
      </c>
      <c r="B847" s="186">
        <v>7925100</v>
      </c>
      <c r="C847" s="549">
        <v>17400</v>
      </c>
      <c r="D847" s="130" t="s">
        <v>3235</v>
      </c>
      <c r="E847" s="130" t="s">
        <v>3006</v>
      </c>
      <c r="F847" s="130" t="s">
        <v>2513</v>
      </c>
      <c r="G847" s="550" t="s">
        <v>2046</v>
      </c>
      <c r="I847" s="165">
        <v>43801</v>
      </c>
      <c r="J847" s="551" t="s">
        <v>799</v>
      </c>
      <c r="K847" s="552" t="s">
        <v>73</v>
      </c>
      <c r="L847" s="130" t="s">
        <v>2870</v>
      </c>
    </row>
    <row r="848" spans="1:12" ht="16.5" customHeight="1">
      <c r="A848" s="186" t="s">
        <v>2510</v>
      </c>
      <c r="B848" s="186">
        <v>8036378</v>
      </c>
      <c r="C848" s="549">
        <v>16862</v>
      </c>
      <c r="D848" s="130" t="s">
        <v>3043</v>
      </c>
      <c r="E848" s="130" t="s">
        <v>4352</v>
      </c>
      <c r="F848" s="130" t="s">
        <v>4312</v>
      </c>
      <c r="G848" s="550" t="s">
        <v>2081</v>
      </c>
      <c r="I848" s="165">
        <v>43801</v>
      </c>
      <c r="J848" s="551" t="s">
        <v>799</v>
      </c>
      <c r="K848" s="552" t="s">
        <v>73</v>
      </c>
      <c r="L848" s="130" t="s">
        <v>2870</v>
      </c>
    </row>
    <row r="849" spans="1:12" ht="16.5" customHeight="1">
      <c r="A849" s="186" t="s">
        <v>2510</v>
      </c>
      <c r="B849" s="186">
        <v>10357762</v>
      </c>
      <c r="C849" s="549">
        <v>20455</v>
      </c>
      <c r="D849" s="130" t="s">
        <v>3101</v>
      </c>
      <c r="E849" s="130" t="s">
        <v>4353</v>
      </c>
      <c r="F849" s="130" t="s">
        <v>4354</v>
      </c>
      <c r="G849" s="550" t="s">
        <v>2081</v>
      </c>
      <c r="I849" s="165">
        <v>43801</v>
      </c>
      <c r="J849" s="551" t="s">
        <v>799</v>
      </c>
      <c r="K849" s="552" t="s">
        <v>73</v>
      </c>
      <c r="L849" s="130" t="s">
        <v>2870</v>
      </c>
    </row>
    <row r="850" spans="1:12" ht="16.5" customHeight="1">
      <c r="A850" s="186" t="s">
        <v>2510</v>
      </c>
      <c r="B850" s="186">
        <v>10627156</v>
      </c>
      <c r="C850" s="549">
        <v>16556</v>
      </c>
      <c r="D850" s="130" t="s">
        <v>2851</v>
      </c>
      <c r="E850" s="130" t="s">
        <v>4355</v>
      </c>
      <c r="F850" s="130" t="s">
        <v>4356</v>
      </c>
      <c r="G850" s="550" t="s">
        <v>2046</v>
      </c>
      <c r="I850" s="165">
        <v>43801</v>
      </c>
      <c r="J850" s="551" t="s">
        <v>799</v>
      </c>
      <c r="K850" s="552" t="s">
        <v>73</v>
      </c>
      <c r="L850" s="130" t="s">
        <v>2870</v>
      </c>
    </row>
    <row r="851" spans="1:12" ht="16.5" customHeight="1">
      <c r="A851" s="186" t="s">
        <v>2510</v>
      </c>
      <c r="B851" s="186">
        <v>15699267</v>
      </c>
      <c r="C851" s="549">
        <v>18766</v>
      </c>
      <c r="D851" s="130" t="s">
        <v>4357</v>
      </c>
      <c r="E851" s="130" t="s">
        <v>4358</v>
      </c>
      <c r="F851" s="130" t="s">
        <v>4359</v>
      </c>
      <c r="G851" s="550" t="s">
        <v>2046</v>
      </c>
      <c r="I851" s="165">
        <v>43801</v>
      </c>
      <c r="J851" s="551" t="s">
        <v>799</v>
      </c>
      <c r="K851" s="552" t="s">
        <v>73</v>
      </c>
      <c r="L851" s="130" t="s">
        <v>2870</v>
      </c>
    </row>
    <row r="852" spans="1:12" ht="16.5" customHeight="1">
      <c r="A852" s="186" t="s">
        <v>2510</v>
      </c>
      <c r="B852" s="186">
        <v>16916033</v>
      </c>
      <c r="C852" s="549">
        <v>18264</v>
      </c>
      <c r="D852" s="130" t="s">
        <v>3131</v>
      </c>
      <c r="E852" s="130" t="s">
        <v>4360</v>
      </c>
      <c r="F852" s="130" t="s">
        <v>3262</v>
      </c>
      <c r="G852" s="550" t="s">
        <v>2081</v>
      </c>
      <c r="I852" s="165">
        <v>43801</v>
      </c>
      <c r="J852" s="551" t="s">
        <v>799</v>
      </c>
      <c r="K852" s="552" t="s">
        <v>73</v>
      </c>
      <c r="L852" s="130" t="s">
        <v>2870</v>
      </c>
    </row>
    <row r="853" spans="1:12" ht="16.5" customHeight="1">
      <c r="A853" s="186" t="s">
        <v>2510</v>
      </c>
      <c r="B853" s="186">
        <v>17558164</v>
      </c>
      <c r="C853" s="549">
        <v>12359</v>
      </c>
      <c r="D853" s="130" t="s">
        <v>3162</v>
      </c>
      <c r="E853" s="130" t="s">
        <v>4361</v>
      </c>
      <c r="F853" s="130" t="s">
        <v>4362</v>
      </c>
      <c r="G853" s="550" t="s">
        <v>2081</v>
      </c>
      <c r="I853" s="165">
        <v>43801</v>
      </c>
      <c r="J853" s="551" t="s">
        <v>799</v>
      </c>
      <c r="K853" s="552" t="s">
        <v>73</v>
      </c>
      <c r="L853" s="130" t="s">
        <v>2870</v>
      </c>
    </row>
    <row r="854" spans="1:12" ht="16.5" customHeight="1">
      <c r="A854" s="186" t="s">
        <v>2510</v>
      </c>
      <c r="B854" s="186">
        <v>17815168</v>
      </c>
      <c r="C854" s="549">
        <v>15662</v>
      </c>
      <c r="D854" s="130" t="s">
        <v>4363</v>
      </c>
      <c r="E854" s="130" t="s">
        <v>2936</v>
      </c>
      <c r="F854" s="130" t="s">
        <v>4364</v>
      </c>
      <c r="G854" s="550" t="s">
        <v>2046</v>
      </c>
      <c r="I854" s="165">
        <v>43801</v>
      </c>
      <c r="J854" s="551" t="s">
        <v>799</v>
      </c>
      <c r="K854" s="552" t="s">
        <v>73</v>
      </c>
      <c r="L854" s="130" t="s">
        <v>2870</v>
      </c>
    </row>
    <row r="855" spans="1:12" ht="16.5" customHeight="1">
      <c r="A855" s="186" t="s">
        <v>2510</v>
      </c>
      <c r="B855" s="186">
        <v>18472969</v>
      </c>
      <c r="C855" s="549">
        <v>19360</v>
      </c>
      <c r="D855" s="130" t="s">
        <v>4365</v>
      </c>
      <c r="E855" s="130" t="s">
        <v>4366</v>
      </c>
      <c r="F855" s="130" t="s">
        <v>3060</v>
      </c>
      <c r="G855" s="550" t="s">
        <v>2055</v>
      </c>
      <c r="I855" s="165">
        <v>43801</v>
      </c>
      <c r="J855" s="551" t="s">
        <v>799</v>
      </c>
      <c r="K855" s="552" t="s">
        <v>73</v>
      </c>
      <c r="L855" s="130" t="s">
        <v>2870</v>
      </c>
    </row>
    <row r="856" spans="1:12" ht="16.5" customHeight="1">
      <c r="A856" s="186" t="s">
        <v>2510</v>
      </c>
      <c r="B856" s="186">
        <v>18911826</v>
      </c>
      <c r="C856" s="549">
        <v>21306</v>
      </c>
      <c r="D856" s="130" t="s">
        <v>2687</v>
      </c>
      <c r="E856" s="130" t="s">
        <v>4367</v>
      </c>
      <c r="F856" s="130" t="s">
        <v>4359</v>
      </c>
      <c r="G856" s="550" t="s">
        <v>2046</v>
      </c>
      <c r="I856" s="165">
        <v>43801</v>
      </c>
      <c r="J856" s="551" t="s">
        <v>799</v>
      </c>
      <c r="K856" s="552" t="s">
        <v>73</v>
      </c>
      <c r="L856" s="130" t="s">
        <v>2870</v>
      </c>
    </row>
    <row r="857" spans="1:12" ht="16.5" customHeight="1">
      <c r="A857" s="186" t="s">
        <v>2510</v>
      </c>
      <c r="B857" s="186">
        <v>19401132</v>
      </c>
      <c r="C857" s="549">
        <v>19694</v>
      </c>
      <c r="D857" s="130" t="s">
        <v>3480</v>
      </c>
      <c r="E857" s="130" t="s">
        <v>4368</v>
      </c>
      <c r="F857" s="130" t="s">
        <v>4369</v>
      </c>
      <c r="G857" s="550" t="s">
        <v>2089</v>
      </c>
      <c r="I857" s="165">
        <v>43801</v>
      </c>
      <c r="J857" s="551" t="s">
        <v>799</v>
      </c>
      <c r="K857" s="552" t="s">
        <v>73</v>
      </c>
      <c r="L857" s="130" t="s">
        <v>2870</v>
      </c>
    </row>
    <row r="858" spans="1:12" ht="16.5" customHeight="1">
      <c r="A858" s="186" t="s">
        <v>2510</v>
      </c>
      <c r="B858" s="186">
        <v>20507729</v>
      </c>
      <c r="C858" s="549">
        <v>10410</v>
      </c>
      <c r="D858" s="130" t="s">
        <v>3220</v>
      </c>
      <c r="E858" s="130" t="s">
        <v>3870</v>
      </c>
      <c r="F858" s="130" t="s">
        <v>4370</v>
      </c>
      <c r="G858" s="550" t="s">
        <v>2089</v>
      </c>
      <c r="I858" s="165">
        <v>43801</v>
      </c>
      <c r="J858" s="551" t="s">
        <v>799</v>
      </c>
      <c r="K858" s="552" t="s">
        <v>73</v>
      </c>
      <c r="L858" s="130" t="s">
        <v>2870</v>
      </c>
    </row>
    <row r="859" spans="1:12" ht="16.5" customHeight="1">
      <c r="A859" s="186" t="s">
        <v>2510</v>
      </c>
      <c r="B859" s="186">
        <v>20543468</v>
      </c>
      <c r="C859" s="549">
        <v>17107</v>
      </c>
      <c r="D859" s="130" t="s">
        <v>3825</v>
      </c>
      <c r="E859" s="130" t="s">
        <v>4371</v>
      </c>
      <c r="F859" s="130" t="s">
        <v>2564</v>
      </c>
      <c r="G859" s="550" t="s">
        <v>2089</v>
      </c>
      <c r="I859" s="165">
        <v>43801</v>
      </c>
      <c r="J859" s="551" t="s">
        <v>799</v>
      </c>
      <c r="K859" s="552" t="s">
        <v>73</v>
      </c>
      <c r="L859" s="130" t="s">
        <v>2870</v>
      </c>
    </row>
    <row r="860" spans="1:12" ht="16.5" customHeight="1">
      <c r="A860" s="186" t="s">
        <v>2510</v>
      </c>
      <c r="B860" s="186">
        <v>21345939</v>
      </c>
      <c r="C860" s="549">
        <v>20703</v>
      </c>
      <c r="D860" s="130" t="s">
        <v>4372</v>
      </c>
      <c r="E860" s="130" t="s">
        <v>2661</v>
      </c>
      <c r="F860" s="130" t="s">
        <v>4212</v>
      </c>
      <c r="G860" s="550" t="s">
        <v>2046</v>
      </c>
      <c r="I860" s="165">
        <v>43801</v>
      </c>
      <c r="J860" s="551" t="s">
        <v>799</v>
      </c>
      <c r="K860" s="552" t="s">
        <v>73</v>
      </c>
      <c r="L860" s="130" t="s">
        <v>2870</v>
      </c>
    </row>
    <row r="861" spans="1:12" ht="16.5" customHeight="1">
      <c r="A861" s="186" t="s">
        <v>2510</v>
      </c>
      <c r="B861" s="186">
        <v>21609425</v>
      </c>
      <c r="C861" s="549">
        <v>13318</v>
      </c>
      <c r="D861" s="130" t="s">
        <v>4373</v>
      </c>
      <c r="E861" s="130" t="s">
        <v>4374</v>
      </c>
      <c r="F861" s="130" t="s">
        <v>4375</v>
      </c>
      <c r="G861" s="550" t="s">
        <v>2046</v>
      </c>
      <c r="I861" s="165">
        <v>43801</v>
      </c>
      <c r="J861" s="551" t="s">
        <v>799</v>
      </c>
      <c r="K861" s="552" t="s">
        <v>73</v>
      </c>
      <c r="L861" s="130" t="s">
        <v>2870</v>
      </c>
    </row>
    <row r="862" spans="1:12" ht="16.5" customHeight="1">
      <c r="A862" s="186" t="s">
        <v>2510</v>
      </c>
      <c r="B862" s="186">
        <v>23018203</v>
      </c>
      <c r="C862" s="549">
        <v>11780</v>
      </c>
      <c r="D862" s="130" t="s">
        <v>4376</v>
      </c>
      <c r="E862" s="130" t="s">
        <v>4377</v>
      </c>
      <c r="F862" s="130" t="s">
        <v>2797</v>
      </c>
      <c r="G862" s="550" t="s">
        <v>2081</v>
      </c>
      <c r="I862" s="165">
        <v>43801</v>
      </c>
      <c r="J862" s="551" t="s">
        <v>799</v>
      </c>
      <c r="K862" s="552" t="s">
        <v>73</v>
      </c>
      <c r="L862" s="130" t="s">
        <v>2870</v>
      </c>
    </row>
    <row r="863" spans="1:12" ht="16.5" customHeight="1">
      <c r="A863" s="186" t="s">
        <v>2510</v>
      </c>
      <c r="B863" s="186">
        <v>23131675</v>
      </c>
      <c r="C863" s="549">
        <v>18537</v>
      </c>
      <c r="D863" s="130" t="s">
        <v>4378</v>
      </c>
      <c r="E863" s="130" t="s">
        <v>4379</v>
      </c>
      <c r="F863" s="130" t="s">
        <v>3109</v>
      </c>
      <c r="G863" s="550" t="s">
        <v>2081</v>
      </c>
      <c r="I863" s="165">
        <v>43801</v>
      </c>
      <c r="J863" s="551" t="s">
        <v>799</v>
      </c>
      <c r="K863" s="552" t="s">
        <v>73</v>
      </c>
      <c r="L863" s="130" t="s">
        <v>2870</v>
      </c>
    </row>
    <row r="864" spans="1:12" ht="16.5" customHeight="1">
      <c r="A864" s="186" t="s">
        <v>2510</v>
      </c>
      <c r="B864" s="186">
        <v>23259583</v>
      </c>
      <c r="C864" s="549">
        <v>7543</v>
      </c>
      <c r="D864" s="130" t="s">
        <v>2609</v>
      </c>
      <c r="E864" s="130" t="s">
        <v>4380</v>
      </c>
      <c r="F864" s="130" t="s">
        <v>4233</v>
      </c>
      <c r="G864" s="550" t="s">
        <v>2081</v>
      </c>
      <c r="I864" s="165">
        <v>43801</v>
      </c>
      <c r="J864" s="551" t="s">
        <v>799</v>
      </c>
      <c r="K864" s="552" t="s">
        <v>73</v>
      </c>
      <c r="L864" s="130" t="s">
        <v>2870</v>
      </c>
    </row>
    <row r="865" spans="1:12" ht="16.5" customHeight="1">
      <c r="A865" s="186" t="s">
        <v>2510</v>
      </c>
      <c r="B865" s="186">
        <v>24579989</v>
      </c>
      <c r="C865" s="549">
        <v>20821</v>
      </c>
      <c r="D865" s="130" t="s">
        <v>3230</v>
      </c>
      <c r="E865" s="130" t="s">
        <v>4381</v>
      </c>
      <c r="F865" s="130" t="s">
        <v>2564</v>
      </c>
      <c r="G865" s="550" t="s">
        <v>2089</v>
      </c>
      <c r="I865" s="165">
        <v>43801</v>
      </c>
      <c r="J865" s="551" t="s">
        <v>799</v>
      </c>
      <c r="K865" s="552" t="s">
        <v>73</v>
      </c>
      <c r="L865" s="130" t="s">
        <v>2870</v>
      </c>
    </row>
    <row r="866" spans="1:12" ht="16.5" customHeight="1">
      <c r="A866" s="186" t="s">
        <v>2510</v>
      </c>
      <c r="B866" s="186">
        <v>25199423</v>
      </c>
      <c r="C866" s="549">
        <v>12573</v>
      </c>
      <c r="D866" s="130" t="s">
        <v>4382</v>
      </c>
      <c r="E866" s="130" t="s">
        <v>4383</v>
      </c>
      <c r="F866" s="130" t="s">
        <v>4384</v>
      </c>
      <c r="G866" s="550" t="s">
        <v>2081</v>
      </c>
      <c r="I866" s="165">
        <v>43801</v>
      </c>
      <c r="J866" s="551" t="s">
        <v>799</v>
      </c>
      <c r="K866" s="552" t="s">
        <v>73</v>
      </c>
      <c r="L866" s="130" t="s">
        <v>2870</v>
      </c>
    </row>
    <row r="867" spans="1:12" ht="16.5" customHeight="1">
      <c r="A867" s="186" t="s">
        <v>2510</v>
      </c>
      <c r="B867" s="186">
        <v>28115731</v>
      </c>
      <c r="C867" s="549">
        <v>19957</v>
      </c>
      <c r="D867" s="130" t="s">
        <v>4385</v>
      </c>
      <c r="E867" s="130" t="s">
        <v>4386</v>
      </c>
      <c r="F867" s="130" t="s">
        <v>4387</v>
      </c>
      <c r="G867" s="550" t="s">
        <v>2526</v>
      </c>
      <c r="I867" s="165">
        <v>43801</v>
      </c>
      <c r="J867" s="551" t="s">
        <v>799</v>
      </c>
      <c r="K867" s="552" t="s">
        <v>73</v>
      </c>
      <c r="L867" s="130" t="s">
        <v>2870</v>
      </c>
    </row>
    <row r="868" spans="1:12" ht="16.5" customHeight="1">
      <c r="A868" s="186" t="s">
        <v>2510</v>
      </c>
      <c r="B868" s="186">
        <v>28327146</v>
      </c>
      <c r="C868" s="549">
        <v>15888</v>
      </c>
      <c r="D868" s="130" t="s">
        <v>3632</v>
      </c>
      <c r="E868" s="130" t="s">
        <v>4388</v>
      </c>
      <c r="F868" s="130" t="s">
        <v>3973</v>
      </c>
      <c r="G868" s="550" t="s">
        <v>2081</v>
      </c>
      <c r="I868" s="165">
        <v>43801</v>
      </c>
      <c r="J868" s="551" t="s">
        <v>799</v>
      </c>
      <c r="K868" s="552" t="s">
        <v>73</v>
      </c>
      <c r="L868" s="130" t="s">
        <v>2870</v>
      </c>
    </row>
    <row r="869" spans="1:12" ht="16.5" customHeight="1">
      <c r="A869" s="186" t="s">
        <v>2510</v>
      </c>
      <c r="B869" s="186">
        <v>28513539</v>
      </c>
      <c r="C869" s="549">
        <v>12637</v>
      </c>
      <c r="D869" s="130" t="s">
        <v>2697</v>
      </c>
      <c r="E869" s="130" t="s">
        <v>4389</v>
      </c>
      <c r="F869" s="130" t="s">
        <v>2534</v>
      </c>
      <c r="G869" s="550" t="s">
        <v>2081</v>
      </c>
      <c r="I869" s="165">
        <v>43801</v>
      </c>
      <c r="J869" s="551" t="s">
        <v>799</v>
      </c>
      <c r="K869" s="552" t="s">
        <v>73</v>
      </c>
      <c r="L869" s="130" t="s">
        <v>2870</v>
      </c>
    </row>
    <row r="870" spans="1:12" ht="16.5" customHeight="1">
      <c r="A870" s="186" t="s">
        <v>2510</v>
      </c>
      <c r="B870" s="186">
        <v>29409984</v>
      </c>
      <c r="C870" s="549">
        <v>13427</v>
      </c>
      <c r="D870" s="130" t="s">
        <v>3103</v>
      </c>
      <c r="E870" s="130" t="s">
        <v>3216</v>
      </c>
      <c r="F870" s="130" t="s">
        <v>4390</v>
      </c>
      <c r="G870" s="550" t="s">
        <v>2046</v>
      </c>
      <c r="I870" s="165">
        <v>43801</v>
      </c>
      <c r="J870" s="551" t="s">
        <v>799</v>
      </c>
      <c r="K870" s="552" t="s">
        <v>73</v>
      </c>
      <c r="L870" s="130" t="s">
        <v>2870</v>
      </c>
    </row>
    <row r="871" spans="1:12" ht="16.5" customHeight="1">
      <c r="A871" s="186" t="s">
        <v>2510</v>
      </c>
      <c r="B871" s="186">
        <v>29634227</v>
      </c>
      <c r="C871" s="549">
        <v>19990</v>
      </c>
      <c r="D871" s="130" t="s">
        <v>4391</v>
      </c>
      <c r="E871" s="130" t="s">
        <v>4392</v>
      </c>
      <c r="F871" s="130" t="s">
        <v>4344</v>
      </c>
      <c r="G871" s="550" t="s">
        <v>2089</v>
      </c>
      <c r="I871" s="165">
        <v>43801</v>
      </c>
      <c r="J871" s="551" t="s">
        <v>799</v>
      </c>
      <c r="K871" s="552" t="s">
        <v>73</v>
      </c>
      <c r="L871" s="130" t="s">
        <v>2870</v>
      </c>
    </row>
    <row r="872" spans="1:12" ht="16.5" customHeight="1">
      <c r="A872" s="186" t="s">
        <v>2510</v>
      </c>
      <c r="B872" s="186">
        <v>30052443</v>
      </c>
      <c r="C872" s="549">
        <v>17064</v>
      </c>
      <c r="D872" s="130" t="s">
        <v>3317</v>
      </c>
      <c r="E872" s="130" t="s">
        <v>3040</v>
      </c>
      <c r="F872" s="130" t="s">
        <v>4393</v>
      </c>
      <c r="G872" s="550" t="s">
        <v>2081</v>
      </c>
      <c r="I872" s="165">
        <v>43801</v>
      </c>
      <c r="J872" s="551" t="s">
        <v>799</v>
      </c>
      <c r="K872" s="552" t="s">
        <v>73</v>
      </c>
      <c r="L872" s="130" t="s">
        <v>2870</v>
      </c>
    </row>
    <row r="873" spans="1:12" ht="16.5" customHeight="1">
      <c r="A873" s="186" t="s">
        <v>2510</v>
      </c>
      <c r="B873" s="186">
        <v>30171011</v>
      </c>
      <c r="C873" s="549">
        <v>15757</v>
      </c>
      <c r="D873" s="130" t="s">
        <v>4394</v>
      </c>
      <c r="E873" s="130" t="s">
        <v>4395</v>
      </c>
      <c r="F873" s="130" t="s">
        <v>4396</v>
      </c>
      <c r="G873" s="550" t="s">
        <v>2089</v>
      </c>
      <c r="I873" s="165">
        <v>43801</v>
      </c>
      <c r="J873" s="551" t="s">
        <v>799</v>
      </c>
      <c r="K873" s="552" t="s">
        <v>73</v>
      </c>
      <c r="L873" s="130" t="s">
        <v>2870</v>
      </c>
    </row>
    <row r="874" spans="1:12" ht="16.5" customHeight="1">
      <c r="A874" s="186" t="s">
        <v>2510</v>
      </c>
      <c r="B874" s="186">
        <v>30781116</v>
      </c>
      <c r="C874" s="549">
        <v>15707</v>
      </c>
      <c r="D874" s="130" t="s">
        <v>3317</v>
      </c>
      <c r="E874" s="130" t="s">
        <v>4397</v>
      </c>
      <c r="F874" s="130" t="s">
        <v>3118</v>
      </c>
      <c r="G874" s="550" t="s">
        <v>2274</v>
      </c>
      <c r="I874" s="165">
        <v>43801</v>
      </c>
      <c r="J874" s="551" t="s">
        <v>799</v>
      </c>
      <c r="K874" s="552" t="s">
        <v>73</v>
      </c>
      <c r="L874" s="130" t="s">
        <v>2870</v>
      </c>
    </row>
    <row r="875" spans="1:12" ht="16.5" customHeight="1">
      <c r="A875" s="186" t="s">
        <v>2510</v>
      </c>
      <c r="B875" s="186">
        <v>33301961</v>
      </c>
      <c r="C875" s="549">
        <v>21306</v>
      </c>
      <c r="D875" s="130" t="s">
        <v>3400</v>
      </c>
      <c r="E875" s="130" t="s">
        <v>4398</v>
      </c>
      <c r="F875" s="130" t="s">
        <v>2564</v>
      </c>
      <c r="G875" s="550" t="s">
        <v>2089</v>
      </c>
      <c r="I875" s="165">
        <v>43801</v>
      </c>
      <c r="J875" s="551" t="s">
        <v>799</v>
      </c>
      <c r="K875" s="552" t="s">
        <v>73</v>
      </c>
      <c r="L875" s="130" t="s">
        <v>2870</v>
      </c>
    </row>
    <row r="876" spans="1:12" ht="16.5" customHeight="1">
      <c r="A876" s="186" t="s">
        <v>2510</v>
      </c>
      <c r="B876" s="186">
        <v>33633637</v>
      </c>
      <c r="C876" s="549">
        <v>15888</v>
      </c>
      <c r="D876" s="130" t="s">
        <v>2733</v>
      </c>
      <c r="E876" s="130" t="s">
        <v>4399</v>
      </c>
      <c r="F876" s="130" t="s">
        <v>4400</v>
      </c>
      <c r="G876" s="550" t="s">
        <v>2081</v>
      </c>
      <c r="I876" s="165">
        <v>43801</v>
      </c>
      <c r="J876" s="551" t="s">
        <v>799</v>
      </c>
      <c r="K876" s="552" t="s">
        <v>73</v>
      </c>
      <c r="L876" s="130" t="s">
        <v>2870</v>
      </c>
    </row>
    <row r="877" spans="1:12" ht="16.5" customHeight="1">
      <c r="A877" s="186" t="s">
        <v>2510</v>
      </c>
      <c r="B877" s="186">
        <v>33657552</v>
      </c>
      <c r="C877" s="549">
        <v>20352</v>
      </c>
      <c r="D877" s="130" t="s">
        <v>2660</v>
      </c>
      <c r="E877" s="130" t="s">
        <v>4401</v>
      </c>
      <c r="F877" s="130" t="s">
        <v>4402</v>
      </c>
      <c r="G877" s="550" t="s">
        <v>2046</v>
      </c>
      <c r="I877" s="165">
        <v>43801</v>
      </c>
      <c r="J877" s="551" t="s">
        <v>799</v>
      </c>
      <c r="K877" s="552" t="s">
        <v>73</v>
      </c>
      <c r="L877" s="130" t="s">
        <v>2870</v>
      </c>
    </row>
    <row r="878" spans="1:12" ht="16.5" customHeight="1">
      <c r="A878" s="186" t="s">
        <v>2510</v>
      </c>
      <c r="B878" s="186">
        <v>33982778</v>
      </c>
      <c r="C878" s="549">
        <v>13463</v>
      </c>
      <c r="D878" s="130" t="s">
        <v>4403</v>
      </c>
      <c r="E878" s="130" t="s">
        <v>4404</v>
      </c>
      <c r="F878" s="130" t="s">
        <v>4405</v>
      </c>
      <c r="G878" s="550" t="s">
        <v>2046</v>
      </c>
      <c r="I878" s="165">
        <v>43801</v>
      </c>
      <c r="J878" s="551" t="s">
        <v>799</v>
      </c>
      <c r="K878" s="552" t="s">
        <v>73</v>
      </c>
      <c r="L878" s="130" t="s">
        <v>2870</v>
      </c>
    </row>
    <row r="879" spans="1:12" ht="16.5" customHeight="1">
      <c r="A879" s="186" t="s">
        <v>2510</v>
      </c>
      <c r="B879" s="186">
        <v>35555572</v>
      </c>
      <c r="C879" s="549">
        <v>19182</v>
      </c>
      <c r="D879" s="130" t="s">
        <v>2851</v>
      </c>
      <c r="E879" s="130" t="s">
        <v>4406</v>
      </c>
      <c r="F879" s="130" t="s">
        <v>2534</v>
      </c>
      <c r="G879" s="550" t="s">
        <v>2081</v>
      </c>
      <c r="I879" s="165">
        <v>43801</v>
      </c>
      <c r="J879" s="551" t="s">
        <v>799</v>
      </c>
      <c r="K879" s="552" t="s">
        <v>73</v>
      </c>
      <c r="L879" s="130" t="s">
        <v>2870</v>
      </c>
    </row>
    <row r="880" spans="1:12" ht="16.5" customHeight="1">
      <c r="A880" s="186" t="s">
        <v>2510</v>
      </c>
      <c r="B880" s="186">
        <v>35885110</v>
      </c>
      <c r="C880" s="549">
        <v>14242</v>
      </c>
      <c r="D880" s="130" t="s">
        <v>3299</v>
      </c>
      <c r="E880" s="130" t="s">
        <v>2962</v>
      </c>
      <c r="F880" s="130" t="s">
        <v>2717</v>
      </c>
      <c r="G880" s="550" t="s">
        <v>2089</v>
      </c>
      <c r="I880" s="165">
        <v>43801</v>
      </c>
      <c r="J880" s="551" t="s">
        <v>799</v>
      </c>
      <c r="K880" s="552" t="s">
        <v>73</v>
      </c>
      <c r="L880" s="130" t="s">
        <v>2870</v>
      </c>
    </row>
    <row r="881" spans="1:12" ht="16.5" customHeight="1">
      <c r="A881" s="186" t="s">
        <v>2510</v>
      </c>
      <c r="B881" s="186">
        <v>36518371</v>
      </c>
      <c r="C881" s="549">
        <v>21474</v>
      </c>
      <c r="D881" s="130" t="s">
        <v>4407</v>
      </c>
      <c r="E881" s="130" t="s">
        <v>4408</v>
      </c>
      <c r="F881" s="130" t="s">
        <v>4409</v>
      </c>
      <c r="G881" s="550" t="s">
        <v>2081</v>
      </c>
      <c r="I881" s="165">
        <v>43801</v>
      </c>
      <c r="J881" s="551" t="s">
        <v>799</v>
      </c>
      <c r="K881" s="552" t="s">
        <v>73</v>
      </c>
      <c r="L881" s="130" t="s">
        <v>2870</v>
      </c>
    </row>
    <row r="882" spans="1:12" ht="16.5" customHeight="1">
      <c r="A882" s="186" t="s">
        <v>2510</v>
      </c>
      <c r="B882" s="186">
        <v>36959898</v>
      </c>
      <c r="C882" s="549">
        <v>21002</v>
      </c>
      <c r="D882" s="130" t="s">
        <v>2733</v>
      </c>
      <c r="E882" s="130" t="s">
        <v>4410</v>
      </c>
      <c r="F882" s="130" t="s">
        <v>2534</v>
      </c>
      <c r="G882" s="550" t="s">
        <v>2081</v>
      </c>
      <c r="I882" s="165">
        <v>43801</v>
      </c>
      <c r="J882" s="551" t="s">
        <v>799</v>
      </c>
      <c r="K882" s="552" t="s">
        <v>73</v>
      </c>
      <c r="L882" s="130" t="s">
        <v>2870</v>
      </c>
    </row>
    <row r="883" spans="1:12" ht="16.5" customHeight="1">
      <c r="A883" s="186" t="s">
        <v>2510</v>
      </c>
      <c r="B883" s="186">
        <v>37344074</v>
      </c>
      <c r="C883" s="549">
        <v>19010</v>
      </c>
      <c r="D883" s="130" t="s">
        <v>3101</v>
      </c>
      <c r="E883" s="130" t="s">
        <v>4411</v>
      </c>
      <c r="F883" s="130" t="s">
        <v>2525</v>
      </c>
      <c r="G883" s="550" t="s">
        <v>2526</v>
      </c>
      <c r="I883" s="165">
        <v>43801</v>
      </c>
      <c r="J883" s="551" t="s">
        <v>799</v>
      </c>
      <c r="K883" s="552" t="s">
        <v>73</v>
      </c>
      <c r="L883" s="130" t="s">
        <v>2870</v>
      </c>
    </row>
    <row r="884" spans="1:12" ht="16.5" customHeight="1">
      <c r="A884" s="186" t="s">
        <v>2510</v>
      </c>
      <c r="B884" s="186">
        <v>37875648</v>
      </c>
      <c r="C884" s="549">
        <v>16163</v>
      </c>
      <c r="D884" s="130" t="s">
        <v>3223</v>
      </c>
      <c r="E884" s="130" t="s">
        <v>4412</v>
      </c>
      <c r="F884" s="130" t="s">
        <v>4413</v>
      </c>
      <c r="G884" s="550" t="s">
        <v>2081</v>
      </c>
      <c r="I884" s="165">
        <v>43801</v>
      </c>
      <c r="J884" s="551" t="s">
        <v>799</v>
      </c>
      <c r="K884" s="552" t="s">
        <v>73</v>
      </c>
      <c r="L884" s="130" t="s">
        <v>2870</v>
      </c>
    </row>
    <row r="885" spans="1:12" ht="16.5" customHeight="1">
      <c r="A885" s="186" t="s">
        <v>2510</v>
      </c>
      <c r="B885" s="186">
        <v>37898293</v>
      </c>
      <c r="C885" s="549">
        <v>16148</v>
      </c>
      <c r="D885" s="130" t="s">
        <v>4414</v>
      </c>
      <c r="E885" s="130" t="s">
        <v>4415</v>
      </c>
      <c r="F885" s="130" t="s">
        <v>4416</v>
      </c>
      <c r="G885" s="550" t="s">
        <v>2046</v>
      </c>
      <c r="I885" s="165">
        <v>43801</v>
      </c>
      <c r="J885" s="551" t="s">
        <v>799</v>
      </c>
      <c r="K885" s="552" t="s">
        <v>73</v>
      </c>
      <c r="L885" s="130" t="s">
        <v>2870</v>
      </c>
    </row>
    <row r="886" spans="1:12" ht="16.5" customHeight="1">
      <c r="A886" s="186" t="s">
        <v>2510</v>
      </c>
      <c r="B886" s="186">
        <v>37930609</v>
      </c>
      <c r="C886" s="549">
        <v>19360</v>
      </c>
      <c r="D886" s="130" t="s">
        <v>2903</v>
      </c>
      <c r="E886" s="130" t="s">
        <v>4417</v>
      </c>
      <c r="F886" s="130" t="s">
        <v>4248</v>
      </c>
      <c r="G886" s="550" t="s">
        <v>2081</v>
      </c>
      <c r="I886" s="165">
        <v>43801</v>
      </c>
      <c r="J886" s="551" t="s">
        <v>799</v>
      </c>
      <c r="K886" s="552" t="s">
        <v>73</v>
      </c>
      <c r="L886" s="130" t="s">
        <v>2870</v>
      </c>
    </row>
    <row r="887" spans="1:12" ht="16.5" customHeight="1">
      <c r="A887" s="186" t="s">
        <v>2510</v>
      </c>
      <c r="B887" s="186">
        <v>38294682</v>
      </c>
      <c r="C887" s="549">
        <v>14977</v>
      </c>
      <c r="D887" s="130" t="s">
        <v>2989</v>
      </c>
      <c r="E887" s="130" t="s">
        <v>4418</v>
      </c>
      <c r="F887" s="130" t="s">
        <v>4419</v>
      </c>
      <c r="G887" s="550" t="s">
        <v>2081</v>
      </c>
      <c r="I887" s="165">
        <v>43801</v>
      </c>
      <c r="J887" s="551" t="s">
        <v>799</v>
      </c>
      <c r="K887" s="552" t="s">
        <v>73</v>
      </c>
      <c r="L887" s="130" t="s">
        <v>2870</v>
      </c>
    </row>
    <row r="888" spans="1:12" ht="16.5" customHeight="1">
      <c r="A888" s="186" t="s">
        <v>2510</v>
      </c>
      <c r="B888" s="186">
        <v>39061551</v>
      </c>
      <c r="C888" s="549">
        <v>15100</v>
      </c>
      <c r="D888" s="130" t="s">
        <v>3179</v>
      </c>
      <c r="E888" s="130" t="s">
        <v>2768</v>
      </c>
      <c r="F888" s="130" t="s">
        <v>4420</v>
      </c>
      <c r="G888" s="550" t="s">
        <v>2089</v>
      </c>
      <c r="I888" s="165">
        <v>43801</v>
      </c>
      <c r="J888" s="551" t="s">
        <v>799</v>
      </c>
      <c r="K888" s="552" t="s">
        <v>73</v>
      </c>
      <c r="L888" s="130" t="s">
        <v>2870</v>
      </c>
    </row>
    <row r="889" spans="1:12" ht="16.5" customHeight="1">
      <c r="A889" s="186" t="s">
        <v>2510</v>
      </c>
      <c r="B889" s="186">
        <v>39613765</v>
      </c>
      <c r="C889" s="549">
        <v>12695</v>
      </c>
      <c r="D889" s="130" t="s">
        <v>2541</v>
      </c>
      <c r="E889" s="130" t="s">
        <v>4421</v>
      </c>
      <c r="F889" s="130" t="s">
        <v>4422</v>
      </c>
      <c r="G889" s="550" t="s">
        <v>2081</v>
      </c>
      <c r="I889" s="165">
        <v>43801</v>
      </c>
      <c r="J889" s="551" t="s">
        <v>799</v>
      </c>
      <c r="K889" s="552" t="s">
        <v>73</v>
      </c>
      <c r="L889" s="130" t="s">
        <v>2870</v>
      </c>
    </row>
    <row r="890" spans="1:12" ht="16.5" customHeight="1">
      <c r="A890" s="186" t="s">
        <v>2510</v>
      </c>
      <c r="B890" s="186">
        <v>39767033</v>
      </c>
      <c r="C890" s="549">
        <v>19878</v>
      </c>
      <c r="D890" s="130" t="s">
        <v>2832</v>
      </c>
      <c r="E890" s="130" t="s">
        <v>4423</v>
      </c>
      <c r="F890" s="130" t="s">
        <v>4424</v>
      </c>
      <c r="G890" s="550" t="s">
        <v>2089</v>
      </c>
      <c r="I890" s="165">
        <v>43801</v>
      </c>
      <c r="J890" s="551" t="s">
        <v>799</v>
      </c>
      <c r="K890" s="552" t="s">
        <v>73</v>
      </c>
      <c r="L890" s="130" t="s">
        <v>2870</v>
      </c>
    </row>
    <row r="891" spans="1:12" ht="16.5" customHeight="1">
      <c r="A891" s="186" t="s">
        <v>2510</v>
      </c>
      <c r="B891" s="186">
        <v>39920087</v>
      </c>
      <c r="C891" s="549">
        <v>19179</v>
      </c>
      <c r="D891" s="130" t="s">
        <v>4425</v>
      </c>
      <c r="E891" s="130" t="s">
        <v>4426</v>
      </c>
      <c r="F891" s="130" t="s">
        <v>4266</v>
      </c>
      <c r="G891" s="550" t="s">
        <v>2046</v>
      </c>
      <c r="I891" s="165">
        <v>43801</v>
      </c>
      <c r="J891" s="551" t="s">
        <v>799</v>
      </c>
      <c r="K891" s="552" t="s">
        <v>73</v>
      </c>
      <c r="L891" s="130" t="s">
        <v>2870</v>
      </c>
    </row>
    <row r="892" spans="1:12" ht="16.5" customHeight="1">
      <c r="A892" s="186" t="s">
        <v>2510</v>
      </c>
      <c r="B892" s="186">
        <v>40414559</v>
      </c>
      <c r="C892" s="549">
        <v>17448</v>
      </c>
      <c r="D892" s="130" t="s">
        <v>3453</v>
      </c>
      <c r="E892" s="130" t="s">
        <v>4427</v>
      </c>
      <c r="F892" s="130" t="s">
        <v>4201</v>
      </c>
      <c r="G892" s="550" t="s">
        <v>2046</v>
      </c>
      <c r="I892" s="165">
        <v>43801</v>
      </c>
      <c r="J892" s="551" t="s">
        <v>799</v>
      </c>
      <c r="K892" s="552" t="s">
        <v>73</v>
      </c>
      <c r="L892" s="130" t="s">
        <v>2870</v>
      </c>
    </row>
    <row r="893" spans="1:12" ht="16.5" customHeight="1">
      <c r="A893" s="186" t="s">
        <v>2510</v>
      </c>
      <c r="B893" s="186">
        <v>40442022</v>
      </c>
      <c r="C893" s="549">
        <v>15595</v>
      </c>
      <c r="D893" s="130" t="s">
        <v>3783</v>
      </c>
      <c r="E893" s="130" t="s">
        <v>3360</v>
      </c>
      <c r="F893" s="130" t="s">
        <v>4428</v>
      </c>
      <c r="G893" s="550" t="s">
        <v>2081</v>
      </c>
      <c r="I893" s="165">
        <v>43801</v>
      </c>
      <c r="J893" s="551" t="s">
        <v>799</v>
      </c>
      <c r="K893" s="552" t="s">
        <v>73</v>
      </c>
      <c r="L893" s="130" t="s">
        <v>2870</v>
      </c>
    </row>
    <row r="894" spans="1:12" ht="16.5" customHeight="1">
      <c r="A894" s="186" t="s">
        <v>2510</v>
      </c>
      <c r="B894" s="186">
        <v>40722464</v>
      </c>
      <c r="C894" s="549">
        <v>14909</v>
      </c>
      <c r="D894" s="130" t="s">
        <v>3101</v>
      </c>
      <c r="E894" s="130" t="s">
        <v>4429</v>
      </c>
      <c r="F894" s="130" t="s">
        <v>4183</v>
      </c>
      <c r="G894" s="550" t="s">
        <v>2089</v>
      </c>
      <c r="I894" s="165">
        <v>43801</v>
      </c>
      <c r="J894" s="551" t="s">
        <v>799</v>
      </c>
      <c r="K894" s="552" t="s">
        <v>73</v>
      </c>
      <c r="L894" s="130" t="s">
        <v>2870</v>
      </c>
    </row>
    <row r="895" spans="1:12" ht="16.5" customHeight="1">
      <c r="A895" s="186" t="s">
        <v>2510</v>
      </c>
      <c r="B895" s="186">
        <v>40760928</v>
      </c>
      <c r="C895" s="549">
        <v>16407</v>
      </c>
      <c r="D895" s="130" t="s">
        <v>2985</v>
      </c>
      <c r="E895" s="130" t="s">
        <v>4430</v>
      </c>
      <c r="F895" s="130" t="s">
        <v>4431</v>
      </c>
      <c r="G895" s="550" t="s">
        <v>2081</v>
      </c>
      <c r="I895" s="165">
        <v>43801</v>
      </c>
      <c r="J895" s="551" t="s">
        <v>799</v>
      </c>
      <c r="K895" s="552" t="s">
        <v>73</v>
      </c>
      <c r="L895" s="130" t="s">
        <v>2870</v>
      </c>
    </row>
    <row r="896" spans="1:12" ht="16.5" customHeight="1">
      <c r="A896" s="186" t="s">
        <v>2510</v>
      </c>
      <c r="B896" s="186">
        <v>40887796</v>
      </c>
      <c r="C896" s="549">
        <v>17015</v>
      </c>
      <c r="D896" s="130" t="s">
        <v>4432</v>
      </c>
      <c r="E896" s="130" t="s">
        <v>4433</v>
      </c>
      <c r="F896" s="130" t="s">
        <v>4434</v>
      </c>
      <c r="G896" s="550" t="s">
        <v>2081</v>
      </c>
      <c r="I896" s="165">
        <v>43801</v>
      </c>
      <c r="J896" s="551" t="s">
        <v>799</v>
      </c>
      <c r="K896" s="552" t="s">
        <v>73</v>
      </c>
      <c r="L896" s="130" t="s">
        <v>2870</v>
      </c>
    </row>
    <row r="897" spans="1:12" ht="16.5" customHeight="1">
      <c r="A897" s="186" t="s">
        <v>2510</v>
      </c>
      <c r="B897" s="186">
        <v>46802773</v>
      </c>
      <c r="C897" s="549">
        <v>21399</v>
      </c>
      <c r="D897" s="130" t="s">
        <v>3293</v>
      </c>
      <c r="E897" s="130" t="s">
        <v>4435</v>
      </c>
      <c r="F897" s="130" t="s">
        <v>4436</v>
      </c>
      <c r="G897" s="550" t="s">
        <v>2299</v>
      </c>
      <c r="I897" s="165">
        <v>43801</v>
      </c>
      <c r="J897" s="551" t="s">
        <v>799</v>
      </c>
      <c r="K897" s="552" t="s">
        <v>73</v>
      </c>
      <c r="L897" s="130" t="s">
        <v>2870</v>
      </c>
    </row>
    <row r="898" spans="1:12" ht="16.5" customHeight="1">
      <c r="A898" s="565" t="s">
        <v>2584</v>
      </c>
      <c r="B898" s="186">
        <v>572537</v>
      </c>
      <c r="C898" s="549">
        <v>12095</v>
      </c>
      <c r="D898" s="130" t="s">
        <v>2882</v>
      </c>
      <c r="E898" s="130" t="s">
        <v>3569</v>
      </c>
      <c r="F898" s="130" t="s">
        <v>2534</v>
      </c>
      <c r="G898" s="550" t="s">
        <v>2081</v>
      </c>
      <c r="I898" s="165">
        <v>43802</v>
      </c>
      <c r="J898" s="551" t="s">
        <v>799</v>
      </c>
      <c r="K898" s="552" t="s">
        <v>2516</v>
      </c>
      <c r="L898" s="130" t="s">
        <v>3042</v>
      </c>
    </row>
    <row r="899" spans="1:12" ht="16.5" customHeight="1">
      <c r="A899" s="565" t="s">
        <v>2584</v>
      </c>
      <c r="B899" s="186">
        <v>2669349</v>
      </c>
      <c r="C899" s="549">
        <v>17473</v>
      </c>
      <c r="D899" s="130" t="s">
        <v>3783</v>
      </c>
      <c r="E899" s="130" t="s">
        <v>4311</v>
      </c>
      <c r="F899" s="130" t="s">
        <v>4312</v>
      </c>
      <c r="G899" s="550" t="s">
        <v>2081</v>
      </c>
      <c r="I899" s="165">
        <v>43802</v>
      </c>
      <c r="J899" s="551" t="s">
        <v>799</v>
      </c>
      <c r="K899" s="552" t="s">
        <v>2516</v>
      </c>
      <c r="L899" s="130" t="s">
        <v>3042</v>
      </c>
    </row>
    <row r="900" spans="1:12" ht="16.5" customHeight="1">
      <c r="A900" s="565" t="s">
        <v>2584</v>
      </c>
      <c r="B900" s="186">
        <v>3542826</v>
      </c>
      <c r="C900" s="549">
        <v>19357</v>
      </c>
      <c r="D900" s="130" t="s">
        <v>2733</v>
      </c>
      <c r="E900" s="130" t="s">
        <v>4341</v>
      </c>
      <c r="F900" s="130" t="s">
        <v>4342</v>
      </c>
      <c r="G900" s="550" t="s">
        <v>2081</v>
      </c>
      <c r="I900" s="165">
        <v>43802</v>
      </c>
      <c r="J900" s="551" t="s">
        <v>799</v>
      </c>
      <c r="K900" s="552" t="s">
        <v>2516</v>
      </c>
      <c r="L900" s="130" t="s">
        <v>3042</v>
      </c>
    </row>
    <row r="901" spans="1:12" ht="16.5" customHeight="1">
      <c r="A901" s="565" t="s">
        <v>2584</v>
      </c>
      <c r="B901" s="186">
        <v>3703659</v>
      </c>
      <c r="C901" s="549">
        <v>24306</v>
      </c>
      <c r="D901" s="130" t="s">
        <v>3290</v>
      </c>
      <c r="E901" s="130" t="s">
        <v>4343</v>
      </c>
      <c r="F901" s="130" t="s">
        <v>4344</v>
      </c>
      <c r="G901" s="550" t="s">
        <v>2089</v>
      </c>
      <c r="I901" s="165">
        <v>43802</v>
      </c>
      <c r="J901" s="551" t="s">
        <v>799</v>
      </c>
      <c r="K901" s="552" t="s">
        <v>2516</v>
      </c>
      <c r="L901" s="130" t="s">
        <v>3042</v>
      </c>
    </row>
    <row r="902" spans="1:12" ht="16.5" customHeight="1">
      <c r="A902" s="565" t="s">
        <v>2584</v>
      </c>
      <c r="B902" s="186">
        <v>3709797</v>
      </c>
      <c r="C902" s="549">
        <v>21186</v>
      </c>
      <c r="D902" s="130" t="s">
        <v>3748</v>
      </c>
      <c r="E902" s="130" t="s">
        <v>4345</v>
      </c>
      <c r="F902" s="130" t="s">
        <v>4346</v>
      </c>
      <c r="G902" s="550" t="s">
        <v>2081</v>
      </c>
      <c r="I902" s="165">
        <v>43802</v>
      </c>
      <c r="J902" s="551" t="s">
        <v>799</v>
      </c>
      <c r="K902" s="552" t="s">
        <v>2516</v>
      </c>
      <c r="L902" s="130" t="s">
        <v>3042</v>
      </c>
    </row>
    <row r="903" spans="1:12" ht="16.5" customHeight="1">
      <c r="A903" s="565" t="s">
        <v>2584</v>
      </c>
      <c r="B903" s="186">
        <v>8036378</v>
      </c>
      <c r="C903" s="549">
        <v>16862</v>
      </c>
      <c r="D903" s="130" t="s">
        <v>3043</v>
      </c>
      <c r="E903" s="130" t="s">
        <v>4352</v>
      </c>
      <c r="F903" s="130" t="s">
        <v>4312</v>
      </c>
      <c r="G903" s="550" t="s">
        <v>2081</v>
      </c>
      <c r="I903" s="165">
        <v>43802</v>
      </c>
      <c r="J903" s="551" t="s">
        <v>799</v>
      </c>
      <c r="K903" s="552" t="s">
        <v>2516</v>
      </c>
      <c r="L903" s="130" t="s">
        <v>3042</v>
      </c>
    </row>
    <row r="904" spans="1:12" ht="16.5" customHeight="1">
      <c r="A904" s="565" t="s">
        <v>2584</v>
      </c>
      <c r="B904" s="186">
        <v>17453804</v>
      </c>
      <c r="C904" s="549">
        <v>17531</v>
      </c>
      <c r="D904" s="130" t="s">
        <v>2523</v>
      </c>
      <c r="E904" s="130" t="s">
        <v>4437</v>
      </c>
      <c r="F904" s="130" t="s">
        <v>4438</v>
      </c>
      <c r="G904" s="550" t="s">
        <v>2089</v>
      </c>
      <c r="I904" s="165">
        <v>43802</v>
      </c>
      <c r="J904" s="551" t="s">
        <v>799</v>
      </c>
      <c r="K904" s="552" t="s">
        <v>2516</v>
      </c>
      <c r="L904" s="130" t="s">
        <v>3042</v>
      </c>
    </row>
    <row r="905" spans="1:12" ht="16.5" customHeight="1">
      <c r="A905" s="565" t="s">
        <v>2584</v>
      </c>
      <c r="B905" s="186">
        <v>19500719</v>
      </c>
      <c r="C905" s="549">
        <v>15657</v>
      </c>
      <c r="D905" s="130" t="s">
        <v>3683</v>
      </c>
      <c r="E905" s="130" t="s">
        <v>3163</v>
      </c>
      <c r="F905" s="130" t="s">
        <v>4439</v>
      </c>
      <c r="G905" s="550" t="s">
        <v>2046</v>
      </c>
      <c r="I905" s="165">
        <v>43802</v>
      </c>
      <c r="J905" s="551" t="s">
        <v>799</v>
      </c>
      <c r="K905" s="552" t="s">
        <v>2516</v>
      </c>
      <c r="L905" s="130" t="s">
        <v>3042</v>
      </c>
    </row>
    <row r="906" spans="1:12" ht="16.5" customHeight="1">
      <c r="A906" s="565" t="s">
        <v>2584</v>
      </c>
      <c r="B906" s="186">
        <v>23259583</v>
      </c>
      <c r="C906" s="549">
        <v>7543</v>
      </c>
      <c r="D906" s="130" t="s">
        <v>2609</v>
      </c>
      <c r="E906" s="130" t="s">
        <v>4380</v>
      </c>
      <c r="F906" s="130" t="s">
        <v>4233</v>
      </c>
      <c r="G906" s="550" t="s">
        <v>2081</v>
      </c>
      <c r="I906" s="165">
        <v>43802</v>
      </c>
      <c r="J906" s="551" t="s">
        <v>799</v>
      </c>
      <c r="K906" s="552" t="s">
        <v>2516</v>
      </c>
      <c r="L906" s="130" t="s">
        <v>3042</v>
      </c>
    </row>
    <row r="907" spans="1:12" ht="16.5" customHeight="1">
      <c r="A907" s="565" t="s">
        <v>2584</v>
      </c>
      <c r="B907" s="186">
        <v>26152819</v>
      </c>
      <c r="C907" s="549">
        <v>17533</v>
      </c>
      <c r="D907" s="130" t="s">
        <v>2898</v>
      </c>
      <c r="E907" s="130" t="s">
        <v>4296</v>
      </c>
      <c r="F907" s="130" t="s">
        <v>4297</v>
      </c>
      <c r="G907" s="550" t="s">
        <v>2526</v>
      </c>
      <c r="I907" s="165">
        <v>43802</v>
      </c>
      <c r="J907" s="551" t="s">
        <v>799</v>
      </c>
      <c r="K907" s="552" t="s">
        <v>2516</v>
      </c>
      <c r="L907" s="130" t="s">
        <v>3042</v>
      </c>
    </row>
    <row r="908" spans="1:12" ht="16.5" customHeight="1">
      <c r="A908" s="565" t="s">
        <v>2584</v>
      </c>
      <c r="B908" s="186">
        <v>28513539</v>
      </c>
      <c r="C908" s="549">
        <v>12637</v>
      </c>
      <c r="D908" s="130" t="s">
        <v>2697</v>
      </c>
      <c r="E908" s="130" t="s">
        <v>4389</v>
      </c>
      <c r="F908" s="130" t="s">
        <v>2534</v>
      </c>
      <c r="G908" s="550" t="s">
        <v>2081</v>
      </c>
      <c r="I908" s="165">
        <v>43802</v>
      </c>
      <c r="J908" s="551" t="s">
        <v>799</v>
      </c>
      <c r="K908" s="552" t="s">
        <v>2516</v>
      </c>
      <c r="L908" s="130" t="s">
        <v>3042</v>
      </c>
    </row>
    <row r="909" spans="1:12" ht="16.5" customHeight="1">
      <c r="A909" s="565" t="s">
        <v>2584</v>
      </c>
      <c r="B909" s="186">
        <v>36959898</v>
      </c>
      <c r="C909" s="549">
        <v>21002</v>
      </c>
      <c r="D909" s="130" t="s">
        <v>2733</v>
      </c>
      <c r="E909" s="130" t="s">
        <v>4410</v>
      </c>
      <c r="F909" s="130" t="s">
        <v>2534</v>
      </c>
      <c r="G909" s="550" t="s">
        <v>2081</v>
      </c>
      <c r="I909" s="165">
        <v>43802</v>
      </c>
      <c r="J909" s="551" t="s">
        <v>799</v>
      </c>
      <c r="K909" s="552" t="s">
        <v>2516</v>
      </c>
      <c r="L909" s="130" t="s">
        <v>3042</v>
      </c>
    </row>
    <row r="910" spans="1:12" ht="16.5" customHeight="1">
      <c r="A910" s="565" t="s">
        <v>2584</v>
      </c>
      <c r="B910" s="186">
        <v>39061551</v>
      </c>
      <c r="C910" s="549">
        <v>15100</v>
      </c>
      <c r="D910" s="130" t="s">
        <v>3179</v>
      </c>
      <c r="E910" s="130" t="s">
        <v>2768</v>
      </c>
      <c r="F910" s="130" t="s">
        <v>4420</v>
      </c>
      <c r="G910" s="550" t="s">
        <v>2089</v>
      </c>
      <c r="I910" s="165">
        <v>43802</v>
      </c>
      <c r="J910" s="551" t="s">
        <v>799</v>
      </c>
      <c r="K910" s="552" t="s">
        <v>2516</v>
      </c>
      <c r="L910" s="130" t="s">
        <v>3042</v>
      </c>
    </row>
    <row r="911" spans="1:12" ht="16.5" customHeight="1">
      <c r="A911" s="571" t="s">
        <v>2510</v>
      </c>
      <c r="B911" s="186">
        <v>6094049</v>
      </c>
      <c r="C911" s="549">
        <v>17112</v>
      </c>
      <c r="D911" s="130" t="s">
        <v>3381</v>
      </c>
      <c r="E911" s="130" t="s">
        <v>4440</v>
      </c>
      <c r="F911" s="130" t="s">
        <v>3495</v>
      </c>
      <c r="G911" s="550" t="s">
        <v>2201</v>
      </c>
      <c r="I911" s="165">
        <v>43808</v>
      </c>
      <c r="J911" s="551" t="s">
        <v>799</v>
      </c>
      <c r="K911" s="552" t="s">
        <v>73</v>
      </c>
      <c r="L911" s="130" t="s">
        <v>2870</v>
      </c>
    </row>
    <row r="912" spans="1:12" ht="16.5" customHeight="1">
      <c r="A912" s="571" t="s">
        <v>2510</v>
      </c>
      <c r="B912" s="186">
        <v>6949655</v>
      </c>
      <c r="C912" s="549">
        <v>18403</v>
      </c>
      <c r="D912" s="130" t="s">
        <v>2871</v>
      </c>
      <c r="E912" s="130" t="s">
        <v>4441</v>
      </c>
      <c r="F912" s="130" t="s">
        <v>2797</v>
      </c>
      <c r="G912" s="550" t="s">
        <v>2081</v>
      </c>
      <c r="I912" s="165">
        <v>43808</v>
      </c>
      <c r="J912" s="551" t="s">
        <v>799</v>
      </c>
      <c r="K912" s="552" t="s">
        <v>73</v>
      </c>
      <c r="L912" s="130" t="s">
        <v>2870</v>
      </c>
    </row>
    <row r="913" spans="1:12" ht="16.5" customHeight="1">
      <c r="A913" s="571" t="s">
        <v>2510</v>
      </c>
      <c r="B913" s="186">
        <v>9777251</v>
      </c>
      <c r="C913" s="549">
        <v>11914</v>
      </c>
      <c r="D913" s="130" t="s">
        <v>2697</v>
      </c>
      <c r="E913" s="130" t="s">
        <v>4442</v>
      </c>
      <c r="F913" s="130" t="s">
        <v>4443</v>
      </c>
      <c r="G913" s="550" t="s">
        <v>2081</v>
      </c>
      <c r="I913" s="165">
        <v>43808</v>
      </c>
      <c r="J913" s="551" t="s">
        <v>799</v>
      </c>
      <c r="K913" s="552" t="s">
        <v>73</v>
      </c>
      <c r="L913" s="130" t="s">
        <v>2870</v>
      </c>
    </row>
    <row r="914" spans="1:12" ht="16.5" customHeight="1">
      <c r="A914" s="571" t="s">
        <v>2510</v>
      </c>
      <c r="B914" s="186">
        <v>10385300</v>
      </c>
      <c r="C914" s="549">
        <v>14977</v>
      </c>
      <c r="D914" s="130" t="s">
        <v>2612</v>
      </c>
      <c r="E914" s="130" t="s">
        <v>4444</v>
      </c>
      <c r="F914" s="130" t="s">
        <v>4445</v>
      </c>
      <c r="G914" s="550" t="s">
        <v>2081</v>
      </c>
      <c r="I914" s="165">
        <v>43808</v>
      </c>
      <c r="J914" s="551" t="s">
        <v>799</v>
      </c>
      <c r="K914" s="552" t="s">
        <v>73</v>
      </c>
      <c r="L914" s="130" t="s">
        <v>2870</v>
      </c>
    </row>
    <row r="915" spans="1:12" ht="16.5" customHeight="1">
      <c r="A915" s="571" t="s">
        <v>2510</v>
      </c>
      <c r="B915" s="186">
        <v>10448272</v>
      </c>
      <c r="C915" s="549">
        <v>16834</v>
      </c>
      <c r="D915" s="130" t="s">
        <v>2804</v>
      </c>
      <c r="E915" s="130" t="s">
        <v>3201</v>
      </c>
      <c r="F915" s="130" t="s">
        <v>4446</v>
      </c>
      <c r="G915" s="550" t="s">
        <v>2081</v>
      </c>
      <c r="I915" s="165">
        <v>43808</v>
      </c>
      <c r="J915" s="551" t="s">
        <v>799</v>
      </c>
      <c r="K915" s="552" t="s">
        <v>73</v>
      </c>
      <c r="L915" s="130" t="s">
        <v>2870</v>
      </c>
    </row>
    <row r="916" spans="1:12" ht="16.5" customHeight="1">
      <c r="A916" s="571" t="s">
        <v>2510</v>
      </c>
      <c r="B916" s="186">
        <v>17175332</v>
      </c>
      <c r="C916" s="549">
        <v>19043</v>
      </c>
      <c r="D916" s="130" t="s">
        <v>4447</v>
      </c>
      <c r="E916" s="130" t="s">
        <v>3092</v>
      </c>
      <c r="F916" s="130" t="s">
        <v>4420</v>
      </c>
      <c r="G916" s="550" t="s">
        <v>2089</v>
      </c>
      <c r="I916" s="165">
        <v>43808</v>
      </c>
      <c r="J916" s="551" t="s">
        <v>799</v>
      </c>
      <c r="K916" s="552" t="s">
        <v>73</v>
      </c>
      <c r="L916" s="130" t="s">
        <v>2870</v>
      </c>
    </row>
    <row r="917" spans="1:12" ht="16.5" customHeight="1">
      <c r="A917" s="571" t="s">
        <v>2510</v>
      </c>
      <c r="B917" s="186">
        <v>17726076</v>
      </c>
      <c r="C917" s="549">
        <v>14562</v>
      </c>
      <c r="D917" s="130" t="s">
        <v>4448</v>
      </c>
      <c r="E917" s="130" t="s">
        <v>4449</v>
      </c>
      <c r="F917" s="130" t="s">
        <v>4450</v>
      </c>
      <c r="G917" s="550" t="s">
        <v>2052</v>
      </c>
      <c r="I917" s="165">
        <v>43808</v>
      </c>
      <c r="J917" s="551" t="s">
        <v>799</v>
      </c>
      <c r="K917" s="552" t="s">
        <v>73</v>
      </c>
      <c r="L917" s="130" t="s">
        <v>2870</v>
      </c>
    </row>
    <row r="918" spans="1:12" ht="16.5" customHeight="1">
      <c r="A918" s="571" t="s">
        <v>2510</v>
      </c>
      <c r="B918" s="186">
        <v>17767997</v>
      </c>
      <c r="C918" s="549">
        <v>12631</v>
      </c>
      <c r="D918" s="130" t="s">
        <v>2593</v>
      </c>
      <c r="E918" s="130" t="s">
        <v>4451</v>
      </c>
      <c r="F918" s="130" t="s">
        <v>4396</v>
      </c>
      <c r="G918" s="550" t="s">
        <v>2089</v>
      </c>
      <c r="I918" s="165">
        <v>43808</v>
      </c>
      <c r="J918" s="551" t="s">
        <v>799</v>
      </c>
      <c r="K918" s="552" t="s">
        <v>73</v>
      </c>
      <c r="L918" s="130" t="s">
        <v>2870</v>
      </c>
    </row>
    <row r="919" spans="1:12" ht="16.5" customHeight="1">
      <c r="A919" s="571" t="s">
        <v>2510</v>
      </c>
      <c r="B919" s="186">
        <v>17908328</v>
      </c>
      <c r="C919" s="549">
        <v>13394</v>
      </c>
      <c r="D919" s="130" t="s">
        <v>4140</v>
      </c>
      <c r="E919" s="130" t="s">
        <v>4452</v>
      </c>
      <c r="F919" s="130" t="s">
        <v>4453</v>
      </c>
      <c r="G919" s="550" t="s">
        <v>2081</v>
      </c>
      <c r="I919" s="165">
        <v>43808</v>
      </c>
      <c r="J919" s="551" t="s">
        <v>799</v>
      </c>
      <c r="K919" s="552" t="s">
        <v>73</v>
      </c>
      <c r="L919" s="130" t="s">
        <v>2870</v>
      </c>
    </row>
    <row r="920" spans="1:12" ht="16.5" customHeight="1">
      <c r="A920" s="571" t="s">
        <v>2510</v>
      </c>
      <c r="B920" s="186">
        <v>19284892</v>
      </c>
      <c r="C920" s="549">
        <v>21265</v>
      </c>
      <c r="D920" s="130" t="s">
        <v>3011</v>
      </c>
      <c r="E920" s="130" t="s">
        <v>4454</v>
      </c>
      <c r="F920" s="130" t="s">
        <v>4387</v>
      </c>
      <c r="G920" s="550" t="s">
        <v>2526</v>
      </c>
      <c r="I920" s="165">
        <v>43808</v>
      </c>
      <c r="J920" s="551" t="s">
        <v>799</v>
      </c>
      <c r="K920" s="552" t="s">
        <v>73</v>
      </c>
      <c r="L920" s="130" t="s">
        <v>2870</v>
      </c>
    </row>
    <row r="921" spans="1:12" ht="16.5" customHeight="1">
      <c r="A921" s="571" t="s">
        <v>2510</v>
      </c>
      <c r="B921" s="186">
        <v>26178178</v>
      </c>
      <c r="C921" s="549">
        <v>15554</v>
      </c>
      <c r="D921" s="130" t="s">
        <v>3373</v>
      </c>
      <c r="E921" s="130" t="s">
        <v>3040</v>
      </c>
      <c r="F921" s="130" t="s">
        <v>4455</v>
      </c>
      <c r="G921" s="550" t="s">
        <v>2201</v>
      </c>
      <c r="I921" s="165">
        <v>43808</v>
      </c>
      <c r="J921" s="551" t="s">
        <v>799</v>
      </c>
      <c r="K921" s="552" t="s">
        <v>73</v>
      </c>
      <c r="L921" s="130" t="s">
        <v>2870</v>
      </c>
    </row>
    <row r="922" spans="1:12" ht="16.5" customHeight="1">
      <c r="A922" s="571" t="s">
        <v>2510</v>
      </c>
      <c r="B922" s="186">
        <v>35178318</v>
      </c>
      <c r="C922" s="549">
        <v>18762</v>
      </c>
      <c r="D922" s="130" t="s">
        <v>3778</v>
      </c>
      <c r="E922" s="130" t="s">
        <v>4456</v>
      </c>
      <c r="F922" s="130" t="s">
        <v>4457</v>
      </c>
      <c r="G922" s="550" t="s">
        <v>2081</v>
      </c>
      <c r="I922" s="165">
        <v>43808</v>
      </c>
      <c r="J922" s="551" t="s">
        <v>799</v>
      </c>
      <c r="K922" s="552" t="s">
        <v>73</v>
      </c>
      <c r="L922" s="130" t="s">
        <v>2870</v>
      </c>
    </row>
    <row r="923" spans="1:12" ht="16.5" customHeight="1">
      <c r="A923" s="571" t="s">
        <v>2510</v>
      </c>
      <c r="B923" s="186">
        <v>35811405</v>
      </c>
      <c r="C923" s="549">
        <v>18749</v>
      </c>
      <c r="D923" s="130" t="s">
        <v>4458</v>
      </c>
      <c r="E923" s="130" t="s">
        <v>2697</v>
      </c>
      <c r="F923" s="130" t="s">
        <v>4459</v>
      </c>
      <c r="G923" s="550" t="s">
        <v>2046</v>
      </c>
      <c r="I923" s="165">
        <v>43808</v>
      </c>
      <c r="J923" s="551" t="s">
        <v>799</v>
      </c>
      <c r="K923" s="552" t="s">
        <v>73</v>
      </c>
      <c r="L923" s="130" t="s">
        <v>2870</v>
      </c>
    </row>
    <row r="924" spans="1:12" ht="16.5" customHeight="1">
      <c r="A924" s="571" t="s">
        <v>2510</v>
      </c>
      <c r="B924" s="186">
        <v>36820371</v>
      </c>
      <c r="C924" s="549">
        <v>13713</v>
      </c>
      <c r="D924" s="130" t="s">
        <v>3783</v>
      </c>
      <c r="E924" s="130" t="s">
        <v>3106</v>
      </c>
      <c r="F924" s="130" t="s">
        <v>4460</v>
      </c>
      <c r="G924" s="550" t="s">
        <v>2081</v>
      </c>
      <c r="I924" s="165">
        <v>43808</v>
      </c>
      <c r="J924" s="551" t="s">
        <v>799</v>
      </c>
      <c r="K924" s="552" t="s">
        <v>73</v>
      </c>
      <c r="L924" s="130" t="s">
        <v>2870</v>
      </c>
    </row>
    <row r="925" spans="1:12" ht="16.5" customHeight="1">
      <c r="A925" s="571" t="s">
        <v>2510</v>
      </c>
      <c r="B925" s="186">
        <v>39907043</v>
      </c>
      <c r="C925" s="549">
        <v>16254</v>
      </c>
      <c r="D925" s="130" t="s">
        <v>2863</v>
      </c>
      <c r="E925" s="130" t="s">
        <v>4461</v>
      </c>
      <c r="F925" s="130" t="s">
        <v>2797</v>
      </c>
      <c r="G925" s="550" t="s">
        <v>2081</v>
      </c>
      <c r="I925" s="165">
        <v>43808</v>
      </c>
      <c r="J925" s="551" t="s">
        <v>799</v>
      </c>
      <c r="K925" s="552" t="s">
        <v>73</v>
      </c>
      <c r="L925" s="130" t="s">
        <v>2870</v>
      </c>
    </row>
    <row r="926" spans="1:12" ht="16.5" customHeight="1">
      <c r="A926" s="571" t="s">
        <v>2510</v>
      </c>
      <c r="B926" s="186">
        <v>40099293</v>
      </c>
      <c r="C926" s="549">
        <v>19329</v>
      </c>
      <c r="D926" s="130" t="s">
        <v>3101</v>
      </c>
      <c r="E926" s="130" t="s">
        <v>3318</v>
      </c>
      <c r="F926" s="130" t="s">
        <v>4462</v>
      </c>
      <c r="G926" s="550" t="s">
        <v>2201</v>
      </c>
      <c r="I926" s="165">
        <v>43808</v>
      </c>
      <c r="J926" s="551" t="s">
        <v>799</v>
      </c>
      <c r="K926" s="552" t="s">
        <v>73</v>
      </c>
      <c r="L926" s="130" t="s">
        <v>2870</v>
      </c>
    </row>
    <row r="927" spans="1:12" ht="16.5" customHeight="1">
      <c r="A927" s="186" t="s">
        <v>3071</v>
      </c>
      <c r="B927" s="590">
        <v>17767997</v>
      </c>
      <c r="C927" s="591">
        <v>12631</v>
      </c>
      <c r="D927" s="592" t="s">
        <v>2593</v>
      </c>
      <c r="E927" s="592" t="s">
        <v>4451</v>
      </c>
      <c r="F927" s="592" t="s">
        <v>4396</v>
      </c>
      <c r="G927" s="593" t="s">
        <v>2089</v>
      </c>
      <c r="I927" s="165">
        <v>43808</v>
      </c>
      <c r="J927" s="551" t="s">
        <v>799</v>
      </c>
      <c r="K927" s="552" t="s">
        <v>2516</v>
      </c>
      <c r="L927" s="130" t="s">
        <v>3042</v>
      </c>
    </row>
    <row r="928" spans="1:12" ht="16.5" customHeight="1">
      <c r="A928" s="186" t="s">
        <v>3071</v>
      </c>
      <c r="B928" s="590">
        <v>35811405</v>
      </c>
      <c r="C928" s="591">
        <v>18749</v>
      </c>
      <c r="D928" s="592" t="s">
        <v>4458</v>
      </c>
      <c r="E928" s="592" t="s">
        <v>2697</v>
      </c>
      <c r="F928" s="592" t="s">
        <v>4463</v>
      </c>
      <c r="G928" s="593" t="s">
        <v>2046</v>
      </c>
      <c r="I928" s="165">
        <v>43808</v>
      </c>
      <c r="J928" s="551" t="s">
        <v>799</v>
      </c>
      <c r="K928" s="552" t="s">
        <v>2516</v>
      </c>
      <c r="L928" s="130" t="s">
        <v>3042</v>
      </c>
    </row>
    <row r="929" spans="1:12" ht="16.5" customHeight="1">
      <c r="A929" s="186" t="s">
        <v>3071</v>
      </c>
      <c r="B929" s="590">
        <v>36820371</v>
      </c>
      <c r="C929" s="591">
        <v>13713</v>
      </c>
      <c r="D929" s="592" t="s">
        <v>3783</v>
      </c>
      <c r="E929" s="592" t="s">
        <v>3106</v>
      </c>
      <c r="F929" s="592" t="s">
        <v>4460</v>
      </c>
      <c r="G929" s="593" t="s">
        <v>2081</v>
      </c>
      <c r="I929" s="165">
        <v>43808</v>
      </c>
      <c r="J929" s="551" t="s">
        <v>799</v>
      </c>
      <c r="K929" s="552" t="s">
        <v>2516</v>
      </c>
      <c r="L929" s="130" t="s">
        <v>3042</v>
      </c>
    </row>
    <row r="930" spans="1:12" ht="16.5" customHeight="1">
      <c r="A930" s="186" t="s">
        <v>3071</v>
      </c>
      <c r="B930" s="590">
        <v>30169799</v>
      </c>
      <c r="C930" s="591">
        <v>14715</v>
      </c>
      <c r="D930" s="592" t="s">
        <v>4464</v>
      </c>
      <c r="E930" s="592" t="s">
        <v>2512</v>
      </c>
      <c r="F930" s="592" t="s">
        <v>2513</v>
      </c>
      <c r="G930" s="593" t="s">
        <v>2046</v>
      </c>
      <c r="I930" s="165">
        <v>43808</v>
      </c>
      <c r="J930" s="551" t="s">
        <v>799</v>
      </c>
      <c r="K930" s="552" t="s">
        <v>2516</v>
      </c>
      <c r="L930" s="130" t="s">
        <v>4465</v>
      </c>
    </row>
    <row r="931" spans="1:12" ht="16.5" customHeight="1">
      <c r="A931" s="186" t="s">
        <v>2510</v>
      </c>
      <c r="B931" s="590">
        <v>7755408</v>
      </c>
      <c r="C931" s="590">
        <v>21104</v>
      </c>
      <c r="D931" s="592" t="s">
        <v>2733</v>
      </c>
      <c r="E931" s="592" t="s">
        <v>4466</v>
      </c>
      <c r="F931" s="592" t="s">
        <v>4467</v>
      </c>
      <c r="G931" s="593" t="s">
        <v>2081</v>
      </c>
      <c r="I931" s="165">
        <v>43815</v>
      </c>
      <c r="J931" s="551" t="s">
        <v>799</v>
      </c>
      <c r="K931" s="552" t="s">
        <v>73</v>
      </c>
      <c r="L931" s="130" t="s">
        <v>2870</v>
      </c>
    </row>
    <row r="932" spans="1:12" ht="16.5" customHeight="1">
      <c r="A932" s="186" t="s">
        <v>2510</v>
      </c>
      <c r="B932" s="186">
        <v>10267193</v>
      </c>
      <c r="C932" s="549">
        <v>16838</v>
      </c>
      <c r="D932" s="130" t="s">
        <v>4363</v>
      </c>
      <c r="E932" s="130" t="s">
        <v>4468</v>
      </c>
      <c r="F932" s="130" t="s">
        <v>4469</v>
      </c>
      <c r="G932" s="550" t="s">
        <v>2081</v>
      </c>
      <c r="I932" s="165">
        <v>43815</v>
      </c>
      <c r="J932" s="551" t="s">
        <v>799</v>
      </c>
      <c r="K932" s="552" t="s">
        <v>73</v>
      </c>
      <c r="L932" s="130" t="s">
        <v>2870</v>
      </c>
    </row>
    <row r="933" spans="1:12" ht="16.5" customHeight="1">
      <c r="A933" s="186" t="s">
        <v>2510</v>
      </c>
      <c r="B933" s="186">
        <v>40007684</v>
      </c>
      <c r="C933" s="549">
        <v>15858</v>
      </c>
      <c r="D933" s="130" t="s">
        <v>3336</v>
      </c>
      <c r="E933" s="130" t="s">
        <v>4470</v>
      </c>
      <c r="F933" s="130" t="s">
        <v>4471</v>
      </c>
      <c r="G933" s="550" t="s">
        <v>2081</v>
      </c>
      <c r="I933" s="165">
        <v>43815</v>
      </c>
      <c r="J933" s="551" t="s">
        <v>799</v>
      </c>
      <c r="K933" s="552" t="s">
        <v>73</v>
      </c>
      <c r="L933" s="130" t="s">
        <v>2870</v>
      </c>
    </row>
    <row r="934" spans="1:12" ht="16.5" customHeight="1">
      <c r="A934" s="186" t="s">
        <v>3071</v>
      </c>
      <c r="B934" s="186">
        <v>257105</v>
      </c>
      <c r="C934" s="549">
        <v>11635</v>
      </c>
      <c r="D934" s="130" t="s">
        <v>2958</v>
      </c>
      <c r="E934" s="130" t="s">
        <v>4472</v>
      </c>
      <c r="F934" s="130" t="s">
        <v>4473</v>
      </c>
      <c r="G934" s="550" t="s">
        <v>2059</v>
      </c>
      <c r="I934" s="165">
        <v>43815</v>
      </c>
      <c r="J934" s="551" t="s">
        <v>799</v>
      </c>
      <c r="K934" s="552" t="s">
        <v>2516</v>
      </c>
      <c r="L934" s="130" t="s">
        <v>4474</v>
      </c>
    </row>
    <row r="935" spans="1:12" ht="16.5" customHeight="1">
      <c r="A935" s="186" t="s">
        <v>3071</v>
      </c>
      <c r="B935" s="186">
        <v>100331918</v>
      </c>
      <c r="C935" s="549">
        <v>18372</v>
      </c>
      <c r="D935" s="130" t="s">
        <v>2979</v>
      </c>
      <c r="E935" s="130" t="s">
        <v>4475</v>
      </c>
      <c r="F935" s="130" t="s">
        <v>4476</v>
      </c>
      <c r="G935" s="550" t="s">
        <v>2046</v>
      </c>
      <c r="I935" s="165">
        <v>43822</v>
      </c>
      <c r="J935" s="551" t="s">
        <v>799</v>
      </c>
      <c r="K935" s="552" t="s">
        <v>2516</v>
      </c>
      <c r="L935" s="600" t="s">
        <v>4477</v>
      </c>
    </row>
    <row r="936" spans="1:12" ht="16.5" customHeight="1">
      <c r="A936" s="186" t="s">
        <v>3071</v>
      </c>
      <c r="B936" s="186">
        <v>20392221</v>
      </c>
      <c r="C936" s="549">
        <v>10476</v>
      </c>
      <c r="D936" s="130" t="s">
        <v>3818</v>
      </c>
      <c r="E936" s="130" t="s">
        <v>4478</v>
      </c>
      <c r="F936" s="130" t="s">
        <v>4479</v>
      </c>
      <c r="G936" s="550" t="s">
        <v>2106</v>
      </c>
      <c r="I936" s="165">
        <v>43822</v>
      </c>
      <c r="J936" s="551" t="s">
        <v>799</v>
      </c>
      <c r="K936" s="552" t="s">
        <v>2516</v>
      </c>
      <c r="L936" s="130" t="s">
        <v>4480</v>
      </c>
    </row>
    <row r="937" spans="1:12" ht="16.5" customHeight="1">
      <c r="A937" s="186" t="s">
        <v>3071</v>
      </c>
      <c r="B937" s="186">
        <v>77768778</v>
      </c>
      <c r="C937" s="549">
        <v>21869</v>
      </c>
      <c r="D937" s="130" t="s">
        <v>2867</v>
      </c>
      <c r="E937" s="130" t="s">
        <v>4481</v>
      </c>
      <c r="F937" s="130" t="s">
        <v>4482</v>
      </c>
      <c r="G937" s="550" t="s">
        <v>2174</v>
      </c>
      <c r="I937" s="165">
        <v>43822</v>
      </c>
      <c r="J937" s="551" t="s">
        <v>799</v>
      </c>
      <c r="K937" s="552" t="s">
        <v>2516</v>
      </c>
      <c r="L937" s="130" t="s">
        <v>4480</v>
      </c>
    </row>
    <row r="938" spans="1:12" ht="16.5" customHeight="1">
      <c r="A938" s="186" t="s">
        <v>2510</v>
      </c>
      <c r="B938" s="186">
        <v>24125114</v>
      </c>
      <c r="C938" s="549">
        <v>23130</v>
      </c>
      <c r="D938" s="130" t="s">
        <v>4483</v>
      </c>
      <c r="E938" s="130" t="s">
        <v>4484</v>
      </c>
      <c r="F938" s="130" t="s">
        <v>4485</v>
      </c>
      <c r="G938" s="550" t="s">
        <v>2046</v>
      </c>
      <c r="H938" s="130" t="s">
        <v>4486</v>
      </c>
      <c r="I938" s="165">
        <v>43823</v>
      </c>
      <c r="J938" s="551" t="s">
        <v>799</v>
      </c>
      <c r="K938" s="552" t="s">
        <v>2516</v>
      </c>
      <c r="L938" s="130" t="s">
        <v>4487</v>
      </c>
    </row>
    <row r="939" spans="1:12" ht="16.5" customHeight="1">
      <c r="A939" s="186" t="s">
        <v>2584</v>
      </c>
      <c r="B939" s="186">
        <v>100333120</v>
      </c>
      <c r="C939" s="549">
        <v>13532</v>
      </c>
      <c r="D939" s="130" t="s">
        <v>4488</v>
      </c>
      <c r="E939" s="130" t="s">
        <v>4184</v>
      </c>
      <c r="F939" s="130" t="s">
        <v>4489</v>
      </c>
      <c r="G939" s="550" t="s">
        <v>2052</v>
      </c>
      <c r="I939" s="165">
        <v>43828</v>
      </c>
      <c r="J939" s="551" t="s">
        <v>799</v>
      </c>
      <c r="K939" s="552" t="s">
        <v>2516</v>
      </c>
      <c r="L939" s="130" t="s">
        <v>3042</v>
      </c>
    </row>
    <row r="940" spans="1:12" ht="16.5" customHeight="1">
      <c r="A940" s="186" t="s">
        <v>2584</v>
      </c>
      <c r="B940" s="186">
        <v>743013</v>
      </c>
      <c r="C940" s="549">
        <v>26528</v>
      </c>
      <c r="D940" s="130" t="s">
        <v>4490</v>
      </c>
      <c r="E940" s="130" t="s">
        <v>4491</v>
      </c>
      <c r="F940" s="130" t="s">
        <v>4492</v>
      </c>
      <c r="G940" s="550" t="s">
        <v>2081</v>
      </c>
      <c r="I940" s="165">
        <v>43829</v>
      </c>
      <c r="J940" s="551" t="s">
        <v>799</v>
      </c>
      <c r="K940" s="552" t="s">
        <v>2516</v>
      </c>
      <c r="L940" s="130" t="s">
        <v>3042</v>
      </c>
    </row>
    <row r="941" spans="1:12" ht="16.5" customHeight="1">
      <c r="A941" s="186" t="s">
        <v>3071</v>
      </c>
      <c r="B941" s="186">
        <v>99951865</v>
      </c>
      <c r="C941" s="549">
        <v>17461</v>
      </c>
      <c r="D941" s="130" t="s">
        <v>2979</v>
      </c>
      <c r="E941" s="130" t="s">
        <v>4493</v>
      </c>
      <c r="F941" s="130" t="s">
        <v>4494</v>
      </c>
      <c r="G941" s="550" t="s">
        <v>2055</v>
      </c>
      <c r="H941" s="130" t="s">
        <v>4495</v>
      </c>
      <c r="I941" s="165">
        <v>43829</v>
      </c>
      <c r="J941" s="551" t="s">
        <v>799</v>
      </c>
      <c r="K941" s="552" t="s">
        <v>2516</v>
      </c>
      <c r="L941" s="130" t="s">
        <v>3042</v>
      </c>
    </row>
    <row r="942" spans="1:12" ht="16.5" customHeight="1">
      <c r="A942" s="186" t="s">
        <v>3071</v>
      </c>
      <c r="B942" s="186">
        <v>505499513</v>
      </c>
      <c r="D942" s="130" t="s">
        <v>3778</v>
      </c>
      <c r="E942" s="130" t="s">
        <v>4496</v>
      </c>
      <c r="F942" s="130" t="s">
        <v>4497</v>
      </c>
      <c r="G942" s="601" t="s">
        <v>2069</v>
      </c>
      <c r="I942" s="165">
        <v>43833</v>
      </c>
      <c r="J942" s="551" t="s">
        <v>799</v>
      </c>
      <c r="K942" s="552" t="s">
        <v>73</v>
      </c>
      <c r="L942" s="130" t="s">
        <v>4498</v>
      </c>
    </row>
    <row r="943" spans="1:12" ht="16.5" customHeight="1">
      <c r="A943" s="186" t="s">
        <v>3071</v>
      </c>
      <c r="B943" s="186">
        <v>10033185</v>
      </c>
      <c r="C943" s="549">
        <v>18628</v>
      </c>
      <c r="D943" s="130" t="s">
        <v>4499</v>
      </c>
      <c r="E943" s="130" t="s">
        <v>2624</v>
      </c>
      <c r="F943" s="130" t="s">
        <v>4500</v>
      </c>
      <c r="G943" s="550" t="s">
        <v>4501</v>
      </c>
      <c r="I943" s="165">
        <v>43836</v>
      </c>
      <c r="J943" s="551" t="s">
        <v>799</v>
      </c>
      <c r="K943" s="552" t="s">
        <v>2516</v>
      </c>
      <c r="L943" s="130" t="s">
        <v>3042</v>
      </c>
    </row>
    <row r="944" spans="1:12" ht="16.5" customHeight="1">
      <c r="A944" s="186" t="s">
        <v>3071</v>
      </c>
      <c r="B944" s="186">
        <v>23342744</v>
      </c>
      <c r="C944" s="549">
        <v>21429</v>
      </c>
      <c r="D944" s="130" t="s">
        <v>4502</v>
      </c>
      <c r="E944" s="130" t="s">
        <v>4503</v>
      </c>
      <c r="F944" s="130" t="s">
        <v>4504</v>
      </c>
      <c r="G944" s="550" t="s">
        <v>2081</v>
      </c>
      <c r="I944" s="165">
        <v>43836</v>
      </c>
      <c r="J944" s="551" t="s">
        <v>799</v>
      </c>
      <c r="K944" s="552" t="s">
        <v>2516</v>
      </c>
      <c r="L944" s="130" t="s">
        <v>4505</v>
      </c>
    </row>
    <row r="945" spans="1:12" ht="16.5" customHeight="1">
      <c r="A945" s="186" t="s">
        <v>2584</v>
      </c>
      <c r="B945" s="186">
        <v>1078971</v>
      </c>
      <c r="C945" s="549">
        <v>16949</v>
      </c>
      <c r="D945" s="130" t="s">
        <v>3685</v>
      </c>
      <c r="E945" s="130" t="s">
        <v>4506</v>
      </c>
      <c r="F945" s="130" t="s">
        <v>2722</v>
      </c>
      <c r="G945" s="550" t="s">
        <v>2240</v>
      </c>
      <c r="I945" s="165">
        <v>43838</v>
      </c>
      <c r="J945" s="551" t="s">
        <v>799</v>
      </c>
      <c r="K945" s="552" t="s">
        <v>2516</v>
      </c>
      <c r="L945" s="600" t="s">
        <v>4507</v>
      </c>
    </row>
    <row r="946" spans="1:12" ht="16.5" customHeight="1">
      <c r="A946" s="186" t="s">
        <v>3071</v>
      </c>
      <c r="B946" s="186">
        <v>100338767</v>
      </c>
      <c r="C946" s="549">
        <v>12586</v>
      </c>
      <c r="D946" s="130" t="s">
        <v>3103</v>
      </c>
      <c r="E946" s="130" t="s">
        <v>4508</v>
      </c>
      <c r="F946" s="130" t="s">
        <v>2656</v>
      </c>
      <c r="G946" s="550" t="s">
        <v>2274</v>
      </c>
      <c r="I946" s="165">
        <v>43839</v>
      </c>
      <c r="J946" s="551" t="s">
        <v>799</v>
      </c>
      <c r="K946" s="552" t="s">
        <v>2516</v>
      </c>
      <c r="L946" s="600" t="s">
        <v>4509</v>
      </c>
    </row>
    <row r="947" spans="1:12" ht="16.5" customHeight="1">
      <c r="A947" s="186" t="s">
        <v>2584</v>
      </c>
      <c r="B947" s="186">
        <v>13547039</v>
      </c>
      <c r="D947" s="130" t="s">
        <v>3103</v>
      </c>
      <c r="E947" s="130" t="s">
        <v>4510</v>
      </c>
      <c r="F947" s="130" t="s">
        <v>3470</v>
      </c>
      <c r="G947" s="550" t="s">
        <v>2176</v>
      </c>
      <c r="I947" s="165">
        <v>43839</v>
      </c>
      <c r="J947" s="551" t="s">
        <v>799</v>
      </c>
      <c r="K947" s="552" t="s">
        <v>2516</v>
      </c>
      <c r="L947" s="130" t="s">
        <v>3042</v>
      </c>
    </row>
    <row r="948" spans="1:12" ht="16.5" customHeight="1">
      <c r="A948" s="186" t="s">
        <v>3071</v>
      </c>
      <c r="B948" s="186">
        <v>4028619</v>
      </c>
      <c r="C948" s="549">
        <v>20256</v>
      </c>
      <c r="D948" s="130" t="s">
        <v>2681</v>
      </c>
      <c r="E948" s="130" t="s">
        <v>4511</v>
      </c>
      <c r="F948" s="130" t="s">
        <v>2616</v>
      </c>
      <c r="G948" s="550" t="s">
        <v>4512</v>
      </c>
      <c r="I948" s="165">
        <v>43843</v>
      </c>
      <c r="J948" s="551" t="s">
        <v>799</v>
      </c>
      <c r="K948" s="552" t="s">
        <v>2516</v>
      </c>
      <c r="L948" s="130" t="s">
        <v>4505</v>
      </c>
    </row>
    <row r="949" spans="1:12" ht="16.5" customHeight="1">
      <c r="A949" s="186" t="s">
        <v>2510</v>
      </c>
      <c r="B949" s="186">
        <v>100334417</v>
      </c>
      <c r="C949" s="549">
        <v>14241</v>
      </c>
      <c r="D949" s="130" t="s">
        <v>4513</v>
      </c>
      <c r="E949" s="130" t="s">
        <v>4514</v>
      </c>
      <c r="F949" s="130" t="s">
        <v>4515</v>
      </c>
      <c r="G949" s="550" t="s">
        <v>2395</v>
      </c>
      <c r="I949" s="165">
        <v>43843</v>
      </c>
      <c r="J949" s="551" t="s">
        <v>799</v>
      </c>
      <c r="K949" s="552" t="s">
        <v>2516</v>
      </c>
      <c r="L949" s="600" t="s">
        <v>4516</v>
      </c>
    </row>
    <row r="950" spans="1:12" ht="16.5" customHeight="1">
      <c r="A950" s="186" t="s">
        <v>3071</v>
      </c>
      <c r="B950" s="186">
        <v>100340442</v>
      </c>
      <c r="C950" s="549">
        <v>16717</v>
      </c>
      <c r="D950" s="130" t="s">
        <v>4517</v>
      </c>
      <c r="E950" s="130" t="s">
        <v>4518</v>
      </c>
      <c r="F950" s="130" t="s">
        <v>4519</v>
      </c>
      <c r="G950" s="550" t="s">
        <v>2176</v>
      </c>
      <c r="I950" s="165">
        <v>43851</v>
      </c>
      <c r="J950" s="551" t="s">
        <v>799</v>
      </c>
      <c r="K950" s="552" t="s">
        <v>2516</v>
      </c>
      <c r="L950" s="600" t="s">
        <v>4520</v>
      </c>
    </row>
    <row r="951" spans="1:12" ht="16.5" customHeight="1">
      <c r="A951" s="186" t="s">
        <v>2510</v>
      </c>
      <c r="B951" s="186">
        <v>333385</v>
      </c>
      <c r="C951" s="549">
        <v>11193</v>
      </c>
      <c r="D951" s="130" t="s">
        <v>3141</v>
      </c>
      <c r="E951" s="130" t="s">
        <v>4521</v>
      </c>
      <c r="F951" s="130" t="s">
        <v>3357</v>
      </c>
      <c r="G951" s="550" t="s">
        <v>2185</v>
      </c>
      <c r="H951" s="130" t="s">
        <v>88</v>
      </c>
      <c r="I951" s="165">
        <v>43851</v>
      </c>
      <c r="J951" s="551" t="s">
        <v>799</v>
      </c>
      <c r="K951" s="552" t="s">
        <v>73</v>
      </c>
      <c r="L951" s="130" t="s">
        <v>2870</v>
      </c>
    </row>
    <row r="952" spans="1:12" ht="16.5" customHeight="1">
      <c r="A952" s="186" t="s">
        <v>2510</v>
      </c>
      <c r="B952" s="186">
        <v>367094</v>
      </c>
      <c r="C952" s="549">
        <v>12384</v>
      </c>
      <c r="D952" s="130" t="s">
        <v>3043</v>
      </c>
      <c r="E952" s="130" t="s">
        <v>4522</v>
      </c>
      <c r="F952" s="130" t="s">
        <v>4462</v>
      </c>
      <c r="G952" s="550" t="s">
        <v>2201</v>
      </c>
      <c r="I952" s="165">
        <v>43851</v>
      </c>
      <c r="J952" s="551" t="s">
        <v>799</v>
      </c>
      <c r="K952" s="552" t="s">
        <v>73</v>
      </c>
      <c r="L952" s="130" t="s">
        <v>2870</v>
      </c>
    </row>
    <row r="953" spans="1:12" ht="16.5" customHeight="1">
      <c r="A953" s="186" t="s">
        <v>2510</v>
      </c>
      <c r="B953" s="186">
        <v>1034248</v>
      </c>
      <c r="C953" s="549">
        <v>13247</v>
      </c>
      <c r="D953" s="130" t="s">
        <v>4523</v>
      </c>
      <c r="E953" s="130" t="s">
        <v>3852</v>
      </c>
      <c r="F953" s="130" t="s">
        <v>4524</v>
      </c>
      <c r="G953" s="550" t="s">
        <v>2299</v>
      </c>
      <c r="I953" s="165">
        <v>43851</v>
      </c>
      <c r="J953" s="551" t="s">
        <v>799</v>
      </c>
      <c r="K953" s="552" t="s">
        <v>73</v>
      </c>
      <c r="L953" s="130" t="s">
        <v>2870</v>
      </c>
    </row>
    <row r="954" spans="1:12" ht="16.5" customHeight="1">
      <c r="A954" s="186" t="s">
        <v>2510</v>
      </c>
      <c r="B954" s="186">
        <v>1104967</v>
      </c>
      <c r="C954" s="549">
        <v>15771</v>
      </c>
      <c r="D954" s="130" t="s">
        <v>2985</v>
      </c>
      <c r="E954" s="130" t="s">
        <v>2962</v>
      </c>
      <c r="F954" s="130" t="s">
        <v>4525</v>
      </c>
      <c r="G954" s="550" t="s">
        <v>2064</v>
      </c>
      <c r="I954" s="165">
        <v>43851</v>
      </c>
      <c r="J954" s="551" t="s">
        <v>799</v>
      </c>
      <c r="K954" s="552" t="s">
        <v>73</v>
      </c>
      <c r="L954" s="130" t="s">
        <v>2870</v>
      </c>
    </row>
    <row r="955" spans="1:12" ht="16.5" customHeight="1">
      <c r="A955" s="186" t="s">
        <v>2510</v>
      </c>
      <c r="B955" s="186">
        <v>3470721</v>
      </c>
      <c r="C955" s="549">
        <v>16984</v>
      </c>
      <c r="D955" s="130" t="s">
        <v>3783</v>
      </c>
      <c r="E955" s="130" t="s">
        <v>4526</v>
      </c>
      <c r="F955" s="130" t="s">
        <v>2534</v>
      </c>
      <c r="G955" s="550" t="s">
        <v>2081</v>
      </c>
      <c r="I955" s="165">
        <v>43851</v>
      </c>
      <c r="J955" s="551" t="s">
        <v>799</v>
      </c>
      <c r="K955" s="552" t="s">
        <v>73</v>
      </c>
      <c r="L955" s="130" t="s">
        <v>2870</v>
      </c>
    </row>
    <row r="956" spans="1:12" ht="16.5" customHeight="1">
      <c r="A956" s="186" t="s">
        <v>2510</v>
      </c>
      <c r="B956" s="186">
        <v>4927232</v>
      </c>
      <c r="C956" s="549">
        <v>17168</v>
      </c>
      <c r="D956" s="130" t="s">
        <v>2614</v>
      </c>
      <c r="E956" s="130" t="s">
        <v>4527</v>
      </c>
      <c r="F956" s="130" t="s">
        <v>4528</v>
      </c>
      <c r="G956" s="550" t="s">
        <v>2139</v>
      </c>
      <c r="I956" s="165">
        <v>43851</v>
      </c>
      <c r="J956" s="551" t="s">
        <v>799</v>
      </c>
      <c r="K956" s="552" t="s">
        <v>73</v>
      </c>
      <c r="L956" s="130" t="s">
        <v>2870</v>
      </c>
    </row>
    <row r="957" spans="1:12" ht="16.5" customHeight="1">
      <c r="A957" s="186" t="s">
        <v>2510</v>
      </c>
      <c r="B957" s="186">
        <v>5820121</v>
      </c>
      <c r="C957" s="549">
        <v>17868</v>
      </c>
      <c r="D957" s="130" t="s">
        <v>2511</v>
      </c>
      <c r="E957" s="130" t="s">
        <v>4529</v>
      </c>
      <c r="F957" s="130" t="s">
        <v>3321</v>
      </c>
      <c r="G957" s="550" t="s">
        <v>2203</v>
      </c>
      <c r="I957" s="165">
        <v>43851</v>
      </c>
      <c r="J957" s="551" t="s">
        <v>799</v>
      </c>
      <c r="K957" s="552" t="s">
        <v>73</v>
      </c>
      <c r="L957" s="130" t="s">
        <v>2870</v>
      </c>
    </row>
    <row r="958" spans="1:12" ht="16.5" customHeight="1">
      <c r="A958" s="186" t="s">
        <v>2510</v>
      </c>
      <c r="B958" s="186">
        <v>5982566</v>
      </c>
      <c r="C958" s="549">
        <v>12949</v>
      </c>
      <c r="D958" s="130" t="s">
        <v>2718</v>
      </c>
      <c r="E958" s="130" t="s">
        <v>3661</v>
      </c>
      <c r="F958" s="130" t="s">
        <v>4530</v>
      </c>
      <c r="G958" s="550" t="s">
        <v>2638</v>
      </c>
      <c r="I958" s="165">
        <v>43851</v>
      </c>
      <c r="J958" s="551" t="s">
        <v>799</v>
      </c>
      <c r="K958" s="552" t="s">
        <v>73</v>
      </c>
      <c r="L958" s="130" t="s">
        <v>2870</v>
      </c>
    </row>
    <row r="959" spans="1:12" ht="16.5" customHeight="1">
      <c r="A959" s="186" t="s">
        <v>2510</v>
      </c>
      <c r="B959" s="186">
        <v>7277783</v>
      </c>
      <c r="C959" s="549">
        <v>17306</v>
      </c>
      <c r="D959" s="130" t="s">
        <v>2871</v>
      </c>
      <c r="E959" s="130" t="s">
        <v>4531</v>
      </c>
      <c r="F959" s="130" t="s">
        <v>4006</v>
      </c>
      <c r="G959" s="550" t="s">
        <v>2174</v>
      </c>
      <c r="I959" s="165">
        <v>43851</v>
      </c>
      <c r="J959" s="551" t="s">
        <v>799</v>
      </c>
      <c r="K959" s="552" t="s">
        <v>73</v>
      </c>
      <c r="L959" s="130" t="s">
        <v>2870</v>
      </c>
    </row>
    <row r="960" spans="1:12" ht="16.5" customHeight="1">
      <c r="A960" s="186" t="s">
        <v>2510</v>
      </c>
      <c r="B960" s="186">
        <v>18365353</v>
      </c>
      <c r="C960" s="549">
        <v>18083</v>
      </c>
      <c r="D960" s="130" t="s">
        <v>2602</v>
      </c>
      <c r="E960" s="130" t="s">
        <v>4532</v>
      </c>
      <c r="F960" s="130" t="s">
        <v>2534</v>
      </c>
      <c r="G960" s="550" t="s">
        <v>2081</v>
      </c>
      <c r="I960" s="165">
        <v>43851</v>
      </c>
      <c r="J960" s="551" t="s">
        <v>799</v>
      </c>
      <c r="K960" s="552" t="s">
        <v>73</v>
      </c>
      <c r="L960" s="130" t="s">
        <v>2870</v>
      </c>
    </row>
    <row r="961" spans="1:12" ht="16.5" customHeight="1">
      <c r="A961" s="186" t="s">
        <v>2510</v>
      </c>
      <c r="B961" s="186">
        <v>609198</v>
      </c>
      <c r="C961" s="549">
        <v>14198</v>
      </c>
      <c r="D961" s="130" t="s">
        <v>3103</v>
      </c>
      <c r="E961" s="130" t="s">
        <v>4377</v>
      </c>
      <c r="F961" s="130" t="s">
        <v>2608</v>
      </c>
      <c r="G961" s="550" t="s">
        <v>2299</v>
      </c>
      <c r="I961" s="165">
        <v>43857</v>
      </c>
      <c r="J961" s="551" t="s">
        <v>799</v>
      </c>
      <c r="K961" s="552" t="s">
        <v>73</v>
      </c>
      <c r="L961" s="130" t="s">
        <v>2870</v>
      </c>
    </row>
    <row r="962" spans="1:12" ht="16.5" customHeight="1">
      <c r="A962" s="186" t="s">
        <v>2510</v>
      </c>
      <c r="B962" s="186">
        <v>667089</v>
      </c>
      <c r="C962" s="549">
        <v>21703</v>
      </c>
      <c r="D962" s="130" t="s">
        <v>3444</v>
      </c>
      <c r="E962" s="130" t="s">
        <v>4533</v>
      </c>
      <c r="F962" s="130" t="s">
        <v>4534</v>
      </c>
      <c r="G962" s="550" t="s">
        <v>2052</v>
      </c>
      <c r="I962" s="165">
        <v>43857</v>
      </c>
      <c r="J962" s="551" t="s">
        <v>799</v>
      </c>
      <c r="K962" s="552" t="s">
        <v>73</v>
      </c>
      <c r="L962" s="130" t="s">
        <v>2870</v>
      </c>
    </row>
    <row r="963" spans="1:12" ht="16.5" customHeight="1">
      <c r="A963" s="186" t="s">
        <v>2510</v>
      </c>
      <c r="B963" s="186">
        <v>4500088</v>
      </c>
      <c r="C963" s="549">
        <v>18837</v>
      </c>
      <c r="D963" s="130" t="s">
        <v>4535</v>
      </c>
      <c r="E963" s="130" t="s">
        <v>4536</v>
      </c>
      <c r="F963" s="130" t="s">
        <v>2888</v>
      </c>
      <c r="G963" s="550" t="s">
        <v>2274</v>
      </c>
      <c r="I963" s="165">
        <v>43857</v>
      </c>
      <c r="J963" s="551" t="s">
        <v>799</v>
      </c>
      <c r="K963" s="552" t="s">
        <v>73</v>
      </c>
      <c r="L963" s="130" t="s">
        <v>2870</v>
      </c>
    </row>
    <row r="964" spans="1:12" ht="16.5" customHeight="1">
      <c r="A964" s="186" t="s">
        <v>2510</v>
      </c>
      <c r="B964" s="186">
        <v>5507447</v>
      </c>
      <c r="C964" s="549">
        <v>15098</v>
      </c>
      <c r="D964" s="130" t="s">
        <v>3468</v>
      </c>
      <c r="E964" s="130" t="s">
        <v>4537</v>
      </c>
      <c r="F964" s="130" t="s">
        <v>2987</v>
      </c>
      <c r="G964" s="550" t="s">
        <v>2106</v>
      </c>
      <c r="I964" s="165">
        <v>43857</v>
      </c>
      <c r="J964" s="551" t="s">
        <v>799</v>
      </c>
      <c r="K964" s="552" t="s">
        <v>73</v>
      </c>
      <c r="L964" s="130" t="s">
        <v>2870</v>
      </c>
    </row>
    <row r="965" spans="1:12" ht="16.5" customHeight="1">
      <c r="A965" s="186" t="s">
        <v>2510</v>
      </c>
      <c r="B965" s="186">
        <v>5797733</v>
      </c>
      <c r="C965" s="549">
        <v>17406</v>
      </c>
      <c r="D965" s="130" t="s">
        <v>2954</v>
      </c>
      <c r="E965" s="130" t="s">
        <v>3175</v>
      </c>
      <c r="F965" s="130" t="s">
        <v>4538</v>
      </c>
      <c r="G965" s="550" t="s">
        <v>2299</v>
      </c>
      <c r="I965" s="165">
        <v>43857</v>
      </c>
      <c r="J965" s="551" t="s">
        <v>799</v>
      </c>
      <c r="K965" s="552" t="s">
        <v>73</v>
      </c>
      <c r="L965" s="130" t="s">
        <v>2870</v>
      </c>
    </row>
    <row r="966" spans="1:12" ht="16.5" customHeight="1">
      <c r="A966" s="186" t="s">
        <v>2510</v>
      </c>
      <c r="B966" s="186">
        <v>5884804</v>
      </c>
      <c r="C966" s="549">
        <v>17756</v>
      </c>
      <c r="D966" s="130" t="s">
        <v>4539</v>
      </c>
      <c r="E966" s="130" t="s">
        <v>4540</v>
      </c>
      <c r="F966" s="130" t="s">
        <v>4541</v>
      </c>
      <c r="G966" s="550" t="s">
        <v>2313</v>
      </c>
      <c r="I966" s="165">
        <v>43857</v>
      </c>
      <c r="J966" s="551" t="s">
        <v>799</v>
      </c>
      <c r="K966" s="552" t="s">
        <v>73</v>
      </c>
      <c r="L966" s="130" t="s">
        <v>2870</v>
      </c>
    </row>
    <row r="967" spans="1:12" ht="16.5" customHeight="1">
      <c r="A967" s="186" t="s">
        <v>2510</v>
      </c>
      <c r="B967" s="186">
        <v>7250749</v>
      </c>
      <c r="C967" s="549">
        <v>18587</v>
      </c>
      <c r="D967" s="130" t="s">
        <v>4542</v>
      </c>
      <c r="E967" s="130" t="s">
        <v>4543</v>
      </c>
      <c r="F967" s="130" t="s">
        <v>4544</v>
      </c>
      <c r="G967" s="550" t="s">
        <v>2526</v>
      </c>
      <c r="I967" s="165">
        <v>43857</v>
      </c>
      <c r="J967" s="551" t="s">
        <v>799</v>
      </c>
      <c r="K967" s="552" t="s">
        <v>73</v>
      </c>
      <c r="L967" s="130" t="s">
        <v>2870</v>
      </c>
    </row>
    <row r="968" spans="1:12" ht="16.5" customHeight="1">
      <c r="A968" s="186" t="s">
        <v>2510</v>
      </c>
      <c r="B968" s="186">
        <v>10089126</v>
      </c>
      <c r="C968" s="549">
        <v>19662</v>
      </c>
      <c r="D968" s="130" t="s">
        <v>4545</v>
      </c>
      <c r="E968" s="130" t="s">
        <v>4546</v>
      </c>
      <c r="F968" s="130" t="s">
        <v>4547</v>
      </c>
      <c r="G968" s="550" t="s">
        <v>2313</v>
      </c>
      <c r="I968" s="165">
        <v>43857</v>
      </c>
      <c r="J968" s="551" t="s">
        <v>799</v>
      </c>
      <c r="K968" s="552" t="s">
        <v>73</v>
      </c>
      <c r="L968" s="130" t="s">
        <v>2870</v>
      </c>
    </row>
    <row r="969" spans="1:12" ht="16.5" customHeight="1">
      <c r="A969" s="186" t="s">
        <v>2510</v>
      </c>
      <c r="B969" s="186">
        <v>14654016</v>
      </c>
      <c r="D969" s="130" t="s">
        <v>3179</v>
      </c>
      <c r="E969" s="130" t="s">
        <v>4548</v>
      </c>
      <c r="F969" s="130" t="s">
        <v>4549</v>
      </c>
      <c r="G969" s="550" t="s">
        <v>4550</v>
      </c>
      <c r="I969" s="165">
        <v>43857</v>
      </c>
      <c r="J969" s="551" t="s">
        <v>799</v>
      </c>
      <c r="K969" s="552" t="s">
        <v>73</v>
      </c>
      <c r="L969" s="130" t="s">
        <v>2870</v>
      </c>
    </row>
    <row r="970" spans="1:12" ht="16.5" customHeight="1">
      <c r="A970" s="186" t="s">
        <v>2510</v>
      </c>
      <c r="B970" s="186">
        <v>18206151</v>
      </c>
      <c r="C970" s="549">
        <v>10751</v>
      </c>
      <c r="D970" s="130" t="s">
        <v>3444</v>
      </c>
      <c r="E970" s="130" t="s">
        <v>2977</v>
      </c>
      <c r="F970" s="130" t="s">
        <v>4551</v>
      </c>
      <c r="G970" s="550" t="s">
        <v>2081</v>
      </c>
      <c r="I970" s="165">
        <v>43857</v>
      </c>
      <c r="J970" s="551" t="s">
        <v>799</v>
      </c>
      <c r="K970" s="552" t="s">
        <v>73</v>
      </c>
      <c r="L970" s="130" t="s">
        <v>2870</v>
      </c>
    </row>
    <row r="971" spans="1:12" ht="16.5" customHeight="1">
      <c r="A971" s="186" t="s">
        <v>2510</v>
      </c>
      <c r="B971" s="186">
        <v>18992438</v>
      </c>
      <c r="C971" s="549">
        <v>12744</v>
      </c>
      <c r="D971" s="130" t="s">
        <v>2985</v>
      </c>
      <c r="E971" s="130" t="s">
        <v>4552</v>
      </c>
      <c r="F971" s="130" t="s">
        <v>2998</v>
      </c>
      <c r="G971" s="550" t="s">
        <v>2176</v>
      </c>
      <c r="I971" s="165">
        <v>43857</v>
      </c>
      <c r="J971" s="551" t="s">
        <v>799</v>
      </c>
      <c r="K971" s="552" t="s">
        <v>73</v>
      </c>
      <c r="L971" s="130" t="s">
        <v>2870</v>
      </c>
    </row>
    <row r="972" spans="1:12" ht="16.5" customHeight="1">
      <c r="A972" s="186" t="s">
        <v>2510</v>
      </c>
      <c r="B972" s="186">
        <v>19447895</v>
      </c>
      <c r="C972" s="549">
        <v>20704</v>
      </c>
      <c r="D972" s="130" t="s">
        <v>2541</v>
      </c>
      <c r="E972" s="130" t="s">
        <v>4553</v>
      </c>
      <c r="F972" s="130" t="s">
        <v>4554</v>
      </c>
      <c r="G972" s="550" t="s">
        <v>2176</v>
      </c>
      <c r="I972" s="165">
        <v>43857</v>
      </c>
      <c r="J972" s="551" t="s">
        <v>799</v>
      </c>
      <c r="K972" s="552" t="s">
        <v>73</v>
      </c>
      <c r="L972" s="130" t="s">
        <v>2870</v>
      </c>
    </row>
    <row r="973" spans="1:12" ht="16.5" customHeight="1">
      <c r="A973" s="186" t="s">
        <v>2510</v>
      </c>
      <c r="B973" s="186">
        <v>19862671</v>
      </c>
      <c r="C973" s="549">
        <v>13016</v>
      </c>
      <c r="D973" s="130" t="s">
        <v>3384</v>
      </c>
      <c r="E973" s="130" t="s">
        <v>4555</v>
      </c>
      <c r="F973" s="130" t="s">
        <v>4359</v>
      </c>
      <c r="G973" s="550" t="s">
        <v>2046</v>
      </c>
      <c r="I973" s="165">
        <v>43857</v>
      </c>
      <c r="J973" s="551" t="s">
        <v>799</v>
      </c>
      <c r="K973" s="552" t="s">
        <v>73</v>
      </c>
      <c r="L973" s="130" t="s">
        <v>2870</v>
      </c>
    </row>
    <row r="974" spans="1:12" ht="16.5" customHeight="1">
      <c r="A974" s="186" t="s">
        <v>2510</v>
      </c>
      <c r="B974" s="186">
        <v>20172094</v>
      </c>
      <c r="C974" s="549">
        <v>15523</v>
      </c>
      <c r="D974" s="130" t="s">
        <v>2898</v>
      </c>
      <c r="E974" s="130" t="s">
        <v>4556</v>
      </c>
      <c r="F974" s="130" t="s">
        <v>4390</v>
      </c>
      <c r="G974" s="550" t="s">
        <v>2046</v>
      </c>
      <c r="I974" s="165">
        <v>43857</v>
      </c>
      <c r="J974" s="551" t="s">
        <v>799</v>
      </c>
      <c r="K974" s="552" t="s">
        <v>73</v>
      </c>
      <c r="L974" s="130" t="s">
        <v>2870</v>
      </c>
    </row>
    <row r="975" spans="1:12" ht="16.5" customHeight="1">
      <c r="A975" s="186" t="s">
        <v>2510</v>
      </c>
      <c r="B975" s="186">
        <v>20340667</v>
      </c>
      <c r="C975" s="549">
        <v>16318</v>
      </c>
      <c r="D975" s="130" t="s">
        <v>3409</v>
      </c>
      <c r="E975" s="130" t="s">
        <v>4557</v>
      </c>
      <c r="F975" s="130" t="s">
        <v>4558</v>
      </c>
      <c r="G975" s="550" t="s">
        <v>2072</v>
      </c>
      <c r="I975" s="165">
        <v>43857</v>
      </c>
      <c r="J975" s="551" t="s">
        <v>799</v>
      </c>
      <c r="K975" s="552" t="s">
        <v>73</v>
      </c>
      <c r="L975" s="130" t="s">
        <v>2870</v>
      </c>
    </row>
    <row r="976" spans="1:12" ht="16.5" customHeight="1">
      <c r="A976" s="186" t="s">
        <v>2510</v>
      </c>
      <c r="B976" s="186">
        <v>21618756</v>
      </c>
      <c r="C976" s="549">
        <v>12020</v>
      </c>
      <c r="D976" s="130" t="s">
        <v>2528</v>
      </c>
      <c r="E976" s="130" t="s">
        <v>4559</v>
      </c>
      <c r="F976" s="130" t="s">
        <v>4560</v>
      </c>
      <c r="G976" s="550" t="s">
        <v>2274</v>
      </c>
      <c r="I976" s="165">
        <v>43857</v>
      </c>
      <c r="J976" s="551" t="s">
        <v>799</v>
      </c>
      <c r="K976" s="552" t="s">
        <v>73</v>
      </c>
      <c r="L976" s="130" t="s">
        <v>2870</v>
      </c>
    </row>
    <row r="977" spans="1:12" ht="16.5" customHeight="1">
      <c r="A977" s="186" t="s">
        <v>2510</v>
      </c>
      <c r="B977" s="186">
        <v>24543597</v>
      </c>
      <c r="C977" s="549">
        <v>12114</v>
      </c>
      <c r="D977" s="130" t="s">
        <v>2958</v>
      </c>
      <c r="E977" s="130" t="s">
        <v>4561</v>
      </c>
      <c r="F977" s="130" t="s">
        <v>4562</v>
      </c>
      <c r="G977" s="550" t="s">
        <v>2638</v>
      </c>
      <c r="I977" s="165">
        <v>43857</v>
      </c>
      <c r="J977" s="551" t="s">
        <v>799</v>
      </c>
      <c r="K977" s="552" t="s">
        <v>73</v>
      </c>
      <c r="L977" s="130" t="s">
        <v>2870</v>
      </c>
    </row>
    <row r="978" spans="1:12" ht="16.5" customHeight="1">
      <c r="A978" s="186" t="s">
        <v>2510</v>
      </c>
      <c r="B978" s="186">
        <v>24619942</v>
      </c>
      <c r="C978" s="549">
        <v>16412</v>
      </c>
      <c r="D978" s="130" t="s">
        <v>3360</v>
      </c>
      <c r="E978" s="130" t="s">
        <v>4563</v>
      </c>
      <c r="F978" s="130" t="s">
        <v>4564</v>
      </c>
      <c r="G978" s="550" t="s">
        <v>2112</v>
      </c>
      <c r="I978" s="165">
        <v>43857</v>
      </c>
      <c r="J978" s="551" t="s">
        <v>799</v>
      </c>
      <c r="K978" s="552" t="s">
        <v>73</v>
      </c>
      <c r="L978" s="130" t="s">
        <v>2870</v>
      </c>
    </row>
    <row r="979" spans="1:12" ht="16.5" customHeight="1">
      <c r="A979" s="186" t="s">
        <v>2510</v>
      </c>
      <c r="B979" s="186">
        <v>27147479</v>
      </c>
      <c r="C979" s="549">
        <v>17034</v>
      </c>
      <c r="D979" s="130" t="s">
        <v>3574</v>
      </c>
      <c r="E979" s="130" t="s">
        <v>4565</v>
      </c>
      <c r="F979" s="130" t="s">
        <v>3690</v>
      </c>
      <c r="G979" s="550" t="s">
        <v>2077</v>
      </c>
      <c r="I979" s="165">
        <v>43857</v>
      </c>
      <c r="J979" s="551" t="s">
        <v>799</v>
      </c>
      <c r="K979" s="552" t="s">
        <v>73</v>
      </c>
      <c r="L979" s="130" t="s">
        <v>2870</v>
      </c>
    </row>
    <row r="980" spans="1:12" ht="16.5" customHeight="1">
      <c r="A980" s="186" t="s">
        <v>2510</v>
      </c>
      <c r="B980" s="186">
        <v>29071677</v>
      </c>
      <c r="C980" s="549">
        <v>18801</v>
      </c>
      <c r="D980" s="130" t="s">
        <v>2925</v>
      </c>
      <c r="E980" s="130" t="s">
        <v>2926</v>
      </c>
      <c r="F980" s="130" t="s">
        <v>2900</v>
      </c>
      <c r="G980" s="550" t="s">
        <v>2185</v>
      </c>
      <c r="I980" s="165">
        <v>43857</v>
      </c>
      <c r="J980" s="551" t="s">
        <v>799</v>
      </c>
      <c r="K980" s="552" t="s">
        <v>73</v>
      </c>
      <c r="L980" s="130" t="s">
        <v>2870</v>
      </c>
    </row>
    <row r="981" spans="1:12" ht="16.5" customHeight="1">
      <c r="A981" s="186" t="s">
        <v>2510</v>
      </c>
      <c r="B981" s="186">
        <v>29200102</v>
      </c>
      <c r="C981" s="549">
        <v>16528</v>
      </c>
      <c r="D981" s="130" t="s">
        <v>3293</v>
      </c>
      <c r="E981" s="130" t="s">
        <v>4566</v>
      </c>
      <c r="F981" s="130" t="s">
        <v>4567</v>
      </c>
      <c r="G981" s="550" t="s">
        <v>2081</v>
      </c>
      <c r="I981" s="165">
        <v>43857</v>
      </c>
      <c r="J981" s="551" t="s">
        <v>799</v>
      </c>
      <c r="K981" s="552" t="s">
        <v>73</v>
      </c>
      <c r="L981" s="130" t="s">
        <v>2870</v>
      </c>
    </row>
    <row r="982" spans="1:12" ht="16.5" customHeight="1">
      <c r="A982" s="186" t="s">
        <v>2510</v>
      </c>
      <c r="B982" s="186">
        <v>29607652</v>
      </c>
      <c r="D982" s="130" t="s">
        <v>3223</v>
      </c>
      <c r="E982" s="130" t="s">
        <v>4568</v>
      </c>
      <c r="F982" s="130" t="s">
        <v>3082</v>
      </c>
      <c r="G982" s="550" t="s">
        <v>2313</v>
      </c>
      <c r="I982" s="165">
        <v>43857</v>
      </c>
      <c r="J982" s="551" t="s">
        <v>799</v>
      </c>
      <c r="K982" s="552" t="s">
        <v>73</v>
      </c>
      <c r="L982" s="130" t="s">
        <v>2870</v>
      </c>
    </row>
    <row r="983" spans="1:12" ht="16.5" customHeight="1">
      <c r="A983" s="186" t="s">
        <v>2510</v>
      </c>
      <c r="B983" s="186">
        <v>32368599</v>
      </c>
      <c r="C983" s="549">
        <v>21002</v>
      </c>
      <c r="D983" s="130" t="s">
        <v>4569</v>
      </c>
      <c r="E983" s="130" t="s">
        <v>4570</v>
      </c>
      <c r="F983" s="130" t="s">
        <v>4342</v>
      </c>
      <c r="G983" s="550" t="s">
        <v>2081</v>
      </c>
      <c r="I983" s="165">
        <v>43857</v>
      </c>
      <c r="J983" s="551" t="s">
        <v>799</v>
      </c>
      <c r="K983" s="552" t="s">
        <v>73</v>
      </c>
      <c r="L983" s="130" t="s">
        <v>2870</v>
      </c>
    </row>
    <row r="984" spans="1:12" ht="16.5" customHeight="1">
      <c r="A984" s="186" t="s">
        <v>2510</v>
      </c>
      <c r="B984" s="186">
        <v>32997801</v>
      </c>
      <c r="C984" s="549">
        <v>17367</v>
      </c>
      <c r="D984" s="130" t="s">
        <v>4571</v>
      </c>
      <c r="E984" s="130" t="s">
        <v>4572</v>
      </c>
      <c r="F984" s="130" t="s">
        <v>3960</v>
      </c>
      <c r="G984" s="550" t="s">
        <v>2413</v>
      </c>
      <c r="I984" s="165">
        <v>43857</v>
      </c>
      <c r="J984" s="551" t="s">
        <v>799</v>
      </c>
      <c r="K984" s="552" t="s">
        <v>73</v>
      </c>
      <c r="L984" s="130" t="s">
        <v>2870</v>
      </c>
    </row>
    <row r="985" spans="1:12" ht="16.5" customHeight="1">
      <c r="A985" s="186" t="s">
        <v>2510</v>
      </c>
      <c r="B985" s="186">
        <v>33477662</v>
      </c>
      <c r="C985" s="549">
        <v>15980</v>
      </c>
      <c r="D985" s="130" t="s">
        <v>3053</v>
      </c>
      <c r="E985" s="130" t="s">
        <v>4573</v>
      </c>
      <c r="F985" s="130" t="s">
        <v>4574</v>
      </c>
      <c r="G985" s="550" t="s">
        <v>2203</v>
      </c>
      <c r="I985" s="165">
        <v>43857</v>
      </c>
      <c r="J985" s="551" t="s">
        <v>799</v>
      </c>
      <c r="K985" s="552" t="s">
        <v>73</v>
      </c>
      <c r="L985" s="130" t="s">
        <v>2870</v>
      </c>
    </row>
    <row r="986" spans="1:12" ht="16.5" customHeight="1">
      <c r="A986" s="186" t="s">
        <v>2510</v>
      </c>
      <c r="B986" s="186">
        <v>33986274</v>
      </c>
      <c r="C986" s="549">
        <v>18833</v>
      </c>
      <c r="D986" s="130" t="s">
        <v>3043</v>
      </c>
      <c r="E986" s="130" t="s">
        <v>4575</v>
      </c>
      <c r="F986" s="130" t="s">
        <v>2616</v>
      </c>
      <c r="G986" s="550" t="s">
        <v>2069</v>
      </c>
      <c r="I986" s="165">
        <v>43857</v>
      </c>
      <c r="J986" s="551" t="s">
        <v>799</v>
      </c>
      <c r="K986" s="552" t="s">
        <v>73</v>
      </c>
      <c r="L986" s="130" t="s">
        <v>2870</v>
      </c>
    </row>
    <row r="987" spans="1:12" ht="16.5" customHeight="1">
      <c r="A987" s="186" t="s">
        <v>2510</v>
      </c>
      <c r="B987" s="186">
        <v>35004594</v>
      </c>
      <c r="C987" s="549">
        <v>17009</v>
      </c>
      <c r="D987" s="130" t="s">
        <v>3868</v>
      </c>
      <c r="E987" s="130" t="s">
        <v>4576</v>
      </c>
      <c r="F987" s="130" t="s">
        <v>3525</v>
      </c>
      <c r="G987" s="550" t="s">
        <v>2072</v>
      </c>
      <c r="I987" s="165">
        <v>43857</v>
      </c>
      <c r="J987" s="551" t="s">
        <v>799</v>
      </c>
      <c r="K987" s="552" t="s">
        <v>73</v>
      </c>
      <c r="L987" s="130" t="s">
        <v>2870</v>
      </c>
    </row>
    <row r="988" spans="1:12" ht="16.5" customHeight="1">
      <c r="A988" s="186" t="s">
        <v>2510</v>
      </c>
      <c r="B988" s="186">
        <v>35129907</v>
      </c>
      <c r="C988" s="549">
        <v>16893</v>
      </c>
      <c r="D988" s="130" t="s">
        <v>2898</v>
      </c>
      <c r="E988" s="130" t="s">
        <v>4577</v>
      </c>
      <c r="F988" s="130" t="s">
        <v>3601</v>
      </c>
      <c r="G988" s="550" t="s">
        <v>2201</v>
      </c>
      <c r="I988" s="165">
        <v>43857</v>
      </c>
      <c r="J988" s="551" t="s">
        <v>799</v>
      </c>
      <c r="K988" s="552" t="s">
        <v>73</v>
      </c>
      <c r="L988" s="130" t="s">
        <v>2870</v>
      </c>
    </row>
    <row r="989" spans="1:12" ht="16.5" customHeight="1">
      <c r="A989" s="186" t="s">
        <v>2510</v>
      </c>
      <c r="B989" s="186">
        <v>35491737</v>
      </c>
      <c r="D989" s="130" t="s">
        <v>4578</v>
      </c>
      <c r="E989" s="130" t="s">
        <v>4579</v>
      </c>
      <c r="F989" s="130" t="s">
        <v>4580</v>
      </c>
      <c r="G989" s="550" t="s">
        <v>2106</v>
      </c>
      <c r="I989" s="165">
        <v>43857</v>
      </c>
      <c r="J989" s="551" t="s">
        <v>799</v>
      </c>
      <c r="K989" s="552" t="s">
        <v>73</v>
      </c>
      <c r="L989" s="130" t="s">
        <v>2870</v>
      </c>
    </row>
    <row r="990" spans="1:12" ht="16.5" customHeight="1">
      <c r="A990" s="186" t="s">
        <v>2510</v>
      </c>
      <c r="B990" s="186">
        <v>35660539</v>
      </c>
      <c r="C990" s="549">
        <v>21562</v>
      </c>
      <c r="D990" s="130" t="s">
        <v>3228</v>
      </c>
      <c r="E990" s="130" t="s">
        <v>4581</v>
      </c>
      <c r="F990" s="130" t="s">
        <v>4101</v>
      </c>
      <c r="G990" s="550" t="s">
        <v>2299</v>
      </c>
      <c r="I990" s="165">
        <v>43857</v>
      </c>
      <c r="J990" s="551" t="s">
        <v>799</v>
      </c>
      <c r="K990" s="552" t="s">
        <v>73</v>
      </c>
      <c r="L990" s="130" t="s">
        <v>2870</v>
      </c>
    </row>
    <row r="991" spans="1:12" ht="16.5" customHeight="1">
      <c r="A991" s="186" t="s">
        <v>2510</v>
      </c>
      <c r="B991" s="186">
        <v>36298081</v>
      </c>
      <c r="C991" s="549">
        <v>14429</v>
      </c>
      <c r="D991" s="130" t="s">
        <v>4582</v>
      </c>
      <c r="E991" s="130" t="s">
        <v>3414</v>
      </c>
      <c r="F991" s="130" t="s">
        <v>4583</v>
      </c>
      <c r="G991" s="550" t="s">
        <v>2162</v>
      </c>
      <c r="I991" s="165">
        <v>43857</v>
      </c>
      <c r="J991" s="551" t="s">
        <v>799</v>
      </c>
      <c r="K991" s="552" t="s">
        <v>73</v>
      </c>
      <c r="L991" s="130" t="s">
        <v>2870</v>
      </c>
    </row>
    <row r="992" spans="1:12" ht="16.5" customHeight="1">
      <c r="A992" s="186" t="s">
        <v>2510</v>
      </c>
      <c r="B992" s="186">
        <v>36404085</v>
      </c>
      <c r="C992" s="549">
        <v>13348</v>
      </c>
      <c r="D992" s="130" t="s">
        <v>3411</v>
      </c>
      <c r="E992" s="130" t="s">
        <v>4584</v>
      </c>
      <c r="F992" s="130" t="s">
        <v>4585</v>
      </c>
      <c r="G992" s="550" t="s">
        <v>2046</v>
      </c>
      <c r="I992" s="165">
        <v>43857</v>
      </c>
      <c r="J992" s="551" t="s">
        <v>799</v>
      </c>
      <c r="K992" s="552" t="s">
        <v>73</v>
      </c>
      <c r="L992" s="130" t="s">
        <v>2870</v>
      </c>
    </row>
    <row r="993" spans="1:12" ht="16.5" customHeight="1">
      <c r="A993" s="186" t="s">
        <v>2510</v>
      </c>
      <c r="B993" s="186">
        <v>36798023</v>
      </c>
      <c r="C993" s="549">
        <v>19633</v>
      </c>
      <c r="D993" s="130" t="s">
        <v>3411</v>
      </c>
      <c r="E993" s="130" t="s">
        <v>4586</v>
      </c>
      <c r="F993" s="130" t="s">
        <v>3763</v>
      </c>
      <c r="G993" s="550" t="s">
        <v>2484</v>
      </c>
      <c r="I993" s="165">
        <v>43857</v>
      </c>
      <c r="J993" s="551" t="s">
        <v>799</v>
      </c>
      <c r="K993" s="552" t="s">
        <v>73</v>
      </c>
      <c r="L993" s="130" t="s">
        <v>2870</v>
      </c>
    </row>
    <row r="994" spans="1:12" ht="16.5" customHeight="1">
      <c r="A994" s="186" t="s">
        <v>2510</v>
      </c>
      <c r="B994" s="186">
        <v>37064433</v>
      </c>
      <c r="C994" s="549">
        <v>25355</v>
      </c>
      <c r="D994" s="130" t="s">
        <v>4587</v>
      </c>
      <c r="E994" s="130" t="s">
        <v>4588</v>
      </c>
      <c r="F994" s="130" t="s">
        <v>4589</v>
      </c>
      <c r="G994" s="550" t="s">
        <v>2112</v>
      </c>
      <c r="I994" s="165">
        <v>43857</v>
      </c>
      <c r="J994" s="551" t="s">
        <v>799</v>
      </c>
      <c r="K994" s="552" t="s">
        <v>73</v>
      </c>
      <c r="L994" s="130" t="s">
        <v>2870</v>
      </c>
    </row>
    <row r="995" spans="1:12" ht="16.5" customHeight="1">
      <c r="A995" s="186" t="s">
        <v>2510</v>
      </c>
      <c r="B995" s="186">
        <v>37262813</v>
      </c>
      <c r="C995" s="549">
        <v>17900</v>
      </c>
      <c r="D995" s="130" t="s">
        <v>2903</v>
      </c>
      <c r="E995" s="130" t="s">
        <v>3424</v>
      </c>
      <c r="F995" s="130" t="s">
        <v>4590</v>
      </c>
      <c r="G995" s="550" t="s">
        <v>2112</v>
      </c>
      <c r="I995" s="165">
        <v>43857</v>
      </c>
      <c r="J995" s="551" t="s">
        <v>799</v>
      </c>
      <c r="K995" s="552" t="s">
        <v>73</v>
      </c>
      <c r="L995" s="130" t="s">
        <v>2870</v>
      </c>
    </row>
    <row r="996" spans="1:12" ht="16.5" customHeight="1">
      <c r="A996" s="186" t="s">
        <v>2510</v>
      </c>
      <c r="B996" s="186">
        <v>37719549</v>
      </c>
      <c r="C996" s="549">
        <v>18699</v>
      </c>
      <c r="D996" s="130" t="s">
        <v>3527</v>
      </c>
      <c r="E996" s="130" t="s">
        <v>4591</v>
      </c>
      <c r="F996" s="130" t="s">
        <v>4592</v>
      </c>
      <c r="G996" s="550" t="s">
        <v>2064</v>
      </c>
      <c r="I996" s="165">
        <v>43857</v>
      </c>
      <c r="J996" s="551" t="s">
        <v>799</v>
      </c>
      <c r="K996" s="552" t="s">
        <v>73</v>
      </c>
      <c r="L996" s="130" t="s">
        <v>2870</v>
      </c>
    </row>
    <row r="997" spans="1:12" ht="16.5" customHeight="1">
      <c r="A997" s="186" t="s">
        <v>2510</v>
      </c>
      <c r="B997" s="186">
        <v>37876521</v>
      </c>
      <c r="C997" s="549">
        <v>24654</v>
      </c>
      <c r="D997" s="130" t="s">
        <v>2938</v>
      </c>
      <c r="E997" s="130" t="s">
        <v>2706</v>
      </c>
      <c r="F997" s="130" t="s">
        <v>4593</v>
      </c>
      <c r="G997" s="550" t="s">
        <v>2081</v>
      </c>
      <c r="I997" s="165">
        <v>43857</v>
      </c>
      <c r="J997" s="551" t="s">
        <v>799</v>
      </c>
      <c r="K997" s="552" t="s">
        <v>73</v>
      </c>
      <c r="L997" s="130" t="s">
        <v>2870</v>
      </c>
    </row>
    <row r="998" spans="1:12" ht="16.5" customHeight="1">
      <c r="A998" s="186" t="s">
        <v>2510</v>
      </c>
      <c r="B998" s="186">
        <v>38246955</v>
      </c>
      <c r="C998" s="549">
        <v>16984</v>
      </c>
      <c r="D998" s="130" t="s">
        <v>4594</v>
      </c>
      <c r="E998" s="130" t="s">
        <v>4595</v>
      </c>
      <c r="F998" s="130" t="s">
        <v>4596</v>
      </c>
      <c r="G998" s="550" t="s">
        <v>2201</v>
      </c>
      <c r="I998" s="165">
        <v>43857</v>
      </c>
      <c r="J998" s="551" t="s">
        <v>799</v>
      </c>
      <c r="K998" s="552" t="s">
        <v>73</v>
      </c>
      <c r="L998" s="130" t="s">
        <v>2870</v>
      </c>
    </row>
    <row r="999" spans="1:12" ht="16.5" customHeight="1">
      <c r="A999" s="186" t="s">
        <v>2510</v>
      </c>
      <c r="B999" s="186">
        <v>39686787</v>
      </c>
      <c r="C999" s="549">
        <v>20505</v>
      </c>
      <c r="D999" s="130" t="s">
        <v>3131</v>
      </c>
      <c r="E999" s="130" t="s">
        <v>4597</v>
      </c>
      <c r="F999" s="130" t="s">
        <v>4598</v>
      </c>
      <c r="G999" s="550" t="s">
        <v>2176</v>
      </c>
      <c r="I999" s="165">
        <v>43857</v>
      </c>
      <c r="J999" s="551" t="s">
        <v>799</v>
      </c>
      <c r="K999" s="552" t="s">
        <v>73</v>
      </c>
      <c r="L999" s="130" t="s">
        <v>2870</v>
      </c>
    </row>
    <row r="1000" spans="1:12" ht="16.5" customHeight="1">
      <c r="A1000" s="186" t="s">
        <v>2510</v>
      </c>
      <c r="B1000" s="186">
        <v>39876628</v>
      </c>
      <c r="C1000" s="549">
        <v>23766</v>
      </c>
      <c r="D1000" s="130" t="s">
        <v>4599</v>
      </c>
      <c r="E1000" s="130" t="s">
        <v>4600</v>
      </c>
      <c r="F1000" s="130" t="s">
        <v>4601</v>
      </c>
      <c r="G1000" s="550" t="s">
        <v>4512</v>
      </c>
      <c r="I1000" s="165">
        <v>43857</v>
      </c>
      <c r="J1000" s="551" t="s">
        <v>799</v>
      </c>
      <c r="K1000" s="552" t="s">
        <v>73</v>
      </c>
      <c r="L1000" s="130" t="s">
        <v>2870</v>
      </c>
    </row>
    <row r="1001" spans="1:12" ht="16.5" customHeight="1">
      <c r="A1001" s="186" t="s">
        <v>2510</v>
      </c>
      <c r="B1001" s="186">
        <v>40333296</v>
      </c>
      <c r="C1001" s="549">
        <v>14261</v>
      </c>
      <c r="D1001" s="130" t="s">
        <v>4602</v>
      </c>
      <c r="E1001" s="130" t="s">
        <v>4603</v>
      </c>
      <c r="F1001" s="130" t="s">
        <v>4258</v>
      </c>
      <c r="G1001" s="550" t="s">
        <v>2081</v>
      </c>
      <c r="I1001" s="165">
        <v>43857</v>
      </c>
      <c r="J1001" s="551" t="s">
        <v>799</v>
      </c>
      <c r="K1001" s="552" t="s">
        <v>73</v>
      </c>
      <c r="L1001" s="130" t="s">
        <v>2870</v>
      </c>
    </row>
    <row r="1002" spans="1:12" ht="16.5" customHeight="1">
      <c r="A1002" s="186" t="s">
        <v>2510</v>
      </c>
      <c r="B1002" s="186">
        <v>42635979</v>
      </c>
      <c r="C1002" s="549">
        <v>21610</v>
      </c>
      <c r="D1002" s="130" t="s">
        <v>4604</v>
      </c>
      <c r="E1002" s="130" t="s">
        <v>4605</v>
      </c>
      <c r="F1002" s="130" t="s">
        <v>2564</v>
      </c>
      <c r="G1002" s="550" t="s">
        <v>2089</v>
      </c>
      <c r="I1002" s="165">
        <v>43857</v>
      </c>
      <c r="J1002" s="551" t="s">
        <v>799</v>
      </c>
      <c r="K1002" s="552" t="s">
        <v>73</v>
      </c>
      <c r="L1002" s="130" t="s">
        <v>2870</v>
      </c>
    </row>
    <row r="1003" spans="1:12" ht="16.5" customHeight="1">
      <c r="A1003" s="186" t="s">
        <v>2510</v>
      </c>
      <c r="B1003" s="186">
        <v>43454370</v>
      </c>
      <c r="C1003" s="549">
        <v>13696</v>
      </c>
      <c r="D1003" s="130" t="s">
        <v>2541</v>
      </c>
      <c r="E1003" s="130" t="s">
        <v>4606</v>
      </c>
      <c r="F1003" s="130" t="s">
        <v>3004</v>
      </c>
      <c r="G1003" s="550" t="s">
        <v>2112</v>
      </c>
      <c r="I1003" s="165">
        <v>43857</v>
      </c>
      <c r="J1003" s="551" t="s">
        <v>799</v>
      </c>
      <c r="K1003" s="552" t="s">
        <v>73</v>
      </c>
      <c r="L1003" s="130" t="s">
        <v>2870</v>
      </c>
    </row>
    <row r="1004" spans="1:12" ht="16.5" customHeight="1">
      <c r="A1004" s="186" t="s">
        <v>2510</v>
      </c>
      <c r="B1004" s="186">
        <v>44840973</v>
      </c>
      <c r="D1004" s="130" t="s">
        <v>2851</v>
      </c>
      <c r="E1004" s="130" t="s">
        <v>4607</v>
      </c>
      <c r="F1004" s="130" t="s">
        <v>3529</v>
      </c>
      <c r="G1004" s="550" t="s">
        <v>2072</v>
      </c>
      <c r="I1004" s="165">
        <v>43857</v>
      </c>
      <c r="J1004" s="551" t="s">
        <v>799</v>
      </c>
      <c r="K1004" s="552" t="s">
        <v>73</v>
      </c>
      <c r="L1004" s="130" t="s">
        <v>2870</v>
      </c>
    </row>
    <row r="1005" spans="1:12" ht="16.5" customHeight="1">
      <c r="A1005" s="186" t="s">
        <v>2510</v>
      </c>
      <c r="B1005" s="186">
        <v>50102573</v>
      </c>
      <c r="C1005" s="549">
        <v>14732</v>
      </c>
      <c r="D1005" s="130" t="s">
        <v>4608</v>
      </c>
      <c r="E1005" s="130" t="s">
        <v>3639</v>
      </c>
      <c r="F1005" s="130" t="s">
        <v>4104</v>
      </c>
      <c r="G1005" s="550" t="s">
        <v>2059</v>
      </c>
      <c r="I1005" s="165">
        <v>43857</v>
      </c>
      <c r="J1005" s="551" t="s">
        <v>799</v>
      </c>
      <c r="K1005" s="552" t="s">
        <v>73</v>
      </c>
      <c r="L1005" s="130" t="s">
        <v>2870</v>
      </c>
    </row>
    <row r="1006" spans="1:12" ht="16.5" customHeight="1">
      <c r="A1006" s="186" t="s">
        <v>2510</v>
      </c>
      <c r="B1006" s="186">
        <v>51569010</v>
      </c>
      <c r="C1006" s="549">
        <v>19975</v>
      </c>
      <c r="D1006" s="130" t="s">
        <v>2600</v>
      </c>
      <c r="E1006" s="130" t="s">
        <v>4609</v>
      </c>
      <c r="F1006" s="130" t="s">
        <v>4610</v>
      </c>
      <c r="G1006" s="550" t="s">
        <v>2106</v>
      </c>
      <c r="I1006" s="165">
        <v>43857</v>
      </c>
      <c r="J1006" s="551" t="s">
        <v>799</v>
      </c>
      <c r="K1006" s="552" t="s">
        <v>73</v>
      </c>
      <c r="L1006" s="130" t="s">
        <v>2870</v>
      </c>
    </row>
    <row r="1007" spans="1:12" ht="16.5" customHeight="1">
      <c r="A1007" s="186" t="s">
        <v>2510</v>
      </c>
      <c r="B1007" s="186">
        <v>52519378</v>
      </c>
      <c r="C1007" s="549">
        <v>20182</v>
      </c>
      <c r="D1007" s="130" t="s">
        <v>3981</v>
      </c>
      <c r="E1007" s="130" t="s">
        <v>4611</v>
      </c>
      <c r="F1007" s="130" t="s">
        <v>4612</v>
      </c>
      <c r="G1007" s="550" t="s">
        <v>2299</v>
      </c>
      <c r="I1007" s="165">
        <v>43857</v>
      </c>
      <c r="J1007" s="551" t="s">
        <v>799</v>
      </c>
      <c r="K1007" s="552" t="s">
        <v>73</v>
      </c>
      <c r="L1007" s="130" t="s">
        <v>2870</v>
      </c>
    </row>
    <row r="1008" spans="1:12" ht="16.5" customHeight="1">
      <c r="A1008" s="186" t="s">
        <v>2510</v>
      </c>
      <c r="B1008" s="186">
        <v>53404174</v>
      </c>
      <c r="D1008" s="130" t="s">
        <v>4613</v>
      </c>
      <c r="E1008" s="130" t="s">
        <v>4614</v>
      </c>
      <c r="F1008" s="130" t="s">
        <v>4615</v>
      </c>
      <c r="G1008" s="550" t="s">
        <v>2419</v>
      </c>
      <c r="I1008" s="165">
        <v>43857</v>
      </c>
      <c r="J1008" s="551" t="s">
        <v>799</v>
      </c>
      <c r="K1008" s="552" t="s">
        <v>73</v>
      </c>
      <c r="L1008" s="130" t="s">
        <v>2870</v>
      </c>
    </row>
    <row r="1009" spans="1:12" ht="16.5" customHeight="1">
      <c r="A1009" s="186" t="s">
        <v>2510</v>
      </c>
      <c r="B1009" s="186">
        <v>56709843</v>
      </c>
      <c r="C1009" s="549">
        <v>28444</v>
      </c>
      <c r="D1009" s="130" t="s">
        <v>4616</v>
      </c>
      <c r="E1009" s="130" t="s">
        <v>4617</v>
      </c>
      <c r="F1009" s="130" t="s">
        <v>3371</v>
      </c>
      <c r="G1009" s="550" t="s">
        <v>2174</v>
      </c>
      <c r="I1009" s="165">
        <v>43857</v>
      </c>
      <c r="J1009" s="551" t="s">
        <v>799</v>
      </c>
      <c r="K1009" s="552" t="s">
        <v>73</v>
      </c>
      <c r="L1009" s="130" t="s">
        <v>2870</v>
      </c>
    </row>
    <row r="1010" spans="1:12" ht="16.5" customHeight="1">
      <c r="A1010" s="186" t="s">
        <v>2510</v>
      </c>
      <c r="B1010" s="186">
        <v>59651612</v>
      </c>
      <c r="C1010" s="549">
        <v>14766</v>
      </c>
      <c r="D1010" s="130" t="s">
        <v>2541</v>
      </c>
      <c r="E1010" s="130" t="s">
        <v>4618</v>
      </c>
      <c r="F1010" s="130" t="s">
        <v>4619</v>
      </c>
      <c r="G1010" s="550" t="s">
        <v>2363</v>
      </c>
      <c r="I1010" s="165">
        <v>43857</v>
      </c>
      <c r="J1010" s="551" t="s">
        <v>799</v>
      </c>
      <c r="K1010" s="552" t="s">
        <v>73</v>
      </c>
      <c r="L1010" s="130" t="s">
        <v>2870</v>
      </c>
    </row>
    <row r="1011" spans="1:12" ht="16.5" customHeight="1">
      <c r="A1011" s="186" t="s">
        <v>2510</v>
      </c>
      <c r="B1011" s="186">
        <v>63885362</v>
      </c>
      <c r="C1011" s="549">
        <v>18853</v>
      </c>
      <c r="D1011" s="130" t="s">
        <v>3384</v>
      </c>
      <c r="E1011" s="130" t="s">
        <v>4620</v>
      </c>
      <c r="F1011" s="130" t="s">
        <v>2564</v>
      </c>
      <c r="G1011" s="550" t="s">
        <v>2089</v>
      </c>
      <c r="I1011" s="165">
        <v>43857</v>
      </c>
      <c r="J1011" s="551" t="s">
        <v>799</v>
      </c>
      <c r="K1011" s="552" t="s">
        <v>73</v>
      </c>
      <c r="L1011" s="130" t="s">
        <v>2870</v>
      </c>
    </row>
    <row r="1012" spans="1:12" ht="16.5" customHeight="1">
      <c r="A1012" s="186" t="s">
        <v>2510</v>
      </c>
      <c r="B1012" s="186">
        <v>63895973</v>
      </c>
      <c r="C1012" s="549">
        <v>20143</v>
      </c>
      <c r="D1012" s="130" t="s">
        <v>2982</v>
      </c>
      <c r="E1012" s="130" t="s">
        <v>4621</v>
      </c>
      <c r="F1012" s="130" t="s">
        <v>4622</v>
      </c>
      <c r="G1012" s="550" t="s">
        <v>2112</v>
      </c>
      <c r="I1012" s="165">
        <v>43857</v>
      </c>
      <c r="J1012" s="551" t="s">
        <v>799</v>
      </c>
      <c r="K1012" s="552" t="s">
        <v>73</v>
      </c>
      <c r="L1012" s="130" t="s">
        <v>2870</v>
      </c>
    </row>
    <row r="1013" spans="1:12" ht="16.5" customHeight="1">
      <c r="A1013" s="186" t="s">
        <v>2510</v>
      </c>
      <c r="B1013" s="186">
        <v>65456048</v>
      </c>
      <c r="C1013" s="549">
        <v>17749</v>
      </c>
      <c r="D1013" s="130" t="s">
        <v>2523</v>
      </c>
      <c r="E1013" s="130" t="s">
        <v>4623</v>
      </c>
      <c r="F1013" s="130" t="s">
        <v>4624</v>
      </c>
      <c r="G1013" s="550" t="s">
        <v>2174</v>
      </c>
      <c r="I1013" s="165">
        <v>43857</v>
      </c>
      <c r="J1013" s="551" t="s">
        <v>799</v>
      </c>
      <c r="K1013" s="552" t="s">
        <v>73</v>
      </c>
      <c r="L1013" s="130" t="s">
        <v>2870</v>
      </c>
    </row>
    <row r="1014" spans="1:12" ht="16.5" customHeight="1">
      <c r="A1014" s="186" t="s">
        <v>2510</v>
      </c>
      <c r="B1014" s="186">
        <v>71333371</v>
      </c>
      <c r="D1014" s="130" t="s">
        <v>3474</v>
      </c>
      <c r="E1014" s="130" t="s">
        <v>4625</v>
      </c>
      <c r="F1014" s="130" t="s">
        <v>4177</v>
      </c>
      <c r="G1014" s="550" t="s">
        <v>2174</v>
      </c>
      <c r="I1014" s="165">
        <v>43857</v>
      </c>
      <c r="J1014" s="551" t="s">
        <v>799</v>
      </c>
      <c r="K1014" s="552" t="s">
        <v>73</v>
      </c>
      <c r="L1014" s="130" t="s">
        <v>2870</v>
      </c>
    </row>
    <row r="1015" spans="1:12" ht="16.5" customHeight="1">
      <c r="A1015" s="186" t="s">
        <v>2510</v>
      </c>
      <c r="B1015" s="186">
        <v>72178221</v>
      </c>
      <c r="C1015" s="549">
        <v>20461</v>
      </c>
      <c r="D1015" s="130" t="s">
        <v>3043</v>
      </c>
      <c r="E1015" s="130" t="s">
        <v>4626</v>
      </c>
      <c r="F1015" s="130" t="s">
        <v>2524</v>
      </c>
      <c r="G1015" s="550" t="s">
        <v>2112</v>
      </c>
      <c r="I1015" s="165">
        <v>43857</v>
      </c>
      <c r="J1015" s="551" t="s">
        <v>799</v>
      </c>
      <c r="K1015" s="552" t="s">
        <v>73</v>
      </c>
      <c r="L1015" s="130" t="s">
        <v>2870</v>
      </c>
    </row>
    <row r="1016" spans="1:12" ht="16.5" customHeight="1">
      <c r="A1016" s="186" t="s">
        <v>2510</v>
      </c>
      <c r="B1016" s="186">
        <v>73969974</v>
      </c>
      <c r="C1016" s="549">
        <v>29091</v>
      </c>
      <c r="D1016" s="130" t="s">
        <v>4627</v>
      </c>
      <c r="E1016" s="130" t="s">
        <v>4628</v>
      </c>
      <c r="F1016" s="130" t="s">
        <v>2650</v>
      </c>
      <c r="G1016" s="550" t="s">
        <v>65</v>
      </c>
      <c r="I1016" s="165">
        <v>43857</v>
      </c>
      <c r="J1016" s="551" t="s">
        <v>799</v>
      </c>
      <c r="K1016" s="552" t="s">
        <v>73</v>
      </c>
      <c r="L1016" s="130" t="s">
        <v>2870</v>
      </c>
    </row>
    <row r="1017" spans="1:12" ht="16.5" customHeight="1">
      <c r="A1017" s="186" t="s">
        <v>2510</v>
      </c>
      <c r="B1017" s="186">
        <v>74697178</v>
      </c>
      <c r="C1017" s="549">
        <v>16078</v>
      </c>
      <c r="D1017" s="130" t="s">
        <v>2903</v>
      </c>
      <c r="E1017" s="130" t="s">
        <v>4629</v>
      </c>
      <c r="F1017" s="130" t="s">
        <v>4630</v>
      </c>
      <c r="G1017" s="550" t="s">
        <v>2094</v>
      </c>
      <c r="I1017" s="165">
        <v>43857</v>
      </c>
      <c r="J1017" s="551" t="s">
        <v>799</v>
      </c>
      <c r="K1017" s="552" t="s">
        <v>73</v>
      </c>
      <c r="L1017" s="130" t="s">
        <v>2870</v>
      </c>
    </row>
    <row r="1018" spans="1:12" ht="16.5" customHeight="1">
      <c r="A1018" s="186" t="s">
        <v>2510</v>
      </c>
      <c r="B1018" s="186">
        <v>74768185</v>
      </c>
      <c r="C1018" s="549">
        <v>14977</v>
      </c>
      <c r="D1018" s="130" t="s">
        <v>2851</v>
      </c>
      <c r="E1018" s="130" t="s">
        <v>4631</v>
      </c>
      <c r="F1018" s="130" t="s">
        <v>4632</v>
      </c>
      <c r="G1018" s="550" t="s">
        <v>2094</v>
      </c>
      <c r="I1018" s="165">
        <v>43857</v>
      </c>
      <c r="J1018" s="551" t="s">
        <v>799</v>
      </c>
      <c r="K1018" s="552" t="s">
        <v>73</v>
      </c>
      <c r="L1018" s="130" t="s">
        <v>2870</v>
      </c>
    </row>
    <row r="1019" spans="1:12" ht="16.5" customHeight="1">
      <c r="A1019" s="186" t="s">
        <v>2510</v>
      </c>
      <c r="B1019" s="186">
        <v>77151314</v>
      </c>
      <c r="C1019" s="549">
        <v>17592</v>
      </c>
      <c r="D1019" s="130" t="s">
        <v>2882</v>
      </c>
      <c r="E1019" s="130" t="s">
        <v>4633</v>
      </c>
      <c r="F1019" s="130" t="s">
        <v>4634</v>
      </c>
      <c r="G1019" s="550" t="s">
        <v>2176</v>
      </c>
      <c r="I1019" s="165">
        <v>43857</v>
      </c>
      <c r="J1019" s="551" t="s">
        <v>799</v>
      </c>
      <c r="K1019" s="552" t="s">
        <v>73</v>
      </c>
      <c r="L1019" s="130" t="s">
        <v>2870</v>
      </c>
    </row>
    <row r="1020" spans="1:12" ht="16.5" customHeight="1">
      <c r="A1020" s="186" t="s">
        <v>2510</v>
      </c>
      <c r="B1020" s="186">
        <v>81585655</v>
      </c>
      <c r="D1020" s="130" t="s">
        <v>2635</v>
      </c>
      <c r="E1020" s="130" t="s">
        <v>4635</v>
      </c>
      <c r="F1020" s="130" t="s">
        <v>4636</v>
      </c>
      <c r="G1020" s="550" t="s">
        <v>4637</v>
      </c>
      <c r="I1020" s="165">
        <v>43857</v>
      </c>
      <c r="J1020" s="551" t="s">
        <v>799</v>
      </c>
      <c r="K1020" s="552" t="s">
        <v>73</v>
      </c>
      <c r="L1020" s="130" t="s">
        <v>2870</v>
      </c>
    </row>
    <row r="1021" spans="1:12" ht="16.5" customHeight="1">
      <c r="A1021" s="186" t="s">
        <v>2510</v>
      </c>
      <c r="B1021" s="186">
        <v>83904177</v>
      </c>
      <c r="D1021" s="130" t="s">
        <v>2863</v>
      </c>
      <c r="E1021" s="130" t="s">
        <v>2818</v>
      </c>
      <c r="F1021" s="130" t="s">
        <v>2819</v>
      </c>
      <c r="G1021" s="550" t="s">
        <v>2144</v>
      </c>
      <c r="I1021" s="165">
        <v>43857</v>
      </c>
      <c r="J1021" s="551" t="s">
        <v>799</v>
      </c>
      <c r="K1021" s="552" t="s">
        <v>73</v>
      </c>
      <c r="L1021" s="130" t="s">
        <v>2870</v>
      </c>
    </row>
    <row r="1022" spans="1:12" ht="16.5" customHeight="1">
      <c r="A1022" s="186" t="s">
        <v>2510</v>
      </c>
      <c r="B1022" s="186">
        <v>84096775</v>
      </c>
      <c r="C1022" s="549">
        <v>18264</v>
      </c>
      <c r="D1022" s="130" t="s">
        <v>3358</v>
      </c>
      <c r="E1022" s="130" t="s">
        <v>4638</v>
      </c>
      <c r="F1022" s="130" t="s">
        <v>4639</v>
      </c>
      <c r="G1022" s="550" t="s">
        <v>2274</v>
      </c>
      <c r="I1022" s="165">
        <v>43857</v>
      </c>
      <c r="J1022" s="551" t="s">
        <v>799</v>
      </c>
      <c r="K1022" s="552" t="s">
        <v>73</v>
      </c>
      <c r="L1022" s="130" t="s">
        <v>2870</v>
      </c>
    </row>
    <row r="1023" spans="1:12" ht="16.5" customHeight="1">
      <c r="A1023" s="186" t="s">
        <v>2510</v>
      </c>
      <c r="B1023" s="186">
        <v>90134982</v>
      </c>
      <c r="C1023" s="549">
        <v>27614</v>
      </c>
      <c r="D1023" s="130" t="s">
        <v>2577</v>
      </c>
      <c r="E1023" s="130" t="s">
        <v>4640</v>
      </c>
      <c r="F1023" s="130" t="s">
        <v>3662</v>
      </c>
      <c r="G1023" s="550" t="s">
        <v>2094</v>
      </c>
      <c r="I1023" s="165">
        <v>43857</v>
      </c>
      <c r="J1023" s="551" t="s">
        <v>799</v>
      </c>
      <c r="K1023" s="552" t="s">
        <v>73</v>
      </c>
      <c r="L1023" s="130" t="s">
        <v>2870</v>
      </c>
    </row>
    <row r="1024" spans="1:12" ht="16.5" customHeight="1">
      <c r="A1024" s="186" t="s">
        <v>2510</v>
      </c>
      <c r="B1024" s="186">
        <v>90269994</v>
      </c>
      <c r="C1024" s="549">
        <v>13554</v>
      </c>
      <c r="D1024" s="130" t="s">
        <v>2718</v>
      </c>
      <c r="E1024" s="130" t="s">
        <v>4641</v>
      </c>
      <c r="F1024" s="130" t="s">
        <v>4642</v>
      </c>
      <c r="G1024" s="550" t="s">
        <v>2081</v>
      </c>
      <c r="I1024" s="165">
        <v>43857</v>
      </c>
      <c r="J1024" s="551" t="s">
        <v>799</v>
      </c>
      <c r="K1024" s="552" t="s">
        <v>73</v>
      </c>
      <c r="L1024" s="130" t="s">
        <v>2870</v>
      </c>
    </row>
    <row r="1025" spans="1:12" ht="16.5" customHeight="1">
      <c r="A1025" s="186" t="s">
        <v>2510</v>
      </c>
      <c r="B1025" s="186">
        <v>91326041</v>
      </c>
      <c r="C1025" s="549">
        <v>16907</v>
      </c>
      <c r="D1025" s="130" t="s">
        <v>2871</v>
      </c>
      <c r="E1025" s="130" t="s">
        <v>4184</v>
      </c>
      <c r="F1025" s="130" t="s">
        <v>4643</v>
      </c>
      <c r="G1025" s="550" t="s">
        <v>2413</v>
      </c>
      <c r="I1025" s="165">
        <v>43857</v>
      </c>
      <c r="J1025" s="551" t="s">
        <v>799</v>
      </c>
      <c r="K1025" s="552" t="s">
        <v>73</v>
      </c>
      <c r="L1025" s="130" t="s">
        <v>2870</v>
      </c>
    </row>
    <row r="1026" spans="1:12" ht="16.5" customHeight="1">
      <c r="A1026" s="186" t="s">
        <v>2510</v>
      </c>
      <c r="B1026" s="186">
        <v>91426353</v>
      </c>
      <c r="C1026" s="549">
        <v>17285</v>
      </c>
      <c r="D1026" s="130" t="s">
        <v>2969</v>
      </c>
      <c r="E1026" s="130" t="s">
        <v>4644</v>
      </c>
      <c r="F1026" s="130" t="s">
        <v>4645</v>
      </c>
      <c r="G1026" s="550" t="s">
        <v>2055</v>
      </c>
      <c r="I1026" s="165">
        <v>43857</v>
      </c>
      <c r="J1026" s="551" t="s">
        <v>799</v>
      </c>
      <c r="K1026" s="552" t="s">
        <v>73</v>
      </c>
      <c r="L1026" s="130" t="s">
        <v>2870</v>
      </c>
    </row>
    <row r="1027" spans="1:12" ht="16.5" customHeight="1">
      <c r="A1027" s="186" t="s">
        <v>2510</v>
      </c>
      <c r="B1027" s="186">
        <v>93507887</v>
      </c>
      <c r="C1027" s="549">
        <v>17937</v>
      </c>
      <c r="D1027" s="130" t="s">
        <v>4646</v>
      </c>
      <c r="E1027" s="130" t="s">
        <v>2710</v>
      </c>
      <c r="F1027" s="130" t="s">
        <v>2712</v>
      </c>
      <c r="G1027" s="550" t="s">
        <v>2069</v>
      </c>
      <c r="I1027" s="165">
        <v>43857</v>
      </c>
      <c r="J1027" s="551" t="s">
        <v>799</v>
      </c>
      <c r="K1027" s="552" t="s">
        <v>73</v>
      </c>
      <c r="L1027" s="130" t="s">
        <v>2870</v>
      </c>
    </row>
    <row r="1028" spans="1:12" ht="16.5" customHeight="1">
      <c r="A1028" s="186" t="s">
        <v>2510</v>
      </c>
      <c r="B1028" s="186">
        <v>93995884</v>
      </c>
      <c r="C1028" s="549">
        <v>17467</v>
      </c>
      <c r="D1028" s="130" t="s">
        <v>2779</v>
      </c>
      <c r="E1028" s="130" t="s">
        <v>2780</v>
      </c>
      <c r="F1028" s="130" t="s">
        <v>2781</v>
      </c>
      <c r="G1028" s="550" t="s">
        <v>2176</v>
      </c>
      <c r="I1028" s="165">
        <v>43857</v>
      </c>
      <c r="J1028" s="551" t="s">
        <v>799</v>
      </c>
      <c r="K1028" s="552" t="s">
        <v>73</v>
      </c>
      <c r="L1028" s="130" t="s">
        <v>2870</v>
      </c>
    </row>
    <row r="1029" spans="1:12" ht="16.5" customHeight="1">
      <c r="A1029" s="186" t="s">
        <v>2510</v>
      </c>
      <c r="B1029" s="186">
        <v>3416880</v>
      </c>
      <c r="C1029" s="549">
        <v>19069</v>
      </c>
      <c r="D1029" s="130" t="s">
        <v>4647</v>
      </c>
      <c r="E1029" s="130" t="s">
        <v>4648</v>
      </c>
      <c r="F1029" s="130" t="s">
        <v>4091</v>
      </c>
      <c r="G1029" s="550" t="s">
        <v>2064</v>
      </c>
      <c r="I1029" s="165">
        <v>43857</v>
      </c>
      <c r="J1029" s="551" t="s">
        <v>799</v>
      </c>
      <c r="K1029" s="552" t="s">
        <v>67</v>
      </c>
      <c r="L1029" s="130" t="s">
        <v>2664</v>
      </c>
    </row>
    <row r="1030" spans="1:12" ht="16.5" customHeight="1">
      <c r="A1030" s="186" t="s">
        <v>3071</v>
      </c>
      <c r="B1030" s="186">
        <v>629459777</v>
      </c>
      <c r="C1030" s="549">
        <v>15585</v>
      </c>
      <c r="D1030" s="130" t="s">
        <v>3901</v>
      </c>
      <c r="E1030" s="130" t="s">
        <v>4649</v>
      </c>
      <c r="F1030" s="130" t="s">
        <v>4650</v>
      </c>
      <c r="G1030" s="550" t="s">
        <v>2313</v>
      </c>
      <c r="I1030" s="165">
        <v>43859</v>
      </c>
      <c r="J1030" s="551" t="s">
        <v>799</v>
      </c>
      <c r="K1030" s="552" t="s">
        <v>2516</v>
      </c>
      <c r="L1030" s="130" t="s">
        <v>3042</v>
      </c>
    </row>
    <row r="1031" spans="1:12" ht="16.5" customHeight="1">
      <c r="A1031" s="186" t="s">
        <v>3071</v>
      </c>
      <c r="B1031" s="186">
        <v>95229878</v>
      </c>
      <c r="C1031" s="549">
        <v>18515</v>
      </c>
      <c r="D1031" s="130" t="s">
        <v>4651</v>
      </c>
      <c r="E1031" s="130" t="s">
        <v>4652</v>
      </c>
      <c r="F1031" s="130" t="s">
        <v>4653</v>
      </c>
      <c r="G1031" s="550" t="s">
        <v>2072</v>
      </c>
      <c r="H1031" s="130" t="s">
        <v>4654</v>
      </c>
      <c r="I1031" s="165">
        <v>43859</v>
      </c>
      <c r="J1031" s="551" t="s">
        <v>799</v>
      </c>
      <c r="K1031" s="552" t="s">
        <v>2516</v>
      </c>
      <c r="L1031" s="130" t="s">
        <v>4655</v>
      </c>
    </row>
    <row r="1032" spans="1:12" ht="16.5" customHeight="1">
      <c r="A1032" s="186" t="s">
        <v>2584</v>
      </c>
      <c r="B1032" s="186">
        <v>98757297</v>
      </c>
      <c r="D1032" s="130" t="s">
        <v>3232</v>
      </c>
      <c r="E1032" s="130" t="s">
        <v>4656</v>
      </c>
      <c r="F1032" s="130" t="s">
        <v>4657</v>
      </c>
      <c r="G1032" s="550" t="s">
        <v>2293</v>
      </c>
      <c r="I1032" s="165">
        <v>43862</v>
      </c>
      <c r="J1032" s="551" t="s">
        <v>799</v>
      </c>
      <c r="K1032" s="552" t="s">
        <v>73</v>
      </c>
      <c r="L1032" s="130" t="s">
        <v>2870</v>
      </c>
    </row>
    <row r="1033" spans="1:12" ht="16.5" customHeight="1">
      <c r="A1033" s="186" t="s">
        <v>2510</v>
      </c>
      <c r="B1033" s="186">
        <v>682963</v>
      </c>
      <c r="C1033" s="549">
        <v>13792</v>
      </c>
      <c r="D1033" s="130" t="s">
        <v>3072</v>
      </c>
      <c r="E1033" s="130" t="s">
        <v>4658</v>
      </c>
      <c r="F1033" s="130" t="s">
        <v>2703</v>
      </c>
      <c r="G1033" s="550" t="s">
        <v>2064</v>
      </c>
      <c r="I1033" s="165">
        <v>43864</v>
      </c>
      <c r="J1033" s="551" t="s">
        <v>799</v>
      </c>
      <c r="K1033" s="552" t="s">
        <v>67</v>
      </c>
      <c r="L1033" s="130" t="s">
        <v>2664</v>
      </c>
    </row>
    <row r="1034" spans="1:12" ht="16.5" customHeight="1">
      <c r="A1034" s="186" t="s">
        <v>2510</v>
      </c>
      <c r="B1034" s="186">
        <v>24068736</v>
      </c>
      <c r="C1034" s="549">
        <v>20363</v>
      </c>
      <c r="D1034" s="130" t="s">
        <v>4659</v>
      </c>
      <c r="E1034" s="130" t="s">
        <v>4660</v>
      </c>
      <c r="F1034" s="130" t="s">
        <v>4661</v>
      </c>
      <c r="G1034" s="550" t="s">
        <v>2176</v>
      </c>
      <c r="I1034" s="165">
        <v>43864</v>
      </c>
      <c r="J1034" s="551" t="s">
        <v>799</v>
      </c>
      <c r="K1034" s="552" t="s">
        <v>67</v>
      </c>
      <c r="L1034" s="130" t="s">
        <v>2664</v>
      </c>
    </row>
    <row r="1035" spans="1:12" ht="16.5" customHeight="1">
      <c r="A1035" s="186" t="s">
        <v>3071</v>
      </c>
      <c r="B1035" s="186">
        <v>37447786</v>
      </c>
      <c r="C1035" s="549">
        <v>19906</v>
      </c>
      <c r="D1035" s="130" t="s">
        <v>3302</v>
      </c>
      <c r="E1035" s="130" t="s">
        <v>4662</v>
      </c>
      <c r="F1035" s="130" t="s">
        <v>2646</v>
      </c>
      <c r="G1035" s="550" t="s">
        <v>2069</v>
      </c>
      <c r="I1035" s="165">
        <v>43864</v>
      </c>
      <c r="J1035" s="551" t="s">
        <v>799</v>
      </c>
      <c r="K1035" s="552" t="s">
        <v>67</v>
      </c>
      <c r="L1035" s="130" t="s">
        <v>2664</v>
      </c>
    </row>
    <row r="1036" spans="1:12" ht="16.5" customHeight="1">
      <c r="A1036" s="186" t="s">
        <v>3071</v>
      </c>
      <c r="B1036" s="186">
        <v>942326</v>
      </c>
      <c r="C1036" s="549">
        <v>17755</v>
      </c>
      <c r="D1036" s="130" t="s">
        <v>2733</v>
      </c>
      <c r="E1036" s="130" t="s">
        <v>4663</v>
      </c>
      <c r="F1036" s="130" t="s">
        <v>2730</v>
      </c>
      <c r="G1036" s="550" t="s">
        <v>2069</v>
      </c>
      <c r="H1036" s="130" t="s">
        <v>88</v>
      </c>
      <c r="I1036" s="165">
        <v>43864</v>
      </c>
      <c r="J1036" s="551" t="s">
        <v>799</v>
      </c>
      <c r="K1036" s="552" t="s">
        <v>72</v>
      </c>
      <c r="L1036" s="130" t="s">
        <v>2866</v>
      </c>
    </row>
    <row r="1037" spans="1:12" ht="16.5" customHeight="1">
      <c r="A1037" s="186" t="s">
        <v>3071</v>
      </c>
      <c r="B1037" s="186">
        <v>6675862</v>
      </c>
      <c r="C1037" s="549">
        <v>13162</v>
      </c>
      <c r="D1037" s="130" t="s">
        <v>4664</v>
      </c>
      <c r="E1037" s="130" t="s">
        <v>4665</v>
      </c>
      <c r="F1037" s="130" t="s">
        <v>2679</v>
      </c>
      <c r="G1037" s="550" t="s">
        <v>2318</v>
      </c>
      <c r="I1037" s="165">
        <v>43864</v>
      </c>
      <c r="J1037" s="551" t="s">
        <v>799</v>
      </c>
      <c r="K1037" s="552" t="s">
        <v>72</v>
      </c>
      <c r="L1037" s="130" t="s">
        <v>2866</v>
      </c>
    </row>
    <row r="1038" spans="1:12" ht="16.5" customHeight="1">
      <c r="A1038" s="186" t="s">
        <v>2510</v>
      </c>
      <c r="B1038" s="186">
        <v>23086234</v>
      </c>
      <c r="C1038" s="549">
        <v>17161</v>
      </c>
      <c r="D1038" s="130" t="s">
        <v>4666</v>
      </c>
      <c r="E1038" s="130" t="s">
        <v>2904</v>
      </c>
      <c r="F1038" s="130" t="s">
        <v>4074</v>
      </c>
      <c r="G1038" s="550" t="s">
        <v>2139</v>
      </c>
      <c r="I1038" s="165">
        <v>43864</v>
      </c>
      <c r="J1038" s="551" t="s">
        <v>799</v>
      </c>
      <c r="K1038" s="552" t="s">
        <v>72</v>
      </c>
      <c r="L1038" s="130" t="s">
        <v>2866</v>
      </c>
    </row>
    <row r="1039" spans="1:12" ht="16.5" customHeight="1">
      <c r="A1039" s="186" t="s">
        <v>3071</v>
      </c>
      <c r="B1039" s="186">
        <v>37913571</v>
      </c>
      <c r="C1039" s="549">
        <v>12751</v>
      </c>
      <c r="D1039" s="130" t="s">
        <v>3409</v>
      </c>
      <c r="E1039" s="130" t="s">
        <v>4667</v>
      </c>
      <c r="F1039" s="130" t="s">
        <v>4668</v>
      </c>
      <c r="G1039" s="550" t="s">
        <v>2069</v>
      </c>
      <c r="I1039" s="165">
        <v>43864</v>
      </c>
      <c r="J1039" s="551" t="s">
        <v>799</v>
      </c>
      <c r="K1039" s="552" t="s">
        <v>72</v>
      </c>
      <c r="L1039" s="130" t="s">
        <v>2866</v>
      </c>
    </row>
    <row r="1040" spans="1:12" ht="16.5" customHeight="1">
      <c r="A1040" s="186" t="s">
        <v>2510</v>
      </c>
      <c r="B1040" s="186">
        <v>5575709</v>
      </c>
      <c r="C1040" s="549">
        <v>11589</v>
      </c>
      <c r="D1040" s="130" t="s">
        <v>3400</v>
      </c>
      <c r="E1040" s="130" t="s">
        <v>4669</v>
      </c>
      <c r="F1040" s="130" t="s">
        <v>4670</v>
      </c>
      <c r="G1040" s="550" t="s">
        <v>2203</v>
      </c>
      <c r="I1040" s="165">
        <v>43864</v>
      </c>
      <c r="J1040" s="551" t="s">
        <v>799</v>
      </c>
      <c r="K1040" s="552" t="s">
        <v>73</v>
      </c>
      <c r="L1040" s="130" t="s">
        <v>2870</v>
      </c>
    </row>
    <row r="1041" spans="1:12" ht="16.5" customHeight="1">
      <c r="A1041" s="186" t="s">
        <v>2510</v>
      </c>
      <c r="B1041" s="186">
        <v>15058100</v>
      </c>
      <c r="C1041" s="549">
        <v>11354</v>
      </c>
      <c r="D1041" s="130" t="s">
        <v>3095</v>
      </c>
      <c r="E1041" s="130" t="s">
        <v>4671</v>
      </c>
      <c r="F1041" s="130" t="s">
        <v>4672</v>
      </c>
      <c r="G1041" s="550" t="s">
        <v>2219</v>
      </c>
      <c r="I1041" s="165">
        <v>43864</v>
      </c>
      <c r="J1041" s="551" t="s">
        <v>799</v>
      </c>
      <c r="K1041" s="552" t="s">
        <v>73</v>
      </c>
      <c r="L1041" s="130" t="s">
        <v>2870</v>
      </c>
    </row>
    <row r="1042" spans="1:12" ht="16.5" customHeight="1">
      <c r="A1042" s="186" t="s">
        <v>2510</v>
      </c>
      <c r="B1042" s="186">
        <v>2405439</v>
      </c>
      <c r="C1042" s="549">
        <v>14596</v>
      </c>
      <c r="D1042" s="130" t="s">
        <v>4673</v>
      </c>
      <c r="E1042" s="130" t="s">
        <v>4674</v>
      </c>
      <c r="F1042" s="130" t="s">
        <v>4675</v>
      </c>
      <c r="G1042" s="550" t="s">
        <v>2395</v>
      </c>
      <c r="I1042" s="165">
        <v>43864</v>
      </c>
      <c r="J1042" s="551" t="s">
        <v>799</v>
      </c>
      <c r="K1042" s="552" t="s">
        <v>73</v>
      </c>
      <c r="L1042" s="130" t="s">
        <v>2870</v>
      </c>
    </row>
    <row r="1043" spans="1:12" ht="16.5" customHeight="1">
      <c r="A1043" s="186" t="s">
        <v>2510</v>
      </c>
      <c r="B1043" s="186">
        <v>18477505</v>
      </c>
      <c r="C1043" s="549">
        <v>17179</v>
      </c>
      <c r="D1043" s="130" t="s">
        <v>4676</v>
      </c>
      <c r="E1043" s="130" t="s">
        <v>4677</v>
      </c>
      <c r="F1043" s="130" t="s">
        <v>4678</v>
      </c>
      <c r="G1043" s="550" t="s">
        <v>2139</v>
      </c>
      <c r="I1043" s="165">
        <v>43864</v>
      </c>
      <c r="J1043" s="551" t="s">
        <v>799</v>
      </c>
      <c r="K1043" s="552" t="s">
        <v>73</v>
      </c>
      <c r="L1043" s="130" t="s">
        <v>2870</v>
      </c>
    </row>
    <row r="1044" spans="1:12" ht="16.5" customHeight="1">
      <c r="A1044" s="186" t="s">
        <v>2510</v>
      </c>
      <c r="B1044" s="186">
        <v>18917211</v>
      </c>
      <c r="C1044" s="549">
        <v>17202</v>
      </c>
      <c r="D1044" s="130" t="s">
        <v>4679</v>
      </c>
      <c r="E1044" s="130" t="s">
        <v>4680</v>
      </c>
      <c r="F1044" s="130" t="s">
        <v>4528</v>
      </c>
      <c r="G1044" s="550" t="s">
        <v>2139</v>
      </c>
      <c r="I1044" s="165">
        <v>43864</v>
      </c>
      <c r="J1044" s="551" t="s">
        <v>799</v>
      </c>
      <c r="K1044" s="552" t="s">
        <v>73</v>
      </c>
      <c r="L1044" s="130" t="s">
        <v>2870</v>
      </c>
    </row>
    <row r="1045" spans="1:12" ht="16.5" customHeight="1">
      <c r="A1045" s="186" t="s">
        <v>2510</v>
      </c>
      <c r="B1045" s="186">
        <v>37989258</v>
      </c>
      <c r="C1045" s="549">
        <v>17654</v>
      </c>
      <c r="D1045" s="130" t="s">
        <v>3504</v>
      </c>
      <c r="E1045" s="130" t="s">
        <v>4232</v>
      </c>
      <c r="F1045" s="130" t="s">
        <v>4681</v>
      </c>
      <c r="G1045" s="550" t="s">
        <v>2139</v>
      </c>
      <c r="I1045" s="165">
        <v>43864</v>
      </c>
      <c r="J1045" s="551" t="s">
        <v>799</v>
      </c>
      <c r="K1045" s="552" t="s">
        <v>73</v>
      </c>
      <c r="L1045" s="130" t="s">
        <v>2870</v>
      </c>
    </row>
    <row r="1046" spans="1:12" ht="16.5" customHeight="1">
      <c r="A1046" s="186" t="s">
        <v>3071</v>
      </c>
      <c r="B1046" s="186">
        <v>24639783</v>
      </c>
      <c r="C1046" s="549">
        <v>15178</v>
      </c>
      <c r="D1046" s="130" t="s">
        <v>4236</v>
      </c>
      <c r="E1046" s="130" t="s">
        <v>4682</v>
      </c>
      <c r="F1046" s="130" t="s">
        <v>4683</v>
      </c>
      <c r="G1046" s="550" t="s">
        <v>65</v>
      </c>
      <c r="I1046" s="165">
        <v>43864</v>
      </c>
      <c r="J1046" s="551" t="s">
        <v>799</v>
      </c>
      <c r="K1046" s="552" t="s">
        <v>73</v>
      </c>
      <c r="L1046" s="130" t="s">
        <v>2870</v>
      </c>
    </row>
    <row r="1047" spans="1:12" ht="16.5" customHeight="1">
      <c r="A1047" s="186" t="s">
        <v>3071</v>
      </c>
      <c r="B1047" s="186">
        <v>35672799</v>
      </c>
      <c r="C1047" s="549">
        <v>16198</v>
      </c>
      <c r="D1047" s="130" t="s">
        <v>4684</v>
      </c>
      <c r="E1047" s="130" t="s">
        <v>4685</v>
      </c>
      <c r="F1047" s="130" t="s">
        <v>4686</v>
      </c>
      <c r="G1047" s="550" t="s">
        <v>65</v>
      </c>
      <c r="I1047" s="165">
        <v>43864</v>
      </c>
      <c r="J1047" s="551" t="s">
        <v>799</v>
      </c>
      <c r="K1047" s="552" t="s">
        <v>73</v>
      </c>
      <c r="L1047" s="130" t="s">
        <v>2870</v>
      </c>
    </row>
    <row r="1048" spans="1:12" ht="16.5" customHeight="1">
      <c r="A1048" s="186" t="s">
        <v>2510</v>
      </c>
      <c r="B1048" s="186">
        <v>4500005</v>
      </c>
      <c r="C1048" s="549">
        <v>19932</v>
      </c>
      <c r="D1048" s="130" t="s">
        <v>3230</v>
      </c>
      <c r="E1048" s="130" t="s">
        <v>4687</v>
      </c>
      <c r="F1048" s="130" t="s">
        <v>2703</v>
      </c>
      <c r="G1048" s="550" t="s">
        <v>2064</v>
      </c>
      <c r="I1048" s="165">
        <v>43864</v>
      </c>
      <c r="J1048" s="551" t="s">
        <v>799</v>
      </c>
      <c r="K1048" s="552" t="s">
        <v>73</v>
      </c>
      <c r="L1048" s="130" t="s">
        <v>2870</v>
      </c>
    </row>
    <row r="1049" spans="1:12" ht="16.5" customHeight="1">
      <c r="A1049" s="186" t="s">
        <v>2510</v>
      </c>
      <c r="B1049" s="186">
        <v>8214884</v>
      </c>
      <c r="C1049" s="549">
        <v>18376</v>
      </c>
      <c r="D1049" s="130" t="s">
        <v>3043</v>
      </c>
      <c r="E1049" s="130" t="s">
        <v>4688</v>
      </c>
      <c r="F1049" s="130" t="s">
        <v>4689</v>
      </c>
      <c r="G1049" s="550" t="s">
        <v>2064</v>
      </c>
      <c r="I1049" s="165">
        <v>43864</v>
      </c>
      <c r="J1049" s="551" t="s">
        <v>799</v>
      </c>
      <c r="K1049" s="552" t="s">
        <v>73</v>
      </c>
      <c r="L1049" s="130" t="s">
        <v>2870</v>
      </c>
    </row>
    <row r="1050" spans="1:12" ht="16.5" customHeight="1">
      <c r="A1050" s="186" t="s">
        <v>2510</v>
      </c>
      <c r="B1050" s="186">
        <v>18522623</v>
      </c>
      <c r="C1050" s="549">
        <v>16730</v>
      </c>
      <c r="D1050" s="130" t="s">
        <v>3080</v>
      </c>
      <c r="E1050" s="130" t="s">
        <v>3414</v>
      </c>
      <c r="F1050" s="130" t="s">
        <v>4193</v>
      </c>
      <c r="G1050" s="550" t="s">
        <v>2064</v>
      </c>
      <c r="I1050" s="165">
        <v>43864</v>
      </c>
      <c r="J1050" s="551" t="s">
        <v>799</v>
      </c>
      <c r="K1050" s="552" t="s">
        <v>73</v>
      </c>
      <c r="L1050" s="130" t="s">
        <v>2870</v>
      </c>
    </row>
    <row r="1051" spans="1:12" ht="16.5" customHeight="1">
      <c r="A1051" s="186" t="s">
        <v>2510</v>
      </c>
      <c r="B1051" s="186">
        <v>27759125</v>
      </c>
      <c r="C1051" s="549">
        <v>14226</v>
      </c>
      <c r="D1051" s="130" t="s">
        <v>3872</v>
      </c>
      <c r="E1051" s="130" t="s">
        <v>4690</v>
      </c>
      <c r="F1051" s="130" t="s">
        <v>4691</v>
      </c>
      <c r="G1051" s="550" t="s">
        <v>2064</v>
      </c>
      <c r="I1051" s="165">
        <v>43864</v>
      </c>
      <c r="J1051" s="551" t="s">
        <v>799</v>
      </c>
      <c r="K1051" s="552" t="s">
        <v>73</v>
      </c>
      <c r="L1051" s="130" t="s">
        <v>2870</v>
      </c>
    </row>
    <row r="1052" spans="1:12" ht="16.5" customHeight="1">
      <c r="A1052" s="186" t="s">
        <v>2510</v>
      </c>
      <c r="B1052" s="186">
        <v>5726096</v>
      </c>
      <c r="C1052" s="549">
        <v>17916</v>
      </c>
      <c r="D1052" s="130" t="s">
        <v>2614</v>
      </c>
      <c r="E1052" s="130" t="s">
        <v>2899</v>
      </c>
      <c r="F1052" s="130" t="s">
        <v>4692</v>
      </c>
      <c r="G1052" s="550" t="s">
        <v>2176</v>
      </c>
      <c r="I1052" s="165">
        <v>43864</v>
      </c>
      <c r="J1052" s="551" t="s">
        <v>799</v>
      </c>
      <c r="K1052" s="552" t="s">
        <v>73</v>
      </c>
      <c r="L1052" s="130" t="s">
        <v>2870</v>
      </c>
    </row>
    <row r="1053" spans="1:12" ht="16.5" customHeight="1">
      <c r="A1053" s="186" t="s">
        <v>2510</v>
      </c>
      <c r="B1053" s="186">
        <v>6403182</v>
      </c>
      <c r="C1053" s="549">
        <v>9648</v>
      </c>
      <c r="D1053" s="130" t="s">
        <v>2863</v>
      </c>
      <c r="E1053" s="130" t="s">
        <v>4693</v>
      </c>
      <c r="F1053" s="130" t="s">
        <v>4694</v>
      </c>
      <c r="G1053" s="550" t="s">
        <v>2176</v>
      </c>
      <c r="I1053" s="165">
        <v>43864</v>
      </c>
      <c r="J1053" s="551" t="s">
        <v>799</v>
      </c>
      <c r="K1053" s="552" t="s">
        <v>73</v>
      </c>
      <c r="L1053" s="130" t="s">
        <v>2870</v>
      </c>
    </row>
    <row r="1054" spans="1:12" ht="16.5" customHeight="1">
      <c r="A1054" s="186" t="s">
        <v>2510</v>
      </c>
      <c r="B1054" s="186">
        <v>7644867</v>
      </c>
      <c r="C1054" s="549">
        <v>20438</v>
      </c>
      <c r="D1054" s="130" t="s">
        <v>2697</v>
      </c>
      <c r="E1054" s="130" t="s">
        <v>4184</v>
      </c>
      <c r="F1054" s="130" t="s">
        <v>4695</v>
      </c>
      <c r="G1054" s="550" t="s">
        <v>2176</v>
      </c>
      <c r="I1054" s="165">
        <v>43864</v>
      </c>
      <c r="J1054" s="551" t="s">
        <v>799</v>
      </c>
      <c r="K1054" s="552" t="s">
        <v>73</v>
      </c>
      <c r="L1054" s="130" t="s">
        <v>2870</v>
      </c>
    </row>
    <row r="1055" spans="1:12" ht="16.5" customHeight="1">
      <c r="A1055" s="186" t="s">
        <v>2510</v>
      </c>
      <c r="B1055" s="186">
        <v>16877292</v>
      </c>
      <c r="C1055" s="549">
        <v>15910</v>
      </c>
      <c r="D1055" s="130" t="s">
        <v>2602</v>
      </c>
      <c r="E1055" s="130" t="s">
        <v>4094</v>
      </c>
      <c r="F1055" s="130" t="s">
        <v>4696</v>
      </c>
      <c r="G1055" s="550" t="s">
        <v>2176</v>
      </c>
      <c r="I1055" s="165">
        <v>43864</v>
      </c>
      <c r="J1055" s="551" t="s">
        <v>799</v>
      </c>
      <c r="K1055" s="552" t="s">
        <v>73</v>
      </c>
      <c r="L1055" s="130" t="s">
        <v>2870</v>
      </c>
    </row>
    <row r="1056" spans="1:12" ht="16.5" customHeight="1">
      <c r="A1056" s="186" t="s">
        <v>2510</v>
      </c>
      <c r="B1056" s="186">
        <v>35877968</v>
      </c>
      <c r="C1056" s="549">
        <v>18487</v>
      </c>
      <c r="D1056" s="130" t="s">
        <v>4697</v>
      </c>
      <c r="E1056" s="130" t="s">
        <v>4698</v>
      </c>
      <c r="F1056" s="130" t="s">
        <v>4692</v>
      </c>
      <c r="G1056" s="550" t="s">
        <v>2176</v>
      </c>
      <c r="I1056" s="165">
        <v>43864</v>
      </c>
      <c r="J1056" s="551" t="s">
        <v>799</v>
      </c>
      <c r="K1056" s="552" t="s">
        <v>73</v>
      </c>
      <c r="L1056" s="130" t="s">
        <v>2870</v>
      </c>
    </row>
    <row r="1057" spans="1:12" ht="16.5" customHeight="1">
      <c r="A1057" s="186" t="s">
        <v>3071</v>
      </c>
      <c r="B1057" s="186">
        <v>6488001</v>
      </c>
      <c r="C1057" s="549">
        <v>17564</v>
      </c>
      <c r="D1057" s="130" t="s">
        <v>4175</v>
      </c>
      <c r="E1057" s="130" t="s">
        <v>4699</v>
      </c>
      <c r="F1057" s="130" t="s">
        <v>2616</v>
      </c>
      <c r="G1057" s="550" t="s">
        <v>2069</v>
      </c>
      <c r="I1057" s="165">
        <v>43864</v>
      </c>
      <c r="J1057" s="551" t="s">
        <v>799</v>
      </c>
      <c r="K1057" s="552" t="s">
        <v>73</v>
      </c>
      <c r="L1057" s="130" t="s">
        <v>2870</v>
      </c>
    </row>
    <row r="1058" spans="1:12" ht="16.5" customHeight="1">
      <c r="A1058" s="186" t="s">
        <v>3071</v>
      </c>
      <c r="B1058" s="186">
        <v>14646947</v>
      </c>
      <c r="C1058" s="549">
        <v>17825</v>
      </c>
      <c r="D1058" s="130" t="s">
        <v>2863</v>
      </c>
      <c r="E1058" s="130" t="s">
        <v>4700</v>
      </c>
      <c r="F1058" s="130" t="s">
        <v>4701</v>
      </c>
      <c r="G1058" s="550" t="s">
        <v>2069</v>
      </c>
      <c r="I1058" s="165">
        <v>43864</v>
      </c>
      <c r="J1058" s="551" t="s">
        <v>799</v>
      </c>
      <c r="K1058" s="552" t="s">
        <v>73</v>
      </c>
      <c r="L1058" s="130" t="s">
        <v>2870</v>
      </c>
    </row>
    <row r="1059" spans="1:12" ht="16.5" customHeight="1">
      <c r="A1059" s="186" t="s">
        <v>3071</v>
      </c>
      <c r="B1059" s="186">
        <v>19899012</v>
      </c>
      <c r="C1059" s="549">
        <v>17870</v>
      </c>
      <c r="D1059" s="130" t="s">
        <v>3593</v>
      </c>
      <c r="E1059" s="130" t="s">
        <v>4702</v>
      </c>
      <c r="F1059" s="130" t="s">
        <v>4657</v>
      </c>
      <c r="G1059" s="550" t="s">
        <v>2069</v>
      </c>
      <c r="I1059" s="165">
        <v>43864</v>
      </c>
      <c r="J1059" s="551" t="s">
        <v>799</v>
      </c>
      <c r="K1059" s="552" t="s">
        <v>73</v>
      </c>
      <c r="L1059" s="130" t="s">
        <v>2870</v>
      </c>
    </row>
    <row r="1060" spans="1:12" ht="16.5" customHeight="1">
      <c r="A1060" s="186" t="s">
        <v>3071</v>
      </c>
      <c r="B1060" s="186">
        <v>25642216</v>
      </c>
      <c r="C1060" s="549">
        <v>19510</v>
      </c>
      <c r="D1060" s="130" t="s">
        <v>3856</v>
      </c>
      <c r="E1060" s="130" t="s">
        <v>4703</v>
      </c>
      <c r="F1060" s="130" t="s">
        <v>4704</v>
      </c>
      <c r="G1060" s="550" t="s">
        <v>2069</v>
      </c>
      <c r="I1060" s="165">
        <v>43864</v>
      </c>
      <c r="J1060" s="551" t="s">
        <v>799</v>
      </c>
      <c r="K1060" s="552" t="s">
        <v>73</v>
      </c>
      <c r="L1060" s="130" t="s">
        <v>2870</v>
      </c>
    </row>
    <row r="1061" spans="1:12" ht="16.5" customHeight="1">
      <c r="A1061" s="186" t="s">
        <v>3071</v>
      </c>
      <c r="B1061" s="186">
        <v>40094534</v>
      </c>
      <c r="C1061" s="549">
        <v>10348</v>
      </c>
      <c r="D1061" s="130" t="s">
        <v>3054</v>
      </c>
      <c r="E1061" s="130" t="s">
        <v>4705</v>
      </c>
      <c r="F1061" s="130" t="s">
        <v>4706</v>
      </c>
      <c r="G1061" s="550" t="s">
        <v>2069</v>
      </c>
      <c r="I1061" s="165">
        <v>43864</v>
      </c>
      <c r="J1061" s="551" t="s">
        <v>799</v>
      </c>
      <c r="K1061" s="552" t="s">
        <v>73</v>
      </c>
      <c r="L1061" s="130" t="s">
        <v>2870</v>
      </c>
    </row>
    <row r="1062" spans="1:12" ht="16.5" customHeight="1">
      <c r="A1062" s="186" t="s">
        <v>2510</v>
      </c>
      <c r="B1062" s="186">
        <v>59715771</v>
      </c>
      <c r="C1062" s="549">
        <v>15408</v>
      </c>
      <c r="D1062" s="130" t="s">
        <v>4707</v>
      </c>
      <c r="E1062" s="130" t="s">
        <v>4708</v>
      </c>
      <c r="F1062" s="130" t="s">
        <v>4709</v>
      </c>
      <c r="G1062" s="550" t="s">
        <v>2081</v>
      </c>
      <c r="I1062" s="165">
        <v>43864</v>
      </c>
      <c r="J1062" s="551" t="s">
        <v>799</v>
      </c>
      <c r="K1062" s="552" t="s">
        <v>67</v>
      </c>
      <c r="L1062" s="130" t="s">
        <v>2664</v>
      </c>
    </row>
    <row r="1063" spans="1:12" ht="16.5" customHeight="1">
      <c r="A1063" s="186" t="s">
        <v>2510</v>
      </c>
      <c r="B1063" s="186">
        <v>88788039</v>
      </c>
      <c r="C1063" s="549">
        <v>19360</v>
      </c>
      <c r="D1063" s="130" t="s">
        <v>3232</v>
      </c>
      <c r="E1063" s="130" t="s">
        <v>4710</v>
      </c>
      <c r="F1063" s="130" t="s">
        <v>4711</v>
      </c>
      <c r="G1063" s="550" t="s">
        <v>2081</v>
      </c>
      <c r="I1063" s="165">
        <v>43864</v>
      </c>
      <c r="J1063" s="551" t="s">
        <v>799</v>
      </c>
      <c r="K1063" s="552" t="s">
        <v>67</v>
      </c>
      <c r="L1063" s="130" t="s">
        <v>2664</v>
      </c>
    </row>
    <row r="1064" spans="1:12" ht="16.5" customHeight="1">
      <c r="A1064" s="186" t="s">
        <v>2510</v>
      </c>
      <c r="B1064" s="186">
        <v>2185502</v>
      </c>
      <c r="C1064" s="549">
        <v>16707</v>
      </c>
      <c r="D1064" s="130" t="s">
        <v>2832</v>
      </c>
      <c r="E1064" s="130" t="s">
        <v>4712</v>
      </c>
      <c r="F1064" s="130" t="s">
        <v>4713</v>
      </c>
      <c r="G1064" s="550" t="s">
        <v>2313</v>
      </c>
      <c r="I1064" s="165">
        <v>43864</v>
      </c>
      <c r="J1064" s="551" t="s">
        <v>799</v>
      </c>
      <c r="K1064" s="552" t="s">
        <v>73</v>
      </c>
      <c r="L1064" s="130" t="s">
        <v>2870</v>
      </c>
    </row>
    <row r="1065" spans="1:12" ht="16.5" customHeight="1">
      <c r="A1065" s="186" t="s">
        <v>2510</v>
      </c>
      <c r="B1065" s="186">
        <v>20122362</v>
      </c>
      <c r="C1065" s="549">
        <v>18245</v>
      </c>
      <c r="D1065" s="130" t="s">
        <v>2898</v>
      </c>
      <c r="E1065" s="130" t="s">
        <v>4714</v>
      </c>
      <c r="F1065" s="130" t="s">
        <v>4715</v>
      </c>
      <c r="G1065" s="550" t="s">
        <v>2274</v>
      </c>
      <c r="I1065" s="165">
        <v>43864</v>
      </c>
      <c r="J1065" s="551" t="s">
        <v>799</v>
      </c>
      <c r="K1065" s="552" t="s">
        <v>73</v>
      </c>
      <c r="L1065" s="130" t="s">
        <v>2870</v>
      </c>
    </row>
    <row r="1066" spans="1:12" ht="16.5" customHeight="1">
      <c r="A1066" s="186" t="s">
        <v>2510</v>
      </c>
      <c r="B1066" s="186">
        <v>29824323</v>
      </c>
      <c r="C1066" s="549">
        <v>18918</v>
      </c>
      <c r="D1066" s="130" t="s">
        <v>2602</v>
      </c>
      <c r="E1066" s="130" t="s">
        <v>4716</v>
      </c>
      <c r="F1066" s="130" t="s">
        <v>4717</v>
      </c>
      <c r="G1066" s="550" t="s">
        <v>2112</v>
      </c>
      <c r="I1066" s="165">
        <v>43864</v>
      </c>
      <c r="J1066" s="551" t="s">
        <v>799</v>
      </c>
      <c r="K1066" s="552" t="s">
        <v>73</v>
      </c>
      <c r="L1066" s="130" t="s">
        <v>2870</v>
      </c>
    </row>
    <row r="1067" spans="1:12" ht="16.5" customHeight="1">
      <c r="A1067" s="186" t="s">
        <v>2510</v>
      </c>
      <c r="B1067" s="186">
        <v>38128724</v>
      </c>
      <c r="C1067" s="549">
        <v>16226</v>
      </c>
      <c r="D1067" s="130" t="s">
        <v>3246</v>
      </c>
      <c r="E1067" s="130" t="s">
        <v>4718</v>
      </c>
      <c r="F1067" s="130" t="s">
        <v>4719</v>
      </c>
      <c r="G1067" s="550" t="s">
        <v>2072</v>
      </c>
      <c r="I1067" s="165">
        <v>43864</v>
      </c>
      <c r="J1067" s="551" t="s">
        <v>799</v>
      </c>
      <c r="K1067" s="552" t="s">
        <v>73</v>
      </c>
      <c r="L1067" s="130" t="s">
        <v>2870</v>
      </c>
    </row>
    <row r="1068" spans="1:12" ht="16.5" customHeight="1">
      <c r="A1068" s="186" t="s">
        <v>2510</v>
      </c>
      <c r="B1068" s="186">
        <v>39249545</v>
      </c>
      <c r="C1068" s="549">
        <v>24200</v>
      </c>
      <c r="D1068" s="130" t="s">
        <v>4720</v>
      </c>
      <c r="E1068" s="130" t="s">
        <v>4721</v>
      </c>
      <c r="F1068" s="130" t="s">
        <v>4722</v>
      </c>
      <c r="G1068" s="550" t="s">
        <v>2089</v>
      </c>
      <c r="I1068" s="165">
        <v>43864</v>
      </c>
      <c r="J1068" s="551" t="s">
        <v>799</v>
      </c>
      <c r="K1068" s="552" t="s">
        <v>73</v>
      </c>
      <c r="L1068" s="130" t="s">
        <v>2870</v>
      </c>
    </row>
    <row r="1069" spans="1:12" ht="16.5" customHeight="1">
      <c r="A1069" s="186" t="s">
        <v>2510</v>
      </c>
      <c r="B1069" s="186">
        <v>39847330</v>
      </c>
      <c r="C1069" s="549">
        <v>16559</v>
      </c>
      <c r="D1069" s="130" t="s">
        <v>3460</v>
      </c>
      <c r="E1069" s="130" t="s">
        <v>4723</v>
      </c>
      <c r="F1069" s="130" t="s">
        <v>2830</v>
      </c>
      <c r="G1069" s="550" t="s">
        <v>2185</v>
      </c>
      <c r="I1069" s="165">
        <v>43864</v>
      </c>
      <c r="J1069" s="551" t="s">
        <v>799</v>
      </c>
      <c r="K1069" s="552" t="s">
        <v>73</v>
      </c>
      <c r="L1069" s="130" t="s">
        <v>2870</v>
      </c>
    </row>
    <row r="1070" spans="1:12" ht="16.5" customHeight="1">
      <c r="A1070" s="186" t="s">
        <v>2510</v>
      </c>
      <c r="B1070" s="186">
        <v>45530714</v>
      </c>
      <c r="C1070" s="549">
        <v>25351</v>
      </c>
      <c r="D1070" s="130" t="s">
        <v>4724</v>
      </c>
      <c r="E1070" s="130" t="s">
        <v>4725</v>
      </c>
      <c r="F1070" s="130" t="s">
        <v>4726</v>
      </c>
      <c r="G1070" s="550" t="s">
        <v>2046</v>
      </c>
      <c r="I1070" s="165">
        <v>43864</v>
      </c>
      <c r="J1070" s="551" t="s">
        <v>799</v>
      </c>
      <c r="K1070" s="552" t="s">
        <v>73</v>
      </c>
      <c r="L1070" s="130" t="s">
        <v>2870</v>
      </c>
    </row>
    <row r="1071" spans="1:12" ht="16.5" customHeight="1">
      <c r="A1071" s="186" t="s">
        <v>2510</v>
      </c>
      <c r="B1071" s="186">
        <v>60116977</v>
      </c>
      <c r="C1071" s="549">
        <v>23058</v>
      </c>
      <c r="D1071" s="130" t="s">
        <v>4727</v>
      </c>
      <c r="E1071" s="130" t="s">
        <v>4728</v>
      </c>
      <c r="F1071" s="130" t="s">
        <v>2637</v>
      </c>
      <c r="G1071" s="550" t="s">
        <v>2638</v>
      </c>
      <c r="I1071" s="165">
        <v>43864</v>
      </c>
      <c r="J1071" s="551" t="s">
        <v>799</v>
      </c>
      <c r="K1071" s="552" t="s">
        <v>73</v>
      </c>
      <c r="L1071" s="130" t="s">
        <v>2870</v>
      </c>
    </row>
    <row r="1072" spans="1:12" ht="16.5" customHeight="1">
      <c r="A1072" s="186" t="s">
        <v>2510</v>
      </c>
      <c r="B1072" s="186">
        <v>68947159</v>
      </c>
      <c r="C1072" s="549">
        <v>13634</v>
      </c>
      <c r="D1072" s="130" t="s">
        <v>2523</v>
      </c>
      <c r="E1072" s="130" t="s">
        <v>4729</v>
      </c>
      <c r="F1072" s="130" t="s">
        <v>2608</v>
      </c>
      <c r="G1072" s="550" t="s">
        <v>2299</v>
      </c>
      <c r="I1072" s="165">
        <v>43864</v>
      </c>
      <c r="J1072" s="551" t="s">
        <v>799</v>
      </c>
      <c r="K1072" s="552" t="s">
        <v>73</v>
      </c>
      <c r="L1072" s="130" t="s">
        <v>2870</v>
      </c>
    </row>
    <row r="1073" spans="1:12" ht="16.5" customHeight="1">
      <c r="A1073" s="186" t="s">
        <v>2510</v>
      </c>
      <c r="B1073" s="186">
        <v>75526822</v>
      </c>
      <c r="C1073" s="549">
        <v>13106</v>
      </c>
      <c r="D1073" s="130" t="s">
        <v>4664</v>
      </c>
      <c r="E1073" s="130" t="s">
        <v>4730</v>
      </c>
      <c r="F1073" s="130" t="s">
        <v>3677</v>
      </c>
      <c r="G1073" s="550" t="s">
        <v>2081</v>
      </c>
      <c r="I1073" s="165">
        <v>43864</v>
      </c>
      <c r="J1073" s="551" t="s">
        <v>799</v>
      </c>
      <c r="K1073" s="552" t="s">
        <v>73</v>
      </c>
      <c r="L1073" s="130" t="s">
        <v>2870</v>
      </c>
    </row>
    <row r="1074" spans="1:12" ht="16.5" customHeight="1">
      <c r="A1074" s="186" t="s">
        <v>3071</v>
      </c>
      <c r="B1074" s="186">
        <v>81190779</v>
      </c>
      <c r="C1074" s="549">
        <v>21392</v>
      </c>
      <c r="D1074" s="130" t="s">
        <v>2903</v>
      </c>
      <c r="E1074" s="130" t="s">
        <v>4184</v>
      </c>
      <c r="F1074" s="130" t="s">
        <v>4731</v>
      </c>
      <c r="G1074" s="550" t="s">
        <v>2069</v>
      </c>
      <c r="I1074" s="165">
        <v>43864</v>
      </c>
      <c r="J1074" s="551" t="s">
        <v>799</v>
      </c>
      <c r="K1074" s="552" t="s">
        <v>73</v>
      </c>
      <c r="L1074" s="130" t="s">
        <v>2870</v>
      </c>
    </row>
    <row r="1075" spans="1:12" ht="16.5" customHeight="1">
      <c r="A1075" s="186" t="s">
        <v>2510</v>
      </c>
      <c r="B1075" s="186">
        <v>91999656</v>
      </c>
      <c r="C1075" s="549">
        <v>18074</v>
      </c>
      <c r="D1075" s="130" t="s">
        <v>2969</v>
      </c>
      <c r="E1075" s="130" t="s">
        <v>3175</v>
      </c>
      <c r="F1075" s="130" t="s">
        <v>4732</v>
      </c>
      <c r="G1075" s="550" t="s">
        <v>2313</v>
      </c>
      <c r="I1075" s="165">
        <v>43864</v>
      </c>
      <c r="J1075" s="551" t="s">
        <v>799</v>
      </c>
      <c r="K1075" s="552" t="s">
        <v>73</v>
      </c>
      <c r="L1075" s="130" t="s">
        <v>2870</v>
      </c>
    </row>
    <row r="1076" spans="1:12" ht="16.5" customHeight="1">
      <c r="A1076" s="186" t="s">
        <v>2510</v>
      </c>
      <c r="B1076" s="186">
        <v>93957298</v>
      </c>
      <c r="C1076" s="549">
        <v>21754</v>
      </c>
      <c r="D1076" s="130" t="s">
        <v>3302</v>
      </c>
      <c r="E1076" s="130" t="s">
        <v>3250</v>
      </c>
      <c r="F1076" s="130" t="s">
        <v>4733</v>
      </c>
      <c r="G1076" s="550" t="s">
        <v>2299</v>
      </c>
      <c r="I1076" s="165">
        <v>43864</v>
      </c>
      <c r="J1076" s="551" t="s">
        <v>799</v>
      </c>
      <c r="K1076" s="552" t="s">
        <v>73</v>
      </c>
      <c r="L1076" s="130" t="s">
        <v>2870</v>
      </c>
    </row>
    <row r="1077" spans="1:12" ht="16.5" customHeight="1">
      <c r="A1077" s="186" t="s">
        <v>2584</v>
      </c>
      <c r="B1077" s="186">
        <v>38492948</v>
      </c>
      <c r="C1077" s="549">
        <v>14307</v>
      </c>
      <c r="D1077" s="130" t="s">
        <v>2946</v>
      </c>
      <c r="E1077" s="130" t="s">
        <v>2772</v>
      </c>
      <c r="F1077" s="130" t="s">
        <v>2703</v>
      </c>
      <c r="G1077" s="550" t="s">
        <v>2064</v>
      </c>
      <c r="I1077" s="165">
        <v>43864</v>
      </c>
      <c r="J1077" s="551" t="s">
        <v>799</v>
      </c>
      <c r="K1077" s="552" t="s">
        <v>73</v>
      </c>
      <c r="L1077" s="130" t="s">
        <v>4734</v>
      </c>
    </row>
    <row r="1078" spans="1:12" ht="16.5" customHeight="1">
      <c r="A1078" s="186" t="s">
        <v>2510</v>
      </c>
      <c r="B1078" s="186">
        <v>63963003</v>
      </c>
      <c r="C1078" s="549">
        <v>24240</v>
      </c>
      <c r="D1078" s="130" t="s">
        <v>2614</v>
      </c>
      <c r="E1078" s="130" t="s">
        <v>4735</v>
      </c>
      <c r="F1078" s="130" t="s">
        <v>4736</v>
      </c>
      <c r="G1078" s="550" t="s">
        <v>2112</v>
      </c>
      <c r="I1078" s="165">
        <v>43865</v>
      </c>
      <c r="J1078" s="551" t="s">
        <v>799</v>
      </c>
      <c r="K1078" s="552" t="s">
        <v>73</v>
      </c>
      <c r="L1078" s="130" t="s">
        <v>2870</v>
      </c>
    </row>
    <row r="1079" spans="1:12" ht="16.5" customHeight="1">
      <c r="A1079" s="186" t="s">
        <v>2510</v>
      </c>
      <c r="B1079" s="186">
        <v>97455364</v>
      </c>
      <c r="C1079" s="549">
        <v>14909</v>
      </c>
      <c r="D1079" s="130" t="s">
        <v>3122</v>
      </c>
      <c r="E1079" s="130" t="s">
        <v>4737</v>
      </c>
      <c r="F1079" s="130" t="s">
        <v>4375</v>
      </c>
      <c r="G1079" s="550" t="s">
        <v>2046</v>
      </c>
      <c r="I1079" s="165">
        <v>43866</v>
      </c>
      <c r="J1079" s="551" t="s">
        <v>799</v>
      </c>
      <c r="K1079" s="552" t="s">
        <v>73</v>
      </c>
      <c r="L1079" s="130" t="s">
        <v>2870</v>
      </c>
    </row>
    <row r="1080" spans="1:12" ht="16.5" customHeight="1">
      <c r="A1080" s="186" t="s">
        <v>2510</v>
      </c>
      <c r="B1080" s="186">
        <v>29546</v>
      </c>
      <c r="C1080" s="549">
        <v>26846</v>
      </c>
      <c r="D1080" s="130" t="s">
        <v>3908</v>
      </c>
      <c r="E1080" s="130" t="s">
        <v>2898</v>
      </c>
      <c r="F1080" s="130" t="s">
        <v>4738</v>
      </c>
      <c r="G1080" s="550" t="s">
        <v>2255</v>
      </c>
      <c r="I1080" s="165">
        <v>43866</v>
      </c>
      <c r="J1080" s="551" t="s">
        <v>799</v>
      </c>
      <c r="K1080" s="552" t="s">
        <v>73</v>
      </c>
      <c r="L1080" s="130" t="s">
        <v>2870</v>
      </c>
    </row>
    <row r="1081" spans="1:12" ht="16.5" customHeight="1">
      <c r="A1081" s="186" t="s">
        <v>2510</v>
      </c>
      <c r="B1081" s="186">
        <v>5862230</v>
      </c>
      <c r="C1081" s="549">
        <v>18180</v>
      </c>
      <c r="D1081" s="130" t="s">
        <v>3254</v>
      </c>
      <c r="E1081" s="130" t="s">
        <v>3120</v>
      </c>
      <c r="F1081" s="130" t="s">
        <v>2974</v>
      </c>
      <c r="G1081" s="550" t="s">
        <v>2185</v>
      </c>
      <c r="I1081" s="165">
        <v>43866</v>
      </c>
      <c r="J1081" s="551" t="s">
        <v>799</v>
      </c>
      <c r="K1081" s="552" t="s">
        <v>73</v>
      </c>
      <c r="L1081" s="130" t="s">
        <v>2870</v>
      </c>
    </row>
    <row r="1082" spans="1:12" ht="16.5" customHeight="1">
      <c r="A1082" s="186" t="s">
        <v>2510</v>
      </c>
      <c r="B1082" s="186">
        <v>13500715</v>
      </c>
      <c r="C1082" s="549">
        <v>17468</v>
      </c>
      <c r="D1082" s="130" t="s">
        <v>3496</v>
      </c>
      <c r="E1082" s="130" t="s">
        <v>4739</v>
      </c>
      <c r="F1082" s="130" t="s">
        <v>4740</v>
      </c>
      <c r="G1082" s="550" t="s">
        <v>2313</v>
      </c>
      <c r="I1082" s="165">
        <v>43866</v>
      </c>
      <c r="J1082" s="551" t="s">
        <v>799</v>
      </c>
      <c r="K1082" s="552" t="s">
        <v>73</v>
      </c>
      <c r="L1082" s="130" t="s">
        <v>2870</v>
      </c>
    </row>
    <row r="1083" spans="1:12" ht="16.5" customHeight="1">
      <c r="A1083" s="186" t="s">
        <v>2510</v>
      </c>
      <c r="B1083" s="186">
        <v>14665095</v>
      </c>
      <c r="C1083" s="549">
        <v>20455</v>
      </c>
      <c r="D1083" s="130" t="s">
        <v>3453</v>
      </c>
      <c r="E1083" s="130" t="s">
        <v>4741</v>
      </c>
      <c r="F1083" s="130" t="s">
        <v>4742</v>
      </c>
      <c r="G1083" s="550" t="s">
        <v>2072</v>
      </c>
      <c r="I1083" s="165">
        <v>43866</v>
      </c>
      <c r="J1083" s="551" t="s">
        <v>799</v>
      </c>
      <c r="K1083" s="552" t="s">
        <v>73</v>
      </c>
      <c r="L1083" s="130" t="s">
        <v>2870</v>
      </c>
    </row>
    <row r="1084" spans="1:12" ht="16.5" customHeight="1">
      <c r="A1084" s="186" t="s">
        <v>2510</v>
      </c>
      <c r="B1084" s="186">
        <v>16796641</v>
      </c>
      <c r="C1084" s="549">
        <v>17207</v>
      </c>
      <c r="D1084" s="130" t="s">
        <v>2718</v>
      </c>
      <c r="E1084" s="130" t="s">
        <v>4743</v>
      </c>
      <c r="F1084" s="130" t="s">
        <v>2703</v>
      </c>
      <c r="G1084" s="550" t="s">
        <v>2064</v>
      </c>
      <c r="I1084" s="165">
        <v>43866</v>
      </c>
      <c r="J1084" s="551" t="s">
        <v>799</v>
      </c>
      <c r="K1084" s="552" t="s">
        <v>73</v>
      </c>
      <c r="L1084" s="130" t="s">
        <v>2870</v>
      </c>
    </row>
    <row r="1085" spans="1:12" ht="16.5" customHeight="1">
      <c r="A1085" s="186" t="s">
        <v>2510</v>
      </c>
      <c r="B1085" s="186">
        <v>20190054</v>
      </c>
      <c r="C1085" s="549">
        <v>25934</v>
      </c>
      <c r="D1085" s="130" t="s">
        <v>2651</v>
      </c>
      <c r="E1085" s="130" t="s">
        <v>4744</v>
      </c>
      <c r="F1085" s="130" t="s">
        <v>4745</v>
      </c>
      <c r="G1085" s="550" t="s">
        <v>2064</v>
      </c>
      <c r="I1085" s="165">
        <v>43866</v>
      </c>
      <c r="J1085" s="551" t="s">
        <v>799</v>
      </c>
      <c r="K1085" s="552" t="s">
        <v>73</v>
      </c>
      <c r="L1085" s="130" t="s">
        <v>2870</v>
      </c>
    </row>
    <row r="1086" spans="1:12" ht="16.5" customHeight="1">
      <c r="A1086" s="186" t="s">
        <v>3071</v>
      </c>
      <c r="B1086" s="186">
        <v>35482272</v>
      </c>
      <c r="C1086" s="549">
        <v>14426</v>
      </c>
      <c r="D1086" s="130" t="s">
        <v>3072</v>
      </c>
      <c r="E1086" s="130" t="s">
        <v>4746</v>
      </c>
      <c r="F1086" s="130" t="s">
        <v>4747</v>
      </c>
      <c r="G1086" s="550" t="s">
        <v>2069</v>
      </c>
      <c r="I1086" s="165">
        <v>43866</v>
      </c>
      <c r="J1086" s="551" t="s">
        <v>799</v>
      </c>
      <c r="K1086" s="552" t="s">
        <v>73</v>
      </c>
      <c r="L1086" s="130" t="s">
        <v>2870</v>
      </c>
    </row>
    <row r="1087" spans="1:12" ht="16.5" customHeight="1">
      <c r="A1087" s="186" t="s">
        <v>2510</v>
      </c>
      <c r="B1087" s="186">
        <v>37666617</v>
      </c>
      <c r="C1087" s="549">
        <v>16986</v>
      </c>
      <c r="D1087" s="130" t="s">
        <v>4587</v>
      </c>
      <c r="E1087" s="130" t="s">
        <v>4748</v>
      </c>
      <c r="F1087" s="130" t="s">
        <v>2806</v>
      </c>
      <c r="G1087" s="550" t="s">
        <v>2081</v>
      </c>
      <c r="I1087" s="165">
        <v>43866</v>
      </c>
      <c r="J1087" s="551" t="s">
        <v>799</v>
      </c>
      <c r="K1087" s="552" t="s">
        <v>73</v>
      </c>
      <c r="L1087" s="130" t="s">
        <v>2870</v>
      </c>
    </row>
    <row r="1088" spans="1:12" ht="16.5" customHeight="1">
      <c r="A1088" s="186" t="s">
        <v>2510</v>
      </c>
      <c r="B1088" s="186">
        <v>66610775</v>
      </c>
      <c r="C1088" s="549">
        <v>15073</v>
      </c>
      <c r="D1088" s="130" t="s">
        <v>3095</v>
      </c>
      <c r="E1088" s="130" t="s">
        <v>4749</v>
      </c>
      <c r="F1088" s="130" t="s">
        <v>4750</v>
      </c>
      <c r="G1088" s="550" t="s">
        <v>2046</v>
      </c>
      <c r="I1088" s="165">
        <v>43866</v>
      </c>
      <c r="J1088" s="551" t="s">
        <v>799</v>
      </c>
      <c r="K1088" s="552" t="s">
        <v>73</v>
      </c>
      <c r="L1088" s="130" t="s">
        <v>2870</v>
      </c>
    </row>
    <row r="1089" spans="1:12" ht="16.5" customHeight="1">
      <c r="A1089" s="186" t="s">
        <v>2510</v>
      </c>
      <c r="B1089" s="186">
        <v>75790832</v>
      </c>
      <c r="C1089" s="549">
        <v>19060</v>
      </c>
      <c r="D1089" s="130" t="s">
        <v>4751</v>
      </c>
      <c r="E1089" s="130" t="s">
        <v>4752</v>
      </c>
      <c r="F1089" s="130" t="s">
        <v>4753</v>
      </c>
      <c r="G1089" s="550" t="s">
        <v>2055</v>
      </c>
      <c r="I1089" s="165">
        <v>43866</v>
      </c>
      <c r="J1089" s="551" t="s">
        <v>799</v>
      </c>
      <c r="K1089" s="552" t="s">
        <v>73</v>
      </c>
      <c r="L1089" s="130" t="s">
        <v>2870</v>
      </c>
    </row>
    <row r="1090" spans="1:12" ht="16.5" customHeight="1">
      <c r="A1090" s="186" t="s">
        <v>2584</v>
      </c>
      <c r="B1090" s="186">
        <v>25261353</v>
      </c>
      <c r="C1090" s="549">
        <v>12385</v>
      </c>
      <c r="D1090" s="130" t="s">
        <v>2858</v>
      </c>
      <c r="E1090" s="130" t="s">
        <v>4754</v>
      </c>
      <c r="F1090" s="130" t="s">
        <v>4755</v>
      </c>
      <c r="G1090" s="550" t="s">
        <v>2446</v>
      </c>
      <c r="I1090" s="165">
        <v>43868</v>
      </c>
      <c r="J1090" s="551" t="s">
        <v>799</v>
      </c>
      <c r="K1090" s="552" t="s">
        <v>2516</v>
      </c>
      <c r="L1090" s="130" t="s">
        <v>4756</v>
      </c>
    </row>
    <row r="1091" spans="1:12" ht="16.5" customHeight="1">
      <c r="A1091" s="186" t="s">
        <v>2510</v>
      </c>
      <c r="B1091" s="186">
        <v>992115</v>
      </c>
      <c r="C1091" s="549">
        <v>15895</v>
      </c>
      <c r="D1091" s="130" t="s">
        <v>3101</v>
      </c>
      <c r="E1091" s="130" t="s">
        <v>3106</v>
      </c>
      <c r="F1091" s="130" t="s">
        <v>4757</v>
      </c>
      <c r="G1091" s="550" t="s">
        <v>2638</v>
      </c>
      <c r="I1091" s="165">
        <v>43871</v>
      </c>
      <c r="J1091" s="551" t="s">
        <v>799</v>
      </c>
      <c r="K1091" s="552" t="s">
        <v>73</v>
      </c>
      <c r="L1091" s="130" t="s">
        <v>2870</v>
      </c>
    </row>
    <row r="1092" spans="1:12" ht="16.5" customHeight="1">
      <c r="A1092" s="186" t="s">
        <v>3071</v>
      </c>
      <c r="B1092" s="186">
        <v>30899744</v>
      </c>
      <c r="D1092" s="130" t="s">
        <v>4758</v>
      </c>
      <c r="E1092" s="130" t="s">
        <v>4759</v>
      </c>
      <c r="F1092" s="130" t="s">
        <v>2730</v>
      </c>
      <c r="G1092" s="550" t="s">
        <v>2069</v>
      </c>
      <c r="I1092" s="165">
        <v>43871</v>
      </c>
      <c r="J1092" s="551" t="s">
        <v>799</v>
      </c>
      <c r="K1092" s="552" t="s">
        <v>73</v>
      </c>
      <c r="L1092" s="130" t="s">
        <v>2870</v>
      </c>
    </row>
    <row r="1093" spans="1:12" ht="16.5" customHeight="1">
      <c r="A1093" s="186" t="s">
        <v>2510</v>
      </c>
      <c r="B1093" s="186">
        <v>37734894</v>
      </c>
      <c r="C1093" s="549">
        <v>15464</v>
      </c>
      <c r="D1093" s="130" t="s">
        <v>2511</v>
      </c>
      <c r="E1093" s="130" t="s">
        <v>4760</v>
      </c>
      <c r="F1093" s="130" t="s">
        <v>4761</v>
      </c>
      <c r="G1093" s="550" t="s">
        <v>2363</v>
      </c>
      <c r="I1093" s="165">
        <v>43871</v>
      </c>
      <c r="J1093" s="551" t="s">
        <v>799</v>
      </c>
      <c r="K1093" s="552" t="s">
        <v>73</v>
      </c>
      <c r="L1093" s="130" t="s">
        <v>2870</v>
      </c>
    </row>
    <row r="1094" spans="1:12" ht="16.5" customHeight="1">
      <c r="A1094" s="186" t="s">
        <v>2510</v>
      </c>
      <c r="B1094" s="186">
        <v>40744229</v>
      </c>
      <c r="C1094" s="549">
        <v>20426</v>
      </c>
      <c r="D1094" s="130" t="s">
        <v>3683</v>
      </c>
      <c r="E1094" s="130" t="s">
        <v>4762</v>
      </c>
      <c r="F1094" s="130" t="s">
        <v>4763</v>
      </c>
      <c r="G1094" s="550" t="s">
        <v>2144</v>
      </c>
      <c r="I1094" s="165">
        <v>43871</v>
      </c>
      <c r="J1094" s="551" t="s">
        <v>799</v>
      </c>
      <c r="K1094" s="552" t="s">
        <v>73</v>
      </c>
      <c r="L1094" s="130" t="s">
        <v>2870</v>
      </c>
    </row>
    <row r="1095" spans="1:12" ht="16.5" customHeight="1">
      <c r="A1095" s="186" t="s">
        <v>3071</v>
      </c>
      <c r="B1095" s="186">
        <v>49656978</v>
      </c>
      <c r="D1095" s="130" t="s">
        <v>4764</v>
      </c>
      <c r="E1095" s="130" t="s">
        <v>2706</v>
      </c>
      <c r="F1095" s="130" t="s">
        <v>4747</v>
      </c>
      <c r="G1095" s="550" t="s">
        <v>2069</v>
      </c>
      <c r="I1095" s="165">
        <v>43879</v>
      </c>
      <c r="J1095" s="551" t="s">
        <v>799</v>
      </c>
      <c r="K1095" s="552" t="s">
        <v>73</v>
      </c>
      <c r="L1095" s="130" t="s">
        <v>4765</v>
      </c>
    </row>
    <row r="1096" spans="1:12" ht="16.5" customHeight="1">
      <c r="A1096" s="186" t="s">
        <v>2584</v>
      </c>
      <c r="B1096" s="186">
        <v>244251</v>
      </c>
      <c r="C1096" s="549">
        <v>18846</v>
      </c>
      <c r="D1096" s="130" t="s">
        <v>4766</v>
      </c>
      <c r="E1096" s="130" t="s">
        <v>4767</v>
      </c>
      <c r="F1096" s="130" t="s">
        <v>4768</v>
      </c>
      <c r="G1096" s="550" t="s">
        <v>2176</v>
      </c>
      <c r="I1096" s="165">
        <v>43881</v>
      </c>
      <c r="J1096" s="551" t="s">
        <v>799</v>
      </c>
      <c r="K1096" s="552" t="s">
        <v>2516</v>
      </c>
      <c r="L1096" s="130" t="s">
        <v>4769</v>
      </c>
    </row>
    <row r="1097" spans="1:12" ht="16.5" customHeight="1">
      <c r="A1097" s="186" t="s">
        <v>3071</v>
      </c>
      <c r="B1097" s="186">
        <v>696237</v>
      </c>
      <c r="C1097" s="549">
        <v>8402</v>
      </c>
      <c r="D1097" s="130" t="s">
        <v>4770</v>
      </c>
      <c r="E1097" s="130" t="s">
        <v>2570</v>
      </c>
      <c r="F1097" s="130" t="s">
        <v>4126</v>
      </c>
      <c r="G1097" s="550" t="s">
        <v>2069</v>
      </c>
      <c r="I1097" s="165">
        <v>43881</v>
      </c>
      <c r="J1097" s="551" t="s">
        <v>799</v>
      </c>
      <c r="K1097" s="552" t="s">
        <v>2516</v>
      </c>
      <c r="L1097" s="130" t="s">
        <v>4769</v>
      </c>
    </row>
    <row r="1098" spans="1:12" ht="16.5" customHeight="1">
      <c r="A1098" s="186" t="s">
        <v>3071</v>
      </c>
      <c r="B1098" s="186">
        <v>11440732</v>
      </c>
      <c r="C1098" s="549">
        <v>11588</v>
      </c>
      <c r="D1098" s="130" t="s">
        <v>2898</v>
      </c>
      <c r="E1098" s="130" t="s">
        <v>4771</v>
      </c>
      <c r="F1098" s="130" t="s">
        <v>2766</v>
      </c>
      <c r="G1098" s="550" t="s">
        <v>2176</v>
      </c>
      <c r="I1098" s="165">
        <v>43881</v>
      </c>
      <c r="J1098" s="551" t="s">
        <v>799</v>
      </c>
      <c r="K1098" s="552" t="s">
        <v>2516</v>
      </c>
      <c r="L1098" s="130" t="s">
        <v>4769</v>
      </c>
    </row>
    <row r="1099" spans="1:12" ht="16.5" customHeight="1">
      <c r="A1099" s="186" t="s">
        <v>3071</v>
      </c>
      <c r="B1099" s="186">
        <v>19652700</v>
      </c>
      <c r="C1099" s="549">
        <v>19833</v>
      </c>
      <c r="D1099" s="130" t="s">
        <v>4772</v>
      </c>
      <c r="E1099" s="130" t="s">
        <v>4773</v>
      </c>
      <c r="F1099" s="130" t="s">
        <v>4774</v>
      </c>
      <c r="G1099" s="550" t="s">
        <v>2069</v>
      </c>
      <c r="I1099" s="165">
        <v>43881</v>
      </c>
      <c r="J1099" s="551" t="s">
        <v>799</v>
      </c>
      <c r="K1099" s="552" t="s">
        <v>2516</v>
      </c>
      <c r="L1099" s="130" t="s">
        <v>4769</v>
      </c>
    </row>
    <row r="1100" spans="1:12" ht="16.5" customHeight="1">
      <c r="A1100" s="186" t="s">
        <v>3071</v>
      </c>
      <c r="B1100" s="186">
        <v>22702997</v>
      </c>
      <c r="C1100" s="549">
        <v>19937</v>
      </c>
      <c r="D1100" s="130" t="s">
        <v>2586</v>
      </c>
      <c r="E1100" s="130" t="s">
        <v>4775</v>
      </c>
      <c r="F1100" s="130" t="s">
        <v>2924</v>
      </c>
      <c r="G1100" s="550" t="s">
        <v>65</v>
      </c>
      <c r="I1100" s="165">
        <v>43881</v>
      </c>
      <c r="J1100" s="551" t="s">
        <v>799</v>
      </c>
      <c r="K1100" s="552" t="s">
        <v>2516</v>
      </c>
      <c r="L1100" s="130" t="s">
        <v>4776</v>
      </c>
    </row>
    <row r="1101" spans="1:12" ht="16.5" customHeight="1">
      <c r="A1101" s="186" t="s">
        <v>2510</v>
      </c>
      <c r="B1101" s="186">
        <v>93818235</v>
      </c>
      <c r="C1101" s="549">
        <v>19937</v>
      </c>
      <c r="D1101" s="130" t="s">
        <v>3580</v>
      </c>
      <c r="E1101" s="130" t="s">
        <v>4777</v>
      </c>
      <c r="F1101" s="130" t="s">
        <v>4778</v>
      </c>
      <c r="G1101" s="550" t="s">
        <v>2081</v>
      </c>
      <c r="I1101" s="165">
        <v>43899</v>
      </c>
      <c r="J1101" s="551" t="s">
        <v>799</v>
      </c>
      <c r="K1101" s="552" t="s">
        <v>73</v>
      </c>
      <c r="L1101" s="130" t="s">
        <v>4765</v>
      </c>
    </row>
    <row r="1102" spans="1:12" ht="16.5" customHeight="1">
      <c r="A1102" s="186" t="s">
        <v>2510</v>
      </c>
      <c r="B1102" s="186">
        <v>97222251</v>
      </c>
      <c r="D1102" s="130" t="s">
        <v>4779</v>
      </c>
      <c r="E1102" s="130" t="s">
        <v>4780</v>
      </c>
      <c r="F1102" s="130" t="s">
        <v>3371</v>
      </c>
      <c r="G1102" s="550" t="s">
        <v>2185</v>
      </c>
      <c r="I1102" s="165">
        <v>43899</v>
      </c>
      <c r="J1102" s="551" t="s">
        <v>799</v>
      </c>
      <c r="K1102" s="552" t="s">
        <v>73</v>
      </c>
      <c r="L1102" s="130" t="s">
        <v>4765</v>
      </c>
    </row>
    <row r="1103" spans="1:12" ht="16.5" customHeight="1">
      <c r="A1103" s="186" t="s">
        <v>2510</v>
      </c>
      <c r="B1103" s="186">
        <v>26168997</v>
      </c>
      <c r="C1103" s="549">
        <v>8431</v>
      </c>
      <c r="D1103" s="130" t="s">
        <v>3223</v>
      </c>
      <c r="E1103" s="130" t="s">
        <v>4781</v>
      </c>
      <c r="F1103" s="130" t="s">
        <v>4119</v>
      </c>
      <c r="G1103" s="550" t="s">
        <v>2052</v>
      </c>
      <c r="I1103" s="165">
        <v>43906</v>
      </c>
      <c r="J1103" s="551" t="s">
        <v>799</v>
      </c>
      <c r="K1103" s="552" t="s">
        <v>2516</v>
      </c>
      <c r="L1103" s="130" t="s">
        <v>4769</v>
      </c>
    </row>
    <row r="1104" spans="1:12" ht="16.5" customHeight="1">
      <c r="A1104" s="186" t="s">
        <v>3071</v>
      </c>
      <c r="B1104" s="186">
        <v>3237435</v>
      </c>
      <c r="C1104" s="549">
        <v>21319</v>
      </c>
      <c r="D1104" s="130" t="s">
        <v>4782</v>
      </c>
      <c r="E1104" s="130" t="s">
        <v>4783</v>
      </c>
      <c r="F1104" s="130" t="s">
        <v>4784</v>
      </c>
      <c r="G1104" s="550" t="s">
        <v>2129</v>
      </c>
      <c r="H1104" s="130" t="s">
        <v>4785</v>
      </c>
      <c r="I1104" s="165">
        <v>43913</v>
      </c>
      <c r="J1104" s="551" t="s">
        <v>799</v>
      </c>
      <c r="K1104" s="552" t="s">
        <v>2516</v>
      </c>
      <c r="L1104" s="130" t="s">
        <v>4769</v>
      </c>
    </row>
    <row r="1105" spans="1:12" ht="16.5" customHeight="1">
      <c r="A1105" s="186" t="s">
        <v>3071</v>
      </c>
      <c r="B1105" s="574">
        <v>56681471</v>
      </c>
      <c r="C1105" s="575">
        <v>16452</v>
      </c>
      <c r="D1105" s="130" t="s">
        <v>4786</v>
      </c>
      <c r="E1105" s="130" t="s">
        <v>4787</v>
      </c>
      <c r="F1105" s="130" t="s">
        <v>4788</v>
      </c>
      <c r="G1105" s="550" t="s">
        <v>2055</v>
      </c>
      <c r="H1105" s="130" t="s">
        <v>4789</v>
      </c>
      <c r="I1105" s="165">
        <v>43915</v>
      </c>
      <c r="J1105" s="551" t="s">
        <v>799</v>
      </c>
      <c r="K1105" s="552" t="s">
        <v>2516</v>
      </c>
      <c r="L1105" s="130" t="s">
        <v>4790</v>
      </c>
    </row>
    <row r="1106" spans="1:12" ht="16.5" customHeight="1">
      <c r="A1106" s="186" t="s">
        <v>3071</v>
      </c>
      <c r="B1106" s="574">
        <v>75490185</v>
      </c>
      <c r="C1106" s="575">
        <v>17968</v>
      </c>
      <c r="D1106" s="130" t="s">
        <v>4791</v>
      </c>
      <c r="E1106" s="130" t="s">
        <v>2910</v>
      </c>
      <c r="F1106" s="130" t="s">
        <v>4469</v>
      </c>
      <c r="G1106" s="550" t="s">
        <v>2077</v>
      </c>
      <c r="I1106" s="165">
        <v>43915</v>
      </c>
      <c r="J1106" s="551" t="s">
        <v>799</v>
      </c>
      <c r="K1106" s="552" t="s">
        <v>2516</v>
      </c>
      <c r="L1106" s="130" t="s">
        <v>4790</v>
      </c>
    </row>
    <row r="1107" spans="1:12" ht="16.5" customHeight="1">
      <c r="A1107" s="186" t="s">
        <v>3071</v>
      </c>
      <c r="B1107" s="574">
        <v>91410753</v>
      </c>
      <c r="C1107" s="575">
        <v>17786</v>
      </c>
      <c r="D1107" s="130" t="s">
        <v>3101</v>
      </c>
      <c r="E1107" s="130" t="s">
        <v>4792</v>
      </c>
      <c r="F1107" s="130" t="s">
        <v>4793</v>
      </c>
      <c r="G1107" s="550" t="s">
        <v>2313</v>
      </c>
      <c r="I1107" s="165">
        <v>43915</v>
      </c>
      <c r="J1107" s="551" t="s">
        <v>799</v>
      </c>
      <c r="K1107" s="552" t="s">
        <v>2516</v>
      </c>
      <c r="L1107" s="130" t="s">
        <v>4790</v>
      </c>
    </row>
    <row r="1108" spans="1:12" ht="16.5" customHeight="1">
      <c r="A1108" s="186" t="s">
        <v>3071</v>
      </c>
      <c r="B1108" s="574">
        <v>96019062</v>
      </c>
      <c r="C1108" s="575">
        <v>15708</v>
      </c>
      <c r="D1108" s="130" t="s">
        <v>3246</v>
      </c>
      <c r="E1108" s="130" t="s">
        <v>4794</v>
      </c>
      <c r="F1108" s="130" t="s">
        <v>4795</v>
      </c>
      <c r="G1108" s="550" t="s">
        <v>2176</v>
      </c>
      <c r="H1108" s="130" t="s">
        <v>4796</v>
      </c>
      <c r="I1108" s="165">
        <v>43915</v>
      </c>
      <c r="J1108" s="551" t="s">
        <v>799</v>
      </c>
      <c r="K1108" s="552" t="s">
        <v>2516</v>
      </c>
      <c r="L1108" s="130" t="s">
        <v>4790</v>
      </c>
    </row>
    <row r="1109" spans="1:12" ht="16.5" customHeight="1">
      <c r="A1109" s="186" t="s">
        <v>3071</v>
      </c>
      <c r="B1109" s="574">
        <v>100327619</v>
      </c>
      <c r="C1109" s="575">
        <v>14430</v>
      </c>
      <c r="D1109" s="130" t="s">
        <v>2541</v>
      </c>
      <c r="E1109" s="130" t="s">
        <v>4797</v>
      </c>
      <c r="F1109" s="130" t="s">
        <v>3292</v>
      </c>
      <c r="G1109" s="550" t="s">
        <v>2144</v>
      </c>
      <c r="I1109" s="165">
        <v>43915</v>
      </c>
      <c r="J1109" s="551" t="s">
        <v>799</v>
      </c>
      <c r="K1109" s="552" t="s">
        <v>2516</v>
      </c>
      <c r="L1109" s="130" t="s">
        <v>4790</v>
      </c>
    </row>
    <row r="1110" spans="1:12" ht="16.5" customHeight="1">
      <c r="A1110" s="186" t="s">
        <v>3071</v>
      </c>
      <c r="B1110" s="574">
        <v>100363304</v>
      </c>
      <c r="C1110" s="575">
        <v>17032</v>
      </c>
      <c r="D1110" s="130" t="s">
        <v>2511</v>
      </c>
      <c r="E1110" s="130" t="s">
        <v>4798</v>
      </c>
      <c r="F1110" s="130" t="s">
        <v>4799</v>
      </c>
      <c r="G1110" s="550" t="s">
        <v>2081</v>
      </c>
      <c r="I1110" s="165">
        <v>43915</v>
      </c>
      <c r="J1110" s="551" t="s">
        <v>799</v>
      </c>
      <c r="K1110" s="552" t="s">
        <v>2516</v>
      </c>
      <c r="L1110" s="130" t="s">
        <v>4790</v>
      </c>
    </row>
    <row r="1111" spans="1:12" ht="16.5" customHeight="1">
      <c r="A1111" s="186" t="s">
        <v>3071</v>
      </c>
      <c r="B1111" s="574">
        <v>100363441</v>
      </c>
      <c r="C1111" s="575">
        <v>17514</v>
      </c>
      <c r="D1111" s="130" t="s">
        <v>4800</v>
      </c>
      <c r="E1111" s="130" t="s">
        <v>4801</v>
      </c>
      <c r="F1111" s="130" t="s">
        <v>4802</v>
      </c>
      <c r="G1111" s="550" t="s">
        <v>2046</v>
      </c>
      <c r="I1111" s="165">
        <v>43915</v>
      </c>
      <c r="J1111" s="551" t="s">
        <v>799</v>
      </c>
      <c r="K1111" s="552" t="s">
        <v>2516</v>
      </c>
      <c r="L1111" s="130" t="s">
        <v>4790</v>
      </c>
    </row>
    <row r="1112" spans="1:12" ht="16.5" customHeight="1">
      <c r="A1112" s="186" t="s">
        <v>3071</v>
      </c>
      <c r="B1112" s="574">
        <v>28655751</v>
      </c>
      <c r="C1112" s="575">
        <v>14639</v>
      </c>
      <c r="D1112" s="130" t="s">
        <v>4032</v>
      </c>
      <c r="E1112" s="130" t="s">
        <v>4803</v>
      </c>
      <c r="F1112" s="130" t="s">
        <v>4804</v>
      </c>
      <c r="G1112" s="550" t="s">
        <v>2069</v>
      </c>
      <c r="I1112" s="165">
        <v>43920</v>
      </c>
      <c r="J1112" s="551" t="s">
        <v>799</v>
      </c>
      <c r="K1112" s="552" t="s">
        <v>2516</v>
      </c>
      <c r="L1112" s="130" t="s">
        <v>2870</v>
      </c>
    </row>
    <row r="1113" spans="1:12" ht="16.5" customHeight="1">
      <c r="A1113" s="186" t="s">
        <v>3071</v>
      </c>
      <c r="B1113" s="574">
        <v>100365893</v>
      </c>
      <c r="C1113" s="575"/>
      <c r="D1113" s="130" t="s">
        <v>2536</v>
      </c>
      <c r="E1113" s="130" t="s">
        <v>4805</v>
      </c>
      <c r="F1113" s="130" t="s">
        <v>3169</v>
      </c>
      <c r="G1113" s="550" t="s">
        <v>2274</v>
      </c>
      <c r="I1113" s="165">
        <v>43920</v>
      </c>
      <c r="J1113" s="551" t="s">
        <v>799</v>
      </c>
      <c r="K1113" s="552" t="s">
        <v>2516</v>
      </c>
      <c r="L1113" s="130" t="s">
        <v>4806</v>
      </c>
    </row>
    <row r="1114" spans="1:12" ht="16.5" customHeight="1">
      <c r="A1114" s="186" t="s">
        <v>3071</v>
      </c>
      <c r="B1114" s="574">
        <v>84186170</v>
      </c>
      <c r="C1114" s="685"/>
      <c r="D1114" s="130" t="s">
        <v>4807</v>
      </c>
      <c r="E1114" s="130" t="s">
        <v>4808</v>
      </c>
      <c r="F1114" s="130" t="s">
        <v>3601</v>
      </c>
      <c r="G1114" s="550" t="s">
        <v>2201</v>
      </c>
      <c r="I1114" s="165">
        <v>43922</v>
      </c>
      <c r="J1114" s="551" t="s">
        <v>799</v>
      </c>
      <c r="K1114" s="552" t="s">
        <v>2516</v>
      </c>
      <c r="L1114" s="130" t="s">
        <v>4809</v>
      </c>
    </row>
    <row r="1115" spans="1:12" ht="16.5" customHeight="1">
      <c r="A1115" s="186" t="s">
        <v>2584</v>
      </c>
      <c r="B1115" s="574">
        <v>100247126</v>
      </c>
      <c r="C1115" s="686">
        <v>22101</v>
      </c>
      <c r="D1115" s="130" t="s">
        <v>4810</v>
      </c>
      <c r="E1115" s="130" t="s">
        <v>4811</v>
      </c>
      <c r="G1115" s="550" t="s">
        <v>2064</v>
      </c>
      <c r="I1115" s="165">
        <v>43922</v>
      </c>
      <c r="J1115" s="551" t="s">
        <v>799</v>
      </c>
      <c r="K1115" s="552" t="s">
        <v>2516</v>
      </c>
      <c r="L1115" s="130" t="s">
        <v>4769</v>
      </c>
    </row>
    <row r="1116" spans="1:12" ht="16.5" customHeight="1">
      <c r="A1116" s="186" t="s">
        <v>3071</v>
      </c>
      <c r="B1116" s="574">
        <v>20138251</v>
      </c>
      <c r="C1116" s="575">
        <v>17108</v>
      </c>
      <c r="D1116" s="130" t="s">
        <v>3504</v>
      </c>
      <c r="E1116" s="130" t="s">
        <v>4812</v>
      </c>
      <c r="F1116" s="130" t="s">
        <v>3345</v>
      </c>
      <c r="G1116" s="550" t="s">
        <v>2274</v>
      </c>
      <c r="I1116" s="165">
        <v>43924</v>
      </c>
      <c r="J1116" s="551" t="s">
        <v>799</v>
      </c>
      <c r="K1116" s="552" t="s">
        <v>2516</v>
      </c>
      <c r="L1116" s="130" t="s">
        <v>4769</v>
      </c>
    </row>
    <row r="1117" spans="1:12" ht="16.5" customHeight="1">
      <c r="A1117" s="186" t="s">
        <v>3071</v>
      </c>
      <c r="B1117" s="574">
        <v>4674156</v>
      </c>
      <c r="C1117" s="575">
        <v>15854</v>
      </c>
      <c r="D1117" s="130" t="s">
        <v>2876</v>
      </c>
      <c r="E1117" s="130" t="s">
        <v>4813</v>
      </c>
      <c r="F1117" s="130" t="s">
        <v>4814</v>
      </c>
      <c r="G1117" s="550" t="s">
        <v>65</v>
      </c>
      <c r="I1117" s="165">
        <v>43929</v>
      </c>
      <c r="J1117" s="551" t="s">
        <v>67</v>
      </c>
      <c r="K1117" s="552" t="s">
        <v>799</v>
      </c>
      <c r="L1117" s="130" t="s">
        <v>4815</v>
      </c>
    </row>
    <row r="1118" spans="1:12" ht="16.5" customHeight="1">
      <c r="A1118" s="186" t="s">
        <v>3071</v>
      </c>
      <c r="B1118" s="574">
        <v>19356427</v>
      </c>
      <c r="C1118" s="575"/>
      <c r="D1118" s="130" t="s">
        <v>2871</v>
      </c>
      <c r="E1118" s="130" t="s">
        <v>4816</v>
      </c>
      <c r="F1118" s="130" t="s">
        <v>3004</v>
      </c>
      <c r="G1118" s="550" t="s">
        <v>2112</v>
      </c>
      <c r="I1118" s="165">
        <v>43977</v>
      </c>
      <c r="J1118" s="551" t="s">
        <v>799</v>
      </c>
      <c r="K1118" s="552" t="s">
        <v>2516</v>
      </c>
      <c r="L1118" s="130" t="s">
        <v>4769</v>
      </c>
    </row>
    <row r="1119" spans="1:12" ht="16.5" customHeight="1">
      <c r="A1119" s="186" t="s">
        <v>3071</v>
      </c>
      <c r="B1119" s="130">
        <v>100441440</v>
      </c>
      <c r="C1119" s="575">
        <v>19392</v>
      </c>
      <c r="D1119" s="130" t="s">
        <v>2541</v>
      </c>
      <c r="E1119" s="130" t="s">
        <v>4817</v>
      </c>
      <c r="F1119" s="130" t="s">
        <v>3109</v>
      </c>
      <c r="G1119" s="550" t="s">
        <v>2081</v>
      </c>
      <c r="I1119" s="165">
        <v>43991</v>
      </c>
      <c r="J1119" s="551" t="s">
        <v>799</v>
      </c>
      <c r="K1119" s="552" t="s">
        <v>2516</v>
      </c>
      <c r="L1119" s="130" t="s">
        <v>4769</v>
      </c>
    </row>
    <row r="1120" spans="1:12" ht="16.5" customHeight="1">
      <c r="A1120" s="186" t="s">
        <v>3071</v>
      </c>
      <c r="B1120" s="574">
        <v>100309316</v>
      </c>
      <c r="C1120" s="165" t="s">
        <v>4818</v>
      </c>
      <c r="D1120" s="130" t="s">
        <v>2851</v>
      </c>
      <c r="E1120" s="130" t="s">
        <v>4819</v>
      </c>
      <c r="F1120" s="130" t="s">
        <v>3079</v>
      </c>
      <c r="G1120" s="550" t="s">
        <v>2106</v>
      </c>
      <c r="I1120" s="165">
        <v>44005</v>
      </c>
      <c r="J1120" s="551" t="s">
        <v>799</v>
      </c>
      <c r="K1120" s="552" t="s">
        <v>2516</v>
      </c>
      <c r="L1120" s="130" t="s">
        <v>4820</v>
      </c>
    </row>
    <row r="1121" spans="1:12" ht="16.5" customHeight="1">
      <c r="A1121" s="186" t="s">
        <v>3071</v>
      </c>
      <c r="B1121" s="130">
        <v>100008799</v>
      </c>
      <c r="C1121" s="575">
        <v>17635</v>
      </c>
      <c r="D1121" s="130" t="s">
        <v>2911</v>
      </c>
      <c r="E1121" s="130" t="s">
        <v>4821</v>
      </c>
      <c r="F1121" s="130" t="s">
        <v>4822</v>
      </c>
      <c r="G1121" s="550" t="s">
        <v>2081</v>
      </c>
      <c r="I1121" s="165">
        <v>44007</v>
      </c>
      <c r="J1121" s="551" t="s">
        <v>799</v>
      </c>
      <c r="K1121" s="552" t="s">
        <v>2516</v>
      </c>
      <c r="L1121" s="130" t="s">
        <v>4769</v>
      </c>
    </row>
    <row r="1122" spans="1:12" ht="16.5" customHeight="1">
      <c r="A1122" s="186" t="s">
        <v>3071</v>
      </c>
      <c r="B1122" s="130">
        <v>21596028</v>
      </c>
      <c r="C1122" s="575">
        <v>19082</v>
      </c>
      <c r="D1122" s="130" t="s">
        <v>4823</v>
      </c>
      <c r="E1122" s="130" t="s">
        <v>4824</v>
      </c>
      <c r="F1122" s="130" t="s">
        <v>3109</v>
      </c>
      <c r="G1122" s="550" t="s">
        <v>2081</v>
      </c>
      <c r="I1122" s="165">
        <v>44011</v>
      </c>
      <c r="J1122" s="551" t="s">
        <v>799</v>
      </c>
      <c r="K1122" s="552" t="s">
        <v>2516</v>
      </c>
      <c r="L1122" s="130" t="s">
        <v>4825</v>
      </c>
    </row>
    <row r="1123" spans="1:12" ht="16.5" customHeight="1">
      <c r="A1123" s="186" t="s">
        <v>2510</v>
      </c>
      <c r="B1123" s="186">
        <v>8132102</v>
      </c>
      <c r="C1123" s="549">
        <v>15175</v>
      </c>
      <c r="D1123" s="130" t="s">
        <v>4826</v>
      </c>
      <c r="E1123" s="130" t="s">
        <v>4827</v>
      </c>
      <c r="F1123" s="130" t="s">
        <v>3205</v>
      </c>
      <c r="G1123" s="550" t="s">
        <v>2106</v>
      </c>
      <c r="H1123" s="130" t="s">
        <v>88</v>
      </c>
      <c r="I1123" s="165">
        <v>44013</v>
      </c>
      <c r="J1123" s="551" t="s">
        <v>67</v>
      </c>
      <c r="L1123" s="130" t="s">
        <v>4828</v>
      </c>
    </row>
    <row r="1124" spans="1:12" ht="16.5" customHeight="1">
      <c r="A1124" s="186" t="s">
        <v>2510</v>
      </c>
      <c r="B1124" s="186">
        <v>8132102</v>
      </c>
      <c r="C1124" s="549">
        <v>15175</v>
      </c>
      <c r="D1124" s="130" t="s">
        <v>4826</v>
      </c>
      <c r="E1124" s="130" t="s">
        <v>4827</v>
      </c>
      <c r="F1124" s="130" t="s">
        <v>3205</v>
      </c>
      <c r="G1124" s="550" t="s">
        <v>2106</v>
      </c>
      <c r="H1124" s="130" t="s">
        <v>88</v>
      </c>
      <c r="I1124" s="165">
        <v>44014</v>
      </c>
      <c r="J1124" s="551" t="s">
        <v>67</v>
      </c>
      <c r="L1124" s="130" t="s">
        <v>4829</v>
      </c>
    </row>
    <row r="1125" spans="1:12" ht="16.5" customHeight="1">
      <c r="A1125" s="186" t="s">
        <v>2510</v>
      </c>
      <c r="B1125" s="186">
        <v>92616705</v>
      </c>
      <c r="C1125" s="549">
        <v>18934</v>
      </c>
      <c r="D1125" s="130" t="s">
        <v>3400</v>
      </c>
      <c r="E1125" s="130" t="s">
        <v>3028</v>
      </c>
      <c r="F1125" s="130" t="s">
        <v>4830</v>
      </c>
      <c r="G1125" s="550" t="s">
        <v>2174</v>
      </c>
      <c r="I1125" s="165">
        <v>44019</v>
      </c>
      <c r="J1125" s="551" t="s">
        <v>799</v>
      </c>
      <c r="K1125" s="552" t="s">
        <v>2516</v>
      </c>
      <c r="L1125" s="130" t="s">
        <v>4831</v>
      </c>
    </row>
    <row r="1126" spans="1:12" ht="16.5" customHeight="1">
      <c r="A1126" s="186" t="s">
        <v>2510</v>
      </c>
      <c r="B1126" s="186">
        <v>52491172</v>
      </c>
      <c r="C1126" s="549">
        <v>17646</v>
      </c>
      <c r="D1126" s="130" t="s">
        <v>3908</v>
      </c>
      <c r="E1126" s="130" t="s">
        <v>4832</v>
      </c>
      <c r="F1126" s="130" t="s">
        <v>4833</v>
      </c>
      <c r="G1126" s="550" t="s">
        <v>2046</v>
      </c>
      <c r="H1126" s="130" t="s">
        <v>4834</v>
      </c>
      <c r="I1126" s="165">
        <v>44019</v>
      </c>
      <c r="J1126" s="551" t="s">
        <v>799</v>
      </c>
      <c r="K1126" s="552" t="s">
        <v>2516</v>
      </c>
      <c r="L1126" s="130" t="s">
        <v>4831</v>
      </c>
    </row>
    <row r="1127" spans="1:12" ht="16.5" customHeight="1">
      <c r="A1127" s="186" t="s">
        <v>3071</v>
      </c>
      <c r="B1127" s="186">
        <v>7422553</v>
      </c>
      <c r="C1127" s="549">
        <v>12141</v>
      </c>
      <c r="D1127" s="130" t="s">
        <v>2697</v>
      </c>
      <c r="E1127" s="130" t="s">
        <v>4835</v>
      </c>
      <c r="F1127" s="130" t="s">
        <v>4836</v>
      </c>
      <c r="G1127" s="550" t="s">
        <v>2106</v>
      </c>
      <c r="I1127" s="165">
        <v>44025</v>
      </c>
      <c r="J1127" s="551" t="s">
        <v>799</v>
      </c>
      <c r="K1127" s="552" t="s">
        <v>2516</v>
      </c>
      <c r="L1127" s="130" t="s">
        <v>4769</v>
      </c>
    </row>
    <row r="1128" spans="1:12" ht="16.5" customHeight="1">
      <c r="A1128" s="186" t="s">
        <v>3071</v>
      </c>
      <c r="B1128" s="186">
        <v>100006723</v>
      </c>
      <c r="C1128" s="549">
        <v>15954</v>
      </c>
      <c r="D1128" s="130" t="s">
        <v>4837</v>
      </c>
      <c r="E1128" s="130" t="s">
        <v>2826</v>
      </c>
      <c r="F1128" s="130" t="s">
        <v>2827</v>
      </c>
      <c r="G1128" s="550" t="s">
        <v>2203</v>
      </c>
      <c r="H1128" s="130" t="s">
        <v>4838</v>
      </c>
      <c r="I1128" s="165">
        <v>44026</v>
      </c>
      <c r="J1128" s="551" t="s">
        <v>799</v>
      </c>
      <c r="K1128" s="552" t="s">
        <v>2516</v>
      </c>
      <c r="L1128" s="130" t="s">
        <v>4839</v>
      </c>
    </row>
    <row r="1129" spans="1:12" ht="16.5" customHeight="1">
      <c r="A1129" s="186" t="s">
        <v>3071</v>
      </c>
      <c r="B1129" s="186">
        <v>76078724</v>
      </c>
      <c r="C1129" s="549">
        <v>22141</v>
      </c>
      <c r="D1129" s="130" t="s">
        <v>4840</v>
      </c>
      <c r="E1129" s="130" t="s">
        <v>4841</v>
      </c>
      <c r="F1129" s="130" t="s">
        <v>4842</v>
      </c>
      <c r="G1129" s="550" t="s">
        <v>2181</v>
      </c>
      <c r="I1129" s="165">
        <v>44053</v>
      </c>
      <c r="J1129" s="551" t="s">
        <v>799</v>
      </c>
      <c r="K1129" s="552" t="s">
        <v>2516</v>
      </c>
      <c r="L1129" s="130" t="s">
        <v>4769</v>
      </c>
    </row>
    <row r="1130" spans="1:12" ht="16.5" customHeight="1">
      <c r="A1130" s="186" t="s">
        <v>2510</v>
      </c>
      <c r="B1130" s="186">
        <v>100460275</v>
      </c>
      <c r="D1130" s="130" t="s">
        <v>3101</v>
      </c>
      <c r="E1130" s="130" t="s">
        <v>4631</v>
      </c>
      <c r="H1130" s="130" t="s">
        <v>88</v>
      </c>
      <c r="I1130" s="165">
        <v>44054</v>
      </c>
      <c r="J1130" s="551" t="s">
        <v>799</v>
      </c>
      <c r="K1130" s="552" t="s">
        <v>67</v>
      </c>
      <c r="L1130" s="130" t="s">
        <v>4843</v>
      </c>
    </row>
    <row r="1131" spans="1:12" ht="16.5" customHeight="1">
      <c r="A1131" s="186" t="s">
        <v>2584</v>
      </c>
      <c r="B1131" s="186">
        <v>90823576</v>
      </c>
      <c r="C1131" s="549">
        <v>15980</v>
      </c>
      <c r="D1131" s="130" t="s">
        <v>3293</v>
      </c>
      <c r="E1131" s="130" t="s">
        <v>3684</v>
      </c>
      <c r="F1131" s="130" t="s">
        <v>3780</v>
      </c>
      <c r="G1131" s="550" t="s">
        <v>2055</v>
      </c>
      <c r="I1131" s="165">
        <v>44057</v>
      </c>
      <c r="J1131" s="551" t="s">
        <v>799</v>
      </c>
      <c r="K1131" s="552" t="s">
        <v>67</v>
      </c>
      <c r="L1131" s="130" t="s">
        <v>4844</v>
      </c>
    </row>
    <row r="1132" spans="1:12" ht="16.5" customHeight="1">
      <c r="A1132" s="186" t="s">
        <v>3071</v>
      </c>
      <c r="B1132" s="186">
        <v>64475379</v>
      </c>
      <c r="C1132" s="549">
        <v>15455</v>
      </c>
      <c r="D1132" s="130" t="s">
        <v>4845</v>
      </c>
      <c r="E1132" s="130" t="s">
        <v>2706</v>
      </c>
      <c r="F1132" s="130" t="s">
        <v>3030</v>
      </c>
      <c r="G1132" s="550" t="s">
        <v>2072</v>
      </c>
      <c r="I1132" s="165">
        <v>44065</v>
      </c>
      <c r="J1132" s="551" t="s">
        <v>799</v>
      </c>
      <c r="K1132" s="552" t="s">
        <v>2516</v>
      </c>
      <c r="L1132" s="130" t="s">
        <v>4846</v>
      </c>
    </row>
    <row r="1133" spans="1:12" ht="16.5" customHeight="1">
      <c r="A1133" s="186" t="s">
        <v>3071</v>
      </c>
      <c r="B1133" s="186">
        <v>9320110</v>
      </c>
      <c r="C1133" s="549">
        <v>20974</v>
      </c>
      <c r="D1133" s="130" t="s">
        <v>4847</v>
      </c>
      <c r="E1133" s="130" t="s">
        <v>4848</v>
      </c>
      <c r="F1133" s="130" t="s">
        <v>4849</v>
      </c>
      <c r="G1133" s="550" t="s">
        <v>2059</v>
      </c>
      <c r="I1133" s="165">
        <v>44065</v>
      </c>
      <c r="J1133" s="551" t="s">
        <v>799</v>
      </c>
      <c r="K1133" s="552" t="s">
        <v>2516</v>
      </c>
      <c r="L1133" s="130" t="s">
        <v>4846</v>
      </c>
    </row>
    <row r="1134" spans="1:12" ht="16.5" customHeight="1">
      <c r="A1134" s="186" t="s">
        <v>3071</v>
      </c>
      <c r="B1134" s="186">
        <v>26168997</v>
      </c>
      <c r="C1134" s="549">
        <v>8431</v>
      </c>
      <c r="D1134" s="130" t="s">
        <v>3223</v>
      </c>
      <c r="E1134" s="130" t="s">
        <v>4781</v>
      </c>
      <c r="F1134" s="130" t="s">
        <v>3770</v>
      </c>
      <c r="G1134" s="550" t="s">
        <v>2174</v>
      </c>
      <c r="I1134" s="165">
        <v>44067</v>
      </c>
      <c r="J1134" s="551" t="s">
        <v>799</v>
      </c>
      <c r="K1134" s="552" t="s">
        <v>2516</v>
      </c>
      <c r="L1134" s="130" t="s">
        <v>4850</v>
      </c>
    </row>
    <row r="1135" spans="1:12" ht="16.5" customHeight="1">
      <c r="A1135" s="186" t="s">
        <v>3071</v>
      </c>
      <c r="B1135" s="186">
        <v>75196816</v>
      </c>
      <c r="D1135" s="130" t="s">
        <v>3147</v>
      </c>
      <c r="E1135" s="130" t="s">
        <v>4851</v>
      </c>
      <c r="F1135" s="130" t="s">
        <v>4852</v>
      </c>
      <c r="G1135" s="550" t="s">
        <v>2055</v>
      </c>
      <c r="I1135" s="165">
        <v>44067</v>
      </c>
      <c r="J1135" s="551" t="s">
        <v>799</v>
      </c>
      <c r="K1135" s="552" t="s">
        <v>2516</v>
      </c>
      <c r="L1135" s="130" t="s">
        <v>4846</v>
      </c>
    </row>
    <row r="1136" spans="1:12" ht="16.5" customHeight="1">
      <c r="A1136" s="186" t="s">
        <v>3071</v>
      </c>
      <c r="B1136" s="186">
        <v>100038188</v>
      </c>
      <c r="C1136" s="549" t="s">
        <v>88</v>
      </c>
      <c r="D1136" s="130" t="s">
        <v>4853</v>
      </c>
      <c r="E1136" s="130" t="s">
        <v>4854</v>
      </c>
      <c r="F1136" s="130" t="s">
        <v>4104</v>
      </c>
      <c r="G1136" s="550" t="s">
        <v>2413</v>
      </c>
      <c r="H1136" s="130" t="s">
        <v>88</v>
      </c>
      <c r="I1136" s="165">
        <v>44067</v>
      </c>
      <c r="J1136" s="551" t="s">
        <v>799</v>
      </c>
      <c r="K1136" s="552" t="s">
        <v>2516</v>
      </c>
      <c r="L1136" s="130" t="s">
        <v>4846</v>
      </c>
    </row>
    <row r="1137" spans="1:12" ht="16.5" customHeight="1">
      <c r="A1137" s="186" t="s">
        <v>2510</v>
      </c>
      <c r="B1137" s="186">
        <v>98520042</v>
      </c>
      <c r="D1137" s="130" t="s">
        <v>3360</v>
      </c>
      <c r="E1137" s="130" t="s">
        <v>4855</v>
      </c>
      <c r="F1137" s="130" t="s">
        <v>4402</v>
      </c>
      <c r="G1137" s="550" t="s">
        <v>2046</v>
      </c>
      <c r="I1137" s="165">
        <v>44067</v>
      </c>
      <c r="J1137" s="551" t="s">
        <v>799</v>
      </c>
      <c r="K1137" s="552" t="s">
        <v>799</v>
      </c>
      <c r="L1137" s="130" t="s">
        <v>4856</v>
      </c>
    </row>
    <row r="1138" spans="1:12" ht="16.5" customHeight="1">
      <c r="A1138" s="186" t="s">
        <v>2510</v>
      </c>
      <c r="B1138" s="186">
        <v>16576647</v>
      </c>
      <c r="C1138" s="549">
        <v>24718</v>
      </c>
      <c r="D1138" s="130" t="s">
        <v>4857</v>
      </c>
      <c r="E1138" s="130" t="s">
        <v>4858</v>
      </c>
      <c r="F1138" s="130" t="s">
        <v>2534</v>
      </c>
      <c r="G1138" s="550" t="s">
        <v>2081</v>
      </c>
      <c r="I1138" s="165">
        <v>44067</v>
      </c>
      <c r="J1138" s="551" t="s">
        <v>67</v>
      </c>
      <c r="K1138" s="552" t="s">
        <v>67</v>
      </c>
      <c r="L1138" s="130" t="s">
        <v>4859</v>
      </c>
    </row>
    <row r="1139" spans="1:12" ht="16.5" customHeight="1">
      <c r="A1139" s="186" t="s">
        <v>2510</v>
      </c>
      <c r="B1139" s="186">
        <v>36894988</v>
      </c>
      <c r="C1139" s="549">
        <v>19688</v>
      </c>
      <c r="D1139" s="130" t="s">
        <v>2697</v>
      </c>
      <c r="E1139" s="130" t="s">
        <v>4860</v>
      </c>
      <c r="F1139" s="130" t="s">
        <v>4861</v>
      </c>
      <c r="G1139" s="550" t="s">
        <v>2069</v>
      </c>
      <c r="I1139" s="165">
        <v>44067</v>
      </c>
      <c r="J1139" s="551" t="s">
        <v>799</v>
      </c>
      <c r="K1139" s="552" t="s">
        <v>73</v>
      </c>
      <c r="L1139" s="130" t="s">
        <v>4862</v>
      </c>
    </row>
    <row r="1140" spans="1:12" ht="16.5" customHeight="1">
      <c r="A1140" s="186" t="s">
        <v>2510</v>
      </c>
      <c r="B1140" s="186">
        <v>51125177</v>
      </c>
      <c r="C1140" s="549">
        <v>17502</v>
      </c>
      <c r="D1140" s="130" t="s">
        <v>2848</v>
      </c>
      <c r="E1140" s="130" t="s">
        <v>4863</v>
      </c>
      <c r="F1140" s="130" t="s">
        <v>4864</v>
      </c>
      <c r="G1140" s="550" t="s">
        <v>2081</v>
      </c>
      <c r="I1140" s="165">
        <v>44067</v>
      </c>
      <c r="J1140" s="551" t="s">
        <v>799</v>
      </c>
      <c r="K1140" s="552" t="s">
        <v>73</v>
      </c>
      <c r="L1140" s="130" t="s">
        <v>4862</v>
      </c>
    </row>
    <row r="1141" spans="1:12" ht="16.5" customHeight="1">
      <c r="A1141" s="186" t="s">
        <v>2510</v>
      </c>
      <c r="B1141" s="186">
        <v>90784372</v>
      </c>
      <c r="D1141" s="130" t="s">
        <v>4865</v>
      </c>
      <c r="E1141" s="130" t="s">
        <v>4866</v>
      </c>
      <c r="F1141" s="130" t="s">
        <v>2730</v>
      </c>
      <c r="G1141" s="550" t="s">
        <v>2069</v>
      </c>
      <c r="I1141" s="165">
        <v>44067</v>
      </c>
      <c r="J1141" s="551" t="s">
        <v>799</v>
      </c>
      <c r="K1141" s="552" t="s">
        <v>73</v>
      </c>
      <c r="L1141" s="130" t="s">
        <v>4862</v>
      </c>
    </row>
    <row r="1142" spans="1:12" ht="16.5" customHeight="1">
      <c r="A1142" s="186" t="s">
        <v>2510</v>
      </c>
      <c r="B1142" s="186">
        <v>26120014</v>
      </c>
      <c r="C1142" s="549">
        <v>18018</v>
      </c>
      <c r="D1142" s="130" t="s">
        <v>3246</v>
      </c>
      <c r="E1142" s="130" t="s">
        <v>4867</v>
      </c>
      <c r="F1142" s="130" t="s">
        <v>3700</v>
      </c>
      <c r="G1142" s="550" t="s">
        <v>2069</v>
      </c>
      <c r="I1142" s="165">
        <v>44067</v>
      </c>
      <c r="J1142" s="551" t="s">
        <v>799</v>
      </c>
      <c r="K1142" s="552" t="s">
        <v>73</v>
      </c>
      <c r="L1142" s="130" t="s">
        <v>4862</v>
      </c>
    </row>
    <row r="1143" spans="1:12" ht="16.5" customHeight="1">
      <c r="A1143" s="186" t="s">
        <v>2510</v>
      </c>
      <c r="B1143" s="186">
        <v>335752</v>
      </c>
      <c r="D1143" s="130" t="s">
        <v>2786</v>
      </c>
      <c r="E1143" s="130" t="s">
        <v>2597</v>
      </c>
      <c r="F1143" s="130" t="s">
        <v>2830</v>
      </c>
      <c r="G1143" s="550" t="s">
        <v>2185</v>
      </c>
      <c r="I1143" s="165">
        <v>44067</v>
      </c>
      <c r="J1143" s="551" t="s">
        <v>67</v>
      </c>
      <c r="K1143" s="552" t="s">
        <v>67</v>
      </c>
      <c r="L1143" s="130" t="s">
        <v>4868</v>
      </c>
    </row>
    <row r="1144" spans="1:12" ht="16.5" customHeight="1">
      <c r="A1144" s="186" t="s">
        <v>3071</v>
      </c>
      <c r="B1144" s="186">
        <v>2462547</v>
      </c>
      <c r="C1144" s="549">
        <v>21497</v>
      </c>
      <c r="D1144" s="130" t="s">
        <v>2969</v>
      </c>
      <c r="E1144" s="130" t="s">
        <v>4869</v>
      </c>
      <c r="F1144" s="130" t="s">
        <v>4870</v>
      </c>
      <c r="G1144" s="550" t="s">
        <v>2185</v>
      </c>
      <c r="I1144" s="165">
        <v>44070</v>
      </c>
      <c r="J1144" s="551" t="s">
        <v>799</v>
      </c>
      <c r="K1144" s="552" t="s">
        <v>2516</v>
      </c>
      <c r="L1144" s="130" t="s">
        <v>4862</v>
      </c>
    </row>
    <row r="1145" spans="1:12" ht="16.5" customHeight="1">
      <c r="A1145" s="186" t="s">
        <v>3071</v>
      </c>
      <c r="B1145" s="186">
        <v>3165024</v>
      </c>
      <c r="C1145" s="549">
        <v>16378</v>
      </c>
      <c r="D1145" s="130" t="s">
        <v>3283</v>
      </c>
      <c r="E1145" s="130" t="s">
        <v>4871</v>
      </c>
      <c r="F1145" s="130" t="s">
        <v>4872</v>
      </c>
      <c r="G1145" s="550" t="s">
        <v>2313</v>
      </c>
      <c r="I1145" s="165">
        <v>44070</v>
      </c>
      <c r="J1145" s="551" t="s">
        <v>799</v>
      </c>
      <c r="K1145" s="552" t="s">
        <v>2516</v>
      </c>
      <c r="L1145" s="130" t="s">
        <v>4862</v>
      </c>
    </row>
    <row r="1146" spans="1:12" ht="16.5" customHeight="1">
      <c r="A1146" s="186" t="s">
        <v>3071</v>
      </c>
      <c r="B1146" s="186">
        <v>6329387</v>
      </c>
      <c r="C1146" s="549">
        <v>13332</v>
      </c>
      <c r="D1146" s="130" t="s">
        <v>3288</v>
      </c>
      <c r="E1146" s="130" t="s">
        <v>4873</v>
      </c>
      <c r="F1146" s="130" t="s">
        <v>4874</v>
      </c>
      <c r="G1146" s="550" t="s">
        <v>2144</v>
      </c>
      <c r="I1146" s="165">
        <v>44070</v>
      </c>
      <c r="J1146" s="551" t="s">
        <v>799</v>
      </c>
      <c r="K1146" s="552" t="s">
        <v>2516</v>
      </c>
      <c r="L1146" s="130" t="s">
        <v>4862</v>
      </c>
    </row>
    <row r="1147" spans="1:12" ht="16.5" customHeight="1">
      <c r="A1147" s="186" t="s">
        <v>3071</v>
      </c>
      <c r="B1147" s="186">
        <v>38551495</v>
      </c>
      <c r="C1147" s="549">
        <v>15821</v>
      </c>
      <c r="D1147" s="130" t="s">
        <v>3101</v>
      </c>
      <c r="E1147" s="130" t="s">
        <v>4875</v>
      </c>
      <c r="F1147" s="130" t="s">
        <v>4876</v>
      </c>
      <c r="G1147" s="550" t="s">
        <v>2129</v>
      </c>
      <c r="I1147" s="165">
        <v>44070</v>
      </c>
      <c r="J1147" s="551" t="s">
        <v>799</v>
      </c>
      <c r="K1147" s="552" t="s">
        <v>2516</v>
      </c>
      <c r="L1147" s="130" t="s">
        <v>4862</v>
      </c>
    </row>
    <row r="1148" spans="1:12" ht="16.5" customHeight="1">
      <c r="A1148" s="186" t="s">
        <v>3071</v>
      </c>
      <c r="B1148" s="186">
        <v>40554545</v>
      </c>
      <c r="C1148" s="549">
        <v>18515</v>
      </c>
      <c r="D1148" s="130" t="s">
        <v>2511</v>
      </c>
      <c r="E1148" s="130" t="s">
        <v>4877</v>
      </c>
      <c r="F1148" s="130" t="s">
        <v>4878</v>
      </c>
      <c r="G1148" s="550" t="s">
        <v>2299</v>
      </c>
      <c r="I1148" s="165">
        <v>44070</v>
      </c>
      <c r="J1148" s="551" t="s">
        <v>799</v>
      </c>
      <c r="K1148" s="552" t="s">
        <v>2516</v>
      </c>
      <c r="L1148" s="130" t="s">
        <v>4862</v>
      </c>
    </row>
    <row r="1149" spans="1:12" ht="16.5" customHeight="1">
      <c r="A1149" s="186" t="s">
        <v>3071</v>
      </c>
      <c r="B1149" s="186">
        <v>77392413</v>
      </c>
      <c r="C1149" s="549">
        <v>18080</v>
      </c>
      <c r="D1149" s="130" t="s">
        <v>4879</v>
      </c>
      <c r="E1149" s="130" t="s">
        <v>4880</v>
      </c>
      <c r="F1149" s="130" t="s">
        <v>4881</v>
      </c>
      <c r="G1149" s="550" t="s">
        <v>2106</v>
      </c>
      <c r="I1149" s="165">
        <v>44070</v>
      </c>
      <c r="J1149" s="551" t="s">
        <v>799</v>
      </c>
      <c r="K1149" s="552" t="s">
        <v>2516</v>
      </c>
      <c r="L1149" s="130" t="s">
        <v>4862</v>
      </c>
    </row>
    <row r="1150" spans="1:12" ht="16.5" customHeight="1">
      <c r="A1150" s="186" t="s">
        <v>3071</v>
      </c>
      <c r="B1150" s="186">
        <v>135087</v>
      </c>
      <c r="C1150" s="549">
        <v>19624</v>
      </c>
      <c r="D1150" s="130" t="s">
        <v>4882</v>
      </c>
      <c r="E1150" s="130" t="s">
        <v>4883</v>
      </c>
      <c r="F1150" s="130" t="s">
        <v>4884</v>
      </c>
      <c r="G1150" s="550" t="s">
        <v>2106</v>
      </c>
      <c r="I1150" s="165">
        <v>44070</v>
      </c>
      <c r="J1150" s="551" t="s">
        <v>799</v>
      </c>
      <c r="K1150" s="552" t="s">
        <v>2516</v>
      </c>
      <c r="L1150" s="130" t="s">
        <v>4862</v>
      </c>
    </row>
    <row r="1151" spans="1:12" ht="16.5" customHeight="1">
      <c r="A1151" s="186" t="s">
        <v>3071</v>
      </c>
      <c r="B1151" s="186">
        <v>3951654</v>
      </c>
      <c r="C1151" s="549">
        <v>14795</v>
      </c>
      <c r="D1151" s="130" t="s">
        <v>2954</v>
      </c>
      <c r="E1151" s="130" t="s">
        <v>4885</v>
      </c>
      <c r="F1151" s="130" t="s">
        <v>4886</v>
      </c>
      <c r="G1151" s="550" t="s">
        <v>2274</v>
      </c>
      <c r="I1151" s="165">
        <v>44070</v>
      </c>
      <c r="J1151" s="551" t="s">
        <v>799</v>
      </c>
      <c r="K1151" s="552" t="s">
        <v>2516</v>
      </c>
      <c r="L1151" s="130" t="s">
        <v>4862</v>
      </c>
    </row>
    <row r="1152" spans="1:12" ht="16.5" customHeight="1">
      <c r="A1152" s="186" t="s">
        <v>3071</v>
      </c>
      <c r="B1152" s="186">
        <v>17529009</v>
      </c>
      <c r="C1152" s="549">
        <v>15048</v>
      </c>
      <c r="D1152" s="130" t="s">
        <v>2511</v>
      </c>
      <c r="E1152" s="130" t="s">
        <v>4887</v>
      </c>
      <c r="F1152" s="130" t="s">
        <v>4888</v>
      </c>
      <c r="G1152" s="550" t="s">
        <v>2112</v>
      </c>
      <c r="I1152" s="165">
        <v>44070</v>
      </c>
      <c r="J1152" s="551" t="s">
        <v>799</v>
      </c>
      <c r="K1152" s="552" t="s">
        <v>2516</v>
      </c>
      <c r="L1152" s="130" t="s">
        <v>4862</v>
      </c>
    </row>
    <row r="1153" spans="1:12" ht="16.5" customHeight="1">
      <c r="A1153" s="186" t="s">
        <v>3071</v>
      </c>
      <c r="B1153" s="186">
        <v>17591876</v>
      </c>
      <c r="C1153" s="549">
        <v>20744</v>
      </c>
      <c r="D1153" s="130" t="s">
        <v>4889</v>
      </c>
      <c r="E1153" s="130" t="s">
        <v>4890</v>
      </c>
      <c r="F1153" s="130" t="s">
        <v>4891</v>
      </c>
      <c r="G1153" s="550" t="s">
        <v>2299</v>
      </c>
      <c r="I1153" s="165">
        <v>44070</v>
      </c>
      <c r="J1153" s="551" t="s">
        <v>799</v>
      </c>
      <c r="K1153" s="552" t="s">
        <v>2516</v>
      </c>
      <c r="L1153" s="130" t="s">
        <v>4862</v>
      </c>
    </row>
    <row r="1154" spans="1:12" ht="16.5" customHeight="1">
      <c r="A1154" s="186" t="s">
        <v>3071</v>
      </c>
      <c r="B1154" s="186">
        <v>27949262</v>
      </c>
      <c r="C1154" s="549">
        <v>14535</v>
      </c>
      <c r="D1154" s="130" t="s">
        <v>4892</v>
      </c>
      <c r="E1154" s="130" t="s">
        <v>4893</v>
      </c>
      <c r="F1154" s="130" t="s">
        <v>3205</v>
      </c>
      <c r="G1154" s="550" t="s">
        <v>2106</v>
      </c>
      <c r="I1154" s="165">
        <v>44070</v>
      </c>
      <c r="J1154" s="551" t="s">
        <v>799</v>
      </c>
      <c r="K1154" s="552" t="s">
        <v>2516</v>
      </c>
      <c r="L1154" s="130" t="s">
        <v>4862</v>
      </c>
    </row>
    <row r="1155" spans="1:12" ht="16.5" customHeight="1">
      <c r="A1155" s="186" t="s">
        <v>3071</v>
      </c>
      <c r="B1155" s="186">
        <v>58622978</v>
      </c>
      <c r="C1155" s="549">
        <v>9253</v>
      </c>
      <c r="D1155" s="130" t="s">
        <v>4894</v>
      </c>
      <c r="E1155" s="130" t="s">
        <v>4895</v>
      </c>
      <c r="F1155" s="130" t="s">
        <v>4896</v>
      </c>
      <c r="G1155" s="550" t="s">
        <v>2106</v>
      </c>
      <c r="I1155" s="165">
        <v>44070</v>
      </c>
      <c r="J1155" s="551" t="s">
        <v>799</v>
      </c>
      <c r="K1155" s="552" t="s">
        <v>2516</v>
      </c>
      <c r="L1155" s="130" t="s">
        <v>4862</v>
      </c>
    </row>
    <row r="1156" spans="1:12" ht="16.5" customHeight="1">
      <c r="A1156" s="186" t="s">
        <v>3071</v>
      </c>
      <c r="B1156" s="765">
        <v>6130801</v>
      </c>
      <c r="C1156" s="549">
        <v>19782</v>
      </c>
      <c r="D1156" s="130" t="s">
        <v>3584</v>
      </c>
      <c r="E1156" s="130" t="s">
        <v>4897</v>
      </c>
      <c r="F1156" s="130" t="s">
        <v>4898</v>
      </c>
      <c r="G1156" s="550" t="s">
        <v>2072</v>
      </c>
      <c r="H1156" s="130" t="s">
        <v>88</v>
      </c>
      <c r="I1156" s="165">
        <v>44070</v>
      </c>
      <c r="J1156" s="551" t="s">
        <v>799</v>
      </c>
      <c r="K1156" s="552" t="s">
        <v>2516</v>
      </c>
      <c r="L1156" s="130" t="s">
        <v>4862</v>
      </c>
    </row>
    <row r="1157" spans="1:12" ht="16.5" customHeight="1">
      <c r="A1157" s="186" t="s">
        <v>3071</v>
      </c>
      <c r="B1157" s="765">
        <v>16775579</v>
      </c>
      <c r="C1157" s="549">
        <v>21164</v>
      </c>
      <c r="D1157" s="130" t="s">
        <v>3825</v>
      </c>
      <c r="E1157" s="130" t="s">
        <v>4899</v>
      </c>
      <c r="F1157" s="130" t="s">
        <v>3134</v>
      </c>
      <c r="G1157" s="550" t="s">
        <v>2118</v>
      </c>
      <c r="I1157" s="165">
        <v>44070</v>
      </c>
      <c r="J1157" s="551" t="s">
        <v>799</v>
      </c>
      <c r="K1157" s="552" t="s">
        <v>2516</v>
      </c>
      <c r="L1157" s="130" t="s">
        <v>4862</v>
      </c>
    </row>
    <row r="1158" spans="1:12" ht="16.5" customHeight="1">
      <c r="A1158" s="186" t="s">
        <v>3071</v>
      </c>
      <c r="B1158" s="765">
        <v>24564635</v>
      </c>
      <c r="C1158" s="549">
        <v>13695</v>
      </c>
      <c r="D1158" s="130" t="s">
        <v>2541</v>
      </c>
      <c r="E1158" s="130" t="s">
        <v>4900</v>
      </c>
      <c r="F1158" s="130" t="s">
        <v>4622</v>
      </c>
      <c r="G1158" s="550" t="s">
        <v>2240</v>
      </c>
      <c r="I1158" s="165">
        <v>44070</v>
      </c>
      <c r="J1158" s="551" t="s">
        <v>799</v>
      </c>
      <c r="K1158" s="552" t="s">
        <v>2516</v>
      </c>
      <c r="L1158" s="130" t="s">
        <v>4862</v>
      </c>
    </row>
    <row r="1159" spans="1:12" ht="16.5" customHeight="1">
      <c r="A1159" s="186" t="s">
        <v>3071</v>
      </c>
      <c r="B1159" s="765">
        <v>28411965</v>
      </c>
      <c r="C1159" s="549">
        <v>17050</v>
      </c>
      <c r="D1159" s="130" t="s">
        <v>2687</v>
      </c>
      <c r="E1159" s="130" t="s">
        <v>4901</v>
      </c>
      <c r="F1159" s="130" t="s">
        <v>4902</v>
      </c>
      <c r="G1159" s="550" t="s">
        <v>2112</v>
      </c>
      <c r="I1159" s="165">
        <v>44070</v>
      </c>
      <c r="J1159" s="551" t="s">
        <v>799</v>
      </c>
      <c r="K1159" s="552" t="s">
        <v>2516</v>
      </c>
      <c r="L1159" s="130" t="s">
        <v>4862</v>
      </c>
    </row>
    <row r="1160" spans="1:12" ht="16.5" customHeight="1">
      <c r="A1160" s="186" t="s">
        <v>3071</v>
      </c>
      <c r="B1160" s="765">
        <v>29479490</v>
      </c>
      <c r="C1160" s="549">
        <v>14537</v>
      </c>
      <c r="D1160" s="130" t="s">
        <v>2733</v>
      </c>
      <c r="E1160" s="130" t="s">
        <v>4903</v>
      </c>
      <c r="F1160" s="130" t="s">
        <v>3631</v>
      </c>
      <c r="G1160" s="550" t="s">
        <v>2313</v>
      </c>
      <c r="I1160" s="165">
        <v>44070</v>
      </c>
      <c r="J1160" s="551" t="s">
        <v>799</v>
      </c>
      <c r="K1160" s="552" t="s">
        <v>2516</v>
      </c>
      <c r="L1160" s="130" t="s">
        <v>4862</v>
      </c>
    </row>
    <row r="1161" spans="1:12" ht="16.5" customHeight="1">
      <c r="A1161" t="s">
        <v>3071</v>
      </c>
      <c r="B1161" s="765">
        <v>27990126</v>
      </c>
      <c r="D1161" s="130" t="s">
        <v>3468</v>
      </c>
      <c r="E1161" s="130" t="s">
        <v>4904</v>
      </c>
      <c r="F1161" s="130" t="s">
        <v>4905</v>
      </c>
      <c r="G1161" s="550" t="s">
        <v>2052</v>
      </c>
      <c r="I1161" s="165">
        <v>44070</v>
      </c>
      <c r="J1161" s="551" t="s">
        <v>799</v>
      </c>
      <c r="K1161" s="552" t="s">
        <v>2516</v>
      </c>
      <c r="L1161" s="130" t="s">
        <v>4846</v>
      </c>
    </row>
    <row r="1162" spans="1:12" ht="16.5" customHeight="1">
      <c r="A1162" s="186" t="s">
        <v>3071</v>
      </c>
      <c r="B1162" s="186">
        <v>240085</v>
      </c>
      <c r="C1162" s="549">
        <v>16331</v>
      </c>
      <c r="D1162" s="130" t="s">
        <v>2863</v>
      </c>
      <c r="E1162" s="130" t="s">
        <v>2864</v>
      </c>
      <c r="F1162" s="130" t="s">
        <v>2865</v>
      </c>
      <c r="G1162" s="550" t="s">
        <v>2094</v>
      </c>
      <c r="H1162" s="130" t="s">
        <v>4906</v>
      </c>
      <c r="I1162" s="165">
        <v>44073</v>
      </c>
      <c r="J1162" s="551" t="s">
        <v>72</v>
      </c>
      <c r="K1162" s="552" t="s">
        <v>67</v>
      </c>
      <c r="L1162" s="130" t="s">
        <v>88</v>
      </c>
    </row>
    <row r="1163" spans="1:12" ht="16.5" customHeight="1">
      <c r="A1163" s="186" t="s">
        <v>2510</v>
      </c>
      <c r="B1163" s="186">
        <v>41263997</v>
      </c>
      <c r="C1163" s="549">
        <v>16306</v>
      </c>
      <c r="D1163" s="130" t="s">
        <v>4616</v>
      </c>
      <c r="E1163" s="130" t="s">
        <v>4907</v>
      </c>
      <c r="F1163" s="130" t="s">
        <v>4908</v>
      </c>
      <c r="G1163" s="550" t="s">
        <v>2081</v>
      </c>
      <c r="J1163" s="551" t="s">
        <v>799</v>
      </c>
      <c r="K1163" s="552" t="s">
        <v>67</v>
      </c>
      <c r="L1163" s="130" t="s">
        <v>88</v>
      </c>
    </row>
    <row r="1164" spans="1:12" ht="16.5" customHeight="1">
      <c r="A1164" s="186" t="s">
        <v>2510</v>
      </c>
      <c r="B1164" s="186">
        <v>978312</v>
      </c>
      <c r="C1164" s="549">
        <v>18035</v>
      </c>
      <c r="D1164" s="130" t="s">
        <v>3588</v>
      </c>
      <c r="E1164" s="130" t="s">
        <v>4909</v>
      </c>
      <c r="F1164" s="130" t="s">
        <v>4910</v>
      </c>
      <c r="G1164" s="550" t="s">
        <v>2081</v>
      </c>
      <c r="J1164" s="551" t="s">
        <v>799</v>
      </c>
      <c r="K1164" s="552" t="s">
        <v>67</v>
      </c>
    </row>
    <row r="1165" spans="1:12" ht="16.5" customHeight="1">
      <c r="A1165" s="186" t="s">
        <v>2510</v>
      </c>
      <c r="B1165" s="186">
        <v>40915464</v>
      </c>
      <c r="C1165" s="549">
        <v>15264</v>
      </c>
      <c r="D1165" s="130" t="s">
        <v>2593</v>
      </c>
      <c r="E1165" s="130" t="s">
        <v>4911</v>
      </c>
      <c r="F1165" s="130" t="s">
        <v>4912</v>
      </c>
      <c r="G1165" s="550" t="s">
        <v>2139</v>
      </c>
      <c r="I1165" s="165" t="s">
        <v>88</v>
      </c>
      <c r="J1165" s="551" t="s">
        <v>799</v>
      </c>
      <c r="K1165" s="552" t="s">
        <v>67</v>
      </c>
    </row>
    <row r="1166" spans="1:12" ht="16.5" customHeight="1">
      <c r="A1166" s="186" t="s">
        <v>2510</v>
      </c>
      <c r="B1166" s="186">
        <v>21579727</v>
      </c>
      <c r="C1166" s="549">
        <v>19282</v>
      </c>
      <c r="D1166" s="130" t="s">
        <v>2665</v>
      </c>
      <c r="E1166" s="130" t="s">
        <v>3263</v>
      </c>
      <c r="F1166" s="130" t="s">
        <v>3264</v>
      </c>
      <c r="G1166" s="550" t="s">
        <v>2185</v>
      </c>
      <c r="J1166" s="551" t="s">
        <v>73</v>
      </c>
      <c r="K1166" s="552" t="s">
        <v>67</v>
      </c>
    </row>
    <row r="1167" spans="1:12" ht="16.5" customHeight="1">
      <c r="A1167" s="186" t="s">
        <v>2510</v>
      </c>
      <c r="B1167" s="186">
        <v>61113072</v>
      </c>
      <c r="C1167" s="549">
        <v>17427</v>
      </c>
      <c r="D1167" s="130" t="s">
        <v>3098</v>
      </c>
      <c r="E1167" s="130" t="s">
        <v>4913</v>
      </c>
      <c r="F1167" s="130" t="s">
        <v>4544</v>
      </c>
      <c r="G1167" s="550" t="s">
        <v>2526</v>
      </c>
      <c r="J1167" s="551" t="s">
        <v>799</v>
      </c>
      <c r="K1167" s="552" t="s">
        <v>67</v>
      </c>
    </row>
    <row r="1168" spans="1:12" ht="16.5" customHeight="1">
      <c r="A1168" s="186" t="s">
        <v>2510</v>
      </c>
      <c r="B1168" s="186">
        <v>41001785</v>
      </c>
      <c r="C1168" s="549">
        <v>20156</v>
      </c>
      <c r="D1168" s="130" t="s">
        <v>4914</v>
      </c>
      <c r="E1168" s="130" t="s">
        <v>4915</v>
      </c>
      <c r="F1168" s="130" t="s">
        <v>3975</v>
      </c>
      <c r="G1168" s="550" t="s">
        <v>2413</v>
      </c>
      <c r="J1168" s="551" t="s">
        <v>799</v>
      </c>
      <c r="K1168" s="552" t="s">
        <v>67</v>
      </c>
    </row>
    <row r="1169" spans="1:12" ht="16.5" customHeight="1">
      <c r="A1169" s="186" t="s">
        <v>2510</v>
      </c>
      <c r="B1169" s="186">
        <v>19166859</v>
      </c>
      <c r="C1169" s="549">
        <v>10013</v>
      </c>
      <c r="D1169" s="130" t="s">
        <v>4916</v>
      </c>
      <c r="E1169" s="130" t="s">
        <v>4917</v>
      </c>
      <c r="F1169" s="130" t="s">
        <v>3932</v>
      </c>
      <c r="G1169" s="550" t="s">
        <v>2174</v>
      </c>
      <c r="J1169" s="551" t="s">
        <v>799</v>
      </c>
      <c r="K1169" s="552" t="s">
        <v>67</v>
      </c>
    </row>
    <row r="1170" spans="1:12" ht="16.5" customHeight="1">
      <c r="A1170" s="186" t="s">
        <v>2510</v>
      </c>
      <c r="B1170" s="186">
        <v>27469477</v>
      </c>
      <c r="C1170" s="549">
        <v>19336</v>
      </c>
      <c r="D1170" s="130" t="s">
        <v>2718</v>
      </c>
      <c r="E1170" s="130" t="s">
        <v>4918</v>
      </c>
      <c r="F1170" s="130" t="s">
        <v>4919</v>
      </c>
      <c r="G1170" s="550" t="s">
        <v>2129</v>
      </c>
      <c r="J1170" s="551" t="s">
        <v>799</v>
      </c>
      <c r="K1170" s="552" t="s">
        <v>67</v>
      </c>
    </row>
    <row r="1171" spans="1:12" ht="16.5" customHeight="1">
      <c r="A1171" s="186" t="s">
        <v>2510</v>
      </c>
      <c r="B1171" s="186">
        <v>1316124</v>
      </c>
      <c r="C1171" s="549">
        <v>18322</v>
      </c>
      <c r="D1171" s="130" t="s">
        <v>4325</v>
      </c>
      <c r="E1171" s="130" t="s">
        <v>4326</v>
      </c>
      <c r="F1171" s="130" t="s">
        <v>3601</v>
      </c>
      <c r="G1171" s="550" t="s">
        <v>2201</v>
      </c>
      <c r="I1171" s="165" t="s">
        <v>88</v>
      </c>
      <c r="J1171" s="551" t="s">
        <v>799</v>
      </c>
      <c r="K1171" s="552" t="s">
        <v>67</v>
      </c>
    </row>
    <row r="1172" spans="1:12" ht="16.5" customHeight="1">
      <c r="A1172" s="186" t="s">
        <v>2510</v>
      </c>
      <c r="B1172" s="186">
        <v>99700833</v>
      </c>
      <c r="D1172" s="130" t="s">
        <v>2586</v>
      </c>
      <c r="E1172" s="130" t="s">
        <v>2832</v>
      </c>
      <c r="F1172" s="130" t="s">
        <v>3167</v>
      </c>
      <c r="G1172" s="550" t="s">
        <v>2363</v>
      </c>
      <c r="H1172" s="130" t="s">
        <v>4920</v>
      </c>
      <c r="J1172" s="551" t="s">
        <v>72</v>
      </c>
      <c r="K1172" s="552" t="s">
        <v>67</v>
      </c>
    </row>
    <row r="1173" spans="1:12" ht="16.5" customHeight="1">
      <c r="A1173" s="186" t="s">
        <v>2510</v>
      </c>
      <c r="B1173" s="186">
        <v>64094444</v>
      </c>
      <c r="C1173" s="549">
        <v>30880</v>
      </c>
      <c r="D1173" s="130" t="s">
        <v>4921</v>
      </c>
      <c r="E1173" s="130" t="s">
        <v>4922</v>
      </c>
      <c r="F1173" s="130" t="s">
        <v>4923</v>
      </c>
      <c r="G1173" s="550" t="s">
        <v>2274</v>
      </c>
      <c r="J1173" s="551" t="s">
        <v>799</v>
      </c>
      <c r="K1173" s="552" t="s">
        <v>67</v>
      </c>
    </row>
    <row r="1174" spans="1:12" ht="16.5" customHeight="1">
      <c r="A1174" s="186" t="s">
        <v>2584</v>
      </c>
      <c r="B1174" s="186">
        <v>331652</v>
      </c>
      <c r="C1174" s="549">
        <v>18192</v>
      </c>
      <c r="D1174" s="130" t="s">
        <v>3246</v>
      </c>
      <c r="E1174" s="130" t="s">
        <v>3539</v>
      </c>
      <c r="F1174" s="130" t="s">
        <v>4148</v>
      </c>
      <c r="G1174" s="550" t="s">
        <v>2274</v>
      </c>
      <c r="I1174" s="165">
        <v>44074</v>
      </c>
      <c r="J1174" s="551" t="s">
        <v>799</v>
      </c>
      <c r="K1174" s="552" t="s">
        <v>2516</v>
      </c>
      <c r="L1174" s="130" t="s">
        <v>4846</v>
      </c>
    </row>
    <row r="1175" spans="1:12" ht="16.5" customHeight="1">
      <c r="A1175" s="186" t="s">
        <v>2584</v>
      </c>
      <c r="B1175" s="186">
        <v>2985471</v>
      </c>
      <c r="C1175" s="549">
        <v>19848</v>
      </c>
      <c r="D1175" s="130" t="s">
        <v>3632</v>
      </c>
      <c r="E1175" s="130" t="s">
        <v>4924</v>
      </c>
      <c r="F1175" s="130" t="s">
        <v>3004</v>
      </c>
      <c r="G1175" s="550" t="s">
        <v>2112</v>
      </c>
      <c r="I1175" s="165">
        <v>44074</v>
      </c>
      <c r="J1175" s="551" t="s">
        <v>799</v>
      </c>
      <c r="K1175" s="552" t="s">
        <v>2516</v>
      </c>
      <c r="L1175" s="130" t="s">
        <v>4846</v>
      </c>
    </row>
    <row r="1176" spans="1:12" ht="16.5" customHeight="1">
      <c r="A1176" s="186" t="s">
        <v>2584</v>
      </c>
      <c r="B1176" s="186">
        <v>4971172</v>
      </c>
      <c r="C1176" s="549">
        <v>18330</v>
      </c>
      <c r="D1176" s="130" t="s">
        <v>3384</v>
      </c>
      <c r="E1176" s="130" t="s">
        <v>4925</v>
      </c>
      <c r="F1176" s="130" t="s">
        <v>3040</v>
      </c>
      <c r="G1176" s="550" t="s">
        <v>2363</v>
      </c>
      <c r="I1176" s="165">
        <v>44074</v>
      </c>
      <c r="J1176" s="551" t="s">
        <v>799</v>
      </c>
      <c r="K1176" s="552" t="s">
        <v>2516</v>
      </c>
      <c r="L1176" s="130" t="s">
        <v>4846</v>
      </c>
    </row>
    <row r="1177" spans="1:12" ht="16.5" customHeight="1">
      <c r="A1177" s="186" t="s">
        <v>2584</v>
      </c>
      <c r="B1177" s="186">
        <v>6309710</v>
      </c>
      <c r="C1177" s="549">
        <v>12057</v>
      </c>
      <c r="D1177" s="130" t="s">
        <v>4926</v>
      </c>
      <c r="E1177" s="130" t="s">
        <v>4927</v>
      </c>
      <c r="F1177" s="130" t="s">
        <v>4928</v>
      </c>
      <c r="G1177" s="550" t="s">
        <v>2313</v>
      </c>
      <c r="I1177" s="165">
        <v>44074</v>
      </c>
      <c r="J1177" s="551" t="s">
        <v>799</v>
      </c>
      <c r="K1177" s="552" t="s">
        <v>2516</v>
      </c>
      <c r="L1177" s="130" t="s">
        <v>4846</v>
      </c>
    </row>
    <row r="1178" spans="1:12" ht="16.5" customHeight="1">
      <c r="A1178" s="186" t="s">
        <v>2584</v>
      </c>
      <c r="B1178" s="186">
        <v>8224271</v>
      </c>
      <c r="C1178" s="549">
        <v>15694</v>
      </c>
      <c r="D1178" s="130" t="s">
        <v>4929</v>
      </c>
      <c r="E1178" s="130" t="s">
        <v>4930</v>
      </c>
      <c r="F1178" s="130" t="s">
        <v>2830</v>
      </c>
      <c r="G1178" s="550" t="s">
        <v>2185</v>
      </c>
      <c r="I1178" s="165">
        <v>44074</v>
      </c>
      <c r="J1178" s="551" t="s">
        <v>799</v>
      </c>
      <c r="K1178" s="552" t="s">
        <v>2516</v>
      </c>
      <c r="L1178" s="130" t="s">
        <v>4846</v>
      </c>
    </row>
    <row r="1179" spans="1:12" ht="16.5" customHeight="1">
      <c r="A1179" s="186" t="s">
        <v>2584</v>
      </c>
      <c r="B1179" s="186">
        <v>18312280</v>
      </c>
      <c r="C1179" s="549">
        <v>21748</v>
      </c>
      <c r="D1179" s="130" t="s">
        <v>3246</v>
      </c>
      <c r="E1179" s="130" t="s">
        <v>2999</v>
      </c>
      <c r="F1179" s="130" t="s">
        <v>3181</v>
      </c>
      <c r="G1179" s="550" t="s">
        <v>2094</v>
      </c>
      <c r="I1179" s="165">
        <v>44074</v>
      </c>
      <c r="J1179" s="551" t="s">
        <v>799</v>
      </c>
      <c r="K1179" s="552" t="s">
        <v>2516</v>
      </c>
      <c r="L1179" s="130" t="s">
        <v>4846</v>
      </c>
    </row>
    <row r="1180" spans="1:12" ht="16.5" customHeight="1">
      <c r="A1180" s="186" t="s">
        <v>2584</v>
      </c>
      <c r="B1180" s="186">
        <v>20681680</v>
      </c>
      <c r="C1180" s="549">
        <v>21316</v>
      </c>
      <c r="D1180" s="130" t="s">
        <v>4093</v>
      </c>
      <c r="E1180" s="130" t="s">
        <v>4931</v>
      </c>
      <c r="F1180" s="130" t="s">
        <v>4932</v>
      </c>
      <c r="G1180" s="550" t="s">
        <v>2072</v>
      </c>
      <c r="I1180" s="165">
        <v>44074</v>
      </c>
      <c r="J1180" s="551" t="s">
        <v>799</v>
      </c>
      <c r="K1180" s="552" t="s">
        <v>2516</v>
      </c>
      <c r="L1180" s="130" t="s">
        <v>4846</v>
      </c>
    </row>
    <row r="1181" spans="1:12" ht="16.5" customHeight="1">
      <c r="A1181" s="186" t="s">
        <v>2584</v>
      </c>
      <c r="B1181" s="186">
        <v>27623826</v>
      </c>
      <c r="C1181" s="549">
        <v>21240</v>
      </c>
      <c r="D1181" s="130" t="s">
        <v>2586</v>
      </c>
      <c r="E1181" s="130" t="s">
        <v>4933</v>
      </c>
      <c r="F1181" s="130" t="s">
        <v>4694</v>
      </c>
      <c r="G1181" s="550" t="s">
        <v>2206</v>
      </c>
      <c r="I1181" s="165">
        <v>44074</v>
      </c>
      <c r="J1181" s="551" t="s">
        <v>799</v>
      </c>
      <c r="K1181" s="552" t="s">
        <v>2516</v>
      </c>
      <c r="L1181" s="130" t="s">
        <v>4846</v>
      </c>
    </row>
    <row r="1182" spans="1:12" ht="16.5" customHeight="1">
      <c r="A1182" s="186" t="s">
        <v>2584</v>
      </c>
      <c r="B1182" s="186">
        <v>36782233</v>
      </c>
      <c r="C1182" s="549">
        <v>21258</v>
      </c>
      <c r="D1182" s="130" t="s">
        <v>4934</v>
      </c>
      <c r="E1182" s="130" t="s">
        <v>4935</v>
      </c>
      <c r="F1182" s="130" t="s">
        <v>4148</v>
      </c>
      <c r="G1182" s="550" t="s">
        <v>2206</v>
      </c>
      <c r="I1182" s="165">
        <v>44074</v>
      </c>
      <c r="J1182" s="551" t="s">
        <v>799</v>
      </c>
      <c r="K1182" s="552" t="s">
        <v>2516</v>
      </c>
      <c r="L1182" s="130" t="s">
        <v>4846</v>
      </c>
    </row>
    <row r="1183" spans="1:12" ht="16.5" customHeight="1">
      <c r="A1183" s="186" t="s">
        <v>2584</v>
      </c>
      <c r="B1183" s="186">
        <v>37037470</v>
      </c>
      <c r="C1183" s="549">
        <v>14509</v>
      </c>
      <c r="D1183" s="130" t="s">
        <v>2697</v>
      </c>
      <c r="E1183" s="130" t="s">
        <v>4936</v>
      </c>
      <c r="F1183" s="130" t="s">
        <v>4937</v>
      </c>
      <c r="G1183" s="550" t="s">
        <v>2313</v>
      </c>
      <c r="I1183" s="165">
        <v>44074</v>
      </c>
      <c r="J1183" s="551" t="s">
        <v>799</v>
      </c>
      <c r="K1183" s="552" t="s">
        <v>2516</v>
      </c>
      <c r="L1183" s="130" t="s">
        <v>4846</v>
      </c>
    </row>
    <row r="1184" spans="1:12" ht="16.5" customHeight="1">
      <c r="A1184" s="186" t="s">
        <v>2584</v>
      </c>
      <c r="B1184" s="186">
        <v>37363421</v>
      </c>
      <c r="C1184" s="549">
        <v>22190</v>
      </c>
      <c r="D1184" s="130" t="s">
        <v>2954</v>
      </c>
      <c r="E1184" s="130" t="s">
        <v>4938</v>
      </c>
      <c r="F1184" s="130" t="s">
        <v>4939</v>
      </c>
      <c r="G1184" s="550" t="s">
        <v>2313</v>
      </c>
      <c r="I1184" s="165">
        <v>44074</v>
      </c>
      <c r="J1184" s="551" t="s">
        <v>799</v>
      </c>
      <c r="K1184" s="552" t="s">
        <v>2516</v>
      </c>
      <c r="L1184" s="130" t="s">
        <v>4846</v>
      </c>
    </row>
    <row r="1185" spans="1:12" ht="16.5" customHeight="1">
      <c r="A1185" s="186" t="s">
        <v>2584</v>
      </c>
      <c r="B1185" s="186">
        <v>37528429</v>
      </c>
      <c r="C1185" s="549">
        <v>20210</v>
      </c>
      <c r="D1185" s="130" t="s">
        <v>2511</v>
      </c>
      <c r="E1185" s="130" t="s">
        <v>4940</v>
      </c>
      <c r="F1185" s="130" t="s">
        <v>3121</v>
      </c>
      <c r="G1185" s="550" t="s">
        <v>2144</v>
      </c>
      <c r="I1185" s="165">
        <v>44074</v>
      </c>
      <c r="J1185" s="551" t="s">
        <v>799</v>
      </c>
      <c r="K1185" s="552" t="s">
        <v>2516</v>
      </c>
      <c r="L1185" s="130" t="s">
        <v>4846</v>
      </c>
    </row>
    <row r="1186" spans="1:12" ht="16.5" customHeight="1">
      <c r="A1186" s="186" t="s">
        <v>2584</v>
      </c>
      <c r="B1186" s="186">
        <v>53314985</v>
      </c>
      <c r="C1186" s="549">
        <v>18107</v>
      </c>
      <c r="D1186" s="130" t="s">
        <v>2839</v>
      </c>
      <c r="E1186" s="130" t="s">
        <v>4941</v>
      </c>
      <c r="F1186" s="130" t="s">
        <v>4942</v>
      </c>
      <c r="G1186" s="550" t="s">
        <v>2106</v>
      </c>
      <c r="I1186" s="165">
        <v>44074</v>
      </c>
      <c r="J1186" s="551" t="s">
        <v>799</v>
      </c>
      <c r="K1186" s="552" t="s">
        <v>2516</v>
      </c>
      <c r="L1186" s="130" t="s">
        <v>4846</v>
      </c>
    </row>
    <row r="1187" spans="1:12" ht="16.5" customHeight="1">
      <c r="A1187" s="186" t="s">
        <v>2584</v>
      </c>
      <c r="B1187" s="186">
        <v>63801906</v>
      </c>
      <c r="C1187" s="549">
        <v>18833</v>
      </c>
      <c r="D1187" s="130" t="s">
        <v>4943</v>
      </c>
      <c r="E1187" s="130" t="s">
        <v>4944</v>
      </c>
      <c r="F1187" s="130" t="s">
        <v>4945</v>
      </c>
      <c r="G1187" s="550" t="s">
        <v>2299</v>
      </c>
      <c r="I1187" s="165">
        <v>44074</v>
      </c>
      <c r="J1187" s="551" t="s">
        <v>799</v>
      </c>
      <c r="K1187" s="552" t="s">
        <v>2516</v>
      </c>
      <c r="L1187" s="130" t="s">
        <v>4846</v>
      </c>
    </row>
    <row r="1188" spans="1:12" ht="16.5" customHeight="1">
      <c r="A1188" s="186" t="s">
        <v>2584</v>
      </c>
      <c r="B1188" s="186">
        <v>65283574</v>
      </c>
      <c r="C1188" s="549">
        <v>15564</v>
      </c>
      <c r="D1188" s="130" t="s">
        <v>2982</v>
      </c>
      <c r="E1188" s="130" t="s">
        <v>4946</v>
      </c>
      <c r="F1188" s="130" t="s">
        <v>4947</v>
      </c>
      <c r="G1188" s="550" t="s">
        <v>2129</v>
      </c>
      <c r="I1188" s="165">
        <v>44074</v>
      </c>
      <c r="J1188" s="551" t="s">
        <v>799</v>
      </c>
      <c r="K1188" s="552" t="s">
        <v>2516</v>
      </c>
      <c r="L1188" s="130" t="s">
        <v>4846</v>
      </c>
    </row>
    <row r="1189" spans="1:12" ht="16.5" customHeight="1">
      <c r="A1189" s="186" t="s">
        <v>2584</v>
      </c>
      <c r="B1189" s="186">
        <v>74408840</v>
      </c>
      <c r="C1189" s="549">
        <v>15358</v>
      </c>
      <c r="D1189" s="130" t="s">
        <v>3043</v>
      </c>
      <c r="E1189" s="130" t="s">
        <v>4948</v>
      </c>
      <c r="F1189" s="130" t="s">
        <v>3082</v>
      </c>
      <c r="G1189" s="550" t="s">
        <v>2313</v>
      </c>
      <c r="I1189" s="165">
        <v>44074</v>
      </c>
      <c r="J1189" s="551" t="s">
        <v>799</v>
      </c>
      <c r="K1189" s="552" t="s">
        <v>2516</v>
      </c>
      <c r="L1189" s="130" t="s">
        <v>4846</v>
      </c>
    </row>
    <row r="1190" spans="1:12" ht="16.5" customHeight="1">
      <c r="A1190" s="186" t="s">
        <v>2584</v>
      </c>
      <c r="B1190" s="186">
        <v>79395182</v>
      </c>
      <c r="C1190" s="549">
        <v>20659</v>
      </c>
      <c r="D1190" s="130" t="s">
        <v>3254</v>
      </c>
      <c r="E1190" s="130" t="s">
        <v>2657</v>
      </c>
      <c r="F1190" s="130" t="s">
        <v>4949</v>
      </c>
      <c r="G1190" s="550" t="s">
        <v>2094</v>
      </c>
      <c r="I1190" s="165">
        <v>44074</v>
      </c>
      <c r="J1190" s="551" t="s">
        <v>799</v>
      </c>
      <c r="K1190" s="552" t="s">
        <v>2516</v>
      </c>
      <c r="L1190" s="130" t="s">
        <v>4846</v>
      </c>
    </row>
    <row r="1191" spans="1:12" ht="16.5" customHeight="1">
      <c r="A1191" s="186" t="s">
        <v>2584</v>
      </c>
      <c r="B1191" s="186">
        <v>91766527</v>
      </c>
      <c r="C1191" s="549">
        <v>15827</v>
      </c>
      <c r="D1191" s="130" t="s">
        <v>4950</v>
      </c>
      <c r="E1191" s="130" t="s">
        <v>4951</v>
      </c>
      <c r="F1191" s="130" t="s">
        <v>4952</v>
      </c>
      <c r="G1191" s="550" t="s">
        <v>2106</v>
      </c>
      <c r="I1191" s="165">
        <v>44074</v>
      </c>
      <c r="J1191" s="551" t="s">
        <v>799</v>
      </c>
      <c r="K1191" s="552" t="s">
        <v>2516</v>
      </c>
      <c r="L1191" s="130" t="s">
        <v>4846</v>
      </c>
    </row>
    <row r="1192" spans="1:12" ht="16.5" customHeight="1">
      <c r="A1192" s="186" t="s">
        <v>2584</v>
      </c>
      <c r="B1192" s="186">
        <v>95231684</v>
      </c>
      <c r="C1192" s="549">
        <v>16294</v>
      </c>
      <c r="D1192" s="130" t="s">
        <v>3444</v>
      </c>
      <c r="E1192" s="130" t="s">
        <v>4953</v>
      </c>
      <c r="F1192" s="130" t="s">
        <v>3357</v>
      </c>
      <c r="G1192" s="550" t="s">
        <v>2185</v>
      </c>
      <c r="H1192" s="130" t="s">
        <v>88</v>
      </c>
      <c r="I1192" s="165">
        <v>44074</v>
      </c>
      <c r="J1192" s="551" t="s">
        <v>799</v>
      </c>
      <c r="K1192" s="552" t="s">
        <v>2516</v>
      </c>
      <c r="L1192" s="130" t="s">
        <v>4846</v>
      </c>
    </row>
    <row r="1193" spans="1:12" ht="16.5" customHeight="1">
      <c r="A1193" s="186" t="s">
        <v>2584</v>
      </c>
      <c r="B1193" s="186">
        <v>95407375</v>
      </c>
      <c r="C1193" s="549">
        <v>21551</v>
      </c>
      <c r="D1193" s="130" t="s">
        <v>3692</v>
      </c>
      <c r="E1193" s="130" t="s">
        <v>2898</v>
      </c>
      <c r="F1193" s="130" t="s">
        <v>4632</v>
      </c>
      <c r="G1193" s="550" t="s">
        <v>2094</v>
      </c>
      <c r="I1193" s="165">
        <v>44074</v>
      </c>
      <c r="J1193" s="551" t="s">
        <v>799</v>
      </c>
      <c r="K1193" s="552" t="s">
        <v>2516</v>
      </c>
      <c r="L1193" s="130" t="s">
        <v>4846</v>
      </c>
    </row>
    <row r="1194" spans="1:12" ht="16.5" customHeight="1">
      <c r="A1194" s="186" t="s">
        <v>2584</v>
      </c>
      <c r="B1194" s="186">
        <v>96032339</v>
      </c>
      <c r="C1194" s="549">
        <v>15525</v>
      </c>
      <c r="D1194" s="130" t="s">
        <v>3444</v>
      </c>
      <c r="E1194" s="130" t="s">
        <v>3256</v>
      </c>
      <c r="F1194" s="130" t="s">
        <v>4954</v>
      </c>
      <c r="G1194" s="550" t="s">
        <v>2129</v>
      </c>
      <c r="I1194" s="165">
        <v>44074</v>
      </c>
      <c r="J1194" s="551" t="s">
        <v>799</v>
      </c>
      <c r="K1194" s="552" t="s">
        <v>2516</v>
      </c>
      <c r="L1194" s="130" t="s">
        <v>4846</v>
      </c>
    </row>
    <row r="1195" spans="1:12" ht="16.5" customHeight="1">
      <c r="A1195" s="186" t="s">
        <v>3071</v>
      </c>
      <c r="B1195" s="186">
        <v>30269799</v>
      </c>
      <c r="C1195" s="549">
        <v>43935</v>
      </c>
      <c r="D1195" s="130" t="s">
        <v>2511</v>
      </c>
      <c r="E1195" s="130" t="s">
        <v>2512</v>
      </c>
      <c r="F1195" s="130" t="s">
        <v>2513</v>
      </c>
      <c r="G1195" s="550" t="s">
        <v>2046</v>
      </c>
      <c r="I1195" s="165">
        <v>44074</v>
      </c>
      <c r="J1195" s="551" t="s">
        <v>799</v>
      </c>
      <c r="K1195" s="552" t="s">
        <v>2516</v>
      </c>
      <c r="L1195" s="600" t="s">
        <v>4955</v>
      </c>
    </row>
    <row r="1196" spans="1:12" ht="16.5" customHeight="1">
      <c r="A1196" s="186" t="s">
        <v>3071</v>
      </c>
      <c r="B1196" s="186">
        <v>6130801</v>
      </c>
      <c r="C1196" s="549">
        <v>19782</v>
      </c>
      <c r="D1196" s="130" t="s">
        <v>3584</v>
      </c>
      <c r="E1196" s="130" t="s">
        <v>4897</v>
      </c>
      <c r="F1196" s="130" t="s">
        <v>4898</v>
      </c>
      <c r="G1196" s="550" t="s">
        <v>2072</v>
      </c>
      <c r="I1196" s="165">
        <v>44077</v>
      </c>
      <c r="J1196" s="551" t="s">
        <v>799</v>
      </c>
      <c r="K1196" s="552" t="s">
        <v>2516</v>
      </c>
      <c r="L1196" s="130" t="s">
        <v>4846</v>
      </c>
    </row>
    <row r="1197" spans="1:12" ht="16.5" customHeight="1">
      <c r="A1197" s="186" t="s">
        <v>3071</v>
      </c>
      <c r="B1197" s="186">
        <v>16737637</v>
      </c>
      <c r="C1197" s="549">
        <v>18484</v>
      </c>
      <c r="D1197" s="130" t="s">
        <v>2898</v>
      </c>
      <c r="E1197" s="130" t="s">
        <v>4956</v>
      </c>
      <c r="F1197" s="130" t="s">
        <v>4957</v>
      </c>
      <c r="G1197" s="550" t="s">
        <v>2274</v>
      </c>
      <c r="I1197" s="165">
        <v>44077</v>
      </c>
      <c r="J1197" s="551" t="s">
        <v>799</v>
      </c>
      <c r="K1197" s="552" t="s">
        <v>2516</v>
      </c>
      <c r="L1197" s="130" t="s">
        <v>4846</v>
      </c>
    </row>
    <row r="1198" spans="1:12" ht="16.5" customHeight="1">
      <c r="A1198" s="186" t="s">
        <v>3071</v>
      </c>
      <c r="B1198" s="186">
        <v>16775579</v>
      </c>
      <c r="C1198" s="549">
        <v>21164</v>
      </c>
      <c r="D1198" s="130" t="s">
        <v>3825</v>
      </c>
      <c r="E1198" s="130" t="s">
        <v>4899</v>
      </c>
      <c r="F1198" s="130" t="s">
        <v>3134</v>
      </c>
      <c r="G1198" s="550" t="s">
        <v>2118</v>
      </c>
      <c r="I1198" s="165">
        <v>44077</v>
      </c>
      <c r="J1198" s="551" t="s">
        <v>799</v>
      </c>
      <c r="K1198" s="552" t="s">
        <v>2516</v>
      </c>
      <c r="L1198" s="130" t="s">
        <v>4846</v>
      </c>
    </row>
    <row r="1199" spans="1:12" ht="16.5" customHeight="1">
      <c r="A1199" s="186" t="s">
        <v>3071</v>
      </c>
      <c r="B1199" s="186">
        <v>17529009</v>
      </c>
      <c r="C1199" s="549">
        <v>15048</v>
      </c>
      <c r="D1199" s="130" t="s">
        <v>2511</v>
      </c>
      <c r="E1199" s="130" t="s">
        <v>4887</v>
      </c>
      <c r="F1199" s="130" t="s">
        <v>4888</v>
      </c>
      <c r="G1199" s="550" t="s">
        <v>2112</v>
      </c>
      <c r="I1199" s="165">
        <v>44077</v>
      </c>
      <c r="J1199" s="551" t="s">
        <v>799</v>
      </c>
      <c r="K1199" s="552" t="s">
        <v>2516</v>
      </c>
      <c r="L1199" s="130" t="s">
        <v>4846</v>
      </c>
    </row>
    <row r="1200" spans="1:12" ht="16.5" customHeight="1">
      <c r="A1200" s="186" t="s">
        <v>3071</v>
      </c>
      <c r="B1200" s="186">
        <v>17591876</v>
      </c>
      <c r="C1200" s="549">
        <v>20744</v>
      </c>
      <c r="D1200" s="130" t="s">
        <v>4889</v>
      </c>
      <c r="E1200" s="130" t="s">
        <v>4890</v>
      </c>
      <c r="F1200" s="130" t="s">
        <v>4891</v>
      </c>
      <c r="G1200" s="550" t="s">
        <v>2299</v>
      </c>
      <c r="I1200" s="165">
        <v>44077</v>
      </c>
      <c r="J1200" s="551" t="s">
        <v>799</v>
      </c>
      <c r="K1200" s="552" t="s">
        <v>2516</v>
      </c>
      <c r="L1200" s="130" t="s">
        <v>4846</v>
      </c>
    </row>
    <row r="1201" spans="1:12" ht="16.5" customHeight="1">
      <c r="A1201" s="186" t="s">
        <v>3071</v>
      </c>
      <c r="B1201" s="186">
        <v>24564635</v>
      </c>
      <c r="C1201" s="549">
        <v>13695</v>
      </c>
      <c r="D1201" s="130" t="s">
        <v>2541</v>
      </c>
      <c r="E1201" s="130" t="s">
        <v>4900</v>
      </c>
      <c r="F1201" s="130" t="s">
        <v>4622</v>
      </c>
      <c r="G1201" s="550" t="s">
        <v>2240</v>
      </c>
      <c r="I1201" s="165">
        <v>44077</v>
      </c>
      <c r="J1201" s="551" t="s">
        <v>799</v>
      </c>
      <c r="K1201" s="552" t="s">
        <v>2516</v>
      </c>
      <c r="L1201" s="130" t="s">
        <v>4846</v>
      </c>
    </row>
    <row r="1202" spans="1:12" ht="16.5" customHeight="1">
      <c r="A1202" s="186" t="s">
        <v>3071</v>
      </c>
      <c r="B1202" s="186">
        <v>28411965</v>
      </c>
      <c r="C1202" s="549">
        <v>17050</v>
      </c>
      <c r="D1202" s="130" t="s">
        <v>2687</v>
      </c>
      <c r="E1202" s="130" t="s">
        <v>4901</v>
      </c>
      <c r="F1202" s="130" t="s">
        <v>4902</v>
      </c>
      <c r="G1202" s="550" t="s">
        <v>2112</v>
      </c>
      <c r="I1202" s="165">
        <v>44077</v>
      </c>
      <c r="J1202" s="551" t="s">
        <v>799</v>
      </c>
      <c r="K1202" s="552" t="s">
        <v>2516</v>
      </c>
      <c r="L1202" s="130" t="s">
        <v>4846</v>
      </c>
    </row>
    <row r="1203" spans="1:12" ht="16.5" customHeight="1">
      <c r="A1203" s="186" t="s">
        <v>3071</v>
      </c>
      <c r="B1203" s="186">
        <v>29479490</v>
      </c>
      <c r="C1203" s="549">
        <v>14537</v>
      </c>
      <c r="D1203" s="130" t="s">
        <v>2733</v>
      </c>
      <c r="E1203" s="130" t="s">
        <v>4903</v>
      </c>
      <c r="F1203" s="130" t="s">
        <v>3631</v>
      </c>
      <c r="G1203" s="550" t="s">
        <v>2313</v>
      </c>
      <c r="I1203" s="165">
        <v>44077</v>
      </c>
      <c r="J1203" s="551" t="s">
        <v>799</v>
      </c>
      <c r="K1203" s="552" t="s">
        <v>2516</v>
      </c>
      <c r="L1203" s="130" t="s">
        <v>4846</v>
      </c>
    </row>
    <row r="1204" spans="1:12" ht="16.5" customHeight="1">
      <c r="A1204" s="186" t="s">
        <v>3071</v>
      </c>
      <c r="B1204" s="186">
        <v>35473594</v>
      </c>
      <c r="C1204" s="549">
        <v>20165</v>
      </c>
      <c r="D1204" s="130" t="s">
        <v>3350</v>
      </c>
      <c r="E1204" s="130" t="s">
        <v>4958</v>
      </c>
      <c r="F1204" s="130" t="s">
        <v>2930</v>
      </c>
      <c r="G1204" s="550" t="s">
        <v>2094</v>
      </c>
      <c r="I1204" s="165">
        <v>44077</v>
      </c>
      <c r="J1204" s="551" t="s">
        <v>799</v>
      </c>
      <c r="K1204" s="552" t="s">
        <v>2516</v>
      </c>
      <c r="L1204" s="130" t="s">
        <v>4846</v>
      </c>
    </row>
    <row r="1205" spans="1:12" ht="16.5" customHeight="1">
      <c r="A1205" s="186" t="s">
        <v>3071</v>
      </c>
      <c r="B1205" s="186">
        <v>49940372</v>
      </c>
      <c r="C1205" s="549">
        <v>18770</v>
      </c>
      <c r="D1205" s="130" t="s">
        <v>2586</v>
      </c>
      <c r="E1205" s="130" t="s">
        <v>4959</v>
      </c>
      <c r="F1205" s="130" t="s">
        <v>4960</v>
      </c>
      <c r="G1205" s="550" t="s">
        <v>2274</v>
      </c>
      <c r="I1205" s="165">
        <v>44077</v>
      </c>
      <c r="J1205" s="551" t="s">
        <v>799</v>
      </c>
      <c r="K1205" s="552" t="s">
        <v>2516</v>
      </c>
      <c r="L1205" s="130" t="s">
        <v>4846</v>
      </c>
    </row>
    <row r="1206" spans="1:12" ht="16.5" customHeight="1">
      <c r="A1206" s="186" t="s">
        <v>3071</v>
      </c>
      <c r="B1206" s="186">
        <v>58622978</v>
      </c>
      <c r="C1206" s="549">
        <v>9253</v>
      </c>
      <c r="D1206" s="130" t="s">
        <v>4894</v>
      </c>
      <c r="E1206" s="130" t="s">
        <v>4895</v>
      </c>
      <c r="F1206" s="130" t="s">
        <v>4896</v>
      </c>
      <c r="G1206" s="550" t="s">
        <v>2106</v>
      </c>
      <c r="I1206" s="165">
        <v>44077</v>
      </c>
      <c r="J1206" s="551" t="s">
        <v>799</v>
      </c>
      <c r="K1206" s="552" t="s">
        <v>2516</v>
      </c>
      <c r="L1206" s="130" t="s">
        <v>4846</v>
      </c>
    </row>
    <row r="1207" spans="1:12" ht="16.5" customHeight="1">
      <c r="A1207" s="186" t="s">
        <v>3071</v>
      </c>
      <c r="B1207" s="186">
        <v>20685426</v>
      </c>
      <c r="C1207" s="549">
        <v>17175</v>
      </c>
      <c r="D1207" s="130" t="s">
        <v>4599</v>
      </c>
      <c r="E1207" s="130" t="s">
        <v>4961</v>
      </c>
      <c r="F1207" s="130" t="s">
        <v>2797</v>
      </c>
      <c r="G1207" s="550" t="s">
        <v>2081</v>
      </c>
      <c r="I1207" s="165">
        <v>44077</v>
      </c>
      <c r="J1207" s="551" t="s">
        <v>799</v>
      </c>
      <c r="K1207" s="552" t="s">
        <v>2516</v>
      </c>
      <c r="L1207" s="130" t="s">
        <v>4962</v>
      </c>
    </row>
    <row r="1208" spans="1:12" ht="16.5" customHeight="1">
      <c r="A1208" s="186" t="s">
        <v>3071</v>
      </c>
      <c r="B1208" s="186">
        <v>27015239</v>
      </c>
      <c r="C1208" s="549">
        <v>17824</v>
      </c>
      <c r="D1208" s="130" t="s">
        <v>3246</v>
      </c>
      <c r="E1208" s="130" t="s">
        <v>4963</v>
      </c>
      <c r="F1208" s="130" t="s">
        <v>4964</v>
      </c>
      <c r="G1208" s="550" t="s">
        <v>2046</v>
      </c>
      <c r="I1208" s="165">
        <v>44077</v>
      </c>
      <c r="J1208" s="551" t="s">
        <v>799</v>
      </c>
      <c r="K1208" s="552" t="s">
        <v>2516</v>
      </c>
      <c r="L1208" s="130" t="s">
        <v>4962</v>
      </c>
    </row>
    <row r="1209" spans="1:12" ht="16.5" customHeight="1">
      <c r="A1209" s="186" t="s">
        <v>3071</v>
      </c>
      <c r="B1209" s="186">
        <v>53496584</v>
      </c>
      <c r="C1209" s="549">
        <v>18323</v>
      </c>
      <c r="D1209" s="130" t="s">
        <v>2851</v>
      </c>
      <c r="E1209" s="130" t="s">
        <v>4150</v>
      </c>
      <c r="F1209" s="130" t="s">
        <v>4965</v>
      </c>
      <c r="G1209" s="550" t="s">
        <v>2313</v>
      </c>
      <c r="I1209" s="165">
        <v>44077</v>
      </c>
      <c r="J1209" s="551" t="s">
        <v>799</v>
      </c>
      <c r="K1209" s="552" t="s">
        <v>2516</v>
      </c>
      <c r="L1209" s="130" t="s">
        <v>4962</v>
      </c>
    </row>
    <row r="1210" spans="1:12" ht="16.5" customHeight="1">
      <c r="A1210" s="186" t="s">
        <v>3071</v>
      </c>
      <c r="B1210" s="186">
        <v>74318379</v>
      </c>
      <c r="D1210" s="130" t="s">
        <v>4966</v>
      </c>
      <c r="E1210" s="130" t="s">
        <v>3870</v>
      </c>
      <c r="F1210" s="130" t="s">
        <v>3239</v>
      </c>
      <c r="G1210" s="550" t="s">
        <v>2313</v>
      </c>
      <c r="I1210" s="165">
        <v>44077</v>
      </c>
      <c r="J1210" s="551" t="s">
        <v>799</v>
      </c>
      <c r="K1210" s="552" t="s">
        <v>2516</v>
      </c>
      <c r="L1210" s="130" t="s">
        <v>4962</v>
      </c>
    </row>
    <row r="1211" spans="1:12" ht="16.5" customHeight="1">
      <c r="A1211" s="186" t="s">
        <v>3071</v>
      </c>
      <c r="B1211" s="186">
        <v>83667808</v>
      </c>
      <c r="C1211" s="549">
        <v>23439</v>
      </c>
      <c r="D1211" s="130" t="s">
        <v>3480</v>
      </c>
      <c r="E1211" s="130" t="s">
        <v>4967</v>
      </c>
      <c r="F1211" s="130" t="s">
        <v>4968</v>
      </c>
      <c r="G1211" s="550" t="s">
        <v>2059</v>
      </c>
      <c r="I1211" s="165">
        <v>44077</v>
      </c>
      <c r="J1211" s="551" t="s">
        <v>799</v>
      </c>
      <c r="K1211" s="552" t="s">
        <v>2516</v>
      </c>
      <c r="L1211" s="130" t="s">
        <v>4962</v>
      </c>
    </row>
    <row r="1212" spans="1:12" ht="16.5" customHeight="1">
      <c r="A1212" s="186" t="s">
        <v>3071</v>
      </c>
      <c r="B1212" s="186">
        <v>92054048</v>
      </c>
      <c r="C1212" s="549">
        <v>17199</v>
      </c>
      <c r="D1212" s="130" t="s">
        <v>3302</v>
      </c>
      <c r="E1212" s="130" t="s">
        <v>4969</v>
      </c>
      <c r="F1212" s="130" t="s">
        <v>4318</v>
      </c>
      <c r="G1212" s="550" t="s">
        <v>2081</v>
      </c>
      <c r="I1212" s="165">
        <v>44077</v>
      </c>
      <c r="J1212" s="551" t="s">
        <v>799</v>
      </c>
      <c r="K1212" s="552" t="s">
        <v>2516</v>
      </c>
      <c r="L1212" s="130" t="s">
        <v>4962</v>
      </c>
    </row>
    <row r="1213" spans="1:12" ht="16.5" customHeight="1">
      <c r="A1213" s="186" t="s">
        <v>3071</v>
      </c>
      <c r="B1213" s="186">
        <v>97243117</v>
      </c>
      <c r="C1213" s="549">
        <v>21167</v>
      </c>
      <c r="D1213" s="130" t="s">
        <v>2918</v>
      </c>
      <c r="E1213" s="130" t="s">
        <v>4970</v>
      </c>
      <c r="F1213" s="130" t="s">
        <v>4965</v>
      </c>
      <c r="G1213" s="550" t="s">
        <v>2313</v>
      </c>
      <c r="I1213" s="165">
        <v>44077</v>
      </c>
      <c r="J1213" s="551" t="s">
        <v>799</v>
      </c>
      <c r="K1213" s="552" t="s">
        <v>2516</v>
      </c>
      <c r="L1213" s="130" t="s">
        <v>4962</v>
      </c>
    </row>
    <row r="1214" spans="1:12" ht="16.5" customHeight="1">
      <c r="A1214" s="186" t="s">
        <v>3071</v>
      </c>
      <c r="B1214" s="186">
        <v>98961089</v>
      </c>
      <c r="D1214" s="130" t="s">
        <v>4131</v>
      </c>
      <c r="E1214" s="130" t="s">
        <v>4971</v>
      </c>
      <c r="F1214" s="130" t="s">
        <v>4422</v>
      </c>
      <c r="G1214" s="550" t="s">
        <v>2176</v>
      </c>
      <c r="I1214" s="165">
        <v>44077</v>
      </c>
      <c r="J1214" s="551" t="s">
        <v>799</v>
      </c>
      <c r="K1214" s="552" t="s">
        <v>2516</v>
      </c>
      <c r="L1214" s="130" t="s">
        <v>4962</v>
      </c>
    </row>
    <row r="1215" spans="1:12" ht="16.5" customHeight="1">
      <c r="A1215" s="186" t="s">
        <v>3071</v>
      </c>
      <c r="B1215" s="186">
        <v>100222965</v>
      </c>
      <c r="D1215" s="130" t="s">
        <v>3554</v>
      </c>
      <c r="E1215" s="130" t="s">
        <v>4972</v>
      </c>
      <c r="F1215" s="130" t="s">
        <v>3345</v>
      </c>
      <c r="G1215" s="550" t="s">
        <v>2274</v>
      </c>
      <c r="I1215" s="165">
        <v>44077</v>
      </c>
      <c r="J1215" s="551" t="s">
        <v>799</v>
      </c>
      <c r="K1215" s="552" t="s">
        <v>2516</v>
      </c>
      <c r="L1215" s="130" t="s">
        <v>4962</v>
      </c>
    </row>
    <row r="1216" spans="1:12" ht="16.5" customHeight="1">
      <c r="A1216" s="186" t="s">
        <v>3071</v>
      </c>
      <c r="B1216" s="186">
        <v>100309370</v>
      </c>
      <c r="D1216" s="130" t="s">
        <v>3095</v>
      </c>
      <c r="E1216" s="130" t="s">
        <v>4973</v>
      </c>
      <c r="F1216" s="130" t="s">
        <v>2987</v>
      </c>
      <c r="G1216" s="550" t="s">
        <v>2106</v>
      </c>
      <c r="I1216" s="165">
        <v>44077</v>
      </c>
      <c r="J1216" s="551" t="s">
        <v>799</v>
      </c>
      <c r="K1216" s="552" t="s">
        <v>2516</v>
      </c>
      <c r="L1216" s="130" t="s">
        <v>4962</v>
      </c>
    </row>
    <row r="1217" spans="1:12" ht="16.5" customHeight="1">
      <c r="A1217" s="186" t="s">
        <v>3071</v>
      </c>
      <c r="B1217" s="186">
        <v>100342741</v>
      </c>
      <c r="D1217" s="130" t="s">
        <v>2821</v>
      </c>
      <c r="E1217" s="130" t="s">
        <v>4974</v>
      </c>
      <c r="F1217" s="130" t="s">
        <v>2741</v>
      </c>
      <c r="G1217" s="550" t="s">
        <v>2162</v>
      </c>
      <c r="I1217" s="165">
        <v>44077</v>
      </c>
      <c r="J1217" s="551" t="s">
        <v>799</v>
      </c>
      <c r="K1217" s="552" t="s">
        <v>2516</v>
      </c>
      <c r="L1217" s="130" t="s">
        <v>4962</v>
      </c>
    </row>
    <row r="1218" spans="1:12" ht="16.5" customHeight="1">
      <c r="A1218" s="186" t="s">
        <v>3071</v>
      </c>
      <c r="B1218" s="186">
        <v>100364292</v>
      </c>
      <c r="D1218" s="130" t="s">
        <v>4975</v>
      </c>
      <c r="E1218" s="130" t="s">
        <v>4976</v>
      </c>
      <c r="F1218" s="130" t="s">
        <v>4977</v>
      </c>
      <c r="G1218" s="550" t="s">
        <v>2059</v>
      </c>
      <c r="I1218" s="165">
        <v>44077</v>
      </c>
      <c r="J1218" s="551" t="s">
        <v>799</v>
      </c>
      <c r="K1218" s="552" t="s">
        <v>2516</v>
      </c>
      <c r="L1218" s="130" t="s">
        <v>4962</v>
      </c>
    </row>
    <row r="1219" spans="1:12" ht="16.5" customHeight="1">
      <c r="A1219" s="186" t="s">
        <v>3071</v>
      </c>
      <c r="B1219" s="186">
        <v>100378416</v>
      </c>
      <c r="D1219" s="130" t="s">
        <v>4587</v>
      </c>
      <c r="E1219" s="130" t="s">
        <v>4978</v>
      </c>
      <c r="F1219" s="130" t="s">
        <v>4979</v>
      </c>
      <c r="G1219" s="550" t="s">
        <v>2055</v>
      </c>
      <c r="I1219" s="165">
        <v>44077</v>
      </c>
      <c r="J1219" s="551" t="s">
        <v>799</v>
      </c>
      <c r="K1219" s="552" t="s">
        <v>2516</v>
      </c>
      <c r="L1219" s="130" t="s">
        <v>4962</v>
      </c>
    </row>
    <row r="1220" spans="1:12" ht="16.5" customHeight="1">
      <c r="A1220" s="186" t="s">
        <v>3071</v>
      </c>
      <c r="B1220" s="186">
        <v>1925916</v>
      </c>
      <c r="C1220" s="549">
        <v>12574</v>
      </c>
      <c r="D1220" s="130" t="s">
        <v>4372</v>
      </c>
      <c r="E1220" s="130" t="s">
        <v>4980</v>
      </c>
      <c r="F1220" s="130" t="s">
        <v>4981</v>
      </c>
      <c r="G1220" s="550" t="s">
        <v>2059</v>
      </c>
      <c r="I1220" s="165">
        <v>44104</v>
      </c>
      <c r="J1220" s="551" t="s">
        <v>799</v>
      </c>
      <c r="K1220" s="552" t="s">
        <v>2516</v>
      </c>
      <c r="L1220" s="130" t="s">
        <v>4982</v>
      </c>
    </row>
    <row r="1221" spans="1:12" ht="16.5" customHeight="1">
      <c r="A1221" s="186" t="s">
        <v>3071</v>
      </c>
      <c r="B1221" s="186">
        <v>2604577</v>
      </c>
      <c r="C1221" s="549">
        <v>17070</v>
      </c>
      <c r="D1221" s="130" t="s">
        <v>4042</v>
      </c>
      <c r="E1221" s="130" t="s">
        <v>4983</v>
      </c>
      <c r="F1221" s="130" t="s">
        <v>4984</v>
      </c>
      <c r="G1221" s="550" t="s">
        <v>2413</v>
      </c>
      <c r="I1221" s="165">
        <v>44104</v>
      </c>
      <c r="J1221" s="551" t="s">
        <v>799</v>
      </c>
      <c r="K1221" s="552" t="s">
        <v>2516</v>
      </c>
      <c r="L1221" s="130" t="s">
        <v>4982</v>
      </c>
    </row>
    <row r="1222" spans="1:12" ht="16.5" customHeight="1">
      <c r="A1222" s="186" t="s">
        <v>3071</v>
      </c>
      <c r="B1222" s="186">
        <v>10753796</v>
      </c>
      <c r="C1222" s="549">
        <v>20540</v>
      </c>
      <c r="D1222" s="130" t="s">
        <v>4599</v>
      </c>
      <c r="E1222" s="130" t="s">
        <v>4985</v>
      </c>
      <c r="F1222" s="130" t="s">
        <v>4986</v>
      </c>
      <c r="G1222" s="550" t="s">
        <v>2052</v>
      </c>
      <c r="I1222" s="165">
        <v>44104</v>
      </c>
      <c r="J1222" s="551" t="s">
        <v>799</v>
      </c>
      <c r="K1222" s="552" t="s">
        <v>2516</v>
      </c>
      <c r="L1222" s="130" t="s">
        <v>4982</v>
      </c>
    </row>
    <row r="1223" spans="1:12" ht="16.5" customHeight="1">
      <c r="A1223" s="186" t="s">
        <v>3071</v>
      </c>
      <c r="B1223" s="186">
        <v>19379288</v>
      </c>
      <c r="C1223" s="549">
        <v>15441</v>
      </c>
      <c r="D1223" s="130" t="s">
        <v>2863</v>
      </c>
      <c r="E1223" s="130" t="s">
        <v>3257</v>
      </c>
      <c r="F1223" s="130" t="s">
        <v>4987</v>
      </c>
      <c r="G1223" s="550" t="s">
        <v>2174</v>
      </c>
      <c r="I1223" s="165">
        <v>44104</v>
      </c>
      <c r="J1223" s="551" t="s">
        <v>799</v>
      </c>
      <c r="K1223" s="552" t="s">
        <v>2516</v>
      </c>
      <c r="L1223" s="130" t="s">
        <v>4982</v>
      </c>
    </row>
    <row r="1224" spans="1:12" ht="16.5" customHeight="1">
      <c r="A1224" s="186" t="s">
        <v>3071</v>
      </c>
      <c r="B1224" s="186">
        <v>19633841</v>
      </c>
      <c r="C1224" s="549">
        <v>15575</v>
      </c>
      <c r="D1224" s="130" t="s">
        <v>4800</v>
      </c>
      <c r="E1224" s="130" t="s">
        <v>4988</v>
      </c>
      <c r="F1224" s="130" t="s">
        <v>4534</v>
      </c>
      <c r="G1224" s="550" t="s">
        <v>2052</v>
      </c>
      <c r="I1224" s="165">
        <v>44104</v>
      </c>
      <c r="J1224" s="551" t="s">
        <v>799</v>
      </c>
      <c r="K1224" s="552" t="s">
        <v>2516</v>
      </c>
      <c r="L1224" s="130" t="s">
        <v>4982</v>
      </c>
    </row>
    <row r="1225" spans="1:12" ht="16.5" customHeight="1">
      <c r="A1225" s="186" t="s">
        <v>3071</v>
      </c>
      <c r="B1225" s="186">
        <v>20624144</v>
      </c>
      <c r="C1225" s="549">
        <v>19769</v>
      </c>
      <c r="D1225" s="130" t="s">
        <v>2903</v>
      </c>
      <c r="E1225" s="130" t="s">
        <v>4989</v>
      </c>
      <c r="F1225" s="130" t="s">
        <v>4990</v>
      </c>
      <c r="G1225" s="550" t="s">
        <v>2465</v>
      </c>
      <c r="I1225" s="165">
        <v>44104</v>
      </c>
      <c r="J1225" s="551" t="s">
        <v>799</v>
      </c>
      <c r="K1225" s="552" t="s">
        <v>2516</v>
      </c>
      <c r="L1225" s="130" t="s">
        <v>4982</v>
      </c>
    </row>
    <row r="1226" spans="1:12" ht="16.5" customHeight="1">
      <c r="A1226" s="186" t="s">
        <v>3071</v>
      </c>
      <c r="B1226" s="186">
        <v>23557580</v>
      </c>
      <c r="C1226" s="549">
        <v>16407</v>
      </c>
      <c r="D1226" s="130" t="s">
        <v>2979</v>
      </c>
      <c r="E1226" s="130" t="s">
        <v>4991</v>
      </c>
      <c r="F1226" s="130" t="s">
        <v>3780</v>
      </c>
      <c r="G1226" s="550" t="s">
        <v>2055</v>
      </c>
      <c r="I1226" s="165">
        <v>44104</v>
      </c>
      <c r="J1226" s="551" t="s">
        <v>799</v>
      </c>
      <c r="K1226" s="552" t="s">
        <v>2516</v>
      </c>
      <c r="L1226" s="130" t="s">
        <v>4982</v>
      </c>
    </row>
    <row r="1227" spans="1:12" ht="16.5" customHeight="1">
      <c r="A1227" s="186" t="s">
        <v>3071</v>
      </c>
      <c r="B1227" s="186">
        <v>36915536</v>
      </c>
      <c r="C1227" s="549">
        <v>16065</v>
      </c>
      <c r="D1227" s="130" t="s">
        <v>3011</v>
      </c>
      <c r="E1227" s="130" t="s">
        <v>4540</v>
      </c>
      <c r="F1227" s="130" t="s">
        <v>4006</v>
      </c>
      <c r="G1227" s="550" t="s">
        <v>2174</v>
      </c>
      <c r="I1227" s="165">
        <v>44104</v>
      </c>
      <c r="J1227" s="551" t="s">
        <v>799</v>
      </c>
      <c r="K1227" s="552" t="s">
        <v>2516</v>
      </c>
      <c r="L1227" s="130" t="s">
        <v>4982</v>
      </c>
    </row>
    <row r="1228" spans="1:12" ht="16.5" customHeight="1">
      <c r="A1228" s="186" t="s">
        <v>3071</v>
      </c>
      <c r="B1228" s="186">
        <v>37569589</v>
      </c>
      <c r="C1228" s="549">
        <v>19022</v>
      </c>
      <c r="D1228" s="130" t="s">
        <v>4992</v>
      </c>
      <c r="E1228" s="130" t="s">
        <v>4993</v>
      </c>
      <c r="F1228" s="130" t="s">
        <v>2629</v>
      </c>
      <c r="G1228" s="550" t="s">
        <v>2052</v>
      </c>
      <c r="I1228" s="165">
        <v>44104</v>
      </c>
      <c r="J1228" s="551" t="s">
        <v>799</v>
      </c>
      <c r="K1228" s="552" t="s">
        <v>2516</v>
      </c>
      <c r="L1228" s="130" t="s">
        <v>4982</v>
      </c>
    </row>
    <row r="1229" spans="1:12" ht="16.5" customHeight="1">
      <c r="A1229" s="186" t="s">
        <v>3071</v>
      </c>
      <c r="B1229" s="186">
        <v>52397668</v>
      </c>
      <c r="C1229" s="549">
        <v>20534</v>
      </c>
      <c r="D1229" s="130" t="s">
        <v>3043</v>
      </c>
      <c r="E1229" s="130" t="s">
        <v>3913</v>
      </c>
      <c r="F1229" s="130" t="s">
        <v>4994</v>
      </c>
      <c r="G1229" s="550" t="s">
        <v>2484</v>
      </c>
      <c r="I1229" s="165">
        <v>44104</v>
      </c>
      <c r="J1229" s="551" t="s">
        <v>799</v>
      </c>
      <c r="K1229" s="552" t="s">
        <v>2516</v>
      </c>
      <c r="L1229" s="130" t="s">
        <v>4982</v>
      </c>
    </row>
    <row r="1230" spans="1:12" ht="16.5" customHeight="1">
      <c r="A1230" s="186" t="s">
        <v>3071</v>
      </c>
      <c r="B1230" s="186">
        <v>67065375</v>
      </c>
      <c r="C1230" s="549">
        <v>21046</v>
      </c>
      <c r="D1230" s="130" t="s">
        <v>4210</v>
      </c>
      <c r="E1230" s="130" t="s">
        <v>4995</v>
      </c>
      <c r="F1230" s="130" t="s">
        <v>3855</v>
      </c>
      <c r="G1230" s="550" t="s">
        <v>2055</v>
      </c>
      <c r="I1230" s="165">
        <v>44104</v>
      </c>
      <c r="J1230" s="551" t="s">
        <v>799</v>
      </c>
      <c r="K1230" s="552" t="s">
        <v>2516</v>
      </c>
      <c r="L1230" s="130" t="s">
        <v>4982</v>
      </c>
    </row>
    <row r="1231" spans="1:12" ht="16.5" customHeight="1">
      <c r="A1231" s="186" t="s">
        <v>3071</v>
      </c>
      <c r="B1231" s="186">
        <v>97854533</v>
      </c>
      <c r="C1231" s="549">
        <v>13763</v>
      </c>
      <c r="D1231" s="130" t="s">
        <v>3468</v>
      </c>
      <c r="E1231" s="130" t="s">
        <v>3024</v>
      </c>
      <c r="F1231" s="130" t="s">
        <v>4996</v>
      </c>
      <c r="G1231" s="550" t="s">
        <v>2174</v>
      </c>
      <c r="I1231" s="165">
        <v>44104</v>
      </c>
      <c r="J1231" s="551" t="s">
        <v>799</v>
      </c>
      <c r="K1231" s="552" t="s">
        <v>2516</v>
      </c>
      <c r="L1231" s="130" t="s">
        <v>4982</v>
      </c>
    </row>
    <row r="1232" spans="1:12" ht="16.5" customHeight="1">
      <c r="A1232" s="186" t="s">
        <v>3071</v>
      </c>
      <c r="B1232" s="186">
        <v>215566</v>
      </c>
      <c r="C1232" s="549">
        <v>20473</v>
      </c>
      <c r="D1232" s="130" t="s">
        <v>4997</v>
      </c>
      <c r="E1232" s="130" t="s">
        <v>4998</v>
      </c>
      <c r="F1232" s="130" t="s">
        <v>3780</v>
      </c>
      <c r="G1232" s="550" t="s">
        <v>2055</v>
      </c>
      <c r="I1232" s="165">
        <v>44104</v>
      </c>
      <c r="J1232" s="551" t="s">
        <v>799</v>
      </c>
      <c r="K1232" s="552" t="s">
        <v>2516</v>
      </c>
      <c r="L1232" s="130" t="s">
        <v>4982</v>
      </c>
    </row>
    <row r="1233" spans="1:12" ht="16.5" customHeight="1">
      <c r="A1233" s="186" t="s">
        <v>3071</v>
      </c>
      <c r="B1233" s="186">
        <v>310813</v>
      </c>
      <c r="C1233" s="549">
        <v>20821</v>
      </c>
      <c r="D1233" s="130" t="s">
        <v>2541</v>
      </c>
      <c r="E1233" s="130" t="s">
        <v>4999</v>
      </c>
      <c r="F1233" s="130" t="s">
        <v>5000</v>
      </c>
      <c r="G1233" s="550" t="s">
        <v>2174</v>
      </c>
      <c r="I1233" s="165">
        <v>44104</v>
      </c>
      <c r="J1233" s="551" t="s">
        <v>799</v>
      </c>
      <c r="K1233" s="552" t="s">
        <v>2516</v>
      </c>
      <c r="L1233" s="130" t="s">
        <v>4982</v>
      </c>
    </row>
    <row r="1234" spans="1:12" ht="16.5" customHeight="1">
      <c r="A1234" s="186" t="s">
        <v>3071</v>
      </c>
      <c r="B1234" s="186">
        <v>3640463</v>
      </c>
      <c r="C1234" s="549">
        <v>14107</v>
      </c>
      <c r="D1234" s="130" t="s">
        <v>3400</v>
      </c>
      <c r="E1234" s="130" t="s">
        <v>5001</v>
      </c>
      <c r="F1234" s="130" t="s">
        <v>5002</v>
      </c>
      <c r="G1234" s="550" t="s">
        <v>2052</v>
      </c>
      <c r="I1234" s="165">
        <v>44104</v>
      </c>
      <c r="J1234" s="551" t="s">
        <v>799</v>
      </c>
      <c r="K1234" s="552" t="s">
        <v>2516</v>
      </c>
      <c r="L1234" s="130" t="s">
        <v>4982</v>
      </c>
    </row>
    <row r="1235" spans="1:12" ht="16.5" customHeight="1">
      <c r="A1235" s="186" t="s">
        <v>3071</v>
      </c>
      <c r="B1235" s="186">
        <v>3675246</v>
      </c>
      <c r="C1235" s="549">
        <v>14065</v>
      </c>
      <c r="D1235" s="130" t="s">
        <v>5003</v>
      </c>
      <c r="E1235" s="130" t="s">
        <v>5004</v>
      </c>
      <c r="F1235" s="130" t="s">
        <v>5005</v>
      </c>
      <c r="G1235" s="550" t="s">
        <v>2274</v>
      </c>
      <c r="I1235" s="165">
        <v>44104</v>
      </c>
      <c r="J1235" s="551" t="s">
        <v>799</v>
      </c>
      <c r="K1235" s="552" t="s">
        <v>2516</v>
      </c>
      <c r="L1235" s="130" t="s">
        <v>4982</v>
      </c>
    </row>
    <row r="1236" spans="1:12" ht="16.5" customHeight="1">
      <c r="A1236" s="186" t="s">
        <v>3071</v>
      </c>
      <c r="B1236" s="186">
        <v>4638052</v>
      </c>
      <c r="C1236" s="549">
        <v>17795</v>
      </c>
      <c r="D1236" s="130" t="s">
        <v>5006</v>
      </c>
      <c r="E1236" s="130" t="s">
        <v>5007</v>
      </c>
      <c r="F1236" s="130" t="s">
        <v>2571</v>
      </c>
      <c r="G1236" s="550" t="s">
        <v>2446</v>
      </c>
      <c r="I1236" s="165">
        <v>44104</v>
      </c>
      <c r="J1236" s="551" t="s">
        <v>799</v>
      </c>
      <c r="K1236" s="552" t="s">
        <v>2516</v>
      </c>
      <c r="L1236" s="130" t="s">
        <v>4982</v>
      </c>
    </row>
    <row r="1237" spans="1:12" ht="16.5" customHeight="1">
      <c r="A1237" s="186" t="s">
        <v>3071</v>
      </c>
      <c r="B1237" s="186">
        <v>12660213</v>
      </c>
      <c r="C1237" s="549">
        <v>19205</v>
      </c>
      <c r="D1237" s="130" t="s">
        <v>3444</v>
      </c>
      <c r="E1237" s="130" t="s">
        <v>5008</v>
      </c>
      <c r="F1237" s="130" t="s">
        <v>3357</v>
      </c>
      <c r="G1237" s="550" t="s">
        <v>2185</v>
      </c>
      <c r="I1237" s="165">
        <v>44104</v>
      </c>
      <c r="J1237" s="551" t="s">
        <v>799</v>
      </c>
      <c r="K1237" s="552" t="s">
        <v>2516</v>
      </c>
      <c r="L1237" s="130" t="s">
        <v>4982</v>
      </c>
    </row>
    <row r="1238" spans="1:12" ht="16.5" customHeight="1">
      <c r="A1238" s="186" t="s">
        <v>3071</v>
      </c>
      <c r="B1238" s="186">
        <v>17778317</v>
      </c>
      <c r="C1238" s="549">
        <v>14154</v>
      </c>
      <c r="D1238" s="130" t="s">
        <v>2511</v>
      </c>
      <c r="E1238" s="130" t="s">
        <v>3175</v>
      </c>
      <c r="F1238" s="130" t="s">
        <v>5009</v>
      </c>
      <c r="G1238" s="550" t="s">
        <v>2055</v>
      </c>
      <c r="I1238" s="165">
        <v>44104</v>
      </c>
      <c r="J1238" s="551" t="s">
        <v>799</v>
      </c>
      <c r="K1238" s="552" t="s">
        <v>2516</v>
      </c>
      <c r="L1238" s="130" t="s">
        <v>4982</v>
      </c>
    </row>
    <row r="1239" spans="1:12" ht="16.5" customHeight="1">
      <c r="A1239" s="186" t="s">
        <v>3071</v>
      </c>
      <c r="B1239" s="186">
        <v>25920943</v>
      </c>
      <c r="C1239" s="549">
        <v>16519</v>
      </c>
      <c r="D1239" s="130" t="s">
        <v>3689</v>
      </c>
      <c r="E1239" s="130" t="s">
        <v>5010</v>
      </c>
      <c r="F1239" s="130" t="s">
        <v>5011</v>
      </c>
      <c r="G1239" s="550" t="s">
        <v>2052</v>
      </c>
      <c r="I1239" s="165">
        <v>44104</v>
      </c>
      <c r="J1239" s="551" t="s">
        <v>799</v>
      </c>
      <c r="K1239" s="552" t="s">
        <v>2516</v>
      </c>
      <c r="L1239" s="130" t="s">
        <v>4982</v>
      </c>
    </row>
    <row r="1240" spans="1:12" ht="16.5" customHeight="1">
      <c r="A1240" s="186" t="s">
        <v>3071</v>
      </c>
      <c r="B1240" s="186">
        <v>27976679</v>
      </c>
      <c r="C1240" s="549">
        <v>20576</v>
      </c>
      <c r="D1240" s="130" t="s">
        <v>2841</v>
      </c>
      <c r="E1240" s="130" t="s">
        <v>5012</v>
      </c>
      <c r="F1240" s="130" t="s">
        <v>2830</v>
      </c>
      <c r="G1240" s="550" t="s">
        <v>2185</v>
      </c>
      <c r="I1240" s="165">
        <v>44104</v>
      </c>
      <c r="J1240" s="551" t="s">
        <v>799</v>
      </c>
      <c r="K1240" s="552" t="s">
        <v>2516</v>
      </c>
      <c r="L1240" s="130" t="s">
        <v>4982</v>
      </c>
    </row>
    <row r="1241" spans="1:12" ht="16.5" customHeight="1">
      <c r="A1241" s="186" t="s">
        <v>3071</v>
      </c>
      <c r="B1241" s="186">
        <v>31516354</v>
      </c>
      <c r="C1241" s="549">
        <v>13360</v>
      </c>
      <c r="D1241" s="130" t="s">
        <v>2551</v>
      </c>
      <c r="E1241" s="130" t="s">
        <v>5013</v>
      </c>
      <c r="F1241" s="130" t="s">
        <v>5014</v>
      </c>
      <c r="G1241" s="550" t="s">
        <v>2413</v>
      </c>
      <c r="I1241" s="165">
        <v>44104</v>
      </c>
      <c r="J1241" s="551" t="s">
        <v>799</v>
      </c>
      <c r="K1241" s="552" t="s">
        <v>2516</v>
      </c>
      <c r="L1241" s="130" t="s">
        <v>4982</v>
      </c>
    </row>
    <row r="1242" spans="1:12" ht="16.5" customHeight="1">
      <c r="A1242" s="186" t="s">
        <v>3071</v>
      </c>
      <c r="B1242" s="186">
        <v>33527193</v>
      </c>
      <c r="C1242" s="549">
        <v>16801</v>
      </c>
      <c r="D1242" s="130" t="s">
        <v>3043</v>
      </c>
      <c r="E1242" s="130" t="s">
        <v>4038</v>
      </c>
      <c r="F1242" s="130" t="s">
        <v>3526</v>
      </c>
      <c r="G1242" s="550" t="s">
        <v>2446</v>
      </c>
      <c r="I1242" s="165">
        <v>44104</v>
      </c>
      <c r="J1242" s="551" t="s">
        <v>799</v>
      </c>
      <c r="K1242" s="552" t="s">
        <v>2516</v>
      </c>
      <c r="L1242" s="130" t="s">
        <v>4982</v>
      </c>
    </row>
    <row r="1243" spans="1:12" ht="16.5" customHeight="1">
      <c r="A1243" s="186" t="s">
        <v>3071</v>
      </c>
      <c r="B1243" s="186">
        <v>59108076</v>
      </c>
      <c r="C1243" s="549">
        <v>19204</v>
      </c>
      <c r="D1243" s="130" t="s">
        <v>2511</v>
      </c>
      <c r="E1243" s="130" t="s">
        <v>5002</v>
      </c>
      <c r="F1243" s="130" t="s">
        <v>2815</v>
      </c>
      <c r="G1243" s="550" t="s">
        <v>2266</v>
      </c>
      <c r="I1243" s="165">
        <v>44104</v>
      </c>
      <c r="J1243" s="551" t="s">
        <v>799</v>
      </c>
      <c r="K1243" s="552" t="s">
        <v>2516</v>
      </c>
      <c r="L1243" s="130" t="s">
        <v>4982</v>
      </c>
    </row>
    <row r="1244" spans="1:12" ht="16.5" customHeight="1">
      <c r="A1244" s="186" t="s">
        <v>3071</v>
      </c>
      <c r="B1244" s="186">
        <v>77552172</v>
      </c>
      <c r="C1244" s="549">
        <v>12191</v>
      </c>
      <c r="D1244" s="130" t="s">
        <v>3574</v>
      </c>
      <c r="E1244" s="130" t="s">
        <v>5015</v>
      </c>
      <c r="F1244" s="130" t="s">
        <v>3914</v>
      </c>
      <c r="G1244" s="550" t="s">
        <v>2055</v>
      </c>
      <c r="I1244" s="165">
        <v>44104</v>
      </c>
      <c r="J1244" s="551" t="s">
        <v>799</v>
      </c>
      <c r="K1244" s="552" t="s">
        <v>2516</v>
      </c>
      <c r="L1244" s="130" t="s">
        <v>4982</v>
      </c>
    </row>
    <row r="1245" spans="1:12" ht="16.5" customHeight="1">
      <c r="A1245" s="186" t="s">
        <v>3071</v>
      </c>
      <c r="B1245" s="186">
        <v>89891436</v>
      </c>
      <c r="C1245" s="549">
        <v>17911</v>
      </c>
      <c r="D1245" s="130" t="s">
        <v>3246</v>
      </c>
      <c r="E1245" s="130" t="s">
        <v>5016</v>
      </c>
      <c r="F1245" s="130" t="s">
        <v>5014</v>
      </c>
      <c r="G1245" s="550" t="s">
        <v>2413</v>
      </c>
      <c r="I1245" s="165">
        <v>44104</v>
      </c>
      <c r="J1245" s="551" t="s">
        <v>799</v>
      </c>
      <c r="K1245" s="552" t="s">
        <v>2516</v>
      </c>
      <c r="L1245" s="130" t="s">
        <v>4982</v>
      </c>
    </row>
    <row r="1246" spans="1:12" ht="16.5" customHeight="1">
      <c r="A1246" s="186" t="s">
        <v>3071</v>
      </c>
      <c r="B1246" s="186">
        <v>89939631</v>
      </c>
      <c r="C1246" s="549">
        <v>17475</v>
      </c>
      <c r="D1246" s="130" t="s">
        <v>2851</v>
      </c>
      <c r="E1246" s="130" t="s">
        <v>5017</v>
      </c>
      <c r="F1246" s="130" t="s">
        <v>2582</v>
      </c>
      <c r="G1246" s="550" t="s">
        <v>2174</v>
      </c>
      <c r="I1246" s="165">
        <v>44104</v>
      </c>
      <c r="J1246" s="551" t="s">
        <v>799</v>
      </c>
      <c r="K1246" s="552" t="s">
        <v>2516</v>
      </c>
      <c r="L1246" s="130" t="s">
        <v>4982</v>
      </c>
    </row>
    <row r="1247" spans="1:12" ht="16.5" customHeight="1">
      <c r="A1247" s="186" t="s">
        <v>3071</v>
      </c>
      <c r="B1247" s="186">
        <v>94594140</v>
      </c>
      <c r="C1247" s="549">
        <v>16782</v>
      </c>
      <c r="D1247" s="130" t="s">
        <v>3043</v>
      </c>
      <c r="E1247" s="130" t="s">
        <v>5018</v>
      </c>
      <c r="F1247" s="130" t="s">
        <v>3004</v>
      </c>
      <c r="G1247" s="550" t="s">
        <v>2112</v>
      </c>
      <c r="I1247" s="165">
        <v>44104</v>
      </c>
      <c r="J1247" s="551" t="s">
        <v>799</v>
      </c>
      <c r="K1247" s="552" t="s">
        <v>2516</v>
      </c>
      <c r="L1247" s="130" t="s">
        <v>4982</v>
      </c>
    </row>
    <row r="1248" spans="1:12" ht="16.5" customHeight="1">
      <c r="A1248" s="186" t="s">
        <v>3071</v>
      </c>
      <c r="B1248" s="186">
        <v>20646170</v>
      </c>
      <c r="C1248" s="549">
        <v>16490</v>
      </c>
      <c r="D1248" s="130" t="s">
        <v>2602</v>
      </c>
      <c r="E1248" s="130" t="s">
        <v>3255</v>
      </c>
      <c r="F1248" s="130" t="s">
        <v>5019</v>
      </c>
      <c r="G1248" s="550" t="s">
        <v>65</v>
      </c>
      <c r="I1248" s="165">
        <v>44104</v>
      </c>
      <c r="J1248" s="551" t="s">
        <v>799</v>
      </c>
      <c r="K1248" s="552" t="s">
        <v>2516</v>
      </c>
      <c r="L1248" s="130" t="s">
        <v>5020</v>
      </c>
    </row>
    <row r="1249" spans="1:14" ht="16.5" customHeight="1">
      <c r="A1249" s="186" t="s">
        <v>3071</v>
      </c>
      <c r="B1249" s="186">
        <v>39849542</v>
      </c>
      <c r="C1249" s="549">
        <v>9823</v>
      </c>
      <c r="D1249" s="130" t="s">
        <v>3321</v>
      </c>
      <c r="E1249" s="130" t="s">
        <v>5021</v>
      </c>
      <c r="F1249" s="130" t="s">
        <v>4240</v>
      </c>
      <c r="G1249" s="550" t="s">
        <v>2046</v>
      </c>
      <c r="I1249" s="165">
        <v>44104</v>
      </c>
      <c r="J1249" s="551" t="s">
        <v>799</v>
      </c>
      <c r="K1249" s="552" t="s">
        <v>2516</v>
      </c>
      <c r="L1249" s="130" t="s">
        <v>5020</v>
      </c>
    </row>
    <row r="1250" spans="1:14" ht="16.5" customHeight="1">
      <c r="A1250" s="186" t="s">
        <v>3071</v>
      </c>
      <c r="B1250" s="186">
        <v>74234774</v>
      </c>
      <c r="C1250" s="549" t="s">
        <v>88</v>
      </c>
      <c r="D1250" s="130" t="s">
        <v>3373</v>
      </c>
      <c r="E1250" s="130" t="s">
        <v>5022</v>
      </c>
      <c r="F1250" s="130" t="s">
        <v>4128</v>
      </c>
      <c r="G1250" s="550" t="s">
        <v>2052</v>
      </c>
      <c r="I1250" s="165">
        <v>44104</v>
      </c>
      <c r="J1250" s="551" t="s">
        <v>799</v>
      </c>
      <c r="K1250" s="552" t="s">
        <v>2516</v>
      </c>
      <c r="L1250" s="130" t="s">
        <v>5020</v>
      </c>
    </row>
    <row r="1251" spans="1:14" ht="16.5" customHeight="1">
      <c r="A1251" s="186" t="s">
        <v>3071</v>
      </c>
      <c r="B1251" s="186">
        <v>86887577</v>
      </c>
      <c r="C1251" s="549">
        <v>12660</v>
      </c>
      <c r="D1251" s="130" t="s">
        <v>4210</v>
      </c>
      <c r="E1251" s="130" t="s">
        <v>3427</v>
      </c>
      <c r="F1251" s="130" t="s">
        <v>3010</v>
      </c>
      <c r="G1251" s="550" t="s">
        <v>2094</v>
      </c>
      <c r="I1251" s="165">
        <v>44104</v>
      </c>
      <c r="J1251" s="551" t="s">
        <v>799</v>
      </c>
      <c r="K1251" s="552" t="s">
        <v>2516</v>
      </c>
      <c r="L1251" s="130" t="s">
        <v>5020</v>
      </c>
    </row>
    <row r="1252" spans="1:14" ht="16.5" customHeight="1">
      <c r="A1252" s="186" t="s">
        <v>3071</v>
      </c>
      <c r="B1252" s="186">
        <v>100461887</v>
      </c>
      <c r="C1252" s="549">
        <v>17457</v>
      </c>
      <c r="D1252" s="130" t="s">
        <v>2523</v>
      </c>
      <c r="E1252" s="130" t="s">
        <v>5023</v>
      </c>
      <c r="F1252" s="130" t="s">
        <v>3900</v>
      </c>
      <c r="G1252" s="550" t="s">
        <v>2055</v>
      </c>
      <c r="I1252" s="165">
        <v>44104</v>
      </c>
      <c r="J1252" s="551" t="s">
        <v>799</v>
      </c>
      <c r="K1252" s="552" t="s">
        <v>2516</v>
      </c>
      <c r="L1252" s="130" t="s">
        <v>5020</v>
      </c>
    </row>
    <row r="1253" spans="1:14" ht="16.5" customHeight="1">
      <c r="A1253" s="186" t="s">
        <v>3071</v>
      </c>
      <c r="B1253" s="186">
        <v>100542965</v>
      </c>
      <c r="C1253" s="549" t="s">
        <v>88</v>
      </c>
      <c r="D1253" s="130" t="s">
        <v>3145</v>
      </c>
      <c r="E1253" s="130" t="s">
        <v>5024</v>
      </c>
      <c r="F1253" s="130" t="s">
        <v>2616</v>
      </c>
      <c r="G1253" s="550" t="s">
        <v>2069</v>
      </c>
      <c r="I1253" s="165">
        <v>44104</v>
      </c>
      <c r="J1253" s="551" t="s">
        <v>799</v>
      </c>
      <c r="K1253" s="552" t="s">
        <v>2516</v>
      </c>
      <c r="L1253" s="130" t="s">
        <v>5020</v>
      </c>
    </row>
    <row r="1254" spans="1:14" ht="16.5" customHeight="1">
      <c r="A1254" s="186" t="s">
        <v>3071</v>
      </c>
      <c r="B1254" s="186">
        <v>89558399</v>
      </c>
      <c r="C1254" s="549">
        <v>14991</v>
      </c>
      <c r="D1254" s="130" t="s">
        <v>2979</v>
      </c>
      <c r="E1254" s="130" t="s">
        <v>5025</v>
      </c>
      <c r="F1254" s="130" t="s">
        <v>4262</v>
      </c>
      <c r="G1254" s="550" t="s">
        <v>65</v>
      </c>
      <c r="H1254" s="130" t="s">
        <v>88</v>
      </c>
      <c r="I1254" s="165">
        <v>44109</v>
      </c>
      <c r="J1254" s="551" t="s">
        <v>799</v>
      </c>
      <c r="K1254" s="552" t="s">
        <v>2516</v>
      </c>
      <c r="L1254" s="130" t="s">
        <v>5020</v>
      </c>
    </row>
    <row r="1255" spans="1:14" ht="16.5" customHeight="1">
      <c r="A1255" s="186" t="s">
        <v>3071</v>
      </c>
      <c r="B1255" s="186">
        <v>100533574</v>
      </c>
      <c r="C1255" s="549">
        <v>10799</v>
      </c>
      <c r="D1255" s="130" t="s">
        <v>5026</v>
      </c>
      <c r="E1255" s="130" t="s">
        <v>5027</v>
      </c>
      <c r="F1255" s="130" t="s">
        <v>5028</v>
      </c>
      <c r="G1255" s="550" t="s">
        <v>2046</v>
      </c>
      <c r="I1255" s="165">
        <v>44110</v>
      </c>
      <c r="J1255" s="551" t="s">
        <v>799</v>
      </c>
      <c r="K1255" s="552" t="s">
        <v>2516</v>
      </c>
      <c r="L1255" s="130" t="s">
        <v>5029</v>
      </c>
      <c r="N1255" t="s">
        <v>88</v>
      </c>
    </row>
    <row r="1256" spans="1:14" ht="16.5" customHeight="1">
      <c r="A1256" s="186" t="s">
        <v>3071</v>
      </c>
      <c r="B1256" s="186">
        <v>100544575</v>
      </c>
      <c r="C1256" s="549">
        <v>21929</v>
      </c>
      <c r="D1256" s="130" t="s">
        <v>5030</v>
      </c>
      <c r="E1256" s="130" t="s">
        <v>3120</v>
      </c>
      <c r="F1256" s="130" t="s">
        <v>5031</v>
      </c>
      <c r="G1256" s="550" t="s">
        <v>2185</v>
      </c>
      <c r="I1256" s="165">
        <v>44112</v>
      </c>
      <c r="J1256" s="551" t="s">
        <v>799</v>
      </c>
      <c r="K1256" s="552" t="s">
        <v>2516</v>
      </c>
      <c r="L1256" s="130" t="s">
        <v>5032</v>
      </c>
    </row>
    <row r="1257" spans="1:14" ht="16.5" customHeight="1">
      <c r="A1257" s="186" t="s">
        <v>5033</v>
      </c>
      <c r="B1257" s="186">
        <v>37037470</v>
      </c>
      <c r="C1257" s="549">
        <v>14509</v>
      </c>
      <c r="D1257" s="130" t="s">
        <v>5034</v>
      </c>
      <c r="E1257" s="130" t="s">
        <v>4936</v>
      </c>
      <c r="F1257" s="130" t="s">
        <v>4937</v>
      </c>
      <c r="G1257" s="550" t="s">
        <v>2313</v>
      </c>
      <c r="I1257" s="165">
        <v>44115</v>
      </c>
      <c r="J1257" s="551" t="s">
        <v>799</v>
      </c>
      <c r="K1257" s="552" t="s">
        <v>2516</v>
      </c>
      <c r="L1257" s="130" t="s">
        <v>5029</v>
      </c>
    </row>
    <row r="1258" spans="1:14" ht="16.5" customHeight="1">
      <c r="A1258" s="186" t="s">
        <v>3071</v>
      </c>
      <c r="B1258" s="186">
        <v>75473306</v>
      </c>
      <c r="C1258" s="549">
        <v>15750</v>
      </c>
      <c r="D1258" s="130" t="s">
        <v>5035</v>
      </c>
      <c r="E1258" s="130" t="s">
        <v>5036</v>
      </c>
      <c r="F1258" s="130" t="s">
        <v>5037</v>
      </c>
      <c r="G1258" s="550" t="s">
        <v>2446</v>
      </c>
      <c r="I1258" s="165">
        <v>44117</v>
      </c>
      <c r="J1258" s="551" t="s">
        <v>799</v>
      </c>
      <c r="K1258" s="552" t="s">
        <v>2516</v>
      </c>
      <c r="L1258" s="130" t="s">
        <v>5029</v>
      </c>
    </row>
    <row r="1259" spans="1:14" ht="16.5" customHeight="1">
      <c r="A1259" s="186" t="s">
        <v>3071</v>
      </c>
      <c r="B1259" s="186">
        <v>100553513</v>
      </c>
      <c r="C1259" s="549">
        <v>19103</v>
      </c>
      <c r="D1259" s="130" t="s">
        <v>2732</v>
      </c>
      <c r="E1259" s="130" t="s">
        <v>5038</v>
      </c>
      <c r="F1259" s="130" t="s">
        <v>5039</v>
      </c>
      <c r="G1259" s="550" t="s">
        <v>2046</v>
      </c>
      <c r="I1259" s="165">
        <v>44130</v>
      </c>
      <c r="J1259" s="551" t="s">
        <v>799</v>
      </c>
      <c r="K1259" s="552" t="s">
        <v>2516</v>
      </c>
      <c r="L1259" s="130" t="s">
        <v>5032</v>
      </c>
    </row>
    <row r="1260" spans="1:14" ht="16.5" customHeight="1">
      <c r="A1260" s="186" t="s">
        <v>3071</v>
      </c>
      <c r="B1260" s="186">
        <v>32895872</v>
      </c>
      <c r="D1260" s="130" t="s">
        <v>2718</v>
      </c>
      <c r="E1260" s="130" t="s">
        <v>5040</v>
      </c>
      <c r="F1260" s="130" t="s">
        <v>5041</v>
      </c>
      <c r="G1260" s="550" t="s">
        <v>2201</v>
      </c>
      <c r="I1260" s="165">
        <v>44147</v>
      </c>
      <c r="J1260" s="551" t="s">
        <v>799</v>
      </c>
      <c r="K1260" s="552" t="s">
        <v>5042</v>
      </c>
      <c r="L1260" s="130" t="s">
        <v>5043</v>
      </c>
    </row>
    <row r="1261" spans="1:14" ht="16.5" customHeight="1">
      <c r="A1261" s="186" t="s">
        <v>3071</v>
      </c>
      <c r="B1261" s="186">
        <v>53180980</v>
      </c>
      <c r="C1261" s="549">
        <v>14973</v>
      </c>
      <c r="D1261" s="130" t="s">
        <v>2832</v>
      </c>
      <c r="E1261" s="130" t="s">
        <v>5044</v>
      </c>
      <c r="F1261" s="130" t="s">
        <v>5045</v>
      </c>
      <c r="G1261" s="550" t="s">
        <v>2395</v>
      </c>
      <c r="I1261" s="165">
        <v>44147</v>
      </c>
      <c r="J1261" s="551" t="s">
        <v>799</v>
      </c>
      <c r="K1261" s="552" t="s">
        <v>2516</v>
      </c>
      <c r="L1261" s="130" t="s">
        <v>5046</v>
      </c>
    </row>
    <row r="1262" spans="1:14" ht="16.5" customHeight="1">
      <c r="A1262" s="186" t="s">
        <v>3071</v>
      </c>
      <c r="B1262" s="186">
        <v>40232514</v>
      </c>
      <c r="C1262" s="549">
        <v>17582</v>
      </c>
      <c r="D1262" s="130" t="s">
        <v>5047</v>
      </c>
      <c r="E1262" s="130" t="s">
        <v>5048</v>
      </c>
      <c r="F1262" s="130" t="s">
        <v>5049</v>
      </c>
      <c r="G1262" s="550" t="s">
        <v>2064</v>
      </c>
      <c r="H1262" s="130" t="s">
        <v>5050</v>
      </c>
      <c r="I1262" s="165">
        <v>44147</v>
      </c>
      <c r="J1262" s="551" t="s">
        <v>799</v>
      </c>
      <c r="K1262" s="552" t="s">
        <v>2516</v>
      </c>
      <c r="L1262" s="130" t="s">
        <v>5046</v>
      </c>
    </row>
    <row r="1263" spans="1:14" ht="16.5" customHeight="1">
      <c r="A1263" s="186" t="s">
        <v>3071</v>
      </c>
      <c r="B1263" s="186">
        <v>353137856</v>
      </c>
      <c r="C1263" s="549" t="s">
        <v>5051</v>
      </c>
      <c r="D1263" s="130" t="s">
        <v>3463</v>
      </c>
      <c r="E1263" s="130" t="s">
        <v>3852</v>
      </c>
      <c r="F1263" s="130" t="s">
        <v>3770</v>
      </c>
      <c r="G1263" s="550" t="s">
        <v>2174</v>
      </c>
      <c r="H1263" s="130" t="s">
        <v>5052</v>
      </c>
      <c r="I1263" s="165">
        <v>44147</v>
      </c>
      <c r="J1263" s="551" t="s">
        <v>799</v>
      </c>
      <c r="K1263" s="552" t="s">
        <v>2516</v>
      </c>
      <c r="L1263" s="130" t="s">
        <v>5046</v>
      </c>
    </row>
    <row r="1264" spans="1:14" ht="16.5" customHeight="1">
      <c r="A1264" s="186" t="s">
        <v>3071</v>
      </c>
      <c r="B1264" s="186">
        <v>99846305</v>
      </c>
      <c r="D1264" s="130" t="s">
        <v>5053</v>
      </c>
      <c r="E1264" s="130" t="s">
        <v>5054</v>
      </c>
      <c r="F1264" s="130" t="s">
        <v>5055</v>
      </c>
      <c r="G1264" s="550" t="s">
        <v>2255</v>
      </c>
      <c r="I1264" s="165">
        <v>44147</v>
      </c>
      <c r="J1264" s="551" t="s">
        <v>799</v>
      </c>
      <c r="K1264" s="552" t="s">
        <v>2516</v>
      </c>
      <c r="L1264" s="130" t="s">
        <v>5046</v>
      </c>
    </row>
    <row r="1265" spans="1:12" ht="16.5" customHeight="1">
      <c r="A1265" s="186" t="s">
        <v>3071</v>
      </c>
      <c r="B1265" s="186">
        <v>100291522</v>
      </c>
      <c r="C1265" s="549" t="s">
        <v>88</v>
      </c>
      <c r="D1265" s="130" t="s">
        <v>3101</v>
      </c>
      <c r="E1265" s="130" t="s">
        <v>5056</v>
      </c>
      <c r="F1265" s="130" t="s">
        <v>2802</v>
      </c>
      <c r="G1265" s="550" t="s">
        <v>2176</v>
      </c>
      <c r="I1265" s="165">
        <v>44151</v>
      </c>
      <c r="J1265" s="551" t="s">
        <v>799</v>
      </c>
      <c r="K1265" s="552" t="s">
        <v>2516</v>
      </c>
      <c r="L1265" s="130" t="s">
        <v>5020</v>
      </c>
    </row>
    <row r="1266" spans="1:12" ht="16.5" customHeight="1">
      <c r="A1266" s="186" t="s">
        <v>3071</v>
      </c>
      <c r="B1266" s="186">
        <v>97657308</v>
      </c>
      <c r="C1266" s="549">
        <v>14509</v>
      </c>
      <c r="D1266" s="130" t="s">
        <v>5057</v>
      </c>
      <c r="E1266" s="130" t="s">
        <v>5058</v>
      </c>
      <c r="F1266" s="130" t="s">
        <v>5059</v>
      </c>
      <c r="G1266" s="550" t="s">
        <v>2526</v>
      </c>
      <c r="I1266" s="165">
        <v>44151</v>
      </c>
      <c r="J1266" s="551" t="s">
        <v>799</v>
      </c>
      <c r="K1266" s="552" t="s">
        <v>2516</v>
      </c>
      <c r="L1266" s="130" t="s">
        <v>5060</v>
      </c>
    </row>
    <row r="1267" spans="1:12" ht="16.5" customHeight="1">
      <c r="A1267" s="186" t="s">
        <v>3071</v>
      </c>
      <c r="B1267" s="186">
        <v>92587799</v>
      </c>
      <c r="C1267" s="549">
        <v>17310</v>
      </c>
      <c r="D1267" s="130" t="s">
        <v>2511</v>
      </c>
      <c r="E1267" s="130" t="s">
        <v>5061</v>
      </c>
      <c r="F1267" s="130" t="s">
        <v>3065</v>
      </c>
      <c r="G1267" s="550" t="s">
        <v>2465</v>
      </c>
      <c r="I1267" s="165">
        <v>44151</v>
      </c>
      <c r="J1267" s="551" t="s">
        <v>799</v>
      </c>
      <c r="K1267" s="552" t="s">
        <v>2516</v>
      </c>
      <c r="L1267" s="130" t="s">
        <v>5029</v>
      </c>
    </row>
    <row r="1268" spans="1:12" ht="16.5" customHeight="1">
      <c r="A1268" s="186" t="s">
        <v>3071</v>
      </c>
      <c r="B1268" s="186">
        <v>100310486</v>
      </c>
      <c r="D1268" s="130" t="s">
        <v>5062</v>
      </c>
      <c r="E1268" s="130" t="s">
        <v>5063</v>
      </c>
      <c r="F1268" s="130" t="s">
        <v>3240</v>
      </c>
      <c r="G1268" s="550" t="s">
        <v>2094</v>
      </c>
      <c r="I1268" s="165">
        <v>44152</v>
      </c>
      <c r="J1268" s="551" t="s">
        <v>799</v>
      </c>
      <c r="K1268" s="552" t="s">
        <v>2516</v>
      </c>
      <c r="L1268" s="130" t="s">
        <v>5020</v>
      </c>
    </row>
    <row r="1269" spans="1:12" ht="16.5" customHeight="1">
      <c r="A1269" s="186" t="s">
        <v>3071</v>
      </c>
      <c r="B1269" s="186">
        <v>35662006</v>
      </c>
      <c r="C1269" s="549">
        <v>17153</v>
      </c>
      <c r="D1269" s="130" t="s">
        <v>5064</v>
      </c>
      <c r="E1269" s="130" t="s">
        <v>5065</v>
      </c>
      <c r="F1269" s="130" t="s">
        <v>4072</v>
      </c>
      <c r="G1269" s="550" t="s">
        <v>2055</v>
      </c>
      <c r="I1269" s="165">
        <v>44278</v>
      </c>
      <c r="J1269" s="551" t="s">
        <v>799</v>
      </c>
      <c r="K1269" s="552" t="s">
        <v>2516</v>
      </c>
      <c r="L1269" s="130" t="s">
        <v>5066</v>
      </c>
    </row>
    <row r="1270" spans="1:12" ht="16.5" customHeight="1">
      <c r="A1270" s="186" t="s">
        <v>3071</v>
      </c>
      <c r="B1270" s="186">
        <v>100334417</v>
      </c>
      <c r="C1270" s="549">
        <v>14241</v>
      </c>
      <c r="D1270" s="130" t="s">
        <v>4513</v>
      </c>
      <c r="E1270" s="130" t="s">
        <v>4514</v>
      </c>
      <c r="F1270" s="130" t="s">
        <v>4515</v>
      </c>
      <c r="G1270" s="550" t="s">
        <v>2395</v>
      </c>
      <c r="I1270" s="165">
        <v>44281</v>
      </c>
      <c r="J1270" s="551" t="s">
        <v>799</v>
      </c>
      <c r="K1270" s="896" t="s">
        <v>2516</v>
      </c>
      <c r="L1270" s="895" t="s">
        <v>5067</v>
      </c>
    </row>
    <row r="1271" spans="1:12" ht="16.5" customHeight="1">
      <c r="A1271" s="186" t="s">
        <v>2584</v>
      </c>
      <c r="B1271" s="186">
        <v>100027942</v>
      </c>
      <c r="C1271" s="549">
        <v>12855</v>
      </c>
      <c r="D1271" s="130" t="s">
        <v>2593</v>
      </c>
      <c r="E1271" s="130" t="s">
        <v>5068</v>
      </c>
      <c r="F1271" s="130" t="s">
        <v>5069</v>
      </c>
      <c r="G1271" s="550" t="s">
        <v>2059</v>
      </c>
      <c r="I1271" s="165">
        <v>44299</v>
      </c>
      <c r="J1271" s="551" t="s">
        <v>799</v>
      </c>
      <c r="K1271" s="896" t="s">
        <v>2516</v>
      </c>
      <c r="L1271" s="570" t="s">
        <v>5070</v>
      </c>
    </row>
    <row r="1272" spans="1:12" ht="16.5" customHeight="1">
      <c r="A1272" s="186" t="s">
        <v>3071</v>
      </c>
      <c r="B1272" s="186">
        <v>8385288</v>
      </c>
      <c r="C1272" s="549">
        <v>19421</v>
      </c>
      <c r="D1272" s="130" t="s">
        <v>5071</v>
      </c>
      <c r="E1272" s="130" t="s">
        <v>5072</v>
      </c>
      <c r="F1272" s="130" t="s">
        <v>5073</v>
      </c>
      <c r="G1272" s="550" t="s">
        <v>2046</v>
      </c>
      <c r="H1272" s="130" t="s">
        <v>5074</v>
      </c>
      <c r="I1272" s="165">
        <v>44301</v>
      </c>
      <c r="J1272" s="551" t="s">
        <v>799</v>
      </c>
      <c r="K1272" s="896" t="s">
        <v>2516</v>
      </c>
      <c r="L1272" s="570" t="s">
        <v>5075</v>
      </c>
    </row>
    <row r="1273" spans="1:12" ht="16.5" customHeight="1">
      <c r="A1273" s="186" t="s">
        <v>3071</v>
      </c>
      <c r="B1273" s="186">
        <v>100044219</v>
      </c>
      <c r="C1273" s="549">
        <v>19433</v>
      </c>
      <c r="D1273" s="130" t="s">
        <v>3593</v>
      </c>
      <c r="E1273" s="130" t="s">
        <v>5076</v>
      </c>
      <c r="F1273" s="130" t="s">
        <v>5077</v>
      </c>
      <c r="G1273" s="550" t="s">
        <v>2112</v>
      </c>
      <c r="I1273" s="165">
        <v>44301</v>
      </c>
      <c r="J1273" s="551" t="s">
        <v>799</v>
      </c>
      <c r="K1273" s="896" t="s">
        <v>2516</v>
      </c>
      <c r="L1273" s="570" t="s">
        <v>5046</v>
      </c>
    </row>
    <row r="1274" spans="1:12" ht="16.5" customHeight="1">
      <c r="A1274" s="186" t="s">
        <v>3071</v>
      </c>
      <c r="B1274" s="186">
        <v>665810</v>
      </c>
      <c r="C1274" s="549">
        <v>28611</v>
      </c>
      <c r="D1274" s="130" t="s">
        <v>5078</v>
      </c>
      <c r="E1274" s="130" t="s">
        <v>5079</v>
      </c>
      <c r="F1274" s="130" t="s">
        <v>5080</v>
      </c>
      <c r="G1274" s="550" t="s">
        <v>2081</v>
      </c>
      <c r="H1274" s="130" t="s">
        <v>5081</v>
      </c>
      <c r="I1274" s="165">
        <v>44301</v>
      </c>
      <c r="J1274" s="551" t="s">
        <v>799</v>
      </c>
      <c r="K1274" s="896" t="s">
        <v>2516</v>
      </c>
      <c r="L1274" s="570" t="s">
        <v>5029</v>
      </c>
    </row>
    <row r="1275" spans="1:12" ht="16.5" customHeight="1">
      <c r="A1275" s="186" t="s">
        <v>3071</v>
      </c>
      <c r="B1275" s="186">
        <v>4867495</v>
      </c>
      <c r="C1275" s="549">
        <v>22134</v>
      </c>
      <c r="D1275" s="130" t="s">
        <v>3593</v>
      </c>
      <c r="E1275" s="130" t="s">
        <v>5082</v>
      </c>
      <c r="F1275" s="130" t="s">
        <v>5083</v>
      </c>
      <c r="G1275" s="550" t="s">
        <v>2240</v>
      </c>
      <c r="I1275" s="165">
        <v>44309</v>
      </c>
      <c r="J1275" s="551" t="s">
        <v>799</v>
      </c>
      <c r="K1275" s="896" t="s">
        <v>2516</v>
      </c>
      <c r="L1275" s="895" t="s">
        <v>5084</v>
      </c>
    </row>
    <row r="1276" spans="1:12" ht="16.5" customHeight="1">
      <c r="A1276" s="186" t="s">
        <v>3071</v>
      </c>
      <c r="B1276" s="186">
        <v>100611131</v>
      </c>
      <c r="D1276" s="130" t="s">
        <v>5085</v>
      </c>
      <c r="E1276" s="130" t="s">
        <v>5086</v>
      </c>
      <c r="F1276" s="130" t="s">
        <v>5087</v>
      </c>
      <c r="G1276" s="550" t="s">
        <v>2055</v>
      </c>
      <c r="I1276" s="165">
        <v>44314</v>
      </c>
      <c r="J1276" s="551" t="s">
        <v>799</v>
      </c>
      <c r="K1276" s="896" t="s">
        <v>2516</v>
      </c>
      <c r="L1276" s="897" t="s">
        <v>5088</v>
      </c>
    </row>
    <row r="1277" spans="1:12" ht="16.5" customHeight="1">
      <c r="A1277" s="186" t="s">
        <v>3071</v>
      </c>
      <c r="B1277" s="186">
        <v>1319714</v>
      </c>
      <c r="C1277" s="549">
        <v>13076</v>
      </c>
      <c r="D1277" s="130" t="s">
        <v>2979</v>
      </c>
      <c r="E1277" s="130" t="s">
        <v>5089</v>
      </c>
      <c r="F1277" s="130" t="s">
        <v>4085</v>
      </c>
      <c r="G1277" s="550" t="s">
        <v>2055</v>
      </c>
      <c r="H1277" s="130" t="s">
        <v>5090</v>
      </c>
      <c r="I1277" s="165">
        <v>44316</v>
      </c>
      <c r="J1277" s="551" t="s">
        <v>799</v>
      </c>
      <c r="K1277" s="552" t="s">
        <v>2516</v>
      </c>
      <c r="L1277" s="130" t="s">
        <v>5091</v>
      </c>
    </row>
    <row r="1278" spans="1:12" ht="16.5" customHeight="1">
      <c r="A1278" s="186" t="s">
        <v>2510</v>
      </c>
      <c r="B1278" s="186">
        <v>19702232</v>
      </c>
      <c r="C1278" s="549">
        <v>16061</v>
      </c>
      <c r="D1278" s="130" t="s">
        <v>2832</v>
      </c>
      <c r="E1278" s="130" t="s">
        <v>5092</v>
      </c>
      <c r="F1278" s="130" t="s">
        <v>4601</v>
      </c>
      <c r="G1278" s="550" t="s">
        <v>4512</v>
      </c>
      <c r="H1278" s="130" t="s">
        <v>5093</v>
      </c>
      <c r="I1278" s="165">
        <v>44321</v>
      </c>
      <c r="J1278" s="551" t="s">
        <v>799</v>
      </c>
      <c r="K1278" s="552" t="s">
        <v>2516</v>
      </c>
      <c r="L1278" s="130" t="s">
        <v>5094</v>
      </c>
    </row>
    <row r="1279" spans="1:12" ht="16.5" customHeight="1">
      <c r="A1279" s="186" t="s">
        <v>3071</v>
      </c>
      <c r="B1279" s="186">
        <v>29613221</v>
      </c>
      <c r="C1279" s="549">
        <v>14008</v>
      </c>
      <c r="D1279" s="130" t="s">
        <v>2586</v>
      </c>
      <c r="E1279" s="130" t="s">
        <v>3776</v>
      </c>
      <c r="F1279" s="130" t="s">
        <v>2869</v>
      </c>
      <c r="G1279" s="550" t="s">
        <v>2413</v>
      </c>
      <c r="H1279" s="130" t="s">
        <v>5095</v>
      </c>
      <c r="I1279" s="165">
        <v>44355</v>
      </c>
      <c r="J1279" s="551" t="s">
        <v>799</v>
      </c>
      <c r="K1279" s="552" t="s">
        <v>2516</v>
      </c>
      <c r="L1279" s="130" t="s">
        <v>5094</v>
      </c>
    </row>
    <row r="1280" spans="1:12" ht="16.5" customHeight="1">
      <c r="A1280" s="186" t="s">
        <v>3071</v>
      </c>
      <c r="B1280" s="186">
        <v>20633475</v>
      </c>
      <c r="C1280" s="549">
        <v>15779</v>
      </c>
      <c r="D1280" s="130" t="s">
        <v>2742</v>
      </c>
      <c r="E1280" s="130" t="s">
        <v>5096</v>
      </c>
      <c r="F1280" s="130" t="s">
        <v>4709</v>
      </c>
      <c r="G1280" s="550" t="s">
        <v>2081</v>
      </c>
      <c r="I1280" s="165">
        <v>44363</v>
      </c>
      <c r="J1280" s="551" t="s">
        <v>799</v>
      </c>
      <c r="K1280" s="552" t="s">
        <v>2516</v>
      </c>
      <c r="L1280" s="130" t="s">
        <v>5094</v>
      </c>
    </row>
    <row r="1281" spans="1:12" ht="16.5" customHeight="1">
      <c r="A1281" s="186" t="s">
        <v>3071</v>
      </c>
      <c r="B1281" s="186">
        <v>64706781</v>
      </c>
      <c r="C1281" s="549">
        <v>13996</v>
      </c>
      <c r="D1281" s="130" t="s">
        <v>3431</v>
      </c>
      <c r="E1281" s="130" t="s">
        <v>4527</v>
      </c>
      <c r="F1281" s="130" t="s">
        <v>5097</v>
      </c>
      <c r="G1281" s="550" t="s">
        <v>2046</v>
      </c>
      <c r="I1281" s="165">
        <v>44391</v>
      </c>
      <c r="J1281" s="551" t="s">
        <v>799</v>
      </c>
      <c r="K1281" s="552" t="s">
        <v>2516</v>
      </c>
      <c r="L1281" s="130" t="s">
        <v>5094</v>
      </c>
    </row>
    <row r="1282" spans="1:12" ht="16.5" customHeight="1">
      <c r="A1282" s="186" t="s">
        <v>2584</v>
      </c>
      <c r="B1282" s="186">
        <v>100546964</v>
      </c>
      <c r="D1282" s="130" t="s">
        <v>2903</v>
      </c>
      <c r="E1282" s="130" t="s">
        <v>5098</v>
      </c>
      <c r="F1282" s="130" t="s">
        <v>5099</v>
      </c>
      <c r="G1282" s="550" t="s">
        <v>2046</v>
      </c>
      <c r="I1282" s="165">
        <v>44391</v>
      </c>
      <c r="J1282" s="551" t="s">
        <v>799</v>
      </c>
      <c r="K1282" s="552" t="s">
        <v>67</v>
      </c>
      <c r="L1282" s="130" t="s">
        <v>5100</v>
      </c>
    </row>
    <row r="1283" spans="1:12" ht="16.5" customHeight="1">
      <c r="A1283" s="186" t="s">
        <v>3071</v>
      </c>
      <c r="B1283" s="186">
        <v>100660959</v>
      </c>
      <c r="D1283" s="130" t="s">
        <v>3235</v>
      </c>
      <c r="E1283" s="130" t="s">
        <v>3438</v>
      </c>
      <c r="F1283" s="130" t="s">
        <v>5101</v>
      </c>
      <c r="G1283" s="550" t="s">
        <v>2081</v>
      </c>
      <c r="I1283" s="165">
        <v>44391</v>
      </c>
      <c r="J1283" s="551" t="s">
        <v>799</v>
      </c>
      <c r="K1283" s="552" t="s">
        <v>2516</v>
      </c>
      <c r="L1283" s="130" t="s">
        <v>5094</v>
      </c>
    </row>
    <row r="1284" spans="1:12" ht="16.5" customHeight="1">
      <c r="A1284" s="186" t="s">
        <v>2584</v>
      </c>
      <c r="B1284" s="186">
        <v>722850</v>
      </c>
      <c r="D1284" s="130" t="s">
        <v>5102</v>
      </c>
      <c r="E1284" s="130" t="s">
        <v>5103</v>
      </c>
      <c r="F1284" s="130" t="s">
        <v>5104</v>
      </c>
      <c r="G1284" s="550" t="s">
        <v>2176</v>
      </c>
      <c r="I1284" s="165">
        <v>44391</v>
      </c>
      <c r="J1284" s="551" t="s">
        <v>799</v>
      </c>
      <c r="K1284" s="552" t="s">
        <v>2516</v>
      </c>
      <c r="L1284" s="130" t="s">
        <v>5094</v>
      </c>
    </row>
    <row r="1285" spans="1:12" ht="16.5" customHeight="1">
      <c r="A1285" s="186" t="s">
        <v>3071</v>
      </c>
      <c r="B1285" s="186">
        <v>100609865</v>
      </c>
      <c r="C1285" s="549">
        <v>19370</v>
      </c>
      <c r="D1285" s="130" t="s">
        <v>2871</v>
      </c>
      <c r="E1285" s="130" t="s">
        <v>5105</v>
      </c>
      <c r="F1285" s="130" t="s">
        <v>5106</v>
      </c>
      <c r="G1285" s="550" t="s">
        <v>2072</v>
      </c>
      <c r="I1285" s="165">
        <v>44399</v>
      </c>
      <c r="J1285" s="551" t="s">
        <v>799</v>
      </c>
      <c r="K1285" s="552" t="s">
        <v>2516</v>
      </c>
      <c r="L1285" s="130" t="s">
        <v>5107</v>
      </c>
    </row>
    <row r="1286" spans="1:12" ht="16.5" customHeight="1">
      <c r="A1286" s="186" t="s">
        <v>3071</v>
      </c>
      <c r="B1286" s="186">
        <v>100445734</v>
      </c>
      <c r="D1286" s="130" t="s">
        <v>5108</v>
      </c>
      <c r="E1286" s="130" t="s">
        <v>4387</v>
      </c>
      <c r="F1286" s="130" t="s">
        <v>3390</v>
      </c>
      <c r="G1286" s="550" t="s">
        <v>2144</v>
      </c>
      <c r="H1286" s="130" t="s">
        <v>5109</v>
      </c>
      <c r="I1286" s="165">
        <v>44404</v>
      </c>
      <c r="J1286" s="551" t="s">
        <v>67</v>
      </c>
      <c r="L1286" s="130" t="s">
        <v>5110</v>
      </c>
    </row>
    <row r="1287" spans="1:12" ht="16.5" customHeight="1">
      <c r="A1287" s="186" t="s">
        <v>3071</v>
      </c>
      <c r="B1287" s="186">
        <v>26871541</v>
      </c>
      <c r="C1287" s="549">
        <v>11768</v>
      </c>
      <c r="D1287" s="130" t="s">
        <v>4325</v>
      </c>
      <c r="E1287" s="130" t="s">
        <v>5111</v>
      </c>
      <c r="F1287" s="130" t="s">
        <v>5112</v>
      </c>
      <c r="G1287" s="550" t="s">
        <v>2313</v>
      </c>
      <c r="H1287" s="130" t="s">
        <v>5113</v>
      </c>
      <c r="I1287" s="165">
        <v>44419</v>
      </c>
      <c r="J1287" s="551" t="s">
        <v>799</v>
      </c>
      <c r="K1287" s="552" t="s">
        <v>2516</v>
      </c>
      <c r="L1287" s="130" t="s">
        <v>5094</v>
      </c>
    </row>
    <row r="1288" spans="1:12" ht="16.5" customHeight="1">
      <c r="A1288" s="186" t="s">
        <v>3071</v>
      </c>
      <c r="B1288" s="186">
        <v>80685977</v>
      </c>
      <c r="C1288" s="549">
        <v>21065</v>
      </c>
      <c r="D1288" s="130" t="s">
        <v>2627</v>
      </c>
      <c r="E1288" s="130" t="s">
        <v>5114</v>
      </c>
      <c r="F1288" s="130" t="s">
        <v>5115</v>
      </c>
      <c r="G1288" s="550" t="s">
        <v>2274</v>
      </c>
      <c r="I1288" s="165">
        <v>44419</v>
      </c>
      <c r="J1288" s="551" t="s">
        <v>799</v>
      </c>
      <c r="K1288" s="552" t="s">
        <v>2516</v>
      </c>
      <c r="L1288" s="130" t="s">
        <v>4982</v>
      </c>
    </row>
    <row r="1289" spans="1:12" ht="16.5" customHeight="1">
      <c r="A1289" s="186" t="s">
        <v>3071</v>
      </c>
      <c r="B1289" s="186">
        <v>38229373</v>
      </c>
      <c r="D1289" s="130" t="s">
        <v>5116</v>
      </c>
      <c r="E1289" s="130" t="s">
        <v>5117</v>
      </c>
      <c r="F1289" s="130" t="s">
        <v>5118</v>
      </c>
      <c r="G1289" s="550" t="s">
        <v>2064</v>
      </c>
      <c r="H1289" s="130" t="s">
        <v>5119</v>
      </c>
      <c r="I1289" s="165">
        <v>44419</v>
      </c>
      <c r="J1289" s="551" t="s">
        <v>799</v>
      </c>
      <c r="K1289" s="552" t="s">
        <v>2516</v>
      </c>
      <c r="L1289" s="130" t="s">
        <v>4982</v>
      </c>
    </row>
    <row r="1290" spans="1:12" ht="16.5" customHeight="1">
      <c r="A1290" s="186" t="s">
        <v>3071</v>
      </c>
      <c r="B1290" s="186">
        <v>90369885</v>
      </c>
      <c r="C1290" s="549">
        <v>14822</v>
      </c>
      <c r="D1290" s="130" t="s">
        <v>3103</v>
      </c>
      <c r="E1290" s="130" t="s">
        <v>5120</v>
      </c>
      <c r="F1290" s="130" t="s">
        <v>5121</v>
      </c>
      <c r="G1290" s="550" t="s">
        <v>4512</v>
      </c>
      <c r="I1290" s="165">
        <v>44419</v>
      </c>
      <c r="J1290" s="551" t="s">
        <v>799</v>
      </c>
      <c r="K1290" s="552" t="s">
        <v>2516</v>
      </c>
      <c r="L1290" s="130" t="s">
        <v>4982</v>
      </c>
    </row>
    <row r="1291" spans="1:12" ht="16.5" customHeight="1">
      <c r="A1291" s="186" t="s">
        <v>3071</v>
      </c>
      <c r="B1291" s="186">
        <v>89222764</v>
      </c>
      <c r="C1291" s="549">
        <v>13778</v>
      </c>
      <c r="D1291" s="130" t="s">
        <v>2828</v>
      </c>
      <c r="E1291" s="130" t="s">
        <v>5122</v>
      </c>
      <c r="F1291" s="130" t="s">
        <v>2837</v>
      </c>
      <c r="G1291" s="550" t="s">
        <v>2046</v>
      </c>
      <c r="I1291" s="165">
        <v>44419</v>
      </c>
      <c r="J1291" s="551" t="s">
        <v>799</v>
      </c>
      <c r="K1291" s="552" t="s">
        <v>2516</v>
      </c>
      <c r="L1291" s="130" t="s">
        <v>4982</v>
      </c>
    </row>
    <row r="1292" spans="1:12" ht="16.5" customHeight="1">
      <c r="A1292" s="186" t="s">
        <v>3071</v>
      </c>
      <c r="B1292" s="186">
        <v>86541570</v>
      </c>
      <c r="C1292" s="549">
        <v>20374</v>
      </c>
      <c r="D1292" s="130" t="s">
        <v>2586</v>
      </c>
      <c r="E1292" s="130" t="s">
        <v>5123</v>
      </c>
      <c r="F1292" s="130" t="s">
        <v>3488</v>
      </c>
      <c r="G1292" s="550" t="s">
        <v>2072</v>
      </c>
      <c r="H1292" s="130" t="s">
        <v>5124</v>
      </c>
      <c r="I1292" s="165">
        <v>44453</v>
      </c>
      <c r="J1292" s="551" t="s">
        <v>799</v>
      </c>
      <c r="K1292" s="552" t="s">
        <v>2516</v>
      </c>
      <c r="L1292" s="570" t="s">
        <v>5125</v>
      </c>
    </row>
    <row r="1293" spans="1:12" ht="16.5" customHeight="1">
      <c r="A1293" s="186" t="s">
        <v>2584</v>
      </c>
      <c r="B1293" s="186">
        <v>30269799</v>
      </c>
      <c r="C1293" s="549">
        <v>14715</v>
      </c>
      <c r="D1293" s="130" t="s">
        <v>2511</v>
      </c>
      <c r="E1293" s="130" t="s">
        <v>2512</v>
      </c>
      <c r="F1293" s="130" t="s">
        <v>2513</v>
      </c>
      <c r="G1293" s="550" t="s">
        <v>2046</v>
      </c>
      <c r="I1293" s="165">
        <v>44460</v>
      </c>
      <c r="J1293" s="551" t="s">
        <v>799</v>
      </c>
      <c r="K1293" s="552" t="s">
        <v>2516</v>
      </c>
      <c r="L1293" s="130" t="s">
        <v>5126</v>
      </c>
    </row>
    <row r="1294" spans="1:12" ht="16.5" customHeight="1">
      <c r="A1294" s="186" t="s">
        <v>2510</v>
      </c>
      <c r="B1294" s="186">
        <v>100691118</v>
      </c>
      <c r="C1294" s="549">
        <v>15140</v>
      </c>
      <c r="D1294" s="130" t="s">
        <v>3377</v>
      </c>
      <c r="E1294" s="130" t="s">
        <v>5127</v>
      </c>
      <c r="F1294" s="130" t="s">
        <v>5128</v>
      </c>
      <c r="G1294" s="550" t="s">
        <v>2046</v>
      </c>
      <c r="I1294" s="165">
        <v>44473</v>
      </c>
      <c r="J1294" s="551" t="s">
        <v>799</v>
      </c>
      <c r="K1294" s="552" t="s">
        <v>2516</v>
      </c>
      <c r="L1294" s="130" t="s">
        <v>5129</v>
      </c>
    </row>
    <row r="1295" spans="1:12" ht="16.5" customHeight="1">
      <c r="A1295" s="186" t="s">
        <v>2584</v>
      </c>
      <c r="B1295" s="186">
        <v>16379430</v>
      </c>
      <c r="C1295" s="549">
        <v>15188</v>
      </c>
      <c r="D1295" s="130" t="s">
        <v>2863</v>
      </c>
      <c r="E1295" s="130" t="s">
        <v>3250</v>
      </c>
      <c r="F1295" s="130" t="s">
        <v>5130</v>
      </c>
      <c r="G1295" s="550" t="s">
        <v>2046</v>
      </c>
      <c r="I1295" s="165">
        <v>44474</v>
      </c>
      <c r="J1295" s="551" t="s">
        <v>799</v>
      </c>
      <c r="K1295" s="552" t="s">
        <v>2516</v>
      </c>
      <c r="L1295" s="130" t="s">
        <v>5131</v>
      </c>
    </row>
    <row r="1296" spans="1:12" ht="16.5" customHeight="1">
      <c r="A1296" s="186" t="s">
        <v>2584</v>
      </c>
      <c r="B1296" s="186">
        <v>100377536</v>
      </c>
      <c r="C1296" s="549">
        <v>15519</v>
      </c>
      <c r="D1296" s="130" t="s">
        <v>5132</v>
      </c>
      <c r="E1296" s="130" t="s">
        <v>5133</v>
      </c>
      <c r="F1296" s="130" t="s">
        <v>5134</v>
      </c>
      <c r="G1296" s="550" t="s">
        <v>2046</v>
      </c>
      <c r="I1296" s="165">
        <v>44474</v>
      </c>
      <c r="J1296" s="551" t="s">
        <v>799</v>
      </c>
      <c r="K1296" s="552" t="s">
        <v>2516</v>
      </c>
      <c r="L1296" s="130" t="s">
        <v>5131</v>
      </c>
    </row>
    <row r="1297" spans="1:12" ht="16.5" customHeight="1">
      <c r="A1297" s="186" t="s">
        <v>2584</v>
      </c>
      <c r="B1297" s="186">
        <v>5594619</v>
      </c>
      <c r="C1297" s="549">
        <v>17565</v>
      </c>
      <c r="D1297" s="130" t="s">
        <v>5135</v>
      </c>
      <c r="E1297" s="130" t="s">
        <v>5136</v>
      </c>
      <c r="F1297" s="130" t="s">
        <v>5137</v>
      </c>
      <c r="G1297" s="550" t="s">
        <v>2395</v>
      </c>
      <c r="H1297" s="130" t="s">
        <v>5138</v>
      </c>
      <c r="I1297" s="165">
        <v>44474</v>
      </c>
      <c r="J1297" s="551" t="s">
        <v>799</v>
      </c>
      <c r="K1297" s="552" t="s">
        <v>2516</v>
      </c>
      <c r="L1297" s="570" t="s">
        <v>5125</v>
      </c>
    </row>
    <row r="1298" spans="1:12" ht="16.5" customHeight="1">
      <c r="A1298" s="186" t="s">
        <v>3071</v>
      </c>
      <c r="B1298" s="186">
        <v>7637779</v>
      </c>
      <c r="D1298" s="130" t="s">
        <v>2551</v>
      </c>
      <c r="E1298" s="130" t="s">
        <v>5139</v>
      </c>
      <c r="F1298" s="130" t="s">
        <v>5140</v>
      </c>
      <c r="G1298" s="550" t="s">
        <v>2139</v>
      </c>
      <c r="I1298" s="165">
        <v>44476</v>
      </c>
      <c r="J1298" s="551" t="s">
        <v>799</v>
      </c>
      <c r="K1298" s="552" t="s">
        <v>2516</v>
      </c>
      <c r="L1298" s="130" t="s">
        <v>5094</v>
      </c>
    </row>
    <row r="1299" spans="1:12" ht="16.5" customHeight="1">
      <c r="A1299" s="186" t="s">
        <v>3071</v>
      </c>
      <c r="B1299" s="186">
        <v>92177120</v>
      </c>
      <c r="C1299" s="549">
        <v>19690</v>
      </c>
      <c r="D1299" s="130" t="s">
        <v>5141</v>
      </c>
      <c r="E1299" s="130" t="s">
        <v>5142</v>
      </c>
      <c r="F1299" s="130" t="s">
        <v>5143</v>
      </c>
      <c r="G1299" s="550" t="s">
        <v>2072</v>
      </c>
      <c r="I1299" s="165">
        <v>44481</v>
      </c>
      <c r="J1299" s="551" t="s">
        <v>799</v>
      </c>
      <c r="K1299" s="552" t="s">
        <v>2516</v>
      </c>
      <c r="L1299" s="130" t="s">
        <v>5094</v>
      </c>
    </row>
    <row r="1300" spans="1:12" ht="16.5" customHeight="1">
      <c r="A1300" s="186" t="s">
        <v>3071</v>
      </c>
      <c r="B1300" s="186">
        <v>19305119</v>
      </c>
      <c r="D1300" s="130" t="s">
        <v>5144</v>
      </c>
      <c r="E1300" s="130" t="s">
        <v>5145</v>
      </c>
      <c r="F1300" s="130" t="s">
        <v>5146</v>
      </c>
      <c r="G1300" s="550" t="s">
        <v>2413</v>
      </c>
      <c r="I1300" s="165">
        <v>44487</v>
      </c>
      <c r="J1300" s="551" t="s">
        <v>799</v>
      </c>
      <c r="K1300" s="552" t="s">
        <v>2516</v>
      </c>
      <c r="L1300" s="130" t="s">
        <v>5094</v>
      </c>
    </row>
    <row r="1301" spans="1:12" ht="16.5" customHeight="1">
      <c r="A1301" s="186" t="s">
        <v>3071</v>
      </c>
      <c r="B1301" s="186">
        <v>79514378</v>
      </c>
      <c r="D1301" s="130" t="s">
        <v>3411</v>
      </c>
      <c r="E1301" s="130" t="s">
        <v>5147</v>
      </c>
      <c r="F1301" s="130" t="s">
        <v>5148</v>
      </c>
      <c r="G1301" s="550" t="s">
        <v>2081</v>
      </c>
      <c r="I1301" s="165">
        <v>44488</v>
      </c>
      <c r="J1301" s="551" t="s">
        <v>799</v>
      </c>
      <c r="K1301" s="552" t="s">
        <v>2516</v>
      </c>
      <c r="L1301" s="130" t="s">
        <v>5094</v>
      </c>
    </row>
    <row r="1302" spans="1:12" ht="16.5" customHeight="1">
      <c r="A1302" s="186" t="s">
        <v>3071</v>
      </c>
      <c r="B1302" s="186">
        <v>100773299</v>
      </c>
      <c r="C1302" s="549">
        <v>24828</v>
      </c>
      <c r="D1302" s="130" t="s">
        <v>5149</v>
      </c>
      <c r="E1302" s="130" t="s">
        <v>5150</v>
      </c>
      <c r="F1302" s="130" t="s">
        <v>4489</v>
      </c>
      <c r="G1302" s="550" t="s">
        <v>2052</v>
      </c>
      <c r="I1302" s="165">
        <v>44501</v>
      </c>
      <c r="J1302" s="551" t="s">
        <v>799</v>
      </c>
      <c r="K1302" s="552" t="s">
        <v>2516</v>
      </c>
      <c r="L1302" s="570" t="s">
        <v>5151</v>
      </c>
    </row>
    <row r="1303" spans="1:12" ht="16.5" customHeight="1">
      <c r="A1303" s="186" t="s">
        <v>3071</v>
      </c>
      <c r="B1303" s="186">
        <v>11410628</v>
      </c>
      <c r="C1303" s="549">
        <v>20483</v>
      </c>
      <c r="D1303" s="130" t="s">
        <v>3235</v>
      </c>
      <c r="E1303" s="130" t="s">
        <v>5152</v>
      </c>
      <c r="F1303" s="130" t="s">
        <v>5153</v>
      </c>
      <c r="G1303" s="550" t="s">
        <v>2465</v>
      </c>
      <c r="I1303" s="165">
        <v>44502</v>
      </c>
      <c r="J1303" s="551" t="s">
        <v>799</v>
      </c>
      <c r="K1303" s="552" t="s">
        <v>2516</v>
      </c>
      <c r="L1303" s="570" t="s">
        <v>5154</v>
      </c>
    </row>
    <row r="1304" spans="1:12" ht="16.5" customHeight="1">
      <c r="A1304" s="186" t="s">
        <v>3071</v>
      </c>
      <c r="B1304" s="186">
        <v>31256431</v>
      </c>
      <c r="C1304" s="549">
        <v>13992</v>
      </c>
      <c r="D1304" s="130" t="s">
        <v>5102</v>
      </c>
      <c r="E1304" s="130" t="s">
        <v>5155</v>
      </c>
      <c r="F1304" s="130" t="s">
        <v>2616</v>
      </c>
      <c r="G1304" s="550" t="s">
        <v>2069</v>
      </c>
      <c r="I1304" s="165">
        <v>44526</v>
      </c>
      <c r="J1304" s="551" t="s">
        <v>799</v>
      </c>
      <c r="K1304" s="552" t="s">
        <v>73</v>
      </c>
      <c r="L1304" s="130" t="s">
        <v>5156</v>
      </c>
    </row>
    <row r="1305" spans="1:12" ht="16.5" customHeight="1">
      <c r="A1305" s="186" t="s">
        <v>3071</v>
      </c>
      <c r="B1305" s="186">
        <v>36349082</v>
      </c>
      <c r="C1305" s="549">
        <v>18540</v>
      </c>
      <c r="D1305" s="130" t="s">
        <v>3411</v>
      </c>
      <c r="E1305" s="130" t="s">
        <v>5157</v>
      </c>
      <c r="F1305" s="130" t="s">
        <v>5158</v>
      </c>
      <c r="G1305" s="550" t="s">
        <v>2059</v>
      </c>
      <c r="H1305" s="130" t="s">
        <v>5159</v>
      </c>
      <c r="I1305" s="165">
        <v>44537</v>
      </c>
      <c r="J1305" s="551" t="s">
        <v>799</v>
      </c>
      <c r="K1305" s="552" t="s">
        <v>2516</v>
      </c>
      <c r="L1305" s="130" t="s">
        <v>5131</v>
      </c>
    </row>
    <row r="1306" spans="1:12" ht="16.5" customHeight="1">
      <c r="A1306" s="186" t="s">
        <v>3071</v>
      </c>
      <c r="B1306" s="186">
        <v>68229541</v>
      </c>
      <c r="C1306" s="549">
        <v>17361</v>
      </c>
      <c r="D1306" s="130" t="s">
        <v>5160</v>
      </c>
      <c r="E1306" s="130" t="s">
        <v>5161</v>
      </c>
      <c r="F1306" s="130" t="s">
        <v>2534</v>
      </c>
      <c r="G1306" s="550" t="s">
        <v>2081</v>
      </c>
      <c r="I1306" s="165">
        <v>44537</v>
      </c>
      <c r="J1306" s="551" t="s">
        <v>799</v>
      </c>
      <c r="K1306" s="552" t="s">
        <v>73</v>
      </c>
      <c r="L1306" s="130" t="s">
        <v>5156</v>
      </c>
    </row>
    <row r="1307" spans="1:12" ht="16.5" customHeight="1">
      <c r="A1307" s="186" t="s">
        <v>3071</v>
      </c>
      <c r="B1307" s="186">
        <v>100789387</v>
      </c>
      <c r="D1307" s="130" t="s">
        <v>2771</v>
      </c>
      <c r="E1307" s="130" t="s">
        <v>5162</v>
      </c>
      <c r="F1307" s="130" t="s">
        <v>5163</v>
      </c>
      <c r="G1307" s="550" t="s">
        <v>2106</v>
      </c>
      <c r="I1307" s="165">
        <v>44551</v>
      </c>
      <c r="J1307" s="551" t="s">
        <v>799</v>
      </c>
      <c r="K1307" s="552" t="s">
        <v>2516</v>
      </c>
      <c r="L1307" s="130" t="s">
        <v>5164</v>
      </c>
    </row>
    <row r="1308" spans="1:12" ht="16.5" customHeight="1">
      <c r="A1308" s="186" t="s">
        <v>2584</v>
      </c>
      <c r="B1308" s="186">
        <v>1078971</v>
      </c>
      <c r="C1308" s="549">
        <v>16949</v>
      </c>
      <c r="D1308" s="130" t="s">
        <v>2541</v>
      </c>
      <c r="E1308" s="130" t="s">
        <v>2721</v>
      </c>
      <c r="F1308" s="130" t="s">
        <v>5165</v>
      </c>
      <c r="G1308" s="550" t="s">
        <v>2240</v>
      </c>
      <c r="I1308" s="165">
        <v>44557</v>
      </c>
      <c r="J1308" s="551" t="s">
        <v>799</v>
      </c>
      <c r="K1308" s="552" t="s">
        <v>2516</v>
      </c>
      <c r="L1308" s="130" t="s">
        <v>5164</v>
      </c>
    </row>
    <row r="1309" spans="1:12" ht="16.5" customHeight="1">
      <c r="A1309" s="186" t="s">
        <v>3071</v>
      </c>
      <c r="B1309" s="186">
        <v>100588389</v>
      </c>
      <c r="D1309" s="130" t="s">
        <v>3095</v>
      </c>
      <c r="E1309" s="130" t="s">
        <v>5166</v>
      </c>
      <c r="F1309" s="130" t="s">
        <v>5167</v>
      </c>
      <c r="G1309" s="550" t="s">
        <v>2219</v>
      </c>
      <c r="I1309" s="165">
        <v>44580</v>
      </c>
      <c r="J1309" s="551" t="s">
        <v>799</v>
      </c>
      <c r="K1309" s="552" t="s">
        <v>2516</v>
      </c>
      <c r="L1309" s="130" t="s">
        <v>5168</v>
      </c>
    </row>
    <row r="1310" spans="1:12" ht="16.5" customHeight="1">
      <c r="A1310" s="186" t="s">
        <v>3071</v>
      </c>
      <c r="B1310" s="186">
        <v>63848402</v>
      </c>
      <c r="C1310" s="549">
        <v>17009</v>
      </c>
      <c r="D1310" s="130" t="s">
        <v>3103</v>
      </c>
      <c r="E1310" s="130" t="s">
        <v>5169</v>
      </c>
      <c r="F1310" s="130" t="s">
        <v>5170</v>
      </c>
      <c r="G1310" s="550" t="s">
        <v>2046</v>
      </c>
      <c r="I1310" s="165">
        <v>44582</v>
      </c>
      <c r="J1310" s="551" t="s">
        <v>799</v>
      </c>
      <c r="K1310" s="552" t="s">
        <v>2516</v>
      </c>
      <c r="L1310" s="130" t="s">
        <v>5171</v>
      </c>
    </row>
    <row r="1311" spans="1:12" ht="16.5" customHeight="1">
      <c r="A1311" s="186" t="s">
        <v>3071</v>
      </c>
      <c r="B1311" s="186">
        <v>96603873</v>
      </c>
      <c r="C1311" s="549">
        <v>9414</v>
      </c>
      <c r="D1311" s="130" t="s">
        <v>5172</v>
      </c>
      <c r="E1311" s="130" t="s">
        <v>3318</v>
      </c>
      <c r="F1311" s="130" t="s">
        <v>3004</v>
      </c>
      <c r="G1311" s="550" t="s">
        <v>2112</v>
      </c>
      <c r="I1311" s="165">
        <v>44593</v>
      </c>
      <c r="J1311" s="551" t="s">
        <v>799</v>
      </c>
      <c r="K1311" s="552" t="s">
        <v>2516</v>
      </c>
      <c r="L1311" s="130" t="s">
        <v>5173</v>
      </c>
    </row>
    <row r="1312" spans="1:12" ht="16.5" customHeight="1">
      <c r="L1312" s="130" t="s">
        <v>88</v>
      </c>
    </row>
    <row r="1314" spans="4:4" ht="16.5" customHeight="1">
      <c r="D1314" s="130" t="s">
        <v>88</v>
      </c>
    </row>
  </sheetData>
  <sortState xmlns:xlrd2="http://schemas.microsoft.com/office/spreadsheetml/2017/richdata2" ref="A665:B680">
    <sortCondition ref="B665:B680"/>
  </sortState>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3E40AA-2789-426E-83BC-76D51A81ADA0}">
  <dimension ref="A1:W87"/>
  <sheetViews>
    <sheetView showGridLines="0" topLeftCell="A18" workbookViewId="0">
      <selection activeCell="G35" sqref="G35"/>
    </sheetView>
  </sheetViews>
  <sheetFormatPr defaultRowHeight="14.45"/>
  <cols>
    <col min="1" max="1" width="31.5703125" style="22" customWidth="1"/>
    <col min="2" max="2" width="7.7109375" style="22" customWidth="1"/>
    <col min="3" max="3" width="12.7109375" style="48" customWidth="1"/>
    <col min="4" max="4" width="37.7109375" style="22" bestFit="1" customWidth="1"/>
    <col min="5" max="9" width="17.28515625" style="45" customWidth="1"/>
    <col min="10" max="10" width="6.85546875" style="329" customWidth="1"/>
    <col min="11" max="11" width="1.42578125" style="48" customWidth="1"/>
    <col min="12" max="22" width="13.85546875" style="48" customWidth="1"/>
    <col min="23" max="23" width="13.85546875" customWidth="1"/>
  </cols>
  <sheetData>
    <row r="1" spans="1:23" ht="15" thickBot="1">
      <c r="A1" s="30"/>
      <c r="B1" s="30"/>
      <c r="C1" s="31"/>
      <c r="D1" s="30"/>
      <c r="E1" s="42" t="s">
        <v>3</v>
      </c>
      <c r="F1" s="42" t="s">
        <v>2</v>
      </c>
      <c r="G1" s="42" t="s">
        <v>1</v>
      </c>
      <c r="H1" s="42"/>
      <c r="I1" s="42" t="s">
        <v>5174</v>
      </c>
      <c r="J1" s="42" t="s">
        <v>5175</v>
      </c>
      <c r="K1" s="30"/>
      <c r="L1" s="31" t="s">
        <v>5176</v>
      </c>
      <c r="M1" s="31" t="s">
        <v>5177</v>
      </c>
      <c r="N1" s="31" t="s">
        <v>5178</v>
      </c>
      <c r="O1" s="31" t="s">
        <v>5179</v>
      </c>
      <c r="P1" s="31" t="s">
        <v>5180</v>
      </c>
      <c r="Q1" s="31" t="s">
        <v>5181</v>
      </c>
      <c r="R1" s="31" t="s">
        <v>5182</v>
      </c>
      <c r="S1" s="31" t="s">
        <v>5183</v>
      </c>
      <c r="T1" s="31" t="s">
        <v>5184</v>
      </c>
      <c r="U1" s="31" t="s">
        <v>5185</v>
      </c>
      <c r="V1" s="31" t="s">
        <v>2537</v>
      </c>
      <c r="W1" s="31" t="s">
        <v>3249</v>
      </c>
    </row>
    <row r="2" spans="1:23" ht="15" thickBot="1">
      <c r="C2" s="65" t="s">
        <v>5186</v>
      </c>
      <c r="D2" s="66"/>
      <c r="E2" s="67"/>
      <c r="F2" s="67"/>
      <c r="G2" s="67"/>
      <c r="H2" s="67"/>
      <c r="I2" s="67"/>
      <c r="J2" s="67"/>
      <c r="K2" s="83"/>
      <c r="L2" s="84"/>
      <c r="M2" s="84"/>
      <c r="N2" s="84"/>
      <c r="O2" s="84"/>
      <c r="P2" s="84"/>
      <c r="Q2" s="84"/>
      <c r="R2" s="84"/>
      <c r="S2" s="84"/>
      <c r="T2" s="84"/>
      <c r="U2" s="84"/>
      <c r="V2" s="84"/>
      <c r="W2" s="86"/>
    </row>
    <row r="3" spans="1:23">
      <c r="A3" s="44" t="s">
        <v>5187</v>
      </c>
      <c r="C3" s="54" t="s">
        <v>5188</v>
      </c>
      <c r="D3" s="49"/>
      <c r="E3" s="432">
        <v>3000000</v>
      </c>
      <c r="F3" s="466">
        <v>3340000</v>
      </c>
      <c r="G3" s="432">
        <f>SUM(G4:G12)</f>
        <v>3340000</v>
      </c>
      <c r="H3" s="625"/>
      <c r="I3" s="623">
        <f>H3-G3</f>
        <v>-3340000</v>
      </c>
      <c r="J3" s="432"/>
      <c r="K3" s="95"/>
      <c r="L3" s="628">
        <f t="shared" ref="L3:W3" si="0">SUM(L4)+SUM(L5:L12)</f>
        <v>315000</v>
      </c>
      <c r="M3" s="628">
        <f t="shared" si="0"/>
        <v>150000</v>
      </c>
      <c r="N3" s="628">
        <f t="shared" si="0"/>
        <v>160000</v>
      </c>
      <c r="O3" s="628">
        <f t="shared" si="0"/>
        <v>650000</v>
      </c>
      <c r="P3" s="628">
        <f t="shared" si="0"/>
        <v>330000</v>
      </c>
      <c r="Q3" s="628">
        <f t="shared" si="0"/>
        <v>650000</v>
      </c>
      <c r="R3" s="628">
        <f t="shared" si="0"/>
        <v>400000</v>
      </c>
      <c r="S3" s="628">
        <f t="shared" si="0"/>
        <v>200000</v>
      </c>
      <c r="T3" s="628">
        <f t="shared" si="0"/>
        <v>365000</v>
      </c>
      <c r="U3" s="628">
        <f t="shared" si="0"/>
        <v>195000</v>
      </c>
      <c r="V3" s="628">
        <f t="shared" si="0"/>
        <v>65000</v>
      </c>
      <c r="W3" s="628">
        <f t="shared" si="0"/>
        <v>205000</v>
      </c>
    </row>
    <row r="4" spans="1:23">
      <c r="A4" s="73">
        <f>G4</f>
        <v>2250000</v>
      </c>
      <c r="C4" s="2" t="s">
        <v>5189</v>
      </c>
      <c r="D4" s="22" t="s">
        <v>5190</v>
      </c>
      <c r="E4" s="58">
        <v>2250000</v>
      </c>
      <c r="F4" s="336">
        <v>2250000</v>
      </c>
      <c r="G4" s="58">
        <v>2250000</v>
      </c>
      <c r="H4" s="626"/>
      <c r="I4" s="624">
        <f>H4-SUM(L4:W4)</f>
        <v>-2595000</v>
      </c>
      <c r="J4" s="58"/>
      <c r="K4" s="95"/>
      <c r="L4" s="228">
        <v>175000</v>
      </c>
      <c r="M4" s="229">
        <v>140000</v>
      </c>
      <c r="N4" s="222">
        <v>150000</v>
      </c>
      <c r="O4" s="229">
        <v>400000</v>
      </c>
      <c r="P4" s="222">
        <v>230000</v>
      </c>
      <c r="Q4" s="229">
        <v>400000</v>
      </c>
      <c r="R4" s="222">
        <v>300000</v>
      </c>
      <c r="S4" s="229">
        <v>100000</v>
      </c>
      <c r="T4" s="222">
        <v>265000</v>
      </c>
      <c r="U4" s="229">
        <v>165000</v>
      </c>
      <c r="V4" s="222">
        <v>65000</v>
      </c>
      <c r="W4" s="228">
        <v>205000</v>
      </c>
    </row>
    <row r="5" spans="1:23">
      <c r="A5" s="47" t="s">
        <v>5191</v>
      </c>
      <c r="C5" s="2" t="s">
        <v>5192</v>
      </c>
      <c r="D5" s="22" t="s">
        <v>5193</v>
      </c>
      <c r="E5" s="58">
        <v>750000</v>
      </c>
      <c r="F5" s="336">
        <v>950000</v>
      </c>
      <c r="G5" s="58">
        <v>950000</v>
      </c>
      <c r="H5" s="626"/>
      <c r="I5" s="624">
        <f>H5-G5</f>
        <v>-950000</v>
      </c>
      <c r="J5" s="58"/>
      <c r="K5" s="95"/>
      <c r="L5" s="228"/>
      <c r="M5" s="229">
        <v>10000</v>
      </c>
      <c r="N5" s="222">
        <v>10000</v>
      </c>
      <c r="O5" s="229">
        <v>250000</v>
      </c>
      <c r="P5" s="222">
        <v>100000</v>
      </c>
      <c r="Q5" s="229">
        <v>250000</v>
      </c>
      <c r="R5" s="222">
        <v>100000</v>
      </c>
      <c r="S5" s="229">
        <v>100000</v>
      </c>
      <c r="T5" s="222">
        <v>100000</v>
      </c>
      <c r="U5" s="229">
        <v>30000</v>
      </c>
      <c r="V5" s="222"/>
      <c r="W5" s="228"/>
    </row>
    <row r="6" spans="1:23" ht="15" thickBot="1">
      <c r="A6" s="79">
        <f>H4</f>
        <v>0</v>
      </c>
      <c r="C6" s="2" t="s">
        <v>5194</v>
      </c>
      <c r="D6" s="22" t="s">
        <v>5195</v>
      </c>
      <c r="E6" s="58"/>
      <c r="F6" s="336"/>
      <c r="G6" s="58"/>
      <c r="H6" s="626"/>
      <c r="I6" s="624"/>
      <c r="J6" s="58"/>
      <c r="K6" s="95"/>
      <c r="L6" s="228"/>
      <c r="M6" s="229"/>
      <c r="N6" s="222"/>
      <c r="O6" s="229"/>
      <c r="P6" s="222"/>
      <c r="Q6" s="229"/>
      <c r="R6" s="222"/>
      <c r="S6" s="229"/>
      <c r="T6" s="222"/>
      <c r="U6" s="229"/>
      <c r="V6" s="222"/>
      <c r="W6" s="228"/>
    </row>
    <row r="7" spans="1:23">
      <c r="C7" s="2" t="s">
        <v>5196</v>
      </c>
      <c r="D7" s="22" t="s">
        <v>5197</v>
      </c>
      <c r="E7" s="58"/>
      <c r="F7" s="336"/>
      <c r="G7" s="58"/>
      <c r="H7" s="626"/>
      <c r="I7" s="624"/>
      <c r="J7" s="58"/>
      <c r="K7" s="95"/>
      <c r="L7" s="228"/>
      <c r="M7" s="229"/>
      <c r="N7" s="222"/>
      <c r="O7" s="229"/>
      <c r="P7" s="222"/>
      <c r="Q7" s="229"/>
      <c r="R7" s="222"/>
      <c r="S7" s="229"/>
      <c r="T7" s="222"/>
      <c r="U7" s="229"/>
      <c r="V7" s="222"/>
      <c r="W7" s="228"/>
    </row>
    <row r="8" spans="1:23" ht="15" thickBot="1">
      <c r="C8" s="2" t="s">
        <v>5198</v>
      </c>
      <c r="D8" s="22" t="s">
        <v>5199</v>
      </c>
      <c r="E8" s="58"/>
      <c r="F8" s="336"/>
      <c r="G8" s="58"/>
      <c r="H8" s="626"/>
      <c r="I8" s="624"/>
      <c r="J8" s="58"/>
      <c r="K8" s="95"/>
      <c r="L8" s="228"/>
      <c r="M8" s="229"/>
      <c r="N8" s="222"/>
      <c r="O8" s="229"/>
      <c r="P8" s="222"/>
      <c r="Q8" s="229"/>
      <c r="R8" s="222"/>
      <c r="S8" s="229"/>
      <c r="T8" s="222"/>
      <c r="U8" s="229"/>
      <c r="V8" s="222"/>
      <c r="W8" s="228"/>
    </row>
    <row r="9" spans="1:23">
      <c r="A9" s="44" t="s">
        <v>5200</v>
      </c>
      <c r="C9" s="2" t="s">
        <v>5201</v>
      </c>
      <c r="D9" s="22" t="s">
        <v>5202</v>
      </c>
      <c r="E9" s="58"/>
      <c r="F9" s="336"/>
      <c r="G9" s="58"/>
      <c r="H9" s="626"/>
      <c r="I9" s="624"/>
      <c r="J9" s="58"/>
      <c r="K9" s="95"/>
      <c r="L9" s="228"/>
      <c r="M9" s="229"/>
      <c r="N9" s="222"/>
      <c r="O9" s="229"/>
      <c r="P9" s="222"/>
      <c r="Q9" s="229"/>
      <c r="R9" s="222"/>
      <c r="S9" s="229"/>
      <c r="T9" s="222"/>
      <c r="U9" s="229"/>
      <c r="V9" s="222"/>
      <c r="W9" s="228"/>
    </row>
    <row r="10" spans="1:23">
      <c r="A10" s="73">
        <f>G14</f>
        <v>284774.24</v>
      </c>
      <c r="C10" s="2" t="s">
        <v>5203</v>
      </c>
      <c r="D10" s="22" t="s">
        <v>5204</v>
      </c>
      <c r="E10" s="58"/>
      <c r="F10" s="336"/>
      <c r="G10" s="58"/>
      <c r="H10" s="626"/>
      <c r="I10" s="624"/>
      <c r="J10" s="58"/>
      <c r="K10" s="95"/>
      <c r="L10" s="228"/>
      <c r="M10" s="229"/>
      <c r="N10" s="222"/>
      <c r="O10" s="229"/>
      <c r="P10" s="222"/>
      <c r="Q10" s="229"/>
      <c r="R10" s="222"/>
      <c r="S10" s="229"/>
      <c r="T10" s="222"/>
      <c r="U10" s="229"/>
      <c r="V10" s="222"/>
      <c r="W10" s="228"/>
    </row>
    <row r="11" spans="1:23">
      <c r="A11" s="47" t="s">
        <v>5205</v>
      </c>
      <c r="C11" s="2" t="s">
        <v>5206</v>
      </c>
      <c r="D11" s="22" t="s">
        <v>5207</v>
      </c>
      <c r="E11" s="58"/>
      <c r="F11" s="336"/>
      <c r="G11" s="58"/>
      <c r="H11" s="626"/>
      <c r="I11" s="624"/>
      <c r="J11" s="58"/>
      <c r="K11" s="95"/>
      <c r="L11" s="228"/>
      <c r="M11" s="229"/>
      <c r="N11" s="222"/>
      <c r="O11" s="229"/>
      <c r="P11" s="222"/>
      <c r="Q11" s="229"/>
      <c r="R11" s="222"/>
      <c r="S11" s="229"/>
      <c r="T11" s="222"/>
      <c r="U11" s="229"/>
      <c r="V11" s="222"/>
      <c r="W11" s="228"/>
    </row>
    <row r="12" spans="1:23" ht="15" thickBot="1">
      <c r="A12" s="79">
        <f>H14</f>
        <v>96798</v>
      </c>
      <c r="C12" s="2" t="s">
        <v>5208</v>
      </c>
      <c r="D12" s="22" t="s">
        <v>5209</v>
      </c>
      <c r="E12" s="60">
        <v>0</v>
      </c>
      <c r="F12" s="336">
        <v>120000</v>
      </c>
      <c r="G12" s="60">
        <v>140000</v>
      </c>
      <c r="H12" s="627"/>
      <c r="I12" s="624">
        <f>H12-G12</f>
        <v>-140000</v>
      </c>
      <c r="J12" s="58"/>
      <c r="K12" s="95"/>
      <c r="L12" s="228">
        <v>140000</v>
      </c>
      <c r="M12" s="229"/>
      <c r="N12" s="222"/>
      <c r="O12" s="229"/>
      <c r="P12" s="222"/>
      <c r="Q12" s="229"/>
      <c r="R12" s="222"/>
      <c r="S12" s="229"/>
      <c r="T12" s="222"/>
      <c r="U12" s="229"/>
      <c r="V12" s="222"/>
      <c r="W12" s="228"/>
    </row>
    <row r="13" spans="1:23" ht="15" thickBot="1">
      <c r="C13" s="69" t="s">
        <v>5210</v>
      </c>
      <c r="D13" s="70"/>
      <c r="E13" s="71"/>
      <c r="F13" s="71"/>
      <c r="G13" s="71"/>
      <c r="H13" s="71"/>
      <c r="I13" s="71"/>
      <c r="J13" s="71"/>
      <c r="K13" s="32"/>
      <c r="L13" s="82"/>
      <c r="M13" s="82"/>
      <c r="N13" s="82"/>
      <c r="O13" s="82"/>
      <c r="P13" s="82"/>
      <c r="Q13" s="82"/>
      <c r="R13" s="82"/>
      <c r="S13" s="82"/>
      <c r="T13" s="82"/>
      <c r="U13" s="82"/>
      <c r="V13" s="82"/>
      <c r="W13" s="88"/>
    </row>
    <row r="14" spans="1:23">
      <c r="C14" s="55" t="s">
        <v>5188</v>
      </c>
      <c r="D14" s="51"/>
      <c r="E14" s="162">
        <v>215531.51999999999</v>
      </c>
      <c r="F14" s="622">
        <v>255750.47999999998</v>
      </c>
      <c r="G14" s="467">
        <f>SUM(G15:G80)</f>
        <v>284774.24</v>
      </c>
      <c r="H14" s="162">
        <f>SUM(H15:H80)</f>
        <v>96798</v>
      </c>
      <c r="I14" s="162">
        <f>G14-H14</f>
        <v>187976.24</v>
      </c>
      <c r="J14" s="162"/>
      <c r="K14" s="95"/>
      <c r="L14" s="628">
        <v>23847.279999999999</v>
      </c>
      <c r="M14" s="629">
        <v>15938</v>
      </c>
      <c r="N14" s="630">
        <v>16786.5</v>
      </c>
      <c r="O14" s="629">
        <v>29784.25</v>
      </c>
      <c r="P14" s="630">
        <v>33396</v>
      </c>
      <c r="Q14" s="629">
        <v>13550.5</v>
      </c>
      <c r="R14" s="630">
        <v>45608.5</v>
      </c>
      <c r="S14" s="629">
        <v>19995.25</v>
      </c>
      <c r="T14" s="630">
        <v>8721</v>
      </c>
      <c r="U14" s="629">
        <v>22625.5</v>
      </c>
      <c r="V14" s="630">
        <v>6218</v>
      </c>
      <c r="W14" s="631">
        <v>4700.5</v>
      </c>
    </row>
    <row r="15" spans="1:23">
      <c r="C15" s="2">
        <v>51000</v>
      </c>
      <c r="D15" s="22" t="s">
        <v>5211</v>
      </c>
      <c r="E15" s="58">
        <v>5435</v>
      </c>
      <c r="F15" s="286">
        <v>5435</v>
      </c>
      <c r="G15" s="58">
        <v>5435</v>
      </c>
      <c r="H15" s="286"/>
      <c r="I15" s="286">
        <f>G15-H15</f>
        <v>5435</v>
      </c>
      <c r="J15" s="223"/>
      <c r="K15" s="95"/>
      <c r="L15" s="228">
        <v>900</v>
      </c>
      <c r="M15" s="229"/>
      <c r="N15" s="222"/>
      <c r="O15" s="229">
        <v>900</v>
      </c>
      <c r="P15" s="222"/>
      <c r="Q15" s="229">
        <v>1835</v>
      </c>
      <c r="R15" s="222">
        <v>900</v>
      </c>
      <c r="S15" s="229"/>
      <c r="T15" s="222"/>
      <c r="U15" s="229">
        <v>900</v>
      </c>
      <c r="V15" s="222"/>
      <c r="W15" s="228"/>
    </row>
    <row r="16" spans="1:23">
      <c r="C16" s="2">
        <v>51100</v>
      </c>
      <c r="D16" s="22" t="s">
        <v>5212</v>
      </c>
      <c r="E16" s="58"/>
      <c r="F16" s="286"/>
      <c r="G16" s="58"/>
      <c r="H16" s="286"/>
      <c r="I16" s="286"/>
      <c r="J16" s="223"/>
      <c r="K16" s="95"/>
      <c r="L16" s="228"/>
      <c r="M16" s="229"/>
      <c r="N16" s="222"/>
      <c r="O16" s="229"/>
      <c r="P16" s="222"/>
      <c r="Q16" s="229"/>
      <c r="R16" s="222"/>
      <c r="S16" s="229"/>
      <c r="T16" s="222"/>
      <c r="U16" s="229"/>
      <c r="V16" s="222"/>
      <c r="W16" s="228"/>
    </row>
    <row r="17" spans="3:23">
      <c r="C17" s="2">
        <v>51200</v>
      </c>
      <c r="D17" s="22" t="s">
        <v>5213</v>
      </c>
      <c r="E17" s="58"/>
      <c r="F17" s="286"/>
      <c r="G17" s="58"/>
      <c r="H17" s="286">
        <v>2931</v>
      </c>
      <c r="I17" s="286"/>
      <c r="J17" s="223"/>
      <c r="K17" s="95"/>
      <c r="L17" s="228"/>
      <c r="M17" s="229"/>
      <c r="N17" s="222"/>
      <c r="O17" s="229"/>
      <c r="P17" s="222"/>
      <c r="Q17" s="229"/>
      <c r="R17" s="222"/>
      <c r="S17" s="229"/>
      <c r="T17" s="222"/>
      <c r="U17" s="229"/>
      <c r="V17" s="222"/>
      <c r="W17" s="228"/>
    </row>
    <row r="18" spans="3:23">
      <c r="C18" s="2">
        <v>51300</v>
      </c>
      <c r="D18" s="22" t="s">
        <v>5214</v>
      </c>
      <c r="E18" s="58"/>
      <c r="F18" s="286">
        <v>8415</v>
      </c>
      <c r="G18" s="58">
        <v>19796</v>
      </c>
      <c r="H18" s="286"/>
      <c r="I18" s="286"/>
      <c r="J18" s="223"/>
      <c r="K18" s="95"/>
      <c r="L18" s="228"/>
      <c r="M18" s="229"/>
      <c r="N18" s="222"/>
      <c r="O18" s="229"/>
      <c r="P18" s="222"/>
      <c r="Q18" s="229"/>
      <c r="R18" s="222"/>
      <c r="S18" s="229"/>
      <c r="T18" s="222"/>
      <c r="U18" s="229"/>
      <c r="V18" s="222"/>
      <c r="W18" s="228"/>
    </row>
    <row r="19" spans="3:23">
      <c r="C19" s="2">
        <v>51400</v>
      </c>
      <c r="D19" s="22" t="s">
        <v>5215</v>
      </c>
      <c r="E19" s="58"/>
      <c r="F19" s="286"/>
      <c r="G19" s="58"/>
      <c r="H19" s="286"/>
      <c r="I19" s="286"/>
      <c r="J19" s="223"/>
      <c r="K19" s="95"/>
      <c r="L19" s="228"/>
      <c r="M19" s="229"/>
      <c r="N19" s="222"/>
      <c r="O19" s="229"/>
      <c r="P19" s="222"/>
      <c r="Q19" s="229"/>
      <c r="R19" s="222"/>
      <c r="S19" s="229"/>
      <c r="T19" s="222"/>
      <c r="U19" s="229"/>
      <c r="V19" s="222"/>
      <c r="W19" s="228"/>
    </row>
    <row r="20" spans="3:23">
      <c r="C20" s="2">
        <v>51500</v>
      </c>
      <c r="D20" s="22" t="s">
        <v>5216</v>
      </c>
      <c r="E20" s="58"/>
      <c r="F20" s="286"/>
      <c r="G20" s="58"/>
      <c r="H20" s="286"/>
      <c r="I20" s="286"/>
      <c r="J20" s="223"/>
      <c r="K20" s="95"/>
      <c r="L20" s="228"/>
      <c r="M20" s="229"/>
      <c r="N20" s="222"/>
      <c r="O20" s="229"/>
      <c r="P20" s="222"/>
      <c r="Q20" s="229"/>
      <c r="R20" s="222"/>
      <c r="S20" s="229"/>
      <c r="T20" s="222"/>
      <c r="U20" s="229"/>
      <c r="V20" s="222"/>
      <c r="W20" s="228"/>
    </row>
    <row r="21" spans="3:23">
      <c r="C21" s="2">
        <v>51600</v>
      </c>
      <c r="D21" s="22" t="s">
        <v>5217</v>
      </c>
      <c r="E21" s="58"/>
      <c r="F21" s="286"/>
      <c r="G21" s="58"/>
      <c r="H21" s="58"/>
      <c r="I21" s="286"/>
      <c r="J21" s="223"/>
      <c r="K21" s="95"/>
      <c r="L21" s="228"/>
      <c r="M21" s="229"/>
      <c r="N21" s="222"/>
      <c r="O21" s="229"/>
      <c r="P21" s="222"/>
      <c r="Q21" s="229"/>
      <c r="R21" s="222"/>
      <c r="S21" s="229"/>
      <c r="T21" s="222"/>
      <c r="U21" s="229"/>
      <c r="V21" s="222"/>
      <c r="W21" s="228"/>
    </row>
    <row r="22" spans="3:23">
      <c r="C22" s="2">
        <v>51700</v>
      </c>
      <c r="D22" s="22" t="s">
        <v>5218</v>
      </c>
      <c r="E22" s="58"/>
      <c r="F22" s="286"/>
      <c r="G22" s="58"/>
      <c r="H22" s="286"/>
      <c r="I22" s="286"/>
      <c r="J22" s="223"/>
      <c r="K22" s="95"/>
      <c r="L22" s="228"/>
      <c r="M22" s="229"/>
      <c r="N22" s="222"/>
      <c r="O22" s="229"/>
      <c r="P22" s="222"/>
      <c r="Q22" s="229"/>
      <c r="R22" s="222"/>
      <c r="S22" s="229"/>
      <c r="T22" s="222"/>
      <c r="U22" s="229"/>
      <c r="V22" s="222"/>
      <c r="W22" s="228"/>
    </row>
    <row r="23" spans="3:23">
      <c r="C23" s="2">
        <v>51800</v>
      </c>
      <c r="D23" s="22" t="s">
        <v>5219</v>
      </c>
      <c r="E23" s="58">
        <v>3000</v>
      </c>
      <c r="F23" s="286">
        <v>3000</v>
      </c>
      <c r="G23" s="58">
        <v>3000</v>
      </c>
      <c r="H23" s="286">
        <v>2575</v>
      </c>
      <c r="I23" s="286">
        <f>G23-H23</f>
        <v>425</v>
      </c>
      <c r="J23" s="223"/>
      <c r="K23" s="95"/>
      <c r="L23" s="228"/>
      <c r="M23" s="229"/>
      <c r="N23" s="222"/>
      <c r="O23" s="229"/>
      <c r="P23" s="222"/>
      <c r="Q23" s="229">
        <v>3000</v>
      </c>
      <c r="R23" s="222"/>
      <c r="S23" s="229"/>
      <c r="T23" s="222"/>
      <c r="U23" s="229"/>
      <c r="V23" s="222"/>
      <c r="W23" s="228"/>
    </row>
    <row r="24" spans="3:23">
      <c r="C24" s="2">
        <v>51850</v>
      </c>
      <c r="D24" s="22" t="s">
        <v>5220</v>
      </c>
      <c r="E24" s="58">
        <v>15000</v>
      </c>
      <c r="F24" s="286"/>
      <c r="G24" s="58"/>
      <c r="H24" s="286"/>
      <c r="I24" s="286"/>
      <c r="J24" s="223"/>
      <c r="K24" s="95"/>
      <c r="L24" s="228"/>
      <c r="M24" s="229"/>
      <c r="N24" s="222"/>
      <c r="O24" s="229"/>
      <c r="P24" s="222"/>
      <c r="Q24" s="229"/>
      <c r="R24" s="222"/>
      <c r="S24" s="229"/>
      <c r="T24" s="222"/>
      <c r="U24" s="229"/>
      <c r="V24" s="222"/>
      <c r="W24" s="228"/>
    </row>
    <row r="25" spans="3:23">
      <c r="C25" s="2">
        <v>52000</v>
      </c>
      <c r="D25" s="22" t="s">
        <v>5221</v>
      </c>
      <c r="E25" s="58"/>
      <c r="F25" s="286"/>
      <c r="G25" s="58"/>
      <c r="H25" s="286"/>
      <c r="I25" s="286"/>
      <c r="J25" s="223"/>
      <c r="K25" s="95"/>
      <c r="L25" s="228"/>
      <c r="M25" s="229"/>
      <c r="N25" s="222"/>
      <c r="O25" s="229"/>
      <c r="P25" s="222"/>
      <c r="Q25" s="229"/>
      <c r="R25" s="222"/>
      <c r="S25" s="229"/>
      <c r="T25" s="222"/>
      <c r="U25" s="229"/>
      <c r="V25" s="222"/>
      <c r="W25" s="228"/>
    </row>
    <row r="26" spans="3:23">
      <c r="C26" s="2">
        <v>52100</v>
      </c>
      <c r="D26" s="22" t="s">
        <v>5222</v>
      </c>
      <c r="E26" s="58">
        <v>1565</v>
      </c>
      <c r="F26" s="286">
        <v>300</v>
      </c>
      <c r="G26" s="58">
        <v>300</v>
      </c>
      <c r="H26" s="286">
        <v>77</v>
      </c>
      <c r="I26" s="286">
        <f>G26-H26</f>
        <v>223</v>
      </c>
      <c r="J26" s="223"/>
      <c r="K26" s="95"/>
      <c r="L26" s="228"/>
      <c r="M26" s="229"/>
      <c r="N26" s="222"/>
      <c r="O26" s="229"/>
      <c r="P26" s="222"/>
      <c r="Q26" s="229"/>
      <c r="R26" s="222">
        <v>150</v>
      </c>
      <c r="S26" s="229"/>
      <c r="T26" s="222"/>
      <c r="U26" s="229"/>
      <c r="V26" s="222"/>
      <c r="W26" s="228">
        <v>150</v>
      </c>
    </row>
    <row r="27" spans="3:23">
      <c r="C27" s="2">
        <v>52200</v>
      </c>
      <c r="D27" s="22" t="s">
        <v>5223</v>
      </c>
      <c r="E27" s="58"/>
      <c r="F27" s="286"/>
      <c r="G27" s="58"/>
      <c r="H27" s="286"/>
      <c r="I27" s="286"/>
      <c r="J27" s="223"/>
      <c r="K27" s="95"/>
      <c r="L27" s="228"/>
      <c r="M27" s="229"/>
      <c r="N27" s="222"/>
      <c r="O27" s="229"/>
      <c r="P27" s="222"/>
      <c r="Q27" s="229"/>
      <c r="R27" s="222"/>
      <c r="S27" s="229"/>
      <c r="T27" s="222"/>
      <c r="U27" s="229"/>
      <c r="V27" s="222"/>
      <c r="W27" s="228"/>
    </row>
    <row r="28" spans="3:23">
      <c r="C28" s="2">
        <v>52300</v>
      </c>
      <c r="D28" s="22" t="s">
        <v>5224</v>
      </c>
      <c r="E28" s="58"/>
      <c r="F28" s="286"/>
      <c r="G28" s="58"/>
      <c r="H28" s="286"/>
      <c r="I28" s="286"/>
      <c r="J28" s="223"/>
      <c r="K28" s="95"/>
      <c r="L28" s="228"/>
      <c r="M28" s="229"/>
      <c r="N28" s="222"/>
      <c r="O28" s="229"/>
      <c r="P28" s="222"/>
      <c r="Q28" s="229"/>
      <c r="R28" s="222"/>
      <c r="S28" s="229"/>
      <c r="T28" s="222"/>
      <c r="U28" s="229"/>
      <c r="V28" s="222"/>
      <c r="W28" s="228"/>
    </row>
    <row r="29" spans="3:23">
      <c r="C29" s="2">
        <v>53000</v>
      </c>
      <c r="D29" s="22" t="s">
        <v>5225</v>
      </c>
      <c r="E29" s="58">
        <v>500</v>
      </c>
      <c r="F29" s="286">
        <v>833</v>
      </c>
      <c r="G29" s="58">
        <v>833</v>
      </c>
      <c r="H29" s="286">
        <v>273</v>
      </c>
      <c r="I29" s="286">
        <f>G29-H29</f>
        <v>560</v>
      </c>
      <c r="J29" s="223"/>
      <c r="K29" s="95"/>
      <c r="L29" s="228"/>
      <c r="M29" s="229"/>
      <c r="N29" s="222"/>
      <c r="O29" s="229"/>
      <c r="P29" s="222"/>
      <c r="Q29" s="229"/>
      <c r="R29" s="222">
        <v>250</v>
      </c>
      <c r="S29" s="229"/>
      <c r="T29" s="222"/>
      <c r="U29" s="229"/>
      <c r="V29" s="222"/>
      <c r="W29" s="228">
        <v>250</v>
      </c>
    </row>
    <row r="30" spans="3:23">
      <c r="C30" s="2">
        <v>53100</v>
      </c>
      <c r="D30" s="22" t="s">
        <v>5226</v>
      </c>
      <c r="E30" s="58"/>
      <c r="F30" s="286"/>
      <c r="G30" s="58"/>
      <c r="H30" s="286"/>
      <c r="I30" s="286"/>
      <c r="J30" s="223"/>
      <c r="K30" s="95"/>
      <c r="L30" s="228"/>
      <c r="M30" s="229"/>
      <c r="N30" s="222"/>
      <c r="O30" s="229"/>
      <c r="P30" s="222"/>
      <c r="Q30" s="229"/>
      <c r="R30" s="222"/>
      <c r="S30" s="229"/>
      <c r="T30" s="222"/>
      <c r="U30" s="229"/>
      <c r="V30" s="222"/>
      <c r="W30" s="228"/>
    </row>
    <row r="31" spans="3:23">
      <c r="C31" s="2">
        <v>53200</v>
      </c>
      <c r="D31" s="22" t="s">
        <v>5227</v>
      </c>
      <c r="E31" s="58"/>
      <c r="F31" s="286"/>
      <c r="G31" s="58"/>
      <c r="H31" s="286">
        <v>117</v>
      </c>
      <c r="I31" s="286"/>
      <c r="J31" s="223"/>
      <c r="K31" s="95"/>
      <c r="L31" s="228"/>
      <c r="M31" s="229"/>
      <c r="N31" s="222"/>
      <c r="O31" s="229"/>
      <c r="P31" s="222"/>
      <c r="Q31" s="229"/>
      <c r="R31" s="222"/>
      <c r="S31" s="229"/>
      <c r="T31" s="222"/>
      <c r="U31" s="229"/>
      <c r="V31" s="222"/>
      <c r="W31" s="228"/>
    </row>
    <row r="32" spans="3:23">
      <c r="C32" s="2">
        <v>53300</v>
      </c>
      <c r="D32" s="22" t="s">
        <v>5228</v>
      </c>
      <c r="E32" s="58">
        <v>2766.24</v>
      </c>
      <c r="F32" s="286">
        <v>2766.24</v>
      </c>
      <c r="G32" s="58">
        <v>2766.24</v>
      </c>
      <c r="H32" s="286">
        <v>1385</v>
      </c>
      <c r="I32" s="285">
        <f t="shared" ref="I32:I38" si="1">G32-H32</f>
        <v>1381.2399999999998</v>
      </c>
      <c r="J32" s="223"/>
      <c r="K32" s="95"/>
      <c r="L32" s="228">
        <v>230.52</v>
      </c>
      <c r="M32" s="229">
        <v>230.52</v>
      </c>
      <c r="N32" s="222">
        <v>230.52</v>
      </c>
      <c r="O32" s="229">
        <v>230.52</v>
      </c>
      <c r="P32" s="222">
        <v>230.52</v>
      </c>
      <c r="Q32" s="229">
        <v>230.52</v>
      </c>
      <c r="R32" s="222">
        <v>230.52</v>
      </c>
      <c r="S32" s="229">
        <v>230.52</v>
      </c>
      <c r="T32" s="222">
        <v>230.52</v>
      </c>
      <c r="U32" s="229">
        <v>230.52</v>
      </c>
      <c r="V32" s="222">
        <v>230.52</v>
      </c>
      <c r="W32" s="228">
        <v>230.52</v>
      </c>
    </row>
    <row r="33" spans="1:23">
      <c r="C33" s="2">
        <v>54000</v>
      </c>
      <c r="D33" s="22" t="s">
        <v>5229</v>
      </c>
      <c r="E33" s="58">
        <v>180.28</v>
      </c>
      <c r="F33" s="286">
        <v>1180</v>
      </c>
      <c r="G33" s="58"/>
      <c r="H33" s="286"/>
      <c r="I33" s="286"/>
      <c r="J33" s="223"/>
      <c r="K33" s="95"/>
      <c r="L33" s="228">
        <v>180.28</v>
      </c>
      <c r="M33" s="229"/>
      <c r="N33" s="222"/>
      <c r="O33" s="229"/>
      <c r="P33" s="222"/>
      <c r="Q33" s="229"/>
      <c r="R33" s="222"/>
      <c r="S33" s="229"/>
      <c r="T33" s="222"/>
      <c r="U33" s="229"/>
      <c r="V33" s="222"/>
      <c r="W33" s="228"/>
    </row>
    <row r="34" spans="1:23">
      <c r="C34" s="2">
        <v>55000</v>
      </c>
      <c r="D34" s="22" t="s">
        <v>5230</v>
      </c>
      <c r="E34" s="58">
        <v>1150</v>
      </c>
      <c r="F34" s="286">
        <v>1650</v>
      </c>
      <c r="G34" s="58">
        <v>1650</v>
      </c>
      <c r="H34" s="286">
        <v>4412</v>
      </c>
      <c r="I34" s="286">
        <f t="shared" si="1"/>
        <v>-2762</v>
      </c>
      <c r="J34" s="223"/>
      <c r="K34" s="95"/>
      <c r="L34" s="228">
        <v>95.83</v>
      </c>
      <c r="M34" s="229">
        <v>95.83</v>
      </c>
      <c r="N34" s="222">
        <v>95.83</v>
      </c>
      <c r="O34" s="229">
        <v>95.83</v>
      </c>
      <c r="P34" s="222">
        <v>95.83</v>
      </c>
      <c r="Q34" s="229">
        <v>95.83</v>
      </c>
      <c r="R34" s="222">
        <v>95.83</v>
      </c>
      <c r="S34" s="229">
        <v>95.83</v>
      </c>
      <c r="T34" s="222">
        <v>95.83</v>
      </c>
      <c r="U34" s="229">
        <v>95.83</v>
      </c>
      <c r="V34" s="222">
        <v>95.83</v>
      </c>
      <c r="W34" s="228">
        <v>95.83</v>
      </c>
    </row>
    <row r="35" spans="1:23">
      <c r="C35" s="2">
        <v>55100</v>
      </c>
      <c r="D35" s="22" t="s">
        <v>5231</v>
      </c>
      <c r="E35" s="58">
        <v>31450</v>
      </c>
      <c r="F35" s="286">
        <v>31000</v>
      </c>
      <c r="G35" s="58">
        <v>32250</v>
      </c>
      <c r="H35" s="286">
        <v>442</v>
      </c>
      <c r="I35" s="286">
        <f t="shared" si="1"/>
        <v>31808</v>
      </c>
      <c r="J35" s="223"/>
      <c r="K35" s="95"/>
      <c r="L35" s="228">
        <v>2624</v>
      </c>
      <c r="M35" s="229">
        <v>4140</v>
      </c>
      <c r="N35" s="222">
        <v>3624</v>
      </c>
      <c r="O35" s="229">
        <v>850</v>
      </c>
      <c r="P35" s="222">
        <v>7624</v>
      </c>
      <c r="Q35" s="229">
        <v>1400</v>
      </c>
      <c r="R35" s="222">
        <v>1686</v>
      </c>
      <c r="S35" s="229">
        <v>3624</v>
      </c>
      <c r="T35" s="222">
        <v>2000</v>
      </c>
      <c r="U35" s="229">
        <v>1500</v>
      </c>
      <c r="V35" s="222">
        <v>964</v>
      </c>
      <c r="W35" s="228">
        <v>964</v>
      </c>
    </row>
    <row r="36" spans="1:23">
      <c r="C36" s="2">
        <v>55200</v>
      </c>
      <c r="D36" s="22" t="s">
        <v>5232</v>
      </c>
      <c r="E36" s="58">
        <v>5000</v>
      </c>
      <c r="F36" s="286">
        <v>9000</v>
      </c>
      <c r="G36" s="58">
        <v>9000</v>
      </c>
      <c r="H36" s="286">
        <v>229</v>
      </c>
      <c r="I36" s="286">
        <f t="shared" si="1"/>
        <v>8771</v>
      </c>
      <c r="J36" s="223"/>
      <c r="K36" s="95"/>
      <c r="L36" s="228"/>
      <c r="M36" s="229">
        <v>2000</v>
      </c>
      <c r="N36" s="222">
        <v>500</v>
      </c>
      <c r="O36" s="229">
        <v>2000</v>
      </c>
      <c r="P36" s="222">
        <v>500</v>
      </c>
      <c r="Q36" s="229">
        <v>500</v>
      </c>
      <c r="R36" s="222">
        <v>2000</v>
      </c>
      <c r="S36" s="229">
        <v>500</v>
      </c>
      <c r="T36" s="222">
        <v>500</v>
      </c>
      <c r="U36" s="229">
        <v>500</v>
      </c>
      <c r="V36" s="222"/>
      <c r="W36" s="228"/>
    </row>
    <row r="37" spans="1:23">
      <c r="C37" s="2">
        <v>55300</v>
      </c>
      <c r="D37" s="22" t="s">
        <v>5233</v>
      </c>
      <c r="E37" s="58">
        <v>1350</v>
      </c>
      <c r="F37" s="286">
        <v>1350</v>
      </c>
      <c r="G37" s="58">
        <v>1350</v>
      </c>
      <c r="H37" s="286">
        <v>1197</v>
      </c>
      <c r="I37" s="286">
        <f t="shared" si="1"/>
        <v>153</v>
      </c>
      <c r="J37" s="223"/>
      <c r="K37" s="95"/>
      <c r="L37" s="228">
        <v>80</v>
      </c>
      <c r="M37" s="229">
        <v>80</v>
      </c>
      <c r="N37" s="222">
        <v>80</v>
      </c>
      <c r="O37" s="229">
        <v>80</v>
      </c>
      <c r="P37" s="222">
        <v>180</v>
      </c>
      <c r="Q37" s="229">
        <v>200</v>
      </c>
      <c r="R37" s="222">
        <v>80</v>
      </c>
      <c r="S37" s="229">
        <v>150</v>
      </c>
      <c r="T37" s="222">
        <v>180</v>
      </c>
      <c r="U37" s="229">
        <v>80</v>
      </c>
      <c r="V37" s="222">
        <v>80</v>
      </c>
      <c r="W37" s="228">
        <v>80</v>
      </c>
    </row>
    <row r="38" spans="1:23">
      <c r="C38" s="2">
        <v>56000</v>
      </c>
      <c r="D38" s="22" t="s">
        <v>5234</v>
      </c>
      <c r="E38" s="58">
        <v>39750</v>
      </c>
      <c r="F38" s="286">
        <v>68000</v>
      </c>
      <c r="G38" s="58">
        <v>68000</v>
      </c>
      <c r="H38" s="286">
        <v>5612</v>
      </c>
      <c r="I38" s="286">
        <f t="shared" si="1"/>
        <v>62388</v>
      </c>
      <c r="J38" s="223"/>
      <c r="K38" s="95"/>
      <c r="L38" s="228"/>
      <c r="M38" s="229"/>
      <c r="N38" s="222">
        <v>4437</v>
      </c>
      <c r="O38" s="229">
        <v>1250</v>
      </c>
      <c r="P38" s="222">
        <v>19500</v>
      </c>
      <c r="Q38" s="229">
        <v>1250</v>
      </c>
      <c r="R38" s="222">
        <v>14227</v>
      </c>
      <c r="S38" s="229">
        <v>3201</v>
      </c>
      <c r="T38" s="222"/>
      <c r="U38" s="229">
        <v>3335</v>
      </c>
      <c r="V38" s="222"/>
      <c r="W38" s="228">
        <v>19800</v>
      </c>
    </row>
    <row r="39" spans="1:23">
      <c r="C39" s="2">
        <v>56100</v>
      </c>
      <c r="D39" s="22" t="s">
        <v>5235</v>
      </c>
      <c r="E39" s="58"/>
      <c r="F39" s="286"/>
      <c r="G39" s="58"/>
      <c r="H39" s="286"/>
      <c r="I39" s="286"/>
      <c r="J39" s="223"/>
      <c r="K39" s="95"/>
      <c r="L39" s="228"/>
      <c r="M39" s="229"/>
      <c r="N39" s="222"/>
      <c r="O39" s="229"/>
      <c r="P39" s="222"/>
      <c r="Q39" s="229"/>
      <c r="R39" s="222"/>
      <c r="S39" s="229"/>
      <c r="T39" s="222"/>
      <c r="U39" s="229"/>
      <c r="V39" s="222"/>
      <c r="W39" s="228"/>
    </row>
    <row r="40" spans="1:23">
      <c r="C40" s="2">
        <v>56500</v>
      </c>
      <c r="D40" s="22" t="s">
        <v>5236</v>
      </c>
      <c r="E40" s="58">
        <v>24000</v>
      </c>
      <c r="F40" s="286">
        <v>24000</v>
      </c>
      <c r="G40" s="58">
        <v>24000</v>
      </c>
      <c r="H40" s="286">
        <v>24000</v>
      </c>
      <c r="I40" s="286">
        <f>G40-H40</f>
        <v>0</v>
      </c>
      <c r="J40" s="223"/>
      <c r="K40" s="95"/>
      <c r="L40" s="228">
        <v>6000</v>
      </c>
      <c r="M40" s="229"/>
      <c r="N40" s="222"/>
      <c r="O40" s="229">
        <v>6000</v>
      </c>
      <c r="P40" s="222"/>
      <c r="Q40" s="229"/>
      <c r="R40" s="222">
        <v>6000</v>
      </c>
      <c r="S40" s="229"/>
      <c r="T40" s="222"/>
      <c r="U40" s="229">
        <v>6000</v>
      </c>
      <c r="V40" s="222"/>
      <c r="W40" s="228"/>
    </row>
    <row r="41" spans="1:23">
      <c r="C41" s="2">
        <v>57100</v>
      </c>
      <c r="D41" s="22" t="s">
        <v>5237</v>
      </c>
      <c r="E41" s="58">
        <v>8000</v>
      </c>
      <c r="F41" s="286">
        <v>8000</v>
      </c>
      <c r="G41" s="58">
        <v>8000</v>
      </c>
      <c r="H41" s="286"/>
      <c r="I41" s="286">
        <f>G41-H41</f>
        <v>8000</v>
      </c>
      <c r="J41" s="223"/>
      <c r="K41" s="95"/>
      <c r="L41" s="228"/>
      <c r="M41" s="229"/>
      <c r="N41" s="222">
        <v>2000</v>
      </c>
      <c r="O41" s="229"/>
      <c r="P41" s="222"/>
      <c r="Q41" s="229"/>
      <c r="R41" s="222">
        <v>2000</v>
      </c>
      <c r="S41" s="229"/>
      <c r="T41" s="222"/>
      <c r="U41" s="229"/>
      <c r="V41" s="222"/>
      <c r="W41" s="228">
        <v>4000</v>
      </c>
    </row>
    <row r="42" spans="1:23">
      <c r="C42" s="2">
        <v>57200</v>
      </c>
      <c r="D42" s="22" t="s">
        <v>5238</v>
      </c>
      <c r="E42" s="58">
        <v>1200</v>
      </c>
      <c r="F42" s="286">
        <v>1200</v>
      </c>
      <c r="G42" s="58">
        <v>1200</v>
      </c>
      <c r="H42" s="286">
        <v>224</v>
      </c>
      <c r="I42" s="286">
        <f>G42-H42</f>
        <v>976</v>
      </c>
      <c r="J42" s="223"/>
      <c r="K42" s="95"/>
      <c r="L42" s="228"/>
      <c r="M42" s="229"/>
      <c r="N42" s="222"/>
      <c r="O42" s="229">
        <v>1200</v>
      </c>
      <c r="P42" s="222"/>
      <c r="Q42" s="229"/>
      <c r="R42" s="222"/>
      <c r="S42" s="229"/>
      <c r="T42" s="222"/>
      <c r="U42" s="229"/>
      <c r="V42" s="222"/>
      <c r="W42" s="228"/>
    </row>
    <row r="43" spans="1:23">
      <c r="C43" s="2">
        <v>58000</v>
      </c>
      <c r="D43" s="22" t="s">
        <v>5239</v>
      </c>
      <c r="E43" s="58"/>
      <c r="F43" s="286"/>
      <c r="G43" s="58"/>
      <c r="H43" s="286"/>
      <c r="I43" s="286"/>
      <c r="J43" s="223"/>
      <c r="K43" s="95"/>
      <c r="L43" s="228"/>
      <c r="M43" s="229"/>
      <c r="N43" s="222"/>
      <c r="O43" s="229"/>
      <c r="P43" s="222"/>
      <c r="Q43" s="229"/>
      <c r="R43" s="222"/>
      <c r="S43" s="229"/>
      <c r="T43" s="222"/>
      <c r="U43" s="229"/>
      <c r="V43" s="222"/>
      <c r="W43" s="228"/>
    </row>
    <row r="44" spans="1:23">
      <c r="C44" s="2">
        <v>58100</v>
      </c>
      <c r="D44" s="22" t="s">
        <v>5240</v>
      </c>
      <c r="E44" s="58"/>
      <c r="F44" s="286"/>
      <c r="G44" s="58"/>
      <c r="H44" s="286"/>
      <c r="I44" s="286"/>
      <c r="J44" s="223"/>
      <c r="K44" s="95"/>
      <c r="L44" s="228"/>
      <c r="M44" s="229"/>
      <c r="N44" s="222"/>
      <c r="O44" s="229"/>
      <c r="P44" s="222"/>
      <c r="Q44" s="229"/>
      <c r="R44" s="222"/>
      <c r="S44" s="229"/>
      <c r="T44" s="222"/>
      <c r="U44" s="229"/>
      <c r="V44" s="222"/>
      <c r="W44" s="228"/>
    </row>
    <row r="45" spans="1:23">
      <c r="C45" s="2">
        <v>58200</v>
      </c>
      <c r="D45" s="22" t="s">
        <v>5241</v>
      </c>
      <c r="E45" s="58"/>
      <c r="F45" s="286"/>
      <c r="G45" s="58"/>
      <c r="H45" s="286"/>
      <c r="I45" s="286"/>
      <c r="J45" s="223"/>
      <c r="K45" s="95"/>
      <c r="L45" s="228"/>
      <c r="M45" s="229"/>
      <c r="N45" s="222"/>
      <c r="O45" s="229"/>
      <c r="P45" s="222"/>
      <c r="Q45" s="229"/>
      <c r="R45" s="222"/>
      <c r="S45" s="229"/>
      <c r="T45" s="222"/>
      <c r="U45" s="229"/>
      <c r="V45" s="222"/>
      <c r="W45" s="228"/>
    </row>
    <row r="46" spans="1:23">
      <c r="C46" s="2">
        <v>58300</v>
      </c>
      <c r="D46" s="22" t="s">
        <v>5242</v>
      </c>
      <c r="E46" s="58">
        <v>725</v>
      </c>
      <c r="F46" s="286">
        <v>725</v>
      </c>
      <c r="G46" s="58">
        <v>725</v>
      </c>
      <c r="H46" s="286">
        <v>1920</v>
      </c>
      <c r="I46" s="286">
        <f t="shared" ref="I46:I54" si="2">G46-H46</f>
        <v>-1195</v>
      </c>
      <c r="J46" s="223"/>
      <c r="K46" s="95"/>
      <c r="L46" s="228"/>
      <c r="M46" s="229"/>
      <c r="N46" s="222"/>
      <c r="O46" s="229"/>
      <c r="P46" s="222"/>
      <c r="Q46" s="229"/>
      <c r="R46" s="222">
        <v>725</v>
      </c>
      <c r="S46" s="229"/>
      <c r="T46" s="222"/>
      <c r="U46" s="229"/>
      <c r="V46" s="222"/>
      <c r="W46" s="228"/>
    </row>
    <row r="47" spans="1:23">
      <c r="A47" s="200"/>
      <c r="B47" s="498" t="s">
        <v>2510</v>
      </c>
      <c r="C47" s="212">
        <v>59110</v>
      </c>
      <c r="D47" s="200" t="s">
        <v>5243</v>
      </c>
      <c r="E47" s="201">
        <v>4475</v>
      </c>
      <c r="F47" s="201">
        <v>4475</v>
      </c>
      <c r="G47" s="201">
        <v>4475</v>
      </c>
      <c r="H47" s="468">
        <v>1221</v>
      </c>
      <c r="I47" s="468">
        <f t="shared" si="2"/>
        <v>3254</v>
      </c>
      <c r="J47" s="237"/>
      <c r="K47" s="95"/>
      <c r="L47" s="234">
        <v>297.5</v>
      </c>
      <c r="M47" s="235">
        <v>297.5</v>
      </c>
      <c r="N47" s="236">
        <v>575</v>
      </c>
      <c r="O47" s="235">
        <v>821.25</v>
      </c>
      <c r="P47" s="236">
        <v>247.5</v>
      </c>
      <c r="Q47" s="235">
        <v>75</v>
      </c>
      <c r="R47" s="236">
        <v>245</v>
      </c>
      <c r="S47" s="235">
        <v>721.25</v>
      </c>
      <c r="T47" s="236">
        <v>797.5</v>
      </c>
      <c r="U47" s="235">
        <v>50</v>
      </c>
      <c r="V47" s="236">
        <v>297.5</v>
      </c>
      <c r="W47" s="234">
        <v>50</v>
      </c>
    </row>
    <row r="48" spans="1:23">
      <c r="C48" s="212">
        <v>59120</v>
      </c>
      <c r="D48" s="200" t="s">
        <v>5244</v>
      </c>
      <c r="E48" s="201">
        <v>5500</v>
      </c>
      <c r="F48" s="201">
        <v>7500</v>
      </c>
      <c r="G48" s="201">
        <v>7500</v>
      </c>
      <c r="H48" s="468">
        <v>3893</v>
      </c>
      <c r="I48" s="468">
        <f t="shared" si="2"/>
        <v>3607</v>
      </c>
      <c r="J48" s="237"/>
      <c r="K48" s="95"/>
      <c r="L48" s="234">
        <v>600</v>
      </c>
      <c r="M48" s="235">
        <v>600</v>
      </c>
      <c r="N48" s="236"/>
      <c r="O48" s="235">
        <v>700</v>
      </c>
      <c r="P48" s="236">
        <v>600</v>
      </c>
      <c r="Q48" s="235"/>
      <c r="R48" s="236">
        <v>1100</v>
      </c>
      <c r="S48" s="235">
        <v>700</v>
      </c>
      <c r="T48" s="236">
        <v>600</v>
      </c>
      <c r="U48" s="235"/>
      <c r="V48" s="236">
        <v>600</v>
      </c>
      <c r="W48" s="234"/>
    </row>
    <row r="49" spans="1:23" ht="16.5" customHeight="1">
      <c r="B49" s="497"/>
      <c r="C49" s="212">
        <v>59130</v>
      </c>
      <c r="D49" s="200" t="s">
        <v>5245</v>
      </c>
      <c r="E49" s="201">
        <v>4500</v>
      </c>
      <c r="F49" s="201">
        <v>5900</v>
      </c>
      <c r="G49" s="201">
        <v>5900</v>
      </c>
      <c r="H49" s="468">
        <v>1010</v>
      </c>
      <c r="I49" s="468">
        <f t="shared" si="2"/>
        <v>4890</v>
      </c>
      <c r="J49" s="237"/>
      <c r="K49" s="95"/>
      <c r="L49" s="234">
        <v>575</v>
      </c>
      <c r="M49" s="235">
        <v>575</v>
      </c>
      <c r="N49" s="236"/>
      <c r="O49" s="235">
        <v>675</v>
      </c>
      <c r="P49" s="236">
        <v>675</v>
      </c>
      <c r="Q49" s="235"/>
      <c r="R49" s="236">
        <v>675</v>
      </c>
      <c r="S49" s="235">
        <v>575</v>
      </c>
      <c r="T49" s="236">
        <v>575</v>
      </c>
      <c r="U49" s="235"/>
      <c r="V49" s="236">
        <v>575</v>
      </c>
      <c r="W49" s="234"/>
    </row>
    <row r="50" spans="1:23">
      <c r="C50" s="212">
        <v>59140</v>
      </c>
      <c r="D50" s="200" t="s">
        <v>5246</v>
      </c>
      <c r="E50" s="201">
        <v>4000</v>
      </c>
      <c r="F50" s="201">
        <v>3600</v>
      </c>
      <c r="G50" s="201">
        <v>3600</v>
      </c>
      <c r="H50" s="468">
        <v>814</v>
      </c>
      <c r="I50" s="468">
        <f t="shared" si="2"/>
        <v>2786</v>
      </c>
      <c r="J50" s="237"/>
      <c r="K50" s="95"/>
      <c r="L50" s="234">
        <v>300</v>
      </c>
      <c r="M50" s="235">
        <v>300</v>
      </c>
      <c r="N50" s="236">
        <v>300</v>
      </c>
      <c r="O50" s="235">
        <v>300</v>
      </c>
      <c r="P50" s="236">
        <v>300</v>
      </c>
      <c r="Q50" s="235">
        <v>300</v>
      </c>
      <c r="R50" s="236">
        <v>300</v>
      </c>
      <c r="S50" s="235">
        <v>300</v>
      </c>
      <c r="T50" s="236">
        <v>300</v>
      </c>
      <c r="U50" s="235">
        <v>300</v>
      </c>
      <c r="V50" s="236">
        <v>300</v>
      </c>
      <c r="W50" s="234">
        <v>300</v>
      </c>
    </row>
    <row r="51" spans="1:23">
      <c r="C51" s="212">
        <v>59150</v>
      </c>
      <c r="D51" s="200" t="s">
        <v>5247</v>
      </c>
      <c r="E51" s="201">
        <v>2750</v>
      </c>
      <c r="F51" s="201">
        <v>3750</v>
      </c>
      <c r="G51" s="201">
        <v>3750</v>
      </c>
      <c r="H51" s="468"/>
      <c r="I51" s="468">
        <f t="shared" si="2"/>
        <v>3750</v>
      </c>
      <c r="J51" s="237"/>
      <c r="K51" s="95"/>
      <c r="L51" s="234">
        <v>300</v>
      </c>
      <c r="M51" s="235">
        <v>300</v>
      </c>
      <c r="N51" s="236"/>
      <c r="O51" s="235">
        <v>375</v>
      </c>
      <c r="P51" s="236">
        <v>300</v>
      </c>
      <c r="Q51" s="235"/>
      <c r="R51" s="236">
        <v>500</v>
      </c>
      <c r="S51" s="235">
        <v>375</v>
      </c>
      <c r="T51" s="236">
        <v>300</v>
      </c>
      <c r="U51" s="235"/>
      <c r="V51" s="236">
        <v>300</v>
      </c>
      <c r="W51" s="234"/>
    </row>
    <row r="52" spans="1:23">
      <c r="C52" s="212">
        <v>59160</v>
      </c>
      <c r="D52" s="200" t="s">
        <v>5248</v>
      </c>
      <c r="E52" s="201">
        <v>1000</v>
      </c>
      <c r="F52" s="201">
        <v>1000</v>
      </c>
      <c r="G52" s="201">
        <v>1000</v>
      </c>
      <c r="H52" s="468">
        <v>548</v>
      </c>
      <c r="I52" s="468">
        <f t="shared" si="2"/>
        <v>452</v>
      </c>
      <c r="J52" s="237"/>
      <c r="K52" s="95"/>
      <c r="L52" s="234">
        <v>100</v>
      </c>
      <c r="M52" s="235">
        <v>100</v>
      </c>
      <c r="N52" s="236"/>
      <c r="O52" s="235">
        <v>150</v>
      </c>
      <c r="P52" s="236">
        <v>100</v>
      </c>
      <c r="Q52" s="235"/>
      <c r="R52" s="236">
        <v>200</v>
      </c>
      <c r="S52" s="235">
        <v>150</v>
      </c>
      <c r="T52" s="236">
        <v>100</v>
      </c>
      <c r="U52" s="235"/>
      <c r="V52" s="236">
        <v>100</v>
      </c>
      <c r="W52" s="234"/>
    </row>
    <row r="53" spans="1:23">
      <c r="A53" s="490"/>
      <c r="B53" s="499" t="s">
        <v>3071</v>
      </c>
      <c r="C53" s="489">
        <v>59110</v>
      </c>
      <c r="D53" s="490" t="s">
        <v>5243</v>
      </c>
      <c r="E53" s="491">
        <v>2500</v>
      </c>
      <c r="F53" s="491">
        <v>1800</v>
      </c>
      <c r="G53" s="491">
        <v>1800</v>
      </c>
      <c r="H53" s="492"/>
      <c r="I53" s="492">
        <f t="shared" si="2"/>
        <v>1800</v>
      </c>
      <c r="J53" s="493"/>
      <c r="K53" s="496"/>
      <c r="L53" s="227">
        <v>150</v>
      </c>
      <c r="M53" s="225">
        <v>150</v>
      </c>
      <c r="N53" s="495">
        <v>150</v>
      </c>
      <c r="O53" s="225">
        <v>150</v>
      </c>
      <c r="P53" s="495">
        <v>150</v>
      </c>
      <c r="Q53" s="225">
        <v>200</v>
      </c>
      <c r="R53" s="495">
        <v>150</v>
      </c>
      <c r="S53" s="225">
        <v>150</v>
      </c>
      <c r="T53" s="495">
        <v>150</v>
      </c>
      <c r="U53" s="225">
        <v>150</v>
      </c>
      <c r="V53" s="495">
        <v>150</v>
      </c>
      <c r="W53" s="227">
        <v>100</v>
      </c>
    </row>
    <row r="54" spans="1:23">
      <c r="C54" s="489">
        <v>59120</v>
      </c>
      <c r="D54" s="490" t="s">
        <v>5244</v>
      </c>
      <c r="E54" s="491">
        <v>569</v>
      </c>
      <c r="F54" s="491">
        <v>600</v>
      </c>
      <c r="G54" s="491">
        <v>600</v>
      </c>
      <c r="H54" s="492"/>
      <c r="I54" s="492">
        <f t="shared" si="2"/>
        <v>600</v>
      </c>
      <c r="J54" s="493"/>
      <c r="K54" s="496"/>
      <c r="L54" s="227">
        <v>200</v>
      </c>
      <c r="M54" s="225"/>
      <c r="N54" s="495"/>
      <c r="O54" s="225"/>
      <c r="P54" s="495">
        <v>200</v>
      </c>
      <c r="Q54" s="225"/>
      <c r="R54" s="495"/>
      <c r="S54" s="225"/>
      <c r="T54" s="495">
        <v>200</v>
      </c>
      <c r="U54" s="225"/>
      <c r="V54" s="495"/>
      <c r="W54" s="227"/>
    </row>
    <row r="55" spans="1:23">
      <c r="C55" s="489">
        <v>59130</v>
      </c>
      <c r="D55" s="490" t="s">
        <v>5245</v>
      </c>
      <c r="E55" s="491"/>
      <c r="F55" s="491"/>
      <c r="G55" s="491"/>
      <c r="H55" s="492"/>
      <c r="I55" s="492"/>
      <c r="J55" s="493"/>
      <c r="K55" s="496"/>
      <c r="L55" s="227"/>
      <c r="M55" s="225"/>
      <c r="N55" s="495"/>
      <c r="O55" s="225"/>
      <c r="P55" s="495"/>
      <c r="Q55" s="225"/>
      <c r="R55" s="495"/>
      <c r="S55" s="225"/>
      <c r="T55" s="495"/>
      <c r="U55" s="225"/>
      <c r="V55" s="495"/>
      <c r="W55" s="227"/>
    </row>
    <row r="56" spans="1:23">
      <c r="B56" s="497"/>
      <c r="C56" s="489">
        <v>59140</v>
      </c>
      <c r="D56" s="490" t="s">
        <v>5246</v>
      </c>
      <c r="E56" s="491"/>
      <c r="F56" s="491"/>
      <c r="G56" s="491"/>
      <c r="H56" s="492"/>
      <c r="I56" s="492"/>
      <c r="J56" s="493"/>
      <c r="K56" s="496"/>
      <c r="L56" s="227"/>
      <c r="M56" s="225"/>
      <c r="N56" s="495"/>
      <c r="O56" s="225"/>
      <c r="P56" s="495"/>
      <c r="Q56" s="225"/>
      <c r="R56" s="495"/>
      <c r="S56" s="225"/>
      <c r="T56" s="495"/>
      <c r="U56" s="225"/>
      <c r="V56" s="495"/>
      <c r="W56" s="227"/>
    </row>
    <row r="57" spans="1:23">
      <c r="C57" s="489">
        <v>59150</v>
      </c>
      <c r="D57" s="490" t="s">
        <v>5247</v>
      </c>
      <c r="E57" s="491">
        <v>1000</v>
      </c>
      <c r="F57" s="491">
        <v>1000</v>
      </c>
      <c r="G57" s="491">
        <v>1000</v>
      </c>
      <c r="H57" s="492"/>
      <c r="I57" s="492">
        <f>G57-EH8</f>
        <v>1000</v>
      </c>
      <c r="J57" s="493"/>
      <c r="K57" s="496"/>
      <c r="L57" s="227">
        <v>333</v>
      </c>
      <c r="M57" s="225"/>
      <c r="N57" s="495"/>
      <c r="O57" s="225"/>
      <c r="P57" s="495">
        <v>333</v>
      </c>
      <c r="Q57" s="225"/>
      <c r="R57" s="495"/>
      <c r="S57" s="225"/>
      <c r="T57" s="495">
        <v>334</v>
      </c>
      <c r="U57" s="225"/>
      <c r="V57" s="495"/>
      <c r="W57" s="227"/>
    </row>
    <row r="58" spans="1:23">
      <c r="C58" s="489">
        <v>59160</v>
      </c>
      <c r="D58" s="490" t="s">
        <v>5248</v>
      </c>
      <c r="E58" s="491">
        <v>2000</v>
      </c>
      <c r="F58" s="491">
        <v>1500</v>
      </c>
      <c r="G58" s="491">
        <v>1500</v>
      </c>
      <c r="H58" s="492"/>
      <c r="I58" s="492">
        <f t="shared" ref="I58:I66" si="3">G58-H58</f>
        <v>1500</v>
      </c>
      <c r="J58" s="493"/>
      <c r="K58" s="496"/>
      <c r="L58" s="227">
        <v>125</v>
      </c>
      <c r="M58" s="225">
        <v>125</v>
      </c>
      <c r="N58" s="495">
        <v>125</v>
      </c>
      <c r="O58" s="225">
        <v>125</v>
      </c>
      <c r="P58" s="495">
        <v>125</v>
      </c>
      <c r="Q58" s="225">
        <v>125</v>
      </c>
      <c r="R58" s="495">
        <v>125</v>
      </c>
      <c r="S58" s="225">
        <v>125</v>
      </c>
      <c r="T58" s="495">
        <v>125</v>
      </c>
      <c r="U58" s="225">
        <v>125</v>
      </c>
      <c r="V58" s="495">
        <v>125</v>
      </c>
      <c r="W58" s="227">
        <v>125</v>
      </c>
    </row>
    <row r="59" spans="1:23">
      <c r="A59" s="950"/>
      <c r="B59" s="951" t="s">
        <v>5249</v>
      </c>
      <c r="C59" s="952">
        <v>59110</v>
      </c>
      <c r="D59" s="950" t="s">
        <v>5243</v>
      </c>
      <c r="E59" s="953"/>
      <c r="F59" s="953">
        <v>5300</v>
      </c>
      <c r="G59" s="953">
        <v>5300</v>
      </c>
      <c r="H59" s="632"/>
      <c r="I59" s="632">
        <f t="shared" si="3"/>
        <v>5300</v>
      </c>
      <c r="J59" s="954"/>
      <c r="K59" s="496"/>
      <c r="L59" s="955">
        <v>297.5</v>
      </c>
      <c r="M59" s="956">
        <v>297.5</v>
      </c>
      <c r="N59" s="957">
        <v>575</v>
      </c>
      <c r="O59" s="956">
        <v>575</v>
      </c>
      <c r="P59" s="957">
        <v>247.5</v>
      </c>
      <c r="Q59" s="956">
        <v>75</v>
      </c>
      <c r="R59" s="957">
        <v>245</v>
      </c>
      <c r="S59" s="956">
        <v>575</v>
      </c>
      <c r="T59" s="957">
        <v>575</v>
      </c>
      <c r="U59" s="956">
        <v>70</v>
      </c>
      <c r="V59" s="957">
        <v>297.5</v>
      </c>
      <c r="W59" s="955">
        <v>70</v>
      </c>
    </row>
    <row r="60" spans="1:23">
      <c r="C60" s="952">
        <v>59120</v>
      </c>
      <c r="D60" s="950" t="s">
        <v>5244</v>
      </c>
      <c r="E60" s="953"/>
      <c r="F60" s="953">
        <v>5800</v>
      </c>
      <c r="G60" s="953">
        <v>5800</v>
      </c>
      <c r="H60" s="632"/>
      <c r="I60" s="632">
        <f t="shared" si="3"/>
        <v>5800</v>
      </c>
      <c r="J60" s="954"/>
      <c r="K60" s="496"/>
      <c r="L60" s="955">
        <v>600</v>
      </c>
      <c r="M60" s="956">
        <v>600</v>
      </c>
      <c r="N60" s="957"/>
      <c r="O60" s="956">
        <v>600</v>
      </c>
      <c r="P60" s="957">
        <v>600</v>
      </c>
      <c r="Q60" s="956"/>
      <c r="R60" s="957">
        <v>600</v>
      </c>
      <c r="S60" s="956">
        <v>600</v>
      </c>
      <c r="T60" s="957">
        <v>600</v>
      </c>
      <c r="U60" s="956"/>
      <c r="V60" s="957">
        <v>600</v>
      </c>
      <c r="W60" s="955"/>
    </row>
    <row r="61" spans="1:23">
      <c r="C61" s="952">
        <v>59130</v>
      </c>
      <c r="D61" s="950" t="s">
        <v>5245</v>
      </c>
      <c r="E61" s="953"/>
      <c r="F61" s="953">
        <v>5000</v>
      </c>
      <c r="G61" s="953">
        <v>5000</v>
      </c>
      <c r="H61" s="632"/>
      <c r="I61" s="632">
        <f t="shared" si="3"/>
        <v>5000</v>
      </c>
      <c r="J61" s="954"/>
      <c r="K61" s="496"/>
      <c r="L61" s="955">
        <v>475</v>
      </c>
      <c r="M61" s="956">
        <v>475</v>
      </c>
      <c r="N61" s="957"/>
      <c r="O61" s="956">
        <v>475</v>
      </c>
      <c r="P61" s="957">
        <v>575</v>
      </c>
      <c r="Q61" s="956"/>
      <c r="R61" s="957">
        <v>575</v>
      </c>
      <c r="S61" s="956">
        <v>475</v>
      </c>
      <c r="T61" s="957">
        <v>475</v>
      </c>
      <c r="U61" s="956"/>
      <c r="V61" s="957">
        <v>475</v>
      </c>
      <c r="W61" s="955"/>
    </row>
    <row r="62" spans="1:23">
      <c r="B62" s="497"/>
      <c r="C62" s="952">
        <v>59140</v>
      </c>
      <c r="D62" s="950" t="s">
        <v>5246</v>
      </c>
      <c r="E62" s="953"/>
      <c r="F62" s="953">
        <v>905</v>
      </c>
      <c r="G62" s="953">
        <v>905</v>
      </c>
      <c r="H62" s="632"/>
      <c r="I62" s="632">
        <f t="shared" si="3"/>
        <v>905</v>
      </c>
      <c r="J62" s="954"/>
      <c r="K62" s="496"/>
      <c r="L62" s="955"/>
      <c r="M62" s="956"/>
      <c r="N62" s="957">
        <v>275</v>
      </c>
      <c r="O62" s="956"/>
      <c r="P62" s="957"/>
      <c r="Q62" s="956"/>
      <c r="R62" s="957"/>
      <c r="S62" s="956"/>
      <c r="T62" s="957">
        <v>275</v>
      </c>
      <c r="U62" s="956"/>
      <c r="V62" s="957">
        <v>275</v>
      </c>
      <c r="W62" s="955"/>
    </row>
    <row r="63" spans="1:23">
      <c r="C63" s="952">
        <v>59150</v>
      </c>
      <c r="D63" s="950" t="s">
        <v>5247</v>
      </c>
      <c r="E63" s="953"/>
      <c r="F63" s="953">
        <v>3750</v>
      </c>
      <c r="G63" s="953">
        <v>3750</v>
      </c>
      <c r="H63" s="632"/>
      <c r="I63" s="632">
        <f t="shared" si="3"/>
        <v>3750</v>
      </c>
      <c r="J63" s="954"/>
      <c r="K63" s="496"/>
      <c r="L63" s="955">
        <v>300</v>
      </c>
      <c r="M63" s="956">
        <v>300</v>
      </c>
      <c r="N63" s="957"/>
      <c r="O63" s="956">
        <v>375</v>
      </c>
      <c r="P63" s="957">
        <v>300</v>
      </c>
      <c r="Q63" s="956"/>
      <c r="R63" s="957">
        <v>500</v>
      </c>
      <c r="S63" s="956">
        <v>375</v>
      </c>
      <c r="T63" s="957">
        <v>300</v>
      </c>
      <c r="U63" s="956"/>
      <c r="V63" s="957">
        <v>300</v>
      </c>
      <c r="W63" s="955"/>
    </row>
    <row r="64" spans="1:23">
      <c r="C64" s="952">
        <v>59160</v>
      </c>
      <c r="D64" s="950" t="s">
        <v>5248</v>
      </c>
      <c r="E64" s="953"/>
      <c r="F64" s="953">
        <v>1000</v>
      </c>
      <c r="G64" s="953">
        <v>1000</v>
      </c>
      <c r="H64" s="632"/>
      <c r="I64" s="632">
        <f t="shared" si="3"/>
        <v>1000</v>
      </c>
      <c r="J64" s="954"/>
      <c r="K64" s="496"/>
      <c r="L64" s="955">
        <v>100</v>
      </c>
      <c r="M64" s="956">
        <v>100</v>
      </c>
      <c r="N64" s="957"/>
      <c r="O64" s="956">
        <v>150</v>
      </c>
      <c r="P64" s="957">
        <v>100</v>
      </c>
      <c r="Q64" s="956"/>
      <c r="R64" s="957">
        <v>200</v>
      </c>
      <c r="S64" s="956">
        <v>150</v>
      </c>
      <c r="T64" s="957">
        <v>100</v>
      </c>
      <c r="U64" s="956"/>
      <c r="V64" s="957">
        <v>100</v>
      </c>
      <c r="W64" s="955"/>
    </row>
    <row r="65" spans="3:23">
      <c r="C65" s="2">
        <v>59200</v>
      </c>
      <c r="D65" s="22" t="s">
        <v>5250</v>
      </c>
      <c r="E65" s="58">
        <v>3500</v>
      </c>
      <c r="F65" s="286">
        <v>5500</v>
      </c>
      <c r="G65" s="58">
        <v>5500</v>
      </c>
      <c r="H65" s="286"/>
      <c r="I65" s="286">
        <f t="shared" si="3"/>
        <v>5500</v>
      </c>
      <c r="J65" s="223"/>
      <c r="K65" s="95"/>
      <c r="L65" s="228"/>
      <c r="M65" s="229"/>
      <c r="N65" s="222"/>
      <c r="O65" s="229"/>
      <c r="P65" s="222"/>
      <c r="Q65" s="229"/>
      <c r="R65" s="222"/>
      <c r="S65" s="229"/>
      <c r="T65" s="222"/>
      <c r="U65" s="229">
        <v>2700</v>
      </c>
      <c r="V65" s="222">
        <v>800</v>
      </c>
      <c r="W65" s="228"/>
    </row>
    <row r="66" spans="3:23">
      <c r="C66" s="2">
        <v>59300</v>
      </c>
      <c r="D66" s="22" t="s">
        <v>5251</v>
      </c>
      <c r="E66" s="58">
        <v>4500</v>
      </c>
      <c r="F66" s="286">
        <v>1599</v>
      </c>
      <c r="G66" s="58">
        <v>1599</v>
      </c>
      <c r="H66" s="286"/>
      <c r="I66" s="286">
        <f t="shared" si="3"/>
        <v>1599</v>
      </c>
      <c r="J66" s="223"/>
      <c r="K66" s="95"/>
      <c r="L66" s="228"/>
      <c r="M66" s="229"/>
      <c r="N66" s="222"/>
      <c r="O66" s="229"/>
      <c r="P66" s="222"/>
      <c r="Q66" s="229"/>
      <c r="R66" s="222"/>
      <c r="S66" s="229"/>
      <c r="T66" s="222"/>
      <c r="U66" s="229"/>
      <c r="V66" s="222"/>
      <c r="W66" s="228"/>
    </row>
    <row r="67" spans="3:23">
      <c r="C67" s="2">
        <v>59500</v>
      </c>
      <c r="D67" s="22" t="s">
        <v>5252</v>
      </c>
      <c r="E67" s="58"/>
      <c r="F67" s="286"/>
      <c r="G67" s="58"/>
      <c r="H67" s="286"/>
      <c r="I67" s="286"/>
      <c r="J67" s="223"/>
      <c r="K67" s="95"/>
      <c r="L67" s="228"/>
      <c r="M67" s="229"/>
      <c r="N67" s="222"/>
      <c r="O67" s="229"/>
      <c r="P67" s="222"/>
      <c r="Q67" s="229"/>
      <c r="R67" s="222"/>
      <c r="S67" s="229"/>
      <c r="T67" s="222"/>
      <c r="U67" s="229"/>
      <c r="V67" s="222"/>
      <c r="W67" s="228"/>
    </row>
    <row r="68" spans="3:23">
      <c r="C68" s="2">
        <v>61000</v>
      </c>
      <c r="D68" s="22" t="s">
        <v>5253</v>
      </c>
      <c r="E68" s="58">
        <v>1000</v>
      </c>
      <c r="F68" s="286">
        <v>2050</v>
      </c>
      <c r="G68" s="58">
        <v>2050</v>
      </c>
      <c r="H68" s="286">
        <v>478</v>
      </c>
      <c r="I68" s="286">
        <f>G68-H68</f>
        <v>1572</v>
      </c>
      <c r="J68" s="223"/>
      <c r="K68" s="95"/>
      <c r="L68" s="228"/>
      <c r="M68" s="229">
        <v>1000</v>
      </c>
      <c r="N68" s="222"/>
      <c r="O68" s="229"/>
      <c r="P68" s="222"/>
      <c r="Q68" s="229">
        <v>450</v>
      </c>
      <c r="R68" s="222"/>
      <c r="S68" s="229"/>
      <c r="T68" s="222"/>
      <c r="U68" s="229"/>
      <c r="V68" s="222"/>
      <c r="W68" s="228"/>
    </row>
    <row r="69" spans="3:23">
      <c r="C69" s="2">
        <v>67000</v>
      </c>
      <c r="D69" s="22" t="s">
        <v>5254</v>
      </c>
      <c r="E69" s="58">
        <v>1000</v>
      </c>
      <c r="F69" s="286">
        <v>1000</v>
      </c>
      <c r="G69" s="58">
        <v>1000</v>
      </c>
      <c r="H69" s="286"/>
      <c r="I69" s="286">
        <f>G69-H69</f>
        <v>1000</v>
      </c>
      <c r="J69" s="223"/>
      <c r="K69" s="95"/>
      <c r="L69" s="228">
        <v>250</v>
      </c>
      <c r="M69" s="229"/>
      <c r="N69" s="222"/>
      <c r="O69" s="229">
        <v>250</v>
      </c>
      <c r="P69" s="222"/>
      <c r="Q69" s="229"/>
      <c r="R69" s="222">
        <v>250</v>
      </c>
      <c r="S69" s="229"/>
      <c r="T69" s="222"/>
      <c r="U69" s="229">
        <v>250</v>
      </c>
      <c r="V69" s="222"/>
      <c r="W69" s="228"/>
    </row>
    <row r="70" spans="3:23">
      <c r="C70" s="2">
        <v>72000</v>
      </c>
      <c r="D70" s="22" t="s">
        <v>5255</v>
      </c>
      <c r="E70" s="58"/>
      <c r="F70" s="286"/>
      <c r="G70" s="286"/>
      <c r="H70" s="286"/>
      <c r="I70" s="286"/>
      <c r="J70" s="223"/>
      <c r="K70" s="95"/>
      <c r="L70" s="228"/>
      <c r="M70" s="229"/>
      <c r="N70" s="222"/>
      <c r="O70" s="229"/>
      <c r="P70" s="222"/>
      <c r="Q70" s="229"/>
      <c r="R70" s="222"/>
      <c r="S70" s="229"/>
      <c r="T70" s="222"/>
      <c r="U70" s="229"/>
      <c r="V70" s="222"/>
      <c r="W70" s="228"/>
    </row>
    <row r="71" spans="3:23">
      <c r="C71" s="2">
        <v>72100</v>
      </c>
      <c r="D71" s="22" t="s">
        <v>5256</v>
      </c>
      <c r="E71" s="58"/>
      <c r="F71" s="286"/>
      <c r="G71" s="286"/>
      <c r="H71" s="286"/>
      <c r="I71" s="286"/>
      <c r="J71" s="223"/>
      <c r="K71" s="95"/>
      <c r="L71" s="228"/>
      <c r="M71" s="229"/>
      <c r="N71" s="222"/>
      <c r="O71" s="229"/>
      <c r="P71" s="222"/>
      <c r="Q71" s="229"/>
      <c r="R71" s="222"/>
      <c r="S71" s="229"/>
      <c r="T71" s="222"/>
      <c r="U71" s="229"/>
      <c r="V71" s="222"/>
      <c r="W71" s="228"/>
    </row>
    <row r="72" spans="3:23">
      <c r="C72" s="2">
        <v>74000</v>
      </c>
      <c r="D72" s="22" t="s">
        <v>5257</v>
      </c>
      <c r="E72" s="58"/>
      <c r="F72" s="286"/>
      <c r="G72" s="286"/>
      <c r="H72" s="286"/>
      <c r="I72" s="286"/>
      <c r="J72" s="223"/>
      <c r="K72" s="95"/>
      <c r="L72" s="228"/>
      <c r="M72" s="229"/>
      <c r="N72" s="222"/>
      <c r="O72" s="229"/>
      <c r="P72" s="222"/>
      <c r="Q72" s="229"/>
      <c r="R72" s="222"/>
      <c r="S72" s="229"/>
      <c r="T72" s="222"/>
      <c r="U72" s="229"/>
      <c r="V72" s="222"/>
      <c r="W72" s="228"/>
    </row>
    <row r="73" spans="3:23">
      <c r="C73" s="2">
        <v>75000</v>
      </c>
      <c r="D73" s="22" t="s">
        <v>5258</v>
      </c>
      <c r="E73" s="58"/>
      <c r="F73" s="286"/>
      <c r="G73" s="286"/>
      <c r="H73" s="286"/>
      <c r="I73" s="286"/>
      <c r="J73" s="223"/>
      <c r="K73" s="95"/>
      <c r="L73" s="228"/>
      <c r="M73" s="229"/>
      <c r="N73" s="222"/>
      <c r="O73" s="229"/>
      <c r="P73" s="222"/>
      <c r="Q73" s="229"/>
      <c r="R73" s="222"/>
      <c r="S73" s="229"/>
      <c r="T73" s="222"/>
      <c r="U73" s="229"/>
      <c r="V73" s="222"/>
      <c r="W73" s="228"/>
    </row>
    <row r="74" spans="3:23">
      <c r="C74" s="2">
        <v>76000</v>
      </c>
      <c r="D74" s="22" t="s">
        <v>5259</v>
      </c>
      <c r="E74" s="58"/>
      <c r="F74" s="286"/>
      <c r="G74" s="286"/>
      <c r="H74" s="286"/>
      <c r="I74" s="286"/>
      <c r="J74" s="223"/>
      <c r="K74" s="95"/>
      <c r="L74" s="228"/>
      <c r="M74" s="229"/>
      <c r="N74" s="222"/>
      <c r="O74" s="229"/>
      <c r="P74" s="222"/>
      <c r="Q74" s="229"/>
      <c r="R74" s="222"/>
      <c r="S74" s="229"/>
      <c r="T74" s="222"/>
      <c r="U74" s="229"/>
      <c r="V74" s="222"/>
      <c r="W74" s="228"/>
    </row>
    <row r="75" spans="3:23">
      <c r="C75" s="2">
        <v>76100</v>
      </c>
      <c r="D75" s="22" t="s">
        <v>5260</v>
      </c>
      <c r="E75" s="58"/>
      <c r="F75" s="286"/>
      <c r="G75" s="286"/>
      <c r="H75" s="286"/>
      <c r="I75" s="286"/>
      <c r="J75" s="223"/>
      <c r="K75" s="95"/>
      <c r="L75" s="228"/>
      <c r="M75" s="229"/>
      <c r="N75" s="222"/>
      <c r="O75" s="229"/>
      <c r="P75" s="222"/>
      <c r="Q75" s="229"/>
      <c r="R75" s="222"/>
      <c r="S75" s="229"/>
      <c r="T75" s="222"/>
      <c r="U75" s="229"/>
      <c r="V75" s="222"/>
      <c r="W75" s="228"/>
    </row>
    <row r="76" spans="3:23">
      <c r="C76" s="2">
        <v>77000</v>
      </c>
      <c r="D76" s="22" t="s">
        <v>5261</v>
      </c>
      <c r="E76" s="58"/>
      <c r="F76" s="286"/>
      <c r="G76" s="286"/>
      <c r="H76" s="286"/>
      <c r="I76" s="286"/>
      <c r="J76" s="223"/>
      <c r="K76" s="95"/>
      <c r="L76" s="228"/>
      <c r="M76" s="229"/>
      <c r="N76" s="222"/>
      <c r="O76" s="229"/>
      <c r="P76" s="222"/>
      <c r="Q76" s="229"/>
      <c r="R76" s="222"/>
      <c r="S76" s="229"/>
      <c r="T76" s="222"/>
      <c r="U76" s="229"/>
      <c r="V76" s="222"/>
      <c r="W76" s="228"/>
    </row>
    <row r="77" spans="3:23">
      <c r="C77" s="2">
        <v>78000</v>
      </c>
      <c r="D77" s="22" t="s">
        <v>5262</v>
      </c>
      <c r="E77" s="58"/>
      <c r="F77" s="286"/>
      <c r="G77" s="286"/>
      <c r="H77" s="286"/>
      <c r="I77" s="286"/>
      <c r="J77" s="223"/>
      <c r="K77" s="95"/>
      <c r="L77" s="228"/>
      <c r="M77" s="229"/>
      <c r="N77" s="222"/>
      <c r="O77" s="229"/>
      <c r="P77" s="222"/>
      <c r="Q77" s="229"/>
      <c r="R77" s="222"/>
      <c r="S77" s="229"/>
      <c r="T77" s="222"/>
      <c r="U77" s="229"/>
      <c r="V77" s="222"/>
      <c r="W77" s="228"/>
    </row>
    <row r="78" spans="3:23">
      <c r="C78" s="2">
        <v>79000</v>
      </c>
      <c r="D78" s="22" t="s">
        <v>5263</v>
      </c>
      <c r="E78" s="58"/>
      <c r="F78" s="286"/>
      <c r="G78" s="286"/>
      <c r="H78" s="286"/>
      <c r="I78" s="286"/>
      <c r="J78" s="223"/>
      <c r="K78" s="95"/>
      <c r="L78" s="228"/>
      <c r="M78" s="229"/>
      <c r="N78" s="222"/>
      <c r="O78" s="229"/>
      <c r="P78" s="222"/>
      <c r="Q78" s="229"/>
      <c r="R78" s="222"/>
      <c r="S78" s="229"/>
      <c r="T78" s="222"/>
      <c r="U78" s="229"/>
      <c r="V78" s="222"/>
      <c r="W78" s="228"/>
    </row>
    <row r="79" spans="3:23">
      <c r="C79" s="2">
        <v>79100</v>
      </c>
      <c r="D79" s="22" t="s">
        <v>5264</v>
      </c>
      <c r="E79" s="58"/>
      <c r="F79" s="286"/>
      <c r="G79" s="286"/>
      <c r="H79" s="286"/>
      <c r="I79" s="286"/>
      <c r="J79" s="223"/>
      <c r="K79" s="95"/>
      <c r="L79" s="228"/>
      <c r="M79" s="229"/>
      <c r="N79" s="222"/>
      <c r="O79" s="229"/>
      <c r="P79" s="222"/>
      <c r="Q79" s="229"/>
      <c r="R79" s="222"/>
      <c r="S79" s="229"/>
      <c r="T79" s="222"/>
      <c r="U79" s="229"/>
      <c r="V79" s="222"/>
      <c r="W79" s="228"/>
    </row>
    <row r="80" spans="3:23">
      <c r="C80" s="56">
        <v>79900</v>
      </c>
      <c r="D80" s="28" t="s">
        <v>5265</v>
      </c>
      <c r="E80" s="60">
        <v>36166</v>
      </c>
      <c r="F80" s="288">
        <v>41379</v>
      </c>
      <c r="G80" s="288">
        <v>43440</v>
      </c>
      <c r="H80" s="288">
        <v>43440</v>
      </c>
      <c r="I80" s="288">
        <f>G80-H80</f>
        <v>0</v>
      </c>
      <c r="J80" s="486"/>
      <c r="K80" s="96"/>
      <c r="L80" s="230"/>
      <c r="M80" s="231"/>
      <c r="N80" s="232"/>
      <c r="O80" s="231"/>
      <c r="P80" s="232"/>
      <c r="Q80" s="231"/>
      <c r="R80" s="232"/>
      <c r="S80" s="231"/>
      <c r="T80" s="232"/>
      <c r="U80" s="231"/>
      <c r="V80" s="232"/>
      <c r="W80" s="230"/>
    </row>
    <row r="87" spans="7:7">
      <c r="G87" s="101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8FF3D-6BE9-4544-97DD-07FD0B88C449}">
  <dimension ref="A1:V81"/>
  <sheetViews>
    <sheetView showGridLines="0" workbookViewId="0">
      <selection activeCell="F15" sqref="F15"/>
    </sheetView>
  </sheetViews>
  <sheetFormatPr defaultColWidth="8.7109375" defaultRowHeight="14.45"/>
  <cols>
    <col min="1" max="1" width="31.5703125" style="22" customWidth="1"/>
    <col min="2" max="2" width="3.42578125" style="22" customWidth="1"/>
    <col min="3" max="3" width="12.7109375" style="48" customWidth="1"/>
    <col min="4" max="4" width="37.7109375" style="22" bestFit="1" customWidth="1"/>
    <col min="5" max="8" width="17.28515625" style="45" customWidth="1"/>
    <col min="9" max="9" width="6.85546875" style="329" customWidth="1"/>
    <col min="10" max="10" width="1.42578125" style="48" customWidth="1"/>
    <col min="11" max="21" width="13.85546875" style="48" customWidth="1"/>
    <col min="22" max="22" width="13.85546875" customWidth="1"/>
  </cols>
  <sheetData>
    <row r="1" spans="1:22" ht="15" thickBot="1">
      <c r="A1" s="30"/>
      <c r="B1" s="30"/>
      <c r="C1" s="31"/>
      <c r="D1" s="30"/>
      <c r="E1" s="42" t="s">
        <v>3</v>
      </c>
      <c r="F1" s="42" t="s">
        <v>2</v>
      </c>
      <c r="G1" s="42" t="s">
        <v>5266</v>
      </c>
      <c r="H1" s="42" t="s">
        <v>5174</v>
      </c>
      <c r="I1" s="42" t="s">
        <v>5175</v>
      </c>
      <c r="J1" s="30"/>
      <c r="K1" s="31" t="s">
        <v>5176</v>
      </c>
      <c r="L1" s="31" t="s">
        <v>5177</v>
      </c>
      <c r="M1" s="31" t="s">
        <v>5178</v>
      </c>
      <c r="N1" s="31" t="s">
        <v>5179</v>
      </c>
      <c r="O1" s="31" t="s">
        <v>5180</v>
      </c>
      <c r="P1" s="31" t="s">
        <v>5181</v>
      </c>
      <c r="Q1" s="31" t="s">
        <v>5182</v>
      </c>
      <c r="R1" s="31" t="s">
        <v>5183</v>
      </c>
      <c r="S1" s="31" t="s">
        <v>5184</v>
      </c>
      <c r="T1" s="31" t="s">
        <v>5185</v>
      </c>
      <c r="U1" s="31" t="s">
        <v>2537</v>
      </c>
      <c r="V1" s="31" t="s">
        <v>3249</v>
      </c>
    </row>
    <row r="2" spans="1:22" ht="15" thickBot="1">
      <c r="C2" s="65" t="s">
        <v>5186</v>
      </c>
      <c r="D2" s="66"/>
      <c r="E2" s="67"/>
      <c r="F2" s="67"/>
      <c r="G2" s="67"/>
      <c r="H2" s="67"/>
      <c r="I2" s="67"/>
      <c r="J2" s="83"/>
      <c r="K2" s="84"/>
      <c r="L2" s="84"/>
      <c r="M2" s="84"/>
      <c r="N2" s="84"/>
      <c r="O2" s="84"/>
      <c r="P2" s="84"/>
      <c r="Q2" s="84"/>
      <c r="R2" s="84"/>
      <c r="S2" s="84"/>
      <c r="T2" s="84"/>
      <c r="U2" s="84"/>
      <c r="V2" s="86"/>
    </row>
    <row r="3" spans="1:22">
      <c r="A3" s="44" t="s">
        <v>5187</v>
      </c>
      <c r="C3" s="54" t="s">
        <v>5188</v>
      </c>
      <c r="D3" s="49"/>
      <c r="E3" s="432">
        <f>SUM(E4:E13)</f>
        <v>2600000</v>
      </c>
      <c r="F3" s="466">
        <f>SUM(F4:F13)</f>
        <v>3328000</v>
      </c>
      <c r="G3" s="625">
        <f>SUM(G4,G6:G13)</f>
        <v>121000</v>
      </c>
      <c r="H3" s="623">
        <f>F3-E3</f>
        <v>728000</v>
      </c>
      <c r="I3" s="432"/>
      <c r="J3" s="95"/>
      <c r="K3" s="628">
        <f>SUM(K4)+SUM(K6:K13)</f>
        <v>131356.26999999999</v>
      </c>
      <c r="L3" s="628">
        <f t="shared" ref="L3:V3" si="0">SUM(L4)+SUM(L6:L13)</f>
        <v>10000</v>
      </c>
      <c r="M3" s="628">
        <f t="shared" si="0"/>
        <v>10000</v>
      </c>
      <c r="N3" s="628">
        <f t="shared" si="0"/>
        <v>20000</v>
      </c>
      <c r="O3" s="628">
        <f t="shared" si="0"/>
        <v>60000</v>
      </c>
      <c r="P3" s="628">
        <f t="shared" si="0"/>
        <v>1288643.73</v>
      </c>
      <c r="Q3" s="628">
        <f t="shared" si="0"/>
        <v>80000</v>
      </c>
      <c r="R3" s="628">
        <f t="shared" si="0"/>
        <v>30000</v>
      </c>
      <c r="S3" s="628">
        <f t="shared" si="0"/>
        <v>10000</v>
      </c>
      <c r="T3" s="628">
        <f t="shared" si="0"/>
        <v>10000</v>
      </c>
      <c r="U3" s="628">
        <f t="shared" si="0"/>
        <v>0</v>
      </c>
      <c r="V3" s="628">
        <f t="shared" si="0"/>
        <v>950000</v>
      </c>
    </row>
    <row r="4" spans="1:22">
      <c r="A4" s="73">
        <v>1750000</v>
      </c>
      <c r="C4" s="2" t="s">
        <v>5189</v>
      </c>
      <c r="D4" s="22" t="s">
        <v>5190</v>
      </c>
      <c r="E4" s="58">
        <v>2250000</v>
      </c>
      <c r="F4" s="336">
        <v>2607000</v>
      </c>
      <c r="G4" s="626"/>
      <c r="H4" s="624">
        <f>F4-SUM(K4:V4)</f>
        <v>707000</v>
      </c>
      <c r="I4" s="58"/>
      <c r="J4" s="95"/>
      <c r="K4" s="228">
        <v>31356.27</v>
      </c>
      <c r="L4" s="229"/>
      <c r="M4" s="222"/>
      <c r="N4" s="229"/>
      <c r="O4" s="222"/>
      <c r="P4" s="229">
        <f>950000-SUM(K4:O4)</f>
        <v>918643.73</v>
      </c>
      <c r="Q4" s="222"/>
      <c r="R4" s="229"/>
      <c r="S4" s="222"/>
      <c r="T4" s="229"/>
      <c r="U4" s="222"/>
      <c r="V4" s="228">
        <f>950000-SUM(Q4:U4)</f>
        <v>950000</v>
      </c>
    </row>
    <row r="5" spans="1:22">
      <c r="A5" s="47" t="s">
        <v>5191</v>
      </c>
      <c r="C5" s="736" t="s">
        <v>33</v>
      </c>
      <c r="D5" s="737" t="s">
        <v>5267</v>
      </c>
      <c r="E5" s="738"/>
      <c r="F5" s="739"/>
      <c r="G5" s="740"/>
      <c r="H5" s="741"/>
      <c r="I5" s="738"/>
      <c r="J5" s="95"/>
      <c r="K5" s="742">
        <v>30000</v>
      </c>
      <c r="L5" s="743">
        <v>50000</v>
      </c>
      <c r="M5" s="744">
        <v>100000</v>
      </c>
      <c r="N5" s="743">
        <v>200000</v>
      </c>
      <c r="O5" s="744">
        <v>50000</v>
      </c>
      <c r="P5" s="743">
        <v>300000</v>
      </c>
      <c r="Q5" s="744">
        <v>270000</v>
      </c>
      <c r="R5" s="743">
        <v>50000</v>
      </c>
      <c r="S5" s="744">
        <v>300000</v>
      </c>
      <c r="T5" s="743">
        <v>250000</v>
      </c>
      <c r="U5" s="744">
        <v>150000</v>
      </c>
      <c r="V5" s="742">
        <v>150000</v>
      </c>
    </row>
    <row r="6" spans="1:22" ht="15" thickBot="1">
      <c r="A6" s="79">
        <f>ESTATES!A8</f>
        <v>8765967.3430000022</v>
      </c>
      <c r="C6" s="2" t="s">
        <v>5192</v>
      </c>
      <c r="D6" s="22" t="s">
        <v>5193</v>
      </c>
      <c r="E6" s="58">
        <v>350000</v>
      </c>
      <c r="F6" s="336">
        <v>400000</v>
      </c>
      <c r="G6" s="626"/>
      <c r="H6" s="624">
        <f>F6-E6</f>
        <v>50000</v>
      </c>
      <c r="I6" s="58"/>
      <c r="J6" s="95"/>
      <c r="K6" s="228"/>
      <c r="L6" s="229">
        <v>10000</v>
      </c>
      <c r="M6" s="222">
        <v>10000</v>
      </c>
      <c r="N6" s="229">
        <v>20000</v>
      </c>
      <c r="O6" s="222">
        <v>10000</v>
      </c>
      <c r="P6" s="229">
        <v>250000</v>
      </c>
      <c r="Q6" s="222">
        <v>50000</v>
      </c>
      <c r="R6" s="229">
        <v>30000</v>
      </c>
      <c r="S6" s="222">
        <v>10000</v>
      </c>
      <c r="T6" s="229">
        <v>10000</v>
      </c>
      <c r="U6" s="222"/>
      <c r="V6" s="228"/>
    </row>
    <row r="7" spans="1:22">
      <c r="C7" s="2" t="s">
        <v>5194</v>
      </c>
      <c r="D7" s="22" t="s">
        <v>5195</v>
      </c>
      <c r="E7" s="58"/>
      <c r="F7" s="336"/>
      <c r="G7" s="626"/>
      <c r="H7" s="624">
        <f>F7-E7</f>
        <v>0</v>
      </c>
      <c r="I7" s="58"/>
      <c r="J7" s="95"/>
      <c r="K7" s="228"/>
      <c r="L7" s="229"/>
      <c r="M7" s="222"/>
      <c r="N7" s="229"/>
      <c r="O7" s="222"/>
      <c r="P7" s="229"/>
      <c r="Q7" s="222"/>
      <c r="R7" s="229"/>
      <c r="S7" s="222"/>
      <c r="T7" s="229"/>
      <c r="U7" s="222"/>
      <c r="V7" s="228"/>
    </row>
    <row r="8" spans="1:22" ht="15" thickBot="1">
      <c r="C8" s="2" t="s">
        <v>5196</v>
      </c>
      <c r="D8" s="22" t="s">
        <v>5197</v>
      </c>
      <c r="E8" s="58">
        <v>0</v>
      </c>
      <c r="F8" s="336">
        <f>SUM(K8:V8)</f>
        <v>200000</v>
      </c>
      <c r="G8" s="626"/>
      <c r="H8" s="624"/>
      <c r="I8" s="58"/>
      <c r="J8" s="95"/>
      <c r="K8" s="228"/>
      <c r="L8" s="229"/>
      <c r="M8" s="222"/>
      <c r="N8" s="229"/>
      <c r="O8" s="222">
        <v>50000</v>
      </c>
      <c r="P8" s="229">
        <v>120000</v>
      </c>
      <c r="Q8" s="222">
        <v>30000</v>
      </c>
      <c r="R8" s="229"/>
      <c r="S8" s="222"/>
      <c r="T8" s="229"/>
      <c r="U8" s="222"/>
      <c r="V8" s="228"/>
    </row>
    <row r="9" spans="1:22">
      <c r="A9" s="44" t="s">
        <v>5200</v>
      </c>
      <c r="C9" s="2" t="s">
        <v>5198</v>
      </c>
      <c r="D9" s="22" t="s">
        <v>5199</v>
      </c>
      <c r="E9" s="58"/>
      <c r="F9" s="336"/>
      <c r="G9" s="626"/>
      <c r="H9" s="624"/>
      <c r="I9" s="58"/>
      <c r="J9" s="95"/>
      <c r="K9" s="228"/>
      <c r="L9" s="229"/>
      <c r="M9" s="222"/>
      <c r="N9" s="229"/>
      <c r="O9" s="222"/>
      <c r="P9" s="229"/>
      <c r="Q9" s="222"/>
      <c r="R9" s="229"/>
      <c r="S9" s="222"/>
      <c r="T9" s="229"/>
      <c r="U9" s="222"/>
      <c r="V9" s="228"/>
    </row>
    <row r="10" spans="1:22">
      <c r="A10" s="73">
        <f>E15</f>
        <v>245878.52000000002</v>
      </c>
      <c r="C10" s="2" t="s">
        <v>5201</v>
      </c>
      <c r="D10" s="22" t="s">
        <v>5202</v>
      </c>
      <c r="E10" s="58"/>
      <c r="F10" s="336"/>
      <c r="G10" s="626"/>
      <c r="H10" s="624"/>
      <c r="I10" s="58"/>
      <c r="J10" s="95"/>
      <c r="K10" s="228"/>
      <c r="L10" s="229"/>
      <c r="M10" s="222"/>
      <c r="N10" s="229"/>
      <c r="O10" s="222"/>
      <c r="P10" s="229"/>
      <c r="Q10" s="222"/>
      <c r="R10" s="229"/>
      <c r="S10" s="222"/>
      <c r="T10" s="229"/>
      <c r="U10" s="222"/>
      <c r="V10" s="228"/>
    </row>
    <row r="11" spans="1:22">
      <c r="A11" s="47" t="s">
        <v>5205</v>
      </c>
      <c r="C11" s="2" t="s">
        <v>5203</v>
      </c>
      <c r="D11" s="22" t="s">
        <v>5204</v>
      </c>
      <c r="E11" s="58" t="s">
        <v>88</v>
      </c>
      <c r="F11" s="336"/>
      <c r="G11" s="626"/>
      <c r="H11" s="624"/>
      <c r="I11" s="58"/>
      <c r="J11" s="95"/>
      <c r="K11" s="228"/>
      <c r="L11" s="229"/>
      <c r="M11" s="222"/>
      <c r="N11" s="229"/>
      <c r="O11" s="222"/>
      <c r="P11" s="229"/>
      <c r="Q11" s="222"/>
      <c r="R11" s="229"/>
      <c r="S11" s="222"/>
      <c r="T11" s="229"/>
      <c r="U11" s="222"/>
      <c r="V11" s="228"/>
    </row>
    <row r="12" spans="1:22" ht="15" thickBot="1">
      <c r="A12" s="79">
        <f>H15</f>
        <v>120121</v>
      </c>
      <c r="C12" s="2" t="s">
        <v>5206</v>
      </c>
      <c r="D12" s="22" t="s">
        <v>5207</v>
      </c>
      <c r="E12" s="58"/>
      <c r="F12" s="336"/>
      <c r="G12" s="626"/>
      <c r="H12" s="624"/>
      <c r="I12" s="58"/>
      <c r="J12" s="95"/>
      <c r="K12" s="228"/>
      <c r="L12" s="229"/>
      <c r="M12" s="222"/>
      <c r="N12" s="229"/>
      <c r="O12" s="222"/>
      <c r="P12" s="229"/>
      <c r="Q12" s="222"/>
      <c r="R12" s="229"/>
      <c r="S12" s="222"/>
      <c r="T12" s="229"/>
      <c r="U12" s="222"/>
      <c r="V12" s="228"/>
    </row>
    <row r="13" spans="1:22">
      <c r="C13" s="2" t="s">
        <v>5208</v>
      </c>
      <c r="D13" s="22" t="s">
        <v>5268</v>
      </c>
      <c r="E13" s="60">
        <v>0</v>
      </c>
      <c r="F13" s="336">
        <v>121000</v>
      </c>
      <c r="G13" s="627">
        <v>121000</v>
      </c>
      <c r="H13" s="624"/>
      <c r="I13" s="58"/>
      <c r="J13" s="95"/>
      <c r="K13" s="228">
        <v>100000</v>
      </c>
      <c r="L13" s="229"/>
      <c r="M13" s="222"/>
      <c r="N13" s="229"/>
      <c r="O13" s="222"/>
      <c r="P13" s="229"/>
      <c r="Q13" s="222"/>
      <c r="R13" s="229"/>
      <c r="S13" s="222"/>
      <c r="T13" s="229"/>
      <c r="U13" s="222"/>
      <c r="V13" s="228"/>
    </row>
    <row r="14" spans="1:22" ht="15" thickBot="1">
      <c r="C14" s="69" t="s">
        <v>5210</v>
      </c>
      <c r="D14" s="70"/>
      <c r="E14" s="71"/>
      <c r="F14" s="71"/>
      <c r="G14" s="71"/>
      <c r="H14" s="71"/>
      <c r="I14" s="71"/>
      <c r="J14" s="32"/>
      <c r="K14" s="82"/>
      <c r="L14" s="82"/>
      <c r="M14" s="82"/>
      <c r="N14" s="82"/>
      <c r="O14" s="82"/>
      <c r="P14" s="82"/>
      <c r="Q14" s="82"/>
      <c r="R14" s="82"/>
      <c r="S14" s="82"/>
      <c r="T14" s="82"/>
      <c r="U14" s="82"/>
      <c r="V14" s="88"/>
    </row>
    <row r="15" spans="1:22">
      <c r="C15" s="55" t="s">
        <v>5188</v>
      </c>
      <c r="D15" s="51"/>
      <c r="E15" s="162">
        <f>SUM(E16:E81)</f>
        <v>245878.52000000002</v>
      </c>
      <c r="F15" s="622">
        <f>SUM(F16:F81)</f>
        <v>271262</v>
      </c>
      <c r="G15" s="467">
        <f>SUM(G16:G81)</f>
        <v>151141</v>
      </c>
      <c r="H15" s="162">
        <f>F15-G15</f>
        <v>120121</v>
      </c>
      <c r="I15" s="162"/>
      <c r="J15" s="95"/>
      <c r="K15" s="628">
        <v>23847.279999999999</v>
      </c>
      <c r="L15" s="629">
        <v>15938</v>
      </c>
      <c r="M15" s="630">
        <v>16786.5</v>
      </c>
      <c r="N15" s="629">
        <v>29784.25</v>
      </c>
      <c r="O15" s="630">
        <v>33396</v>
      </c>
      <c r="P15" s="629">
        <v>13550.5</v>
      </c>
      <c r="Q15" s="630">
        <v>45608.5</v>
      </c>
      <c r="R15" s="629">
        <v>19995.25</v>
      </c>
      <c r="S15" s="630">
        <v>8721</v>
      </c>
      <c r="T15" s="629">
        <v>22625.5</v>
      </c>
      <c r="U15" s="630">
        <v>6218</v>
      </c>
      <c r="V15" s="631">
        <v>4700.5</v>
      </c>
    </row>
    <row r="16" spans="1:22">
      <c r="C16" s="2">
        <v>51000</v>
      </c>
      <c r="D16" s="22" t="s">
        <v>5211</v>
      </c>
      <c r="E16" s="58">
        <v>5435</v>
      </c>
      <c r="F16" s="286">
        <v>5435</v>
      </c>
      <c r="G16" s="286">
        <v>630</v>
      </c>
      <c r="H16" s="286">
        <f>F16-G16</f>
        <v>4805</v>
      </c>
      <c r="I16" s="223"/>
      <c r="J16" s="95"/>
      <c r="K16" s="228">
        <v>900</v>
      </c>
      <c r="L16" s="229"/>
      <c r="M16" s="222"/>
      <c r="N16" s="229">
        <v>900</v>
      </c>
      <c r="O16" s="222"/>
      <c r="P16" s="229">
        <v>1835</v>
      </c>
      <c r="Q16" s="222">
        <v>900</v>
      </c>
      <c r="R16" s="229"/>
      <c r="S16" s="222"/>
      <c r="T16" s="229">
        <v>900</v>
      </c>
      <c r="U16" s="222"/>
      <c r="V16" s="228"/>
    </row>
    <row r="17" spans="3:22">
      <c r="C17" s="2">
        <v>51100</v>
      </c>
      <c r="D17" s="22" t="s">
        <v>5212</v>
      </c>
      <c r="E17" s="58"/>
      <c r="F17" s="286"/>
      <c r="G17" s="286"/>
      <c r="H17" s="286"/>
      <c r="I17" s="223"/>
      <c r="J17" s="95"/>
      <c r="K17" s="228"/>
      <c r="L17" s="229"/>
      <c r="M17" s="222"/>
      <c r="N17" s="229"/>
      <c r="O17" s="222"/>
      <c r="P17" s="229"/>
      <c r="Q17" s="222"/>
      <c r="R17" s="229"/>
      <c r="S17" s="222"/>
      <c r="T17" s="229"/>
      <c r="U17" s="222"/>
      <c r="V17" s="228"/>
    </row>
    <row r="18" spans="3:22">
      <c r="C18" s="2">
        <v>51200</v>
      </c>
      <c r="D18" s="22" t="s">
        <v>5213</v>
      </c>
      <c r="E18" s="58"/>
      <c r="F18" s="286"/>
      <c r="G18" s="286"/>
      <c r="H18" s="286"/>
      <c r="I18" s="223"/>
      <c r="J18" s="95"/>
      <c r="K18" s="228"/>
      <c r="L18" s="229"/>
      <c r="M18" s="222"/>
      <c r="N18" s="229"/>
      <c r="O18" s="222"/>
      <c r="P18" s="229"/>
      <c r="Q18" s="222"/>
      <c r="R18" s="229"/>
      <c r="S18" s="222"/>
      <c r="T18" s="229"/>
      <c r="U18" s="222"/>
      <c r="V18" s="228"/>
    </row>
    <row r="19" spans="3:22">
      <c r="C19" s="2">
        <v>51300</v>
      </c>
      <c r="D19" s="22" t="s">
        <v>5214</v>
      </c>
      <c r="E19" s="58">
        <v>8415</v>
      </c>
      <c r="F19" s="286">
        <v>8415</v>
      </c>
      <c r="G19" s="286">
        <v>6311</v>
      </c>
      <c r="H19" s="286">
        <f>F19-G19</f>
        <v>2104</v>
      </c>
      <c r="I19" s="223"/>
      <c r="J19" s="95"/>
      <c r="K19" s="228"/>
      <c r="L19" s="229"/>
      <c r="M19" s="222">
        <v>2000</v>
      </c>
      <c r="N19" s="229">
        <v>500</v>
      </c>
      <c r="O19" s="222">
        <v>2000</v>
      </c>
      <c r="P19" s="229">
        <v>500</v>
      </c>
      <c r="Q19" s="222">
        <v>200</v>
      </c>
      <c r="R19" s="229">
        <v>2000</v>
      </c>
      <c r="S19" s="222">
        <v>300</v>
      </c>
      <c r="T19" s="229">
        <v>2000</v>
      </c>
      <c r="U19" s="222"/>
      <c r="V19" s="228"/>
    </row>
    <row r="20" spans="3:22">
      <c r="C20" s="2">
        <v>51400</v>
      </c>
      <c r="D20" s="22" t="s">
        <v>5215</v>
      </c>
      <c r="E20" s="58"/>
      <c r="F20" s="286"/>
      <c r="G20" s="286"/>
      <c r="H20" s="286"/>
      <c r="I20" s="223"/>
      <c r="J20" s="95"/>
      <c r="K20" s="228"/>
      <c r="L20" s="229"/>
      <c r="M20" s="222"/>
      <c r="N20" s="229"/>
      <c r="O20" s="222"/>
      <c r="P20" s="229"/>
      <c r="Q20" s="222"/>
      <c r="R20" s="229"/>
      <c r="S20" s="222"/>
      <c r="T20" s="229"/>
      <c r="U20" s="222"/>
      <c r="V20" s="228"/>
    </row>
    <row r="21" spans="3:22">
      <c r="C21" s="2">
        <v>51500</v>
      </c>
      <c r="D21" s="22" t="s">
        <v>5216</v>
      </c>
      <c r="E21" s="58"/>
      <c r="F21" s="286"/>
      <c r="G21" s="286"/>
      <c r="H21" s="286"/>
      <c r="I21" s="223"/>
      <c r="J21" s="95"/>
      <c r="K21" s="228"/>
      <c r="L21" s="229"/>
      <c r="M21" s="222"/>
      <c r="N21" s="229"/>
      <c r="O21" s="222"/>
      <c r="P21" s="229"/>
      <c r="Q21" s="222"/>
      <c r="R21" s="229"/>
      <c r="S21" s="222"/>
      <c r="T21" s="229"/>
      <c r="U21" s="222"/>
      <c r="V21" s="228"/>
    </row>
    <row r="22" spans="3:22">
      <c r="C22" s="2">
        <v>51600</v>
      </c>
      <c r="D22" s="22" t="s">
        <v>5217</v>
      </c>
      <c r="E22" s="58"/>
      <c r="F22" s="286"/>
      <c r="G22" s="286"/>
      <c r="H22" s="286"/>
      <c r="I22" s="223"/>
      <c r="J22" s="95"/>
      <c r="K22" s="228"/>
      <c r="L22" s="229"/>
      <c r="M22" s="222"/>
      <c r="N22" s="229"/>
      <c r="O22" s="222"/>
      <c r="P22" s="229"/>
      <c r="Q22" s="222"/>
      <c r="R22" s="229"/>
      <c r="S22" s="222"/>
      <c r="T22" s="229"/>
      <c r="U22" s="222"/>
      <c r="V22" s="228"/>
    </row>
    <row r="23" spans="3:22">
      <c r="C23" s="2">
        <v>51700</v>
      </c>
      <c r="D23" s="22" t="s">
        <v>5218</v>
      </c>
      <c r="E23" s="58"/>
      <c r="F23" s="286"/>
      <c r="G23" s="286"/>
      <c r="H23" s="286"/>
      <c r="I23" s="223"/>
      <c r="J23" s="95"/>
      <c r="K23" s="228"/>
      <c r="L23" s="229"/>
      <c r="M23" s="222"/>
      <c r="N23" s="229"/>
      <c r="O23" s="222"/>
      <c r="P23" s="229"/>
      <c r="Q23" s="222"/>
      <c r="R23" s="229"/>
      <c r="S23" s="222"/>
      <c r="T23" s="229"/>
      <c r="U23" s="222"/>
      <c r="V23" s="228"/>
    </row>
    <row r="24" spans="3:22">
      <c r="C24" s="2">
        <v>51800</v>
      </c>
      <c r="D24" s="22" t="s">
        <v>5219</v>
      </c>
      <c r="E24" s="58">
        <v>1500</v>
      </c>
      <c r="F24" s="286">
        <v>3000</v>
      </c>
      <c r="G24" s="286">
        <v>90</v>
      </c>
      <c r="H24" s="286">
        <f>F24-G24</f>
        <v>2910</v>
      </c>
      <c r="I24" s="223"/>
      <c r="J24" s="95"/>
      <c r="K24" s="228"/>
      <c r="L24" s="229"/>
      <c r="M24" s="222"/>
      <c r="N24" s="229"/>
      <c r="O24" s="222"/>
      <c r="P24" s="229">
        <v>1500</v>
      </c>
      <c r="Q24" s="222"/>
      <c r="R24" s="229"/>
      <c r="S24" s="222"/>
      <c r="T24" s="229">
        <v>2000</v>
      </c>
      <c r="U24" s="222"/>
      <c r="V24" s="228">
        <v>1500</v>
      </c>
    </row>
    <row r="25" spans="3:22">
      <c r="C25" s="2">
        <v>51850</v>
      </c>
      <c r="D25" s="22" t="s">
        <v>5220</v>
      </c>
      <c r="E25" s="58">
        <v>15000</v>
      </c>
      <c r="F25" s="286"/>
      <c r="G25" s="286"/>
      <c r="H25" s="286">
        <f>F25-G25</f>
        <v>0</v>
      </c>
      <c r="I25" s="223"/>
      <c r="J25" s="95"/>
      <c r="K25" s="228">
        <v>2437.5</v>
      </c>
      <c r="L25" s="229">
        <v>2437.5</v>
      </c>
      <c r="M25" s="222">
        <v>2437.5</v>
      </c>
      <c r="N25" s="229">
        <v>2437.5</v>
      </c>
      <c r="O25" s="222">
        <v>2437.5</v>
      </c>
      <c r="P25" s="229">
        <v>2437.5</v>
      </c>
      <c r="Q25" s="222">
        <v>2437.5</v>
      </c>
      <c r="R25" s="229">
        <v>2437.5</v>
      </c>
      <c r="S25" s="222">
        <v>2437.5</v>
      </c>
      <c r="T25" s="229">
        <v>2437.5</v>
      </c>
      <c r="U25" s="222">
        <v>2437.5</v>
      </c>
      <c r="V25" s="228">
        <v>2437.5</v>
      </c>
    </row>
    <row r="26" spans="3:22">
      <c r="C26" s="2">
        <v>52000</v>
      </c>
      <c r="D26" s="22" t="s">
        <v>5221</v>
      </c>
      <c r="E26" s="58"/>
      <c r="F26" s="286"/>
      <c r="G26" s="286"/>
      <c r="H26" s="286"/>
      <c r="I26" s="223"/>
      <c r="J26" s="95"/>
      <c r="K26" s="228"/>
      <c r="L26" s="229"/>
      <c r="M26" s="222"/>
      <c r="N26" s="229"/>
      <c r="O26" s="222"/>
      <c r="P26" s="229"/>
      <c r="Q26" s="222"/>
      <c r="R26" s="229"/>
      <c r="S26" s="222"/>
      <c r="T26" s="229"/>
      <c r="U26" s="222"/>
      <c r="V26" s="228"/>
    </row>
    <row r="27" spans="3:22">
      <c r="C27" s="2">
        <v>52100</v>
      </c>
      <c r="D27" s="22" t="s">
        <v>5222</v>
      </c>
      <c r="E27" s="58">
        <v>300</v>
      </c>
      <c r="F27" s="286">
        <v>300</v>
      </c>
      <c r="G27" s="286">
        <v>0</v>
      </c>
      <c r="H27" s="286">
        <f>F27-G27</f>
        <v>300</v>
      </c>
      <c r="I27" s="223"/>
      <c r="J27" s="95"/>
      <c r="K27" s="228">
        <v>250</v>
      </c>
      <c r="L27" s="229"/>
      <c r="M27" s="222"/>
      <c r="N27" s="229"/>
      <c r="O27" s="222"/>
      <c r="P27" s="229"/>
      <c r="Q27" s="222">
        <v>250</v>
      </c>
      <c r="R27" s="229"/>
      <c r="S27" s="222"/>
      <c r="T27" s="229"/>
      <c r="U27" s="222"/>
      <c r="V27" s="228"/>
    </row>
    <row r="28" spans="3:22">
      <c r="C28" s="2">
        <v>52200</v>
      </c>
      <c r="D28" s="22" t="s">
        <v>5223</v>
      </c>
      <c r="E28" s="58"/>
      <c r="F28" s="286"/>
      <c r="G28" s="286"/>
      <c r="H28" s="286"/>
      <c r="I28" s="223"/>
      <c r="J28" s="95"/>
      <c r="K28" s="228"/>
      <c r="L28" s="229"/>
      <c r="M28" s="222"/>
      <c r="N28" s="229"/>
      <c r="O28" s="222"/>
      <c r="P28" s="229"/>
      <c r="Q28" s="222"/>
      <c r="R28" s="229"/>
      <c r="S28" s="222"/>
      <c r="T28" s="229"/>
      <c r="U28" s="222"/>
      <c r="V28" s="228"/>
    </row>
    <row r="29" spans="3:22">
      <c r="C29" s="2">
        <v>52300</v>
      </c>
      <c r="D29" s="22" t="s">
        <v>5224</v>
      </c>
      <c r="E29" s="58"/>
      <c r="F29" s="286"/>
      <c r="G29" s="286"/>
      <c r="H29" s="286"/>
      <c r="I29" s="223"/>
      <c r="J29" s="95"/>
      <c r="K29" s="228"/>
      <c r="L29" s="229"/>
      <c r="M29" s="222"/>
      <c r="N29" s="229"/>
      <c r="O29" s="222"/>
      <c r="P29" s="229"/>
      <c r="Q29" s="222"/>
      <c r="R29" s="229"/>
      <c r="S29" s="222"/>
      <c r="T29" s="229"/>
      <c r="U29" s="222"/>
      <c r="V29" s="228"/>
    </row>
    <row r="30" spans="3:22">
      <c r="C30" s="2">
        <v>53000</v>
      </c>
      <c r="D30" s="22" t="s">
        <v>5225</v>
      </c>
      <c r="E30" s="58">
        <v>375</v>
      </c>
      <c r="F30" s="286">
        <v>833</v>
      </c>
      <c r="G30" s="286">
        <v>558</v>
      </c>
      <c r="H30" s="286">
        <f>F30-G30</f>
        <v>275</v>
      </c>
      <c r="I30" s="223"/>
      <c r="J30" s="95"/>
      <c r="K30" s="228">
        <v>250</v>
      </c>
      <c r="L30" s="229"/>
      <c r="M30" s="222"/>
      <c r="N30" s="229"/>
      <c r="O30" s="222"/>
      <c r="P30" s="229"/>
      <c r="Q30" s="222">
        <v>250</v>
      </c>
      <c r="R30" s="229"/>
      <c r="S30" s="222"/>
      <c r="T30" s="229"/>
      <c r="U30" s="222"/>
      <c r="V30" s="228"/>
    </row>
    <row r="31" spans="3:22">
      <c r="C31" s="2">
        <v>53100</v>
      </c>
      <c r="D31" s="22" t="s">
        <v>5226</v>
      </c>
      <c r="E31" s="58"/>
      <c r="F31" s="286"/>
      <c r="G31" s="286"/>
      <c r="H31" s="286"/>
      <c r="I31" s="223"/>
      <c r="J31" s="95"/>
      <c r="K31" s="228"/>
      <c r="L31" s="229"/>
      <c r="M31" s="222"/>
      <c r="N31" s="229"/>
      <c r="O31" s="222"/>
      <c r="P31" s="229"/>
      <c r="Q31" s="222"/>
      <c r="R31" s="229"/>
      <c r="S31" s="222"/>
      <c r="T31" s="229"/>
      <c r="U31" s="222"/>
      <c r="V31" s="228"/>
    </row>
    <row r="32" spans="3:22">
      <c r="C32" s="2">
        <v>53200</v>
      </c>
      <c r="D32" s="22" t="s">
        <v>5227</v>
      </c>
      <c r="E32" s="58"/>
      <c r="F32" s="286"/>
      <c r="G32" s="286"/>
      <c r="H32" s="286"/>
      <c r="I32" s="223"/>
      <c r="J32" s="95"/>
      <c r="K32" s="228"/>
      <c r="L32" s="229"/>
      <c r="M32" s="222"/>
      <c r="N32" s="229"/>
      <c r="O32" s="222"/>
      <c r="P32" s="229"/>
      <c r="Q32" s="222"/>
      <c r="R32" s="229"/>
      <c r="S32" s="222"/>
      <c r="T32" s="229"/>
      <c r="U32" s="222"/>
      <c r="V32" s="228"/>
    </row>
    <row r="33" spans="1:22">
      <c r="C33" s="2">
        <v>53300</v>
      </c>
      <c r="D33" s="22" t="s">
        <v>5228</v>
      </c>
      <c r="E33" s="58">
        <v>1676.24</v>
      </c>
      <c r="F33" s="286">
        <v>2766</v>
      </c>
      <c r="G33" s="286">
        <v>36325</v>
      </c>
      <c r="H33" s="285">
        <f>F33-G33</f>
        <v>-33559</v>
      </c>
      <c r="I33" s="223"/>
      <c r="J33" s="95"/>
      <c r="K33" s="228">
        <v>50</v>
      </c>
      <c r="L33" s="229">
        <v>50</v>
      </c>
      <c r="M33" s="222">
        <v>50</v>
      </c>
      <c r="N33" s="229">
        <v>50</v>
      </c>
      <c r="O33" s="222">
        <v>50</v>
      </c>
      <c r="P33" s="229">
        <v>50</v>
      </c>
      <c r="Q33" s="222">
        <v>50</v>
      </c>
      <c r="R33" s="229">
        <v>50</v>
      </c>
      <c r="S33" s="222">
        <v>50</v>
      </c>
      <c r="T33" s="229">
        <v>50</v>
      </c>
      <c r="U33" s="222">
        <v>50</v>
      </c>
      <c r="V33" s="228">
        <v>50</v>
      </c>
    </row>
    <row r="34" spans="1:22">
      <c r="C34" s="2">
        <v>54000</v>
      </c>
      <c r="D34" s="22" t="s">
        <v>5229</v>
      </c>
      <c r="E34" s="58">
        <v>180.28</v>
      </c>
      <c r="F34" s="286">
        <v>1180</v>
      </c>
      <c r="G34" s="286"/>
      <c r="H34" s="286">
        <f t="shared" ref="H34:H39" si="1">F34-G34</f>
        <v>1180</v>
      </c>
      <c r="I34" s="223"/>
      <c r="J34" s="95"/>
      <c r="K34" s="228">
        <v>180.28</v>
      </c>
      <c r="L34" s="229"/>
      <c r="M34" s="222"/>
      <c r="N34" s="229"/>
      <c r="O34" s="222"/>
      <c r="P34" s="229"/>
      <c r="Q34" s="222"/>
      <c r="R34" s="229"/>
      <c r="S34" s="222"/>
      <c r="T34" s="229"/>
      <c r="U34" s="222"/>
      <c r="V34" s="228"/>
    </row>
    <row r="35" spans="1:22">
      <c r="C35" s="2">
        <v>55000</v>
      </c>
      <c r="D35" s="22" t="s">
        <v>5230</v>
      </c>
      <c r="E35" s="58">
        <v>3750</v>
      </c>
      <c r="F35" s="286">
        <v>1650</v>
      </c>
      <c r="G35" s="286">
        <v>3806</v>
      </c>
      <c r="H35" s="286">
        <f t="shared" si="1"/>
        <v>-2156</v>
      </c>
      <c r="I35" s="223"/>
      <c r="J35" s="95"/>
      <c r="K35" s="228">
        <v>400</v>
      </c>
      <c r="L35" s="229">
        <v>400</v>
      </c>
      <c r="M35" s="222">
        <v>400</v>
      </c>
      <c r="N35" s="229">
        <v>400</v>
      </c>
      <c r="O35" s="222">
        <v>400</v>
      </c>
      <c r="P35" s="229">
        <v>600</v>
      </c>
      <c r="Q35" s="222">
        <v>400</v>
      </c>
      <c r="R35" s="229">
        <v>400</v>
      </c>
      <c r="S35" s="222">
        <v>400</v>
      </c>
      <c r="T35" s="229">
        <v>400</v>
      </c>
      <c r="U35" s="222">
        <v>400</v>
      </c>
      <c r="V35" s="228">
        <v>400</v>
      </c>
    </row>
    <row r="36" spans="1:22">
      <c r="C36" s="2">
        <v>55100</v>
      </c>
      <c r="D36" s="22" t="s">
        <v>5231</v>
      </c>
      <c r="E36" s="58">
        <v>41000</v>
      </c>
      <c r="F36" s="286">
        <v>31000</v>
      </c>
      <c r="G36" s="286">
        <v>9684</v>
      </c>
      <c r="H36" s="286">
        <f t="shared" si="1"/>
        <v>21316</v>
      </c>
      <c r="I36" s="223"/>
      <c r="J36" s="95"/>
      <c r="K36" s="228">
        <v>2624</v>
      </c>
      <c r="L36" s="229">
        <v>4140</v>
      </c>
      <c r="M36" s="222">
        <v>3624</v>
      </c>
      <c r="N36" s="229">
        <v>850</v>
      </c>
      <c r="O36" s="222">
        <v>7624</v>
      </c>
      <c r="P36" s="229">
        <v>9400</v>
      </c>
      <c r="Q36" s="222">
        <v>1686</v>
      </c>
      <c r="R36" s="229">
        <v>3624</v>
      </c>
      <c r="S36" s="222">
        <v>2000</v>
      </c>
      <c r="T36" s="229">
        <v>3500</v>
      </c>
      <c r="U36" s="222">
        <v>964</v>
      </c>
      <c r="V36" s="228">
        <v>964</v>
      </c>
    </row>
    <row r="37" spans="1:22">
      <c r="C37" s="2">
        <v>55200</v>
      </c>
      <c r="D37" s="22" t="s">
        <v>5232</v>
      </c>
      <c r="E37" s="58">
        <v>10000</v>
      </c>
      <c r="F37" s="286">
        <v>9000</v>
      </c>
      <c r="G37" s="286">
        <v>0</v>
      </c>
      <c r="H37" s="286">
        <f t="shared" si="1"/>
        <v>9000</v>
      </c>
      <c r="I37" s="223"/>
      <c r="J37" s="95"/>
      <c r="K37" s="228"/>
      <c r="L37" s="229">
        <v>2000</v>
      </c>
      <c r="M37" s="222">
        <v>500</v>
      </c>
      <c r="N37" s="229">
        <v>2000</v>
      </c>
      <c r="O37" s="222">
        <v>500</v>
      </c>
      <c r="P37" s="229">
        <v>500</v>
      </c>
      <c r="Q37" s="222">
        <v>2000</v>
      </c>
      <c r="R37" s="229">
        <v>500</v>
      </c>
      <c r="S37" s="222">
        <v>1500</v>
      </c>
      <c r="T37" s="229">
        <v>500</v>
      </c>
      <c r="U37" s="222"/>
      <c r="V37" s="228"/>
    </row>
    <row r="38" spans="1:22">
      <c r="C38" s="2">
        <v>55300</v>
      </c>
      <c r="D38" s="22" t="s">
        <v>5233</v>
      </c>
      <c r="E38" s="58">
        <v>750</v>
      </c>
      <c r="F38" s="286">
        <v>1350</v>
      </c>
      <c r="G38" s="286">
        <v>1856</v>
      </c>
      <c r="H38" s="286">
        <f t="shared" si="1"/>
        <v>-506</v>
      </c>
      <c r="I38" s="223"/>
      <c r="J38" s="95"/>
      <c r="K38" s="228">
        <v>80</v>
      </c>
      <c r="L38" s="229">
        <v>80</v>
      </c>
      <c r="M38" s="222">
        <v>80</v>
      </c>
      <c r="N38" s="229">
        <v>80</v>
      </c>
      <c r="O38" s="222">
        <v>80</v>
      </c>
      <c r="P38" s="229">
        <v>120</v>
      </c>
      <c r="Q38" s="222">
        <v>80</v>
      </c>
      <c r="R38" s="229">
        <v>80</v>
      </c>
      <c r="S38" s="222">
        <v>80</v>
      </c>
      <c r="T38" s="229">
        <v>80</v>
      </c>
      <c r="U38" s="222">
        <v>80</v>
      </c>
      <c r="V38" s="228">
        <v>80</v>
      </c>
    </row>
    <row r="39" spans="1:22">
      <c r="C39" s="2">
        <v>56000</v>
      </c>
      <c r="D39" s="22" t="s">
        <v>5234</v>
      </c>
      <c r="E39" s="58">
        <v>79000</v>
      </c>
      <c r="F39" s="286">
        <v>68000</v>
      </c>
      <c r="G39" s="286">
        <v>10620</v>
      </c>
      <c r="H39" s="286">
        <f t="shared" si="1"/>
        <v>57380</v>
      </c>
      <c r="I39" s="223"/>
      <c r="J39" s="95"/>
      <c r="K39" s="228">
        <v>7437</v>
      </c>
      <c r="L39" s="229">
        <v>3375</v>
      </c>
      <c r="M39" s="222">
        <v>7437</v>
      </c>
      <c r="N39" s="229">
        <v>11650</v>
      </c>
      <c r="O39" s="222">
        <v>19812</v>
      </c>
      <c r="P39" s="229">
        <v>1250</v>
      </c>
      <c r="Q39" s="222">
        <v>17227</v>
      </c>
      <c r="R39" s="229">
        <v>7437</v>
      </c>
      <c r="S39" s="222"/>
      <c r="T39" s="229">
        <v>3375</v>
      </c>
      <c r="U39" s="222"/>
      <c r="V39" s="228"/>
    </row>
    <row r="40" spans="1:22">
      <c r="C40" s="2">
        <v>56100</v>
      </c>
      <c r="D40" s="22" t="s">
        <v>5235</v>
      </c>
      <c r="E40" s="58"/>
      <c r="F40" s="286"/>
      <c r="G40" s="286"/>
      <c r="H40" s="286"/>
      <c r="I40" s="223"/>
      <c r="J40" s="95"/>
      <c r="K40" s="228"/>
      <c r="L40" s="229"/>
      <c r="M40" s="222"/>
      <c r="N40" s="229"/>
      <c r="O40" s="222"/>
      <c r="P40" s="229"/>
      <c r="Q40" s="222"/>
      <c r="R40" s="229"/>
      <c r="S40" s="222"/>
      <c r="T40" s="229"/>
      <c r="U40" s="222"/>
      <c r="V40" s="228"/>
    </row>
    <row r="41" spans="1:22">
      <c r="C41" s="2">
        <v>56500</v>
      </c>
      <c r="D41" s="22" t="s">
        <v>5236</v>
      </c>
      <c r="E41" s="58">
        <v>24000</v>
      </c>
      <c r="F41" s="286">
        <v>24000</v>
      </c>
      <c r="G41" s="286">
        <v>24222</v>
      </c>
      <c r="H41" s="286">
        <f>F41-G41</f>
        <v>-222</v>
      </c>
      <c r="I41" s="223"/>
      <c r="J41" s="95"/>
      <c r="K41" s="228">
        <v>6000</v>
      </c>
      <c r="L41" s="229"/>
      <c r="M41" s="222"/>
      <c r="N41" s="229">
        <v>6000</v>
      </c>
      <c r="O41" s="222"/>
      <c r="P41" s="229"/>
      <c r="Q41" s="222">
        <v>6000</v>
      </c>
      <c r="R41" s="229"/>
      <c r="S41" s="222"/>
      <c r="T41" s="229">
        <v>6000</v>
      </c>
      <c r="U41" s="222"/>
      <c r="V41" s="228"/>
    </row>
    <row r="42" spans="1:22">
      <c r="C42" s="2">
        <v>57100</v>
      </c>
      <c r="D42" s="22" t="s">
        <v>5237</v>
      </c>
      <c r="E42" s="58"/>
      <c r="F42" s="286">
        <v>8000</v>
      </c>
      <c r="G42" s="286">
        <v>6000</v>
      </c>
      <c r="H42" s="286">
        <f>F42-G42</f>
        <v>2000</v>
      </c>
      <c r="I42" s="223"/>
      <c r="J42" s="95"/>
      <c r="K42" s="228"/>
      <c r="L42" s="229"/>
      <c r="M42" s="222"/>
      <c r="N42" s="229"/>
      <c r="O42" s="222"/>
      <c r="P42" s="229"/>
      <c r="Q42" s="222"/>
      <c r="R42" s="229"/>
      <c r="S42" s="222"/>
      <c r="T42" s="229"/>
      <c r="U42" s="222"/>
      <c r="V42" s="228"/>
    </row>
    <row r="43" spans="1:22">
      <c r="C43" s="2">
        <v>57200</v>
      </c>
      <c r="D43" s="22" t="s">
        <v>5238</v>
      </c>
      <c r="E43" s="58">
        <v>1200</v>
      </c>
      <c r="F43" s="286">
        <v>1200</v>
      </c>
      <c r="G43" s="286">
        <v>223</v>
      </c>
      <c r="H43" s="286">
        <f>F43-G43</f>
        <v>977</v>
      </c>
      <c r="I43" s="223"/>
      <c r="J43" s="95"/>
      <c r="K43" s="228"/>
      <c r="L43" s="229"/>
      <c r="M43" s="222"/>
      <c r="N43" s="229">
        <v>1200</v>
      </c>
      <c r="O43" s="222"/>
      <c r="P43" s="229"/>
      <c r="Q43" s="222"/>
      <c r="R43" s="229"/>
      <c r="S43" s="222"/>
      <c r="T43" s="229"/>
      <c r="U43" s="222"/>
      <c r="V43" s="228"/>
    </row>
    <row r="44" spans="1:22">
      <c r="C44" s="2">
        <v>58000</v>
      </c>
      <c r="D44" s="22" t="s">
        <v>5239</v>
      </c>
      <c r="E44" s="58"/>
      <c r="F44" s="286"/>
      <c r="G44" s="286"/>
      <c r="H44" s="286"/>
      <c r="I44" s="223"/>
      <c r="J44" s="95"/>
      <c r="K44" s="228"/>
      <c r="L44" s="229"/>
      <c r="M44" s="222"/>
      <c r="N44" s="229"/>
      <c r="O44" s="222"/>
      <c r="P44" s="229"/>
      <c r="Q44" s="222"/>
      <c r="R44" s="229"/>
      <c r="S44" s="222"/>
      <c r="T44" s="229"/>
      <c r="U44" s="222"/>
      <c r="V44" s="228"/>
    </row>
    <row r="45" spans="1:22">
      <c r="C45" s="2">
        <v>58100</v>
      </c>
      <c r="D45" s="22" t="s">
        <v>5240</v>
      </c>
      <c r="E45" s="58"/>
      <c r="F45" s="286"/>
      <c r="G45" s="286"/>
      <c r="H45" s="286"/>
      <c r="I45" s="223"/>
      <c r="J45" s="95"/>
      <c r="K45" s="228"/>
      <c r="L45" s="229"/>
      <c r="M45" s="222"/>
      <c r="N45" s="229"/>
      <c r="O45" s="222"/>
      <c r="P45" s="229"/>
      <c r="Q45" s="222"/>
      <c r="R45" s="229"/>
      <c r="S45" s="222"/>
      <c r="T45" s="229"/>
      <c r="U45" s="222"/>
      <c r="V45" s="228"/>
    </row>
    <row r="46" spans="1:22">
      <c r="C46" s="2">
        <v>58200</v>
      </c>
      <c r="D46" s="22" t="s">
        <v>5241</v>
      </c>
      <c r="E46" s="58"/>
      <c r="F46" s="286"/>
      <c r="G46" s="286"/>
      <c r="H46" s="286"/>
      <c r="I46" s="223"/>
      <c r="J46" s="95"/>
      <c r="K46" s="228"/>
      <c r="L46" s="229"/>
      <c r="M46" s="222"/>
      <c r="N46" s="229"/>
      <c r="O46" s="222"/>
      <c r="P46" s="229"/>
      <c r="Q46" s="222"/>
      <c r="R46" s="229"/>
      <c r="S46" s="222"/>
      <c r="T46" s="229"/>
      <c r="U46" s="222"/>
      <c r="V46" s="228"/>
    </row>
    <row r="47" spans="1:22">
      <c r="C47" s="2">
        <v>58300</v>
      </c>
      <c r="D47" s="22" t="s">
        <v>5242</v>
      </c>
      <c r="E47" s="58">
        <v>436</v>
      </c>
      <c r="F47" s="286">
        <v>725</v>
      </c>
      <c r="G47" s="286">
        <v>255</v>
      </c>
      <c r="H47" s="286">
        <f t="shared" ref="H47:H55" si="2">F47-G47</f>
        <v>470</v>
      </c>
      <c r="I47" s="223"/>
      <c r="J47" s="95"/>
      <c r="K47" s="228"/>
      <c r="L47" s="229"/>
      <c r="M47" s="222"/>
      <c r="N47" s="229"/>
      <c r="O47" s="222"/>
      <c r="P47" s="229"/>
      <c r="Q47" s="222">
        <v>436</v>
      </c>
      <c r="R47" s="229"/>
      <c r="S47" s="222"/>
      <c r="T47" s="229"/>
      <c r="U47" s="222"/>
      <c r="V47" s="228"/>
    </row>
    <row r="48" spans="1:22">
      <c r="A48" s="200"/>
      <c r="B48" s="498" t="s">
        <v>2510</v>
      </c>
      <c r="C48" s="212">
        <v>59110</v>
      </c>
      <c r="D48" s="200" t="s">
        <v>5243</v>
      </c>
      <c r="E48" s="201">
        <v>2475</v>
      </c>
      <c r="F48" s="201">
        <v>5475</v>
      </c>
      <c r="G48" s="468">
        <v>1589</v>
      </c>
      <c r="H48" s="468">
        <f t="shared" si="2"/>
        <v>3886</v>
      </c>
      <c r="I48" s="237"/>
      <c r="J48" s="95"/>
      <c r="K48" s="234">
        <v>297.5</v>
      </c>
      <c r="L48" s="235">
        <v>297.5</v>
      </c>
      <c r="M48" s="236">
        <v>75</v>
      </c>
      <c r="N48" s="235">
        <v>321.25</v>
      </c>
      <c r="O48" s="236">
        <v>247.5</v>
      </c>
      <c r="P48" s="235">
        <v>75</v>
      </c>
      <c r="Q48" s="236">
        <v>245</v>
      </c>
      <c r="R48" s="235">
        <v>221.25</v>
      </c>
      <c r="S48" s="236">
        <v>297.5</v>
      </c>
      <c r="T48" s="235">
        <v>50</v>
      </c>
      <c r="U48" s="236">
        <v>297.5</v>
      </c>
      <c r="V48" s="234">
        <v>50</v>
      </c>
    </row>
    <row r="49" spans="1:22" ht="16.5" customHeight="1">
      <c r="C49" s="212">
        <v>59120</v>
      </c>
      <c r="D49" s="200" t="s">
        <v>5244</v>
      </c>
      <c r="E49" s="201">
        <v>2500</v>
      </c>
      <c r="F49" s="201">
        <v>6500</v>
      </c>
      <c r="G49" s="468">
        <v>4881</v>
      </c>
      <c r="H49" s="468">
        <f t="shared" si="2"/>
        <v>1619</v>
      </c>
      <c r="I49" s="237"/>
      <c r="J49" s="95"/>
      <c r="K49" s="234">
        <v>600</v>
      </c>
      <c r="L49" s="235">
        <v>600</v>
      </c>
      <c r="M49" s="236"/>
      <c r="N49" s="235">
        <v>900</v>
      </c>
      <c r="O49" s="236">
        <v>600</v>
      </c>
      <c r="P49" s="235"/>
      <c r="Q49" s="236">
        <v>1200</v>
      </c>
      <c r="R49" s="235">
        <v>900</v>
      </c>
      <c r="S49" s="236">
        <v>600</v>
      </c>
      <c r="T49" s="235"/>
      <c r="U49" s="236">
        <v>600</v>
      </c>
      <c r="V49" s="234"/>
    </row>
    <row r="50" spans="1:22">
      <c r="B50" s="497"/>
      <c r="C50" s="212">
        <v>59130</v>
      </c>
      <c r="D50" s="200" t="s">
        <v>5245</v>
      </c>
      <c r="E50" s="201">
        <v>2500</v>
      </c>
      <c r="F50" s="201">
        <v>5900</v>
      </c>
      <c r="G50" s="468">
        <v>301</v>
      </c>
      <c r="H50" s="468">
        <f t="shared" si="2"/>
        <v>5599</v>
      </c>
      <c r="I50" s="237"/>
      <c r="J50" s="95"/>
      <c r="K50" s="234">
        <v>775</v>
      </c>
      <c r="L50" s="235">
        <v>775</v>
      </c>
      <c r="M50" s="236"/>
      <c r="N50" s="235">
        <v>1162.5</v>
      </c>
      <c r="O50" s="236">
        <v>775</v>
      </c>
      <c r="P50" s="235"/>
      <c r="Q50" s="236">
        <v>1550</v>
      </c>
      <c r="R50" s="235">
        <v>1162.5</v>
      </c>
      <c r="S50" s="236">
        <v>775</v>
      </c>
      <c r="T50" s="235"/>
      <c r="U50" s="236">
        <v>775</v>
      </c>
      <c r="V50" s="234"/>
    </row>
    <row r="51" spans="1:22">
      <c r="C51" s="212">
        <v>59140</v>
      </c>
      <c r="D51" s="200" t="s">
        <v>5246</v>
      </c>
      <c r="E51" s="201">
        <v>500</v>
      </c>
      <c r="F51" s="201">
        <v>4600</v>
      </c>
      <c r="G51" s="468">
        <v>1329</v>
      </c>
      <c r="H51" s="468">
        <f t="shared" si="2"/>
        <v>3271</v>
      </c>
      <c r="I51" s="237"/>
      <c r="J51" s="95"/>
      <c r="K51" s="234">
        <v>50</v>
      </c>
      <c r="L51" s="235">
        <v>50</v>
      </c>
      <c r="M51" s="236"/>
      <c r="N51" s="235">
        <v>75</v>
      </c>
      <c r="O51" s="236">
        <v>50</v>
      </c>
      <c r="P51" s="235"/>
      <c r="Q51" s="236">
        <v>100</v>
      </c>
      <c r="R51" s="235">
        <v>75</v>
      </c>
      <c r="S51" s="236">
        <v>50</v>
      </c>
      <c r="T51" s="235"/>
      <c r="U51" s="236">
        <v>50</v>
      </c>
      <c r="V51" s="234"/>
    </row>
    <row r="52" spans="1:22">
      <c r="C52" s="212">
        <v>59150</v>
      </c>
      <c r="D52" s="200" t="s">
        <v>5247</v>
      </c>
      <c r="E52" s="201">
        <v>1750</v>
      </c>
      <c r="F52" s="201">
        <v>2750</v>
      </c>
      <c r="G52" s="468"/>
      <c r="H52" s="468">
        <f t="shared" si="2"/>
        <v>2750</v>
      </c>
      <c r="I52" s="237"/>
      <c r="J52" s="95"/>
      <c r="K52" s="234">
        <v>250</v>
      </c>
      <c r="L52" s="235">
        <v>250</v>
      </c>
      <c r="M52" s="236"/>
      <c r="N52" s="235">
        <v>375</v>
      </c>
      <c r="O52" s="236">
        <v>250</v>
      </c>
      <c r="P52" s="235"/>
      <c r="Q52" s="236">
        <v>500</v>
      </c>
      <c r="R52" s="235">
        <v>375</v>
      </c>
      <c r="S52" s="236">
        <v>250</v>
      </c>
      <c r="T52" s="235"/>
      <c r="U52" s="236">
        <v>250</v>
      </c>
      <c r="V52" s="234"/>
    </row>
    <row r="53" spans="1:22">
      <c r="C53" s="212">
        <v>59160</v>
      </c>
      <c r="D53" s="200" t="s">
        <v>5248</v>
      </c>
      <c r="E53" s="201">
        <v>1000</v>
      </c>
      <c r="F53" s="201">
        <v>1000</v>
      </c>
      <c r="G53" s="468">
        <v>517</v>
      </c>
      <c r="H53" s="468">
        <f t="shared" si="2"/>
        <v>483</v>
      </c>
      <c r="I53" s="237"/>
      <c r="J53" s="95"/>
      <c r="K53" s="234">
        <v>100</v>
      </c>
      <c r="L53" s="235">
        <v>100</v>
      </c>
      <c r="M53" s="236"/>
      <c r="N53" s="235">
        <v>150</v>
      </c>
      <c r="O53" s="236">
        <v>100</v>
      </c>
      <c r="P53" s="235"/>
      <c r="Q53" s="236">
        <v>200</v>
      </c>
      <c r="R53" s="235">
        <v>150</v>
      </c>
      <c r="S53" s="236">
        <v>100</v>
      </c>
      <c r="T53" s="235"/>
      <c r="U53" s="236">
        <v>100</v>
      </c>
      <c r="V53" s="234"/>
    </row>
    <row r="54" spans="1:22">
      <c r="A54" s="490"/>
      <c r="B54" s="499" t="s">
        <v>3071</v>
      </c>
      <c r="C54" s="489">
        <v>59110</v>
      </c>
      <c r="D54" s="490" t="s">
        <v>5243</v>
      </c>
      <c r="E54" s="491">
        <v>1500</v>
      </c>
      <c r="F54" s="491">
        <v>1800</v>
      </c>
      <c r="G54" s="492"/>
      <c r="H54" s="492">
        <f t="shared" si="2"/>
        <v>1800</v>
      </c>
      <c r="I54" s="493"/>
      <c r="J54" s="496"/>
      <c r="K54" s="227">
        <v>150</v>
      </c>
      <c r="L54" s="225">
        <v>100</v>
      </c>
      <c r="M54" s="495">
        <v>150</v>
      </c>
      <c r="N54" s="225">
        <v>100</v>
      </c>
      <c r="O54" s="495">
        <v>150</v>
      </c>
      <c r="P54" s="225">
        <v>200</v>
      </c>
      <c r="Q54" s="495">
        <v>100</v>
      </c>
      <c r="R54" s="225">
        <v>100</v>
      </c>
      <c r="S54" s="495">
        <v>150</v>
      </c>
      <c r="T54" s="225">
        <v>100</v>
      </c>
      <c r="U54" s="495">
        <v>100</v>
      </c>
      <c r="V54" s="227">
        <v>100</v>
      </c>
    </row>
    <row r="55" spans="1:22">
      <c r="C55" s="489">
        <v>59120</v>
      </c>
      <c r="D55" s="490" t="s">
        <v>5244</v>
      </c>
      <c r="E55" s="491">
        <v>569</v>
      </c>
      <c r="F55" s="491">
        <v>1600</v>
      </c>
      <c r="G55" s="492"/>
      <c r="H55" s="492">
        <f t="shared" si="2"/>
        <v>1600</v>
      </c>
      <c r="I55" s="493"/>
      <c r="J55" s="496"/>
      <c r="K55" s="227">
        <v>200</v>
      </c>
      <c r="L55" s="225"/>
      <c r="M55" s="495"/>
      <c r="N55" s="225"/>
      <c r="O55" s="495">
        <v>200</v>
      </c>
      <c r="P55" s="225"/>
      <c r="Q55" s="495"/>
      <c r="R55" s="225"/>
      <c r="S55" s="495">
        <v>200</v>
      </c>
      <c r="T55" s="225"/>
      <c r="U55" s="495"/>
      <c r="V55" s="227"/>
    </row>
    <row r="56" spans="1:22">
      <c r="B56" s="497"/>
      <c r="C56" s="489">
        <v>59130</v>
      </c>
      <c r="D56" s="490" t="s">
        <v>5245</v>
      </c>
      <c r="E56" s="491"/>
      <c r="F56" s="491"/>
      <c r="G56" s="492"/>
      <c r="H56" s="492"/>
      <c r="I56" s="493"/>
      <c r="J56" s="496"/>
      <c r="K56" s="227"/>
      <c r="L56" s="225"/>
      <c r="M56" s="495"/>
      <c r="N56" s="225"/>
      <c r="O56" s="495">
        <v>500</v>
      </c>
      <c r="P56" s="225"/>
      <c r="Q56" s="495"/>
      <c r="R56" s="225"/>
      <c r="S56" s="495"/>
      <c r="T56" s="225"/>
      <c r="U56" s="495"/>
      <c r="V56" s="227"/>
    </row>
    <row r="57" spans="1:22">
      <c r="C57" s="489">
        <v>59140</v>
      </c>
      <c r="D57" s="490" t="s">
        <v>5246</v>
      </c>
      <c r="E57" s="491"/>
      <c r="F57" s="491"/>
      <c r="G57" s="492"/>
      <c r="H57" s="492"/>
      <c r="I57" s="493"/>
      <c r="J57" s="496"/>
      <c r="K57" s="227"/>
      <c r="L57" s="225"/>
      <c r="M57" s="495"/>
      <c r="N57" s="225"/>
      <c r="O57" s="495">
        <v>250</v>
      </c>
      <c r="P57" s="225"/>
      <c r="Q57" s="495"/>
      <c r="R57" s="225"/>
      <c r="S57" s="495"/>
      <c r="T57" s="225"/>
      <c r="U57" s="495"/>
      <c r="V57" s="227"/>
    </row>
    <row r="58" spans="1:22">
      <c r="C58" s="489">
        <v>59150</v>
      </c>
      <c r="D58" s="490" t="s">
        <v>5247</v>
      </c>
      <c r="E58" s="491">
        <v>1000</v>
      </c>
      <c r="F58" s="491">
        <v>1480</v>
      </c>
      <c r="G58" s="492"/>
      <c r="H58" s="492">
        <f>F58-EG8</f>
        <v>1480</v>
      </c>
      <c r="I58" s="493"/>
      <c r="J58" s="496"/>
      <c r="K58" s="227">
        <v>333</v>
      </c>
      <c r="L58" s="225"/>
      <c r="M58" s="495"/>
      <c r="N58" s="225"/>
      <c r="O58" s="495">
        <v>333</v>
      </c>
      <c r="P58" s="225"/>
      <c r="Q58" s="495"/>
      <c r="R58" s="225"/>
      <c r="S58" s="495">
        <v>334</v>
      </c>
      <c r="T58" s="225"/>
      <c r="U58" s="495"/>
      <c r="V58" s="227"/>
    </row>
    <row r="59" spans="1:22">
      <c r="C59" s="489">
        <v>59160</v>
      </c>
      <c r="D59" s="490" t="s">
        <v>5248</v>
      </c>
      <c r="E59" s="491">
        <v>1000</v>
      </c>
      <c r="F59" s="491">
        <v>1500</v>
      </c>
      <c r="G59" s="492"/>
      <c r="H59" s="492">
        <f>F59-G59</f>
        <v>1500</v>
      </c>
      <c r="I59" s="493"/>
      <c r="J59" s="496"/>
      <c r="K59" s="227">
        <v>83</v>
      </c>
      <c r="L59" s="225">
        <v>83</v>
      </c>
      <c r="M59" s="495">
        <v>83</v>
      </c>
      <c r="N59" s="225">
        <v>83</v>
      </c>
      <c r="O59" s="495">
        <v>87</v>
      </c>
      <c r="P59" s="225">
        <v>83</v>
      </c>
      <c r="Q59" s="495">
        <v>83</v>
      </c>
      <c r="R59" s="225">
        <v>83</v>
      </c>
      <c r="S59" s="495">
        <v>83</v>
      </c>
      <c r="T59" s="225">
        <v>83</v>
      </c>
      <c r="U59" s="495">
        <v>83</v>
      </c>
      <c r="V59" s="227">
        <v>83</v>
      </c>
    </row>
    <row r="60" spans="1:22">
      <c r="A60" s="950"/>
      <c r="B60" s="951" t="s">
        <v>5269</v>
      </c>
      <c r="C60" s="952">
        <v>59110</v>
      </c>
      <c r="D60" s="950" t="s">
        <v>5243</v>
      </c>
      <c r="E60" s="953"/>
      <c r="F60" s="953">
        <v>4900</v>
      </c>
      <c r="G60" s="632"/>
      <c r="H60" s="632">
        <f t="shared" ref="H60:H65" si="3">F60-G60</f>
        <v>4900</v>
      </c>
      <c r="I60" s="954"/>
      <c r="J60" s="496"/>
      <c r="K60" s="955">
        <v>297.5</v>
      </c>
      <c r="L60" s="956">
        <v>297.5</v>
      </c>
      <c r="M60" s="957">
        <v>575</v>
      </c>
      <c r="N60" s="956">
        <v>575</v>
      </c>
      <c r="O60" s="957">
        <v>247.5</v>
      </c>
      <c r="P60" s="956">
        <v>75</v>
      </c>
      <c r="Q60" s="957">
        <v>245</v>
      </c>
      <c r="R60" s="956">
        <v>575</v>
      </c>
      <c r="S60" s="957">
        <v>575</v>
      </c>
      <c r="T60" s="956">
        <v>70</v>
      </c>
      <c r="U60" s="957">
        <v>297.5</v>
      </c>
      <c r="V60" s="955">
        <v>70</v>
      </c>
    </row>
    <row r="61" spans="1:22">
      <c r="C61" s="952">
        <v>59120</v>
      </c>
      <c r="D61" s="950" t="s">
        <v>5244</v>
      </c>
      <c r="E61" s="953"/>
      <c r="F61" s="953">
        <v>5800</v>
      </c>
      <c r="G61" s="632"/>
      <c r="H61" s="632">
        <f t="shared" si="3"/>
        <v>5800</v>
      </c>
      <c r="I61" s="954"/>
      <c r="J61" s="496"/>
      <c r="K61" s="955">
        <v>600</v>
      </c>
      <c r="L61" s="956">
        <v>600</v>
      </c>
      <c r="M61" s="957"/>
      <c r="N61" s="956">
        <v>600</v>
      </c>
      <c r="O61" s="957">
        <v>600</v>
      </c>
      <c r="P61" s="956"/>
      <c r="Q61" s="957">
        <v>600</v>
      </c>
      <c r="R61" s="956">
        <v>600</v>
      </c>
      <c r="S61" s="957">
        <v>600</v>
      </c>
      <c r="T61" s="956"/>
      <c r="U61" s="957">
        <v>600</v>
      </c>
      <c r="V61" s="955"/>
    </row>
    <row r="62" spans="1:22">
      <c r="C62" s="952">
        <v>59130</v>
      </c>
      <c r="D62" s="950" t="s">
        <v>5245</v>
      </c>
      <c r="E62" s="953"/>
      <c r="F62" s="953">
        <v>5000</v>
      </c>
      <c r="G62" s="632"/>
      <c r="H62" s="632">
        <f t="shared" si="3"/>
        <v>5000</v>
      </c>
      <c r="I62" s="954"/>
      <c r="J62" s="496"/>
      <c r="K62" s="955">
        <v>475</v>
      </c>
      <c r="L62" s="956">
        <v>475</v>
      </c>
      <c r="M62" s="957"/>
      <c r="N62" s="956">
        <v>475</v>
      </c>
      <c r="O62" s="957">
        <v>575</v>
      </c>
      <c r="P62" s="956"/>
      <c r="Q62" s="957">
        <v>575</v>
      </c>
      <c r="R62" s="956">
        <v>475</v>
      </c>
      <c r="S62" s="957">
        <v>475</v>
      </c>
      <c r="T62" s="956"/>
      <c r="U62" s="957">
        <v>475</v>
      </c>
      <c r="V62" s="955"/>
    </row>
    <row r="63" spans="1:22">
      <c r="B63" s="497"/>
      <c r="C63" s="952">
        <v>59140</v>
      </c>
      <c r="D63" s="950" t="s">
        <v>5246</v>
      </c>
      <c r="E63" s="953"/>
      <c r="F63" s="953">
        <v>825</v>
      </c>
      <c r="G63" s="632"/>
      <c r="H63" s="632">
        <f t="shared" si="3"/>
        <v>825</v>
      </c>
      <c r="I63" s="954"/>
      <c r="J63" s="496"/>
      <c r="K63" s="955"/>
      <c r="L63" s="956"/>
      <c r="M63" s="957">
        <v>275</v>
      </c>
      <c r="N63" s="956"/>
      <c r="O63" s="957"/>
      <c r="P63" s="956"/>
      <c r="Q63" s="957"/>
      <c r="R63" s="956"/>
      <c r="S63" s="957">
        <v>275</v>
      </c>
      <c r="T63" s="956"/>
      <c r="U63" s="957">
        <v>275</v>
      </c>
      <c r="V63" s="955"/>
    </row>
    <row r="64" spans="1:22">
      <c r="C64" s="952">
        <v>59150</v>
      </c>
      <c r="D64" s="950" t="s">
        <v>5247</v>
      </c>
      <c r="E64" s="953"/>
      <c r="F64" s="953">
        <v>2750</v>
      </c>
      <c r="G64" s="632"/>
      <c r="H64" s="632">
        <f t="shared" si="3"/>
        <v>2750</v>
      </c>
      <c r="I64" s="954"/>
      <c r="J64" s="496"/>
      <c r="K64" s="955">
        <v>300</v>
      </c>
      <c r="L64" s="956">
        <v>300</v>
      </c>
      <c r="M64" s="957"/>
      <c r="N64" s="956">
        <v>375</v>
      </c>
      <c r="O64" s="957">
        <v>300</v>
      </c>
      <c r="P64" s="956"/>
      <c r="Q64" s="957">
        <v>500</v>
      </c>
      <c r="R64" s="956">
        <v>375</v>
      </c>
      <c r="S64" s="957">
        <v>300</v>
      </c>
      <c r="T64" s="956"/>
      <c r="U64" s="957">
        <v>300</v>
      </c>
      <c r="V64" s="955"/>
    </row>
    <row r="65" spans="3:22">
      <c r="C65" s="952">
        <v>59160</v>
      </c>
      <c r="D65" s="950" t="s">
        <v>5248</v>
      </c>
      <c r="E65" s="953"/>
      <c r="F65" s="953">
        <v>1000</v>
      </c>
      <c r="G65" s="632"/>
      <c r="H65" s="632">
        <f t="shared" si="3"/>
        <v>1000</v>
      </c>
      <c r="I65" s="954"/>
      <c r="J65" s="496"/>
      <c r="K65" s="955">
        <v>100</v>
      </c>
      <c r="L65" s="956">
        <v>100</v>
      </c>
      <c r="M65" s="957"/>
      <c r="N65" s="956">
        <v>150</v>
      </c>
      <c r="O65" s="957">
        <v>100</v>
      </c>
      <c r="P65" s="956"/>
      <c r="Q65" s="957">
        <v>200</v>
      </c>
      <c r="R65" s="956">
        <v>150</v>
      </c>
      <c r="S65" s="957">
        <v>100</v>
      </c>
      <c r="T65" s="956"/>
      <c r="U65" s="957">
        <v>100</v>
      </c>
      <c r="V65" s="955"/>
    </row>
    <row r="66" spans="3:22">
      <c r="C66" s="2">
        <v>59200</v>
      </c>
      <c r="D66" s="22" t="s">
        <v>5250</v>
      </c>
      <c r="E66" s="58">
        <v>848</v>
      </c>
      <c r="F66" s="286">
        <v>5500</v>
      </c>
      <c r="G66" s="286">
        <v>35</v>
      </c>
      <c r="H66" s="286">
        <f>F66-G66</f>
        <v>5465</v>
      </c>
      <c r="I66" s="223"/>
      <c r="J66" s="95"/>
      <c r="K66" s="228"/>
      <c r="L66" s="229"/>
      <c r="M66" s="222"/>
      <c r="N66" s="229"/>
      <c r="O66" s="222"/>
      <c r="P66" s="229"/>
      <c r="Q66" s="222"/>
      <c r="R66" s="229"/>
      <c r="S66" s="222"/>
      <c r="T66" s="229">
        <v>900</v>
      </c>
      <c r="U66" s="222">
        <v>795</v>
      </c>
      <c r="V66" s="228"/>
    </row>
    <row r="67" spans="3:22">
      <c r="C67" s="2">
        <v>59300</v>
      </c>
      <c r="D67" s="22" t="s">
        <v>5251</v>
      </c>
      <c r="E67" s="58"/>
      <c r="F67" s="286">
        <v>1599</v>
      </c>
      <c r="G67" s="286"/>
      <c r="H67" s="286">
        <f>F67-G67</f>
        <v>1599</v>
      </c>
      <c r="I67" s="223"/>
      <c r="J67" s="95"/>
      <c r="K67" s="228"/>
      <c r="L67" s="229"/>
      <c r="M67" s="222"/>
      <c r="N67" s="229"/>
      <c r="O67" s="222"/>
      <c r="P67" s="229"/>
      <c r="Q67" s="222"/>
      <c r="R67" s="229"/>
      <c r="S67" s="222"/>
      <c r="T67" s="229"/>
      <c r="U67" s="222"/>
      <c r="V67" s="228"/>
    </row>
    <row r="68" spans="3:22">
      <c r="C68" s="2">
        <v>59500</v>
      </c>
      <c r="D68" s="22" t="s">
        <v>5252</v>
      </c>
      <c r="E68" s="58"/>
      <c r="F68" s="286"/>
      <c r="G68" s="286"/>
      <c r="H68" s="286"/>
      <c r="I68" s="223"/>
      <c r="J68" s="95"/>
      <c r="K68" s="228"/>
      <c r="L68" s="229"/>
      <c r="M68" s="222"/>
      <c r="N68" s="229"/>
      <c r="O68" s="222"/>
      <c r="P68" s="229"/>
      <c r="Q68" s="222"/>
      <c r="R68" s="229"/>
      <c r="S68" s="222"/>
      <c r="T68" s="229"/>
      <c r="U68" s="222"/>
      <c r="V68" s="228"/>
    </row>
    <row r="69" spans="3:22">
      <c r="C69" s="2">
        <v>61000</v>
      </c>
      <c r="D69" s="22" t="s">
        <v>5253</v>
      </c>
      <c r="E69" s="58">
        <v>1000</v>
      </c>
      <c r="F69" s="286">
        <v>2050</v>
      </c>
      <c r="G69" s="286">
        <v>530</v>
      </c>
      <c r="H69" s="286">
        <f>F69-G69</f>
        <v>1520</v>
      </c>
      <c r="I69" s="223"/>
      <c r="J69" s="95"/>
      <c r="K69" s="228"/>
      <c r="L69" s="229">
        <v>1000</v>
      </c>
      <c r="M69" s="222"/>
      <c r="N69" s="229"/>
      <c r="O69" s="222"/>
      <c r="P69" s="229"/>
      <c r="Q69" s="222"/>
      <c r="R69" s="229"/>
      <c r="S69" s="222"/>
      <c r="T69" s="229"/>
      <c r="U69" s="222"/>
      <c r="V69" s="228"/>
    </row>
    <row r="70" spans="3:22">
      <c r="C70" s="2">
        <v>67000</v>
      </c>
      <c r="D70" s="22" t="s">
        <v>5254</v>
      </c>
      <c r="E70" s="58">
        <v>1000</v>
      </c>
      <c r="F70" s="286">
        <v>1000</v>
      </c>
      <c r="G70" s="286"/>
      <c r="H70" s="286">
        <f>F70-G70</f>
        <v>1000</v>
      </c>
      <c r="I70" s="223"/>
      <c r="J70" s="95"/>
      <c r="K70" s="228">
        <v>250</v>
      </c>
      <c r="L70" s="229"/>
      <c r="M70" s="222"/>
      <c r="N70" s="229">
        <v>250</v>
      </c>
      <c r="O70" s="222"/>
      <c r="P70" s="229"/>
      <c r="Q70" s="222">
        <v>250</v>
      </c>
      <c r="R70" s="229"/>
      <c r="S70" s="222"/>
      <c r="T70" s="229">
        <v>250</v>
      </c>
      <c r="U70" s="222"/>
      <c r="V70" s="228"/>
    </row>
    <row r="71" spans="3:22">
      <c r="C71" s="2">
        <v>72000</v>
      </c>
      <c r="D71" s="22" t="s">
        <v>5255</v>
      </c>
      <c r="E71" s="58"/>
      <c r="F71" s="286"/>
      <c r="G71" s="286"/>
      <c r="H71" s="286"/>
      <c r="I71" s="223"/>
      <c r="J71" s="95"/>
      <c r="K71" s="228"/>
      <c r="L71" s="229"/>
      <c r="M71" s="222"/>
      <c r="N71" s="229"/>
      <c r="O71" s="222"/>
      <c r="P71" s="229"/>
      <c r="Q71" s="222"/>
      <c r="R71" s="229"/>
      <c r="S71" s="222"/>
      <c r="T71" s="229"/>
      <c r="U71" s="222"/>
      <c r="V71" s="228"/>
    </row>
    <row r="72" spans="3:22">
      <c r="C72" s="2">
        <v>72100</v>
      </c>
      <c r="D72" s="22" t="s">
        <v>5256</v>
      </c>
      <c r="E72" s="58"/>
      <c r="F72" s="286"/>
      <c r="G72" s="286"/>
      <c r="H72" s="286"/>
      <c r="I72" s="223"/>
      <c r="J72" s="95"/>
      <c r="K72" s="228"/>
      <c r="L72" s="229"/>
      <c r="M72" s="222"/>
      <c r="N72" s="229"/>
      <c r="O72" s="222"/>
      <c r="P72" s="229"/>
      <c r="Q72" s="222"/>
      <c r="R72" s="229"/>
      <c r="S72" s="222"/>
      <c r="T72" s="229"/>
      <c r="U72" s="222"/>
      <c r="V72" s="228"/>
    </row>
    <row r="73" spans="3:22">
      <c r="C73" s="2">
        <v>74000</v>
      </c>
      <c r="D73" s="22" t="s">
        <v>5257</v>
      </c>
      <c r="E73" s="58"/>
      <c r="F73" s="286"/>
      <c r="G73" s="286"/>
      <c r="H73" s="286"/>
      <c r="I73" s="223"/>
      <c r="J73" s="95"/>
      <c r="K73" s="228"/>
      <c r="L73" s="229"/>
      <c r="M73" s="222"/>
      <c r="N73" s="229"/>
      <c r="O73" s="222"/>
      <c r="P73" s="229"/>
      <c r="Q73" s="222"/>
      <c r="R73" s="229"/>
      <c r="S73" s="222"/>
      <c r="T73" s="229"/>
      <c r="U73" s="222"/>
      <c r="V73" s="228"/>
    </row>
    <row r="74" spans="3:22">
      <c r="C74" s="2">
        <v>75000</v>
      </c>
      <c r="D74" s="22" t="s">
        <v>5258</v>
      </c>
      <c r="E74" s="58"/>
      <c r="F74" s="286"/>
      <c r="G74" s="286"/>
      <c r="H74" s="286"/>
      <c r="I74" s="223"/>
      <c r="J74" s="95"/>
      <c r="K74" s="228"/>
      <c r="L74" s="229"/>
      <c r="M74" s="222"/>
      <c r="N74" s="229"/>
      <c r="O74" s="222"/>
      <c r="P74" s="229"/>
      <c r="Q74" s="222"/>
      <c r="R74" s="229"/>
      <c r="S74" s="222"/>
      <c r="T74" s="229"/>
      <c r="U74" s="222"/>
      <c r="V74" s="228"/>
    </row>
    <row r="75" spans="3:22">
      <c r="C75" s="2">
        <v>76000</v>
      </c>
      <c r="D75" s="22" t="s">
        <v>5259</v>
      </c>
      <c r="E75" s="58"/>
      <c r="F75" s="286"/>
      <c r="G75" s="286"/>
      <c r="H75" s="286"/>
      <c r="I75" s="223"/>
      <c r="J75" s="95"/>
      <c r="K75" s="228"/>
      <c r="L75" s="229"/>
      <c r="M75" s="222"/>
      <c r="N75" s="229"/>
      <c r="O75" s="222"/>
      <c r="P75" s="229"/>
      <c r="Q75" s="222"/>
      <c r="R75" s="229"/>
      <c r="S75" s="222"/>
      <c r="T75" s="229"/>
      <c r="U75" s="222"/>
      <c r="V75" s="228"/>
    </row>
    <row r="76" spans="3:22">
      <c r="C76" s="2">
        <v>76100</v>
      </c>
      <c r="D76" s="22" t="s">
        <v>5260</v>
      </c>
      <c r="E76" s="58"/>
      <c r="F76" s="286"/>
      <c r="G76" s="286"/>
      <c r="H76" s="286"/>
      <c r="I76" s="223"/>
      <c r="J76" s="95"/>
      <c r="K76" s="228"/>
      <c r="L76" s="229"/>
      <c r="M76" s="222"/>
      <c r="N76" s="229"/>
      <c r="O76" s="222"/>
      <c r="P76" s="229"/>
      <c r="Q76" s="222"/>
      <c r="R76" s="229"/>
      <c r="S76" s="222"/>
      <c r="T76" s="229"/>
      <c r="U76" s="222"/>
      <c r="V76" s="228"/>
    </row>
    <row r="77" spans="3:22">
      <c r="C77" s="2">
        <v>77000</v>
      </c>
      <c r="D77" s="22" t="s">
        <v>5261</v>
      </c>
      <c r="E77" s="58"/>
      <c r="F77" s="286"/>
      <c r="G77" s="286"/>
      <c r="H77" s="286"/>
      <c r="I77" s="223"/>
      <c r="J77" s="95"/>
      <c r="K77" s="228"/>
      <c r="L77" s="229"/>
      <c r="M77" s="222"/>
      <c r="N77" s="229"/>
      <c r="O77" s="222"/>
      <c r="P77" s="229"/>
      <c r="Q77" s="222"/>
      <c r="R77" s="229"/>
      <c r="S77" s="222"/>
      <c r="T77" s="229"/>
      <c r="U77" s="222"/>
      <c r="V77" s="228"/>
    </row>
    <row r="78" spans="3:22">
      <c r="C78" s="2">
        <v>78000</v>
      </c>
      <c r="D78" s="22" t="s">
        <v>5262</v>
      </c>
      <c r="E78" s="58"/>
      <c r="F78" s="286"/>
      <c r="G78" s="286"/>
      <c r="H78" s="286"/>
      <c r="I78" s="223"/>
      <c r="J78" s="95"/>
      <c r="K78" s="228"/>
      <c r="L78" s="229"/>
      <c r="M78" s="222"/>
      <c r="N78" s="229"/>
      <c r="O78" s="222"/>
      <c r="P78" s="229"/>
      <c r="Q78" s="222"/>
      <c r="R78" s="229"/>
      <c r="S78" s="222"/>
      <c r="T78" s="229"/>
      <c r="U78" s="222"/>
      <c r="V78" s="228"/>
    </row>
    <row r="79" spans="3:22">
      <c r="C79" s="2">
        <v>79000</v>
      </c>
      <c r="D79" s="22" t="s">
        <v>5263</v>
      </c>
      <c r="E79" s="58"/>
      <c r="F79" s="286"/>
      <c r="G79" s="286"/>
      <c r="H79" s="286"/>
      <c r="I79" s="223"/>
      <c r="J79" s="95"/>
      <c r="K79" s="228"/>
      <c r="L79" s="229"/>
      <c r="M79" s="222"/>
      <c r="N79" s="229"/>
      <c r="O79" s="222"/>
      <c r="P79" s="229"/>
      <c r="Q79" s="222"/>
      <c r="R79" s="229"/>
      <c r="S79" s="222"/>
      <c r="T79" s="229"/>
      <c r="U79" s="222"/>
      <c r="V79" s="228"/>
    </row>
    <row r="80" spans="3:22">
      <c r="C80" s="2">
        <v>79100</v>
      </c>
      <c r="D80" s="22" t="s">
        <v>5264</v>
      </c>
      <c r="E80" s="58"/>
      <c r="F80" s="286"/>
      <c r="G80" s="286"/>
      <c r="H80" s="286"/>
      <c r="I80" s="223"/>
      <c r="J80" s="95"/>
      <c r="K80" s="228"/>
      <c r="L80" s="229"/>
      <c r="M80" s="222"/>
      <c r="N80" s="229"/>
      <c r="O80" s="222"/>
      <c r="P80" s="229"/>
      <c r="Q80" s="222"/>
      <c r="R80" s="229"/>
      <c r="S80" s="222"/>
      <c r="T80" s="229"/>
      <c r="U80" s="222"/>
      <c r="V80" s="228"/>
    </row>
    <row r="81" spans="3:22">
      <c r="C81" s="56">
        <v>79900</v>
      </c>
      <c r="D81" s="28" t="s">
        <v>5265</v>
      </c>
      <c r="E81" s="60">
        <v>35219</v>
      </c>
      <c r="F81" s="288">
        <v>41379</v>
      </c>
      <c r="G81" s="288">
        <v>41379</v>
      </c>
      <c r="H81" s="288"/>
      <c r="I81" s="486"/>
      <c r="J81" s="96"/>
      <c r="K81" s="230"/>
      <c r="L81" s="231"/>
      <c r="M81" s="232"/>
      <c r="N81" s="231"/>
      <c r="O81" s="232"/>
      <c r="P81" s="231"/>
      <c r="Q81" s="232"/>
      <c r="R81" s="231"/>
      <c r="S81" s="232"/>
      <c r="T81" s="231"/>
      <c r="U81" s="232"/>
      <c r="V81" s="230"/>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DC585-C448-45FF-AFE1-393D9044FF4A}">
  <sheetPr>
    <pageSetUpPr autoPageBreaks="0"/>
  </sheetPr>
  <dimension ref="A1:AE2993"/>
  <sheetViews>
    <sheetView showGridLines="0" workbookViewId="0">
      <pane ySplit="1" topLeftCell="A57" activePane="bottomLeft" state="frozen"/>
      <selection pane="bottomLeft" activeCell="C57" sqref="C57"/>
      <selection activeCell="X1" sqref="X1"/>
    </sheetView>
  </sheetViews>
  <sheetFormatPr defaultRowHeight="16.5" customHeight="1"/>
  <cols>
    <col min="1" max="1" width="14.42578125" style="362" customWidth="1"/>
    <col min="2" max="2" width="14.140625" style="362" customWidth="1"/>
    <col min="3" max="3" width="20.140625" style="362" bestFit="1" customWidth="1"/>
    <col min="4" max="5" width="14" style="362" customWidth="1"/>
    <col min="6" max="6" width="7.85546875" style="362" customWidth="1"/>
    <col min="7" max="7" width="18.42578125" style="362" customWidth="1"/>
    <col min="8" max="8" width="3.7109375" style="360" customWidth="1"/>
    <col min="9" max="9" width="5.140625" style="356" customWidth="1"/>
    <col min="10" max="10" width="7" style="356" customWidth="1"/>
    <col min="11" max="11" width="14.42578125" style="540" customWidth="1"/>
    <col min="12" max="23" width="3.7109375" style="356" customWidth="1"/>
    <col min="24" max="24" width="9.140625" style="356"/>
    <col min="25" max="25" width="10.7109375" style="356" bestFit="1" customWidth="1"/>
    <col min="26" max="26" width="3.7109375" style="356" customWidth="1"/>
    <col min="27" max="27" width="17.7109375" style="356" customWidth="1"/>
    <col min="28" max="28" width="100.7109375" style="536" customWidth="1"/>
    <col min="29" max="30" width="9.140625" style="728"/>
    <col min="16384" max="16384" width="9.140625" bestFit="1" customWidth="1"/>
  </cols>
  <sheetData>
    <row r="1" spans="1:31" s="1" customFormat="1" ht="79.5" customHeight="1">
      <c r="A1" s="110" t="s">
        <v>5270</v>
      </c>
      <c r="B1" s="110" t="s">
        <v>5271</v>
      </c>
      <c r="C1" s="110" t="s">
        <v>5272</v>
      </c>
      <c r="D1" s="110" t="s">
        <v>2502</v>
      </c>
      <c r="E1" s="110" t="s">
        <v>5273</v>
      </c>
      <c r="F1" s="110" t="s">
        <v>5274</v>
      </c>
      <c r="G1" s="110" t="s">
        <v>5275</v>
      </c>
      <c r="H1" s="357" t="s">
        <v>5276</v>
      </c>
      <c r="I1" s="349" t="s">
        <v>5277</v>
      </c>
      <c r="J1" s="350" t="s">
        <v>5278</v>
      </c>
      <c r="K1" s="537" t="s">
        <v>5279</v>
      </c>
      <c r="L1" s="349" t="s">
        <v>5280</v>
      </c>
      <c r="M1" s="349" t="s">
        <v>5281</v>
      </c>
      <c r="N1" s="349" t="s">
        <v>5282</v>
      </c>
      <c r="O1" s="349" t="s">
        <v>149</v>
      </c>
      <c r="P1" s="349" t="s">
        <v>5283</v>
      </c>
      <c r="Q1" s="349" t="s">
        <v>2029</v>
      </c>
      <c r="R1" s="349" t="s">
        <v>5284</v>
      </c>
      <c r="S1" s="349" t="s">
        <v>5285</v>
      </c>
      <c r="T1" s="349" t="s">
        <v>117</v>
      </c>
      <c r="U1" s="349" t="s">
        <v>69</v>
      </c>
      <c r="V1" s="349" t="s">
        <v>5286</v>
      </c>
      <c r="W1" s="349" t="s">
        <v>5287</v>
      </c>
      <c r="X1" s="351" t="s">
        <v>5288</v>
      </c>
      <c r="Y1" s="351" t="s">
        <v>5289</v>
      </c>
      <c r="Z1" s="350" t="s">
        <v>5290</v>
      </c>
      <c r="AA1" s="349" t="s">
        <v>109</v>
      </c>
      <c r="AB1" s="724" t="s">
        <v>5291</v>
      </c>
      <c r="AC1" s="728"/>
      <c r="AD1" s="728"/>
    </row>
    <row r="2" spans="1:31" ht="16.5" customHeight="1">
      <c r="A2" s="347">
        <v>674614</v>
      </c>
      <c r="B2" s="347" t="s">
        <v>3689</v>
      </c>
      <c r="C2" s="347" t="s">
        <v>3145</v>
      </c>
      <c r="D2" s="348">
        <v>16589</v>
      </c>
      <c r="E2" s="348" t="s">
        <v>3690</v>
      </c>
      <c r="F2" s="348" t="s">
        <v>2077</v>
      </c>
      <c r="G2" s="348">
        <v>43678</v>
      </c>
      <c r="H2" s="358"/>
      <c r="I2" s="352" t="s">
        <v>238</v>
      </c>
      <c r="J2" s="353" t="s">
        <v>238</v>
      </c>
      <c r="K2" s="538">
        <v>15000</v>
      </c>
      <c r="L2" s="353"/>
      <c r="M2" s="488" t="s">
        <v>238</v>
      </c>
      <c r="N2" s="488"/>
      <c r="O2" s="488"/>
      <c r="P2" s="488"/>
      <c r="Q2" s="488"/>
      <c r="R2" s="488"/>
      <c r="S2" s="488"/>
      <c r="T2" s="488"/>
      <c r="U2" s="488"/>
      <c r="V2" s="488"/>
      <c r="W2" s="488"/>
      <c r="X2" s="354"/>
      <c r="Y2" s="354"/>
      <c r="Z2" s="353"/>
      <c r="AA2" s="353"/>
      <c r="AB2" s="836"/>
      <c r="AC2" s="836"/>
      <c r="AD2" s="836"/>
      <c r="AE2" s="837"/>
    </row>
    <row r="3" spans="1:31" ht="16.5" customHeight="1">
      <c r="A3" s="347">
        <v>158915</v>
      </c>
      <c r="B3" s="347" t="s">
        <v>2669</v>
      </c>
      <c r="C3" s="347" t="s">
        <v>2670</v>
      </c>
      <c r="D3" s="348">
        <v>15734</v>
      </c>
      <c r="E3" s="348" t="s">
        <v>2924</v>
      </c>
      <c r="F3" s="348" t="s">
        <v>65</v>
      </c>
      <c r="G3" s="348">
        <v>43753</v>
      </c>
      <c r="H3" s="358"/>
      <c r="I3" s="352" t="s">
        <v>238</v>
      </c>
      <c r="J3" s="353"/>
      <c r="K3" s="538">
        <v>200000</v>
      </c>
      <c r="L3" s="353"/>
      <c r="M3" s="488"/>
      <c r="N3" s="488" t="s">
        <v>238</v>
      </c>
      <c r="O3" s="488"/>
      <c r="P3" s="488"/>
      <c r="Q3" s="488"/>
      <c r="R3" s="488"/>
      <c r="S3" s="488"/>
      <c r="T3" s="488" t="s">
        <v>238</v>
      </c>
      <c r="U3" s="488"/>
      <c r="V3" s="488"/>
      <c r="W3" s="488"/>
      <c r="X3" s="354"/>
      <c r="Y3" s="354"/>
      <c r="Z3" s="353"/>
      <c r="AA3" s="353"/>
      <c r="AB3" s="726" t="s">
        <v>5292</v>
      </c>
      <c r="AC3" s="836"/>
      <c r="AD3" s="836"/>
      <c r="AE3" s="838"/>
    </row>
    <row r="4" spans="1:31" ht="16.5" customHeight="1">
      <c r="A4" s="347">
        <v>20634754</v>
      </c>
      <c r="B4" s="347" t="s">
        <v>3293</v>
      </c>
      <c r="C4" s="348" t="s">
        <v>4068</v>
      </c>
      <c r="D4" s="535">
        <v>25416</v>
      </c>
      <c r="E4" s="348" t="s">
        <v>3855</v>
      </c>
      <c r="F4" s="348" t="s">
        <v>2055</v>
      </c>
      <c r="G4" s="348">
        <v>43745</v>
      </c>
      <c r="H4" s="358"/>
      <c r="I4" s="352" t="s">
        <v>238</v>
      </c>
      <c r="J4" s="353" t="s">
        <v>238</v>
      </c>
      <c r="K4" s="539">
        <v>9999</v>
      </c>
      <c r="L4" s="353"/>
      <c r="M4" s="488" t="s">
        <v>238</v>
      </c>
      <c r="N4" s="488"/>
      <c r="O4" s="488"/>
      <c r="P4" s="488"/>
      <c r="Q4" s="353"/>
      <c r="R4" s="488"/>
      <c r="S4" s="488"/>
      <c r="T4" s="488"/>
      <c r="U4" s="488"/>
      <c r="V4" s="488"/>
      <c r="W4" s="488"/>
      <c r="X4" s="353"/>
      <c r="Y4" s="354"/>
      <c r="Z4" s="353"/>
      <c r="AA4" s="353"/>
      <c r="AB4" s="727" t="s">
        <v>5293</v>
      </c>
      <c r="AC4" s="836"/>
      <c r="AD4" s="836"/>
      <c r="AE4" s="837"/>
    </row>
    <row r="5" spans="1:31" ht="16.5" customHeight="1">
      <c r="A5" s="347">
        <v>100057035</v>
      </c>
      <c r="B5" s="347" t="s">
        <v>3617</v>
      </c>
      <c r="C5" s="347" t="s">
        <v>5294</v>
      </c>
      <c r="D5" s="348">
        <v>21285</v>
      </c>
      <c r="E5" s="348" t="s">
        <v>3855</v>
      </c>
      <c r="F5" s="348" t="s">
        <v>2055</v>
      </c>
      <c r="G5" s="348">
        <v>43745</v>
      </c>
      <c r="H5" s="358"/>
      <c r="I5" s="352" t="s">
        <v>238</v>
      </c>
      <c r="J5" s="353" t="s">
        <v>238</v>
      </c>
      <c r="K5" s="538">
        <v>9999</v>
      </c>
      <c r="L5" s="488"/>
      <c r="M5" s="488" t="s">
        <v>238</v>
      </c>
      <c r="N5" s="488"/>
      <c r="O5" s="488"/>
      <c r="P5" s="488"/>
      <c r="Q5" s="488"/>
      <c r="R5" s="488"/>
      <c r="S5" s="488"/>
      <c r="T5" s="488"/>
      <c r="U5" s="488"/>
      <c r="V5" s="488"/>
      <c r="W5" s="488"/>
      <c r="X5" s="354"/>
      <c r="Y5" s="354"/>
      <c r="Z5" s="353"/>
      <c r="AA5" s="353"/>
      <c r="AB5" s="726" t="s">
        <v>5293</v>
      </c>
      <c r="AC5" s="836"/>
      <c r="AD5" s="836"/>
      <c r="AE5" s="838"/>
    </row>
    <row r="6" spans="1:31" ht="16.5" customHeight="1">
      <c r="A6" s="347">
        <v>25602327</v>
      </c>
      <c r="B6" s="347" t="s">
        <v>2779</v>
      </c>
      <c r="C6" s="347" t="s">
        <v>5295</v>
      </c>
      <c r="D6" s="348">
        <v>15598</v>
      </c>
      <c r="E6" s="348" t="s">
        <v>3690</v>
      </c>
      <c r="F6" s="348" t="s">
        <v>2077</v>
      </c>
      <c r="G6" s="348">
        <v>39504</v>
      </c>
      <c r="H6" s="358"/>
      <c r="I6" s="352"/>
      <c r="J6" s="353" t="s">
        <v>238</v>
      </c>
      <c r="K6" s="538">
        <v>15000000</v>
      </c>
      <c r="L6" s="488"/>
      <c r="M6" s="488"/>
      <c r="N6" s="488"/>
      <c r="O6" s="488"/>
      <c r="P6" s="488"/>
      <c r="Q6" s="488"/>
      <c r="R6" s="488"/>
      <c r="S6" s="488"/>
      <c r="T6" s="488"/>
      <c r="U6" s="488"/>
      <c r="V6" s="488"/>
      <c r="W6" s="353"/>
      <c r="X6" s="354"/>
      <c r="Y6" s="354"/>
      <c r="Z6" s="353"/>
      <c r="AA6" s="354" t="s">
        <v>5296</v>
      </c>
      <c r="AB6" s="726" t="s">
        <v>5297</v>
      </c>
      <c r="AC6" s="836"/>
      <c r="AD6" s="836"/>
      <c r="AE6" s="838"/>
    </row>
    <row r="7" spans="1:31" ht="16.5" customHeight="1">
      <c r="A7" s="347">
        <v>66655176</v>
      </c>
      <c r="B7" s="347" t="s">
        <v>5298</v>
      </c>
      <c r="C7" s="347" t="s">
        <v>5299</v>
      </c>
      <c r="D7" s="348">
        <v>10293</v>
      </c>
      <c r="E7" s="348" t="s">
        <v>5300</v>
      </c>
      <c r="F7" s="348" t="s">
        <v>2052</v>
      </c>
      <c r="G7" s="348">
        <v>40904</v>
      </c>
      <c r="H7" s="358" t="s">
        <v>238</v>
      </c>
      <c r="I7" s="352"/>
      <c r="J7" s="353"/>
      <c r="K7" s="538">
        <v>9999</v>
      </c>
      <c r="L7" s="488"/>
      <c r="M7" s="488"/>
      <c r="N7" s="353"/>
      <c r="O7" s="488"/>
      <c r="P7" s="488"/>
      <c r="Q7" s="488"/>
      <c r="R7" s="488"/>
      <c r="S7" s="488"/>
      <c r="T7" s="488"/>
      <c r="U7" s="488"/>
      <c r="V7" s="488"/>
      <c r="W7" s="488"/>
      <c r="X7" s="354"/>
      <c r="Y7" s="354"/>
      <c r="Z7" s="353"/>
      <c r="AA7" s="354"/>
      <c r="AB7" s="839" t="s">
        <v>5301</v>
      </c>
      <c r="AC7" s="836"/>
      <c r="AD7" s="836"/>
      <c r="AE7" s="840"/>
    </row>
    <row r="8" spans="1:31" ht="16.5" customHeight="1">
      <c r="A8" s="347">
        <v>335752</v>
      </c>
      <c r="B8" s="347" t="s">
        <v>5302</v>
      </c>
      <c r="C8" s="347" t="s">
        <v>2597</v>
      </c>
      <c r="D8" s="348"/>
      <c r="E8" s="348" t="s">
        <v>2830</v>
      </c>
      <c r="F8" s="348" t="s">
        <v>2185</v>
      </c>
      <c r="G8" s="348">
        <v>43654</v>
      </c>
      <c r="H8" s="358"/>
      <c r="I8" s="352"/>
      <c r="J8" s="353" t="s">
        <v>238</v>
      </c>
      <c r="K8" s="538">
        <v>9999</v>
      </c>
      <c r="L8" s="488" t="s">
        <v>238</v>
      </c>
      <c r="M8" s="488" t="s">
        <v>238</v>
      </c>
      <c r="N8" s="353"/>
      <c r="O8" s="488"/>
      <c r="P8" s="488"/>
      <c r="Q8" s="488"/>
      <c r="R8" s="488"/>
      <c r="S8" s="488"/>
      <c r="T8" s="488"/>
      <c r="U8" s="488"/>
      <c r="V8" s="488"/>
      <c r="W8" s="488"/>
      <c r="X8" s="354"/>
      <c r="Y8" s="354"/>
      <c r="Z8" s="353" t="s">
        <v>238</v>
      </c>
      <c r="AA8" s="354"/>
      <c r="AB8" s="727" t="s">
        <v>5303</v>
      </c>
      <c r="AC8" s="836"/>
      <c r="AD8" s="836"/>
      <c r="AE8" s="837"/>
    </row>
    <row r="9" spans="1:31" ht="16.5" customHeight="1">
      <c r="A9" s="347">
        <v>335752</v>
      </c>
      <c r="B9" s="347" t="s">
        <v>3593</v>
      </c>
      <c r="C9" s="347" t="s">
        <v>2597</v>
      </c>
      <c r="D9" s="348"/>
      <c r="E9" s="348" t="s">
        <v>2830</v>
      </c>
      <c r="F9" s="348" t="s">
        <v>2185</v>
      </c>
      <c r="G9" s="348">
        <v>43654</v>
      </c>
      <c r="H9" s="358"/>
      <c r="I9" s="352"/>
      <c r="J9" s="353" t="s">
        <v>238</v>
      </c>
      <c r="K9" s="538">
        <v>9999</v>
      </c>
      <c r="L9" s="353" t="s">
        <v>238</v>
      </c>
      <c r="M9" s="488" t="s">
        <v>238</v>
      </c>
      <c r="N9" s="488"/>
      <c r="O9" s="488"/>
      <c r="P9" s="488"/>
      <c r="Q9" s="488"/>
      <c r="R9" s="488"/>
      <c r="S9" s="488"/>
      <c r="T9" s="488"/>
      <c r="U9" s="488"/>
      <c r="V9" s="488"/>
      <c r="W9" s="488"/>
      <c r="X9" s="354"/>
      <c r="Y9" s="354"/>
      <c r="Z9" s="353" t="s">
        <v>238</v>
      </c>
      <c r="AA9" s="354" t="s">
        <v>5304</v>
      </c>
      <c r="AB9" s="727" t="s">
        <v>5305</v>
      </c>
      <c r="AC9" s="836"/>
      <c r="AD9" s="836"/>
      <c r="AE9" s="837"/>
    </row>
    <row r="10" spans="1:31" ht="16.5" customHeight="1">
      <c r="A10" s="347">
        <v>481556</v>
      </c>
      <c r="B10" s="347" t="s">
        <v>4716</v>
      </c>
      <c r="C10" s="347" t="s">
        <v>5306</v>
      </c>
      <c r="D10" s="348">
        <v>9498</v>
      </c>
      <c r="E10" s="348" t="s">
        <v>3318</v>
      </c>
      <c r="F10" s="348" t="s">
        <v>2972</v>
      </c>
      <c r="G10" s="348">
        <v>37203</v>
      </c>
      <c r="H10" s="358"/>
      <c r="I10" s="352"/>
      <c r="J10" s="353"/>
      <c r="K10" s="538">
        <v>9999</v>
      </c>
      <c r="L10" s="488"/>
      <c r="M10" s="488"/>
      <c r="N10" s="488"/>
      <c r="O10" s="488"/>
      <c r="P10" s="488"/>
      <c r="Q10" s="488"/>
      <c r="R10" s="488"/>
      <c r="S10" s="488"/>
      <c r="T10" s="488"/>
      <c r="U10" s="488"/>
      <c r="V10" s="488"/>
      <c r="W10" s="488"/>
      <c r="X10" s="354"/>
      <c r="Y10" s="354"/>
      <c r="Z10" s="353"/>
      <c r="AA10" s="354" t="s">
        <v>5307</v>
      </c>
      <c r="AB10" s="836"/>
      <c r="AC10" s="836"/>
      <c r="AD10" s="836"/>
    </row>
    <row r="11" spans="1:31" ht="16.5" customHeight="1">
      <c r="A11" s="347">
        <v>636233</v>
      </c>
      <c r="B11" s="347" t="s">
        <v>3545</v>
      </c>
      <c r="C11" s="347" t="s">
        <v>5308</v>
      </c>
      <c r="D11" s="348">
        <v>19782</v>
      </c>
      <c r="E11" s="348" t="s">
        <v>2830</v>
      </c>
      <c r="F11" s="348" t="s">
        <v>2185</v>
      </c>
      <c r="G11" s="348">
        <v>43789</v>
      </c>
      <c r="H11" s="358"/>
      <c r="I11" s="352"/>
      <c r="J11" s="353"/>
      <c r="K11" s="538">
        <v>9999</v>
      </c>
      <c r="L11" s="488"/>
      <c r="M11" s="488"/>
      <c r="N11" s="488"/>
      <c r="O11" s="488"/>
      <c r="P11" s="488"/>
      <c r="Q11" s="488"/>
      <c r="R11" s="488"/>
      <c r="S11" s="488"/>
      <c r="T11" s="488"/>
      <c r="U11" s="488"/>
      <c r="V11" s="488"/>
      <c r="W11" s="488"/>
      <c r="X11" s="354"/>
      <c r="Y11" s="354"/>
      <c r="Z11" s="353" t="s">
        <v>238</v>
      </c>
      <c r="AA11" s="354"/>
      <c r="AB11" s="836"/>
      <c r="AC11" s="836"/>
      <c r="AD11" s="836"/>
      <c r="AE11" s="838"/>
    </row>
    <row r="12" spans="1:31" ht="16.5" customHeight="1">
      <c r="A12" s="347">
        <v>636233</v>
      </c>
      <c r="B12" s="347" t="s">
        <v>5309</v>
      </c>
      <c r="C12" s="347" t="s">
        <v>4472</v>
      </c>
      <c r="D12" s="348">
        <v>19837</v>
      </c>
      <c r="E12" s="348" t="s">
        <v>2830</v>
      </c>
      <c r="F12" s="348" t="s">
        <v>2185</v>
      </c>
      <c r="G12" s="348">
        <v>43789</v>
      </c>
      <c r="H12" s="358"/>
      <c r="I12" s="352"/>
      <c r="J12" s="353"/>
      <c r="K12" s="538">
        <v>9999</v>
      </c>
      <c r="L12" s="488"/>
      <c r="M12" s="488"/>
      <c r="N12" s="488"/>
      <c r="O12" s="488"/>
      <c r="P12" s="488"/>
      <c r="Q12" s="488"/>
      <c r="R12" s="488"/>
      <c r="S12" s="488"/>
      <c r="T12" s="488"/>
      <c r="U12" s="488"/>
      <c r="V12" s="488"/>
      <c r="W12" s="488"/>
      <c r="X12" s="354"/>
      <c r="Y12" s="354"/>
      <c r="Z12" s="353" t="s">
        <v>238</v>
      </c>
      <c r="AA12" s="354" t="s">
        <v>5310</v>
      </c>
      <c r="AB12" s="725"/>
      <c r="AC12" s="836"/>
      <c r="AD12" s="836"/>
      <c r="AE12" s="838"/>
    </row>
    <row r="13" spans="1:31" ht="16.5" customHeight="1">
      <c r="A13" s="347">
        <v>17962796</v>
      </c>
      <c r="B13" s="347" t="s">
        <v>2697</v>
      </c>
      <c r="C13" s="347" t="s">
        <v>5311</v>
      </c>
      <c r="D13" s="348">
        <v>22205</v>
      </c>
      <c r="E13" s="348" t="s">
        <v>5312</v>
      </c>
      <c r="F13" s="348" t="s">
        <v>2526</v>
      </c>
      <c r="G13" s="348">
        <v>43826</v>
      </c>
      <c r="H13" s="358"/>
      <c r="I13" s="352"/>
      <c r="J13" s="353"/>
      <c r="K13" s="538">
        <v>9999</v>
      </c>
      <c r="L13" s="488"/>
      <c r="M13" s="488"/>
      <c r="N13" s="488"/>
      <c r="O13" s="488"/>
      <c r="P13" s="488"/>
      <c r="Q13" s="488"/>
      <c r="R13" s="488"/>
      <c r="S13" s="488"/>
      <c r="T13" s="488"/>
      <c r="U13" s="488"/>
      <c r="V13" s="488"/>
      <c r="W13" s="488"/>
      <c r="X13" s="354"/>
      <c r="Y13" s="354"/>
      <c r="Z13" s="353"/>
      <c r="AA13" s="354" t="s">
        <v>5313</v>
      </c>
      <c r="AB13" s="836" t="s">
        <v>5314</v>
      </c>
      <c r="AC13" s="836"/>
      <c r="AD13" s="836"/>
      <c r="AE13" s="838"/>
    </row>
    <row r="14" spans="1:31" ht="16.5" customHeight="1">
      <c r="A14" s="347">
        <v>3363942</v>
      </c>
      <c r="B14" s="347" t="s">
        <v>2536</v>
      </c>
      <c r="C14" s="347" t="s">
        <v>2632</v>
      </c>
      <c r="D14" s="348">
        <v>20481</v>
      </c>
      <c r="E14" s="348" t="s">
        <v>2633</v>
      </c>
      <c r="F14" s="348" t="s">
        <v>2413</v>
      </c>
      <c r="G14" s="348">
        <v>43481</v>
      </c>
      <c r="H14" s="358"/>
      <c r="I14" s="352"/>
      <c r="J14" s="353"/>
      <c r="K14" s="538">
        <v>9999</v>
      </c>
      <c r="L14" s="488"/>
      <c r="M14" s="488"/>
      <c r="N14" s="488"/>
      <c r="O14" s="488"/>
      <c r="P14" s="488"/>
      <c r="Q14" s="488"/>
      <c r="R14" s="488"/>
      <c r="S14" s="488"/>
      <c r="T14" s="488"/>
      <c r="U14" s="488"/>
      <c r="V14" s="488"/>
      <c r="W14" s="488"/>
      <c r="X14" s="354"/>
      <c r="Y14" s="354"/>
      <c r="Z14" s="353"/>
      <c r="AA14" s="353" t="s">
        <v>5315</v>
      </c>
      <c r="AB14" s="836"/>
      <c r="AC14" s="836"/>
      <c r="AD14" s="836"/>
      <c r="AE14" s="838"/>
    </row>
    <row r="15" spans="1:31" ht="16.5" customHeight="1">
      <c r="A15" s="347">
        <v>95974564</v>
      </c>
      <c r="B15" s="347" t="s">
        <v>5316</v>
      </c>
      <c r="C15" s="347" t="s">
        <v>5317</v>
      </c>
      <c r="D15" s="348">
        <v>21648</v>
      </c>
      <c r="E15" s="348" t="s">
        <v>4076</v>
      </c>
      <c r="F15" s="348" t="s">
        <v>2055</v>
      </c>
      <c r="G15" s="348">
        <v>42881</v>
      </c>
      <c r="H15" s="358" t="s">
        <v>238</v>
      </c>
      <c r="I15" s="352"/>
      <c r="J15" s="353"/>
      <c r="K15" s="538">
        <v>9999</v>
      </c>
      <c r="L15" s="488"/>
      <c r="M15" s="488"/>
      <c r="N15" s="488"/>
      <c r="O15" s="488"/>
      <c r="P15" s="488"/>
      <c r="Q15" s="488"/>
      <c r="R15" s="488"/>
      <c r="S15" s="488"/>
      <c r="T15" s="488"/>
      <c r="U15" s="488"/>
      <c r="V15" s="488"/>
      <c r="W15" s="488"/>
      <c r="X15" s="354"/>
      <c r="Y15" s="354"/>
      <c r="Z15" s="353"/>
      <c r="AA15" s="353"/>
      <c r="AB15" s="836"/>
      <c r="AC15" s="836"/>
      <c r="AD15" s="836"/>
      <c r="AE15" s="838"/>
    </row>
    <row r="16" spans="1:31" ht="16.5" customHeight="1">
      <c r="A16" s="347">
        <v>16576647</v>
      </c>
      <c r="B16" s="347" t="s">
        <v>4857</v>
      </c>
      <c r="C16" s="347" t="s">
        <v>4858</v>
      </c>
      <c r="D16" s="348">
        <v>24718</v>
      </c>
      <c r="E16" s="348" t="s">
        <v>2534</v>
      </c>
      <c r="F16" s="348" t="s">
        <v>2081</v>
      </c>
      <c r="G16" s="348">
        <v>37854</v>
      </c>
      <c r="H16" s="358"/>
      <c r="I16" s="352"/>
      <c r="J16" s="353"/>
      <c r="K16" s="538">
        <v>600000</v>
      </c>
      <c r="L16" s="488"/>
      <c r="M16" s="488"/>
      <c r="N16" s="488"/>
      <c r="O16" s="488"/>
      <c r="P16" s="488"/>
      <c r="Q16" s="488"/>
      <c r="R16" s="488"/>
      <c r="S16" s="488"/>
      <c r="T16" s="488" t="s">
        <v>238</v>
      </c>
      <c r="U16" s="488"/>
      <c r="V16" s="488"/>
      <c r="W16" s="488"/>
      <c r="X16" s="354"/>
      <c r="Y16" s="354"/>
      <c r="Z16" s="353" t="s">
        <v>238</v>
      </c>
      <c r="AA16" s="353" t="s">
        <v>5318</v>
      </c>
      <c r="AB16" s="836" t="s">
        <v>5319</v>
      </c>
      <c r="AC16" s="836"/>
      <c r="AD16" s="836"/>
      <c r="AE16" s="838"/>
    </row>
    <row r="17" spans="1:31" ht="16.5" customHeight="1">
      <c r="A17" s="347">
        <v>16576647</v>
      </c>
      <c r="B17" s="347" t="s">
        <v>5320</v>
      </c>
      <c r="C17" s="347" t="s">
        <v>4858</v>
      </c>
      <c r="D17" s="348">
        <v>32409</v>
      </c>
      <c r="E17" s="348" t="s">
        <v>2534</v>
      </c>
      <c r="F17" s="348" t="s">
        <v>2081</v>
      </c>
      <c r="G17" s="348">
        <v>37854</v>
      </c>
      <c r="H17" s="358"/>
      <c r="I17" s="352"/>
      <c r="J17" s="353"/>
      <c r="K17" s="538" t="s">
        <v>117</v>
      </c>
      <c r="L17" s="488"/>
      <c r="M17" s="488"/>
      <c r="N17" s="488"/>
      <c r="O17" s="488"/>
      <c r="P17" s="488"/>
      <c r="Q17" s="488"/>
      <c r="R17" s="488"/>
      <c r="S17" s="488"/>
      <c r="T17" s="488"/>
      <c r="U17" s="488"/>
      <c r="V17" s="488"/>
      <c r="W17" s="488"/>
      <c r="X17" s="354"/>
      <c r="Y17" s="354"/>
      <c r="Z17" s="353" t="s">
        <v>238</v>
      </c>
      <c r="AA17" s="353"/>
      <c r="AB17" s="836" t="s">
        <v>5319</v>
      </c>
      <c r="AC17" s="836"/>
      <c r="AD17" s="836"/>
      <c r="AE17" s="838"/>
    </row>
    <row r="18" spans="1:31" ht="16.5" customHeight="1">
      <c r="A18" s="347">
        <v>9621715</v>
      </c>
      <c r="B18" s="347" t="s">
        <v>5321</v>
      </c>
      <c r="C18" s="347" t="s">
        <v>3625</v>
      </c>
      <c r="D18" s="745">
        <v>7823</v>
      </c>
      <c r="E18" s="361" t="s">
        <v>5322</v>
      </c>
      <c r="F18" s="361" t="s">
        <v>2081</v>
      </c>
      <c r="G18" s="348">
        <v>40415</v>
      </c>
      <c r="H18" s="358"/>
      <c r="I18" s="352"/>
      <c r="J18" s="353"/>
      <c r="K18" s="538">
        <v>9999</v>
      </c>
      <c r="L18" s="353" t="s">
        <v>238</v>
      </c>
      <c r="M18" s="488"/>
      <c r="N18" s="488"/>
      <c r="O18" s="488"/>
      <c r="P18" s="488"/>
      <c r="Q18" s="488"/>
      <c r="R18" s="488"/>
      <c r="S18" s="488"/>
      <c r="T18" s="488"/>
      <c r="U18" s="488"/>
      <c r="V18" s="488"/>
      <c r="W18" s="488"/>
      <c r="X18" s="354"/>
      <c r="Y18" s="354"/>
      <c r="Z18" s="353"/>
      <c r="AA18" s="353" t="s">
        <v>5323</v>
      </c>
      <c r="AB18" s="836" t="s">
        <v>5324</v>
      </c>
      <c r="AC18" s="836"/>
      <c r="AD18" s="836"/>
      <c r="AE18" s="838"/>
    </row>
    <row r="19" spans="1:31" ht="16.5" customHeight="1">
      <c r="A19" s="347">
        <v>30269799</v>
      </c>
      <c r="B19" s="347" t="s">
        <v>2511</v>
      </c>
      <c r="C19" s="347" t="s">
        <v>2512</v>
      </c>
      <c r="D19" s="745">
        <v>14715</v>
      </c>
      <c r="E19" s="361" t="s">
        <v>2513</v>
      </c>
      <c r="F19" s="361" t="s">
        <v>2046</v>
      </c>
      <c r="G19" s="348">
        <v>40491</v>
      </c>
      <c r="H19" s="358"/>
      <c r="I19" s="352"/>
      <c r="J19" s="353"/>
      <c r="K19" s="538">
        <v>9999</v>
      </c>
      <c r="L19" s="353"/>
      <c r="M19" s="488"/>
      <c r="N19" s="488"/>
      <c r="O19" s="488"/>
      <c r="P19" s="488"/>
      <c r="Q19" s="488"/>
      <c r="R19" s="488"/>
      <c r="S19" s="488"/>
      <c r="T19" s="488"/>
      <c r="U19" s="488" t="s">
        <v>238</v>
      </c>
      <c r="V19" s="488"/>
      <c r="W19" s="488"/>
      <c r="X19" s="354"/>
      <c r="Y19" s="354"/>
      <c r="Z19" s="353" t="s">
        <v>238</v>
      </c>
      <c r="AA19" s="353" t="s">
        <v>5325</v>
      </c>
      <c r="AB19" s="836"/>
      <c r="AC19" s="836"/>
      <c r="AD19" s="836"/>
      <c r="AE19" s="838"/>
    </row>
    <row r="20" spans="1:31" ht="16.5" customHeight="1">
      <c r="A20" s="347">
        <v>30269799</v>
      </c>
      <c r="B20" s="347" t="s">
        <v>2523</v>
      </c>
      <c r="C20" s="347" t="s">
        <v>2512</v>
      </c>
      <c r="D20" s="348">
        <v>16157</v>
      </c>
      <c r="E20" s="361" t="s">
        <v>2513</v>
      </c>
      <c r="F20" s="348" t="s">
        <v>2046</v>
      </c>
      <c r="G20" s="348">
        <v>40491</v>
      </c>
      <c r="H20" s="358"/>
      <c r="I20" s="352"/>
      <c r="J20" s="353"/>
      <c r="K20" s="538">
        <v>134592.5</v>
      </c>
      <c r="L20" s="488"/>
      <c r="M20" s="488"/>
      <c r="N20" s="488"/>
      <c r="O20" s="488"/>
      <c r="P20" s="488"/>
      <c r="Q20" s="488"/>
      <c r="R20" s="488"/>
      <c r="S20" s="488"/>
      <c r="T20" s="488"/>
      <c r="U20" s="488" t="s">
        <v>238</v>
      </c>
      <c r="V20" s="488"/>
      <c r="W20" s="488"/>
      <c r="X20" s="354"/>
      <c r="Y20" s="354"/>
      <c r="Z20" s="353" t="s">
        <v>238</v>
      </c>
      <c r="AA20" s="353"/>
      <c r="AB20" s="836"/>
      <c r="AC20" s="836"/>
      <c r="AD20" s="836"/>
      <c r="AE20" s="838"/>
    </row>
    <row r="21" spans="1:31" ht="16.5" customHeight="1">
      <c r="A21" s="347">
        <v>36658821</v>
      </c>
      <c r="B21" s="347" t="s">
        <v>2985</v>
      </c>
      <c r="C21" s="347" t="s">
        <v>5326</v>
      </c>
      <c r="D21" s="348">
        <v>15387</v>
      </c>
      <c r="E21" s="348" t="s">
        <v>5327</v>
      </c>
      <c r="F21" s="348" t="s">
        <v>65</v>
      </c>
      <c r="G21" s="348">
        <v>38701</v>
      </c>
      <c r="H21" s="358"/>
      <c r="I21" s="352"/>
      <c r="J21" s="353"/>
      <c r="K21" s="538">
        <v>111795</v>
      </c>
      <c r="L21" s="488"/>
      <c r="M21" s="488"/>
      <c r="N21" s="353"/>
      <c r="O21" s="488"/>
      <c r="P21" s="488"/>
      <c r="Q21" s="488"/>
      <c r="R21" s="488"/>
      <c r="S21" s="488"/>
      <c r="T21" s="488"/>
      <c r="U21" s="488"/>
      <c r="V21" s="488"/>
      <c r="W21" s="488"/>
      <c r="X21" s="354"/>
      <c r="Y21" s="354"/>
      <c r="Z21" s="353"/>
      <c r="AA21" s="353"/>
      <c r="AB21" s="836"/>
      <c r="AC21" s="836"/>
      <c r="AD21" s="836"/>
      <c r="AE21" s="838"/>
    </row>
    <row r="22" spans="1:31" ht="16.5" customHeight="1">
      <c r="A22" s="347">
        <v>173161</v>
      </c>
      <c r="B22" s="347" t="s">
        <v>5328</v>
      </c>
      <c r="C22" s="347" t="s">
        <v>5329</v>
      </c>
      <c r="D22" s="348">
        <v>18763</v>
      </c>
      <c r="E22" s="348" t="s">
        <v>5330</v>
      </c>
      <c r="F22" s="348" t="s">
        <v>2069</v>
      </c>
      <c r="G22" s="348">
        <v>43654</v>
      </c>
      <c r="H22" s="358"/>
      <c r="I22" s="352"/>
      <c r="J22" s="353" t="s">
        <v>238</v>
      </c>
      <c r="K22" s="538">
        <v>9999</v>
      </c>
      <c r="L22" s="488" t="s">
        <v>238</v>
      </c>
      <c r="M22" s="488" t="s">
        <v>238</v>
      </c>
      <c r="N22" s="353"/>
      <c r="O22" s="488"/>
      <c r="P22" s="488"/>
      <c r="Q22" s="488"/>
      <c r="R22" s="488"/>
      <c r="S22" s="488"/>
      <c r="T22" s="488"/>
      <c r="U22" s="488"/>
      <c r="V22" s="488"/>
      <c r="W22" s="488"/>
      <c r="X22" s="354"/>
      <c r="Y22" s="354"/>
      <c r="Z22" s="353" t="s">
        <v>238</v>
      </c>
      <c r="AA22" s="353" t="s">
        <v>5331</v>
      </c>
      <c r="AB22" s="836"/>
      <c r="AC22" s="836"/>
      <c r="AD22" s="836"/>
      <c r="AE22" s="838"/>
    </row>
    <row r="23" spans="1:31" ht="16.5" customHeight="1">
      <c r="A23" s="347">
        <v>173161</v>
      </c>
      <c r="B23" s="347" t="s">
        <v>5332</v>
      </c>
      <c r="C23" s="347" t="s">
        <v>5329</v>
      </c>
      <c r="D23" s="348">
        <v>14714</v>
      </c>
      <c r="E23" s="348" t="s">
        <v>5330</v>
      </c>
      <c r="F23" s="348" t="s">
        <v>2069</v>
      </c>
      <c r="G23" s="348">
        <v>37435</v>
      </c>
      <c r="H23" s="358"/>
      <c r="I23" s="352"/>
      <c r="J23" s="353" t="s">
        <v>238</v>
      </c>
      <c r="K23" s="538">
        <v>9999</v>
      </c>
      <c r="L23" s="488" t="s">
        <v>238</v>
      </c>
      <c r="M23" s="488" t="s">
        <v>238</v>
      </c>
      <c r="N23" s="488"/>
      <c r="O23" s="488"/>
      <c r="P23" s="488"/>
      <c r="Q23" s="488"/>
      <c r="R23" s="488"/>
      <c r="S23" s="488"/>
      <c r="T23" s="488"/>
      <c r="U23" s="488"/>
      <c r="V23" s="488"/>
      <c r="W23" s="488"/>
      <c r="X23" s="354"/>
      <c r="Y23" s="354"/>
      <c r="Z23" s="353" t="s">
        <v>238</v>
      </c>
      <c r="AA23" s="353" t="s">
        <v>5331</v>
      </c>
      <c r="AB23" s="836"/>
      <c r="AC23" s="836"/>
      <c r="AD23" s="836"/>
      <c r="AE23" s="838"/>
    </row>
    <row r="24" spans="1:31" ht="16.5" customHeight="1">
      <c r="A24" s="347">
        <v>36968428</v>
      </c>
      <c r="B24" s="347" t="s">
        <v>2705</v>
      </c>
      <c r="C24" s="347" t="s">
        <v>5333</v>
      </c>
      <c r="D24" s="348"/>
      <c r="E24" s="348" t="s">
        <v>5334</v>
      </c>
      <c r="F24" s="348" t="s">
        <v>2106</v>
      </c>
      <c r="G24" s="348">
        <v>38992</v>
      </c>
      <c r="H24" s="358" t="s">
        <v>238</v>
      </c>
      <c r="I24" s="352"/>
      <c r="J24" s="353"/>
      <c r="K24" s="538">
        <v>9999</v>
      </c>
      <c r="L24" s="488" t="s">
        <v>238</v>
      </c>
      <c r="M24" s="488"/>
      <c r="N24" s="488"/>
      <c r="O24" s="488"/>
      <c r="P24" s="488"/>
      <c r="Q24" s="488"/>
      <c r="R24" s="488"/>
      <c r="S24" s="488"/>
      <c r="T24" s="488"/>
      <c r="U24" s="488"/>
      <c r="V24" s="488"/>
      <c r="W24" s="488"/>
      <c r="X24" s="354"/>
      <c r="Y24" s="354"/>
      <c r="Z24" s="353"/>
      <c r="AA24" s="353"/>
      <c r="AB24" s="836" t="s">
        <v>5335</v>
      </c>
      <c r="AC24" s="836"/>
      <c r="AD24" s="836"/>
      <c r="AE24" s="838"/>
    </row>
    <row r="25" spans="1:31" ht="16.5" customHeight="1">
      <c r="A25" s="347">
        <v>35890631</v>
      </c>
      <c r="B25" s="347" t="s">
        <v>5336</v>
      </c>
      <c r="C25" s="347" t="s">
        <v>5337</v>
      </c>
      <c r="D25" s="348"/>
      <c r="E25" s="348" t="s">
        <v>3690</v>
      </c>
      <c r="F25" s="348" t="s">
        <v>2077</v>
      </c>
      <c r="G25" s="348">
        <v>37665</v>
      </c>
      <c r="H25" s="358"/>
      <c r="I25" s="352"/>
      <c r="J25" s="353"/>
      <c r="K25" s="538">
        <v>9999</v>
      </c>
      <c r="L25" s="488"/>
      <c r="M25" s="488"/>
      <c r="N25" s="488"/>
      <c r="O25" s="488"/>
      <c r="P25" s="488"/>
      <c r="Q25" s="488"/>
      <c r="R25" s="488"/>
      <c r="S25" s="488"/>
      <c r="T25" s="488"/>
      <c r="U25" s="488"/>
      <c r="V25" s="488"/>
      <c r="W25" s="488"/>
      <c r="X25" s="354"/>
      <c r="Y25" s="354"/>
      <c r="Z25" s="353" t="s">
        <v>238</v>
      </c>
      <c r="AA25" s="353"/>
      <c r="AB25" s="836" t="s">
        <v>5338</v>
      </c>
      <c r="AC25" s="836"/>
      <c r="AD25" s="836"/>
      <c r="AE25" s="838"/>
    </row>
    <row r="26" spans="1:31" ht="16.5" customHeight="1">
      <c r="A26" s="347">
        <v>35890631</v>
      </c>
      <c r="B26" s="347" t="s">
        <v>5339</v>
      </c>
      <c r="C26" s="347" t="s">
        <v>5340</v>
      </c>
      <c r="D26" s="348"/>
      <c r="E26" s="348" t="s">
        <v>3690</v>
      </c>
      <c r="F26" s="348" t="s">
        <v>2077</v>
      </c>
      <c r="G26" s="348">
        <v>37665</v>
      </c>
      <c r="H26" s="358"/>
      <c r="I26" s="352"/>
      <c r="J26" s="353"/>
      <c r="K26" s="538">
        <v>9999</v>
      </c>
      <c r="L26" s="488"/>
      <c r="M26" s="488"/>
      <c r="N26" s="488"/>
      <c r="O26" s="488"/>
      <c r="P26" s="488"/>
      <c r="Q26" s="488"/>
      <c r="R26" s="488"/>
      <c r="S26" s="488"/>
      <c r="T26" s="488"/>
      <c r="U26" s="488"/>
      <c r="V26" s="488"/>
      <c r="W26" s="488"/>
      <c r="X26" s="354"/>
      <c r="Y26" s="354"/>
      <c r="Z26" s="353" t="s">
        <v>238</v>
      </c>
      <c r="AA26" s="353" t="s">
        <v>5341</v>
      </c>
      <c r="AB26" s="836" t="s">
        <v>5338</v>
      </c>
      <c r="AC26" s="836"/>
      <c r="AD26" s="836"/>
      <c r="AE26" s="838"/>
    </row>
    <row r="27" spans="1:31" ht="16.5" customHeight="1">
      <c r="A27" s="347">
        <v>100004434</v>
      </c>
      <c r="B27" s="347" t="s">
        <v>5342</v>
      </c>
      <c r="C27" s="347" t="s">
        <v>5343</v>
      </c>
      <c r="D27" s="348"/>
      <c r="E27" s="348" t="s">
        <v>4965</v>
      </c>
      <c r="F27" s="348" t="s">
        <v>2313</v>
      </c>
      <c r="G27" s="348">
        <v>38973</v>
      </c>
      <c r="H27" s="358" t="s">
        <v>238</v>
      </c>
      <c r="I27" s="352"/>
      <c r="J27" s="353"/>
      <c r="K27" s="538">
        <v>9999</v>
      </c>
      <c r="L27" s="353"/>
      <c r="M27" s="488"/>
      <c r="N27" s="488"/>
      <c r="O27" s="488"/>
      <c r="P27" s="488"/>
      <c r="Q27" s="488"/>
      <c r="R27" s="488"/>
      <c r="S27" s="488"/>
      <c r="T27" s="488"/>
      <c r="U27" s="488"/>
      <c r="V27" s="488"/>
      <c r="W27" s="488"/>
      <c r="X27" s="354"/>
      <c r="Y27" s="354"/>
      <c r="Z27" s="353"/>
      <c r="AA27" s="353"/>
      <c r="AB27" s="836" t="s">
        <v>5344</v>
      </c>
      <c r="AC27" s="836" t="s">
        <v>5345</v>
      </c>
      <c r="AD27" s="836"/>
      <c r="AE27" s="837"/>
    </row>
    <row r="28" spans="1:31" ht="16.5" customHeight="1">
      <c r="A28" s="347">
        <v>18985366</v>
      </c>
      <c r="B28" s="347" t="s">
        <v>5346</v>
      </c>
      <c r="C28" s="347" t="s">
        <v>5347</v>
      </c>
      <c r="D28" s="348">
        <v>8304</v>
      </c>
      <c r="E28" s="348" t="s">
        <v>4091</v>
      </c>
      <c r="F28" s="348" t="s">
        <v>2064</v>
      </c>
      <c r="G28" s="348">
        <v>41722</v>
      </c>
      <c r="H28" s="358" t="s">
        <v>238</v>
      </c>
      <c r="I28" s="352"/>
      <c r="J28" s="353"/>
      <c r="K28" s="538">
        <v>9999</v>
      </c>
      <c r="L28" s="353"/>
      <c r="M28" s="488"/>
      <c r="N28" s="488"/>
      <c r="O28" s="488"/>
      <c r="P28" s="488"/>
      <c r="Q28" s="488"/>
      <c r="R28" s="488"/>
      <c r="S28" s="488"/>
      <c r="T28" s="488"/>
      <c r="U28" s="488"/>
      <c r="V28" s="488"/>
      <c r="W28" s="488"/>
      <c r="X28" s="354"/>
      <c r="Y28" s="354"/>
      <c r="Z28" s="353" t="s">
        <v>238</v>
      </c>
      <c r="AA28" s="353"/>
      <c r="AB28" s="836"/>
      <c r="AC28" s="836"/>
      <c r="AD28" s="836"/>
      <c r="AE28" s="837"/>
    </row>
    <row r="29" spans="1:31" ht="16.5" customHeight="1">
      <c r="A29" s="347">
        <v>18985366</v>
      </c>
      <c r="B29" s="347" t="s">
        <v>4169</v>
      </c>
      <c r="C29" s="347" t="s">
        <v>5347</v>
      </c>
      <c r="D29" s="348">
        <v>6397</v>
      </c>
      <c r="E29" s="348" t="s">
        <v>4091</v>
      </c>
      <c r="F29" s="348" t="s">
        <v>2064</v>
      </c>
      <c r="G29" s="348">
        <v>41722</v>
      </c>
      <c r="H29" s="358" t="s">
        <v>238</v>
      </c>
      <c r="I29" s="352"/>
      <c r="J29" s="353"/>
      <c r="K29" s="538">
        <v>9999</v>
      </c>
      <c r="L29" s="488"/>
      <c r="M29" s="488"/>
      <c r="N29" s="488"/>
      <c r="O29" s="488"/>
      <c r="P29" s="488"/>
      <c r="Q29" s="488"/>
      <c r="R29" s="488"/>
      <c r="S29" s="488"/>
      <c r="T29" s="488"/>
      <c r="U29" s="488"/>
      <c r="V29" s="488"/>
      <c r="W29" s="488"/>
      <c r="X29" s="354"/>
      <c r="Y29" s="354"/>
      <c r="Z29" s="353" t="s">
        <v>238</v>
      </c>
      <c r="AA29" s="353"/>
      <c r="AB29" s="836"/>
      <c r="AC29" s="836"/>
      <c r="AD29" s="836"/>
      <c r="AE29" s="838"/>
    </row>
    <row r="30" spans="1:31" ht="16.5" customHeight="1">
      <c r="A30" s="347">
        <v>158915</v>
      </c>
      <c r="B30" s="347" t="s">
        <v>2669</v>
      </c>
      <c r="C30" s="347" t="s">
        <v>2670</v>
      </c>
      <c r="D30" s="348">
        <v>15734</v>
      </c>
      <c r="E30" s="348" t="s">
        <v>2924</v>
      </c>
      <c r="F30" s="348" t="s">
        <v>65</v>
      </c>
      <c r="G30" s="348">
        <v>43490</v>
      </c>
      <c r="H30" s="358"/>
      <c r="I30" s="352" t="s">
        <v>238</v>
      </c>
      <c r="J30" s="353"/>
      <c r="K30" s="538">
        <v>9999</v>
      </c>
      <c r="L30" s="353"/>
      <c r="M30" s="488"/>
      <c r="N30" s="488"/>
      <c r="O30" s="488"/>
      <c r="P30" s="488"/>
      <c r="Q30" s="488"/>
      <c r="R30" s="488"/>
      <c r="S30" s="488"/>
      <c r="T30" s="488" t="s">
        <v>238</v>
      </c>
      <c r="U30" s="488"/>
      <c r="V30" s="488"/>
      <c r="W30" s="488"/>
      <c r="X30" s="353"/>
      <c r="Y30" s="354"/>
      <c r="Z30" s="353"/>
      <c r="AA30" s="353" t="s">
        <v>5348</v>
      </c>
      <c r="AB30" s="836" t="s">
        <v>5349</v>
      </c>
      <c r="AC30" s="836"/>
      <c r="AD30" s="836"/>
      <c r="AE30" s="837"/>
    </row>
    <row r="31" spans="1:31" ht="16.5" customHeight="1">
      <c r="A31" s="347">
        <v>100004414</v>
      </c>
      <c r="B31" s="347" t="s">
        <v>2586</v>
      </c>
      <c r="C31" s="347" t="s">
        <v>3666</v>
      </c>
      <c r="D31" s="348"/>
      <c r="E31" s="348" t="s">
        <v>5350</v>
      </c>
      <c r="F31" s="348" t="s">
        <v>2206</v>
      </c>
      <c r="G31" s="348">
        <v>34220</v>
      </c>
      <c r="H31" s="358" t="s">
        <v>238</v>
      </c>
      <c r="I31" s="352"/>
      <c r="J31" s="353"/>
      <c r="K31" s="538">
        <v>9999</v>
      </c>
      <c r="L31" s="488"/>
      <c r="M31" s="488"/>
      <c r="N31" s="488"/>
      <c r="O31" s="488"/>
      <c r="P31" s="488"/>
      <c r="Q31" s="488"/>
      <c r="R31" s="488"/>
      <c r="S31" s="488"/>
      <c r="T31" s="488"/>
      <c r="U31" s="488"/>
      <c r="V31" s="488"/>
      <c r="W31" s="488"/>
      <c r="X31" s="354"/>
      <c r="Y31" s="354"/>
      <c r="Z31" s="354"/>
      <c r="AA31" s="354"/>
      <c r="AB31" s="836"/>
      <c r="AC31" s="836"/>
      <c r="AD31" s="836"/>
      <c r="AE31" s="838"/>
    </row>
    <row r="32" spans="1:31" ht="16.5" customHeight="1">
      <c r="A32" s="347">
        <v>29445921</v>
      </c>
      <c r="B32" s="347" t="s">
        <v>5351</v>
      </c>
      <c r="C32" s="347" t="s">
        <v>5352</v>
      </c>
      <c r="D32" s="348">
        <v>11324</v>
      </c>
      <c r="E32" s="348" t="s">
        <v>3787</v>
      </c>
      <c r="F32" s="348" t="s">
        <v>2094</v>
      </c>
      <c r="G32" s="348">
        <v>43886</v>
      </c>
      <c r="H32" s="358" t="s">
        <v>238</v>
      </c>
      <c r="I32" s="352"/>
      <c r="J32" s="353"/>
      <c r="K32" s="538">
        <v>9999</v>
      </c>
      <c r="L32" s="488"/>
      <c r="M32" s="488"/>
      <c r="N32" s="488"/>
      <c r="O32" s="488"/>
      <c r="P32" s="488"/>
      <c r="Q32" s="488"/>
      <c r="R32" s="488"/>
      <c r="S32" s="488"/>
      <c r="T32" s="488"/>
      <c r="U32" s="488"/>
      <c r="V32" s="488"/>
      <c r="W32" s="488"/>
      <c r="X32" s="354"/>
      <c r="Y32" s="354"/>
      <c r="Z32" s="354"/>
      <c r="AA32" s="354"/>
      <c r="AB32" s="836"/>
      <c r="AC32" s="836"/>
      <c r="AD32" s="836"/>
      <c r="AE32" s="838"/>
    </row>
    <row r="33" spans="1:31" ht="16.5" customHeight="1">
      <c r="A33" s="347">
        <v>257105</v>
      </c>
      <c r="B33" s="347" t="s">
        <v>2958</v>
      </c>
      <c r="C33" s="347" t="s">
        <v>4472</v>
      </c>
      <c r="D33" s="348">
        <v>11635</v>
      </c>
      <c r="E33" s="348" t="s">
        <v>2737</v>
      </c>
      <c r="F33" s="348" t="s">
        <v>2059</v>
      </c>
      <c r="G33" s="348">
        <v>39066</v>
      </c>
      <c r="H33" s="358"/>
      <c r="I33" s="352"/>
      <c r="J33" s="353"/>
      <c r="K33" s="538">
        <v>84371.55</v>
      </c>
      <c r="L33" s="488"/>
      <c r="M33" s="488"/>
      <c r="N33" s="488"/>
      <c r="O33" s="488"/>
      <c r="P33" s="488"/>
      <c r="Q33" s="488"/>
      <c r="R33" s="488"/>
      <c r="S33" s="488"/>
      <c r="T33" s="488"/>
      <c r="U33" s="488"/>
      <c r="V33" s="488"/>
      <c r="W33" s="353"/>
      <c r="X33" s="354"/>
      <c r="Y33" s="355"/>
      <c r="Z33" s="353"/>
      <c r="AA33" s="353" t="s">
        <v>5353</v>
      </c>
      <c r="AB33" s="836" t="s">
        <v>5354</v>
      </c>
      <c r="AC33" s="836"/>
      <c r="AD33" s="836"/>
      <c r="AE33" s="838"/>
    </row>
    <row r="34" spans="1:31" ht="16.5" customHeight="1">
      <c r="A34" s="347">
        <v>100004695</v>
      </c>
      <c r="B34" s="347" t="s">
        <v>5355</v>
      </c>
      <c r="C34" s="347" t="s">
        <v>4863</v>
      </c>
      <c r="D34" s="348">
        <v>4698</v>
      </c>
      <c r="E34" s="348" t="s">
        <v>5356</v>
      </c>
      <c r="F34" s="348" t="s">
        <v>2240</v>
      </c>
      <c r="G34" s="348">
        <v>37516</v>
      </c>
      <c r="H34" s="358" t="s">
        <v>238</v>
      </c>
      <c r="I34" s="352"/>
      <c r="J34" s="353"/>
      <c r="K34" s="538">
        <v>9999</v>
      </c>
      <c r="L34" s="488"/>
      <c r="M34" s="488"/>
      <c r="N34" s="488"/>
      <c r="O34" s="488"/>
      <c r="P34" s="488"/>
      <c r="Q34" s="488"/>
      <c r="R34" s="488"/>
      <c r="S34" s="488"/>
      <c r="T34" s="488"/>
      <c r="U34" s="488"/>
      <c r="V34" s="488"/>
      <c r="W34" s="488"/>
      <c r="X34" s="354"/>
      <c r="Y34" s="354"/>
      <c r="Z34" s="353"/>
      <c r="AA34" s="353"/>
      <c r="AB34" s="836"/>
      <c r="AC34" s="836"/>
      <c r="AD34" s="836"/>
      <c r="AE34" s="838"/>
    </row>
    <row r="35" spans="1:31" ht="16.5" customHeight="1">
      <c r="A35" s="347">
        <v>6830913</v>
      </c>
      <c r="B35" s="347" t="s">
        <v>2795</v>
      </c>
      <c r="C35" s="347" t="s">
        <v>5357</v>
      </c>
      <c r="D35" s="348">
        <v>13820</v>
      </c>
      <c r="E35" s="348" t="s">
        <v>3318</v>
      </c>
      <c r="F35" s="348" t="s">
        <v>2972</v>
      </c>
      <c r="G35" s="348">
        <v>37439</v>
      </c>
      <c r="H35" s="358"/>
      <c r="I35" s="352"/>
      <c r="J35" s="353"/>
      <c r="K35" s="538">
        <v>9999</v>
      </c>
      <c r="L35" s="353"/>
      <c r="M35" s="488"/>
      <c r="N35" s="488"/>
      <c r="O35" s="488"/>
      <c r="P35" s="488"/>
      <c r="Q35" s="488"/>
      <c r="R35" s="488"/>
      <c r="S35" s="488"/>
      <c r="T35" s="488"/>
      <c r="U35" s="488"/>
      <c r="V35" s="488"/>
      <c r="W35" s="488"/>
      <c r="X35" s="354"/>
      <c r="Y35" s="354"/>
      <c r="Z35" s="353"/>
      <c r="AA35" s="353" t="s">
        <v>5358</v>
      </c>
      <c r="AB35" s="836"/>
      <c r="AC35" s="836"/>
      <c r="AD35" s="836"/>
      <c r="AE35" s="837"/>
    </row>
    <row r="36" spans="1:31" ht="16.5" customHeight="1">
      <c r="A36" s="347">
        <v>1232602</v>
      </c>
      <c r="B36" s="347" t="s">
        <v>2863</v>
      </c>
      <c r="C36" s="347" t="s">
        <v>5359</v>
      </c>
      <c r="D36" s="348">
        <v>19268</v>
      </c>
      <c r="E36" s="348" t="s">
        <v>3318</v>
      </c>
      <c r="F36" s="348" t="s">
        <v>2972</v>
      </c>
      <c r="G36" s="348">
        <v>37203</v>
      </c>
      <c r="H36" s="358"/>
      <c r="I36" s="352"/>
      <c r="J36" s="353"/>
      <c r="K36" s="538">
        <v>9999</v>
      </c>
      <c r="L36" s="353"/>
      <c r="M36" s="488"/>
      <c r="N36" s="488"/>
      <c r="O36" s="488"/>
      <c r="P36" s="488"/>
      <c r="Q36" s="488"/>
      <c r="R36" s="488"/>
      <c r="S36" s="488"/>
      <c r="T36" s="488"/>
      <c r="U36" s="488"/>
      <c r="V36" s="488"/>
      <c r="W36" s="488"/>
      <c r="X36" s="354"/>
      <c r="Y36" s="354"/>
      <c r="Z36" s="353" t="s">
        <v>238</v>
      </c>
      <c r="AA36" s="353" t="s">
        <v>5360</v>
      </c>
      <c r="AB36" s="836"/>
      <c r="AC36" s="836"/>
      <c r="AD36" s="836"/>
      <c r="AE36" s="837"/>
    </row>
    <row r="37" spans="1:31" ht="16.5" customHeight="1">
      <c r="A37" s="347">
        <v>1232602</v>
      </c>
      <c r="B37" s="347" t="s">
        <v>5361</v>
      </c>
      <c r="C37" s="347" t="s">
        <v>2657</v>
      </c>
      <c r="D37" s="348">
        <v>19633</v>
      </c>
      <c r="E37" s="348" t="s">
        <v>3318</v>
      </c>
      <c r="F37" s="348" t="s">
        <v>2972</v>
      </c>
      <c r="G37" s="348">
        <v>37203</v>
      </c>
      <c r="H37" s="358"/>
      <c r="I37" s="352"/>
      <c r="J37" s="353"/>
      <c r="K37" s="538">
        <v>9999</v>
      </c>
      <c r="L37" s="353"/>
      <c r="M37" s="488"/>
      <c r="N37" s="488"/>
      <c r="O37" s="488"/>
      <c r="P37" s="488"/>
      <c r="Q37" s="488"/>
      <c r="R37" s="488"/>
      <c r="S37" s="488"/>
      <c r="T37" s="488"/>
      <c r="U37" s="488"/>
      <c r="V37" s="488"/>
      <c r="W37" s="488"/>
      <c r="X37" s="354"/>
      <c r="Y37" s="354"/>
      <c r="Z37" s="353" t="s">
        <v>238</v>
      </c>
      <c r="AA37" s="353" t="s">
        <v>5362</v>
      </c>
      <c r="AB37" s="836"/>
      <c r="AC37" s="836"/>
      <c r="AD37" s="836"/>
      <c r="AE37" s="838"/>
    </row>
    <row r="38" spans="1:31" ht="16.5" customHeight="1">
      <c r="A38" s="347">
        <v>351247</v>
      </c>
      <c r="B38" s="347" t="s">
        <v>3444</v>
      </c>
      <c r="C38" s="347" t="s">
        <v>2936</v>
      </c>
      <c r="D38" s="348">
        <v>8039</v>
      </c>
      <c r="E38" s="348" t="s">
        <v>5363</v>
      </c>
      <c r="F38" s="348" t="s">
        <v>2313</v>
      </c>
      <c r="G38" s="348">
        <v>37854</v>
      </c>
      <c r="H38" s="358" t="s">
        <v>238</v>
      </c>
      <c r="I38" s="352"/>
      <c r="J38" s="353"/>
      <c r="K38" s="538">
        <v>9999</v>
      </c>
      <c r="L38" s="353"/>
      <c r="M38" s="488"/>
      <c r="N38" s="488"/>
      <c r="O38" s="488"/>
      <c r="P38" s="488"/>
      <c r="Q38" s="488"/>
      <c r="R38" s="488"/>
      <c r="S38" s="488"/>
      <c r="T38" s="488"/>
      <c r="U38" s="488"/>
      <c r="V38" s="488"/>
      <c r="W38" s="488"/>
      <c r="X38" s="354"/>
      <c r="Y38" s="354"/>
      <c r="Z38" s="353"/>
      <c r="AA38" s="353"/>
      <c r="AB38" s="836"/>
      <c r="AC38" s="836"/>
      <c r="AD38" s="836"/>
      <c r="AE38" s="838"/>
    </row>
    <row r="39" spans="1:31" ht="16.5" customHeight="1">
      <c r="A39" s="347">
        <v>100004784</v>
      </c>
      <c r="B39" s="347" t="s">
        <v>5364</v>
      </c>
      <c r="C39" s="347" t="s">
        <v>5365</v>
      </c>
      <c r="D39" s="348"/>
      <c r="E39" s="348" t="s">
        <v>5366</v>
      </c>
      <c r="F39" s="348" t="s">
        <v>2046</v>
      </c>
      <c r="G39" s="348">
        <v>34796</v>
      </c>
      <c r="H39" s="358" t="s">
        <v>238</v>
      </c>
      <c r="I39" s="352"/>
      <c r="J39" s="353"/>
      <c r="K39" s="538">
        <v>9999</v>
      </c>
      <c r="L39" s="488"/>
      <c r="M39" s="353"/>
      <c r="N39" s="488"/>
      <c r="O39" s="488"/>
      <c r="P39" s="488"/>
      <c r="Q39" s="488"/>
      <c r="R39" s="488"/>
      <c r="S39" s="488"/>
      <c r="T39" s="488"/>
      <c r="U39" s="488"/>
      <c r="V39" s="353"/>
      <c r="W39" s="488"/>
      <c r="X39" s="354"/>
      <c r="Y39" s="355"/>
      <c r="Z39" s="353"/>
      <c r="AA39" s="353"/>
      <c r="AB39" s="836"/>
      <c r="AC39" s="836"/>
      <c r="AD39" s="836"/>
      <c r="AE39" s="837"/>
    </row>
    <row r="40" spans="1:31" ht="16.5" customHeight="1">
      <c r="A40" s="347">
        <v>333351</v>
      </c>
      <c r="B40" s="347" t="s">
        <v>3468</v>
      </c>
      <c r="C40" s="347" t="s">
        <v>5367</v>
      </c>
      <c r="D40" s="348">
        <v>20650</v>
      </c>
      <c r="E40" s="348" t="s">
        <v>3357</v>
      </c>
      <c r="F40" s="348" t="s">
        <v>2185</v>
      </c>
      <c r="G40" s="348">
        <v>41544</v>
      </c>
      <c r="H40" s="358"/>
      <c r="I40" s="352"/>
      <c r="J40" s="353" t="s">
        <v>238</v>
      </c>
      <c r="K40" s="538">
        <v>9999</v>
      </c>
      <c r="L40" s="488"/>
      <c r="M40" s="353"/>
      <c r="N40" s="488" t="s">
        <v>238</v>
      </c>
      <c r="O40" s="488"/>
      <c r="P40" s="488"/>
      <c r="Q40" s="488"/>
      <c r="R40" s="488"/>
      <c r="S40" s="488"/>
      <c r="T40" s="488"/>
      <c r="U40" s="488"/>
      <c r="V40" s="353"/>
      <c r="W40" s="488"/>
      <c r="X40" s="354"/>
      <c r="Y40" s="355"/>
      <c r="Z40" s="353" t="s">
        <v>238</v>
      </c>
      <c r="AA40" s="353"/>
      <c r="AB40" s="836"/>
      <c r="AC40" s="836"/>
      <c r="AD40" s="836"/>
      <c r="AE40" s="837"/>
    </row>
    <row r="41" spans="1:31" ht="16.5" customHeight="1">
      <c r="A41" s="347">
        <v>333351</v>
      </c>
      <c r="B41" s="347" t="s">
        <v>2665</v>
      </c>
      <c r="C41" s="347" t="s">
        <v>5367</v>
      </c>
      <c r="D41" s="348">
        <v>20426</v>
      </c>
      <c r="E41" s="348" t="s">
        <v>3357</v>
      </c>
      <c r="F41" s="348" t="s">
        <v>2185</v>
      </c>
      <c r="G41" s="348">
        <v>41544</v>
      </c>
      <c r="H41" s="358"/>
      <c r="I41" s="352"/>
      <c r="J41" s="353" t="s">
        <v>238</v>
      </c>
      <c r="K41" s="538">
        <v>9999</v>
      </c>
      <c r="L41" s="353"/>
      <c r="M41" s="488"/>
      <c r="N41" s="488" t="s">
        <v>238</v>
      </c>
      <c r="O41" s="488"/>
      <c r="P41" s="488"/>
      <c r="Q41" s="488"/>
      <c r="R41" s="488"/>
      <c r="S41" s="488"/>
      <c r="T41" s="488"/>
      <c r="U41" s="488"/>
      <c r="V41" s="488"/>
      <c r="W41" s="488"/>
      <c r="X41" s="354"/>
      <c r="Y41" s="354"/>
      <c r="Z41" s="353" t="s">
        <v>238</v>
      </c>
      <c r="AA41" s="353" t="s">
        <v>5368</v>
      </c>
      <c r="AB41" s="836"/>
      <c r="AC41" s="836"/>
      <c r="AD41" s="836"/>
      <c r="AE41" s="837"/>
    </row>
    <row r="42" spans="1:31" ht="16.5" customHeight="1">
      <c r="A42" s="347">
        <v>27396316</v>
      </c>
      <c r="B42" s="347" t="s">
        <v>4169</v>
      </c>
      <c r="C42" s="347" t="s">
        <v>5369</v>
      </c>
      <c r="D42" s="348"/>
      <c r="E42" s="348" t="s">
        <v>3654</v>
      </c>
      <c r="F42" s="348" t="s">
        <v>2299</v>
      </c>
      <c r="G42" s="348">
        <v>43747</v>
      </c>
      <c r="H42" s="358" t="s">
        <v>238</v>
      </c>
      <c r="I42" s="352"/>
      <c r="J42" s="353"/>
      <c r="K42" s="538">
        <v>9999</v>
      </c>
      <c r="L42" s="353"/>
      <c r="M42" s="488"/>
      <c r="N42" s="488"/>
      <c r="O42" s="488"/>
      <c r="P42" s="488"/>
      <c r="Q42" s="488"/>
      <c r="R42" s="488"/>
      <c r="S42" s="488"/>
      <c r="T42" s="488"/>
      <c r="U42" s="488"/>
      <c r="V42" s="488"/>
      <c r="W42" s="488"/>
      <c r="X42" s="354"/>
      <c r="Y42" s="354"/>
      <c r="Z42" s="353"/>
      <c r="AA42" s="353"/>
      <c r="AB42" s="836"/>
      <c r="AC42" s="836"/>
      <c r="AD42" s="836"/>
      <c r="AE42" s="837"/>
    </row>
    <row r="43" spans="1:31" ht="16.5" customHeight="1">
      <c r="A43" s="347">
        <v>27396316</v>
      </c>
      <c r="B43" s="347" t="s">
        <v>3652</v>
      </c>
      <c r="C43" s="347" t="s">
        <v>3653</v>
      </c>
      <c r="D43" s="348">
        <v>14758</v>
      </c>
      <c r="E43" s="348" t="s">
        <v>3654</v>
      </c>
      <c r="F43" s="348" t="s">
        <v>2299</v>
      </c>
      <c r="G43" s="348">
        <v>43675</v>
      </c>
      <c r="H43" s="358"/>
      <c r="I43" s="352" t="s">
        <v>238</v>
      </c>
      <c r="J43" s="353"/>
      <c r="K43" s="538">
        <v>9999</v>
      </c>
      <c r="L43" s="488" t="s">
        <v>238</v>
      </c>
      <c r="M43" s="488"/>
      <c r="N43" s="353"/>
      <c r="O43" s="488"/>
      <c r="P43" s="488"/>
      <c r="Q43" s="488"/>
      <c r="R43" s="488"/>
      <c r="S43" s="488"/>
      <c r="T43" s="488"/>
      <c r="U43" s="488"/>
      <c r="V43" s="488"/>
      <c r="W43" s="488"/>
      <c r="X43" s="354"/>
      <c r="Y43" s="354"/>
      <c r="Z43" s="353"/>
      <c r="AA43" s="353" t="s">
        <v>5370</v>
      </c>
      <c r="AB43" s="836" t="s">
        <v>5371</v>
      </c>
      <c r="AC43" s="836"/>
      <c r="AD43" s="836"/>
      <c r="AE43" s="837"/>
    </row>
    <row r="44" spans="1:31" ht="16.5" customHeight="1">
      <c r="A44" s="347">
        <v>100006037</v>
      </c>
      <c r="B44" s="347" t="s">
        <v>205</v>
      </c>
      <c r="C44" s="347" t="s">
        <v>2706</v>
      </c>
      <c r="D44" s="348">
        <v>10649</v>
      </c>
      <c r="E44" s="348" t="s">
        <v>5372</v>
      </c>
      <c r="F44" s="348" t="s">
        <v>2106</v>
      </c>
      <c r="G44" s="348">
        <v>42551</v>
      </c>
      <c r="H44" s="358" t="s">
        <v>238</v>
      </c>
      <c r="I44" s="352"/>
      <c r="J44" s="353"/>
      <c r="K44" s="538">
        <v>9999</v>
      </c>
      <c r="L44" s="488"/>
      <c r="M44" s="488"/>
      <c r="N44" s="488"/>
      <c r="O44" s="488"/>
      <c r="P44" s="488"/>
      <c r="Q44" s="488"/>
      <c r="R44" s="488"/>
      <c r="S44" s="488"/>
      <c r="T44" s="488"/>
      <c r="U44" s="488"/>
      <c r="V44" s="488"/>
      <c r="W44" s="488"/>
      <c r="X44" s="354"/>
      <c r="Y44" s="354"/>
      <c r="Z44" s="353"/>
      <c r="AA44" s="353"/>
      <c r="AB44" s="836"/>
      <c r="AC44" s="836"/>
      <c r="AD44" s="836"/>
      <c r="AE44" s="838"/>
    </row>
    <row r="45" spans="1:31" ht="16.5" customHeight="1">
      <c r="A45" s="347">
        <v>24496879</v>
      </c>
      <c r="B45" s="347" t="s">
        <v>2511</v>
      </c>
      <c r="C45" s="347" t="s">
        <v>5373</v>
      </c>
      <c r="D45" s="348">
        <v>18269</v>
      </c>
      <c r="E45" s="348" t="s">
        <v>2717</v>
      </c>
      <c r="F45" s="348" t="s">
        <v>2089</v>
      </c>
      <c r="G45" s="348">
        <v>38432</v>
      </c>
      <c r="H45" s="358"/>
      <c r="I45" s="352"/>
      <c r="J45" s="353"/>
      <c r="K45" s="538">
        <v>9999</v>
      </c>
      <c r="L45" s="353"/>
      <c r="M45" s="488"/>
      <c r="N45" s="488"/>
      <c r="O45" s="488"/>
      <c r="P45" s="488"/>
      <c r="Q45" s="488"/>
      <c r="R45" s="488"/>
      <c r="S45" s="488"/>
      <c r="T45" s="488"/>
      <c r="U45" s="488"/>
      <c r="V45" s="488"/>
      <c r="W45" s="488"/>
      <c r="X45" s="354"/>
      <c r="Y45" s="354"/>
      <c r="Z45" s="353"/>
      <c r="AA45" s="353" t="s">
        <v>5374</v>
      </c>
      <c r="AB45" s="836"/>
      <c r="AC45" s="836"/>
      <c r="AD45" s="836"/>
      <c r="AE45" s="837"/>
    </row>
    <row r="46" spans="1:31" ht="16.5" customHeight="1">
      <c r="A46" s="347">
        <v>39546981</v>
      </c>
      <c r="B46" s="347" t="s">
        <v>2808</v>
      </c>
      <c r="C46" s="347" t="s">
        <v>2809</v>
      </c>
      <c r="D46" s="348">
        <v>13520</v>
      </c>
      <c r="E46" s="348" t="s">
        <v>2810</v>
      </c>
      <c r="F46" s="348" t="s">
        <v>2129</v>
      </c>
      <c r="G46" s="348">
        <v>41237</v>
      </c>
      <c r="H46" s="358"/>
      <c r="I46" s="352"/>
      <c r="J46" s="353"/>
      <c r="K46" s="538">
        <v>9999</v>
      </c>
      <c r="L46" s="488"/>
      <c r="M46" s="488"/>
      <c r="N46" s="488"/>
      <c r="O46" s="488"/>
      <c r="P46" s="488"/>
      <c r="Q46" s="488"/>
      <c r="R46" s="488"/>
      <c r="S46" s="488"/>
      <c r="T46" s="488"/>
      <c r="U46" s="488"/>
      <c r="V46" s="488"/>
      <c r="W46" s="488"/>
      <c r="X46" s="354"/>
      <c r="Y46" s="354"/>
      <c r="Z46" s="353"/>
      <c r="AA46" s="353" t="s">
        <v>5375</v>
      </c>
      <c r="AB46" s="836"/>
      <c r="AC46" s="836"/>
      <c r="AD46" s="836"/>
      <c r="AE46" s="838"/>
    </row>
    <row r="47" spans="1:31" ht="16.5" customHeight="1">
      <c r="A47" s="347">
        <v>91500124</v>
      </c>
      <c r="B47" s="347" t="s">
        <v>2832</v>
      </c>
      <c r="C47" s="347" t="s">
        <v>5376</v>
      </c>
      <c r="D47" s="348">
        <v>13450</v>
      </c>
      <c r="E47" s="348" t="s">
        <v>2897</v>
      </c>
      <c r="F47" s="348" t="s">
        <v>2081</v>
      </c>
      <c r="G47" s="348">
        <v>43192</v>
      </c>
      <c r="H47" s="358"/>
      <c r="I47" s="352"/>
      <c r="J47" s="353" t="s">
        <v>238</v>
      </c>
      <c r="K47" s="538">
        <v>53353</v>
      </c>
      <c r="L47" s="353" t="s">
        <v>238</v>
      </c>
      <c r="M47" s="488" t="s">
        <v>238</v>
      </c>
      <c r="N47" s="488"/>
      <c r="O47" s="488"/>
      <c r="P47" s="488"/>
      <c r="Q47" s="488"/>
      <c r="R47" s="488"/>
      <c r="S47" s="488"/>
      <c r="T47" s="488"/>
      <c r="U47" s="488" t="s">
        <v>238</v>
      </c>
      <c r="V47" s="488"/>
      <c r="W47" s="488"/>
      <c r="X47" s="354"/>
      <c r="Y47" s="354"/>
      <c r="Z47" s="353"/>
      <c r="AA47" s="353"/>
      <c r="AB47" s="836" t="s">
        <v>5377</v>
      </c>
      <c r="AC47" s="836"/>
      <c r="AD47" s="836"/>
      <c r="AE47" s="838"/>
    </row>
    <row r="48" spans="1:31" ht="16.5" customHeight="1">
      <c r="A48" s="347">
        <v>100004333</v>
      </c>
      <c r="B48" s="347" t="s">
        <v>2532</v>
      </c>
      <c r="C48" s="347" t="s">
        <v>5378</v>
      </c>
      <c r="D48" s="348">
        <v>1644</v>
      </c>
      <c r="E48" s="348" t="s">
        <v>5379</v>
      </c>
      <c r="F48" s="348" t="s">
        <v>2072</v>
      </c>
      <c r="G48" s="348">
        <v>38070</v>
      </c>
      <c r="H48" s="358" t="s">
        <v>238</v>
      </c>
      <c r="I48" s="352"/>
      <c r="J48" s="353"/>
      <c r="K48" s="538">
        <v>9999</v>
      </c>
      <c r="L48" s="488"/>
      <c r="M48" s="488"/>
      <c r="N48" s="488"/>
      <c r="O48" s="488"/>
      <c r="P48" s="488"/>
      <c r="Q48" s="488"/>
      <c r="R48" s="488"/>
      <c r="S48" s="488"/>
      <c r="T48" s="488"/>
      <c r="U48" s="488"/>
      <c r="V48" s="488"/>
      <c r="W48" s="488"/>
      <c r="X48" s="354"/>
      <c r="Y48" s="354"/>
      <c r="Z48" s="353"/>
      <c r="AA48" s="353"/>
      <c r="AB48" s="836"/>
      <c r="AC48" s="836"/>
      <c r="AD48" s="836"/>
      <c r="AE48" s="838"/>
    </row>
    <row r="49" spans="1:31" ht="16.5" customHeight="1">
      <c r="A49" s="347">
        <v>5573985</v>
      </c>
      <c r="B49" s="347" t="s">
        <v>3901</v>
      </c>
      <c r="C49" s="347" t="s">
        <v>5380</v>
      </c>
      <c r="D49" s="348">
        <v>17753</v>
      </c>
      <c r="E49" s="348" t="s">
        <v>5381</v>
      </c>
      <c r="F49" s="348" t="s">
        <v>2069</v>
      </c>
      <c r="G49" s="348">
        <v>42502</v>
      </c>
      <c r="H49" s="358" t="s">
        <v>238</v>
      </c>
      <c r="I49" s="352"/>
      <c r="J49" s="353"/>
      <c r="K49" s="538">
        <v>9999</v>
      </c>
      <c r="L49" s="488"/>
      <c r="M49" s="488"/>
      <c r="N49" s="488"/>
      <c r="O49" s="488"/>
      <c r="P49" s="488"/>
      <c r="Q49" s="488"/>
      <c r="R49" s="488"/>
      <c r="S49" s="488"/>
      <c r="T49" s="488"/>
      <c r="U49" s="488"/>
      <c r="V49" s="488"/>
      <c r="W49" s="488"/>
      <c r="X49" s="354"/>
      <c r="Y49" s="354"/>
      <c r="Z49" s="353" t="s">
        <v>238</v>
      </c>
      <c r="AA49" s="353"/>
      <c r="AB49" s="836"/>
      <c r="AC49" s="836"/>
      <c r="AD49" s="836"/>
      <c r="AE49" s="838"/>
    </row>
    <row r="50" spans="1:31" ht="16.5" customHeight="1">
      <c r="A50" s="347">
        <v>5573985</v>
      </c>
      <c r="B50" s="347" t="s">
        <v>5382</v>
      </c>
      <c r="C50" s="347" t="s">
        <v>5383</v>
      </c>
      <c r="D50" s="348">
        <v>16909</v>
      </c>
      <c r="E50" s="348" t="s">
        <v>5381</v>
      </c>
      <c r="F50" s="348" t="s">
        <v>2069</v>
      </c>
      <c r="G50" s="348">
        <v>42502</v>
      </c>
      <c r="H50" s="358"/>
      <c r="I50" s="352"/>
      <c r="J50" s="353"/>
      <c r="K50" s="538">
        <v>9999</v>
      </c>
      <c r="L50" s="353"/>
      <c r="M50" s="488"/>
      <c r="N50" s="488"/>
      <c r="O50" s="488"/>
      <c r="P50" s="488"/>
      <c r="Q50" s="488"/>
      <c r="R50" s="488"/>
      <c r="S50" s="488"/>
      <c r="T50" s="488"/>
      <c r="U50" s="488"/>
      <c r="V50" s="488"/>
      <c r="W50" s="488"/>
      <c r="X50" s="354"/>
      <c r="Y50" s="354"/>
      <c r="Z50" s="353" t="s">
        <v>238</v>
      </c>
      <c r="AA50" s="353"/>
      <c r="AB50" s="836"/>
      <c r="AC50" s="836"/>
      <c r="AD50" s="836"/>
      <c r="AE50" s="837"/>
    </row>
    <row r="51" spans="1:31" ht="16.5" customHeight="1">
      <c r="A51" s="347">
        <v>1885409</v>
      </c>
      <c r="B51" s="347" t="s">
        <v>5384</v>
      </c>
      <c r="C51" s="347" t="s">
        <v>5385</v>
      </c>
      <c r="D51" s="348">
        <v>22647</v>
      </c>
      <c r="E51" s="348" t="s">
        <v>5386</v>
      </c>
      <c r="F51" s="348" t="s">
        <v>2081</v>
      </c>
      <c r="G51" s="348">
        <v>36713</v>
      </c>
      <c r="H51" s="358"/>
      <c r="I51" s="352"/>
      <c r="J51" s="353" t="s">
        <v>238</v>
      </c>
      <c r="K51" s="538">
        <v>9999</v>
      </c>
      <c r="L51" s="488" t="s">
        <v>238</v>
      </c>
      <c r="M51" s="488" t="s">
        <v>238</v>
      </c>
      <c r="N51" s="488"/>
      <c r="O51" s="488"/>
      <c r="P51" s="488"/>
      <c r="Q51" s="488"/>
      <c r="R51" s="488"/>
      <c r="S51" s="488"/>
      <c r="T51" s="488"/>
      <c r="U51" s="488"/>
      <c r="V51" s="488"/>
      <c r="W51" s="488"/>
      <c r="X51" s="354"/>
      <c r="Y51" s="354"/>
      <c r="Z51" s="353"/>
      <c r="AA51" s="353" t="s">
        <v>5387</v>
      </c>
      <c r="AB51" s="836"/>
      <c r="AC51" s="836"/>
      <c r="AD51" s="836"/>
      <c r="AE51" s="838"/>
    </row>
    <row r="52" spans="1:31" ht="16.5" customHeight="1">
      <c r="A52" s="347">
        <v>16496630</v>
      </c>
      <c r="B52" s="347" t="s">
        <v>4032</v>
      </c>
      <c r="C52" s="347" t="s">
        <v>5388</v>
      </c>
      <c r="D52" s="348">
        <v>9062</v>
      </c>
      <c r="E52" s="348" t="s">
        <v>5389</v>
      </c>
      <c r="F52" s="348" t="s">
        <v>2046</v>
      </c>
      <c r="G52" s="348">
        <v>43649</v>
      </c>
      <c r="H52" s="358" t="s">
        <v>238</v>
      </c>
      <c r="I52" s="352" t="s">
        <v>238</v>
      </c>
      <c r="J52" s="353" t="s">
        <v>238</v>
      </c>
      <c r="K52" s="538">
        <v>500000</v>
      </c>
      <c r="L52" s="488" t="s">
        <v>238</v>
      </c>
      <c r="M52" s="488" t="s">
        <v>238</v>
      </c>
      <c r="N52" s="488"/>
      <c r="O52" s="488"/>
      <c r="P52" s="488"/>
      <c r="Q52" s="488"/>
      <c r="R52" s="488"/>
      <c r="S52" s="488"/>
      <c r="T52" s="488"/>
      <c r="U52" s="488"/>
      <c r="V52" s="488"/>
      <c r="W52" s="488"/>
      <c r="X52" s="354"/>
      <c r="Y52" s="354"/>
      <c r="Z52" s="353" t="s">
        <v>238</v>
      </c>
      <c r="AA52" s="353"/>
      <c r="AB52" s="836" t="s">
        <v>5390</v>
      </c>
      <c r="AC52" s="836"/>
      <c r="AD52" s="836"/>
      <c r="AE52" s="838"/>
    </row>
    <row r="53" spans="1:31" ht="16.5" customHeight="1">
      <c r="A53" s="347">
        <v>16496630</v>
      </c>
      <c r="B53" s="347" t="s">
        <v>3373</v>
      </c>
      <c r="C53" s="347" t="s">
        <v>5388</v>
      </c>
      <c r="D53" s="348">
        <v>12358</v>
      </c>
      <c r="E53" s="348" t="s">
        <v>5389</v>
      </c>
      <c r="F53" s="348" t="s">
        <v>2046</v>
      </c>
      <c r="G53" s="348">
        <v>39017</v>
      </c>
      <c r="H53" s="358"/>
      <c r="I53" s="352" t="s">
        <v>238</v>
      </c>
      <c r="J53" s="353" t="s">
        <v>238</v>
      </c>
      <c r="K53" s="538">
        <v>500000</v>
      </c>
      <c r="L53" s="488" t="s">
        <v>238</v>
      </c>
      <c r="M53" s="488" t="s">
        <v>238</v>
      </c>
      <c r="N53" s="488"/>
      <c r="O53" s="488"/>
      <c r="P53" s="488"/>
      <c r="Q53" s="488"/>
      <c r="R53" s="488"/>
      <c r="S53" s="488"/>
      <c r="T53" s="488"/>
      <c r="U53" s="488"/>
      <c r="V53" s="488"/>
      <c r="W53" s="488"/>
      <c r="X53" s="354"/>
      <c r="Y53" s="354"/>
      <c r="Z53" s="353" t="s">
        <v>238</v>
      </c>
      <c r="AA53" s="353"/>
      <c r="AB53" s="836" t="s">
        <v>5390</v>
      </c>
      <c r="AC53" s="836"/>
      <c r="AD53" s="836"/>
      <c r="AE53" s="837"/>
    </row>
    <row r="54" spans="1:31" ht="16.5" customHeight="1">
      <c r="A54" s="347">
        <v>100005856</v>
      </c>
      <c r="B54" s="347" t="s">
        <v>3478</v>
      </c>
      <c r="C54" s="347" t="s">
        <v>5391</v>
      </c>
      <c r="D54" s="348">
        <v>5790</v>
      </c>
      <c r="E54" s="348" t="s">
        <v>3601</v>
      </c>
      <c r="F54" s="348" t="s">
        <v>2201</v>
      </c>
      <c r="G54" s="348">
        <v>42272</v>
      </c>
      <c r="H54" s="358" t="s">
        <v>238</v>
      </c>
      <c r="I54" s="352" t="s">
        <v>238</v>
      </c>
      <c r="J54" s="353"/>
      <c r="K54" s="538">
        <v>9999</v>
      </c>
      <c r="L54" s="488" t="s">
        <v>238</v>
      </c>
      <c r="M54" s="488"/>
      <c r="N54" s="488"/>
      <c r="O54" s="488"/>
      <c r="P54" s="488"/>
      <c r="Q54" s="488"/>
      <c r="R54" s="488"/>
      <c r="S54" s="488"/>
      <c r="T54" s="488"/>
      <c r="U54" s="488"/>
      <c r="V54" s="488"/>
      <c r="W54" s="488"/>
      <c r="X54" s="354"/>
      <c r="Y54" s="354"/>
      <c r="Z54" s="353"/>
      <c r="AA54" s="353"/>
      <c r="AB54" s="836" t="s">
        <v>5392</v>
      </c>
      <c r="AC54" s="836"/>
      <c r="AD54" s="836"/>
      <c r="AE54" s="838"/>
    </row>
    <row r="55" spans="1:31" ht="16.5" customHeight="1">
      <c r="A55" s="347">
        <v>61655</v>
      </c>
      <c r="B55" s="347" t="s">
        <v>2593</v>
      </c>
      <c r="C55" s="347" t="s">
        <v>3389</v>
      </c>
      <c r="D55" s="348">
        <v>9610</v>
      </c>
      <c r="E55" s="348" t="s">
        <v>2662</v>
      </c>
      <c r="F55" s="348" t="s">
        <v>2129</v>
      </c>
      <c r="G55" s="348">
        <v>37427</v>
      </c>
      <c r="H55" s="358"/>
      <c r="I55" s="352"/>
      <c r="J55" s="353"/>
      <c r="K55" s="538">
        <v>9999</v>
      </c>
      <c r="L55" s="488"/>
      <c r="M55" s="488"/>
      <c r="N55" s="488"/>
      <c r="O55" s="488"/>
      <c r="P55" s="488"/>
      <c r="Q55" s="488"/>
      <c r="R55" s="488"/>
      <c r="S55" s="488"/>
      <c r="T55" s="488"/>
      <c r="U55" s="488"/>
      <c r="V55" s="488"/>
      <c r="W55" s="353"/>
      <c r="X55" s="354"/>
      <c r="Y55" s="354"/>
      <c r="Z55" s="353"/>
      <c r="AA55" s="353" t="s">
        <v>5393</v>
      </c>
      <c r="AB55" s="836"/>
      <c r="AC55" s="836"/>
      <c r="AD55" s="836"/>
      <c r="AE55" s="838"/>
    </row>
    <row r="56" spans="1:31" ht="16.5" customHeight="1">
      <c r="A56" s="347">
        <v>6904395</v>
      </c>
      <c r="B56" s="347" t="s">
        <v>2602</v>
      </c>
      <c r="C56" s="347" t="s">
        <v>5394</v>
      </c>
      <c r="D56" s="348">
        <v>12673</v>
      </c>
      <c r="E56" s="348" t="s">
        <v>5097</v>
      </c>
      <c r="F56" s="348" t="s">
        <v>2046</v>
      </c>
      <c r="G56" s="348">
        <v>41128</v>
      </c>
      <c r="H56" s="358"/>
      <c r="I56" s="352"/>
      <c r="J56" s="353"/>
      <c r="K56" s="538">
        <v>9999</v>
      </c>
      <c r="L56" s="488"/>
      <c r="M56" s="488"/>
      <c r="N56" s="353"/>
      <c r="O56" s="353"/>
      <c r="P56" s="488"/>
      <c r="Q56" s="488"/>
      <c r="R56" s="488"/>
      <c r="S56" s="488"/>
      <c r="T56" s="488"/>
      <c r="U56" s="488"/>
      <c r="V56" s="488"/>
      <c r="W56" s="488"/>
      <c r="X56" s="354"/>
      <c r="Y56" s="354"/>
      <c r="Z56" s="353"/>
      <c r="AA56" s="353" t="s">
        <v>5395</v>
      </c>
      <c r="AB56" s="836"/>
      <c r="AC56" s="836"/>
      <c r="AD56" s="836"/>
      <c r="AE56" s="837"/>
    </row>
    <row r="57" spans="1:31" ht="16.5" customHeight="1">
      <c r="A57" s="347">
        <v>4838082</v>
      </c>
      <c r="B57" s="347" t="s">
        <v>5396</v>
      </c>
      <c r="C57" s="347" t="s">
        <v>5397</v>
      </c>
      <c r="D57" s="348">
        <v>9773</v>
      </c>
      <c r="E57" s="348" t="s">
        <v>3996</v>
      </c>
      <c r="F57" s="348" t="s">
        <v>2174</v>
      </c>
      <c r="G57" s="348">
        <v>38552</v>
      </c>
      <c r="H57" s="358"/>
      <c r="I57" s="352"/>
      <c r="J57" s="353"/>
      <c r="K57" s="538">
        <v>24292</v>
      </c>
      <c r="L57" s="353"/>
      <c r="M57" s="488"/>
      <c r="N57" s="488"/>
      <c r="O57" s="488"/>
      <c r="P57" s="488"/>
      <c r="Q57" s="488"/>
      <c r="R57" s="488"/>
      <c r="S57" s="488"/>
      <c r="T57" s="488"/>
      <c r="U57" s="488" t="s">
        <v>238</v>
      </c>
      <c r="V57" s="488"/>
      <c r="W57" s="488"/>
      <c r="X57" s="354"/>
      <c r="Y57" s="354"/>
      <c r="Z57" s="353"/>
      <c r="AA57" s="353" t="s">
        <v>5398</v>
      </c>
      <c r="AB57" s="836" t="s">
        <v>5399</v>
      </c>
      <c r="AC57" s="836"/>
      <c r="AD57" s="836"/>
      <c r="AE57" s="838"/>
    </row>
    <row r="58" spans="1:31" ht="16.5" customHeight="1">
      <c r="A58" s="347">
        <v>24100885</v>
      </c>
      <c r="B58" s="347" t="s">
        <v>5400</v>
      </c>
      <c r="C58" s="347" t="s">
        <v>5401</v>
      </c>
      <c r="D58" s="348">
        <v>9285</v>
      </c>
      <c r="E58" s="348" t="s">
        <v>5402</v>
      </c>
      <c r="F58" s="348" t="s">
        <v>2081</v>
      </c>
      <c r="G58" s="348">
        <v>41747</v>
      </c>
      <c r="H58" s="358" t="s">
        <v>238</v>
      </c>
      <c r="I58" s="352"/>
      <c r="J58" s="353"/>
      <c r="K58" s="538">
        <v>9999</v>
      </c>
      <c r="L58" s="353"/>
      <c r="M58" s="488"/>
      <c r="N58" s="488"/>
      <c r="O58" s="488"/>
      <c r="P58" s="488"/>
      <c r="Q58" s="488"/>
      <c r="R58" s="488"/>
      <c r="S58" s="488"/>
      <c r="T58" s="488"/>
      <c r="U58" s="488"/>
      <c r="V58" s="488"/>
      <c r="W58" s="488"/>
      <c r="X58" s="354"/>
      <c r="Y58" s="354"/>
      <c r="Z58" s="353" t="s">
        <v>238</v>
      </c>
      <c r="AA58" s="353"/>
      <c r="AB58" s="836"/>
      <c r="AC58" s="836"/>
      <c r="AD58" s="836"/>
      <c r="AE58" s="838"/>
    </row>
    <row r="59" spans="1:31" ht="16.5" customHeight="1">
      <c r="A59" s="347">
        <v>24100885</v>
      </c>
      <c r="B59" s="347" t="s">
        <v>5403</v>
      </c>
      <c r="C59" s="347" t="s">
        <v>5401</v>
      </c>
      <c r="D59" s="348">
        <v>8767</v>
      </c>
      <c r="E59" s="348" t="s">
        <v>5402</v>
      </c>
      <c r="F59" s="348" t="s">
        <v>2081</v>
      </c>
      <c r="G59" s="348">
        <v>41747</v>
      </c>
      <c r="H59" s="358" t="s">
        <v>238</v>
      </c>
      <c r="I59" s="352"/>
      <c r="J59" s="353"/>
      <c r="K59" s="538">
        <v>9999</v>
      </c>
      <c r="L59" s="488"/>
      <c r="M59" s="488"/>
      <c r="N59" s="488"/>
      <c r="O59" s="488"/>
      <c r="P59" s="488"/>
      <c r="Q59" s="353"/>
      <c r="R59" s="488"/>
      <c r="S59" s="488"/>
      <c r="T59" s="488"/>
      <c r="U59" s="488"/>
      <c r="V59" s="488"/>
      <c r="W59" s="488"/>
      <c r="X59" s="353"/>
      <c r="Y59" s="354"/>
      <c r="Z59" s="353" t="s">
        <v>238</v>
      </c>
      <c r="AA59" s="353"/>
      <c r="AB59" s="836"/>
      <c r="AC59" s="836"/>
      <c r="AD59" s="836"/>
      <c r="AE59" s="837"/>
    </row>
    <row r="60" spans="1:31" ht="16.5" customHeight="1">
      <c r="A60" s="347">
        <v>61460176</v>
      </c>
      <c r="B60" s="347" t="s">
        <v>3468</v>
      </c>
      <c r="C60" s="347" t="s">
        <v>5404</v>
      </c>
      <c r="D60" s="348">
        <v>15307</v>
      </c>
      <c r="E60" s="348" t="s">
        <v>2679</v>
      </c>
      <c r="F60" s="348" t="s">
        <v>2318</v>
      </c>
      <c r="G60" s="348">
        <v>43649</v>
      </c>
      <c r="H60" s="358"/>
      <c r="I60" s="352"/>
      <c r="J60" s="353" t="s">
        <v>238</v>
      </c>
      <c r="K60" s="538">
        <v>9999</v>
      </c>
      <c r="L60" s="488" t="s">
        <v>238</v>
      </c>
      <c r="M60" s="488" t="s">
        <v>238</v>
      </c>
      <c r="N60" s="488"/>
      <c r="O60" s="488"/>
      <c r="P60" s="488"/>
      <c r="Q60" s="353"/>
      <c r="R60" s="488"/>
      <c r="S60" s="488"/>
      <c r="T60" s="488"/>
      <c r="U60" s="488"/>
      <c r="V60" s="488"/>
      <c r="W60" s="488"/>
      <c r="X60" s="353"/>
      <c r="Y60" s="354"/>
      <c r="Z60" s="353" t="s">
        <v>238</v>
      </c>
      <c r="AA60" s="353"/>
      <c r="AB60" s="836"/>
      <c r="AC60" s="836"/>
      <c r="AD60" s="836"/>
      <c r="AE60" s="837"/>
    </row>
    <row r="61" spans="1:31" ht="16.5" customHeight="1">
      <c r="A61" s="347">
        <v>61460176</v>
      </c>
      <c r="B61" s="347" t="s">
        <v>2697</v>
      </c>
      <c r="C61" s="347" t="s">
        <v>5404</v>
      </c>
      <c r="D61" s="348">
        <v>11079</v>
      </c>
      <c r="E61" s="348" t="s">
        <v>2679</v>
      </c>
      <c r="F61" s="348" t="s">
        <v>2318</v>
      </c>
      <c r="G61" s="348">
        <v>42135</v>
      </c>
      <c r="H61" s="358"/>
      <c r="I61" s="352"/>
      <c r="J61" s="353" t="s">
        <v>238</v>
      </c>
      <c r="K61" s="538">
        <v>9999</v>
      </c>
      <c r="L61" s="488" t="s">
        <v>238</v>
      </c>
      <c r="M61" s="488" t="s">
        <v>238</v>
      </c>
      <c r="N61" s="488"/>
      <c r="O61" s="488"/>
      <c r="P61" s="488"/>
      <c r="Q61" s="488"/>
      <c r="R61" s="488"/>
      <c r="S61" s="488"/>
      <c r="T61" s="488"/>
      <c r="U61" s="488"/>
      <c r="V61" s="488"/>
      <c r="W61" s="488"/>
      <c r="X61" s="354"/>
      <c r="Y61" s="354"/>
      <c r="Z61" s="353" t="s">
        <v>238</v>
      </c>
      <c r="AA61" s="353" t="s">
        <v>5405</v>
      </c>
      <c r="AB61" s="836"/>
      <c r="AC61" s="836"/>
      <c r="AD61" s="836"/>
      <c r="AE61" s="838"/>
    </row>
    <row r="62" spans="1:31" ht="16.5" customHeight="1">
      <c r="A62" s="347">
        <v>100005404</v>
      </c>
      <c r="B62" s="347" t="s">
        <v>4365</v>
      </c>
      <c r="C62" s="347" t="s">
        <v>5406</v>
      </c>
      <c r="D62" s="348" t="s">
        <v>5407</v>
      </c>
      <c r="E62" s="348" t="s">
        <v>5408</v>
      </c>
      <c r="F62" s="348" t="s">
        <v>2059</v>
      </c>
      <c r="G62" s="348">
        <v>36111</v>
      </c>
      <c r="H62" s="358" t="s">
        <v>238</v>
      </c>
      <c r="I62" s="352"/>
      <c r="J62" s="353"/>
      <c r="K62" s="538">
        <v>8796.4</v>
      </c>
      <c r="L62" s="488"/>
      <c r="M62" s="488"/>
      <c r="N62" s="488"/>
      <c r="O62" s="488"/>
      <c r="P62" s="488"/>
      <c r="Q62" s="488"/>
      <c r="R62" s="488"/>
      <c r="S62" s="488"/>
      <c r="T62" s="488"/>
      <c r="U62" s="488" t="s">
        <v>238</v>
      </c>
      <c r="V62" s="488"/>
      <c r="W62" s="488"/>
      <c r="X62" s="354"/>
      <c r="Y62" s="354"/>
      <c r="Z62" s="353" t="s">
        <v>238</v>
      </c>
      <c r="AA62" s="353"/>
      <c r="AB62" s="836"/>
      <c r="AC62" s="836"/>
      <c r="AD62" s="836"/>
      <c r="AE62" s="838"/>
    </row>
    <row r="63" spans="1:31" ht="16.5" customHeight="1">
      <c r="A63" s="347">
        <v>100005404</v>
      </c>
      <c r="B63" s="347" t="s">
        <v>3825</v>
      </c>
      <c r="C63" s="347" t="s">
        <v>5406</v>
      </c>
      <c r="D63" s="348">
        <v>6243</v>
      </c>
      <c r="E63" s="348" t="s">
        <v>5408</v>
      </c>
      <c r="F63" s="348" t="s">
        <v>2059</v>
      </c>
      <c r="G63" s="348">
        <v>36111</v>
      </c>
      <c r="H63" s="358" t="s">
        <v>238</v>
      </c>
      <c r="I63" s="352"/>
      <c r="J63" s="353"/>
      <c r="K63" s="538" t="s">
        <v>69</v>
      </c>
      <c r="L63" s="488"/>
      <c r="M63" s="488"/>
      <c r="N63" s="353"/>
      <c r="O63" s="488"/>
      <c r="P63" s="488"/>
      <c r="Q63" s="488"/>
      <c r="R63" s="488"/>
      <c r="S63" s="488"/>
      <c r="T63" s="488"/>
      <c r="U63" s="488" t="s">
        <v>238</v>
      </c>
      <c r="V63" s="488"/>
      <c r="W63" s="488"/>
      <c r="X63" s="354"/>
      <c r="Y63" s="354"/>
      <c r="Z63" s="353" t="s">
        <v>238</v>
      </c>
      <c r="AA63" s="353"/>
      <c r="AB63" s="836"/>
      <c r="AC63" s="836"/>
      <c r="AD63" s="836"/>
      <c r="AE63" s="838"/>
    </row>
    <row r="64" spans="1:31" ht="16.5" customHeight="1">
      <c r="A64" s="347">
        <v>29474905</v>
      </c>
      <c r="B64" s="347" t="s">
        <v>2898</v>
      </c>
      <c r="C64" s="347" t="s">
        <v>5409</v>
      </c>
      <c r="D64" s="348">
        <v>12694</v>
      </c>
      <c r="E64" s="348" t="s">
        <v>2730</v>
      </c>
      <c r="F64" s="348" t="s">
        <v>2174</v>
      </c>
      <c r="G64" s="348">
        <v>43623</v>
      </c>
      <c r="H64" s="358"/>
      <c r="I64" s="352"/>
      <c r="J64" s="353"/>
      <c r="K64" s="538">
        <v>123489.22</v>
      </c>
      <c r="L64" s="353"/>
      <c r="M64" s="488" t="s">
        <v>238</v>
      </c>
      <c r="N64" s="488"/>
      <c r="O64" s="488"/>
      <c r="P64" s="488"/>
      <c r="Q64" s="488"/>
      <c r="R64" s="488"/>
      <c r="S64" s="488"/>
      <c r="T64" s="488"/>
      <c r="U64" s="488"/>
      <c r="V64" s="488"/>
      <c r="W64" s="488"/>
      <c r="X64" s="354"/>
      <c r="Y64" s="354"/>
      <c r="Z64" s="353"/>
      <c r="AA64" s="353"/>
      <c r="AB64" s="836"/>
      <c r="AC64" s="836"/>
      <c r="AD64" s="836"/>
      <c r="AE64" s="837"/>
    </row>
    <row r="65" spans="1:31" ht="16.5" customHeight="1">
      <c r="A65" s="347">
        <v>39821640</v>
      </c>
      <c r="B65" s="347" t="s">
        <v>3444</v>
      </c>
      <c r="C65" s="347" t="s">
        <v>5410</v>
      </c>
      <c r="D65" s="348"/>
      <c r="E65" s="348" t="s">
        <v>5411</v>
      </c>
      <c r="F65" s="348" t="s">
        <v>2081</v>
      </c>
      <c r="G65" s="348">
        <v>43654</v>
      </c>
      <c r="H65" s="358"/>
      <c r="I65" s="352"/>
      <c r="J65" s="353" t="s">
        <v>238</v>
      </c>
      <c r="K65" s="538">
        <v>9999</v>
      </c>
      <c r="L65" s="353" t="s">
        <v>238</v>
      </c>
      <c r="M65" s="488" t="s">
        <v>238</v>
      </c>
      <c r="N65" s="488"/>
      <c r="O65" s="488"/>
      <c r="P65" s="488"/>
      <c r="Q65" s="488"/>
      <c r="R65" s="488"/>
      <c r="S65" s="488"/>
      <c r="T65" s="488"/>
      <c r="U65" s="488"/>
      <c r="V65" s="488"/>
      <c r="W65" s="488"/>
      <c r="X65" s="354"/>
      <c r="Y65" s="354"/>
      <c r="Z65" s="353" t="s">
        <v>238</v>
      </c>
      <c r="AA65" s="353"/>
      <c r="AB65" s="836"/>
      <c r="AC65" s="836"/>
      <c r="AD65" s="836"/>
      <c r="AE65" s="837"/>
    </row>
    <row r="66" spans="1:31" ht="16.5" customHeight="1">
      <c r="A66" s="347">
        <v>39821640</v>
      </c>
      <c r="B66" s="347" t="s">
        <v>2697</v>
      </c>
      <c r="C66" s="347" t="s">
        <v>5410</v>
      </c>
      <c r="D66" s="348">
        <v>15230</v>
      </c>
      <c r="E66" s="348" t="s">
        <v>5411</v>
      </c>
      <c r="F66" s="348" t="s">
        <v>2081</v>
      </c>
      <c r="G66" s="348">
        <v>42515</v>
      </c>
      <c r="H66" s="358"/>
      <c r="I66" s="352"/>
      <c r="J66" s="353" t="s">
        <v>238</v>
      </c>
      <c r="K66" s="539">
        <v>9999</v>
      </c>
      <c r="L66" s="488" t="s">
        <v>238</v>
      </c>
      <c r="M66" s="488" t="s">
        <v>238</v>
      </c>
      <c r="N66" s="488"/>
      <c r="O66" s="488"/>
      <c r="P66" s="488"/>
      <c r="Q66" s="353"/>
      <c r="R66" s="488"/>
      <c r="S66" s="488"/>
      <c r="T66" s="488"/>
      <c r="U66" s="488"/>
      <c r="V66" s="488"/>
      <c r="W66" s="488"/>
      <c r="X66" s="353"/>
      <c r="Y66" s="354"/>
      <c r="Z66" s="353" t="s">
        <v>238</v>
      </c>
      <c r="AA66" s="353"/>
      <c r="AB66" s="836"/>
      <c r="AC66" s="836"/>
      <c r="AD66" s="836"/>
      <c r="AE66" s="837"/>
    </row>
    <row r="67" spans="1:31" ht="16.5" customHeight="1">
      <c r="A67" s="347">
        <v>4043907</v>
      </c>
      <c r="B67" s="347" t="s">
        <v>5412</v>
      </c>
      <c r="C67" s="347" t="s">
        <v>3661</v>
      </c>
      <c r="D67" s="348">
        <v>10889</v>
      </c>
      <c r="E67" s="348" t="s">
        <v>5413</v>
      </c>
      <c r="F67" s="348" t="s">
        <v>2055</v>
      </c>
      <c r="G67" s="348">
        <v>37036</v>
      </c>
      <c r="H67" s="358" t="s">
        <v>238</v>
      </c>
      <c r="I67" s="352"/>
      <c r="J67" s="353"/>
      <c r="K67" s="539" t="s">
        <v>69</v>
      </c>
      <c r="L67" s="488"/>
      <c r="M67" s="488"/>
      <c r="N67" s="488"/>
      <c r="O67" s="488"/>
      <c r="P67" s="488"/>
      <c r="Q67" s="353"/>
      <c r="R67" s="488"/>
      <c r="S67" s="488"/>
      <c r="T67" s="488"/>
      <c r="U67" s="488" t="s">
        <v>238</v>
      </c>
      <c r="V67" s="488"/>
      <c r="W67" s="488"/>
      <c r="X67" s="353"/>
      <c r="Y67" s="354"/>
      <c r="Z67" s="353" t="s">
        <v>238</v>
      </c>
      <c r="AA67" s="353"/>
      <c r="AB67" s="836"/>
      <c r="AC67" s="836"/>
      <c r="AD67" s="836"/>
      <c r="AE67" s="837"/>
    </row>
    <row r="68" spans="1:31" ht="16.5" customHeight="1">
      <c r="A68" s="347">
        <v>4043907</v>
      </c>
      <c r="B68" s="347" t="s">
        <v>5414</v>
      </c>
      <c r="C68" s="347" t="s">
        <v>3661</v>
      </c>
      <c r="D68" s="348">
        <v>12477</v>
      </c>
      <c r="E68" s="348" t="s">
        <v>5413</v>
      </c>
      <c r="F68" s="348" t="s">
        <v>2055</v>
      </c>
      <c r="G68" s="348">
        <v>37036</v>
      </c>
      <c r="H68" s="358" t="s">
        <v>238</v>
      </c>
      <c r="I68" s="352"/>
      <c r="J68" s="353"/>
      <c r="K68" s="538">
        <v>34410.959999999999</v>
      </c>
      <c r="L68" s="353"/>
      <c r="M68" s="353"/>
      <c r="N68" s="488"/>
      <c r="O68" s="488"/>
      <c r="P68" s="488"/>
      <c r="Q68" s="488"/>
      <c r="R68" s="488"/>
      <c r="S68" s="488"/>
      <c r="T68" s="353"/>
      <c r="U68" s="353" t="s">
        <v>238</v>
      </c>
      <c r="V68" s="488"/>
      <c r="W68" s="488"/>
      <c r="X68" s="354"/>
      <c r="Y68" s="355"/>
      <c r="Z68" s="353" t="s">
        <v>238</v>
      </c>
      <c r="AA68" s="353"/>
      <c r="AB68" s="836"/>
      <c r="AC68" s="836"/>
      <c r="AD68" s="836"/>
      <c r="AE68" s="837"/>
    </row>
    <row r="69" spans="1:31" ht="16.5" customHeight="1">
      <c r="A69" s="347">
        <v>100005392</v>
      </c>
      <c r="B69" s="347" t="s">
        <v>2775</v>
      </c>
      <c r="C69" s="347" t="s">
        <v>5415</v>
      </c>
      <c r="D69" s="348"/>
      <c r="E69" s="348" t="s">
        <v>5416</v>
      </c>
      <c r="F69" s="348" t="s">
        <v>2112</v>
      </c>
      <c r="G69" s="348">
        <v>34368</v>
      </c>
      <c r="H69" s="358" t="s">
        <v>238</v>
      </c>
      <c r="I69" s="352"/>
      <c r="J69" s="353"/>
      <c r="K69" s="539">
        <v>9999</v>
      </c>
      <c r="L69" s="488"/>
      <c r="M69" s="488"/>
      <c r="N69" s="488"/>
      <c r="O69" s="488"/>
      <c r="P69" s="488"/>
      <c r="Q69" s="488"/>
      <c r="R69" s="488"/>
      <c r="S69" s="488"/>
      <c r="T69" s="488"/>
      <c r="U69" s="488"/>
      <c r="V69" s="488"/>
      <c r="W69" s="488"/>
      <c r="X69" s="354"/>
      <c r="Y69" s="354"/>
      <c r="Z69" s="353"/>
      <c r="AA69" s="353"/>
      <c r="AB69" s="836"/>
      <c r="AC69" s="836"/>
      <c r="AD69" s="836"/>
      <c r="AE69" s="838"/>
    </row>
    <row r="70" spans="1:31" ht="16.5" customHeight="1">
      <c r="A70" s="347">
        <v>100005255</v>
      </c>
      <c r="B70" s="347" t="s">
        <v>2593</v>
      </c>
      <c r="C70" s="347" t="s">
        <v>5417</v>
      </c>
      <c r="D70" s="348"/>
      <c r="E70" s="348" t="s">
        <v>5418</v>
      </c>
      <c r="F70" s="348" t="s">
        <v>2059</v>
      </c>
      <c r="G70" s="348">
        <v>34289</v>
      </c>
      <c r="H70" s="358" t="s">
        <v>238</v>
      </c>
      <c r="I70" s="841"/>
      <c r="J70" s="354"/>
      <c r="K70" s="539">
        <v>9999</v>
      </c>
      <c r="L70" s="488"/>
      <c r="M70" s="488"/>
      <c r="N70" s="488"/>
      <c r="O70" s="488"/>
      <c r="P70" s="488"/>
      <c r="Q70" s="488"/>
      <c r="R70" s="488"/>
      <c r="S70" s="488"/>
      <c r="T70" s="488"/>
      <c r="U70" s="488"/>
      <c r="V70" s="488"/>
      <c r="W70" s="488"/>
      <c r="X70" s="354"/>
      <c r="Y70" s="354"/>
      <c r="Z70" s="354"/>
      <c r="AA70" s="354"/>
      <c r="AB70" s="836"/>
      <c r="AC70" s="836"/>
      <c r="AD70" s="836"/>
      <c r="AE70" s="838"/>
    </row>
    <row r="71" spans="1:31" ht="16.5" customHeight="1">
      <c r="A71" s="347">
        <v>100006121</v>
      </c>
      <c r="B71" s="347" t="s">
        <v>3431</v>
      </c>
      <c r="C71" s="347" t="s">
        <v>5419</v>
      </c>
      <c r="D71" s="348"/>
      <c r="E71" s="348" t="s">
        <v>5420</v>
      </c>
      <c r="F71" s="348" t="s">
        <v>2129</v>
      </c>
      <c r="G71" s="348">
        <v>35305</v>
      </c>
      <c r="H71" s="358" t="s">
        <v>238</v>
      </c>
      <c r="I71" s="352"/>
      <c r="J71" s="353"/>
      <c r="K71" s="539">
        <v>9999</v>
      </c>
      <c r="L71" s="488"/>
      <c r="M71" s="488"/>
      <c r="N71" s="353"/>
      <c r="O71" s="353"/>
      <c r="P71" s="488"/>
      <c r="Q71" s="488"/>
      <c r="R71" s="488"/>
      <c r="S71" s="488"/>
      <c r="T71" s="488"/>
      <c r="U71" s="488"/>
      <c r="V71" s="488"/>
      <c r="W71" s="488"/>
      <c r="X71" s="354"/>
      <c r="Y71" s="354"/>
      <c r="Z71" s="353"/>
      <c r="AA71" s="353"/>
      <c r="AB71" s="836"/>
      <c r="AC71" s="836"/>
      <c r="AD71" s="836"/>
      <c r="AE71" s="837"/>
    </row>
    <row r="72" spans="1:31" ht="16.5" customHeight="1">
      <c r="A72" s="347">
        <v>24642746</v>
      </c>
      <c r="B72" s="347" t="s">
        <v>2586</v>
      </c>
      <c r="C72" s="347" t="s">
        <v>2585</v>
      </c>
      <c r="D72" s="348">
        <v>13752</v>
      </c>
      <c r="E72" s="348" t="s">
        <v>2587</v>
      </c>
      <c r="F72" s="348" t="s">
        <v>2174</v>
      </c>
      <c r="G72" s="348">
        <v>38777</v>
      </c>
      <c r="H72" s="358"/>
      <c r="I72" s="352"/>
      <c r="J72" s="353"/>
      <c r="K72" s="538">
        <v>53930.91</v>
      </c>
      <c r="L72" s="488"/>
      <c r="M72" s="488"/>
      <c r="N72" s="353"/>
      <c r="O72" s="488"/>
      <c r="P72" s="488"/>
      <c r="Q72" s="488"/>
      <c r="R72" s="488"/>
      <c r="S72" s="488"/>
      <c r="T72" s="488"/>
      <c r="U72" s="488" t="s">
        <v>238</v>
      </c>
      <c r="V72" s="488"/>
      <c r="W72" s="488"/>
      <c r="X72" s="354"/>
      <c r="Y72" s="354"/>
      <c r="Z72" s="353"/>
      <c r="AA72" s="353" t="s">
        <v>5421</v>
      </c>
      <c r="AB72" s="836"/>
      <c r="AC72" s="836"/>
      <c r="AD72" s="842"/>
      <c r="AE72" s="838"/>
    </row>
    <row r="73" spans="1:31" ht="16.5" customHeight="1">
      <c r="A73" s="347">
        <v>1803816</v>
      </c>
      <c r="B73" s="347" t="s">
        <v>2742</v>
      </c>
      <c r="C73" s="347" t="s">
        <v>2740</v>
      </c>
      <c r="D73" s="348">
        <v>14374</v>
      </c>
      <c r="E73" s="348" t="s">
        <v>2741</v>
      </c>
      <c r="F73" s="348" t="s">
        <v>2162</v>
      </c>
      <c r="G73" s="348">
        <v>41652</v>
      </c>
      <c r="H73" s="358"/>
      <c r="I73" s="352"/>
      <c r="J73" s="353"/>
      <c r="K73" s="538">
        <v>23597.75</v>
      </c>
      <c r="L73" s="488"/>
      <c r="M73" s="488"/>
      <c r="N73" s="353"/>
      <c r="O73" s="488"/>
      <c r="P73" s="488"/>
      <c r="Q73" s="488"/>
      <c r="R73" s="488"/>
      <c r="S73" s="488"/>
      <c r="T73" s="488"/>
      <c r="U73" s="488" t="s">
        <v>238</v>
      </c>
      <c r="V73" s="488"/>
      <c r="W73" s="488"/>
      <c r="X73" s="354"/>
      <c r="Y73" s="354"/>
      <c r="Z73" s="353" t="s">
        <v>238</v>
      </c>
      <c r="AA73" s="353" t="s">
        <v>5422</v>
      </c>
      <c r="AB73" s="836"/>
      <c r="AC73" s="836"/>
      <c r="AD73" s="842"/>
      <c r="AE73" s="838"/>
    </row>
    <row r="74" spans="1:31" ht="16.5" customHeight="1">
      <c r="A74" s="347">
        <v>1803816</v>
      </c>
      <c r="B74" s="347" t="s">
        <v>2739</v>
      </c>
      <c r="C74" s="347" t="s">
        <v>2740</v>
      </c>
      <c r="D74" s="348">
        <v>13675</v>
      </c>
      <c r="E74" s="348" t="s">
        <v>2741</v>
      </c>
      <c r="F74" s="348" t="s">
        <v>2162</v>
      </c>
      <c r="G74" s="348">
        <v>41652</v>
      </c>
      <c r="H74" s="358"/>
      <c r="I74" s="352"/>
      <c r="J74" s="353"/>
      <c r="K74" s="538">
        <v>24581</v>
      </c>
      <c r="L74" s="353"/>
      <c r="M74" s="488"/>
      <c r="N74" s="488"/>
      <c r="O74" s="488"/>
      <c r="P74" s="488"/>
      <c r="Q74" s="488"/>
      <c r="R74" s="488"/>
      <c r="S74" s="488"/>
      <c r="T74" s="488"/>
      <c r="U74" s="488" t="s">
        <v>238</v>
      </c>
      <c r="V74" s="488"/>
      <c r="W74" s="488"/>
      <c r="X74" s="354"/>
      <c r="Y74" s="354"/>
      <c r="Z74" s="353" t="s">
        <v>238</v>
      </c>
      <c r="AA74" s="353"/>
      <c r="AB74" s="836"/>
      <c r="AC74" s="836"/>
      <c r="AD74" s="836"/>
      <c r="AE74" s="838"/>
    </row>
    <row r="75" spans="1:31" ht="16.5" customHeight="1">
      <c r="A75" s="347">
        <v>100004421</v>
      </c>
      <c r="B75" s="347" t="s">
        <v>3510</v>
      </c>
      <c r="C75" s="347" t="s">
        <v>5423</v>
      </c>
      <c r="D75" s="348">
        <v>6742</v>
      </c>
      <c r="E75" s="348" t="s">
        <v>5424</v>
      </c>
      <c r="F75" s="348" t="s">
        <v>2089</v>
      </c>
      <c r="G75" s="348">
        <v>40574</v>
      </c>
      <c r="H75" s="358"/>
      <c r="I75" s="352"/>
      <c r="J75" s="353"/>
      <c r="K75" s="538">
        <v>9999</v>
      </c>
      <c r="L75" s="353"/>
      <c r="M75" s="488"/>
      <c r="N75" s="488"/>
      <c r="O75" s="488"/>
      <c r="P75" s="488"/>
      <c r="Q75" s="488"/>
      <c r="R75" s="488"/>
      <c r="S75" s="488"/>
      <c r="T75" s="488"/>
      <c r="U75" s="488"/>
      <c r="V75" s="353"/>
      <c r="W75" s="488"/>
      <c r="X75" s="354"/>
      <c r="Y75" s="354"/>
      <c r="Z75" s="353"/>
      <c r="AA75" s="353"/>
      <c r="AB75" s="836"/>
      <c r="AC75" s="836"/>
      <c r="AD75" s="836"/>
      <c r="AE75" s="837"/>
    </row>
    <row r="76" spans="1:31" ht="16.5" customHeight="1">
      <c r="A76" s="347">
        <v>6259923</v>
      </c>
      <c r="B76" s="347" t="s">
        <v>3623</v>
      </c>
      <c r="C76" s="347" t="s">
        <v>4031</v>
      </c>
      <c r="D76" s="348">
        <v>8428</v>
      </c>
      <c r="E76" s="348" t="s">
        <v>3441</v>
      </c>
      <c r="F76" s="348" t="s">
        <v>2255</v>
      </c>
      <c r="G76" s="348">
        <v>40535</v>
      </c>
      <c r="H76" s="358" t="s">
        <v>238</v>
      </c>
      <c r="I76" s="352"/>
      <c r="J76" s="353"/>
      <c r="K76" s="538" t="s">
        <v>69</v>
      </c>
      <c r="L76" s="353"/>
      <c r="M76" s="488"/>
      <c r="N76" s="488"/>
      <c r="O76" s="488"/>
      <c r="P76" s="488"/>
      <c r="Q76" s="488"/>
      <c r="R76" s="488"/>
      <c r="S76" s="488"/>
      <c r="T76" s="488"/>
      <c r="U76" s="488" t="s">
        <v>238</v>
      </c>
      <c r="V76" s="353"/>
      <c r="W76" s="488"/>
      <c r="X76" s="354"/>
      <c r="Y76" s="354"/>
      <c r="Z76" s="353" t="s">
        <v>238</v>
      </c>
      <c r="AA76" s="353"/>
      <c r="AB76" s="836"/>
      <c r="AC76" s="836"/>
      <c r="AD76" s="836"/>
      <c r="AE76" s="837"/>
    </row>
    <row r="77" spans="1:31" ht="16.5" customHeight="1">
      <c r="A77" s="347">
        <v>6259923</v>
      </c>
      <c r="B77" s="347" t="s">
        <v>5425</v>
      </c>
      <c r="C77" s="347" t="s">
        <v>4031</v>
      </c>
      <c r="D77" s="348">
        <v>9463</v>
      </c>
      <c r="E77" s="348" t="s">
        <v>3441</v>
      </c>
      <c r="F77" s="348" t="s">
        <v>2255</v>
      </c>
      <c r="G77" s="348" t="s">
        <v>5426</v>
      </c>
      <c r="H77" s="358" t="s">
        <v>238</v>
      </c>
      <c r="I77" s="352"/>
      <c r="J77" s="353"/>
      <c r="K77" s="538">
        <v>46521.17</v>
      </c>
      <c r="L77" s="353"/>
      <c r="M77" s="488"/>
      <c r="N77" s="488"/>
      <c r="O77" s="488"/>
      <c r="P77" s="488"/>
      <c r="Q77" s="488"/>
      <c r="R77" s="488"/>
      <c r="S77" s="488"/>
      <c r="T77" s="488"/>
      <c r="U77" s="488" t="s">
        <v>238</v>
      </c>
      <c r="V77" s="488"/>
      <c r="W77" s="488"/>
      <c r="X77" s="353"/>
      <c r="Y77" s="355"/>
      <c r="Z77" s="353" t="s">
        <v>238</v>
      </c>
      <c r="AA77" s="353"/>
      <c r="AB77" s="836"/>
      <c r="AC77" s="836"/>
      <c r="AD77" s="836"/>
      <c r="AE77" s="837"/>
    </row>
    <row r="78" spans="1:31" ht="16.5" customHeight="1">
      <c r="A78" s="347">
        <v>32577702</v>
      </c>
      <c r="B78" s="347" t="s">
        <v>3740</v>
      </c>
      <c r="C78" s="347" t="s">
        <v>5427</v>
      </c>
      <c r="D78" s="348">
        <v>12254</v>
      </c>
      <c r="E78" s="348" t="s">
        <v>5428</v>
      </c>
      <c r="F78" s="348" t="s">
        <v>2129</v>
      </c>
      <c r="G78" s="348">
        <v>41904</v>
      </c>
      <c r="H78" s="358"/>
      <c r="I78" s="352"/>
      <c r="J78" s="353"/>
      <c r="K78" s="538">
        <v>51480.5</v>
      </c>
      <c r="L78" s="353"/>
      <c r="M78" s="488"/>
      <c r="N78" s="488"/>
      <c r="O78" s="488"/>
      <c r="P78" s="488"/>
      <c r="Q78" s="488"/>
      <c r="R78" s="488"/>
      <c r="S78" s="488"/>
      <c r="T78" s="488"/>
      <c r="U78" s="488" t="s">
        <v>238</v>
      </c>
      <c r="V78" s="488"/>
      <c r="W78" s="488"/>
      <c r="X78" s="353"/>
      <c r="Y78" s="355"/>
      <c r="Z78" s="353" t="s">
        <v>238</v>
      </c>
      <c r="AA78" s="353" t="s">
        <v>5429</v>
      </c>
      <c r="AB78" s="836"/>
      <c r="AC78" s="836"/>
      <c r="AD78" s="836"/>
      <c r="AE78" s="837"/>
    </row>
    <row r="79" spans="1:31" ht="16.5" customHeight="1">
      <c r="A79" s="347">
        <v>32577702</v>
      </c>
      <c r="B79" s="347" t="s">
        <v>2876</v>
      </c>
      <c r="C79" s="347" t="s">
        <v>5427</v>
      </c>
      <c r="D79" s="348">
        <v>12284</v>
      </c>
      <c r="E79" s="348" t="s">
        <v>5428</v>
      </c>
      <c r="F79" s="348" t="s">
        <v>2129</v>
      </c>
      <c r="G79" s="348">
        <v>43084</v>
      </c>
      <c r="H79" s="358"/>
      <c r="I79" s="352"/>
      <c r="J79" s="353"/>
      <c r="K79" s="538">
        <v>23805.5</v>
      </c>
      <c r="L79" s="353"/>
      <c r="M79" s="488"/>
      <c r="N79" s="488"/>
      <c r="O79" s="488"/>
      <c r="P79" s="488"/>
      <c r="Q79" s="488"/>
      <c r="R79" s="353"/>
      <c r="S79" s="488"/>
      <c r="T79" s="488"/>
      <c r="U79" s="488" t="s">
        <v>238</v>
      </c>
      <c r="V79" s="488"/>
      <c r="W79" s="488"/>
      <c r="X79" s="354"/>
      <c r="Y79" s="354"/>
      <c r="Z79" s="353" t="s">
        <v>238</v>
      </c>
      <c r="AA79" s="353"/>
      <c r="AB79" s="836"/>
      <c r="AC79" s="836"/>
      <c r="AD79" s="836"/>
      <c r="AE79" s="837"/>
    </row>
    <row r="80" spans="1:31" ht="16.5" customHeight="1">
      <c r="A80" s="347">
        <v>100311862</v>
      </c>
      <c r="B80" s="347" t="s">
        <v>5430</v>
      </c>
      <c r="C80" s="347" t="s">
        <v>5431</v>
      </c>
      <c r="D80" s="348"/>
      <c r="E80" s="348"/>
      <c r="F80" s="348"/>
      <c r="G80" s="348">
        <v>43383</v>
      </c>
      <c r="H80" s="358" t="s">
        <v>238</v>
      </c>
      <c r="I80" s="352"/>
      <c r="J80" s="353"/>
      <c r="K80" s="538">
        <v>9999</v>
      </c>
      <c r="L80" s="488"/>
      <c r="M80" s="488"/>
      <c r="N80" s="488"/>
      <c r="O80" s="488"/>
      <c r="P80" s="488"/>
      <c r="Q80" s="488"/>
      <c r="R80" s="488"/>
      <c r="S80" s="488"/>
      <c r="T80" s="488"/>
      <c r="U80" s="488"/>
      <c r="V80" s="488"/>
      <c r="W80" s="488"/>
      <c r="X80" s="354"/>
      <c r="Y80" s="354"/>
      <c r="Z80" s="353"/>
      <c r="AA80" s="353"/>
      <c r="AB80" s="836"/>
      <c r="AC80" s="836"/>
      <c r="AD80" s="836"/>
      <c r="AE80" s="838"/>
    </row>
    <row r="81" spans="1:31" ht="16.5" customHeight="1">
      <c r="A81" s="347">
        <v>315192</v>
      </c>
      <c r="B81" s="347" t="s">
        <v>2863</v>
      </c>
      <c r="C81" s="347" t="s">
        <v>5432</v>
      </c>
      <c r="D81" s="348">
        <v>10997</v>
      </c>
      <c r="E81" s="348" t="s">
        <v>3225</v>
      </c>
      <c r="F81" s="348" t="s">
        <v>2162</v>
      </c>
      <c r="G81" s="348">
        <v>37434</v>
      </c>
      <c r="H81" s="358"/>
      <c r="I81" s="352"/>
      <c r="J81" s="353"/>
      <c r="K81" s="538">
        <v>9999</v>
      </c>
      <c r="L81" s="488"/>
      <c r="M81" s="488"/>
      <c r="N81" s="488"/>
      <c r="O81" s="488"/>
      <c r="P81" s="488"/>
      <c r="Q81" s="488"/>
      <c r="R81" s="488"/>
      <c r="S81" s="488"/>
      <c r="T81" s="488"/>
      <c r="U81" s="488"/>
      <c r="V81" s="488"/>
      <c r="W81" s="488"/>
      <c r="X81" s="354"/>
      <c r="Y81" s="354"/>
      <c r="Z81" s="353"/>
      <c r="AA81" s="353"/>
      <c r="AB81" s="836"/>
      <c r="AC81" s="836"/>
      <c r="AD81" s="836"/>
      <c r="AE81" s="838"/>
    </row>
    <row r="82" spans="1:31" ht="16.5" customHeight="1">
      <c r="A82" s="347">
        <v>100005366</v>
      </c>
      <c r="B82" s="347" t="s">
        <v>2742</v>
      </c>
      <c r="C82" s="347" t="s">
        <v>5433</v>
      </c>
      <c r="D82" s="348"/>
      <c r="E82" s="348" t="s">
        <v>2897</v>
      </c>
      <c r="F82" s="348" t="s">
        <v>2089</v>
      </c>
      <c r="G82" s="348">
        <v>40983</v>
      </c>
      <c r="H82" s="358" t="s">
        <v>238</v>
      </c>
      <c r="I82" s="352" t="s">
        <v>238</v>
      </c>
      <c r="J82" s="353"/>
      <c r="K82" s="538">
        <v>50000</v>
      </c>
      <c r="L82" s="488"/>
      <c r="M82" s="353"/>
      <c r="N82" s="488"/>
      <c r="O82" s="488"/>
      <c r="P82" s="488"/>
      <c r="Q82" s="488"/>
      <c r="R82" s="488"/>
      <c r="S82" s="488"/>
      <c r="T82" s="488"/>
      <c r="U82" s="488"/>
      <c r="V82" s="488"/>
      <c r="W82" s="488"/>
      <c r="X82" s="354"/>
      <c r="Y82" s="354"/>
      <c r="Z82" s="353"/>
      <c r="AA82" s="353" t="s">
        <v>5434</v>
      </c>
      <c r="AB82" s="836"/>
      <c r="AC82" s="836"/>
      <c r="AD82" s="836"/>
      <c r="AE82" s="838"/>
    </row>
    <row r="83" spans="1:31" ht="16.5" customHeight="1">
      <c r="A83" s="347">
        <v>10500635</v>
      </c>
      <c r="B83" s="347" t="s">
        <v>5435</v>
      </c>
      <c r="C83" s="347" t="s">
        <v>5436</v>
      </c>
      <c r="D83" s="348">
        <v>19590</v>
      </c>
      <c r="E83" s="348" t="s">
        <v>2679</v>
      </c>
      <c r="F83" s="348" t="s">
        <v>2318</v>
      </c>
      <c r="G83" s="348">
        <v>41639</v>
      </c>
      <c r="H83" s="358"/>
      <c r="I83" s="352"/>
      <c r="J83" s="353"/>
      <c r="K83" s="538" t="s">
        <v>69</v>
      </c>
      <c r="L83" s="488"/>
      <c r="M83" s="353"/>
      <c r="N83" s="488"/>
      <c r="O83" s="488"/>
      <c r="P83" s="488"/>
      <c r="Q83" s="488"/>
      <c r="R83" s="488"/>
      <c r="S83" s="488"/>
      <c r="T83" s="488"/>
      <c r="U83" s="488" t="s">
        <v>238</v>
      </c>
      <c r="V83" s="488"/>
      <c r="W83" s="488"/>
      <c r="X83" s="354"/>
      <c r="Y83" s="354"/>
      <c r="Z83" s="353" t="s">
        <v>238</v>
      </c>
      <c r="AA83" s="353"/>
      <c r="AB83" s="836"/>
      <c r="AC83" s="836"/>
      <c r="AD83" s="836"/>
      <c r="AE83" s="838"/>
    </row>
    <row r="84" spans="1:31" ht="16.5" customHeight="1">
      <c r="A84" s="347">
        <v>10500635</v>
      </c>
      <c r="B84" s="347" t="s">
        <v>3043</v>
      </c>
      <c r="C84" s="347" t="s">
        <v>4363</v>
      </c>
      <c r="D84" s="348">
        <v>17057</v>
      </c>
      <c r="E84" s="348" t="s">
        <v>2679</v>
      </c>
      <c r="F84" s="348" t="s">
        <v>2318</v>
      </c>
      <c r="G84" s="348" t="s">
        <v>5437</v>
      </c>
      <c r="H84" s="358"/>
      <c r="I84" s="352"/>
      <c r="J84" s="353"/>
      <c r="K84" s="538">
        <v>25509</v>
      </c>
      <c r="L84" s="488"/>
      <c r="M84" s="488"/>
      <c r="N84" s="488"/>
      <c r="O84" s="488"/>
      <c r="P84" s="488"/>
      <c r="Q84" s="488"/>
      <c r="R84" s="488"/>
      <c r="S84" s="353"/>
      <c r="T84" s="488"/>
      <c r="U84" s="488" t="s">
        <v>238</v>
      </c>
      <c r="V84" s="488"/>
      <c r="W84" s="488"/>
      <c r="X84" s="354"/>
      <c r="Y84" s="354"/>
      <c r="Z84" s="353" t="s">
        <v>238</v>
      </c>
      <c r="AA84" s="353"/>
      <c r="AB84" s="836"/>
      <c r="AC84" s="836"/>
      <c r="AD84" s="836"/>
      <c r="AE84" s="837"/>
    </row>
    <row r="85" spans="1:31" ht="16.5" customHeight="1">
      <c r="A85" s="347">
        <v>542803</v>
      </c>
      <c r="B85" s="347" t="s">
        <v>4378</v>
      </c>
      <c r="C85" s="347" t="s">
        <v>5438</v>
      </c>
      <c r="D85" s="348">
        <v>17187</v>
      </c>
      <c r="E85" s="348" t="s">
        <v>5439</v>
      </c>
      <c r="F85" s="348" t="s">
        <v>2081</v>
      </c>
      <c r="G85" s="348">
        <v>41761</v>
      </c>
      <c r="H85" s="358"/>
      <c r="I85" s="352"/>
      <c r="J85" s="353"/>
      <c r="K85" s="538">
        <v>37894</v>
      </c>
      <c r="L85" s="353"/>
      <c r="M85" s="488"/>
      <c r="N85" s="488"/>
      <c r="O85" s="488"/>
      <c r="P85" s="488"/>
      <c r="Q85" s="488"/>
      <c r="R85" s="353"/>
      <c r="S85" s="353"/>
      <c r="T85" s="488"/>
      <c r="U85" s="488" t="s">
        <v>238</v>
      </c>
      <c r="V85" s="488"/>
      <c r="W85" s="488"/>
      <c r="X85" s="354"/>
      <c r="Y85" s="354"/>
      <c r="Z85" s="353"/>
      <c r="AA85" s="353" t="s">
        <v>5440</v>
      </c>
      <c r="AB85" s="836"/>
      <c r="AC85" s="836"/>
      <c r="AD85" s="836"/>
      <c r="AE85" s="837"/>
    </row>
    <row r="86" spans="1:31" ht="16.5" customHeight="1">
      <c r="A86" s="347">
        <v>100013705</v>
      </c>
      <c r="B86" s="347" t="s">
        <v>4024</v>
      </c>
      <c r="C86" s="347" t="s">
        <v>5441</v>
      </c>
      <c r="D86" s="348">
        <v>10690</v>
      </c>
      <c r="E86" s="348" t="s">
        <v>5442</v>
      </c>
      <c r="F86" s="348" t="s">
        <v>2059</v>
      </c>
      <c r="G86" s="348">
        <v>38231</v>
      </c>
      <c r="H86" s="358"/>
      <c r="I86" s="352"/>
      <c r="J86" s="353"/>
      <c r="K86" s="538">
        <v>45786.1</v>
      </c>
      <c r="L86" s="353"/>
      <c r="M86" s="488"/>
      <c r="N86" s="488"/>
      <c r="O86" s="488"/>
      <c r="P86" s="488"/>
      <c r="Q86" s="488"/>
      <c r="R86" s="353"/>
      <c r="S86" s="353"/>
      <c r="T86" s="488"/>
      <c r="U86" s="488" t="s">
        <v>238</v>
      </c>
      <c r="V86" s="488"/>
      <c r="W86" s="488"/>
      <c r="X86" s="354"/>
      <c r="Y86" s="354"/>
      <c r="Z86" s="353" t="s">
        <v>238</v>
      </c>
      <c r="AA86" s="353"/>
      <c r="AB86" s="836"/>
      <c r="AC86" s="836"/>
      <c r="AD86" s="836"/>
      <c r="AE86" s="837"/>
    </row>
    <row r="87" spans="1:31" ht="16.5" customHeight="1">
      <c r="A87" s="347">
        <v>100013705</v>
      </c>
      <c r="B87" s="347" t="s">
        <v>2586</v>
      </c>
      <c r="C87" s="347" t="s">
        <v>5441</v>
      </c>
      <c r="D87" s="348">
        <v>14929</v>
      </c>
      <c r="E87" s="348" t="s">
        <v>5442</v>
      </c>
      <c r="F87" s="348" t="s">
        <v>2059</v>
      </c>
      <c r="G87" s="348">
        <v>38231</v>
      </c>
      <c r="H87" s="358"/>
      <c r="I87" s="352"/>
      <c r="J87" s="353"/>
      <c r="K87" s="538" t="s">
        <v>69</v>
      </c>
      <c r="L87" s="488"/>
      <c r="M87" s="488"/>
      <c r="N87" s="353"/>
      <c r="O87" s="488"/>
      <c r="P87" s="488"/>
      <c r="Q87" s="488"/>
      <c r="R87" s="488"/>
      <c r="S87" s="488"/>
      <c r="T87" s="488"/>
      <c r="U87" s="488" t="s">
        <v>238</v>
      </c>
      <c r="V87" s="488"/>
      <c r="W87" s="488"/>
      <c r="X87" s="354"/>
      <c r="Y87" s="354"/>
      <c r="Z87" s="353" t="s">
        <v>238</v>
      </c>
      <c r="AA87" s="353"/>
      <c r="AB87" s="836"/>
      <c r="AC87" s="836"/>
      <c r="AD87" s="836"/>
      <c r="AE87" s="838"/>
    </row>
    <row r="88" spans="1:31" ht="16.5" customHeight="1">
      <c r="A88" s="347">
        <v>39303904</v>
      </c>
      <c r="B88" s="347" t="s">
        <v>2697</v>
      </c>
      <c r="C88" s="347" t="s">
        <v>5443</v>
      </c>
      <c r="D88" s="348">
        <v>17437</v>
      </c>
      <c r="E88" s="348" t="s">
        <v>5444</v>
      </c>
      <c r="F88" s="348" t="s">
        <v>2395</v>
      </c>
      <c r="G88" s="348">
        <v>39497</v>
      </c>
      <c r="H88" s="358"/>
      <c r="I88" s="352"/>
      <c r="J88" s="353"/>
      <c r="K88" s="538">
        <v>9999</v>
      </c>
      <c r="L88" s="488"/>
      <c r="M88" s="488"/>
      <c r="N88" s="353"/>
      <c r="O88" s="488"/>
      <c r="P88" s="488"/>
      <c r="Q88" s="488"/>
      <c r="R88" s="488"/>
      <c r="S88" s="488"/>
      <c r="T88" s="488"/>
      <c r="U88" s="488"/>
      <c r="V88" s="488"/>
      <c r="W88" s="488"/>
      <c r="X88" s="354"/>
      <c r="Y88" s="354"/>
      <c r="Z88" s="353" t="s">
        <v>238</v>
      </c>
      <c r="AA88" s="353" t="s">
        <v>5445</v>
      </c>
      <c r="AB88" s="836"/>
      <c r="AC88" s="836"/>
      <c r="AD88" s="836"/>
      <c r="AE88" s="838"/>
    </row>
    <row r="89" spans="1:31" ht="16.5" customHeight="1">
      <c r="A89" s="347">
        <v>39303904</v>
      </c>
      <c r="B89" s="347" t="s">
        <v>5446</v>
      </c>
      <c r="C89" s="347" t="s">
        <v>5447</v>
      </c>
      <c r="D89" s="348">
        <v>17437</v>
      </c>
      <c r="E89" s="348" t="s">
        <v>5444</v>
      </c>
      <c r="F89" s="348" t="s">
        <v>2395</v>
      </c>
      <c r="G89" s="348">
        <v>43760</v>
      </c>
      <c r="H89" s="358"/>
      <c r="I89" s="352"/>
      <c r="J89" s="353"/>
      <c r="K89" s="538">
        <v>9999</v>
      </c>
      <c r="L89" s="488"/>
      <c r="M89" s="488"/>
      <c r="N89" s="488"/>
      <c r="O89" s="488"/>
      <c r="P89" s="488"/>
      <c r="Q89" s="488"/>
      <c r="R89" s="488"/>
      <c r="S89" s="488"/>
      <c r="T89" s="488"/>
      <c r="U89" s="488"/>
      <c r="V89" s="488"/>
      <c r="W89" s="488"/>
      <c r="X89" s="354"/>
      <c r="Y89" s="354"/>
      <c r="Z89" s="353" t="s">
        <v>238</v>
      </c>
      <c r="AA89" s="353"/>
      <c r="AB89" s="836"/>
      <c r="AC89" s="836"/>
      <c r="AD89" s="836"/>
      <c r="AE89" s="838"/>
    </row>
    <row r="90" spans="1:31" ht="16.5" customHeight="1">
      <c r="A90" s="347">
        <v>92658814</v>
      </c>
      <c r="B90" s="347" t="s">
        <v>2889</v>
      </c>
      <c r="C90" s="347" t="s">
        <v>5448</v>
      </c>
      <c r="D90" s="348">
        <v>20652</v>
      </c>
      <c r="E90" s="348" t="s">
        <v>5449</v>
      </c>
      <c r="F90" s="348" t="s">
        <v>65</v>
      </c>
      <c r="G90" s="348">
        <v>42705</v>
      </c>
      <c r="H90" s="358"/>
      <c r="I90" s="352"/>
      <c r="J90" s="353"/>
      <c r="K90" s="538">
        <v>9999</v>
      </c>
      <c r="L90" s="488"/>
      <c r="M90" s="488"/>
      <c r="N90" s="488"/>
      <c r="O90" s="488"/>
      <c r="P90" s="488"/>
      <c r="Q90" s="488"/>
      <c r="R90" s="488"/>
      <c r="S90" s="488"/>
      <c r="T90" s="488"/>
      <c r="U90" s="488"/>
      <c r="V90" s="488"/>
      <c r="W90" s="488"/>
      <c r="X90" s="354"/>
      <c r="Y90" s="354"/>
      <c r="Z90" s="353"/>
      <c r="AA90" s="353"/>
      <c r="AB90" s="836"/>
      <c r="AC90" s="836"/>
      <c r="AD90" s="836"/>
      <c r="AE90" s="838"/>
    </row>
    <row r="91" spans="1:31" ht="16.5" customHeight="1">
      <c r="A91" s="347">
        <v>92658814</v>
      </c>
      <c r="B91" s="347" t="s">
        <v>2779</v>
      </c>
      <c r="C91" s="347" t="s">
        <v>5448</v>
      </c>
      <c r="D91" s="348">
        <v>18255</v>
      </c>
      <c r="E91" s="348" t="s">
        <v>5449</v>
      </c>
      <c r="F91" s="348" t="s">
        <v>65</v>
      </c>
      <c r="G91" s="348">
        <v>42705</v>
      </c>
      <c r="H91" s="358"/>
      <c r="I91" s="352"/>
      <c r="J91" s="353"/>
      <c r="K91" s="538">
        <v>9999</v>
      </c>
      <c r="L91" s="488"/>
      <c r="M91" s="488"/>
      <c r="N91" s="488"/>
      <c r="O91" s="488"/>
      <c r="P91" s="488"/>
      <c r="Q91" s="488"/>
      <c r="R91" s="488"/>
      <c r="S91" s="488"/>
      <c r="T91" s="488"/>
      <c r="U91" s="488"/>
      <c r="V91" s="488"/>
      <c r="W91" s="488"/>
      <c r="X91" s="354"/>
      <c r="Y91" s="354"/>
      <c r="Z91" s="353"/>
      <c r="AA91" s="353"/>
      <c r="AB91" s="836"/>
      <c r="AC91" s="836"/>
      <c r="AD91" s="836"/>
      <c r="AE91" s="838"/>
    </row>
    <row r="92" spans="1:31" ht="16.5" customHeight="1">
      <c r="A92" s="347">
        <v>100005260</v>
      </c>
      <c r="B92" s="347" t="s">
        <v>5450</v>
      </c>
      <c r="C92" s="347" t="s">
        <v>5451</v>
      </c>
      <c r="D92" s="348"/>
      <c r="E92" s="348" t="s">
        <v>5452</v>
      </c>
      <c r="F92" s="348" t="s">
        <v>65</v>
      </c>
      <c r="G92" s="348">
        <v>36551</v>
      </c>
      <c r="H92" s="358" t="s">
        <v>238</v>
      </c>
      <c r="I92" s="352"/>
      <c r="J92" s="353"/>
      <c r="K92" s="538">
        <v>9999</v>
      </c>
      <c r="L92" s="488"/>
      <c r="M92" s="488"/>
      <c r="N92" s="488"/>
      <c r="O92" s="488"/>
      <c r="P92" s="488"/>
      <c r="Q92" s="488"/>
      <c r="R92" s="488"/>
      <c r="S92" s="488"/>
      <c r="T92" s="488"/>
      <c r="U92" s="488"/>
      <c r="V92" s="488"/>
      <c r="W92" s="488"/>
      <c r="X92" s="354"/>
      <c r="Y92" s="354"/>
      <c r="Z92" s="353"/>
      <c r="AA92" s="353"/>
      <c r="AB92" s="836"/>
      <c r="AC92" s="836"/>
      <c r="AD92" s="836"/>
      <c r="AE92" s="838"/>
    </row>
    <row r="93" spans="1:31" ht="16.5" customHeight="1">
      <c r="A93" s="347">
        <v>6666804</v>
      </c>
      <c r="B93" s="347" t="s">
        <v>3302</v>
      </c>
      <c r="C93" s="347" t="s">
        <v>5453</v>
      </c>
      <c r="D93" s="348">
        <v>21983</v>
      </c>
      <c r="E93" s="348" t="s">
        <v>2730</v>
      </c>
      <c r="F93" s="348" t="s">
        <v>2069</v>
      </c>
      <c r="G93" s="348">
        <v>37435</v>
      </c>
      <c r="H93" s="358"/>
      <c r="I93" s="352"/>
      <c r="J93" s="353"/>
      <c r="K93" s="538">
        <v>9999</v>
      </c>
      <c r="L93" s="488"/>
      <c r="M93" s="488"/>
      <c r="N93" s="488"/>
      <c r="O93" s="488"/>
      <c r="P93" s="488"/>
      <c r="Q93" s="488"/>
      <c r="R93" s="488"/>
      <c r="S93" s="488"/>
      <c r="T93" s="488"/>
      <c r="U93" s="488"/>
      <c r="V93" s="488"/>
      <c r="W93" s="488"/>
      <c r="X93" s="354"/>
      <c r="Y93" s="354"/>
      <c r="Z93" s="353"/>
      <c r="AA93" s="353"/>
      <c r="AB93" s="836"/>
      <c r="AC93" s="836"/>
      <c r="AD93" s="836"/>
      <c r="AE93" s="838"/>
    </row>
    <row r="94" spans="1:31" ht="16.5" customHeight="1">
      <c r="A94" s="347">
        <v>6666804</v>
      </c>
      <c r="B94" s="347" t="s">
        <v>2898</v>
      </c>
      <c r="C94" s="347" t="s">
        <v>5453</v>
      </c>
      <c r="D94" s="348">
        <v>22067</v>
      </c>
      <c r="E94" s="348" t="s">
        <v>2730</v>
      </c>
      <c r="F94" s="348" t="s">
        <v>2069</v>
      </c>
      <c r="G94" s="348">
        <v>37435</v>
      </c>
      <c r="H94" s="358"/>
      <c r="I94" s="352"/>
      <c r="J94" s="353"/>
      <c r="K94" s="538">
        <v>9999</v>
      </c>
      <c r="L94" s="353"/>
      <c r="M94" s="488"/>
      <c r="N94" s="488"/>
      <c r="O94" s="488"/>
      <c r="P94" s="488"/>
      <c r="Q94" s="488"/>
      <c r="R94" s="488"/>
      <c r="S94" s="488"/>
      <c r="T94" s="488"/>
      <c r="U94" s="488"/>
      <c r="V94" s="488"/>
      <c r="W94" s="488"/>
      <c r="X94" s="353"/>
      <c r="Y94" s="354"/>
      <c r="Z94" s="353"/>
      <c r="AA94" s="353" t="s">
        <v>5454</v>
      </c>
      <c r="AB94" s="836"/>
      <c r="AC94" s="836"/>
      <c r="AD94" s="836"/>
      <c r="AE94" s="838"/>
    </row>
    <row r="95" spans="1:31" ht="16.5" customHeight="1">
      <c r="A95" s="347">
        <v>24037053</v>
      </c>
      <c r="B95" s="347" t="s">
        <v>2541</v>
      </c>
      <c r="C95" s="347" t="s">
        <v>5455</v>
      </c>
      <c r="D95" s="348">
        <v>4840</v>
      </c>
      <c r="E95" s="348" t="s">
        <v>3109</v>
      </c>
      <c r="F95" s="348" t="s">
        <v>2081</v>
      </c>
      <c r="G95" s="348" t="s">
        <v>5456</v>
      </c>
      <c r="H95" s="358" t="s">
        <v>238</v>
      </c>
      <c r="I95" s="352"/>
      <c r="J95" s="353"/>
      <c r="K95" s="538">
        <v>42421.95</v>
      </c>
      <c r="L95" s="353"/>
      <c r="M95" s="488"/>
      <c r="N95" s="488"/>
      <c r="O95" s="488"/>
      <c r="P95" s="488"/>
      <c r="Q95" s="488"/>
      <c r="R95" s="488"/>
      <c r="S95" s="488"/>
      <c r="T95" s="488"/>
      <c r="U95" s="488" t="s">
        <v>238</v>
      </c>
      <c r="V95" s="488"/>
      <c r="W95" s="488"/>
      <c r="X95" s="353"/>
      <c r="Y95" s="354"/>
      <c r="Z95" s="353" t="s">
        <v>238</v>
      </c>
      <c r="AA95" s="353"/>
      <c r="AB95" s="836"/>
      <c r="AC95" s="836"/>
      <c r="AD95" s="836"/>
      <c r="AE95" s="838"/>
    </row>
    <row r="96" spans="1:31" ht="16.5" customHeight="1">
      <c r="A96" s="347">
        <v>24037053</v>
      </c>
      <c r="B96" s="347" t="s">
        <v>4646</v>
      </c>
      <c r="C96" s="347" t="s">
        <v>5455</v>
      </c>
      <c r="D96" s="348">
        <v>5954</v>
      </c>
      <c r="E96" s="348" t="s">
        <v>3109</v>
      </c>
      <c r="F96" s="348" t="s">
        <v>2081</v>
      </c>
      <c r="G96" s="348" t="s">
        <v>5456</v>
      </c>
      <c r="H96" s="358" t="s">
        <v>238</v>
      </c>
      <c r="I96" s="352"/>
      <c r="J96" s="353"/>
      <c r="K96" s="538" t="s">
        <v>69</v>
      </c>
      <c r="L96" s="353"/>
      <c r="M96" s="488"/>
      <c r="N96" s="488"/>
      <c r="O96" s="488"/>
      <c r="P96" s="488"/>
      <c r="Q96" s="488"/>
      <c r="R96" s="488"/>
      <c r="S96" s="488"/>
      <c r="T96" s="488"/>
      <c r="U96" s="488"/>
      <c r="V96" s="488"/>
      <c r="W96" s="488"/>
      <c r="X96" s="354"/>
      <c r="Y96" s="354"/>
      <c r="Z96" s="353" t="s">
        <v>238</v>
      </c>
      <c r="AA96" s="353" t="s">
        <v>5457</v>
      </c>
      <c r="AB96" s="836"/>
      <c r="AC96" s="836"/>
      <c r="AD96" s="836"/>
      <c r="AE96" s="838"/>
    </row>
    <row r="97" spans="1:31" ht="16.5" customHeight="1">
      <c r="A97" s="347">
        <v>581421</v>
      </c>
      <c r="B97" s="347" t="s">
        <v>3043</v>
      </c>
      <c r="C97" s="347" t="s">
        <v>5458</v>
      </c>
      <c r="D97" s="348">
        <v>13294</v>
      </c>
      <c r="E97" s="348" t="s">
        <v>4258</v>
      </c>
      <c r="F97" s="348" t="s">
        <v>2081</v>
      </c>
      <c r="G97" s="348">
        <v>39080</v>
      </c>
      <c r="H97" s="358" t="s">
        <v>238</v>
      </c>
      <c r="I97" s="352"/>
      <c r="J97" s="353"/>
      <c r="K97" s="538">
        <v>56246.8</v>
      </c>
      <c r="L97" s="353"/>
      <c r="M97" s="488" t="s">
        <v>238</v>
      </c>
      <c r="N97" s="488"/>
      <c r="O97" s="488"/>
      <c r="P97" s="488"/>
      <c r="Q97" s="488"/>
      <c r="R97" s="488"/>
      <c r="S97" s="488"/>
      <c r="T97" s="488"/>
      <c r="U97" s="488" t="s">
        <v>238</v>
      </c>
      <c r="V97" s="488"/>
      <c r="W97" s="488"/>
      <c r="X97" s="354"/>
      <c r="Y97" s="354"/>
      <c r="Z97" s="353"/>
      <c r="AA97" s="353"/>
      <c r="AB97" s="836"/>
      <c r="AC97" s="836"/>
      <c r="AD97" s="836"/>
      <c r="AE97" s="837"/>
    </row>
    <row r="98" spans="1:31" ht="16.5" customHeight="1">
      <c r="A98" s="347">
        <v>479600</v>
      </c>
      <c r="B98" s="347" t="s">
        <v>2733</v>
      </c>
      <c r="C98" s="347" t="s">
        <v>2636</v>
      </c>
      <c r="D98" s="348">
        <v>16984</v>
      </c>
      <c r="E98" s="348" t="s">
        <v>2637</v>
      </c>
      <c r="F98" s="348" t="s">
        <v>2638</v>
      </c>
      <c r="G98" s="348">
        <v>43494</v>
      </c>
      <c r="H98" s="358"/>
      <c r="I98" s="352"/>
      <c r="J98" s="353"/>
      <c r="K98" s="538">
        <v>9999</v>
      </c>
      <c r="L98" s="353"/>
      <c r="M98" s="488"/>
      <c r="N98" s="488"/>
      <c r="O98" s="488"/>
      <c r="P98" s="488"/>
      <c r="Q98" s="488"/>
      <c r="R98" s="488"/>
      <c r="S98" s="488"/>
      <c r="T98" s="488"/>
      <c r="U98" s="488"/>
      <c r="V98" s="488"/>
      <c r="W98" s="488"/>
      <c r="X98" s="354"/>
      <c r="Y98" s="354"/>
      <c r="Z98" s="353" t="s">
        <v>238</v>
      </c>
      <c r="AA98" s="353"/>
      <c r="AB98" s="836"/>
      <c r="AC98" s="836"/>
      <c r="AD98" s="836"/>
      <c r="AE98" s="837"/>
    </row>
    <row r="99" spans="1:31" ht="16.5" customHeight="1">
      <c r="A99" s="347">
        <v>479600</v>
      </c>
      <c r="B99" s="347" t="s">
        <v>2541</v>
      </c>
      <c r="C99" s="347" t="s">
        <v>2636</v>
      </c>
      <c r="D99" s="348">
        <v>16988</v>
      </c>
      <c r="E99" s="348" t="s">
        <v>2637</v>
      </c>
      <c r="F99" s="348" t="s">
        <v>2638</v>
      </c>
      <c r="G99" s="348">
        <v>43494</v>
      </c>
      <c r="H99" s="358"/>
      <c r="I99" s="352"/>
      <c r="J99" s="353"/>
      <c r="K99" s="538">
        <v>9999</v>
      </c>
      <c r="L99" s="488"/>
      <c r="M99" s="488"/>
      <c r="N99" s="353"/>
      <c r="O99" s="488"/>
      <c r="P99" s="488"/>
      <c r="Q99" s="488"/>
      <c r="R99" s="488"/>
      <c r="S99" s="488"/>
      <c r="T99" s="488"/>
      <c r="U99" s="488"/>
      <c r="V99" s="488"/>
      <c r="W99" s="488"/>
      <c r="X99" s="354"/>
      <c r="Y99" s="354"/>
      <c r="Z99" s="353" t="s">
        <v>238</v>
      </c>
      <c r="AA99" s="353" t="s">
        <v>5459</v>
      </c>
      <c r="AB99" s="836"/>
      <c r="AC99" s="836"/>
      <c r="AD99" s="836"/>
      <c r="AE99" s="838"/>
    </row>
    <row r="100" spans="1:31" ht="16.5" customHeight="1">
      <c r="A100" s="347">
        <v>50978790</v>
      </c>
      <c r="B100" s="347" t="s">
        <v>2858</v>
      </c>
      <c r="C100" s="347" t="s">
        <v>2859</v>
      </c>
      <c r="D100" s="348">
        <v>10627</v>
      </c>
      <c r="E100" s="348" t="s">
        <v>2860</v>
      </c>
      <c r="F100" s="348" t="s">
        <v>2112</v>
      </c>
      <c r="G100" s="348">
        <v>41029</v>
      </c>
      <c r="H100" s="358"/>
      <c r="I100" s="352"/>
      <c r="J100" s="353"/>
      <c r="K100" s="538">
        <v>47264.1</v>
      </c>
      <c r="L100" s="488"/>
      <c r="M100" s="488"/>
      <c r="N100" s="353"/>
      <c r="O100" s="488"/>
      <c r="P100" s="488"/>
      <c r="Q100" s="488"/>
      <c r="R100" s="488"/>
      <c r="S100" s="488"/>
      <c r="T100" s="488"/>
      <c r="U100" s="488" t="s">
        <v>238</v>
      </c>
      <c r="V100" s="488"/>
      <c r="W100" s="488"/>
      <c r="X100" s="354"/>
      <c r="Y100" s="354"/>
      <c r="Z100" s="353"/>
      <c r="AA100" s="353" t="s">
        <v>5460</v>
      </c>
      <c r="AB100" s="836"/>
      <c r="AC100" s="836"/>
      <c r="AD100" s="836"/>
      <c r="AE100" s="837"/>
    </row>
    <row r="101" spans="1:31" ht="16.5" customHeight="1">
      <c r="A101" s="347">
        <v>13169</v>
      </c>
      <c r="B101" s="347" t="s">
        <v>2541</v>
      </c>
      <c r="C101" s="347" t="s">
        <v>5461</v>
      </c>
      <c r="D101" s="348">
        <v>16937</v>
      </c>
      <c r="E101" s="348" t="s">
        <v>2629</v>
      </c>
      <c r="F101" s="348" t="s">
        <v>2052</v>
      </c>
      <c r="G101" s="348">
        <v>40906</v>
      </c>
      <c r="H101" s="358"/>
      <c r="I101" s="352"/>
      <c r="J101" s="353"/>
      <c r="K101" s="538" t="s">
        <v>69</v>
      </c>
      <c r="L101" s="488"/>
      <c r="M101" s="488"/>
      <c r="N101" s="353"/>
      <c r="O101" s="488"/>
      <c r="P101" s="488"/>
      <c r="Q101" s="488"/>
      <c r="R101" s="488"/>
      <c r="S101" s="488"/>
      <c r="T101" s="488"/>
      <c r="U101" s="488" t="s">
        <v>238</v>
      </c>
      <c r="V101" s="488"/>
      <c r="W101" s="488"/>
      <c r="X101" s="354"/>
      <c r="Y101" s="354"/>
      <c r="Z101" s="353" t="s">
        <v>238</v>
      </c>
      <c r="AA101" s="353"/>
      <c r="AB101" s="836"/>
      <c r="AC101" s="836"/>
      <c r="AD101" s="836"/>
      <c r="AE101" s="837"/>
    </row>
    <row r="102" spans="1:31" ht="16.5" customHeight="1">
      <c r="A102" s="347">
        <v>13169</v>
      </c>
      <c r="B102" s="347" t="s">
        <v>2511</v>
      </c>
      <c r="C102" s="347" t="s">
        <v>2628</v>
      </c>
      <c r="D102" s="348">
        <v>14172</v>
      </c>
      <c r="E102" s="347" t="s">
        <v>2629</v>
      </c>
      <c r="F102" s="347" t="s">
        <v>2052</v>
      </c>
      <c r="G102" s="348">
        <v>40906</v>
      </c>
      <c r="H102" s="358"/>
      <c r="I102" s="352"/>
      <c r="J102" s="353"/>
      <c r="K102" s="538">
        <v>20112.53</v>
      </c>
      <c r="L102" s="488"/>
      <c r="M102" s="488"/>
      <c r="N102" s="353"/>
      <c r="O102" s="353"/>
      <c r="P102" s="488"/>
      <c r="Q102" s="488"/>
      <c r="R102" s="488"/>
      <c r="S102" s="488"/>
      <c r="T102" s="488"/>
      <c r="U102" s="488" t="s">
        <v>238</v>
      </c>
      <c r="V102" s="488"/>
      <c r="W102" s="488"/>
      <c r="X102" s="354"/>
      <c r="Y102" s="354"/>
      <c r="Z102" s="353" t="s">
        <v>238</v>
      </c>
      <c r="AA102" s="353"/>
      <c r="AB102" s="836"/>
      <c r="AC102" s="836"/>
      <c r="AD102" s="842"/>
      <c r="AE102" s="837"/>
    </row>
    <row r="103" spans="1:31" ht="16.5" customHeight="1">
      <c r="A103" s="347">
        <v>8144487</v>
      </c>
      <c r="B103" s="347" t="s">
        <v>2648</v>
      </c>
      <c r="C103" s="347" t="s">
        <v>5462</v>
      </c>
      <c r="D103" s="348">
        <v>13271</v>
      </c>
      <c r="E103" s="348" t="s">
        <v>5463</v>
      </c>
      <c r="F103" s="348" t="s">
        <v>2395</v>
      </c>
      <c r="G103" s="348">
        <v>37483</v>
      </c>
      <c r="H103" s="358" t="s">
        <v>238</v>
      </c>
      <c r="I103" s="352"/>
      <c r="J103" s="353"/>
      <c r="K103" s="538">
        <v>9999</v>
      </c>
      <c r="L103" s="353"/>
      <c r="M103" s="488"/>
      <c r="N103" s="488"/>
      <c r="O103" s="488"/>
      <c r="P103" s="488"/>
      <c r="Q103" s="488"/>
      <c r="R103" s="488"/>
      <c r="S103" s="488"/>
      <c r="T103" s="488"/>
      <c r="U103" s="488"/>
      <c r="V103" s="488"/>
      <c r="W103" s="488"/>
      <c r="X103" s="354"/>
      <c r="Y103" s="354"/>
      <c r="Z103" s="353"/>
      <c r="AA103" s="353"/>
      <c r="AB103" s="836"/>
      <c r="AC103" s="836"/>
      <c r="AD103" s="836"/>
      <c r="AE103" s="837"/>
    </row>
    <row r="104" spans="1:31" ht="16.5" customHeight="1">
      <c r="A104" s="347">
        <v>100004502</v>
      </c>
      <c r="B104" s="347" t="s">
        <v>3683</v>
      </c>
      <c r="C104" s="347" t="s">
        <v>5464</v>
      </c>
      <c r="D104" s="348"/>
      <c r="E104" s="348" t="s">
        <v>2976</v>
      </c>
      <c r="F104" s="348" t="s">
        <v>2094</v>
      </c>
      <c r="G104" s="348">
        <v>39013</v>
      </c>
      <c r="H104" s="358" t="s">
        <v>238</v>
      </c>
      <c r="I104" s="352"/>
      <c r="J104" s="353"/>
      <c r="K104" s="538">
        <v>9999</v>
      </c>
      <c r="L104" s="353"/>
      <c r="M104" s="488"/>
      <c r="N104" s="488"/>
      <c r="O104" s="488"/>
      <c r="P104" s="488"/>
      <c r="Q104" s="488"/>
      <c r="R104" s="488"/>
      <c r="S104" s="488"/>
      <c r="T104" s="488"/>
      <c r="U104" s="488"/>
      <c r="V104" s="488"/>
      <c r="W104" s="488"/>
      <c r="X104" s="354"/>
      <c r="Y104" s="354"/>
      <c r="Z104" s="353"/>
      <c r="AA104" s="353"/>
      <c r="AB104" s="836"/>
      <c r="AC104" s="836"/>
      <c r="AD104" s="836"/>
      <c r="AE104" s="838"/>
    </row>
    <row r="105" spans="1:31" ht="16.5" customHeight="1">
      <c r="A105" s="347">
        <v>13594643</v>
      </c>
      <c r="B105" s="347" t="s">
        <v>2669</v>
      </c>
      <c r="C105" s="347" t="s">
        <v>3339</v>
      </c>
      <c r="D105" s="348">
        <v>8990</v>
      </c>
      <c r="E105" s="348" t="s">
        <v>2873</v>
      </c>
      <c r="F105" s="348" t="s">
        <v>2094</v>
      </c>
      <c r="G105" s="348">
        <v>40477</v>
      </c>
      <c r="H105" s="358"/>
      <c r="I105" s="352"/>
      <c r="J105" s="353"/>
      <c r="K105" s="538">
        <v>27545.1</v>
      </c>
      <c r="L105" s="488"/>
      <c r="M105" s="488"/>
      <c r="N105" s="488"/>
      <c r="O105" s="488"/>
      <c r="P105" s="488"/>
      <c r="Q105" s="488"/>
      <c r="R105" s="488"/>
      <c r="S105" s="488"/>
      <c r="T105" s="488"/>
      <c r="U105" s="488" t="s">
        <v>238</v>
      </c>
      <c r="V105" s="488"/>
      <c r="W105" s="488"/>
      <c r="X105" s="354"/>
      <c r="Y105" s="354"/>
      <c r="Z105" s="353"/>
      <c r="AA105" s="353"/>
      <c r="AB105" s="836"/>
      <c r="AC105" s="836"/>
      <c r="AD105" s="836"/>
      <c r="AE105" s="838"/>
    </row>
    <row r="106" spans="1:31" ht="16.5" customHeight="1">
      <c r="A106" s="347">
        <v>8856452</v>
      </c>
      <c r="B106" s="347" t="s">
        <v>3632</v>
      </c>
      <c r="C106" s="347" t="s">
        <v>5465</v>
      </c>
      <c r="D106" s="348">
        <v>10179</v>
      </c>
      <c r="E106" s="348" t="s">
        <v>4551</v>
      </c>
      <c r="F106" s="348" t="s">
        <v>2081</v>
      </c>
      <c r="G106" s="348">
        <v>36887</v>
      </c>
      <c r="H106" s="358" t="s">
        <v>238</v>
      </c>
      <c r="I106" s="352"/>
      <c r="J106" s="353"/>
      <c r="K106" s="538" t="s">
        <v>69</v>
      </c>
      <c r="L106" s="488"/>
      <c r="M106" s="488"/>
      <c r="N106" s="488"/>
      <c r="O106" s="488"/>
      <c r="P106" s="488"/>
      <c r="Q106" s="488"/>
      <c r="R106" s="488"/>
      <c r="S106" s="488"/>
      <c r="T106" s="488"/>
      <c r="U106" s="488" t="s">
        <v>238</v>
      </c>
      <c r="V106" s="488"/>
      <c r="W106" s="488"/>
      <c r="X106" s="354"/>
      <c r="Y106" s="354"/>
      <c r="Z106" s="353" t="s">
        <v>238</v>
      </c>
      <c r="AA106" s="353"/>
      <c r="AB106" s="836"/>
      <c r="AC106" s="836"/>
      <c r="AD106" s="836"/>
      <c r="AE106" s="838"/>
    </row>
    <row r="107" spans="1:31" ht="16.5" customHeight="1">
      <c r="A107" s="347">
        <v>8856452</v>
      </c>
      <c r="B107" s="347" t="s">
        <v>5466</v>
      </c>
      <c r="C107" s="347" t="s">
        <v>5465</v>
      </c>
      <c r="D107" s="348">
        <v>10169</v>
      </c>
      <c r="E107" s="348" t="s">
        <v>4551</v>
      </c>
      <c r="F107" s="348" t="s">
        <v>2081</v>
      </c>
      <c r="G107" s="348">
        <v>36887</v>
      </c>
      <c r="H107" s="358" t="s">
        <v>238</v>
      </c>
      <c r="I107" s="352"/>
      <c r="J107" s="353"/>
      <c r="K107" s="538">
        <v>24629.82</v>
      </c>
      <c r="L107" s="353"/>
      <c r="M107" s="488"/>
      <c r="N107" s="488"/>
      <c r="O107" s="488"/>
      <c r="P107" s="488"/>
      <c r="Q107" s="488"/>
      <c r="R107" s="488"/>
      <c r="S107" s="488"/>
      <c r="T107" s="488"/>
      <c r="U107" s="488" t="s">
        <v>238</v>
      </c>
      <c r="V107" s="488"/>
      <c r="W107" s="488"/>
      <c r="X107" s="354"/>
      <c r="Y107" s="354"/>
      <c r="Z107" s="353" t="s">
        <v>238</v>
      </c>
      <c r="AA107" s="353"/>
      <c r="AB107" s="836"/>
      <c r="AC107" s="836"/>
      <c r="AD107" s="836"/>
      <c r="AE107" s="838"/>
    </row>
    <row r="108" spans="1:31" ht="16.5" customHeight="1">
      <c r="A108" s="347">
        <v>36687176</v>
      </c>
      <c r="B108" s="347" t="s">
        <v>2786</v>
      </c>
      <c r="C108" s="347" t="s">
        <v>5467</v>
      </c>
      <c r="D108" s="348"/>
      <c r="E108" s="348" t="s">
        <v>4842</v>
      </c>
      <c r="F108" s="348" t="s">
        <v>2181</v>
      </c>
      <c r="G108" s="348"/>
      <c r="H108" s="358"/>
      <c r="I108" s="352"/>
      <c r="J108" s="353"/>
      <c r="K108" s="538" t="s">
        <v>69</v>
      </c>
      <c r="L108" s="353"/>
      <c r="M108" s="488"/>
      <c r="N108" s="488"/>
      <c r="O108" s="488"/>
      <c r="P108" s="488"/>
      <c r="Q108" s="488"/>
      <c r="R108" s="488"/>
      <c r="S108" s="488"/>
      <c r="T108" s="488"/>
      <c r="U108" s="488"/>
      <c r="V108" s="488"/>
      <c r="W108" s="488"/>
      <c r="X108" s="354"/>
      <c r="Y108" s="354"/>
      <c r="Z108" s="353"/>
      <c r="AA108" s="353"/>
      <c r="AB108" s="836"/>
      <c r="AC108" s="836"/>
      <c r="AD108" s="836"/>
      <c r="AE108" s="838"/>
    </row>
    <row r="109" spans="1:31" ht="16.5" customHeight="1">
      <c r="A109" s="347">
        <v>36687176</v>
      </c>
      <c r="B109" s="347" t="s">
        <v>4523</v>
      </c>
      <c r="C109" s="347" t="s">
        <v>5468</v>
      </c>
      <c r="D109" s="348">
        <v>17199</v>
      </c>
      <c r="E109" s="348" t="s">
        <v>4842</v>
      </c>
      <c r="F109" s="348" t="s">
        <v>2181</v>
      </c>
      <c r="G109" s="348">
        <v>42368</v>
      </c>
      <c r="H109" s="358"/>
      <c r="I109" s="352"/>
      <c r="J109" s="353"/>
      <c r="K109" s="538">
        <v>20000</v>
      </c>
      <c r="L109" s="488"/>
      <c r="M109" s="488"/>
      <c r="N109" s="488"/>
      <c r="O109" s="488"/>
      <c r="P109" s="488"/>
      <c r="Q109" s="488"/>
      <c r="R109" s="488"/>
      <c r="S109" s="488"/>
      <c r="T109" s="488"/>
      <c r="U109" s="488"/>
      <c r="V109" s="488"/>
      <c r="W109" s="488"/>
      <c r="X109" s="354"/>
      <c r="Y109" s="354"/>
      <c r="Z109" s="353"/>
      <c r="AA109" s="353" t="s">
        <v>5469</v>
      </c>
      <c r="AB109" s="836" t="s">
        <v>5470</v>
      </c>
      <c r="AC109" s="836"/>
      <c r="AD109" s="836"/>
      <c r="AE109" s="838"/>
    </row>
    <row r="110" spans="1:31" ht="16.5" customHeight="1">
      <c r="A110" s="347">
        <v>5354121</v>
      </c>
      <c r="B110" s="347" t="s">
        <v>5471</v>
      </c>
      <c r="C110" s="347" t="s">
        <v>5472</v>
      </c>
      <c r="D110" s="348">
        <v>10349</v>
      </c>
      <c r="E110" s="348" t="s">
        <v>5473</v>
      </c>
      <c r="F110" s="348" t="s">
        <v>2046</v>
      </c>
      <c r="G110" s="348" t="s">
        <v>5474</v>
      </c>
      <c r="H110" s="358" t="s">
        <v>238</v>
      </c>
      <c r="I110" s="352"/>
      <c r="J110" s="353"/>
      <c r="K110" s="538" t="s">
        <v>69</v>
      </c>
      <c r="L110" s="488"/>
      <c r="M110" s="488"/>
      <c r="N110" s="488"/>
      <c r="O110" s="488"/>
      <c r="P110" s="488"/>
      <c r="Q110" s="488"/>
      <c r="R110" s="488"/>
      <c r="S110" s="488"/>
      <c r="T110" s="488"/>
      <c r="U110" s="488"/>
      <c r="V110" s="488"/>
      <c r="W110" s="488"/>
      <c r="X110" s="354"/>
      <c r="Y110" s="354"/>
      <c r="Z110" s="353" t="s">
        <v>238</v>
      </c>
      <c r="AA110" s="353"/>
      <c r="AB110" s="836"/>
      <c r="AC110" s="836"/>
      <c r="AD110" s="836"/>
      <c r="AE110" s="838"/>
    </row>
    <row r="111" spans="1:31" ht="16.5" customHeight="1">
      <c r="A111" s="347">
        <v>5354121</v>
      </c>
      <c r="B111" s="347" t="s">
        <v>3035</v>
      </c>
      <c r="C111" s="347" t="s">
        <v>5472</v>
      </c>
      <c r="D111" s="745">
        <v>10617</v>
      </c>
      <c r="E111" s="361" t="s">
        <v>5473</v>
      </c>
      <c r="F111" s="361" t="s">
        <v>2046</v>
      </c>
      <c r="G111" s="348">
        <v>36788</v>
      </c>
      <c r="H111" s="358" t="s">
        <v>238</v>
      </c>
      <c r="I111" s="352"/>
      <c r="J111" s="353"/>
      <c r="K111" s="538">
        <v>23442.33</v>
      </c>
      <c r="L111" s="488"/>
      <c r="M111" s="353"/>
      <c r="N111" s="488"/>
      <c r="O111" s="488"/>
      <c r="P111" s="488"/>
      <c r="Q111" s="488"/>
      <c r="R111" s="488"/>
      <c r="S111" s="488"/>
      <c r="T111" s="488"/>
      <c r="U111" s="488" t="s">
        <v>238</v>
      </c>
      <c r="V111" s="488"/>
      <c r="W111" s="488"/>
      <c r="X111" s="354"/>
      <c r="Y111" s="354"/>
      <c r="Z111" s="353" t="s">
        <v>238</v>
      </c>
      <c r="AA111" s="353"/>
      <c r="AB111" s="836"/>
      <c r="AC111" s="836"/>
      <c r="AD111" s="836"/>
      <c r="AE111" s="837"/>
    </row>
    <row r="112" spans="1:31" ht="16.5" customHeight="1">
      <c r="A112" s="347">
        <v>29564820</v>
      </c>
      <c r="B112" s="347" t="s">
        <v>3470</v>
      </c>
      <c r="C112" s="347" t="s">
        <v>2983</v>
      </c>
      <c r="D112" s="348">
        <v>11444</v>
      </c>
      <c r="E112" s="348" t="s">
        <v>2608</v>
      </c>
      <c r="F112" s="348" t="s">
        <v>2299</v>
      </c>
      <c r="G112" s="348" t="s">
        <v>5475</v>
      </c>
      <c r="H112" s="358"/>
      <c r="I112" s="352"/>
      <c r="J112" s="353"/>
      <c r="K112" s="539">
        <v>13044.6</v>
      </c>
      <c r="L112" s="353"/>
      <c r="M112" s="488"/>
      <c r="N112" s="488"/>
      <c r="O112" s="488"/>
      <c r="P112" s="488"/>
      <c r="Q112" s="488"/>
      <c r="R112" s="488"/>
      <c r="S112" s="488"/>
      <c r="T112" s="488"/>
      <c r="U112" s="488"/>
      <c r="V112" s="488"/>
      <c r="W112" s="488"/>
      <c r="X112" s="353"/>
      <c r="Y112" s="354"/>
      <c r="Z112" s="353"/>
      <c r="AA112" s="353" t="s">
        <v>5476</v>
      </c>
      <c r="AB112" s="836"/>
      <c r="AC112" s="836"/>
      <c r="AD112" s="836"/>
      <c r="AE112" s="837"/>
    </row>
    <row r="113" spans="1:31" ht="16.5" customHeight="1">
      <c r="A113" s="347">
        <v>5794334</v>
      </c>
      <c r="B113" s="347" t="s">
        <v>3468</v>
      </c>
      <c r="C113" s="347" t="s">
        <v>5477</v>
      </c>
      <c r="D113" s="348">
        <v>15158</v>
      </c>
      <c r="E113" s="348" t="s">
        <v>5478</v>
      </c>
      <c r="F113" s="348" t="s">
        <v>2112</v>
      </c>
      <c r="G113" s="348">
        <v>41257</v>
      </c>
      <c r="H113" s="358"/>
      <c r="I113" s="352"/>
      <c r="J113" s="353"/>
      <c r="K113" s="538" t="s">
        <v>69</v>
      </c>
      <c r="L113" s="488"/>
      <c r="M113" s="488"/>
      <c r="N113" s="488"/>
      <c r="O113" s="488"/>
      <c r="P113" s="488"/>
      <c r="Q113" s="488"/>
      <c r="R113" s="488"/>
      <c r="S113" s="488"/>
      <c r="T113" s="488"/>
      <c r="U113" s="488"/>
      <c r="V113" s="488"/>
      <c r="W113" s="488"/>
      <c r="X113" s="354"/>
      <c r="Y113" s="354"/>
      <c r="Z113" s="353"/>
      <c r="AA113" s="353"/>
      <c r="AB113" s="836"/>
      <c r="AC113" s="836"/>
      <c r="AD113" s="836"/>
      <c r="AE113" s="838"/>
    </row>
    <row r="114" spans="1:31" ht="16.5" customHeight="1">
      <c r="A114" s="347">
        <v>989152</v>
      </c>
      <c r="B114" s="347" t="s">
        <v>2511</v>
      </c>
      <c r="C114" s="347" t="s">
        <v>2732</v>
      </c>
      <c r="D114" s="348">
        <v>10282</v>
      </c>
      <c r="E114" s="348" t="s">
        <v>2924</v>
      </c>
      <c r="F114" s="348" t="s">
        <v>65</v>
      </c>
      <c r="G114" s="348" t="s">
        <v>5479</v>
      </c>
      <c r="H114" s="358"/>
      <c r="I114" s="352"/>
      <c r="J114" s="353"/>
      <c r="K114" s="538">
        <v>32275.4</v>
      </c>
      <c r="L114" s="488"/>
      <c r="M114" s="488"/>
      <c r="N114" s="353"/>
      <c r="O114" s="488"/>
      <c r="P114" s="488"/>
      <c r="Q114" s="488"/>
      <c r="R114" s="488"/>
      <c r="S114" s="488"/>
      <c r="T114" s="488"/>
      <c r="U114" s="488" t="s">
        <v>238</v>
      </c>
      <c r="V114" s="488"/>
      <c r="W114" s="488"/>
      <c r="X114" s="354"/>
      <c r="Y114" s="355"/>
      <c r="Z114" s="353"/>
      <c r="AA114" s="353" t="s">
        <v>5480</v>
      </c>
      <c r="AB114" s="836"/>
      <c r="AC114" s="836"/>
      <c r="AD114" s="836"/>
      <c r="AE114" s="838"/>
    </row>
    <row r="115" spans="1:31" ht="16.5" customHeight="1">
      <c r="A115" s="347">
        <v>10367258</v>
      </c>
      <c r="B115" s="347" t="s">
        <v>3574</v>
      </c>
      <c r="C115" s="347" t="s">
        <v>5481</v>
      </c>
      <c r="D115" s="348">
        <v>16582</v>
      </c>
      <c r="E115" s="348" t="s">
        <v>5041</v>
      </c>
      <c r="F115" s="348" t="s">
        <v>2201</v>
      </c>
      <c r="G115" s="348">
        <v>41260</v>
      </c>
      <c r="H115" s="358"/>
      <c r="I115" s="352"/>
      <c r="J115" s="353"/>
      <c r="K115" s="538">
        <v>9999</v>
      </c>
      <c r="L115" s="488"/>
      <c r="M115" s="488"/>
      <c r="N115" s="353"/>
      <c r="O115" s="488"/>
      <c r="P115" s="488"/>
      <c r="Q115" s="488"/>
      <c r="R115" s="488"/>
      <c r="S115" s="488"/>
      <c r="T115" s="488"/>
      <c r="U115" s="488"/>
      <c r="V115" s="488"/>
      <c r="W115" s="488"/>
      <c r="X115" s="354"/>
      <c r="Y115" s="355"/>
      <c r="Z115" s="353" t="s">
        <v>238</v>
      </c>
      <c r="AA115" s="353"/>
      <c r="AB115" s="836"/>
      <c r="AC115" s="836"/>
      <c r="AD115" s="836"/>
      <c r="AE115" s="838"/>
    </row>
    <row r="116" spans="1:31" ht="16.5" customHeight="1">
      <c r="A116" s="347">
        <v>10367258</v>
      </c>
      <c r="B116" s="347" t="s">
        <v>4363</v>
      </c>
      <c r="C116" s="347" t="s">
        <v>5481</v>
      </c>
      <c r="D116" s="348">
        <v>16427</v>
      </c>
      <c r="E116" s="348" t="s">
        <v>5041</v>
      </c>
      <c r="F116" s="348" t="s">
        <v>2201</v>
      </c>
      <c r="G116" s="348">
        <v>41260</v>
      </c>
      <c r="H116" s="358"/>
      <c r="I116" s="352"/>
      <c r="J116" s="353"/>
      <c r="K116" s="538">
        <v>9999</v>
      </c>
      <c r="L116" s="488" t="s">
        <v>238</v>
      </c>
      <c r="M116" s="488"/>
      <c r="N116" s="488"/>
      <c r="O116" s="488"/>
      <c r="P116" s="488"/>
      <c r="Q116" s="488"/>
      <c r="R116" s="488"/>
      <c r="S116" s="488"/>
      <c r="T116" s="488"/>
      <c r="U116" s="488"/>
      <c r="V116" s="488"/>
      <c r="W116" s="488"/>
      <c r="X116" s="354"/>
      <c r="Y116" s="354"/>
      <c r="Z116" s="353" t="s">
        <v>238</v>
      </c>
      <c r="AA116" s="353" t="s">
        <v>5482</v>
      </c>
      <c r="AB116" s="836"/>
      <c r="AC116" s="836"/>
      <c r="AD116" s="836"/>
      <c r="AE116" s="838"/>
    </row>
    <row r="117" spans="1:31" ht="16.5" customHeight="1">
      <c r="A117" s="347">
        <v>100006162</v>
      </c>
      <c r="B117" s="347" t="s">
        <v>4847</v>
      </c>
      <c r="C117" s="347" t="s">
        <v>3794</v>
      </c>
      <c r="D117" s="348">
        <v>11171</v>
      </c>
      <c r="E117" s="348" t="s">
        <v>5483</v>
      </c>
      <c r="F117" s="348" t="s">
        <v>2081</v>
      </c>
      <c r="G117" s="348">
        <v>37802</v>
      </c>
      <c r="H117" s="358" t="s">
        <v>238</v>
      </c>
      <c r="I117" s="352"/>
      <c r="J117" s="353"/>
      <c r="K117" s="538">
        <v>9999</v>
      </c>
      <c r="L117" s="488"/>
      <c r="M117" s="488"/>
      <c r="N117" s="488"/>
      <c r="O117" s="488"/>
      <c r="P117" s="488"/>
      <c r="Q117" s="488"/>
      <c r="R117" s="488"/>
      <c r="S117" s="488"/>
      <c r="T117" s="488"/>
      <c r="U117" s="488"/>
      <c r="V117" s="488"/>
      <c r="W117" s="488"/>
      <c r="X117" s="354"/>
      <c r="Y117" s="354"/>
      <c r="Z117" s="353"/>
      <c r="AA117" s="353"/>
      <c r="AB117" s="836"/>
      <c r="AC117" s="836"/>
      <c r="AD117" s="836"/>
      <c r="AE117" s="838"/>
    </row>
    <row r="118" spans="1:31" ht="16.5" customHeight="1">
      <c r="A118" s="347">
        <v>1819028</v>
      </c>
      <c r="B118" s="347" t="s">
        <v>2718</v>
      </c>
      <c r="C118" s="347" t="s">
        <v>2716</v>
      </c>
      <c r="D118" s="348">
        <v>19025</v>
      </c>
      <c r="E118" s="348" t="s">
        <v>3225</v>
      </c>
      <c r="F118" s="348" t="s">
        <v>2072</v>
      </c>
      <c r="G118" s="348">
        <v>43649</v>
      </c>
      <c r="H118" s="358"/>
      <c r="I118" s="352"/>
      <c r="J118" s="353" t="s">
        <v>238</v>
      </c>
      <c r="K118" s="538">
        <v>9999</v>
      </c>
      <c r="L118" s="488" t="s">
        <v>238</v>
      </c>
      <c r="M118" s="488"/>
      <c r="N118" s="488"/>
      <c r="O118" s="488"/>
      <c r="P118" s="488"/>
      <c r="Q118" s="488"/>
      <c r="R118" s="488"/>
      <c r="S118" s="488"/>
      <c r="T118" s="488"/>
      <c r="U118" s="488"/>
      <c r="V118" s="488"/>
      <c r="W118" s="488"/>
      <c r="X118" s="354"/>
      <c r="Y118" s="354"/>
      <c r="Z118" s="353" t="s">
        <v>238</v>
      </c>
      <c r="AA118" s="353" t="s">
        <v>5484</v>
      </c>
      <c r="AB118" s="836"/>
      <c r="AC118" s="836"/>
      <c r="AD118" s="836"/>
      <c r="AE118" s="838"/>
    </row>
    <row r="119" spans="1:31" ht="16.5" customHeight="1">
      <c r="A119" s="347">
        <v>1819028</v>
      </c>
      <c r="B119" s="347" t="s">
        <v>2511</v>
      </c>
      <c r="C119" s="347" t="s">
        <v>2716</v>
      </c>
      <c r="D119" s="348">
        <v>19018</v>
      </c>
      <c r="E119" s="348" t="s">
        <v>3225</v>
      </c>
      <c r="F119" s="348" t="s">
        <v>2072</v>
      </c>
      <c r="G119" s="348" t="s">
        <v>5485</v>
      </c>
      <c r="H119" s="358"/>
      <c r="I119" s="352"/>
      <c r="J119" s="353" t="s">
        <v>238</v>
      </c>
      <c r="K119" s="538">
        <v>9999</v>
      </c>
      <c r="L119" s="488" t="s">
        <v>238</v>
      </c>
      <c r="M119" s="488"/>
      <c r="N119" s="353"/>
      <c r="O119" s="488"/>
      <c r="P119" s="488"/>
      <c r="Q119" s="488"/>
      <c r="R119" s="488"/>
      <c r="S119" s="353"/>
      <c r="T119" s="488"/>
      <c r="U119" s="488"/>
      <c r="V119" s="488"/>
      <c r="W119" s="488"/>
      <c r="X119" s="354"/>
      <c r="Y119" s="354"/>
      <c r="Z119" s="353" t="s">
        <v>238</v>
      </c>
      <c r="AA119" s="353" t="s">
        <v>5484</v>
      </c>
      <c r="AB119" s="836" t="s">
        <v>5486</v>
      </c>
      <c r="AC119" s="836"/>
      <c r="AD119" s="836"/>
      <c r="AE119" s="837"/>
    </row>
    <row r="120" spans="1:31" ht="16.5" customHeight="1">
      <c r="A120" s="347">
        <v>389601</v>
      </c>
      <c r="B120" s="347" t="s">
        <v>2602</v>
      </c>
      <c r="C120" s="347" t="s">
        <v>5487</v>
      </c>
      <c r="D120" s="348"/>
      <c r="E120" s="348" t="s">
        <v>5049</v>
      </c>
      <c r="F120" s="348" t="s">
        <v>2064</v>
      </c>
      <c r="G120" s="348" t="s">
        <v>5488</v>
      </c>
      <c r="H120" s="358"/>
      <c r="I120" s="352"/>
      <c r="J120" s="353"/>
      <c r="K120" s="538">
        <v>9999</v>
      </c>
      <c r="L120" s="488"/>
      <c r="M120" s="488"/>
      <c r="N120" s="353"/>
      <c r="O120" s="488"/>
      <c r="P120" s="488"/>
      <c r="Q120" s="488"/>
      <c r="R120" s="488"/>
      <c r="S120" s="353"/>
      <c r="T120" s="488"/>
      <c r="U120" s="488"/>
      <c r="V120" s="488"/>
      <c r="W120" s="488"/>
      <c r="X120" s="354"/>
      <c r="Y120" s="354"/>
      <c r="Z120" s="353" t="s">
        <v>238</v>
      </c>
      <c r="AA120" s="353"/>
      <c r="AB120" s="836"/>
      <c r="AC120" s="836"/>
      <c r="AD120" s="836"/>
      <c r="AE120" s="837"/>
    </row>
    <row r="121" spans="1:31" ht="16.5" customHeight="1">
      <c r="A121" s="347">
        <v>389601</v>
      </c>
      <c r="B121" s="347" t="s">
        <v>5410</v>
      </c>
      <c r="C121" s="347" t="s">
        <v>5487</v>
      </c>
      <c r="D121" s="348">
        <v>23316</v>
      </c>
      <c r="E121" s="348" t="s">
        <v>5049</v>
      </c>
      <c r="F121" s="348" t="s">
        <v>2064</v>
      </c>
      <c r="G121" s="348" t="s">
        <v>5488</v>
      </c>
      <c r="H121" s="358"/>
      <c r="I121" s="352"/>
      <c r="J121" s="353"/>
      <c r="K121" s="538">
        <v>9999</v>
      </c>
      <c r="L121" s="488"/>
      <c r="M121" s="488"/>
      <c r="N121" s="488"/>
      <c r="O121" s="488"/>
      <c r="P121" s="488"/>
      <c r="Q121" s="488"/>
      <c r="R121" s="488"/>
      <c r="S121" s="488"/>
      <c r="T121" s="488"/>
      <c r="U121" s="488"/>
      <c r="V121" s="488"/>
      <c r="W121" s="488"/>
      <c r="X121" s="353"/>
      <c r="Y121" s="354"/>
      <c r="Z121" s="353" t="s">
        <v>238</v>
      </c>
      <c r="AA121" s="353" t="s">
        <v>5489</v>
      </c>
      <c r="AB121" s="836"/>
      <c r="AC121" s="836"/>
      <c r="AD121" s="836"/>
      <c r="AE121" s="838"/>
    </row>
    <row r="122" spans="1:31" ht="16.5" customHeight="1">
      <c r="A122" s="347">
        <v>127209</v>
      </c>
      <c r="B122" s="347" t="s">
        <v>3103</v>
      </c>
      <c r="C122" s="347" t="s">
        <v>5490</v>
      </c>
      <c r="D122" s="348">
        <v>18193</v>
      </c>
      <c r="E122" s="348" t="s">
        <v>5491</v>
      </c>
      <c r="F122" s="348" t="s">
        <v>2106</v>
      </c>
      <c r="G122" s="348">
        <v>42629</v>
      </c>
      <c r="H122" s="358"/>
      <c r="I122" s="352"/>
      <c r="J122" s="353"/>
      <c r="K122" s="538" t="s">
        <v>69</v>
      </c>
      <c r="L122" s="488"/>
      <c r="M122" s="488"/>
      <c r="N122" s="488"/>
      <c r="O122" s="488"/>
      <c r="P122" s="488"/>
      <c r="Q122" s="488"/>
      <c r="R122" s="488"/>
      <c r="S122" s="488"/>
      <c r="T122" s="488"/>
      <c r="U122" s="488" t="s">
        <v>238</v>
      </c>
      <c r="V122" s="488"/>
      <c r="W122" s="488"/>
      <c r="X122" s="353"/>
      <c r="Y122" s="354"/>
      <c r="Z122" s="353" t="s">
        <v>238</v>
      </c>
      <c r="AA122" s="353"/>
      <c r="AB122" s="836"/>
      <c r="AC122" s="836"/>
      <c r="AD122" s="836"/>
      <c r="AE122" s="838"/>
    </row>
    <row r="123" spans="1:31" ht="16.5" customHeight="1">
      <c r="A123" s="347">
        <v>127209</v>
      </c>
      <c r="B123" s="347" t="s">
        <v>2602</v>
      </c>
      <c r="C123" s="347" t="s">
        <v>5490</v>
      </c>
      <c r="D123" s="348">
        <v>17874</v>
      </c>
      <c r="E123" s="348" t="s">
        <v>5491</v>
      </c>
      <c r="F123" s="348" t="s">
        <v>2106</v>
      </c>
      <c r="G123" s="348">
        <v>42629</v>
      </c>
      <c r="H123" s="358"/>
      <c r="I123" s="352"/>
      <c r="J123" s="353"/>
      <c r="K123" s="538">
        <v>13231.34</v>
      </c>
      <c r="L123" s="488"/>
      <c r="M123" s="488"/>
      <c r="N123" s="488"/>
      <c r="O123" s="488"/>
      <c r="P123" s="488"/>
      <c r="Q123" s="488"/>
      <c r="R123" s="488"/>
      <c r="S123" s="488"/>
      <c r="T123" s="488"/>
      <c r="U123" s="488" t="s">
        <v>238</v>
      </c>
      <c r="V123" s="488"/>
      <c r="W123" s="488"/>
      <c r="X123" s="354"/>
      <c r="Y123" s="354"/>
      <c r="Z123" s="353" t="s">
        <v>238</v>
      </c>
      <c r="AA123" s="353"/>
      <c r="AB123" s="836"/>
      <c r="AC123" s="836"/>
      <c r="AD123" s="836"/>
      <c r="AE123" s="838"/>
    </row>
    <row r="124" spans="1:31" ht="16.5" customHeight="1">
      <c r="A124" s="347">
        <v>7904576</v>
      </c>
      <c r="B124" s="347" t="s">
        <v>4587</v>
      </c>
      <c r="C124" s="347" t="s">
        <v>5492</v>
      </c>
      <c r="D124" s="348">
        <v>16326</v>
      </c>
      <c r="E124" s="348" t="s">
        <v>5493</v>
      </c>
      <c r="F124" s="348" t="s">
        <v>2069</v>
      </c>
      <c r="G124" s="348">
        <v>40565</v>
      </c>
      <c r="H124" s="358"/>
      <c r="I124" s="352"/>
      <c r="J124" s="353"/>
      <c r="K124" s="539">
        <v>20131.490000000002</v>
      </c>
      <c r="L124" s="488"/>
      <c r="M124" s="488"/>
      <c r="N124" s="488"/>
      <c r="O124" s="488"/>
      <c r="P124" s="488"/>
      <c r="Q124" s="353"/>
      <c r="R124" s="488"/>
      <c r="S124" s="488"/>
      <c r="T124" s="488"/>
      <c r="U124" s="488" t="s">
        <v>238</v>
      </c>
      <c r="V124" s="488"/>
      <c r="W124" s="488"/>
      <c r="X124" s="354"/>
      <c r="Y124" s="354"/>
      <c r="Z124" s="353"/>
      <c r="AA124" s="353" t="s">
        <v>5494</v>
      </c>
      <c r="AB124" s="836"/>
      <c r="AC124" s="836"/>
      <c r="AD124" s="836"/>
      <c r="AE124" s="837"/>
    </row>
    <row r="125" spans="1:31" ht="16.5" customHeight="1">
      <c r="A125" s="347">
        <v>6387484</v>
      </c>
      <c r="B125" s="347" t="s">
        <v>5495</v>
      </c>
      <c r="C125" s="347" t="s">
        <v>5496</v>
      </c>
      <c r="D125" s="348">
        <v>15342</v>
      </c>
      <c r="E125" s="348" t="s">
        <v>5497</v>
      </c>
      <c r="F125" s="348" t="s">
        <v>2046</v>
      </c>
      <c r="G125" s="348">
        <v>43690</v>
      </c>
      <c r="H125" s="358" t="s">
        <v>238</v>
      </c>
      <c r="I125" s="352"/>
      <c r="J125" s="353"/>
      <c r="K125" s="538">
        <v>9999</v>
      </c>
      <c r="L125" s="353"/>
      <c r="M125" s="488"/>
      <c r="N125" s="488"/>
      <c r="O125" s="488"/>
      <c r="P125" s="488"/>
      <c r="Q125" s="488"/>
      <c r="R125" s="488"/>
      <c r="S125" s="488"/>
      <c r="T125" s="488"/>
      <c r="U125" s="488"/>
      <c r="V125" s="488"/>
      <c r="W125" s="488"/>
      <c r="X125" s="354"/>
      <c r="Y125" s="354"/>
      <c r="Z125" s="353"/>
      <c r="AA125" s="353"/>
      <c r="AB125" s="836"/>
      <c r="AC125" s="836"/>
      <c r="AD125" s="836"/>
      <c r="AE125" s="837"/>
    </row>
    <row r="126" spans="1:31" ht="16.5" customHeight="1">
      <c r="A126" s="347">
        <v>441147</v>
      </c>
      <c r="B126" s="347" t="s">
        <v>2938</v>
      </c>
      <c r="C126" s="347" t="s">
        <v>5498</v>
      </c>
      <c r="D126" s="348">
        <v>10435</v>
      </c>
      <c r="E126" s="348" t="s">
        <v>3967</v>
      </c>
      <c r="F126" s="348" t="s">
        <v>2174</v>
      </c>
      <c r="G126" s="348">
        <v>38523</v>
      </c>
      <c r="H126" s="358"/>
      <c r="I126" s="352"/>
      <c r="J126" s="353"/>
      <c r="K126" s="538" t="s">
        <v>69</v>
      </c>
      <c r="L126" s="353"/>
      <c r="M126" s="488"/>
      <c r="N126" s="488"/>
      <c r="O126" s="488"/>
      <c r="P126" s="488"/>
      <c r="Q126" s="488"/>
      <c r="R126" s="488"/>
      <c r="S126" s="488"/>
      <c r="T126" s="488"/>
      <c r="U126" s="488" t="s">
        <v>238</v>
      </c>
      <c r="V126" s="488"/>
      <c r="W126" s="488"/>
      <c r="X126" s="354"/>
      <c r="Y126" s="354"/>
      <c r="Z126" s="353" t="s">
        <v>238</v>
      </c>
      <c r="AA126" s="353"/>
      <c r="AB126" s="836"/>
      <c r="AC126" s="836"/>
      <c r="AD126" s="836"/>
      <c r="AE126" s="837"/>
    </row>
    <row r="127" spans="1:31" ht="16.5" customHeight="1">
      <c r="A127" s="347">
        <v>441147</v>
      </c>
      <c r="B127" s="347" t="s">
        <v>2863</v>
      </c>
      <c r="C127" s="347" t="s">
        <v>5498</v>
      </c>
      <c r="D127" s="348">
        <v>10060</v>
      </c>
      <c r="E127" s="348" t="s">
        <v>3967</v>
      </c>
      <c r="F127" s="348" t="s">
        <v>2174</v>
      </c>
      <c r="G127" s="348">
        <v>38523</v>
      </c>
      <c r="H127" s="358"/>
      <c r="I127" s="352"/>
      <c r="J127" s="353"/>
      <c r="K127" s="539">
        <v>11733</v>
      </c>
      <c r="L127" s="488"/>
      <c r="M127" s="488"/>
      <c r="N127" s="488"/>
      <c r="O127" s="488"/>
      <c r="P127" s="488"/>
      <c r="Q127" s="353"/>
      <c r="R127" s="488"/>
      <c r="S127" s="488"/>
      <c r="T127" s="488"/>
      <c r="U127" s="488" t="s">
        <v>238</v>
      </c>
      <c r="V127" s="488"/>
      <c r="W127" s="488"/>
      <c r="X127" s="353"/>
      <c r="Y127" s="354"/>
      <c r="Z127" s="353" t="s">
        <v>238</v>
      </c>
      <c r="AA127" s="353"/>
      <c r="AB127" s="836"/>
      <c r="AC127" s="836"/>
      <c r="AD127" s="836"/>
      <c r="AE127" s="838"/>
    </row>
    <row r="128" spans="1:31" ht="16.5" customHeight="1">
      <c r="A128" s="347">
        <v>9493479</v>
      </c>
      <c r="B128" s="347" t="s">
        <v>3468</v>
      </c>
      <c r="C128" s="347" t="s">
        <v>5499</v>
      </c>
      <c r="D128" s="348">
        <v>14447</v>
      </c>
      <c r="E128" s="348" t="s">
        <v>2856</v>
      </c>
      <c r="F128" s="348" t="s">
        <v>2046</v>
      </c>
      <c r="G128" s="348">
        <v>40151</v>
      </c>
      <c r="H128" s="358"/>
      <c r="I128" s="352"/>
      <c r="J128" s="353"/>
      <c r="K128" s="538">
        <v>25001.4</v>
      </c>
      <c r="L128" s="488"/>
      <c r="M128" s="488"/>
      <c r="N128" s="488"/>
      <c r="O128" s="488"/>
      <c r="P128" s="488"/>
      <c r="Q128" s="488"/>
      <c r="R128" s="488"/>
      <c r="S128" s="488"/>
      <c r="T128" s="488"/>
      <c r="U128" s="488" t="s">
        <v>238</v>
      </c>
      <c r="V128" s="488"/>
      <c r="W128" s="488"/>
      <c r="X128" s="354"/>
      <c r="Y128" s="354"/>
      <c r="Z128" s="353"/>
      <c r="AA128" s="353"/>
      <c r="AB128" s="836"/>
      <c r="AC128" s="836"/>
      <c r="AD128" s="836"/>
      <c r="AE128" s="838"/>
    </row>
    <row r="129" spans="1:31" ht="16.5" customHeight="1">
      <c r="A129" s="347">
        <v>8132102</v>
      </c>
      <c r="B129" s="347" t="s">
        <v>4826</v>
      </c>
      <c r="C129" s="347" t="s">
        <v>4827</v>
      </c>
      <c r="D129" s="348">
        <v>15175</v>
      </c>
      <c r="E129" s="348" t="s">
        <v>3205</v>
      </c>
      <c r="F129" s="348" t="s">
        <v>2106</v>
      </c>
      <c r="G129" s="348">
        <v>37868</v>
      </c>
      <c r="H129" s="358"/>
      <c r="I129" s="352"/>
      <c r="J129" s="353"/>
      <c r="K129" s="538">
        <v>1000000</v>
      </c>
      <c r="L129" s="488" t="s">
        <v>238</v>
      </c>
      <c r="M129" s="488"/>
      <c r="N129" s="488"/>
      <c r="O129" s="488"/>
      <c r="P129" s="488"/>
      <c r="Q129" s="488"/>
      <c r="R129" s="488"/>
      <c r="S129" s="488"/>
      <c r="T129" s="488"/>
      <c r="U129" s="488"/>
      <c r="V129" s="488"/>
      <c r="W129" s="488"/>
      <c r="X129" s="354"/>
      <c r="Y129" s="354"/>
      <c r="Z129" s="353"/>
      <c r="AA129" s="353" t="s">
        <v>5500</v>
      </c>
      <c r="AB129" s="836" t="s">
        <v>5501</v>
      </c>
      <c r="AC129" s="836"/>
      <c r="AD129" s="836"/>
      <c r="AE129" s="838"/>
    </row>
    <row r="130" spans="1:31" ht="16.5" customHeight="1">
      <c r="A130" s="347">
        <v>1044601</v>
      </c>
      <c r="B130" s="347" t="s">
        <v>2733</v>
      </c>
      <c r="C130" s="347" t="s">
        <v>4631</v>
      </c>
      <c r="D130" s="348">
        <v>13825</v>
      </c>
      <c r="E130" s="348" t="s">
        <v>4657</v>
      </c>
      <c r="F130" s="348" t="s">
        <v>2069</v>
      </c>
      <c r="G130" s="348">
        <v>36130</v>
      </c>
      <c r="H130" s="358"/>
      <c r="I130" s="352"/>
      <c r="J130" s="353"/>
      <c r="K130" s="538" t="s">
        <v>69</v>
      </c>
      <c r="L130" s="488"/>
      <c r="M130" s="488"/>
      <c r="N130" s="488"/>
      <c r="O130" s="488"/>
      <c r="P130" s="488"/>
      <c r="Q130" s="488"/>
      <c r="R130" s="488"/>
      <c r="S130" s="488"/>
      <c r="T130" s="488"/>
      <c r="U130" s="488" t="s">
        <v>238</v>
      </c>
      <c r="V130" s="488"/>
      <c r="W130" s="488"/>
      <c r="X130" s="354"/>
      <c r="Y130" s="354"/>
      <c r="Z130" s="353" t="s">
        <v>238</v>
      </c>
      <c r="AA130" s="353"/>
      <c r="AB130" s="836"/>
      <c r="AC130" s="836"/>
      <c r="AD130" s="836"/>
      <c r="AE130" s="838"/>
    </row>
    <row r="131" spans="1:31" ht="16.5" customHeight="1">
      <c r="A131" s="347">
        <v>1044601</v>
      </c>
      <c r="B131" s="347" t="s">
        <v>2982</v>
      </c>
      <c r="C131" s="347" t="s">
        <v>4631</v>
      </c>
      <c r="D131" s="348">
        <v>10579</v>
      </c>
      <c r="E131" s="347" t="s">
        <v>4657</v>
      </c>
      <c r="F131" s="347" t="s">
        <v>2069</v>
      </c>
      <c r="G131" s="348">
        <v>36130</v>
      </c>
      <c r="H131" s="358"/>
      <c r="I131" s="352"/>
      <c r="J131" s="353"/>
      <c r="K131" s="538">
        <v>10105.74</v>
      </c>
      <c r="L131" s="353"/>
      <c r="M131" s="488"/>
      <c r="N131" s="488"/>
      <c r="O131" s="488"/>
      <c r="P131" s="488"/>
      <c r="Q131" s="488"/>
      <c r="R131" s="488"/>
      <c r="S131" s="488"/>
      <c r="T131" s="488"/>
      <c r="U131" s="488" t="s">
        <v>238</v>
      </c>
      <c r="V131" s="488"/>
      <c r="W131" s="353"/>
      <c r="X131" s="354"/>
      <c r="Y131" s="354"/>
      <c r="Z131" s="353" t="s">
        <v>238</v>
      </c>
      <c r="AA131" s="353" t="s">
        <v>5502</v>
      </c>
      <c r="AB131" s="836"/>
      <c r="AC131" s="836"/>
      <c r="AD131" s="836"/>
      <c r="AE131" s="837"/>
    </row>
    <row r="132" spans="1:31" ht="16.5" customHeight="1">
      <c r="A132" s="347">
        <v>519983</v>
      </c>
      <c r="B132" s="347" t="s">
        <v>3431</v>
      </c>
      <c r="C132" s="347" t="s">
        <v>5503</v>
      </c>
      <c r="D132" s="348">
        <v>9955</v>
      </c>
      <c r="E132" s="347" t="s">
        <v>4312</v>
      </c>
      <c r="F132" s="347" t="s">
        <v>2081</v>
      </c>
      <c r="G132" s="348">
        <v>43649</v>
      </c>
      <c r="H132" s="358"/>
      <c r="I132" s="352"/>
      <c r="J132" s="353" t="s">
        <v>238</v>
      </c>
      <c r="K132" s="538" t="s">
        <v>69</v>
      </c>
      <c r="L132" s="353"/>
      <c r="M132" s="488"/>
      <c r="N132" s="488"/>
      <c r="O132" s="488"/>
      <c r="P132" s="488"/>
      <c r="Q132" s="488"/>
      <c r="R132" s="488"/>
      <c r="S132" s="488"/>
      <c r="T132" s="488"/>
      <c r="U132" s="488" t="s">
        <v>238</v>
      </c>
      <c r="V132" s="488"/>
      <c r="W132" s="353"/>
      <c r="X132" s="354"/>
      <c r="Y132" s="354"/>
      <c r="Z132" s="353" t="s">
        <v>238</v>
      </c>
      <c r="AA132" s="353"/>
      <c r="AB132" s="836"/>
      <c r="AC132" s="836"/>
      <c r="AD132" s="836"/>
      <c r="AE132" s="837"/>
    </row>
    <row r="133" spans="1:31" ht="16.5" customHeight="1">
      <c r="A133" s="347">
        <v>519983</v>
      </c>
      <c r="B133" s="347" t="s">
        <v>2541</v>
      </c>
      <c r="C133" s="347" t="s">
        <v>5503</v>
      </c>
      <c r="D133" s="348">
        <v>9742</v>
      </c>
      <c r="E133" s="348" t="s">
        <v>4312</v>
      </c>
      <c r="F133" s="348" t="s">
        <v>2081</v>
      </c>
      <c r="G133" s="348" t="s">
        <v>5504</v>
      </c>
      <c r="H133" s="358"/>
      <c r="I133" s="352"/>
      <c r="J133" s="353" t="s">
        <v>238</v>
      </c>
      <c r="K133" s="538">
        <v>23041.5</v>
      </c>
      <c r="L133" s="488"/>
      <c r="M133" s="488"/>
      <c r="N133" s="488"/>
      <c r="O133" s="488"/>
      <c r="P133" s="488"/>
      <c r="Q133" s="488"/>
      <c r="R133" s="488"/>
      <c r="S133" s="488"/>
      <c r="T133" s="488"/>
      <c r="U133" s="488" t="s">
        <v>238</v>
      </c>
      <c r="V133" s="488"/>
      <c r="W133" s="488"/>
      <c r="X133" s="354"/>
      <c r="Y133" s="354"/>
      <c r="Z133" s="353" t="s">
        <v>238</v>
      </c>
      <c r="AA133" s="353" t="s">
        <v>5505</v>
      </c>
      <c r="AB133" s="836"/>
      <c r="AC133" s="836"/>
      <c r="AD133" s="836"/>
      <c r="AE133" s="838"/>
    </row>
    <row r="134" spans="1:31" ht="16.5" customHeight="1">
      <c r="A134" s="347">
        <v>4861894</v>
      </c>
      <c r="B134" s="347" t="s">
        <v>2593</v>
      </c>
      <c r="C134" s="347" t="s">
        <v>5506</v>
      </c>
      <c r="D134" s="348">
        <v>11864</v>
      </c>
      <c r="E134" s="348" t="s">
        <v>3371</v>
      </c>
      <c r="F134" s="348" t="s">
        <v>2174</v>
      </c>
      <c r="G134" s="348">
        <v>39955</v>
      </c>
      <c r="H134" s="358" t="s">
        <v>238</v>
      </c>
      <c r="I134" s="352"/>
      <c r="J134" s="353"/>
      <c r="K134" s="538" t="s">
        <v>69</v>
      </c>
      <c r="L134" s="488"/>
      <c r="M134" s="488"/>
      <c r="N134" s="488"/>
      <c r="O134" s="488"/>
      <c r="P134" s="488"/>
      <c r="Q134" s="488"/>
      <c r="R134" s="488"/>
      <c r="S134" s="488"/>
      <c r="T134" s="488"/>
      <c r="U134" s="488" t="s">
        <v>238</v>
      </c>
      <c r="V134" s="488"/>
      <c r="W134" s="488"/>
      <c r="X134" s="354"/>
      <c r="Y134" s="354"/>
      <c r="Z134" s="353" t="s">
        <v>238</v>
      </c>
      <c r="AA134" s="353"/>
      <c r="AB134" s="836"/>
      <c r="AC134" s="836"/>
      <c r="AD134" s="836"/>
      <c r="AE134" s="838"/>
    </row>
    <row r="135" spans="1:31" ht="16.5" customHeight="1">
      <c r="A135" s="347">
        <v>4861894</v>
      </c>
      <c r="B135" s="347" t="s">
        <v>3783</v>
      </c>
      <c r="C135" s="347" t="s">
        <v>5506</v>
      </c>
      <c r="D135" s="348">
        <v>11971</v>
      </c>
      <c r="E135" s="348" t="s">
        <v>3371</v>
      </c>
      <c r="F135" s="348" t="s">
        <v>2174</v>
      </c>
      <c r="G135" s="348">
        <v>39955</v>
      </c>
      <c r="H135" s="358"/>
      <c r="I135" s="352"/>
      <c r="J135" s="353"/>
      <c r="K135" s="538">
        <v>19729.599999999999</v>
      </c>
      <c r="L135" s="488"/>
      <c r="M135" s="488"/>
      <c r="N135" s="488"/>
      <c r="O135" s="488"/>
      <c r="P135" s="488"/>
      <c r="Q135" s="488"/>
      <c r="R135" s="488"/>
      <c r="S135" s="488"/>
      <c r="T135" s="488"/>
      <c r="U135" s="488" t="s">
        <v>238</v>
      </c>
      <c r="V135" s="488"/>
      <c r="W135" s="488"/>
      <c r="X135" s="354"/>
      <c r="Y135" s="354"/>
      <c r="Z135" s="353" t="s">
        <v>238</v>
      </c>
      <c r="AA135" s="353" t="s">
        <v>5507</v>
      </c>
      <c r="AB135" s="836"/>
      <c r="AC135" s="836"/>
      <c r="AD135" s="836"/>
      <c r="AE135" s="838"/>
    </row>
    <row r="136" spans="1:31" ht="16.5" customHeight="1">
      <c r="A136" s="347">
        <v>23797624</v>
      </c>
      <c r="B136" s="347" t="s">
        <v>3134</v>
      </c>
      <c r="C136" s="347" t="s">
        <v>5508</v>
      </c>
      <c r="D136" s="348">
        <v>11657</v>
      </c>
      <c r="E136" s="348" t="s">
        <v>5509</v>
      </c>
      <c r="F136" s="348" t="s">
        <v>2089</v>
      </c>
      <c r="G136" s="348">
        <v>40877</v>
      </c>
      <c r="H136" s="358"/>
      <c r="I136" s="352"/>
      <c r="J136" s="353"/>
      <c r="K136" s="538">
        <v>21919.5</v>
      </c>
      <c r="L136" s="488"/>
      <c r="M136" s="353"/>
      <c r="N136" s="488"/>
      <c r="O136" s="488"/>
      <c r="P136" s="488"/>
      <c r="Q136" s="488"/>
      <c r="R136" s="488"/>
      <c r="S136" s="488"/>
      <c r="T136" s="488"/>
      <c r="U136" s="488" t="s">
        <v>238</v>
      </c>
      <c r="V136" s="488"/>
      <c r="W136" s="488"/>
      <c r="X136" s="353"/>
      <c r="Y136" s="354"/>
      <c r="Z136" s="353"/>
      <c r="AA136" s="353" t="s">
        <v>5510</v>
      </c>
      <c r="AB136" s="836"/>
      <c r="AC136" s="836"/>
      <c r="AD136" s="836"/>
      <c r="AE136" s="837"/>
    </row>
    <row r="137" spans="1:31" ht="16.5" customHeight="1">
      <c r="A137" s="347">
        <v>276998</v>
      </c>
      <c r="B137" s="347" t="s">
        <v>3663</v>
      </c>
      <c r="C137" s="347" t="s">
        <v>5511</v>
      </c>
      <c r="D137" s="348">
        <v>6553</v>
      </c>
      <c r="E137" s="348" t="s">
        <v>5512</v>
      </c>
      <c r="F137" s="348" t="s">
        <v>2059</v>
      </c>
      <c r="G137" s="348">
        <v>36943</v>
      </c>
      <c r="H137" s="358" t="s">
        <v>238</v>
      </c>
      <c r="I137" s="352"/>
      <c r="J137" s="353"/>
      <c r="K137" s="538" t="s">
        <v>69</v>
      </c>
      <c r="L137" s="488"/>
      <c r="M137" s="353"/>
      <c r="N137" s="488"/>
      <c r="O137" s="488"/>
      <c r="P137" s="488"/>
      <c r="Q137" s="488"/>
      <c r="R137" s="488"/>
      <c r="S137" s="488"/>
      <c r="T137" s="488"/>
      <c r="U137" s="488" t="s">
        <v>238</v>
      </c>
      <c r="V137" s="488"/>
      <c r="W137" s="488"/>
      <c r="X137" s="353"/>
      <c r="Y137" s="354"/>
      <c r="Z137" s="353" t="s">
        <v>238</v>
      </c>
      <c r="AA137" s="353"/>
      <c r="AB137" s="836"/>
      <c r="AC137" s="836"/>
      <c r="AD137" s="836"/>
      <c r="AE137" s="837"/>
    </row>
    <row r="138" spans="1:31" ht="16.5" customHeight="1">
      <c r="A138" s="347">
        <v>276998</v>
      </c>
      <c r="B138" s="347" t="s">
        <v>3453</v>
      </c>
      <c r="C138" s="347" t="s">
        <v>5511</v>
      </c>
      <c r="D138" s="348">
        <v>8694</v>
      </c>
      <c r="E138" s="348" t="s">
        <v>5512</v>
      </c>
      <c r="F138" s="348" t="s">
        <v>2059</v>
      </c>
      <c r="G138" s="348">
        <v>36943</v>
      </c>
      <c r="H138" s="358" t="s">
        <v>238</v>
      </c>
      <c r="I138" s="352"/>
      <c r="J138" s="353"/>
      <c r="K138" s="538">
        <v>19609.3</v>
      </c>
      <c r="L138" s="488"/>
      <c r="M138" s="353"/>
      <c r="N138" s="488"/>
      <c r="O138" s="488"/>
      <c r="P138" s="488"/>
      <c r="Q138" s="488"/>
      <c r="R138" s="488"/>
      <c r="S138" s="488"/>
      <c r="T138" s="488"/>
      <c r="U138" s="488" t="s">
        <v>238</v>
      </c>
      <c r="V138" s="488"/>
      <c r="W138" s="488"/>
      <c r="X138" s="353"/>
      <c r="Y138" s="354"/>
      <c r="Z138" s="353" t="s">
        <v>238</v>
      </c>
      <c r="AA138" s="353"/>
      <c r="AB138" s="836"/>
      <c r="AC138" s="836"/>
      <c r="AD138" s="836"/>
      <c r="AE138" s="837"/>
    </row>
    <row r="139" spans="1:31" ht="16.5" customHeight="1">
      <c r="A139" s="347">
        <v>35288372</v>
      </c>
      <c r="B139" s="347" t="s">
        <v>4502</v>
      </c>
      <c r="C139" s="347" t="s">
        <v>5513</v>
      </c>
      <c r="D139" s="348">
        <v>10677</v>
      </c>
      <c r="E139" s="348" t="s">
        <v>5514</v>
      </c>
      <c r="F139" s="348" t="s">
        <v>2162</v>
      </c>
      <c r="G139" s="348">
        <v>40618</v>
      </c>
      <c r="H139" s="358"/>
      <c r="I139" s="352"/>
      <c r="J139" s="353"/>
      <c r="K139" s="538">
        <v>34436.5</v>
      </c>
      <c r="L139" s="488"/>
      <c r="M139" s="488"/>
      <c r="N139" s="488"/>
      <c r="O139" s="488"/>
      <c r="P139" s="488"/>
      <c r="Q139" s="488"/>
      <c r="R139" s="488"/>
      <c r="S139" s="488"/>
      <c r="T139" s="488"/>
      <c r="U139" s="488" t="s">
        <v>238</v>
      </c>
      <c r="V139" s="488"/>
      <c r="W139" s="488"/>
      <c r="X139" s="354"/>
      <c r="Y139" s="354"/>
      <c r="Z139" s="353"/>
      <c r="AA139" s="353" t="s">
        <v>5515</v>
      </c>
      <c r="AB139" s="836"/>
      <c r="AC139" s="836"/>
      <c r="AD139" s="836"/>
      <c r="AE139" s="837"/>
    </row>
    <row r="140" spans="1:31" ht="16.5" customHeight="1">
      <c r="A140" s="347">
        <v>23606742</v>
      </c>
      <c r="B140" s="347" t="s">
        <v>3400</v>
      </c>
      <c r="C140" s="347" t="s">
        <v>5516</v>
      </c>
      <c r="D140" s="348"/>
      <c r="E140" s="348" t="s">
        <v>5517</v>
      </c>
      <c r="F140" s="348" t="s">
        <v>4512</v>
      </c>
      <c r="G140" s="348">
        <v>43691</v>
      </c>
      <c r="H140" s="358" t="s">
        <v>238</v>
      </c>
      <c r="I140" s="352"/>
      <c r="J140" s="353"/>
      <c r="K140" s="538">
        <v>9999</v>
      </c>
      <c r="L140" s="488"/>
      <c r="M140" s="488"/>
      <c r="N140" s="488"/>
      <c r="O140" s="488"/>
      <c r="P140" s="488"/>
      <c r="Q140" s="488"/>
      <c r="R140" s="488"/>
      <c r="S140" s="488"/>
      <c r="T140" s="488"/>
      <c r="U140" s="488"/>
      <c r="V140" s="488"/>
      <c r="W140" s="488"/>
      <c r="X140" s="354"/>
      <c r="Y140" s="354"/>
      <c r="Z140" s="353"/>
      <c r="AA140" s="353"/>
      <c r="AB140" s="836"/>
      <c r="AC140" s="836"/>
      <c r="AD140" s="836"/>
      <c r="AE140" s="837"/>
    </row>
    <row r="141" spans="1:31" ht="16.5" customHeight="1">
      <c r="A141" s="347">
        <v>23606742</v>
      </c>
      <c r="B141" s="347" t="s">
        <v>2541</v>
      </c>
      <c r="C141" s="347" t="s">
        <v>5516</v>
      </c>
      <c r="D141" s="348">
        <v>18233</v>
      </c>
      <c r="E141" s="348" t="s">
        <v>5517</v>
      </c>
      <c r="F141" s="348" t="s">
        <v>4512</v>
      </c>
      <c r="G141" s="348">
        <v>43691</v>
      </c>
      <c r="H141" s="358" t="s">
        <v>238</v>
      </c>
      <c r="I141" s="352"/>
      <c r="J141" s="353"/>
      <c r="K141" s="538">
        <v>9999</v>
      </c>
      <c r="L141" s="488"/>
      <c r="M141" s="353"/>
      <c r="N141" s="488"/>
      <c r="O141" s="488"/>
      <c r="P141" s="488"/>
      <c r="Q141" s="488"/>
      <c r="R141" s="488"/>
      <c r="S141" s="488"/>
      <c r="T141" s="488"/>
      <c r="U141" s="488"/>
      <c r="V141" s="488"/>
      <c r="W141" s="488"/>
      <c r="X141" s="354"/>
      <c r="Y141" s="354"/>
      <c r="Z141" s="353"/>
      <c r="AA141" s="353"/>
      <c r="AB141" s="836"/>
      <c r="AC141" s="836"/>
      <c r="AD141" s="836"/>
      <c r="AE141" s="838"/>
    </row>
    <row r="142" spans="1:31" ht="16.5" customHeight="1">
      <c r="A142" s="347">
        <v>1078971</v>
      </c>
      <c r="B142" s="347" t="s">
        <v>2541</v>
      </c>
      <c r="C142" s="347" t="s">
        <v>2721</v>
      </c>
      <c r="D142" s="348">
        <v>16949</v>
      </c>
      <c r="E142" s="348" t="s">
        <v>2722</v>
      </c>
      <c r="F142" s="348" t="s">
        <v>2240</v>
      </c>
      <c r="G142" s="348">
        <v>43182</v>
      </c>
      <c r="H142" s="358"/>
      <c r="I142" s="352"/>
      <c r="J142" s="353"/>
      <c r="K142" s="538">
        <v>37274.15</v>
      </c>
      <c r="L142" s="353"/>
      <c r="M142" s="488"/>
      <c r="N142" s="488"/>
      <c r="O142" s="488"/>
      <c r="P142" s="488"/>
      <c r="Q142" s="488"/>
      <c r="R142" s="488"/>
      <c r="S142" s="488"/>
      <c r="T142" s="488"/>
      <c r="U142" s="488" t="s">
        <v>238</v>
      </c>
      <c r="V142" s="488"/>
      <c r="W142" s="488"/>
      <c r="X142" s="354"/>
      <c r="Y142" s="354"/>
      <c r="Z142" s="353"/>
      <c r="AA142" s="353" t="s">
        <v>5518</v>
      </c>
      <c r="AB142" s="842"/>
      <c r="AC142" s="836"/>
      <c r="AD142" s="836"/>
      <c r="AE142" s="837"/>
    </row>
    <row r="143" spans="1:31" ht="16.5" customHeight="1">
      <c r="A143" s="347">
        <v>100004758</v>
      </c>
      <c r="B143" s="347" t="s">
        <v>4136</v>
      </c>
      <c r="C143" s="347" t="s">
        <v>4003</v>
      </c>
      <c r="D143" s="361"/>
      <c r="E143" s="361" t="s">
        <v>5519</v>
      </c>
      <c r="F143" s="361" t="s">
        <v>2112</v>
      </c>
      <c r="G143" s="348">
        <v>37057</v>
      </c>
      <c r="H143" s="358" t="s">
        <v>238</v>
      </c>
      <c r="I143" s="352"/>
      <c r="J143" s="353"/>
      <c r="K143" s="538">
        <v>9999</v>
      </c>
      <c r="L143" s="353"/>
      <c r="M143" s="488"/>
      <c r="N143" s="488"/>
      <c r="O143" s="488"/>
      <c r="P143" s="488"/>
      <c r="Q143" s="488"/>
      <c r="R143" s="488"/>
      <c r="S143" s="488"/>
      <c r="T143" s="488"/>
      <c r="U143" s="488"/>
      <c r="V143" s="488"/>
      <c r="W143" s="488"/>
      <c r="X143" s="354"/>
      <c r="Y143" s="354"/>
      <c r="Z143" s="353"/>
      <c r="AA143" s="353"/>
      <c r="AB143" s="836"/>
      <c r="AC143" s="836"/>
      <c r="AD143" s="836"/>
      <c r="AE143" s="837"/>
    </row>
    <row r="144" spans="1:31" ht="16.5" customHeight="1">
      <c r="A144" s="347">
        <v>100005951</v>
      </c>
      <c r="B144" s="347" t="s">
        <v>5520</v>
      </c>
      <c r="C144" s="347" t="s">
        <v>5521</v>
      </c>
      <c r="D144" s="348"/>
      <c r="E144" s="348" t="s">
        <v>2788</v>
      </c>
      <c r="F144" s="348" t="s">
        <v>2465</v>
      </c>
      <c r="G144" s="348">
        <v>36389</v>
      </c>
      <c r="H144" s="358" t="s">
        <v>238</v>
      </c>
      <c r="I144" s="352"/>
      <c r="J144" s="353"/>
      <c r="K144" s="538">
        <v>9999</v>
      </c>
      <c r="L144" s="488"/>
      <c r="M144" s="353"/>
      <c r="N144" s="488"/>
      <c r="O144" s="488"/>
      <c r="P144" s="488"/>
      <c r="Q144" s="488"/>
      <c r="R144" s="488"/>
      <c r="S144" s="488"/>
      <c r="T144" s="488"/>
      <c r="U144" s="488"/>
      <c r="V144" s="488"/>
      <c r="W144" s="488"/>
      <c r="X144" s="353"/>
      <c r="Y144" s="354"/>
      <c r="Z144" s="353"/>
      <c r="AA144" s="353"/>
      <c r="AB144" s="836"/>
      <c r="AC144" s="836"/>
      <c r="AD144" s="836"/>
      <c r="AE144" s="838"/>
    </row>
    <row r="145" spans="1:31" ht="16.5" customHeight="1">
      <c r="A145" s="347">
        <v>28932986</v>
      </c>
      <c r="B145" s="347" t="s">
        <v>5522</v>
      </c>
      <c r="C145" s="347" t="s">
        <v>5523</v>
      </c>
      <c r="D145" s="348"/>
      <c r="E145" s="348" t="s">
        <v>3783</v>
      </c>
      <c r="F145" s="348" t="s">
        <v>2139</v>
      </c>
      <c r="G145" s="348">
        <v>37439</v>
      </c>
      <c r="H145" s="358"/>
      <c r="I145" s="352"/>
      <c r="J145" s="353"/>
      <c r="K145" s="538">
        <v>9999</v>
      </c>
      <c r="L145" s="488"/>
      <c r="M145" s="353"/>
      <c r="N145" s="488"/>
      <c r="O145" s="488"/>
      <c r="P145" s="488"/>
      <c r="Q145" s="488"/>
      <c r="R145" s="488"/>
      <c r="S145" s="488"/>
      <c r="T145" s="488"/>
      <c r="U145" s="488"/>
      <c r="V145" s="488"/>
      <c r="W145" s="488"/>
      <c r="X145" s="353"/>
      <c r="Y145" s="354"/>
      <c r="Z145" s="353"/>
      <c r="AA145" s="353" t="s">
        <v>5524</v>
      </c>
      <c r="AB145" s="836"/>
      <c r="AC145" s="836"/>
      <c r="AD145" s="836"/>
      <c r="AE145" s="838"/>
    </row>
    <row r="146" spans="1:31" ht="16.5" customHeight="1">
      <c r="A146" s="347">
        <v>100005761</v>
      </c>
      <c r="B146" s="347" t="s">
        <v>4210</v>
      </c>
      <c r="C146" s="347" t="s">
        <v>5525</v>
      </c>
      <c r="D146" s="348"/>
      <c r="E146" s="348" t="s">
        <v>5526</v>
      </c>
      <c r="F146" s="348" t="s">
        <v>2081</v>
      </c>
      <c r="G146" s="348">
        <v>37018</v>
      </c>
      <c r="H146" s="358" t="s">
        <v>238</v>
      </c>
      <c r="I146" s="352"/>
      <c r="J146" s="353"/>
      <c r="K146" s="538">
        <v>9999</v>
      </c>
      <c r="L146" s="488"/>
      <c r="M146" s="353"/>
      <c r="N146" s="488"/>
      <c r="O146" s="488"/>
      <c r="P146" s="488"/>
      <c r="Q146" s="488"/>
      <c r="R146" s="488"/>
      <c r="S146" s="488"/>
      <c r="T146" s="488"/>
      <c r="U146" s="488"/>
      <c r="V146" s="488"/>
      <c r="W146" s="488"/>
      <c r="X146" s="354"/>
      <c r="Y146" s="354"/>
      <c r="Z146" s="353"/>
      <c r="AA146" s="353"/>
      <c r="AB146" s="836"/>
      <c r="AC146" s="836"/>
      <c r="AD146" s="836"/>
      <c r="AE146" s="837"/>
    </row>
    <row r="147" spans="1:31" ht="16.5" customHeight="1">
      <c r="A147" s="347">
        <v>4171906</v>
      </c>
      <c r="B147" s="347" t="s">
        <v>3901</v>
      </c>
      <c r="C147" s="347" t="s">
        <v>5527</v>
      </c>
      <c r="D147" s="348">
        <v>13259</v>
      </c>
      <c r="E147" s="348" t="s">
        <v>5528</v>
      </c>
      <c r="F147" s="348" t="s">
        <v>2081</v>
      </c>
      <c r="G147" s="348">
        <v>39079</v>
      </c>
      <c r="H147" s="358"/>
      <c r="I147" s="352"/>
      <c r="J147" s="353"/>
      <c r="K147" s="538">
        <v>23064.29</v>
      </c>
      <c r="L147" s="488"/>
      <c r="M147" s="353"/>
      <c r="N147" s="488"/>
      <c r="O147" s="488"/>
      <c r="P147" s="488"/>
      <c r="Q147" s="488"/>
      <c r="R147" s="488"/>
      <c r="S147" s="488"/>
      <c r="T147" s="488"/>
      <c r="U147" s="488" t="s">
        <v>238</v>
      </c>
      <c r="V147" s="488"/>
      <c r="W147" s="488"/>
      <c r="X147" s="354"/>
      <c r="Y147" s="354"/>
      <c r="Z147" s="353"/>
      <c r="AA147" s="353" t="s">
        <v>5529</v>
      </c>
      <c r="AB147" s="836"/>
      <c r="AC147" s="836"/>
      <c r="AD147" s="836"/>
      <c r="AE147" s="837"/>
    </row>
    <row r="148" spans="1:31" ht="16.5" customHeight="1">
      <c r="A148" s="347">
        <v>6440648</v>
      </c>
      <c r="B148" s="347" t="s">
        <v>3825</v>
      </c>
      <c r="C148" s="347" t="s">
        <v>2653</v>
      </c>
      <c r="D148" s="348">
        <v>9238</v>
      </c>
      <c r="E148" s="348" t="s">
        <v>2853</v>
      </c>
      <c r="F148" s="348" t="s">
        <v>2077</v>
      </c>
      <c r="G148" s="348">
        <v>38124</v>
      </c>
      <c r="H148" s="358"/>
      <c r="I148" s="352"/>
      <c r="J148" s="353"/>
      <c r="K148" s="538">
        <v>9999</v>
      </c>
      <c r="L148" s="488"/>
      <c r="M148" s="353"/>
      <c r="N148" s="488"/>
      <c r="O148" s="488"/>
      <c r="P148" s="488"/>
      <c r="Q148" s="488"/>
      <c r="R148" s="488"/>
      <c r="S148" s="488"/>
      <c r="T148" s="488"/>
      <c r="U148" s="488"/>
      <c r="V148" s="488"/>
      <c r="W148" s="488"/>
      <c r="X148" s="354"/>
      <c r="Y148" s="354"/>
      <c r="Z148" s="353" t="s">
        <v>238</v>
      </c>
      <c r="AA148" s="353"/>
      <c r="AB148" s="836"/>
      <c r="AC148" s="836"/>
      <c r="AD148" s="836"/>
      <c r="AE148" s="837"/>
    </row>
    <row r="149" spans="1:31" ht="16.5" customHeight="1">
      <c r="A149" s="347">
        <v>6440648</v>
      </c>
      <c r="B149" s="347" t="s">
        <v>5530</v>
      </c>
      <c r="C149" s="347" t="s">
        <v>2653</v>
      </c>
      <c r="D149" s="348">
        <v>9238</v>
      </c>
      <c r="E149" s="348" t="s">
        <v>2853</v>
      </c>
      <c r="F149" s="348" t="s">
        <v>2077</v>
      </c>
      <c r="G149" s="348">
        <v>38124</v>
      </c>
      <c r="H149" s="358"/>
      <c r="I149" s="352"/>
      <c r="J149" s="353"/>
      <c r="K149" s="538">
        <v>9999</v>
      </c>
      <c r="L149" s="488"/>
      <c r="M149" s="488"/>
      <c r="N149" s="488"/>
      <c r="O149" s="488"/>
      <c r="P149" s="488"/>
      <c r="Q149" s="488"/>
      <c r="R149" s="488"/>
      <c r="S149" s="488"/>
      <c r="T149" s="488"/>
      <c r="U149" s="488"/>
      <c r="V149" s="488"/>
      <c r="W149" s="488"/>
      <c r="X149" s="354"/>
      <c r="Y149" s="354"/>
      <c r="Z149" s="353" t="s">
        <v>238</v>
      </c>
      <c r="AA149" s="353"/>
      <c r="AB149" s="836"/>
      <c r="AC149" s="836"/>
      <c r="AD149" s="836"/>
      <c r="AE149" s="838"/>
    </row>
    <row r="150" spans="1:31" ht="16.5" customHeight="1">
      <c r="A150" s="347">
        <v>100004512</v>
      </c>
      <c r="B150" s="347" t="s">
        <v>2511</v>
      </c>
      <c r="C150" s="347" t="s">
        <v>5531</v>
      </c>
      <c r="D150" s="348">
        <v>4447</v>
      </c>
      <c r="E150" s="348" t="s">
        <v>4551</v>
      </c>
      <c r="F150" s="348" t="s">
        <v>2081</v>
      </c>
      <c r="G150" s="348">
        <v>42978</v>
      </c>
      <c r="H150" s="358" t="s">
        <v>238</v>
      </c>
      <c r="I150" s="352"/>
      <c r="J150" s="353"/>
      <c r="K150" s="538">
        <v>9999</v>
      </c>
      <c r="L150" s="353"/>
      <c r="M150" s="488"/>
      <c r="N150" s="488"/>
      <c r="O150" s="488"/>
      <c r="P150" s="488"/>
      <c r="Q150" s="488"/>
      <c r="R150" s="488"/>
      <c r="S150" s="488"/>
      <c r="T150" s="488"/>
      <c r="U150" s="488"/>
      <c r="V150" s="488"/>
      <c r="W150" s="488"/>
      <c r="X150" s="354"/>
      <c r="Y150" s="354"/>
      <c r="Z150" s="353"/>
      <c r="AA150" s="353"/>
      <c r="AB150" s="836"/>
      <c r="AC150" s="836"/>
      <c r="AD150" s="836"/>
      <c r="AE150" s="837"/>
    </row>
    <row r="151" spans="1:31" ht="16.5" customHeight="1">
      <c r="A151" s="347">
        <v>30392104</v>
      </c>
      <c r="B151" s="347" t="s">
        <v>3103</v>
      </c>
      <c r="C151" s="347" t="s">
        <v>5532</v>
      </c>
      <c r="D151" s="348">
        <v>14625</v>
      </c>
      <c r="E151" s="348" t="s">
        <v>4209</v>
      </c>
      <c r="F151" s="348" t="s">
        <v>2201</v>
      </c>
      <c r="G151" s="348">
        <v>41761</v>
      </c>
      <c r="H151" s="358"/>
      <c r="I151" s="352"/>
      <c r="J151" s="353"/>
      <c r="K151" s="538" t="s">
        <v>69</v>
      </c>
      <c r="L151" s="353"/>
      <c r="M151" s="488"/>
      <c r="N151" s="488"/>
      <c r="O151" s="488"/>
      <c r="P151" s="488"/>
      <c r="Q151" s="488"/>
      <c r="R151" s="488"/>
      <c r="S151" s="488"/>
      <c r="T151" s="488"/>
      <c r="U151" s="488" t="s">
        <v>238</v>
      </c>
      <c r="V151" s="488"/>
      <c r="W151" s="488"/>
      <c r="X151" s="354"/>
      <c r="Y151" s="354"/>
      <c r="Z151" s="353" t="s">
        <v>238</v>
      </c>
      <c r="AA151" s="353" t="s">
        <v>5533</v>
      </c>
      <c r="AB151" s="836"/>
      <c r="AC151" s="836"/>
      <c r="AD151" s="836"/>
      <c r="AE151" s="837"/>
    </row>
    <row r="152" spans="1:31" ht="16.5" customHeight="1">
      <c r="A152" s="347">
        <v>30392104</v>
      </c>
      <c r="B152" s="347" t="s">
        <v>2733</v>
      </c>
      <c r="C152" s="347" t="s">
        <v>5532</v>
      </c>
      <c r="D152" s="348">
        <v>14979</v>
      </c>
      <c r="E152" s="348" t="s">
        <v>4209</v>
      </c>
      <c r="F152" s="348" t="s">
        <v>2201</v>
      </c>
      <c r="G152" s="348">
        <v>41761</v>
      </c>
      <c r="H152" s="358"/>
      <c r="I152" s="352"/>
      <c r="J152" s="353"/>
      <c r="K152" s="539">
        <v>15085</v>
      </c>
      <c r="L152" s="488"/>
      <c r="M152" s="488"/>
      <c r="N152" s="488"/>
      <c r="O152" s="488"/>
      <c r="P152" s="488"/>
      <c r="Q152" s="353"/>
      <c r="R152" s="488"/>
      <c r="S152" s="488"/>
      <c r="T152" s="488"/>
      <c r="U152" s="488" t="s">
        <v>238</v>
      </c>
      <c r="V152" s="488"/>
      <c r="W152" s="488"/>
      <c r="X152" s="353"/>
      <c r="Y152" s="354"/>
      <c r="Z152" s="353" t="s">
        <v>238</v>
      </c>
      <c r="AA152" s="353"/>
      <c r="AB152" s="836"/>
      <c r="AC152" s="836"/>
      <c r="AD152" s="836"/>
      <c r="AE152" s="837"/>
    </row>
    <row r="153" spans="1:31" ht="16.5" customHeight="1">
      <c r="A153" s="347">
        <v>37021706</v>
      </c>
      <c r="B153" s="347" t="s">
        <v>2669</v>
      </c>
      <c r="C153" s="347" t="s">
        <v>2833</v>
      </c>
      <c r="D153" s="348">
        <v>5097</v>
      </c>
      <c r="E153" s="348" t="s">
        <v>5534</v>
      </c>
      <c r="F153" s="348" t="s">
        <v>2174</v>
      </c>
      <c r="G153" s="348">
        <v>38477</v>
      </c>
      <c r="H153" s="358" t="s">
        <v>238</v>
      </c>
      <c r="I153" s="352"/>
      <c r="J153" s="353"/>
      <c r="K153" s="538">
        <v>27919.4</v>
      </c>
      <c r="L153" s="488"/>
      <c r="M153" s="488"/>
      <c r="N153" s="488"/>
      <c r="O153" s="353"/>
      <c r="P153" s="488"/>
      <c r="Q153" s="488"/>
      <c r="R153" s="488"/>
      <c r="S153" s="488"/>
      <c r="T153" s="488"/>
      <c r="U153" s="488" t="s">
        <v>238</v>
      </c>
      <c r="V153" s="488"/>
      <c r="W153" s="488"/>
      <c r="X153" s="354"/>
      <c r="Y153" s="354"/>
      <c r="Z153" s="353"/>
      <c r="AA153" s="353"/>
      <c r="AB153" s="836"/>
      <c r="AC153" s="836"/>
      <c r="AD153" s="836"/>
      <c r="AE153" s="837"/>
    </row>
    <row r="154" spans="1:31" ht="16.5" customHeight="1">
      <c r="A154" s="347">
        <v>7503071</v>
      </c>
      <c r="B154" s="347" t="s">
        <v>4499</v>
      </c>
      <c r="C154" s="347" t="s">
        <v>2578</v>
      </c>
      <c r="D154" s="348">
        <v>12742</v>
      </c>
      <c r="E154" s="348" t="s">
        <v>2802</v>
      </c>
      <c r="F154" s="348" t="s">
        <v>2176</v>
      </c>
      <c r="G154" s="348">
        <v>37438</v>
      </c>
      <c r="H154" s="358" t="s">
        <v>238</v>
      </c>
      <c r="I154" s="352"/>
      <c r="J154" s="353"/>
      <c r="K154" s="538">
        <v>9999</v>
      </c>
      <c r="L154" s="488"/>
      <c r="M154" s="488"/>
      <c r="N154" s="488"/>
      <c r="O154" s="353"/>
      <c r="P154" s="488"/>
      <c r="Q154" s="488"/>
      <c r="R154" s="488"/>
      <c r="S154" s="488"/>
      <c r="T154" s="488"/>
      <c r="U154" s="488"/>
      <c r="V154" s="488"/>
      <c r="W154" s="488"/>
      <c r="X154" s="354"/>
      <c r="Y154" s="354"/>
      <c r="Z154" s="353" t="s">
        <v>238</v>
      </c>
      <c r="AA154" s="353"/>
      <c r="AB154" s="836"/>
      <c r="AC154" s="836"/>
      <c r="AD154" s="836"/>
      <c r="AE154" s="837"/>
    </row>
    <row r="155" spans="1:31" ht="16.5" customHeight="1">
      <c r="A155" s="347">
        <v>7503071</v>
      </c>
      <c r="B155" s="347" t="s">
        <v>5535</v>
      </c>
      <c r="C155" s="347" t="s">
        <v>2578</v>
      </c>
      <c r="D155" s="348">
        <v>12724</v>
      </c>
      <c r="E155" s="348" t="s">
        <v>2802</v>
      </c>
      <c r="F155" s="348" t="s">
        <v>2176</v>
      </c>
      <c r="G155" s="348">
        <v>37438</v>
      </c>
      <c r="H155" s="358"/>
      <c r="I155" s="352"/>
      <c r="J155" s="353"/>
      <c r="K155" s="538">
        <v>9999</v>
      </c>
      <c r="L155" s="488"/>
      <c r="M155" s="488"/>
      <c r="N155" s="488"/>
      <c r="O155" s="488"/>
      <c r="P155" s="488"/>
      <c r="Q155" s="488"/>
      <c r="R155" s="488"/>
      <c r="S155" s="488"/>
      <c r="T155" s="488"/>
      <c r="U155" s="488"/>
      <c r="V155" s="488"/>
      <c r="W155" s="488"/>
      <c r="X155" s="354"/>
      <c r="Y155" s="354"/>
      <c r="Z155" s="354" t="s">
        <v>238</v>
      </c>
      <c r="AA155" s="354" t="s">
        <v>5536</v>
      </c>
      <c r="AB155" s="836"/>
      <c r="AC155" s="836"/>
      <c r="AD155" s="836"/>
      <c r="AE155" s="838"/>
    </row>
    <row r="156" spans="1:31" ht="16.5" customHeight="1">
      <c r="A156" s="347">
        <v>6136501</v>
      </c>
      <c r="B156" s="347" t="s">
        <v>2511</v>
      </c>
      <c r="C156" s="347" t="s">
        <v>5280</v>
      </c>
      <c r="D156" s="348">
        <v>13787</v>
      </c>
      <c r="E156" s="348" t="s">
        <v>3378</v>
      </c>
      <c r="F156" s="348" t="s">
        <v>2174</v>
      </c>
      <c r="G156" s="348">
        <v>39070</v>
      </c>
      <c r="H156" s="358"/>
      <c r="I156" s="352"/>
      <c r="J156" s="353"/>
      <c r="K156" s="538" t="s">
        <v>69</v>
      </c>
      <c r="L156" s="488"/>
      <c r="M156" s="488"/>
      <c r="N156" s="488"/>
      <c r="O156" s="488"/>
      <c r="P156" s="488"/>
      <c r="Q156" s="488"/>
      <c r="R156" s="488"/>
      <c r="S156" s="488"/>
      <c r="T156" s="488"/>
      <c r="U156" s="488" t="s">
        <v>238</v>
      </c>
      <c r="V156" s="488"/>
      <c r="W156" s="488"/>
      <c r="X156" s="354"/>
      <c r="Y156" s="354"/>
      <c r="Z156" s="354"/>
      <c r="AA156" s="354"/>
      <c r="AB156" s="836"/>
      <c r="AC156" s="836"/>
      <c r="AD156" s="836"/>
      <c r="AE156" s="838"/>
    </row>
    <row r="157" spans="1:31" ht="16.5" customHeight="1">
      <c r="A157" s="347">
        <v>6136501</v>
      </c>
      <c r="B157" s="347" t="s">
        <v>5537</v>
      </c>
      <c r="C157" s="347" t="s">
        <v>5280</v>
      </c>
      <c r="D157" s="348">
        <v>13787</v>
      </c>
      <c r="E157" s="348" t="s">
        <v>3378</v>
      </c>
      <c r="F157" s="348" t="s">
        <v>2174</v>
      </c>
      <c r="G157" s="348">
        <v>39070</v>
      </c>
      <c r="H157" s="358"/>
      <c r="I157" s="352"/>
      <c r="J157" s="353"/>
      <c r="K157" s="538">
        <v>21285.200000000001</v>
      </c>
      <c r="L157" s="353"/>
      <c r="M157" s="488"/>
      <c r="N157" s="488"/>
      <c r="O157" s="488"/>
      <c r="P157" s="488"/>
      <c r="Q157" s="488"/>
      <c r="R157" s="488"/>
      <c r="S157" s="488"/>
      <c r="T157" s="488"/>
      <c r="U157" s="488" t="s">
        <v>238</v>
      </c>
      <c r="V157" s="488"/>
      <c r="W157" s="488"/>
      <c r="X157" s="354"/>
      <c r="Y157" s="354"/>
      <c r="Z157" s="353"/>
      <c r="AA157" s="353"/>
      <c r="AB157" s="836"/>
      <c r="AC157" s="836"/>
      <c r="AD157" s="842"/>
      <c r="AE157" s="837"/>
    </row>
    <row r="158" spans="1:31" ht="16.5" customHeight="1">
      <c r="A158" s="347">
        <v>674614</v>
      </c>
      <c r="B158" s="347" t="s">
        <v>3689</v>
      </c>
      <c r="C158" s="347" t="s">
        <v>3145</v>
      </c>
      <c r="D158" s="348">
        <v>16589</v>
      </c>
      <c r="E158" s="348" t="s">
        <v>3690</v>
      </c>
      <c r="F158" s="348" t="s">
        <v>2077</v>
      </c>
      <c r="G158" s="348">
        <v>43678</v>
      </c>
      <c r="H158" s="358"/>
      <c r="I158" s="352"/>
      <c r="J158" s="353"/>
      <c r="K158" s="538">
        <v>25000</v>
      </c>
      <c r="L158" s="353"/>
      <c r="M158" s="488" t="s">
        <v>238</v>
      </c>
      <c r="N158" s="488"/>
      <c r="O158" s="488"/>
      <c r="P158" s="488"/>
      <c r="Q158" s="488"/>
      <c r="R158" s="488"/>
      <c r="S158" s="488"/>
      <c r="T158" s="488"/>
      <c r="U158" s="488"/>
      <c r="V158" s="488"/>
      <c r="W158" s="488"/>
      <c r="X158" s="354"/>
      <c r="Y158" s="354"/>
      <c r="Z158" s="353"/>
      <c r="AA158" s="353" t="s">
        <v>5538</v>
      </c>
      <c r="AB158" s="836"/>
      <c r="AC158" s="836"/>
      <c r="AD158" s="836"/>
      <c r="AE158" s="837"/>
    </row>
    <row r="159" spans="1:31" ht="16.5" customHeight="1">
      <c r="A159" s="347">
        <v>100174771</v>
      </c>
      <c r="B159" s="347" t="s">
        <v>2898</v>
      </c>
      <c r="C159" s="347" t="s">
        <v>3250</v>
      </c>
      <c r="D159" s="348" t="s">
        <v>5539</v>
      </c>
      <c r="E159" s="348" t="s">
        <v>3060</v>
      </c>
      <c r="F159" s="348" t="s">
        <v>2112</v>
      </c>
      <c r="G159" s="348">
        <v>38518</v>
      </c>
      <c r="H159" s="358" t="s">
        <v>238</v>
      </c>
      <c r="I159" s="352"/>
      <c r="J159" s="353"/>
      <c r="K159" s="538">
        <v>9999</v>
      </c>
      <c r="L159" s="488"/>
      <c r="M159" s="488"/>
      <c r="N159" s="488"/>
      <c r="O159" s="488"/>
      <c r="P159" s="488"/>
      <c r="Q159" s="488"/>
      <c r="R159" s="488"/>
      <c r="S159" s="488"/>
      <c r="T159" s="488"/>
      <c r="U159" s="488"/>
      <c r="V159" s="488"/>
      <c r="W159" s="488"/>
      <c r="X159" s="354"/>
      <c r="Y159" s="354"/>
      <c r="Z159" s="353"/>
      <c r="AA159" s="353"/>
      <c r="AB159" s="836"/>
      <c r="AC159" s="836"/>
      <c r="AD159" s="836"/>
      <c r="AE159" s="838"/>
    </row>
    <row r="160" spans="1:31" ht="16.5" customHeight="1">
      <c r="A160" s="347">
        <v>7026735</v>
      </c>
      <c r="B160" s="347" t="s">
        <v>5540</v>
      </c>
      <c r="C160" s="347" t="s">
        <v>5541</v>
      </c>
      <c r="D160" s="348">
        <v>11393</v>
      </c>
      <c r="E160" s="348" t="s">
        <v>5542</v>
      </c>
      <c r="F160" s="348" t="s">
        <v>2106</v>
      </c>
      <c r="G160" s="348">
        <v>38292</v>
      </c>
      <c r="H160" s="358"/>
      <c r="I160" s="352"/>
      <c r="J160" s="353"/>
      <c r="K160" s="538">
        <v>8113.1</v>
      </c>
      <c r="L160" s="488"/>
      <c r="M160" s="488"/>
      <c r="N160" s="488"/>
      <c r="O160" s="488"/>
      <c r="P160" s="488"/>
      <c r="Q160" s="488"/>
      <c r="R160" s="488"/>
      <c r="S160" s="488"/>
      <c r="T160" s="488"/>
      <c r="U160" s="488" t="s">
        <v>238</v>
      </c>
      <c r="V160" s="488"/>
      <c r="W160" s="488"/>
      <c r="X160" s="354"/>
      <c r="Y160" s="354"/>
      <c r="Z160" s="353"/>
      <c r="AA160" s="353" t="s">
        <v>5543</v>
      </c>
      <c r="AB160" s="836"/>
      <c r="AC160" s="836"/>
      <c r="AD160" s="836"/>
      <c r="AE160" s="838"/>
    </row>
    <row r="161" spans="1:31" ht="16.5" customHeight="1">
      <c r="A161" s="347">
        <v>40327496</v>
      </c>
      <c r="B161" s="347" t="s">
        <v>3901</v>
      </c>
      <c r="C161" s="347" t="s">
        <v>5544</v>
      </c>
      <c r="D161" s="348">
        <v>16253</v>
      </c>
      <c r="E161" s="348" t="s">
        <v>4349</v>
      </c>
      <c r="F161" s="348" t="s">
        <v>2081</v>
      </c>
      <c r="G161" s="348">
        <v>39805</v>
      </c>
      <c r="H161" s="358" t="s">
        <v>238</v>
      </c>
      <c r="I161" s="352"/>
      <c r="J161" s="353"/>
      <c r="K161" s="538">
        <v>13015.8</v>
      </c>
      <c r="L161" s="488"/>
      <c r="M161" s="488"/>
      <c r="N161" s="488"/>
      <c r="O161" s="488"/>
      <c r="P161" s="488"/>
      <c r="Q161" s="488"/>
      <c r="R161" s="488"/>
      <c r="S161" s="488"/>
      <c r="T161" s="488"/>
      <c r="U161" s="488" t="s">
        <v>238</v>
      </c>
      <c r="V161" s="488"/>
      <c r="W161" s="488"/>
      <c r="X161" s="354"/>
      <c r="Y161" s="354"/>
      <c r="Z161" s="353"/>
      <c r="AA161" s="353"/>
      <c r="AB161" s="836"/>
      <c r="AC161" s="836"/>
      <c r="AD161" s="836"/>
      <c r="AE161" s="838"/>
    </row>
    <row r="162" spans="1:31" ht="16.5" customHeight="1">
      <c r="A162" s="347">
        <v>40327496</v>
      </c>
      <c r="B162" s="347" t="s">
        <v>3889</v>
      </c>
      <c r="C162" s="347" t="s">
        <v>2612</v>
      </c>
      <c r="D162" s="348"/>
      <c r="E162" s="348" t="s">
        <v>4349</v>
      </c>
      <c r="F162" s="348" t="s">
        <v>2081</v>
      </c>
      <c r="G162" s="348">
        <v>43678</v>
      </c>
      <c r="H162" s="358"/>
      <c r="I162" s="352"/>
      <c r="J162" s="353"/>
      <c r="K162" s="538">
        <v>9999</v>
      </c>
      <c r="L162" s="488"/>
      <c r="M162" s="488"/>
      <c r="N162" s="488"/>
      <c r="O162" s="488"/>
      <c r="P162" s="488"/>
      <c r="Q162" s="488"/>
      <c r="R162" s="488"/>
      <c r="S162" s="488"/>
      <c r="T162" s="488"/>
      <c r="U162" s="488"/>
      <c r="V162" s="488"/>
      <c r="W162" s="488"/>
      <c r="X162" s="354"/>
      <c r="Y162" s="354"/>
      <c r="Z162" s="353"/>
      <c r="AA162" s="353" t="s">
        <v>5545</v>
      </c>
      <c r="AB162" s="836"/>
      <c r="AC162" s="836"/>
      <c r="AD162" s="836"/>
      <c r="AE162" s="838"/>
    </row>
    <row r="163" spans="1:31" ht="16.5" customHeight="1">
      <c r="A163" s="347">
        <v>1076793</v>
      </c>
      <c r="B163" s="347" t="s">
        <v>5546</v>
      </c>
      <c r="C163" s="347" t="s">
        <v>5547</v>
      </c>
      <c r="D163" s="348">
        <v>18460</v>
      </c>
      <c r="E163" s="348" t="s">
        <v>5548</v>
      </c>
      <c r="F163" s="348" t="s">
        <v>2176</v>
      </c>
      <c r="G163" s="348">
        <v>43146</v>
      </c>
      <c r="H163" s="358"/>
      <c r="I163" s="352"/>
      <c r="J163" s="353"/>
      <c r="K163" s="538">
        <v>8868.6</v>
      </c>
      <c r="L163" s="488" t="s">
        <v>238</v>
      </c>
      <c r="M163" s="488"/>
      <c r="N163" s="488"/>
      <c r="O163" s="488"/>
      <c r="P163" s="488"/>
      <c r="Q163" s="488"/>
      <c r="R163" s="488"/>
      <c r="S163" s="488"/>
      <c r="T163" s="488"/>
      <c r="U163" s="488" t="s">
        <v>238</v>
      </c>
      <c r="V163" s="488"/>
      <c r="W163" s="488"/>
      <c r="X163" s="354"/>
      <c r="Y163" s="354"/>
      <c r="Z163" s="353" t="s">
        <v>238</v>
      </c>
      <c r="AA163" s="353"/>
      <c r="AB163" s="836"/>
      <c r="AC163" s="836"/>
      <c r="AD163" s="836"/>
      <c r="AE163" s="838"/>
    </row>
    <row r="164" spans="1:31" ht="16.5" customHeight="1">
      <c r="A164" s="347">
        <v>1076793</v>
      </c>
      <c r="B164" s="347" t="s">
        <v>5549</v>
      </c>
      <c r="C164" s="347" t="s">
        <v>5550</v>
      </c>
      <c r="D164" s="348">
        <v>19693</v>
      </c>
      <c r="E164" s="348" t="s">
        <v>5548</v>
      </c>
      <c r="F164" s="348" t="s">
        <v>2176</v>
      </c>
      <c r="G164" s="348">
        <v>41772</v>
      </c>
      <c r="H164" s="358"/>
      <c r="I164" s="352"/>
      <c r="J164" s="353"/>
      <c r="K164" s="538">
        <v>9999</v>
      </c>
      <c r="L164" s="488" t="s">
        <v>238</v>
      </c>
      <c r="M164" s="488"/>
      <c r="N164" s="488"/>
      <c r="O164" s="488"/>
      <c r="P164" s="488"/>
      <c r="Q164" s="488"/>
      <c r="R164" s="488"/>
      <c r="S164" s="488"/>
      <c r="T164" s="488"/>
      <c r="U164" s="488"/>
      <c r="V164" s="488"/>
      <c r="W164" s="488"/>
      <c r="X164" s="354"/>
      <c r="Y164" s="354"/>
      <c r="Z164" s="353" t="s">
        <v>238</v>
      </c>
      <c r="AA164" s="353" t="s">
        <v>5551</v>
      </c>
      <c r="AB164" s="836"/>
      <c r="AC164" s="836"/>
      <c r="AD164" s="836"/>
      <c r="AE164" s="838"/>
    </row>
    <row r="165" spans="1:31" ht="16.5" customHeight="1">
      <c r="A165" s="347">
        <v>6365597</v>
      </c>
      <c r="B165" s="347" t="s">
        <v>4210</v>
      </c>
      <c r="C165" s="347" t="s">
        <v>5552</v>
      </c>
      <c r="D165" s="348">
        <v>18401</v>
      </c>
      <c r="E165" s="348" t="s">
        <v>3010</v>
      </c>
      <c r="F165" s="348" t="s">
        <v>2059</v>
      </c>
      <c r="G165" s="348">
        <v>37438</v>
      </c>
      <c r="H165" s="358"/>
      <c r="I165" s="352"/>
      <c r="J165" s="353"/>
      <c r="K165" s="538">
        <v>9999</v>
      </c>
      <c r="L165" s="488"/>
      <c r="M165" s="488"/>
      <c r="N165" s="488"/>
      <c r="O165" s="488"/>
      <c r="P165" s="488"/>
      <c r="Q165" s="488"/>
      <c r="R165" s="488"/>
      <c r="S165" s="488"/>
      <c r="T165" s="488"/>
      <c r="U165" s="488"/>
      <c r="V165" s="488"/>
      <c r="W165" s="488"/>
      <c r="X165" s="354"/>
      <c r="Y165" s="354"/>
      <c r="Z165" s="353" t="s">
        <v>238</v>
      </c>
      <c r="AA165" s="353" t="s">
        <v>5553</v>
      </c>
      <c r="AB165" s="836"/>
      <c r="AC165" s="836"/>
      <c r="AD165" s="836"/>
      <c r="AE165" s="838"/>
    </row>
    <row r="166" spans="1:31" ht="16.5" customHeight="1">
      <c r="A166" s="347">
        <v>6365597</v>
      </c>
      <c r="B166" s="347" t="s">
        <v>2511</v>
      </c>
      <c r="C166" s="347" t="s">
        <v>5552</v>
      </c>
      <c r="D166" s="348">
        <v>18328</v>
      </c>
      <c r="E166" s="348" t="s">
        <v>3010</v>
      </c>
      <c r="F166" s="348" t="s">
        <v>2059</v>
      </c>
      <c r="G166" s="348">
        <v>37438</v>
      </c>
      <c r="H166" s="358"/>
      <c r="I166" s="352"/>
      <c r="J166" s="353"/>
      <c r="K166" s="538">
        <v>9999</v>
      </c>
      <c r="L166" s="488"/>
      <c r="M166" s="488"/>
      <c r="N166" s="488"/>
      <c r="O166" s="353"/>
      <c r="P166" s="488"/>
      <c r="Q166" s="488"/>
      <c r="R166" s="488"/>
      <c r="S166" s="488"/>
      <c r="T166" s="488"/>
      <c r="U166" s="488"/>
      <c r="V166" s="488"/>
      <c r="W166" s="488"/>
      <c r="X166" s="354"/>
      <c r="Y166" s="354"/>
      <c r="Z166" s="353" t="s">
        <v>238</v>
      </c>
      <c r="AA166" s="353"/>
      <c r="AB166" s="836"/>
      <c r="AC166" s="836"/>
      <c r="AD166" s="836"/>
      <c r="AE166" s="838"/>
    </row>
    <row r="167" spans="1:31" ht="16.5" customHeight="1">
      <c r="A167" s="347">
        <v>100005680</v>
      </c>
      <c r="B167" s="347" t="s">
        <v>5554</v>
      </c>
      <c r="C167" s="347" t="s">
        <v>3949</v>
      </c>
      <c r="D167" s="348">
        <v>7957</v>
      </c>
      <c r="E167" s="348" t="s">
        <v>5555</v>
      </c>
      <c r="F167" s="348" t="s">
        <v>2081</v>
      </c>
      <c r="G167" s="348">
        <v>35888</v>
      </c>
      <c r="H167" s="358" t="s">
        <v>238</v>
      </c>
      <c r="I167" s="352"/>
      <c r="J167" s="353"/>
      <c r="K167" s="538">
        <v>9999</v>
      </c>
      <c r="L167" s="488"/>
      <c r="M167" s="488"/>
      <c r="N167" s="488"/>
      <c r="O167" s="488"/>
      <c r="P167" s="488"/>
      <c r="Q167" s="488"/>
      <c r="R167" s="488"/>
      <c r="S167" s="488"/>
      <c r="T167" s="488"/>
      <c r="U167" s="488"/>
      <c r="V167" s="488"/>
      <c r="W167" s="488"/>
      <c r="X167" s="354"/>
      <c r="Y167" s="354"/>
      <c r="Z167" s="353"/>
      <c r="AA167" s="353"/>
      <c r="AB167" s="836"/>
      <c r="AC167" s="836"/>
      <c r="AD167" s="836"/>
      <c r="AE167" s="838"/>
    </row>
    <row r="168" spans="1:31" ht="16.5" customHeight="1">
      <c r="A168" s="347">
        <v>136259</v>
      </c>
      <c r="B168" s="347" t="s">
        <v>5556</v>
      </c>
      <c r="C168" s="347" t="s">
        <v>3645</v>
      </c>
      <c r="D168" s="348">
        <v>10876</v>
      </c>
      <c r="E168" s="348" t="s">
        <v>5557</v>
      </c>
      <c r="F168" s="348" t="s">
        <v>2106</v>
      </c>
      <c r="G168" s="348">
        <v>42440</v>
      </c>
      <c r="H168" s="358"/>
      <c r="I168" s="352"/>
      <c r="J168" s="353"/>
      <c r="K168" s="538">
        <v>9999</v>
      </c>
      <c r="L168" s="488"/>
      <c r="M168" s="488"/>
      <c r="N168" s="488"/>
      <c r="O168" s="488"/>
      <c r="P168" s="488"/>
      <c r="Q168" s="488"/>
      <c r="R168" s="488"/>
      <c r="S168" s="488"/>
      <c r="T168" s="488"/>
      <c r="U168" s="488"/>
      <c r="V168" s="488"/>
      <c r="W168" s="488"/>
      <c r="X168" s="354"/>
      <c r="Y168" s="354"/>
      <c r="Z168" s="353"/>
      <c r="AA168" s="353" t="s">
        <v>5558</v>
      </c>
      <c r="AB168" s="836"/>
      <c r="AC168" s="836"/>
      <c r="AD168" s="836"/>
      <c r="AE168" s="838"/>
    </row>
    <row r="169" spans="1:31" ht="16.5" customHeight="1">
      <c r="A169" s="347">
        <v>27790450</v>
      </c>
      <c r="B169" s="347" t="s">
        <v>2609</v>
      </c>
      <c r="C169" s="347" t="s">
        <v>5559</v>
      </c>
      <c r="D169" s="348">
        <v>14744</v>
      </c>
      <c r="E169" s="348" t="s">
        <v>5560</v>
      </c>
      <c r="F169" s="348" t="s">
        <v>2185</v>
      </c>
      <c r="G169" s="348">
        <v>43654</v>
      </c>
      <c r="H169" s="358"/>
      <c r="I169" s="352"/>
      <c r="J169" s="353" t="s">
        <v>238</v>
      </c>
      <c r="K169" s="538">
        <v>9999</v>
      </c>
      <c r="L169" s="488"/>
      <c r="M169" s="488"/>
      <c r="N169" s="488"/>
      <c r="O169" s="488"/>
      <c r="P169" s="488"/>
      <c r="Q169" s="488"/>
      <c r="R169" s="488" t="s">
        <v>238</v>
      </c>
      <c r="S169" s="488"/>
      <c r="T169" s="488"/>
      <c r="U169" s="488"/>
      <c r="V169" s="488"/>
      <c r="W169" s="488"/>
      <c r="X169" s="354"/>
      <c r="Y169" s="354"/>
      <c r="Z169" s="353" t="s">
        <v>238</v>
      </c>
      <c r="AA169" s="353"/>
      <c r="AB169" s="836"/>
      <c r="AC169" s="836"/>
      <c r="AD169" s="836"/>
      <c r="AE169" s="838"/>
    </row>
    <row r="170" spans="1:31" ht="16.5" customHeight="1">
      <c r="A170" s="347">
        <v>27790450</v>
      </c>
      <c r="B170" s="347" t="s">
        <v>2511</v>
      </c>
      <c r="C170" s="347" t="s">
        <v>5559</v>
      </c>
      <c r="D170" s="348">
        <v>15302</v>
      </c>
      <c r="E170" s="348" t="s">
        <v>5560</v>
      </c>
      <c r="F170" s="348" t="s">
        <v>2185</v>
      </c>
      <c r="G170" s="348">
        <v>38726</v>
      </c>
      <c r="H170" s="358"/>
      <c r="I170" s="352"/>
      <c r="J170" s="353" t="s">
        <v>238</v>
      </c>
      <c r="K170" s="538">
        <v>9999</v>
      </c>
      <c r="L170" s="488"/>
      <c r="M170" s="488"/>
      <c r="N170" s="488"/>
      <c r="O170" s="488"/>
      <c r="P170" s="488"/>
      <c r="Q170" s="488"/>
      <c r="R170" s="488" t="s">
        <v>238</v>
      </c>
      <c r="S170" s="488"/>
      <c r="T170" s="488"/>
      <c r="U170" s="488"/>
      <c r="V170" s="488"/>
      <c r="W170" s="488"/>
      <c r="X170" s="354"/>
      <c r="Y170" s="354"/>
      <c r="Z170" s="353" t="s">
        <v>238</v>
      </c>
      <c r="AA170" s="353" t="s">
        <v>5561</v>
      </c>
      <c r="AB170" s="836"/>
      <c r="AC170" s="836"/>
      <c r="AD170" s="836"/>
      <c r="AE170" s="838"/>
    </row>
    <row r="171" spans="1:31" ht="16.5" customHeight="1">
      <c r="A171" s="347">
        <v>6510</v>
      </c>
      <c r="B171" s="347" t="s">
        <v>5562</v>
      </c>
      <c r="C171" s="347" t="s">
        <v>5563</v>
      </c>
      <c r="D171" s="348">
        <v>12849</v>
      </c>
      <c r="E171" s="348" t="s">
        <v>5564</v>
      </c>
      <c r="F171" s="348" t="s">
        <v>2052</v>
      </c>
      <c r="G171" s="348">
        <v>38883</v>
      </c>
      <c r="H171" s="358"/>
      <c r="I171" s="352"/>
      <c r="J171" s="353"/>
      <c r="K171" s="538" t="s">
        <v>69</v>
      </c>
      <c r="L171" s="488"/>
      <c r="M171" s="488"/>
      <c r="N171" s="488"/>
      <c r="O171" s="488"/>
      <c r="P171" s="488"/>
      <c r="Q171" s="488"/>
      <c r="R171" s="488"/>
      <c r="S171" s="488"/>
      <c r="T171" s="488"/>
      <c r="U171" s="488" t="s">
        <v>238</v>
      </c>
      <c r="V171" s="488"/>
      <c r="W171" s="488"/>
      <c r="X171" s="354"/>
      <c r="Y171" s="354"/>
      <c r="Z171" s="353" t="s">
        <v>238</v>
      </c>
      <c r="AA171" s="353" t="s">
        <v>5565</v>
      </c>
      <c r="AB171" s="836"/>
      <c r="AC171" s="836"/>
      <c r="AD171" s="836"/>
      <c r="AE171" s="838"/>
    </row>
    <row r="172" spans="1:31" ht="16.5" customHeight="1">
      <c r="A172" s="347">
        <v>6510</v>
      </c>
      <c r="B172" s="347" t="s">
        <v>2724</v>
      </c>
      <c r="C172" s="347" t="s">
        <v>5563</v>
      </c>
      <c r="D172" s="348">
        <v>14420</v>
      </c>
      <c r="E172" s="348" t="s">
        <v>5564</v>
      </c>
      <c r="F172" s="348" t="s">
        <v>2052</v>
      </c>
      <c r="G172" s="348">
        <v>38883</v>
      </c>
      <c r="H172" s="358"/>
      <c r="I172" s="352"/>
      <c r="J172" s="353"/>
      <c r="K172" s="538">
        <v>15726</v>
      </c>
      <c r="L172" s="488"/>
      <c r="M172" s="488"/>
      <c r="N172" s="488"/>
      <c r="O172" s="488"/>
      <c r="P172" s="488"/>
      <c r="Q172" s="488"/>
      <c r="R172" s="488"/>
      <c r="S172" s="488"/>
      <c r="T172" s="488"/>
      <c r="U172" s="488" t="s">
        <v>238</v>
      </c>
      <c r="V172" s="488"/>
      <c r="W172" s="488"/>
      <c r="X172" s="354"/>
      <c r="Y172" s="354"/>
      <c r="Z172" s="353" t="s">
        <v>238</v>
      </c>
      <c r="AA172" s="353"/>
      <c r="AB172" s="836"/>
      <c r="AC172" s="836"/>
      <c r="AD172" s="836"/>
      <c r="AE172" s="838"/>
    </row>
    <row r="173" spans="1:31" ht="16.5" customHeight="1">
      <c r="A173" s="347">
        <v>100004518</v>
      </c>
      <c r="B173" s="347" t="s">
        <v>2918</v>
      </c>
      <c r="C173" s="347" t="s">
        <v>2698</v>
      </c>
      <c r="D173" s="348">
        <v>9223</v>
      </c>
      <c r="E173" s="348" t="s">
        <v>5566</v>
      </c>
      <c r="F173" s="348" t="s">
        <v>2176</v>
      </c>
      <c r="G173" s="348">
        <v>38480</v>
      </c>
      <c r="H173" s="358" t="s">
        <v>238</v>
      </c>
      <c r="I173" s="352"/>
      <c r="J173" s="353"/>
      <c r="K173" s="538">
        <v>9999</v>
      </c>
      <c r="L173" s="488"/>
      <c r="M173" s="488"/>
      <c r="N173" s="488"/>
      <c r="O173" s="488"/>
      <c r="P173" s="488"/>
      <c r="Q173" s="488"/>
      <c r="R173" s="488"/>
      <c r="S173" s="488"/>
      <c r="T173" s="488"/>
      <c r="U173" s="488"/>
      <c r="V173" s="488"/>
      <c r="W173" s="488"/>
      <c r="X173" s="354"/>
      <c r="Y173" s="354"/>
      <c r="Z173" s="353"/>
      <c r="AA173" s="353"/>
      <c r="AB173" s="836"/>
      <c r="AC173" s="836"/>
      <c r="AD173" s="836"/>
      <c r="AE173" s="838"/>
    </row>
    <row r="174" spans="1:31" ht="16.5" customHeight="1">
      <c r="A174" s="347">
        <v>40341927</v>
      </c>
      <c r="B174" s="347" t="s">
        <v>2609</v>
      </c>
      <c r="C174" s="347" t="s">
        <v>5567</v>
      </c>
      <c r="D174" s="348">
        <v>8624</v>
      </c>
      <c r="E174" s="348" t="s">
        <v>4006</v>
      </c>
      <c r="F174" s="348" t="s">
        <v>2174</v>
      </c>
      <c r="G174" s="348">
        <v>39871</v>
      </c>
      <c r="H174" s="358"/>
      <c r="I174" s="352"/>
      <c r="J174" s="353"/>
      <c r="K174" s="538" t="s">
        <v>69</v>
      </c>
      <c r="L174" s="488"/>
      <c r="M174" s="488"/>
      <c r="N174" s="488"/>
      <c r="O174" s="488"/>
      <c r="P174" s="488"/>
      <c r="Q174" s="488"/>
      <c r="R174" s="488"/>
      <c r="S174" s="488"/>
      <c r="T174" s="488"/>
      <c r="U174" s="488" t="s">
        <v>238</v>
      </c>
      <c r="V174" s="488"/>
      <c r="W174" s="488"/>
      <c r="X174" s="354"/>
      <c r="Y174" s="354"/>
      <c r="Z174" s="353" t="s">
        <v>238</v>
      </c>
      <c r="AA174" s="353"/>
      <c r="AB174" s="836"/>
      <c r="AC174" s="836"/>
      <c r="AD174" s="836"/>
      <c r="AE174" s="838"/>
    </row>
    <row r="175" spans="1:31" ht="16.5" customHeight="1">
      <c r="A175" s="347">
        <v>40341927</v>
      </c>
      <c r="B175" s="347" t="s">
        <v>5308</v>
      </c>
      <c r="C175" s="347" t="s">
        <v>5567</v>
      </c>
      <c r="D175" s="348">
        <v>8897</v>
      </c>
      <c r="E175" s="348" t="s">
        <v>4006</v>
      </c>
      <c r="F175" s="348" t="s">
        <v>2174</v>
      </c>
      <c r="G175" s="348">
        <v>39871</v>
      </c>
      <c r="H175" s="358"/>
      <c r="I175" s="352"/>
      <c r="J175" s="353"/>
      <c r="K175" s="538">
        <v>18077.599999999999</v>
      </c>
      <c r="L175" s="488"/>
      <c r="M175" s="488"/>
      <c r="N175" s="353"/>
      <c r="O175" s="488"/>
      <c r="P175" s="488"/>
      <c r="Q175" s="488"/>
      <c r="R175" s="488"/>
      <c r="S175" s="488"/>
      <c r="T175" s="488"/>
      <c r="U175" s="488" t="s">
        <v>238</v>
      </c>
      <c r="V175" s="488"/>
      <c r="W175" s="488"/>
      <c r="X175" s="354"/>
      <c r="Y175" s="354"/>
      <c r="Z175" s="353" t="s">
        <v>238</v>
      </c>
      <c r="AA175" s="353"/>
      <c r="AB175" s="836"/>
      <c r="AC175" s="836"/>
      <c r="AD175" s="836"/>
      <c r="AE175" s="837"/>
    </row>
    <row r="176" spans="1:31" ht="16.5" customHeight="1">
      <c r="A176" s="347">
        <v>25890708</v>
      </c>
      <c r="B176" s="347" t="s">
        <v>5568</v>
      </c>
      <c r="C176" s="347" t="s">
        <v>5569</v>
      </c>
      <c r="D176" s="348">
        <v>13570</v>
      </c>
      <c r="E176" s="348" t="s">
        <v>5570</v>
      </c>
      <c r="F176" s="348" t="s">
        <v>2129</v>
      </c>
      <c r="G176" s="348">
        <v>42356</v>
      </c>
      <c r="H176" s="358"/>
      <c r="I176" s="352"/>
      <c r="J176" s="353" t="s">
        <v>238</v>
      </c>
      <c r="K176" s="538">
        <v>9999</v>
      </c>
      <c r="L176" s="488" t="s">
        <v>238</v>
      </c>
      <c r="M176" s="488"/>
      <c r="N176" s="488"/>
      <c r="O176" s="488"/>
      <c r="P176" s="488"/>
      <c r="Q176" s="488"/>
      <c r="R176" s="488"/>
      <c r="S176" s="488"/>
      <c r="T176" s="488"/>
      <c r="U176" s="488"/>
      <c r="V176" s="488"/>
      <c r="W176" s="488"/>
      <c r="X176" s="354"/>
      <c r="Y176" s="354"/>
      <c r="Z176" s="353"/>
      <c r="AA176" s="353" t="s">
        <v>5571</v>
      </c>
      <c r="AB176" s="836" t="s">
        <v>5572</v>
      </c>
      <c r="AC176" s="836"/>
      <c r="AD176" s="836"/>
      <c r="AE176" s="838"/>
    </row>
    <row r="177" spans="1:31" ht="16.5" customHeight="1">
      <c r="A177" s="347">
        <v>36679678</v>
      </c>
      <c r="B177" s="347" t="s">
        <v>3103</v>
      </c>
      <c r="C177" s="347" t="s">
        <v>2749</v>
      </c>
      <c r="D177" s="348">
        <v>6325</v>
      </c>
      <c r="E177" s="348" t="s">
        <v>5573</v>
      </c>
      <c r="F177" s="348" t="s">
        <v>2081</v>
      </c>
      <c r="G177" s="348">
        <v>38169</v>
      </c>
      <c r="H177" s="358" t="s">
        <v>238</v>
      </c>
      <c r="I177" s="352"/>
      <c r="J177" s="353"/>
      <c r="K177" s="538">
        <v>20241.25</v>
      </c>
      <c r="L177" s="488"/>
      <c r="M177" s="488"/>
      <c r="N177" s="488"/>
      <c r="O177" s="488"/>
      <c r="P177" s="488"/>
      <c r="Q177" s="488"/>
      <c r="R177" s="488"/>
      <c r="S177" s="488"/>
      <c r="T177" s="488"/>
      <c r="U177" s="488" t="s">
        <v>238</v>
      </c>
      <c r="V177" s="488"/>
      <c r="W177" s="488"/>
      <c r="X177" s="354"/>
      <c r="Y177" s="354"/>
      <c r="Z177" s="353"/>
      <c r="AA177" s="353"/>
      <c r="AB177" s="836"/>
      <c r="AC177" s="836"/>
      <c r="AD177" s="836"/>
      <c r="AE177" s="838"/>
    </row>
    <row r="178" spans="1:31" ht="16.5" customHeight="1">
      <c r="A178" s="347">
        <v>100005867</v>
      </c>
      <c r="B178" s="347" t="s">
        <v>3504</v>
      </c>
      <c r="C178" s="347" t="s">
        <v>5574</v>
      </c>
      <c r="D178" s="348"/>
      <c r="E178" s="348" t="s">
        <v>5575</v>
      </c>
      <c r="F178" s="348" t="s">
        <v>2144</v>
      </c>
      <c r="G178" s="348">
        <v>42550</v>
      </c>
      <c r="H178" s="358" t="s">
        <v>238</v>
      </c>
      <c r="I178" s="352"/>
      <c r="J178" s="353"/>
      <c r="K178" s="539">
        <v>9999</v>
      </c>
      <c r="L178" s="488"/>
      <c r="M178" s="353"/>
      <c r="N178" s="488"/>
      <c r="O178" s="488"/>
      <c r="P178" s="488"/>
      <c r="Q178" s="488"/>
      <c r="R178" s="488"/>
      <c r="S178" s="488"/>
      <c r="T178" s="488"/>
      <c r="U178" s="488"/>
      <c r="V178" s="488"/>
      <c r="W178" s="488"/>
      <c r="X178" s="353"/>
      <c r="Y178" s="355"/>
      <c r="Z178" s="353"/>
      <c r="AA178" s="353"/>
      <c r="AB178" s="836"/>
      <c r="AC178" s="836"/>
      <c r="AD178" s="836"/>
      <c r="AE178" s="837"/>
    </row>
    <row r="179" spans="1:31" ht="16.5" customHeight="1">
      <c r="A179" s="347">
        <v>363705</v>
      </c>
      <c r="B179" s="347" t="s">
        <v>3002</v>
      </c>
      <c r="C179" s="347" t="s">
        <v>5576</v>
      </c>
      <c r="D179" s="348"/>
      <c r="E179" s="348" t="s">
        <v>5577</v>
      </c>
      <c r="F179" s="348" t="s">
        <v>2072</v>
      </c>
      <c r="G179" s="348">
        <v>37435</v>
      </c>
      <c r="H179" s="358"/>
      <c r="I179" s="352"/>
      <c r="J179" s="353"/>
      <c r="K179" s="539">
        <v>9999</v>
      </c>
      <c r="L179" s="488"/>
      <c r="M179" s="353"/>
      <c r="N179" s="488"/>
      <c r="O179" s="488"/>
      <c r="P179" s="488"/>
      <c r="Q179" s="488"/>
      <c r="R179" s="488"/>
      <c r="S179" s="488"/>
      <c r="T179" s="488"/>
      <c r="U179" s="488"/>
      <c r="V179" s="488"/>
      <c r="W179" s="488"/>
      <c r="X179" s="353"/>
      <c r="Y179" s="355"/>
      <c r="Z179" s="353" t="s">
        <v>238</v>
      </c>
      <c r="AA179" s="353"/>
      <c r="AB179" s="836"/>
      <c r="AC179" s="836"/>
      <c r="AD179" s="836"/>
      <c r="AE179" s="837"/>
    </row>
    <row r="180" spans="1:31" ht="16.5" customHeight="1">
      <c r="A180" s="347">
        <v>363705</v>
      </c>
      <c r="B180" s="347" t="s">
        <v>3783</v>
      </c>
      <c r="C180" s="347" t="s">
        <v>5576</v>
      </c>
      <c r="D180" s="348"/>
      <c r="E180" s="348" t="s">
        <v>5577</v>
      </c>
      <c r="F180" s="348" t="s">
        <v>2072</v>
      </c>
      <c r="G180" s="348">
        <v>37435</v>
      </c>
      <c r="H180" s="358"/>
      <c r="I180" s="352"/>
      <c r="J180" s="353"/>
      <c r="K180" s="538">
        <v>9999</v>
      </c>
      <c r="L180" s="488"/>
      <c r="M180" s="488"/>
      <c r="N180" s="488"/>
      <c r="O180" s="488"/>
      <c r="P180" s="488"/>
      <c r="Q180" s="488"/>
      <c r="R180" s="488"/>
      <c r="S180" s="488"/>
      <c r="T180" s="488"/>
      <c r="U180" s="488"/>
      <c r="V180" s="488"/>
      <c r="W180" s="488"/>
      <c r="X180" s="354"/>
      <c r="Y180" s="354"/>
      <c r="Z180" s="353" t="s">
        <v>238</v>
      </c>
      <c r="AA180" s="353" t="s">
        <v>5578</v>
      </c>
      <c r="AB180" s="836"/>
      <c r="AC180" s="836"/>
      <c r="AD180" s="836"/>
      <c r="AE180" s="838"/>
    </row>
    <row r="181" spans="1:31" ht="16.5" customHeight="1">
      <c r="A181" s="347">
        <v>350710</v>
      </c>
      <c r="B181" s="347" t="s">
        <v>3147</v>
      </c>
      <c r="C181" s="347" t="s">
        <v>2771</v>
      </c>
      <c r="D181" s="348">
        <v>21028</v>
      </c>
      <c r="E181" s="348" t="s">
        <v>4793</v>
      </c>
      <c r="F181" s="348" t="s">
        <v>2313</v>
      </c>
      <c r="G181" s="348"/>
      <c r="H181" s="358"/>
      <c r="I181" s="352"/>
      <c r="J181" s="353"/>
      <c r="K181" s="538">
        <v>9999</v>
      </c>
      <c r="L181" s="488"/>
      <c r="M181" s="488"/>
      <c r="N181" s="488"/>
      <c r="O181" s="488"/>
      <c r="P181" s="488"/>
      <c r="Q181" s="488"/>
      <c r="R181" s="488"/>
      <c r="S181" s="488"/>
      <c r="T181" s="488" t="s">
        <v>238</v>
      </c>
      <c r="U181" s="488"/>
      <c r="V181" s="488"/>
      <c r="W181" s="488"/>
      <c r="X181" s="354"/>
      <c r="Y181" s="354"/>
      <c r="Z181" s="353" t="s">
        <v>238</v>
      </c>
      <c r="AA181" s="353" t="s">
        <v>5579</v>
      </c>
      <c r="AB181" s="836"/>
      <c r="AC181" s="836"/>
      <c r="AD181" s="836"/>
      <c r="AE181" s="838"/>
    </row>
    <row r="182" spans="1:31" ht="16.5" customHeight="1">
      <c r="A182" s="347">
        <v>350710</v>
      </c>
      <c r="B182" s="347" t="s">
        <v>2551</v>
      </c>
      <c r="C182" s="347" t="s">
        <v>2771</v>
      </c>
      <c r="D182" s="348">
        <v>19236</v>
      </c>
      <c r="E182" s="362" t="s">
        <v>4793</v>
      </c>
      <c r="F182" s="348" t="s">
        <v>2313</v>
      </c>
      <c r="G182" s="348"/>
      <c r="H182" s="358"/>
      <c r="I182" s="352"/>
      <c r="J182" s="353"/>
      <c r="K182" s="538">
        <v>9999</v>
      </c>
      <c r="L182" s="353"/>
      <c r="M182" s="488"/>
      <c r="N182" s="488"/>
      <c r="O182" s="488"/>
      <c r="P182" s="488"/>
      <c r="Q182" s="488"/>
      <c r="R182" s="488"/>
      <c r="S182" s="488"/>
      <c r="T182" s="488" t="s">
        <v>238</v>
      </c>
      <c r="U182" s="488"/>
      <c r="V182" s="488"/>
      <c r="W182" s="488"/>
      <c r="X182" s="354"/>
      <c r="Y182" s="354"/>
      <c r="Z182" s="353" t="s">
        <v>238</v>
      </c>
      <c r="AA182" s="353"/>
      <c r="AB182" s="836"/>
      <c r="AC182" s="836"/>
      <c r="AD182" s="836"/>
      <c r="AE182" s="837"/>
    </row>
    <row r="183" spans="1:31" ht="16.5" customHeight="1">
      <c r="A183" s="347">
        <v>3021748</v>
      </c>
      <c r="B183" s="347" t="s">
        <v>5580</v>
      </c>
      <c r="C183" s="347" t="s">
        <v>5581</v>
      </c>
      <c r="D183" s="348">
        <v>11891</v>
      </c>
      <c r="E183" s="348" t="s">
        <v>3567</v>
      </c>
      <c r="F183" s="348" t="s">
        <v>2052</v>
      </c>
      <c r="G183" s="348">
        <v>37956</v>
      </c>
      <c r="H183" s="358"/>
      <c r="I183" s="352"/>
      <c r="J183" s="353"/>
      <c r="K183" s="538">
        <v>9999</v>
      </c>
      <c r="L183" s="353"/>
      <c r="M183" s="488"/>
      <c r="N183" s="488"/>
      <c r="O183" s="488"/>
      <c r="P183" s="488"/>
      <c r="Q183" s="488"/>
      <c r="R183" s="488"/>
      <c r="S183" s="488"/>
      <c r="T183" s="488"/>
      <c r="U183" s="488"/>
      <c r="V183" s="488"/>
      <c r="W183" s="488"/>
      <c r="X183" s="354"/>
      <c r="Y183" s="354"/>
      <c r="Z183" s="353"/>
      <c r="AA183" s="353"/>
      <c r="AB183" s="836"/>
      <c r="AC183" s="836"/>
      <c r="AD183" s="836"/>
      <c r="AE183" s="837"/>
    </row>
    <row r="184" spans="1:31" ht="16.5" customHeight="1">
      <c r="A184" s="347">
        <v>100014429</v>
      </c>
      <c r="B184" s="347" t="s">
        <v>3783</v>
      </c>
      <c r="C184" s="347" t="s">
        <v>5582</v>
      </c>
      <c r="D184" s="348">
        <v>14607</v>
      </c>
      <c r="E184" s="348" t="s">
        <v>2679</v>
      </c>
      <c r="F184" s="348" t="s">
        <v>2318</v>
      </c>
      <c r="G184" s="348"/>
      <c r="H184" s="358" t="s">
        <v>238</v>
      </c>
      <c r="I184" s="352"/>
      <c r="J184" s="353"/>
      <c r="K184" s="538">
        <v>9999</v>
      </c>
      <c r="L184" s="353" t="s">
        <v>238</v>
      </c>
      <c r="M184" s="488"/>
      <c r="N184" s="488"/>
      <c r="O184" s="488"/>
      <c r="P184" s="488"/>
      <c r="Q184" s="488"/>
      <c r="R184" s="488"/>
      <c r="S184" s="488"/>
      <c r="T184" s="488"/>
      <c r="U184" s="488"/>
      <c r="V184" s="488"/>
      <c r="W184" s="488"/>
      <c r="X184" s="354"/>
      <c r="Y184" s="354"/>
      <c r="Z184" s="353" t="s">
        <v>238</v>
      </c>
      <c r="AA184" s="353"/>
      <c r="AB184" s="836"/>
      <c r="AC184" s="836"/>
      <c r="AD184" s="836"/>
      <c r="AE184" s="837"/>
    </row>
    <row r="185" spans="1:31" ht="16.5" customHeight="1">
      <c r="A185" s="347">
        <v>100014429</v>
      </c>
      <c r="B185" s="347" t="s">
        <v>3043</v>
      </c>
      <c r="C185" s="347" t="s">
        <v>5582</v>
      </c>
      <c r="D185" s="348">
        <v>14580</v>
      </c>
      <c r="E185" s="348" t="s">
        <v>2679</v>
      </c>
      <c r="F185" s="348" t="s">
        <v>2318</v>
      </c>
      <c r="G185" s="348">
        <v>43654</v>
      </c>
      <c r="H185" s="358"/>
      <c r="I185" s="352"/>
      <c r="J185" s="353"/>
      <c r="K185" s="538">
        <v>9999</v>
      </c>
      <c r="L185" s="353" t="s">
        <v>238</v>
      </c>
      <c r="M185" s="488"/>
      <c r="N185" s="488"/>
      <c r="O185" s="488"/>
      <c r="P185" s="488"/>
      <c r="Q185" s="488"/>
      <c r="R185" s="488"/>
      <c r="S185" s="488"/>
      <c r="T185" s="488"/>
      <c r="U185" s="488"/>
      <c r="V185" s="488"/>
      <c r="W185" s="488"/>
      <c r="X185" s="354"/>
      <c r="Y185" s="354"/>
      <c r="Z185" s="353" t="s">
        <v>238</v>
      </c>
      <c r="AA185" s="353" t="s">
        <v>5583</v>
      </c>
      <c r="AB185" s="836"/>
      <c r="AC185" s="836"/>
      <c r="AD185" s="836"/>
      <c r="AE185" s="838"/>
    </row>
    <row r="186" spans="1:31" ht="16.5" customHeight="1">
      <c r="A186" s="347">
        <v>100005005</v>
      </c>
      <c r="B186" s="347" t="s">
        <v>2593</v>
      </c>
      <c r="C186" s="347" t="s">
        <v>5584</v>
      </c>
      <c r="D186" s="348"/>
      <c r="E186" s="348" t="s">
        <v>5585</v>
      </c>
      <c r="F186" s="348" t="s">
        <v>2064</v>
      </c>
      <c r="G186" s="348">
        <v>37795</v>
      </c>
      <c r="H186" s="358"/>
      <c r="I186" s="352"/>
      <c r="J186" s="353"/>
      <c r="K186" s="538">
        <v>9999</v>
      </c>
      <c r="L186" s="488"/>
      <c r="M186" s="488"/>
      <c r="N186" s="488"/>
      <c r="O186" s="488"/>
      <c r="P186" s="488"/>
      <c r="Q186" s="488"/>
      <c r="R186" s="488"/>
      <c r="S186" s="488"/>
      <c r="T186" s="488"/>
      <c r="U186" s="488"/>
      <c r="V186" s="488"/>
      <c r="W186" s="488"/>
      <c r="X186" s="354"/>
      <c r="Y186" s="354"/>
      <c r="Z186" s="353"/>
      <c r="AA186" s="353"/>
      <c r="AB186" s="836"/>
      <c r="AC186" s="836"/>
      <c r="AD186" s="836"/>
      <c r="AE186" s="838"/>
    </row>
    <row r="187" spans="1:31" ht="16.5" customHeight="1">
      <c r="A187" s="347">
        <v>9077769</v>
      </c>
      <c r="B187" s="347" t="s">
        <v>2718</v>
      </c>
      <c r="C187" s="347" t="s">
        <v>5586</v>
      </c>
      <c r="D187" s="348">
        <v>15268</v>
      </c>
      <c r="E187" s="348" t="s">
        <v>3345</v>
      </c>
      <c r="F187" s="348" t="s">
        <v>2274</v>
      </c>
      <c r="G187" s="348">
        <v>41453</v>
      </c>
      <c r="H187" s="358"/>
      <c r="I187" s="352"/>
      <c r="J187" s="353"/>
      <c r="K187" s="538">
        <v>9999</v>
      </c>
      <c r="L187" s="353"/>
      <c r="M187" s="488"/>
      <c r="N187" s="488"/>
      <c r="O187" s="488"/>
      <c r="P187" s="488"/>
      <c r="Q187" s="488"/>
      <c r="R187" s="488"/>
      <c r="S187" s="488"/>
      <c r="T187" s="488"/>
      <c r="U187" s="488"/>
      <c r="V187" s="488"/>
      <c r="W187" s="488"/>
      <c r="X187" s="354"/>
      <c r="Y187" s="354"/>
      <c r="Z187" s="353"/>
      <c r="AA187" s="353" t="s">
        <v>5587</v>
      </c>
      <c r="AB187" s="836"/>
      <c r="AC187" s="836"/>
      <c r="AD187" s="836"/>
      <c r="AE187" s="837"/>
    </row>
    <row r="188" spans="1:31" ht="16.5" customHeight="1">
      <c r="A188" s="347">
        <v>28718815</v>
      </c>
      <c r="B188" s="347" t="s">
        <v>3288</v>
      </c>
      <c r="C188" s="347" t="s">
        <v>5065</v>
      </c>
      <c r="D188" s="348">
        <v>14268</v>
      </c>
      <c r="E188" s="348" t="s">
        <v>3787</v>
      </c>
      <c r="F188" s="348" t="s">
        <v>2046</v>
      </c>
      <c r="G188" s="348">
        <v>38128</v>
      </c>
      <c r="H188" s="358"/>
      <c r="I188" s="352"/>
      <c r="J188" s="353" t="s">
        <v>238</v>
      </c>
      <c r="K188" s="538">
        <v>10365.57</v>
      </c>
      <c r="L188" s="488" t="s">
        <v>238</v>
      </c>
      <c r="M188" s="488" t="s">
        <v>238</v>
      </c>
      <c r="N188" s="488"/>
      <c r="O188" s="488"/>
      <c r="P188" s="488"/>
      <c r="Q188" s="488"/>
      <c r="R188" s="488"/>
      <c r="S188" s="488"/>
      <c r="T188" s="488"/>
      <c r="U188" s="488" t="s">
        <v>238</v>
      </c>
      <c r="V188" s="488"/>
      <c r="W188" s="488"/>
      <c r="X188" s="354"/>
      <c r="Y188" s="354"/>
      <c r="Z188" s="353"/>
      <c r="AA188" s="353" t="s">
        <v>5588</v>
      </c>
      <c r="AB188" s="836"/>
      <c r="AC188" s="836"/>
      <c r="AD188" s="836"/>
      <c r="AE188" s="838"/>
    </row>
    <row r="189" spans="1:31" ht="16.5" customHeight="1">
      <c r="A189" s="347">
        <v>100005201</v>
      </c>
      <c r="B189" s="347" t="s">
        <v>2586</v>
      </c>
      <c r="C189" s="347" t="s">
        <v>5589</v>
      </c>
      <c r="D189" s="348"/>
      <c r="E189" s="348"/>
      <c r="F189" s="348"/>
      <c r="G189" s="348">
        <v>43691</v>
      </c>
      <c r="H189" s="358" t="s">
        <v>238</v>
      </c>
      <c r="I189" s="352"/>
      <c r="J189" s="353"/>
      <c r="K189" s="538">
        <v>9999</v>
      </c>
      <c r="L189" s="488"/>
      <c r="M189" s="488"/>
      <c r="N189" s="488"/>
      <c r="O189" s="488"/>
      <c r="P189" s="488"/>
      <c r="Q189" s="488"/>
      <c r="R189" s="488"/>
      <c r="S189" s="488"/>
      <c r="T189" s="488"/>
      <c r="U189" s="488"/>
      <c r="V189" s="488"/>
      <c r="W189" s="488"/>
      <c r="X189" s="354"/>
      <c r="Y189" s="354"/>
      <c r="Z189" s="353" t="s">
        <v>238</v>
      </c>
      <c r="AA189" s="353"/>
      <c r="AB189" s="836"/>
      <c r="AC189" s="836"/>
      <c r="AD189" s="836"/>
      <c r="AE189" s="838"/>
    </row>
    <row r="190" spans="1:31" ht="16.5" customHeight="1">
      <c r="A190" s="347">
        <v>100005201</v>
      </c>
      <c r="B190" s="347" t="s">
        <v>2551</v>
      </c>
      <c r="C190" s="347" t="s">
        <v>5589</v>
      </c>
      <c r="D190" s="348"/>
      <c r="E190" s="348"/>
      <c r="F190" s="348"/>
      <c r="G190" s="348">
        <v>43691</v>
      </c>
      <c r="H190" s="358" t="s">
        <v>238</v>
      </c>
      <c r="I190" s="352"/>
      <c r="J190" s="353"/>
      <c r="K190" s="538">
        <v>9999</v>
      </c>
      <c r="L190" s="488"/>
      <c r="M190" s="488"/>
      <c r="N190" s="488"/>
      <c r="O190" s="488"/>
      <c r="P190" s="488"/>
      <c r="Q190" s="488"/>
      <c r="R190" s="488"/>
      <c r="S190" s="488"/>
      <c r="T190" s="488"/>
      <c r="U190" s="488"/>
      <c r="V190" s="488"/>
      <c r="W190" s="488"/>
      <c r="X190" s="354"/>
      <c r="Y190" s="354"/>
      <c r="Z190" s="353" t="s">
        <v>238</v>
      </c>
      <c r="AA190" s="353"/>
      <c r="AB190" s="836" t="s">
        <v>5590</v>
      </c>
      <c r="AC190" s="836"/>
      <c r="AD190" s="836"/>
      <c r="AE190" s="838"/>
    </row>
    <row r="191" spans="1:31" ht="16.5" customHeight="1">
      <c r="A191" s="347">
        <v>16669004</v>
      </c>
      <c r="B191" s="347" t="s">
        <v>2586</v>
      </c>
      <c r="C191" s="347" t="s">
        <v>5591</v>
      </c>
      <c r="D191" s="348"/>
      <c r="E191" s="347" t="s">
        <v>5592</v>
      </c>
      <c r="F191" s="347" t="s">
        <v>2139</v>
      </c>
      <c r="G191" s="348">
        <v>38218</v>
      </c>
      <c r="H191" s="358"/>
      <c r="I191" s="352"/>
      <c r="J191" s="353"/>
      <c r="K191" s="538">
        <v>9999</v>
      </c>
      <c r="L191" s="488"/>
      <c r="M191" s="488"/>
      <c r="N191" s="488"/>
      <c r="O191" s="488"/>
      <c r="P191" s="488"/>
      <c r="Q191" s="488"/>
      <c r="R191" s="488"/>
      <c r="S191" s="488"/>
      <c r="T191" s="488"/>
      <c r="U191" s="488"/>
      <c r="V191" s="488"/>
      <c r="W191" s="488"/>
      <c r="X191" s="354"/>
      <c r="Y191" s="354"/>
      <c r="Z191" s="353" t="s">
        <v>238</v>
      </c>
      <c r="AA191" s="353"/>
      <c r="AB191" s="836"/>
      <c r="AC191" s="836"/>
      <c r="AD191" s="836"/>
      <c r="AE191" s="838"/>
    </row>
    <row r="192" spans="1:31" ht="16.5" customHeight="1">
      <c r="A192" s="347">
        <v>16669004</v>
      </c>
      <c r="B192" s="347" t="s">
        <v>2863</v>
      </c>
      <c r="C192" s="347" t="s">
        <v>5591</v>
      </c>
      <c r="D192" s="348">
        <v>17942</v>
      </c>
      <c r="E192" s="347" t="s">
        <v>5592</v>
      </c>
      <c r="F192" s="347" t="s">
        <v>2139</v>
      </c>
      <c r="G192" s="348">
        <v>38218</v>
      </c>
      <c r="H192" s="358"/>
      <c r="I192" s="352"/>
      <c r="J192" s="353"/>
      <c r="K192" s="538">
        <v>9999</v>
      </c>
      <c r="L192" s="353"/>
      <c r="M192" s="488"/>
      <c r="N192" s="488"/>
      <c r="O192" s="488"/>
      <c r="P192" s="488"/>
      <c r="Q192" s="488"/>
      <c r="R192" s="488"/>
      <c r="S192" s="488"/>
      <c r="T192" s="488"/>
      <c r="U192" s="488"/>
      <c r="V192" s="488"/>
      <c r="W192" s="488"/>
      <c r="X192" s="354"/>
      <c r="Y192" s="354"/>
      <c r="Z192" s="353" t="s">
        <v>238</v>
      </c>
      <c r="AA192" s="353" t="s">
        <v>5593</v>
      </c>
      <c r="AB192" s="836"/>
      <c r="AC192" s="836"/>
      <c r="AD192" s="836"/>
      <c r="AE192" s="837"/>
    </row>
    <row r="193" spans="1:31" ht="16.5" customHeight="1">
      <c r="A193" s="347">
        <v>356048</v>
      </c>
      <c r="B193" s="347" t="s">
        <v>3080</v>
      </c>
      <c r="C193" s="347" t="s">
        <v>5594</v>
      </c>
      <c r="D193" s="348">
        <v>16249</v>
      </c>
      <c r="E193" s="347" t="s">
        <v>3615</v>
      </c>
      <c r="F193" s="347" t="s">
        <v>2094</v>
      </c>
      <c r="G193" s="348">
        <v>43654</v>
      </c>
      <c r="H193" s="358"/>
      <c r="I193" s="352" t="s">
        <v>238</v>
      </c>
      <c r="J193" s="353"/>
      <c r="K193" s="538">
        <v>9999</v>
      </c>
      <c r="L193" s="353"/>
      <c r="M193" s="488" t="s">
        <v>238</v>
      </c>
      <c r="N193" s="488"/>
      <c r="O193" s="488"/>
      <c r="P193" s="488"/>
      <c r="Q193" s="488"/>
      <c r="R193" s="488"/>
      <c r="S193" s="488"/>
      <c r="T193" s="488"/>
      <c r="U193" s="488"/>
      <c r="V193" s="488"/>
      <c r="W193" s="488"/>
      <c r="X193" s="354"/>
      <c r="Y193" s="354"/>
      <c r="Z193" s="353" t="s">
        <v>238</v>
      </c>
      <c r="AA193" s="353" t="s">
        <v>5595</v>
      </c>
      <c r="AB193" s="836"/>
      <c r="AC193" s="836"/>
      <c r="AD193" s="836"/>
      <c r="AE193" s="837"/>
    </row>
    <row r="194" spans="1:31" ht="16.5" customHeight="1">
      <c r="A194" s="347">
        <v>356048</v>
      </c>
      <c r="B194" s="347" t="s">
        <v>3670</v>
      </c>
      <c r="C194" s="347" t="s">
        <v>3614</v>
      </c>
      <c r="D194" s="348">
        <v>19254</v>
      </c>
      <c r="E194" s="348" t="s">
        <v>3615</v>
      </c>
      <c r="F194" s="348" t="s">
        <v>2094</v>
      </c>
      <c r="G194" s="348">
        <v>43654</v>
      </c>
      <c r="H194" s="358"/>
      <c r="I194" s="352" t="s">
        <v>238</v>
      </c>
      <c r="J194" s="353"/>
      <c r="K194" s="538">
        <v>9999</v>
      </c>
      <c r="L194" s="488"/>
      <c r="M194" s="488" t="s">
        <v>238</v>
      </c>
      <c r="N194" s="488"/>
      <c r="O194" s="488"/>
      <c r="P194" s="488"/>
      <c r="Q194" s="488"/>
      <c r="R194" s="488"/>
      <c r="S194" s="488"/>
      <c r="T194" s="488"/>
      <c r="U194" s="488"/>
      <c r="V194" s="488"/>
      <c r="W194" s="488"/>
      <c r="X194" s="354"/>
      <c r="Y194" s="354"/>
      <c r="Z194" s="353" t="s">
        <v>238</v>
      </c>
      <c r="AA194" s="353" t="s">
        <v>5595</v>
      </c>
      <c r="AB194" s="836"/>
      <c r="AC194" s="836"/>
      <c r="AD194" s="836"/>
      <c r="AE194" s="838"/>
    </row>
    <row r="195" spans="1:31" ht="16.5" customHeight="1">
      <c r="A195" s="347">
        <v>6027403</v>
      </c>
      <c r="B195" s="347" t="s">
        <v>3468</v>
      </c>
      <c r="C195" s="347" t="s">
        <v>5596</v>
      </c>
      <c r="D195" s="348">
        <v>9266</v>
      </c>
      <c r="E195" s="348" t="s">
        <v>5597</v>
      </c>
      <c r="F195" s="348" t="s">
        <v>2059</v>
      </c>
      <c r="G195" s="348">
        <v>39980</v>
      </c>
      <c r="H195" s="358" t="s">
        <v>238</v>
      </c>
      <c r="I195" s="352"/>
      <c r="J195" s="353"/>
      <c r="K195" s="538">
        <v>17045.599999999999</v>
      </c>
      <c r="L195" s="353"/>
      <c r="M195" s="488"/>
      <c r="N195" s="488"/>
      <c r="O195" s="488"/>
      <c r="P195" s="488"/>
      <c r="Q195" s="488"/>
      <c r="R195" s="488"/>
      <c r="S195" s="488"/>
      <c r="T195" s="488"/>
      <c r="U195" s="488" t="s">
        <v>238</v>
      </c>
      <c r="V195" s="488"/>
      <c r="W195" s="488"/>
      <c r="X195" s="354"/>
      <c r="Y195" s="354"/>
      <c r="Z195" s="353"/>
      <c r="AA195" s="353"/>
      <c r="AB195" s="836"/>
      <c r="AC195" s="836"/>
      <c r="AD195" s="836"/>
      <c r="AE195" s="837"/>
    </row>
    <row r="196" spans="1:31" ht="16.5" customHeight="1">
      <c r="A196" s="347">
        <v>10536928</v>
      </c>
      <c r="B196" s="347" t="s">
        <v>2602</v>
      </c>
      <c r="C196" s="347" t="s">
        <v>5598</v>
      </c>
      <c r="D196" s="348">
        <v>23676</v>
      </c>
      <c r="E196" s="348" t="s">
        <v>4965</v>
      </c>
      <c r="F196" s="348" t="s">
        <v>2144</v>
      </c>
      <c r="G196" s="348">
        <v>38211</v>
      </c>
      <c r="H196" s="358"/>
      <c r="I196" s="352"/>
      <c r="J196" s="353" t="s">
        <v>238</v>
      </c>
      <c r="K196" s="538">
        <v>9999</v>
      </c>
      <c r="L196" s="353" t="s">
        <v>238</v>
      </c>
      <c r="M196" s="488" t="s">
        <v>238</v>
      </c>
      <c r="N196" s="488"/>
      <c r="O196" s="488"/>
      <c r="P196" s="488"/>
      <c r="Q196" s="488"/>
      <c r="R196" s="488"/>
      <c r="S196" s="488"/>
      <c r="T196" s="488"/>
      <c r="U196" s="488"/>
      <c r="V196" s="488"/>
      <c r="W196" s="488"/>
      <c r="X196" s="354"/>
      <c r="Y196" s="354"/>
      <c r="Z196" s="353" t="s">
        <v>238</v>
      </c>
      <c r="AA196" s="353"/>
      <c r="AB196" s="836"/>
      <c r="AC196" s="836"/>
      <c r="AD196" s="836"/>
      <c r="AE196" s="837"/>
    </row>
    <row r="197" spans="1:31" ht="16.5" customHeight="1">
      <c r="A197" s="347">
        <v>10536928</v>
      </c>
      <c r="B197" s="347" t="s">
        <v>2651</v>
      </c>
      <c r="C197" s="347" t="s">
        <v>3852</v>
      </c>
      <c r="D197" s="348">
        <v>18421</v>
      </c>
      <c r="E197" s="348" t="s">
        <v>4965</v>
      </c>
      <c r="F197" s="348" t="s">
        <v>2144</v>
      </c>
      <c r="G197" s="348">
        <v>43654</v>
      </c>
      <c r="H197" s="358"/>
      <c r="I197" s="352"/>
      <c r="J197" s="353" t="s">
        <v>238</v>
      </c>
      <c r="K197" s="538">
        <v>9999</v>
      </c>
      <c r="L197" s="353" t="s">
        <v>238</v>
      </c>
      <c r="M197" s="488" t="s">
        <v>238</v>
      </c>
      <c r="N197" s="488"/>
      <c r="O197" s="488"/>
      <c r="P197" s="488"/>
      <c r="Q197" s="488"/>
      <c r="R197" s="488"/>
      <c r="S197" s="488"/>
      <c r="T197" s="488"/>
      <c r="U197" s="488"/>
      <c r="V197" s="488"/>
      <c r="W197" s="488"/>
      <c r="X197" s="354"/>
      <c r="Y197" s="354"/>
      <c r="Z197" s="353" t="s">
        <v>238</v>
      </c>
      <c r="AA197" s="353" t="s">
        <v>5599</v>
      </c>
      <c r="AB197" s="836"/>
      <c r="AC197" s="836"/>
      <c r="AD197" s="842"/>
      <c r="AE197" s="837"/>
    </row>
    <row r="198" spans="1:31" ht="16.5" customHeight="1">
      <c r="A198" s="347">
        <v>26168997</v>
      </c>
      <c r="B198" s="347" t="s">
        <v>4093</v>
      </c>
      <c r="C198" s="347" t="s">
        <v>4781</v>
      </c>
      <c r="D198" s="348">
        <v>8177</v>
      </c>
      <c r="E198" s="348" t="s">
        <v>3770</v>
      </c>
      <c r="F198" s="348" t="s">
        <v>2174</v>
      </c>
      <c r="G198" s="348">
        <v>38617</v>
      </c>
      <c r="H198" s="358"/>
      <c r="I198" s="352"/>
      <c r="J198" s="353"/>
      <c r="K198" s="538">
        <v>5135.2</v>
      </c>
      <c r="L198" s="353"/>
      <c r="M198" s="488"/>
      <c r="N198" s="488"/>
      <c r="O198" s="488"/>
      <c r="P198" s="488"/>
      <c r="Q198" s="488"/>
      <c r="R198" s="488"/>
      <c r="S198" s="488"/>
      <c r="T198" s="488"/>
      <c r="U198" s="488" t="s">
        <v>238</v>
      </c>
      <c r="V198" s="488"/>
      <c r="W198" s="488"/>
      <c r="X198" s="354"/>
      <c r="Y198" s="354"/>
      <c r="Z198" s="353" t="s">
        <v>238</v>
      </c>
      <c r="AA198" s="353"/>
      <c r="AB198" s="836"/>
      <c r="AC198" s="836"/>
      <c r="AD198" s="842"/>
      <c r="AE198" s="837"/>
    </row>
    <row r="199" spans="1:31" ht="16.5" customHeight="1">
      <c r="A199" s="347">
        <v>26168997</v>
      </c>
      <c r="B199" s="347" t="s">
        <v>3223</v>
      </c>
      <c r="C199" s="347" t="s">
        <v>4781</v>
      </c>
      <c r="D199" s="348">
        <v>8431</v>
      </c>
      <c r="E199" s="348" t="s">
        <v>3770</v>
      </c>
      <c r="F199" s="348" t="s">
        <v>2174</v>
      </c>
      <c r="G199" s="348">
        <v>39122</v>
      </c>
      <c r="H199" s="358"/>
      <c r="I199" s="352"/>
      <c r="J199" s="353"/>
      <c r="K199" s="538">
        <v>12722.9</v>
      </c>
      <c r="L199" s="488"/>
      <c r="M199" s="488"/>
      <c r="N199" s="488"/>
      <c r="O199" s="488"/>
      <c r="P199" s="488"/>
      <c r="Q199" s="488"/>
      <c r="R199" s="488"/>
      <c r="S199" s="488"/>
      <c r="T199" s="488"/>
      <c r="U199" s="488" t="s">
        <v>238</v>
      </c>
      <c r="V199" s="488"/>
      <c r="W199" s="488"/>
      <c r="X199" s="354"/>
      <c r="Y199" s="354"/>
      <c r="Z199" s="353" t="s">
        <v>238</v>
      </c>
      <c r="AA199" s="353"/>
      <c r="AB199" s="836"/>
      <c r="AC199" s="836"/>
      <c r="AD199" s="836"/>
      <c r="AE199" s="838"/>
    </row>
    <row r="200" spans="1:31" ht="16.5" customHeight="1">
      <c r="A200" s="347"/>
      <c r="B200" s="347" t="s">
        <v>5600</v>
      </c>
      <c r="C200" s="347" t="s">
        <v>5601</v>
      </c>
      <c r="D200" s="348"/>
      <c r="E200" s="348" t="s">
        <v>2703</v>
      </c>
      <c r="F200" s="348" t="s">
        <v>2064</v>
      </c>
      <c r="G200" s="348">
        <v>39721</v>
      </c>
      <c r="H200" s="358" t="s">
        <v>238</v>
      </c>
      <c r="I200" s="352"/>
      <c r="J200" s="353"/>
      <c r="K200" s="538">
        <v>9999</v>
      </c>
      <c r="L200" s="488"/>
      <c r="M200" s="488"/>
      <c r="N200" s="488"/>
      <c r="O200" s="488"/>
      <c r="P200" s="488"/>
      <c r="Q200" s="488"/>
      <c r="R200" s="488"/>
      <c r="S200" s="488"/>
      <c r="T200" s="488"/>
      <c r="U200" s="488"/>
      <c r="V200" s="488"/>
      <c r="W200" s="488"/>
      <c r="X200" s="354"/>
      <c r="Y200" s="354"/>
      <c r="Z200" s="353" t="s">
        <v>238</v>
      </c>
      <c r="AA200" s="353"/>
      <c r="AB200" s="836"/>
      <c r="AC200" s="836"/>
      <c r="AD200" s="836"/>
      <c r="AE200" s="838"/>
    </row>
    <row r="201" spans="1:31" ht="16.5" customHeight="1">
      <c r="A201" s="347">
        <v>650374</v>
      </c>
      <c r="B201" s="347" t="s">
        <v>5602</v>
      </c>
      <c r="C201" s="347" t="s">
        <v>5601</v>
      </c>
      <c r="D201" s="348">
        <v>11685</v>
      </c>
      <c r="E201" s="348" t="s">
        <v>2703</v>
      </c>
      <c r="F201" s="348" t="s">
        <v>2064</v>
      </c>
      <c r="G201" s="348">
        <v>39721</v>
      </c>
      <c r="H201" s="358" t="s">
        <v>238</v>
      </c>
      <c r="I201" s="352"/>
      <c r="J201" s="353"/>
      <c r="K201" s="539">
        <v>9999</v>
      </c>
      <c r="L201" s="353"/>
      <c r="M201" s="488"/>
      <c r="N201" s="488"/>
      <c r="O201" s="488"/>
      <c r="P201" s="488"/>
      <c r="Q201" s="488"/>
      <c r="R201" s="488"/>
      <c r="S201" s="488"/>
      <c r="T201" s="488"/>
      <c r="U201" s="488"/>
      <c r="V201" s="488"/>
      <c r="W201" s="488"/>
      <c r="X201" s="353"/>
      <c r="Y201" s="354"/>
      <c r="Z201" s="353" t="s">
        <v>238</v>
      </c>
      <c r="AA201" s="353"/>
      <c r="AB201" s="836"/>
      <c r="AC201" s="836"/>
      <c r="AD201" s="836"/>
      <c r="AE201" s="838"/>
    </row>
    <row r="202" spans="1:31" ht="16.5" customHeight="1">
      <c r="A202" s="347">
        <v>5240585</v>
      </c>
      <c r="B202" s="347" t="s">
        <v>4330</v>
      </c>
      <c r="C202" s="347" t="s">
        <v>2936</v>
      </c>
      <c r="D202" s="348">
        <v>20378</v>
      </c>
      <c r="E202" s="348" t="s">
        <v>2937</v>
      </c>
      <c r="F202" s="348" t="s">
        <v>2290</v>
      </c>
      <c r="G202" s="348">
        <v>43621</v>
      </c>
      <c r="H202" s="358"/>
      <c r="I202" s="352"/>
      <c r="J202" s="353"/>
      <c r="K202" s="539">
        <v>9999</v>
      </c>
      <c r="L202" s="353"/>
      <c r="M202" s="488"/>
      <c r="N202" s="488"/>
      <c r="O202" s="488"/>
      <c r="P202" s="488"/>
      <c r="Q202" s="488"/>
      <c r="R202" s="488"/>
      <c r="S202" s="488"/>
      <c r="T202" s="488"/>
      <c r="U202" s="488"/>
      <c r="V202" s="488"/>
      <c r="W202" s="488"/>
      <c r="X202" s="353"/>
      <c r="Y202" s="354"/>
      <c r="Z202" s="353" t="s">
        <v>238</v>
      </c>
      <c r="AA202" s="353"/>
      <c r="AB202" s="836"/>
      <c r="AC202" s="836"/>
      <c r="AD202" s="836"/>
      <c r="AE202" s="838"/>
    </row>
    <row r="203" spans="1:31" ht="16.5" customHeight="1">
      <c r="A203" s="347">
        <v>5240585</v>
      </c>
      <c r="B203" s="347" t="s">
        <v>2863</v>
      </c>
      <c r="C203" s="347" t="s">
        <v>2936</v>
      </c>
      <c r="D203" s="348">
        <v>20125</v>
      </c>
      <c r="E203" s="348" t="s">
        <v>2937</v>
      </c>
      <c r="F203" s="348" t="s">
        <v>2290</v>
      </c>
      <c r="G203" s="348">
        <v>43621</v>
      </c>
      <c r="H203" s="358"/>
      <c r="I203" s="352"/>
      <c r="J203" s="353"/>
      <c r="K203" s="539">
        <v>9999</v>
      </c>
      <c r="L203" s="353"/>
      <c r="M203" s="488"/>
      <c r="N203" s="488"/>
      <c r="O203" s="488"/>
      <c r="P203" s="488"/>
      <c r="Q203" s="488"/>
      <c r="R203" s="488"/>
      <c r="S203" s="488"/>
      <c r="T203" s="488"/>
      <c r="U203" s="488"/>
      <c r="V203" s="488"/>
      <c r="W203" s="488"/>
      <c r="X203" s="353"/>
      <c r="Y203" s="354"/>
      <c r="Z203" s="353" t="s">
        <v>238</v>
      </c>
      <c r="AA203" s="353" t="s">
        <v>5603</v>
      </c>
      <c r="AB203" s="836"/>
      <c r="AC203" s="836"/>
      <c r="AD203" s="836"/>
      <c r="AE203" s="838"/>
    </row>
    <row r="204" spans="1:31" ht="16.5" customHeight="1">
      <c r="A204" s="347">
        <v>1335710</v>
      </c>
      <c r="B204" s="347" t="s">
        <v>3773</v>
      </c>
      <c r="C204" s="347" t="s">
        <v>3774</v>
      </c>
      <c r="D204" s="348">
        <v>16174</v>
      </c>
      <c r="E204" s="348" t="s">
        <v>3775</v>
      </c>
      <c r="F204" s="348" t="s">
        <v>65</v>
      </c>
      <c r="G204" s="348">
        <v>43711</v>
      </c>
      <c r="H204" s="358"/>
      <c r="I204" s="352"/>
      <c r="J204" s="353"/>
      <c r="K204" s="539">
        <v>9999</v>
      </c>
      <c r="L204" s="353" t="s">
        <v>238</v>
      </c>
      <c r="M204" s="488"/>
      <c r="N204" s="488"/>
      <c r="O204" s="488"/>
      <c r="P204" s="488"/>
      <c r="Q204" s="488"/>
      <c r="R204" s="488"/>
      <c r="S204" s="488"/>
      <c r="T204" s="488"/>
      <c r="U204" s="488"/>
      <c r="V204" s="488"/>
      <c r="W204" s="488"/>
      <c r="X204" s="353"/>
      <c r="Y204" s="354"/>
      <c r="Z204" s="353" t="s">
        <v>238</v>
      </c>
      <c r="AA204" s="353"/>
      <c r="AB204" s="836"/>
      <c r="AC204" s="836"/>
      <c r="AD204" s="836"/>
      <c r="AE204" s="838"/>
    </row>
    <row r="205" spans="1:31" ht="16.5" customHeight="1">
      <c r="A205" s="347">
        <v>1335710</v>
      </c>
      <c r="B205" s="347" t="s">
        <v>2541</v>
      </c>
      <c r="C205" s="347" t="s">
        <v>5604</v>
      </c>
      <c r="D205" s="348">
        <v>14784</v>
      </c>
      <c r="E205" s="348" t="s">
        <v>3775</v>
      </c>
      <c r="F205" s="348" t="s">
        <v>65</v>
      </c>
      <c r="G205" s="348">
        <v>43711</v>
      </c>
      <c r="H205" s="358"/>
      <c r="I205" s="352"/>
      <c r="J205" s="353"/>
      <c r="K205" s="538">
        <v>9999</v>
      </c>
      <c r="L205" s="353" t="s">
        <v>238</v>
      </c>
      <c r="M205" s="488"/>
      <c r="N205" s="488"/>
      <c r="O205" s="488"/>
      <c r="P205" s="488"/>
      <c r="Q205" s="488"/>
      <c r="R205" s="488"/>
      <c r="S205" s="488"/>
      <c r="T205" s="488"/>
      <c r="U205" s="488"/>
      <c r="V205" s="488"/>
      <c r="W205" s="488"/>
      <c r="X205" s="354"/>
      <c r="Y205" s="354"/>
      <c r="Z205" s="353" t="s">
        <v>238</v>
      </c>
      <c r="AA205" s="353" t="s">
        <v>5605</v>
      </c>
      <c r="AB205" s="836"/>
      <c r="AC205" s="836"/>
      <c r="AD205" s="836"/>
      <c r="AE205" s="838"/>
    </row>
    <row r="206" spans="1:31" ht="16.5" customHeight="1">
      <c r="A206" s="347">
        <v>4155206</v>
      </c>
      <c r="B206" s="347" t="s">
        <v>3101</v>
      </c>
      <c r="C206" s="347" t="s">
        <v>5606</v>
      </c>
      <c r="D206" s="348"/>
      <c r="E206" s="348" t="s">
        <v>5607</v>
      </c>
      <c r="F206" s="348" t="s">
        <v>2055</v>
      </c>
      <c r="G206" s="348">
        <v>40528</v>
      </c>
      <c r="H206" s="358"/>
      <c r="I206" s="352"/>
      <c r="J206" s="353"/>
      <c r="K206" s="538" t="s">
        <v>69</v>
      </c>
      <c r="L206" s="353"/>
      <c r="M206" s="488"/>
      <c r="N206" s="488"/>
      <c r="O206" s="488"/>
      <c r="P206" s="488"/>
      <c r="Q206" s="488"/>
      <c r="R206" s="488"/>
      <c r="S206" s="488"/>
      <c r="T206" s="488"/>
      <c r="U206" s="488" t="s">
        <v>238</v>
      </c>
      <c r="V206" s="488"/>
      <c r="W206" s="488"/>
      <c r="X206" s="354"/>
      <c r="Y206" s="354"/>
      <c r="Z206" s="353" t="s">
        <v>238</v>
      </c>
      <c r="AA206" s="353"/>
      <c r="AB206" s="836"/>
      <c r="AC206" s="836"/>
      <c r="AD206" s="836"/>
      <c r="AE206" s="838"/>
    </row>
    <row r="207" spans="1:31" ht="16.5" customHeight="1">
      <c r="A207" s="347">
        <v>4155206</v>
      </c>
      <c r="B207" s="347" t="s">
        <v>5414</v>
      </c>
      <c r="C207" s="347" t="s">
        <v>5606</v>
      </c>
      <c r="D207" s="348">
        <v>14762</v>
      </c>
      <c r="E207" s="348" t="s">
        <v>5607</v>
      </c>
      <c r="F207" s="348" t="s">
        <v>2055</v>
      </c>
      <c r="G207" s="348">
        <v>40528</v>
      </c>
      <c r="H207" s="358"/>
      <c r="I207" s="352"/>
      <c r="J207" s="353"/>
      <c r="K207" s="538">
        <v>6112.2</v>
      </c>
      <c r="L207" s="488"/>
      <c r="M207" s="488"/>
      <c r="N207" s="488"/>
      <c r="O207" s="488"/>
      <c r="P207" s="488"/>
      <c r="Q207" s="488"/>
      <c r="R207" s="488"/>
      <c r="S207" s="488"/>
      <c r="T207" s="488"/>
      <c r="U207" s="488" t="s">
        <v>238</v>
      </c>
      <c r="V207" s="488"/>
      <c r="W207" s="488"/>
      <c r="X207" s="354"/>
      <c r="Y207" s="354"/>
      <c r="Z207" s="353" t="s">
        <v>238</v>
      </c>
      <c r="AA207" s="353" t="s">
        <v>5608</v>
      </c>
      <c r="AB207" s="836"/>
      <c r="AC207" s="836"/>
      <c r="AD207" s="836"/>
      <c r="AE207" s="838"/>
    </row>
    <row r="208" spans="1:31" ht="16.5" customHeight="1">
      <c r="A208" s="347">
        <v>25726</v>
      </c>
      <c r="B208" s="347" t="s">
        <v>5609</v>
      </c>
      <c r="C208" s="347" t="s">
        <v>5610</v>
      </c>
      <c r="D208" s="348">
        <v>10438</v>
      </c>
      <c r="E208" s="348" t="s">
        <v>5611</v>
      </c>
      <c r="F208" s="348" t="s">
        <v>2363</v>
      </c>
      <c r="G208" s="348">
        <v>42517</v>
      </c>
      <c r="H208" s="358"/>
      <c r="I208" s="352"/>
      <c r="J208" s="353"/>
      <c r="K208" s="538">
        <v>9999</v>
      </c>
      <c r="L208" s="353"/>
      <c r="M208" s="488"/>
      <c r="N208" s="488"/>
      <c r="O208" s="488"/>
      <c r="P208" s="488"/>
      <c r="Q208" s="488"/>
      <c r="R208" s="488"/>
      <c r="S208" s="488"/>
      <c r="T208" s="488"/>
      <c r="U208" s="488"/>
      <c r="V208" s="488"/>
      <c r="W208" s="488"/>
      <c r="X208" s="354"/>
      <c r="Y208" s="354"/>
      <c r="Z208" s="353"/>
      <c r="AA208" s="353" t="s">
        <v>5612</v>
      </c>
      <c r="AB208" s="836"/>
      <c r="AC208" s="836"/>
      <c r="AD208" s="836"/>
      <c r="AE208" s="837"/>
    </row>
    <row r="209" spans="1:31" ht="16.5" customHeight="1">
      <c r="A209" s="347">
        <v>816462</v>
      </c>
      <c r="B209" s="347" t="s">
        <v>5613</v>
      </c>
      <c r="C209" s="347" t="s">
        <v>5614</v>
      </c>
      <c r="D209" s="348">
        <v>8376</v>
      </c>
      <c r="E209" s="348" t="s">
        <v>5615</v>
      </c>
      <c r="F209" s="348" t="s">
        <v>2395</v>
      </c>
      <c r="G209" s="348">
        <v>38489</v>
      </c>
      <c r="H209" s="358"/>
      <c r="I209" s="352"/>
      <c r="J209" s="353"/>
      <c r="K209" s="538">
        <v>9999</v>
      </c>
      <c r="L209" s="353"/>
      <c r="M209" s="488"/>
      <c r="N209" s="488"/>
      <c r="O209" s="488"/>
      <c r="P209" s="488"/>
      <c r="Q209" s="488"/>
      <c r="R209" s="488"/>
      <c r="S209" s="488"/>
      <c r="T209" s="488"/>
      <c r="U209" s="488"/>
      <c r="V209" s="488"/>
      <c r="W209" s="488"/>
      <c r="X209" s="354"/>
      <c r="Y209" s="354"/>
      <c r="Z209" s="353"/>
      <c r="AA209" s="353"/>
      <c r="AB209" s="836"/>
      <c r="AC209" s="836"/>
      <c r="AD209" s="836"/>
      <c r="AE209" s="837"/>
    </row>
    <row r="210" spans="1:31" ht="16.5" customHeight="1">
      <c r="A210" s="347">
        <v>816462</v>
      </c>
      <c r="B210" s="347" t="s">
        <v>3288</v>
      </c>
      <c r="C210" s="347" t="s">
        <v>5614</v>
      </c>
      <c r="D210" s="348">
        <v>8578</v>
      </c>
      <c r="E210" s="348" t="s">
        <v>5615</v>
      </c>
      <c r="F210" s="348" t="s">
        <v>2395</v>
      </c>
      <c r="G210" s="348">
        <v>38489</v>
      </c>
      <c r="H210" s="358"/>
      <c r="I210" s="352"/>
      <c r="J210" s="353"/>
      <c r="K210" s="538">
        <v>9999</v>
      </c>
      <c r="L210" s="488"/>
      <c r="M210" s="488"/>
      <c r="N210" s="488"/>
      <c r="O210" s="488"/>
      <c r="P210" s="488"/>
      <c r="Q210" s="488"/>
      <c r="R210" s="488"/>
      <c r="S210" s="488"/>
      <c r="T210" s="488"/>
      <c r="U210" s="488"/>
      <c r="V210" s="488"/>
      <c r="W210" s="488"/>
      <c r="X210" s="354"/>
      <c r="Y210" s="354"/>
      <c r="Z210" s="353"/>
      <c r="AA210" s="353" t="s">
        <v>5616</v>
      </c>
      <c r="AB210" s="836"/>
      <c r="AC210" s="836"/>
      <c r="AD210" s="836"/>
      <c r="AE210" s="838"/>
    </row>
    <row r="211" spans="1:31" ht="16.5" customHeight="1">
      <c r="A211" s="347">
        <v>26823831</v>
      </c>
      <c r="B211" s="347" t="s">
        <v>4330</v>
      </c>
      <c r="C211" s="347" t="s">
        <v>5617</v>
      </c>
      <c r="D211" s="348">
        <v>14732</v>
      </c>
      <c r="E211" s="348" t="s">
        <v>2730</v>
      </c>
      <c r="F211" s="348" t="s">
        <v>2069</v>
      </c>
      <c r="G211" s="348">
        <v>41400</v>
      </c>
      <c r="H211" s="358" t="s">
        <v>238</v>
      </c>
      <c r="I211" s="352"/>
      <c r="J211" s="353"/>
      <c r="K211" s="538">
        <v>9999</v>
      </c>
      <c r="L211" s="353"/>
      <c r="M211" s="488"/>
      <c r="N211" s="488"/>
      <c r="O211" s="488"/>
      <c r="P211" s="488"/>
      <c r="Q211" s="488"/>
      <c r="R211" s="488"/>
      <c r="S211" s="488"/>
      <c r="T211" s="488"/>
      <c r="U211" s="488"/>
      <c r="V211" s="488"/>
      <c r="W211" s="488"/>
      <c r="X211" s="354"/>
      <c r="Y211" s="354"/>
      <c r="Z211" s="353"/>
      <c r="AA211" s="353"/>
      <c r="AB211" s="836"/>
      <c r="AC211" s="836"/>
      <c r="AD211" s="842"/>
      <c r="AE211" s="837"/>
    </row>
    <row r="212" spans="1:31" ht="16.5" customHeight="1">
      <c r="A212" s="347">
        <v>27283589</v>
      </c>
      <c r="B212" s="347" t="s">
        <v>3764</v>
      </c>
      <c r="C212" s="347" t="s">
        <v>4777</v>
      </c>
      <c r="D212" s="348">
        <v>11970</v>
      </c>
      <c r="E212" s="348" t="s">
        <v>5618</v>
      </c>
      <c r="F212" s="348" t="s">
        <v>2106</v>
      </c>
      <c r="G212" s="348">
        <v>41852</v>
      </c>
      <c r="H212" s="358"/>
      <c r="I212" s="352"/>
      <c r="J212" s="353"/>
      <c r="K212" s="538">
        <v>15633.9</v>
      </c>
      <c r="L212" s="353"/>
      <c r="M212" s="488"/>
      <c r="N212" s="488"/>
      <c r="O212" s="488"/>
      <c r="P212" s="488"/>
      <c r="Q212" s="488"/>
      <c r="R212" s="488"/>
      <c r="S212" s="488"/>
      <c r="T212" s="488"/>
      <c r="U212" s="488" t="s">
        <v>238</v>
      </c>
      <c r="V212" s="488"/>
      <c r="W212" s="488"/>
      <c r="X212" s="354"/>
      <c r="Y212" s="354"/>
      <c r="Z212" s="353"/>
      <c r="AA212" s="353"/>
      <c r="AB212" s="836"/>
      <c r="AC212" s="836"/>
      <c r="AD212" s="836"/>
      <c r="AE212" s="838"/>
    </row>
    <row r="213" spans="1:31" ht="16.5" customHeight="1">
      <c r="A213" s="347">
        <v>18253740</v>
      </c>
      <c r="B213" s="347" t="s">
        <v>2697</v>
      </c>
      <c r="C213" s="347" t="s">
        <v>5619</v>
      </c>
      <c r="D213" s="348">
        <v>12770</v>
      </c>
      <c r="E213" s="348" t="s">
        <v>5620</v>
      </c>
      <c r="F213" s="348" t="s">
        <v>2185</v>
      </c>
      <c r="G213" s="348">
        <v>40525</v>
      </c>
      <c r="H213" s="358"/>
      <c r="I213" s="352"/>
      <c r="J213" s="353"/>
      <c r="K213" s="538">
        <v>9007.77</v>
      </c>
      <c r="L213" s="353"/>
      <c r="M213" s="488"/>
      <c r="N213" s="488"/>
      <c r="O213" s="488"/>
      <c r="P213" s="488"/>
      <c r="Q213" s="488"/>
      <c r="R213" s="488"/>
      <c r="S213" s="488"/>
      <c r="T213" s="488"/>
      <c r="U213" s="488" t="s">
        <v>238</v>
      </c>
      <c r="V213" s="488"/>
      <c r="W213" s="488"/>
      <c r="X213" s="354"/>
      <c r="Y213" s="354"/>
      <c r="Z213" s="353"/>
      <c r="AA213" s="353"/>
      <c r="AB213" s="836"/>
      <c r="AC213" s="836"/>
      <c r="AD213" s="836"/>
      <c r="AE213" s="838"/>
    </row>
    <row r="214" spans="1:31" ht="16.5" customHeight="1">
      <c r="A214" s="347">
        <v>17882929</v>
      </c>
      <c r="B214" s="347" t="s">
        <v>5621</v>
      </c>
      <c r="C214" s="347" t="s">
        <v>3980</v>
      </c>
      <c r="D214" s="347"/>
      <c r="E214" s="347" t="s">
        <v>4424</v>
      </c>
      <c r="F214" s="347" t="s">
        <v>2089</v>
      </c>
      <c r="G214" s="348">
        <v>37431</v>
      </c>
      <c r="H214" s="358" t="s">
        <v>238</v>
      </c>
      <c r="I214" s="352"/>
      <c r="J214" s="353"/>
      <c r="K214" s="538">
        <v>9999</v>
      </c>
      <c r="L214" s="353"/>
      <c r="M214" s="488"/>
      <c r="N214" s="488"/>
      <c r="O214" s="488"/>
      <c r="P214" s="488"/>
      <c r="Q214" s="488"/>
      <c r="R214" s="488"/>
      <c r="S214" s="488"/>
      <c r="T214" s="488"/>
      <c r="U214" s="488" t="s">
        <v>238</v>
      </c>
      <c r="V214" s="488"/>
      <c r="W214" s="488"/>
      <c r="X214" s="354"/>
      <c r="Y214" s="354"/>
      <c r="Z214" s="353"/>
      <c r="AA214" s="353"/>
      <c r="AB214" s="836"/>
      <c r="AC214" s="836"/>
      <c r="AD214" s="836"/>
      <c r="AE214" s="837"/>
    </row>
    <row r="215" spans="1:31" ht="16.5" customHeight="1">
      <c r="A215" s="347">
        <v>40258014</v>
      </c>
      <c r="B215" s="347" t="s">
        <v>2532</v>
      </c>
      <c r="C215" s="347" t="s">
        <v>5622</v>
      </c>
      <c r="D215" s="348">
        <v>12651</v>
      </c>
      <c r="E215" s="348" t="s">
        <v>4312</v>
      </c>
      <c r="F215" s="348" t="s">
        <v>2081</v>
      </c>
      <c r="G215" s="348">
        <v>39199</v>
      </c>
      <c r="H215" s="358"/>
      <c r="I215" s="352"/>
      <c r="J215" s="353"/>
      <c r="K215" s="538">
        <v>9999</v>
      </c>
      <c r="L215" s="488"/>
      <c r="M215" s="488"/>
      <c r="N215" s="353"/>
      <c r="O215" s="488"/>
      <c r="P215" s="488"/>
      <c r="Q215" s="488"/>
      <c r="R215" s="488"/>
      <c r="S215" s="488"/>
      <c r="T215" s="488"/>
      <c r="U215" s="488" t="s">
        <v>238</v>
      </c>
      <c r="V215" s="488"/>
      <c r="W215" s="488"/>
      <c r="X215" s="354"/>
      <c r="Y215" s="354"/>
      <c r="Z215" s="353"/>
      <c r="AA215" s="353"/>
      <c r="AB215" s="836"/>
      <c r="AC215" s="836"/>
      <c r="AD215" s="836"/>
      <c r="AE215" s="837"/>
    </row>
    <row r="216" spans="1:31" ht="16.5" customHeight="1">
      <c r="A216" s="347">
        <v>2407872</v>
      </c>
      <c r="B216" s="347" t="s">
        <v>5623</v>
      </c>
      <c r="C216" s="347" t="s">
        <v>5624</v>
      </c>
      <c r="D216" s="348">
        <v>21051</v>
      </c>
      <c r="E216" s="348" t="s">
        <v>3576</v>
      </c>
      <c r="F216" s="348" t="s">
        <v>2446</v>
      </c>
      <c r="G216" s="348">
        <v>41120</v>
      </c>
      <c r="H216" s="358"/>
      <c r="I216" s="352"/>
      <c r="J216" s="353"/>
      <c r="K216" s="538">
        <v>9999</v>
      </c>
      <c r="L216" s="488"/>
      <c r="M216" s="488"/>
      <c r="N216" s="488"/>
      <c r="O216" s="488"/>
      <c r="P216" s="488"/>
      <c r="Q216" s="488"/>
      <c r="R216" s="488"/>
      <c r="S216" s="353"/>
      <c r="T216" s="488"/>
      <c r="U216" s="488"/>
      <c r="V216" s="488"/>
      <c r="W216" s="488"/>
      <c r="X216" s="354"/>
      <c r="Y216" s="354"/>
      <c r="Z216" s="353"/>
      <c r="AA216" s="353"/>
      <c r="AB216" s="836"/>
      <c r="AC216" s="836"/>
      <c r="AD216" s="836"/>
      <c r="AE216" s="837"/>
    </row>
    <row r="217" spans="1:31" ht="16.5" customHeight="1">
      <c r="A217" s="347">
        <v>539528</v>
      </c>
      <c r="B217" s="347" t="s">
        <v>2558</v>
      </c>
      <c r="C217" s="347" t="s">
        <v>5625</v>
      </c>
      <c r="D217" s="348">
        <v>12376</v>
      </c>
      <c r="E217" s="348" t="s">
        <v>4312</v>
      </c>
      <c r="F217" s="348" t="s">
        <v>2081</v>
      </c>
      <c r="G217" s="348">
        <v>39569</v>
      </c>
      <c r="H217" s="358"/>
      <c r="I217" s="352"/>
      <c r="J217" s="353"/>
      <c r="K217" s="538">
        <v>9999</v>
      </c>
      <c r="L217" s="353"/>
      <c r="M217" s="488"/>
      <c r="N217" s="488"/>
      <c r="O217" s="488"/>
      <c r="P217" s="488"/>
      <c r="Q217" s="488"/>
      <c r="R217" s="488"/>
      <c r="S217" s="488"/>
      <c r="T217" s="488"/>
      <c r="U217" s="488"/>
      <c r="V217" s="488"/>
      <c r="W217" s="488"/>
      <c r="X217" s="354"/>
      <c r="Y217" s="354"/>
      <c r="Z217" s="353"/>
      <c r="AA217" s="353" t="s">
        <v>5626</v>
      </c>
      <c r="AB217" s="836"/>
      <c r="AC217" s="836"/>
      <c r="AD217" s="836"/>
      <c r="AE217" s="838"/>
    </row>
    <row r="218" spans="1:31" ht="16.5" customHeight="1">
      <c r="A218" s="347">
        <v>10134609</v>
      </c>
      <c r="B218" s="347" t="s">
        <v>5249</v>
      </c>
      <c r="C218" s="347" t="s">
        <v>5627</v>
      </c>
      <c r="D218" s="348">
        <v>13885</v>
      </c>
      <c r="E218" s="348" t="s">
        <v>5628</v>
      </c>
      <c r="F218" s="348" t="s">
        <v>2064</v>
      </c>
      <c r="G218" s="348">
        <v>41537</v>
      </c>
      <c r="H218" s="358"/>
      <c r="I218" s="352"/>
      <c r="J218" s="353"/>
      <c r="K218" s="538">
        <v>11253</v>
      </c>
      <c r="L218" s="353"/>
      <c r="M218" s="488"/>
      <c r="N218" s="488"/>
      <c r="O218" s="488"/>
      <c r="P218" s="488"/>
      <c r="Q218" s="488"/>
      <c r="R218" s="488"/>
      <c r="S218" s="488"/>
      <c r="T218" s="488"/>
      <c r="U218" s="488" t="s">
        <v>238</v>
      </c>
      <c r="V218" s="488"/>
      <c r="W218" s="488"/>
      <c r="X218" s="354"/>
      <c r="Y218" s="355"/>
      <c r="Z218" s="353"/>
      <c r="AA218" s="353"/>
      <c r="AB218" s="836"/>
      <c r="AC218" s="836"/>
      <c r="AD218" s="836"/>
      <c r="AE218" s="837"/>
    </row>
    <row r="219" spans="1:31" ht="16.5" customHeight="1">
      <c r="A219" s="347">
        <v>69476</v>
      </c>
      <c r="B219" s="347" t="s">
        <v>5629</v>
      </c>
      <c r="C219" s="347" t="s">
        <v>5630</v>
      </c>
      <c r="D219" s="348">
        <v>15738</v>
      </c>
      <c r="E219" s="348" t="s">
        <v>5631</v>
      </c>
      <c r="F219" s="348" t="s">
        <v>2046</v>
      </c>
      <c r="G219" s="348">
        <v>37435</v>
      </c>
      <c r="H219" s="358"/>
      <c r="I219" s="352"/>
      <c r="J219" s="353" t="s">
        <v>238</v>
      </c>
      <c r="K219" s="538">
        <v>9999</v>
      </c>
      <c r="L219" s="353" t="s">
        <v>238</v>
      </c>
      <c r="M219" s="488" t="s">
        <v>238</v>
      </c>
      <c r="N219" s="488"/>
      <c r="O219" s="488"/>
      <c r="P219" s="488"/>
      <c r="Q219" s="488"/>
      <c r="R219" s="488"/>
      <c r="S219" s="488"/>
      <c r="T219" s="488"/>
      <c r="U219" s="488"/>
      <c r="V219" s="488"/>
      <c r="W219" s="488"/>
      <c r="X219" s="354"/>
      <c r="Y219" s="355"/>
      <c r="Z219" s="353" t="s">
        <v>238</v>
      </c>
      <c r="AA219" s="353"/>
      <c r="AB219" s="836"/>
      <c r="AC219" s="836"/>
      <c r="AD219" s="836"/>
      <c r="AE219" s="837"/>
    </row>
    <row r="220" spans="1:31" ht="16.5" customHeight="1">
      <c r="A220" s="347">
        <v>69476</v>
      </c>
      <c r="B220" s="347" t="s">
        <v>3080</v>
      </c>
      <c r="C220" s="347" t="s">
        <v>5630</v>
      </c>
      <c r="D220" s="745">
        <v>13724</v>
      </c>
      <c r="E220" s="361" t="s">
        <v>5631</v>
      </c>
      <c r="F220" s="361" t="s">
        <v>2046</v>
      </c>
      <c r="G220" s="348"/>
      <c r="H220" s="358"/>
      <c r="I220" s="352"/>
      <c r="J220" s="353" t="s">
        <v>238</v>
      </c>
      <c r="K220" s="538">
        <v>9999</v>
      </c>
      <c r="L220" s="353" t="s">
        <v>238</v>
      </c>
      <c r="M220" s="488" t="s">
        <v>238</v>
      </c>
      <c r="N220" s="488"/>
      <c r="O220" s="488"/>
      <c r="P220" s="488"/>
      <c r="Q220" s="488"/>
      <c r="R220" s="488"/>
      <c r="S220" s="488"/>
      <c r="T220" s="488"/>
      <c r="U220" s="488"/>
      <c r="V220" s="488"/>
      <c r="W220" s="488"/>
      <c r="X220" s="354"/>
      <c r="Y220" s="354"/>
      <c r="Z220" s="353" t="s">
        <v>238</v>
      </c>
      <c r="AA220" s="353" t="s">
        <v>5632</v>
      </c>
      <c r="AB220" s="836"/>
      <c r="AC220" s="836"/>
      <c r="AD220" s="836"/>
      <c r="AE220" s="837"/>
    </row>
    <row r="221" spans="1:31" ht="16.5" customHeight="1">
      <c r="A221" s="347">
        <v>11406550</v>
      </c>
      <c r="B221" s="347" t="s">
        <v>2523</v>
      </c>
      <c r="C221" s="347" t="s">
        <v>5633</v>
      </c>
      <c r="D221" s="348">
        <v>12837</v>
      </c>
      <c r="E221" s="347" t="s">
        <v>5634</v>
      </c>
      <c r="F221" s="347" t="s">
        <v>2046</v>
      </c>
      <c r="G221" s="348">
        <v>40505</v>
      </c>
      <c r="H221" s="358"/>
      <c r="I221" s="352"/>
      <c r="J221" s="353"/>
      <c r="K221" s="538">
        <v>8396.4</v>
      </c>
      <c r="L221" s="488"/>
      <c r="M221" s="488"/>
      <c r="N221" s="488"/>
      <c r="O221" s="353"/>
      <c r="P221" s="488"/>
      <c r="Q221" s="488"/>
      <c r="R221" s="488"/>
      <c r="S221" s="488"/>
      <c r="T221" s="488"/>
      <c r="U221" s="488" t="s">
        <v>238</v>
      </c>
      <c r="V221" s="488"/>
      <c r="W221" s="488"/>
      <c r="X221" s="354"/>
      <c r="Y221" s="354"/>
      <c r="Z221" s="353"/>
      <c r="AA221" s="353"/>
      <c r="AB221" s="836"/>
      <c r="AC221" s="836"/>
      <c r="AD221" s="836"/>
      <c r="AE221" s="838"/>
    </row>
    <row r="222" spans="1:31" ht="16.5" customHeight="1">
      <c r="A222" s="347">
        <v>9701574</v>
      </c>
      <c r="B222" s="347" t="s">
        <v>2541</v>
      </c>
      <c r="C222" s="347" t="s">
        <v>2542</v>
      </c>
      <c r="D222" s="348">
        <v>16700</v>
      </c>
      <c r="E222" s="348" t="s">
        <v>2543</v>
      </c>
      <c r="F222" s="348" t="s">
        <v>2055</v>
      </c>
      <c r="G222" s="348">
        <v>43318</v>
      </c>
      <c r="H222" s="358"/>
      <c r="I222" s="352"/>
      <c r="J222" s="353"/>
      <c r="K222" s="538">
        <v>11507.55</v>
      </c>
      <c r="L222" s="488"/>
      <c r="M222" s="488"/>
      <c r="N222" s="488"/>
      <c r="O222" s="488"/>
      <c r="P222" s="488"/>
      <c r="Q222" s="488"/>
      <c r="R222" s="488"/>
      <c r="S222" s="488"/>
      <c r="T222" s="488"/>
      <c r="U222" s="488" t="s">
        <v>238</v>
      </c>
      <c r="V222" s="488"/>
      <c r="W222" s="488"/>
      <c r="X222" s="353"/>
      <c r="Y222" s="355"/>
      <c r="Z222" s="353"/>
      <c r="AA222" s="353" t="s">
        <v>5635</v>
      </c>
      <c r="AB222" s="836"/>
      <c r="AC222" s="836"/>
      <c r="AD222" s="836"/>
      <c r="AE222" s="837"/>
    </row>
    <row r="223" spans="1:31" ht="16.5" customHeight="1">
      <c r="A223" s="347">
        <v>100004809</v>
      </c>
      <c r="B223" s="347" t="s">
        <v>5636</v>
      </c>
      <c r="C223" s="347" t="s">
        <v>5637</v>
      </c>
      <c r="D223" s="348">
        <v>15720</v>
      </c>
      <c r="E223" s="348" t="s">
        <v>3356</v>
      </c>
      <c r="F223" s="348" t="s">
        <v>2313</v>
      </c>
      <c r="G223" s="348">
        <v>37937</v>
      </c>
      <c r="H223" s="358" t="s">
        <v>238</v>
      </c>
      <c r="I223" s="352"/>
      <c r="J223" s="353"/>
      <c r="K223" s="538">
        <v>9999</v>
      </c>
      <c r="L223" s="488"/>
      <c r="M223" s="488"/>
      <c r="N223" s="488"/>
      <c r="O223" s="353"/>
      <c r="P223" s="488"/>
      <c r="Q223" s="488"/>
      <c r="R223" s="488"/>
      <c r="S223" s="488"/>
      <c r="T223" s="488"/>
      <c r="U223" s="488"/>
      <c r="V223" s="488"/>
      <c r="W223" s="488"/>
      <c r="X223" s="354"/>
      <c r="Y223" s="354"/>
      <c r="Z223" s="353"/>
      <c r="AA223" s="353"/>
      <c r="AB223" s="836"/>
      <c r="AC223" s="836"/>
      <c r="AD223" s="842"/>
      <c r="AE223" s="837"/>
    </row>
    <row r="224" spans="1:31" ht="16.5" customHeight="1">
      <c r="A224" s="347">
        <v>7372071</v>
      </c>
      <c r="B224" s="347" t="s">
        <v>5638</v>
      </c>
      <c r="C224" s="348" t="s">
        <v>5639</v>
      </c>
      <c r="D224" s="348">
        <v>9910</v>
      </c>
      <c r="E224" s="348" t="s">
        <v>4206</v>
      </c>
      <c r="F224" s="348" t="s">
        <v>2072</v>
      </c>
      <c r="G224" s="348">
        <v>42705</v>
      </c>
      <c r="H224" s="358"/>
      <c r="I224" s="352"/>
      <c r="J224" s="353"/>
      <c r="K224" s="538">
        <v>9999</v>
      </c>
      <c r="L224" s="488"/>
      <c r="M224" s="488"/>
      <c r="N224" s="488"/>
      <c r="O224" s="488"/>
      <c r="P224" s="488"/>
      <c r="Q224" s="488"/>
      <c r="R224" s="488"/>
      <c r="S224" s="488"/>
      <c r="T224" s="488"/>
      <c r="U224" s="488"/>
      <c r="V224" s="488"/>
      <c r="W224" s="488"/>
      <c r="X224" s="354"/>
      <c r="Y224" s="354"/>
      <c r="Z224" s="353"/>
      <c r="AA224" s="353"/>
      <c r="AB224" s="836"/>
      <c r="AC224" s="836"/>
      <c r="AD224" s="836"/>
      <c r="AE224" s="838"/>
    </row>
    <row r="225" spans="1:31" ht="16.5" customHeight="1">
      <c r="A225" s="347">
        <v>10129187</v>
      </c>
      <c r="B225" s="347" t="s">
        <v>2697</v>
      </c>
      <c r="C225" s="348" t="s">
        <v>5640</v>
      </c>
      <c r="D225" s="348">
        <v>17481</v>
      </c>
      <c r="E225" s="348" t="s">
        <v>3987</v>
      </c>
      <c r="F225" s="348" t="s">
        <v>2313</v>
      </c>
      <c r="G225" s="348">
        <v>42198</v>
      </c>
      <c r="H225" s="358"/>
      <c r="I225" s="352"/>
      <c r="J225" s="353"/>
      <c r="K225" s="538" t="s">
        <v>69</v>
      </c>
      <c r="L225" s="488"/>
      <c r="M225" s="488"/>
      <c r="N225" s="488"/>
      <c r="O225" s="488"/>
      <c r="P225" s="488"/>
      <c r="Q225" s="488"/>
      <c r="R225" s="488"/>
      <c r="S225" s="488"/>
      <c r="T225" s="488"/>
      <c r="U225" s="488" t="s">
        <v>238</v>
      </c>
      <c r="V225" s="488"/>
      <c r="W225" s="488"/>
      <c r="X225" s="354"/>
      <c r="Y225" s="354"/>
      <c r="Z225" s="353" t="s">
        <v>238</v>
      </c>
      <c r="AA225" s="353"/>
      <c r="AB225" s="836"/>
      <c r="AC225" s="836"/>
      <c r="AD225" s="836"/>
      <c r="AE225" s="838"/>
    </row>
    <row r="226" spans="1:31" ht="16.5" customHeight="1">
      <c r="A226" s="347">
        <v>10129187</v>
      </c>
      <c r="B226" s="347" t="s">
        <v>3293</v>
      </c>
      <c r="C226" s="347" t="s">
        <v>5640</v>
      </c>
      <c r="D226" s="348">
        <v>17553</v>
      </c>
      <c r="E226" s="348" t="s">
        <v>3987</v>
      </c>
      <c r="F226" s="348" t="s">
        <v>2313</v>
      </c>
      <c r="G226" s="348">
        <v>42198</v>
      </c>
      <c r="H226" s="358"/>
      <c r="I226" s="352"/>
      <c r="J226" s="353"/>
      <c r="K226" s="538">
        <v>7066.5</v>
      </c>
      <c r="L226" s="353"/>
      <c r="M226" s="488"/>
      <c r="N226" s="488"/>
      <c r="O226" s="488"/>
      <c r="P226" s="488"/>
      <c r="Q226" s="488"/>
      <c r="R226" s="488"/>
      <c r="S226" s="488"/>
      <c r="T226" s="488"/>
      <c r="U226" s="488" t="s">
        <v>238</v>
      </c>
      <c r="V226" s="488"/>
      <c r="W226" s="488"/>
      <c r="X226" s="354"/>
      <c r="Y226" s="354"/>
      <c r="Z226" s="353" t="s">
        <v>238</v>
      </c>
      <c r="AA226" s="353" t="s">
        <v>5641</v>
      </c>
      <c r="AB226" s="836"/>
      <c r="AC226" s="836"/>
      <c r="AD226" s="836"/>
      <c r="AE226" s="837"/>
    </row>
    <row r="227" spans="1:31" ht="16.5" customHeight="1">
      <c r="A227" s="347">
        <v>1356641</v>
      </c>
      <c r="B227" s="347" t="s">
        <v>5400</v>
      </c>
      <c r="C227" s="348" t="s">
        <v>5642</v>
      </c>
      <c r="D227" s="348">
        <v>16011</v>
      </c>
      <c r="E227" s="348" t="s">
        <v>5643</v>
      </c>
      <c r="F227" s="348" t="s">
        <v>2081</v>
      </c>
      <c r="G227" s="348">
        <v>38352</v>
      </c>
      <c r="H227" s="358"/>
      <c r="I227" s="352"/>
      <c r="J227" s="353"/>
      <c r="K227" s="538">
        <v>7013.9</v>
      </c>
      <c r="L227" s="488"/>
      <c r="M227" s="488"/>
      <c r="N227" s="488"/>
      <c r="O227" s="488"/>
      <c r="P227" s="488"/>
      <c r="Q227" s="488"/>
      <c r="R227" s="488"/>
      <c r="S227" s="488"/>
      <c r="T227" s="488"/>
      <c r="U227" s="488" t="s">
        <v>238</v>
      </c>
      <c r="V227" s="488"/>
      <c r="W227" s="488"/>
      <c r="X227" s="354"/>
      <c r="Y227" s="354"/>
      <c r="Z227" s="353"/>
      <c r="AA227" s="353" t="s">
        <v>5644</v>
      </c>
      <c r="AB227" s="836"/>
      <c r="AC227" s="836"/>
      <c r="AD227" s="836"/>
      <c r="AE227" s="838"/>
    </row>
    <row r="228" spans="1:31" ht="16.5" customHeight="1">
      <c r="A228" s="347">
        <v>100004471</v>
      </c>
      <c r="B228" s="347" t="s">
        <v>3444</v>
      </c>
      <c r="C228" s="347" t="s">
        <v>5645</v>
      </c>
      <c r="D228" s="348">
        <v>11321</v>
      </c>
      <c r="E228" s="348" t="s">
        <v>2737</v>
      </c>
      <c r="F228" s="348" t="s">
        <v>2059</v>
      </c>
      <c r="G228" s="348">
        <v>38917</v>
      </c>
      <c r="H228" s="358"/>
      <c r="I228" s="352"/>
      <c r="J228" s="353"/>
      <c r="K228" s="538">
        <v>9999</v>
      </c>
      <c r="L228" s="353"/>
      <c r="M228" s="488"/>
      <c r="N228" s="488"/>
      <c r="O228" s="488"/>
      <c r="P228" s="488"/>
      <c r="Q228" s="488"/>
      <c r="R228" s="488"/>
      <c r="S228" s="488"/>
      <c r="T228" s="488"/>
      <c r="U228" s="488"/>
      <c r="V228" s="488"/>
      <c r="W228" s="488"/>
      <c r="X228" s="354"/>
      <c r="Y228" s="354"/>
      <c r="Z228" s="353"/>
      <c r="AA228" s="353"/>
      <c r="AB228" s="836"/>
      <c r="AC228" s="836"/>
      <c r="AD228" s="836"/>
      <c r="AE228" s="837"/>
    </row>
    <row r="229" spans="1:31" ht="16.5" customHeight="1">
      <c r="A229" s="347">
        <v>56562002</v>
      </c>
      <c r="B229" s="347" t="s">
        <v>2898</v>
      </c>
      <c r="C229" s="347" t="s">
        <v>5646</v>
      </c>
      <c r="D229" s="348">
        <v>16103</v>
      </c>
      <c r="E229" s="348" t="s">
        <v>4634</v>
      </c>
      <c r="F229" s="348" t="s">
        <v>2162</v>
      </c>
      <c r="G229" s="348">
        <v>42143</v>
      </c>
      <c r="H229" s="358"/>
      <c r="I229" s="352"/>
      <c r="J229" s="353"/>
      <c r="K229" s="538">
        <v>9791.5</v>
      </c>
      <c r="L229" s="488"/>
      <c r="M229" s="353"/>
      <c r="N229" s="488"/>
      <c r="O229" s="488"/>
      <c r="P229" s="488"/>
      <c r="Q229" s="488"/>
      <c r="R229" s="488"/>
      <c r="S229" s="488"/>
      <c r="T229" s="488"/>
      <c r="U229" s="488" t="s">
        <v>238</v>
      </c>
      <c r="V229" s="488"/>
      <c r="W229" s="488"/>
      <c r="X229" s="354"/>
      <c r="Y229" s="354"/>
      <c r="Z229" s="353"/>
      <c r="AA229" s="353" t="s">
        <v>5647</v>
      </c>
      <c r="AB229" s="836"/>
      <c r="AC229" s="836"/>
      <c r="AD229" s="836"/>
      <c r="AE229" s="837"/>
    </row>
    <row r="230" spans="1:31" ht="16.5" customHeight="1">
      <c r="A230" s="347">
        <v>100004880</v>
      </c>
      <c r="B230" s="347" t="s">
        <v>5648</v>
      </c>
      <c r="C230" s="348" t="s">
        <v>5649</v>
      </c>
      <c r="D230" s="348"/>
      <c r="E230" s="348" t="s">
        <v>2582</v>
      </c>
      <c r="F230" s="348" t="s">
        <v>2174</v>
      </c>
      <c r="G230" s="348">
        <v>37657</v>
      </c>
      <c r="H230" s="358" t="s">
        <v>238</v>
      </c>
      <c r="I230" s="352"/>
      <c r="J230" s="353"/>
      <c r="K230" s="538">
        <v>9999</v>
      </c>
      <c r="L230" s="353"/>
      <c r="M230" s="488"/>
      <c r="N230" s="488"/>
      <c r="O230" s="488"/>
      <c r="P230" s="488"/>
      <c r="Q230" s="488"/>
      <c r="R230" s="488"/>
      <c r="S230" s="488"/>
      <c r="T230" s="488"/>
      <c r="U230" s="488"/>
      <c r="V230" s="488"/>
      <c r="W230" s="488"/>
      <c r="X230" s="354"/>
      <c r="Y230" s="354"/>
      <c r="Z230" s="353"/>
      <c r="AA230" s="353"/>
      <c r="AB230" s="836"/>
      <c r="AC230" s="836"/>
      <c r="AD230" s="842"/>
      <c r="AE230" s="837"/>
    </row>
    <row r="231" spans="1:31" ht="16.5" customHeight="1">
      <c r="A231" s="347">
        <v>10741395</v>
      </c>
      <c r="B231" s="347" t="s">
        <v>4943</v>
      </c>
      <c r="C231" s="348" t="s">
        <v>2510</v>
      </c>
      <c r="D231" s="348">
        <v>10636</v>
      </c>
      <c r="E231" s="348" t="s">
        <v>2888</v>
      </c>
      <c r="F231" s="348" t="s">
        <v>2274</v>
      </c>
      <c r="G231" s="348">
        <v>41864</v>
      </c>
      <c r="H231" s="358"/>
      <c r="I231" s="352"/>
      <c r="J231" s="353"/>
      <c r="K231" s="538">
        <v>14413.75</v>
      </c>
      <c r="L231" s="353"/>
      <c r="M231" s="488"/>
      <c r="N231" s="488"/>
      <c r="O231" s="488"/>
      <c r="P231" s="488"/>
      <c r="Q231" s="488"/>
      <c r="R231" s="488"/>
      <c r="S231" s="488"/>
      <c r="T231" s="488"/>
      <c r="U231" s="488" t="s">
        <v>238</v>
      </c>
      <c r="V231" s="488"/>
      <c r="W231" s="488"/>
      <c r="X231" s="354"/>
      <c r="Y231" s="354"/>
      <c r="Z231" s="353"/>
      <c r="AA231" s="353"/>
      <c r="AB231" s="836"/>
      <c r="AC231" s="836"/>
      <c r="AD231" s="842"/>
      <c r="AE231" s="837"/>
    </row>
    <row r="232" spans="1:31" ht="16.5" customHeight="1">
      <c r="A232" s="347">
        <v>24024283</v>
      </c>
      <c r="B232" s="347" t="s">
        <v>3101</v>
      </c>
      <c r="C232" s="347" t="s">
        <v>5650</v>
      </c>
      <c r="D232" s="348">
        <v>11656</v>
      </c>
      <c r="E232" s="348" t="s">
        <v>4742</v>
      </c>
      <c r="F232" s="348" t="s">
        <v>2072</v>
      </c>
      <c r="G232" s="348">
        <v>37460</v>
      </c>
      <c r="H232" s="358"/>
      <c r="I232" s="352"/>
      <c r="J232" s="353"/>
      <c r="K232" s="538">
        <v>9614.5</v>
      </c>
      <c r="L232" s="488"/>
      <c r="M232" s="488"/>
      <c r="N232" s="488"/>
      <c r="O232" s="488"/>
      <c r="P232" s="488"/>
      <c r="Q232" s="488"/>
      <c r="R232" s="488"/>
      <c r="S232" s="488"/>
      <c r="T232" s="488"/>
      <c r="U232" s="488" t="s">
        <v>238</v>
      </c>
      <c r="V232" s="488"/>
      <c r="W232" s="488"/>
      <c r="X232" s="354"/>
      <c r="Y232" s="354"/>
      <c r="Z232" s="353"/>
      <c r="AA232" s="353"/>
      <c r="AB232" s="836"/>
      <c r="AC232" s="836"/>
      <c r="AD232" s="836"/>
      <c r="AE232" s="838"/>
    </row>
    <row r="233" spans="1:31" ht="16.5" customHeight="1">
      <c r="A233" s="347">
        <v>31136146</v>
      </c>
      <c r="B233" s="347" t="s">
        <v>4587</v>
      </c>
      <c r="C233" s="347" t="s">
        <v>5651</v>
      </c>
      <c r="D233" s="348">
        <v>16893</v>
      </c>
      <c r="E233" s="348" t="s">
        <v>3371</v>
      </c>
      <c r="F233" s="348" t="s">
        <v>2174</v>
      </c>
      <c r="G233" s="348">
        <v>41876</v>
      </c>
      <c r="H233" s="358"/>
      <c r="I233" s="352"/>
      <c r="J233" s="353"/>
      <c r="K233" s="538">
        <v>9999</v>
      </c>
      <c r="L233" s="488"/>
      <c r="M233" s="488"/>
      <c r="N233" s="488"/>
      <c r="O233" s="488"/>
      <c r="P233" s="488"/>
      <c r="Q233" s="488"/>
      <c r="R233" s="488"/>
      <c r="S233" s="488"/>
      <c r="T233" s="488"/>
      <c r="U233" s="488"/>
      <c r="V233" s="488"/>
      <c r="W233" s="488"/>
      <c r="X233" s="354"/>
      <c r="Y233" s="354"/>
      <c r="Z233" s="353"/>
      <c r="AA233" s="353"/>
      <c r="AB233" s="836"/>
      <c r="AC233" s="836"/>
      <c r="AD233" s="836"/>
      <c r="AE233" s="838"/>
    </row>
    <row r="234" spans="1:31" ht="16.5" customHeight="1">
      <c r="A234" s="347">
        <v>567503</v>
      </c>
      <c r="B234" s="347" t="s">
        <v>3047</v>
      </c>
      <c r="C234" s="347" t="s">
        <v>5652</v>
      </c>
      <c r="D234" s="348">
        <v>15607</v>
      </c>
      <c r="E234" s="348" t="s">
        <v>5653</v>
      </c>
      <c r="F234" s="348" t="s">
        <v>2081</v>
      </c>
      <c r="G234" s="348">
        <v>40945</v>
      </c>
      <c r="H234" s="358"/>
      <c r="I234" s="352"/>
      <c r="J234" s="353" t="s">
        <v>238</v>
      </c>
      <c r="K234" s="538">
        <v>9999</v>
      </c>
      <c r="L234" s="353" t="s">
        <v>238</v>
      </c>
      <c r="M234" s="488" t="s">
        <v>238</v>
      </c>
      <c r="N234" s="488"/>
      <c r="O234" s="488"/>
      <c r="P234" s="488"/>
      <c r="Q234" s="488"/>
      <c r="R234" s="488"/>
      <c r="S234" s="488"/>
      <c r="T234" s="488"/>
      <c r="U234" s="488"/>
      <c r="V234" s="488"/>
      <c r="W234" s="488"/>
      <c r="X234" s="354"/>
      <c r="Y234" s="354"/>
      <c r="Z234" s="353"/>
      <c r="AA234" s="353"/>
      <c r="AB234" s="836"/>
      <c r="AC234" s="836"/>
      <c r="AD234" s="836"/>
      <c r="AE234" s="837"/>
    </row>
    <row r="235" spans="1:31" ht="16.5" customHeight="1">
      <c r="A235" s="347">
        <v>17957416</v>
      </c>
      <c r="B235" s="347" t="s">
        <v>3101</v>
      </c>
      <c r="C235" s="347" t="s">
        <v>5654</v>
      </c>
      <c r="D235" s="348">
        <v>16330</v>
      </c>
      <c r="E235" s="348" t="s">
        <v>5655</v>
      </c>
      <c r="F235" s="348" t="s">
        <v>2112</v>
      </c>
      <c r="G235" s="348">
        <v>41655</v>
      </c>
      <c r="H235" s="358"/>
      <c r="I235" s="352"/>
      <c r="J235" s="353"/>
      <c r="K235" s="538"/>
      <c r="L235" s="353"/>
      <c r="M235" s="488"/>
      <c r="N235" s="488"/>
      <c r="O235" s="488"/>
      <c r="P235" s="488"/>
      <c r="Q235" s="488"/>
      <c r="R235" s="488"/>
      <c r="S235" s="488"/>
      <c r="T235" s="488"/>
      <c r="U235" s="488" t="s">
        <v>238</v>
      </c>
      <c r="V235" s="488"/>
      <c r="W235" s="488"/>
      <c r="X235" s="354"/>
      <c r="Y235" s="354"/>
      <c r="Z235" s="353" t="s">
        <v>238</v>
      </c>
      <c r="AA235" s="353"/>
      <c r="AB235" s="836"/>
      <c r="AC235" s="836"/>
      <c r="AD235" s="836"/>
      <c r="AE235" s="837"/>
    </row>
    <row r="236" spans="1:31" ht="16.5" customHeight="1">
      <c r="A236" s="347">
        <v>17957416</v>
      </c>
      <c r="B236" s="347" t="s">
        <v>5656</v>
      </c>
      <c r="C236" s="347" t="s">
        <v>5654</v>
      </c>
      <c r="D236" s="348">
        <v>16127</v>
      </c>
      <c r="E236" s="348" t="s">
        <v>5655</v>
      </c>
      <c r="F236" s="348" t="s">
        <v>2112</v>
      </c>
      <c r="G236" s="348">
        <v>41655</v>
      </c>
      <c r="H236" s="358"/>
      <c r="I236" s="352"/>
      <c r="J236" s="353"/>
      <c r="K236" s="539">
        <v>7825.5</v>
      </c>
      <c r="L236" s="488"/>
      <c r="M236" s="488"/>
      <c r="N236" s="488"/>
      <c r="O236" s="488"/>
      <c r="P236" s="488"/>
      <c r="Q236" s="353"/>
      <c r="R236" s="488"/>
      <c r="S236" s="488"/>
      <c r="T236" s="488"/>
      <c r="U236" s="488" t="s">
        <v>238</v>
      </c>
      <c r="V236" s="488"/>
      <c r="W236" s="488"/>
      <c r="X236" s="353"/>
      <c r="Y236" s="354"/>
      <c r="Z236" s="353" t="s">
        <v>238</v>
      </c>
      <c r="AA236" s="353"/>
      <c r="AB236" s="836"/>
      <c r="AC236" s="836"/>
      <c r="AD236" s="836"/>
      <c r="AE236" s="838"/>
    </row>
    <row r="237" spans="1:31" ht="16.5" customHeight="1">
      <c r="A237" s="347">
        <v>8461238</v>
      </c>
      <c r="B237" s="347" t="s">
        <v>5657</v>
      </c>
      <c r="C237" s="347" t="s">
        <v>5658</v>
      </c>
      <c r="D237" s="348">
        <v>11550</v>
      </c>
      <c r="E237" s="348" t="s">
        <v>5659</v>
      </c>
      <c r="F237" s="348" t="s">
        <v>2089</v>
      </c>
      <c r="G237" s="348">
        <v>37471</v>
      </c>
      <c r="H237" s="358" t="s">
        <v>238</v>
      </c>
      <c r="I237" s="352"/>
      <c r="J237" s="353"/>
      <c r="K237" s="538">
        <v>9412</v>
      </c>
      <c r="L237" s="488"/>
      <c r="M237" s="488"/>
      <c r="N237" s="488"/>
      <c r="O237" s="488"/>
      <c r="P237" s="488"/>
      <c r="Q237" s="488"/>
      <c r="R237" s="488"/>
      <c r="S237" s="488"/>
      <c r="T237" s="488"/>
      <c r="U237" s="488" t="s">
        <v>238</v>
      </c>
      <c r="V237" s="488"/>
      <c r="W237" s="488"/>
      <c r="X237" s="354"/>
      <c r="Y237" s="354"/>
      <c r="Z237" s="353"/>
      <c r="AA237" s="353" t="s">
        <v>5660</v>
      </c>
      <c r="AB237" s="836"/>
      <c r="AC237" s="836"/>
      <c r="AD237" s="836"/>
      <c r="AE237" s="838"/>
    </row>
    <row r="238" spans="1:31" ht="16.5" customHeight="1">
      <c r="A238" s="347">
        <v>6812903</v>
      </c>
      <c r="B238" s="347" t="s">
        <v>5661</v>
      </c>
      <c r="C238" s="347" t="s">
        <v>5662</v>
      </c>
      <c r="D238" s="348">
        <v>9712</v>
      </c>
      <c r="E238" s="348" t="s">
        <v>5663</v>
      </c>
      <c r="F238" s="348" t="s">
        <v>2112</v>
      </c>
      <c r="G238" s="348">
        <v>38803</v>
      </c>
      <c r="H238" s="358"/>
      <c r="I238" s="352"/>
      <c r="J238" s="353"/>
      <c r="K238" s="538">
        <v>12440.93</v>
      </c>
      <c r="L238" s="488"/>
      <c r="M238" s="488"/>
      <c r="N238" s="488"/>
      <c r="O238" s="488"/>
      <c r="P238" s="488"/>
      <c r="Q238" s="488"/>
      <c r="R238" s="488"/>
      <c r="S238" s="488"/>
      <c r="T238" s="488"/>
      <c r="U238" s="488" t="s">
        <v>238</v>
      </c>
      <c r="V238" s="488"/>
      <c r="W238" s="488"/>
      <c r="X238" s="354"/>
      <c r="Y238" s="354"/>
      <c r="Z238" s="353"/>
      <c r="AA238" s="353"/>
      <c r="AB238" s="836"/>
      <c r="AC238" s="836"/>
      <c r="AD238" s="836"/>
      <c r="AE238" s="838"/>
    </row>
    <row r="239" spans="1:31" ht="16.5" customHeight="1">
      <c r="A239" s="347">
        <v>92403492</v>
      </c>
      <c r="B239" s="347" t="s">
        <v>3246</v>
      </c>
      <c r="C239" s="347" t="s">
        <v>4983</v>
      </c>
      <c r="D239" s="348">
        <v>15724</v>
      </c>
      <c r="E239" s="348" t="s">
        <v>5664</v>
      </c>
      <c r="F239" s="348" t="s">
        <v>2081</v>
      </c>
      <c r="G239" s="348">
        <v>42620</v>
      </c>
      <c r="H239" s="358"/>
      <c r="I239" s="352"/>
      <c r="J239" s="353"/>
      <c r="K239" s="538">
        <v>10303</v>
      </c>
      <c r="L239" s="488"/>
      <c r="M239" s="488"/>
      <c r="N239" s="488"/>
      <c r="O239" s="488"/>
      <c r="P239" s="488"/>
      <c r="Q239" s="488"/>
      <c r="R239" s="488"/>
      <c r="S239" s="488"/>
      <c r="T239" s="488"/>
      <c r="U239" s="488" t="s">
        <v>238</v>
      </c>
      <c r="V239" s="488"/>
      <c r="W239" s="488"/>
      <c r="X239" s="354"/>
      <c r="Y239" s="354"/>
      <c r="Z239" s="353"/>
      <c r="AA239" s="353"/>
      <c r="AB239" s="836"/>
      <c r="AC239" s="836"/>
      <c r="AD239" s="836"/>
      <c r="AE239" s="838"/>
    </row>
    <row r="240" spans="1:31" ht="16.5" customHeight="1">
      <c r="A240" s="347">
        <v>36340701</v>
      </c>
      <c r="B240" s="347" t="s">
        <v>2697</v>
      </c>
      <c r="C240" s="347" t="s">
        <v>5468</v>
      </c>
      <c r="D240" s="348">
        <v>17573</v>
      </c>
      <c r="E240" s="348" t="s">
        <v>5665</v>
      </c>
      <c r="F240" s="348" t="s">
        <v>2240</v>
      </c>
      <c r="G240" s="348">
        <v>42824</v>
      </c>
      <c r="H240" s="358"/>
      <c r="I240" s="352"/>
      <c r="J240" s="353"/>
      <c r="K240" s="538">
        <v>9999</v>
      </c>
      <c r="L240" s="488"/>
      <c r="M240" s="488"/>
      <c r="N240" s="488"/>
      <c r="O240" s="488"/>
      <c r="P240" s="488"/>
      <c r="Q240" s="488"/>
      <c r="R240" s="488"/>
      <c r="S240" s="488"/>
      <c r="T240" s="488"/>
      <c r="U240" s="488"/>
      <c r="V240" s="488"/>
      <c r="W240" s="488"/>
      <c r="X240" s="354"/>
      <c r="Y240" s="354"/>
      <c r="Z240" s="353" t="s">
        <v>238</v>
      </c>
      <c r="AA240" s="353" t="s">
        <v>5666</v>
      </c>
      <c r="AB240" s="836"/>
      <c r="AC240" s="836"/>
      <c r="AD240" s="836"/>
      <c r="AE240" s="838"/>
    </row>
    <row r="241" spans="1:31" ht="16.5" customHeight="1">
      <c r="A241" s="347">
        <v>36340701</v>
      </c>
      <c r="B241" s="347" t="s">
        <v>5667</v>
      </c>
      <c r="C241" s="347" t="s">
        <v>5468</v>
      </c>
      <c r="D241" s="348">
        <v>23491</v>
      </c>
      <c r="E241" s="347" t="s">
        <v>5665</v>
      </c>
      <c r="F241" s="347" t="s">
        <v>2240</v>
      </c>
      <c r="G241" s="348">
        <v>42824</v>
      </c>
      <c r="H241" s="358"/>
      <c r="I241" s="352"/>
      <c r="J241" s="353"/>
      <c r="K241" s="538">
        <v>9999</v>
      </c>
      <c r="L241" s="488"/>
      <c r="M241" s="488"/>
      <c r="N241" s="488"/>
      <c r="O241" s="488"/>
      <c r="P241" s="488"/>
      <c r="Q241" s="488"/>
      <c r="R241" s="488"/>
      <c r="S241" s="353"/>
      <c r="T241" s="488"/>
      <c r="U241" s="488"/>
      <c r="V241" s="488"/>
      <c r="W241" s="488"/>
      <c r="X241" s="354"/>
      <c r="Y241" s="354"/>
      <c r="Z241" s="353" t="s">
        <v>238</v>
      </c>
      <c r="AA241" s="353"/>
      <c r="AB241" s="836"/>
      <c r="AC241" s="836"/>
      <c r="AD241" s="836"/>
      <c r="AE241" s="838"/>
    </row>
    <row r="242" spans="1:31" ht="16.5" customHeight="1">
      <c r="A242" s="347">
        <v>35661040</v>
      </c>
      <c r="B242" s="347" t="s">
        <v>2551</v>
      </c>
      <c r="C242" s="347" t="s">
        <v>5668</v>
      </c>
      <c r="D242" s="348">
        <v>15036</v>
      </c>
      <c r="E242" s="348" t="s">
        <v>4551</v>
      </c>
      <c r="F242" s="348" t="s">
        <v>2081</v>
      </c>
      <c r="G242" s="348">
        <v>40333</v>
      </c>
      <c r="H242" s="358"/>
      <c r="I242" s="352"/>
      <c r="J242" s="353" t="s">
        <v>238</v>
      </c>
      <c r="K242" s="538">
        <v>7508.75</v>
      </c>
      <c r="L242" s="353" t="s">
        <v>238</v>
      </c>
      <c r="M242" s="488" t="s">
        <v>238</v>
      </c>
      <c r="N242" s="488"/>
      <c r="O242" s="488"/>
      <c r="P242" s="488"/>
      <c r="Q242" s="488"/>
      <c r="R242" s="488"/>
      <c r="S242" s="488"/>
      <c r="T242" s="488"/>
      <c r="U242" s="488" t="s">
        <v>238</v>
      </c>
      <c r="V242" s="488"/>
      <c r="W242" s="488"/>
      <c r="X242" s="354"/>
      <c r="Y242" s="354"/>
      <c r="Z242" s="353"/>
      <c r="AA242" s="353"/>
      <c r="AB242" s="836" t="s">
        <v>5669</v>
      </c>
      <c r="AC242" s="836"/>
      <c r="AD242" s="836"/>
      <c r="AE242" s="837"/>
    </row>
    <row r="243" spans="1:31" ht="16.5" customHeight="1">
      <c r="A243" s="347">
        <v>24296022</v>
      </c>
      <c r="B243" s="347" t="s">
        <v>5670</v>
      </c>
      <c r="C243" s="347" t="s">
        <v>5671</v>
      </c>
      <c r="D243" s="348">
        <v>4019</v>
      </c>
      <c r="E243" s="348" t="s">
        <v>5672</v>
      </c>
      <c r="F243" s="348" t="s">
        <v>65</v>
      </c>
      <c r="G243" s="348">
        <v>43691</v>
      </c>
      <c r="H243" s="358" t="s">
        <v>238</v>
      </c>
      <c r="I243" s="352"/>
      <c r="J243" s="353"/>
      <c r="K243" s="538">
        <v>9999</v>
      </c>
      <c r="L243" s="488"/>
      <c r="M243" s="488"/>
      <c r="N243" s="353"/>
      <c r="O243" s="488"/>
      <c r="P243" s="488"/>
      <c r="Q243" s="488"/>
      <c r="R243" s="488"/>
      <c r="S243" s="488"/>
      <c r="T243" s="488"/>
      <c r="U243" s="488"/>
      <c r="V243" s="488"/>
      <c r="W243" s="488"/>
      <c r="X243" s="354"/>
      <c r="Y243" s="354"/>
      <c r="Z243" s="353"/>
      <c r="AA243" s="353" t="s">
        <v>5673</v>
      </c>
      <c r="AB243" s="836"/>
      <c r="AC243" s="836"/>
      <c r="AD243" s="836"/>
      <c r="AE243" s="837"/>
    </row>
    <row r="244" spans="1:31" ht="16.5" customHeight="1">
      <c r="A244" s="347">
        <v>40393878</v>
      </c>
      <c r="B244" s="347" t="s">
        <v>3663</v>
      </c>
      <c r="C244" s="347" t="s">
        <v>5674</v>
      </c>
      <c r="D244" s="348">
        <v>9004</v>
      </c>
      <c r="E244" s="348" t="s">
        <v>3592</v>
      </c>
      <c r="F244" s="348" t="s">
        <v>2240</v>
      </c>
      <c r="G244" s="348">
        <v>42936</v>
      </c>
      <c r="H244" s="358" t="s">
        <v>238</v>
      </c>
      <c r="I244" s="352"/>
      <c r="J244" s="353"/>
      <c r="K244" s="538">
        <v>17342</v>
      </c>
      <c r="L244" s="488"/>
      <c r="M244" s="488"/>
      <c r="N244" s="488"/>
      <c r="O244" s="488"/>
      <c r="P244" s="488"/>
      <c r="Q244" s="488"/>
      <c r="R244" s="488"/>
      <c r="S244" s="488"/>
      <c r="T244" s="488"/>
      <c r="U244" s="488" t="s">
        <v>238</v>
      </c>
      <c r="V244" s="488"/>
      <c r="W244" s="353"/>
      <c r="X244" s="354"/>
      <c r="Y244" s="354"/>
      <c r="Z244" s="353"/>
      <c r="AA244" s="353"/>
      <c r="AB244" s="836"/>
      <c r="AC244" s="836"/>
      <c r="AD244" s="836"/>
      <c r="AE244" s="838"/>
    </row>
    <row r="245" spans="1:31" ht="16.5" customHeight="1">
      <c r="A245" s="347">
        <v>339556</v>
      </c>
      <c r="B245" s="347" t="s">
        <v>2511</v>
      </c>
      <c r="C245" s="347" t="s">
        <v>5675</v>
      </c>
      <c r="D245" s="348">
        <v>11464</v>
      </c>
      <c r="E245" s="348" t="s">
        <v>3060</v>
      </c>
      <c r="F245" s="348" t="s">
        <v>2185</v>
      </c>
      <c r="G245" s="348">
        <v>37721</v>
      </c>
      <c r="H245" s="358"/>
      <c r="I245" s="352"/>
      <c r="J245" s="353"/>
      <c r="K245" s="538">
        <v>9999</v>
      </c>
      <c r="L245" s="488"/>
      <c r="M245" s="488"/>
      <c r="N245" s="488"/>
      <c r="O245" s="488"/>
      <c r="P245" s="488"/>
      <c r="Q245" s="488"/>
      <c r="R245" s="488"/>
      <c r="S245" s="488"/>
      <c r="T245" s="488"/>
      <c r="U245" s="488"/>
      <c r="V245" s="488"/>
      <c r="W245" s="353"/>
      <c r="X245" s="354"/>
      <c r="Y245" s="354"/>
      <c r="Z245" s="353" t="s">
        <v>238</v>
      </c>
      <c r="AA245" s="353"/>
      <c r="AB245" s="836"/>
      <c r="AC245" s="836"/>
      <c r="AD245" s="836"/>
      <c r="AE245" s="838"/>
    </row>
    <row r="246" spans="1:31" ht="16.5" customHeight="1">
      <c r="A246" s="347">
        <v>339556</v>
      </c>
      <c r="B246" s="347" t="s">
        <v>2845</v>
      </c>
      <c r="C246" s="347" t="s">
        <v>5675</v>
      </c>
      <c r="D246" s="348">
        <v>12644</v>
      </c>
      <c r="E246" s="348" t="s">
        <v>3060</v>
      </c>
      <c r="F246" s="348" t="s">
        <v>2185</v>
      </c>
      <c r="G246" s="348">
        <v>37721</v>
      </c>
      <c r="H246" s="358"/>
      <c r="I246" s="352"/>
      <c r="J246" s="353"/>
      <c r="K246" s="538">
        <v>9999</v>
      </c>
      <c r="L246" s="353"/>
      <c r="M246" s="488"/>
      <c r="N246" s="488"/>
      <c r="O246" s="488"/>
      <c r="P246" s="488"/>
      <c r="Q246" s="488"/>
      <c r="R246" s="488"/>
      <c r="S246" s="488"/>
      <c r="T246" s="488"/>
      <c r="U246" s="488"/>
      <c r="V246" s="488"/>
      <c r="W246" s="488"/>
      <c r="X246" s="354"/>
      <c r="Y246" s="354"/>
      <c r="Z246" s="353" t="s">
        <v>238</v>
      </c>
      <c r="AA246" s="353"/>
      <c r="AB246" s="836"/>
      <c r="AC246" s="836"/>
      <c r="AD246" s="836"/>
      <c r="AE246" s="838"/>
    </row>
    <row r="247" spans="1:31" ht="16.5" customHeight="1">
      <c r="A247" s="347">
        <v>95561056</v>
      </c>
      <c r="B247" s="347" t="s">
        <v>3665</v>
      </c>
      <c r="C247" s="347" t="s">
        <v>5676</v>
      </c>
      <c r="D247" s="348">
        <v>14117</v>
      </c>
      <c r="E247" s="348" t="s">
        <v>5677</v>
      </c>
      <c r="F247" s="348" t="s">
        <v>2046</v>
      </c>
      <c r="G247" s="348">
        <v>43221</v>
      </c>
      <c r="H247" s="358"/>
      <c r="I247" s="352"/>
      <c r="J247" s="353"/>
      <c r="K247" s="538">
        <v>13082.25</v>
      </c>
      <c r="L247" s="488"/>
      <c r="M247" s="488"/>
      <c r="N247" s="488"/>
      <c r="O247" s="488"/>
      <c r="P247" s="488"/>
      <c r="Q247" s="353"/>
      <c r="R247" s="488"/>
      <c r="S247" s="488"/>
      <c r="T247" s="488"/>
      <c r="U247" s="488" t="s">
        <v>238</v>
      </c>
      <c r="V247" s="488"/>
      <c r="W247" s="488"/>
      <c r="X247" s="354"/>
      <c r="Y247" s="354"/>
      <c r="Z247" s="353"/>
      <c r="AA247" s="353"/>
      <c r="AB247" s="836"/>
      <c r="AC247" s="836"/>
      <c r="AD247" s="836"/>
      <c r="AE247" s="837"/>
    </row>
    <row r="248" spans="1:31" ht="16.5" customHeight="1">
      <c r="A248" s="347">
        <v>38057402</v>
      </c>
      <c r="B248" s="347" t="s">
        <v>3373</v>
      </c>
      <c r="C248" s="347" t="s">
        <v>5678</v>
      </c>
      <c r="D248" s="348">
        <v>7676</v>
      </c>
      <c r="E248" s="348" t="s">
        <v>4670</v>
      </c>
      <c r="F248" s="348" t="s">
        <v>2203</v>
      </c>
      <c r="G248" s="348">
        <v>39213</v>
      </c>
      <c r="H248" s="358" t="s">
        <v>238</v>
      </c>
      <c r="I248" s="352"/>
      <c r="J248" s="353"/>
      <c r="K248" s="538">
        <v>9999</v>
      </c>
      <c r="L248" s="353"/>
      <c r="M248" s="488"/>
      <c r="N248" s="488"/>
      <c r="O248" s="488"/>
      <c r="P248" s="488"/>
      <c r="Q248" s="488"/>
      <c r="R248" s="488"/>
      <c r="S248" s="488"/>
      <c r="T248" s="488"/>
      <c r="U248" s="488" t="s">
        <v>238</v>
      </c>
      <c r="V248" s="488"/>
      <c r="W248" s="488"/>
      <c r="X248" s="354"/>
      <c r="Y248" s="354"/>
      <c r="Z248" s="353"/>
      <c r="AA248" s="353"/>
      <c r="AB248" s="836" t="s">
        <v>5679</v>
      </c>
      <c r="AC248" s="836"/>
      <c r="AD248" s="836"/>
      <c r="AE248" s="837"/>
    </row>
    <row r="249" spans="1:31" ht="16.5" customHeight="1">
      <c r="A249" s="347">
        <v>100004646</v>
      </c>
      <c r="B249" s="347" t="s">
        <v>3238</v>
      </c>
      <c r="C249" s="347" t="s">
        <v>5365</v>
      </c>
      <c r="D249" s="348"/>
      <c r="E249" s="348" t="s">
        <v>5366</v>
      </c>
      <c r="F249" s="348" t="s">
        <v>2046</v>
      </c>
      <c r="G249" s="348">
        <v>35474</v>
      </c>
      <c r="H249" s="358" t="s">
        <v>238</v>
      </c>
      <c r="I249" s="352"/>
      <c r="J249" s="353"/>
      <c r="K249" s="538">
        <v>9999</v>
      </c>
      <c r="L249" s="353"/>
      <c r="M249" s="488"/>
      <c r="N249" s="488"/>
      <c r="O249" s="488"/>
      <c r="P249" s="488"/>
      <c r="Q249" s="488"/>
      <c r="R249" s="488"/>
      <c r="S249" s="488"/>
      <c r="T249" s="488"/>
      <c r="U249" s="488"/>
      <c r="V249" s="488"/>
      <c r="W249" s="488"/>
      <c r="X249" s="354"/>
      <c r="Y249" s="354"/>
      <c r="Z249" s="353"/>
      <c r="AA249" s="353"/>
      <c r="AB249" s="836"/>
      <c r="AC249" s="836"/>
      <c r="AD249" s="836"/>
      <c r="AE249" s="838"/>
    </row>
    <row r="250" spans="1:31" ht="16.5" customHeight="1">
      <c r="A250" s="347">
        <v>627141</v>
      </c>
      <c r="B250" s="347" t="s">
        <v>3000</v>
      </c>
      <c r="C250" s="347" t="s">
        <v>3862</v>
      </c>
      <c r="D250" s="348">
        <v>7813</v>
      </c>
      <c r="E250" s="348" t="s">
        <v>5680</v>
      </c>
      <c r="F250" s="348" t="s">
        <v>2181</v>
      </c>
      <c r="G250" s="348">
        <v>38561</v>
      </c>
      <c r="H250" s="358" t="s">
        <v>238</v>
      </c>
      <c r="I250" s="352"/>
      <c r="J250" s="353"/>
      <c r="K250" s="538">
        <v>10840.03</v>
      </c>
      <c r="L250" s="488"/>
      <c r="M250" s="488"/>
      <c r="N250" s="488"/>
      <c r="O250" s="488"/>
      <c r="P250" s="488"/>
      <c r="Q250" s="488"/>
      <c r="R250" s="488"/>
      <c r="S250" s="488"/>
      <c r="T250" s="353"/>
      <c r="U250" s="353" t="s">
        <v>238</v>
      </c>
      <c r="V250" s="488"/>
      <c r="W250" s="488"/>
      <c r="X250" s="354"/>
      <c r="Y250" s="354"/>
      <c r="Z250" s="353"/>
      <c r="AA250" s="353"/>
      <c r="AB250" s="836"/>
      <c r="AC250" s="836"/>
      <c r="AD250" s="836"/>
      <c r="AE250" s="838"/>
    </row>
    <row r="251" spans="1:31" ht="16.5" customHeight="1">
      <c r="A251" s="347">
        <v>100327922</v>
      </c>
      <c r="B251" s="347" t="s">
        <v>3580</v>
      </c>
      <c r="C251" s="347" t="s">
        <v>5681</v>
      </c>
      <c r="D251" s="348"/>
      <c r="E251" s="348" t="s">
        <v>5682</v>
      </c>
      <c r="F251" s="348" t="s">
        <v>2274</v>
      </c>
      <c r="G251" s="348">
        <v>43803</v>
      </c>
      <c r="H251" s="358" t="s">
        <v>238</v>
      </c>
      <c r="I251" s="352"/>
      <c r="J251" s="353"/>
      <c r="K251" s="538">
        <v>9999</v>
      </c>
      <c r="L251" s="353"/>
      <c r="M251" s="488"/>
      <c r="N251" s="488"/>
      <c r="O251" s="488"/>
      <c r="P251" s="488"/>
      <c r="Q251" s="488"/>
      <c r="R251" s="488"/>
      <c r="S251" s="488"/>
      <c r="T251" s="488"/>
      <c r="U251" s="488"/>
      <c r="V251" s="488"/>
      <c r="W251" s="488"/>
      <c r="X251" s="354"/>
      <c r="Y251" s="354"/>
      <c r="Z251" s="353"/>
      <c r="AA251" s="353"/>
      <c r="AB251" s="836"/>
      <c r="AC251" s="836"/>
      <c r="AD251" s="836"/>
      <c r="AE251" s="837"/>
    </row>
    <row r="252" spans="1:31" ht="16.5" customHeight="1">
      <c r="A252" s="347">
        <v>40989402</v>
      </c>
      <c r="B252" s="347" t="s">
        <v>2938</v>
      </c>
      <c r="C252" s="347" t="s">
        <v>5683</v>
      </c>
      <c r="D252" s="348">
        <v>22850</v>
      </c>
      <c r="E252" s="348" t="s">
        <v>5684</v>
      </c>
      <c r="F252" s="348" t="s">
        <v>2046</v>
      </c>
      <c r="G252" s="348" t="s">
        <v>5685</v>
      </c>
      <c r="H252" s="358"/>
      <c r="I252" s="352"/>
      <c r="J252" s="353"/>
      <c r="K252" s="538">
        <v>9999</v>
      </c>
      <c r="L252" s="353"/>
      <c r="M252" s="488"/>
      <c r="N252" s="488"/>
      <c r="O252" s="488"/>
      <c r="P252" s="488"/>
      <c r="Q252" s="488"/>
      <c r="R252" s="488"/>
      <c r="S252" s="488"/>
      <c r="T252" s="488"/>
      <c r="U252" s="488"/>
      <c r="V252" s="488"/>
      <c r="W252" s="488"/>
      <c r="X252" s="354"/>
      <c r="Y252" s="354"/>
      <c r="Z252" s="353"/>
      <c r="AA252" s="353" t="s">
        <v>5686</v>
      </c>
      <c r="AB252" s="836"/>
      <c r="AC252" s="836"/>
      <c r="AD252" s="836"/>
      <c r="AE252" s="837"/>
    </row>
    <row r="253" spans="1:31" ht="16.5" customHeight="1">
      <c r="A253" s="347">
        <v>20486833</v>
      </c>
      <c r="B253" s="347" t="s">
        <v>2863</v>
      </c>
      <c r="C253" s="347" t="s">
        <v>5687</v>
      </c>
      <c r="D253" s="348">
        <v>10054</v>
      </c>
      <c r="E253" s="348" t="s">
        <v>5688</v>
      </c>
      <c r="F253" s="348" t="s">
        <v>2046</v>
      </c>
      <c r="G253" s="348" t="s">
        <v>5689</v>
      </c>
      <c r="H253" s="358"/>
      <c r="I253" s="352"/>
      <c r="J253" s="353"/>
      <c r="K253" s="538">
        <v>9527.1</v>
      </c>
      <c r="L253" s="488"/>
      <c r="M253" s="488"/>
      <c r="N253" s="488"/>
      <c r="O253" s="488"/>
      <c r="P253" s="488"/>
      <c r="Q253" s="488"/>
      <c r="R253" s="488"/>
      <c r="S253" s="488"/>
      <c r="T253" s="353"/>
      <c r="U253" s="353" t="s">
        <v>238</v>
      </c>
      <c r="V253" s="488"/>
      <c r="W253" s="488"/>
      <c r="X253" s="354"/>
      <c r="Y253" s="354"/>
      <c r="Z253" s="353"/>
      <c r="AA253" s="353"/>
      <c r="AB253" s="836"/>
      <c r="AC253" s="836"/>
      <c r="AD253" s="836"/>
      <c r="AE253" s="838"/>
    </row>
    <row r="254" spans="1:31" ht="16.5" customHeight="1">
      <c r="A254" s="347">
        <v>7898</v>
      </c>
      <c r="B254" s="347" t="s">
        <v>5690</v>
      </c>
      <c r="C254" s="347" t="s">
        <v>3061</v>
      </c>
      <c r="D254" s="348">
        <v>11722</v>
      </c>
      <c r="E254" s="348" t="s">
        <v>3627</v>
      </c>
      <c r="F254" s="348" t="s">
        <v>2052</v>
      </c>
      <c r="G254" s="348" t="s">
        <v>5691</v>
      </c>
      <c r="H254" s="358"/>
      <c r="I254" s="352"/>
      <c r="J254" s="353" t="s">
        <v>238</v>
      </c>
      <c r="K254" s="538">
        <v>7508.22</v>
      </c>
      <c r="L254" s="353"/>
      <c r="M254" s="488"/>
      <c r="N254" s="488"/>
      <c r="O254" s="488"/>
      <c r="P254" s="488"/>
      <c r="Q254" s="488"/>
      <c r="R254" s="488"/>
      <c r="S254" s="488"/>
      <c r="T254" s="488"/>
      <c r="U254" s="488" t="s">
        <v>238</v>
      </c>
      <c r="V254" s="488"/>
      <c r="W254" s="488"/>
      <c r="X254" s="354"/>
      <c r="Y254" s="354"/>
      <c r="Z254" s="353"/>
      <c r="AA254" s="353"/>
      <c r="AB254" s="836"/>
      <c r="AC254" s="836"/>
      <c r="AD254" s="836"/>
      <c r="AE254" s="837"/>
    </row>
    <row r="255" spans="1:31" ht="16.5" customHeight="1">
      <c r="A255" s="347">
        <v>20268983</v>
      </c>
      <c r="B255" s="347" t="s">
        <v>5692</v>
      </c>
      <c r="C255" s="347" t="s">
        <v>5693</v>
      </c>
      <c r="D255" s="348">
        <v>15114</v>
      </c>
      <c r="E255" s="348" t="s">
        <v>5694</v>
      </c>
      <c r="F255" s="348" t="s">
        <v>2185</v>
      </c>
      <c r="G255" s="348">
        <v>42510</v>
      </c>
      <c r="H255" s="358"/>
      <c r="I255" s="352"/>
      <c r="J255" s="353"/>
      <c r="K255" s="538">
        <v>9999</v>
      </c>
      <c r="L255" s="488"/>
      <c r="M255" s="488"/>
      <c r="N255" s="488"/>
      <c r="O255" s="488"/>
      <c r="P255" s="488"/>
      <c r="Q255" s="488"/>
      <c r="R255" s="488"/>
      <c r="S255" s="488"/>
      <c r="T255" s="488"/>
      <c r="U255" s="488"/>
      <c r="V255" s="488"/>
      <c r="W255" s="488"/>
      <c r="X255" s="354"/>
      <c r="Y255" s="354"/>
      <c r="Z255" s="353"/>
      <c r="AA255" s="353"/>
      <c r="AB255" s="836"/>
      <c r="AC255" s="836"/>
      <c r="AD255" s="836"/>
      <c r="AE255" s="838"/>
    </row>
    <row r="256" spans="1:31" ht="16.5" customHeight="1">
      <c r="A256" s="347">
        <v>654137</v>
      </c>
      <c r="B256" s="347" t="s">
        <v>2985</v>
      </c>
      <c r="C256" s="347" t="s">
        <v>5695</v>
      </c>
      <c r="D256" s="348">
        <v>13310</v>
      </c>
      <c r="E256" s="348" t="s">
        <v>5696</v>
      </c>
      <c r="F256" s="348" t="s">
        <v>2081</v>
      </c>
      <c r="G256" s="348">
        <v>40612</v>
      </c>
      <c r="H256" s="358"/>
      <c r="I256" s="352"/>
      <c r="J256" s="353"/>
      <c r="K256" s="538">
        <v>9999</v>
      </c>
      <c r="L256" s="488"/>
      <c r="M256" s="488"/>
      <c r="N256" s="488"/>
      <c r="O256" s="488"/>
      <c r="P256" s="488"/>
      <c r="Q256" s="488"/>
      <c r="R256" s="488"/>
      <c r="S256" s="488"/>
      <c r="T256" s="488"/>
      <c r="U256" s="488"/>
      <c r="V256" s="488"/>
      <c r="W256" s="488"/>
      <c r="X256" s="354"/>
      <c r="Y256" s="354"/>
      <c r="Z256" s="353"/>
      <c r="AA256" s="353"/>
      <c r="AB256" s="836"/>
      <c r="AC256" s="836"/>
      <c r="AD256" s="836"/>
      <c r="AE256" s="838"/>
    </row>
    <row r="257" spans="1:31" ht="16.5" customHeight="1">
      <c r="A257" s="347">
        <v>326389</v>
      </c>
      <c r="B257" s="347" t="s">
        <v>3229</v>
      </c>
      <c r="C257" s="347" t="s">
        <v>5697</v>
      </c>
      <c r="D257" s="348">
        <v>15964</v>
      </c>
      <c r="E257" s="348" t="s">
        <v>5698</v>
      </c>
      <c r="F257" s="348" t="s">
        <v>2077</v>
      </c>
      <c r="G257" s="348">
        <v>37203</v>
      </c>
      <c r="H257" s="358"/>
      <c r="I257" s="352"/>
      <c r="J257" s="353"/>
      <c r="K257" s="538">
        <v>9999</v>
      </c>
      <c r="L257" s="488"/>
      <c r="M257" s="488"/>
      <c r="N257" s="488"/>
      <c r="O257" s="488"/>
      <c r="P257" s="488"/>
      <c r="Q257" s="488"/>
      <c r="R257" s="488"/>
      <c r="S257" s="488"/>
      <c r="T257" s="488"/>
      <c r="U257" s="488"/>
      <c r="V257" s="488"/>
      <c r="W257" s="488"/>
      <c r="X257" s="354"/>
      <c r="Y257" s="354"/>
      <c r="Z257" s="353"/>
      <c r="AA257" s="353" t="s">
        <v>5699</v>
      </c>
      <c r="AB257" s="836"/>
      <c r="AC257" s="836"/>
      <c r="AD257" s="836"/>
      <c r="AE257" s="838"/>
    </row>
    <row r="258" spans="1:31" ht="16.5" customHeight="1">
      <c r="A258" s="347">
        <v>35565134</v>
      </c>
      <c r="B258" s="347" t="s">
        <v>2832</v>
      </c>
      <c r="C258" s="347" t="s">
        <v>5700</v>
      </c>
      <c r="D258" s="348">
        <v>10653</v>
      </c>
      <c r="E258" s="348" t="s">
        <v>2847</v>
      </c>
      <c r="F258" s="348" t="s">
        <v>2081</v>
      </c>
      <c r="G258" s="348">
        <v>39842</v>
      </c>
      <c r="H258" s="358" t="s">
        <v>238</v>
      </c>
      <c r="I258" s="352"/>
      <c r="J258" s="353"/>
      <c r="K258" s="538">
        <v>9999</v>
      </c>
      <c r="L258" s="488"/>
      <c r="M258" s="488"/>
      <c r="N258" s="488"/>
      <c r="O258" s="488"/>
      <c r="P258" s="488"/>
      <c r="Q258" s="488"/>
      <c r="R258" s="488"/>
      <c r="S258" s="488"/>
      <c r="T258" s="488"/>
      <c r="U258" s="488"/>
      <c r="V258" s="488"/>
      <c r="W258" s="488"/>
      <c r="X258" s="354"/>
      <c r="Y258" s="354"/>
      <c r="Z258" s="353"/>
      <c r="AA258" s="353"/>
      <c r="AB258" s="836"/>
      <c r="AC258" s="836"/>
      <c r="AD258" s="836"/>
      <c r="AE258" s="838"/>
    </row>
    <row r="259" spans="1:31" ht="16.5" customHeight="1">
      <c r="A259" s="347">
        <v>5180450</v>
      </c>
      <c r="B259" s="347" t="s">
        <v>5701</v>
      </c>
      <c r="C259" s="347" t="s">
        <v>5702</v>
      </c>
      <c r="D259" s="348">
        <v>9718</v>
      </c>
      <c r="E259" s="348" t="s">
        <v>5703</v>
      </c>
      <c r="F259" s="348" t="s">
        <v>2081</v>
      </c>
      <c r="G259" s="348">
        <v>38349</v>
      </c>
      <c r="H259" s="358"/>
      <c r="I259" s="352"/>
      <c r="J259" s="353"/>
      <c r="K259" s="538">
        <v>10755.6</v>
      </c>
      <c r="L259" s="488"/>
      <c r="M259" s="488"/>
      <c r="N259" s="488"/>
      <c r="O259" s="488"/>
      <c r="P259" s="488"/>
      <c r="Q259" s="488"/>
      <c r="R259" s="488"/>
      <c r="S259" s="488"/>
      <c r="T259" s="488"/>
      <c r="U259" s="488" t="s">
        <v>238</v>
      </c>
      <c r="V259" s="488"/>
      <c r="W259" s="488"/>
      <c r="X259" s="354"/>
      <c r="Y259" s="355"/>
      <c r="Z259" s="353"/>
      <c r="AA259" s="353"/>
      <c r="AB259" s="836"/>
      <c r="AC259" s="836"/>
      <c r="AD259" s="836"/>
      <c r="AE259" s="838"/>
    </row>
    <row r="260" spans="1:31" ht="16.5" customHeight="1">
      <c r="A260" s="347">
        <v>463455</v>
      </c>
      <c r="B260" s="347" t="s">
        <v>2580</v>
      </c>
      <c r="C260" s="347" t="s">
        <v>5704</v>
      </c>
      <c r="D260" s="348">
        <v>16011</v>
      </c>
      <c r="E260" s="348" t="s">
        <v>4420</v>
      </c>
      <c r="F260" s="348" t="s">
        <v>2089</v>
      </c>
      <c r="G260" s="348">
        <v>43649</v>
      </c>
      <c r="H260" s="358"/>
      <c r="I260" s="352"/>
      <c r="J260" s="353" t="s">
        <v>238</v>
      </c>
      <c r="K260" s="538">
        <v>9999</v>
      </c>
      <c r="L260" s="488" t="s">
        <v>238</v>
      </c>
      <c r="M260" s="488" t="s">
        <v>238</v>
      </c>
      <c r="N260" s="488" t="s">
        <v>238</v>
      </c>
      <c r="O260" s="488"/>
      <c r="P260" s="488"/>
      <c r="Q260" s="488"/>
      <c r="R260" s="488"/>
      <c r="S260" s="488"/>
      <c r="T260" s="488"/>
      <c r="U260" s="488"/>
      <c r="V260" s="488"/>
      <c r="W260" s="488"/>
      <c r="X260" s="354"/>
      <c r="Y260" s="355"/>
      <c r="Z260" s="353" t="s">
        <v>238</v>
      </c>
      <c r="AA260" s="353"/>
      <c r="AB260" s="836"/>
      <c r="AC260" s="836"/>
      <c r="AD260" s="836"/>
      <c r="AE260" s="838"/>
    </row>
    <row r="261" spans="1:31" ht="16.5" customHeight="1">
      <c r="A261" s="347">
        <v>463455</v>
      </c>
      <c r="B261" s="347" t="s">
        <v>2871</v>
      </c>
      <c r="C261" s="347" t="s">
        <v>5704</v>
      </c>
      <c r="D261" s="348">
        <v>13728</v>
      </c>
      <c r="E261" s="348" t="s">
        <v>4420</v>
      </c>
      <c r="F261" s="348" t="s">
        <v>2089</v>
      </c>
      <c r="G261" s="348">
        <v>36273</v>
      </c>
      <c r="H261" s="358"/>
      <c r="I261" s="352"/>
      <c r="J261" s="353" t="s">
        <v>238</v>
      </c>
      <c r="K261" s="538">
        <v>9999</v>
      </c>
      <c r="L261" s="488" t="s">
        <v>238</v>
      </c>
      <c r="M261" s="488" t="s">
        <v>238</v>
      </c>
      <c r="N261" s="488" t="s">
        <v>238</v>
      </c>
      <c r="O261" s="488"/>
      <c r="P261" s="488"/>
      <c r="Q261" s="488"/>
      <c r="R261" s="488"/>
      <c r="S261" s="488"/>
      <c r="T261" s="488"/>
      <c r="U261" s="488"/>
      <c r="V261" s="488"/>
      <c r="W261" s="353"/>
      <c r="X261" s="354"/>
      <c r="Y261" s="354"/>
      <c r="Z261" s="353" t="s">
        <v>238</v>
      </c>
      <c r="AA261" s="353"/>
      <c r="AB261" s="836"/>
      <c r="AC261" s="836"/>
      <c r="AD261" s="836"/>
      <c r="AE261" s="838"/>
    </row>
    <row r="262" spans="1:31" ht="16.5" customHeight="1">
      <c r="A262" s="347">
        <v>21319355</v>
      </c>
      <c r="B262" s="347" t="s">
        <v>4136</v>
      </c>
      <c r="C262" s="347" t="s">
        <v>3263</v>
      </c>
      <c r="D262" s="348">
        <v>8159</v>
      </c>
      <c r="E262" s="348" t="s">
        <v>2534</v>
      </c>
      <c r="F262" s="348" t="s">
        <v>2081</v>
      </c>
      <c r="G262" s="348" t="s">
        <v>5705</v>
      </c>
      <c r="H262" s="358" t="s">
        <v>238</v>
      </c>
      <c r="I262" s="352"/>
      <c r="J262" s="353"/>
      <c r="K262" s="538">
        <v>12542.5</v>
      </c>
      <c r="L262" s="353"/>
      <c r="M262" s="488"/>
      <c r="N262" s="488"/>
      <c r="O262" s="488"/>
      <c r="P262" s="488"/>
      <c r="Q262" s="488"/>
      <c r="R262" s="488"/>
      <c r="S262" s="488"/>
      <c r="T262" s="488"/>
      <c r="U262" s="488" t="s">
        <v>238</v>
      </c>
      <c r="V262" s="488"/>
      <c r="W262" s="488"/>
      <c r="X262" s="354"/>
      <c r="Y262" s="354"/>
      <c r="Z262" s="353"/>
      <c r="AA262" s="353"/>
      <c r="AB262" s="836"/>
      <c r="AC262" s="836"/>
      <c r="AD262" s="836"/>
      <c r="AE262" s="837"/>
    </row>
    <row r="263" spans="1:31" ht="16.5" customHeight="1">
      <c r="A263" s="347">
        <v>3145455</v>
      </c>
      <c r="B263" s="347" t="s">
        <v>3801</v>
      </c>
      <c r="C263" s="347" t="s">
        <v>3802</v>
      </c>
      <c r="D263" s="348">
        <v>12236</v>
      </c>
      <c r="E263" s="348" t="s">
        <v>3803</v>
      </c>
      <c r="F263" s="348" t="s">
        <v>2185</v>
      </c>
      <c r="G263" s="348">
        <v>41545</v>
      </c>
      <c r="H263" s="358"/>
      <c r="I263" s="352"/>
      <c r="J263" s="353"/>
      <c r="K263" s="538">
        <v>11126.6</v>
      </c>
      <c r="L263" s="353"/>
      <c r="M263" s="488"/>
      <c r="N263" s="488"/>
      <c r="O263" s="488"/>
      <c r="P263" s="488"/>
      <c r="Q263" s="488"/>
      <c r="R263" s="488"/>
      <c r="S263" s="488"/>
      <c r="T263" s="488"/>
      <c r="U263" s="488" t="s">
        <v>238</v>
      </c>
      <c r="V263" s="488"/>
      <c r="W263" s="488"/>
      <c r="X263" s="354"/>
      <c r="Y263" s="354"/>
      <c r="Z263" s="353"/>
      <c r="AA263" s="353" t="s">
        <v>5706</v>
      </c>
      <c r="AB263" s="836" t="s">
        <v>5707</v>
      </c>
      <c r="AC263" s="836"/>
      <c r="AD263" s="836"/>
      <c r="AE263" s="838"/>
    </row>
    <row r="264" spans="1:31" ht="16.5" customHeight="1">
      <c r="A264" s="347">
        <v>522896</v>
      </c>
      <c r="B264" s="347" t="s">
        <v>2898</v>
      </c>
      <c r="C264" s="347" t="s">
        <v>5708</v>
      </c>
      <c r="D264" s="348">
        <v>8526</v>
      </c>
      <c r="E264" s="348" t="s">
        <v>5709</v>
      </c>
      <c r="F264" s="348" t="s">
        <v>2081</v>
      </c>
      <c r="G264" s="348" t="s">
        <v>5456</v>
      </c>
      <c r="H264" s="358" t="s">
        <v>238</v>
      </c>
      <c r="I264" s="352"/>
      <c r="J264" s="353"/>
      <c r="K264" s="538">
        <v>9999</v>
      </c>
      <c r="L264" s="488"/>
      <c r="M264" s="488"/>
      <c r="N264" s="488"/>
      <c r="O264" s="488"/>
      <c r="P264" s="488"/>
      <c r="Q264" s="488"/>
      <c r="R264" s="488"/>
      <c r="S264" s="488"/>
      <c r="T264" s="488"/>
      <c r="U264" s="488" t="s">
        <v>238</v>
      </c>
      <c r="V264" s="488"/>
      <c r="W264" s="488"/>
      <c r="X264" s="354"/>
      <c r="Y264" s="354"/>
      <c r="Z264" s="353"/>
      <c r="AA264" s="353"/>
      <c r="AB264" s="836" t="s">
        <v>5710</v>
      </c>
      <c r="AC264" s="836"/>
      <c r="AD264" s="836"/>
      <c r="AE264" s="838"/>
    </row>
    <row r="265" spans="1:31" ht="16.5" customHeight="1">
      <c r="A265" s="347">
        <v>38445581</v>
      </c>
      <c r="B265" s="347" t="s">
        <v>2982</v>
      </c>
      <c r="C265" s="347" t="s">
        <v>5711</v>
      </c>
      <c r="D265" s="348">
        <v>18657</v>
      </c>
      <c r="E265" s="347" t="s">
        <v>5712</v>
      </c>
      <c r="F265" s="347" t="s">
        <v>2052</v>
      </c>
      <c r="G265" s="348" t="s">
        <v>5713</v>
      </c>
      <c r="H265" s="358"/>
      <c r="I265" s="352"/>
      <c r="J265" s="353"/>
      <c r="K265" s="538">
        <v>5007.63</v>
      </c>
      <c r="L265" s="488"/>
      <c r="M265" s="488"/>
      <c r="N265" s="488"/>
      <c r="O265" s="353"/>
      <c r="P265" s="488"/>
      <c r="Q265" s="488"/>
      <c r="R265" s="488"/>
      <c r="S265" s="488"/>
      <c r="T265" s="488"/>
      <c r="U265" s="488" t="s">
        <v>238</v>
      </c>
      <c r="V265" s="488"/>
      <c r="W265" s="488"/>
      <c r="X265" s="354"/>
      <c r="Y265" s="354"/>
      <c r="Z265" s="353"/>
      <c r="AA265" s="353" t="s">
        <v>5714</v>
      </c>
      <c r="AB265" s="836"/>
      <c r="AC265" s="842"/>
      <c r="AD265" s="842"/>
      <c r="AE265" s="837"/>
    </row>
    <row r="266" spans="1:31" ht="16.5" customHeight="1">
      <c r="A266" s="347">
        <v>40276602</v>
      </c>
      <c r="B266" s="347" t="s">
        <v>5715</v>
      </c>
      <c r="C266" s="347" t="s">
        <v>5716</v>
      </c>
      <c r="D266" s="348">
        <v>15630</v>
      </c>
      <c r="E266" s="348" t="s">
        <v>5146</v>
      </c>
      <c r="F266" s="348" t="s">
        <v>2395</v>
      </c>
      <c r="G266" s="348">
        <v>40291</v>
      </c>
      <c r="H266" s="358"/>
      <c r="I266" s="352"/>
      <c r="J266" s="353"/>
      <c r="K266" s="538">
        <v>9999</v>
      </c>
      <c r="L266" s="488"/>
      <c r="M266" s="488"/>
      <c r="N266" s="488"/>
      <c r="O266" s="488"/>
      <c r="P266" s="488"/>
      <c r="Q266" s="488"/>
      <c r="R266" s="488"/>
      <c r="S266" s="488"/>
      <c r="T266" s="488"/>
      <c r="U266" s="488"/>
      <c r="V266" s="488"/>
      <c r="W266" s="488"/>
      <c r="X266" s="354"/>
      <c r="Y266" s="354"/>
      <c r="Z266" s="353"/>
      <c r="AA266" s="353" t="s">
        <v>5717</v>
      </c>
      <c r="AB266" s="836"/>
      <c r="AC266" s="836"/>
      <c r="AD266" s="836"/>
      <c r="AE266" s="838"/>
    </row>
    <row r="267" spans="1:31" ht="16.5" customHeight="1">
      <c r="A267" s="347">
        <v>3563236</v>
      </c>
      <c r="B267" s="347" t="s">
        <v>5718</v>
      </c>
      <c r="C267" s="347" t="s">
        <v>5719</v>
      </c>
      <c r="D267" s="348">
        <v>8767</v>
      </c>
      <c r="E267" s="348" t="s">
        <v>5720</v>
      </c>
      <c r="F267" s="348" t="s">
        <v>2081</v>
      </c>
      <c r="G267" s="348">
        <v>40073</v>
      </c>
      <c r="H267" s="358" t="s">
        <v>238</v>
      </c>
      <c r="I267" s="352"/>
      <c r="J267" s="353"/>
      <c r="K267" s="538">
        <v>9999</v>
      </c>
      <c r="L267" s="488"/>
      <c r="M267" s="488" t="s">
        <v>238</v>
      </c>
      <c r="N267" s="488"/>
      <c r="O267" s="488"/>
      <c r="P267" s="488"/>
      <c r="Q267" s="488"/>
      <c r="R267" s="488"/>
      <c r="S267" s="488"/>
      <c r="T267" s="488"/>
      <c r="U267" s="488"/>
      <c r="V267" s="488"/>
      <c r="W267" s="488"/>
      <c r="X267" s="354"/>
      <c r="Y267" s="354"/>
      <c r="Z267" s="353"/>
      <c r="AA267" s="353"/>
      <c r="AB267" s="836"/>
      <c r="AC267" s="836"/>
      <c r="AD267" s="836"/>
      <c r="AE267" s="838"/>
    </row>
    <row r="268" spans="1:31" ht="16.5" customHeight="1">
      <c r="A268" s="347">
        <v>1255637</v>
      </c>
      <c r="B268" s="347" t="s">
        <v>2635</v>
      </c>
      <c r="C268" s="347" t="s">
        <v>5721</v>
      </c>
      <c r="D268" s="348">
        <v>11602</v>
      </c>
      <c r="E268" s="348" t="s">
        <v>2679</v>
      </c>
      <c r="F268" s="348" t="s">
        <v>2318</v>
      </c>
      <c r="G268" s="348">
        <v>40282</v>
      </c>
      <c r="H268" s="358"/>
      <c r="I268" s="352"/>
      <c r="J268" s="353"/>
      <c r="K268" s="538">
        <v>9999</v>
      </c>
      <c r="L268" s="488"/>
      <c r="M268" s="488"/>
      <c r="N268" s="488"/>
      <c r="O268" s="488"/>
      <c r="P268" s="488"/>
      <c r="Q268" s="488"/>
      <c r="R268" s="488"/>
      <c r="S268" s="488"/>
      <c r="T268" s="488"/>
      <c r="U268" s="488"/>
      <c r="V268" s="488"/>
      <c r="W268" s="488"/>
      <c r="X268" s="354"/>
      <c r="Y268" s="354"/>
      <c r="Z268" s="353" t="s">
        <v>238</v>
      </c>
      <c r="AA268" s="353" t="s">
        <v>5722</v>
      </c>
      <c r="AB268" s="836"/>
      <c r="AC268" s="836"/>
      <c r="AD268" s="836"/>
      <c r="AE268" s="838"/>
    </row>
    <row r="269" spans="1:31" ht="16.5" customHeight="1">
      <c r="A269" s="347">
        <v>1255637</v>
      </c>
      <c r="B269" s="347" t="s">
        <v>3453</v>
      </c>
      <c r="C269" s="347" t="s">
        <v>5721</v>
      </c>
      <c r="D269" s="348">
        <v>14195</v>
      </c>
      <c r="E269" s="348" t="s">
        <v>2679</v>
      </c>
      <c r="F269" s="348" t="s">
        <v>2318</v>
      </c>
      <c r="G269" s="348" t="s">
        <v>5723</v>
      </c>
      <c r="H269" s="358"/>
      <c r="I269" s="352"/>
      <c r="J269" s="353"/>
      <c r="K269" s="538">
        <v>9999</v>
      </c>
      <c r="L269" s="488"/>
      <c r="M269" s="488"/>
      <c r="N269" s="488"/>
      <c r="O269" s="488"/>
      <c r="P269" s="488"/>
      <c r="Q269" s="488"/>
      <c r="R269" s="488"/>
      <c r="S269" s="488"/>
      <c r="T269" s="353"/>
      <c r="U269" s="353"/>
      <c r="V269" s="488"/>
      <c r="W269" s="488"/>
      <c r="X269" s="354"/>
      <c r="Y269" s="354"/>
      <c r="Z269" s="353" t="s">
        <v>238</v>
      </c>
      <c r="AA269" s="353"/>
      <c r="AB269" s="836"/>
      <c r="AC269" s="836"/>
      <c r="AD269" s="836"/>
      <c r="AE269" s="838"/>
    </row>
    <row r="270" spans="1:31" ht="16.5" customHeight="1">
      <c r="A270" s="347">
        <v>33611559</v>
      </c>
      <c r="B270" s="347" t="s">
        <v>2843</v>
      </c>
      <c r="C270" s="347" t="s">
        <v>2657</v>
      </c>
      <c r="D270" s="348">
        <v>10395</v>
      </c>
      <c r="E270" s="348" t="s">
        <v>2844</v>
      </c>
      <c r="F270" s="348" t="s">
        <v>2413</v>
      </c>
      <c r="G270" s="348">
        <v>43607</v>
      </c>
      <c r="H270" s="358"/>
      <c r="I270" s="352"/>
      <c r="J270" s="353" t="s">
        <v>238</v>
      </c>
      <c r="K270" s="538">
        <v>9999</v>
      </c>
      <c r="L270" s="488"/>
      <c r="M270" s="488"/>
      <c r="N270" s="488"/>
      <c r="O270" s="488"/>
      <c r="P270" s="488"/>
      <c r="Q270" s="488"/>
      <c r="R270" s="488"/>
      <c r="S270" s="488"/>
      <c r="T270" s="353"/>
      <c r="U270" s="353"/>
      <c r="V270" s="488"/>
      <c r="W270" s="488"/>
      <c r="X270" s="354"/>
      <c r="Y270" s="354"/>
      <c r="Z270" s="353"/>
      <c r="AA270" s="353"/>
      <c r="AB270" s="836" t="s">
        <v>5724</v>
      </c>
      <c r="AC270" s="836"/>
      <c r="AD270" s="836"/>
      <c r="AE270" s="838"/>
    </row>
    <row r="271" spans="1:31" ht="16.5" customHeight="1">
      <c r="A271" s="347">
        <v>33611559</v>
      </c>
      <c r="B271" s="347" t="s">
        <v>2718</v>
      </c>
      <c r="C271" s="347" t="s">
        <v>2657</v>
      </c>
      <c r="D271" s="348"/>
      <c r="E271" s="348" t="s">
        <v>2844</v>
      </c>
      <c r="F271" s="348" t="s">
        <v>2413</v>
      </c>
      <c r="G271" s="348" t="s">
        <v>5725</v>
      </c>
      <c r="H271" s="358"/>
      <c r="I271" s="352"/>
      <c r="J271" s="353" t="s">
        <v>238</v>
      </c>
      <c r="K271" s="538">
        <v>9999</v>
      </c>
      <c r="L271" s="488"/>
      <c r="M271" s="488"/>
      <c r="N271" s="353"/>
      <c r="O271" s="488"/>
      <c r="P271" s="488"/>
      <c r="Q271" s="488"/>
      <c r="R271" s="488"/>
      <c r="S271" s="488"/>
      <c r="T271" s="488"/>
      <c r="U271" s="488"/>
      <c r="V271" s="488"/>
      <c r="W271" s="488"/>
      <c r="X271" s="354"/>
      <c r="Y271" s="354"/>
      <c r="Z271" s="353"/>
      <c r="AA271" s="353"/>
      <c r="AB271" s="836" t="s">
        <v>5724</v>
      </c>
      <c r="AC271" s="836"/>
      <c r="AD271" s="836"/>
      <c r="AE271" s="838"/>
    </row>
    <row r="272" spans="1:31" ht="16.5" customHeight="1">
      <c r="A272" s="347">
        <v>94598497</v>
      </c>
      <c r="B272" s="347" t="s">
        <v>5726</v>
      </c>
      <c r="C272" s="347" t="s">
        <v>2706</v>
      </c>
      <c r="D272" s="348">
        <v>16576</v>
      </c>
      <c r="E272" s="347" t="s">
        <v>3911</v>
      </c>
      <c r="F272" s="347" t="s">
        <v>2274</v>
      </c>
      <c r="G272" s="348">
        <v>42696</v>
      </c>
      <c r="H272" s="358"/>
      <c r="I272" s="352"/>
      <c r="J272" s="353"/>
      <c r="K272" s="538">
        <v>8775.66</v>
      </c>
      <c r="L272" s="353"/>
      <c r="M272" s="488"/>
      <c r="N272" s="488"/>
      <c r="O272" s="488"/>
      <c r="P272" s="488"/>
      <c r="Q272" s="488"/>
      <c r="R272" s="488"/>
      <c r="S272" s="488"/>
      <c r="T272" s="488"/>
      <c r="U272" s="488" t="s">
        <v>238</v>
      </c>
      <c r="V272" s="488"/>
      <c r="W272" s="488"/>
      <c r="X272" s="354"/>
      <c r="Y272" s="354"/>
      <c r="Z272" s="353"/>
      <c r="AA272" s="353" t="s">
        <v>5727</v>
      </c>
      <c r="AB272" s="836"/>
      <c r="AC272" s="836"/>
      <c r="AD272" s="836"/>
      <c r="AE272" s="837"/>
    </row>
    <row r="273" spans="1:31" ht="16.5" customHeight="1">
      <c r="A273" s="347">
        <v>100005053</v>
      </c>
      <c r="B273" s="347" t="s">
        <v>2771</v>
      </c>
      <c r="C273" s="347" t="s">
        <v>5728</v>
      </c>
      <c r="D273" s="348"/>
      <c r="E273" s="348" t="s">
        <v>5729</v>
      </c>
      <c r="F273" s="348" t="s">
        <v>2112</v>
      </c>
      <c r="G273" s="348" t="s">
        <v>5730</v>
      </c>
      <c r="H273" s="358" t="s">
        <v>238</v>
      </c>
      <c r="I273" s="352"/>
      <c r="J273" s="353"/>
      <c r="K273" s="538">
        <v>9999</v>
      </c>
      <c r="L273" s="488"/>
      <c r="M273" s="353"/>
      <c r="N273" s="488"/>
      <c r="O273" s="488"/>
      <c r="P273" s="488"/>
      <c r="Q273" s="488"/>
      <c r="R273" s="488"/>
      <c r="S273" s="488"/>
      <c r="T273" s="488"/>
      <c r="U273" s="488"/>
      <c r="V273" s="488"/>
      <c r="W273" s="488"/>
      <c r="X273" s="354"/>
      <c r="Y273" s="354"/>
      <c r="Z273" s="353"/>
      <c r="AA273" s="353"/>
      <c r="AB273" s="836"/>
      <c r="AC273" s="836"/>
      <c r="AD273" s="836"/>
      <c r="AE273" s="838"/>
    </row>
    <row r="274" spans="1:31" ht="16.5" customHeight="1">
      <c r="A274" s="347">
        <v>4721742</v>
      </c>
      <c r="B274" s="347" t="s">
        <v>3101</v>
      </c>
      <c r="C274" s="347" t="s">
        <v>5731</v>
      </c>
      <c r="D274" s="348">
        <v>5692</v>
      </c>
      <c r="E274" s="348" t="s">
        <v>3815</v>
      </c>
      <c r="F274" s="348" t="s">
        <v>2059</v>
      </c>
      <c r="G274" s="348">
        <v>36129</v>
      </c>
      <c r="H274" s="358" t="s">
        <v>238</v>
      </c>
      <c r="I274" s="352"/>
      <c r="J274" s="353"/>
      <c r="K274" s="538">
        <v>9999</v>
      </c>
      <c r="L274" s="488"/>
      <c r="M274" s="488"/>
      <c r="N274" s="488"/>
      <c r="O274" s="488"/>
      <c r="P274" s="488"/>
      <c r="Q274" s="488"/>
      <c r="R274" s="488"/>
      <c r="S274" s="488"/>
      <c r="T274" s="488"/>
      <c r="U274" s="488" t="s">
        <v>238</v>
      </c>
      <c r="V274" s="488"/>
      <c r="W274" s="488"/>
      <c r="X274" s="354"/>
      <c r="Y274" s="354"/>
      <c r="Z274" s="353"/>
      <c r="AA274" s="353"/>
      <c r="AB274" s="836" t="s">
        <v>5710</v>
      </c>
      <c r="AC274" s="836"/>
      <c r="AD274" s="836"/>
      <c r="AE274" s="838"/>
    </row>
    <row r="275" spans="1:31" ht="16.5" customHeight="1">
      <c r="A275" s="347">
        <v>188086</v>
      </c>
      <c r="B275" s="347" t="s">
        <v>5732</v>
      </c>
      <c r="C275" s="347" t="s">
        <v>2814</v>
      </c>
      <c r="D275" s="348">
        <v>16282</v>
      </c>
      <c r="E275" s="348" t="s">
        <v>2815</v>
      </c>
      <c r="F275" s="348" t="s">
        <v>2266</v>
      </c>
      <c r="G275" s="348" t="s">
        <v>5733</v>
      </c>
      <c r="H275" s="358"/>
      <c r="I275" s="352"/>
      <c r="J275" s="353"/>
      <c r="K275" s="538">
        <v>9999</v>
      </c>
      <c r="L275" s="488"/>
      <c r="M275" s="488"/>
      <c r="N275" s="488"/>
      <c r="O275" s="488"/>
      <c r="P275" s="488"/>
      <c r="Q275" s="488"/>
      <c r="R275" s="488"/>
      <c r="S275" s="488"/>
      <c r="T275" s="488"/>
      <c r="U275" s="488"/>
      <c r="V275" s="488"/>
      <c r="W275" s="488"/>
      <c r="X275" s="354"/>
      <c r="Y275" s="354"/>
      <c r="Z275" s="353" t="s">
        <v>238</v>
      </c>
      <c r="AA275" s="353" t="s">
        <v>5734</v>
      </c>
      <c r="AB275" s="836"/>
      <c r="AC275" s="836"/>
      <c r="AD275" s="836"/>
      <c r="AE275" s="838"/>
    </row>
    <row r="276" spans="1:31" ht="16.5" customHeight="1">
      <c r="A276" s="347">
        <v>100007037</v>
      </c>
      <c r="B276" s="347" t="s">
        <v>5735</v>
      </c>
      <c r="C276" s="347" t="s">
        <v>2814</v>
      </c>
      <c r="D276" s="348"/>
      <c r="E276" s="348" t="s">
        <v>2815</v>
      </c>
      <c r="F276" s="348" t="s">
        <v>2266</v>
      </c>
      <c r="G276" s="348" t="s">
        <v>5733</v>
      </c>
      <c r="H276" s="358"/>
      <c r="I276" s="352"/>
      <c r="J276" s="353"/>
      <c r="K276" s="538">
        <v>9999</v>
      </c>
      <c r="L276" s="488"/>
      <c r="M276" s="488"/>
      <c r="N276" s="488"/>
      <c r="O276" s="488"/>
      <c r="P276" s="488"/>
      <c r="Q276" s="488"/>
      <c r="R276" s="488"/>
      <c r="S276" s="488"/>
      <c r="T276" s="488"/>
      <c r="U276" s="488"/>
      <c r="V276" s="488"/>
      <c r="W276" s="488"/>
      <c r="X276" s="354"/>
      <c r="Y276" s="354"/>
      <c r="Z276" s="353" t="s">
        <v>238</v>
      </c>
      <c r="AA276" s="353"/>
      <c r="AB276" s="836"/>
      <c r="AC276" s="836"/>
      <c r="AD276" s="836"/>
      <c r="AE276" s="838"/>
    </row>
    <row r="277" spans="1:31" ht="16.5" customHeight="1">
      <c r="A277" s="347">
        <v>41962</v>
      </c>
      <c r="B277" s="347" t="s">
        <v>2958</v>
      </c>
      <c r="C277" s="347" t="s">
        <v>3333</v>
      </c>
      <c r="D277" s="348">
        <v>11360</v>
      </c>
      <c r="E277" s="348" t="s">
        <v>5665</v>
      </c>
      <c r="F277" s="348" t="s">
        <v>2240</v>
      </c>
      <c r="G277" s="348" t="s">
        <v>5736</v>
      </c>
      <c r="H277" s="358"/>
      <c r="I277" s="352"/>
      <c r="J277" s="353"/>
      <c r="K277" s="538">
        <v>9999</v>
      </c>
      <c r="L277" s="488"/>
      <c r="M277" s="353"/>
      <c r="N277" s="353"/>
      <c r="O277" s="488"/>
      <c r="P277" s="488"/>
      <c r="Q277" s="488"/>
      <c r="R277" s="488"/>
      <c r="S277" s="488"/>
      <c r="T277" s="488"/>
      <c r="U277" s="488"/>
      <c r="V277" s="488"/>
      <c r="W277" s="488"/>
      <c r="X277" s="354"/>
      <c r="Y277" s="354"/>
      <c r="Z277" s="353"/>
      <c r="AA277" s="353"/>
      <c r="AB277" s="836"/>
      <c r="AC277" s="836"/>
      <c r="AD277" s="836"/>
      <c r="AE277" s="837"/>
    </row>
    <row r="278" spans="1:31" ht="16.5" customHeight="1">
      <c r="A278" s="347">
        <v>100006990</v>
      </c>
      <c r="B278" s="347" t="s">
        <v>2982</v>
      </c>
      <c r="C278" s="347" t="s">
        <v>3201</v>
      </c>
      <c r="D278" s="348">
        <v>17454</v>
      </c>
      <c r="E278" s="348" t="s">
        <v>4551</v>
      </c>
      <c r="F278" s="348" t="s">
        <v>2081</v>
      </c>
      <c r="G278" s="348" t="s">
        <v>5737</v>
      </c>
      <c r="H278" s="358"/>
      <c r="I278" s="352"/>
      <c r="J278" s="353"/>
      <c r="K278" s="538">
        <v>9999</v>
      </c>
      <c r="L278" s="488"/>
      <c r="M278" s="353"/>
      <c r="N278" s="353"/>
      <c r="O278" s="488"/>
      <c r="P278" s="488"/>
      <c r="Q278" s="488"/>
      <c r="R278" s="488"/>
      <c r="S278" s="488"/>
      <c r="T278" s="488"/>
      <c r="U278" s="488"/>
      <c r="V278" s="488"/>
      <c r="W278" s="488"/>
      <c r="X278" s="354"/>
      <c r="Y278" s="354"/>
      <c r="Z278" s="353" t="s">
        <v>238</v>
      </c>
      <c r="AA278" s="353" t="s">
        <v>5738</v>
      </c>
      <c r="AB278" s="836"/>
      <c r="AC278" s="836"/>
      <c r="AD278" s="836"/>
      <c r="AE278" s="837"/>
    </row>
    <row r="279" spans="1:31" ht="16.5" customHeight="1">
      <c r="A279" s="347">
        <v>177964</v>
      </c>
      <c r="B279" s="347" t="s">
        <v>5739</v>
      </c>
      <c r="C279" s="347" t="s">
        <v>3201</v>
      </c>
      <c r="D279" s="348">
        <v>18427</v>
      </c>
      <c r="E279" s="348" t="s">
        <v>4551</v>
      </c>
      <c r="F279" s="348" t="s">
        <v>2081</v>
      </c>
      <c r="G279" s="348" t="s">
        <v>5737</v>
      </c>
      <c r="H279" s="358"/>
      <c r="I279" s="352"/>
      <c r="J279" s="353"/>
      <c r="K279" s="539">
        <v>9999</v>
      </c>
      <c r="L279" s="353"/>
      <c r="M279" s="488"/>
      <c r="N279" s="353"/>
      <c r="O279" s="488"/>
      <c r="P279" s="488"/>
      <c r="Q279" s="488"/>
      <c r="R279" s="488"/>
      <c r="S279" s="488"/>
      <c r="T279" s="488"/>
      <c r="U279" s="488"/>
      <c r="V279" s="488"/>
      <c r="W279" s="488"/>
      <c r="X279" s="354"/>
      <c r="Y279" s="354"/>
      <c r="Z279" s="353" t="s">
        <v>238</v>
      </c>
      <c r="AA279" s="353"/>
      <c r="AB279" s="836"/>
      <c r="AC279" s="836"/>
      <c r="AD279" s="836"/>
      <c r="AE279" s="837"/>
    </row>
    <row r="280" spans="1:31" ht="16.5" customHeight="1">
      <c r="A280" s="347">
        <v>30481048</v>
      </c>
      <c r="B280" s="347" t="s">
        <v>3230</v>
      </c>
      <c r="C280" s="347" t="s">
        <v>5740</v>
      </c>
      <c r="D280" s="348">
        <v>16294</v>
      </c>
      <c r="E280" s="348" t="s">
        <v>4670</v>
      </c>
      <c r="F280" s="348" t="s">
        <v>2203</v>
      </c>
      <c r="G280" s="348" t="s">
        <v>5741</v>
      </c>
      <c r="H280" s="358"/>
      <c r="I280" s="352"/>
      <c r="J280" s="353"/>
      <c r="K280" s="539" t="s">
        <v>69</v>
      </c>
      <c r="L280" s="353"/>
      <c r="M280" s="488"/>
      <c r="N280" s="353"/>
      <c r="O280" s="488"/>
      <c r="P280" s="488"/>
      <c r="Q280" s="488"/>
      <c r="R280" s="488"/>
      <c r="S280" s="488"/>
      <c r="T280" s="488"/>
      <c r="U280" s="488" t="s">
        <v>238</v>
      </c>
      <c r="V280" s="488"/>
      <c r="W280" s="488"/>
      <c r="X280" s="354"/>
      <c r="Y280" s="354"/>
      <c r="Z280" s="353" t="s">
        <v>238</v>
      </c>
      <c r="AA280" s="353" t="s">
        <v>5742</v>
      </c>
      <c r="AB280" s="836"/>
      <c r="AC280" s="836"/>
      <c r="AD280" s="836"/>
      <c r="AE280" s="837"/>
    </row>
    <row r="281" spans="1:31" ht="16.5" customHeight="1">
      <c r="A281" s="347">
        <v>100083500</v>
      </c>
      <c r="B281" s="347" t="s">
        <v>2541</v>
      </c>
      <c r="C281" s="347" t="s">
        <v>5740</v>
      </c>
      <c r="D281" s="348">
        <v>17124</v>
      </c>
      <c r="E281" s="348" t="s">
        <v>4670</v>
      </c>
      <c r="F281" s="348" t="s">
        <v>2203</v>
      </c>
      <c r="G281" s="348" t="s">
        <v>5741</v>
      </c>
      <c r="H281" s="358"/>
      <c r="I281" s="352"/>
      <c r="J281" s="353"/>
      <c r="K281" s="538">
        <v>5854.6</v>
      </c>
      <c r="L281" s="488"/>
      <c r="M281" s="488"/>
      <c r="N281" s="488"/>
      <c r="O281" s="488"/>
      <c r="P281" s="488"/>
      <c r="Q281" s="488"/>
      <c r="R281" s="488"/>
      <c r="S281" s="488"/>
      <c r="T281" s="488"/>
      <c r="U281" s="488" t="s">
        <v>238</v>
      </c>
      <c r="V281" s="488"/>
      <c r="W281" s="353"/>
      <c r="X281" s="354"/>
      <c r="Y281" s="354"/>
      <c r="Z281" s="354" t="s">
        <v>238</v>
      </c>
      <c r="AA281" s="354"/>
      <c r="AB281" s="836"/>
      <c r="AC281" s="836"/>
      <c r="AD281" s="836"/>
      <c r="AE281" s="838"/>
    </row>
    <row r="282" spans="1:31" ht="16.5" customHeight="1">
      <c r="A282" s="347">
        <v>931089</v>
      </c>
      <c r="B282" s="347" t="s">
        <v>3122</v>
      </c>
      <c r="C282" s="347" t="s">
        <v>5743</v>
      </c>
      <c r="D282" s="348">
        <v>8730</v>
      </c>
      <c r="E282" s="348" t="s">
        <v>3362</v>
      </c>
      <c r="F282" s="348" t="s">
        <v>2106</v>
      </c>
      <c r="G282" s="348">
        <v>36854</v>
      </c>
      <c r="H282" s="358" t="s">
        <v>238</v>
      </c>
      <c r="I282" s="352"/>
      <c r="J282" s="353"/>
      <c r="K282" s="538">
        <v>9999</v>
      </c>
      <c r="L282" s="488"/>
      <c r="M282" s="488"/>
      <c r="N282" s="488"/>
      <c r="O282" s="488"/>
      <c r="P282" s="488"/>
      <c r="Q282" s="488"/>
      <c r="R282" s="488"/>
      <c r="S282" s="488"/>
      <c r="T282" s="488"/>
      <c r="U282" s="488"/>
      <c r="V282" s="488"/>
      <c r="W282" s="353"/>
      <c r="X282" s="354"/>
      <c r="Y282" s="354"/>
      <c r="Z282" s="353"/>
      <c r="AA282" s="353"/>
      <c r="AB282" s="836"/>
      <c r="AC282" s="836"/>
      <c r="AD282" s="836"/>
      <c r="AE282" s="837"/>
    </row>
    <row r="283" spans="1:31" ht="16.5" customHeight="1">
      <c r="A283" s="347">
        <v>100005044</v>
      </c>
      <c r="B283" s="347" t="s">
        <v>5744</v>
      </c>
      <c r="C283" s="347" t="s">
        <v>5745</v>
      </c>
      <c r="D283" s="348"/>
      <c r="E283" s="348" t="s">
        <v>5746</v>
      </c>
      <c r="F283" s="348" t="s">
        <v>2081</v>
      </c>
      <c r="G283" s="348">
        <v>35776</v>
      </c>
      <c r="H283" s="358" t="s">
        <v>238</v>
      </c>
      <c r="I283" s="352"/>
      <c r="J283" s="353"/>
      <c r="K283" s="538">
        <v>9999</v>
      </c>
      <c r="L283" s="353"/>
      <c r="M283" s="488"/>
      <c r="N283" s="488"/>
      <c r="O283" s="488"/>
      <c r="P283" s="488"/>
      <c r="Q283" s="488"/>
      <c r="R283" s="488"/>
      <c r="S283" s="488"/>
      <c r="T283" s="488"/>
      <c r="U283" s="488"/>
      <c r="V283" s="488"/>
      <c r="W283" s="488"/>
      <c r="X283" s="354"/>
      <c r="Y283" s="354"/>
      <c r="Z283" s="353"/>
      <c r="AA283" s="353"/>
      <c r="AB283" s="836"/>
      <c r="AC283" s="836"/>
      <c r="AD283" s="836"/>
      <c r="AE283" s="837"/>
    </row>
    <row r="284" spans="1:31" ht="16.5" customHeight="1">
      <c r="A284" s="347">
        <v>21590104</v>
      </c>
      <c r="B284" s="347" t="s">
        <v>5747</v>
      </c>
      <c r="C284" s="347" t="s">
        <v>5748</v>
      </c>
      <c r="D284" s="348">
        <v>12768</v>
      </c>
      <c r="E284" s="348" t="s">
        <v>5424</v>
      </c>
      <c r="F284" s="348" t="s">
        <v>2089</v>
      </c>
      <c r="G284" s="348" t="s">
        <v>5749</v>
      </c>
      <c r="H284" s="358"/>
      <c r="I284" s="352"/>
      <c r="J284" s="353"/>
      <c r="K284" s="538">
        <v>150000</v>
      </c>
      <c r="L284" s="488" t="s">
        <v>238</v>
      </c>
      <c r="M284" s="488"/>
      <c r="N284" s="353"/>
      <c r="O284" s="488"/>
      <c r="P284" s="488"/>
      <c r="Q284" s="488"/>
      <c r="R284" s="488"/>
      <c r="S284" s="488"/>
      <c r="T284" s="488"/>
      <c r="U284" s="488"/>
      <c r="V284" s="488"/>
      <c r="W284" s="488"/>
      <c r="X284" s="354"/>
      <c r="Y284" s="354"/>
      <c r="Z284" s="353"/>
      <c r="AA284" s="353"/>
      <c r="AB284" s="836" t="s">
        <v>5750</v>
      </c>
      <c r="AC284" s="836"/>
      <c r="AD284" s="842"/>
      <c r="AE284" s="837"/>
    </row>
    <row r="285" spans="1:31" ht="16.5" customHeight="1">
      <c r="A285" s="347">
        <v>51543593</v>
      </c>
      <c r="B285" s="347" t="s">
        <v>3246</v>
      </c>
      <c r="C285" s="347" t="s">
        <v>2594</v>
      </c>
      <c r="D285" s="348">
        <v>10664</v>
      </c>
      <c r="E285" s="348" t="s">
        <v>5751</v>
      </c>
      <c r="F285" s="348" t="s">
        <v>2069</v>
      </c>
      <c r="G285" s="348" t="s">
        <v>5752</v>
      </c>
      <c r="H285" s="358"/>
      <c r="I285" s="352"/>
      <c r="J285" s="353"/>
      <c r="K285" s="538">
        <v>9999</v>
      </c>
      <c r="L285" s="353"/>
      <c r="M285" s="488"/>
      <c r="N285" s="488"/>
      <c r="O285" s="488"/>
      <c r="P285" s="488"/>
      <c r="Q285" s="488"/>
      <c r="R285" s="488"/>
      <c r="S285" s="488"/>
      <c r="T285" s="488"/>
      <c r="U285" s="488"/>
      <c r="V285" s="488"/>
      <c r="W285" s="488"/>
      <c r="X285" s="354"/>
      <c r="Y285" s="354"/>
      <c r="Z285" s="353"/>
      <c r="AA285" s="353"/>
      <c r="AB285" s="836"/>
      <c r="AC285" s="836"/>
      <c r="AD285" s="836"/>
      <c r="AE285" s="837"/>
    </row>
    <row r="286" spans="1:31" ht="16.5" customHeight="1">
      <c r="A286" s="347">
        <v>39780820</v>
      </c>
      <c r="B286" s="347" t="s">
        <v>5753</v>
      </c>
      <c r="C286" s="347" t="s">
        <v>4291</v>
      </c>
      <c r="D286" s="348">
        <v>10912</v>
      </c>
      <c r="E286" s="348" t="s">
        <v>5754</v>
      </c>
      <c r="F286" s="348" t="s">
        <v>2162</v>
      </c>
      <c r="G286" s="348">
        <v>42312</v>
      </c>
      <c r="H286" s="358"/>
      <c r="I286" s="352"/>
      <c r="J286" s="353"/>
      <c r="K286" s="539">
        <v>9999</v>
      </c>
      <c r="L286" s="488"/>
      <c r="M286" s="488"/>
      <c r="N286" s="353"/>
      <c r="O286" s="488"/>
      <c r="P286" s="488"/>
      <c r="Q286" s="488"/>
      <c r="R286" s="488"/>
      <c r="S286" s="353"/>
      <c r="T286" s="488"/>
      <c r="U286" s="488"/>
      <c r="V286" s="488"/>
      <c r="W286" s="488"/>
      <c r="X286" s="353"/>
      <c r="Y286" s="354"/>
      <c r="Z286" s="353"/>
      <c r="AA286" s="353"/>
      <c r="AB286" s="836"/>
      <c r="AC286" s="836"/>
      <c r="AD286" s="836"/>
      <c r="AE286" s="837"/>
    </row>
    <row r="287" spans="1:31" ht="16.5" customHeight="1">
      <c r="A287" s="347">
        <v>386094</v>
      </c>
      <c r="B287" s="347" t="s">
        <v>5667</v>
      </c>
      <c r="C287" s="347" t="s">
        <v>5755</v>
      </c>
      <c r="D287" s="348">
        <v>10084</v>
      </c>
      <c r="E287" s="348" t="s">
        <v>5756</v>
      </c>
      <c r="F287" s="348" t="s">
        <v>2064</v>
      </c>
      <c r="G287" s="348" t="s">
        <v>5757</v>
      </c>
      <c r="H287" s="358"/>
      <c r="I287" s="352"/>
      <c r="J287" s="353"/>
      <c r="K287" s="539">
        <v>6042.15</v>
      </c>
      <c r="L287" s="488"/>
      <c r="M287" s="488"/>
      <c r="N287" s="353"/>
      <c r="O287" s="488"/>
      <c r="P287" s="488"/>
      <c r="Q287" s="488"/>
      <c r="R287" s="488"/>
      <c r="S287" s="488"/>
      <c r="T287" s="488"/>
      <c r="U287" s="488" t="s">
        <v>238</v>
      </c>
      <c r="V287" s="488"/>
      <c r="W287" s="488"/>
      <c r="X287" s="353"/>
      <c r="Y287" s="354"/>
      <c r="Z287" s="353"/>
      <c r="AA287" s="353"/>
      <c r="AB287" s="836"/>
      <c r="AC287" s="836"/>
      <c r="AD287" s="836"/>
      <c r="AE287" s="838"/>
    </row>
    <row r="288" spans="1:31" ht="16.5" customHeight="1">
      <c r="A288" s="347">
        <v>100005751</v>
      </c>
      <c r="B288" s="347" t="s">
        <v>2718</v>
      </c>
      <c r="C288" s="347" t="s">
        <v>5758</v>
      </c>
      <c r="D288" s="348">
        <v>23864</v>
      </c>
      <c r="E288" s="348" t="s">
        <v>2913</v>
      </c>
      <c r="F288" s="348" t="s">
        <v>2081</v>
      </c>
      <c r="G288" s="348" t="s">
        <v>5759</v>
      </c>
      <c r="H288" s="358" t="s">
        <v>238</v>
      </c>
      <c r="I288" s="352"/>
      <c r="J288" s="353"/>
      <c r="K288" s="539">
        <v>9999</v>
      </c>
      <c r="L288" s="488"/>
      <c r="M288" s="488"/>
      <c r="N288" s="353"/>
      <c r="O288" s="488"/>
      <c r="P288" s="488"/>
      <c r="Q288" s="488"/>
      <c r="R288" s="488"/>
      <c r="S288" s="488"/>
      <c r="T288" s="488"/>
      <c r="U288" s="488"/>
      <c r="V288" s="488"/>
      <c r="W288" s="488"/>
      <c r="X288" s="353"/>
      <c r="Y288" s="354"/>
      <c r="Z288" s="353"/>
      <c r="AA288" s="353"/>
      <c r="AB288" s="836"/>
      <c r="AC288" s="836"/>
      <c r="AD288" s="836"/>
      <c r="AE288" s="838"/>
    </row>
    <row r="289" spans="1:31" ht="16.5" customHeight="1">
      <c r="A289" s="347">
        <v>100069091</v>
      </c>
      <c r="B289" s="347" t="s">
        <v>3565</v>
      </c>
      <c r="C289" s="347" t="s">
        <v>5760</v>
      </c>
      <c r="D289" s="348">
        <v>15832</v>
      </c>
      <c r="E289" s="348" t="s">
        <v>5761</v>
      </c>
      <c r="F289" s="348" t="s">
        <v>2052</v>
      </c>
      <c r="G289" s="348">
        <v>37438</v>
      </c>
      <c r="H289" s="358"/>
      <c r="I289" s="352"/>
      <c r="J289" s="353"/>
      <c r="K289" s="539">
        <v>9999</v>
      </c>
      <c r="L289" s="488"/>
      <c r="M289" s="488"/>
      <c r="N289" s="353"/>
      <c r="O289" s="488"/>
      <c r="P289" s="488"/>
      <c r="Q289" s="488"/>
      <c r="R289" s="488"/>
      <c r="S289" s="488"/>
      <c r="T289" s="488"/>
      <c r="U289" s="488"/>
      <c r="V289" s="488"/>
      <c r="W289" s="488"/>
      <c r="X289" s="353"/>
      <c r="Y289" s="354"/>
      <c r="Z289" s="353"/>
      <c r="AA289" s="353"/>
      <c r="AB289" s="836"/>
      <c r="AC289" s="836"/>
      <c r="AD289" s="836"/>
      <c r="AE289" s="838"/>
    </row>
    <row r="290" spans="1:31" ht="16.5" customHeight="1">
      <c r="A290" s="347">
        <v>26180034</v>
      </c>
      <c r="B290" s="347" t="s">
        <v>5035</v>
      </c>
      <c r="C290" s="347" t="s">
        <v>5762</v>
      </c>
      <c r="D290" s="348">
        <v>9618</v>
      </c>
      <c r="E290" s="348" t="s">
        <v>5761</v>
      </c>
      <c r="F290" s="348" t="s">
        <v>2052</v>
      </c>
      <c r="G290" s="348">
        <v>37438</v>
      </c>
      <c r="H290" s="358"/>
      <c r="I290" s="352"/>
      <c r="J290" s="353"/>
      <c r="K290" s="538">
        <v>9999</v>
      </c>
      <c r="L290" s="488"/>
      <c r="M290" s="353"/>
      <c r="N290" s="488"/>
      <c r="O290" s="488"/>
      <c r="P290" s="488"/>
      <c r="Q290" s="488"/>
      <c r="R290" s="488"/>
      <c r="S290" s="488"/>
      <c r="T290" s="488"/>
      <c r="U290" s="488"/>
      <c r="V290" s="488"/>
      <c r="W290" s="488"/>
      <c r="X290" s="353"/>
      <c r="Y290" s="355"/>
      <c r="Z290" s="353"/>
      <c r="AA290" s="353" t="s">
        <v>5763</v>
      </c>
      <c r="AB290" s="836"/>
      <c r="AC290" s="836"/>
      <c r="AD290" s="836"/>
      <c r="AE290" s="837"/>
    </row>
    <row r="291" spans="1:31" ht="16.5" customHeight="1">
      <c r="A291" s="347">
        <v>10110336</v>
      </c>
      <c r="B291" s="347" t="s">
        <v>3510</v>
      </c>
      <c r="C291" s="347" t="s">
        <v>2706</v>
      </c>
      <c r="D291" s="348">
        <v>11275</v>
      </c>
      <c r="E291" s="348" t="s">
        <v>5764</v>
      </c>
      <c r="F291" s="348" t="s">
        <v>65</v>
      </c>
      <c r="G291" s="348" t="s">
        <v>5765</v>
      </c>
      <c r="H291" s="358"/>
      <c r="I291" s="352"/>
      <c r="J291" s="353"/>
      <c r="K291" s="538">
        <v>10310.6</v>
      </c>
      <c r="L291" s="488"/>
      <c r="M291" s="353"/>
      <c r="N291" s="488"/>
      <c r="O291" s="488"/>
      <c r="P291" s="488"/>
      <c r="Q291" s="488"/>
      <c r="R291" s="488"/>
      <c r="S291" s="488"/>
      <c r="T291" s="488"/>
      <c r="U291" s="488" t="s">
        <v>238</v>
      </c>
      <c r="V291" s="488"/>
      <c r="W291" s="488"/>
      <c r="X291" s="353"/>
      <c r="Y291" s="355"/>
      <c r="Z291" s="353"/>
      <c r="AA291" s="353"/>
      <c r="AB291" s="836"/>
      <c r="AC291" s="836"/>
      <c r="AD291" s="836"/>
      <c r="AE291" s="837"/>
    </row>
    <row r="292" spans="1:31" ht="16.5" customHeight="1">
      <c r="A292" s="347">
        <v>4493474</v>
      </c>
      <c r="B292" s="347" t="s">
        <v>5766</v>
      </c>
      <c r="C292" s="347" t="s">
        <v>5767</v>
      </c>
      <c r="D292" s="348">
        <v>6642</v>
      </c>
      <c r="E292" s="348" t="s">
        <v>5768</v>
      </c>
      <c r="F292" s="348" t="s">
        <v>2174</v>
      </c>
      <c r="G292" s="348" t="s">
        <v>5769</v>
      </c>
      <c r="H292" s="358"/>
      <c r="I292" s="352"/>
      <c r="J292" s="353"/>
      <c r="K292" s="539">
        <v>9999</v>
      </c>
      <c r="L292" s="353"/>
      <c r="M292" s="488"/>
      <c r="N292" s="488"/>
      <c r="O292" s="488"/>
      <c r="P292" s="488"/>
      <c r="Q292" s="488"/>
      <c r="R292" s="488"/>
      <c r="S292" s="488"/>
      <c r="T292" s="488"/>
      <c r="U292" s="488"/>
      <c r="V292" s="488"/>
      <c r="W292" s="488"/>
      <c r="X292" s="354"/>
      <c r="Y292" s="354"/>
      <c r="Z292" s="353"/>
      <c r="AA292" s="353"/>
      <c r="AB292" s="836"/>
      <c r="AC292" s="836"/>
      <c r="AD292" s="836"/>
      <c r="AE292" s="837"/>
    </row>
    <row r="293" spans="1:31" ht="16.5" customHeight="1">
      <c r="A293" s="347">
        <v>6575815</v>
      </c>
      <c r="B293" s="347" t="s">
        <v>3101</v>
      </c>
      <c r="C293" s="347" t="s">
        <v>5770</v>
      </c>
      <c r="D293" s="348">
        <v>10230</v>
      </c>
      <c r="E293" s="348" t="s">
        <v>3488</v>
      </c>
      <c r="F293" s="348" t="s">
        <v>2072</v>
      </c>
      <c r="G293" s="348">
        <v>42711</v>
      </c>
      <c r="H293" s="358"/>
      <c r="I293" s="352"/>
      <c r="J293" s="353" t="s">
        <v>238</v>
      </c>
      <c r="K293" s="538">
        <v>9999</v>
      </c>
      <c r="L293" s="353" t="s">
        <v>238</v>
      </c>
      <c r="M293" s="488" t="s">
        <v>238</v>
      </c>
      <c r="N293" s="488"/>
      <c r="O293" s="488"/>
      <c r="P293" s="488"/>
      <c r="Q293" s="488"/>
      <c r="R293" s="488"/>
      <c r="S293" s="488"/>
      <c r="T293" s="488"/>
      <c r="U293" s="488"/>
      <c r="V293" s="488"/>
      <c r="W293" s="488"/>
      <c r="X293" s="354"/>
      <c r="Y293" s="354"/>
      <c r="Z293" s="353"/>
      <c r="AA293" s="353" t="s">
        <v>5771</v>
      </c>
      <c r="AB293" s="836"/>
      <c r="AC293" s="836"/>
      <c r="AD293" s="836"/>
      <c r="AE293" s="838"/>
    </row>
    <row r="294" spans="1:31" ht="16.5" customHeight="1">
      <c r="A294" s="347">
        <v>41363656</v>
      </c>
      <c r="B294" s="347" t="s">
        <v>5772</v>
      </c>
      <c r="C294" s="347" t="s">
        <v>5773</v>
      </c>
      <c r="D294" s="348">
        <v>22465</v>
      </c>
      <c r="E294" s="348" t="s">
        <v>2924</v>
      </c>
      <c r="F294" s="348" t="s">
        <v>65</v>
      </c>
      <c r="G294" s="348" t="s">
        <v>5774</v>
      </c>
      <c r="H294" s="358"/>
      <c r="I294" s="352"/>
      <c r="J294" s="353"/>
      <c r="K294" s="538">
        <v>9999</v>
      </c>
      <c r="L294" s="353"/>
      <c r="M294" s="488"/>
      <c r="N294" s="488"/>
      <c r="O294" s="488"/>
      <c r="P294" s="488"/>
      <c r="Q294" s="488"/>
      <c r="R294" s="488"/>
      <c r="S294" s="353"/>
      <c r="T294" s="488"/>
      <c r="U294" s="488"/>
      <c r="V294" s="488"/>
      <c r="W294" s="488"/>
      <c r="X294" s="354"/>
      <c r="Y294" s="354"/>
      <c r="Z294" s="353"/>
      <c r="AA294" s="353"/>
      <c r="AB294" s="836"/>
      <c r="AC294" s="836"/>
      <c r="AD294" s="836"/>
      <c r="AE294" s="837"/>
    </row>
    <row r="295" spans="1:31" ht="16.5" customHeight="1">
      <c r="A295" s="347">
        <v>178103</v>
      </c>
      <c r="B295" s="347" t="s">
        <v>3825</v>
      </c>
      <c r="C295" s="347" t="s">
        <v>5775</v>
      </c>
      <c r="D295" s="745">
        <v>10651</v>
      </c>
      <c r="E295" s="361" t="s">
        <v>5776</v>
      </c>
      <c r="F295" s="361" t="s">
        <v>2162</v>
      </c>
      <c r="G295" s="348">
        <v>39436</v>
      </c>
      <c r="H295" s="358"/>
      <c r="I295" s="352"/>
      <c r="J295" s="353"/>
      <c r="K295" s="538">
        <v>10623.9</v>
      </c>
      <c r="L295" s="488"/>
      <c r="M295" s="488"/>
      <c r="N295" s="353"/>
      <c r="O295" s="488"/>
      <c r="P295" s="488"/>
      <c r="Q295" s="488"/>
      <c r="R295" s="488"/>
      <c r="S295" s="488"/>
      <c r="T295" s="488"/>
      <c r="U295" s="488" t="s">
        <v>238</v>
      </c>
      <c r="V295" s="488"/>
      <c r="W295" s="488"/>
      <c r="X295" s="354"/>
      <c r="Y295" s="354"/>
      <c r="Z295" s="353"/>
      <c r="AA295" s="353" t="s">
        <v>5777</v>
      </c>
      <c r="AB295" s="836"/>
      <c r="AC295" s="836"/>
      <c r="AD295" s="836"/>
      <c r="AE295" s="838"/>
    </row>
    <row r="296" spans="1:31" ht="16.5" customHeight="1">
      <c r="A296" s="347">
        <v>30944789</v>
      </c>
      <c r="B296" s="347" t="s">
        <v>2697</v>
      </c>
      <c r="C296" s="347" t="s">
        <v>3125</v>
      </c>
      <c r="D296" s="348">
        <v>13733</v>
      </c>
      <c r="E296" s="348" t="s">
        <v>3126</v>
      </c>
      <c r="F296" s="348" t="s">
        <v>2118</v>
      </c>
      <c r="G296" s="348">
        <v>43641</v>
      </c>
      <c r="H296" s="358"/>
      <c r="I296" s="352"/>
      <c r="J296" s="353"/>
      <c r="K296" s="538">
        <v>9999</v>
      </c>
      <c r="L296" s="353" t="s">
        <v>238</v>
      </c>
      <c r="M296" s="488" t="s">
        <v>238</v>
      </c>
      <c r="N296" s="488"/>
      <c r="O296" s="488"/>
      <c r="P296" s="488"/>
      <c r="Q296" s="488"/>
      <c r="R296" s="488"/>
      <c r="S296" s="488"/>
      <c r="T296" s="488"/>
      <c r="U296" s="488"/>
      <c r="V296" s="488"/>
      <c r="W296" s="488"/>
      <c r="X296" s="354"/>
      <c r="Y296" s="354"/>
      <c r="Z296" s="353"/>
      <c r="AA296" s="353" t="s">
        <v>5778</v>
      </c>
      <c r="AB296" s="836"/>
      <c r="AC296" s="842"/>
      <c r="AD296" s="836"/>
      <c r="AE296" s="837"/>
    </row>
    <row r="297" spans="1:31" ht="16.5" customHeight="1">
      <c r="A297" s="347">
        <v>626713</v>
      </c>
      <c r="B297" s="347" t="s">
        <v>2586</v>
      </c>
      <c r="C297" s="347" t="s">
        <v>5779</v>
      </c>
      <c r="D297" s="535">
        <v>14337</v>
      </c>
      <c r="E297" s="348" t="s">
        <v>5780</v>
      </c>
      <c r="F297" s="348" t="s">
        <v>2055</v>
      </c>
      <c r="G297" s="348">
        <v>39377</v>
      </c>
      <c r="H297" s="358"/>
      <c r="I297" s="352"/>
      <c r="J297" s="353"/>
      <c r="K297" s="538"/>
      <c r="L297" s="353"/>
      <c r="M297" s="488"/>
      <c r="N297" s="488"/>
      <c r="O297" s="488"/>
      <c r="P297" s="488"/>
      <c r="Q297" s="488"/>
      <c r="R297" s="488"/>
      <c r="S297" s="488"/>
      <c r="T297" s="488"/>
      <c r="U297" s="488"/>
      <c r="V297" s="488"/>
      <c r="W297" s="488"/>
      <c r="X297" s="354"/>
      <c r="Y297" s="354"/>
      <c r="Z297" s="353"/>
      <c r="AA297" s="353"/>
      <c r="AB297" s="836"/>
      <c r="AC297" s="842"/>
      <c r="AD297" s="836"/>
      <c r="AE297" s="837"/>
    </row>
    <row r="298" spans="1:31" ht="16.5" customHeight="1">
      <c r="A298" s="347">
        <v>100009078</v>
      </c>
      <c r="B298" s="347" t="s">
        <v>3206</v>
      </c>
      <c r="C298" s="347" t="s">
        <v>5779</v>
      </c>
      <c r="D298" s="348">
        <v>11383</v>
      </c>
      <c r="E298" s="348" t="s">
        <v>5780</v>
      </c>
      <c r="F298" s="348" t="s">
        <v>2055</v>
      </c>
      <c r="G298" s="348" t="s">
        <v>5781</v>
      </c>
      <c r="H298" s="358"/>
      <c r="I298" s="352"/>
      <c r="J298" s="353"/>
      <c r="K298" s="538">
        <v>10000</v>
      </c>
      <c r="L298" s="488"/>
      <c r="M298" s="488"/>
      <c r="N298" s="488"/>
      <c r="O298" s="488"/>
      <c r="P298" s="488"/>
      <c r="Q298" s="488"/>
      <c r="R298" s="488"/>
      <c r="S298" s="488"/>
      <c r="T298" s="488"/>
      <c r="U298" s="488"/>
      <c r="V298" s="488"/>
      <c r="W298" s="488"/>
      <c r="X298" s="354"/>
      <c r="Y298" s="354"/>
      <c r="Z298" s="353"/>
      <c r="AA298" s="353" t="s">
        <v>5782</v>
      </c>
      <c r="AB298" s="836" t="s">
        <v>5783</v>
      </c>
      <c r="AC298" s="836"/>
      <c r="AD298" s="836"/>
      <c r="AE298" s="838"/>
    </row>
    <row r="299" spans="1:31" ht="16.5" customHeight="1">
      <c r="A299" s="347">
        <v>21946421</v>
      </c>
      <c r="B299" s="347" t="s">
        <v>5784</v>
      </c>
      <c r="C299" s="347" t="s">
        <v>2772</v>
      </c>
      <c r="D299" s="348">
        <v>14060</v>
      </c>
      <c r="E299" s="348" t="s">
        <v>3357</v>
      </c>
      <c r="F299" s="348" t="s">
        <v>2185</v>
      </c>
      <c r="G299" s="348">
        <v>42019</v>
      </c>
      <c r="H299" s="358"/>
      <c r="I299" s="352"/>
      <c r="J299" s="353"/>
      <c r="K299" s="538">
        <v>9320.9500000000007</v>
      </c>
      <c r="L299" s="488"/>
      <c r="M299" s="488"/>
      <c r="N299" s="488"/>
      <c r="O299" s="488"/>
      <c r="P299" s="488"/>
      <c r="Q299" s="488"/>
      <c r="R299" s="488"/>
      <c r="S299" s="488"/>
      <c r="T299" s="488"/>
      <c r="U299" s="488" t="s">
        <v>238</v>
      </c>
      <c r="V299" s="488"/>
      <c r="W299" s="488"/>
      <c r="X299" s="354"/>
      <c r="Y299" s="354"/>
      <c r="Z299" s="353"/>
      <c r="AA299" s="353"/>
      <c r="AB299" s="836"/>
      <c r="AC299" s="836"/>
      <c r="AD299" s="836"/>
      <c r="AE299" s="838"/>
    </row>
    <row r="300" spans="1:31" ht="16.5" customHeight="1">
      <c r="A300" s="347">
        <v>38534038</v>
      </c>
      <c r="B300" s="347" t="s">
        <v>5785</v>
      </c>
      <c r="C300" s="347" t="s">
        <v>5786</v>
      </c>
      <c r="D300" s="745">
        <v>9893</v>
      </c>
      <c r="E300" s="361" t="s">
        <v>3004</v>
      </c>
      <c r="F300" s="361" t="s">
        <v>2112</v>
      </c>
      <c r="G300" s="348">
        <v>40455</v>
      </c>
      <c r="H300" s="358"/>
      <c r="I300" s="352"/>
      <c r="J300" s="353"/>
      <c r="K300" s="538">
        <v>10780.89</v>
      </c>
      <c r="L300" s="353"/>
      <c r="M300" s="488"/>
      <c r="N300" s="353"/>
      <c r="O300" s="488"/>
      <c r="P300" s="488"/>
      <c r="Q300" s="488"/>
      <c r="R300" s="353"/>
      <c r="S300" s="488"/>
      <c r="T300" s="488"/>
      <c r="U300" s="488" t="s">
        <v>238</v>
      </c>
      <c r="V300" s="488"/>
      <c r="W300" s="488"/>
      <c r="X300" s="354"/>
      <c r="Y300" s="354"/>
      <c r="Z300" s="353"/>
      <c r="AA300" s="353"/>
      <c r="AB300" s="842"/>
      <c r="AC300" s="836"/>
      <c r="AD300" s="842"/>
      <c r="AE300" s="837"/>
    </row>
    <row r="301" spans="1:31" ht="16.5" customHeight="1">
      <c r="A301" s="347">
        <v>29548088</v>
      </c>
      <c r="B301" s="347" t="s">
        <v>4300</v>
      </c>
      <c r="C301" s="347" t="s">
        <v>5787</v>
      </c>
      <c r="D301" s="348">
        <v>14610</v>
      </c>
      <c r="E301" s="348" t="s">
        <v>5788</v>
      </c>
      <c r="F301" s="348" t="s">
        <v>2363</v>
      </c>
      <c r="G301" s="348">
        <v>40239</v>
      </c>
      <c r="H301" s="358"/>
      <c r="I301" s="352"/>
      <c r="J301" s="353"/>
      <c r="K301" s="539">
        <v>4169.1000000000004</v>
      </c>
      <c r="L301" s="488"/>
      <c r="M301" s="488"/>
      <c r="N301" s="353"/>
      <c r="O301" s="488"/>
      <c r="P301" s="488"/>
      <c r="Q301" s="488"/>
      <c r="R301" s="488"/>
      <c r="S301" s="488"/>
      <c r="T301" s="488"/>
      <c r="U301" s="488" t="s">
        <v>238</v>
      </c>
      <c r="V301" s="488"/>
      <c r="W301" s="488"/>
      <c r="X301" s="354"/>
      <c r="Y301" s="354"/>
      <c r="Z301" s="353"/>
      <c r="AA301" s="353"/>
      <c r="AB301" s="836"/>
      <c r="AC301" s="836"/>
      <c r="AD301" s="836"/>
      <c r="AE301" s="837"/>
    </row>
    <row r="302" spans="1:31" ht="16.5" customHeight="1">
      <c r="A302" s="347">
        <v>27135300</v>
      </c>
      <c r="B302" s="347" t="s">
        <v>3103</v>
      </c>
      <c r="C302" s="347" t="s">
        <v>3321</v>
      </c>
      <c r="D302" s="745">
        <v>7406</v>
      </c>
      <c r="E302" s="361" t="s">
        <v>5789</v>
      </c>
      <c r="F302" s="361" t="s">
        <v>2081</v>
      </c>
      <c r="G302" s="348" t="s">
        <v>5790</v>
      </c>
      <c r="H302" s="358" t="s">
        <v>238</v>
      </c>
      <c r="I302" s="352"/>
      <c r="J302" s="353"/>
      <c r="K302" s="538">
        <v>10019</v>
      </c>
      <c r="L302" s="353"/>
      <c r="M302" s="488"/>
      <c r="N302" s="488"/>
      <c r="O302" s="488"/>
      <c r="P302" s="488"/>
      <c r="Q302" s="488"/>
      <c r="R302" s="488"/>
      <c r="S302" s="488"/>
      <c r="T302" s="488"/>
      <c r="U302" s="488" t="s">
        <v>238</v>
      </c>
      <c r="V302" s="488"/>
      <c r="W302" s="488"/>
      <c r="X302" s="354"/>
      <c r="Y302" s="354"/>
      <c r="Z302" s="353"/>
      <c r="AA302" s="353"/>
      <c r="AB302" s="836"/>
      <c r="AC302" s="836"/>
      <c r="AD302" s="842"/>
      <c r="AE302" s="837"/>
    </row>
    <row r="303" spans="1:31" ht="16.5" customHeight="1">
      <c r="A303" s="347">
        <v>36994838</v>
      </c>
      <c r="B303" s="347" t="s">
        <v>5791</v>
      </c>
      <c r="C303" s="347" t="s">
        <v>5792</v>
      </c>
      <c r="D303" s="348">
        <v>7645</v>
      </c>
      <c r="E303" s="348" t="s">
        <v>3289</v>
      </c>
      <c r="F303" s="348" t="s">
        <v>2290</v>
      </c>
      <c r="G303" s="348">
        <v>43691</v>
      </c>
      <c r="H303" s="358"/>
      <c r="I303" s="352"/>
      <c r="J303" s="353"/>
      <c r="K303" s="538">
        <v>9999</v>
      </c>
      <c r="L303" s="353"/>
      <c r="M303" s="488"/>
      <c r="N303" s="488"/>
      <c r="O303" s="488"/>
      <c r="P303" s="488"/>
      <c r="Q303" s="488"/>
      <c r="R303" s="488"/>
      <c r="S303" s="488"/>
      <c r="T303" s="488"/>
      <c r="U303" s="488"/>
      <c r="V303" s="488"/>
      <c r="W303" s="488"/>
      <c r="X303" s="354"/>
      <c r="Y303" s="354"/>
      <c r="Z303" s="353"/>
      <c r="AA303" s="353" t="s">
        <v>5793</v>
      </c>
      <c r="AB303" s="836"/>
      <c r="AC303" s="836"/>
      <c r="AD303" s="836"/>
      <c r="AE303" s="838"/>
    </row>
    <row r="304" spans="1:31" ht="16.5" customHeight="1">
      <c r="A304" s="347">
        <v>60581626</v>
      </c>
      <c r="B304" s="347" t="s">
        <v>2547</v>
      </c>
      <c r="C304" s="347" t="s">
        <v>5794</v>
      </c>
      <c r="D304" s="348">
        <v>9285</v>
      </c>
      <c r="E304" s="348" t="s">
        <v>2549</v>
      </c>
      <c r="F304" s="348" t="s">
        <v>2081</v>
      </c>
      <c r="G304" s="348">
        <v>43378</v>
      </c>
      <c r="H304" s="358"/>
      <c r="I304" s="352"/>
      <c r="J304" s="353"/>
      <c r="K304" s="538">
        <v>13717.8</v>
      </c>
      <c r="L304" s="488"/>
      <c r="M304" s="488"/>
      <c r="N304" s="488"/>
      <c r="O304" s="488"/>
      <c r="P304" s="488"/>
      <c r="Q304" s="488"/>
      <c r="R304" s="488"/>
      <c r="S304" s="488"/>
      <c r="T304" s="488"/>
      <c r="U304" s="488" t="s">
        <v>238</v>
      </c>
      <c r="V304" s="488"/>
      <c r="W304" s="488"/>
      <c r="X304" s="354"/>
      <c r="Y304" s="354"/>
      <c r="Z304" s="353"/>
      <c r="AA304" s="353" t="s">
        <v>5795</v>
      </c>
      <c r="AB304" s="836"/>
      <c r="AC304" s="836"/>
      <c r="AD304" s="836"/>
      <c r="AE304" s="838"/>
    </row>
    <row r="305" spans="1:31" ht="16.5" customHeight="1">
      <c r="A305" s="347">
        <v>38355731</v>
      </c>
      <c r="B305" s="347" t="s">
        <v>5796</v>
      </c>
      <c r="C305" s="347" t="s">
        <v>5797</v>
      </c>
      <c r="D305" s="348">
        <v>15783</v>
      </c>
      <c r="E305" s="348" t="s">
        <v>5798</v>
      </c>
      <c r="F305" s="348" t="s">
        <v>2112</v>
      </c>
      <c r="G305" s="348">
        <v>42003</v>
      </c>
      <c r="H305" s="358"/>
      <c r="I305" s="352"/>
      <c r="J305" s="353"/>
      <c r="K305" s="538">
        <v>8330.2999999999993</v>
      </c>
      <c r="L305" s="353"/>
      <c r="M305" s="488"/>
      <c r="N305" s="488"/>
      <c r="O305" s="488"/>
      <c r="P305" s="488"/>
      <c r="Q305" s="488"/>
      <c r="R305" s="488"/>
      <c r="S305" s="488"/>
      <c r="T305" s="488"/>
      <c r="U305" s="488" t="s">
        <v>238</v>
      </c>
      <c r="V305" s="488"/>
      <c r="W305" s="488"/>
      <c r="X305" s="354"/>
      <c r="Y305" s="354"/>
      <c r="Z305" s="353"/>
      <c r="AA305" s="353" t="s">
        <v>5799</v>
      </c>
      <c r="AB305" s="836"/>
      <c r="AC305" s="836"/>
      <c r="AD305" s="836"/>
      <c r="AE305" s="837"/>
    </row>
    <row r="306" spans="1:31" ht="16.5" customHeight="1">
      <c r="A306" s="347">
        <v>4669677</v>
      </c>
      <c r="B306" s="347" t="s">
        <v>2665</v>
      </c>
      <c r="C306" s="347" t="s">
        <v>5800</v>
      </c>
      <c r="D306" s="348">
        <v>23227</v>
      </c>
      <c r="E306" s="348" t="s">
        <v>3045</v>
      </c>
      <c r="F306" s="348" t="s">
        <v>2118</v>
      </c>
      <c r="G306" s="348">
        <v>42632</v>
      </c>
      <c r="H306" s="358"/>
      <c r="I306" s="352"/>
      <c r="J306" s="353"/>
      <c r="K306" s="538">
        <v>9999</v>
      </c>
      <c r="L306" s="353"/>
      <c r="M306" s="488"/>
      <c r="N306" s="488"/>
      <c r="O306" s="488"/>
      <c r="P306" s="488"/>
      <c r="Q306" s="488"/>
      <c r="R306" s="488"/>
      <c r="S306" s="488"/>
      <c r="T306" s="488"/>
      <c r="U306" s="488"/>
      <c r="V306" s="488"/>
      <c r="W306" s="488"/>
      <c r="X306" s="354"/>
      <c r="Y306" s="354"/>
      <c r="Z306" s="353"/>
      <c r="AA306" s="353" t="s">
        <v>5801</v>
      </c>
      <c r="AB306" s="836"/>
      <c r="AC306" s="836"/>
      <c r="AD306" s="836"/>
      <c r="AE306" s="837"/>
    </row>
    <row r="307" spans="1:31" ht="16.5" customHeight="1">
      <c r="A307" s="347">
        <v>5742861</v>
      </c>
      <c r="B307" s="347" t="s">
        <v>2569</v>
      </c>
      <c r="C307" s="347" t="s">
        <v>2570</v>
      </c>
      <c r="D307" s="348">
        <v>18324</v>
      </c>
      <c r="E307" s="348" t="s">
        <v>2571</v>
      </c>
      <c r="F307" s="348" t="s">
        <v>2089</v>
      </c>
      <c r="G307" s="348">
        <v>37606</v>
      </c>
      <c r="H307" s="358"/>
      <c r="I307" s="352"/>
      <c r="J307" s="353"/>
      <c r="K307" s="538">
        <v>9999</v>
      </c>
      <c r="L307" s="488"/>
      <c r="M307" s="353"/>
      <c r="N307" s="488"/>
      <c r="O307" s="488"/>
      <c r="P307" s="488"/>
      <c r="Q307" s="488"/>
      <c r="R307" s="488"/>
      <c r="S307" s="488"/>
      <c r="T307" s="353"/>
      <c r="U307" s="353" t="s">
        <v>238</v>
      </c>
      <c r="V307" s="488"/>
      <c r="W307" s="488"/>
      <c r="X307" s="354"/>
      <c r="Y307" s="354"/>
      <c r="Z307" s="353"/>
      <c r="AA307" s="353" t="s">
        <v>5802</v>
      </c>
      <c r="AB307" s="836"/>
      <c r="AC307" s="836"/>
      <c r="AD307" s="842"/>
      <c r="AE307" s="837"/>
    </row>
    <row r="308" spans="1:31" ht="16.5" customHeight="1">
      <c r="A308" s="347">
        <v>25996034</v>
      </c>
      <c r="B308" s="347" t="s">
        <v>3101</v>
      </c>
      <c r="C308" s="347" t="s">
        <v>4813</v>
      </c>
      <c r="D308" s="348">
        <v>11411</v>
      </c>
      <c r="E308" s="348" t="s">
        <v>4074</v>
      </c>
      <c r="F308" s="348" t="s">
        <v>2139</v>
      </c>
      <c r="G308" s="348" t="s">
        <v>5803</v>
      </c>
      <c r="H308" s="358" t="s">
        <v>238</v>
      </c>
      <c r="I308" s="352"/>
      <c r="J308" s="353"/>
      <c r="K308" s="538">
        <v>7105.1</v>
      </c>
      <c r="L308" s="353"/>
      <c r="M308" s="488"/>
      <c r="N308" s="488"/>
      <c r="O308" s="488"/>
      <c r="P308" s="488"/>
      <c r="Q308" s="488"/>
      <c r="R308" s="488"/>
      <c r="S308" s="488"/>
      <c r="T308" s="488"/>
      <c r="U308" s="488" t="s">
        <v>238</v>
      </c>
      <c r="V308" s="488"/>
      <c r="W308" s="488"/>
      <c r="X308" s="354"/>
      <c r="Y308" s="354"/>
      <c r="Z308" s="353"/>
      <c r="AA308" s="353" t="s">
        <v>5804</v>
      </c>
      <c r="AB308" s="836"/>
      <c r="AC308" s="836"/>
      <c r="AD308" s="842"/>
      <c r="AE308" s="837"/>
    </row>
    <row r="309" spans="1:31" ht="16.5" customHeight="1">
      <c r="A309" s="347">
        <v>41109158</v>
      </c>
      <c r="B309" s="347" t="s">
        <v>3460</v>
      </c>
      <c r="C309" s="347" t="s">
        <v>3884</v>
      </c>
      <c r="D309" s="348">
        <v>6543</v>
      </c>
      <c r="E309" s="348" t="s">
        <v>5805</v>
      </c>
      <c r="F309" s="348" t="s">
        <v>2106</v>
      </c>
      <c r="G309" s="348">
        <v>39314</v>
      </c>
      <c r="H309" s="358" t="s">
        <v>238</v>
      </c>
      <c r="I309" s="352"/>
      <c r="J309" s="353"/>
      <c r="K309" s="538" t="s">
        <v>69</v>
      </c>
      <c r="L309" s="353"/>
      <c r="M309" s="488"/>
      <c r="N309" s="488"/>
      <c r="O309" s="488"/>
      <c r="P309" s="488"/>
      <c r="Q309" s="488"/>
      <c r="R309" s="488"/>
      <c r="S309" s="488"/>
      <c r="T309" s="488"/>
      <c r="U309" s="488" t="s">
        <v>238</v>
      </c>
      <c r="V309" s="488"/>
      <c r="W309" s="488"/>
      <c r="X309" s="354"/>
      <c r="Y309" s="354"/>
      <c r="Z309" s="353" t="s">
        <v>238</v>
      </c>
      <c r="AA309" s="353"/>
      <c r="AB309" s="836"/>
      <c r="AC309" s="836"/>
      <c r="AD309" s="842"/>
      <c r="AE309" s="837"/>
    </row>
    <row r="310" spans="1:31" ht="16.5" customHeight="1">
      <c r="A310" s="347">
        <v>41109158</v>
      </c>
      <c r="B310" s="347" t="s">
        <v>3220</v>
      </c>
      <c r="C310" s="347" t="s">
        <v>3884</v>
      </c>
      <c r="D310" s="348">
        <v>9305</v>
      </c>
      <c r="E310" s="348" t="s">
        <v>5805</v>
      </c>
      <c r="F310" s="348" t="s">
        <v>2106</v>
      </c>
      <c r="G310" s="348">
        <v>39314</v>
      </c>
      <c r="H310" s="358" t="s">
        <v>238</v>
      </c>
      <c r="I310" s="352"/>
      <c r="J310" s="353"/>
      <c r="K310" s="538">
        <v>9995.4</v>
      </c>
      <c r="L310" s="488"/>
      <c r="M310" s="353"/>
      <c r="N310" s="488"/>
      <c r="O310" s="488"/>
      <c r="P310" s="488"/>
      <c r="Q310" s="488"/>
      <c r="R310" s="488"/>
      <c r="S310" s="488"/>
      <c r="T310" s="488"/>
      <c r="U310" s="488" t="s">
        <v>238</v>
      </c>
      <c r="V310" s="488"/>
      <c r="W310" s="488"/>
      <c r="X310" s="354"/>
      <c r="Y310" s="354"/>
      <c r="Z310" s="353" t="s">
        <v>238</v>
      </c>
      <c r="AA310" s="353"/>
      <c r="AB310" s="836"/>
      <c r="AC310" s="836"/>
      <c r="AD310" s="836"/>
      <c r="AE310" s="838"/>
    </row>
    <row r="311" spans="1:31" ht="16.5" customHeight="1">
      <c r="A311" s="347">
        <v>1210269</v>
      </c>
      <c r="B311" s="347" t="s">
        <v>2511</v>
      </c>
      <c r="C311" s="347" t="s">
        <v>5806</v>
      </c>
      <c r="D311" s="348">
        <v>16546</v>
      </c>
      <c r="E311" s="348" t="s">
        <v>5807</v>
      </c>
      <c r="F311" s="348" t="s">
        <v>2176</v>
      </c>
      <c r="G311" s="348">
        <v>39125</v>
      </c>
      <c r="H311" s="358"/>
      <c r="I311" s="352"/>
      <c r="J311" s="353"/>
      <c r="K311" s="538">
        <v>9999</v>
      </c>
      <c r="L311" s="353"/>
      <c r="M311" s="488"/>
      <c r="N311" s="488"/>
      <c r="O311" s="488"/>
      <c r="P311" s="488"/>
      <c r="Q311" s="488"/>
      <c r="R311" s="488"/>
      <c r="S311" s="488"/>
      <c r="T311" s="488"/>
      <c r="U311" s="488"/>
      <c r="V311" s="488"/>
      <c r="W311" s="488"/>
      <c r="X311" s="354"/>
      <c r="Y311" s="354"/>
      <c r="Z311" s="353"/>
      <c r="AA311" s="353" t="s">
        <v>5808</v>
      </c>
      <c r="AB311" s="836"/>
      <c r="AC311" s="836"/>
      <c r="AD311" s="836"/>
      <c r="AE311" s="837"/>
    </row>
    <row r="312" spans="1:31" ht="16.5" customHeight="1">
      <c r="A312" s="347">
        <v>24031361</v>
      </c>
      <c r="B312" s="347" t="s">
        <v>3293</v>
      </c>
      <c r="C312" s="347" t="s">
        <v>5809</v>
      </c>
      <c r="D312" s="348">
        <v>17614</v>
      </c>
      <c r="E312" s="348" t="s">
        <v>5810</v>
      </c>
      <c r="F312" s="348" t="s">
        <v>65</v>
      </c>
      <c r="G312" s="348" t="s">
        <v>5811</v>
      </c>
      <c r="H312" s="358"/>
      <c r="I312" s="352"/>
      <c r="J312" s="353" t="s">
        <v>238</v>
      </c>
      <c r="K312" s="538">
        <v>9999</v>
      </c>
      <c r="L312" s="488" t="s">
        <v>238</v>
      </c>
      <c r="M312" s="488" t="s">
        <v>238</v>
      </c>
      <c r="N312" s="488"/>
      <c r="O312" s="488"/>
      <c r="P312" s="488"/>
      <c r="Q312" s="488"/>
      <c r="R312" s="488"/>
      <c r="S312" s="488"/>
      <c r="T312" s="488"/>
      <c r="U312" s="488"/>
      <c r="V312" s="488"/>
      <c r="W312" s="488"/>
      <c r="X312" s="354"/>
      <c r="Y312" s="354"/>
      <c r="Z312" s="353"/>
      <c r="AA312" s="353" t="s">
        <v>5812</v>
      </c>
      <c r="AB312" s="836"/>
      <c r="AC312" s="836"/>
      <c r="AD312" s="836"/>
      <c r="AE312" s="838"/>
    </row>
    <row r="313" spans="1:31" ht="16.5" customHeight="1">
      <c r="A313" s="347">
        <v>35748904</v>
      </c>
      <c r="B313" s="347" t="s">
        <v>2648</v>
      </c>
      <c r="C313" s="347" t="s">
        <v>2519</v>
      </c>
      <c r="D313" s="745">
        <v>15639</v>
      </c>
      <c r="E313" s="361" t="s">
        <v>2520</v>
      </c>
      <c r="F313" s="361" t="s">
        <v>2072</v>
      </c>
      <c r="G313" s="348">
        <v>43438</v>
      </c>
      <c r="H313" s="358"/>
      <c r="I313" s="352"/>
      <c r="J313" s="353"/>
      <c r="K313" s="538">
        <v>7414.95</v>
      </c>
      <c r="L313" s="353"/>
      <c r="M313" s="488"/>
      <c r="N313" s="488"/>
      <c r="O313" s="488"/>
      <c r="P313" s="488"/>
      <c r="Q313" s="488"/>
      <c r="R313" s="488"/>
      <c r="S313" s="488"/>
      <c r="T313" s="488"/>
      <c r="U313" s="488" t="s">
        <v>238</v>
      </c>
      <c r="V313" s="488"/>
      <c r="W313" s="488"/>
      <c r="X313" s="354"/>
      <c r="Y313" s="354"/>
      <c r="Z313" s="353"/>
      <c r="AA313" s="353"/>
      <c r="AB313" s="836"/>
      <c r="AC313" s="836"/>
      <c r="AD313" s="836"/>
      <c r="AE313" s="837"/>
    </row>
    <row r="314" spans="1:31" ht="16.5" customHeight="1">
      <c r="A314" s="347">
        <v>334110</v>
      </c>
      <c r="B314" s="347" t="s">
        <v>2821</v>
      </c>
      <c r="C314" s="347" t="s">
        <v>5813</v>
      </c>
      <c r="D314" s="348">
        <v>15686</v>
      </c>
      <c r="E314" s="348" t="s">
        <v>2830</v>
      </c>
      <c r="F314" s="348" t="s">
        <v>2185</v>
      </c>
      <c r="G314" s="348" t="s">
        <v>5814</v>
      </c>
      <c r="H314" s="358"/>
      <c r="I314" s="352"/>
      <c r="J314" s="353"/>
      <c r="K314" s="538">
        <v>6161.55</v>
      </c>
      <c r="L314" s="353"/>
      <c r="M314" s="488"/>
      <c r="N314" s="488"/>
      <c r="O314" s="488"/>
      <c r="P314" s="488"/>
      <c r="Q314" s="488"/>
      <c r="R314" s="488"/>
      <c r="S314" s="488"/>
      <c r="T314" s="488"/>
      <c r="U314" s="488" t="s">
        <v>238</v>
      </c>
      <c r="V314" s="488"/>
      <c r="W314" s="488"/>
      <c r="X314" s="354"/>
      <c r="Y314" s="354"/>
      <c r="Z314" s="353"/>
      <c r="AA314" s="353"/>
      <c r="AB314" s="836"/>
      <c r="AC314" s="836"/>
      <c r="AD314" s="836"/>
      <c r="AE314" s="837"/>
    </row>
    <row r="315" spans="1:31" ht="16.5" customHeight="1">
      <c r="A315" s="347">
        <v>100005340</v>
      </c>
      <c r="B315" s="347" t="s">
        <v>3764</v>
      </c>
      <c r="C315" s="347" t="s">
        <v>5815</v>
      </c>
      <c r="D315" s="348">
        <v>2509</v>
      </c>
      <c r="E315" s="348" t="s">
        <v>5816</v>
      </c>
      <c r="F315" s="348" t="s">
        <v>2240</v>
      </c>
      <c r="G315" s="348">
        <v>36395</v>
      </c>
      <c r="H315" s="358" t="s">
        <v>238</v>
      </c>
      <c r="I315" s="352"/>
      <c r="J315" s="353"/>
      <c r="K315" s="539">
        <v>9999</v>
      </c>
      <c r="L315" s="353"/>
      <c r="M315" s="488"/>
      <c r="N315" s="488"/>
      <c r="O315" s="488"/>
      <c r="P315" s="488"/>
      <c r="Q315" s="488"/>
      <c r="R315" s="488"/>
      <c r="S315" s="488"/>
      <c r="T315" s="488"/>
      <c r="U315" s="488"/>
      <c r="V315" s="488"/>
      <c r="W315" s="488"/>
      <c r="X315" s="353"/>
      <c r="Y315" s="354"/>
      <c r="Z315" s="353"/>
      <c r="AA315" s="353"/>
      <c r="AB315" s="836"/>
      <c r="AC315" s="836"/>
      <c r="AD315" s="836"/>
      <c r="AE315" s="837"/>
    </row>
    <row r="316" spans="1:31" ht="16.5" customHeight="1">
      <c r="A316" s="347">
        <v>558239</v>
      </c>
      <c r="B316" s="347" t="s">
        <v>2742</v>
      </c>
      <c r="C316" s="347" t="s">
        <v>2869</v>
      </c>
      <c r="D316" s="348">
        <v>13281</v>
      </c>
      <c r="E316" s="348" t="s">
        <v>5817</v>
      </c>
      <c r="F316" s="348" t="s">
        <v>2081</v>
      </c>
      <c r="G316" s="348">
        <v>37354</v>
      </c>
      <c r="H316" s="358"/>
      <c r="I316" s="352"/>
      <c r="J316" s="353" t="s">
        <v>238</v>
      </c>
      <c r="K316" s="538">
        <v>100000</v>
      </c>
      <c r="L316" s="488" t="s">
        <v>238</v>
      </c>
      <c r="M316" s="488" t="s">
        <v>238</v>
      </c>
      <c r="N316" s="353"/>
      <c r="O316" s="488"/>
      <c r="P316" s="488"/>
      <c r="Q316" s="488"/>
      <c r="R316" s="488"/>
      <c r="S316" s="488"/>
      <c r="T316" s="488"/>
      <c r="U316" s="488"/>
      <c r="V316" s="488"/>
      <c r="W316" s="353"/>
      <c r="X316" s="353"/>
      <c r="Y316" s="355"/>
      <c r="Z316" s="353"/>
      <c r="AA316" s="353"/>
      <c r="AB316" s="836"/>
      <c r="AC316" s="836"/>
      <c r="AD316" s="836"/>
      <c r="AE316" s="837"/>
    </row>
    <row r="317" spans="1:31" ht="16.5" customHeight="1">
      <c r="A317" s="347">
        <v>377721</v>
      </c>
      <c r="B317" s="347" t="s">
        <v>4210</v>
      </c>
      <c r="C317" s="347" t="s">
        <v>5818</v>
      </c>
      <c r="D317" s="348">
        <v>17097</v>
      </c>
      <c r="E317" s="348" t="s">
        <v>3176</v>
      </c>
      <c r="F317" s="348" t="s">
        <v>2313</v>
      </c>
      <c r="G317" s="348" t="s">
        <v>5819</v>
      </c>
      <c r="H317" s="358"/>
      <c r="I317" s="352"/>
      <c r="J317" s="353"/>
      <c r="K317" s="538">
        <v>3789.4</v>
      </c>
      <c r="L317" s="488"/>
      <c r="M317" s="488"/>
      <c r="N317" s="353"/>
      <c r="O317" s="488"/>
      <c r="P317" s="488"/>
      <c r="Q317" s="488"/>
      <c r="R317" s="488"/>
      <c r="S317" s="488"/>
      <c r="T317" s="488"/>
      <c r="U317" s="488" t="s">
        <v>238</v>
      </c>
      <c r="V317" s="488"/>
      <c r="W317" s="488"/>
      <c r="X317" s="354"/>
      <c r="Y317" s="354"/>
      <c r="Z317" s="353"/>
      <c r="AA317" s="353" t="s">
        <v>5820</v>
      </c>
      <c r="AB317" s="842"/>
      <c r="AC317" s="836"/>
      <c r="AD317" s="836"/>
      <c r="AE317" s="837"/>
    </row>
    <row r="318" spans="1:31" ht="16.5" customHeight="1">
      <c r="A318" s="347">
        <v>32689382</v>
      </c>
      <c r="B318" s="347" t="s">
        <v>3230</v>
      </c>
      <c r="C318" s="347" t="s">
        <v>5821</v>
      </c>
      <c r="D318" s="348">
        <v>15226</v>
      </c>
      <c r="E318" s="348" t="s">
        <v>2616</v>
      </c>
      <c r="F318" s="348" t="s">
        <v>2069</v>
      </c>
      <c r="G318" s="348" t="s">
        <v>5822</v>
      </c>
      <c r="H318" s="358"/>
      <c r="I318" s="352"/>
      <c r="J318" s="353"/>
      <c r="K318" s="538">
        <v>9999</v>
      </c>
      <c r="L318" s="488" t="s">
        <v>238</v>
      </c>
      <c r="M318" s="488"/>
      <c r="N318" s="353"/>
      <c r="O318" s="488"/>
      <c r="P318" s="488"/>
      <c r="Q318" s="488"/>
      <c r="R318" s="488"/>
      <c r="S318" s="488"/>
      <c r="T318" s="488"/>
      <c r="U318" s="488"/>
      <c r="V318" s="488"/>
      <c r="W318" s="488"/>
      <c r="X318" s="354"/>
      <c r="Y318" s="354"/>
      <c r="Z318" s="353" t="s">
        <v>238</v>
      </c>
      <c r="AA318" s="353"/>
      <c r="AB318" s="842"/>
      <c r="AC318" s="836"/>
      <c r="AD318" s="836"/>
      <c r="AE318" s="837"/>
    </row>
    <row r="319" spans="1:31" ht="16.5" customHeight="1">
      <c r="A319" s="347">
        <v>100091582</v>
      </c>
      <c r="B319" s="347" t="s">
        <v>3908</v>
      </c>
      <c r="C319" s="347" t="s">
        <v>2772</v>
      </c>
      <c r="D319" s="348">
        <v>16582</v>
      </c>
      <c r="E319" s="348" t="s">
        <v>2616</v>
      </c>
      <c r="F319" s="348" t="s">
        <v>2069</v>
      </c>
      <c r="G319" s="348">
        <v>40301</v>
      </c>
      <c r="H319" s="358"/>
      <c r="I319" s="352"/>
      <c r="J319" s="353"/>
      <c r="K319" s="538">
        <v>9999</v>
      </c>
      <c r="L319" s="488" t="s">
        <v>238</v>
      </c>
      <c r="M319" s="488"/>
      <c r="N319" s="488"/>
      <c r="O319" s="488"/>
      <c r="P319" s="488"/>
      <c r="Q319" s="488"/>
      <c r="R319" s="488"/>
      <c r="S319" s="488"/>
      <c r="T319" s="488"/>
      <c r="U319" s="488"/>
      <c r="V319" s="488"/>
      <c r="W319" s="488"/>
      <c r="X319" s="354"/>
      <c r="Y319" s="355"/>
      <c r="Z319" s="353" t="s">
        <v>238</v>
      </c>
      <c r="AA319" s="353" t="s">
        <v>5823</v>
      </c>
      <c r="AB319" s="836" t="s">
        <v>5824</v>
      </c>
      <c r="AC319" s="836"/>
      <c r="AD319" s="836"/>
      <c r="AE319" s="838"/>
    </row>
    <row r="320" spans="1:31" ht="16.5" customHeight="1">
      <c r="A320" s="347">
        <v>188839</v>
      </c>
      <c r="B320" s="347" t="s">
        <v>3103</v>
      </c>
      <c r="C320" s="347" t="s">
        <v>5825</v>
      </c>
      <c r="D320" s="348">
        <v>10301</v>
      </c>
      <c r="E320" s="348" t="s">
        <v>3415</v>
      </c>
      <c r="F320" s="348" t="s">
        <v>2081</v>
      </c>
      <c r="G320" s="348">
        <v>40527</v>
      </c>
      <c r="H320" s="358"/>
      <c r="I320" s="352"/>
      <c r="J320" s="353"/>
      <c r="K320" s="538">
        <v>5106.8999999999996</v>
      </c>
      <c r="L320" s="488"/>
      <c r="M320" s="488"/>
      <c r="N320" s="488"/>
      <c r="O320" s="488"/>
      <c r="P320" s="488"/>
      <c r="Q320" s="488"/>
      <c r="R320" s="488"/>
      <c r="S320" s="353"/>
      <c r="T320" s="488"/>
      <c r="U320" s="488" t="s">
        <v>238</v>
      </c>
      <c r="V320" s="488"/>
      <c r="W320" s="488"/>
      <c r="X320" s="354"/>
      <c r="Y320" s="355"/>
      <c r="Z320" s="353"/>
      <c r="AA320" s="353" t="s">
        <v>5826</v>
      </c>
      <c r="AB320" s="842"/>
      <c r="AC320" s="842"/>
      <c r="AD320" s="842"/>
      <c r="AE320" s="838"/>
    </row>
    <row r="321" spans="1:31" ht="16.5" customHeight="1">
      <c r="A321" s="347">
        <v>100008516</v>
      </c>
      <c r="B321" s="347" t="s">
        <v>5827</v>
      </c>
      <c r="C321" s="347" t="s">
        <v>5311</v>
      </c>
      <c r="D321" s="348">
        <v>7801</v>
      </c>
      <c r="E321" s="348" t="s">
        <v>5828</v>
      </c>
      <c r="F321" s="348" t="s">
        <v>2081</v>
      </c>
      <c r="G321" s="348" t="s">
        <v>5829</v>
      </c>
      <c r="H321" s="358" t="s">
        <v>238</v>
      </c>
      <c r="I321" s="352"/>
      <c r="J321" s="353"/>
      <c r="K321" s="538">
        <v>9999</v>
      </c>
      <c r="L321" s="488"/>
      <c r="M321" s="488"/>
      <c r="N321" s="488"/>
      <c r="O321" s="488"/>
      <c r="P321" s="488"/>
      <c r="Q321" s="488"/>
      <c r="R321" s="488"/>
      <c r="S321" s="353"/>
      <c r="T321" s="488"/>
      <c r="U321" s="488"/>
      <c r="V321" s="488"/>
      <c r="W321" s="488"/>
      <c r="X321" s="354"/>
      <c r="Y321" s="355"/>
      <c r="Z321" s="353" t="s">
        <v>238</v>
      </c>
      <c r="AA321" s="353"/>
      <c r="AB321" s="842"/>
      <c r="AC321" s="842"/>
      <c r="AD321" s="842"/>
      <c r="AE321" s="838"/>
    </row>
    <row r="322" spans="1:31" ht="16.5" customHeight="1">
      <c r="A322" s="347">
        <v>517367</v>
      </c>
      <c r="B322" s="347" t="s">
        <v>3290</v>
      </c>
      <c r="C322" s="347" t="s">
        <v>2775</v>
      </c>
      <c r="D322" s="348">
        <v>7451</v>
      </c>
      <c r="E322" s="348" t="s">
        <v>5828</v>
      </c>
      <c r="F322" s="348" t="s">
        <v>2081</v>
      </c>
      <c r="G322" s="348">
        <v>36825</v>
      </c>
      <c r="H322" s="358"/>
      <c r="I322" s="352"/>
      <c r="J322" s="353"/>
      <c r="K322" s="538">
        <v>9999</v>
      </c>
      <c r="L322" s="353"/>
      <c r="M322" s="488"/>
      <c r="N322" s="488"/>
      <c r="O322" s="488"/>
      <c r="P322" s="488"/>
      <c r="Q322" s="488"/>
      <c r="R322" s="488"/>
      <c r="S322" s="488"/>
      <c r="T322" s="488"/>
      <c r="U322" s="488"/>
      <c r="V322" s="488"/>
      <c r="W322" s="488"/>
      <c r="X322" s="353"/>
      <c r="Y322" s="354"/>
      <c r="Z322" s="353" t="s">
        <v>238</v>
      </c>
      <c r="AA322" s="353" t="s">
        <v>5830</v>
      </c>
      <c r="AB322" s="836"/>
      <c r="AC322" s="836"/>
      <c r="AD322" s="836"/>
      <c r="AE322" s="837"/>
    </row>
    <row r="323" spans="1:31" ht="16.5" customHeight="1">
      <c r="A323" s="347">
        <v>100179697</v>
      </c>
      <c r="B323" s="347" t="s">
        <v>3409</v>
      </c>
      <c r="C323" s="347" t="s">
        <v>5831</v>
      </c>
      <c r="D323" s="348">
        <v>10796</v>
      </c>
      <c r="E323" s="348" t="s">
        <v>3855</v>
      </c>
      <c r="F323" s="348" t="s">
        <v>2055</v>
      </c>
      <c r="G323" s="348">
        <v>35775</v>
      </c>
      <c r="H323" s="358" t="s">
        <v>238</v>
      </c>
      <c r="I323" s="352"/>
      <c r="J323" s="353"/>
      <c r="K323" s="538" t="s">
        <v>69</v>
      </c>
      <c r="L323" s="353"/>
      <c r="M323" s="488"/>
      <c r="N323" s="488"/>
      <c r="O323" s="488"/>
      <c r="P323" s="488"/>
      <c r="Q323" s="488"/>
      <c r="R323" s="488"/>
      <c r="S323" s="488"/>
      <c r="T323" s="488"/>
      <c r="U323" s="488"/>
      <c r="V323" s="488"/>
      <c r="W323" s="488"/>
      <c r="X323" s="353"/>
      <c r="Y323" s="354"/>
      <c r="Z323" s="353" t="s">
        <v>238</v>
      </c>
      <c r="AA323" s="353"/>
      <c r="AB323" s="836"/>
      <c r="AC323" s="836"/>
      <c r="AD323" s="836"/>
      <c r="AE323" s="837"/>
    </row>
    <row r="324" spans="1:31" ht="16.5" customHeight="1">
      <c r="A324" s="347">
        <v>3075561</v>
      </c>
      <c r="B324" s="347" t="s">
        <v>5832</v>
      </c>
      <c r="C324" s="347" t="s">
        <v>5831</v>
      </c>
      <c r="D324" s="348">
        <v>10708</v>
      </c>
      <c r="E324" s="348" t="s">
        <v>3855</v>
      </c>
      <c r="F324" s="348" t="s">
        <v>2055</v>
      </c>
      <c r="G324" s="348">
        <v>37431</v>
      </c>
      <c r="H324" s="358" t="s">
        <v>238</v>
      </c>
      <c r="I324" s="352"/>
      <c r="J324" s="353"/>
      <c r="K324" s="538">
        <v>3596.93</v>
      </c>
      <c r="L324" s="488"/>
      <c r="M324" s="488"/>
      <c r="N324" s="488"/>
      <c r="O324" s="488"/>
      <c r="P324" s="488"/>
      <c r="Q324" s="488"/>
      <c r="R324" s="488"/>
      <c r="S324" s="488"/>
      <c r="T324" s="488"/>
      <c r="U324" s="488"/>
      <c r="V324" s="488"/>
      <c r="W324" s="488"/>
      <c r="X324" s="354"/>
      <c r="Y324" s="354"/>
      <c r="Z324" s="353" t="s">
        <v>238</v>
      </c>
      <c r="AA324" s="353" t="s">
        <v>5833</v>
      </c>
      <c r="AB324" s="836" t="s">
        <v>5834</v>
      </c>
      <c r="AC324" s="836"/>
      <c r="AD324" s="836"/>
      <c r="AE324" s="838"/>
    </row>
    <row r="325" spans="1:31" ht="16.5" customHeight="1">
      <c r="A325" s="347">
        <v>100107221</v>
      </c>
      <c r="B325" s="347" t="s">
        <v>2635</v>
      </c>
      <c r="C325" s="347" t="s">
        <v>5835</v>
      </c>
      <c r="D325" s="348"/>
      <c r="E325" s="348" t="s">
        <v>5836</v>
      </c>
      <c r="F325" s="348" t="s">
        <v>65</v>
      </c>
      <c r="G325" s="348" t="s">
        <v>5837</v>
      </c>
      <c r="H325" s="358"/>
      <c r="I325" s="352"/>
      <c r="J325" s="353"/>
      <c r="K325" s="538">
        <v>9999</v>
      </c>
      <c r="L325" s="488"/>
      <c r="M325" s="488"/>
      <c r="N325" s="488"/>
      <c r="O325" s="488"/>
      <c r="P325" s="488"/>
      <c r="Q325" s="488"/>
      <c r="R325" s="488"/>
      <c r="S325" s="488"/>
      <c r="T325" s="488"/>
      <c r="U325" s="488"/>
      <c r="V325" s="488"/>
      <c r="W325" s="488"/>
      <c r="X325" s="354"/>
      <c r="Y325" s="354"/>
      <c r="Z325" s="353" t="s">
        <v>238</v>
      </c>
      <c r="AA325" s="353"/>
      <c r="AB325" s="836"/>
      <c r="AC325" s="836"/>
      <c r="AD325" s="836"/>
      <c r="AE325" s="838"/>
    </row>
    <row r="326" spans="1:31" ht="16.5" customHeight="1">
      <c r="A326" s="347">
        <v>37407798</v>
      </c>
      <c r="B326" s="347" t="s">
        <v>2648</v>
      </c>
      <c r="C326" s="347" t="s">
        <v>5835</v>
      </c>
      <c r="D326" s="348"/>
      <c r="E326" s="348" t="s">
        <v>5836</v>
      </c>
      <c r="F326" s="348" t="s">
        <v>65</v>
      </c>
      <c r="G326" s="348" t="s">
        <v>5837</v>
      </c>
      <c r="H326" s="358"/>
      <c r="I326" s="352"/>
      <c r="J326" s="353"/>
      <c r="K326" s="538">
        <v>9999</v>
      </c>
      <c r="L326" s="488"/>
      <c r="M326" s="488"/>
      <c r="N326" s="488"/>
      <c r="O326" s="488"/>
      <c r="P326" s="488"/>
      <c r="Q326" s="488"/>
      <c r="R326" s="488"/>
      <c r="S326" s="488"/>
      <c r="T326" s="488"/>
      <c r="U326" s="488"/>
      <c r="V326" s="488"/>
      <c r="W326" s="488"/>
      <c r="X326" s="354"/>
      <c r="Y326" s="354"/>
      <c r="Z326" s="353" t="s">
        <v>238</v>
      </c>
      <c r="AA326" s="353" t="s">
        <v>5838</v>
      </c>
      <c r="AB326" s="836"/>
      <c r="AC326" s="836"/>
      <c r="AD326" s="836"/>
      <c r="AE326" s="838"/>
    </row>
    <row r="327" spans="1:31" ht="16.5" customHeight="1">
      <c r="A327" s="347">
        <v>16681983</v>
      </c>
      <c r="B327" s="347" t="s">
        <v>2511</v>
      </c>
      <c r="C327" s="347" t="s">
        <v>5732</v>
      </c>
      <c r="D327" s="348">
        <v>13097</v>
      </c>
      <c r="E327" s="348" t="s">
        <v>2788</v>
      </c>
      <c r="F327" s="348" t="s">
        <v>2052</v>
      </c>
      <c r="G327" s="348" t="s">
        <v>5839</v>
      </c>
      <c r="H327" s="358"/>
      <c r="I327" s="352"/>
      <c r="J327" s="353" t="s">
        <v>238</v>
      </c>
      <c r="K327" s="538">
        <v>15000</v>
      </c>
      <c r="L327" s="488"/>
      <c r="M327" s="488"/>
      <c r="N327" s="488"/>
      <c r="O327" s="488"/>
      <c r="P327" s="488"/>
      <c r="Q327" s="488"/>
      <c r="R327" s="488"/>
      <c r="S327" s="488"/>
      <c r="T327" s="488" t="s">
        <v>238</v>
      </c>
      <c r="U327" s="488"/>
      <c r="V327" s="488"/>
      <c r="W327" s="488"/>
      <c r="X327" s="353"/>
      <c r="Y327" s="354"/>
      <c r="Z327" s="353"/>
      <c r="AA327" s="353"/>
      <c r="AB327" s="836" t="s">
        <v>5840</v>
      </c>
      <c r="AC327" s="836"/>
      <c r="AD327" s="836"/>
      <c r="AE327" s="837"/>
    </row>
    <row r="328" spans="1:31" ht="16.5" customHeight="1">
      <c r="A328" s="347">
        <v>100004543</v>
      </c>
      <c r="B328" s="347" t="s">
        <v>3400</v>
      </c>
      <c r="C328" s="347" t="s">
        <v>5841</v>
      </c>
      <c r="D328" s="348">
        <v>6701</v>
      </c>
      <c r="E328" s="348" t="s">
        <v>4238</v>
      </c>
      <c r="F328" s="348" t="s">
        <v>2046</v>
      </c>
      <c r="G328" s="348">
        <v>36102</v>
      </c>
      <c r="H328" s="358" t="s">
        <v>238</v>
      </c>
      <c r="I328" s="352"/>
      <c r="J328" s="353"/>
      <c r="K328" s="538">
        <v>9999</v>
      </c>
      <c r="L328" s="353"/>
      <c r="M328" s="488"/>
      <c r="N328" s="488"/>
      <c r="O328" s="488"/>
      <c r="P328" s="488"/>
      <c r="Q328" s="488"/>
      <c r="R328" s="488"/>
      <c r="S328" s="488"/>
      <c r="T328" s="488"/>
      <c r="U328" s="488"/>
      <c r="V328" s="488"/>
      <c r="W328" s="488"/>
      <c r="X328" s="353"/>
      <c r="Y328" s="354"/>
      <c r="Z328" s="353"/>
      <c r="AA328" s="353"/>
      <c r="AB328" s="836"/>
      <c r="AC328" s="836"/>
      <c r="AD328" s="836"/>
      <c r="AE328" s="838"/>
    </row>
    <row r="329" spans="1:31" ht="16.5" customHeight="1">
      <c r="A329" s="347">
        <v>100033277</v>
      </c>
      <c r="B329" s="347" t="s">
        <v>5842</v>
      </c>
      <c r="C329" s="347" t="s">
        <v>5843</v>
      </c>
      <c r="D329" s="348">
        <v>19674</v>
      </c>
      <c r="E329" s="348" t="s">
        <v>5844</v>
      </c>
      <c r="F329" s="348" t="s">
        <v>2072</v>
      </c>
      <c r="G329" s="348" t="s">
        <v>5845</v>
      </c>
      <c r="H329" s="358"/>
      <c r="I329" s="352"/>
      <c r="J329" s="353" t="s">
        <v>238</v>
      </c>
      <c r="K329" s="538">
        <v>9999</v>
      </c>
      <c r="L329" s="353"/>
      <c r="M329" s="488" t="s">
        <v>238</v>
      </c>
      <c r="N329" s="488"/>
      <c r="O329" s="488"/>
      <c r="P329" s="488"/>
      <c r="Q329" s="488"/>
      <c r="R329" s="488"/>
      <c r="S329" s="488"/>
      <c r="T329" s="488"/>
      <c r="U329" s="488"/>
      <c r="V329" s="488"/>
      <c r="W329" s="488"/>
      <c r="X329" s="353"/>
      <c r="Y329" s="354"/>
      <c r="Z329" s="353" t="s">
        <v>238</v>
      </c>
      <c r="AA329" s="353"/>
      <c r="AB329" s="836"/>
      <c r="AC329" s="836"/>
      <c r="AD329" s="836"/>
      <c r="AE329" s="838"/>
    </row>
    <row r="330" spans="1:31" ht="16.5" customHeight="1">
      <c r="A330" s="347">
        <v>8286387</v>
      </c>
      <c r="B330" s="347" t="s">
        <v>3192</v>
      </c>
      <c r="C330" s="347" t="s">
        <v>5843</v>
      </c>
      <c r="D330" s="348">
        <v>20392</v>
      </c>
      <c r="E330" s="348" t="s">
        <v>5844</v>
      </c>
      <c r="F330" s="348" t="s">
        <v>2072</v>
      </c>
      <c r="G330" s="348" t="s">
        <v>5846</v>
      </c>
      <c r="H330" s="358"/>
      <c r="I330" s="352"/>
      <c r="J330" s="353" t="s">
        <v>238</v>
      </c>
      <c r="K330" s="538">
        <v>9999</v>
      </c>
      <c r="L330" s="353"/>
      <c r="M330" s="488" t="s">
        <v>238</v>
      </c>
      <c r="N330" s="488"/>
      <c r="O330" s="488"/>
      <c r="P330" s="488"/>
      <c r="Q330" s="488"/>
      <c r="R330" s="488"/>
      <c r="S330" s="488"/>
      <c r="T330" s="488"/>
      <c r="U330" s="488"/>
      <c r="V330" s="488"/>
      <c r="W330" s="488"/>
      <c r="X330" s="354"/>
      <c r="Y330" s="354"/>
      <c r="Z330" s="353" t="s">
        <v>238</v>
      </c>
      <c r="AA330" s="353" t="s">
        <v>5847</v>
      </c>
      <c r="AB330" s="836" t="s">
        <v>5848</v>
      </c>
      <c r="AC330" s="836"/>
      <c r="AD330" s="836"/>
      <c r="AE330" s="837"/>
    </row>
    <row r="331" spans="1:31" ht="16.5" customHeight="1">
      <c r="A331" s="347">
        <v>10103414</v>
      </c>
      <c r="B331" s="347" t="s">
        <v>5849</v>
      </c>
      <c r="C331" s="347" t="s">
        <v>5695</v>
      </c>
      <c r="D331" s="348">
        <v>10916</v>
      </c>
      <c r="E331" s="348" t="s">
        <v>5850</v>
      </c>
      <c r="F331" s="348" t="s">
        <v>2055</v>
      </c>
      <c r="G331" s="348">
        <v>40681</v>
      </c>
      <c r="H331" s="358" t="s">
        <v>238</v>
      </c>
      <c r="I331" s="352"/>
      <c r="J331" s="353"/>
      <c r="K331" s="538">
        <v>7526.4</v>
      </c>
      <c r="L331" s="488"/>
      <c r="M331" s="353"/>
      <c r="N331" s="488"/>
      <c r="O331" s="488"/>
      <c r="P331" s="488"/>
      <c r="Q331" s="488"/>
      <c r="R331" s="488"/>
      <c r="S331" s="488"/>
      <c r="T331" s="488"/>
      <c r="U331" s="488" t="s">
        <v>238</v>
      </c>
      <c r="V331" s="488"/>
      <c r="W331" s="488"/>
      <c r="X331" s="353"/>
      <c r="Y331" s="354"/>
      <c r="Z331" s="353"/>
      <c r="AA331" s="353"/>
      <c r="AB331" s="836"/>
      <c r="AC331" s="836"/>
      <c r="AD331" s="836"/>
      <c r="AE331" s="838"/>
    </row>
    <row r="332" spans="1:31" ht="16.5" customHeight="1">
      <c r="A332" s="347">
        <v>3540465</v>
      </c>
      <c r="B332" s="347" t="s">
        <v>5851</v>
      </c>
      <c r="C332" s="347" t="s">
        <v>5852</v>
      </c>
      <c r="D332" s="348">
        <v>10596</v>
      </c>
      <c r="E332" s="348" t="s">
        <v>5853</v>
      </c>
      <c r="F332" s="348" t="s">
        <v>2162</v>
      </c>
      <c r="G332" s="348">
        <v>38292</v>
      </c>
      <c r="H332" s="358"/>
      <c r="I332" s="352"/>
      <c r="J332" s="353"/>
      <c r="K332" s="538">
        <v>4438.1000000000004</v>
      </c>
      <c r="L332" s="488"/>
      <c r="M332" s="353"/>
      <c r="N332" s="488"/>
      <c r="O332" s="488"/>
      <c r="P332" s="488"/>
      <c r="Q332" s="488"/>
      <c r="R332" s="488"/>
      <c r="S332" s="488"/>
      <c r="T332" s="488"/>
      <c r="U332" s="488" t="s">
        <v>238</v>
      </c>
      <c r="V332" s="488"/>
      <c r="W332" s="488"/>
      <c r="X332" s="354"/>
      <c r="Y332" s="354"/>
      <c r="Z332" s="353"/>
      <c r="AA332" s="353" t="s">
        <v>5854</v>
      </c>
      <c r="AB332" s="836"/>
      <c r="AC332" s="836"/>
      <c r="AD332" s="836"/>
      <c r="AE332" s="838"/>
    </row>
    <row r="333" spans="1:31" ht="16.5" customHeight="1">
      <c r="A333" s="347">
        <v>100174569</v>
      </c>
      <c r="B333" s="347" t="s">
        <v>5855</v>
      </c>
      <c r="C333" s="347" t="s">
        <v>5856</v>
      </c>
      <c r="D333" s="348">
        <v>4403</v>
      </c>
      <c r="E333" s="348" t="s">
        <v>5857</v>
      </c>
      <c r="F333" s="348" t="s">
        <v>2081</v>
      </c>
      <c r="G333" s="348">
        <v>39770</v>
      </c>
      <c r="H333" s="358"/>
      <c r="I333" s="352"/>
      <c r="J333" s="353"/>
      <c r="K333" s="538">
        <v>9999</v>
      </c>
      <c r="L333" s="353"/>
      <c r="M333" s="488"/>
      <c r="N333" s="488"/>
      <c r="O333" s="488"/>
      <c r="P333" s="488"/>
      <c r="Q333" s="488"/>
      <c r="R333" s="488"/>
      <c r="S333" s="488"/>
      <c r="T333" s="488"/>
      <c r="U333" s="488"/>
      <c r="V333" s="488"/>
      <c r="W333" s="488"/>
      <c r="X333" s="354"/>
      <c r="Y333" s="354"/>
      <c r="Z333" s="353"/>
      <c r="AA333" s="353" t="s">
        <v>5858</v>
      </c>
      <c r="AB333" s="836"/>
      <c r="AC333" s="836"/>
      <c r="AD333" s="836"/>
      <c r="AE333" s="837"/>
    </row>
    <row r="334" spans="1:31" ht="16.5" customHeight="1">
      <c r="A334" s="347">
        <v>100004667</v>
      </c>
      <c r="B334" s="347" t="s">
        <v>3373</v>
      </c>
      <c r="C334" s="347" t="s">
        <v>5859</v>
      </c>
      <c r="D334" s="348">
        <v>10163</v>
      </c>
      <c r="E334" s="348" t="s">
        <v>3855</v>
      </c>
      <c r="F334" s="348" t="s">
        <v>2055</v>
      </c>
      <c r="G334" s="348" t="s">
        <v>5860</v>
      </c>
      <c r="H334" s="358" t="s">
        <v>238</v>
      </c>
      <c r="I334" s="352"/>
      <c r="J334" s="353"/>
      <c r="K334" s="538">
        <v>9999</v>
      </c>
      <c r="L334" s="488"/>
      <c r="M334" s="488"/>
      <c r="N334" s="488"/>
      <c r="O334" s="488"/>
      <c r="P334" s="488"/>
      <c r="Q334" s="488"/>
      <c r="R334" s="488"/>
      <c r="S334" s="488"/>
      <c r="T334" s="488"/>
      <c r="U334" s="488"/>
      <c r="V334" s="488"/>
      <c r="W334" s="488"/>
      <c r="X334" s="354"/>
      <c r="Y334" s="354"/>
      <c r="Z334" s="353"/>
      <c r="AA334" s="353" t="s">
        <v>5861</v>
      </c>
      <c r="AB334" s="836"/>
      <c r="AC334" s="836"/>
      <c r="AD334" s="836"/>
      <c r="AE334" s="838"/>
    </row>
    <row r="335" spans="1:31" ht="16.5" customHeight="1">
      <c r="A335" s="347">
        <v>3137692</v>
      </c>
      <c r="B335" s="347" t="s">
        <v>5862</v>
      </c>
      <c r="C335" s="347" t="s">
        <v>5863</v>
      </c>
      <c r="D335" s="348">
        <v>30747</v>
      </c>
      <c r="E335" s="348" t="s">
        <v>4258</v>
      </c>
      <c r="F335" s="348" t="s">
        <v>2081</v>
      </c>
      <c r="G335" s="348">
        <v>39702</v>
      </c>
      <c r="H335" s="358"/>
      <c r="I335" s="352"/>
      <c r="J335" s="353"/>
      <c r="K335" s="538">
        <v>9999</v>
      </c>
      <c r="L335" s="488"/>
      <c r="M335" s="488"/>
      <c r="N335" s="488"/>
      <c r="O335" s="488"/>
      <c r="P335" s="488"/>
      <c r="Q335" s="488"/>
      <c r="R335" s="488"/>
      <c r="S335" s="488"/>
      <c r="T335" s="488"/>
      <c r="U335" s="488"/>
      <c r="V335" s="488"/>
      <c r="W335" s="488"/>
      <c r="X335" s="354"/>
      <c r="Y335" s="354"/>
      <c r="Z335" s="353" t="s">
        <v>238</v>
      </c>
      <c r="AA335" s="353"/>
      <c r="AB335" s="836"/>
      <c r="AC335" s="836"/>
      <c r="AD335" s="836"/>
      <c r="AE335" s="838"/>
    </row>
    <row r="336" spans="1:31" ht="16.5" customHeight="1">
      <c r="A336" s="347">
        <v>100017055</v>
      </c>
      <c r="B336" s="347" t="s">
        <v>2832</v>
      </c>
      <c r="C336" s="347" t="s">
        <v>5864</v>
      </c>
      <c r="D336" s="348">
        <v>20291</v>
      </c>
      <c r="E336" s="348" t="s">
        <v>4258</v>
      </c>
      <c r="F336" s="348" t="s">
        <v>2081</v>
      </c>
      <c r="G336" s="348">
        <v>39702</v>
      </c>
      <c r="H336" s="358"/>
      <c r="I336" s="352"/>
      <c r="J336" s="353"/>
      <c r="K336" s="538">
        <v>9999</v>
      </c>
      <c r="L336" s="353"/>
      <c r="M336" s="488"/>
      <c r="N336" s="353"/>
      <c r="O336" s="488"/>
      <c r="P336" s="488"/>
      <c r="Q336" s="488"/>
      <c r="R336" s="488"/>
      <c r="S336" s="488"/>
      <c r="T336" s="488"/>
      <c r="U336" s="488"/>
      <c r="V336" s="488"/>
      <c r="W336" s="488"/>
      <c r="X336" s="354"/>
      <c r="Y336" s="354"/>
      <c r="Z336" s="353" t="s">
        <v>238</v>
      </c>
      <c r="AA336" s="353" t="s">
        <v>5865</v>
      </c>
      <c r="AB336" s="836"/>
      <c r="AC336" s="836"/>
      <c r="AD336" s="836"/>
      <c r="AE336" s="837"/>
    </row>
    <row r="337" spans="1:31" ht="16.5" customHeight="1">
      <c r="A337" s="347">
        <v>37895182</v>
      </c>
      <c r="B337" s="347" t="s">
        <v>5866</v>
      </c>
      <c r="C337" s="347" t="s">
        <v>5867</v>
      </c>
      <c r="D337" s="348"/>
      <c r="E337" s="348" t="s">
        <v>5868</v>
      </c>
      <c r="F337" s="348" t="s">
        <v>2046</v>
      </c>
      <c r="G337" s="348">
        <v>40317</v>
      </c>
      <c r="H337" s="358"/>
      <c r="I337" s="352"/>
      <c r="J337" s="353"/>
      <c r="K337" s="538">
        <v>7075.8</v>
      </c>
      <c r="L337" s="353"/>
      <c r="M337" s="488"/>
      <c r="N337" s="488"/>
      <c r="O337" s="488"/>
      <c r="P337" s="488"/>
      <c r="Q337" s="488"/>
      <c r="R337" s="488"/>
      <c r="S337" s="488"/>
      <c r="T337" s="488"/>
      <c r="U337" s="488" t="s">
        <v>238</v>
      </c>
      <c r="V337" s="488"/>
      <c r="W337" s="488"/>
      <c r="X337" s="354"/>
      <c r="Y337" s="354"/>
      <c r="Z337" s="353"/>
      <c r="AA337" s="353" t="s">
        <v>5869</v>
      </c>
      <c r="AB337" s="836"/>
      <c r="AC337" s="836"/>
      <c r="AD337" s="836"/>
      <c r="AE337" s="837"/>
    </row>
    <row r="338" spans="1:31" ht="16.5" customHeight="1">
      <c r="A338" s="347">
        <v>6486278</v>
      </c>
      <c r="B338" s="347" t="s">
        <v>3008</v>
      </c>
      <c r="C338" s="347" t="s">
        <v>5870</v>
      </c>
      <c r="D338" s="348">
        <v>17976</v>
      </c>
      <c r="E338" s="348" t="s">
        <v>2860</v>
      </c>
      <c r="F338" s="348" t="s">
        <v>2112</v>
      </c>
      <c r="G338" s="348">
        <v>43220</v>
      </c>
      <c r="H338" s="358"/>
      <c r="I338" s="352"/>
      <c r="J338" s="353"/>
      <c r="K338" s="538">
        <v>9999</v>
      </c>
      <c r="L338" s="353"/>
      <c r="M338" s="488"/>
      <c r="N338" s="488"/>
      <c r="O338" s="488"/>
      <c r="P338" s="488"/>
      <c r="Q338" s="488"/>
      <c r="R338" s="488"/>
      <c r="S338" s="488"/>
      <c r="T338" s="488"/>
      <c r="U338" s="488" t="s">
        <v>238</v>
      </c>
      <c r="V338" s="488"/>
      <c r="W338" s="488"/>
      <c r="X338" s="354"/>
      <c r="Y338" s="354"/>
      <c r="Z338" s="353"/>
      <c r="AA338" s="353" t="s">
        <v>5871</v>
      </c>
      <c r="AB338" s="836"/>
      <c r="AC338" s="836"/>
      <c r="AD338" s="836"/>
      <c r="AE338" s="837"/>
    </row>
    <row r="339" spans="1:31" ht="16.5" customHeight="1">
      <c r="A339" s="347">
        <v>100162027</v>
      </c>
      <c r="B339" s="347" t="s">
        <v>5872</v>
      </c>
      <c r="C339" s="347" t="s">
        <v>5873</v>
      </c>
      <c r="D339" s="348"/>
      <c r="E339" s="348" t="s">
        <v>3428</v>
      </c>
      <c r="F339" s="348" t="s">
        <v>2118</v>
      </c>
      <c r="G339" s="348">
        <v>43649</v>
      </c>
      <c r="H339" s="358"/>
      <c r="I339" s="352"/>
      <c r="J339" s="353" t="s">
        <v>238</v>
      </c>
      <c r="K339" s="538">
        <v>9999</v>
      </c>
      <c r="L339" s="353" t="s">
        <v>238</v>
      </c>
      <c r="M339" s="488" t="s">
        <v>238</v>
      </c>
      <c r="N339" s="488"/>
      <c r="O339" s="488"/>
      <c r="P339" s="488"/>
      <c r="Q339" s="488"/>
      <c r="R339" s="488"/>
      <c r="S339" s="488"/>
      <c r="T339" s="488"/>
      <c r="U339" s="488"/>
      <c r="V339" s="488"/>
      <c r="W339" s="488"/>
      <c r="X339" s="354"/>
      <c r="Y339" s="354"/>
      <c r="Z339" s="353" t="s">
        <v>238</v>
      </c>
      <c r="AA339" s="353"/>
      <c r="AB339" s="836"/>
      <c r="AC339" s="836"/>
      <c r="AD339" s="836"/>
      <c r="AE339" s="837"/>
    </row>
    <row r="340" spans="1:31" ht="16.5" customHeight="1">
      <c r="A340" s="347">
        <v>93372886</v>
      </c>
      <c r="B340" s="347" t="s">
        <v>3293</v>
      </c>
      <c r="C340" s="347" t="s">
        <v>2679</v>
      </c>
      <c r="D340" s="348"/>
      <c r="E340" s="348" t="s">
        <v>3428</v>
      </c>
      <c r="F340" s="348" t="s">
        <v>2118</v>
      </c>
      <c r="G340" s="348">
        <v>42829</v>
      </c>
      <c r="H340" s="358"/>
      <c r="I340" s="352"/>
      <c r="J340" s="353" t="s">
        <v>238</v>
      </c>
      <c r="K340" s="538">
        <v>9999</v>
      </c>
      <c r="L340" s="488" t="s">
        <v>238</v>
      </c>
      <c r="M340" s="488" t="s">
        <v>238</v>
      </c>
      <c r="N340" s="488"/>
      <c r="O340" s="488"/>
      <c r="P340" s="488"/>
      <c r="Q340" s="488"/>
      <c r="R340" s="488"/>
      <c r="S340" s="488"/>
      <c r="T340" s="488"/>
      <c r="U340" s="488"/>
      <c r="V340" s="488"/>
      <c r="W340" s="488"/>
      <c r="X340" s="354"/>
      <c r="Y340" s="354"/>
      <c r="Z340" s="353" t="s">
        <v>238</v>
      </c>
      <c r="AA340" s="353" t="s">
        <v>5874</v>
      </c>
      <c r="AB340" s="836"/>
      <c r="AC340" s="836"/>
      <c r="AD340" s="836"/>
      <c r="AE340" s="838"/>
    </row>
    <row r="341" spans="1:31" ht="16.5" customHeight="1">
      <c r="A341" s="347">
        <v>11450905</v>
      </c>
      <c r="B341" s="347" t="s">
        <v>3011</v>
      </c>
      <c r="C341" s="347" t="s">
        <v>5875</v>
      </c>
      <c r="D341" s="348">
        <v>10441</v>
      </c>
      <c r="E341" s="348" t="s">
        <v>5876</v>
      </c>
      <c r="F341" s="348" t="s">
        <v>2064</v>
      </c>
      <c r="G341" s="348" t="s">
        <v>5877</v>
      </c>
      <c r="H341" s="358"/>
      <c r="I341" s="352"/>
      <c r="J341" s="353" t="s">
        <v>238</v>
      </c>
      <c r="K341" s="538">
        <v>1410000</v>
      </c>
      <c r="L341" s="488"/>
      <c r="M341" s="488" t="s">
        <v>238</v>
      </c>
      <c r="N341" s="488"/>
      <c r="O341" s="488"/>
      <c r="P341" s="488"/>
      <c r="Q341" s="488"/>
      <c r="R341" s="353"/>
      <c r="S341" s="488"/>
      <c r="T341" s="488"/>
      <c r="U341" s="488"/>
      <c r="V341" s="488"/>
      <c r="W341" s="488"/>
      <c r="X341" s="353"/>
      <c r="Y341" s="354"/>
      <c r="Z341" s="353"/>
      <c r="AA341" s="353" t="s">
        <v>5878</v>
      </c>
      <c r="AB341" s="836" t="s">
        <v>5879</v>
      </c>
      <c r="AC341" s="836"/>
      <c r="AD341" s="836"/>
      <c r="AE341" s="837"/>
    </row>
    <row r="342" spans="1:31" ht="16.5" customHeight="1">
      <c r="A342" s="347">
        <v>8453268</v>
      </c>
      <c r="B342" s="347" t="s">
        <v>3246</v>
      </c>
      <c r="C342" s="347" t="s">
        <v>5880</v>
      </c>
      <c r="D342" s="348">
        <v>9103</v>
      </c>
      <c r="E342" s="348" t="s">
        <v>3082</v>
      </c>
      <c r="F342" s="348" t="s">
        <v>2313</v>
      </c>
      <c r="G342" s="348">
        <v>39622</v>
      </c>
      <c r="H342" s="358"/>
      <c r="I342" s="352"/>
      <c r="J342" s="353"/>
      <c r="K342" s="539">
        <v>9999</v>
      </c>
      <c r="L342" s="353"/>
      <c r="M342" s="488"/>
      <c r="N342" s="488"/>
      <c r="O342" s="488"/>
      <c r="P342" s="488"/>
      <c r="Q342" s="488"/>
      <c r="R342" s="488"/>
      <c r="S342" s="488"/>
      <c r="T342" s="488"/>
      <c r="U342" s="488" t="s">
        <v>238</v>
      </c>
      <c r="V342" s="488"/>
      <c r="W342" s="488"/>
      <c r="X342" s="354"/>
      <c r="Y342" s="354"/>
      <c r="Z342" s="353"/>
      <c r="AA342" s="353" t="s">
        <v>5881</v>
      </c>
      <c r="AB342" s="836"/>
      <c r="AC342" s="836"/>
      <c r="AD342" s="836"/>
      <c r="AE342" s="837"/>
    </row>
    <row r="343" spans="1:31" ht="16.5" customHeight="1">
      <c r="A343" s="347">
        <v>100177423</v>
      </c>
      <c r="B343" s="347" t="s">
        <v>3095</v>
      </c>
      <c r="C343" s="347" t="s">
        <v>2912</v>
      </c>
      <c r="D343" s="348">
        <v>5214</v>
      </c>
      <c r="E343" s="348" t="s">
        <v>5882</v>
      </c>
      <c r="F343" s="348" t="s">
        <v>2081</v>
      </c>
      <c r="G343" s="348">
        <v>37243</v>
      </c>
      <c r="H343" s="358" t="s">
        <v>238</v>
      </c>
      <c r="I343" s="352"/>
      <c r="J343" s="353"/>
      <c r="K343" s="539" t="s">
        <v>69</v>
      </c>
      <c r="L343" s="353"/>
      <c r="M343" s="488"/>
      <c r="N343" s="488"/>
      <c r="O343" s="488"/>
      <c r="P343" s="488"/>
      <c r="Q343" s="488"/>
      <c r="R343" s="488"/>
      <c r="S343" s="488"/>
      <c r="T343" s="488"/>
      <c r="U343" s="488" t="s">
        <v>238</v>
      </c>
      <c r="V343" s="488"/>
      <c r="W343" s="488"/>
      <c r="X343" s="354"/>
      <c r="Y343" s="354"/>
      <c r="Z343" s="353" t="s">
        <v>238</v>
      </c>
      <c r="AA343" s="353"/>
      <c r="AB343" s="836"/>
      <c r="AC343" s="836"/>
      <c r="AD343" s="836"/>
      <c r="AE343" s="837"/>
    </row>
    <row r="344" spans="1:31" ht="16.5" customHeight="1">
      <c r="A344" s="347">
        <v>964353</v>
      </c>
      <c r="B344" s="347" t="s">
        <v>2739</v>
      </c>
      <c r="C344" s="347" t="s">
        <v>2912</v>
      </c>
      <c r="D344" s="348">
        <v>7153</v>
      </c>
      <c r="E344" s="348" t="s">
        <v>5882</v>
      </c>
      <c r="F344" s="348" t="s">
        <v>2081</v>
      </c>
      <c r="G344" s="348">
        <v>37243</v>
      </c>
      <c r="H344" s="358" t="s">
        <v>238</v>
      </c>
      <c r="I344" s="352"/>
      <c r="J344" s="353"/>
      <c r="K344" s="538">
        <v>6348.72</v>
      </c>
      <c r="L344" s="488"/>
      <c r="M344" s="488"/>
      <c r="N344" s="488"/>
      <c r="O344" s="488"/>
      <c r="P344" s="488"/>
      <c r="Q344" s="488"/>
      <c r="R344" s="488"/>
      <c r="S344" s="353"/>
      <c r="T344" s="488"/>
      <c r="U344" s="488" t="s">
        <v>238</v>
      </c>
      <c r="V344" s="488"/>
      <c r="W344" s="488"/>
      <c r="X344" s="354"/>
      <c r="Y344" s="354"/>
      <c r="Z344" s="353" t="s">
        <v>238</v>
      </c>
      <c r="AA344" s="353"/>
      <c r="AB344" s="836"/>
      <c r="AC344" s="836"/>
      <c r="AD344" s="836"/>
      <c r="AE344" s="838"/>
    </row>
    <row r="345" spans="1:31" ht="16.5" customHeight="1">
      <c r="A345" s="347">
        <v>5130950</v>
      </c>
      <c r="B345" s="347" t="s">
        <v>3603</v>
      </c>
      <c r="C345" s="347" t="s">
        <v>5883</v>
      </c>
      <c r="D345" s="348">
        <v>22882</v>
      </c>
      <c r="E345" s="348" t="s">
        <v>5363</v>
      </c>
      <c r="F345" s="348" t="s">
        <v>2313</v>
      </c>
      <c r="G345" s="348"/>
      <c r="H345" s="358"/>
      <c r="I345" s="352"/>
      <c r="J345" s="353"/>
      <c r="K345" s="538">
        <v>9999</v>
      </c>
      <c r="L345" s="353"/>
      <c r="M345" s="488"/>
      <c r="N345" s="488"/>
      <c r="O345" s="488"/>
      <c r="P345" s="488"/>
      <c r="Q345" s="488"/>
      <c r="R345" s="488"/>
      <c r="S345" s="488"/>
      <c r="T345" s="488"/>
      <c r="U345" s="488"/>
      <c r="V345" s="488"/>
      <c r="W345" s="488"/>
      <c r="X345" s="354"/>
      <c r="Y345" s="354"/>
      <c r="Z345" s="353"/>
      <c r="AA345" s="353" t="s">
        <v>5884</v>
      </c>
      <c r="AB345" s="836" t="s">
        <v>5885</v>
      </c>
      <c r="AC345" s="836"/>
      <c r="AD345" s="842"/>
      <c r="AE345" s="837"/>
    </row>
    <row r="346" spans="1:31" ht="16.5" customHeight="1">
      <c r="A346" s="347">
        <v>1237437</v>
      </c>
      <c r="B346" s="347" t="s">
        <v>3460</v>
      </c>
      <c r="C346" s="347" t="s">
        <v>5886</v>
      </c>
      <c r="D346" s="348">
        <v>13037</v>
      </c>
      <c r="E346" s="348" t="s">
        <v>5887</v>
      </c>
      <c r="F346" s="348" t="s">
        <v>2313</v>
      </c>
      <c r="G346" s="348" t="s">
        <v>5888</v>
      </c>
      <c r="H346" s="358"/>
      <c r="I346" s="352"/>
      <c r="J346" s="353"/>
      <c r="K346" s="538">
        <v>9999</v>
      </c>
      <c r="L346" s="353" t="s">
        <v>238</v>
      </c>
      <c r="M346" s="488"/>
      <c r="N346" s="488"/>
      <c r="O346" s="488"/>
      <c r="P346" s="488"/>
      <c r="Q346" s="488"/>
      <c r="R346" s="488"/>
      <c r="S346" s="488"/>
      <c r="T346" s="488"/>
      <c r="U346" s="488"/>
      <c r="V346" s="488"/>
      <c r="W346" s="488"/>
      <c r="X346" s="354"/>
      <c r="Y346" s="354"/>
      <c r="Z346" s="353" t="s">
        <v>238</v>
      </c>
      <c r="AA346" s="353"/>
      <c r="AB346" s="836"/>
      <c r="AC346" s="836"/>
      <c r="AD346" s="842"/>
      <c r="AE346" s="837"/>
    </row>
    <row r="347" spans="1:31" ht="16.5" customHeight="1">
      <c r="A347" s="347">
        <v>1237437</v>
      </c>
      <c r="B347" s="347" t="s">
        <v>3220</v>
      </c>
      <c r="C347" s="347" t="s">
        <v>5886</v>
      </c>
      <c r="D347" s="348">
        <v>12844</v>
      </c>
      <c r="E347" s="348" t="s">
        <v>5887</v>
      </c>
      <c r="F347" s="348" t="s">
        <v>2313</v>
      </c>
      <c r="G347" s="348" t="s">
        <v>5888</v>
      </c>
      <c r="H347" s="358"/>
      <c r="I347" s="352"/>
      <c r="J347" s="353"/>
      <c r="K347" s="538">
        <v>9999</v>
      </c>
      <c r="L347" s="353" t="s">
        <v>238</v>
      </c>
      <c r="M347" s="488"/>
      <c r="N347" s="488"/>
      <c r="O347" s="488"/>
      <c r="P347" s="488"/>
      <c r="Q347" s="488"/>
      <c r="R347" s="488"/>
      <c r="S347" s="488"/>
      <c r="T347" s="488"/>
      <c r="U347" s="488"/>
      <c r="V347" s="488"/>
      <c r="W347" s="488"/>
      <c r="X347" s="354"/>
      <c r="Y347" s="354"/>
      <c r="Z347" s="353" t="s">
        <v>238</v>
      </c>
      <c r="AA347" s="353" t="s">
        <v>5889</v>
      </c>
      <c r="AB347" s="836"/>
      <c r="AC347" s="836"/>
      <c r="AD347" s="836"/>
      <c r="AE347" s="837"/>
    </row>
    <row r="348" spans="1:31" ht="16.5" customHeight="1">
      <c r="A348" s="347">
        <v>2674059</v>
      </c>
      <c r="B348" s="347" t="s">
        <v>5890</v>
      </c>
      <c r="C348" s="347" t="s">
        <v>5891</v>
      </c>
      <c r="D348" s="348">
        <v>15808</v>
      </c>
      <c r="E348" s="348" t="s">
        <v>4351</v>
      </c>
      <c r="F348" s="348" t="s">
        <v>2069</v>
      </c>
      <c r="G348" s="348" t="s">
        <v>5892</v>
      </c>
      <c r="H348" s="358"/>
      <c r="I348" s="352"/>
      <c r="J348" s="353"/>
      <c r="K348" s="538">
        <v>3500.1</v>
      </c>
      <c r="L348" s="353"/>
      <c r="M348" s="488"/>
      <c r="N348" s="353"/>
      <c r="O348" s="488"/>
      <c r="P348" s="488"/>
      <c r="Q348" s="488"/>
      <c r="R348" s="488"/>
      <c r="S348" s="488"/>
      <c r="T348" s="488"/>
      <c r="U348" s="488" t="s">
        <v>238</v>
      </c>
      <c r="V348" s="488"/>
      <c r="W348" s="488"/>
      <c r="X348" s="354"/>
      <c r="Y348" s="354"/>
      <c r="Z348" s="353"/>
      <c r="AA348" s="353"/>
      <c r="AB348" s="836"/>
      <c r="AC348" s="836"/>
      <c r="AD348" s="836"/>
      <c r="AE348" s="837"/>
    </row>
    <row r="349" spans="1:31" ht="16.5" customHeight="1">
      <c r="A349" s="347">
        <v>100177349</v>
      </c>
      <c r="B349" s="347" t="s">
        <v>5893</v>
      </c>
      <c r="C349" s="347" t="s">
        <v>5894</v>
      </c>
      <c r="D349" s="348">
        <v>9953</v>
      </c>
      <c r="E349" s="348" t="s">
        <v>3161</v>
      </c>
      <c r="F349" s="348" t="s">
        <v>2094</v>
      </c>
      <c r="G349" s="348" t="s">
        <v>5895</v>
      </c>
      <c r="H349" s="358" t="s">
        <v>238</v>
      </c>
      <c r="I349" s="352"/>
      <c r="J349" s="353"/>
      <c r="K349" s="538">
        <v>9999</v>
      </c>
      <c r="L349" s="353"/>
      <c r="M349" s="488"/>
      <c r="N349" s="353"/>
      <c r="O349" s="488"/>
      <c r="P349" s="488"/>
      <c r="Q349" s="488"/>
      <c r="R349" s="488"/>
      <c r="S349" s="488"/>
      <c r="T349" s="488"/>
      <c r="U349" s="488"/>
      <c r="V349" s="488"/>
      <c r="W349" s="488"/>
      <c r="X349" s="354"/>
      <c r="Y349" s="354"/>
      <c r="Z349" s="353" t="s">
        <v>238</v>
      </c>
      <c r="AA349" s="353"/>
      <c r="AB349" s="836"/>
      <c r="AC349" s="836"/>
      <c r="AD349" s="836"/>
      <c r="AE349" s="837"/>
    </row>
    <row r="350" spans="1:31" ht="16.5" customHeight="1">
      <c r="A350" s="347">
        <v>207498</v>
      </c>
      <c r="B350" s="347" t="s">
        <v>2832</v>
      </c>
      <c r="C350" s="347" t="s">
        <v>5894</v>
      </c>
      <c r="D350" s="348">
        <v>9960</v>
      </c>
      <c r="E350" s="348" t="s">
        <v>3161</v>
      </c>
      <c r="F350" s="348" t="s">
        <v>2094</v>
      </c>
      <c r="G350" s="348">
        <v>37435</v>
      </c>
      <c r="H350" s="358"/>
      <c r="I350" s="352"/>
      <c r="J350" s="353"/>
      <c r="K350" s="538">
        <v>9999</v>
      </c>
      <c r="L350" s="353"/>
      <c r="M350" s="488"/>
      <c r="N350" s="488"/>
      <c r="O350" s="488"/>
      <c r="P350" s="488"/>
      <c r="Q350" s="488"/>
      <c r="R350" s="488"/>
      <c r="S350" s="488"/>
      <c r="T350" s="488"/>
      <c r="U350" s="488"/>
      <c r="V350" s="488"/>
      <c r="W350" s="488"/>
      <c r="X350" s="354"/>
      <c r="Y350" s="354"/>
      <c r="Z350" s="353" t="s">
        <v>238</v>
      </c>
      <c r="AA350" s="353"/>
      <c r="AB350" s="836"/>
      <c r="AC350" s="836"/>
      <c r="AD350" s="836"/>
      <c r="AE350" s="837"/>
    </row>
    <row r="351" spans="1:31" ht="16.5" customHeight="1">
      <c r="A351" s="347">
        <v>17554528</v>
      </c>
      <c r="B351" s="347" t="s">
        <v>3101</v>
      </c>
      <c r="C351" s="347" t="s">
        <v>5896</v>
      </c>
      <c r="D351" s="348">
        <v>13605</v>
      </c>
      <c r="E351" s="348" t="s">
        <v>5424</v>
      </c>
      <c r="F351" s="348" t="s">
        <v>2089</v>
      </c>
      <c r="G351" s="348">
        <v>42147</v>
      </c>
      <c r="H351" s="358"/>
      <c r="I351" s="352"/>
      <c r="J351" s="353"/>
      <c r="K351" s="538">
        <v>9999</v>
      </c>
      <c r="L351" s="353"/>
      <c r="M351" s="488"/>
      <c r="N351" s="488"/>
      <c r="O351" s="488"/>
      <c r="P351" s="488"/>
      <c r="Q351" s="488"/>
      <c r="R351" s="488"/>
      <c r="S351" s="488"/>
      <c r="T351" s="488"/>
      <c r="U351" s="488" t="s">
        <v>238</v>
      </c>
      <c r="V351" s="353"/>
      <c r="W351" s="488"/>
      <c r="X351" s="354"/>
      <c r="Y351" s="354"/>
      <c r="Z351" s="353"/>
      <c r="AA351" s="353" t="s">
        <v>5897</v>
      </c>
      <c r="AB351" s="836"/>
      <c r="AC351" s="836"/>
      <c r="AD351" s="836"/>
      <c r="AE351" s="837"/>
    </row>
    <row r="352" spans="1:31" ht="16.5" customHeight="1">
      <c r="A352" s="347">
        <v>38281</v>
      </c>
      <c r="B352" s="347" t="s">
        <v>5898</v>
      </c>
      <c r="C352" s="347" t="s">
        <v>5899</v>
      </c>
      <c r="D352" s="348">
        <v>11049</v>
      </c>
      <c r="E352" s="348" t="s">
        <v>3253</v>
      </c>
      <c r="F352" s="348" t="s">
        <v>2240</v>
      </c>
      <c r="G352" s="348"/>
      <c r="H352" s="358"/>
      <c r="I352" s="352"/>
      <c r="J352" s="353"/>
      <c r="K352" s="538">
        <v>9999</v>
      </c>
      <c r="L352" s="488"/>
      <c r="M352" s="488"/>
      <c r="N352" s="488"/>
      <c r="O352" s="488"/>
      <c r="P352" s="488"/>
      <c r="Q352" s="488"/>
      <c r="R352" s="488"/>
      <c r="S352" s="488"/>
      <c r="T352" s="488"/>
      <c r="U352" s="488"/>
      <c r="V352" s="488"/>
      <c r="W352" s="488"/>
      <c r="X352" s="354"/>
      <c r="Y352" s="354"/>
      <c r="Z352" s="353"/>
      <c r="AA352" s="353" t="s">
        <v>5900</v>
      </c>
      <c r="AB352" s="836"/>
      <c r="AC352" s="836"/>
      <c r="AD352" s="842"/>
      <c r="AE352" s="837"/>
    </row>
    <row r="353" spans="1:31" ht="16.5" customHeight="1">
      <c r="A353" s="347">
        <v>100173496</v>
      </c>
      <c r="B353" s="347" t="s">
        <v>3868</v>
      </c>
      <c r="C353" s="347" t="s">
        <v>2537</v>
      </c>
      <c r="D353" s="348"/>
      <c r="E353" s="348" t="s">
        <v>2974</v>
      </c>
      <c r="F353" s="348" t="s">
        <v>2072</v>
      </c>
      <c r="G353" s="348">
        <v>43382</v>
      </c>
      <c r="H353" s="358"/>
      <c r="I353" s="352"/>
      <c r="J353" s="353"/>
      <c r="K353" s="538" t="s">
        <v>69</v>
      </c>
      <c r="L353" s="488"/>
      <c r="M353" s="488"/>
      <c r="N353" s="488"/>
      <c r="O353" s="488"/>
      <c r="P353" s="488"/>
      <c r="Q353" s="488"/>
      <c r="R353" s="488"/>
      <c r="S353" s="488"/>
      <c r="T353" s="488"/>
      <c r="U353" s="488" t="s">
        <v>238</v>
      </c>
      <c r="V353" s="488"/>
      <c r="W353" s="488"/>
      <c r="X353" s="354"/>
      <c r="Y353" s="354"/>
      <c r="Z353" s="353" t="s">
        <v>238</v>
      </c>
      <c r="AA353" s="353"/>
      <c r="AB353" s="836"/>
      <c r="AC353" s="836"/>
      <c r="AD353" s="842"/>
      <c r="AE353" s="837"/>
    </row>
    <row r="354" spans="1:31" ht="16.5" customHeight="1">
      <c r="A354" s="347">
        <v>99592834</v>
      </c>
      <c r="B354" s="347" t="s">
        <v>2536</v>
      </c>
      <c r="C354" s="347" t="s">
        <v>2537</v>
      </c>
      <c r="D354" s="348">
        <v>17253</v>
      </c>
      <c r="E354" s="348" t="s">
        <v>2974</v>
      </c>
      <c r="F354" s="348" t="s">
        <v>2072</v>
      </c>
      <c r="G354" s="348">
        <v>43382</v>
      </c>
      <c r="H354" s="358"/>
      <c r="I354" s="352"/>
      <c r="J354" s="353"/>
      <c r="K354" s="538">
        <v>9236.7000000000007</v>
      </c>
      <c r="L354" s="488"/>
      <c r="M354" s="353"/>
      <c r="N354" s="488"/>
      <c r="O354" s="488"/>
      <c r="P354" s="488"/>
      <c r="Q354" s="488"/>
      <c r="R354" s="488"/>
      <c r="S354" s="488"/>
      <c r="T354" s="488"/>
      <c r="U354" s="488" t="s">
        <v>238</v>
      </c>
      <c r="V354" s="488"/>
      <c r="W354" s="488"/>
      <c r="X354" s="354"/>
      <c r="Y354" s="354"/>
      <c r="Z354" s="353" t="s">
        <v>238</v>
      </c>
      <c r="AA354" s="353"/>
      <c r="AB354" s="836"/>
      <c r="AC354" s="842"/>
      <c r="AD354" s="842"/>
      <c r="AE354" s="837"/>
    </row>
    <row r="355" spans="1:31" ht="16.5" customHeight="1">
      <c r="A355" s="347">
        <v>5980677</v>
      </c>
      <c r="B355" s="347" t="s">
        <v>2863</v>
      </c>
      <c r="C355" s="347" t="s">
        <v>2948</v>
      </c>
      <c r="D355" s="348">
        <v>14907</v>
      </c>
      <c r="E355" s="348" t="s">
        <v>2860</v>
      </c>
      <c r="F355" s="348" t="s">
        <v>2112</v>
      </c>
      <c r="G355" s="348">
        <v>39608</v>
      </c>
      <c r="H355" s="358"/>
      <c r="I355" s="352"/>
      <c r="J355" s="353"/>
      <c r="K355" s="538">
        <v>7542.3</v>
      </c>
      <c r="L355" s="353"/>
      <c r="M355" s="488"/>
      <c r="N355" s="488"/>
      <c r="O355" s="488"/>
      <c r="P355" s="488"/>
      <c r="Q355" s="488"/>
      <c r="R355" s="488"/>
      <c r="S355" s="488"/>
      <c r="T355" s="488"/>
      <c r="U355" s="488"/>
      <c r="V355" s="488"/>
      <c r="W355" s="488"/>
      <c r="X355" s="354"/>
      <c r="Y355" s="354"/>
      <c r="Z355" s="353"/>
      <c r="AA355" s="353" t="s">
        <v>5901</v>
      </c>
      <c r="AB355" s="836"/>
      <c r="AC355" s="836"/>
      <c r="AD355" s="836"/>
      <c r="AE355" s="837"/>
    </row>
    <row r="356" spans="1:31" ht="16.5" customHeight="1">
      <c r="A356" s="347">
        <v>62471</v>
      </c>
      <c r="B356" s="347" t="s">
        <v>3011</v>
      </c>
      <c r="C356" s="347" t="s">
        <v>5902</v>
      </c>
      <c r="D356" s="348">
        <v>11598</v>
      </c>
      <c r="E356" s="348" t="s">
        <v>5903</v>
      </c>
      <c r="F356" s="348" t="s">
        <v>2363</v>
      </c>
      <c r="G356" s="348">
        <v>43761</v>
      </c>
      <c r="H356" s="358"/>
      <c r="I356" s="352"/>
      <c r="J356" s="353"/>
      <c r="K356" s="538">
        <v>9999</v>
      </c>
      <c r="L356" s="353"/>
      <c r="M356" s="488"/>
      <c r="N356" s="488"/>
      <c r="O356" s="488"/>
      <c r="P356" s="488"/>
      <c r="Q356" s="488"/>
      <c r="R356" s="488"/>
      <c r="S356" s="488"/>
      <c r="T356" s="488"/>
      <c r="U356" s="488"/>
      <c r="V356" s="488"/>
      <c r="W356" s="488"/>
      <c r="X356" s="354"/>
      <c r="Y356" s="354"/>
      <c r="Z356" s="353"/>
      <c r="AA356" s="353"/>
      <c r="AB356" s="836"/>
      <c r="AC356" s="836"/>
      <c r="AD356" s="836"/>
      <c r="AE356" s="837"/>
    </row>
    <row r="357" spans="1:31" ht="16.5" customHeight="1">
      <c r="A357" s="347">
        <v>100314125</v>
      </c>
      <c r="B357" s="347" t="s">
        <v>5904</v>
      </c>
      <c r="C357" s="347" t="s">
        <v>5902</v>
      </c>
      <c r="D357" s="348"/>
      <c r="E357" s="348" t="s">
        <v>5903</v>
      </c>
      <c r="F357" s="348" t="s">
        <v>2363</v>
      </c>
      <c r="G357" s="348">
        <v>43761</v>
      </c>
      <c r="H357" s="358"/>
      <c r="I357" s="352"/>
      <c r="J357" s="353"/>
      <c r="K357" s="538">
        <v>9999</v>
      </c>
      <c r="L357" s="488"/>
      <c r="M357" s="488"/>
      <c r="N357" s="488"/>
      <c r="O357" s="488"/>
      <c r="P357" s="488"/>
      <c r="Q357" s="488"/>
      <c r="R357" s="488"/>
      <c r="S357" s="488"/>
      <c r="T357" s="488"/>
      <c r="U357" s="488"/>
      <c r="V357" s="488"/>
      <c r="W357" s="488"/>
      <c r="X357" s="354"/>
      <c r="Y357" s="354"/>
      <c r="Z357" s="353"/>
      <c r="AA357" s="353"/>
      <c r="AB357" s="836"/>
      <c r="AC357" s="836"/>
      <c r="AD357" s="836"/>
      <c r="AE357" s="838"/>
    </row>
    <row r="358" spans="1:31" ht="16.5" customHeight="1">
      <c r="A358" s="347">
        <v>100004886</v>
      </c>
      <c r="B358" s="347" t="s">
        <v>2669</v>
      </c>
      <c r="C358" s="347" t="s">
        <v>4275</v>
      </c>
      <c r="D358" s="361"/>
      <c r="E358" s="361" t="s">
        <v>5817</v>
      </c>
      <c r="F358" s="361" t="s">
        <v>2081</v>
      </c>
      <c r="G358" s="348">
        <v>34248</v>
      </c>
      <c r="H358" s="358" t="s">
        <v>238</v>
      </c>
      <c r="I358" s="352"/>
      <c r="J358" s="353"/>
      <c r="K358" s="538">
        <v>9999</v>
      </c>
      <c r="L358" s="353"/>
      <c r="M358" s="488"/>
      <c r="N358" s="488"/>
      <c r="O358" s="488"/>
      <c r="P358" s="488"/>
      <c r="Q358" s="488"/>
      <c r="R358" s="488"/>
      <c r="S358" s="488"/>
      <c r="T358" s="488"/>
      <c r="U358" s="488"/>
      <c r="V358" s="488"/>
      <c r="W358" s="488"/>
      <c r="X358" s="354"/>
      <c r="Y358" s="354"/>
      <c r="Z358" s="353"/>
      <c r="AA358" s="353"/>
      <c r="AB358" s="836"/>
      <c r="AC358" s="836"/>
      <c r="AD358" s="836"/>
      <c r="AE358" s="837"/>
    </row>
    <row r="359" spans="1:31" ht="16.5" customHeight="1">
      <c r="A359" s="347">
        <v>100052045</v>
      </c>
      <c r="B359" s="347" t="s">
        <v>2541</v>
      </c>
      <c r="C359" s="347" t="s">
        <v>5905</v>
      </c>
      <c r="D359" s="745">
        <v>10362</v>
      </c>
      <c r="E359" s="361" t="s">
        <v>2717</v>
      </c>
      <c r="F359" s="361" t="s">
        <v>2089</v>
      </c>
      <c r="G359" s="348">
        <v>41309</v>
      </c>
      <c r="H359" s="358"/>
      <c r="I359" s="352"/>
      <c r="J359" s="353"/>
      <c r="K359" s="538">
        <v>9999</v>
      </c>
      <c r="L359" s="353"/>
      <c r="M359" s="488"/>
      <c r="N359" s="488"/>
      <c r="O359" s="488"/>
      <c r="P359" s="488"/>
      <c r="Q359" s="488"/>
      <c r="R359" s="488"/>
      <c r="S359" s="488"/>
      <c r="T359" s="488"/>
      <c r="U359" s="488"/>
      <c r="V359" s="488"/>
      <c r="W359" s="488"/>
      <c r="X359" s="354"/>
      <c r="Y359" s="354"/>
      <c r="Z359" s="353" t="s">
        <v>238</v>
      </c>
      <c r="AA359" s="353"/>
      <c r="AB359" s="836"/>
      <c r="AC359" s="836"/>
      <c r="AD359" s="836"/>
      <c r="AE359" s="837"/>
    </row>
    <row r="360" spans="1:31" ht="16.5" customHeight="1">
      <c r="A360" s="347">
        <v>19150465</v>
      </c>
      <c r="B360" s="347" t="s">
        <v>4992</v>
      </c>
      <c r="C360" s="347" t="s">
        <v>5905</v>
      </c>
      <c r="D360" s="348">
        <v>11505</v>
      </c>
      <c r="E360" s="348" t="s">
        <v>2717</v>
      </c>
      <c r="F360" s="348" t="s">
        <v>2089</v>
      </c>
      <c r="G360" s="348">
        <v>41309</v>
      </c>
      <c r="H360" s="358"/>
      <c r="I360" s="352"/>
      <c r="J360" s="353"/>
      <c r="K360" s="538">
        <v>9999</v>
      </c>
      <c r="L360" s="488"/>
      <c r="M360" s="488"/>
      <c r="N360" s="488"/>
      <c r="O360" s="488"/>
      <c r="P360" s="488"/>
      <c r="Q360" s="488"/>
      <c r="R360" s="488"/>
      <c r="S360" s="488"/>
      <c r="T360" s="488"/>
      <c r="U360" s="488"/>
      <c r="V360" s="488"/>
      <c r="W360" s="488"/>
      <c r="X360" s="354"/>
      <c r="Y360" s="354"/>
      <c r="Z360" s="353" t="s">
        <v>238</v>
      </c>
      <c r="AA360" s="353" t="s">
        <v>5906</v>
      </c>
      <c r="AB360" s="836"/>
      <c r="AC360" s="836"/>
      <c r="AD360" s="836"/>
      <c r="AE360" s="838"/>
    </row>
    <row r="361" spans="1:31" ht="16.5" customHeight="1">
      <c r="A361" s="347">
        <v>2910453</v>
      </c>
      <c r="B361" s="347" t="s">
        <v>3468</v>
      </c>
      <c r="C361" s="347" t="s">
        <v>5907</v>
      </c>
      <c r="D361" s="348">
        <v>11698</v>
      </c>
      <c r="E361" s="348" t="s">
        <v>5908</v>
      </c>
      <c r="F361" s="348" t="s">
        <v>2129</v>
      </c>
      <c r="G361" s="348">
        <v>42384</v>
      </c>
      <c r="H361" s="358"/>
      <c r="I361" s="352"/>
      <c r="J361" s="353"/>
      <c r="K361" s="538">
        <v>5621.6</v>
      </c>
      <c r="L361" s="353"/>
      <c r="M361" s="488"/>
      <c r="N361" s="488"/>
      <c r="O361" s="488"/>
      <c r="P361" s="488"/>
      <c r="Q361" s="488"/>
      <c r="R361" s="488"/>
      <c r="S361" s="488"/>
      <c r="T361" s="488"/>
      <c r="U361" s="488" t="s">
        <v>238</v>
      </c>
      <c r="V361" s="488"/>
      <c r="W361" s="488"/>
      <c r="X361" s="354"/>
      <c r="Y361" s="354"/>
      <c r="Z361" s="353"/>
      <c r="AA361" s="353"/>
      <c r="AB361" s="836"/>
      <c r="AC361" s="836"/>
      <c r="AD361" s="836"/>
      <c r="AE361" s="837"/>
    </row>
    <row r="362" spans="1:31" ht="16.5" customHeight="1">
      <c r="A362" s="347">
        <v>100081024</v>
      </c>
      <c r="B362" s="347" t="s">
        <v>2845</v>
      </c>
      <c r="C362" s="347" t="s">
        <v>5909</v>
      </c>
      <c r="D362" s="348">
        <v>17907</v>
      </c>
      <c r="E362" s="348" t="s">
        <v>4686</v>
      </c>
      <c r="F362" s="348" t="s">
        <v>65</v>
      </c>
      <c r="G362" s="348">
        <v>41088</v>
      </c>
      <c r="H362" s="358"/>
      <c r="I362" s="352"/>
      <c r="J362" s="353"/>
      <c r="K362" s="538">
        <v>9999</v>
      </c>
      <c r="L362" s="353" t="s">
        <v>238</v>
      </c>
      <c r="M362" s="488"/>
      <c r="N362" s="488"/>
      <c r="O362" s="488"/>
      <c r="P362" s="488"/>
      <c r="Q362" s="488"/>
      <c r="R362" s="488"/>
      <c r="S362" s="488"/>
      <c r="T362" s="488"/>
      <c r="U362" s="488"/>
      <c r="V362" s="488"/>
      <c r="W362" s="488"/>
      <c r="X362" s="354"/>
      <c r="Y362" s="354"/>
      <c r="Z362" s="353" t="s">
        <v>238</v>
      </c>
      <c r="AA362" s="353"/>
      <c r="AB362" s="836"/>
      <c r="AC362" s="836"/>
      <c r="AD362" s="836"/>
      <c r="AE362" s="837"/>
    </row>
    <row r="363" spans="1:31" ht="16.5" customHeight="1">
      <c r="A363" s="347">
        <v>29762267</v>
      </c>
      <c r="B363" s="347" t="s">
        <v>2724</v>
      </c>
      <c r="C363" s="347" t="s">
        <v>3323</v>
      </c>
      <c r="D363" s="348">
        <v>17648</v>
      </c>
      <c r="E363" s="348" t="s">
        <v>4686</v>
      </c>
      <c r="F363" s="348" t="s">
        <v>65</v>
      </c>
      <c r="G363" s="348">
        <v>41088</v>
      </c>
      <c r="H363" s="358"/>
      <c r="I363" s="352"/>
      <c r="J363" s="353"/>
      <c r="K363" s="538">
        <v>9999</v>
      </c>
      <c r="L363" s="353" t="s">
        <v>238</v>
      </c>
      <c r="M363" s="488"/>
      <c r="N363" s="488"/>
      <c r="O363" s="488"/>
      <c r="P363" s="488"/>
      <c r="Q363" s="488"/>
      <c r="R363" s="488"/>
      <c r="S363" s="488"/>
      <c r="T363" s="488"/>
      <c r="U363" s="488"/>
      <c r="V363" s="488"/>
      <c r="W363" s="488"/>
      <c r="X363" s="354"/>
      <c r="Y363" s="354"/>
      <c r="Z363" s="353" t="s">
        <v>238</v>
      </c>
      <c r="AA363" s="353" t="s">
        <v>5910</v>
      </c>
      <c r="AB363" s="836"/>
      <c r="AC363" s="836"/>
      <c r="AD363" s="836"/>
      <c r="AE363" s="838"/>
    </row>
    <row r="364" spans="1:31" ht="16.5" customHeight="1">
      <c r="A364" s="347">
        <v>100179379</v>
      </c>
      <c r="B364" s="347" t="s">
        <v>3373</v>
      </c>
      <c r="C364" s="347" t="s">
        <v>5911</v>
      </c>
      <c r="D364" s="348"/>
      <c r="E364" s="348" t="s">
        <v>5912</v>
      </c>
      <c r="F364" s="348" t="s">
        <v>2055</v>
      </c>
      <c r="G364" s="348">
        <v>37431</v>
      </c>
      <c r="H364" s="358" t="s">
        <v>238</v>
      </c>
      <c r="I364" s="352"/>
      <c r="J364" s="353"/>
      <c r="K364" s="538">
        <v>9999</v>
      </c>
      <c r="L364" s="353"/>
      <c r="M364" s="488"/>
      <c r="N364" s="488"/>
      <c r="O364" s="488"/>
      <c r="P364" s="488"/>
      <c r="Q364" s="488"/>
      <c r="R364" s="488"/>
      <c r="S364" s="488"/>
      <c r="T364" s="488"/>
      <c r="U364" s="488"/>
      <c r="V364" s="488"/>
      <c r="W364" s="488"/>
      <c r="X364" s="354"/>
      <c r="Y364" s="354"/>
      <c r="Z364" s="353" t="s">
        <v>238</v>
      </c>
      <c r="AA364" s="353"/>
      <c r="AB364" s="836"/>
      <c r="AC364" s="836"/>
      <c r="AD364" s="836"/>
      <c r="AE364" s="838"/>
    </row>
    <row r="365" spans="1:31" ht="16.5" customHeight="1">
      <c r="A365" s="347">
        <v>621805</v>
      </c>
      <c r="B365" s="347" t="s">
        <v>5913</v>
      </c>
      <c r="C365" s="347" t="s">
        <v>5911</v>
      </c>
      <c r="D365" s="348"/>
      <c r="E365" s="348" t="s">
        <v>5912</v>
      </c>
      <c r="F365" s="348" t="s">
        <v>2055</v>
      </c>
      <c r="G365" s="348">
        <v>37431</v>
      </c>
      <c r="H365" s="358" t="s">
        <v>238</v>
      </c>
      <c r="I365" s="352"/>
      <c r="J365" s="353"/>
      <c r="K365" s="538">
        <v>9999</v>
      </c>
      <c r="L365" s="488"/>
      <c r="M365" s="488"/>
      <c r="N365" s="488"/>
      <c r="O365" s="488"/>
      <c r="P365" s="488"/>
      <c r="Q365" s="488"/>
      <c r="R365" s="488"/>
      <c r="S365" s="488"/>
      <c r="T365" s="488"/>
      <c r="U365" s="488"/>
      <c r="V365" s="488"/>
      <c r="W365" s="488"/>
      <c r="X365" s="354"/>
      <c r="Y365" s="354"/>
      <c r="Z365" s="353" t="s">
        <v>238</v>
      </c>
      <c r="AA365" s="353"/>
      <c r="AB365" s="836"/>
      <c r="AC365" s="836"/>
      <c r="AD365" s="836"/>
      <c r="AE365" s="838"/>
    </row>
    <row r="366" spans="1:31" ht="16.5" customHeight="1">
      <c r="A366" s="347">
        <v>100184373</v>
      </c>
      <c r="B366" s="347" t="s">
        <v>3373</v>
      </c>
      <c r="C366" s="347" t="s">
        <v>5914</v>
      </c>
      <c r="D366" s="348"/>
      <c r="E366" s="348" t="s">
        <v>5915</v>
      </c>
      <c r="F366" s="348" t="s">
        <v>2129</v>
      </c>
      <c r="G366" s="348">
        <v>42229</v>
      </c>
      <c r="H366" s="358"/>
      <c r="I366" s="352"/>
      <c r="J366" s="353" t="s">
        <v>238</v>
      </c>
      <c r="K366" s="538">
        <v>9999</v>
      </c>
      <c r="L366" s="488" t="s">
        <v>238</v>
      </c>
      <c r="M366" s="488" t="s">
        <v>238</v>
      </c>
      <c r="N366" s="488"/>
      <c r="O366" s="488"/>
      <c r="P366" s="488"/>
      <c r="Q366" s="488"/>
      <c r="R366" s="488"/>
      <c r="S366" s="488"/>
      <c r="T366" s="488"/>
      <c r="U366" s="488"/>
      <c r="V366" s="488"/>
      <c r="W366" s="488"/>
      <c r="X366" s="354"/>
      <c r="Y366" s="354"/>
      <c r="Z366" s="353" t="s">
        <v>238</v>
      </c>
      <c r="AA366" s="353"/>
      <c r="AB366" s="836"/>
      <c r="AC366" s="836"/>
      <c r="AD366" s="836"/>
      <c r="AE366" s="838"/>
    </row>
    <row r="367" spans="1:31" ht="16.5" customHeight="1">
      <c r="A367" s="347">
        <v>92313741</v>
      </c>
      <c r="B367" s="347" t="s">
        <v>5916</v>
      </c>
      <c r="C367" s="347" t="s">
        <v>5914</v>
      </c>
      <c r="D367" s="348">
        <v>14511</v>
      </c>
      <c r="E367" s="348" t="s">
        <v>5915</v>
      </c>
      <c r="F367" s="348" t="s">
        <v>2129</v>
      </c>
      <c r="G367" s="348">
        <v>42229</v>
      </c>
      <c r="H367" s="358"/>
      <c r="I367" s="352"/>
      <c r="J367" s="353" t="s">
        <v>238</v>
      </c>
      <c r="K367" s="538">
        <v>9999</v>
      </c>
      <c r="L367" s="353" t="s">
        <v>238</v>
      </c>
      <c r="M367" s="488" t="s">
        <v>238</v>
      </c>
      <c r="N367" s="488"/>
      <c r="O367" s="488"/>
      <c r="P367" s="488"/>
      <c r="Q367" s="488"/>
      <c r="R367" s="488"/>
      <c r="S367" s="488"/>
      <c r="T367" s="488"/>
      <c r="U367" s="488"/>
      <c r="V367" s="488"/>
      <c r="W367" s="488"/>
      <c r="X367" s="354"/>
      <c r="Y367" s="354"/>
      <c r="Z367" s="353" t="s">
        <v>238</v>
      </c>
      <c r="AA367" s="353"/>
      <c r="AB367" s="836"/>
      <c r="AC367" s="836"/>
      <c r="AD367" s="842"/>
      <c r="AE367" s="837"/>
    </row>
    <row r="368" spans="1:31" ht="16.5" customHeight="1">
      <c r="A368" s="347">
        <v>31457534</v>
      </c>
      <c r="B368" s="347" t="s">
        <v>2586</v>
      </c>
      <c r="C368" s="347" t="s">
        <v>5917</v>
      </c>
      <c r="D368" s="348">
        <v>11988</v>
      </c>
      <c r="E368" s="348" t="s">
        <v>2897</v>
      </c>
      <c r="F368" s="348" t="s">
        <v>2089</v>
      </c>
      <c r="G368" s="348">
        <v>43522</v>
      </c>
      <c r="H368" s="358"/>
      <c r="I368" s="352"/>
      <c r="J368" s="353"/>
      <c r="K368" s="538">
        <v>9999</v>
      </c>
      <c r="L368" s="488"/>
      <c r="M368" s="353"/>
      <c r="N368" s="488"/>
      <c r="O368" s="488"/>
      <c r="P368" s="488"/>
      <c r="Q368" s="488"/>
      <c r="R368" s="488"/>
      <c r="S368" s="488"/>
      <c r="T368" s="488"/>
      <c r="U368" s="488"/>
      <c r="V368" s="488"/>
      <c r="W368" s="488"/>
      <c r="X368" s="354"/>
      <c r="Y368" s="354"/>
      <c r="Z368" s="353"/>
      <c r="AA368" s="353"/>
      <c r="AB368" s="836"/>
      <c r="AC368" s="836"/>
      <c r="AD368" s="836"/>
      <c r="AE368" s="837"/>
    </row>
    <row r="369" spans="1:31" ht="16.5" customHeight="1">
      <c r="A369" s="347">
        <v>100132374</v>
      </c>
      <c r="B369" s="347" t="s">
        <v>3444</v>
      </c>
      <c r="C369" s="347" t="s">
        <v>5918</v>
      </c>
      <c r="D369" s="348">
        <v>13922</v>
      </c>
      <c r="E369" s="348" t="s">
        <v>5919</v>
      </c>
      <c r="F369" s="348" t="s">
        <v>2203</v>
      </c>
      <c r="G369" s="348">
        <v>42546</v>
      </c>
      <c r="H369" s="358"/>
      <c r="I369" s="352"/>
      <c r="J369" s="353"/>
      <c r="K369" s="538" t="s">
        <v>69</v>
      </c>
      <c r="L369" s="488"/>
      <c r="M369" s="353"/>
      <c r="N369" s="488"/>
      <c r="O369" s="488"/>
      <c r="P369" s="488"/>
      <c r="Q369" s="488"/>
      <c r="R369" s="488"/>
      <c r="S369" s="488"/>
      <c r="T369" s="488"/>
      <c r="U369" s="488" t="s">
        <v>238</v>
      </c>
      <c r="V369" s="488"/>
      <c r="W369" s="488"/>
      <c r="X369" s="354"/>
      <c r="Y369" s="354"/>
      <c r="Z369" s="353" t="s">
        <v>238</v>
      </c>
      <c r="AA369" s="353"/>
      <c r="AB369" s="836"/>
      <c r="AC369" s="836"/>
      <c r="AD369" s="836"/>
      <c r="AE369" s="837"/>
    </row>
    <row r="370" spans="1:31" ht="16.5" customHeight="1">
      <c r="A370" s="347">
        <v>57565046</v>
      </c>
      <c r="B370" s="347" t="s">
        <v>3246</v>
      </c>
      <c r="C370" s="347" t="s">
        <v>5918</v>
      </c>
      <c r="D370" s="348">
        <v>14251</v>
      </c>
      <c r="E370" s="348" t="s">
        <v>5919</v>
      </c>
      <c r="F370" s="348" t="s">
        <v>2203</v>
      </c>
      <c r="G370" s="348">
        <v>42546</v>
      </c>
      <c r="H370" s="358"/>
      <c r="I370" s="352"/>
      <c r="J370" s="353"/>
      <c r="K370" s="538">
        <v>3910.5</v>
      </c>
      <c r="L370" s="353"/>
      <c r="M370" s="488"/>
      <c r="N370" s="488"/>
      <c r="O370" s="488"/>
      <c r="P370" s="488"/>
      <c r="Q370" s="488"/>
      <c r="R370" s="488"/>
      <c r="S370" s="488"/>
      <c r="T370" s="488"/>
      <c r="U370" s="488" t="s">
        <v>238</v>
      </c>
      <c r="V370" s="488"/>
      <c r="W370" s="488"/>
      <c r="X370" s="354"/>
      <c r="Y370" s="354"/>
      <c r="Z370" s="353" t="s">
        <v>238</v>
      </c>
      <c r="AA370" s="353" t="s">
        <v>5920</v>
      </c>
      <c r="AB370" s="842"/>
      <c r="AC370" s="836"/>
      <c r="AD370" s="836"/>
      <c r="AE370" s="837"/>
    </row>
    <row r="371" spans="1:31" ht="16.5" customHeight="1">
      <c r="A371" s="347">
        <v>46663779</v>
      </c>
      <c r="B371" s="347" t="s">
        <v>3468</v>
      </c>
      <c r="C371" s="347" t="s">
        <v>2880</v>
      </c>
      <c r="D371" s="348">
        <v>9914</v>
      </c>
      <c r="E371" s="348" t="s">
        <v>3761</v>
      </c>
      <c r="F371" s="348" t="s">
        <v>2059</v>
      </c>
      <c r="G371" s="348">
        <v>40196</v>
      </c>
      <c r="H371" s="358"/>
      <c r="I371" s="352"/>
      <c r="J371" s="353"/>
      <c r="K371" s="538">
        <v>5381.1</v>
      </c>
      <c r="L371" s="353"/>
      <c r="M371" s="488"/>
      <c r="N371" s="488"/>
      <c r="O371" s="488"/>
      <c r="P371" s="488"/>
      <c r="Q371" s="488"/>
      <c r="R371" s="488"/>
      <c r="S371" s="488"/>
      <c r="T371" s="488"/>
      <c r="U371" s="488" t="s">
        <v>238</v>
      </c>
      <c r="V371" s="488"/>
      <c r="W371" s="488"/>
      <c r="X371" s="354"/>
      <c r="Y371" s="354"/>
      <c r="Z371" s="353"/>
      <c r="AA371" s="353"/>
      <c r="AB371" s="836"/>
      <c r="AC371" s="836"/>
      <c r="AD371" s="836"/>
      <c r="AE371" s="837"/>
    </row>
    <row r="372" spans="1:31" ht="16.5" customHeight="1">
      <c r="A372" s="347">
        <v>100181374</v>
      </c>
      <c r="B372" s="347" t="s">
        <v>2669</v>
      </c>
      <c r="C372" s="347" t="s">
        <v>5921</v>
      </c>
      <c r="D372" s="348">
        <v>7603</v>
      </c>
      <c r="E372" s="348" t="s">
        <v>5922</v>
      </c>
      <c r="F372" s="348" t="s">
        <v>2638</v>
      </c>
      <c r="G372" s="348">
        <v>43691</v>
      </c>
      <c r="H372" s="358"/>
      <c r="I372" s="352"/>
      <c r="J372" s="353"/>
      <c r="K372" s="538">
        <v>9999</v>
      </c>
      <c r="L372" s="353"/>
      <c r="M372" s="488"/>
      <c r="N372" s="488"/>
      <c r="O372" s="488"/>
      <c r="P372" s="488"/>
      <c r="Q372" s="488"/>
      <c r="R372" s="488"/>
      <c r="S372" s="488"/>
      <c r="T372" s="488"/>
      <c r="U372" s="488"/>
      <c r="V372" s="488"/>
      <c r="W372" s="488"/>
      <c r="X372" s="354"/>
      <c r="Y372" s="354"/>
      <c r="Z372" s="353"/>
      <c r="AA372" s="353"/>
      <c r="AB372" s="836"/>
      <c r="AC372" s="836"/>
      <c r="AD372" s="836"/>
      <c r="AE372" s="837"/>
    </row>
    <row r="373" spans="1:31" ht="16.5" customHeight="1">
      <c r="A373" s="347">
        <v>23928237</v>
      </c>
      <c r="B373" s="347" t="s">
        <v>3360</v>
      </c>
      <c r="C373" s="347" t="s">
        <v>5921</v>
      </c>
      <c r="D373" s="348">
        <v>9276</v>
      </c>
      <c r="E373" s="348" t="s">
        <v>5922</v>
      </c>
      <c r="F373" s="348" t="s">
        <v>2638</v>
      </c>
      <c r="G373" s="348">
        <v>43691</v>
      </c>
      <c r="H373" s="358"/>
      <c r="I373" s="352"/>
      <c r="J373" s="353"/>
      <c r="K373" s="538">
        <v>9999</v>
      </c>
      <c r="L373" s="488"/>
      <c r="M373" s="488"/>
      <c r="N373" s="353"/>
      <c r="O373" s="488"/>
      <c r="P373" s="488"/>
      <c r="Q373" s="488"/>
      <c r="R373" s="488"/>
      <c r="S373" s="488"/>
      <c r="T373" s="488"/>
      <c r="U373" s="488"/>
      <c r="V373" s="488"/>
      <c r="W373" s="488"/>
      <c r="X373" s="354"/>
      <c r="Y373" s="354"/>
      <c r="Z373" s="353"/>
      <c r="AA373" s="353"/>
      <c r="AB373" s="836" t="s">
        <v>5923</v>
      </c>
      <c r="AC373" s="836"/>
      <c r="AD373" s="836"/>
      <c r="AE373" s="838"/>
    </row>
    <row r="374" spans="1:31" ht="16.5" customHeight="1">
      <c r="A374" s="347">
        <v>17768136</v>
      </c>
      <c r="B374" s="347" t="s">
        <v>5924</v>
      </c>
      <c r="C374" s="347" t="s">
        <v>5925</v>
      </c>
      <c r="D374" s="348">
        <v>17565</v>
      </c>
      <c r="E374" s="348" t="s">
        <v>5926</v>
      </c>
      <c r="F374" s="348" t="s">
        <v>2081</v>
      </c>
      <c r="G374" s="348">
        <v>42332</v>
      </c>
      <c r="H374" s="358"/>
      <c r="I374" s="352"/>
      <c r="J374" s="353"/>
      <c r="K374" s="538">
        <v>9999</v>
      </c>
      <c r="L374" s="488"/>
      <c r="M374" s="488"/>
      <c r="N374" s="488"/>
      <c r="O374" s="488"/>
      <c r="P374" s="488"/>
      <c r="Q374" s="488"/>
      <c r="R374" s="488"/>
      <c r="S374" s="488"/>
      <c r="T374" s="488"/>
      <c r="U374" s="488"/>
      <c r="V374" s="488"/>
      <c r="W374" s="488"/>
      <c r="X374" s="354"/>
      <c r="Y374" s="354"/>
      <c r="Z374" s="353"/>
      <c r="AA374" s="353" t="s">
        <v>5927</v>
      </c>
      <c r="AB374" s="836"/>
      <c r="AC374" s="836"/>
      <c r="AD374" s="836"/>
      <c r="AE374" s="838"/>
    </row>
    <row r="375" spans="1:31" ht="16.5" customHeight="1">
      <c r="A375" s="347">
        <v>61608204</v>
      </c>
      <c r="B375" s="347" t="s">
        <v>5928</v>
      </c>
      <c r="C375" s="347" t="s">
        <v>5929</v>
      </c>
      <c r="D375" s="348">
        <v>12201</v>
      </c>
      <c r="E375" s="348" t="s">
        <v>3682</v>
      </c>
      <c r="F375" s="348" t="s">
        <v>2290</v>
      </c>
      <c r="G375" s="348">
        <v>42033</v>
      </c>
      <c r="H375" s="358"/>
      <c r="I375" s="352"/>
      <c r="J375" s="353" t="s">
        <v>238</v>
      </c>
      <c r="K375" s="538">
        <v>9999</v>
      </c>
      <c r="L375" s="488" t="s">
        <v>238</v>
      </c>
      <c r="M375" s="488" t="s">
        <v>238</v>
      </c>
      <c r="N375" s="488"/>
      <c r="O375" s="488"/>
      <c r="P375" s="488"/>
      <c r="Q375" s="488"/>
      <c r="R375" s="488"/>
      <c r="S375" s="488"/>
      <c r="T375" s="488"/>
      <c r="U375" s="488"/>
      <c r="V375" s="488"/>
      <c r="W375" s="488"/>
      <c r="X375" s="354"/>
      <c r="Y375" s="354"/>
      <c r="Z375" s="353" t="s">
        <v>238</v>
      </c>
      <c r="AA375" s="353"/>
      <c r="AB375" s="836"/>
      <c r="AC375" s="836"/>
      <c r="AD375" s="836"/>
      <c r="AE375" s="838"/>
    </row>
    <row r="376" spans="1:31" ht="16.5" customHeight="1">
      <c r="A376" s="347">
        <v>100134653</v>
      </c>
      <c r="B376" s="347" t="s">
        <v>2697</v>
      </c>
      <c r="C376" s="347" t="s">
        <v>5929</v>
      </c>
      <c r="D376" s="348">
        <v>9843</v>
      </c>
      <c r="E376" s="347" t="s">
        <v>3682</v>
      </c>
      <c r="F376" s="347" t="s">
        <v>2290</v>
      </c>
      <c r="G376" s="348" t="s">
        <v>5930</v>
      </c>
      <c r="H376" s="358"/>
      <c r="I376" s="352"/>
      <c r="J376" s="353" t="s">
        <v>238</v>
      </c>
      <c r="K376" s="538">
        <v>9999</v>
      </c>
      <c r="L376" s="353" t="s">
        <v>238</v>
      </c>
      <c r="M376" s="488" t="s">
        <v>238</v>
      </c>
      <c r="N376" s="488"/>
      <c r="O376" s="488"/>
      <c r="P376" s="488"/>
      <c r="Q376" s="488"/>
      <c r="R376" s="488"/>
      <c r="S376" s="488"/>
      <c r="T376" s="488"/>
      <c r="U376" s="488"/>
      <c r="V376" s="488"/>
      <c r="W376" s="488"/>
      <c r="X376" s="354"/>
      <c r="Y376" s="354"/>
      <c r="Z376" s="353" t="s">
        <v>238</v>
      </c>
      <c r="AA376" s="353" t="s">
        <v>5931</v>
      </c>
      <c r="AB376" s="836" t="s">
        <v>5932</v>
      </c>
      <c r="AC376" s="836"/>
      <c r="AD376" s="836"/>
      <c r="AE376" s="837"/>
    </row>
    <row r="377" spans="1:31" ht="16.5" customHeight="1">
      <c r="A377" s="347">
        <v>288639</v>
      </c>
      <c r="B377" s="347" t="s">
        <v>2705</v>
      </c>
      <c r="C377" s="347" t="s">
        <v>5933</v>
      </c>
      <c r="D377" s="348">
        <v>7945</v>
      </c>
      <c r="E377" s="348" t="s">
        <v>4965</v>
      </c>
      <c r="F377" s="348" t="s">
        <v>2144</v>
      </c>
      <c r="G377" s="348">
        <v>37595</v>
      </c>
      <c r="H377" s="358"/>
      <c r="I377" s="352"/>
      <c r="J377" s="353"/>
      <c r="K377" s="843">
        <v>4634.6000000000004</v>
      </c>
      <c r="L377" s="353"/>
      <c r="M377" s="488"/>
      <c r="N377" s="488"/>
      <c r="O377" s="488"/>
      <c r="P377" s="488"/>
      <c r="Q377" s="488"/>
      <c r="R377" s="488"/>
      <c r="S377" s="488"/>
      <c r="T377" s="488"/>
      <c r="U377" s="488" t="s">
        <v>238</v>
      </c>
      <c r="V377" s="488"/>
      <c r="W377" s="488"/>
      <c r="X377" s="354"/>
      <c r="Y377" s="354"/>
      <c r="Z377" s="353"/>
      <c r="AA377" s="353"/>
      <c r="AB377" s="836"/>
      <c r="AC377" s="836"/>
      <c r="AD377" s="836"/>
      <c r="AE377" s="837"/>
    </row>
    <row r="378" spans="1:31" ht="16.5" customHeight="1">
      <c r="A378" s="347">
        <v>100088235</v>
      </c>
      <c r="B378" s="347" t="s">
        <v>5934</v>
      </c>
      <c r="C378" s="347" t="s">
        <v>5935</v>
      </c>
      <c r="D378" s="348">
        <v>17620</v>
      </c>
      <c r="E378" s="348" t="s">
        <v>2717</v>
      </c>
      <c r="F378" s="348" t="s">
        <v>2089</v>
      </c>
      <c r="G378" s="348">
        <v>40711</v>
      </c>
      <c r="H378" s="358"/>
      <c r="I378" s="352"/>
      <c r="J378" s="353"/>
      <c r="K378" s="843" t="s">
        <v>69</v>
      </c>
      <c r="L378" s="353"/>
      <c r="M378" s="488"/>
      <c r="N378" s="488"/>
      <c r="O378" s="488"/>
      <c r="P378" s="488"/>
      <c r="Q378" s="488"/>
      <c r="R378" s="488"/>
      <c r="S378" s="488"/>
      <c r="T378" s="488"/>
      <c r="U378" s="488" t="s">
        <v>238</v>
      </c>
      <c r="V378" s="488"/>
      <c r="W378" s="488"/>
      <c r="X378" s="354"/>
      <c r="Y378" s="354"/>
      <c r="Z378" s="353"/>
      <c r="AA378" s="353"/>
      <c r="AB378" s="836"/>
      <c r="AC378" s="836"/>
      <c r="AD378" s="836"/>
      <c r="AE378" s="837"/>
    </row>
    <row r="379" spans="1:31" ht="16.5" customHeight="1">
      <c r="A379" s="347">
        <v>31736655</v>
      </c>
      <c r="B379" s="347" t="s">
        <v>3246</v>
      </c>
      <c r="C379" s="347" t="s">
        <v>5936</v>
      </c>
      <c r="D379" s="348">
        <v>15763</v>
      </c>
      <c r="E379" s="348" t="s">
        <v>2717</v>
      </c>
      <c r="F379" s="348" t="s">
        <v>2089</v>
      </c>
      <c r="G379" s="348" t="s">
        <v>5937</v>
      </c>
      <c r="H379" s="358"/>
      <c r="I379" s="352"/>
      <c r="J379" s="353"/>
      <c r="K379" s="843">
        <v>2142</v>
      </c>
      <c r="L379" s="488"/>
      <c r="M379" s="488"/>
      <c r="N379" s="488"/>
      <c r="O379" s="488"/>
      <c r="P379" s="488"/>
      <c r="Q379" s="488"/>
      <c r="R379" s="488"/>
      <c r="S379" s="488"/>
      <c r="T379" s="488"/>
      <c r="U379" s="488" t="s">
        <v>238</v>
      </c>
      <c r="V379" s="488"/>
      <c r="W379" s="353"/>
      <c r="X379" s="354"/>
      <c r="Y379" s="354"/>
      <c r="Z379" s="353"/>
      <c r="AA379" s="353" t="s">
        <v>5938</v>
      </c>
      <c r="AB379" s="836" t="s">
        <v>5939</v>
      </c>
      <c r="AC379" s="836"/>
      <c r="AD379" s="836"/>
      <c r="AE379" s="837"/>
    </row>
    <row r="380" spans="1:31" ht="16.5" customHeight="1">
      <c r="A380" s="347">
        <v>100179609</v>
      </c>
      <c r="B380" s="347" t="s">
        <v>3373</v>
      </c>
      <c r="C380" s="347" t="s">
        <v>5940</v>
      </c>
      <c r="D380" s="348">
        <v>4750</v>
      </c>
      <c r="E380" s="348" t="s">
        <v>3109</v>
      </c>
      <c r="F380" s="348" t="s">
        <v>2081</v>
      </c>
      <c r="G380" s="348">
        <v>38945</v>
      </c>
      <c r="H380" s="358" t="s">
        <v>238</v>
      </c>
      <c r="I380" s="352"/>
      <c r="J380" s="353"/>
      <c r="K380" s="843">
        <v>9999</v>
      </c>
      <c r="L380" s="488"/>
      <c r="M380" s="488"/>
      <c r="N380" s="488"/>
      <c r="O380" s="488"/>
      <c r="P380" s="488"/>
      <c r="Q380" s="488"/>
      <c r="R380" s="488"/>
      <c r="S380" s="488"/>
      <c r="T380" s="488"/>
      <c r="U380" s="488"/>
      <c r="V380" s="488"/>
      <c r="W380" s="353"/>
      <c r="X380" s="354"/>
      <c r="Y380" s="354"/>
      <c r="Z380" s="353"/>
      <c r="AA380" s="353"/>
      <c r="AB380" s="836"/>
      <c r="AC380" s="836"/>
      <c r="AD380" s="836"/>
      <c r="AE380" s="837"/>
    </row>
    <row r="381" spans="1:31" ht="16.5" customHeight="1">
      <c r="A381" s="347">
        <v>2403400</v>
      </c>
      <c r="B381" s="347" t="s">
        <v>2547</v>
      </c>
      <c r="C381" s="347" t="s">
        <v>5940</v>
      </c>
      <c r="D381" s="348"/>
      <c r="E381" s="348" t="s">
        <v>3109</v>
      </c>
      <c r="F381" s="348" t="s">
        <v>2081</v>
      </c>
      <c r="G381" s="348">
        <v>38945</v>
      </c>
      <c r="H381" s="358"/>
      <c r="I381" s="352"/>
      <c r="J381" s="353"/>
      <c r="K381" s="538">
        <v>9999</v>
      </c>
      <c r="L381" s="353"/>
      <c r="M381" s="488"/>
      <c r="N381" s="353"/>
      <c r="O381" s="488"/>
      <c r="P381" s="488"/>
      <c r="Q381" s="488"/>
      <c r="R381" s="488"/>
      <c r="S381" s="488"/>
      <c r="T381" s="488"/>
      <c r="U381" s="488"/>
      <c r="V381" s="488"/>
      <c r="W381" s="488"/>
      <c r="X381" s="354"/>
      <c r="Y381" s="354"/>
      <c r="Z381" s="353"/>
      <c r="AA381" s="353" t="s">
        <v>5941</v>
      </c>
      <c r="AB381" s="836"/>
      <c r="AC381" s="836"/>
      <c r="AD381" s="842"/>
      <c r="AE381" s="837"/>
    </row>
    <row r="382" spans="1:31" ht="16.5" customHeight="1">
      <c r="A382" s="347">
        <v>2406692</v>
      </c>
      <c r="B382" s="347" t="s">
        <v>3444</v>
      </c>
      <c r="C382" s="347" t="s">
        <v>3321</v>
      </c>
      <c r="D382" s="348">
        <v>6495</v>
      </c>
      <c r="E382" s="348" t="s">
        <v>5942</v>
      </c>
      <c r="F382" s="348" t="s">
        <v>2081</v>
      </c>
      <c r="G382" s="348">
        <v>39630</v>
      </c>
      <c r="H382" s="358" t="s">
        <v>238</v>
      </c>
      <c r="I382" s="352"/>
      <c r="J382" s="353"/>
      <c r="K382" s="538">
        <v>9999</v>
      </c>
      <c r="L382" s="353"/>
      <c r="M382" s="488"/>
      <c r="N382" s="488"/>
      <c r="O382" s="488"/>
      <c r="P382" s="488"/>
      <c r="Q382" s="488"/>
      <c r="R382" s="488"/>
      <c r="S382" s="488"/>
      <c r="T382" s="488"/>
      <c r="U382" s="488" t="s">
        <v>238</v>
      </c>
      <c r="V382" s="488"/>
      <c r="W382" s="488"/>
      <c r="X382" s="354"/>
      <c r="Y382" s="354"/>
      <c r="Z382" s="353"/>
      <c r="AA382" s="353" t="s">
        <v>5943</v>
      </c>
      <c r="AB382" s="836"/>
      <c r="AC382" s="836"/>
      <c r="AD382" s="836"/>
      <c r="AE382" s="837"/>
    </row>
    <row r="383" spans="1:31" ht="16.5" customHeight="1">
      <c r="A383" s="347">
        <v>4249835</v>
      </c>
      <c r="B383" s="347" t="s">
        <v>3080</v>
      </c>
      <c r="C383" s="347" t="s">
        <v>4361</v>
      </c>
      <c r="D383" s="348">
        <v>15928</v>
      </c>
      <c r="E383" s="348" t="s">
        <v>3787</v>
      </c>
      <c r="F383" s="348" t="s">
        <v>2046</v>
      </c>
      <c r="G383" s="348">
        <v>41638</v>
      </c>
      <c r="H383" s="358"/>
      <c r="I383" s="352"/>
      <c r="J383" s="353"/>
      <c r="K383" s="843">
        <v>5133.24</v>
      </c>
      <c r="L383" s="353"/>
      <c r="M383" s="488"/>
      <c r="N383" s="488"/>
      <c r="O383" s="488"/>
      <c r="P383" s="488"/>
      <c r="Q383" s="488"/>
      <c r="R383" s="488"/>
      <c r="S383" s="488"/>
      <c r="T383" s="488"/>
      <c r="U383" s="488" t="s">
        <v>238</v>
      </c>
      <c r="V383" s="488"/>
      <c r="W383" s="488"/>
      <c r="X383" s="354"/>
      <c r="Y383" s="354"/>
      <c r="Z383" s="353"/>
      <c r="AA383" s="353"/>
      <c r="AB383" s="836"/>
      <c r="AC383" s="836"/>
      <c r="AD383" s="836"/>
      <c r="AE383" s="837"/>
    </row>
    <row r="384" spans="1:31" ht="16.5" customHeight="1">
      <c r="A384" s="347">
        <v>2445740</v>
      </c>
      <c r="B384" s="347" t="s">
        <v>3400</v>
      </c>
      <c r="C384" s="347" t="s">
        <v>5944</v>
      </c>
      <c r="D384" s="348">
        <v>10582</v>
      </c>
      <c r="E384" s="348" t="s">
        <v>4354</v>
      </c>
      <c r="F384" s="348" t="s">
        <v>2081</v>
      </c>
      <c r="G384" s="348">
        <v>38134</v>
      </c>
      <c r="H384" s="358"/>
      <c r="I384" s="352"/>
      <c r="J384" s="353"/>
      <c r="K384" s="843">
        <v>4081</v>
      </c>
      <c r="L384" s="353"/>
      <c r="M384" s="488"/>
      <c r="N384" s="488"/>
      <c r="O384" s="488"/>
      <c r="P384" s="488"/>
      <c r="Q384" s="488"/>
      <c r="R384" s="488"/>
      <c r="S384" s="488"/>
      <c r="T384" s="488"/>
      <c r="U384" s="488" t="s">
        <v>238</v>
      </c>
      <c r="V384" s="488"/>
      <c r="W384" s="488"/>
      <c r="X384" s="354"/>
      <c r="Y384" s="354"/>
      <c r="Z384" s="353" t="s">
        <v>238</v>
      </c>
      <c r="AA384" s="353" t="s">
        <v>5945</v>
      </c>
      <c r="AB384" s="836" t="s">
        <v>5946</v>
      </c>
      <c r="AC384" s="836"/>
      <c r="AD384" s="836"/>
      <c r="AE384" s="837"/>
    </row>
    <row r="385" spans="1:31" ht="16.5" customHeight="1">
      <c r="A385" s="347">
        <v>100015173</v>
      </c>
      <c r="B385" s="347" t="s">
        <v>2511</v>
      </c>
      <c r="C385" s="347" t="s">
        <v>5947</v>
      </c>
      <c r="D385" s="348">
        <v>9253</v>
      </c>
      <c r="E385" s="348" t="s">
        <v>4354</v>
      </c>
      <c r="F385" s="348" t="s">
        <v>2081</v>
      </c>
      <c r="G385" s="348">
        <v>38134</v>
      </c>
      <c r="H385" s="358"/>
      <c r="I385" s="352"/>
      <c r="J385" s="353"/>
      <c r="K385" s="538">
        <v>9999</v>
      </c>
      <c r="L385" s="488"/>
      <c r="M385" s="488"/>
      <c r="N385" s="488"/>
      <c r="O385" s="488"/>
      <c r="P385" s="488"/>
      <c r="Q385" s="488"/>
      <c r="R385" s="488"/>
      <c r="S385" s="488"/>
      <c r="T385" s="488"/>
      <c r="U385" s="488"/>
      <c r="V385" s="488"/>
      <c r="W385" s="488"/>
      <c r="X385" s="354"/>
      <c r="Y385" s="354"/>
      <c r="Z385" s="353" t="s">
        <v>238</v>
      </c>
      <c r="AA385" s="353"/>
      <c r="AB385" s="836"/>
      <c r="AC385" s="836"/>
      <c r="AD385" s="836"/>
      <c r="AE385" s="838"/>
    </row>
    <row r="386" spans="1:31" ht="16.5" customHeight="1">
      <c r="A386" s="347">
        <v>3290319</v>
      </c>
      <c r="B386" s="347" t="s">
        <v>3889</v>
      </c>
      <c r="C386" s="347" t="s">
        <v>5948</v>
      </c>
      <c r="D386" s="348">
        <v>17192</v>
      </c>
      <c r="E386" s="348" t="s">
        <v>5949</v>
      </c>
      <c r="F386" s="348" t="s">
        <v>2081</v>
      </c>
      <c r="G386" s="348">
        <v>39286</v>
      </c>
      <c r="H386" s="358"/>
      <c r="I386" s="352"/>
      <c r="J386" s="353"/>
      <c r="K386" s="843">
        <v>5750.8</v>
      </c>
      <c r="L386" s="353"/>
      <c r="M386" s="488"/>
      <c r="N386" s="488"/>
      <c r="O386" s="488"/>
      <c r="P386" s="488"/>
      <c r="Q386" s="488"/>
      <c r="R386" s="488"/>
      <c r="S386" s="488"/>
      <c r="T386" s="488"/>
      <c r="U386" s="488" t="s">
        <v>238</v>
      </c>
      <c r="V386" s="488"/>
      <c r="W386" s="488"/>
      <c r="X386" s="354"/>
      <c r="Y386" s="354"/>
      <c r="Z386" s="353"/>
      <c r="AA386" s="353" t="s">
        <v>5950</v>
      </c>
      <c r="AB386" s="836"/>
      <c r="AC386" s="836"/>
      <c r="AD386" s="836"/>
      <c r="AE386" s="838"/>
    </row>
    <row r="387" spans="1:31" ht="16.5" customHeight="1">
      <c r="A387" s="347">
        <v>100005126</v>
      </c>
      <c r="B387" s="347" t="s">
        <v>3689</v>
      </c>
      <c r="C387" s="347" t="s">
        <v>5951</v>
      </c>
      <c r="D387" s="348" t="s">
        <v>5952</v>
      </c>
      <c r="E387" s="348" t="s">
        <v>3109</v>
      </c>
      <c r="F387" s="348" t="s">
        <v>2081</v>
      </c>
      <c r="G387" s="348" t="s">
        <v>5953</v>
      </c>
      <c r="H387" s="358" t="s">
        <v>238</v>
      </c>
      <c r="I387" s="352"/>
      <c r="J387" s="353"/>
      <c r="K387" s="538">
        <v>9999</v>
      </c>
      <c r="L387" s="353"/>
      <c r="M387" s="488"/>
      <c r="N387" s="488"/>
      <c r="O387" s="488"/>
      <c r="P387" s="488"/>
      <c r="Q387" s="488"/>
      <c r="R387" s="488"/>
      <c r="S387" s="488"/>
      <c r="T387" s="488"/>
      <c r="U387" s="488"/>
      <c r="V387" s="488"/>
      <c r="W387" s="488"/>
      <c r="X387" s="354"/>
      <c r="Y387" s="354"/>
      <c r="Z387" s="353"/>
      <c r="AA387" s="353" t="s">
        <v>5954</v>
      </c>
      <c r="AB387" s="836"/>
      <c r="AC387" s="836"/>
      <c r="AD387" s="836"/>
      <c r="AE387" s="838"/>
    </row>
    <row r="388" spans="1:31" ht="16.5" customHeight="1">
      <c r="A388" s="347">
        <v>18754507</v>
      </c>
      <c r="B388" s="347" t="s">
        <v>2669</v>
      </c>
      <c r="C388" s="347" t="s">
        <v>5955</v>
      </c>
      <c r="D388" s="348">
        <v>9021</v>
      </c>
      <c r="E388" s="348" t="s">
        <v>5956</v>
      </c>
      <c r="F388" s="348" t="s">
        <v>2052</v>
      </c>
      <c r="G388" s="348" t="s">
        <v>5957</v>
      </c>
      <c r="H388" s="358" t="s">
        <v>238</v>
      </c>
      <c r="I388" s="352"/>
      <c r="J388" s="353"/>
      <c r="K388" s="538">
        <v>9999</v>
      </c>
      <c r="L388" s="488"/>
      <c r="M388" s="488"/>
      <c r="N388" s="488"/>
      <c r="O388" s="488"/>
      <c r="P388" s="488"/>
      <c r="Q388" s="488"/>
      <c r="R388" s="488"/>
      <c r="S388" s="488"/>
      <c r="T388" s="488"/>
      <c r="U388" s="488"/>
      <c r="V388" s="488"/>
      <c r="W388" s="488"/>
      <c r="X388" s="354"/>
      <c r="Y388" s="354"/>
      <c r="Z388" s="353"/>
      <c r="AA388" s="353"/>
      <c r="AB388" s="836"/>
      <c r="AC388" s="836"/>
      <c r="AD388" s="836"/>
      <c r="AE388" s="838"/>
    </row>
    <row r="389" spans="1:31" ht="16.5" customHeight="1">
      <c r="A389" s="746">
        <v>100057035</v>
      </c>
      <c r="B389" s="347" t="s">
        <v>3617</v>
      </c>
      <c r="C389" s="347" t="s">
        <v>5294</v>
      </c>
      <c r="D389" s="348">
        <v>21285</v>
      </c>
      <c r="E389" s="348" t="s">
        <v>3855</v>
      </c>
      <c r="F389" s="348" t="s">
        <v>2055</v>
      </c>
      <c r="G389" s="747">
        <v>43745</v>
      </c>
      <c r="H389" s="358"/>
      <c r="I389" s="352"/>
      <c r="J389" s="353"/>
      <c r="K389" s="538">
        <v>9999</v>
      </c>
      <c r="L389" s="488"/>
      <c r="M389" s="488"/>
      <c r="N389" s="488"/>
      <c r="O389" s="488"/>
      <c r="P389" s="488"/>
      <c r="Q389" s="488"/>
      <c r="R389" s="488"/>
      <c r="S389" s="488"/>
      <c r="T389" s="488" t="s">
        <v>238</v>
      </c>
      <c r="U389" s="488"/>
      <c r="V389" s="488"/>
      <c r="W389" s="488"/>
      <c r="X389" s="354"/>
      <c r="Y389" s="354"/>
      <c r="Z389" s="353" t="s">
        <v>238</v>
      </c>
      <c r="AA389" s="353"/>
      <c r="AB389" s="836"/>
      <c r="AC389" s="836"/>
      <c r="AD389" s="836"/>
      <c r="AE389" s="838"/>
    </row>
    <row r="390" spans="1:31" ht="16.5" customHeight="1">
      <c r="A390" s="347">
        <v>20634754</v>
      </c>
      <c r="B390" s="347" t="s">
        <v>3293</v>
      </c>
      <c r="C390" s="347" t="s">
        <v>4068</v>
      </c>
      <c r="D390" s="348">
        <v>25416</v>
      </c>
      <c r="E390" s="348" t="s">
        <v>3855</v>
      </c>
      <c r="F390" s="348" t="s">
        <v>2055</v>
      </c>
      <c r="G390" s="747">
        <v>43745</v>
      </c>
      <c r="H390" s="358"/>
      <c r="I390" s="352"/>
      <c r="J390" s="353"/>
      <c r="K390" s="538">
        <v>9999</v>
      </c>
      <c r="L390" s="488"/>
      <c r="M390" s="488"/>
      <c r="N390" s="488"/>
      <c r="O390" s="488"/>
      <c r="P390" s="488"/>
      <c r="Q390" s="353"/>
      <c r="R390" s="488"/>
      <c r="S390" s="488"/>
      <c r="T390" s="488" t="s">
        <v>238</v>
      </c>
      <c r="U390" s="488"/>
      <c r="V390" s="488"/>
      <c r="W390" s="488"/>
      <c r="X390" s="353"/>
      <c r="Y390" s="354"/>
      <c r="Z390" s="353" t="s">
        <v>238</v>
      </c>
      <c r="AA390" s="353"/>
      <c r="AB390" s="836"/>
      <c r="AC390" s="836"/>
      <c r="AD390" s="836"/>
      <c r="AE390" s="837"/>
    </row>
    <row r="391" spans="1:31" ht="16.5" customHeight="1">
      <c r="A391" s="347">
        <v>1761071</v>
      </c>
      <c r="B391" s="347" t="s">
        <v>3373</v>
      </c>
      <c r="C391" s="347" t="s">
        <v>5958</v>
      </c>
      <c r="D391" s="348">
        <v>11581</v>
      </c>
      <c r="E391" s="348" t="s">
        <v>5959</v>
      </c>
      <c r="F391" s="348" t="s">
        <v>2206</v>
      </c>
      <c r="G391" s="184">
        <v>39100</v>
      </c>
      <c r="H391" s="358"/>
      <c r="I391" s="352"/>
      <c r="J391" s="353"/>
      <c r="K391" s="843">
        <v>8771.2999999999993</v>
      </c>
      <c r="L391" s="353"/>
      <c r="M391" s="488"/>
      <c r="N391" s="488"/>
      <c r="O391" s="488"/>
      <c r="P391" s="488"/>
      <c r="Q391" s="488"/>
      <c r="R391" s="488"/>
      <c r="S391" s="488"/>
      <c r="T391" s="488"/>
      <c r="U391" s="488" t="s">
        <v>238</v>
      </c>
      <c r="V391" s="488"/>
      <c r="W391" s="488"/>
      <c r="X391" s="354"/>
      <c r="Y391" s="354"/>
      <c r="Z391" s="353"/>
      <c r="AA391" s="353"/>
      <c r="AB391" s="836"/>
      <c r="AC391" s="836"/>
      <c r="AD391" s="836"/>
      <c r="AE391" s="837"/>
    </row>
    <row r="392" spans="1:31" ht="16.5" customHeight="1">
      <c r="A392" s="347">
        <v>100309589</v>
      </c>
      <c r="B392" s="347" t="s">
        <v>3043</v>
      </c>
      <c r="C392" s="347" t="s">
        <v>5960</v>
      </c>
      <c r="D392" s="348">
        <v>17014</v>
      </c>
      <c r="E392" s="348" t="s">
        <v>5961</v>
      </c>
      <c r="F392" s="348" t="s">
        <v>2072</v>
      </c>
      <c r="G392" s="184">
        <v>38989</v>
      </c>
      <c r="H392" s="358"/>
      <c r="I392" s="352"/>
      <c r="J392" s="353"/>
      <c r="K392" s="843" t="s">
        <v>69</v>
      </c>
      <c r="L392" s="353"/>
      <c r="M392" s="488"/>
      <c r="N392" s="488"/>
      <c r="O392" s="488"/>
      <c r="P392" s="488"/>
      <c r="Q392" s="488"/>
      <c r="R392" s="488"/>
      <c r="S392" s="488"/>
      <c r="T392" s="488"/>
      <c r="U392" s="488" t="s">
        <v>238</v>
      </c>
      <c r="V392" s="488"/>
      <c r="W392" s="488"/>
      <c r="X392" s="354"/>
      <c r="Y392" s="354"/>
      <c r="Z392" s="353" t="s">
        <v>238</v>
      </c>
      <c r="AA392" s="353"/>
      <c r="AB392" s="836"/>
      <c r="AC392" s="836"/>
      <c r="AD392" s="836"/>
      <c r="AE392" s="837"/>
    </row>
    <row r="393" spans="1:31" ht="16.5" customHeight="1">
      <c r="A393" s="347">
        <v>17289000</v>
      </c>
      <c r="B393" s="347" t="s">
        <v>2828</v>
      </c>
      <c r="C393" s="347" t="s">
        <v>5962</v>
      </c>
      <c r="D393" s="348">
        <v>13990</v>
      </c>
      <c r="E393" s="348" t="s">
        <v>5961</v>
      </c>
      <c r="F393" s="348" t="s">
        <v>2072</v>
      </c>
      <c r="G393" s="348">
        <v>38989</v>
      </c>
      <c r="H393" s="358"/>
      <c r="I393" s="352"/>
      <c r="J393" s="353"/>
      <c r="K393" s="538">
        <v>1975.1</v>
      </c>
      <c r="L393" s="488"/>
      <c r="M393" s="488"/>
      <c r="N393" s="488"/>
      <c r="O393" s="488"/>
      <c r="P393" s="488"/>
      <c r="Q393" s="488"/>
      <c r="R393" s="488"/>
      <c r="S393" s="488"/>
      <c r="T393" s="488"/>
      <c r="U393" s="488" t="s">
        <v>238</v>
      </c>
      <c r="V393" s="488"/>
      <c r="W393" s="488"/>
      <c r="X393" s="354"/>
      <c r="Y393" s="354"/>
      <c r="Z393" s="353" t="s">
        <v>238</v>
      </c>
      <c r="AA393" s="353" t="s">
        <v>5963</v>
      </c>
      <c r="AB393" s="836" t="s">
        <v>5964</v>
      </c>
      <c r="AC393" s="836"/>
      <c r="AD393" s="836"/>
      <c r="AE393" s="838"/>
    </row>
    <row r="394" spans="1:31" ht="16.5" customHeight="1">
      <c r="A394" s="347">
        <v>8565459</v>
      </c>
      <c r="B394" s="347" t="s">
        <v>2705</v>
      </c>
      <c r="C394" s="347" t="s">
        <v>2814</v>
      </c>
      <c r="D394" s="348">
        <v>8798</v>
      </c>
      <c r="E394" s="348" t="s">
        <v>3000</v>
      </c>
      <c r="F394" s="348" t="s">
        <v>2052</v>
      </c>
      <c r="G394" s="348">
        <v>37585</v>
      </c>
      <c r="H394" s="358" t="s">
        <v>238</v>
      </c>
      <c r="I394" s="352"/>
      <c r="J394" s="353"/>
      <c r="K394" s="538">
        <v>4437.3</v>
      </c>
      <c r="L394" s="488"/>
      <c r="M394" s="353"/>
      <c r="N394" s="488"/>
      <c r="O394" s="488"/>
      <c r="P394" s="488"/>
      <c r="Q394" s="488"/>
      <c r="R394" s="488"/>
      <c r="S394" s="488"/>
      <c r="T394" s="488"/>
      <c r="U394" s="488" t="s">
        <v>238</v>
      </c>
      <c r="V394" s="488"/>
      <c r="W394" s="488"/>
      <c r="X394" s="353"/>
      <c r="Y394" s="354"/>
      <c r="Z394" s="353"/>
      <c r="AA394" s="353"/>
      <c r="AB394" s="836"/>
      <c r="AC394" s="836"/>
      <c r="AD394" s="836"/>
      <c r="AE394" s="838"/>
    </row>
    <row r="395" spans="1:31" ht="16.5" customHeight="1">
      <c r="A395" s="347">
        <v>20770947</v>
      </c>
      <c r="B395" s="347" t="s">
        <v>3101</v>
      </c>
      <c r="C395" s="347" t="s">
        <v>5965</v>
      </c>
      <c r="D395" s="348">
        <v>13333</v>
      </c>
      <c r="E395" s="348" t="s">
        <v>4302</v>
      </c>
      <c r="F395" s="348" t="s">
        <v>2081</v>
      </c>
      <c r="G395" s="348">
        <v>42375</v>
      </c>
      <c r="H395" s="358"/>
      <c r="I395" s="352"/>
      <c r="J395" s="353"/>
      <c r="K395" s="538">
        <v>4965.1000000000004</v>
      </c>
      <c r="L395" s="353"/>
      <c r="M395" s="488"/>
      <c r="N395" s="488"/>
      <c r="O395" s="488"/>
      <c r="P395" s="488"/>
      <c r="Q395" s="488"/>
      <c r="R395" s="488"/>
      <c r="S395" s="488"/>
      <c r="T395" s="488"/>
      <c r="U395" s="488" t="s">
        <v>238</v>
      </c>
      <c r="V395" s="488"/>
      <c r="W395" s="488"/>
      <c r="X395" s="354"/>
      <c r="Y395" s="354"/>
      <c r="Z395" s="353"/>
      <c r="AA395" s="353"/>
      <c r="AB395" s="836" t="s">
        <v>5966</v>
      </c>
      <c r="AC395" s="836"/>
      <c r="AD395" s="836"/>
      <c r="AE395" s="837"/>
    </row>
    <row r="396" spans="1:31" ht="16.5" customHeight="1">
      <c r="A396" s="347">
        <v>100005331</v>
      </c>
      <c r="B396" s="347" t="s">
        <v>2742</v>
      </c>
      <c r="C396" s="347" t="s">
        <v>5967</v>
      </c>
      <c r="D396" s="348">
        <v>16327</v>
      </c>
      <c r="E396" s="348" t="s">
        <v>5968</v>
      </c>
      <c r="F396" s="348" t="s">
        <v>2052</v>
      </c>
      <c r="G396" s="348" t="s">
        <v>5969</v>
      </c>
      <c r="H396" s="358"/>
      <c r="I396" s="352"/>
      <c r="J396" s="353"/>
      <c r="K396" s="538">
        <v>9999</v>
      </c>
      <c r="L396" s="488"/>
      <c r="M396" s="488"/>
      <c r="N396" s="488"/>
      <c r="O396" s="488"/>
      <c r="P396" s="488"/>
      <c r="Q396" s="488"/>
      <c r="R396" s="488"/>
      <c r="S396" s="488"/>
      <c r="T396" s="488"/>
      <c r="U396" s="488"/>
      <c r="V396" s="488"/>
      <c r="W396" s="488"/>
      <c r="X396" s="354"/>
      <c r="Y396" s="354"/>
      <c r="Z396" s="353"/>
      <c r="AA396" s="353"/>
      <c r="AB396" s="836"/>
      <c r="AC396" s="836"/>
      <c r="AD396" s="836"/>
      <c r="AE396" s="838"/>
    </row>
    <row r="397" spans="1:31" ht="16.5" customHeight="1">
      <c r="A397" s="347">
        <v>402263</v>
      </c>
      <c r="B397" s="347" t="s">
        <v>2551</v>
      </c>
      <c r="C397" s="347" t="s">
        <v>5970</v>
      </c>
      <c r="D397" s="348">
        <v>11595</v>
      </c>
      <c r="E397" s="348" t="s">
        <v>3428</v>
      </c>
      <c r="F397" s="348" t="s">
        <v>2118</v>
      </c>
      <c r="G397" s="348" t="s">
        <v>5971</v>
      </c>
      <c r="H397" s="358" t="s">
        <v>238</v>
      </c>
      <c r="I397" s="352"/>
      <c r="J397" s="353"/>
      <c r="K397" s="538">
        <v>9999</v>
      </c>
      <c r="L397" s="488"/>
      <c r="M397" s="353"/>
      <c r="N397" s="488"/>
      <c r="O397" s="488"/>
      <c r="P397" s="488"/>
      <c r="Q397" s="488"/>
      <c r="R397" s="488"/>
      <c r="S397" s="488"/>
      <c r="T397" s="488"/>
      <c r="U397" s="488"/>
      <c r="V397" s="488"/>
      <c r="W397" s="488"/>
      <c r="X397" s="354"/>
      <c r="Y397" s="354"/>
      <c r="Z397" s="353"/>
      <c r="AA397" s="353"/>
      <c r="AB397" s="836"/>
      <c r="AC397" s="836"/>
      <c r="AD397" s="836"/>
      <c r="AE397" s="838"/>
    </row>
    <row r="398" spans="1:31" ht="16.5" customHeight="1">
      <c r="A398" s="347">
        <v>100180799</v>
      </c>
      <c r="B398" s="347" t="s">
        <v>2586</v>
      </c>
      <c r="C398" s="347" t="s">
        <v>5972</v>
      </c>
      <c r="D398" s="348">
        <v>8987</v>
      </c>
      <c r="E398" s="348" t="s">
        <v>4910</v>
      </c>
      <c r="F398" s="348" t="s">
        <v>2081</v>
      </c>
      <c r="G398" s="348" t="s">
        <v>5973</v>
      </c>
      <c r="H398" s="358" t="s">
        <v>238</v>
      </c>
      <c r="I398" s="352"/>
      <c r="J398" s="353"/>
      <c r="K398" s="843">
        <v>4322.8</v>
      </c>
      <c r="L398" s="488"/>
      <c r="M398" s="353"/>
      <c r="N398" s="488"/>
      <c r="O398" s="488"/>
      <c r="P398" s="488"/>
      <c r="Q398" s="488"/>
      <c r="R398" s="488"/>
      <c r="S398" s="488"/>
      <c r="T398" s="488"/>
      <c r="U398" s="488" t="s">
        <v>238</v>
      </c>
      <c r="V398" s="488"/>
      <c r="W398" s="488"/>
      <c r="X398" s="354"/>
      <c r="Y398" s="354"/>
      <c r="Z398" s="353" t="s">
        <v>238</v>
      </c>
      <c r="AA398" s="353"/>
      <c r="AB398" s="836"/>
      <c r="AC398" s="836"/>
      <c r="AD398" s="836"/>
      <c r="AE398" s="838"/>
    </row>
    <row r="399" spans="1:31" ht="16.5" customHeight="1">
      <c r="A399" s="347">
        <v>17045311</v>
      </c>
      <c r="B399" s="347" t="s">
        <v>5974</v>
      </c>
      <c r="C399" s="347" t="s">
        <v>5972</v>
      </c>
      <c r="D399" s="348">
        <v>9011</v>
      </c>
      <c r="E399" s="348" t="s">
        <v>4910</v>
      </c>
      <c r="F399" s="348" t="s">
        <v>2081</v>
      </c>
      <c r="G399" s="348" t="s">
        <v>5973</v>
      </c>
      <c r="H399" s="358"/>
      <c r="I399" s="352"/>
      <c r="J399" s="353"/>
      <c r="K399" s="539">
        <v>9999</v>
      </c>
      <c r="L399" s="353"/>
      <c r="M399" s="488"/>
      <c r="N399" s="488"/>
      <c r="O399" s="488"/>
      <c r="P399" s="488"/>
      <c r="Q399" s="488"/>
      <c r="R399" s="488"/>
      <c r="S399" s="488"/>
      <c r="T399" s="488"/>
      <c r="U399" s="488"/>
      <c r="V399" s="488"/>
      <c r="W399" s="488"/>
      <c r="X399" s="353"/>
      <c r="Y399" s="354"/>
      <c r="Z399" s="353" t="s">
        <v>238</v>
      </c>
      <c r="AA399" s="353"/>
      <c r="AB399" s="836"/>
      <c r="AC399" s="836"/>
      <c r="AD399" s="836"/>
      <c r="AE399" s="838"/>
    </row>
    <row r="400" spans="1:31" ht="16.5" customHeight="1">
      <c r="A400" s="347">
        <v>3987195</v>
      </c>
      <c r="B400" s="347" t="s">
        <v>4151</v>
      </c>
      <c r="C400" s="347" t="s">
        <v>5975</v>
      </c>
      <c r="D400" s="348">
        <v>19611</v>
      </c>
      <c r="E400" s="348" t="s">
        <v>5976</v>
      </c>
      <c r="F400" s="348" t="s">
        <v>2072</v>
      </c>
      <c r="G400" s="348" t="s">
        <v>5977</v>
      </c>
      <c r="H400" s="358"/>
      <c r="I400" s="352"/>
      <c r="J400" s="353"/>
      <c r="K400" s="538">
        <v>9999</v>
      </c>
      <c r="L400" s="353"/>
      <c r="M400" s="488"/>
      <c r="N400" s="353"/>
      <c r="O400" s="488"/>
      <c r="P400" s="488"/>
      <c r="Q400" s="488"/>
      <c r="R400" s="488"/>
      <c r="S400" s="488"/>
      <c r="T400" s="488"/>
      <c r="U400" s="488"/>
      <c r="V400" s="488"/>
      <c r="W400" s="488"/>
      <c r="X400" s="354"/>
      <c r="Y400" s="354"/>
      <c r="Z400" s="353"/>
      <c r="AA400" s="353" t="s">
        <v>5978</v>
      </c>
      <c r="AB400" s="836"/>
      <c r="AC400" s="836"/>
      <c r="AD400" s="842"/>
      <c r="AE400" s="837"/>
    </row>
    <row r="401" spans="1:31" ht="16.5" customHeight="1">
      <c r="A401" s="347">
        <v>10172955</v>
      </c>
      <c r="B401" s="347" t="s">
        <v>5979</v>
      </c>
      <c r="C401" s="347"/>
      <c r="D401" s="348"/>
      <c r="E401" s="348"/>
      <c r="F401" s="348"/>
      <c r="G401" s="348"/>
      <c r="H401" s="358"/>
      <c r="I401" s="352"/>
      <c r="J401" s="353"/>
      <c r="K401" s="539"/>
      <c r="L401" s="353"/>
      <c r="M401" s="488"/>
      <c r="N401" s="488"/>
      <c r="O401" s="488"/>
      <c r="P401" s="488"/>
      <c r="Q401" s="488"/>
      <c r="R401" s="488"/>
      <c r="S401" s="488"/>
      <c r="T401" s="488"/>
      <c r="U401" s="488"/>
      <c r="V401" s="488"/>
      <c r="W401" s="488"/>
      <c r="X401" s="353"/>
      <c r="Y401" s="354"/>
      <c r="Z401" s="353"/>
      <c r="AA401" s="353"/>
      <c r="AB401" s="836"/>
      <c r="AC401" s="836"/>
      <c r="AD401" s="836"/>
      <c r="AE401" s="838"/>
    </row>
    <row r="402" spans="1:31" ht="16.5" customHeight="1">
      <c r="A402" s="347">
        <v>65847394</v>
      </c>
      <c r="B402" s="347" t="s">
        <v>5980</v>
      </c>
      <c r="C402" s="347"/>
      <c r="D402" s="347"/>
      <c r="E402" s="347"/>
      <c r="F402" s="347"/>
      <c r="G402" s="348"/>
      <c r="H402" s="358"/>
      <c r="I402" s="352"/>
      <c r="J402" s="353"/>
      <c r="K402" s="538"/>
      <c r="L402" s="488"/>
      <c r="M402" s="488"/>
      <c r="N402" s="353"/>
      <c r="O402" s="488"/>
      <c r="P402" s="488"/>
      <c r="Q402" s="488"/>
      <c r="R402" s="488"/>
      <c r="S402" s="488"/>
      <c r="T402" s="488"/>
      <c r="U402" s="488"/>
      <c r="V402" s="488"/>
      <c r="W402" s="488"/>
      <c r="X402" s="354"/>
      <c r="Y402" s="354"/>
      <c r="Z402" s="353"/>
      <c r="AA402" s="353"/>
      <c r="AB402" s="836"/>
      <c r="AC402" s="836"/>
      <c r="AD402" s="836"/>
      <c r="AE402" s="837"/>
    </row>
    <row r="403" spans="1:31" ht="16.5" customHeight="1">
      <c r="A403" s="347">
        <v>36018349</v>
      </c>
      <c r="B403" s="347" t="s">
        <v>5981</v>
      </c>
      <c r="C403" s="347"/>
      <c r="D403" s="348"/>
      <c r="E403" s="348"/>
      <c r="F403" s="348"/>
      <c r="G403" s="348"/>
      <c r="H403" s="358"/>
      <c r="I403" s="352"/>
      <c r="J403" s="353"/>
      <c r="K403" s="538"/>
      <c r="L403" s="488"/>
      <c r="M403" s="488"/>
      <c r="N403" s="488"/>
      <c r="O403" s="488"/>
      <c r="P403" s="488"/>
      <c r="Q403" s="488"/>
      <c r="R403" s="488"/>
      <c r="S403" s="488"/>
      <c r="T403" s="488"/>
      <c r="U403" s="488"/>
      <c r="V403" s="488"/>
      <c r="W403" s="488"/>
      <c r="X403" s="354"/>
      <c r="Y403" s="354"/>
      <c r="Z403" s="353"/>
      <c r="AA403" s="353"/>
      <c r="AB403" s="836"/>
      <c r="AC403" s="836"/>
      <c r="AD403" s="836"/>
      <c r="AE403" s="838"/>
    </row>
    <row r="404" spans="1:31" ht="16.5" customHeight="1">
      <c r="A404" s="347">
        <v>4526307</v>
      </c>
      <c r="B404" s="347" t="s">
        <v>5982</v>
      </c>
      <c r="C404" s="347"/>
      <c r="D404" s="348"/>
      <c r="E404" s="348"/>
      <c r="F404" s="348"/>
      <c r="G404" s="348"/>
      <c r="H404" s="358"/>
      <c r="I404" s="352"/>
      <c r="J404" s="353"/>
      <c r="K404" s="538"/>
      <c r="L404" s="488"/>
      <c r="M404" s="488"/>
      <c r="N404" s="488"/>
      <c r="O404" s="488"/>
      <c r="P404" s="488"/>
      <c r="Q404" s="488"/>
      <c r="R404" s="488"/>
      <c r="S404" s="488"/>
      <c r="T404" s="488"/>
      <c r="U404" s="488"/>
      <c r="V404" s="488"/>
      <c r="W404" s="488"/>
      <c r="X404" s="354"/>
      <c r="Y404" s="354"/>
      <c r="Z404" s="353"/>
      <c r="AA404" s="353"/>
      <c r="AB404" s="836"/>
      <c r="AC404" s="836"/>
      <c r="AD404" s="836"/>
      <c r="AE404" s="838"/>
    </row>
    <row r="405" spans="1:31" ht="16.5" customHeight="1">
      <c r="A405" s="347">
        <v>91556332</v>
      </c>
      <c r="B405" s="347" t="s">
        <v>5983</v>
      </c>
      <c r="C405" s="347"/>
      <c r="D405" s="348"/>
      <c r="E405" s="348"/>
      <c r="F405" s="348"/>
      <c r="G405" s="348"/>
      <c r="H405" s="358"/>
      <c r="I405" s="352"/>
      <c r="J405" s="353"/>
      <c r="K405" s="538"/>
      <c r="L405" s="488"/>
      <c r="M405" s="488"/>
      <c r="N405" s="488"/>
      <c r="O405" s="488"/>
      <c r="P405" s="488"/>
      <c r="Q405" s="488"/>
      <c r="R405" s="488"/>
      <c r="S405" s="488"/>
      <c r="T405" s="488"/>
      <c r="U405" s="488"/>
      <c r="V405" s="488"/>
      <c r="W405" s="488"/>
      <c r="X405" s="354"/>
      <c r="Y405" s="354"/>
      <c r="Z405" s="353"/>
      <c r="AA405" s="353"/>
      <c r="AB405" s="836"/>
      <c r="AC405" s="836"/>
      <c r="AD405" s="836"/>
      <c r="AE405" s="838"/>
    </row>
    <row r="406" spans="1:31" ht="16.5" customHeight="1">
      <c r="A406" s="347">
        <v>1860907</v>
      </c>
      <c r="B406" s="347" t="s">
        <v>5984</v>
      </c>
      <c r="C406" s="347"/>
      <c r="D406" s="348"/>
      <c r="E406" s="348"/>
      <c r="F406" s="348"/>
      <c r="G406" s="348"/>
      <c r="H406" s="358"/>
      <c r="I406" s="352"/>
      <c r="J406" s="353"/>
      <c r="K406" s="538"/>
      <c r="L406" s="353"/>
      <c r="M406" s="488"/>
      <c r="N406" s="353"/>
      <c r="O406" s="488"/>
      <c r="P406" s="488"/>
      <c r="Q406" s="488"/>
      <c r="R406" s="488"/>
      <c r="S406" s="488"/>
      <c r="T406" s="488"/>
      <c r="U406" s="488"/>
      <c r="V406" s="488"/>
      <c r="W406" s="488"/>
      <c r="X406" s="354"/>
      <c r="Y406" s="354"/>
      <c r="Z406" s="353"/>
      <c r="AA406" s="353"/>
      <c r="AB406" s="836"/>
      <c r="AC406" s="836"/>
      <c r="AD406" s="836"/>
      <c r="AE406" s="837"/>
    </row>
    <row r="407" spans="1:31" ht="16.5" customHeight="1">
      <c r="A407" s="347">
        <v>35047901</v>
      </c>
      <c r="B407" s="347" t="s">
        <v>5985</v>
      </c>
      <c r="C407" s="347"/>
      <c r="D407" s="348"/>
      <c r="E407" s="348"/>
      <c r="F407" s="348"/>
      <c r="G407" s="348"/>
      <c r="H407" s="358"/>
      <c r="I407" s="352"/>
      <c r="J407" s="353"/>
      <c r="K407" s="538"/>
      <c r="L407" s="353"/>
      <c r="M407" s="488"/>
      <c r="N407" s="488"/>
      <c r="O407" s="488"/>
      <c r="P407" s="488"/>
      <c r="Q407" s="488"/>
      <c r="R407" s="488"/>
      <c r="S407" s="488"/>
      <c r="T407" s="488"/>
      <c r="U407" s="488"/>
      <c r="V407" s="488"/>
      <c r="W407" s="488"/>
      <c r="X407" s="354"/>
      <c r="Y407" s="354"/>
      <c r="Z407" s="353"/>
      <c r="AA407" s="353"/>
      <c r="AB407" s="836"/>
      <c r="AC407" s="836"/>
      <c r="AD407" s="836"/>
      <c r="AE407" s="837"/>
    </row>
    <row r="408" spans="1:31" ht="16.5" customHeight="1">
      <c r="A408" s="347">
        <v>2941201</v>
      </c>
      <c r="B408" s="347" t="s">
        <v>5986</v>
      </c>
      <c r="C408" s="347"/>
      <c r="D408" s="348"/>
      <c r="E408" s="348"/>
      <c r="F408" s="348"/>
      <c r="G408" s="348"/>
      <c r="H408" s="358"/>
      <c r="I408" s="352"/>
      <c r="J408" s="353"/>
      <c r="K408" s="538"/>
      <c r="L408" s="488"/>
      <c r="M408" s="488"/>
      <c r="N408" s="488"/>
      <c r="O408" s="488"/>
      <c r="P408" s="488"/>
      <c r="Q408" s="488"/>
      <c r="R408" s="488"/>
      <c r="S408" s="488"/>
      <c r="T408" s="488"/>
      <c r="U408" s="488"/>
      <c r="V408" s="488"/>
      <c r="W408" s="488"/>
      <c r="X408" s="354"/>
      <c r="Y408" s="354"/>
      <c r="Z408" s="353"/>
      <c r="AA408" s="353"/>
      <c r="AB408" s="836"/>
      <c r="AC408" s="836"/>
      <c r="AD408" s="836"/>
      <c r="AE408" s="838"/>
    </row>
    <row r="409" spans="1:31" ht="16.5" customHeight="1">
      <c r="A409" s="347">
        <v>28387918</v>
      </c>
      <c r="B409" s="347" t="s">
        <v>5987</v>
      </c>
      <c r="C409" s="347"/>
      <c r="D409" s="348"/>
      <c r="E409" s="348"/>
      <c r="F409" s="348"/>
      <c r="G409" s="348"/>
      <c r="H409" s="358"/>
      <c r="I409" s="352"/>
      <c r="J409" s="353"/>
      <c r="K409" s="538"/>
      <c r="L409" s="488"/>
      <c r="M409" s="488"/>
      <c r="N409" s="488"/>
      <c r="O409" s="488"/>
      <c r="P409" s="488"/>
      <c r="Q409" s="488"/>
      <c r="R409" s="488"/>
      <c r="S409" s="488"/>
      <c r="T409" s="488"/>
      <c r="U409" s="488"/>
      <c r="V409" s="488"/>
      <c r="W409" s="488"/>
      <c r="X409" s="354"/>
      <c r="Y409" s="354"/>
      <c r="Z409" s="353"/>
      <c r="AA409" s="353"/>
      <c r="AB409" s="836"/>
      <c r="AC409" s="836"/>
      <c r="AD409" s="836"/>
      <c r="AE409" s="838"/>
    </row>
    <row r="410" spans="1:31" ht="16.5" customHeight="1">
      <c r="A410" s="347">
        <v>18546143</v>
      </c>
      <c r="B410" s="347" t="s">
        <v>5988</v>
      </c>
      <c r="C410" s="347"/>
      <c r="D410" s="347"/>
      <c r="E410" s="347"/>
      <c r="F410" s="347"/>
      <c r="G410" s="348"/>
      <c r="H410" s="358"/>
      <c r="I410" s="352"/>
      <c r="J410" s="353"/>
      <c r="K410" s="538"/>
      <c r="L410" s="488"/>
      <c r="M410" s="488"/>
      <c r="N410" s="488"/>
      <c r="O410" s="353"/>
      <c r="P410" s="488"/>
      <c r="Q410" s="488"/>
      <c r="R410" s="488"/>
      <c r="S410" s="488"/>
      <c r="T410" s="488"/>
      <c r="U410" s="488"/>
      <c r="V410" s="488"/>
      <c r="W410" s="488"/>
      <c r="X410" s="354"/>
      <c r="Y410" s="354"/>
      <c r="Z410" s="353"/>
      <c r="AA410" s="353"/>
      <c r="AB410" s="836"/>
      <c r="AC410" s="836"/>
      <c r="AD410" s="842"/>
      <c r="AE410" s="838"/>
    </row>
    <row r="411" spans="1:31" ht="16.5" customHeight="1">
      <c r="A411" s="347">
        <v>37469442</v>
      </c>
      <c r="B411" s="347" t="s">
        <v>5989</v>
      </c>
      <c r="C411" s="347"/>
      <c r="D411" s="348"/>
      <c r="E411" s="348"/>
      <c r="F411" s="348"/>
      <c r="G411" s="348"/>
      <c r="H411" s="358"/>
      <c r="I411" s="352"/>
      <c r="J411" s="353"/>
      <c r="K411" s="538"/>
      <c r="L411" s="488"/>
      <c r="M411" s="488"/>
      <c r="N411" s="488"/>
      <c r="O411" s="488"/>
      <c r="P411" s="488"/>
      <c r="Q411" s="488"/>
      <c r="R411" s="488"/>
      <c r="S411" s="488"/>
      <c r="T411" s="488"/>
      <c r="U411" s="488"/>
      <c r="V411" s="488"/>
      <c r="W411" s="488"/>
      <c r="X411" s="354"/>
      <c r="Y411" s="354"/>
      <c r="Z411" s="353"/>
      <c r="AA411" s="353"/>
      <c r="AB411" s="836"/>
      <c r="AC411" s="836"/>
      <c r="AD411" s="836"/>
      <c r="AE411" s="838"/>
    </row>
    <row r="412" spans="1:31" ht="16.5" customHeight="1">
      <c r="A412" s="347">
        <v>100004840</v>
      </c>
      <c r="B412" s="347" t="s">
        <v>5990</v>
      </c>
      <c r="C412" s="347"/>
      <c r="D412" s="348"/>
      <c r="E412" s="348"/>
      <c r="F412" s="348"/>
      <c r="G412" s="348"/>
      <c r="H412" s="358"/>
      <c r="I412" s="352"/>
      <c r="J412" s="353"/>
      <c r="K412" s="539"/>
      <c r="L412" s="353"/>
      <c r="M412" s="488"/>
      <c r="N412" s="488"/>
      <c r="O412" s="488"/>
      <c r="P412" s="488"/>
      <c r="Q412" s="488"/>
      <c r="R412" s="488"/>
      <c r="S412" s="488"/>
      <c r="T412" s="488"/>
      <c r="U412" s="488"/>
      <c r="V412" s="488"/>
      <c r="W412" s="488"/>
      <c r="X412" s="354"/>
      <c r="Y412" s="354"/>
      <c r="Z412" s="353"/>
      <c r="AA412" s="353"/>
      <c r="AB412" s="836"/>
      <c r="AC412" s="836"/>
      <c r="AD412" s="836"/>
      <c r="AE412" s="838"/>
    </row>
    <row r="413" spans="1:31" ht="16.5" customHeight="1">
      <c r="A413" s="347">
        <v>6114102</v>
      </c>
      <c r="B413" s="347" t="s">
        <v>5991</v>
      </c>
      <c r="C413" s="347"/>
      <c r="D413" s="348"/>
      <c r="E413" s="348"/>
      <c r="F413" s="348"/>
      <c r="G413" s="348"/>
      <c r="H413" s="358"/>
      <c r="I413" s="352"/>
      <c r="J413" s="353"/>
      <c r="K413" s="538"/>
      <c r="L413" s="353"/>
      <c r="M413" s="488"/>
      <c r="N413" s="488"/>
      <c r="O413" s="488"/>
      <c r="P413" s="488"/>
      <c r="Q413" s="488"/>
      <c r="R413" s="488"/>
      <c r="S413" s="488"/>
      <c r="T413" s="488"/>
      <c r="U413" s="488"/>
      <c r="V413" s="488"/>
      <c r="W413" s="488"/>
      <c r="X413" s="354"/>
      <c r="Y413" s="354"/>
      <c r="Z413" s="353"/>
      <c r="AA413" s="353"/>
      <c r="AB413" s="836"/>
      <c r="AC413" s="836"/>
      <c r="AD413" s="836"/>
      <c r="AE413" s="837"/>
    </row>
    <row r="414" spans="1:31" ht="16.5" customHeight="1">
      <c r="A414" s="347">
        <v>22890081</v>
      </c>
      <c r="B414" s="347" t="s">
        <v>5992</v>
      </c>
      <c r="C414" s="347"/>
      <c r="D414" s="348"/>
      <c r="E414" s="348"/>
      <c r="F414" s="348"/>
      <c r="G414" s="348"/>
      <c r="H414" s="358"/>
      <c r="I414" s="352"/>
      <c r="J414" s="353"/>
      <c r="K414" s="538"/>
      <c r="L414" s="488"/>
      <c r="M414" s="488"/>
      <c r="N414" s="488"/>
      <c r="O414" s="488"/>
      <c r="P414" s="488"/>
      <c r="Q414" s="488"/>
      <c r="R414" s="488"/>
      <c r="S414" s="488"/>
      <c r="T414" s="488"/>
      <c r="U414" s="488"/>
      <c r="V414" s="488"/>
      <c r="W414" s="488"/>
      <c r="X414" s="354"/>
      <c r="Y414" s="354"/>
      <c r="Z414" s="353"/>
      <c r="AA414" s="353"/>
      <c r="AB414" s="836"/>
      <c r="AC414" s="836"/>
      <c r="AD414" s="836"/>
      <c r="AE414" s="838"/>
    </row>
    <row r="415" spans="1:31" ht="16.5" customHeight="1">
      <c r="A415" s="347">
        <v>6414502</v>
      </c>
      <c r="B415" s="347" t="s">
        <v>5993</v>
      </c>
      <c r="C415" s="347"/>
      <c r="D415" s="348"/>
      <c r="E415" s="348"/>
      <c r="F415" s="348"/>
      <c r="G415" s="348"/>
      <c r="H415" s="358"/>
      <c r="I415" s="352"/>
      <c r="J415" s="353"/>
      <c r="K415" s="538"/>
      <c r="L415" s="353"/>
      <c r="M415" s="488"/>
      <c r="N415" s="488"/>
      <c r="O415" s="488"/>
      <c r="P415" s="488"/>
      <c r="Q415" s="488"/>
      <c r="R415" s="488"/>
      <c r="S415" s="488"/>
      <c r="T415" s="488"/>
      <c r="U415" s="488"/>
      <c r="V415" s="488"/>
      <c r="W415" s="488"/>
      <c r="X415" s="354"/>
      <c r="Y415" s="354"/>
      <c r="Z415" s="353"/>
      <c r="AA415" s="353"/>
      <c r="AB415" s="836"/>
      <c r="AC415" s="836"/>
      <c r="AD415" s="836"/>
      <c r="AE415" s="837"/>
    </row>
    <row r="416" spans="1:31" ht="16.5" customHeight="1">
      <c r="A416" s="347">
        <v>56140593</v>
      </c>
      <c r="B416" s="347" t="s">
        <v>5994</v>
      </c>
      <c r="C416" s="347"/>
      <c r="D416" s="348"/>
      <c r="E416" s="348"/>
      <c r="F416" s="348"/>
      <c r="G416" s="348"/>
      <c r="H416" s="358"/>
      <c r="I416" s="352"/>
      <c r="J416" s="353"/>
      <c r="K416" s="538"/>
      <c r="L416" s="488"/>
      <c r="M416" s="488"/>
      <c r="N416" s="488"/>
      <c r="O416" s="488"/>
      <c r="P416" s="488"/>
      <c r="Q416" s="488"/>
      <c r="R416" s="488"/>
      <c r="S416" s="488"/>
      <c r="T416" s="488"/>
      <c r="U416" s="488"/>
      <c r="V416" s="488"/>
      <c r="W416" s="353"/>
      <c r="X416" s="354"/>
      <c r="Y416" s="354"/>
      <c r="Z416" s="353"/>
      <c r="AA416" s="353"/>
      <c r="AB416" s="836"/>
      <c r="AC416" s="836"/>
      <c r="AD416" s="836"/>
      <c r="AE416" s="838"/>
    </row>
    <row r="417" spans="1:31" ht="16.5" customHeight="1">
      <c r="A417" s="347">
        <v>943365</v>
      </c>
      <c r="B417" s="347" t="s">
        <v>5995</v>
      </c>
      <c r="C417" s="347"/>
      <c r="D417" s="348"/>
      <c r="E417" s="348"/>
      <c r="F417" s="348"/>
      <c r="G417" s="348"/>
      <c r="H417" s="358"/>
      <c r="I417" s="352"/>
      <c r="J417" s="353"/>
      <c r="K417" s="538"/>
      <c r="L417" s="488"/>
      <c r="M417" s="488"/>
      <c r="N417" s="353"/>
      <c r="O417" s="488"/>
      <c r="P417" s="488"/>
      <c r="Q417" s="488"/>
      <c r="R417" s="488"/>
      <c r="S417" s="488"/>
      <c r="T417" s="488"/>
      <c r="U417" s="488"/>
      <c r="V417" s="488"/>
      <c r="W417" s="488"/>
      <c r="X417" s="354"/>
      <c r="Y417" s="354"/>
      <c r="Z417" s="353"/>
      <c r="AA417" s="353"/>
      <c r="AB417" s="836"/>
      <c r="AC417" s="836"/>
      <c r="AD417" s="836"/>
      <c r="AE417" s="838"/>
    </row>
    <row r="418" spans="1:31" ht="16.5" customHeight="1">
      <c r="A418" s="347">
        <v>100004313</v>
      </c>
      <c r="B418" s="347" t="s">
        <v>5990</v>
      </c>
      <c r="C418" s="347"/>
      <c r="D418" s="348"/>
      <c r="E418" s="348"/>
      <c r="F418" s="348"/>
      <c r="G418" s="348"/>
      <c r="H418" s="358"/>
      <c r="I418" s="352"/>
      <c r="J418" s="353"/>
      <c r="K418" s="538"/>
      <c r="L418" s="353"/>
      <c r="M418" s="488"/>
      <c r="N418" s="488"/>
      <c r="O418" s="488"/>
      <c r="P418" s="488"/>
      <c r="Q418" s="488"/>
      <c r="R418" s="488"/>
      <c r="S418" s="488"/>
      <c r="T418" s="488"/>
      <c r="U418" s="488"/>
      <c r="V418" s="488"/>
      <c r="W418" s="488"/>
      <c r="X418" s="354"/>
      <c r="Y418" s="354"/>
      <c r="Z418" s="353"/>
      <c r="AA418" s="353"/>
      <c r="AB418" s="836"/>
      <c r="AC418" s="836"/>
      <c r="AD418" s="836"/>
      <c r="AE418" s="838"/>
    </row>
    <row r="419" spans="1:31" ht="16.5" customHeight="1">
      <c r="A419" s="347">
        <v>37568326</v>
      </c>
      <c r="B419" s="347" t="s">
        <v>5996</v>
      </c>
      <c r="C419" s="347"/>
      <c r="D419" s="348"/>
      <c r="E419" s="348"/>
      <c r="F419" s="348"/>
      <c r="G419" s="348"/>
      <c r="H419" s="358"/>
      <c r="I419" s="352"/>
      <c r="J419" s="353"/>
      <c r="K419" s="538"/>
      <c r="L419" s="353"/>
      <c r="M419" s="488"/>
      <c r="N419" s="488"/>
      <c r="O419" s="488"/>
      <c r="P419" s="488"/>
      <c r="Q419" s="488"/>
      <c r="R419" s="488"/>
      <c r="S419" s="488"/>
      <c r="T419" s="488"/>
      <c r="U419" s="488"/>
      <c r="V419" s="488"/>
      <c r="W419" s="488"/>
      <c r="X419" s="354"/>
      <c r="Y419" s="354"/>
      <c r="Z419" s="353"/>
      <c r="AA419" s="353"/>
      <c r="AB419" s="836"/>
      <c r="AC419" s="836"/>
      <c r="AD419" s="836"/>
      <c r="AE419" s="838"/>
    </row>
    <row r="420" spans="1:31" ht="16.5" customHeight="1">
      <c r="A420" s="347">
        <v>100004796</v>
      </c>
      <c r="B420" s="347" t="s">
        <v>5997</v>
      </c>
      <c r="C420" s="347"/>
      <c r="D420" s="348"/>
      <c r="E420" s="348"/>
      <c r="F420" s="348"/>
      <c r="G420" s="348"/>
      <c r="H420" s="358"/>
      <c r="I420" s="352"/>
      <c r="J420" s="353"/>
      <c r="K420" s="539"/>
      <c r="L420" s="488"/>
      <c r="M420" s="488"/>
      <c r="N420" s="488"/>
      <c r="O420" s="488"/>
      <c r="P420" s="488"/>
      <c r="Q420" s="488"/>
      <c r="R420" s="488"/>
      <c r="S420" s="488"/>
      <c r="T420" s="488"/>
      <c r="U420" s="488"/>
      <c r="V420" s="488"/>
      <c r="W420" s="488"/>
      <c r="X420" s="353"/>
      <c r="Y420" s="355"/>
      <c r="Z420" s="353"/>
      <c r="AA420" s="353"/>
      <c r="AB420" s="836"/>
      <c r="AC420" s="836"/>
      <c r="AD420" s="836"/>
      <c r="AE420" s="838"/>
    </row>
    <row r="421" spans="1:31" ht="16.5" customHeight="1">
      <c r="A421" s="347">
        <v>3334216</v>
      </c>
      <c r="B421" s="347" t="s">
        <v>5998</v>
      </c>
      <c r="C421" s="347"/>
      <c r="D421" s="348"/>
      <c r="E421" s="348"/>
      <c r="F421" s="348"/>
      <c r="G421" s="348"/>
      <c r="H421" s="358"/>
      <c r="I421" s="352"/>
      <c r="J421" s="353"/>
      <c r="K421" s="538"/>
      <c r="L421" s="353"/>
      <c r="M421" s="488"/>
      <c r="N421" s="488"/>
      <c r="O421" s="488"/>
      <c r="P421" s="488"/>
      <c r="Q421" s="488"/>
      <c r="R421" s="488"/>
      <c r="S421" s="488"/>
      <c r="T421" s="488"/>
      <c r="U421" s="488"/>
      <c r="V421" s="488"/>
      <c r="W421" s="488"/>
      <c r="X421" s="354"/>
      <c r="Y421" s="354"/>
      <c r="Z421" s="353"/>
      <c r="AA421" s="353"/>
      <c r="AB421" s="836"/>
      <c r="AC421" s="842"/>
      <c r="AD421" s="842"/>
      <c r="AE421" s="837"/>
    </row>
    <row r="422" spans="1:31" ht="16.5" customHeight="1">
      <c r="A422" s="347">
        <v>100004857</v>
      </c>
      <c r="B422" s="347" t="s">
        <v>5990</v>
      </c>
      <c r="C422" s="347"/>
      <c r="D422" s="348"/>
      <c r="E422" s="348"/>
      <c r="F422" s="348"/>
      <c r="G422" s="348"/>
      <c r="H422" s="358"/>
      <c r="I422" s="352"/>
      <c r="J422" s="353"/>
      <c r="K422" s="538"/>
      <c r="L422" s="353"/>
      <c r="M422" s="488"/>
      <c r="N422" s="488"/>
      <c r="O422" s="488"/>
      <c r="P422" s="488"/>
      <c r="Q422" s="488"/>
      <c r="R422" s="488"/>
      <c r="S422" s="488"/>
      <c r="T422" s="488"/>
      <c r="U422" s="488"/>
      <c r="V422" s="488"/>
      <c r="W422" s="488"/>
      <c r="X422" s="353"/>
      <c r="Y422" s="355"/>
      <c r="Z422" s="353"/>
      <c r="AA422" s="353"/>
      <c r="AB422" s="836"/>
      <c r="AC422" s="836"/>
      <c r="AD422" s="836"/>
      <c r="AE422" s="838"/>
    </row>
    <row r="423" spans="1:31" ht="16.5" customHeight="1">
      <c r="A423" s="347">
        <v>1860774</v>
      </c>
      <c r="B423" s="347" t="s">
        <v>5999</v>
      </c>
      <c r="C423" s="347"/>
      <c r="D423" s="348"/>
      <c r="E423" s="348"/>
      <c r="F423" s="348"/>
      <c r="G423" s="348"/>
      <c r="H423" s="358"/>
      <c r="I423" s="352"/>
      <c r="J423" s="353"/>
      <c r="K423" s="538"/>
      <c r="L423" s="353"/>
      <c r="M423" s="488"/>
      <c r="N423" s="488"/>
      <c r="O423" s="488"/>
      <c r="P423" s="488"/>
      <c r="Q423" s="488"/>
      <c r="R423" s="488"/>
      <c r="S423" s="488"/>
      <c r="T423" s="488"/>
      <c r="U423" s="488"/>
      <c r="V423" s="488"/>
      <c r="W423" s="488"/>
      <c r="X423" s="354"/>
      <c r="Y423" s="354"/>
      <c r="Z423" s="353"/>
      <c r="AA423" s="353"/>
      <c r="AB423" s="836"/>
      <c r="AC423" s="836"/>
      <c r="AD423" s="836"/>
      <c r="AE423" s="838"/>
    </row>
    <row r="424" spans="1:31" ht="16.5" customHeight="1">
      <c r="A424" s="347">
        <v>48826176</v>
      </c>
      <c r="B424" s="347" t="s">
        <v>6000</v>
      </c>
      <c r="C424" s="347"/>
      <c r="D424" s="361"/>
      <c r="E424" s="361"/>
      <c r="F424" s="361"/>
      <c r="G424" s="348"/>
      <c r="H424" s="358"/>
      <c r="I424" s="352"/>
      <c r="J424" s="353"/>
      <c r="K424" s="538"/>
      <c r="L424" s="488"/>
      <c r="M424" s="488"/>
      <c r="N424" s="488"/>
      <c r="O424" s="353"/>
      <c r="P424" s="488"/>
      <c r="Q424" s="488"/>
      <c r="R424" s="488"/>
      <c r="S424" s="488"/>
      <c r="T424" s="488"/>
      <c r="U424" s="488"/>
      <c r="V424" s="488"/>
      <c r="W424" s="488"/>
      <c r="X424" s="354"/>
      <c r="Y424" s="354"/>
      <c r="Z424" s="353"/>
      <c r="AA424" s="353"/>
      <c r="AB424" s="836"/>
      <c r="AC424" s="836"/>
      <c r="AD424" s="842"/>
      <c r="AE424" s="837"/>
    </row>
    <row r="425" spans="1:31" ht="16.5" customHeight="1">
      <c r="A425" s="347">
        <v>3070588</v>
      </c>
      <c r="B425" s="347" t="s">
        <v>6001</v>
      </c>
      <c r="C425" s="347"/>
      <c r="D425" s="348"/>
      <c r="E425" s="348"/>
      <c r="F425" s="348"/>
      <c r="G425" s="348"/>
      <c r="H425" s="358"/>
      <c r="I425" s="352"/>
      <c r="J425" s="353"/>
      <c r="K425" s="538"/>
      <c r="L425" s="488"/>
      <c r="M425" s="488"/>
      <c r="N425" s="488"/>
      <c r="O425" s="488"/>
      <c r="P425" s="488"/>
      <c r="Q425" s="488"/>
      <c r="R425" s="488"/>
      <c r="S425" s="488"/>
      <c r="T425" s="488"/>
      <c r="U425" s="488"/>
      <c r="V425" s="488"/>
      <c r="W425" s="488"/>
      <c r="X425" s="354"/>
      <c r="Y425" s="355"/>
      <c r="Z425" s="353"/>
      <c r="AA425" s="353"/>
      <c r="AB425" s="836"/>
      <c r="AC425" s="836"/>
      <c r="AD425" s="836"/>
      <c r="AE425" s="838"/>
    </row>
    <row r="426" spans="1:31" ht="16.5" customHeight="1">
      <c r="A426" s="347">
        <v>29495728</v>
      </c>
      <c r="B426" s="347" t="s">
        <v>6002</v>
      </c>
      <c r="C426" s="347"/>
      <c r="D426" s="348"/>
      <c r="E426" s="348"/>
      <c r="F426" s="348"/>
      <c r="G426" s="348"/>
      <c r="H426" s="358"/>
      <c r="I426" s="352"/>
      <c r="J426" s="353"/>
      <c r="K426" s="538"/>
      <c r="L426" s="488"/>
      <c r="M426" s="488"/>
      <c r="N426" s="488"/>
      <c r="O426" s="488"/>
      <c r="P426" s="488"/>
      <c r="Q426" s="488"/>
      <c r="R426" s="488"/>
      <c r="S426" s="488"/>
      <c r="T426" s="488"/>
      <c r="U426" s="488"/>
      <c r="V426" s="488"/>
      <c r="W426" s="488"/>
      <c r="X426" s="354"/>
      <c r="Y426" s="354"/>
      <c r="Z426" s="353"/>
      <c r="AA426" s="353"/>
      <c r="AB426" s="836"/>
      <c r="AC426" s="836"/>
      <c r="AD426" s="836"/>
      <c r="AE426" s="838"/>
    </row>
    <row r="427" spans="1:31" ht="16.5" customHeight="1">
      <c r="A427" s="347">
        <v>6424907</v>
      </c>
      <c r="B427" s="347" t="s">
        <v>6003</v>
      </c>
      <c r="C427" s="347"/>
      <c r="D427" s="348"/>
      <c r="E427" s="348"/>
      <c r="F427" s="348"/>
      <c r="G427" s="348"/>
      <c r="H427" s="358"/>
      <c r="I427" s="352"/>
      <c r="J427" s="353"/>
      <c r="K427" s="538"/>
      <c r="L427" s="488"/>
      <c r="M427" s="488"/>
      <c r="N427" s="488"/>
      <c r="O427" s="488"/>
      <c r="P427" s="488"/>
      <c r="Q427" s="488"/>
      <c r="R427" s="488"/>
      <c r="S427" s="488"/>
      <c r="T427" s="488"/>
      <c r="U427" s="488"/>
      <c r="V427" s="488"/>
      <c r="W427" s="488"/>
      <c r="X427" s="354"/>
      <c r="Y427" s="354"/>
      <c r="Z427" s="353"/>
      <c r="AA427" s="353"/>
      <c r="AB427" s="836"/>
      <c r="AC427" s="836"/>
      <c r="AD427" s="836"/>
      <c r="AE427" s="838"/>
    </row>
    <row r="428" spans="1:31" ht="16.5" customHeight="1">
      <c r="A428" s="347">
        <v>16169492</v>
      </c>
      <c r="B428" s="347" t="s">
        <v>6004</v>
      </c>
      <c r="C428" s="347"/>
      <c r="D428" s="348"/>
      <c r="E428" s="348"/>
      <c r="F428" s="348"/>
      <c r="G428" s="348"/>
      <c r="H428" s="358"/>
      <c r="I428" s="352"/>
      <c r="J428" s="353"/>
      <c r="K428" s="538"/>
      <c r="L428" s="353"/>
      <c r="M428" s="488"/>
      <c r="N428" s="488"/>
      <c r="O428" s="488"/>
      <c r="P428" s="488"/>
      <c r="Q428" s="488"/>
      <c r="R428" s="488"/>
      <c r="S428" s="488"/>
      <c r="T428" s="488"/>
      <c r="U428" s="488"/>
      <c r="V428" s="488"/>
      <c r="W428" s="488"/>
      <c r="X428" s="354"/>
      <c r="Y428" s="354"/>
      <c r="Z428" s="353"/>
      <c r="AA428" s="353"/>
      <c r="AB428" s="836"/>
      <c r="AC428" s="836"/>
      <c r="AD428" s="836"/>
      <c r="AE428" s="837"/>
    </row>
    <row r="429" spans="1:31" ht="16.5" customHeight="1">
      <c r="A429" s="347">
        <v>4956652</v>
      </c>
      <c r="B429" s="347" t="s">
        <v>6005</v>
      </c>
      <c r="C429" s="347"/>
      <c r="D429" s="348"/>
      <c r="E429" s="348"/>
      <c r="F429" s="348"/>
      <c r="G429" s="348"/>
      <c r="H429" s="358"/>
      <c r="I429" s="352"/>
      <c r="J429" s="353"/>
      <c r="K429" s="538"/>
      <c r="L429" s="488"/>
      <c r="M429" s="488"/>
      <c r="N429" s="353"/>
      <c r="O429" s="488"/>
      <c r="P429" s="488"/>
      <c r="Q429" s="353"/>
      <c r="R429" s="488"/>
      <c r="S429" s="488"/>
      <c r="T429" s="488"/>
      <c r="U429" s="488"/>
      <c r="V429" s="488"/>
      <c r="W429" s="488"/>
      <c r="X429" s="353"/>
      <c r="Y429" s="354"/>
      <c r="Z429" s="353"/>
      <c r="AA429" s="353"/>
      <c r="AB429" s="836"/>
      <c r="AC429" s="836"/>
      <c r="AD429" s="836"/>
      <c r="AE429" s="837"/>
    </row>
    <row r="430" spans="1:31" ht="16.5" customHeight="1">
      <c r="A430" s="347">
        <v>4774097</v>
      </c>
      <c r="B430" s="347" t="s">
        <v>6006</v>
      </c>
      <c r="C430" s="347"/>
      <c r="D430" s="348"/>
      <c r="E430" s="348"/>
      <c r="F430" s="348"/>
      <c r="G430" s="348"/>
      <c r="H430" s="358"/>
      <c r="I430" s="352"/>
      <c r="J430" s="353"/>
      <c r="K430" s="538"/>
      <c r="L430" s="488"/>
      <c r="M430" s="488"/>
      <c r="N430" s="353"/>
      <c r="O430" s="488"/>
      <c r="P430" s="488"/>
      <c r="Q430" s="488"/>
      <c r="R430" s="488"/>
      <c r="S430" s="488"/>
      <c r="T430" s="488"/>
      <c r="U430" s="488"/>
      <c r="V430" s="488"/>
      <c r="W430" s="488"/>
      <c r="X430" s="354"/>
      <c r="Y430" s="354"/>
      <c r="Z430" s="353"/>
      <c r="AA430" s="353"/>
      <c r="AB430" s="836"/>
      <c r="AC430" s="836"/>
      <c r="AD430" s="836"/>
      <c r="AE430" s="837"/>
    </row>
    <row r="431" spans="1:31" ht="16.5" customHeight="1">
      <c r="A431" s="347">
        <v>19177211</v>
      </c>
      <c r="B431" s="347" t="s">
        <v>6007</v>
      </c>
      <c r="C431" s="347"/>
      <c r="D431" s="348"/>
      <c r="E431" s="348"/>
      <c r="F431" s="348"/>
      <c r="G431" s="348"/>
      <c r="H431" s="358"/>
      <c r="I431" s="352"/>
      <c r="J431" s="353"/>
      <c r="K431" s="538"/>
      <c r="L431" s="353"/>
      <c r="M431" s="488"/>
      <c r="N431" s="488"/>
      <c r="O431" s="488"/>
      <c r="P431" s="488"/>
      <c r="Q431" s="488"/>
      <c r="R431" s="488"/>
      <c r="S431" s="488"/>
      <c r="T431" s="488"/>
      <c r="U431" s="488"/>
      <c r="V431" s="488"/>
      <c r="W431" s="488"/>
      <c r="X431" s="354"/>
      <c r="Y431" s="354"/>
      <c r="Z431" s="353"/>
      <c r="AA431" s="353"/>
      <c r="AB431" s="836"/>
      <c r="AC431" s="836"/>
      <c r="AD431" s="836"/>
      <c r="AE431" s="838"/>
    </row>
    <row r="432" spans="1:31" ht="16.5" customHeight="1">
      <c r="A432" s="347">
        <v>100005983</v>
      </c>
      <c r="B432" s="347" t="s">
        <v>5990</v>
      </c>
      <c r="C432" s="347"/>
      <c r="D432" s="348"/>
      <c r="E432" s="348"/>
      <c r="F432" s="348"/>
      <c r="G432" s="348"/>
      <c r="H432" s="358"/>
      <c r="I432" s="352"/>
      <c r="J432" s="353"/>
      <c r="K432" s="538"/>
      <c r="L432" s="353"/>
      <c r="M432" s="488"/>
      <c r="N432" s="488"/>
      <c r="O432" s="488"/>
      <c r="P432" s="488"/>
      <c r="Q432" s="488"/>
      <c r="R432" s="488"/>
      <c r="S432" s="488"/>
      <c r="T432" s="488"/>
      <c r="U432" s="488"/>
      <c r="V432" s="488"/>
      <c r="W432" s="488"/>
      <c r="X432" s="354"/>
      <c r="Y432" s="354"/>
      <c r="Z432" s="353"/>
      <c r="AA432" s="353"/>
      <c r="AB432" s="836"/>
      <c r="AC432" s="836"/>
      <c r="AD432" s="836"/>
      <c r="AE432" s="837"/>
    </row>
    <row r="433" spans="1:31" ht="16.5" customHeight="1">
      <c r="A433" s="347">
        <v>19328145</v>
      </c>
      <c r="B433" s="347" t="s">
        <v>6008</v>
      </c>
      <c r="C433" s="347"/>
      <c r="D433" s="361"/>
      <c r="E433" s="361"/>
      <c r="F433" s="361"/>
      <c r="G433" s="348"/>
      <c r="H433" s="358"/>
      <c r="I433" s="352"/>
      <c r="J433" s="353"/>
      <c r="K433" s="538"/>
      <c r="L433" s="488"/>
      <c r="M433" s="488"/>
      <c r="N433" s="488"/>
      <c r="O433" s="488"/>
      <c r="P433" s="488"/>
      <c r="Q433" s="488"/>
      <c r="R433" s="488"/>
      <c r="S433" s="488"/>
      <c r="T433" s="488"/>
      <c r="U433" s="488"/>
      <c r="V433" s="488"/>
      <c r="W433" s="488"/>
      <c r="X433" s="354"/>
      <c r="Y433" s="354"/>
      <c r="Z433" s="353"/>
      <c r="AA433" s="353"/>
      <c r="AB433" s="836"/>
      <c r="AC433" s="836"/>
      <c r="AD433" s="836"/>
      <c r="AE433" s="837"/>
    </row>
    <row r="434" spans="1:31" ht="16.5" customHeight="1">
      <c r="A434" s="347">
        <v>2422194</v>
      </c>
      <c r="B434" s="347" t="s">
        <v>6009</v>
      </c>
      <c r="C434" s="347"/>
      <c r="D434" s="348"/>
      <c r="E434" s="348"/>
      <c r="F434" s="348"/>
      <c r="G434" s="348"/>
      <c r="H434" s="358"/>
      <c r="I434" s="352"/>
      <c r="J434" s="353"/>
      <c r="K434" s="538"/>
      <c r="L434" s="353"/>
      <c r="M434" s="488"/>
      <c r="N434" s="488"/>
      <c r="O434" s="488"/>
      <c r="P434" s="488"/>
      <c r="Q434" s="488"/>
      <c r="R434" s="488"/>
      <c r="S434" s="488"/>
      <c r="T434" s="488"/>
      <c r="U434" s="488"/>
      <c r="V434" s="488"/>
      <c r="W434" s="488"/>
      <c r="X434" s="354"/>
      <c r="Y434" s="354"/>
      <c r="Z434" s="353"/>
      <c r="AA434" s="353"/>
      <c r="AB434" s="836"/>
      <c r="AC434" s="836"/>
      <c r="AD434" s="836"/>
      <c r="AE434" s="838"/>
    </row>
    <row r="435" spans="1:31" ht="16.5" customHeight="1">
      <c r="A435" s="347">
        <v>33650060</v>
      </c>
      <c r="B435" s="347" t="s">
        <v>6010</v>
      </c>
      <c r="C435" s="347"/>
      <c r="D435" s="348"/>
      <c r="E435" s="348"/>
      <c r="F435" s="348"/>
      <c r="G435" s="348"/>
      <c r="H435" s="358"/>
      <c r="I435" s="352"/>
      <c r="J435" s="353"/>
      <c r="K435" s="538"/>
      <c r="L435" s="353"/>
      <c r="M435" s="488"/>
      <c r="N435" s="488"/>
      <c r="O435" s="488"/>
      <c r="P435" s="488"/>
      <c r="Q435" s="488"/>
      <c r="R435" s="488"/>
      <c r="S435" s="488"/>
      <c r="T435" s="488"/>
      <c r="U435" s="488"/>
      <c r="V435" s="488"/>
      <c r="W435" s="488"/>
      <c r="X435" s="354"/>
      <c r="Y435" s="354"/>
      <c r="Z435" s="353"/>
      <c r="AA435" s="353"/>
      <c r="AB435" s="836"/>
      <c r="AC435" s="836"/>
      <c r="AD435" s="836"/>
      <c r="AE435" s="837"/>
    </row>
    <row r="436" spans="1:31" ht="16.5" customHeight="1">
      <c r="A436" s="347">
        <v>6002372</v>
      </c>
      <c r="B436" s="347" t="s">
        <v>6011</v>
      </c>
      <c r="C436" s="347"/>
      <c r="D436" s="347"/>
      <c r="E436" s="347"/>
      <c r="F436" s="347"/>
      <c r="G436" s="348"/>
      <c r="H436" s="358"/>
      <c r="I436" s="352"/>
      <c r="J436" s="353"/>
      <c r="K436" s="538"/>
      <c r="L436" s="353"/>
      <c r="M436" s="488"/>
      <c r="N436" s="488"/>
      <c r="O436" s="488"/>
      <c r="P436" s="488"/>
      <c r="Q436" s="488"/>
      <c r="R436" s="488"/>
      <c r="S436" s="488"/>
      <c r="T436" s="488"/>
      <c r="U436" s="488"/>
      <c r="V436" s="488"/>
      <c r="W436" s="488"/>
      <c r="X436" s="354"/>
      <c r="Y436" s="354"/>
      <c r="Z436" s="353"/>
      <c r="AA436" s="353"/>
      <c r="AB436" s="836"/>
      <c r="AC436" s="836"/>
      <c r="AD436" s="836"/>
      <c r="AE436" s="837"/>
    </row>
    <row r="437" spans="1:31" ht="16.5" customHeight="1">
      <c r="A437" s="347">
        <v>66620618</v>
      </c>
      <c r="B437" s="347" t="s">
        <v>6012</v>
      </c>
      <c r="C437" s="347"/>
      <c r="D437" s="347"/>
      <c r="E437" s="347"/>
      <c r="F437" s="347"/>
      <c r="G437" s="348"/>
      <c r="H437" s="358"/>
      <c r="I437" s="352"/>
      <c r="J437" s="353"/>
      <c r="K437" s="538"/>
      <c r="L437" s="353"/>
      <c r="M437" s="488"/>
      <c r="N437" s="488"/>
      <c r="O437" s="488"/>
      <c r="P437" s="488"/>
      <c r="Q437" s="488"/>
      <c r="R437" s="488"/>
      <c r="S437" s="488"/>
      <c r="T437" s="488"/>
      <c r="U437" s="488"/>
      <c r="V437" s="488"/>
      <c r="W437" s="488"/>
      <c r="X437" s="354"/>
      <c r="Y437" s="354"/>
      <c r="Z437" s="353"/>
      <c r="AA437" s="353"/>
      <c r="AB437" s="836"/>
      <c r="AC437" s="836"/>
      <c r="AD437" s="836"/>
      <c r="AE437" s="837"/>
    </row>
    <row r="438" spans="1:31" ht="16.5" customHeight="1">
      <c r="A438" s="347">
        <v>27403310</v>
      </c>
      <c r="B438" s="347" t="s">
        <v>6013</v>
      </c>
      <c r="C438" s="347"/>
      <c r="D438" s="348"/>
      <c r="E438" s="348"/>
      <c r="F438" s="348"/>
      <c r="G438" s="348"/>
      <c r="H438" s="358"/>
      <c r="I438" s="352"/>
      <c r="J438" s="353"/>
      <c r="K438" s="538"/>
      <c r="L438" s="353"/>
      <c r="M438" s="488"/>
      <c r="N438" s="488"/>
      <c r="O438" s="488"/>
      <c r="P438" s="488"/>
      <c r="Q438" s="488"/>
      <c r="R438" s="488"/>
      <c r="S438" s="488"/>
      <c r="T438" s="488"/>
      <c r="U438" s="488"/>
      <c r="V438" s="488"/>
      <c r="W438" s="488"/>
      <c r="X438" s="354"/>
      <c r="Y438" s="354"/>
      <c r="Z438" s="353"/>
      <c r="AA438" s="353"/>
      <c r="AB438" s="836"/>
      <c r="AC438" s="836"/>
      <c r="AD438" s="836"/>
      <c r="AE438" s="837"/>
    </row>
    <row r="439" spans="1:31" ht="16.5" customHeight="1">
      <c r="A439" s="347">
        <v>18134635</v>
      </c>
      <c r="B439" s="347" t="s">
        <v>6014</v>
      </c>
      <c r="C439" s="347"/>
      <c r="D439" s="348"/>
      <c r="E439" s="348"/>
      <c r="F439" s="348"/>
      <c r="G439" s="348"/>
      <c r="H439" s="358"/>
      <c r="I439" s="352"/>
      <c r="J439" s="353"/>
      <c r="K439" s="538"/>
      <c r="L439" s="353"/>
      <c r="M439" s="488"/>
      <c r="N439" s="488"/>
      <c r="O439" s="488"/>
      <c r="P439" s="488"/>
      <c r="Q439" s="488"/>
      <c r="R439" s="488"/>
      <c r="S439" s="488"/>
      <c r="T439" s="488"/>
      <c r="U439" s="488"/>
      <c r="V439" s="488"/>
      <c r="W439" s="488"/>
      <c r="X439" s="354"/>
      <c r="Y439" s="354"/>
      <c r="Z439" s="353"/>
      <c r="AA439" s="353"/>
      <c r="AB439" s="836"/>
      <c r="AC439" s="836"/>
      <c r="AD439" s="836"/>
      <c r="AE439" s="837"/>
    </row>
    <row r="440" spans="1:31" ht="16.5" customHeight="1">
      <c r="A440" s="347">
        <v>47433974</v>
      </c>
      <c r="B440" s="347" t="s">
        <v>6015</v>
      </c>
      <c r="C440" s="347"/>
      <c r="D440" s="348"/>
      <c r="E440" s="348"/>
      <c r="F440" s="348"/>
      <c r="G440" s="348"/>
      <c r="H440" s="358"/>
      <c r="I440" s="352"/>
      <c r="J440" s="353"/>
      <c r="K440" s="538"/>
      <c r="L440" s="488"/>
      <c r="M440" s="488"/>
      <c r="N440" s="353"/>
      <c r="O440" s="488"/>
      <c r="P440" s="488"/>
      <c r="Q440" s="488"/>
      <c r="R440" s="488"/>
      <c r="S440" s="488"/>
      <c r="T440" s="488"/>
      <c r="U440" s="488"/>
      <c r="V440" s="488"/>
      <c r="W440" s="488"/>
      <c r="X440" s="354"/>
      <c r="Y440" s="354"/>
      <c r="Z440" s="353"/>
      <c r="AA440" s="353"/>
      <c r="AB440" s="836"/>
      <c r="AC440" s="836"/>
      <c r="AD440" s="836"/>
      <c r="AE440" s="838"/>
    </row>
    <row r="441" spans="1:31" ht="16.5" customHeight="1">
      <c r="A441" s="347">
        <v>6021497</v>
      </c>
      <c r="B441" s="347" t="s">
        <v>6016</v>
      </c>
      <c r="C441" s="347"/>
      <c r="D441" s="348"/>
      <c r="E441" s="348"/>
      <c r="F441" s="348"/>
      <c r="G441" s="348"/>
      <c r="H441" s="358"/>
      <c r="I441" s="352"/>
      <c r="J441" s="353"/>
      <c r="K441" s="538"/>
      <c r="L441" s="488"/>
      <c r="M441" s="353"/>
      <c r="N441" s="488"/>
      <c r="O441" s="488"/>
      <c r="P441" s="488"/>
      <c r="Q441" s="488"/>
      <c r="R441" s="488"/>
      <c r="S441" s="488"/>
      <c r="T441" s="488"/>
      <c r="U441" s="488"/>
      <c r="V441" s="488"/>
      <c r="W441" s="488"/>
      <c r="X441" s="354"/>
      <c r="Y441" s="354"/>
      <c r="Z441" s="353"/>
      <c r="AA441" s="353"/>
      <c r="AB441" s="836"/>
      <c r="AC441" s="842"/>
      <c r="AD441" s="836"/>
      <c r="AE441" s="838"/>
    </row>
    <row r="442" spans="1:31" ht="16.5" customHeight="1">
      <c r="A442" s="347">
        <v>605519</v>
      </c>
      <c r="B442" s="347" t="s">
        <v>6017</v>
      </c>
      <c r="C442" s="347"/>
      <c r="D442" s="348"/>
      <c r="E442" s="348"/>
      <c r="F442" s="348"/>
      <c r="G442" s="348"/>
      <c r="H442" s="358"/>
      <c r="I442" s="352"/>
      <c r="J442" s="353"/>
      <c r="K442" s="538"/>
      <c r="L442" s="488"/>
      <c r="M442" s="488"/>
      <c r="N442" s="488"/>
      <c r="O442" s="488"/>
      <c r="P442" s="488"/>
      <c r="Q442" s="488"/>
      <c r="R442" s="488"/>
      <c r="S442" s="488"/>
      <c r="T442" s="488"/>
      <c r="U442" s="488"/>
      <c r="V442" s="488"/>
      <c r="W442" s="488"/>
      <c r="X442" s="354"/>
      <c r="Y442" s="354"/>
      <c r="Z442" s="353"/>
      <c r="AA442" s="353"/>
      <c r="AB442" s="836"/>
      <c r="AC442" s="836"/>
      <c r="AD442" s="836"/>
      <c r="AE442" s="838"/>
    </row>
    <row r="443" spans="1:31" ht="16.5" customHeight="1">
      <c r="A443" s="347">
        <v>100006003</v>
      </c>
      <c r="B443" s="347" t="s">
        <v>6018</v>
      </c>
      <c r="C443" s="347"/>
      <c r="D443" s="348"/>
      <c r="E443" s="348"/>
      <c r="F443" s="348"/>
      <c r="G443" s="348"/>
      <c r="H443" s="358"/>
      <c r="I443" s="352"/>
      <c r="J443" s="353"/>
      <c r="K443" s="538"/>
      <c r="L443" s="353"/>
      <c r="M443" s="488"/>
      <c r="N443" s="488"/>
      <c r="O443" s="488"/>
      <c r="P443" s="488"/>
      <c r="Q443" s="488"/>
      <c r="R443" s="488"/>
      <c r="S443" s="488"/>
      <c r="T443" s="488"/>
      <c r="U443" s="488"/>
      <c r="V443" s="488"/>
      <c r="W443" s="488"/>
      <c r="X443" s="354"/>
      <c r="Y443" s="354"/>
      <c r="Z443" s="353"/>
      <c r="AA443" s="353"/>
      <c r="AB443" s="836"/>
      <c r="AC443" s="836"/>
      <c r="AD443" s="842"/>
      <c r="AE443" s="837"/>
    </row>
    <row r="444" spans="1:31" ht="16.5" customHeight="1">
      <c r="A444" s="347">
        <v>33619990</v>
      </c>
      <c r="B444" s="347" t="s">
        <v>6019</v>
      </c>
      <c r="C444" s="347"/>
      <c r="D444" s="361"/>
      <c r="E444" s="361"/>
      <c r="F444" s="361"/>
      <c r="G444" s="348"/>
      <c r="H444" s="358"/>
      <c r="I444" s="352"/>
      <c r="J444" s="353"/>
      <c r="K444" s="538"/>
      <c r="L444" s="353"/>
      <c r="M444" s="488"/>
      <c r="N444" s="488"/>
      <c r="O444" s="488"/>
      <c r="P444" s="488"/>
      <c r="Q444" s="488"/>
      <c r="R444" s="488"/>
      <c r="S444" s="488"/>
      <c r="T444" s="488"/>
      <c r="U444" s="488"/>
      <c r="V444" s="488"/>
      <c r="W444" s="488"/>
      <c r="X444" s="354"/>
      <c r="Y444" s="354"/>
      <c r="Z444" s="353"/>
      <c r="AA444" s="353"/>
      <c r="AB444" s="836"/>
      <c r="AC444" s="836"/>
      <c r="AD444" s="836"/>
      <c r="AE444" s="837"/>
    </row>
    <row r="445" spans="1:31" ht="16.5" customHeight="1">
      <c r="A445" s="347">
        <v>9294802</v>
      </c>
      <c r="B445" s="347" t="s">
        <v>6020</v>
      </c>
      <c r="C445" s="347"/>
      <c r="D445" s="348"/>
      <c r="E445" s="348"/>
      <c r="F445" s="348"/>
      <c r="G445" s="348"/>
      <c r="H445" s="358"/>
      <c r="I445" s="352"/>
      <c r="J445" s="353"/>
      <c r="K445" s="538"/>
      <c r="L445" s="488"/>
      <c r="M445" s="488"/>
      <c r="N445" s="488"/>
      <c r="O445" s="488"/>
      <c r="P445" s="488"/>
      <c r="Q445" s="488"/>
      <c r="R445" s="488"/>
      <c r="S445" s="488"/>
      <c r="T445" s="488"/>
      <c r="U445" s="488"/>
      <c r="V445" s="488"/>
      <c r="W445" s="488"/>
      <c r="X445" s="354"/>
      <c r="Y445" s="354"/>
      <c r="Z445" s="353"/>
      <c r="AA445" s="353"/>
      <c r="AB445" s="836"/>
      <c r="AC445" s="836"/>
      <c r="AD445" s="836"/>
      <c r="AE445" s="838"/>
    </row>
    <row r="446" spans="1:31" ht="16.5" customHeight="1">
      <c r="A446" s="347">
        <v>37825270</v>
      </c>
      <c r="B446" s="347" t="s">
        <v>6021</v>
      </c>
      <c r="C446" s="347"/>
      <c r="D446" s="348"/>
      <c r="E446" s="348"/>
      <c r="F446" s="348"/>
      <c r="G446" s="348"/>
      <c r="H446" s="358"/>
      <c r="I446" s="352"/>
      <c r="J446" s="353"/>
      <c r="K446" s="538"/>
      <c r="L446" s="488"/>
      <c r="M446" s="488"/>
      <c r="N446" s="488"/>
      <c r="O446" s="488"/>
      <c r="P446" s="488"/>
      <c r="Q446" s="488"/>
      <c r="R446" s="488"/>
      <c r="S446" s="488"/>
      <c r="T446" s="488"/>
      <c r="U446" s="488"/>
      <c r="V446" s="488"/>
      <c r="W446" s="488"/>
      <c r="X446" s="354"/>
      <c r="Y446" s="354"/>
      <c r="Z446" s="353"/>
      <c r="AA446" s="353"/>
      <c r="AB446" s="836"/>
      <c r="AC446" s="836"/>
      <c r="AD446" s="836"/>
      <c r="AE446" s="838"/>
    </row>
    <row r="447" spans="1:31" ht="16.5" customHeight="1">
      <c r="A447" s="347">
        <v>70698840</v>
      </c>
      <c r="B447" s="347" t="s">
        <v>6022</v>
      </c>
      <c r="C447" s="347"/>
      <c r="D447" s="348"/>
      <c r="E447" s="348"/>
      <c r="F447" s="348"/>
      <c r="G447" s="348"/>
      <c r="H447" s="358"/>
      <c r="I447" s="352"/>
      <c r="J447" s="353"/>
      <c r="K447" s="538"/>
      <c r="L447" s="488"/>
      <c r="M447" s="488"/>
      <c r="N447" s="488"/>
      <c r="O447" s="488"/>
      <c r="P447" s="488"/>
      <c r="Q447" s="488"/>
      <c r="R447" s="488"/>
      <c r="S447" s="488"/>
      <c r="T447" s="488"/>
      <c r="U447" s="488"/>
      <c r="V447" s="488"/>
      <c r="W447" s="488"/>
      <c r="X447" s="354"/>
      <c r="Y447" s="354"/>
      <c r="Z447" s="353"/>
      <c r="AA447" s="353"/>
      <c r="AB447" s="836"/>
      <c r="AC447" s="836"/>
      <c r="AD447" s="836"/>
      <c r="AE447" s="838"/>
    </row>
    <row r="448" spans="1:31" ht="16.5" customHeight="1">
      <c r="A448" s="347">
        <v>100082908</v>
      </c>
      <c r="B448" s="347" t="s">
        <v>6023</v>
      </c>
      <c r="C448" s="347"/>
      <c r="D448" s="348"/>
      <c r="E448" s="348"/>
      <c r="F448" s="348"/>
      <c r="G448" s="348"/>
      <c r="H448" s="358"/>
      <c r="I448" s="352"/>
      <c r="J448" s="353"/>
      <c r="K448" s="538"/>
      <c r="L448" s="488"/>
      <c r="M448" s="488"/>
      <c r="N448" s="488"/>
      <c r="O448" s="488"/>
      <c r="P448" s="488"/>
      <c r="Q448" s="488"/>
      <c r="R448" s="488"/>
      <c r="S448" s="488"/>
      <c r="T448" s="488"/>
      <c r="U448" s="488"/>
      <c r="V448" s="488"/>
      <c r="W448" s="488"/>
      <c r="X448" s="354"/>
      <c r="Y448" s="354"/>
      <c r="Z448" s="353"/>
      <c r="AA448" s="353"/>
      <c r="AB448" s="836"/>
      <c r="AC448" s="836"/>
      <c r="AD448" s="836"/>
      <c r="AE448" s="838"/>
    </row>
    <row r="449" spans="1:31" ht="16.5" customHeight="1">
      <c r="A449" s="347">
        <v>4169678</v>
      </c>
      <c r="B449" s="347" t="s">
        <v>6024</v>
      </c>
      <c r="C449" s="347"/>
      <c r="D449" s="348"/>
      <c r="E449" s="348"/>
      <c r="F449" s="348"/>
      <c r="G449" s="348"/>
      <c r="H449" s="358"/>
      <c r="I449" s="352"/>
      <c r="J449" s="353"/>
      <c r="K449" s="538"/>
      <c r="L449" s="488"/>
      <c r="M449" s="488"/>
      <c r="N449" s="488"/>
      <c r="O449" s="488"/>
      <c r="P449" s="488"/>
      <c r="Q449" s="488"/>
      <c r="R449" s="488"/>
      <c r="S449" s="488"/>
      <c r="T449" s="488"/>
      <c r="U449" s="488"/>
      <c r="V449" s="488"/>
      <c r="W449" s="488"/>
      <c r="X449" s="354"/>
      <c r="Y449" s="354"/>
      <c r="Z449" s="353"/>
      <c r="AA449" s="353"/>
      <c r="AB449" s="836"/>
      <c r="AC449" s="836"/>
      <c r="AD449" s="836"/>
      <c r="AE449" s="838"/>
    </row>
    <row r="450" spans="1:31" ht="16.5" customHeight="1">
      <c r="A450" s="347">
        <v>33910209</v>
      </c>
      <c r="B450" s="347" t="s">
        <v>6025</v>
      </c>
      <c r="C450" s="347"/>
      <c r="D450" s="348"/>
      <c r="E450" s="348"/>
      <c r="F450" s="348"/>
      <c r="G450" s="348"/>
      <c r="H450" s="358"/>
      <c r="I450" s="352"/>
      <c r="J450" s="353"/>
      <c r="K450" s="538"/>
      <c r="L450" s="488"/>
      <c r="M450" s="488"/>
      <c r="N450" s="488"/>
      <c r="O450" s="488"/>
      <c r="P450" s="488"/>
      <c r="Q450" s="488"/>
      <c r="R450" s="488"/>
      <c r="S450" s="488"/>
      <c r="T450" s="488"/>
      <c r="U450" s="488"/>
      <c r="V450" s="488"/>
      <c r="W450" s="488"/>
      <c r="X450" s="354"/>
      <c r="Y450" s="354"/>
      <c r="Z450" s="353"/>
      <c r="AA450" s="353"/>
      <c r="AB450" s="836"/>
      <c r="AC450" s="836"/>
      <c r="AD450" s="836"/>
      <c r="AE450" s="838"/>
    </row>
    <row r="451" spans="1:31" ht="16.5" customHeight="1">
      <c r="A451" s="347">
        <v>10335842</v>
      </c>
      <c r="B451" s="347" t="s">
        <v>6026</v>
      </c>
      <c r="C451" s="347"/>
      <c r="D451" s="348"/>
      <c r="E451" s="348"/>
      <c r="F451" s="348"/>
      <c r="G451" s="348"/>
      <c r="H451" s="358"/>
      <c r="I451" s="352"/>
      <c r="J451" s="353"/>
      <c r="K451" s="538"/>
      <c r="L451" s="488"/>
      <c r="M451" s="488"/>
      <c r="N451" s="488"/>
      <c r="O451" s="488"/>
      <c r="P451" s="488"/>
      <c r="Q451" s="488"/>
      <c r="R451" s="488"/>
      <c r="S451" s="488"/>
      <c r="T451" s="488"/>
      <c r="U451" s="488"/>
      <c r="V451" s="488"/>
      <c r="W451" s="488"/>
      <c r="X451" s="354"/>
      <c r="Y451" s="354"/>
      <c r="Z451" s="353"/>
      <c r="AA451" s="353"/>
      <c r="AB451" s="836"/>
      <c r="AC451" s="836"/>
      <c r="AD451" s="836"/>
      <c r="AE451" s="838"/>
    </row>
    <row r="452" spans="1:31" ht="16.5" customHeight="1">
      <c r="A452" s="347">
        <v>80056807</v>
      </c>
      <c r="B452" s="347" t="s">
        <v>6027</v>
      </c>
      <c r="C452" s="347"/>
      <c r="D452" s="348"/>
      <c r="E452" s="348"/>
      <c r="F452" s="348"/>
      <c r="G452" s="348"/>
      <c r="H452" s="358"/>
      <c r="I452" s="352"/>
      <c r="J452" s="353"/>
      <c r="K452" s="538"/>
      <c r="L452" s="488"/>
      <c r="M452" s="488"/>
      <c r="N452" s="488"/>
      <c r="O452" s="488"/>
      <c r="P452" s="488"/>
      <c r="Q452" s="488"/>
      <c r="R452" s="488"/>
      <c r="S452" s="488"/>
      <c r="T452" s="488"/>
      <c r="U452" s="488"/>
      <c r="V452" s="488"/>
      <c r="W452" s="488"/>
      <c r="X452" s="354"/>
      <c r="Y452" s="354"/>
      <c r="Z452" s="353"/>
      <c r="AA452" s="353"/>
      <c r="AB452" s="836"/>
      <c r="AC452" s="836"/>
      <c r="AD452" s="836"/>
      <c r="AE452" s="838"/>
    </row>
    <row r="453" spans="1:31" ht="16.5" customHeight="1">
      <c r="A453" s="347">
        <v>7225212</v>
      </c>
      <c r="B453" s="347" t="s">
        <v>6028</v>
      </c>
      <c r="C453" s="347"/>
      <c r="D453" s="348"/>
      <c r="E453" s="348"/>
      <c r="F453" s="348"/>
      <c r="G453" s="348"/>
      <c r="H453" s="358"/>
      <c r="I453" s="352"/>
      <c r="J453" s="353"/>
      <c r="K453" s="538"/>
      <c r="L453" s="488"/>
      <c r="M453" s="353"/>
      <c r="N453" s="488"/>
      <c r="O453" s="488"/>
      <c r="P453" s="488"/>
      <c r="Q453" s="488"/>
      <c r="R453" s="488"/>
      <c r="S453" s="488"/>
      <c r="T453" s="488"/>
      <c r="U453" s="488"/>
      <c r="V453" s="488"/>
      <c r="W453" s="488"/>
      <c r="X453" s="354"/>
      <c r="Y453" s="354"/>
      <c r="Z453" s="353"/>
      <c r="AA453" s="353"/>
      <c r="AB453" s="836"/>
      <c r="AC453" s="836"/>
      <c r="AD453" s="842"/>
      <c r="AE453" s="838"/>
    </row>
    <row r="454" spans="1:31" ht="16.5" customHeight="1">
      <c r="A454" s="347">
        <v>7699218</v>
      </c>
      <c r="B454" s="347" t="s">
        <v>6029</v>
      </c>
      <c r="C454" s="347"/>
      <c r="D454" s="348"/>
      <c r="E454" s="348"/>
      <c r="F454" s="348"/>
      <c r="G454" s="348"/>
      <c r="H454" s="358"/>
      <c r="I454" s="352"/>
      <c r="J454" s="353"/>
      <c r="K454" s="538"/>
      <c r="L454" s="488"/>
      <c r="M454" s="488"/>
      <c r="N454" s="488"/>
      <c r="O454" s="488"/>
      <c r="P454" s="488"/>
      <c r="Q454" s="488"/>
      <c r="R454" s="488"/>
      <c r="S454" s="488"/>
      <c r="T454" s="488"/>
      <c r="U454" s="488"/>
      <c r="V454" s="488"/>
      <c r="W454" s="488"/>
      <c r="X454" s="354"/>
      <c r="Y454" s="354"/>
      <c r="Z454" s="353"/>
      <c r="AA454" s="353"/>
      <c r="AB454" s="836"/>
      <c r="AC454" s="836"/>
      <c r="AD454" s="836"/>
      <c r="AE454" s="838"/>
    </row>
    <row r="455" spans="1:31" ht="16.5" customHeight="1">
      <c r="A455" s="347">
        <v>1173590</v>
      </c>
      <c r="B455" s="347" t="s">
        <v>6030</v>
      </c>
      <c r="C455" s="347"/>
      <c r="D455" s="348"/>
      <c r="E455" s="348"/>
      <c r="F455" s="348"/>
      <c r="G455" s="348"/>
      <c r="H455" s="358"/>
      <c r="I455" s="352"/>
      <c r="J455" s="353"/>
      <c r="K455" s="538"/>
      <c r="L455" s="488"/>
      <c r="M455" s="488"/>
      <c r="N455" s="488"/>
      <c r="O455" s="488"/>
      <c r="P455" s="488"/>
      <c r="Q455" s="488"/>
      <c r="R455" s="488"/>
      <c r="S455" s="488"/>
      <c r="T455" s="488"/>
      <c r="U455" s="488"/>
      <c r="V455" s="488"/>
      <c r="W455" s="488"/>
      <c r="X455" s="354"/>
      <c r="Y455" s="354"/>
      <c r="Z455" s="353"/>
      <c r="AA455" s="353"/>
      <c r="AB455" s="836"/>
      <c r="AC455" s="836"/>
      <c r="AD455" s="836"/>
      <c r="AE455" s="838"/>
    </row>
    <row r="456" spans="1:31" ht="16.5" customHeight="1">
      <c r="A456" s="347">
        <v>274555</v>
      </c>
      <c r="B456" s="347" t="s">
        <v>6031</v>
      </c>
      <c r="C456" s="347"/>
      <c r="D456" s="348"/>
      <c r="E456" s="348"/>
      <c r="F456" s="348"/>
      <c r="G456" s="348"/>
      <c r="H456" s="358"/>
      <c r="I456" s="352"/>
      <c r="J456" s="353"/>
      <c r="K456" s="538"/>
      <c r="L456" s="353"/>
      <c r="M456" s="488"/>
      <c r="N456" s="488"/>
      <c r="O456" s="488"/>
      <c r="P456" s="488"/>
      <c r="Q456" s="488"/>
      <c r="R456" s="488"/>
      <c r="S456" s="488"/>
      <c r="T456" s="488"/>
      <c r="U456" s="488"/>
      <c r="V456" s="488"/>
      <c r="W456" s="488"/>
      <c r="X456" s="354"/>
      <c r="Y456" s="354"/>
      <c r="Z456" s="353"/>
      <c r="AA456" s="353"/>
      <c r="AB456" s="836"/>
      <c r="AC456" s="836"/>
      <c r="AD456" s="836"/>
      <c r="AE456" s="837"/>
    </row>
    <row r="457" spans="1:31" ht="16.5" customHeight="1">
      <c r="A457" s="347">
        <v>35019617</v>
      </c>
      <c r="B457" s="347" t="s">
        <v>6032</v>
      </c>
      <c r="C457" s="347"/>
      <c r="D457" s="348"/>
      <c r="E457" s="348"/>
      <c r="F457" s="348"/>
      <c r="G457" s="348"/>
      <c r="H457" s="358"/>
      <c r="I457" s="352"/>
      <c r="J457" s="353"/>
      <c r="K457" s="538"/>
      <c r="L457" s="353"/>
      <c r="M457" s="488"/>
      <c r="N457" s="488"/>
      <c r="O457" s="488"/>
      <c r="P457" s="488"/>
      <c r="Q457" s="488"/>
      <c r="R457" s="488"/>
      <c r="S457" s="488"/>
      <c r="T457" s="488"/>
      <c r="U457" s="488"/>
      <c r="V457" s="488"/>
      <c r="W457" s="488"/>
      <c r="X457" s="354"/>
      <c r="Y457" s="354"/>
      <c r="Z457" s="353"/>
      <c r="AA457" s="353"/>
      <c r="AB457" s="836"/>
      <c r="AC457" s="836"/>
      <c r="AD457" s="836"/>
      <c r="AE457" s="837"/>
    </row>
    <row r="458" spans="1:31" ht="16.5" customHeight="1">
      <c r="A458" s="347">
        <v>24296279</v>
      </c>
      <c r="B458" s="347" t="s">
        <v>6033</v>
      </c>
      <c r="C458" s="347"/>
      <c r="D458" s="348"/>
      <c r="E458" s="348"/>
      <c r="F458" s="348"/>
      <c r="G458" s="348"/>
      <c r="H458" s="358"/>
      <c r="I458" s="352"/>
      <c r="J458" s="353"/>
      <c r="K458" s="538"/>
      <c r="L458" s="353"/>
      <c r="M458" s="488"/>
      <c r="N458" s="488"/>
      <c r="O458" s="488"/>
      <c r="P458" s="488"/>
      <c r="Q458" s="488"/>
      <c r="R458" s="488"/>
      <c r="S458" s="488"/>
      <c r="T458" s="488"/>
      <c r="U458" s="488"/>
      <c r="V458" s="488"/>
      <c r="W458" s="488"/>
      <c r="X458" s="354"/>
      <c r="Y458" s="354"/>
      <c r="Z458" s="353"/>
      <c r="AA458" s="353"/>
      <c r="AB458" s="836"/>
      <c r="AC458" s="836"/>
      <c r="AD458" s="836"/>
      <c r="AE458" s="837"/>
    </row>
    <row r="459" spans="1:31" ht="16.5" customHeight="1">
      <c r="A459" s="347">
        <v>33241589</v>
      </c>
      <c r="B459" s="347" t="s">
        <v>6034</v>
      </c>
      <c r="C459" s="347"/>
      <c r="D459" s="348"/>
      <c r="E459" s="348"/>
      <c r="F459" s="348"/>
      <c r="G459" s="348"/>
      <c r="H459" s="358"/>
      <c r="I459" s="352"/>
      <c r="J459" s="353"/>
      <c r="K459" s="539"/>
      <c r="L459" s="488"/>
      <c r="M459" s="488"/>
      <c r="N459" s="488"/>
      <c r="O459" s="488"/>
      <c r="P459" s="488"/>
      <c r="Q459" s="488"/>
      <c r="R459" s="488"/>
      <c r="S459" s="488"/>
      <c r="T459" s="488"/>
      <c r="U459" s="488"/>
      <c r="V459" s="488"/>
      <c r="W459" s="488"/>
      <c r="X459" s="354"/>
      <c r="Y459" s="355"/>
      <c r="Z459" s="353"/>
      <c r="AA459" s="353"/>
      <c r="AB459" s="836"/>
      <c r="AC459" s="836"/>
      <c r="AD459" s="836"/>
      <c r="AE459" s="838"/>
    </row>
    <row r="460" spans="1:31" ht="16.5" customHeight="1">
      <c r="A460" s="347">
        <v>56467582</v>
      </c>
      <c r="B460" s="347" t="s">
        <v>6035</v>
      </c>
      <c r="C460" s="347"/>
      <c r="D460" s="348"/>
      <c r="E460" s="348"/>
      <c r="F460" s="348"/>
      <c r="G460" s="348"/>
      <c r="H460" s="358"/>
      <c r="I460" s="352"/>
      <c r="J460" s="353"/>
      <c r="K460" s="538"/>
      <c r="L460" s="488"/>
      <c r="M460" s="488"/>
      <c r="N460" s="488"/>
      <c r="O460" s="488"/>
      <c r="P460" s="488"/>
      <c r="Q460" s="488"/>
      <c r="R460" s="488"/>
      <c r="S460" s="488"/>
      <c r="T460" s="353"/>
      <c r="U460" s="353"/>
      <c r="V460" s="488"/>
      <c r="W460" s="488"/>
      <c r="X460" s="354"/>
      <c r="Y460" s="354"/>
      <c r="Z460" s="353"/>
      <c r="AA460" s="353"/>
      <c r="AB460" s="836"/>
      <c r="AC460" s="836"/>
      <c r="AD460" s="836"/>
      <c r="AE460" s="837"/>
    </row>
    <row r="461" spans="1:31" ht="16.5" customHeight="1">
      <c r="A461" s="347">
        <v>27480300</v>
      </c>
      <c r="B461" s="347" t="s">
        <v>6036</v>
      </c>
      <c r="C461" s="347"/>
      <c r="D461" s="348"/>
      <c r="E461" s="348"/>
      <c r="F461" s="348"/>
      <c r="G461" s="348"/>
      <c r="H461" s="358"/>
      <c r="I461" s="352"/>
      <c r="J461" s="353"/>
      <c r="K461" s="538"/>
      <c r="L461" s="353"/>
      <c r="M461" s="488"/>
      <c r="N461" s="488"/>
      <c r="O461" s="488"/>
      <c r="P461" s="488"/>
      <c r="Q461" s="488"/>
      <c r="R461" s="488"/>
      <c r="S461" s="488"/>
      <c r="T461" s="488"/>
      <c r="U461" s="488"/>
      <c r="V461" s="488"/>
      <c r="W461" s="488"/>
      <c r="X461" s="354"/>
      <c r="Y461" s="354"/>
      <c r="Z461" s="353"/>
      <c r="AA461" s="353"/>
      <c r="AB461" s="836"/>
      <c r="AC461" s="836"/>
      <c r="AD461" s="836"/>
      <c r="AE461" s="837"/>
    </row>
    <row r="462" spans="1:31" ht="16.5" customHeight="1">
      <c r="A462" s="347">
        <v>91124453</v>
      </c>
      <c r="B462" s="347" t="s">
        <v>6037</v>
      </c>
      <c r="C462" s="347"/>
      <c r="D462" s="348"/>
      <c r="E462" s="348"/>
      <c r="F462" s="348"/>
      <c r="G462" s="348"/>
      <c r="H462" s="358"/>
      <c r="I462" s="352"/>
      <c r="J462" s="353"/>
      <c r="K462" s="538"/>
      <c r="L462" s="353"/>
      <c r="M462" s="488"/>
      <c r="N462" s="488"/>
      <c r="O462" s="488"/>
      <c r="P462" s="488"/>
      <c r="Q462" s="488"/>
      <c r="R462" s="488"/>
      <c r="S462" s="488"/>
      <c r="T462" s="488"/>
      <c r="U462" s="488"/>
      <c r="V462" s="488"/>
      <c r="W462" s="488"/>
      <c r="X462" s="354"/>
      <c r="Y462" s="354"/>
      <c r="Z462" s="353"/>
      <c r="AA462" s="353"/>
      <c r="AB462" s="836"/>
      <c r="AC462" s="836"/>
      <c r="AD462" s="836"/>
      <c r="AE462" s="837"/>
    </row>
    <row r="463" spans="1:31" ht="16.5" customHeight="1">
      <c r="A463" s="347">
        <v>100006073</v>
      </c>
      <c r="B463" s="347" t="s">
        <v>5990</v>
      </c>
      <c r="C463" s="347"/>
      <c r="D463" s="348"/>
      <c r="E463" s="348"/>
      <c r="F463" s="348"/>
      <c r="G463" s="348"/>
      <c r="H463" s="358"/>
      <c r="I463" s="352"/>
      <c r="J463" s="353"/>
      <c r="K463" s="538"/>
      <c r="L463" s="488"/>
      <c r="M463" s="488"/>
      <c r="N463" s="488"/>
      <c r="O463" s="488"/>
      <c r="P463" s="488"/>
      <c r="Q463" s="488"/>
      <c r="R463" s="488"/>
      <c r="S463" s="488"/>
      <c r="T463" s="488"/>
      <c r="U463" s="488"/>
      <c r="V463" s="488"/>
      <c r="W463" s="488"/>
      <c r="X463" s="354"/>
      <c r="Y463" s="354"/>
      <c r="Z463" s="353"/>
      <c r="AA463" s="353"/>
      <c r="AB463" s="836"/>
      <c r="AC463" s="836"/>
      <c r="AD463" s="836"/>
      <c r="AE463" s="838"/>
    </row>
    <row r="464" spans="1:31" ht="16.5" customHeight="1">
      <c r="A464" s="347">
        <v>65968778</v>
      </c>
      <c r="B464" s="347" t="s">
        <v>6038</v>
      </c>
      <c r="C464" s="347"/>
      <c r="D464" s="348"/>
      <c r="E464" s="348"/>
      <c r="F464" s="348"/>
      <c r="G464" s="348"/>
      <c r="H464" s="358"/>
      <c r="I464" s="352"/>
      <c r="J464" s="353"/>
      <c r="K464" s="538"/>
      <c r="L464" s="488"/>
      <c r="M464" s="488"/>
      <c r="N464" s="488"/>
      <c r="O464" s="488"/>
      <c r="P464" s="488"/>
      <c r="Q464" s="488"/>
      <c r="R464" s="488"/>
      <c r="S464" s="488"/>
      <c r="T464" s="488"/>
      <c r="U464" s="488"/>
      <c r="V464" s="488"/>
      <c r="W464" s="488"/>
      <c r="X464" s="354"/>
      <c r="Y464" s="354"/>
      <c r="Z464" s="353"/>
      <c r="AA464" s="353"/>
      <c r="AB464" s="836"/>
      <c r="AC464" s="836"/>
      <c r="AD464" s="836"/>
      <c r="AE464" s="838"/>
    </row>
    <row r="465" spans="1:31" ht="16.5" customHeight="1">
      <c r="A465" s="347">
        <v>95110466</v>
      </c>
      <c r="B465" s="347" t="s">
        <v>6039</v>
      </c>
      <c r="C465" s="347"/>
      <c r="D465" s="348"/>
      <c r="E465" s="348"/>
      <c r="F465" s="348"/>
      <c r="G465" s="348"/>
      <c r="H465" s="358"/>
      <c r="I465" s="352"/>
      <c r="J465" s="353"/>
      <c r="K465" s="538"/>
      <c r="L465" s="488"/>
      <c r="M465" s="488"/>
      <c r="N465" s="488"/>
      <c r="O465" s="488"/>
      <c r="P465" s="488"/>
      <c r="Q465" s="488"/>
      <c r="R465" s="488"/>
      <c r="S465" s="488"/>
      <c r="T465" s="488"/>
      <c r="U465" s="488"/>
      <c r="V465" s="488"/>
      <c r="W465" s="488"/>
      <c r="X465" s="354"/>
      <c r="Y465" s="354"/>
      <c r="Z465" s="353"/>
      <c r="AA465" s="353"/>
      <c r="AB465" s="836"/>
      <c r="AC465" s="836"/>
      <c r="AD465" s="836"/>
      <c r="AE465" s="838"/>
    </row>
    <row r="466" spans="1:31" ht="16.5" customHeight="1">
      <c r="A466" s="347">
        <v>30668222</v>
      </c>
      <c r="B466" s="347" t="s">
        <v>6040</v>
      </c>
      <c r="C466" s="347"/>
      <c r="D466" s="348"/>
      <c r="E466" s="348"/>
      <c r="F466" s="348"/>
      <c r="G466" s="348"/>
      <c r="H466" s="358"/>
      <c r="I466" s="352"/>
      <c r="J466" s="353"/>
      <c r="K466" s="538"/>
      <c r="L466" s="488"/>
      <c r="M466" s="488"/>
      <c r="N466" s="488"/>
      <c r="O466" s="488"/>
      <c r="P466" s="488"/>
      <c r="Q466" s="488"/>
      <c r="R466" s="488"/>
      <c r="S466" s="488"/>
      <c r="T466" s="488"/>
      <c r="U466" s="488"/>
      <c r="V466" s="488"/>
      <c r="W466" s="488"/>
      <c r="X466" s="354"/>
      <c r="Y466" s="354"/>
      <c r="Z466" s="353"/>
      <c r="AA466" s="353"/>
      <c r="AB466" s="836"/>
      <c r="AC466" s="836"/>
      <c r="AD466" s="836"/>
      <c r="AE466" s="838"/>
    </row>
    <row r="467" spans="1:31" ht="16.5" customHeight="1">
      <c r="A467" s="347">
        <v>2146454</v>
      </c>
      <c r="B467" s="347" t="s">
        <v>6041</v>
      </c>
      <c r="C467" s="347"/>
      <c r="D467" s="348"/>
      <c r="E467" s="348"/>
      <c r="F467" s="348"/>
      <c r="G467" s="348"/>
      <c r="H467" s="358"/>
      <c r="I467" s="352"/>
      <c r="J467" s="353"/>
      <c r="K467" s="538"/>
      <c r="L467" s="488"/>
      <c r="M467" s="488"/>
      <c r="N467" s="488"/>
      <c r="O467" s="488"/>
      <c r="P467" s="488"/>
      <c r="Q467" s="488"/>
      <c r="R467" s="488"/>
      <c r="S467" s="488"/>
      <c r="T467" s="488"/>
      <c r="U467" s="488"/>
      <c r="V467" s="488"/>
      <c r="W467" s="488"/>
      <c r="X467" s="354"/>
      <c r="Y467" s="354"/>
      <c r="Z467" s="353"/>
      <c r="AA467" s="353"/>
      <c r="AB467" s="836"/>
      <c r="AC467" s="836"/>
      <c r="AD467" s="836"/>
      <c r="AE467" s="838"/>
    </row>
    <row r="468" spans="1:31" ht="16.5" customHeight="1">
      <c r="A468" s="347">
        <v>37907524</v>
      </c>
      <c r="B468" s="347" t="s">
        <v>6042</v>
      </c>
      <c r="C468" s="347"/>
      <c r="D468" s="348"/>
      <c r="E468" s="348"/>
      <c r="F468" s="348"/>
      <c r="G468" s="348"/>
      <c r="H468" s="358"/>
      <c r="I468" s="352"/>
      <c r="J468" s="353"/>
      <c r="K468" s="539"/>
      <c r="L468" s="353"/>
      <c r="M468" s="488"/>
      <c r="N468" s="488"/>
      <c r="O468" s="488"/>
      <c r="P468" s="488"/>
      <c r="Q468" s="488"/>
      <c r="R468" s="488"/>
      <c r="S468" s="488"/>
      <c r="T468" s="488"/>
      <c r="U468" s="488"/>
      <c r="V468" s="488"/>
      <c r="W468" s="488"/>
      <c r="X468" s="354"/>
      <c r="Y468" s="354"/>
      <c r="Z468" s="353"/>
      <c r="AA468" s="353"/>
      <c r="AB468" s="836"/>
      <c r="AC468" s="836"/>
      <c r="AD468" s="836"/>
      <c r="AE468" s="837"/>
    </row>
    <row r="469" spans="1:31" ht="16.5" customHeight="1">
      <c r="A469" s="347">
        <v>53272373</v>
      </c>
      <c r="B469" s="347" t="s">
        <v>6043</v>
      </c>
      <c r="C469" s="347"/>
      <c r="D469" s="348"/>
      <c r="E469" s="348"/>
      <c r="F469" s="348"/>
      <c r="G469" s="348"/>
      <c r="H469" s="358"/>
      <c r="I469" s="352"/>
      <c r="J469" s="353"/>
      <c r="K469" s="538"/>
      <c r="L469" s="488"/>
      <c r="M469" s="488"/>
      <c r="N469" s="488"/>
      <c r="O469" s="488"/>
      <c r="P469" s="488"/>
      <c r="Q469" s="488"/>
      <c r="R469" s="488"/>
      <c r="S469" s="488"/>
      <c r="T469" s="488"/>
      <c r="U469" s="488"/>
      <c r="V469" s="488"/>
      <c r="W469" s="488"/>
      <c r="X469" s="354"/>
      <c r="Y469" s="354"/>
      <c r="Z469" s="353"/>
      <c r="AA469" s="353"/>
      <c r="AB469" s="836"/>
      <c r="AC469" s="836"/>
      <c r="AD469" s="836"/>
      <c r="AE469" s="838"/>
    </row>
    <row r="470" spans="1:31" ht="16.5" customHeight="1">
      <c r="A470" s="347">
        <v>37333655</v>
      </c>
      <c r="B470" s="347" t="s">
        <v>6044</v>
      </c>
      <c r="C470" s="347"/>
      <c r="D470" s="348"/>
      <c r="E470" s="348"/>
      <c r="F470" s="348"/>
      <c r="G470" s="348"/>
      <c r="H470" s="358"/>
      <c r="I470" s="352"/>
      <c r="J470" s="353"/>
      <c r="K470" s="538"/>
      <c r="L470" s="353"/>
      <c r="M470" s="488"/>
      <c r="N470" s="488"/>
      <c r="O470" s="488"/>
      <c r="P470" s="488"/>
      <c r="Q470" s="488"/>
      <c r="R470" s="488"/>
      <c r="S470" s="488"/>
      <c r="T470" s="488"/>
      <c r="U470" s="488"/>
      <c r="V470" s="488"/>
      <c r="W470" s="488"/>
      <c r="X470" s="354"/>
      <c r="Y470" s="354"/>
      <c r="Z470" s="353"/>
      <c r="AA470" s="353"/>
      <c r="AB470" s="842"/>
      <c r="AC470" s="836"/>
      <c r="AD470" s="842"/>
      <c r="AE470" s="837"/>
    </row>
    <row r="471" spans="1:31" ht="16.5" customHeight="1">
      <c r="A471" s="347">
        <v>30336408</v>
      </c>
      <c r="B471" s="347" t="s">
        <v>6045</v>
      </c>
      <c r="C471" s="347"/>
      <c r="D471" s="348"/>
      <c r="E471" s="348"/>
      <c r="F471" s="348"/>
      <c r="G471" s="348"/>
      <c r="H471" s="358"/>
      <c r="I471" s="352"/>
      <c r="J471" s="353"/>
      <c r="K471" s="538"/>
      <c r="L471" s="488"/>
      <c r="M471" s="488"/>
      <c r="N471" s="488"/>
      <c r="O471" s="488"/>
      <c r="P471" s="488"/>
      <c r="Q471" s="488"/>
      <c r="R471" s="488"/>
      <c r="S471" s="488"/>
      <c r="T471" s="488"/>
      <c r="U471" s="488"/>
      <c r="V471" s="488"/>
      <c r="W471" s="488"/>
      <c r="X471" s="354"/>
      <c r="Y471" s="354"/>
      <c r="Z471" s="353"/>
      <c r="AA471" s="353"/>
      <c r="AB471" s="836"/>
      <c r="AC471" s="836"/>
      <c r="AD471" s="836"/>
      <c r="AE471" s="838"/>
    </row>
    <row r="472" spans="1:31" ht="16.5" customHeight="1">
      <c r="A472" s="347">
        <v>267765</v>
      </c>
      <c r="B472" s="347" t="s">
        <v>6046</v>
      </c>
      <c r="C472" s="347"/>
      <c r="D472" s="348"/>
      <c r="E472" s="348"/>
      <c r="F472" s="348"/>
      <c r="G472" s="348"/>
      <c r="H472" s="358"/>
      <c r="I472" s="352"/>
      <c r="J472" s="353"/>
      <c r="K472" s="538"/>
      <c r="L472" s="488"/>
      <c r="M472" s="488"/>
      <c r="N472" s="488"/>
      <c r="O472" s="488"/>
      <c r="P472" s="488"/>
      <c r="Q472" s="488"/>
      <c r="R472" s="488"/>
      <c r="S472" s="488"/>
      <c r="T472" s="488"/>
      <c r="U472" s="488"/>
      <c r="V472" s="488"/>
      <c r="W472" s="488"/>
      <c r="X472" s="354"/>
      <c r="Y472" s="354"/>
      <c r="Z472" s="353"/>
      <c r="AA472" s="353"/>
      <c r="AB472" s="836"/>
      <c r="AC472" s="836"/>
      <c r="AD472" s="836"/>
      <c r="AE472" s="838"/>
    </row>
    <row r="473" spans="1:31" ht="16.5" customHeight="1">
      <c r="A473" s="347">
        <v>30336416</v>
      </c>
      <c r="B473" s="347" t="s">
        <v>6047</v>
      </c>
      <c r="C473" s="347"/>
      <c r="D473" s="348"/>
      <c r="E473" s="348"/>
      <c r="F473" s="348"/>
      <c r="G473" s="348"/>
      <c r="H473" s="358"/>
      <c r="I473" s="352"/>
      <c r="J473" s="353"/>
      <c r="K473" s="538"/>
      <c r="L473" s="488"/>
      <c r="M473" s="488"/>
      <c r="N473" s="488"/>
      <c r="O473" s="488"/>
      <c r="P473" s="488"/>
      <c r="Q473" s="488"/>
      <c r="R473" s="488"/>
      <c r="S473" s="488"/>
      <c r="T473" s="488"/>
      <c r="U473" s="488"/>
      <c r="V473" s="488"/>
      <c r="W473" s="488"/>
      <c r="X473" s="354"/>
      <c r="Y473" s="354"/>
      <c r="Z473" s="353"/>
      <c r="AA473" s="353"/>
      <c r="AB473" s="836"/>
      <c r="AC473" s="836"/>
      <c r="AD473" s="836"/>
      <c r="AE473" s="838"/>
    </row>
    <row r="474" spans="1:31" ht="16.5" customHeight="1">
      <c r="A474" s="347">
        <v>7301609</v>
      </c>
      <c r="B474" s="347" t="s">
        <v>6048</v>
      </c>
      <c r="C474" s="347"/>
      <c r="D474" s="348"/>
      <c r="E474" s="348"/>
      <c r="F474" s="348"/>
      <c r="G474" s="348"/>
      <c r="H474" s="358"/>
      <c r="I474" s="352"/>
      <c r="J474" s="353"/>
      <c r="K474" s="538"/>
      <c r="L474" s="353"/>
      <c r="M474" s="488"/>
      <c r="N474" s="488"/>
      <c r="O474" s="488"/>
      <c r="P474" s="488"/>
      <c r="Q474" s="488"/>
      <c r="R474" s="488"/>
      <c r="S474" s="488"/>
      <c r="T474" s="488"/>
      <c r="U474" s="488"/>
      <c r="V474" s="488"/>
      <c r="W474" s="488"/>
      <c r="X474" s="354"/>
      <c r="Y474" s="354"/>
      <c r="Z474" s="353"/>
      <c r="AA474" s="353"/>
      <c r="AB474" s="836"/>
      <c r="AC474" s="836"/>
      <c r="AD474" s="836"/>
      <c r="AE474" s="837"/>
    </row>
    <row r="475" spans="1:31" ht="16.5" customHeight="1">
      <c r="A475" s="347">
        <v>4555223</v>
      </c>
      <c r="B475" s="347" t="s">
        <v>6049</v>
      </c>
      <c r="C475" s="347"/>
      <c r="D475" s="348"/>
      <c r="E475" s="348"/>
      <c r="F475" s="348"/>
      <c r="G475" s="348"/>
      <c r="H475" s="358"/>
      <c r="I475" s="352"/>
      <c r="J475" s="353"/>
      <c r="K475" s="538"/>
      <c r="L475" s="488"/>
      <c r="M475" s="488"/>
      <c r="N475" s="488"/>
      <c r="O475" s="488"/>
      <c r="P475" s="488"/>
      <c r="Q475" s="488"/>
      <c r="R475" s="488"/>
      <c r="S475" s="488"/>
      <c r="T475" s="488"/>
      <c r="U475" s="488"/>
      <c r="V475" s="488"/>
      <c r="W475" s="488"/>
      <c r="X475" s="354"/>
      <c r="Y475" s="354"/>
      <c r="Z475" s="353"/>
      <c r="AA475" s="353"/>
      <c r="AB475" s="836"/>
      <c r="AC475" s="836"/>
      <c r="AD475" s="836"/>
      <c r="AE475" s="838"/>
    </row>
    <row r="476" spans="1:31" ht="16.5" customHeight="1">
      <c r="A476" s="347">
        <v>5916028</v>
      </c>
      <c r="B476" s="347" t="s">
        <v>6050</v>
      </c>
      <c r="C476" s="347"/>
      <c r="D476" s="348"/>
      <c r="E476" s="348"/>
      <c r="F476" s="348"/>
      <c r="G476" s="348"/>
      <c r="H476" s="358"/>
      <c r="I476" s="352"/>
      <c r="J476" s="353"/>
      <c r="K476" s="538"/>
      <c r="L476" s="488"/>
      <c r="M476" s="488"/>
      <c r="N476" s="488"/>
      <c r="O476" s="488"/>
      <c r="P476" s="488"/>
      <c r="Q476" s="488"/>
      <c r="R476" s="488"/>
      <c r="S476" s="488"/>
      <c r="T476" s="488"/>
      <c r="U476" s="488"/>
      <c r="V476" s="488"/>
      <c r="W476" s="488"/>
      <c r="X476" s="354"/>
      <c r="Y476" s="354"/>
      <c r="Z476" s="353"/>
      <c r="AA476" s="353"/>
      <c r="AB476" s="836"/>
      <c r="AC476" s="836"/>
      <c r="AD476" s="836"/>
      <c r="AE476" s="838"/>
    </row>
    <row r="477" spans="1:31" ht="16.5" customHeight="1">
      <c r="A477" s="347">
        <v>100005134</v>
      </c>
      <c r="B477" s="347" t="s">
        <v>5990</v>
      </c>
      <c r="C477" s="347"/>
      <c r="D477" s="348"/>
      <c r="E477" s="348"/>
      <c r="F477" s="348"/>
      <c r="G477" s="348"/>
      <c r="H477" s="358"/>
      <c r="I477" s="352"/>
      <c r="J477" s="353"/>
      <c r="K477" s="538"/>
      <c r="L477" s="488"/>
      <c r="M477" s="488"/>
      <c r="N477" s="488"/>
      <c r="O477" s="488"/>
      <c r="P477" s="488"/>
      <c r="Q477" s="488"/>
      <c r="R477" s="488"/>
      <c r="S477" s="488"/>
      <c r="T477" s="488"/>
      <c r="U477" s="488"/>
      <c r="V477" s="488"/>
      <c r="W477" s="488"/>
      <c r="X477" s="354"/>
      <c r="Y477" s="354"/>
      <c r="Z477" s="353"/>
      <c r="AA477" s="353"/>
      <c r="AB477" s="836"/>
      <c r="AC477" s="836"/>
      <c r="AD477" s="836"/>
      <c r="AE477" s="838"/>
    </row>
    <row r="478" spans="1:31" ht="16.5" customHeight="1">
      <c r="A478" s="347">
        <v>336123</v>
      </c>
      <c r="B478" s="347" t="s">
        <v>6051</v>
      </c>
      <c r="C478" s="347"/>
      <c r="D478" s="348"/>
      <c r="E478" s="348"/>
      <c r="F478" s="348"/>
      <c r="G478" s="348"/>
      <c r="H478" s="358"/>
      <c r="I478" s="352"/>
      <c r="J478" s="353"/>
      <c r="K478" s="538"/>
      <c r="L478" s="488"/>
      <c r="M478" s="488"/>
      <c r="N478" s="488"/>
      <c r="O478" s="488"/>
      <c r="P478" s="488"/>
      <c r="Q478" s="488"/>
      <c r="R478" s="488"/>
      <c r="S478" s="488"/>
      <c r="T478" s="488"/>
      <c r="U478" s="488"/>
      <c r="V478" s="488"/>
      <c r="W478" s="488"/>
      <c r="X478" s="354"/>
      <c r="Y478" s="354"/>
      <c r="Z478" s="353"/>
      <c r="AA478" s="353"/>
      <c r="AB478" s="836"/>
      <c r="AC478" s="836"/>
      <c r="AD478" s="836"/>
      <c r="AE478" s="838"/>
    </row>
    <row r="479" spans="1:31" ht="16.5" customHeight="1">
      <c r="A479" s="347">
        <v>15426778</v>
      </c>
      <c r="B479" s="347" t="s">
        <v>6052</v>
      </c>
      <c r="C479" s="347"/>
      <c r="D479" s="348"/>
      <c r="E479" s="348"/>
      <c r="F479" s="348"/>
      <c r="G479" s="348"/>
      <c r="H479" s="358"/>
      <c r="I479" s="352"/>
      <c r="J479" s="353"/>
      <c r="K479" s="538"/>
      <c r="L479" s="353"/>
      <c r="M479" s="488"/>
      <c r="N479" s="488"/>
      <c r="O479" s="488"/>
      <c r="P479" s="488"/>
      <c r="Q479" s="488"/>
      <c r="R479" s="488"/>
      <c r="S479" s="488"/>
      <c r="T479" s="488"/>
      <c r="U479" s="488"/>
      <c r="V479" s="488"/>
      <c r="W479" s="488"/>
      <c r="X479" s="354"/>
      <c r="Y479" s="354"/>
      <c r="Z479" s="353"/>
      <c r="AA479" s="353"/>
      <c r="AB479" s="836"/>
      <c r="AC479" s="836"/>
      <c r="AD479" s="836"/>
      <c r="AE479" s="837"/>
    </row>
    <row r="480" spans="1:31" ht="16.5" customHeight="1">
      <c r="A480" s="347">
        <v>3949500</v>
      </c>
      <c r="B480" s="347" t="s">
        <v>6053</v>
      </c>
      <c r="C480" s="347"/>
      <c r="D480" s="348"/>
      <c r="E480" s="348"/>
      <c r="F480" s="348"/>
      <c r="G480" s="348"/>
      <c r="H480" s="358"/>
      <c r="I480" s="352"/>
      <c r="J480" s="353"/>
      <c r="K480" s="538"/>
      <c r="L480" s="488"/>
      <c r="M480" s="488"/>
      <c r="N480" s="488"/>
      <c r="O480" s="488"/>
      <c r="P480" s="488"/>
      <c r="Q480" s="488"/>
      <c r="R480" s="488"/>
      <c r="S480" s="488"/>
      <c r="T480" s="488"/>
      <c r="U480" s="488"/>
      <c r="V480" s="488"/>
      <c r="W480" s="488"/>
      <c r="X480" s="354"/>
      <c r="Y480" s="354"/>
      <c r="Z480" s="353"/>
      <c r="AA480" s="353"/>
      <c r="AB480" s="836"/>
      <c r="AC480" s="836"/>
      <c r="AD480" s="836"/>
      <c r="AE480" s="838"/>
    </row>
    <row r="481" spans="1:31" ht="16.5" customHeight="1">
      <c r="A481" s="347">
        <v>32779845</v>
      </c>
      <c r="B481" s="347" t="s">
        <v>6054</v>
      </c>
      <c r="C481" s="347"/>
      <c r="D481" s="348"/>
      <c r="E481" s="348"/>
      <c r="F481" s="348"/>
      <c r="G481" s="348"/>
      <c r="H481" s="358"/>
      <c r="I481" s="352"/>
      <c r="J481" s="353"/>
      <c r="K481" s="538"/>
      <c r="L481" s="353"/>
      <c r="M481" s="488"/>
      <c r="N481" s="488"/>
      <c r="O481" s="488"/>
      <c r="P481" s="488"/>
      <c r="Q481" s="488"/>
      <c r="R481" s="488"/>
      <c r="S481" s="488"/>
      <c r="T481" s="488"/>
      <c r="U481" s="488"/>
      <c r="V481" s="488"/>
      <c r="W481" s="488"/>
      <c r="X481" s="354"/>
      <c r="Y481" s="354"/>
      <c r="Z481" s="353"/>
      <c r="AA481" s="353"/>
      <c r="AB481" s="836"/>
      <c r="AC481" s="836"/>
      <c r="AD481" s="836"/>
      <c r="AE481" s="837"/>
    </row>
    <row r="482" spans="1:31" ht="16.5" customHeight="1">
      <c r="A482" s="347">
        <v>1064971</v>
      </c>
      <c r="B482" s="347" t="s">
        <v>6055</v>
      </c>
      <c r="C482" s="347"/>
      <c r="D482" s="348"/>
      <c r="E482" s="348"/>
      <c r="F482" s="348"/>
      <c r="G482" s="348"/>
      <c r="H482" s="358"/>
      <c r="I482" s="352"/>
      <c r="J482" s="353"/>
      <c r="K482" s="538"/>
      <c r="L482" s="488"/>
      <c r="M482" s="488"/>
      <c r="N482" s="488"/>
      <c r="O482" s="488"/>
      <c r="P482" s="488"/>
      <c r="Q482" s="488"/>
      <c r="R482" s="488"/>
      <c r="S482" s="488"/>
      <c r="T482" s="488"/>
      <c r="U482" s="488"/>
      <c r="V482" s="488"/>
      <c r="W482" s="488"/>
      <c r="X482" s="354"/>
      <c r="Y482" s="354"/>
      <c r="Z482" s="353"/>
      <c r="AA482" s="353"/>
      <c r="AB482" s="836"/>
      <c r="AC482" s="836"/>
      <c r="AD482" s="836"/>
      <c r="AE482" s="838"/>
    </row>
    <row r="483" spans="1:31" ht="16.5" customHeight="1">
      <c r="A483" s="347">
        <v>11408549</v>
      </c>
      <c r="B483" s="347" t="s">
        <v>6056</v>
      </c>
      <c r="C483" s="347"/>
      <c r="D483" s="348"/>
      <c r="E483" s="348"/>
      <c r="F483" s="348"/>
      <c r="G483" s="348"/>
      <c r="H483" s="358"/>
      <c r="I483" s="352"/>
      <c r="J483" s="353"/>
      <c r="K483" s="538"/>
      <c r="L483" s="488"/>
      <c r="M483" s="488"/>
      <c r="N483" s="488"/>
      <c r="O483" s="488"/>
      <c r="P483" s="488"/>
      <c r="Q483" s="488"/>
      <c r="R483" s="488"/>
      <c r="S483" s="488"/>
      <c r="T483" s="488"/>
      <c r="U483" s="488"/>
      <c r="V483" s="488"/>
      <c r="W483" s="488"/>
      <c r="X483" s="354"/>
      <c r="Y483" s="354"/>
      <c r="Z483" s="353"/>
      <c r="AA483" s="353"/>
      <c r="AB483" s="836"/>
      <c r="AC483" s="836"/>
      <c r="AD483" s="836"/>
      <c r="AE483" s="838"/>
    </row>
    <row r="484" spans="1:31" ht="16.5" customHeight="1">
      <c r="A484" s="347">
        <v>36515740</v>
      </c>
      <c r="B484" s="347" t="s">
        <v>6057</v>
      </c>
      <c r="C484" s="347"/>
      <c r="D484" s="348"/>
      <c r="E484" s="348"/>
      <c r="F484" s="348"/>
      <c r="G484" s="348"/>
      <c r="H484" s="358"/>
      <c r="I484" s="352"/>
      <c r="J484" s="353"/>
      <c r="K484" s="538"/>
      <c r="L484" s="488"/>
      <c r="M484" s="488"/>
      <c r="N484" s="488"/>
      <c r="O484" s="488"/>
      <c r="P484" s="488"/>
      <c r="Q484" s="488"/>
      <c r="R484" s="488"/>
      <c r="S484" s="488"/>
      <c r="T484" s="488"/>
      <c r="U484" s="488"/>
      <c r="V484" s="488"/>
      <c r="W484" s="488"/>
      <c r="X484" s="354"/>
      <c r="Y484" s="354"/>
      <c r="Z484" s="353"/>
      <c r="AA484" s="353"/>
      <c r="AB484" s="836"/>
      <c r="AC484" s="836"/>
      <c r="AD484" s="836"/>
      <c r="AE484" s="838"/>
    </row>
    <row r="485" spans="1:31" ht="16.5" customHeight="1">
      <c r="A485" s="347">
        <v>41171679</v>
      </c>
      <c r="B485" s="347" t="s">
        <v>6058</v>
      </c>
      <c r="C485" s="347"/>
      <c r="D485" s="348"/>
      <c r="E485" s="348"/>
      <c r="F485" s="348"/>
      <c r="G485" s="348"/>
      <c r="H485" s="358"/>
      <c r="I485" s="352"/>
      <c r="J485" s="353"/>
      <c r="K485" s="538"/>
      <c r="L485" s="488"/>
      <c r="M485" s="488"/>
      <c r="N485" s="353"/>
      <c r="O485" s="488"/>
      <c r="P485" s="488"/>
      <c r="Q485" s="488"/>
      <c r="R485" s="488"/>
      <c r="S485" s="488"/>
      <c r="T485" s="488"/>
      <c r="U485" s="488"/>
      <c r="V485" s="488"/>
      <c r="W485" s="488"/>
      <c r="X485" s="354"/>
      <c r="Y485" s="354"/>
      <c r="Z485" s="353"/>
      <c r="AA485" s="353"/>
      <c r="AB485" s="836"/>
      <c r="AC485" s="836"/>
      <c r="AD485" s="836"/>
      <c r="AE485" s="837"/>
    </row>
    <row r="486" spans="1:31" ht="16.5" customHeight="1">
      <c r="A486" s="347">
        <v>17762493</v>
      </c>
      <c r="B486" s="347" t="s">
        <v>6059</v>
      </c>
      <c r="C486" s="347"/>
      <c r="D486" s="348"/>
      <c r="E486" s="348"/>
      <c r="F486" s="348"/>
      <c r="G486" s="348"/>
      <c r="H486" s="358"/>
      <c r="I486" s="352"/>
      <c r="J486" s="353"/>
      <c r="K486" s="538"/>
      <c r="L486" s="488"/>
      <c r="M486" s="488"/>
      <c r="N486" s="488"/>
      <c r="O486" s="488"/>
      <c r="P486" s="488"/>
      <c r="Q486" s="488"/>
      <c r="R486" s="488"/>
      <c r="S486" s="488"/>
      <c r="T486" s="488"/>
      <c r="U486" s="488"/>
      <c r="V486" s="488"/>
      <c r="W486" s="488"/>
      <c r="X486" s="354"/>
      <c r="Y486" s="354"/>
      <c r="Z486" s="353"/>
      <c r="AA486" s="353"/>
      <c r="AB486" s="836"/>
      <c r="AC486" s="836"/>
      <c r="AD486" s="836"/>
      <c r="AE486" s="838"/>
    </row>
    <row r="487" spans="1:31" ht="16.5" customHeight="1">
      <c r="A487" s="347">
        <v>11440732</v>
      </c>
      <c r="B487" s="347" t="s">
        <v>6060</v>
      </c>
      <c r="C487" s="347"/>
      <c r="D487" s="348"/>
      <c r="E487" s="348"/>
      <c r="F487" s="348"/>
      <c r="G487" s="348"/>
      <c r="H487" s="358"/>
      <c r="I487" s="352"/>
      <c r="J487" s="353"/>
      <c r="K487" s="538"/>
      <c r="L487" s="488"/>
      <c r="M487" s="488"/>
      <c r="N487" s="488"/>
      <c r="O487" s="488"/>
      <c r="P487" s="488"/>
      <c r="Q487" s="488"/>
      <c r="R487" s="488"/>
      <c r="S487" s="488"/>
      <c r="T487" s="488"/>
      <c r="U487" s="488"/>
      <c r="V487" s="488"/>
      <c r="W487" s="488"/>
      <c r="X487" s="354"/>
      <c r="Y487" s="354"/>
      <c r="Z487" s="353"/>
      <c r="AA487" s="353"/>
      <c r="AB487" s="836"/>
      <c r="AC487" s="836"/>
      <c r="AD487" s="836"/>
      <c r="AE487" s="838"/>
    </row>
    <row r="488" spans="1:31" ht="16.5" customHeight="1">
      <c r="A488" s="347">
        <v>20580171</v>
      </c>
      <c r="B488" s="347" t="s">
        <v>6061</v>
      </c>
      <c r="C488" s="347"/>
      <c r="D488" s="348"/>
      <c r="E488" s="348"/>
      <c r="F488" s="348"/>
      <c r="G488" s="348"/>
      <c r="H488" s="358"/>
      <c r="I488" s="352"/>
      <c r="J488" s="353"/>
      <c r="K488" s="538"/>
      <c r="L488" s="488"/>
      <c r="M488" s="488"/>
      <c r="N488" s="488"/>
      <c r="O488" s="488"/>
      <c r="P488" s="488"/>
      <c r="Q488" s="488"/>
      <c r="R488" s="488"/>
      <c r="S488" s="488"/>
      <c r="T488" s="488"/>
      <c r="U488" s="488"/>
      <c r="V488" s="488"/>
      <c r="W488" s="488"/>
      <c r="X488" s="354"/>
      <c r="Y488" s="354"/>
      <c r="Z488" s="353"/>
      <c r="AA488" s="353"/>
      <c r="AB488" s="836"/>
      <c r="AC488" s="836"/>
      <c r="AD488" s="836"/>
      <c r="AE488" s="838"/>
    </row>
    <row r="489" spans="1:31" ht="16.5" customHeight="1">
      <c r="A489" s="347">
        <v>5270921</v>
      </c>
      <c r="B489" s="347" t="s">
        <v>6062</v>
      </c>
      <c r="C489" s="347"/>
      <c r="D489" s="348"/>
      <c r="E489" s="348"/>
      <c r="F489" s="348"/>
      <c r="G489" s="348"/>
      <c r="H489" s="358"/>
      <c r="I489" s="352"/>
      <c r="J489" s="353"/>
      <c r="K489" s="538"/>
      <c r="L489" s="353"/>
      <c r="M489" s="488"/>
      <c r="N489" s="488"/>
      <c r="O489" s="488"/>
      <c r="P489" s="488"/>
      <c r="Q489" s="488"/>
      <c r="R489" s="488"/>
      <c r="S489" s="488"/>
      <c r="T489" s="488"/>
      <c r="U489" s="488"/>
      <c r="V489" s="488"/>
      <c r="W489" s="488"/>
      <c r="X489" s="354"/>
      <c r="Y489" s="354"/>
      <c r="Z489" s="353"/>
      <c r="AA489" s="353"/>
      <c r="AB489" s="836"/>
      <c r="AC489" s="836"/>
      <c r="AD489" s="836"/>
      <c r="AE489" s="837"/>
    </row>
    <row r="490" spans="1:31" ht="16.5" customHeight="1">
      <c r="A490" s="347">
        <v>7599764</v>
      </c>
      <c r="B490" s="347" t="s">
        <v>6063</v>
      </c>
      <c r="C490" s="347"/>
      <c r="D490" s="348"/>
      <c r="E490" s="348"/>
      <c r="F490" s="348"/>
      <c r="G490" s="348"/>
      <c r="H490" s="358"/>
      <c r="I490" s="352"/>
      <c r="J490" s="353"/>
      <c r="K490" s="538"/>
      <c r="L490" s="488"/>
      <c r="M490" s="488"/>
      <c r="N490" s="488"/>
      <c r="O490" s="488"/>
      <c r="P490" s="488"/>
      <c r="Q490" s="488"/>
      <c r="R490" s="488"/>
      <c r="S490" s="488"/>
      <c r="T490" s="488"/>
      <c r="U490" s="488"/>
      <c r="V490" s="488"/>
      <c r="W490" s="488"/>
      <c r="X490" s="354"/>
      <c r="Y490" s="354"/>
      <c r="Z490" s="353"/>
      <c r="AA490" s="353"/>
      <c r="AB490" s="836"/>
      <c r="AC490" s="836"/>
      <c r="AD490" s="836"/>
      <c r="AE490" s="838"/>
    </row>
    <row r="491" spans="1:31" ht="16.5" customHeight="1">
      <c r="A491" s="347">
        <v>20559191</v>
      </c>
      <c r="B491" s="347" t="s">
        <v>6064</v>
      </c>
      <c r="C491" s="347"/>
      <c r="D491" s="348"/>
      <c r="E491" s="348"/>
      <c r="F491" s="348"/>
      <c r="G491" s="348"/>
      <c r="H491" s="358"/>
      <c r="I491" s="352"/>
      <c r="J491" s="353"/>
      <c r="K491" s="538"/>
      <c r="L491" s="353"/>
      <c r="M491" s="488"/>
      <c r="N491" s="353"/>
      <c r="O491" s="488"/>
      <c r="P491" s="488"/>
      <c r="Q491" s="488"/>
      <c r="R491" s="488"/>
      <c r="S491" s="488"/>
      <c r="T491" s="488"/>
      <c r="U491" s="488"/>
      <c r="V491" s="488"/>
      <c r="W491" s="488"/>
      <c r="X491" s="353"/>
      <c r="Y491" s="354"/>
      <c r="Z491" s="353"/>
      <c r="AA491" s="353"/>
      <c r="AB491" s="836"/>
      <c r="AC491" s="836"/>
      <c r="AD491" s="836"/>
      <c r="AE491" s="837"/>
    </row>
    <row r="492" spans="1:31" ht="16.5" customHeight="1">
      <c r="A492" s="347">
        <v>29691599</v>
      </c>
      <c r="B492" s="347" t="s">
        <v>6065</v>
      </c>
      <c r="C492" s="347"/>
      <c r="D492" s="348"/>
      <c r="E492" s="348"/>
      <c r="F492" s="348"/>
      <c r="G492" s="348"/>
      <c r="H492" s="358"/>
      <c r="I492" s="352"/>
      <c r="J492" s="353"/>
      <c r="K492" s="538"/>
      <c r="L492" s="353"/>
      <c r="M492" s="488"/>
      <c r="N492" s="488"/>
      <c r="O492" s="488"/>
      <c r="P492" s="488"/>
      <c r="Q492" s="488"/>
      <c r="R492" s="488"/>
      <c r="S492" s="488"/>
      <c r="T492" s="488"/>
      <c r="U492" s="488"/>
      <c r="V492" s="488"/>
      <c r="W492" s="488"/>
      <c r="X492" s="354"/>
      <c r="Y492" s="354"/>
      <c r="Z492" s="353"/>
      <c r="AA492" s="353"/>
      <c r="AB492" s="836"/>
      <c r="AC492" s="836"/>
      <c r="AD492" s="836"/>
      <c r="AE492" s="838"/>
    </row>
    <row r="493" spans="1:31" ht="16.5" customHeight="1">
      <c r="A493" s="347">
        <v>100005546</v>
      </c>
      <c r="B493" s="347" t="s">
        <v>5990</v>
      </c>
      <c r="C493" s="347"/>
      <c r="D493" s="348"/>
      <c r="E493" s="348"/>
      <c r="F493" s="348"/>
      <c r="G493" s="348"/>
      <c r="H493" s="358"/>
      <c r="I493" s="352"/>
      <c r="J493" s="353"/>
      <c r="K493" s="538"/>
      <c r="L493" s="353"/>
      <c r="M493" s="488"/>
      <c r="N493" s="488"/>
      <c r="O493" s="488"/>
      <c r="P493" s="488"/>
      <c r="Q493" s="488"/>
      <c r="R493" s="488"/>
      <c r="S493" s="488"/>
      <c r="T493" s="488"/>
      <c r="U493" s="488"/>
      <c r="V493" s="353"/>
      <c r="W493" s="488"/>
      <c r="X493" s="354"/>
      <c r="Y493" s="354"/>
      <c r="Z493" s="353"/>
      <c r="AA493" s="353"/>
      <c r="AB493" s="836"/>
      <c r="AC493" s="842"/>
      <c r="AD493" s="836"/>
      <c r="AE493" s="837"/>
    </row>
    <row r="494" spans="1:31" ht="16.5" customHeight="1">
      <c r="A494" s="347">
        <v>18544874</v>
      </c>
      <c r="B494" s="347" t="s">
        <v>6066</v>
      </c>
      <c r="C494" s="347"/>
      <c r="D494" s="348"/>
      <c r="E494" s="348"/>
      <c r="F494" s="348"/>
      <c r="G494" s="348"/>
      <c r="H494" s="358"/>
      <c r="I494" s="352"/>
      <c r="J494" s="353"/>
      <c r="K494" s="538"/>
      <c r="L494" s="488"/>
      <c r="M494" s="353"/>
      <c r="N494" s="488"/>
      <c r="O494" s="488"/>
      <c r="P494" s="488"/>
      <c r="Q494" s="488"/>
      <c r="R494" s="488"/>
      <c r="S494" s="488"/>
      <c r="T494" s="488"/>
      <c r="U494" s="488"/>
      <c r="V494" s="488"/>
      <c r="W494" s="488"/>
      <c r="X494" s="353"/>
      <c r="Y494" s="354"/>
      <c r="Z494" s="353"/>
      <c r="AA494" s="353"/>
      <c r="AB494" s="836"/>
      <c r="AC494" s="836"/>
      <c r="AD494" s="836"/>
      <c r="AE494" s="838"/>
    </row>
    <row r="495" spans="1:31" ht="16.5" customHeight="1">
      <c r="A495" s="347">
        <v>1308246</v>
      </c>
      <c r="B495" s="347" t="s">
        <v>6067</v>
      </c>
      <c r="C495" s="347"/>
      <c r="D495" s="348"/>
      <c r="E495" s="348"/>
      <c r="F495" s="348"/>
      <c r="G495" s="348"/>
      <c r="H495" s="358"/>
      <c r="I495" s="352"/>
      <c r="J495" s="353"/>
      <c r="K495" s="539"/>
      <c r="L495" s="353"/>
      <c r="M495" s="488"/>
      <c r="N495" s="488"/>
      <c r="O495" s="488"/>
      <c r="P495" s="488"/>
      <c r="Q495" s="488"/>
      <c r="R495" s="488"/>
      <c r="S495" s="488"/>
      <c r="T495" s="488"/>
      <c r="U495" s="488"/>
      <c r="V495" s="488"/>
      <c r="W495" s="488"/>
      <c r="X495" s="354"/>
      <c r="Y495" s="354"/>
      <c r="Z495" s="353"/>
      <c r="AA495" s="353"/>
      <c r="AB495" s="836"/>
      <c r="AC495" s="836"/>
      <c r="AD495" s="836"/>
      <c r="AE495" s="837"/>
    </row>
    <row r="496" spans="1:31" ht="16.5" customHeight="1">
      <c r="A496" s="347">
        <v>30726269</v>
      </c>
      <c r="B496" s="347" t="s">
        <v>6068</v>
      </c>
      <c r="C496" s="347"/>
      <c r="D496" s="348"/>
      <c r="E496" s="348"/>
      <c r="F496" s="348"/>
      <c r="G496" s="348"/>
      <c r="H496" s="358"/>
      <c r="I496" s="352"/>
      <c r="J496" s="353"/>
      <c r="K496" s="539"/>
      <c r="L496" s="353"/>
      <c r="M496" s="488"/>
      <c r="N496" s="488"/>
      <c r="O496" s="488"/>
      <c r="P496" s="488"/>
      <c r="Q496" s="488"/>
      <c r="R496" s="488"/>
      <c r="S496" s="488"/>
      <c r="T496" s="488"/>
      <c r="U496" s="488"/>
      <c r="V496" s="488"/>
      <c r="W496" s="488"/>
      <c r="X496" s="353"/>
      <c r="Y496" s="354"/>
      <c r="Z496" s="353"/>
      <c r="AA496" s="353"/>
      <c r="AB496" s="836"/>
      <c r="AC496" s="836"/>
      <c r="AD496" s="836"/>
      <c r="AE496" s="838"/>
    </row>
    <row r="497" spans="1:31" ht="16.5" customHeight="1">
      <c r="A497" s="347">
        <v>352211</v>
      </c>
      <c r="B497" s="347" t="s">
        <v>6069</v>
      </c>
      <c r="C497" s="347"/>
      <c r="D497" s="348"/>
      <c r="E497" s="348"/>
      <c r="F497" s="348"/>
      <c r="G497" s="348"/>
      <c r="H497" s="358"/>
      <c r="I497" s="352"/>
      <c r="J497" s="353"/>
      <c r="K497" s="538"/>
      <c r="L497" s="488"/>
      <c r="M497" s="353"/>
      <c r="N497" s="488"/>
      <c r="O497" s="488"/>
      <c r="P497" s="488"/>
      <c r="Q497" s="488"/>
      <c r="R497" s="488"/>
      <c r="S497" s="488"/>
      <c r="T497" s="488"/>
      <c r="U497" s="488"/>
      <c r="V497" s="488"/>
      <c r="W497" s="488"/>
      <c r="X497" s="353"/>
      <c r="Y497" s="354"/>
      <c r="Z497" s="353"/>
      <c r="AA497" s="353"/>
      <c r="AB497" s="836"/>
      <c r="AC497" s="836"/>
      <c r="AD497" s="836"/>
      <c r="AE497" s="838"/>
    </row>
    <row r="498" spans="1:31" ht="16.5" customHeight="1">
      <c r="A498" s="347">
        <v>2448744</v>
      </c>
      <c r="B498" s="347" t="s">
        <v>6070</v>
      </c>
      <c r="C498" s="347"/>
      <c r="D498" s="348"/>
      <c r="E498" s="348"/>
      <c r="F498" s="348"/>
      <c r="G498" s="348"/>
      <c r="H498" s="358"/>
      <c r="I498" s="352"/>
      <c r="J498" s="353"/>
      <c r="K498" s="538"/>
      <c r="L498" s="353"/>
      <c r="M498" s="488"/>
      <c r="N498" s="488"/>
      <c r="O498" s="488"/>
      <c r="P498" s="488"/>
      <c r="Q498" s="488"/>
      <c r="R498" s="488"/>
      <c r="S498" s="488"/>
      <c r="T498" s="488"/>
      <c r="U498" s="488"/>
      <c r="V498" s="488"/>
      <c r="W498" s="488"/>
      <c r="X498" s="354"/>
      <c r="Y498" s="355"/>
      <c r="Z498" s="353"/>
      <c r="AA498" s="353"/>
      <c r="AB498" s="836"/>
      <c r="AC498" s="836"/>
      <c r="AD498" s="836"/>
      <c r="AE498" s="837"/>
    </row>
    <row r="499" spans="1:31" ht="16.5" customHeight="1">
      <c r="A499" s="347">
        <v>397414</v>
      </c>
      <c r="B499" s="347" t="s">
        <v>6071</v>
      </c>
      <c r="C499" s="347"/>
      <c r="D499" s="348"/>
      <c r="E499" s="348"/>
      <c r="F499" s="348"/>
      <c r="G499" s="348"/>
      <c r="H499" s="358"/>
      <c r="I499" s="352"/>
      <c r="J499" s="353"/>
      <c r="K499" s="539"/>
      <c r="L499" s="488"/>
      <c r="M499" s="488"/>
      <c r="N499" s="488"/>
      <c r="O499" s="488"/>
      <c r="P499" s="488"/>
      <c r="Q499" s="353"/>
      <c r="R499" s="488"/>
      <c r="S499" s="488"/>
      <c r="T499" s="488"/>
      <c r="U499" s="488"/>
      <c r="V499" s="488"/>
      <c r="W499" s="488"/>
      <c r="X499" s="353"/>
      <c r="Y499" s="354"/>
      <c r="Z499" s="353"/>
      <c r="AA499" s="353"/>
      <c r="AB499" s="836"/>
      <c r="AC499" s="836"/>
      <c r="AD499" s="836"/>
      <c r="AE499" s="837"/>
    </row>
    <row r="500" spans="1:31" ht="16.5" customHeight="1">
      <c r="A500" s="347">
        <v>7331937</v>
      </c>
      <c r="B500" s="347" t="s">
        <v>6072</v>
      </c>
      <c r="C500" s="347"/>
      <c r="D500" s="348"/>
      <c r="E500" s="348"/>
      <c r="F500" s="348"/>
      <c r="G500" s="348"/>
      <c r="H500" s="358"/>
      <c r="I500" s="352"/>
      <c r="J500" s="353"/>
      <c r="K500" s="538"/>
      <c r="L500" s="353"/>
      <c r="M500" s="488"/>
      <c r="N500" s="488"/>
      <c r="O500" s="488"/>
      <c r="P500" s="488"/>
      <c r="Q500" s="488"/>
      <c r="R500" s="488"/>
      <c r="S500" s="488"/>
      <c r="T500" s="488"/>
      <c r="U500" s="488"/>
      <c r="V500" s="488"/>
      <c r="W500" s="488"/>
      <c r="X500" s="354"/>
      <c r="Y500" s="354"/>
      <c r="Z500" s="353"/>
      <c r="AA500" s="353"/>
      <c r="AB500" s="842"/>
      <c r="AC500" s="836"/>
      <c r="AD500" s="836"/>
      <c r="AE500" s="837"/>
    </row>
    <row r="501" spans="1:31" ht="16.5" customHeight="1">
      <c r="A501" s="347">
        <v>20540639</v>
      </c>
      <c r="B501" s="347" t="s">
        <v>6073</v>
      </c>
      <c r="C501" s="347"/>
      <c r="D501" s="348"/>
      <c r="E501" s="348"/>
      <c r="F501" s="348"/>
      <c r="G501" s="348"/>
      <c r="H501" s="358"/>
      <c r="I501" s="352"/>
      <c r="J501" s="353"/>
      <c r="K501" s="538"/>
      <c r="L501" s="488"/>
      <c r="M501" s="488"/>
      <c r="N501" s="353"/>
      <c r="O501" s="488"/>
      <c r="P501" s="488"/>
      <c r="Q501" s="488"/>
      <c r="R501" s="488"/>
      <c r="S501" s="488"/>
      <c r="T501" s="488"/>
      <c r="U501" s="488"/>
      <c r="V501" s="488"/>
      <c r="W501" s="488"/>
      <c r="X501" s="354"/>
      <c r="Y501" s="354"/>
      <c r="Z501" s="353"/>
      <c r="AA501" s="353"/>
      <c r="AB501" s="836"/>
      <c r="AC501" s="836"/>
      <c r="AD501" s="836"/>
      <c r="AE501" s="838"/>
    </row>
    <row r="502" spans="1:31" ht="16.5" customHeight="1">
      <c r="A502" s="347">
        <v>1123462</v>
      </c>
      <c r="B502" s="347" t="s">
        <v>6074</v>
      </c>
      <c r="C502" s="347"/>
      <c r="D502" s="348"/>
      <c r="E502" s="348"/>
      <c r="F502" s="348"/>
      <c r="G502" s="348"/>
      <c r="H502" s="358"/>
      <c r="I502" s="352"/>
      <c r="J502" s="353"/>
      <c r="K502" s="538"/>
      <c r="L502" s="488"/>
      <c r="M502" s="488"/>
      <c r="N502" s="488"/>
      <c r="O502" s="488"/>
      <c r="P502" s="488"/>
      <c r="Q502" s="488"/>
      <c r="R502" s="488"/>
      <c r="S502" s="488"/>
      <c r="T502" s="488"/>
      <c r="U502" s="488"/>
      <c r="V502" s="488"/>
      <c r="W502" s="488"/>
      <c r="X502" s="354"/>
      <c r="Y502" s="354"/>
      <c r="Z502" s="353"/>
      <c r="AA502" s="353"/>
      <c r="AB502" s="836"/>
      <c r="AC502" s="836"/>
      <c r="AD502" s="836"/>
      <c r="AE502" s="838"/>
    </row>
    <row r="503" spans="1:31" ht="16.5" customHeight="1">
      <c r="A503" s="347">
        <v>299255</v>
      </c>
      <c r="B503" s="347" t="s">
        <v>6075</v>
      </c>
      <c r="C503" s="347"/>
      <c r="D503" s="348"/>
      <c r="E503" s="348"/>
      <c r="F503" s="348"/>
      <c r="G503" s="348"/>
      <c r="H503" s="358"/>
      <c r="I503" s="352"/>
      <c r="J503" s="353"/>
      <c r="K503" s="538"/>
      <c r="L503" s="353"/>
      <c r="M503" s="488"/>
      <c r="N503" s="488"/>
      <c r="O503" s="488"/>
      <c r="P503" s="488"/>
      <c r="Q503" s="488"/>
      <c r="R503" s="488"/>
      <c r="S503" s="488"/>
      <c r="T503" s="488"/>
      <c r="U503" s="488"/>
      <c r="V503" s="488"/>
      <c r="W503" s="488"/>
      <c r="X503" s="354"/>
      <c r="Y503" s="354"/>
      <c r="Z503" s="353"/>
      <c r="AA503" s="353"/>
      <c r="AB503" s="836"/>
      <c r="AC503" s="836"/>
      <c r="AD503" s="836"/>
      <c r="AE503" s="837"/>
    </row>
    <row r="504" spans="1:31" ht="16.5" customHeight="1">
      <c r="A504" s="347">
        <v>55814</v>
      </c>
      <c r="B504" s="347" t="s">
        <v>6076</v>
      </c>
      <c r="C504" s="347"/>
      <c r="D504" s="348"/>
      <c r="E504" s="348"/>
      <c r="F504" s="348"/>
      <c r="G504" s="348"/>
      <c r="H504" s="358"/>
      <c r="I504" s="352"/>
      <c r="J504" s="353"/>
      <c r="K504" s="538"/>
      <c r="L504" s="353"/>
      <c r="M504" s="488"/>
      <c r="N504" s="488"/>
      <c r="O504" s="488"/>
      <c r="P504" s="488"/>
      <c r="Q504" s="488"/>
      <c r="R504" s="488"/>
      <c r="S504" s="488"/>
      <c r="T504" s="488"/>
      <c r="U504" s="488"/>
      <c r="V504" s="488"/>
      <c r="W504" s="488"/>
      <c r="X504" s="354"/>
      <c r="Y504" s="354"/>
      <c r="Z504" s="353"/>
      <c r="AA504" s="353"/>
      <c r="AB504" s="836"/>
      <c r="AC504" s="836"/>
      <c r="AD504" s="836"/>
      <c r="AE504" s="838"/>
    </row>
    <row r="505" spans="1:31" ht="16.5" customHeight="1">
      <c r="A505" s="347">
        <v>9662800</v>
      </c>
      <c r="B505" s="347" t="s">
        <v>6077</v>
      </c>
      <c r="C505" s="347"/>
      <c r="D505" s="348"/>
      <c r="E505" s="348"/>
      <c r="F505" s="348"/>
      <c r="G505" s="348"/>
      <c r="H505" s="358"/>
      <c r="I505" s="352"/>
      <c r="J505" s="353"/>
      <c r="K505" s="538"/>
      <c r="L505" s="488"/>
      <c r="M505" s="488"/>
      <c r="N505" s="488"/>
      <c r="O505" s="488"/>
      <c r="P505" s="488"/>
      <c r="Q505" s="488"/>
      <c r="R505" s="488"/>
      <c r="S505" s="488"/>
      <c r="T505" s="488"/>
      <c r="U505" s="488"/>
      <c r="V505" s="488"/>
      <c r="W505" s="488"/>
      <c r="X505" s="354"/>
      <c r="Y505" s="354"/>
      <c r="Z505" s="353"/>
      <c r="AA505" s="353"/>
      <c r="AB505" s="836"/>
      <c r="AC505" s="836"/>
      <c r="AD505" s="836"/>
      <c r="AE505" s="838"/>
    </row>
    <row r="506" spans="1:31" ht="16.5" customHeight="1">
      <c r="A506" s="347">
        <v>21040134</v>
      </c>
      <c r="B506" s="347" t="s">
        <v>6078</v>
      </c>
      <c r="C506" s="347"/>
      <c r="D506" s="348"/>
      <c r="E506" s="348"/>
      <c r="F506" s="348"/>
      <c r="G506" s="348"/>
      <c r="H506" s="358"/>
      <c r="I506" s="352"/>
      <c r="J506" s="353"/>
      <c r="K506" s="538"/>
      <c r="L506" s="488"/>
      <c r="M506" s="488"/>
      <c r="N506" s="488"/>
      <c r="O506" s="488"/>
      <c r="P506" s="488"/>
      <c r="Q506" s="488"/>
      <c r="R506" s="488"/>
      <c r="S506" s="488"/>
      <c r="T506" s="488"/>
      <c r="U506" s="488"/>
      <c r="V506" s="488"/>
      <c r="W506" s="488"/>
      <c r="X506" s="354"/>
      <c r="Y506" s="355"/>
      <c r="Z506" s="353"/>
      <c r="AA506" s="353"/>
      <c r="AB506" s="836"/>
      <c r="AC506" s="836"/>
      <c r="AD506" s="836"/>
      <c r="AE506" s="838"/>
    </row>
    <row r="507" spans="1:31" ht="16.5" customHeight="1">
      <c r="A507" s="347">
        <v>40281990</v>
      </c>
      <c r="B507" s="347" t="s">
        <v>6079</v>
      </c>
      <c r="C507" s="347"/>
      <c r="D507" s="348"/>
      <c r="E507" s="348"/>
      <c r="F507" s="348"/>
      <c r="G507" s="348"/>
      <c r="H507" s="358"/>
      <c r="I507" s="352"/>
      <c r="J507" s="353"/>
      <c r="K507" s="538"/>
      <c r="L507" s="353"/>
      <c r="M507" s="488"/>
      <c r="N507" s="488"/>
      <c r="O507" s="488"/>
      <c r="P507" s="488"/>
      <c r="Q507" s="488"/>
      <c r="R507" s="488"/>
      <c r="S507" s="488"/>
      <c r="T507" s="488"/>
      <c r="U507" s="488"/>
      <c r="V507" s="488"/>
      <c r="W507" s="488"/>
      <c r="X507" s="354"/>
      <c r="Y507" s="354"/>
      <c r="Z507" s="353"/>
      <c r="AA507" s="353"/>
      <c r="AB507" s="836"/>
      <c r="AC507" s="836"/>
      <c r="AD507" s="836"/>
      <c r="AE507" s="838"/>
    </row>
    <row r="508" spans="1:31" ht="16.5" customHeight="1">
      <c r="A508" s="347">
        <v>4386959</v>
      </c>
      <c r="B508" s="347" t="s">
        <v>6080</v>
      </c>
      <c r="C508" s="347"/>
      <c r="D508" s="348"/>
      <c r="E508" s="348"/>
      <c r="F508" s="348"/>
      <c r="G508" s="348"/>
      <c r="H508" s="358"/>
      <c r="I508" s="352"/>
      <c r="J508" s="353"/>
      <c r="K508" s="538"/>
      <c r="L508" s="488"/>
      <c r="M508" s="488"/>
      <c r="N508" s="488"/>
      <c r="O508" s="488"/>
      <c r="P508" s="488"/>
      <c r="Q508" s="488"/>
      <c r="R508" s="488"/>
      <c r="S508" s="488"/>
      <c r="T508" s="488"/>
      <c r="U508" s="488"/>
      <c r="V508" s="488"/>
      <c r="W508" s="488"/>
      <c r="X508" s="354"/>
      <c r="Y508" s="354"/>
      <c r="Z508" s="353"/>
      <c r="AA508" s="353"/>
      <c r="AB508" s="836"/>
      <c r="AC508" s="836"/>
      <c r="AD508" s="836"/>
      <c r="AE508" s="838"/>
    </row>
    <row r="509" spans="1:31" ht="16.5" customHeight="1">
      <c r="A509" s="347">
        <v>8051872</v>
      </c>
      <c r="B509" s="347" t="s">
        <v>6081</v>
      </c>
      <c r="C509" s="347"/>
      <c r="D509" s="361"/>
      <c r="E509" s="361"/>
      <c r="F509" s="361"/>
      <c r="G509" s="348"/>
      <c r="H509" s="358"/>
      <c r="I509" s="352"/>
      <c r="J509" s="353"/>
      <c r="K509" s="538"/>
      <c r="L509" s="353"/>
      <c r="M509" s="488"/>
      <c r="N509" s="353"/>
      <c r="O509" s="488"/>
      <c r="P509" s="488"/>
      <c r="Q509" s="488"/>
      <c r="R509" s="488"/>
      <c r="S509" s="488"/>
      <c r="T509" s="488"/>
      <c r="U509" s="488"/>
      <c r="V509" s="488"/>
      <c r="W509" s="488"/>
      <c r="X509" s="354"/>
      <c r="Y509" s="354"/>
      <c r="Z509" s="353"/>
      <c r="AA509" s="353"/>
      <c r="AB509" s="836"/>
      <c r="AC509" s="836"/>
      <c r="AD509" s="836"/>
      <c r="AE509" s="837"/>
    </row>
    <row r="510" spans="1:31" ht="16.5" customHeight="1">
      <c r="A510" s="347">
        <v>24388233</v>
      </c>
      <c r="B510" s="347" t="s">
        <v>6082</v>
      </c>
      <c r="C510" s="347"/>
      <c r="D510" s="348"/>
      <c r="E510" s="348"/>
      <c r="F510" s="348"/>
      <c r="G510" s="348"/>
      <c r="H510" s="358"/>
      <c r="I510" s="352"/>
      <c r="J510" s="353"/>
      <c r="K510" s="538"/>
      <c r="L510" s="488"/>
      <c r="M510" s="488"/>
      <c r="N510" s="488"/>
      <c r="O510" s="488"/>
      <c r="P510" s="488"/>
      <c r="Q510" s="488"/>
      <c r="R510" s="488"/>
      <c r="S510" s="488"/>
      <c r="T510" s="488"/>
      <c r="U510" s="488"/>
      <c r="V510" s="488"/>
      <c r="W510" s="353"/>
      <c r="X510" s="354"/>
      <c r="Y510" s="354"/>
      <c r="Z510" s="353"/>
      <c r="AA510" s="353"/>
      <c r="AB510" s="836"/>
      <c r="AC510" s="836"/>
      <c r="AD510" s="842"/>
      <c r="AE510" s="837"/>
    </row>
    <row r="511" spans="1:31" ht="16.5" customHeight="1">
      <c r="A511" s="347">
        <v>8130544</v>
      </c>
      <c r="B511" s="347" t="s">
        <v>6083</v>
      </c>
      <c r="C511" s="347"/>
      <c r="D511" s="348"/>
      <c r="E511" s="348"/>
      <c r="F511" s="348"/>
      <c r="G511" s="348"/>
      <c r="H511" s="358"/>
      <c r="I511" s="352"/>
      <c r="J511" s="353"/>
      <c r="K511" s="538"/>
      <c r="L511" s="488"/>
      <c r="M511" s="488"/>
      <c r="N511" s="488"/>
      <c r="O511" s="488"/>
      <c r="P511" s="488"/>
      <c r="Q511" s="488"/>
      <c r="R511" s="488"/>
      <c r="S511" s="488"/>
      <c r="T511" s="488"/>
      <c r="U511" s="488"/>
      <c r="V511" s="488"/>
      <c r="W511" s="488"/>
      <c r="X511" s="354"/>
      <c r="Y511" s="354"/>
      <c r="Z511" s="353"/>
      <c r="AA511" s="353"/>
      <c r="AB511" s="836"/>
      <c r="AC511" s="836"/>
      <c r="AD511" s="836"/>
      <c r="AE511" s="838"/>
    </row>
    <row r="512" spans="1:31" ht="16.5" customHeight="1">
      <c r="A512" s="347">
        <v>100005167</v>
      </c>
      <c r="B512" s="347" t="s">
        <v>5990</v>
      </c>
      <c r="C512" s="347"/>
      <c r="D512" s="348"/>
      <c r="E512" s="348"/>
      <c r="F512" s="348"/>
      <c r="G512" s="348"/>
      <c r="H512" s="358"/>
      <c r="I512" s="352"/>
      <c r="J512" s="353"/>
      <c r="K512" s="538"/>
      <c r="L512" s="488"/>
      <c r="M512" s="488"/>
      <c r="N512" s="488"/>
      <c r="O512" s="488"/>
      <c r="P512" s="488"/>
      <c r="Q512" s="488"/>
      <c r="R512" s="488"/>
      <c r="S512" s="488"/>
      <c r="T512" s="488"/>
      <c r="U512" s="488"/>
      <c r="V512" s="488"/>
      <c r="W512" s="488"/>
      <c r="X512" s="353"/>
      <c r="Y512" s="355"/>
      <c r="Z512" s="353"/>
      <c r="AA512" s="353"/>
      <c r="AB512" s="836"/>
      <c r="AC512" s="836"/>
      <c r="AD512" s="836"/>
      <c r="AE512" s="838"/>
    </row>
    <row r="513" spans="1:31" ht="16.5" customHeight="1">
      <c r="A513" s="347">
        <v>33096116</v>
      </c>
      <c r="B513" s="347" t="s">
        <v>6084</v>
      </c>
      <c r="C513" s="347"/>
      <c r="D513" s="348"/>
      <c r="E513" s="348"/>
      <c r="F513" s="348"/>
      <c r="G513" s="348"/>
      <c r="H513" s="358"/>
      <c r="I513" s="352"/>
      <c r="J513" s="353"/>
      <c r="K513" s="538"/>
      <c r="L513" s="488"/>
      <c r="M513" s="488"/>
      <c r="N513" s="488"/>
      <c r="O513" s="488"/>
      <c r="P513" s="488"/>
      <c r="Q513" s="488"/>
      <c r="R513" s="488"/>
      <c r="S513" s="488"/>
      <c r="T513" s="488"/>
      <c r="U513" s="488"/>
      <c r="V513" s="488"/>
      <c r="W513" s="488"/>
      <c r="X513" s="354"/>
      <c r="Y513" s="354"/>
      <c r="Z513" s="353"/>
      <c r="AA513" s="353"/>
      <c r="AB513" s="836"/>
      <c r="AC513" s="836"/>
      <c r="AD513" s="836"/>
      <c r="AE513" s="838"/>
    </row>
    <row r="514" spans="1:31" ht="16.5" customHeight="1">
      <c r="A514" s="347">
        <v>6542989</v>
      </c>
      <c r="B514" s="347" t="s">
        <v>6085</v>
      </c>
      <c r="C514" s="347"/>
      <c r="D514" s="348"/>
      <c r="E514" s="348"/>
      <c r="F514" s="348"/>
      <c r="G514" s="348"/>
      <c r="H514" s="358"/>
      <c r="I514" s="352"/>
      <c r="J514" s="353"/>
      <c r="K514" s="538"/>
      <c r="L514" s="488"/>
      <c r="M514" s="353"/>
      <c r="N514" s="488"/>
      <c r="O514" s="488"/>
      <c r="P514" s="488"/>
      <c r="Q514" s="488"/>
      <c r="R514" s="488"/>
      <c r="S514" s="488"/>
      <c r="T514" s="488"/>
      <c r="U514" s="488"/>
      <c r="V514" s="488"/>
      <c r="W514" s="488"/>
      <c r="X514" s="354"/>
      <c r="Y514" s="354"/>
      <c r="Z514" s="353"/>
      <c r="AA514" s="353"/>
      <c r="AB514" s="836"/>
      <c r="AC514" s="836"/>
      <c r="AD514" s="836"/>
      <c r="AE514" s="837"/>
    </row>
    <row r="515" spans="1:31" ht="16.5" customHeight="1">
      <c r="A515" s="347">
        <v>5832399</v>
      </c>
      <c r="B515" s="347" t="s">
        <v>6086</v>
      </c>
      <c r="C515" s="347"/>
      <c r="D515" s="348"/>
      <c r="E515" s="348"/>
      <c r="F515" s="348"/>
      <c r="G515" s="348"/>
      <c r="H515" s="358"/>
      <c r="I515" s="352"/>
      <c r="J515" s="353"/>
      <c r="K515" s="538"/>
      <c r="L515" s="353"/>
      <c r="M515" s="488"/>
      <c r="N515" s="353"/>
      <c r="O515" s="488"/>
      <c r="P515" s="488"/>
      <c r="Q515" s="488"/>
      <c r="R515" s="488"/>
      <c r="S515" s="488"/>
      <c r="T515" s="488"/>
      <c r="U515" s="488"/>
      <c r="V515" s="488"/>
      <c r="W515" s="488"/>
      <c r="X515" s="354"/>
      <c r="Y515" s="354"/>
      <c r="Z515" s="353"/>
      <c r="AA515" s="353"/>
      <c r="AB515" s="842"/>
      <c r="AC515" s="836"/>
      <c r="AD515" s="836"/>
      <c r="AE515" s="837"/>
    </row>
    <row r="516" spans="1:31" ht="16.5" customHeight="1">
      <c r="A516" s="347">
        <v>4451175</v>
      </c>
      <c r="B516" s="347" t="s">
        <v>6087</v>
      </c>
      <c r="C516" s="347"/>
      <c r="D516" s="348"/>
      <c r="E516" s="348"/>
      <c r="F516" s="348"/>
      <c r="G516" s="348"/>
      <c r="H516" s="358"/>
      <c r="I516" s="352"/>
      <c r="J516" s="353"/>
      <c r="K516" s="538"/>
      <c r="L516" s="488"/>
      <c r="M516" s="488"/>
      <c r="N516" s="488"/>
      <c r="O516" s="488"/>
      <c r="P516" s="488"/>
      <c r="Q516" s="488"/>
      <c r="R516" s="488"/>
      <c r="S516" s="488"/>
      <c r="T516" s="488"/>
      <c r="U516" s="488"/>
      <c r="V516" s="488"/>
      <c r="W516" s="488"/>
      <c r="X516" s="354"/>
      <c r="Y516" s="354"/>
      <c r="Z516" s="353"/>
      <c r="AA516" s="353"/>
      <c r="AB516" s="836"/>
      <c r="AC516" s="836"/>
      <c r="AD516" s="836"/>
      <c r="AE516" s="838"/>
    </row>
    <row r="517" spans="1:31" ht="16.5" customHeight="1">
      <c r="A517" s="347">
        <v>35237171</v>
      </c>
      <c r="B517" s="347" t="s">
        <v>6088</v>
      </c>
      <c r="C517" s="347"/>
      <c r="D517" s="348"/>
      <c r="E517" s="348"/>
      <c r="F517" s="348"/>
      <c r="G517" s="348"/>
      <c r="H517" s="358"/>
      <c r="I517" s="352"/>
      <c r="J517" s="353"/>
      <c r="K517" s="538"/>
      <c r="L517" s="488"/>
      <c r="M517" s="488"/>
      <c r="N517" s="488"/>
      <c r="O517" s="488"/>
      <c r="P517" s="488"/>
      <c r="Q517" s="488"/>
      <c r="R517" s="488"/>
      <c r="S517" s="488"/>
      <c r="T517" s="488"/>
      <c r="U517" s="488"/>
      <c r="V517" s="488"/>
      <c r="W517" s="488"/>
      <c r="X517" s="354"/>
      <c r="Y517" s="354"/>
      <c r="Z517" s="353"/>
      <c r="AA517" s="353"/>
      <c r="AB517" s="836"/>
      <c r="AC517" s="836"/>
      <c r="AD517" s="836"/>
      <c r="AE517" s="838"/>
    </row>
    <row r="518" spans="1:31" ht="16.5" customHeight="1">
      <c r="A518" s="347">
        <v>100004534</v>
      </c>
      <c r="B518" s="347" t="s">
        <v>6089</v>
      </c>
      <c r="C518" s="347"/>
      <c r="D518" s="348"/>
      <c r="E518" s="348"/>
      <c r="F518" s="348"/>
      <c r="G518" s="348"/>
      <c r="H518" s="358"/>
      <c r="I518" s="352"/>
      <c r="J518" s="353"/>
      <c r="K518" s="538"/>
      <c r="L518" s="353"/>
      <c r="M518" s="488"/>
      <c r="N518" s="488"/>
      <c r="O518" s="488"/>
      <c r="P518" s="488"/>
      <c r="Q518" s="488"/>
      <c r="R518" s="488"/>
      <c r="S518" s="488"/>
      <c r="T518" s="488"/>
      <c r="U518" s="488"/>
      <c r="V518" s="488"/>
      <c r="W518" s="488"/>
      <c r="X518" s="354"/>
      <c r="Y518" s="354"/>
      <c r="Z518" s="353"/>
      <c r="AA518" s="353"/>
      <c r="AB518" s="836"/>
      <c r="AC518" s="836"/>
      <c r="AD518" s="836"/>
      <c r="AE518" s="837"/>
    </row>
    <row r="519" spans="1:31" ht="16.5" customHeight="1">
      <c r="A519" s="347">
        <v>100053866</v>
      </c>
      <c r="B519" s="347" t="s">
        <v>6090</v>
      </c>
      <c r="C519" s="347"/>
      <c r="D519" s="348"/>
      <c r="E519" s="348"/>
      <c r="F519" s="348"/>
      <c r="G519" s="348"/>
      <c r="H519" s="358"/>
      <c r="I519" s="352"/>
      <c r="J519" s="353"/>
      <c r="K519" s="538"/>
      <c r="L519" s="353"/>
      <c r="M519" s="488"/>
      <c r="N519" s="488"/>
      <c r="O519" s="488"/>
      <c r="P519" s="488"/>
      <c r="Q519" s="488"/>
      <c r="R519" s="488"/>
      <c r="S519" s="488"/>
      <c r="T519" s="488"/>
      <c r="U519" s="488"/>
      <c r="V519" s="488"/>
      <c r="W519" s="488"/>
      <c r="X519" s="354"/>
      <c r="Y519" s="354"/>
      <c r="Z519" s="353"/>
      <c r="AA519" s="353"/>
      <c r="AB519" s="836"/>
      <c r="AC519" s="836"/>
      <c r="AD519" s="836"/>
      <c r="AE519" s="837"/>
    </row>
    <row r="520" spans="1:31" ht="16.5" customHeight="1">
      <c r="A520" s="347">
        <v>4772216</v>
      </c>
      <c r="B520" s="347" t="s">
        <v>6091</v>
      </c>
      <c r="C520" s="347"/>
      <c r="D520" s="348"/>
      <c r="E520" s="348"/>
      <c r="F520" s="348"/>
      <c r="G520" s="348"/>
      <c r="H520" s="358"/>
      <c r="I520" s="352"/>
      <c r="J520" s="353"/>
      <c r="K520" s="538"/>
      <c r="L520" s="353"/>
      <c r="M520" s="488"/>
      <c r="N520" s="488"/>
      <c r="O520" s="488"/>
      <c r="P520" s="488"/>
      <c r="Q520" s="488"/>
      <c r="R520" s="488"/>
      <c r="S520" s="488"/>
      <c r="T520" s="488"/>
      <c r="U520" s="488"/>
      <c r="V520" s="488"/>
      <c r="W520" s="488"/>
      <c r="X520" s="353"/>
      <c r="Y520" s="355"/>
      <c r="Z520" s="353"/>
      <c r="AA520" s="353"/>
      <c r="AB520" s="836"/>
      <c r="AC520" s="836"/>
      <c r="AD520" s="836"/>
      <c r="AE520" s="838"/>
    </row>
    <row r="521" spans="1:31" ht="16.5" customHeight="1">
      <c r="A521" s="347">
        <v>100005730</v>
      </c>
      <c r="B521" s="347" t="s">
        <v>6092</v>
      </c>
      <c r="C521" s="347"/>
      <c r="D521" s="348"/>
      <c r="E521" s="348"/>
      <c r="F521" s="348"/>
      <c r="G521" s="348"/>
      <c r="H521" s="358"/>
      <c r="I521" s="352"/>
      <c r="J521" s="353"/>
      <c r="K521" s="538"/>
      <c r="L521" s="353"/>
      <c r="M521" s="488"/>
      <c r="N521" s="488"/>
      <c r="O521" s="488"/>
      <c r="P521" s="488"/>
      <c r="Q521" s="488"/>
      <c r="R521" s="488"/>
      <c r="S521" s="488"/>
      <c r="T521" s="488"/>
      <c r="U521" s="488"/>
      <c r="V521" s="488"/>
      <c r="W521" s="488"/>
      <c r="X521" s="354"/>
      <c r="Y521" s="354"/>
      <c r="Z521" s="353"/>
      <c r="AA521" s="353"/>
      <c r="AB521" s="836"/>
      <c r="AC521" s="836"/>
      <c r="AD521" s="836"/>
      <c r="AE521" s="838"/>
    </row>
    <row r="522" spans="1:31" ht="16.5" customHeight="1">
      <c r="A522" s="347">
        <v>2475432</v>
      </c>
      <c r="B522" s="347" t="s">
        <v>6093</v>
      </c>
      <c r="C522" s="347"/>
      <c r="D522" s="348"/>
      <c r="E522" s="348"/>
      <c r="F522" s="348"/>
      <c r="G522" s="348"/>
      <c r="H522" s="358"/>
      <c r="I522" s="352"/>
      <c r="J522" s="353"/>
      <c r="K522" s="538"/>
      <c r="L522" s="353"/>
      <c r="M522" s="488"/>
      <c r="N522" s="488"/>
      <c r="O522" s="488"/>
      <c r="P522" s="488"/>
      <c r="Q522" s="488"/>
      <c r="R522" s="488"/>
      <c r="S522" s="488"/>
      <c r="T522" s="488"/>
      <c r="U522" s="488"/>
      <c r="V522" s="488"/>
      <c r="W522" s="488"/>
      <c r="X522" s="354"/>
      <c r="Y522" s="354"/>
      <c r="Z522" s="353"/>
      <c r="AA522" s="353"/>
      <c r="AB522" s="836"/>
      <c r="AC522" s="836"/>
      <c r="AD522" s="836"/>
      <c r="AE522" s="838"/>
    </row>
    <row r="523" spans="1:31" ht="16.5" customHeight="1">
      <c r="A523" s="347">
        <v>52988607</v>
      </c>
      <c r="B523" s="347" t="s">
        <v>6094</v>
      </c>
      <c r="C523" s="347"/>
      <c r="D523" s="348"/>
      <c r="E523" s="348"/>
      <c r="F523" s="348"/>
      <c r="G523" s="348"/>
      <c r="H523" s="358"/>
      <c r="I523" s="841"/>
      <c r="J523" s="354"/>
      <c r="K523" s="538"/>
      <c r="L523" s="487"/>
      <c r="M523" s="354"/>
      <c r="N523" s="354"/>
      <c r="O523" s="354"/>
      <c r="P523" s="354"/>
      <c r="Q523" s="354"/>
      <c r="R523" s="354"/>
      <c r="S523" s="354"/>
      <c r="T523" s="354"/>
      <c r="U523" s="354"/>
      <c r="V523" s="354"/>
      <c r="W523" s="354"/>
      <c r="X523" s="354"/>
      <c r="Y523" s="354"/>
      <c r="Z523" s="353"/>
      <c r="AA523" s="353"/>
      <c r="AB523" s="836"/>
      <c r="AC523" s="836"/>
      <c r="AD523" s="836"/>
      <c r="AE523" s="838"/>
    </row>
    <row r="524" spans="1:31" ht="16.5" customHeight="1">
      <c r="A524" s="347">
        <v>100004457</v>
      </c>
      <c r="B524" s="347" t="s">
        <v>5990</v>
      </c>
      <c r="C524" s="347"/>
      <c r="D524" s="348"/>
      <c r="E524" s="348"/>
      <c r="F524" s="348"/>
      <c r="G524" s="348"/>
      <c r="H524" s="358"/>
      <c r="I524" s="352"/>
      <c r="J524" s="353"/>
      <c r="K524" s="539"/>
      <c r="L524" s="487"/>
      <c r="M524" s="354"/>
      <c r="N524" s="354"/>
      <c r="O524" s="354"/>
      <c r="P524" s="354"/>
      <c r="Q524" s="354"/>
      <c r="R524" s="354"/>
      <c r="S524" s="354"/>
      <c r="T524" s="354"/>
      <c r="U524" s="354"/>
      <c r="V524" s="354"/>
      <c r="W524" s="354"/>
      <c r="X524" s="353"/>
      <c r="Y524" s="354"/>
      <c r="Z524" s="353"/>
      <c r="AA524" s="353"/>
      <c r="AB524" s="836"/>
      <c r="AC524" s="836"/>
      <c r="AD524" s="836"/>
      <c r="AE524" s="837"/>
    </row>
    <row r="525" spans="1:31" ht="16.5" customHeight="1">
      <c r="A525" s="347">
        <v>4167813</v>
      </c>
      <c r="B525" s="347" t="s">
        <v>6095</v>
      </c>
      <c r="C525" s="347"/>
      <c r="D525" s="348"/>
      <c r="E525" s="348"/>
      <c r="F525" s="348"/>
      <c r="G525" s="348"/>
      <c r="H525" s="358"/>
      <c r="I525" s="352"/>
      <c r="J525" s="353"/>
      <c r="K525" s="538"/>
      <c r="L525" s="354"/>
      <c r="M525" s="354"/>
      <c r="N525" s="354"/>
      <c r="O525" s="354"/>
      <c r="P525" s="354"/>
      <c r="Q525" s="354"/>
      <c r="R525" s="354"/>
      <c r="S525" s="354"/>
      <c r="T525" s="354"/>
      <c r="U525" s="354"/>
      <c r="V525" s="354"/>
      <c r="W525" s="354"/>
      <c r="X525" s="354"/>
      <c r="Y525" s="354"/>
      <c r="Z525" s="353"/>
      <c r="AA525" s="353"/>
      <c r="AB525" s="836"/>
      <c r="AC525" s="836"/>
      <c r="AD525" s="836"/>
      <c r="AE525" s="838"/>
    </row>
    <row r="526" spans="1:31" ht="16.5" customHeight="1">
      <c r="A526" s="347">
        <v>2182335</v>
      </c>
      <c r="B526" s="347" t="s">
        <v>6096</v>
      </c>
      <c r="C526" s="347"/>
      <c r="D526" s="348"/>
      <c r="E526" s="348"/>
      <c r="F526" s="348"/>
      <c r="G526" s="348"/>
      <c r="H526" s="358"/>
      <c r="I526" s="352"/>
      <c r="J526" s="353"/>
      <c r="K526" s="538"/>
      <c r="L526" s="354"/>
      <c r="M526" s="354"/>
      <c r="N526" s="354"/>
      <c r="O526" s="354"/>
      <c r="P526" s="354"/>
      <c r="Q526" s="354"/>
      <c r="R526" s="354"/>
      <c r="S526" s="354"/>
      <c r="T526" s="354"/>
      <c r="U526" s="354"/>
      <c r="V526" s="354"/>
      <c r="W526" s="354"/>
      <c r="X526" s="354"/>
      <c r="Y526" s="354"/>
      <c r="Z526" s="353"/>
      <c r="AA526" s="353"/>
      <c r="AB526" s="836"/>
      <c r="AC526" s="836"/>
      <c r="AD526" s="836"/>
      <c r="AE526" s="838"/>
    </row>
    <row r="527" spans="1:31" ht="16.5" customHeight="1">
      <c r="A527" s="347">
        <v>148312</v>
      </c>
      <c r="B527" s="347" t="s">
        <v>6097</v>
      </c>
      <c r="C527" s="347"/>
      <c r="D527" s="348"/>
      <c r="E527" s="348"/>
      <c r="F527" s="348"/>
      <c r="G527" s="348"/>
      <c r="H527" s="358"/>
      <c r="I527" s="352"/>
      <c r="J527" s="353"/>
      <c r="K527" s="538"/>
      <c r="L527" s="354"/>
      <c r="M527" s="354"/>
      <c r="N527" s="354"/>
      <c r="O527" s="354"/>
      <c r="P527" s="354"/>
      <c r="Q527" s="354"/>
      <c r="R527" s="354"/>
      <c r="S527" s="354"/>
      <c r="T527" s="354"/>
      <c r="U527" s="354"/>
      <c r="V527" s="354"/>
      <c r="W527" s="354"/>
      <c r="X527" s="354"/>
      <c r="Y527" s="354"/>
      <c r="Z527" s="353"/>
      <c r="AA527" s="353"/>
      <c r="AB527" s="836"/>
      <c r="AC527" s="836"/>
      <c r="AD527" s="836"/>
      <c r="AE527" s="838"/>
    </row>
    <row r="528" spans="1:31" ht="16.5" customHeight="1">
      <c r="A528" s="347">
        <v>61112876</v>
      </c>
      <c r="B528" s="347" t="s">
        <v>6098</v>
      </c>
      <c r="C528" s="347"/>
      <c r="D528" s="347"/>
      <c r="E528" s="347"/>
      <c r="F528" s="347"/>
      <c r="G528" s="348"/>
      <c r="H528" s="358"/>
      <c r="I528" s="352"/>
      <c r="J528" s="353"/>
      <c r="K528" s="538"/>
      <c r="L528" s="487"/>
      <c r="M528" s="354"/>
      <c r="N528" s="354"/>
      <c r="O528" s="354"/>
      <c r="P528" s="354"/>
      <c r="Q528" s="354"/>
      <c r="R528" s="354"/>
      <c r="S528" s="354"/>
      <c r="T528" s="354"/>
      <c r="U528" s="354"/>
      <c r="V528" s="354"/>
      <c r="W528" s="354"/>
      <c r="X528" s="354"/>
      <c r="Y528" s="354"/>
      <c r="Z528" s="353"/>
      <c r="AA528" s="353"/>
      <c r="AB528" s="842"/>
      <c r="AC528" s="836"/>
      <c r="AD528" s="842"/>
      <c r="AE528" s="837"/>
    </row>
    <row r="529" spans="1:31" ht="16.5" customHeight="1">
      <c r="A529" s="347">
        <v>23073968</v>
      </c>
      <c r="B529" s="347" t="s">
        <v>6099</v>
      </c>
      <c r="C529" s="347"/>
      <c r="D529" s="348"/>
      <c r="E529" s="348"/>
      <c r="F529" s="348"/>
      <c r="G529" s="348"/>
      <c r="H529" s="358"/>
      <c r="I529" s="352"/>
      <c r="J529" s="353"/>
      <c r="K529" s="538"/>
      <c r="L529" s="487"/>
      <c r="M529" s="354"/>
      <c r="N529" s="354"/>
      <c r="O529" s="354"/>
      <c r="P529" s="354"/>
      <c r="Q529" s="354"/>
      <c r="R529" s="354"/>
      <c r="S529" s="354"/>
      <c r="T529" s="354"/>
      <c r="U529" s="354"/>
      <c r="V529" s="354"/>
      <c r="W529" s="354"/>
      <c r="X529" s="354"/>
      <c r="Y529" s="354"/>
      <c r="Z529" s="353"/>
      <c r="AA529" s="353"/>
      <c r="AB529" s="836"/>
      <c r="AC529" s="836"/>
      <c r="AD529" s="836"/>
      <c r="AE529" s="837"/>
    </row>
    <row r="530" spans="1:31" ht="16.5" customHeight="1">
      <c r="A530" s="347">
        <v>9421611</v>
      </c>
      <c r="B530" s="347" t="s">
        <v>6100</v>
      </c>
      <c r="C530" s="347"/>
      <c r="D530" s="348"/>
      <c r="E530" s="348"/>
      <c r="F530" s="348"/>
      <c r="G530" s="348"/>
      <c r="H530" s="358"/>
      <c r="I530" s="352"/>
      <c r="J530" s="353"/>
      <c r="K530" s="538"/>
      <c r="L530" s="354"/>
      <c r="M530" s="354"/>
      <c r="N530" s="354"/>
      <c r="O530" s="354"/>
      <c r="P530" s="354"/>
      <c r="Q530" s="354"/>
      <c r="R530" s="354"/>
      <c r="S530" s="354"/>
      <c r="T530" s="354"/>
      <c r="U530" s="354"/>
      <c r="V530" s="354"/>
      <c r="W530" s="354"/>
      <c r="X530" s="354"/>
      <c r="Y530" s="354"/>
      <c r="Z530" s="353"/>
      <c r="AA530" s="353"/>
      <c r="AB530" s="836"/>
      <c r="AC530" s="836"/>
      <c r="AD530" s="836"/>
      <c r="AE530" s="838"/>
    </row>
    <row r="531" spans="1:31" ht="16.5" customHeight="1">
      <c r="A531" s="347">
        <v>4236634</v>
      </c>
      <c r="B531" s="347" t="s">
        <v>6101</v>
      </c>
      <c r="C531" s="347"/>
      <c r="D531" s="348"/>
      <c r="E531" s="348"/>
      <c r="F531" s="348"/>
      <c r="G531" s="348"/>
      <c r="H531" s="358"/>
      <c r="I531" s="352"/>
      <c r="J531" s="353"/>
      <c r="K531" s="538"/>
      <c r="L531" s="354"/>
      <c r="M531" s="354"/>
      <c r="N531" s="354"/>
      <c r="O531" s="354"/>
      <c r="P531" s="354"/>
      <c r="Q531" s="354"/>
      <c r="R531" s="354"/>
      <c r="S531" s="354"/>
      <c r="T531" s="354"/>
      <c r="U531" s="354"/>
      <c r="V531" s="354"/>
      <c r="W531" s="354"/>
      <c r="X531" s="354"/>
      <c r="Y531" s="354"/>
      <c r="Z531" s="353"/>
      <c r="AA531" s="353"/>
      <c r="AB531" s="836"/>
      <c r="AC531" s="836"/>
      <c r="AD531" s="836"/>
      <c r="AE531" s="838"/>
    </row>
    <row r="532" spans="1:31" ht="16.5" customHeight="1">
      <c r="A532" s="347">
        <v>554303</v>
      </c>
      <c r="B532" s="347" t="s">
        <v>6102</v>
      </c>
      <c r="C532" s="347"/>
      <c r="D532" s="348"/>
      <c r="E532" s="348"/>
      <c r="F532" s="348"/>
      <c r="G532" s="348"/>
      <c r="H532" s="358"/>
      <c r="I532" s="352"/>
      <c r="J532" s="353"/>
      <c r="K532" s="538"/>
      <c r="L532" s="487"/>
      <c r="M532" s="354"/>
      <c r="N532" s="354"/>
      <c r="O532" s="354"/>
      <c r="P532" s="354"/>
      <c r="Q532" s="354"/>
      <c r="R532" s="354"/>
      <c r="S532" s="354"/>
      <c r="T532" s="354"/>
      <c r="U532" s="354"/>
      <c r="V532" s="354"/>
      <c r="W532" s="354"/>
      <c r="X532" s="354"/>
      <c r="Y532" s="354"/>
      <c r="Z532" s="353"/>
      <c r="AA532" s="353"/>
      <c r="AB532" s="836"/>
      <c r="AC532" s="836"/>
      <c r="AD532" s="836"/>
      <c r="AE532" s="837"/>
    </row>
    <row r="533" spans="1:31" ht="16.5" customHeight="1">
      <c r="A533" s="347">
        <v>158824</v>
      </c>
      <c r="B533" s="347" t="s">
        <v>6103</v>
      </c>
      <c r="C533" s="347"/>
      <c r="D533" s="348"/>
      <c r="E533" s="348"/>
      <c r="F533" s="348"/>
      <c r="G533" s="348"/>
      <c r="H533" s="358"/>
      <c r="I533" s="352"/>
      <c r="J533" s="353"/>
      <c r="K533" s="538"/>
      <c r="L533" s="354"/>
      <c r="M533" s="487"/>
      <c r="N533" s="354"/>
      <c r="O533" s="354"/>
      <c r="P533" s="354"/>
      <c r="Q533" s="354"/>
      <c r="R533" s="354"/>
      <c r="S533" s="354"/>
      <c r="T533" s="354"/>
      <c r="U533" s="354"/>
      <c r="V533" s="354"/>
      <c r="W533" s="354"/>
      <c r="X533" s="354"/>
      <c r="Y533" s="354"/>
      <c r="Z533" s="353"/>
      <c r="AA533" s="353"/>
      <c r="AB533" s="836"/>
      <c r="AC533" s="836"/>
      <c r="AD533" s="836"/>
      <c r="AE533" s="838"/>
    </row>
    <row r="534" spans="1:31" ht="16.5" customHeight="1">
      <c r="A534" s="347">
        <v>32430589</v>
      </c>
      <c r="B534" s="347" t="s">
        <v>6104</v>
      </c>
      <c r="C534" s="347"/>
      <c r="D534" s="348"/>
      <c r="E534" s="348"/>
      <c r="F534" s="348"/>
      <c r="G534" s="348"/>
      <c r="H534" s="358"/>
      <c r="I534" s="352"/>
      <c r="J534" s="353"/>
      <c r="K534" s="538"/>
      <c r="L534" s="354"/>
      <c r="M534" s="354"/>
      <c r="N534" s="354"/>
      <c r="O534" s="354"/>
      <c r="P534" s="354"/>
      <c r="Q534" s="354"/>
      <c r="R534" s="354"/>
      <c r="S534" s="354"/>
      <c r="T534" s="354"/>
      <c r="U534" s="354"/>
      <c r="V534" s="354"/>
      <c r="W534" s="354"/>
      <c r="X534" s="354"/>
      <c r="Y534" s="354"/>
      <c r="Z534" s="353"/>
      <c r="AA534" s="353"/>
      <c r="AB534" s="836"/>
      <c r="AC534" s="836"/>
      <c r="AD534" s="836"/>
      <c r="AE534" s="838"/>
    </row>
    <row r="535" spans="1:31" ht="16.5" customHeight="1">
      <c r="A535" s="347">
        <v>19405984</v>
      </c>
      <c r="B535" s="347" t="s">
        <v>6105</v>
      </c>
      <c r="C535" s="347"/>
      <c r="D535" s="361"/>
      <c r="E535" s="361"/>
      <c r="F535" s="361"/>
      <c r="G535" s="348"/>
      <c r="H535" s="358"/>
      <c r="I535" s="352"/>
      <c r="J535" s="353"/>
      <c r="K535" s="538"/>
      <c r="L535" s="354"/>
      <c r="M535" s="354"/>
      <c r="N535" s="487"/>
      <c r="O535" s="354"/>
      <c r="P535" s="354"/>
      <c r="Q535" s="354"/>
      <c r="R535" s="354"/>
      <c r="S535" s="354"/>
      <c r="T535" s="354"/>
      <c r="U535" s="354"/>
      <c r="V535" s="354"/>
      <c r="W535" s="354"/>
      <c r="X535" s="354"/>
      <c r="Y535" s="354"/>
      <c r="Z535" s="353"/>
      <c r="AA535" s="353"/>
      <c r="AB535" s="836"/>
      <c r="AC535" s="836"/>
      <c r="AD535" s="836"/>
      <c r="AE535" s="838"/>
    </row>
    <row r="536" spans="1:31" ht="16.5" customHeight="1">
      <c r="A536" s="347">
        <v>2350783</v>
      </c>
      <c r="B536" s="347" t="s">
        <v>6106</v>
      </c>
      <c r="C536" s="347"/>
      <c r="D536" s="348"/>
      <c r="E536" s="348"/>
      <c r="F536" s="348"/>
      <c r="G536" s="348"/>
      <c r="H536" s="358"/>
      <c r="I536" s="352"/>
      <c r="J536" s="353"/>
      <c r="K536" s="538"/>
      <c r="L536" s="354"/>
      <c r="M536" s="354"/>
      <c r="N536" s="354"/>
      <c r="O536" s="354"/>
      <c r="P536" s="354"/>
      <c r="Q536" s="354"/>
      <c r="R536" s="354"/>
      <c r="S536" s="354"/>
      <c r="T536" s="354"/>
      <c r="U536" s="354"/>
      <c r="V536" s="354"/>
      <c r="W536" s="354"/>
      <c r="X536" s="354"/>
      <c r="Y536" s="354"/>
      <c r="Z536" s="353"/>
      <c r="AA536" s="353"/>
      <c r="AB536" s="836"/>
      <c r="AC536" s="836"/>
      <c r="AD536" s="836"/>
      <c r="AE536" s="838"/>
    </row>
    <row r="537" spans="1:31" ht="16.5" customHeight="1">
      <c r="A537" s="347">
        <v>51058667</v>
      </c>
      <c r="B537" s="347" t="s">
        <v>6107</v>
      </c>
      <c r="C537" s="347"/>
      <c r="D537" s="348"/>
      <c r="E537" s="348"/>
      <c r="F537" s="348"/>
      <c r="G537" s="348"/>
      <c r="H537" s="358"/>
      <c r="I537" s="352"/>
      <c r="J537" s="353"/>
      <c r="K537" s="538"/>
      <c r="L537" s="487"/>
      <c r="M537" s="354"/>
      <c r="N537" s="354"/>
      <c r="O537" s="354"/>
      <c r="P537" s="354"/>
      <c r="Q537" s="354"/>
      <c r="R537" s="354"/>
      <c r="S537" s="354"/>
      <c r="T537" s="354"/>
      <c r="U537" s="354"/>
      <c r="V537" s="354"/>
      <c r="W537" s="354"/>
      <c r="X537" s="354"/>
      <c r="Y537" s="354"/>
      <c r="Z537" s="353"/>
      <c r="AA537" s="353"/>
      <c r="AB537" s="836"/>
      <c r="AC537" s="836"/>
      <c r="AD537" s="836"/>
      <c r="AE537" s="837"/>
    </row>
    <row r="538" spans="1:31" ht="16.5" customHeight="1">
      <c r="A538" s="347">
        <v>3161809</v>
      </c>
      <c r="B538" s="347" t="s">
        <v>6108</v>
      </c>
      <c r="C538" s="347"/>
      <c r="D538" s="348"/>
      <c r="E538" s="348"/>
      <c r="F538" s="348"/>
      <c r="G538" s="348"/>
      <c r="H538" s="358"/>
      <c r="I538" s="352"/>
      <c r="J538" s="353"/>
      <c r="K538" s="538"/>
      <c r="L538" s="487"/>
      <c r="M538" s="354"/>
      <c r="N538" s="354"/>
      <c r="O538" s="354"/>
      <c r="P538" s="354"/>
      <c r="Q538" s="354"/>
      <c r="R538" s="354"/>
      <c r="S538" s="354"/>
      <c r="T538" s="354"/>
      <c r="U538" s="354"/>
      <c r="V538" s="354"/>
      <c r="W538" s="354"/>
      <c r="X538" s="354"/>
      <c r="Y538" s="354"/>
      <c r="Z538" s="353"/>
      <c r="AA538" s="353"/>
      <c r="AB538" s="836"/>
      <c r="AC538" s="836"/>
      <c r="AD538" s="836"/>
      <c r="AE538" s="837"/>
    </row>
    <row r="539" spans="1:31" ht="16.5" customHeight="1">
      <c r="A539" s="347">
        <v>381244</v>
      </c>
      <c r="B539" s="347" t="s">
        <v>6109</v>
      </c>
      <c r="C539" s="347"/>
      <c r="D539" s="347"/>
      <c r="E539" s="347"/>
      <c r="F539" s="347"/>
      <c r="G539" s="348"/>
      <c r="H539" s="358"/>
      <c r="I539" s="352"/>
      <c r="J539" s="353"/>
      <c r="K539" s="538"/>
      <c r="L539" s="487"/>
      <c r="M539" s="354"/>
      <c r="N539" s="487"/>
      <c r="O539" s="354"/>
      <c r="P539" s="354"/>
      <c r="Q539" s="354"/>
      <c r="R539" s="354"/>
      <c r="S539" s="354"/>
      <c r="T539" s="354"/>
      <c r="U539" s="354"/>
      <c r="V539" s="354"/>
      <c r="W539" s="354"/>
      <c r="X539" s="354"/>
      <c r="Y539" s="354"/>
      <c r="Z539" s="353"/>
      <c r="AA539" s="353"/>
      <c r="AB539" s="836"/>
      <c r="AC539" s="836"/>
      <c r="AD539" s="836"/>
      <c r="AE539" s="837"/>
    </row>
    <row r="540" spans="1:31" ht="16.5" customHeight="1">
      <c r="A540" s="347">
        <v>20286118</v>
      </c>
      <c r="B540" s="347" t="s">
        <v>6110</v>
      </c>
      <c r="C540" s="347"/>
      <c r="D540" s="348"/>
      <c r="E540" s="348"/>
      <c r="F540" s="348"/>
      <c r="G540" s="348"/>
      <c r="H540" s="358"/>
      <c r="I540" s="352"/>
      <c r="J540" s="353"/>
      <c r="K540" s="538"/>
      <c r="L540" s="354"/>
      <c r="M540" s="354"/>
      <c r="N540" s="354"/>
      <c r="O540" s="354"/>
      <c r="P540" s="354"/>
      <c r="Q540" s="354"/>
      <c r="R540" s="354"/>
      <c r="S540" s="354"/>
      <c r="T540" s="354"/>
      <c r="U540" s="354"/>
      <c r="V540" s="354"/>
      <c r="W540" s="354"/>
      <c r="X540" s="354"/>
      <c r="Y540" s="354"/>
      <c r="Z540" s="353"/>
      <c r="AA540" s="353"/>
      <c r="AB540" s="836"/>
      <c r="AC540" s="836"/>
      <c r="AD540" s="836"/>
      <c r="AE540" s="838"/>
    </row>
    <row r="541" spans="1:31" ht="16.5" customHeight="1">
      <c r="A541" s="347">
        <v>10091643</v>
      </c>
      <c r="B541" s="347" t="s">
        <v>6111</v>
      </c>
      <c r="C541" s="347"/>
      <c r="D541" s="348"/>
      <c r="E541" s="348"/>
      <c r="F541" s="348"/>
      <c r="G541" s="348"/>
      <c r="H541" s="358"/>
      <c r="I541" s="352"/>
      <c r="J541" s="353"/>
      <c r="K541" s="538"/>
      <c r="L541" s="354"/>
      <c r="M541" s="354"/>
      <c r="N541" s="487"/>
      <c r="O541" s="354"/>
      <c r="P541" s="354"/>
      <c r="Q541" s="354"/>
      <c r="R541" s="354"/>
      <c r="S541" s="354"/>
      <c r="T541" s="487"/>
      <c r="U541" s="487"/>
      <c r="V541" s="354"/>
      <c r="W541" s="354"/>
      <c r="X541" s="354"/>
      <c r="Y541" s="354"/>
      <c r="Z541" s="353"/>
      <c r="AA541" s="353"/>
      <c r="AB541" s="836"/>
      <c r="AC541" s="836"/>
      <c r="AD541" s="836"/>
      <c r="AE541" s="837"/>
    </row>
    <row r="542" spans="1:31" ht="16.5" customHeight="1">
      <c r="A542" s="347">
        <v>37534856</v>
      </c>
      <c r="B542" s="347" t="s">
        <v>6112</v>
      </c>
      <c r="C542" s="347"/>
      <c r="D542" s="348"/>
      <c r="E542" s="348"/>
      <c r="F542" s="348"/>
      <c r="G542" s="348"/>
      <c r="H542" s="358"/>
      <c r="I542" s="352"/>
      <c r="J542" s="353"/>
      <c r="K542" s="538"/>
      <c r="L542" s="354"/>
      <c r="M542" s="354"/>
      <c r="N542" s="354"/>
      <c r="O542" s="354"/>
      <c r="P542" s="354"/>
      <c r="Q542" s="354"/>
      <c r="R542" s="354"/>
      <c r="S542" s="354"/>
      <c r="T542" s="487"/>
      <c r="U542" s="487"/>
      <c r="V542" s="354"/>
      <c r="W542" s="354"/>
      <c r="X542" s="354"/>
      <c r="Y542" s="354"/>
      <c r="Z542" s="353"/>
      <c r="AA542" s="353"/>
      <c r="AB542" s="836"/>
      <c r="AC542" s="836"/>
      <c r="AD542" s="836"/>
      <c r="AE542" s="838"/>
    </row>
    <row r="543" spans="1:31" ht="16.5" customHeight="1">
      <c r="A543" s="347">
        <v>8039687</v>
      </c>
      <c r="B543" s="347" t="s">
        <v>6113</v>
      </c>
      <c r="C543" s="347"/>
      <c r="D543" s="348"/>
      <c r="E543" s="348"/>
      <c r="F543" s="348"/>
      <c r="G543" s="348"/>
      <c r="H543" s="358"/>
      <c r="I543" s="352"/>
      <c r="J543" s="353"/>
      <c r="K543" s="538"/>
      <c r="L543" s="354"/>
      <c r="M543" s="354"/>
      <c r="N543" s="354"/>
      <c r="O543" s="354"/>
      <c r="P543" s="354"/>
      <c r="Q543" s="354"/>
      <c r="R543" s="354"/>
      <c r="S543" s="354"/>
      <c r="T543" s="354"/>
      <c r="U543" s="354"/>
      <c r="V543" s="354"/>
      <c r="W543" s="487"/>
      <c r="X543" s="354"/>
      <c r="Y543" s="354"/>
      <c r="Z543" s="353"/>
      <c r="AA543" s="353"/>
      <c r="AB543" s="836"/>
      <c r="AC543" s="836"/>
      <c r="AD543" s="836"/>
      <c r="AE543" s="837"/>
    </row>
    <row r="544" spans="1:31" ht="16.5" customHeight="1">
      <c r="A544" s="347">
        <v>100005557</v>
      </c>
      <c r="B544" s="347" t="s">
        <v>5990</v>
      </c>
      <c r="C544" s="347"/>
      <c r="D544" s="348"/>
      <c r="E544" s="348"/>
      <c r="F544" s="348"/>
      <c r="G544" s="348"/>
      <c r="H544" s="358"/>
      <c r="I544" s="352"/>
      <c r="J544" s="353"/>
      <c r="K544" s="538"/>
      <c r="L544" s="354"/>
      <c r="M544" s="354"/>
      <c r="N544" s="354"/>
      <c r="O544" s="354"/>
      <c r="P544" s="354"/>
      <c r="Q544" s="354"/>
      <c r="R544" s="354"/>
      <c r="S544" s="354"/>
      <c r="T544" s="354"/>
      <c r="U544" s="354"/>
      <c r="V544" s="354"/>
      <c r="W544" s="354"/>
      <c r="X544" s="354"/>
      <c r="Y544" s="354"/>
      <c r="Z544" s="353"/>
      <c r="AA544" s="353"/>
      <c r="AB544" s="836"/>
      <c r="AC544" s="836"/>
      <c r="AD544" s="836"/>
      <c r="AE544" s="838"/>
    </row>
    <row r="545" spans="1:31" ht="16.5" customHeight="1">
      <c r="A545" s="347">
        <v>91709907</v>
      </c>
      <c r="B545" s="347" t="s">
        <v>6114</v>
      </c>
      <c r="C545" s="347"/>
      <c r="D545" s="348"/>
      <c r="E545" s="348"/>
      <c r="F545" s="348"/>
      <c r="G545" s="348"/>
      <c r="H545" s="358"/>
      <c r="I545" s="352"/>
      <c r="J545" s="353"/>
      <c r="K545" s="538"/>
      <c r="L545" s="487"/>
      <c r="M545" s="354"/>
      <c r="N545" s="354"/>
      <c r="O545" s="354"/>
      <c r="P545" s="354"/>
      <c r="Q545" s="354"/>
      <c r="R545" s="354"/>
      <c r="S545" s="354"/>
      <c r="T545" s="354"/>
      <c r="U545" s="354"/>
      <c r="V545" s="354"/>
      <c r="W545" s="487"/>
      <c r="X545" s="354"/>
      <c r="Y545" s="354"/>
      <c r="Z545" s="353"/>
      <c r="AA545" s="353"/>
      <c r="AB545" s="836"/>
      <c r="AC545" s="836"/>
      <c r="AD545" s="836"/>
      <c r="AE545" s="837"/>
    </row>
    <row r="546" spans="1:31" ht="16.5" customHeight="1">
      <c r="A546" s="347">
        <v>1869007</v>
      </c>
      <c r="B546" s="347" t="s">
        <v>6115</v>
      </c>
      <c r="C546" s="347"/>
      <c r="D546" s="348"/>
      <c r="E546" s="348"/>
      <c r="F546" s="348"/>
      <c r="G546" s="348"/>
      <c r="H546" s="358"/>
      <c r="I546" s="352"/>
      <c r="J546" s="353"/>
      <c r="K546" s="538"/>
      <c r="L546" s="354"/>
      <c r="M546" s="354"/>
      <c r="N546" s="354"/>
      <c r="O546" s="354"/>
      <c r="P546" s="354"/>
      <c r="Q546" s="354"/>
      <c r="R546" s="354"/>
      <c r="S546" s="354"/>
      <c r="T546" s="354"/>
      <c r="U546" s="354"/>
      <c r="V546" s="354"/>
      <c r="W546" s="354"/>
      <c r="X546" s="354"/>
      <c r="Y546" s="354"/>
      <c r="Z546" s="353"/>
      <c r="AA546" s="353"/>
      <c r="AB546" s="836"/>
      <c r="AC546" s="836"/>
      <c r="AD546" s="836"/>
      <c r="AE546" s="838"/>
    </row>
    <row r="547" spans="1:31" ht="16.5" customHeight="1">
      <c r="A547" s="347">
        <v>480053</v>
      </c>
      <c r="B547" s="347" t="s">
        <v>6116</v>
      </c>
      <c r="C547" s="347"/>
      <c r="D547" s="348"/>
      <c r="E547" s="348"/>
      <c r="F547" s="348"/>
      <c r="G547" s="348"/>
      <c r="H547" s="358"/>
      <c r="I547" s="352"/>
      <c r="J547" s="353"/>
      <c r="K547" s="538"/>
      <c r="L547" s="354"/>
      <c r="M547" s="354"/>
      <c r="N547" s="354"/>
      <c r="O547" s="354"/>
      <c r="P547" s="354"/>
      <c r="Q547" s="354"/>
      <c r="R547" s="354"/>
      <c r="S547" s="354"/>
      <c r="T547" s="354"/>
      <c r="U547" s="354"/>
      <c r="V547" s="354"/>
      <c r="W547" s="354"/>
      <c r="X547" s="354"/>
      <c r="Y547" s="354"/>
      <c r="Z547" s="353"/>
      <c r="AA547" s="353"/>
      <c r="AB547" s="836"/>
      <c r="AC547" s="836"/>
      <c r="AD547" s="836"/>
      <c r="AE547" s="837"/>
    </row>
    <row r="548" spans="1:31" ht="16.5" customHeight="1">
      <c r="A548" s="347">
        <v>3416880</v>
      </c>
      <c r="B548" s="347" t="s">
        <v>6117</v>
      </c>
      <c r="C548" s="347"/>
      <c r="D548" s="348"/>
      <c r="E548" s="348"/>
      <c r="F548" s="348"/>
      <c r="G548" s="348"/>
      <c r="H548" s="358"/>
      <c r="I548" s="352"/>
      <c r="J548" s="353"/>
      <c r="K548" s="538"/>
      <c r="L548" s="487"/>
      <c r="M548" s="354"/>
      <c r="N548" s="354"/>
      <c r="O548" s="354"/>
      <c r="P548" s="354"/>
      <c r="Q548" s="354"/>
      <c r="R548" s="354"/>
      <c r="S548" s="354"/>
      <c r="T548" s="354"/>
      <c r="U548" s="354"/>
      <c r="V548" s="354"/>
      <c r="W548" s="487"/>
      <c r="X548" s="354"/>
      <c r="Y548" s="354"/>
      <c r="Z548" s="353"/>
      <c r="AA548" s="353"/>
      <c r="AB548" s="836"/>
      <c r="AC548" s="836"/>
      <c r="AD548" s="836"/>
      <c r="AE548" s="837"/>
    </row>
    <row r="549" spans="1:31" ht="16.5" customHeight="1">
      <c r="A549" s="347">
        <v>36313237</v>
      </c>
      <c r="B549" s="347" t="s">
        <v>6118</v>
      </c>
      <c r="C549" s="347"/>
      <c r="D549" s="348"/>
      <c r="E549" s="348"/>
      <c r="F549" s="348"/>
      <c r="G549" s="348"/>
      <c r="H549" s="358"/>
      <c r="I549" s="352"/>
      <c r="J549" s="353"/>
      <c r="K549" s="538"/>
      <c r="L549" s="354"/>
      <c r="M549" s="354"/>
      <c r="N549" s="354"/>
      <c r="O549" s="354"/>
      <c r="P549" s="354"/>
      <c r="Q549" s="354"/>
      <c r="R549" s="354"/>
      <c r="S549" s="354"/>
      <c r="T549" s="354"/>
      <c r="U549" s="354"/>
      <c r="V549" s="354"/>
      <c r="W549" s="354"/>
      <c r="X549" s="354"/>
      <c r="Y549" s="354"/>
      <c r="Z549" s="353"/>
      <c r="AA549" s="353"/>
      <c r="AB549" s="836"/>
      <c r="AC549" s="836"/>
      <c r="AD549" s="836"/>
      <c r="AE549" s="838"/>
    </row>
    <row r="550" spans="1:31" ht="16.5" customHeight="1">
      <c r="A550" s="347">
        <v>16676637</v>
      </c>
      <c r="B550" s="347" t="s">
        <v>6119</v>
      </c>
      <c r="C550" s="347"/>
      <c r="D550" s="348"/>
      <c r="E550" s="348"/>
      <c r="F550" s="348"/>
      <c r="G550" s="348"/>
      <c r="H550" s="358"/>
      <c r="I550" s="352"/>
      <c r="J550" s="353"/>
      <c r="K550" s="538"/>
      <c r="L550" s="354"/>
      <c r="M550" s="354"/>
      <c r="N550" s="354"/>
      <c r="O550" s="354"/>
      <c r="P550" s="354"/>
      <c r="Q550" s="354"/>
      <c r="R550" s="354"/>
      <c r="S550" s="354"/>
      <c r="T550" s="354"/>
      <c r="U550" s="354"/>
      <c r="V550" s="354"/>
      <c r="W550" s="354"/>
      <c r="X550" s="354"/>
      <c r="Y550" s="354"/>
      <c r="Z550" s="353"/>
      <c r="AA550" s="353"/>
      <c r="AB550" s="836"/>
      <c r="AC550" s="836"/>
      <c r="AD550" s="836"/>
      <c r="AE550" s="838"/>
    </row>
    <row r="551" spans="1:31" ht="16.5" customHeight="1">
      <c r="A551" s="347">
        <v>17275108</v>
      </c>
      <c r="B551" s="347" t="s">
        <v>6120</v>
      </c>
      <c r="C551" s="347"/>
      <c r="D551" s="348"/>
      <c r="E551" s="348"/>
      <c r="F551" s="348"/>
      <c r="G551" s="348"/>
      <c r="H551" s="358"/>
      <c r="I551" s="352"/>
      <c r="J551" s="353"/>
      <c r="K551" s="538"/>
      <c r="L551" s="487"/>
      <c r="M551" s="354"/>
      <c r="N551" s="354"/>
      <c r="O551" s="354"/>
      <c r="P551" s="354"/>
      <c r="Q551" s="354"/>
      <c r="R551" s="354"/>
      <c r="S551" s="354"/>
      <c r="T551" s="354"/>
      <c r="U551" s="354"/>
      <c r="V551" s="354"/>
      <c r="W551" s="354"/>
      <c r="X551" s="354"/>
      <c r="Y551" s="354"/>
      <c r="Z551" s="354"/>
      <c r="AA551" s="354"/>
      <c r="AB551" s="836"/>
      <c r="AC551" s="836"/>
      <c r="AD551" s="836"/>
      <c r="AE551" s="837"/>
    </row>
    <row r="552" spans="1:31" ht="16.5" customHeight="1">
      <c r="A552" s="347">
        <v>1004845</v>
      </c>
      <c r="B552" s="347" t="s">
        <v>6121</v>
      </c>
      <c r="C552" s="347"/>
      <c r="D552" s="348"/>
      <c r="E552" s="348"/>
      <c r="F552" s="348"/>
      <c r="G552" s="348"/>
      <c r="H552" s="358"/>
      <c r="I552" s="352"/>
      <c r="J552" s="353"/>
      <c r="K552" s="538"/>
      <c r="L552" s="354"/>
      <c r="M552" s="354"/>
      <c r="N552" s="354"/>
      <c r="O552" s="354"/>
      <c r="P552" s="354"/>
      <c r="Q552" s="354"/>
      <c r="R552" s="354"/>
      <c r="S552" s="354"/>
      <c r="T552" s="354"/>
      <c r="U552" s="354"/>
      <c r="V552" s="354"/>
      <c r="W552" s="354"/>
      <c r="X552" s="354"/>
      <c r="Y552" s="354"/>
      <c r="Z552" s="353"/>
      <c r="AA552" s="353"/>
      <c r="AB552" s="836"/>
      <c r="AC552" s="836"/>
      <c r="AD552" s="836"/>
      <c r="AE552" s="838"/>
    </row>
    <row r="553" spans="1:31" ht="16.5" customHeight="1">
      <c r="A553" s="347">
        <v>17778374</v>
      </c>
      <c r="B553" s="347" t="s">
        <v>6122</v>
      </c>
      <c r="C553" s="347"/>
      <c r="D553" s="348"/>
      <c r="E553" s="348"/>
      <c r="F553" s="348"/>
      <c r="G553" s="348"/>
      <c r="H553" s="358"/>
      <c r="I553" s="352"/>
      <c r="J553" s="353"/>
      <c r="K553" s="538"/>
      <c r="L553" s="354"/>
      <c r="M553" s="354"/>
      <c r="N553" s="354"/>
      <c r="O553" s="354"/>
      <c r="P553" s="354"/>
      <c r="Q553" s="354"/>
      <c r="R553" s="354"/>
      <c r="S553" s="354"/>
      <c r="T553" s="354"/>
      <c r="U553" s="354"/>
      <c r="V553" s="354"/>
      <c r="W553" s="354"/>
      <c r="X553" s="354"/>
      <c r="Y553" s="354"/>
      <c r="Z553" s="353"/>
      <c r="AA553" s="353"/>
      <c r="AB553" s="836"/>
      <c r="AC553" s="836"/>
      <c r="AD553" s="836"/>
      <c r="AE553" s="837"/>
    </row>
    <row r="554" spans="1:31" ht="16.5" customHeight="1">
      <c r="A554" s="347">
        <v>19177450</v>
      </c>
      <c r="B554" s="347" t="s">
        <v>6123</v>
      </c>
      <c r="C554" s="347"/>
      <c r="D554" s="348"/>
      <c r="E554" s="348"/>
      <c r="F554" s="348"/>
      <c r="G554" s="348"/>
      <c r="H554" s="358"/>
      <c r="I554" s="352"/>
      <c r="J554" s="353"/>
      <c r="K554" s="538"/>
      <c r="L554" s="354"/>
      <c r="M554" s="354"/>
      <c r="N554" s="354"/>
      <c r="O554" s="354"/>
      <c r="P554" s="354"/>
      <c r="Q554" s="354"/>
      <c r="R554" s="354"/>
      <c r="S554" s="354"/>
      <c r="T554" s="354"/>
      <c r="U554" s="354"/>
      <c r="V554" s="354"/>
      <c r="W554" s="354"/>
      <c r="X554" s="354"/>
      <c r="Y554" s="354"/>
      <c r="Z554" s="354"/>
      <c r="AA554" s="354"/>
      <c r="AB554" s="836"/>
      <c r="AC554" s="836"/>
      <c r="AD554" s="836"/>
      <c r="AE554" s="838"/>
    </row>
    <row r="555" spans="1:31" ht="16.5" customHeight="1">
      <c r="A555" s="347">
        <v>4674156</v>
      </c>
      <c r="B555" s="347" t="s">
        <v>6124</v>
      </c>
      <c r="C555" s="347"/>
      <c r="D555" s="348"/>
      <c r="E555" s="348"/>
      <c r="F555" s="348"/>
      <c r="G555" s="348"/>
      <c r="H555" s="358"/>
      <c r="I555" s="352"/>
      <c r="J555" s="353"/>
      <c r="K555" s="538"/>
      <c r="L555" s="354"/>
      <c r="M555" s="354"/>
      <c r="N555" s="354"/>
      <c r="O555" s="354"/>
      <c r="P555" s="354"/>
      <c r="Q555" s="354"/>
      <c r="R555" s="354"/>
      <c r="S555" s="354"/>
      <c r="T555" s="354"/>
      <c r="U555" s="354"/>
      <c r="V555" s="354"/>
      <c r="W555" s="354"/>
      <c r="X555" s="354"/>
      <c r="Y555" s="354"/>
      <c r="Z555" s="353"/>
      <c r="AA555" s="353"/>
      <c r="AB555" s="836"/>
      <c r="AC555" s="836"/>
      <c r="AD555" s="836"/>
      <c r="AE555" s="838"/>
    </row>
    <row r="556" spans="1:31" ht="16.5" customHeight="1">
      <c r="A556" s="347">
        <v>1896315</v>
      </c>
      <c r="B556" s="347" t="s">
        <v>6125</v>
      </c>
      <c r="C556" s="347"/>
      <c r="D556" s="361"/>
      <c r="E556" s="361"/>
      <c r="F556" s="361"/>
      <c r="G556" s="348"/>
      <c r="H556" s="358"/>
      <c r="I556" s="352"/>
      <c r="J556" s="353"/>
      <c r="K556" s="538"/>
      <c r="L556" s="487"/>
      <c r="M556" s="354"/>
      <c r="N556" s="354"/>
      <c r="O556" s="354"/>
      <c r="P556" s="354"/>
      <c r="Q556" s="354"/>
      <c r="R556" s="487"/>
      <c r="S556" s="487"/>
      <c r="T556" s="487"/>
      <c r="U556" s="487"/>
      <c r="V556" s="354"/>
      <c r="W556" s="354"/>
      <c r="X556" s="354"/>
      <c r="Y556" s="354"/>
      <c r="Z556" s="353"/>
      <c r="AA556" s="353"/>
      <c r="AB556" s="836"/>
      <c r="AC556" s="836"/>
      <c r="AD556" s="842"/>
      <c r="AE556" s="837"/>
    </row>
    <row r="557" spans="1:31" ht="16.5" customHeight="1">
      <c r="A557" s="347">
        <v>9559923</v>
      </c>
      <c r="B557" s="347" t="s">
        <v>6126</v>
      </c>
      <c r="C557" s="347"/>
      <c r="D557" s="348"/>
      <c r="E557" s="348"/>
      <c r="F557" s="348"/>
      <c r="G557" s="348"/>
      <c r="H557" s="358"/>
      <c r="I557" s="352"/>
      <c r="J557" s="353"/>
      <c r="K557" s="538"/>
      <c r="L557" s="487"/>
      <c r="M557" s="354"/>
      <c r="N557" s="354"/>
      <c r="O557" s="354"/>
      <c r="P557" s="354"/>
      <c r="Q557" s="354"/>
      <c r="R557" s="354"/>
      <c r="S557" s="354"/>
      <c r="T557" s="354"/>
      <c r="U557" s="354"/>
      <c r="V557" s="354"/>
      <c r="W557" s="354"/>
      <c r="X557" s="354"/>
      <c r="Y557" s="354"/>
      <c r="Z557" s="353"/>
      <c r="AA557" s="353"/>
      <c r="AB557" s="842"/>
      <c r="AC557" s="842"/>
      <c r="AD557" s="842"/>
      <c r="AE557" s="837"/>
    </row>
    <row r="558" spans="1:31" ht="16.5" customHeight="1">
      <c r="A558" s="347">
        <v>36644805</v>
      </c>
      <c r="B558" s="347" t="s">
        <v>6127</v>
      </c>
      <c r="C558" s="347"/>
      <c r="D558" s="348"/>
      <c r="E558" s="348"/>
      <c r="F558" s="348"/>
      <c r="G558" s="348"/>
      <c r="H558" s="358"/>
      <c r="I558" s="352"/>
      <c r="J558" s="353"/>
      <c r="K558" s="538"/>
      <c r="L558" s="354"/>
      <c r="M558" s="354"/>
      <c r="N558" s="354"/>
      <c r="O558" s="354"/>
      <c r="P558" s="354"/>
      <c r="Q558" s="354"/>
      <c r="R558" s="354"/>
      <c r="S558" s="354"/>
      <c r="T558" s="354"/>
      <c r="U558" s="354"/>
      <c r="V558" s="354"/>
      <c r="W558" s="354"/>
      <c r="X558" s="354"/>
      <c r="Y558" s="354"/>
      <c r="Z558" s="353"/>
      <c r="AA558" s="353"/>
      <c r="AB558" s="836"/>
      <c r="AC558" s="836"/>
      <c r="AD558" s="836"/>
      <c r="AE558" s="838"/>
    </row>
    <row r="559" spans="1:31" ht="16.5" customHeight="1">
      <c r="A559" s="347">
        <v>6453963</v>
      </c>
      <c r="B559" s="347" t="s">
        <v>6128</v>
      </c>
      <c r="C559" s="347"/>
      <c r="D559" s="348"/>
      <c r="E559" s="348"/>
      <c r="F559" s="348"/>
      <c r="G559" s="348"/>
      <c r="H559" s="358"/>
      <c r="I559" s="352"/>
      <c r="J559" s="353"/>
      <c r="K559" s="538"/>
      <c r="L559" s="354"/>
      <c r="M559" s="354"/>
      <c r="N559" s="354"/>
      <c r="O559" s="354"/>
      <c r="P559" s="354"/>
      <c r="Q559" s="354"/>
      <c r="R559" s="354"/>
      <c r="S559" s="354"/>
      <c r="T559" s="354"/>
      <c r="U559" s="354"/>
      <c r="V559" s="354"/>
      <c r="W559" s="354"/>
      <c r="X559" s="354"/>
      <c r="Y559" s="354"/>
      <c r="Z559" s="353"/>
      <c r="AA559" s="353"/>
      <c r="AB559" s="836"/>
      <c r="AC559" s="836"/>
      <c r="AD559" s="836"/>
      <c r="AE559" s="838"/>
    </row>
    <row r="560" spans="1:31" ht="16.5" customHeight="1">
      <c r="A560" s="347">
        <v>336743</v>
      </c>
      <c r="B560" s="347" t="s">
        <v>6129</v>
      </c>
      <c r="C560" s="347"/>
      <c r="D560" s="348"/>
      <c r="E560" s="348"/>
      <c r="F560" s="348"/>
      <c r="G560" s="348"/>
      <c r="H560" s="358"/>
      <c r="I560" s="352"/>
      <c r="J560" s="353"/>
      <c r="K560" s="538"/>
      <c r="L560" s="487"/>
      <c r="M560" s="354"/>
      <c r="N560" s="354"/>
      <c r="O560" s="354"/>
      <c r="P560" s="354"/>
      <c r="Q560" s="354"/>
      <c r="R560" s="354"/>
      <c r="S560" s="354"/>
      <c r="T560" s="354"/>
      <c r="U560" s="354"/>
      <c r="V560" s="354"/>
      <c r="W560" s="354"/>
      <c r="X560" s="354"/>
      <c r="Y560" s="354"/>
      <c r="Z560" s="353"/>
      <c r="AA560" s="353"/>
      <c r="AB560" s="836"/>
      <c r="AC560" s="836"/>
      <c r="AD560" s="836"/>
      <c r="AE560" s="837"/>
    </row>
    <row r="561" spans="1:31" ht="16.5" customHeight="1">
      <c r="A561" s="347">
        <v>5172952</v>
      </c>
      <c r="B561" s="347" t="s">
        <v>6130</v>
      </c>
      <c r="C561" s="347"/>
      <c r="D561" s="348"/>
      <c r="E561" s="348"/>
      <c r="F561" s="348"/>
      <c r="G561" s="348"/>
      <c r="H561" s="358"/>
      <c r="I561" s="352"/>
      <c r="J561" s="353"/>
      <c r="K561" s="538"/>
      <c r="L561" s="354"/>
      <c r="M561" s="354"/>
      <c r="N561" s="354"/>
      <c r="O561" s="354"/>
      <c r="P561" s="354"/>
      <c r="Q561" s="354"/>
      <c r="R561" s="354"/>
      <c r="S561" s="354"/>
      <c r="T561" s="354"/>
      <c r="U561" s="354"/>
      <c r="V561" s="354"/>
      <c r="W561" s="354"/>
      <c r="X561" s="354"/>
      <c r="Y561" s="354"/>
      <c r="Z561" s="353"/>
      <c r="AA561" s="353"/>
      <c r="AB561" s="836"/>
      <c r="AC561" s="836"/>
      <c r="AD561" s="836"/>
      <c r="AE561" s="838"/>
    </row>
    <row r="562" spans="1:31" ht="16.5" customHeight="1">
      <c r="A562" s="347">
        <v>10465284</v>
      </c>
      <c r="B562" s="347" t="s">
        <v>6131</v>
      </c>
      <c r="C562" s="347"/>
      <c r="D562" s="348"/>
      <c r="E562" s="348"/>
      <c r="F562" s="348"/>
      <c r="G562" s="348"/>
      <c r="H562" s="358"/>
      <c r="I562" s="352"/>
      <c r="J562" s="353"/>
      <c r="K562" s="538"/>
      <c r="L562" s="354"/>
      <c r="M562" s="354"/>
      <c r="N562" s="354"/>
      <c r="O562" s="354"/>
      <c r="P562" s="354"/>
      <c r="Q562" s="354"/>
      <c r="R562" s="354"/>
      <c r="S562" s="354"/>
      <c r="T562" s="354"/>
      <c r="U562" s="354"/>
      <c r="V562" s="354"/>
      <c r="W562" s="354"/>
      <c r="X562" s="354"/>
      <c r="Y562" s="354"/>
      <c r="Z562" s="353"/>
      <c r="AA562" s="353"/>
      <c r="AB562" s="836"/>
      <c r="AC562" s="836"/>
      <c r="AD562" s="836"/>
      <c r="AE562" s="838"/>
    </row>
    <row r="563" spans="1:31" ht="16.5" customHeight="1">
      <c r="A563" s="347">
        <v>50308519</v>
      </c>
      <c r="B563" s="347" t="s">
        <v>6132</v>
      </c>
      <c r="C563" s="347"/>
      <c r="D563" s="348"/>
      <c r="E563" s="348"/>
      <c r="F563" s="348"/>
      <c r="G563" s="348"/>
      <c r="H563" s="358"/>
      <c r="I563" s="352"/>
      <c r="J563" s="353"/>
      <c r="K563" s="538"/>
      <c r="L563" s="354"/>
      <c r="M563" s="354"/>
      <c r="N563" s="354"/>
      <c r="O563" s="354"/>
      <c r="P563" s="354"/>
      <c r="Q563" s="354"/>
      <c r="R563" s="354"/>
      <c r="S563" s="354"/>
      <c r="T563" s="487"/>
      <c r="U563" s="487"/>
      <c r="V563" s="354"/>
      <c r="W563" s="354"/>
      <c r="X563" s="354"/>
      <c r="Y563" s="354"/>
      <c r="Z563" s="353"/>
      <c r="AA563" s="353"/>
      <c r="AB563" s="836"/>
      <c r="AC563" s="836"/>
      <c r="AD563" s="836"/>
      <c r="AE563" s="838"/>
    </row>
    <row r="564" spans="1:31" ht="16.5" customHeight="1">
      <c r="A564" s="347">
        <v>16570038</v>
      </c>
      <c r="B564" s="347" t="s">
        <v>6133</v>
      </c>
      <c r="C564" s="347"/>
      <c r="D564" s="348"/>
      <c r="E564" s="348"/>
      <c r="F564" s="348"/>
      <c r="G564" s="348"/>
      <c r="H564" s="358"/>
      <c r="I564" s="352"/>
      <c r="J564" s="353"/>
      <c r="K564" s="538"/>
      <c r="L564" s="487"/>
      <c r="M564" s="354"/>
      <c r="N564" s="354"/>
      <c r="O564" s="354"/>
      <c r="P564" s="354"/>
      <c r="Q564" s="354"/>
      <c r="R564" s="354"/>
      <c r="S564" s="354"/>
      <c r="T564" s="354"/>
      <c r="U564" s="354"/>
      <c r="V564" s="354"/>
      <c r="W564" s="354"/>
      <c r="X564" s="354"/>
      <c r="Y564" s="354"/>
      <c r="Z564" s="353"/>
      <c r="AA564" s="353"/>
      <c r="AB564" s="836"/>
      <c r="AC564" s="836"/>
      <c r="AD564" s="836"/>
      <c r="AE564" s="837"/>
    </row>
    <row r="565" spans="1:31" ht="16.5" customHeight="1">
      <c r="A565" s="347">
        <v>694604</v>
      </c>
      <c r="B565" s="347" t="s">
        <v>6134</v>
      </c>
      <c r="C565" s="347"/>
      <c r="D565" s="361"/>
      <c r="E565" s="361"/>
      <c r="F565" s="361"/>
      <c r="G565" s="348"/>
      <c r="H565" s="358"/>
      <c r="I565" s="352"/>
      <c r="J565" s="353"/>
      <c r="K565" s="538"/>
      <c r="L565" s="487"/>
      <c r="M565" s="354"/>
      <c r="N565" s="487"/>
      <c r="O565" s="354"/>
      <c r="P565" s="354"/>
      <c r="Q565" s="354"/>
      <c r="R565" s="354"/>
      <c r="S565" s="354"/>
      <c r="T565" s="354"/>
      <c r="U565" s="354"/>
      <c r="V565" s="354"/>
      <c r="W565" s="354"/>
      <c r="X565" s="354"/>
      <c r="Y565" s="354"/>
      <c r="Z565" s="353"/>
      <c r="AA565" s="353"/>
      <c r="AB565" s="836"/>
      <c r="AC565" s="836"/>
      <c r="AD565" s="836"/>
      <c r="AE565" s="837"/>
    </row>
    <row r="566" spans="1:31" ht="16.5" customHeight="1">
      <c r="A566" s="347">
        <v>57062861</v>
      </c>
      <c r="B566" s="347" t="s">
        <v>6135</v>
      </c>
      <c r="C566" s="347"/>
      <c r="D566" s="348"/>
      <c r="E566" s="348"/>
      <c r="F566" s="348"/>
      <c r="G566" s="348"/>
      <c r="H566" s="358"/>
      <c r="I566" s="352"/>
      <c r="J566" s="353"/>
      <c r="K566" s="538"/>
      <c r="L566" s="354"/>
      <c r="M566" s="354"/>
      <c r="N566" s="354"/>
      <c r="O566" s="354"/>
      <c r="P566" s="354"/>
      <c r="Q566" s="354"/>
      <c r="R566" s="354"/>
      <c r="S566" s="487"/>
      <c r="T566" s="354"/>
      <c r="U566" s="354"/>
      <c r="V566" s="354"/>
      <c r="W566" s="354"/>
      <c r="X566" s="353"/>
      <c r="Y566" s="355"/>
      <c r="Z566" s="353"/>
      <c r="AA566" s="353"/>
      <c r="AB566" s="836"/>
      <c r="AC566" s="836"/>
      <c r="AD566" s="836"/>
      <c r="AE566" s="838"/>
    </row>
    <row r="567" spans="1:31" ht="16.5" customHeight="1">
      <c r="A567" s="347">
        <v>4172110</v>
      </c>
      <c r="B567" s="347" t="s">
        <v>6136</v>
      </c>
      <c r="C567" s="347"/>
      <c r="D567" s="348"/>
      <c r="E567" s="348"/>
      <c r="F567" s="348"/>
      <c r="G567" s="348"/>
      <c r="H567" s="358"/>
      <c r="I567" s="352"/>
      <c r="J567" s="353"/>
      <c r="K567" s="538"/>
      <c r="L567" s="487"/>
      <c r="M567" s="354"/>
      <c r="N567" s="354"/>
      <c r="O567" s="354"/>
      <c r="P567" s="354"/>
      <c r="Q567" s="354"/>
      <c r="R567" s="354"/>
      <c r="S567" s="354"/>
      <c r="T567" s="354"/>
      <c r="U567" s="354"/>
      <c r="V567" s="354"/>
      <c r="W567" s="487"/>
      <c r="X567" s="354"/>
      <c r="Y567" s="354"/>
      <c r="Z567" s="353"/>
      <c r="AA567" s="353"/>
      <c r="AB567" s="836"/>
      <c r="AC567" s="836"/>
      <c r="AD567" s="836"/>
      <c r="AE567" s="837"/>
    </row>
    <row r="568" spans="1:31" ht="16.5" customHeight="1">
      <c r="A568" s="347">
        <v>28475861</v>
      </c>
      <c r="B568" s="347" t="s">
        <v>6137</v>
      </c>
      <c r="C568" s="347"/>
      <c r="D568" s="348"/>
      <c r="E568" s="348"/>
      <c r="F568" s="348"/>
      <c r="G568" s="348"/>
      <c r="H568" s="358"/>
      <c r="I568" s="352"/>
      <c r="J568" s="353"/>
      <c r="K568" s="538"/>
      <c r="L568" s="487"/>
      <c r="M568" s="354"/>
      <c r="N568" s="354"/>
      <c r="O568" s="354"/>
      <c r="P568" s="354"/>
      <c r="Q568" s="354"/>
      <c r="R568" s="354"/>
      <c r="S568" s="354"/>
      <c r="T568" s="354"/>
      <c r="U568" s="354"/>
      <c r="V568" s="354"/>
      <c r="W568" s="354"/>
      <c r="X568" s="354"/>
      <c r="Y568" s="355"/>
      <c r="Z568" s="353"/>
      <c r="AA568" s="353"/>
      <c r="AB568" s="836"/>
      <c r="AC568" s="836"/>
      <c r="AD568" s="836"/>
      <c r="AE568" s="837"/>
    </row>
    <row r="569" spans="1:31" ht="16.5" customHeight="1">
      <c r="A569" s="347">
        <v>416685</v>
      </c>
      <c r="B569" s="347" t="s">
        <v>6138</v>
      </c>
      <c r="C569" s="347"/>
      <c r="D569" s="348"/>
      <c r="E569" s="348"/>
      <c r="F569" s="348"/>
      <c r="G569" s="348"/>
      <c r="H569" s="358"/>
      <c r="I569" s="352"/>
      <c r="J569" s="353"/>
      <c r="K569" s="539"/>
      <c r="L569" s="487"/>
      <c r="M569" s="354"/>
      <c r="N569" s="354"/>
      <c r="O569" s="354"/>
      <c r="P569" s="354"/>
      <c r="Q569" s="354"/>
      <c r="R569" s="354"/>
      <c r="S569" s="354"/>
      <c r="T569" s="354"/>
      <c r="U569" s="354"/>
      <c r="V569" s="354"/>
      <c r="W569" s="354"/>
      <c r="X569" s="353"/>
      <c r="Y569" s="354"/>
      <c r="Z569" s="353"/>
      <c r="AA569" s="353"/>
      <c r="AB569" s="836"/>
      <c r="AC569" s="836"/>
      <c r="AD569" s="836"/>
      <c r="AE569" s="838"/>
    </row>
    <row r="570" spans="1:31" ht="16.5" customHeight="1">
      <c r="A570" s="347">
        <v>357848</v>
      </c>
      <c r="B570" s="347" t="s">
        <v>6139</v>
      </c>
      <c r="C570" s="347"/>
      <c r="D570" s="348"/>
      <c r="E570" s="348"/>
      <c r="F570" s="348"/>
      <c r="G570" s="348"/>
      <c r="H570" s="358"/>
      <c r="I570" s="352"/>
      <c r="J570" s="353"/>
      <c r="K570" s="539"/>
      <c r="L570" s="487"/>
      <c r="M570" s="354"/>
      <c r="N570" s="354"/>
      <c r="O570" s="354"/>
      <c r="P570" s="354"/>
      <c r="Q570" s="354"/>
      <c r="R570" s="354"/>
      <c r="S570" s="354"/>
      <c r="T570" s="354"/>
      <c r="U570" s="354"/>
      <c r="V570" s="354"/>
      <c r="W570" s="354"/>
      <c r="X570" s="353"/>
      <c r="Y570" s="354"/>
      <c r="Z570" s="353"/>
      <c r="AA570" s="353"/>
      <c r="AB570" s="836"/>
      <c r="AC570" s="836"/>
      <c r="AD570" s="836"/>
      <c r="AE570" s="838"/>
    </row>
    <row r="571" spans="1:31" ht="16.5" customHeight="1">
      <c r="A571" s="347">
        <v>29077377</v>
      </c>
      <c r="B571" s="347" t="s">
        <v>6140</v>
      </c>
      <c r="C571" s="347"/>
      <c r="D571" s="348"/>
      <c r="E571" s="348"/>
      <c r="F571" s="348"/>
      <c r="G571" s="348"/>
      <c r="H571" s="358"/>
      <c r="I571" s="352"/>
      <c r="J571" s="353"/>
      <c r="K571" s="538"/>
      <c r="L571" s="354"/>
      <c r="M571" s="354"/>
      <c r="N571" s="354"/>
      <c r="O571" s="354"/>
      <c r="P571" s="354"/>
      <c r="Q571" s="354"/>
      <c r="R571" s="354"/>
      <c r="S571" s="354"/>
      <c r="T571" s="354"/>
      <c r="U571" s="354"/>
      <c r="V571" s="354"/>
      <c r="W571" s="354"/>
      <c r="X571" s="354"/>
      <c r="Y571" s="354"/>
      <c r="Z571" s="353"/>
      <c r="AA571" s="353"/>
      <c r="AB571" s="836"/>
      <c r="AC571" s="836"/>
      <c r="AD571" s="836"/>
      <c r="AE571" s="838"/>
    </row>
    <row r="572" spans="1:31" ht="16.5" customHeight="1">
      <c r="A572" s="347">
        <v>946426</v>
      </c>
      <c r="B572" s="347" t="s">
        <v>6141</v>
      </c>
      <c r="C572" s="347"/>
      <c r="D572" s="348"/>
      <c r="E572" s="348"/>
      <c r="F572" s="348"/>
      <c r="G572" s="348"/>
      <c r="H572" s="358"/>
      <c r="I572" s="352"/>
      <c r="J572" s="353"/>
      <c r="K572" s="538"/>
      <c r="L572" s="354"/>
      <c r="M572" s="354"/>
      <c r="N572" s="354"/>
      <c r="O572" s="354"/>
      <c r="P572" s="354"/>
      <c r="Q572" s="354"/>
      <c r="R572" s="354"/>
      <c r="S572" s="354"/>
      <c r="T572" s="354"/>
      <c r="U572" s="354"/>
      <c r="V572" s="354"/>
      <c r="W572" s="354"/>
      <c r="X572" s="354"/>
      <c r="Y572" s="354"/>
      <c r="Z572" s="353"/>
      <c r="AA572" s="353"/>
      <c r="AB572" s="836"/>
      <c r="AC572" s="836"/>
      <c r="AD572" s="836"/>
      <c r="AE572" s="838"/>
    </row>
    <row r="573" spans="1:31" ht="16.5" customHeight="1">
      <c r="A573" s="347">
        <v>2970028</v>
      </c>
      <c r="B573" s="347" t="s">
        <v>6142</v>
      </c>
      <c r="C573" s="347"/>
      <c r="D573" s="348"/>
      <c r="E573" s="348"/>
      <c r="F573" s="348"/>
      <c r="G573" s="348"/>
      <c r="H573" s="358"/>
      <c r="I573" s="352"/>
      <c r="J573" s="353"/>
      <c r="K573" s="538"/>
      <c r="L573" s="354"/>
      <c r="M573" s="354"/>
      <c r="N573" s="354"/>
      <c r="O573" s="354"/>
      <c r="P573" s="354"/>
      <c r="Q573" s="354"/>
      <c r="R573" s="354"/>
      <c r="S573" s="354"/>
      <c r="T573" s="354"/>
      <c r="U573" s="354"/>
      <c r="V573" s="354"/>
      <c r="W573" s="354"/>
      <c r="X573" s="354"/>
      <c r="Y573" s="354"/>
      <c r="Z573" s="353"/>
      <c r="AA573" s="353"/>
      <c r="AB573" s="836"/>
      <c r="AC573" s="836"/>
      <c r="AD573" s="836"/>
      <c r="AE573" s="838"/>
    </row>
    <row r="574" spans="1:31" ht="16.5" customHeight="1">
      <c r="A574" s="347">
        <v>3638913</v>
      </c>
      <c r="B574" s="347" t="s">
        <v>6143</v>
      </c>
      <c r="C574" s="347"/>
      <c r="D574" s="348"/>
      <c r="E574" s="348"/>
      <c r="F574" s="348"/>
      <c r="G574" s="348"/>
      <c r="H574" s="358"/>
      <c r="I574" s="352"/>
      <c r="J574" s="353"/>
      <c r="K574" s="538"/>
      <c r="L574" s="354"/>
      <c r="M574" s="354"/>
      <c r="N574" s="354"/>
      <c r="O574" s="354"/>
      <c r="P574" s="354"/>
      <c r="Q574" s="354"/>
      <c r="R574" s="354"/>
      <c r="S574" s="354"/>
      <c r="T574" s="354"/>
      <c r="U574" s="354"/>
      <c r="V574" s="354"/>
      <c r="W574" s="354"/>
      <c r="X574" s="354"/>
      <c r="Y574" s="354"/>
      <c r="Z574" s="353"/>
      <c r="AA574" s="353"/>
      <c r="AB574" s="836"/>
      <c r="AC574" s="836"/>
      <c r="AD574" s="836"/>
      <c r="AE574" s="838"/>
    </row>
    <row r="575" spans="1:31" ht="16.5" customHeight="1">
      <c r="A575" s="347">
        <v>33106287</v>
      </c>
      <c r="B575" s="347" t="s">
        <v>6144</v>
      </c>
      <c r="C575" s="347"/>
      <c r="D575" s="348"/>
      <c r="E575" s="348"/>
      <c r="F575" s="348"/>
      <c r="G575" s="348"/>
      <c r="H575" s="358"/>
      <c r="I575" s="352"/>
      <c r="J575" s="353"/>
      <c r="K575" s="538"/>
      <c r="L575" s="487"/>
      <c r="M575" s="354"/>
      <c r="N575" s="354"/>
      <c r="O575" s="354"/>
      <c r="P575" s="354"/>
      <c r="Q575" s="354"/>
      <c r="R575" s="354"/>
      <c r="S575" s="354"/>
      <c r="T575" s="354"/>
      <c r="U575" s="354"/>
      <c r="V575" s="354"/>
      <c r="W575" s="354"/>
      <c r="X575" s="354"/>
      <c r="Y575" s="354"/>
      <c r="Z575" s="353"/>
      <c r="AA575" s="353"/>
      <c r="AB575" s="836"/>
      <c r="AC575" s="836"/>
      <c r="AD575" s="836"/>
      <c r="AE575" s="837"/>
    </row>
    <row r="576" spans="1:31" ht="16.5" customHeight="1">
      <c r="A576" s="347">
        <v>13547039</v>
      </c>
      <c r="B576" s="347" t="s">
        <v>6145</v>
      </c>
      <c r="C576" s="347"/>
      <c r="D576" s="348"/>
      <c r="E576" s="348"/>
      <c r="F576" s="348"/>
      <c r="G576" s="348"/>
      <c r="H576" s="358"/>
      <c r="I576" s="352"/>
      <c r="J576" s="353"/>
      <c r="K576" s="538"/>
      <c r="L576" s="354"/>
      <c r="M576" s="354"/>
      <c r="N576" s="354"/>
      <c r="O576" s="354"/>
      <c r="P576" s="354"/>
      <c r="Q576" s="354"/>
      <c r="R576" s="354"/>
      <c r="S576" s="354"/>
      <c r="T576" s="354"/>
      <c r="U576" s="354"/>
      <c r="V576" s="354"/>
      <c r="W576" s="354"/>
      <c r="X576" s="354"/>
      <c r="Y576" s="354"/>
      <c r="Z576" s="353"/>
      <c r="AA576" s="353"/>
      <c r="AB576" s="836"/>
      <c r="AC576" s="836"/>
      <c r="AD576" s="836"/>
      <c r="AE576" s="838"/>
    </row>
    <row r="577" spans="1:31" ht="16.5" customHeight="1">
      <c r="A577" s="347">
        <v>29528817</v>
      </c>
      <c r="B577" s="347" t="s">
        <v>6146</v>
      </c>
      <c r="C577" s="347"/>
      <c r="D577" s="348"/>
      <c r="E577" s="348"/>
      <c r="F577" s="348"/>
      <c r="G577" s="348"/>
      <c r="H577" s="358"/>
      <c r="I577" s="352"/>
      <c r="J577" s="353"/>
      <c r="K577" s="538"/>
      <c r="L577" s="354"/>
      <c r="M577" s="354"/>
      <c r="N577" s="354"/>
      <c r="O577" s="354"/>
      <c r="P577" s="354"/>
      <c r="Q577" s="354"/>
      <c r="R577" s="354"/>
      <c r="S577" s="354"/>
      <c r="T577" s="354"/>
      <c r="U577" s="354"/>
      <c r="V577" s="354"/>
      <c r="W577" s="354"/>
      <c r="X577" s="354"/>
      <c r="Y577" s="354"/>
      <c r="Z577" s="353"/>
      <c r="AA577" s="353"/>
      <c r="AB577" s="836"/>
      <c r="AC577" s="836"/>
      <c r="AD577" s="836"/>
      <c r="AE577" s="838"/>
    </row>
    <row r="578" spans="1:31" ht="16.5" customHeight="1">
      <c r="A578" s="347">
        <v>4412581</v>
      </c>
      <c r="B578" s="347" t="s">
        <v>6147</v>
      </c>
      <c r="C578" s="347"/>
      <c r="D578" s="348"/>
      <c r="E578" s="348"/>
      <c r="F578" s="348"/>
      <c r="G578" s="348"/>
      <c r="H578" s="358"/>
      <c r="I578" s="352"/>
      <c r="J578" s="353"/>
      <c r="K578" s="538"/>
      <c r="L578" s="487"/>
      <c r="M578" s="354"/>
      <c r="N578" s="354"/>
      <c r="O578" s="354"/>
      <c r="P578" s="354"/>
      <c r="Q578" s="354"/>
      <c r="R578" s="354"/>
      <c r="S578" s="354"/>
      <c r="T578" s="354"/>
      <c r="U578" s="354"/>
      <c r="V578" s="354"/>
      <c r="W578" s="354"/>
      <c r="X578" s="353"/>
      <c r="Y578" s="354"/>
      <c r="Z578" s="353"/>
      <c r="AA578" s="353"/>
      <c r="AB578" s="836"/>
      <c r="AC578" s="836"/>
      <c r="AD578" s="836"/>
      <c r="AE578" s="838"/>
    </row>
    <row r="579" spans="1:31" ht="16.5" customHeight="1">
      <c r="A579" s="347">
        <v>44877975</v>
      </c>
      <c r="B579" s="347" t="s">
        <v>6148</v>
      </c>
      <c r="C579" s="347"/>
      <c r="D579" s="348"/>
      <c r="E579" s="348"/>
      <c r="F579" s="348"/>
      <c r="G579" s="348"/>
      <c r="H579" s="358"/>
      <c r="I579" s="352"/>
      <c r="J579" s="353"/>
      <c r="K579" s="539"/>
      <c r="L579" s="487"/>
      <c r="M579" s="354"/>
      <c r="N579" s="354"/>
      <c r="O579" s="354"/>
      <c r="P579" s="354"/>
      <c r="Q579" s="354"/>
      <c r="R579" s="354"/>
      <c r="S579" s="354"/>
      <c r="T579" s="354"/>
      <c r="U579" s="354"/>
      <c r="V579" s="354"/>
      <c r="W579" s="354"/>
      <c r="X579" s="354"/>
      <c r="Y579" s="354"/>
      <c r="Z579" s="353"/>
      <c r="AA579" s="353"/>
      <c r="AB579" s="836"/>
      <c r="AC579" s="836"/>
      <c r="AD579" s="836"/>
      <c r="AE579" s="838"/>
    </row>
    <row r="580" spans="1:31" ht="16.5" customHeight="1">
      <c r="A580" s="347">
        <v>61937</v>
      </c>
      <c r="B580" s="347" t="s">
        <v>6149</v>
      </c>
      <c r="C580" s="347"/>
      <c r="D580" s="348"/>
      <c r="E580" s="348"/>
      <c r="F580" s="348"/>
      <c r="G580" s="348"/>
      <c r="H580" s="358"/>
      <c r="I580" s="352"/>
      <c r="J580" s="353"/>
      <c r="K580" s="538"/>
      <c r="L580" s="487"/>
      <c r="M580" s="354"/>
      <c r="N580" s="354"/>
      <c r="O580" s="354"/>
      <c r="P580" s="354"/>
      <c r="Q580" s="354"/>
      <c r="R580" s="354"/>
      <c r="S580" s="354"/>
      <c r="T580" s="354"/>
      <c r="U580" s="354"/>
      <c r="V580" s="354"/>
      <c r="W580" s="354"/>
      <c r="X580" s="354"/>
      <c r="Y580" s="354"/>
      <c r="Z580" s="353"/>
      <c r="AA580" s="353"/>
      <c r="AB580" s="836"/>
      <c r="AC580" s="836"/>
      <c r="AD580" s="836"/>
      <c r="AE580" s="837"/>
    </row>
    <row r="581" spans="1:31" ht="16.5" customHeight="1">
      <c r="A581" s="347">
        <v>28543999</v>
      </c>
      <c r="B581" s="347" t="s">
        <v>6150</v>
      </c>
      <c r="C581" s="347"/>
      <c r="D581" s="348"/>
      <c r="E581" s="348"/>
      <c r="F581" s="348"/>
      <c r="G581" s="348"/>
      <c r="H581" s="358"/>
      <c r="I581" s="352"/>
      <c r="J581" s="353"/>
      <c r="K581" s="538"/>
      <c r="L581" s="487"/>
      <c r="M581" s="354"/>
      <c r="N581" s="487"/>
      <c r="O581" s="487"/>
      <c r="P581" s="354"/>
      <c r="Q581" s="354"/>
      <c r="R581" s="354"/>
      <c r="S581" s="354"/>
      <c r="T581" s="354"/>
      <c r="U581" s="354"/>
      <c r="V581" s="487"/>
      <c r="W581" s="354"/>
      <c r="X581" s="354"/>
      <c r="Y581" s="354"/>
      <c r="Z581" s="353"/>
      <c r="AA581" s="353"/>
      <c r="AB581" s="836"/>
      <c r="AC581" s="836"/>
      <c r="AD581" s="836"/>
      <c r="AE581" s="837"/>
    </row>
    <row r="582" spans="1:31" ht="16.5" customHeight="1">
      <c r="A582" s="347">
        <v>808097</v>
      </c>
      <c r="B582" s="347" t="s">
        <v>6151</v>
      </c>
      <c r="C582" s="347"/>
      <c r="D582" s="348"/>
      <c r="E582" s="348"/>
      <c r="F582" s="348"/>
      <c r="G582" s="348"/>
      <c r="H582" s="358"/>
      <c r="I582" s="352"/>
      <c r="J582" s="353"/>
      <c r="K582" s="538"/>
      <c r="L582" s="354"/>
      <c r="M582" s="354"/>
      <c r="N582" s="354"/>
      <c r="O582" s="487"/>
      <c r="P582" s="354"/>
      <c r="Q582" s="354"/>
      <c r="R582" s="354"/>
      <c r="S582" s="354"/>
      <c r="T582" s="354"/>
      <c r="U582" s="354"/>
      <c r="V582" s="354"/>
      <c r="W582" s="354"/>
      <c r="X582" s="354"/>
      <c r="Y582" s="354"/>
      <c r="Z582" s="353"/>
      <c r="AA582" s="353"/>
      <c r="AB582" s="836"/>
      <c r="AC582" s="836"/>
      <c r="AD582" s="836"/>
      <c r="AE582" s="838"/>
    </row>
    <row r="583" spans="1:31" ht="16.5" customHeight="1">
      <c r="A583" s="347">
        <v>16190506</v>
      </c>
      <c r="B583" s="347" t="s">
        <v>6152</v>
      </c>
      <c r="C583" s="347"/>
      <c r="D583" s="347"/>
      <c r="E583" s="347"/>
      <c r="F583" s="347"/>
      <c r="G583" s="348"/>
      <c r="H583" s="358"/>
      <c r="I583" s="352"/>
      <c r="J583" s="353"/>
      <c r="K583" s="538"/>
      <c r="L583" s="487"/>
      <c r="M583" s="354"/>
      <c r="N583" s="354"/>
      <c r="O583" s="354"/>
      <c r="P583" s="354"/>
      <c r="Q583" s="354"/>
      <c r="R583" s="354"/>
      <c r="S583" s="354"/>
      <c r="T583" s="354"/>
      <c r="U583" s="354"/>
      <c r="V583" s="354"/>
      <c r="W583" s="354"/>
      <c r="X583" s="354"/>
      <c r="Y583" s="354"/>
      <c r="Z583" s="353"/>
      <c r="AA583" s="353"/>
      <c r="AB583" s="836"/>
      <c r="AC583" s="836"/>
      <c r="AD583" s="836"/>
      <c r="AE583" s="837"/>
    </row>
    <row r="584" spans="1:31" ht="16.5" customHeight="1">
      <c r="A584" s="347">
        <v>2959468</v>
      </c>
      <c r="B584" s="347" t="s">
        <v>6153</v>
      </c>
      <c r="C584" s="347"/>
      <c r="D584" s="348"/>
      <c r="E584" s="348"/>
      <c r="F584" s="348"/>
      <c r="G584" s="348"/>
      <c r="H584" s="358"/>
      <c r="I584" s="352"/>
      <c r="J584" s="353"/>
      <c r="K584" s="539"/>
      <c r="L584" s="487"/>
      <c r="M584" s="354"/>
      <c r="N584" s="354"/>
      <c r="O584" s="354"/>
      <c r="P584" s="354"/>
      <c r="Q584" s="354"/>
      <c r="R584" s="354"/>
      <c r="S584" s="354"/>
      <c r="T584" s="354"/>
      <c r="U584" s="354"/>
      <c r="V584" s="354"/>
      <c r="W584" s="354"/>
      <c r="X584" s="353"/>
      <c r="Y584" s="355"/>
      <c r="Z584" s="353"/>
      <c r="AA584" s="353"/>
      <c r="AB584" s="836"/>
      <c r="AC584" s="836"/>
      <c r="AD584" s="836"/>
      <c r="AE584" s="837"/>
    </row>
    <row r="585" spans="1:31" ht="16.5" customHeight="1">
      <c r="A585" s="347">
        <v>4976866</v>
      </c>
      <c r="B585" s="347" t="s">
        <v>6154</v>
      </c>
      <c r="C585" s="347"/>
      <c r="D585" s="348"/>
      <c r="E585" s="348"/>
      <c r="F585" s="348"/>
      <c r="G585" s="348"/>
      <c r="H585" s="358"/>
      <c r="I585" s="352"/>
      <c r="J585" s="353"/>
      <c r="K585" s="538"/>
      <c r="L585" s="487"/>
      <c r="M585" s="354"/>
      <c r="N585" s="354"/>
      <c r="O585" s="354"/>
      <c r="P585" s="354"/>
      <c r="Q585" s="354"/>
      <c r="R585" s="354"/>
      <c r="S585" s="354"/>
      <c r="T585" s="354"/>
      <c r="U585" s="354"/>
      <c r="V585" s="354"/>
      <c r="W585" s="354"/>
      <c r="X585" s="353"/>
      <c r="Y585" s="354"/>
      <c r="Z585" s="353"/>
      <c r="AA585" s="353"/>
      <c r="AB585" s="836"/>
      <c r="AC585" s="836"/>
      <c r="AD585" s="836"/>
      <c r="AE585" s="837"/>
    </row>
    <row r="586" spans="1:31" ht="16.5" customHeight="1">
      <c r="A586" s="347">
        <v>17663337</v>
      </c>
      <c r="B586" s="347" t="s">
        <v>6155</v>
      </c>
      <c r="C586" s="347"/>
      <c r="D586" s="348"/>
      <c r="E586" s="348"/>
      <c r="F586" s="348"/>
      <c r="G586" s="348"/>
      <c r="H586" s="358"/>
      <c r="I586" s="352"/>
      <c r="J586" s="353"/>
      <c r="K586" s="538"/>
      <c r="L586" s="487"/>
      <c r="M586" s="354"/>
      <c r="N586" s="354"/>
      <c r="O586" s="354"/>
      <c r="P586" s="354"/>
      <c r="Q586" s="354"/>
      <c r="R586" s="354"/>
      <c r="S586" s="354"/>
      <c r="T586" s="354"/>
      <c r="U586" s="354"/>
      <c r="V586" s="354"/>
      <c r="W586" s="354"/>
      <c r="X586" s="354"/>
      <c r="Y586" s="354"/>
      <c r="Z586" s="353"/>
      <c r="AA586" s="353"/>
      <c r="AB586" s="836"/>
      <c r="AC586" s="836"/>
      <c r="AD586" s="836"/>
      <c r="AE586" s="837"/>
    </row>
    <row r="587" spans="1:31" ht="16.5" customHeight="1">
      <c r="A587" s="347">
        <v>12466835</v>
      </c>
      <c r="B587" s="347" t="s">
        <v>6156</v>
      </c>
      <c r="C587" s="347"/>
      <c r="D587" s="348"/>
      <c r="E587" s="348"/>
      <c r="F587" s="348"/>
      <c r="G587" s="348"/>
      <c r="H587" s="358"/>
      <c r="I587" s="352"/>
      <c r="J587" s="353"/>
      <c r="K587" s="538"/>
      <c r="L587" s="487"/>
      <c r="M587" s="354"/>
      <c r="N587" s="354"/>
      <c r="O587" s="354"/>
      <c r="P587" s="354"/>
      <c r="Q587" s="354"/>
      <c r="R587" s="354"/>
      <c r="S587" s="354"/>
      <c r="T587" s="354"/>
      <c r="U587" s="354"/>
      <c r="V587" s="354"/>
      <c r="W587" s="354"/>
      <c r="X587" s="354"/>
      <c r="Y587" s="354"/>
      <c r="Z587" s="353"/>
      <c r="AA587" s="353"/>
      <c r="AB587" s="836"/>
      <c r="AC587" s="836"/>
      <c r="AD587" s="836"/>
      <c r="AE587" s="837"/>
    </row>
    <row r="588" spans="1:31" ht="16.5" customHeight="1">
      <c r="A588" s="347">
        <v>27419001</v>
      </c>
      <c r="B588" s="347" t="s">
        <v>6157</v>
      </c>
      <c r="C588" s="347"/>
      <c r="D588" s="361"/>
      <c r="E588" s="361"/>
      <c r="F588" s="361"/>
      <c r="G588" s="348"/>
      <c r="H588" s="358"/>
      <c r="I588" s="352"/>
      <c r="J588" s="353"/>
      <c r="K588" s="538"/>
      <c r="L588" s="487"/>
      <c r="M588" s="354"/>
      <c r="N588" s="354"/>
      <c r="O588" s="354"/>
      <c r="P588" s="354"/>
      <c r="Q588" s="354"/>
      <c r="R588" s="354"/>
      <c r="S588" s="354"/>
      <c r="T588" s="354"/>
      <c r="U588" s="354"/>
      <c r="V588" s="354"/>
      <c r="W588" s="354"/>
      <c r="X588" s="354"/>
      <c r="Y588" s="354"/>
      <c r="Z588" s="353"/>
      <c r="AA588" s="353"/>
      <c r="AB588" s="836"/>
      <c r="AC588" s="836"/>
      <c r="AD588" s="842"/>
      <c r="AE588" s="837"/>
    </row>
    <row r="589" spans="1:31" ht="16.5" customHeight="1">
      <c r="A589" s="347">
        <v>276048</v>
      </c>
      <c r="B589" s="347" t="s">
        <v>6158</v>
      </c>
      <c r="C589" s="347"/>
      <c r="D589" s="348"/>
      <c r="E589" s="348"/>
      <c r="F589" s="348"/>
      <c r="G589" s="348"/>
      <c r="H589" s="358"/>
      <c r="I589" s="352"/>
      <c r="J589" s="353"/>
      <c r="K589" s="538"/>
      <c r="L589" s="487"/>
      <c r="M589" s="354"/>
      <c r="N589" s="354"/>
      <c r="O589" s="354"/>
      <c r="P589" s="354"/>
      <c r="Q589" s="354"/>
      <c r="R589" s="354"/>
      <c r="S589" s="354"/>
      <c r="T589" s="354"/>
      <c r="U589" s="354"/>
      <c r="V589" s="354"/>
      <c r="W589" s="354"/>
      <c r="X589" s="354"/>
      <c r="Y589" s="354"/>
      <c r="Z589" s="353"/>
      <c r="AA589" s="353"/>
      <c r="AB589" s="836"/>
      <c r="AC589" s="836"/>
      <c r="AD589" s="836"/>
      <c r="AE589" s="837"/>
    </row>
    <row r="590" spans="1:31" ht="16.5" customHeight="1">
      <c r="A590" s="347">
        <v>6532576</v>
      </c>
      <c r="B590" s="347" t="s">
        <v>6159</v>
      </c>
      <c r="C590" s="347"/>
      <c r="D590" s="348"/>
      <c r="E590" s="348"/>
      <c r="F590" s="348"/>
      <c r="G590" s="348"/>
      <c r="H590" s="358"/>
      <c r="I590" s="352"/>
      <c r="J590" s="353"/>
      <c r="K590" s="538"/>
      <c r="L590" s="487"/>
      <c r="M590" s="354"/>
      <c r="N590" s="354"/>
      <c r="O590" s="354"/>
      <c r="P590" s="354"/>
      <c r="Q590" s="354"/>
      <c r="R590" s="354"/>
      <c r="S590" s="354"/>
      <c r="T590" s="354"/>
      <c r="U590" s="354"/>
      <c r="V590" s="354"/>
      <c r="W590" s="354"/>
      <c r="X590" s="354"/>
      <c r="Y590" s="354"/>
      <c r="Z590" s="353"/>
      <c r="AA590" s="353"/>
      <c r="AB590" s="836"/>
      <c r="AC590" s="836"/>
      <c r="AD590" s="836"/>
      <c r="AE590" s="837"/>
    </row>
    <row r="591" spans="1:31" ht="16.5" customHeight="1">
      <c r="A591" s="347">
        <v>4250254</v>
      </c>
      <c r="B591" s="347" t="s">
        <v>6160</v>
      </c>
      <c r="C591" s="347"/>
      <c r="D591" s="348"/>
      <c r="E591" s="348"/>
      <c r="F591" s="348"/>
      <c r="G591" s="348"/>
      <c r="H591" s="358"/>
      <c r="I591" s="352"/>
      <c r="J591" s="353"/>
      <c r="K591" s="538"/>
      <c r="L591" s="487"/>
      <c r="M591" s="354"/>
      <c r="N591" s="354"/>
      <c r="O591" s="354"/>
      <c r="P591" s="354"/>
      <c r="Q591" s="354"/>
      <c r="R591" s="354"/>
      <c r="S591" s="354"/>
      <c r="T591" s="354"/>
      <c r="U591" s="354"/>
      <c r="V591" s="354"/>
      <c r="W591" s="354"/>
      <c r="X591" s="354"/>
      <c r="Y591" s="354"/>
      <c r="Z591" s="353"/>
      <c r="AA591" s="353"/>
      <c r="AB591" s="836"/>
      <c r="AC591" s="836"/>
      <c r="AD591" s="836"/>
      <c r="AE591" s="837"/>
    </row>
    <row r="592" spans="1:31" ht="16.5" customHeight="1">
      <c r="A592" s="347">
        <v>1814920</v>
      </c>
      <c r="B592" s="347" t="s">
        <v>6161</v>
      </c>
      <c r="C592" s="347"/>
      <c r="D592" s="348"/>
      <c r="E592" s="348"/>
      <c r="F592" s="348"/>
      <c r="G592" s="348"/>
      <c r="H592" s="358"/>
      <c r="I592" s="352"/>
      <c r="J592" s="353"/>
      <c r="K592" s="538"/>
      <c r="L592" s="487"/>
      <c r="M592" s="354"/>
      <c r="N592" s="354"/>
      <c r="O592" s="354"/>
      <c r="P592" s="354"/>
      <c r="Q592" s="354"/>
      <c r="R592" s="354"/>
      <c r="S592" s="354"/>
      <c r="T592" s="354"/>
      <c r="U592" s="354"/>
      <c r="V592" s="354"/>
      <c r="W592" s="354"/>
      <c r="X592" s="354"/>
      <c r="Y592" s="354"/>
      <c r="Z592" s="353"/>
      <c r="AA592" s="353"/>
      <c r="AB592" s="836"/>
      <c r="AC592" s="836"/>
      <c r="AD592" s="836"/>
      <c r="AE592" s="837"/>
    </row>
    <row r="593" spans="1:31" ht="16.5" customHeight="1">
      <c r="A593" s="347">
        <v>7569403</v>
      </c>
      <c r="B593" s="347" t="s">
        <v>6162</v>
      </c>
      <c r="C593" s="347"/>
      <c r="D593" s="348"/>
      <c r="E593" s="348"/>
      <c r="F593" s="348"/>
      <c r="G593" s="348"/>
      <c r="H593" s="358"/>
      <c r="I593" s="352"/>
      <c r="J593" s="353"/>
      <c r="K593" s="538"/>
      <c r="L593" s="487"/>
      <c r="M593" s="354"/>
      <c r="N593" s="354"/>
      <c r="O593" s="354"/>
      <c r="P593" s="354"/>
      <c r="Q593" s="354"/>
      <c r="R593" s="354"/>
      <c r="S593" s="354"/>
      <c r="T593" s="354"/>
      <c r="U593" s="354"/>
      <c r="V593" s="354"/>
      <c r="W593" s="354"/>
      <c r="X593" s="354"/>
      <c r="Y593" s="354"/>
      <c r="Z593" s="353"/>
      <c r="AA593" s="353"/>
      <c r="AB593" s="836"/>
      <c r="AC593" s="836"/>
      <c r="AD593" s="836"/>
      <c r="AE593" s="837"/>
    </row>
    <row r="594" spans="1:31" ht="16.5" customHeight="1">
      <c r="A594" s="347">
        <v>20178786</v>
      </c>
      <c r="B594" s="347" t="s">
        <v>6163</v>
      </c>
      <c r="C594" s="347"/>
      <c r="D594" s="348"/>
      <c r="E594" s="348"/>
      <c r="F594" s="348"/>
      <c r="G594" s="348"/>
      <c r="H594" s="358"/>
      <c r="I594" s="352"/>
      <c r="J594" s="353"/>
      <c r="K594" s="538"/>
      <c r="L594" s="487"/>
      <c r="M594" s="354"/>
      <c r="N594" s="354"/>
      <c r="O594" s="354"/>
      <c r="P594" s="354"/>
      <c r="Q594" s="354"/>
      <c r="R594" s="354"/>
      <c r="S594" s="354"/>
      <c r="T594" s="354"/>
      <c r="U594" s="354"/>
      <c r="V594" s="354"/>
      <c r="W594" s="354"/>
      <c r="X594" s="354"/>
      <c r="Y594" s="354"/>
      <c r="Z594" s="353"/>
      <c r="AA594" s="353"/>
      <c r="AB594" s="836"/>
      <c r="AC594" s="836"/>
      <c r="AD594" s="836"/>
      <c r="AE594" s="837"/>
    </row>
    <row r="595" spans="1:31" ht="16.5" customHeight="1">
      <c r="A595" s="347">
        <v>33923012</v>
      </c>
      <c r="B595" s="347" t="s">
        <v>6164</v>
      </c>
      <c r="C595" s="347"/>
      <c r="D595" s="348"/>
      <c r="E595" s="348"/>
      <c r="F595" s="348"/>
      <c r="G595" s="348"/>
      <c r="H595" s="358"/>
      <c r="I595" s="352"/>
      <c r="J595" s="353"/>
      <c r="K595" s="539"/>
      <c r="L595" s="487"/>
      <c r="M595" s="354"/>
      <c r="N595" s="354"/>
      <c r="O595" s="354"/>
      <c r="P595" s="354"/>
      <c r="Q595" s="354"/>
      <c r="R595" s="354"/>
      <c r="S595" s="354"/>
      <c r="T595" s="354"/>
      <c r="U595" s="354"/>
      <c r="V595" s="354"/>
      <c r="W595" s="354"/>
      <c r="X595" s="354"/>
      <c r="Y595" s="354"/>
      <c r="Z595" s="353"/>
      <c r="AA595" s="353"/>
      <c r="AB595" s="836"/>
      <c r="AC595" s="836"/>
      <c r="AD595" s="842"/>
      <c r="AE595" s="837"/>
    </row>
    <row r="596" spans="1:31" ht="16.5" customHeight="1">
      <c r="A596" s="347">
        <v>5001870</v>
      </c>
      <c r="B596" s="347" t="s">
        <v>6165</v>
      </c>
      <c r="C596" s="347"/>
      <c r="D596" s="361"/>
      <c r="E596" s="361"/>
      <c r="F596" s="361"/>
      <c r="G596" s="348"/>
      <c r="H596" s="358"/>
      <c r="I596" s="352"/>
      <c r="J596" s="353"/>
      <c r="K596" s="538"/>
      <c r="L596" s="487"/>
      <c r="M596" s="354"/>
      <c r="N596" s="354"/>
      <c r="O596" s="354"/>
      <c r="P596" s="354"/>
      <c r="Q596" s="354"/>
      <c r="R596" s="354"/>
      <c r="S596" s="354"/>
      <c r="T596" s="354"/>
      <c r="U596" s="354"/>
      <c r="V596" s="354"/>
      <c r="W596" s="354"/>
      <c r="X596" s="354"/>
      <c r="Y596" s="354"/>
      <c r="Z596" s="353"/>
      <c r="AA596" s="353"/>
      <c r="AB596" s="836"/>
      <c r="AC596" s="836"/>
      <c r="AD596" s="836"/>
      <c r="AE596" s="837"/>
    </row>
    <row r="597" spans="1:31" ht="16.5" customHeight="1">
      <c r="A597" s="347">
        <v>695692</v>
      </c>
      <c r="B597" s="347" t="s">
        <v>6166</v>
      </c>
      <c r="C597" s="347"/>
      <c r="D597" s="348"/>
      <c r="E597" s="348"/>
      <c r="F597" s="348"/>
      <c r="G597" s="348"/>
      <c r="H597" s="358"/>
      <c r="I597" s="352"/>
      <c r="J597" s="353"/>
      <c r="K597" s="538"/>
      <c r="L597" s="354"/>
      <c r="M597" s="354"/>
      <c r="N597" s="354"/>
      <c r="O597" s="354"/>
      <c r="P597" s="354"/>
      <c r="Q597" s="354"/>
      <c r="R597" s="354"/>
      <c r="S597" s="487"/>
      <c r="T597" s="354"/>
      <c r="U597" s="354"/>
      <c r="V597" s="354"/>
      <c r="W597" s="354"/>
      <c r="X597" s="354"/>
      <c r="Y597" s="354"/>
      <c r="Z597" s="353"/>
      <c r="AA597" s="353"/>
      <c r="AB597" s="836"/>
      <c r="AC597" s="836"/>
      <c r="AD597" s="836"/>
      <c r="AE597" s="838"/>
    </row>
    <row r="598" spans="1:31" ht="16.5" customHeight="1">
      <c r="A598" s="347">
        <v>13013420</v>
      </c>
      <c r="B598" s="347" t="s">
        <v>6167</v>
      </c>
      <c r="C598" s="347"/>
      <c r="D598" s="348"/>
      <c r="E598" s="348"/>
      <c r="F598" s="348"/>
      <c r="G598" s="348"/>
      <c r="H598" s="358"/>
      <c r="I598" s="352"/>
      <c r="J598" s="353"/>
      <c r="K598" s="538"/>
      <c r="L598" s="487"/>
      <c r="M598" s="354"/>
      <c r="N598" s="354"/>
      <c r="O598" s="354"/>
      <c r="P598" s="354"/>
      <c r="Q598" s="354"/>
      <c r="R598" s="354"/>
      <c r="S598" s="354"/>
      <c r="T598" s="354"/>
      <c r="U598" s="354"/>
      <c r="V598" s="354"/>
      <c r="W598" s="354"/>
      <c r="X598" s="354"/>
      <c r="Y598" s="354"/>
      <c r="Z598" s="353"/>
      <c r="AA598" s="353"/>
      <c r="AB598" s="836"/>
      <c r="AC598" s="836"/>
      <c r="AD598" s="836"/>
      <c r="AE598" s="837"/>
    </row>
    <row r="599" spans="1:31" ht="16.5" customHeight="1">
      <c r="A599" s="347">
        <v>4719183</v>
      </c>
      <c r="B599" s="347" t="s">
        <v>6168</v>
      </c>
      <c r="C599" s="347"/>
      <c r="D599" s="348"/>
      <c r="E599" s="348"/>
      <c r="F599" s="348"/>
      <c r="G599" s="348"/>
      <c r="H599" s="358"/>
      <c r="I599" s="352"/>
      <c r="J599" s="353"/>
      <c r="K599" s="538"/>
      <c r="L599" s="354"/>
      <c r="M599" s="354"/>
      <c r="N599" s="487"/>
      <c r="O599" s="354"/>
      <c r="P599" s="354"/>
      <c r="Q599" s="354"/>
      <c r="R599" s="354"/>
      <c r="S599" s="354"/>
      <c r="T599" s="354"/>
      <c r="U599" s="354"/>
      <c r="V599" s="354"/>
      <c r="W599" s="354"/>
      <c r="X599" s="354"/>
      <c r="Y599" s="354"/>
      <c r="Z599" s="353"/>
      <c r="AA599" s="353"/>
      <c r="AB599" s="836"/>
      <c r="AC599" s="836"/>
      <c r="AD599" s="836"/>
      <c r="AE599" s="837"/>
    </row>
    <row r="600" spans="1:31" ht="16.5" customHeight="1">
      <c r="A600" s="347">
        <v>5585427</v>
      </c>
      <c r="B600" s="347" t="s">
        <v>6169</v>
      </c>
      <c r="C600" s="347"/>
      <c r="D600" s="348"/>
      <c r="E600" s="348"/>
      <c r="F600" s="348"/>
      <c r="G600" s="348"/>
      <c r="H600" s="358"/>
      <c r="I600" s="352"/>
      <c r="J600" s="353"/>
      <c r="K600" s="538"/>
      <c r="L600" s="487"/>
      <c r="M600" s="354"/>
      <c r="N600" s="487"/>
      <c r="O600" s="354"/>
      <c r="P600" s="354"/>
      <c r="Q600" s="354"/>
      <c r="R600" s="354"/>
      <c r="S600" s="354"/>
      <c r="T600" s="354"/>
      <c r="U600" s="354"/>
      <c r="V600" s="354"/>
      <c r="W600" s="354"/>
      <c r="X600" s="354"/>
      <c r="Y600" s="354"/>
      <c r="Z600" s="353"/>
      <c r="AA600" s="353"/>
      <c r="AB600" s="836"/>
      <c r="AC600" s="836"/>
      <c r="AD600" s="836"/>
      <c r="AE600" s="837"/>
    </row>
    <row r="601" spans="1:31" ht="16.5" customHeight="1">
      <c r="A601" s="347">
        <v>43635374</v>
      </c>
      <c r="B601" s="347" t="s">
        <v>6170</v>
      </c>
      <c r="C601" s="347"/>
      <c r="D601" s="348"/>
      <c r="E601" s="348"/>
      <c r="F601" s="348"/>
      <c r="G601" s="348"/>
      <c r="H601" s="358"/>
      <c r="I601" s="352"/>
      <c r="J601" s="353"/>
      <c r="K601" s="538"/>
      <c r="L601" s="487"/>
      <c r="M601" s="354"/>
      <c r="N601" s="354"/>
      <c r="O601" s="354"/>
      <c r="P601" s="354"/>
      <c r="Q601" s="354"/>
      <c r="R601" s="354"/>
      <c r="S601" s="487"/>
      <c r="T601" s="354"/>
      <c r="U601" s="354"/>
      <c r="V601" s="354"/>
      <c r="W601" s="354"/>
      <c r="X601" s="354"/>
      <c r="Y601" s="354"/>
      <c r="Z601" s="353"/>
      <c r="AA601" s="353"/>
      <c r="AB601" s="836"/>
      <c r="AC601" s="836"/>
      <c r="AD601" s="836"/>
      <c r="AE601" s="837"/>
    </row>
    <row r="602" spans="1:31" ht="16.5" customHeight="1">
      <c r="A602" s="347">
        <v>7411457</v>
      </c>
      <c r="B602" s="347" t="s">
        <v>6171</v>
      </c>
      <c r="C602" s="347"/>
      <c r="D602" s="348"/>
      <c r="E602" s="348"/>
      <c r="F602" s="348"/>
      <c r="G602" s="348"/>
      <c r="H602" s="358"/>
      <c r="I602" s="352"/>
      <c r="J602" s="353"/>
      <c r="K602" s="538"/>
      <c r="L602" s="487"/>
      <c r="M602" s="354"/>
      <c r="N602" s="354"/>
      <c r="O602" s="354"/>
      <c r="P602" s="354"/>
      <c r="Q602" s="354"/>
      <c r="R602" s="354"/>
      <c r="S602" s="354"/>
      <c r="T602" s="354"/>
      <c r="U602" s="354"/>
      <c r="V602" s="354"/>
      <c r="W602" s="354"/>
      <c r="X602" s="354"/>
      <c r="Y602" s="354"/>
      <c r="Z602" s="353"/>
      <c r="AA602" s="353"/>
      <c r="AB602" s="836"/>
      <c r="AC602" s="836"/>
      <c r="AD602" s="836"/>
      <c r="AE602" s="837"/>
    </row>
    <row r="603" spans="1:31" ht="16.5" customHeight="1">
      <c r="A603" s="347">
        <v>33675414</v>
      </c>
      <c r="B603" s="347" t="s">
        <v>6172</v>
      </c>
      <c r="C603" s="347"/>
      <c r="D603" s="348"/>
      <c r="E603" s="348"/>
      <c r="F603" s="348"/>
      <c r="G603" s="348"/>
      <c r="H603" s="358"/>
      <c r="I603" s="352"/>
      <c r="J603" s="353"/>
      <c r="K603" s="538"/>
      <c r="L603" s="354"/>
      <c r="M603" s="354"/>
      <c r="N603" s="487"/>
      <c r="O603" s="354"/>
      <c r="P603" s="354"/>
      <c r="Q603" s="354"/>
      <c r="R603" s="354"/>
      <c r="S603" s="354"/>
      <c r="T603" s="354"/>
      <c r="U603" s="354"/>
      <c r="V603" s="354"/>
      <c r="W603" s="354"/>
      <c r="X603" s="354"/>
      <c r="Y603" s="354"/>
      <c r="Z603" s="353"/>
      <c r="AA603" s="353"/>
      <c r="AB603" s="836"/>
      <c r="AC603" s="836"/>
      <c r="AD603" s="836"/>
      <c r="AE603" s="838"/>
    </row>
    <row r="604" spans="1:31" ht="16.5" customHeight="1">
      <c r="A604" s="347">
        <v>8247249</v>
      </c>
      <c r="B604" s="347" t="s">
        <v>6173</v>
      </c>
      <c r="C604" s="347"/>
      <c r="D604" s="361"/>
      <c r="E604" s="361"/>
      <c r="F604" s="361"/>
      <c r="G604" s="348"/>
      <c r="H604" s="358"/>
      <c r="I604" s="352"/>
      <c r="J604" s="353"/>
      <c r="K604" s="538"/>
      <c r="L604" s="354"/>
      <c r="M604" s="487"/>
      <c r="N604" s="354"/>
      <c r="O604" s="354"/>
      <c r="P604" s="354"/>
      <c r="Q604" s="354"/>
      <c r="R604" s="354"/>
      <c r="S604" s="354"/>
      <c r="T604" s="354"/>
      <c r="U604" s="354"/>
      <c r="V604" s="487"/>
      <c r="W604" s="354"/>
      <c r="X604" s="354"/>
      <c r="Y604" s="354"/>
      <c r="Z604" s="353"/>
      <c r="AA604" s="353"/>
      <c r="AB604" s="836"/>
      <c r="AC604" s="842"/>
      <c r="AD604" s="842"/>
      <c r="AE604" s="837"/>
    </row>
    <row r="605" spans="1:31" ht="16.5" customHeight="1">
      <c r="A605" s="347">
        <v>17530452</v>
      </c>
      <c r="B605" s="347" t="s">
        <v>6174</v>
      </c>
      <c r="C605" s="347"/>
      <c r="D605" s="361"/>
      <c r="E605" s="361"/>
      <c r="F605" s="361"/>
      <c r="G605" s="348"/>
      <c r="H605" s="358"/>
      <c r="I605" s="352"/>
      <c r="J605" s="353"/>
      <c r="K605" s="538"/>
      <c r="L605" s="487"/>
      <c r="M605" s="354"/>
      <c r="N605" s="487"/>
      <c r="O605" s="487"/>
      <c r="P605" s="354"/>
      <c r="Q605" s="354"/>
      <c r="R605" s="354"/>
      <c r="S605" s="354"/>
      <c r="T605" s="354"/>
      <c r="U605" s="354"/>
      <c r="V605" s="354"/>
      <c r="W605" s="354"/>
      <c r="X605" s="354"/>
      <c r="Y605" s="354"/>
      <c r="Z605" s="353"/>
      <c r="AA605" s="353"/>
      <c r="AB605" s="836"/>
      <c r="AC605" s="836"/>
      <c r="AD605" s="836"/>
      <c r="AE605" s="837"/>
    </row>
    <row r="606" spans="1:31" ht="16.5" customHeight="1">
      <c r="A606" s="347">
        <v>100005110</v>
      </c>
      <c r="B606" s="347" t="s">
        <v>5990</v>
      </c>
      <c r="C606" s="347"/>
      <c r="D606" s="348"/>
      <c r="E606" s="348"/>
      <c r="F606" s="348"/>
      <c r="G606" s="348"/>
      <c r="H606" s="358"/>
      <c r="I606" s="352"/>
      <c r="J606" s="353"/>
      <c r="K606" s="538"/>
      <c r="L606" s="487"/>
      <c r="M606" s="354"/>
      <c r="N606" s="354"/>
      <c r="O606" s="354"/>
      <c r="P606" s="354"/>
      <c r="Q606" s="354"/>
      <c r="R606" s="354"/>
      <c r="S606" s="354"/>
      <c r="T606" s="354"/>
      <c r="U606" s="354"/>
      <c r="V606" s="354"/>
      <c r="W606" s="354"/>
      <c r="X606" s="354"/>
      <c r="Y606" s="354"/>
      <c r="Z606" s="353"/>
      <c r="AA606" s="353"/>
      <c r="AB606" s="836"/>
      <c r="AC606" s="836"/>
      <c r="AD606" s="836"/>
      <c r="AE606" s="837"/>
    </row>
    <row r="607" spans="1:31" ht="16.5" customHeight="1">
      <c r="A607" s="347">
        <v>40998270</v>
      </c>
      <c r="B607" s="347" t="s">
        <v>6175</v>
      </c>
      <c r="C607" s="347"/>
      <c r="D607" s="347"/>
      <c r="E607" s="347"/>
      <c r="F607" s="347"/>
      <c r="G607" s="348"/>
      <c r="H607" s="358"/>
      <c r="I607" s="352"/>
      <c r="J607" s="353"/>
      <c r="K607" s="538"/>
      <c r="L607" s="487"/>
      <c r="M607" s="354"/>
      <c r="N607" s="354"/>
      <c r="O607" s="354"/>
      <c r="P607" s="354"/>
      <c r="Q607" s="354"/>
      <c r="R607" s="354"/>
      <c r="S607" s="354"/>
      <c r="T607" s="354"/>
      <c r="U607" s="354"/>
      <c r="V607" s="354"/>
      <c r="W607" s="354"/>
      <c r="X607" s="354"/>
      <c r="Y607" s="354"/>
      <c r="Z607" s="353"/>
      <c r="AA607" s="353"/>
      <c r="AB607" s="836"/>
      <c r="AC607" s="836"/>
      <c r="AD607" s="836"/>
      <c r="AE607" s="837"/>
    </row>
    <row r="608" spans="1:31" ht="16.5" customHeight="1">
      <c r="A608" s="347">
        <v>3686912</v>
      </c>
      <c r="B608" s="347" t="s">
        <v>6176</v>
      </c>
      <c r="C608" s="347"/>
      <c r="D608" s="348"/>
      <c r="E608" s="348"/>
      <c r="F608" s="348"/>
      <c r="G608" s="348"/>
      <c r="H608" s="358"/>
      <c r="I608" s="352"/>
      <c r="J608" s="353"/>
      <c r="K608" s="538"/>
      <c r="L608" s="487"/>
      <c r="M608" s="354"/>
      <c r="N608" s="354"/>
      <c r="O608" s="354"/>
      <c r="P608" s="354"/>
      <c r="Q608" s="354"/>
      <c r="R608" s="354"/>
      <c r="S608" s="354"/>
      <c r="T608" s="354"/>
      <c r="U608" s="354"/>
      <c r="V608" s="354"/>
      <c r="W608" s="354"/>
      <c r="X608" s="354"/>
      <c r="Y608" s="354"/>
      <c r="Z608" s="353"/>
      <c r="AA608" s="353"/>
      <c r="AB608" s="836"/>
      <c r="AC608" s="836"/>
      <c r="AD608" s="836"/>
      <c r="AE608" s="837"/>
    </row>
    <row r="609" spans="1:31" ht="16.5" customHeight="1">
      <c r="A609" s="347">
        <v>100006019</v>
      </c>
      <c r="B609" s="347" t="s">
        <v>6177</v>
      </c>
      <c r="C609" s="347"/>
      <c r="D609" s="347"/>
      <c r="E609" s="347"/>
      <c r="F609" s="347"/>
      <c r="G609" s="348"/>
      <c r="H609" s="358"/>
      <c r="I609" s="352"/>
      <c r="J609" s="353"/>
      <c r="K609" s="538"/>
      <c r="L609" s="487"/>
      <c r="M609" s="354"/>
      <c r="N609" s="354"/>
      <c r="O609" s="354"/>
      <c r="P609" s="354"/>
      <c r="Q609" s="354"/>
      <c r="R609" s="354"/>
      <c r="S609" s="354"/>
      <c r="T609" s="354"/>
      <c r="U609" s="354"/>
      <c r="V609" s="354"/>
      <c r="W609" s="354"/>
      <c r="X609" s="354"/>
      <c r="Y609" s="354"/>
      <c r="Z609" s="353"/>
      <c r="AA609" s="353"/>
      <c r="AB609" s="836"/>
      <c r="AC609" s="836"/>
      <c r="AD609" s="836"/>
      <c r="AE609" s="837"/>
    </row>
    <row r="610" spans="1:31" ht="16.5" customHeight="1">
      <c r="A610" s="347">
        <v>59205377</v>
      </c>
      <c r="B610" s="347" t="s">
        <v>6178</v>
      </c>
      <c r="C610" s="347"/>
      <c r="D610" s="348"/>
      <c r="E610" s="348"/>
      <c r="F610" s="348"/>
      <c r="G610" s="348"/>
      <c r="H610" s="358"/>
      <c r="I610" s="352"/>
      <c r="J610" s="353"/>
      <c r="K610" s="538"/>
      <c r="L610" s="354"/>
      <c r="M610" s="354"/>
      <c r="N610" s="354"/>
      <c r="O610" s="354"/>
      <c r="P610" s="354"/>
      <c r="Q610" s="354"/>
      <c r="R610" s="487"/>
      <c r="S610" s="354"/>
      <c r="T610" s="354"/>
      <c r="U610" s="354"/>
      <c r="V610" s="354"/>
      <c r="W610" s="354"/>
      <c r="X610" s="354"/>
      <c r="Y610" s="354"/>
      <c r="Z610" s="353"/>
      <c r="AA610" s="353"/>
      <c r="AB610" s="836"/>
      <c r="AC610" s="836"/>
      <c r="AD610" s="836"/>
      <c r="AE610" s="837"/>
    </row>
    <row r="611" spans="1:31" ht="16.5" customHeight="1">
      <c r="A611" s="347">
        <v>5455977</v>
      </c>
      <c r="B611" s="347" t="s">
        <v>6179</v>
      </c>
      <c r="C611" s="347"/>
      <c r="D611" s="348"/>
      <c r="E611" s="348"/>
      <c r="F611" s="348"/>
      <c r="G611" s="348"/>
      <c r="H611" s="358"/>
      <c r="I611" s="352"/>
      <c r="J611" s="353"/>
      <c r="K611" s="538"/>
      <c r="L611" s="487"/>
      <c r="M611" s="354"/>
      <c r="N611" s="354"/>
      <c r="O611" s="354"/>
      <c r="P611" s="354"/>
      <c r="Q611" s="354"/>
      <c r="R611" s="354"/>
      <c r="S611" s="354"/>
      <c r="T611" s="354"/>
      <c r="U611" s="354"/>
      <c r="V611" s="354"/>
      <c r="W611" s="354"/>
      <c r="X611" s="354"/>
      <c r="Y611" s="354"/>
      <c r="Z611" s="353"/>
      <c r="AA611" s="353"/>
      <c r="AB611" s="836"/>
      <c r="AC611" s="836"/>
      <c r="AD611" s="836"/>
      <c r="AE611" s="837"/>
    </row>
    <row r="612" spans="1:31" ht="16.5" customHeight="1">
      <c r="A612" s="347">
        <v>30876254</v>
      </c>
      <c r="B612" s="347" t="s">
        <v>6180</v>
      </c>
      <c r="C612" s="347"/>
      <c r="D612" s="361"/>
      <c r="E612" s="361"/>
      <c r="F612" s="361"/>
      <c r="G612" s="348"/>
      <c r="H612" s="358"/>
      <c r="I612" s="352"/>
      <c r="J612" s="353"/>
      <c r="K612" s="538"/>
      <c r="L612" s="487"/>
      <c r="M612" s="354"/>
      <c r="N612" s="354"/>
      <c r="O612" s="354"/>
      <c r="P612" s="354"/>
      <c r="Q612" s="354"/>
      <c r="R612" s="354"/>
      <c r="S612" s="354"/>
      <c r="T612" s="354"/>
      <c r="U612" s="354"/>
      <c r="V612" s="354"/>
      <c r="W612" s="354"/>
      <c r="X612" s="354"/>
      <c r="Y612" s="354"/>
      <c r="Z612" s="353"/>
      <c r="AA612" s="353"/>
      <c r="AB612" s="836"/>
      <c r="AC612" s="836"/>
      <c r="AD612" s="836"/>
      <c r="AE612" s="837"/>
    </row>
    <row r="613" spans="1:31" ht="16.5" customHeight="1">
      <c r="A613" s="347">
        <v>2816353</v>
      </c>
      <c r="B613" s="347" t="s">
        <v>6181</v>
      </c>
      <c r="C613" s="347"/>
      <c r="D613" s="348"/>
      <c r="E613" s="348"/>
      <c r="F613" s="348"/>
      <c r="G613" s="348"/>
      <c r="H613" s="358"/>
      <c r="I613" s="352"/>
      <c r="J613" s="353"/>
      <c r="K613" s="538"/>
      <c r="L613" s="487"/>
      <c r="M613" s="354"/>
      <c r="N613" s="354"/>
      <c r="O613" s="354"/>
      <c r="P613" s="354"/>
      <c r="Q613" s="354"/>
      <c r="R613" s="354"/>
      <c r="S613" s="354"/>
      <c r="T613" s="354"/>
      <c r="U613" s="354"/>
      <c r="V613" s="354"/>
      <c r="W613" s="354"/>
      <c r="X613" s="354"/>
      <c r="Y613" s="354"/>
      <c r="Z613" s="353"/>
      <c r="AA613" s="353"/>
      <c r="AB613" s="836"/>
      <c r="AC613" s="836"/>
      <c r="AD613" s="842"/>
      <c r="AE613" s="837"/>
    </row>
    <row r="614" spans="1:31" ht="16.5" customHeight="1">
      <c r="A614" s="347">
        <v>38260147</v>
      </c>
      <c r="B614" s="347" t="s">
        <v>6182</v>
      </c>
      <c r="C614" s="347"/>
      <c r="D614" s="348"/>
      <c r="E614" s="348"/>
      <c r="F614" s="348"/>
      <c r="G614" s="348"/>
      <c r="H614" s="358"/>
      <c r="I614" s="352"/>
      <c r="J614" s="353"/>
      <c r="K614" s="538"/>
      <c r="L614" s="487"/>
      <c r="M614" s="354"/>
      <c r="N614" s="354"/>
      <c r="O614" s="354"/>
      <c r="P614" s="354"/>
      <c r="Q614" s="354"/>
      <c r="R614" s="354"/>
      <c r="S614" s="354"/>
      <c r="T614" s="354"/>
      <c r="U614" s="354"/>
      <c r="V614" s="354"/>
      <c r="W614" s="354"/>
      <c r="X614" s="354"/>
      <c r="Y614" s="354"/>
      <c r="Z614" s="353"/>
      <c r="AA614" s="353"/>
      <c r="AB614" s="842"/>
      <c r="AC614" s="842"/>
      <c r="AD614" s="836"/>
      <c r="AE614" s="837"/>
    </row>
    <row r="615" spans="1:31" ht="16.5" customHeight="1">
      <c r="A615" s="347">
        <v>19479187</v>
      </c>
      <c r="B615" s="347" t="s">
        <v>6183</v>
      </c>
      <c r="C615" s="347"/>
      <c r="D615" s="348"/>
      <c r="E615" s="348"/>
      <c r="F615" s="348"/>
      <c r="G615" s="348"/>
      <c r="H615" s="358"/>
      <c r="I615" s="352"/>
      <c r="J615" s="353"/>
      <c r="K615" s="538"/>
      <c r="L615" s="487"/>
      <c r="M615" s="354"/>
      <c r="N615" s="354"/>
      <c r="O615" s="354"/>
      <c r="P615" s="354"/>
      <c r="Q615" s="354"/>
      <c r="R615" s="354"/>
      <c r="S615" s="354"/>
      <c r="T615" s="354"/>
      <c r="U615" s="354"/>
      <c r="V615" s="354"/>
      <c r="W615" s="354"/>
      <c r="X615" s="354"/>
      <c r="Y615" s="354"/>
      <c r="Z615" s="353"/>
      <c r="AA615" s="353"/>
      <c r="AB615" s="836"/>
      <c r="AC615" s="836"/>
      <c r="AD615" s="836"/>
      <c r="AE615" s="838"/>
    </row>
    <row r="616" spans="1:31" ht="16.5" customHeight="1">
      <c r="A616" s="347">
        <v>116301</v>
      </c>
      <c r="B616" s="347" t="s">
        <v>6184</v>
      </c>
      <c r="C616" s="347"/>
      <c r="D616" s="347"/>
      <c r="E616" s="347"/>
      <c r="F616" s="347"/>
      <c r="G616" s="348"/>
      <c r="H616" s="358"/>
      <c r="I616" s="352"/>
      <c r="J616" s="353"/>
      <c r="K616" s="538"/>
      <c r="L616" s="487"/>
      <c r="M616" s="354"/>
      <c r="N616" s="354"/>
      <c r="O616" s="354"/>
      <c r="P616" s="354"/>
      <c r="Q616" s="354"/>
      <c r="R616" s="354"/>
      <c r="S616" s="354"/>
      <c r="T616" s="354"/>
      <c r="U616" s="354"/>
      <c r="V616" s="354"/>
      <c r="W616" s="354"/>
      <c r="X616" s="354"/>
      <c r="Y616" s="354"/>
      <c r="Z616" s="353"/>
      <c r="AA616" s="353"/>
      <c r="AB616" s="836"/>
      <c r="AC616" s="836"/>
      <c r="AD616" s="836"/>
      <c r="AE616" s="837"/>
    </row>
    <row r="617" spans="1:31" ht="16.5" customHeight="1">
      <c r="A617" s="347">
        <v>12620944</v>
      </c>
      <c r="B617" s="347" t="s">
        <v>6185</v>
      </c>
      <c r="C617" s="347"/>
      <c r="D617" s="348"/>
      <c r="E617" s="348"/>
      <c r="F617" s="348"/>
      <c r="G617" s="348"/>
      <c r="H617" s="358"/>
      <c r="I617" s="352"/>
      <c r="J617" s="353"/>
      <c r="K617" s="538"/>
      <c r="L617" s="487"/>
      <c r="M617" s="354"/>
      <c r="N617" s="354"/>
      <c r="O617" s="354"/>
      <c r="P617" s="354"/>
      <c r="Q617" s="354"/>
      <c r="R617" s="354"/>
      <c r="S617" s="354"/>
      <c r="T617" s="354"/>
      <c r="U617" s="354"/>
      <c r="V617" s="354"/>
      <c r="W617" s="354"/>
      <c r="X617" s="354"/>
      <c r="Y617" s="354"/>
      <c r="Z617" s="353"/>
      <c r="AA617" s="353"/>
      <c r="AB617" s="836"/>
      <c r="AC617" s="836"/>
      <c r="AD617" s="836"/>
      <c r="AE617" s="837"/>
    </row>
    <row r="618" spans="1:31" ht="16.5" customHeight="1">
      <c r="A618" s="347">
        <v>18369561</v>
      </c>
      <c r="B618" s="347" t="s">
        <v>6186</v>
      </c>
      <c r="C618" s="347"/>
      <c r="D618" s="361"/>
      <c r="E618" s="361"/>
      <c r="F618" s="361"/>
      <c r="G618" s="348"/>
      <c r="H618" s="358"/>
      <c r="I618" s="352"/>
      <c r="J618" s="353"/>
      <c r="K618" s="538"/>
      <c r="L618" s="487"/>
      <c r="M618" s="354"/>
      <c r="N618" s="354"/>
      <c r="O618" s="354"/>
      <c r="P618" s="354"/>
      <c r="Q618" s="354"/>
      <c r="R618" s="354"/>
      <c r="S618" s="354"/>
      <c r="T618" s="354"/>
      <c r="U618" s="354"/>
      <c r="V618" s="354"/>
      <c r="W618" s="354"/>
      <c r="X618" s="354"/>
      <c r="Y618" s="354"/>
      <c r="Z618" s="353"/>
      <c r="AA618" s="353"/>
      <c r="AB618" s="836"/>
      <c r="AC618" s="836"/>
      <c r="AD618" s="836"/>
      <c r="AE618" s="837"/>
    </row>
    <row r="619" spans="1:31" ht="16.5" customHeight="1">
      <c r="A619" s="347">
        <v>4610515</v>
      </c>
      <c r="B619" s="347" t="s">
        <v>6187</v>
      </c>
      <c r="C619" s="347"/>
      <c r="D619" s="348"/>
      <c r="E619" s="348"/>
      <c r="F619" s="348"/>
      <c r="G619" s="348"/>
      <c r="H619" s="358"/>
      <c r="I619" s="352"/>
      <c r="J619" s="353"/>
      <c r="K619" s="538"/>
      <c r="L619" s="487"/>
      <c r="M619" s="354"/>
      <c r="N619" s="487"/>
      <c r="O619" s="354"/>
      <c r="P619" s="354"/>
      <c r="Q619" s="354"/>
      <c r="R619" s="354"/>
      <c r="S619" s="354"/>
      <c r="T619" s="354"/>
      <c r="U619" s="354"/>
      <c r="V619" s="354"/>
      <c r="W619" s="354"/>
      <c r="X619" s="354"/>
      <c r="Y619" s="354"/>
      <c r="Z619" s="353"/>
      <c r="AA619" s="353"/>
      <c r="AB619" s="836"/>
      <c r="AC619" s="836"/>
      <c r="AD619" s="842"/>
      <c r="AE619" s="837"/>
    </row>
    <row r="620" spans="1:31" ht="16.5" customHeight="1">
      <c r="A620" s="347">
        <v>11405511</v>
      </c>
      <c r="B620" s="347" t="s">
        <v>6188</v>
      </c>
      <c r="C620" s="347"/>
      <c r="D620" s="348"/>
      <c r="E620" s="348"/>
      <c r="F620" s="348"/>
      <c r="G620" s="348"/>
      <c r="H620" s="358"/>
      <c r="I620" s="352"/>
      <c r="J620" s="353"/>
      <c r="K620" s="538"/>
      <c r="L620" s="354"/>
      <c r="M620" s="487"/>
      <c r="N620" s="354"/>
      <c r="O620" s="354"/>
      <c r="P620" s="354"/>
      <c r="Q620" s="354"/>
      <c r="R620" s="354"/>
      <c r="S620" s="354"/>
      <c r="T620" s="354"/>
      <c r="U620" s="354"/>
      <c r="V620" s="354"/>
      <c r="W620" s="354"/>
      <c r="X620" s="354"/>
      <c r="Y620" s="354"/>
      <c r="Z620" s="353"/>
      <c r="AA620" s="353"/>
      <c r="AB620" s="836"/>
      <c r="AC620" s="836"/>
      <c r="AD620" s="836"/>
      <c r="AE620" s="838"/>
    </row>
    <row r="621" spans="1:31" ht="16.5" customHeight="1">
      <c r="A621" s="347">
        <v>682963</v>
      </c>
      <c r="B621" s="347" t="s">
        <v>6189</v>
      </c>
      <c r="C621" s="347"/>
      <c r="D621" s="348"/>
      <c r="E621" s="348"/>
      <c r="F621" s="348"/>
      <c r="G621" s="348"/>
      <c r="H621" s="358"/>
      <c r="I621" s="352"/>
      <c r="J621" s="353"/>
      <c r="K621" s="538"/>
      <c r="L621" s="487"/>
      <c r="M621" s="354"/>
      <c r="N621" s="354"/>
      <c r="O621" s="354"/>
      <c r="P621" s="354"/>
      <c r="Q621" s="354"/>
      <c r="R621" s="354"/>
      <c r="S621" s="354"/>
      <c r="T621" s="354"/>
      <c r="U621" s="354"/>
      <c r="V621" s="354"/>
      <c r="W621" s="354"/>
      <c r="X621" s="354"/>
      <c r="Y621" s="354"/>
      <c r="Z621" s="353"/>
      <c r="AA621" s="353"/>
      <c r="AB621" s="836"/>
      <c r="AC621" s="836"/>
      <c r="AD621" s="836"/>
      <c r="AE621" s="837"/>
    </row>
    <row r="622" spans="1:31" ht="16.5" customHeight="1">
      <c r="A622" s="347">
        <v>58758376</v>
      </c>
      <c r="B622" s="347" t="s">
        <v>6190</v>
      </c>
      <c r="C622" s="347"/>
      <c r="D622" s="348"/>
      <c r="E622" s="348"/>
      <c r="F622" s="348"/>
      <c r="G622" s="348"/>
      <c r="H622" s="358"/>
      <c r="I622" s="352"/>
      <c r="J622" s="353"/>
      <c r="K622" s="539"/>
      <c r="L622" s="487"/>
      <c r="M622" s="354"/>
      <c r="N622" s="354"/>
      <c r="O622" s="354"/>
      <c r="P622" s="354"/>
      <c r="Q622" s="354"/>
      <c r="R622" s="354"/>
      <c r="S622" s="354"/>
      <c r="T622" s="354"/>
      <c r="U622" s="354"/>
      <c r="V622" s="354"/>
      <c r="W622" s="354"/>
      <c r="X622" s="354"/>
      <c r="Y622" s="354"/>
      <c r="Z622" s="353"/>
      <c r="AA622" s="353"/>
      <c r="AB622" s="836"/>
      <c r="AC622" s="836"/>
      <c r="AD622" s="836"/>
      <c r="AE622" s="837"/>
    </row>
    <row r="623" spans="1:31" ht="16.5" customHeight="1">
      <c r="A623" s="347">
        <v>164921</v>
      </c>
      <c r="B623" s="347" t="s">
        <v>6191</v>
      </c>
      <c r="C623" s="347"/>
      <c r="D623" s="361"/>
      <c r="E623" s="361"/>
      <c r="F623" s="361"/>
      <c r="G623" s="348"/>
      <c r="H623" s="358"/>
      <c r="I623" s="352"/>
      <c r="J623" s="353"/>
      <c r="K623" s="538"/>
      <c r="L623" s="487"/>
      <c r="M623" s="354"/>
      <c r="N623" s="354"/>
      <c r="O623" s="354"/>
      <c r="P623" s="354"/>
      <c r="Q623" s="354"/>
      <c r="R623" s="354"/>
      <c r="S623" s="354"/>
      <c r="T623" s="354"/>
      <c r="U623" s="354"/>
      <c r="V623" s="354"/>
      <c r="W623" s="354"/>
      <c r="X623" s="354"/>
      <c r="Y623" s="354"/>
      <c r="Z623" s="353"/>
      <c r="AA623" s="353"/>
      <c r="AB623" s="836"/>
      <c r="AC623" s="836"/>
      <c r="AD623" s="836"/>
      <c r="AE623" s="837"/>
    </row>
    <row r="624" spans="1:31" ht="16.5" customHeight="1">
      <c r="A624" s="347">
        <v>18395202</v>
      </c>
      <c r="B624" s="347" t="s">
        <v>6192</v>
      </c>
      <c r="C624" s="347"/>
      <c r="D624" s="348"/>
      <c r="E624" s="348"/>
      <c r="F624" s="348"/>
      <c r="G624" s="348"/>
      <c r="H624" s="358"/>
      <c r="I624" s="352"/>
      <c r="J624" s="353"/>
      <c r="K624" s="538"/>
      <c r="L624" s="487"/>
      <c r="M624" s="354"/>
      <c r="N624" s="354"/>
      <c r="O624" s="354"/>
      <c r="P624" s="354"/>
      <c r="Q624" s="354"/>
      <c r="R624" s="354"/>
      <c r="S624" s="354"/>
      <c r="T624" s="354"/>
      <c r="U624" s="354"/>
      <c r="V624" s="354"/>
      <c r="W624" s="354"/>
      <c r="X624" s="354"/>
      <c r="Y624" s="354"/>
      <c r="Z624" s="353"/>
      <c r="AA624" s="353"/>
      <c r="AB624" s="842"/>
      <c r="AC624" s="836"/>
      <c r="AD624" s="842"/>
      <c r="AE624" s="837"/>
    </row>
    <row r="625" spans="1:31" ht="16.5" customHeight="1">
      <c r="A625" s="347">
        <v>674671</v>
      </c>
      <c r="B625" s="347" t="s">
        <v>6193</v>
      </c>
      <c r="C625" s="347"/>
      <c r="D625" s="361"/>
      <c r="E625" s="361"/>
      <c r="F625" s="361"/>
      <c r="G625" s="348"/>
      <c r="H625" s="358"/>
      <c r="I625" s="352"/>
      <c r="J625" s="353"/>
      <c r="K625" s="538"/>
      <c r="L625" s="487"/>
      <c r="M625" s="354"/>
      <c r="N625" s="354"/>
      <c r="O625" s="354"/>
      <c r="P625" s="354"/>
      <c r="Q625" s="354"/>
      <c r="R625" s="354"/>
      <c r="S625" s="354"/>
      <c r="T625" s="354"/>
      <c r="U625" s="354"/>
      <c r="V625" s="354"/>
      <c r="W625" s="354"/>
      <c r="X625" s="354"/>
      <c r="Y625" s="354"/>
      <c r="Z625" s="353"/>
      <c r="AA625" s="353"/>
      <c r="AB625" s="836"/>
      <c r="AC625" s="836"/>
      <c r="AD625" s="836"/>
      <c r="AE625" s="837"/>
    </row>
    <row r="626" spans="1:31" ht="16.5" customHeight="1">
      <c r="A626" s="347">
        <v>4620894</v>
      </c>
      <c r="B626" s="347" t="s">
        <v>6194</v>
      </c>
      <c r="C626" s="347"/>
      <c r="D626" s="348"/>
      <c r="E626" s="348"/>
      <c r="F626" s="348"/>
      <c r="G626" s="348"/>
      <c r="H626" s="358"/>
      <c r="I626" s="352"/>
      <c r="J626" s="353"/>
      <c r="K626" s="538"/>
      <c r="L626" s="354"/>
      <c r="M626" s="487"/>
      <c r="N626" s="354"/>
      <c r="O626" s="354"/>
      <c r="P626" s="354"/>
      <c r="Q626" s="354"/>
      <c r="R626" s="354"/>
      <c r="S626" s="354"/>
      <c r="T626" s="354"/>
      <c r="U626" s="354"/>
      <c r="V626" s="354"/>
      <c r="W626" s="354"/>
      <c r="X626" s="354"/>
      <c r="Y626" s="354"/>
      <c r="Z626" s="353"/>
      <c r="AA626" s="353"/>
      <c r="AB626" s="836"/>
      <c r="AC626" s="836"/>
      <c r="AD626" s="842"/>
      <c r="AE626" s="837"/>
    </row>
    <row r="627" spans="1:31" ht="16.5" customHeight="1">
      <c r="A627" s="347">
        <v>10422319</v>
      </c>
      <c r="B627" s="347" t="s">
        <v>6195</v>
      </c>
      <c r="C627" s="347"/>
      <c r="D627" s="348"/>
      <c r="E627" s="348"/>
      <c r="F627" s="348"/>
      <c r="G627" s="348"/>
      <c r="H627" s="358"/>
      <c r="I627" s="352"/>
      <c r="J627" s="353"/>
      <c r="K627" s="538"/>
      <c r="L627" s="487"/>
      <c r="M627" s="354"/>
      <c r="N627" s="354"/>
      <c r="O627" s="354"/>
      <c r="P627" s="354"/>
      <c r="Q627" s="354"/>
      <c r="R627" s="354"/>
      <c r="S627" s="354"/>
      <c r="T627" s="354"/>
      <c r="U627" s="354"/>
      <c r="V627" s="354"/>
      <c r="W627" s="354"/>
      <c r="X627" s="354"/>
      <c r="Y627" s="354"/>
      <c r="Z627" s="353"/>
      <c r="AA627" s="353"/>
      <c r="AB627" s="836"/>
      <c r="AC627" s="836"/>
      <c r="AD627" s="836"/>
      <c r="AE627" s="837"/>
    </row>
    <row r="628" spans="1:31" ht="16.5" customHeight="1">
      <c r="A628" s="347">
        <v>8349714</v>
      </c>
      <c r="B628" s="347" t="s">
        <v>6196</v>
      </c>
      <c r="C628" s="347"/>
      <c r="D628" s="361"/>
      <c r="E628" s="361"/>
      <c r="F628" s="361"/>
      <c r="G628" s="348"/>
      <c r="H628" s="358"/>
      <c r="I628" s="352"/>
      <c r="J628" s="353"/>
      <c r="K628" s="538"/>
      <c r="L628" s="354"/>
      <c r="M628" s="354"/>
      <c r="N628" s="487"/>
      <c r="O628" s="354"/>
      <c r="P628" s="354"/>
      <c r="Q628" s="354"/>
      <c r="R628" s="354"/>
      <c r="S628" s="354"/>
      <c r="T628" s="354"/>
      <c r="U628" s="354"/>
      <c r="V628" s="354"/>
      <c r="W628" s="354"/>
      <c r="X628" s="354"/>
      <c r="Y628" s="354"/>
      <c r="Z628" s="353"/>
      <c r="AA628" s="353"/>
      <c r="AB628" s="842"/>
      <c r="AC628" s="836"/>
      <c r="AD628" s="842"/>
      <c r="AE628" s="837"/>
    </row>
    <row r="629" spans="1:31" ht="16.5" customHeight="1">
      <c r="A629" s="347">
        <v>19768605</v>
      </c>
      <c r="B629" s="347" t="s">
        <v>6197</v>
      </c>
      <c r="C629" s="347"/>
      <c r="D629" s="348"/>
      <c r="E629" s="348"/>
      <c r="F629" s="348"/>
      <c r="G629" s="348"/>
      <c r="H629" s="358"/>
      <c r="I629" s="352"/>
      <c r="J629" s="353"/>
      <c r="K629" s="538"/>
      <c r="L629" s="354"/>
      <c r="M629" s="354"/>
      <c r="N629" s="354"/>
      <c r="O629" s="354"/>
      <c r="P629" s="354"/>
      <c r="Q629" s="354"/>
      <c r="R629" s="354"/>
      <c r="S629" s="354"/>
      <c r="T629" s="354"/>
      <c r="U629" s="354"/>
      <c r="V629" s="354"/>
      <c r="W629" s="487"/>
      <c r="X629" s="354"/>
      <c r="Y629" s="354"/>
      <c r="Z629" s="353"/>
      <c r="AA629" s="353"/>
      <c r="AB629" s="836"/>
      <c r="AC629" s="836"/>
      <c r="AD629" s="842"/>
      <c r="AE629" s="837"/>
    </row>
    <row r="630" spans="1:31" ht="16.5" customHeight="1">
      <c r="A630" s="347">
        <v>33270992</v>
      </c>
      <c r="B630" s="347" t="s">
        <v>6198</v>
      </c>
      <c r="C630" s="347"/>
      <c r="D630" s="348"/>
      <c r="E630" s="348"/>
      <c r="F630" s="348"/>
      <c r="G630" s="348"/>
      <c r="H630" s="358"/>
      <c r="I630" s="352"/>
      <c r="J630" s="353"/>
      <c r="K630" s="538"/>
      <c r="L630" s="354"/>
      <c r="M630" s="354"/>
      <c r="N630" s="354"/>
      <c r="O630" s="354"/>
      <c r="P630" s="354"/>
      <c r="Q630" s="354"/>
      <c r="R630" s="354"/>
      <c r="S630" s="354"/>
      <c r="T630" s="354"/>
      <c r="U630" s="354"/>
      <c r="V630" s="354"/>
      <c r="W630" s="487"/>
      <c r="X630" s="354"/>
      <c r="Y630" s="354"/>
      <c r="Z630" s="353"/>
      <c r="AA630" s="353"/>
      <c r="AB630" s="836"/>
      <c r="AC630" s="836"/>
      <c r="AD630" s="842"/>
      <c r="AE630" s="837"/>
    </row>
    <row r="631" spans="1:31" ht="16.5" customHeight="1">
      <c r="A631" s="347">
        <v>50056860</v>
      </c>
      <c r="B631" s="347" t="s">
        <v>6199</v>
      </c>
      <c r="C631" s="347"/>
      <c r="D631" s="348"/>
      <c r="E631" s="348"/>
      <c r="F631" s="348"/>
      <c r="G631" s="361"/>
      <c r="H631" s="358"/>
      <c r="I631" s="352"/>
      <c r="J631" s="353"/>
      <c r="K631" s="538"/>
      <c r="L631" s="487"/>
      <c r="M631" s="354"/>
      <c r="N631" s="487"/>
      <c r="O631" s="354"/>
      <c r="P631" s="354"/>
      <c r="Q631" s="354"/>
      <c r="R631" s="354"/>
      <c r="S631" s="354"/>
      <c r="T631" s="354"/>
      <c r="U631" s="354"/>
      <c r="V631" s="487"/>
      <c r="W631" s="354"/>
      <c r="X631" s="354"/>
      <c r="Y631" s="354"/>
      <c r="Z631" s="353"/>
      <c r="AA631" s="353"/>
      <c r="AB631" s="836"/>
      <c r="AC631" s="836"/>
      <c r="AD631" s="836"/>
      <c r="AE631" s="837"/>
    </row>
    <row r="632" spans="1:31" ht="16.5" customHeight="1">
      <c r="A632" s="347">
        <v>5772074</v>
      </c>
      <c r="B632" s="347" t="s">
        <v>6200</v>
      </c>
      <c r="C632" s="347"/>
      <c r="D632" s="348"/>
      <c r="E632" s="348"/>
      <c r="F632" s="348"/>
      <c r="G632" s="361"/>
      <c r="H632" s="358"/>
      <c r="I632" s="352"/>
      <c r="J632" s="353"/>
      <c r="K632" s="538"/>
      <c r="L632" s="354"/>
      <c r="M632" s="354"/>
      <c r="N632" s="354"/>
      <c r="O632" s="354"/>
      <c r="P632" s="354"/>
      <c r="Q632" s="354"/>
      <c r="R632" s="354"/>
      <c r="S632" s="354"/>
      <c r="T632" s="354"/>
      <c r="U632" s="354"/>
      <c r="V632" s="354"/>
      <c r="W632" s="354"/>
      <c r="X632" s="354"/>
      <c r="Y632" s="354"/>
      <c r="Z632" s="353"/>
      <c r="AA632" s="353"/>
      <c r="AB632" s="836"/>
      <c r="AC632" s="836"/>
      <c r="AD632" s="836"/>
      <c r="AE632" s="838"/>
    </row>
    <row r="633" spans="1:31" ht="16.5" customHeight="1">
      <c r="A633" s="347">
        <v>471409</v>
      </c>
      <c r="B633" s="347" t="s">
        <v>6201</v>
      </c>
      <c r="C633" s="347"/>
      <c r="D633" s="348"/>
      <c r="E633" s="348"/>
      <c r="F633" s="348"/>
      <c r="G633" s="361"/>
      <c r="H633" s="358"/>
      <c r="I633" s="352"/>
      <c r="J633" s="353"/>
      <c r="K633" s="538"/>
      <c r="L633" s="354"/>
      <c r="M633" s="354"/>
      <c r="N633" s="354"/>
      <c r="O633" s="354"/>
      <c r="P633" s="487"/>
      <c r="Q633" s="354"/>
      <c r="R633" s="354"/>
      <c r="S633" s="354"/>
      <c r="T633" s="354"/>
      <c r="U633" s="354"/>
      <c r="V633" s="354"/>
      <c r="W633" s="354"/>
      <c r="X633" s="354"/>
      <c r="Y633" s="354"/>
      <c r="Z633" s="353"/>
      <c r="AA633" s="353"/>
      <c r="AB633" s="836"/>
      <c r="AC633" s="836"/>
      <c r="AD633" s="836"/>
      <c r="AE633" s="838"/>
    </row>
    <row r="634" spans="1:31" ht="16.5" customHeight="1">
      <c r="A634" s="347">
        <v>2285484</v>
      </c>
      <c r="B634" s="347" t="s">
        <v>6202</v>
      </c>
      <c r="C634" s="347"/>
      <c r="D634" s="348"/>
      <c r="E634" s="348"/>
      <c r="F634" s="348"/>
      <c r="G634" s="361"/>
      <c r="H634" s="358"/>
      <c r="I634" s="352"/>
      <c r="J634" s="353"/>
      <c r="K634" s="538"/>
      <c r="L634" s="354"/>
      <c r="M634" s="354"/>
      <c r="N634" s="354"/>
      <c r="O634" s="354"/>
      <c r="P634" s="354"/>
      <c r="Q634" s="354"/>
      <c r="R634" s="354"/>
      <c r="S634" s="354"/>
      <c r="T634" s="354"/>
      <c r="U634" s="354"/>
      <c r="V634" s="354"/>
      <c r="W634" s="354"/>
      <c r="X634" s="354"/>
      <c r="Y634" s="354"/>
      <c r="Z634" s="353"/>
      <c r="AA634" s="353"/>
      <c r="AB634" s="836"/>
      <c r="AC634" s="836"/>
      <c r="AD634" s="836"/>
      <c r="AE634" s="838"/>
    </row>
    <row r="635" spans="1:31" ht="16.5" customHeight="1">
      <c r="A635" s="347">
        <v>52457785</v>
      </c>
      <c r="B635" s="347" t="s">
        <v>6203</v>
      </c>
      <c r="C635" s="347"/>
      <c r="D635" s="348"/>
      <c r="E635" s="348"/>
      <c r="F635" s="348"/>
      <c r="G635" s="361"/>
      <c r="H635" s="358"/>
      <c r="I635" s="352"/>
      <c r="J635" s="353"/>
      <c r="K635" s="538"/>
      <c r="L635" s="354"/>
      <c r="M635" s="354"/>
      <c r="N635" s="354"/>
      <c r="O635" s="354"/>
      <c r="P635" s="354"/>
      <c r="Q635" s="354"/>
      <c r="R635" s="354"/>
      <c r="S635" s="354"/>
      <c r="T635" s="487"/>
      <c r="U635" s="487"/>
      <c r="V635" s="354"/>
      <c r="W635" s="354"/>
      <c r="X635" s="353"/>
      <c r="Y635" s="354"/>
      <c r="Z635" s="353"/>
      <c r="AA635" s="353"/>
      <c r="AB635" s="836"/>
      <c r="AC635" s="836"/>
      <c r="AD635" s="836"/>
      <c r="AE635" s="838"/>
    </row>
    <row r="636" spans="1:31" ht="16.5" customHeight="1">
      <c r="A636" s="347">
        <v>21268602</v>
      </c>
      <c r="B636" s="347" t="s">
        <v>6204</v>
      </c>
      <c r="C636" s="347"/>
      <c r="D636" s="348"/>
      <c r="E636" s="348"/>
      <c r="F636" s="348"/>
      <c r="G636" s="361"/>
      <c r="H636" s="358"/>
      <c r="I636" s="352"/>
      <c r="J636" s="353"/>
      <c r="K636" s="539"/>
      <c r="L636" s="354"/>
      <c r="M636" s="354"/>
      <c r="N636" s="354"/>
      <c r="O636" s="354"/>
      <c r="P636" s="354"/>
      <c r="Q636" s="354"/>
      <c r="R636" s="354"/>
      <c r="S636" s="354"/>
      <c r="T636" s="487"/>
      <c r="U636" s="487"/>
      <c r="V636" s="354"/>
      <c r="W636" s="354"/>
      <c r="X636" s="354"/>
      <c r="Y636" s="354"/>
      <c r="Z636" s="353"/>
      <c r="AA636" s="353"/>
      <c r="AB636" s="836"/>
      <c r="AC636" s="836"/>
      <c r="AD636" s="836"/>
      <c r="AE636" s="838"/>
    </row>
    <row r="637" spans="1:31" ht="16.5" customHeight="1">
      <c r="A637" s="347">
        <v>29246634</v>
      </c>
      <c r="B637" s="347" t="s">
        <v>6205</v>
      </c>
      <c r="C637" s="347"/>
      <c r="D637" s="348"/>
      <c r="E637" s="348"/>
      <c r="F637" s="348"/>
      <c r="G637" s="361"/>
      <c r="H637" s="358"/>
      <c r="I637" s="352"/>
      <c r="J637" s="353"/>
      <c r="K637" s="538"/>
      <c r="L637" s="487"/>
      <c r="M637" s="354"/>
      <c r="N637" s="354"/>
      <c r="O637" s="354"/>
      <c r="P637" s="354"/>
      <c r="Q637" s="354"/>
      <c r="R637" s="354"/>
      <c r="S637" s="354"/>
      <c r="T637" s="354"/>
      <c r="U637" s="354"/>
      <c r="V637" s="354"/>
      <c r="W637" s="354"/>
      <c r="X637" s="354"/>
      <c r="Y637" s="354"/>
      <c r="Z637" s="353"/>
      <c r="AA637" s="353"/>
      <c r="AB637" s="836"/>
      <c r="AC637" s="836"/>
      <c r="AD637" s="836"/>
      <c r="AE637" s="837"/>
    </row>
    <row r="638" spans="1:31" ht="16.5" customHeight="1">
      <c r="A638" s="347">
        <v>37361094</v>
      </c>
      <c r="B638" s="347" t="s">
        <v>6206</v>
      </c>
      <c r="C638" s="347"/>
      <c r="D638" s="348"/>
      <c r="E638" s="348"/>
      <c r="F638" s="348"/>
      <c r="G638" s="361"/>
      <c r="H638" s="358"/>
      <c r="I638" s="352"/>
      <c r="J638" s="353"/>
      <c r="K638" s="539"/>
      <c r="L638" s="354"/>
      <c r="M638" s="354"/>
      <c r="N638" s="354"/>
      <c r="O638" s="487"/>
      <c r="P638" s="354"/>
      <c r="Q638" s="354"/>
      <c r="R638" s="354"/>
      <c r="S638" s="354"/>
      <c r="T638" s="354"/>
      <c r="U638" s="354"/>
      <c r="V638" s="354"/>
      <c r="W638" s="354"/>
      <c r="X638" s="353"/>
      <c r="Y638" s="354"/>
      <c r="Z638" s="353"/>
      <c r="AA638" s="353"/>
      <c r="AB638" s="836"/>
      <c r="AC638" s="836"/>
      <c r="AD638" s="836"/>
      <c r="AE638" s="837"/>
    </row>
    <row r="639" spans="1:31" ht="16.5" customHeight="1">
      <c r="A639" s="347">
        <v>100004730</v>
      </c>
      <c r="B639" s="347" t="s">
        <v>5990</v>
      </c>
      <c r="C639" s="347"/>
      <c r="D639" s="348"/>
      <c r="E639" s="348"/>
      <c r="F639" s="348"/>
      <c r="G639" s="361"/>
      <c r="H639" s="358"/>
      <c r="I639" s="352"/>
      <c r="J639" s="353"/>
      <c r="K639" s="538"/>
      <c r="L639" s="487"/>
      <c r="M639" s="354"/>
      <c r="N639" s="354"/>
      <c r="O639" s="354"/>
      <c r="P639" s="354"/>
      <c r="Q639" s="354"/>
      <c r="R639" s="354"/>
      <c r="S639" s="354"/>
      <c r="T639" s="354"/>
      <c r="U639" s="354"/>
      <c r="V639" s="354"/>
      <c r="W639" s="354"/>
      <c r="X639" s="354"/>
      <c r="Y639" s="354"/>
      <c r="Z639" s="353"/>
      <c r="AA639" s="353"/>
      <c r="AB639" s="836"/>
      <c r="AC639" s="836"/>
      <c r="AD639" s="842"/>
      <c r="AE639" s="837"/>
    </row>
    <row r="640" spans="1:31" ht="16.5" customHeight="1">
      <c r="A640" s="347">
        <v>33393448</v>
      </c>
      <c r="B640" s="347" t="s">
        <v>6207</v>
      </c>
      <c r="C640" s="347"/>
      <c r="D640" s="348"/>
      <c r="E640" s="348"/>
      <c r="F640" s="348"/>
      <c r="G640" s="361"/>
      <c r="H640" s="358"/>
      <c r="I640" s="352"/>
      <c r="J640" s="353"/>
      <c r="K640" s="538"/>
      <c r="L640" s="354"/>
      <c r="M640" s="354"/>
      <c r="N640" s="354"/>
      <c r="O640" s="354"/>
      <c r="P640" s="354"/>
      <c r="Q640" s="354"/>
      <c r="R640" s="487"/>
      <c r="S640" s="354"/>
      <c r="T640" s="354"/>
      <c r="U640" s="354"/>
      <c r="V640" s="354"/>
      <c r="W640" s="354"/>
      <c r="X640" s="353"/>
      <c r="Y640" s="355"/>
      <c r="Z640" s="353"/>
      <c r="AA640" s="353"/>
      <c r="AB640" s="836"/>
      <c r="AC640" s="836"/>
      <c r="AD640" s="836"/>
      <c r="AE640" s="838"/>
    </row>
    <row r="641" spans="1:31" ht="16.5" customHeight="1">
      <c r="A641" s="347">
        <v>31164361</v>
      </c>
      <c r="B641" s="347" t="s">
        <v>6208</v>
      </c>
      <c r="C641" s="347"/>
      <c r="D641" s="348"/>
      <c r="E641" s="348"/>
      <c r="F641" s="348"/>
      <c r="G641" s="361"/>
      <c r="H641" s="358"/>
      <c r="I641" s="352"/>
      <c r="J641" s="353"/>
      <c r="K641" s="538"/>
      <c r="L641" s="487"/>
      <c r="M641" s="487"/>
      <c r="N641" s="354"/>
      <c r="O641" s="354"/>
      <c r="P641" s="354"/>
      <c r="Q641" s="354"/>
      <c r="R641" s="354"/>
      <c r="S641" s="354"/>
      <c r="T641" s="354"/>
      <c r="U641" s="354"/>
      <c r="V641" s="354"/>
      <c r="W641" s="354"/>
      <c r="X641" s="354"/>
      <c r="Y641" s="354"/>
      <c r="Z641" s="353"/>
      <c r="AA641" s="353"/>
      <c r="AB641" s="836"/>
      <c r="AC641" s="836"/>
      <c r="AD641" s="836"/>
      <c r="AE641" s="837"/>
    </row>
    <row r="642" spans="1:31" ht="16.5" customHeight="1">
      <c r="A642" s="347">
        <v>9610106</v>
      </c>
      <c r="B642" s="347" t="s">
        <v>6209</v>
      </c>
      <c r="C642" s="347"/>
      <c r="D642" s="348"/>
      <c r="E642" s="348"/>
      <c r="F642" s="348"/>
      <c r="G642" s="361"/>
      <c r="H642" s="358"/>
      <c r="I642" s="352"/>
      <c r="J642" s="353"/>
      <c r="K642" s="538"/>
      <c r="L642" s="487"/>
      <c r="M642" s="487"/>
      <c r="N642" s="354"/>
      <c r="O642" s="354"/>
      <c r="P642" s="354"/>
      <c r="Q642" s="354"/>
      <c r="R642" s="354"/>
      <c r="S642" s="354"/>
      <c r="T642" s="354"/>
      <c r="U642" s="354"/>
      <c r="V642" s="354"/>
      <c r="W642" s="354"/>
      <c r="X642" s="354"/>
      <c r="Y642" s="354"/>
      <c r="Z642" s="353"/>
      <c r="AA642" s="353"/>
      <c r="AB642" s="836"/>
      <c r="AC642" s="836"/>
      <c r="AD642" s="836"/>
      <c r="AE642" s="837"/>
    </row>
    <row r="643" spans="1:31" ht="16.5" customHeight="1">
      <c r="A643" s="347">
        <v>27894195</v>
      </c>
      <c r="B643" s="347" t="s">
        <v>6210</v>
      </c>
      <c r="C643" s="347"/>
      <c r="D643" s="348"/>
      <c r="E643" s="348"/>
      <c r="F643" s="348"/>
      <c r="G643" s="361"/>
      <c r="H643" s="358"/>
      <c r="I643" s="352"/>
      <c r="J643" s="353"/>
      <c r="K643" s="538"/>
      <c r="L643" s="354"/>
      <c r="M643" s="354"/>
      <c r="N643" s="354"/>
      <c r="O643" s="354"/>
      <c r="P643" s="354"/>
      <c r="Q643" s="354"/>
      <c r="R643" s="354"/>
      <c r="S643" s="354"/>
      <c r="T643" s="354"/>
      <c r="U643" s="354"/>
      <c r="V643" s="354"/>
      <c r="W643" s="354"/>
      <c r="X643" s="354"/>
      <c r="Y643" s="354"/>
      <c r="Z643" s="353"/>
      <c r="AA643" s="353"/>
      <c r="AB643" s="836"/>
      <c r="AC643" s="836"/>
      <c r="AD643" s="836"/>
      <c r="AE643" s="838"/>
    </row>
    <row r="644" spans="1:31" ht="16.5" customHeight="1">
      <c r="A644" s="347">
        <v>27145077</v>
      </c>
      <c r="B644" s="347" t="s">
        <v>6211</v>
      </c>
      <c r="C644" s="347"/>
      <c r="D644" s="348"/>
      <c r="E644" s="348"/>
      <c r="F644" s="348"/>
      <c r="G644" s="361"/>
      <c r="H644" s="358"/>
      <c r="I644" s="352"/>
      <c r="J644" s="353"/>
      <c r="K644" s="538"/>
      <c r="L644" s="487"/>
      <c r="M644" s="354"/>
      <c r="N644" s="354"/>
      <c r="O644" s="354"/>
      <c r="P644" s="354"/>
      <c r="Q644" s="354"/>
      <c r="R644" s="354"/>
      <c r="S644" s="354"/>
      <c r="T644" s="354"/>
      <c r="U644" s="354"/>
      <c r="V644" s="354"/>
      <c r="W644" s="354"/>
      <c r="X644" s="354"/>
      <c r="Y644" s="354"/>
      <c r="Z644" s="353"/>
      <c r="AA644" s="353"/>
      <c r="AB644" s="836"/>
      <c r="AC644" s="836"/>
      <c r="AD644" s="836"/>
      <c r="AE644" s="837"/>
    </row>
    <row r="645" spans="1:31" ht="16.5" customHeight="1">
      <c r="A645" s="347">
        <v>17647298</v>
      </c>
      <c r="B645" s="347" t="s">
        <v>6212</v>
      </c>
      <c r="C645" s="347"/>
      <c r="D645" s="348"/>
      <c r="E645" s="348"/>
      <c r="F645" s="348"/>
      <c r="G645" s="361"/>
      <c r="H645" s="358"/>
      <c r="I645" s="352"/>
      <c r="J645" s="353"/>
      <c r="K645" s="538"/>
      <c r="L645" s="354"/>
      <c r="M645" s="354"/>
      <c r="N645" s="354"/>
      <c r="O645" s="354"/>
      <c r="P645" s="354"/>
      <c r="Q645" s="354"/>
      <c r="R645" s="354"/>
      <c r="S645" s="354"/>
      <c r="T645" s="354"/>
      <c r="U645" s="354"/>
      <c r="V645" s="354"/>
      <c r="W645" s="354"/>
      <c r="X645" s="354"/>
      <c r="Y645" s="354"/>
      <c r="Z645" s="353"/>
      <c r="AA645" s="353"/>
      <c r="AB645" s="836"/>
      <c r="AC645" s="836"/>
      <c r="AD645" s="836"/>
      <c r="AE645" s="838"/>
    </row>
    <row r="646" spans="1:31" ht="16.5" customHeight="1">
      <c r="A646" s="347">
        <v>10291359</v>
      </c>
      <c r="B646" s="347" t="s">
        <v>6213</v>
      </c>
      <c r="C646" s="347"/>
      <c r="D646" s="348"/>
      <c r="E646" s="348"/>
      <c r="F646" s="348"/>
      <c r="G646" s="361"/>
      <c r="H646" s="358"/>
      <c r="I646" s="352"/>
      <c r="J646" s="353"/>
      <c r="K646" s="538"/>
      <c r="L646" s="487"/>
      <c r="M646" s="354"/>
      <c r="N646" s="354"/>
      <c r="O646" s="354"/>
      <c r="P646" s="354"/>
      <c r="Q646" s="354"/>
      <c r="R646" s="354"/>
      <c r="S646" s="354"/>
      <c r="T646" s="354"/>
      <c r="U646" s="354"/>
      <c r="V646" s="354"/>
      <c r="W646" s="354"/>
      <c r="X646" s="353"/>
      <c r="Y646" s="354"/>
      <c r="Z646" s="353"/>
      <c r="AA646" s="353"/>
      <c r="AB646" s="836"/>
      <c r="AC646" s="836"/>
      <c r="AD646" s="836"/>
      <c r="AE646" s="837"/>
    </row>
    <row r="647" spans="1:31" ht="16.5" customHeight="1">
      <c r="A647" s="347">
        <v>4893376</v>
      </c>
      <c r="B647" s="347" t="s">
        <v>6214</v>
      </c>
      <c r="C647" s="347"/>
      <c r="D647" s="348"/>
      <c r="E647" s="348"/>
      <c r="F647" s="348"/>
      <c r="G647" s="361"/>
      <c r="H647" s="358"/>
      <c r="I647" s="352"/>
      <c r="J647" s="353"/>
      <c r="K647" s="538"/>
      <c r="L647" s="354"/>
      <c r="M647" s="354"/>
      <c r="N647" s="354"/>
      <c r="O647" s="354"/>
      <c r="P647" s="354"/>
      <c r="Q647" s="354"/>
      <c r="R647" s="354"/>
      <c r="S647" s="354"/>
      <c r="T647" s="354"/>
      <c r="U647" s="354"/>
      <c r="V647" s="354"/>
      <c r="W647" s="354"/>
      <c r="X647" s="354"/>
      <c r="Y647" s="354"/>
      <c r="Z647" s="353"/>
      <c r="AA647" s="353"/>
      <c r="AB647" s="836"/>
      <c r="AC647" s="836"/>
      <c r="AD647" s="836"/>
      <c r="AE647" s="838"/>
    </row>
    <row r="648" spans="1:31" ht="16.5" customHeight="1">
      <c r="A648" s="347">
        <v>925651</v>
      </c>
      <c r="B648" s="347" t="s">
        <v>6215</v>
      </c>
      <c r="C648" s="347"/>
      <c r="D648" s="348"/>
      <c r="E648" s="348"/>
      <c r="F648" s="348"/>
      <c r="G648" s="361"/>
      <c r="H648" s="358"/>
      <c r="I648" s="352"/>
      <c r="J648" s="353"/>
      <c r="K648" s="538"/>
      <c r="L648" s="487"/>
      <c r="M648" s="354"/>
      <c r="N648" s="354"/>
      <c r="O648" s="354"/>
      <c r="P648" s="354"/>
      <c r="Q648" s="354"/>
      <c r="R648" s="354"/>
      <c r="S648" s="354"/>
      <c r="T648" s="354"/>
      <c r="U648" s="354"/>
      <c r="V648" s="354"/>
      <c r="W648" s="354"/>
      <c r="X648" s="354"/>
      <c r="Y648" s="354"/>
      <c r="Z648" s="353"/>
      <c r="AA648" s="353"/>
      <c r="AB648" s="836"/>
      <c r="AC648" s="836"/>
      <c r="AD648" s="836"/>
      <c r="AE648" s="837"/>
    </row>
    <row r="649" spans="1:31" ht="16.5" customHeight="1">
      <c r="A649" s="347">
        <v>41231168</v>
      </c>
      <c r="B649" s="347" t="s">
        <v>6216</v>
      </c>
      <c r="C649" s="347"/>
      <c r="D649" s="348"/>
      <c r="E649" s="348"/>
      <c r="F649" s="348"/>
      <c r="G649" s="844"/>
      <c r="H649" s="358"/>
      <c r="I649" s="352"/>
      <c r="J649" s="353"/>
      <c r="K649" s="538"/>
      <c r="L649" s="354"/>
      <c r="M649" s="354"/>
      <c r="N649" s="354"/>
      <c r="O649" s="487"/>
      <c r="P649" s="354"/>
      <c r="Q649" s="354"/>
      <c r="R649" s="354"/>
      <c r="S649" s="354"/>
      <c r="T649" s="354"/>
      <c r="U649" s="354"/>
      <c r="V649" s="354"/>
      <c r="W649" s="354"/>
      <c r="X649" s="354"/>
      <c r="Y649" s="354"/>
      <c r="Z649" s="353"/>
      <c r="AA649" s="353"/>
      <c r="AB649" s="836"/>
      <c r="AC649" s="836"/>
      <c r="AD649" s="836"/>
      <c r="AE649" s="838"/>
    </row>
    <row r="650" spans="1:31" ht="16.5" customHeight="1">
      <c r="A650" s="347">
        <v>4010872</v>
      </c>
      <c r="B650" s="347" t="s">
        <v>6217</v>
      </c>
      <c r="C650" s="347"/>
      <c r="D650" s="348"/>
      <c r="E650" s="348"/>
      <c r="F650" s="348"/>
      <c r="G650" s="361"/>
      <c r="H650" s="358"/>
      <c r="I650" s="352"/>
      <c r="J650" s="353"/>
      <c r="K650" s="539"/>
      <c r="L650" s="354"/>
      <c r="M650" s="354"/>
      <c r="N650" s="354"/>
      <c r="O650" s="354"/>
      <c r="P650" s="354"/>
      <c r="Q650" s="354"/>
      <c r="R650" s="354"/>
      <c r="S650" s="354"/>
      <c r="T650" s="487"/>
      <c r="U650" s="487"/>
      <c r="V650" s="354"/>
      <c r="W650" s="354"/>
      <c r="X650" s="353"/>
      <c r="Y650" s="354"/>
      <c r="Z650" s="353"/>
      <c r="AA650" s="353"/>
      <c r="AB650" s="836"/>
      <c r="AC650" s="836"/>
      <c r="AD650" s="836"/>
      <c r="AE650" s="838"/>
    </row>
    <row r="651" spans="1:31" ht="16.5" customHeight="1">
      <c r="A651" s="347">
        <v>545855</v>
      </c>
      <c r="B651" s="347" t="s">
        <v>6218</v>
      </c>
      <c r="C651" s="347"/>
      <c r="D651" s="348"/>
      <c r="E651" s="348"/>
      <c r="F651" s="348"/>
      <c r="G651" s="361"/>
      <c r="H651" s="358"/>
      <c r="I651" s="352"/>
      <c r="J651" s="353"/>
      <c r="K651" s="538"/>
      <c r="L651" s="487"/>
      <c r="M651" s="487"/>
      <c r="N651" s="354"/>
      <c r="O651" s="354"/>
      <c r="P651" s="354"/>
      <c r="Q651" s="354"/>
      <c r="R651" s="354"/>
      <c r="S651" s="354"/>
      <c r="T651" s="354"/>
      <c r="U651" s="354"/>
      <c r="V651" s="354"/>
      <c r="W651" s="354"/>
      <c r="X651" s="354"/>
      <c r="Y651" s="354"/>
      <c r="Z651" s="353"/>
      <c r="AA651" s="353"/>
      <c r="AB651" s="836"/>
      <c r="AC651" s="836"/>
      <c r="AD651" s="836"/>
      <c r="AE651" s="837"/>
    </row>
    <row r="652" spans="1:31" ht="16.5" customHeight="1">
      <c r="A652" s="347">
        <v>18365635</v>
      </c>
      <c r="B652" s="347" t="s">
        <v>6219</v>
      </c>
      <c r="C652" s="347"/>
      <c r="D652" s="348"/>
      <c r="E652" s="348"/>
      <c r="F652" s="348"/>
      <c r="G652" s="361"/>
      <c r="H652" s="358"/>
      <c r="I652" s="352"/>
      <c r="J652" s="353"/>
      <c r="K652" s="538"/>
      <c r="L652" s="487"/>
      <c r="M652" s="487"/>
      <c r="N652" s="354"/>
      <c r="O652" s="354"/>
      <c r="P652" s="354"/>
      <c r="Q652" s="354"/>
      <c r="R652" s="354"/>
      <c r="S652" s="354"/>
      <c r="T652" s="354"/>
      <c r="U652" s="354"/>
      <c r="V652" s="354"/>
      <c r="W652" s="354"/>
      <c r="X652" s="354"/>
      <c r="Y652" s="354"/>
      <c r="Z652" s="353"/>
      <c r="AA652" s="353"/>
      <c r="AB652" s="836"/>
      <c r="AC652" s="836"/>
      <c r="AD652" s="836"/>
      <c r="AE652" s="837"/>
    </row>
    <row r="653" spans="1:31" ht="16.5" customHeight="1">
      <c r="A653" s="347">
        <v>24516601</v>
      </c>
      <c r="B653" s="347" t="s">
        <v>6220</v>
      </c>
      <c r="C653" s="347"/>
      <c r="D653" s="348"/>
      <c r="E653" s="348"/>
      <c r="F653" s="348"/>
      <c r="G653" s="348"/>
      <c r="H653" s="358"/>
      <c r="I653" s="352"/>
      <c r="J653" s="353"/>
      <c r="K653" s="538"/>
      <c r="L653" s="487"/>
      <c r="M653" s="487"/>
      <c r="N653" s="354"/>
      <c r="O653" s="354"/>
      <c r="P653" s="354"/>
      <c r="Q653" s="354"/>
      <c r="R653" s="354"/>
      <c r="S653" s="354"/>
      <c r="T653" s="354"/>
      <c r="U653" s="354"/>
      <c r="V653" s="354"/>
      <c r="W653" s="354"/>
      <c r="X653" s="354"/>
      <c r="Y653" s="354"/>
      <c r="Z653" s="353"/>
      <c r="AA653" s="353"/>
      <c r="AB653" s="836"/>
      <c r="AC653" s="836"/>
      <c r="AD653" s="836"/>
      <c r="AE653" s="838"/>
    </row>
    <row r="654" spans="1:31" ht="16.5" customHeight="1">
      <c r="A654" s="347">
        <v>609099</v>
      </c>
      <c r="B654" s="347" t="s">
        <v>6221</v>
      </c>
      <c r="C654" s="347"/>
      <c r="D654" s="348"/>
      <c r="E654" s="348"/>
      <c r="F654" s="348"/>
      <c r="G654" s="348"/>
      <c r="H654" s="358"/>
      <c r="I654" s="352"/>
      <c r="J654" s="353"/>
      <c r="K654" s="538"/>
      <c r="L654" s="487"/>
      <c r="M654" s="487"/>
      <c r="N654" s="354"/>
      <c r="O654" s="354"/>
      <c r="P654" s="354"/>
      <c r="Q654" s="354"/>
      <c r="R654" s="354"/>
      <c r="S654" s="354"/>
      <c r="T654" s="354"/>
      <c r="U654" s="354"/>
      <c r="V654" s="354"/>
      <c r="W654" s="354"/>
      <c r="X654" s="354"/>
      <c r="Y654" s="354"/>
      <c r="Z654" s="353"/>
      <c r="AA654" s="353"/>
      <c r="AB654" s="836"/>
      <c r="AC654" s="836"/>
      <c r="AD654" s="836"/>
      <c r="AE654" s="838"/>
    </row>
    <row r="655" spans="1:31" ht="16.5" customHeight="1">
      <c r="A655" s="347">
        <v>13905559</v>
      </c>
      <c r="B655" s="347" t="s">
        <v>6222</v>
      </c>
      <c r="C655" s="347"/>
      <c r="D655" s="348"/>
      <c r="E655" s="348"/>
      <c r="F655" s="348"/>
      <c r="G655" s="348"/>
      <c r="H655" s="358"/>
      <c r="I655" s="352"/>
      <c r="J655" s="353"/>
      <c r="K655" s="538"/>
      <c r="L655" s="487"/>
      <c r="M655" s="487"/>
      <c r="N655" s="354"/>
      <c r="O655" s="354"/>
      <c r="P655" s="354"/>
      <c r="Q655" s="354"/>
      <c r="R655" s="354"/>
      <c r="S655" s="354"/>
      <c r="T655" s="354"/>
      <c r="U655" s="354"/>
      <c r="V655" s="354"/>
      <c r="W655" s="354"/>
      <c r="X655" s="354"/>
      <c r="Y655" s="354"/>
      <c r="Z655" s="353"/>
      <c r="AA655" s="353"/>
      <c r="AB655" s="836"/>
      <c r="AC655" s="836"/>
      <c r="AD655" s="836"/>
      <c r="AE655" s="838"/>
    </row>
    <row r="656" spans="1:31" ht="16.5" customHeight="1">
      <c r="A656" s="347">
        <v>38062535</v>
      </c>
      <c r="B656" s="347" t="s">
        <v>6223</v>
      </c>
      <c r="C656" s="347"/>
      <c r="D656" s="348"/>
      <c r="E656" s="348"/>
      <c r="F656" s="348"/>
      <c r="G656" s="348"/>
      <c r="H656" s="358"/>
      <c r="I656" s="352"/>
      <c r="J656" s="353"/>
      <c r="K656" s="538"/>
      <c r="L656" s="487"/>
      <c r="M656" s="487"/>
      <c r="N656" s="354"/>
      <c r="O656" s="354"/>
      <c r="P656" s="354"/>
      <c r="Q656" s="354"/>
      <c r="R656" s="354"/>
      <c r="S656" s="354"/>
      <c r="T656" s="354"/>
      <c r="U656" s="354"/>
      <c r="V656" s="354"/>
      <c r="W656" s="354"/>
      <c r="X656" s="354"/>
      <c r="Y656" s="354"/>
      <c r="Z656" s="353"/>
      <c r="AA656" s="353"/>
      <c r="AB656" s="836"/>
      <c r="AC656" s="836"/>
      <c r="AD656" s="836"/>
      <c r="AE656" s="838"/>
    </row>
    <row r="657" spans="1:31" ht="16.5" customHeight="1">
      <c r="A657" s="347">
        <v>100005906</v>
      </c>
      <c r="B657" s="347" t="s">
        <v>5990</v>
      </c>
      <c r="C657" s="347"/>
      <c r="D657" s="348"/>
      <c r="E657" s="348"/>
      <c r="F657" s="348"/>
      <c r="G657" s="348"/>
      <c r="H657" s="358"/>
      <c r="I657" s="352"/>
      <c r="J657" s="353"/>
      <c r="K657" s="538"/>
      <c r="L657" s="487"/>
      <c r="M657" s="487"/>
      <c r="N657" s="354"/>
      <c r="O657" s="354"/>
      <c r="P657" s="354"/>
      <c r="Q657" s="354"/>
      <c r="R657" s="354"/>
      <c r="S657" s="354"/>
      <c r="T657" s="354"/>
      <c r="U657" s="354"/>
      <c r="V657" s="354"/>
      <c r="W657" s="354"/>
      <c r="X657" s="354"/>
      <c r="Y657" s="354"/>
      <c r="Z657" s="353"/>
      <c r="AA657" s="353"/>
      <c r="AB657" s="836"/>
      <c r="AC657" s="836"/>
      <c r="AD657" s="836"/>
      <c r="AE657" s="838"/>
    </row>
    <row r="658" spans="1:31" ht="16.5" customHeight="1">
      <c r="A658" s="347">
        <v>25675810</v>
      </c>
      <c r="B658" s="347" t="s">
        <v>6224</v>
      </c>
      <c r="C658" s="347"/>
      <c r="D658" s="348"/>
      <c r="E658" s="348"/>
      <c r="F658" s="348"/>
      <c r="G658" s="348"/>
      <c r="H658" s="358"/>
      <c r="I658" s="352"/>
      <c r="J658" s="353"/>
      <c r="K658" s="538"/>
      <c r="L658" s="487"/>
      <c r="M658" s="487"/>
      <c r="N658" s="354"/>
      <c r="O658" s="354"/>
      <c r="P658" s="354"/>
      <c r="Q658" s="354"/>
      <c r="R658" s="354"/>
      <c r="S658" s="354"/>
      <c r="T658" s="354"/>
      <c r="U658" s="354"/>
      <c r="V658" s="354"/>
      <c r="W658" s="354"/>
      <c r="X658" s="354"/>
      <c r="Y658" s="354"/>
      <c r="Z658" s="353"/>
      <c r="AA658" s="353"/>
      <c r="AB658" s="836"/>
      <c r="AC658" s="836"/>
      <c r="AD658" s="836"/>
      <c r="AE658" s="838"/>
    </row>
    <row r="659" spans="1:31" ht="16.5" customHeight="1">
      <c r="A659" s="347">
        <v>624247</v>
      </c>
      <c r="B659" s="347" t="s">
        <v>6225</v>
      </c>
      <c r="C659" s="347"/>
      <c r="D659" s="348"/>
      <c r="E659" s="348"/>
      <c r="F659" s="348"/>
      <c r="G659" s="348"/>
      <c r="H659" s="358"/>
      <c r="I659" s="352"/>
      <c r="J659" s="353"/>
      <c r="K659" s="538"/>
      <c r="L659" s="487"/>
      <c r="M659" s="487"/>
      <c r="N659" s="354"/>
      <c r="O659" s="354"/>
      <c r="P659" s="354"/>
      <c r="Q659" s="354"/>
      <c r="R659" s="354"/>
      <c r="S659" s="354"/>
      <c r="T659" s="354"/>
      <c r="U659" s="354"/>
      <c r="V659" s="354"/>
      <c r="W659" s="354"/>
      <c r="X659" s="354"/>
      <c r="Y659" s="354"/>
      <c r="Z659" s="353"/>
      <c r="AA659" s="353"/>
      <c r="AB659" s="836"/>
      <c r="AC659" s="836"/>
      <c r="AD659" s="836"/>
      <c r="AE659" s="838"/>
    </row>
    <row r="660" spans="1:31" ht="16.5" customHeight="1">
      <c r="A660" s="347">
        <v>8216764</v>
      </c>
      <c r="B660" s="347" t="s">
        <v>6226</v>
      </c>
      <c r="C660" s="347"/>
      <c r="D660" s="348"/>
      <c r="E660" s="348"/>
      <c r="F660" s="348"/>
      <c r="G660" s="348"/>
      <c r="H660" s="358"/>
      <c r="I660" s="352"/>
      <c r="J660" s="353"/>
      <c r="K660" s="538"/>
      <c r="L660" s="487"/>
      <c r="M660" s="487"/>
      <c r="N660" s="354"/>
      <c r="O660" s="354"/>
      <c r="P660" s="354"/>
      <c r="Q660" s="354"/>
      <c r="R660" s="354"/>
      <c r="S660" s="354"/>
      <c r="T660" s="354"/>
      <c r="U660" s="354"/>
      <c r="V660" s="354"/>
      <c r="W660" s="354"/>
      <c r="X660" s="354"/>
      <c r="Y660" s="354"/>
      <c r="Z660" s="353"/>
      <c r="AA660" s="353"/>
      <c r="AB660" s="836"/>
      <c r="AC660" s="836"/>
      <c r="AD660" s="836"/>
      <c r="AE660" s="838"/>
    </row>
    <row r="661" spans="1:31" ht="16.5" customHeight="1">
      <c r="A661" s="347">
        <v>2941078</v>
      </c>
      <c r="B661" s="347" t="s">
        <v>6227</v>
      </c>
      <c r="C661" s="347"/>
      <c r="D661" s="348"/>
      <c r="E661" s="348"/>
      <c r="F661" s="348"/>
      <c r="G661" s="348"/>
      <c r="H661" s="358"/>
      <c r="I661" s="352"/>
      <c r="J661" s="353"/>
      <c r="K661" s="538"/>
      <c r="L661" s="487"/>
      <c r="M661" s="487"/>
      <c r="N661" s="354"/>
      <c r="O661" s="354"/>
      <c r="P661" s="354"/>
      <c r="Q661" s="354"/>
      <c r="R661" s="354"/>
      <c r="S661" s="354"/>
      <c r="T661" s="354"/>
      <c r="U661" s="354"/>
      <c r="V661" s="354"/>
      <c r="W661" s="354"/>
      <c r="X661" s="354"/>
      <c r="Y661" s="354"/>
      <c r="Z661" s="353"/>
      <c r="AA661" s="353"/>
      <c r="AB661" s="836"/>
      <c r="AC661" s="836"/>
      <c r="AD661" s="836"/>
      <c r="AE661" s="838"/>
    </row>
    <row r="662" spans="1:31" ht="16.5" customHeight="1">
      <c r="A662" s="347">
        <v>64458573</v>
      </c>
      <c r="B662" s="347" t="s">
        <v>6228</v>
      </c>
      <c r="C662" s="347"/>
      <c r="D662" s="348"/>
      <c r="E662" s="348"/>
      <c r="F662" s="348"/>
      <c r="G662" s="348"/>
      <c r="H662" s="358"/>
      <c r="I662" s="352"/>
      <c r="J662" s="353"/>
      <c r="K662" s="538"/>
      <c r="L662" s="487"/>
      <c r="M662" s="487"/>
      <c r="N662" s="354"/>
      <c r="O662" s="354"/>
      <c r="P662" s="354"/>
      <c r="Q662" s="354"/>
      <c r="R662" s="354"/>
      <c r="S662" s="354"/>
      <c r="T662" s="354"/>
      <c r="U662" s="354"/>
      <c r="V662" s="354"/>
      <c r="W662" s="354"/>
      <c r="X662" s="354"/>
      <c r="Y662" s="354"/>
      <c r="Z662" s="353"/>
      <c r="AA662" s="353"/>
      <c r="AB662" s="836"/>
      <c r="AC662" s="836"/>
      <c r="AD662" s="836"/>
      <c r="AE662" s="838"/>
    </row>
    <row r="663" spans="1:31" ht="16.5" customHeight="1">
      <c r="A663" s="347">
        <v>30082457</v>
      </c>
      <c r="B663" s="347" t="s">
        <v>6229</v>
      </c>
      <c r="C663" s="347"/>
      <c r="D663" s="348"/>
      <c r="E663" s="348"/>
      <c r="F663" s="348"/>
      <c r="G663" s="348"/>
      <c r="H663" s="358"/>
      <c r="I663" s="352"/>
      <c r="J663" s="353"/>
      <c r="K663" s="538"/>
      <c r="L663" s="487"/>
      <c r="M663" s="487"/>
      <c r="N663" s="354"/>
      <c r="O663" s="354"/>
      <c r="P663" s="354"/>
      <c r="Q663" s="354"/>
      <c r="R663" s="354"/>
      <c r="S663" s="354"/>
      <c r="T663" s="354"/>
      <c r="U663" s="354"/>
      <c r="V663" s="354"/>
      <c r="W663" s="354"/>
      <c r="X663" s="354"/>
      <c r="Y663" s="354"/>
      <c r="Z663" s="353"/>
      <c r="AA663" s="353"/>
      <c r="AB663" s="836"/>
      <c r="AC663" s="836"/>
      <c r="AD663" s="836"/>
      <c r="AE663" s="838"/>
    </row>
    <row r="664" spans="1:31" ht="16.5" customHeight="1">
      <c r="A664" s="347">
        <v>3318342</v>
      </c>
      <c r="B664" s="347" t="s">
        <v>6230</v>
      </c>
      <c r="C664" s="347"/>
      <c r="D664" s="348"/>
      <c r="E664" s="348"/>
      <c r="F664" s="348"/>
      <c r="G664" s="348"/>
      <c r="H664" s="358"/>
      <c r="I664" s="352"/>
      <c r="J664" s="353"/>
      <c r="K664" s="538"/>
      <c r="L664" s="487"/>
      <c r="M664" s="487"/>
      <c r="N664" s="354"/>
      <c r="O664" s="354"/>
      <c r="P664" s="354"/>
      <c r="Q664" s="354"/>
      <c r="R664" s="354"/>
      <c r="S664" s="354"/>
      <c r="T664" s="354"/>
      <c r="U664" s="354"/>
      <c r="V664" s="354"/>
      <c r="W664" s="354"/>
      <c r="X664" s="354"/>
      <c r="Y664" s="354"/>
      <c r="Z664" s="353"/>
      <c r="AA664" s="353"/>
      <c r="AB664" s="836"/>
      <c r="AC664" s="836"/>
      <c r="AD664" s="836"/>
      <c r="AE664" s="838"/>
    </row>
    <row r="665" spans="1:31" ht="16.5" customHeight="1">
      <c r="A665" s="347">
        <v>5305578</v>
      </c>
      <c r="B665" s="347" t="s">
        <v>6231</v>
      </c>
      <c r="C665" s="347"/>
      <c r="D665" s="348"/>
      <c r="E665" s="348"/>
      <c r="F665" s="348"/>
      <c r="G665" s="348"/>
      <c r="H665" s="358"/>
      <c r="I665" s="352"/>
      <c r="J665" s="353"/>
      <c r="K665" s="538"/>
      <c r="L665" s="487"/>
      <c r="M665" s="487"/>
      <c r="N665" s="354"/>
      <c r="O665" s="354"/>
      <c r="P665" s="354"/>
      <c r="Q665" s="354"/>
      <c r="R665" s="354"/>
      <c r="S665" s="354"/>
      <c r="T665" s="354"/>
      <c r="U665" s="354"/>
      <c r="V665" s="354"/>
      <c r="W665" s="354"/>
      <c r="X665" s="354"/>
      <c r="Y665" s="354"/>
      <c r="Z665" s="353"/>
      <c r="AA665" s="353"/>
      <c r="AB665" s="836"/>
      <c r="AC665" s="836"/>
      <c r="AD665" s="836"/>
      <c r="AE665" s="838"/>
    </row>
    <row r="666" spans="1:31" ht="16.5" customHeight="1">
      <c r="A666" s="347">
        <v>100005096</v>
      </c>
      <c r="B666" s="347" t="s">
        <v>5990</v>
      </c>
      <c r="C666" s="347"/>
      <c r="D666" s="348"/>
      <c r="E666" s="348"/>
      <c r="F666" s="348"/>
      <c r="G666" s="348"/>
      <c r="H666" s="358"/>
      <c r="I666" s="352"/>
      <c r="J666" s="353"/>
      <c r="K666" s="538"/>
      <c r="L666" s="487"/>
      <c r="M666" s="487"/>
      <c r="N666" s="354"/>
      <c r="O666" s="354"/>
      <c r="P666" s="354"/>
      <c r="Q666" s="354"/>
      <c r="R666" s="354"/>
      <c r="S666" s="354"/>
      <c r="T666" s="354"/>
      <c r="U666" s="354"/>
      <c r="V666" s="354"/>
      <c r="W666" s="354"/>
      <c r="X666" s="354"/>
      <c r="Y666" s="354"/>
      <c r="Z666" s="353"/>
      <c r="AA666" s="353"/>
      <c r="AB666" s="836"/>
      <c r="AC666" s="836"/>
      <c r="AD666" s="836"/>
      <c r="AE666" s="838"/>
    </row>
    <row r="667" spans="1:31" ht="16.5" customHeight="1">
      <c r="A667" s="347">
        <v>26708115</v>
      </c>
      <c r="B667" s="347" t="s">
        <v>6232</v>
      </c>
      <c r="C667" s="347"/>
      <c r="D667" s="348"/>
      <c r="E667" s="348"/>
      <c r="F667" s="348"/>
      <c r="G667" s="348"/>
      <c r="H667" s="358"/>
      <c r="I667" s="352"/>
      <c r="J667" s="353"/>
      <c r="K667" s="538"/>
      <c r="L667" s="487"/>
      <c r="M667" s="487"/>
      <c r="N667" s="354"/>
      <c r="O667" s="354"/>
      <c r="P667" s="354"/>
      <c r="Q667" s="354"/>
      <c r="R667" s="354"/>
      <c r="S667" s="354"/>
      <c r="T667" s="354"/>
      <c r="U667" s="354"/>
      <c r="V667" s="354"/>
      <c r="W667" s="354"/>
      <c r="X667" s="354"/>
      <c r="Y667" s="354"/>
      <c r="Z667" s="353"/>
      <c r="AA667" s="353"/>
      <c r="AB667" s="836"/>
      <c r="AC667" s="836"/>
      <c r="AD667" s="836"/>
      <c r="AE667" s="838"/>
    </row>
    <row r="668" spans="1:31" ht="16.5" customHeight="1">
      <c r="A668" s="347">
        <v>1115021</v>
      </c>
      <c r="B668" s="347" t="s">
        <v>6233</v>
      </c>
      <c r="C668" s="347"/>
      <c r="D668" s="361"/>
      <c r="E668" s="361"/>
      <c r="F668" s="361"/>
      <c r="G668" s="348"/>
      <c r="H668" s="358"/>
      <c r="I668" s="352"/>
      <c r="J668" s="353"/>
      <c r="K668" s="538"/>
      <c r="L668" s="487"/>
      <c r="M668" s="487"/>
      <c r="N668" s="354"/>
      <c r="O668" s="354"/>
      <c r="P668" s="354"/>
      <c r="Q668" s="354"/>
      <c r="R668" s="354"/>
      <c r="S668" s="354"/>
      <c r="T668" s="354"/>
      <c r="U668" s="354"/>
      <c r="V668" s="354"/>
      <c r="W668" s="354"/>
      <c r="X668" s="354"/>
      <c r="Y668" s="354"/>
      <c r="Z668" s="353"/>
      <c r="AA668" s="353"/>
      <c r="AB668" s="836"/>
      <c r="AC668" s="836"/>
      <c r="AD668" s="836"/>
      <c r="AE668" s="838"/>
    </row>
    <row r="669" spans="1:31" ht="16.5" customHeight="1">
      <c r="A669" s="347">
        <v>25900424</v>
      </c>
      <c r="B669" s="347" t="s">
        <v>6234</v>
      </c>
      <c r="C669" s="347"/>
      <c r="D669" s="348"/>
      <c r="E669" s="348"/>
      <c r="F669" s="348"/>
      <c r="G669" s="348"/>
      <c r="H669" s="358"/>
      <c r="I669" s="352"/>
      <c r="J669" s="353"/>
      <c r="K669" s="538"/>
      <c r="L669" s="487"/>
      <c r="M669" s="487"/>
      <c r="N669" s="354"/>
      <c r="O669" s="354"/>
      <c r="P669" s="354"/>
      <c r="Q669" s="354"/>
      <c r="R669" s="354"/>
      <c r="S669" s="354"/>
      <c r="T669" s="354"/>
      <c r="U669" s="354"/>
      <c r="V669" s="354"/>
      <c r="W669" s="354"/>
      <c r="X669" s="354"/>
      <c r="Y669" s="354"/>
      <c r="Z669" s="353"/>
      <c r="AA669" s="353"/>
      <c r="AB669" s="836"/>
      <c r="AC669" s="836"/>
      <c r="AD669" s="836"/>
      <c r="AE669" s="838"/>
    </row>
    <row r="670" spans="1:31" ht="16.5" customHeight="1">
      <c r="A670" s="347">
        <v>53054375</v>
      </c>
      <c r="B670" s="347" t="s">
        <v>6235</v>
      </c>
      <c r="C670" s="347"/>
      <c r="D670" s="348"/>
      <c r="E670" s="348"/>
      <c r="F670" s="348"/>
      <c r="G670" s="348"/>
      <c r="H670" s="358"/>
      <c r="I670" s="352"/>
      <c r="J670" s="353"/>
      <c r="K670" s="538"/>
      <c r="L670" s="487"/>
      <c r="M670" s="487"/>
      <c r="N670" s="354"/>
      <c r="O670" s="354"/>
      <c r="P670" s="354"/>
      <c r="Q670" s="354"/>
      <c r="R670" s="354"/>
      <c r="S670" s="354"/>
      <c r="T670" s="354"/>
      <c r="U670" s="354"/>
      <c r="V670" s="354"/>
      <c r="W670" s="354"/>
      <c r="X670" s="354"/>
      <c r="Y670" s="354"/>
      <c r="Z670" s="353"/>
      <c r="AA670" s="353"/>
      <c r="AB670" s="836"/>
      <c r="AC670" s="836"/>
      <c r="AD670" s="836"/>
      <c r="AE670" s="838"/>
    </row>
    <row r="671" spans="1:31" ht="16.5" customHeight="1">
      <c r="A671" s="347">
        <v>3754124</v>
      </c>
      <c r="B671" s="347" t="s">
        <v>6236</v>
      </c>
      <c r="C671" s="347"/>
      <c r="D671" s="348"/>
      <c r="E671" s="348"/>
      <c r="F671" s="348"/>
      <c r="G671" s="348"/>
      <c r="H671" s="358"/>
      <c r="I671" s="352"/>
      <c r="J671" s="353"/>
      <c r="K671" s="538"/>
      <c r="L671" s="487"/>
      <c r="M671" s="487"/>
      <c r="N671" s="354"/>
      <c r="O671" s="354"/>
      <c r="P671" s="354"/>
      <c r="Q671" s="354"/>
      <c r="R671" s="354"/>
      <c r="S671" s="354"/>
      <c r="T671" s="354"/>
      <c r="U671" s="354"/>
      <c r="V671" s="354"/>
      <c r="W671" s="354"/>
      <c r="X671" s="354"/>
      <c r="Y671" s="354"/>
      <c r="Z671" s="353"/>
      <c r="AA671" s="353"/>
      <c r="AB671" s="836"/>
      <c r="AC671" s="836"/>
      <c r="AD671" s="836"/>
      <c r="AE671" s="838"/>
    </row>
    <row r="672" spans="1:31" ht="16.5" customHeight="1">
      <c r="A672" s="347">
        <v>16213514</v>
      </c>
      <c r="B672" s="347" t="s">
        <v>6237</v>
      </c>
      <c r="C672" s="347"/>
      <c r="D672" s="348"/>
      <c r="E672" s="348"/>
      <c r="F672" s="348"/>
      <c r="G672" s="348"/>
      <c r="H672" s="358"/>
      <c r="I672" s="352"/>
      <c r="J672" s="353"/>
      <c r="K672" s="538"/>
      <c r="L672" s="487"/>
      <c r="M672" s="487"/>
      <c r="N672" s="354"/>
      <c r="O672" s="354"/>
      <c r="P672" s="354"/>
      <c r="Q672" s="354"/>
      <c r="R672" s="354"/>
      <c r="S672" s="354"/>
      <c r="T672" s="354"/>
      <c r="U672" s="354"/>
      <c r="V672" s="354"/>
      <c r="W672" s="354"/>
      <c r="X672" s="354"/>
      <c r="Y672" s="354"/>
      <c r="Z672" s="353"/>
      <c r="AA672" s="353"/>
      <c r="AB672" s="836"/>
      <c r="AC672" s="836"/>
      <c r="AD672" s="836"/>
      <c r="AE672" s="838"/>
    </row>
    <row r="673" spans="1:31" ht="16.5" customHeight="1">
      <c r="A673" s="347">
        <v>36686079</v>
      </c>
      <c r="B673" s="347" t="s">
        <v>6238</v>
      </c>
      <c r="C673" s="347"/>
      <c r="D673" s="348"/>
      <c r="E673" s="348"/>
      <c r="F673" s="348"/>
      <c r="G673" s="348"/>
      <c r="H673" s="358"/>
      <c r="I673" s="352"/>
      <c r="J673" s="353"/>
      <c r="K673" s="538"/>
      <c r="L673" s="487"/>
      <c r="M673" s="487"/>
      <c r="N673" s="354"/>
      <c r="O673" s="354"/>
      <c r="P673" s="354"/>
      <c r="Q673" s="354"/>
      <c r="R673" s="354"/>
      <c r="S673" s="354"/>
      <c r="T673" s="354"/>
      <c r="U673" s="354"/>
      <c r="V673" s="354"/>
      <c r="W673" s="354"/>
      <c r="X673" s="354"/>
      <c r="Y673" s="354"/>
      <c r="Z673" s="353"/>
      <c r="AA673" s="353"/>
      <c r="AB673" s="836"/>
      <c r="AC673" s="836"/>
      <c r="AD673" s="836"/>
      <c r="AE673" s="838"/>
    </row>
    <row r="674" spans="1:31" ht="16.5" customHeight="1">
      <c r="A674" s="347">
        <v>69633642</v>
      </c>
      <c r="B674" s="347" t="s">
        <v>6239</v>
      </c>
      <c r="C674" s="347"/>
      <c r="D674" s="348"/>
      <c r="E674" s="348"/>
      <c r="F674" s="348"/>
      <c r="G674" s="348"/>
      <c r="H674" s="358"/>
      <c r="I674" s="352"/>
      <c r="J674" s="353"/>
      <c r="K674" s="538"/>
      <c r="L674" s="487"/>
      <c r="M674" s="487"/>
      <c r="N674" s="354"/>
      <c r="O674" s="354"/>
      <c r="P674" s="354"/>
      <c r="Q674" s="354"/>
      <c r="R674" s="354"/>
      <c r="S674" s="354"/>
      <c r="T674" s="354"/>
      <c r="U674" s="354"/>
      <c r="V674" s="354"/>
      <c r="W674" s="354"/>
      <c r="X674" s="354"/>
      <c r="Y674" s="354"/>
      <c r="Z674" s="353"/>
      <c r="AA674" s="353"/>
      <c r="AB674" s="836"/>
      <c r="AC674" s="836"/>
      <c r="AD674" s="836"/>
      <c r="AE674" s="838"/>
    </row>
    <row r="675" spans="1:31" ht="16.5" customHeight="1">
      <c r="A675" s="347">
        <v>3499498</v>
      </c>
      <c r="B675" s="347" t="s">
        <v>6240</v>
      </c>
      <c r="C675" s="347"/>
      <c r="D675" s="348"/>
      <c r="E675" s="348"/>
      <c r="F675" s="348"/>
      <c r="G675" s="348"/>
      <c r="H675" s="358"/>
      <c r="I675" s="352"/>
      <c r="J675" s="353"/>
      <c r="K675" s="538"/>
      <c r="L675" s="487"/>
      <c r="M675" s="487"/>
      <c r="N675" s="354"/>
      <c r="O675" s="354"/>
      <c r="P675" s="354"/>
      <c r="Q675" s="354"/>
      <c r="R675" s="354"/>
      <c r="S675" s="354"/>
      <c r="T675" s="354"/>
      <c r="U675" s="354"/>
      <c r="V675" s="354"/>
      <c r="W675" s="354"/>
      <c r="X675" s="354"/>
      <c r="Y675" s="354"/>
      <c r="Z675" s="353"/>
      <c r="AA675" s="353"/>
      <c r="AB675" s="836"/>
      <c r="AC675" s="836"/>
      <c r="AD675" s="836"/>
      <c r="AE675" s="838"/>
    </row>
    <row r="676" spans="1:31" ht="16.5" customHeight="1">
      <c r="A676" s="347">
        <v>73132573</v>
      </c>
      <c r="B676" s="347" t="s">
        <v>6241</v>
      </c>
      <c r="C676" s="347"/>
      <c r="D676" s="348"/>
      <c r="E676" s="348"/>
      <c r="F676" s="348"/>
      <c r="G676" s="348"/>
      <c r="H676" s="358"/>
      <c r="I676" s="352"/>
      <c r="J676" s="353"/>
      <c r="K676" s="538"/>
      <c r="L676" s="487"/>
      <c r="M676" s="487"/>
      <c r="N676" s="354"/>
      <c r="O676" s="354"/>
      <c r="P676" s="354"/>
      <c r="Q676" s="354"/>
      <c r="R676" s="354"/>
      <c r="S676" s="354"/>
      <c r="T676" s="354"/>
      <c r="U676" s="354"/>
      <c r="V676" s="354"/>
      <c r="W676" s="354"/>
      <c r="X676" s="354"/>
      <c r="Y676" s="354"/>
      <c r="Z676" s="353"/>
      <c r="AA676" s="353"/>
      <c r="AB676" s="836"/>
      <c r="AC676" s="836"/>
      <c r="AD676" s="836"/>
      <c r="AE676" s="838"/>
    </row>
    <row r="677" spans="1:31" ht="16.5" customHeight="1">
      <c r="A677" s="347">
        <v>64463375</v>
      </c>
      <c r="B677" s="347" t="s">
        <v>6242</v>
      </c>
      <c r="C677" s="347"/>
      <c r="D677" s="348"/>
      <c r="E677" s="348"/>
      <c r="F677" s="348"/>
      <c r="G677" s="348"/>
      <c r="H677" s="358"/>
      <c r="I677" s="352"/>
      <c r="J677" s="353"/>
      <c r="K677" s="538"/>
      <c r="L677" s="487"/>
      <c r="M677" s="487"/>
      <c r="N677" s="354"/>
      <c r="O677" s="354"/>
      <c r="P677" s="354"/>
      <c r="Q677" s="354"/>
      <c r="R677" s="354"/>
      <c r="S677" s="354"/>
      <c r="T677" s="354"/>
      <c r="U677" s="354"/>
      <c r="V677" s="354"/>
      <c r="W677" s="354"/>
      <c r="X677" s="354"/>
      <c r="Y677" s="354"/>
      <c r="Z677" s="353"/>
      <c r="AA677" s="353"/>
      <c r="AB677" s="836"/>
      <c r="AC677" s="836"/>
      <c r="AD677" s="836"/>
      <c r="AE677" s="838"/>
    </row>
    <row r="678" spans="1:31" ht="16.5" customHeight="1">
      <c r="A678" s="347">
        <v>26072959</v>
      </c>
      <c r="B678" s="347" t="s">
        <v>6243</v>
      </c>
      <c r="C678" s="347"/>
      <c r="D678" s="348"/>
      <c r="E678" s="348"/>
      <c r="F678" s="348"/>
      <c r="G678" s="348"/>
      <c r="H678" s="358"/>
      <c r="I678" s="352"/>
      <c r="J678" s="353"/>
      <c r="K678" s="538"/>
      <c r="L678" s="487"/>
      <c r="M678" s="487"/>
      <c r="N678" s="354"/>
      <c r="O678" s="354"/>
      <c r="P678" s="354"/>
      <c r="Q678" s="354"/>
      <c r="R678" s="354"/>
      <c r="S678" s="354"/>
      <c r="T678" s="354"/>
      <c r="U678" s="354"/>
      <c r="V678" s="354"/>
      <c r="W678" s="354"/>
      <c r="X678" s="354"/>
      <c r="Y678" s="354"/>
      <c r="Z678" s="353"/>
      <c r="AA678" s="353"/>
      <c r="AB678" s="836"/>
      <c r="AC678" s="836"/>
      <c r="AD678" s="836"/>
      <c r="AE678" s="838"/>
    </row>
    <row r="679" spans="1:31" ht="16.5" customHeight="1">
      <c r="A679" s="347">
        <v>33708637</v>
      </c>
      <c r="B679" s="347" t="s">
        <v>6244</v>
      </c>
      <c r="C679" s="347"/>
      <c r="D679" s="361"/>
      <c r="E679" s="361"/>
      <c r="F679" s="361"/>
      <c r="G679" s="348"/>
      <c r="H679" s="358"/>
      <c r="I679" s="352"/>
      <c r="J679" s="353"/>
      <c r="K679" s="538"/>
      <c r="L679" s="487"/>
      <c r="M679" s="487"/>
      <c r="N679" s="354"/>
      <c r="O679" s="354"/>
      <c r="P679" s="354"/>
      <c r="Q679" s="354"/>
      <c r="R679" s="354"/>
      <c r="S679" s="354"/>
      <c r="T679" s="354"/>
      <c r="U679" s="354"/>
      <c r="V679" s="354"/>
      <c r="W679" s="354"/>
      <c r="X679" s="354"/>
      <c r="Y679" s="354"/>
      <c r="Z679" s="353"/>
      <c r="AA679" s="353"/>
      <c r="AB679" s="836"/>
      <c r="AC679" s="836"/>
      <c r="AD679" s="836"/>
      <c r="AE679" s="838"/>
    </row>
    <row r="680" spans="1:31" ht="16.5" customHeight="1">
      <c r="A680" s="347">
        <v>7432834</v>
      </c>
      <c r="B680" s="347" t="s">
        <v>6245</v>
      </c>
      <c r="C680" s="347"/>
      <c r="D680" s="348"/>
      <c r="E680" s="348"/>
      <c r="F680" s="348"/>
      <c r="G680" s="348"/>
      <c r="H680" s="358"/>
      <c r="I680" s="352"/>
      <c r="J680" s="353"/>
      <c r="K680" s="538"/>
      <c r="L680" s="487"/>
      <c r="M680" s="487"/>
      <c r="N680" s="354"/>
      <c r="O680" s="354"/>
      <c r="P680" s="354"/>
      <c r="Q680" s="354"/>
      <c r="R680" s="354"/>
      <c r="S680" s="354"/>
      <c r="T680" s="354"/>
      <c r="U680" s="354"/>
      <c r="V680" s="354"/>
      <c r="W680" s="354"/>
      <c r="X680" s="354"/>
      <c r="Y680" s="354"/>
      <c r="Z680" s="353"/>
      <c r="AA680" s="353"/>
      <c r="AB680" s="836"/>
      <c r="AC680" s="836"/>
      <c r="AD680" s="836"/>
      <c r="AE680" s="838"/>
    </row>
    <row r="681" spans="1:31" ht="16.5" customHeight="1">
      <c r="A681" s="347">
        <v>18734939</v>
      </c>
      <c r="B681" s="347" t="s">
        <v>6246</v>
      </c>
      <c r="C681" s="347"/>
      <c r="D681" s="348"/>
      <c r="E681" s="348"/>
      <c r="F681" s="348"/>
      <c r="G681" s="348"/>
      <c r="H681" s="358"/>
      <c r="I681" s="352"/>
      <c r="J681" s="353"/>
      <c r="K681" s="538"/>
      <c r="L681" s="487"/>
      <c r="M681" s="487"/>
      <c r="N681" s="354"/>
      <c r="O681" s="354"/>
      <c r="P681" s="354"/>
      <c r="Q681" s="354"/>
      <c r="R681" s="354"/>
      <c r="S681" s="354"/>
      <c r="T681" s="354"/>
      <c r="U681" s="354"/>
      <c r="V681" s="354"/>
      <c r="W681" s="354"/>
      <c r="X681" s="354"/>
      <c r="Y681" s="354"/>
      <c r="Z681" s="353"/>
      <c r="AA681" s="353"/>
      <c r="AB681" s="836"/>
      <c r="AC681" s="836"/>
      <c r="AD681" s="836"/>
      <c r="AE681" s="838"/>
    </row>
    <row r="682" spans="1:31" ht="16.5" customHeight="1">
      <c r="A682" s="347">
        <v>2212041</v>
      </c>
      <c r="B682" s="347" t="s">
        <v>6247</v>
      </c>
      <c r="C682" s="347"/>
      <c r="D682" s="348"/>
      <c r="E682" s="348"/>
      <c r="F682" s="348"/>
      <c r="G682" s="348"/>
      <c r="H682" s="358"/>
      <c r="I682" s="352"/>
      <c r="J682" s="353"/>
      <c r="K682" s="538"/>
      <c r="L682" s="487"/>
      <c r="M682" s="487"/>
      <c r="N682" s="354"/>
      <c r="O682" s="354"/>
      <c r="P682" s="354"/>
      <c r="Q682" s="354"/>
      <c r="R682" s="354"/>
      <c r="S682" s="354"/>
      <c r="T682" s="354"/>
      <c r="U682" s="354"/>
      <c r="V682" s="354"/>
      <c r="W682" s="354"/>
      <c r="X682" s="354"/>
      <c r="Y682" s="354"/>
      <c r="Z682" s="353"/>
      <c r="AA682" s="353"/>
      <c r="AB682" s="836"/>
      <c r="AC682" s="836"/>
      <c r="AD682" s="836"/>
      <c r="AE682" s="838"/>
    </row>
    <row r="683" spans="1:31" ht="16.5" customHeight="1">
      <c r="A683" s="347">
        <v>56183981</v>
      </c>
      <c r="B683" s="347" t="s">
        <v>6248</v>
      </c>
      <c r="C683" s="347"/>
      <c r="D683" s="348"/>
      <c r="E683" s="348"/>
      <c r="F683" s="348"/>
      <c r="G683" s="348"/>
      <c r="H683" s="358"/>
      <c r="I683" s="352"/>
      <c r="J683" s="353"/>
      <c r="K683" s="538"/>
      <c r="L683" s="487"/>
      <c r="M683" s="487"/>
      <c r="N683" s="354"/>
      <c r="O683" s="354"/>
      <c r="P683" s="354"/>
      <c r="Q683" s="354"/>
      <c r="R683" s="354"/>
      <c r="S683" s="354"/>
      <c r="T683" s="354"/>
      <c r="U683" s="354"/>
      <c r="V683" s="354"/>
      <c r="W683" s="354"/>
      <c r="X683" s="354"/>
      <c r="Y683" s="354"/>
      <c r="Z683" s="353"/>
      <c r="AA683" s="353"/>
      <c r="AB683" s="836"/>
      <c r="AC683" s="836"/>
      <c r="AD683" s="836"/>
      <c r="AE683" s="838"/>
    </row>
    <row r="684" spans="1:31" ht="16.5" customHeight="1">
      <c r="A684" s="347">
        <v>213363</v>
      </c>
      <c r="B684" s="347" t="s">
        <v>6249</v>
      </c>
      <c r="C684" s="347"/>
      <c r="D684" s="361"/>
      <c r="E684" s="361"/>
      <c r="F684" s="361"/>
      <c r="G684" s="348"/>
      <c r="H684" s="358"/>
      <c r="I684" s="352"/>
      <c r="J684" s="353"/>
      <c r="K684" s="538"/>
      <c r="L684" s="487"/>
      <c r="M684" s="487"/>
      <c r="N684" s="354"/>
      <c r="O684" s="354"/>
      <c r="P684" s="354"/>
      <c r="Q684" s="354"/>
      <c r="R684" s="354"/>
      <c r="S684" s="354"/>
      <c r="T684" s="354"/>
      <c r="U684" s="354"/>
      <c r="V684" s="354"/>
      <c r="W684" s="354"/>
      <c r="X684" s="354"/>
      <c r="Y684" s="354"/>
      <c r="Z684" s="353"/>
      <c r="AA684" s="353"/>
      <c r="AB684" s="836"/>
      <c r="AC684" s="836"/>
      <c r="AD684" s="836"/>
      <c r="AE684" s="838"/>
    </row>
    <row r="685" spans="1:31" ht="16.5" customHeight="1">
      <c r="A685" s="347">
        <v>17393455</v>
      </c>
      <c r="B685" s="347" t="s">
        <v>6250</v>
      </c>
      <c r="C685" s="347"/>
      <c r="D685" s="348"/>
      <c r="E685" s="348"/>
      <c r="F685" s="348"/>
      <c r="G685" s="348"/>
      <c r="H685" s="358"/>
      <c r="I685" s="352"/>
      <c r="J685" s="353"/>
      <c r="K685" s="538"/>
      <c r="L685" s="487"/>
      <c r="M685" s="487"/>
      <c r="N685" s="354"/>
      <c r="O685" s="354"/>
      <c r="P685" s="354"/>
      <c r="Q685" s="354"/>
      <c r="R685" s="354"/>
      <c r="S685" s="354"/>
      <c r="T685" s="354"/>
      <c r="U685" s="354"/>
      <c r="V685" s="354"/>
      <c r="W685" s="354"/>
      <c r="X685" s="354"/>
      <c r="Y685" s="354"/>
      <c r="Z685" s="353"/>
      <c r="AA685" s="353"/>
      <c r="AB685" s="836"/>
      <c r="AC685" s="836"/>
      <c r="AD685" s="836"/>
      <c r="AE685" s="838"/>
    </row>
    <row r="686" spans="1:31" ht="16.5" customHeight="1">
      <c r="A686" s="347">
        <v>9713603</v>
      </c>
      <c r="B686" s="347" t="s">
        <v>6251</v>
      </c>
      <c r="C686" s="347"/>
      <c r="D686" s="348"/>
      <c r="E686" s="348"/>
      <c r="F686" s="348"/>
      <c r="G686" s="348"/>
      <c r="H686" s="358"/>
      <c r="I686" s="352"/>
      <c r="J686" s="353"/>
      <c r="K686" s="538"/>
      <c r="L686" s="487"/>
      <c r="M686" s="487"/>
      <c r="N686" s="354"/>
      <c r="O686" s="354"/>
      <c r="P686" s="354"/>
      <c r="Q686" s="354"/>
      <c r="R686" s="354"/>
      <c r="S686" s="354"/>
      <c r="T686" s="354"/>
      <c r="U686" s="354"/>
      <c r="V686" s="354"/>
      <c r="W686" s="354"/>
      <c r="X686" s="354"/>
      <c r="Y686" s="354"/>
      <c r="Z686" s="353"/>
      <c r="AA686" s="353"/>
      <c r="AB686" s="836"/>
      <c r="AC686" s="836"/>
      <c r="AD686" s="836"/>
      <c r="AE686" s="838"/>
    </row>
    <row r="687" spans="1:31" ht="16.5" customHeight="1">
      <c r="A687" s="347">
        <v>26929307</v>
      </c>
      <c r="B687" s="347" t="s">
        <v>6252</v>
      </c>
      <c r="C687" s="347"/>
      <c r="D687" s="348"/>
      <c r="E687" s="348"/>
      <c r="F687" s="348"/>
      <c r="G687" s="348"/>
      <c r="H687" s="358"/>
      <c r="I687" s="352"/>
      <c r="J687" s="353"/>
      <c r="K687" s="538"/>
      <c r="L687" s="487"/>
      <c r="M687" s="487"/>
      <c r="N687" s="354"/>
      <c r="O687" s="354"/>
      <c r="P687" s="354"/>
      <c r="Q687" s="354"/>
      <c r="R687" s="354"/>
      <c r="S687" s="354"/>
      <c r="T687" s="354"/>
      <c r="U687" s="354"/>
      <c r="V687" s="354"/>
      <c r="W687" s="354"/>
      <c r="X687" s="354"/>
      <c r="Y687" s="354"/>
      <c r="Z687" s="353"/>
      <c r="AA687" s="353"/>
      <c r="AB687" s="836"/>
      <c r="AC687" s="836"/>
      <c r="AD687" s="836"/>
      <c r="AE687" s="838"/>
    </row>
    <row r="688" spans="1:31" ht="16.5" customHeight="1">
      <c r="A688" s="347">
        <v>37099256</v>
      </c>
      <c r="B688" s="347" t="s">
        <v>6253</v>
      </c>
      <c r="C688" s="347"/>
      <c r="D688" s="348"/>
      <c r="E688" s="348"/>
      <c r="F688" s="348"/>
      <c r="G688" s="348"/>
      <c r="H688" s="358"/>
      <c r="I688" s="352"/>
      <c r="J688" s="353"/>
      <c r="K688" s="538"/>
      <c r="L688" s="487"/>
      <c r="M688" s="487"/>
      <c r="N688" s="354"/>
      <c r="O688" s="354"/>
      <c r="P688" s="354"/>
      <c r="Q688" s="354"/>
      <c r="R688" s="354"/>
      <c r="S688" s="354"/>
      <c r="T688" s="354"/>
      <c r="U688" s="354"/>
      <c r="V688" s="354"/>
      <c r="W688" s="354"/>
      <c r="X688" s="354"/>
      <c r="Y688" s="354"/>
      <c r="Z688" s="353"/>
      <c r="AA688" s="353"/>
      <c r="AB688" s="836"/>
      <c r="AC688" s="836"/>
      <c r="AD688" s="836"/>
      <c r="AE688" s="838"/>
    </row>
    <row r="689" spans="1:31" ht="16.5" customHeight="1">
      <c r="A689" s="347">
        <v>24187254</v>
      </c>
      <c r="B689" s="347" t="s">
        <v>6254</v>
      </c>
      <c r="C689" s="347"/>
      <c r="D689" s="348"/>
      <c r="E689" s="348"/>
      <c r="F689" s="348"/>
      <c r="G689" s="348"/>
      <c r="H689" s="358"/>
      <c r="I689" s="352"/>
      <c r="J689" s="353"/>
      <c r="K689" s="538"/>
      <c r="L689" s="487"/>
      <c r="M689" s="487"/>
      <c r="N689" s="354"/>
      <c r="O689" s="354"/>
      <c r="P689" s="354"/>
      <c r="Q689" s="354"/>
      <c r="R689" s="354"/>
      <c r="S689" s="354"/>
      <c r="T689" s="354"/>
      <c r="U689" s="354"/>
      <c r="V689" s="354"/>
      <c r="W689" s="487"/>
      <c r="X689" s="354"/>
      <c r="Y689" s="354"/>
      <c r="Z689" s="353"/>
      <c r="AA689" s="353"/>
      <c r="AB689" s="836"/>
      <c r="AC689" s="842"/>
      <c r="AD689" s="842"/>
      <c r="AE689" s="837"/>
    </row>
    <row r="690" spans="1:31" ht="16.5" customHeight="1">
      <c r="A690" s="347">
        <v>33994740</v>
      </c>
      <c r="B690" s="347" t="s">
        <v>6255</v>
      </c>
      <c r="C690" s="347"/>
      <c r="D690" s="348"/>
      <c r="E690" s="348"/>
      <c r="F690" s="348"/>
      <c r="G690" s="348"/>
      <c r="H690" s="358"/>
      <c r="I690" s="352"/>
      <c r="J690" s="353"/>
      <c r="K690" s="538"/>
      <c r="L690" s="487"/>
      <c r="M690" s="487"/>
      <c r="N690" s="354"/>
      <c r="O690" s="354"/>
      <c r="P690" s="354"/>
      <c r="Q690" s="354"/>
      <c r="R690" s="354"/>
      <c r="S690" s="354"/>
      <c r="T690" s="354"/>
      <c r="U690" s="354"/>
      <c r="V690" s="354"/>
      <c r="W690" s="354"/>
      <c r="X690" s="354"/>
      <c r="Y690" s="354"/>
      <c r="Z690" s="353"/>
      <c r="AA690" s="353"/>
      <c r="AB690" s="836"/>
      <c r="AC690" s="836"/>
      <c r="AD690" s="836"/>
      <c r="AE690" s="838"/>
    </row>
    <row r="691" spans="1:31" ht="16.5" customHeight="1">
      <c r="A691" s="347">
        <v>27693670</v>
      </c>
      <c r="B691" s="347" t="s">
        <v>6256</v>
      </c>
      <c r="C691" s="347"/>
      <c r="D691" s="348"/>
      <c r="E691" s="348"/>
      <c r="F691" s="348"/>
      <c r="G691" s="348"/>
      <c r="H691" s="358"/>
      <c r="I691" s="352"/>
      <c r="J691" s="353"/>
      <c r="K691" s="538"/>
      <c r="L691" s="487"/>
      <c r="M691" s="487"/>
      <c r="N691" s="354"/>
      <c r="O691" s="354"/>
      <c r="P691" s="354"/>
      <c r="Q691" s="354"/>
      <c r="R691" s="354"/>
      <c r="S691" s="354"/>
      <c r="T691" s="354"/>
      <c r="U691" s="354"/>
      <c r="V691" s="354"/>
      <c r="W691" s="354"/>
      <c r="X691" s="354"/>
      <c r="Y691" s="354"/>
      <c r="Z691" s="353"/>
      <c r="AA691" s="353"/>
      <c r="AB691" s="836"/>
      <c r="AC691" s="836"/>
      <c r="AD691" s="836"/>
      <c r="AE691" s="838"/>
    </row>
    <row r="692" spans="1:31" ht="16.5" customHeight="1">
      <c r="A692" s="347">
        <v>21542279</v>
      </c>
      <c r="B692" s="347" t="s">
        <v>6257</v>
      </c>
      <c r="C692" s="347"/>
      <c r="D692" s="348"/>
      <c r="E692" s="348"/>
      <c r="F692" s="348"/>
      <c r="G692" s="348"/>
      <c r="H692" s="358"/>
      <c r="I692" s="352"/>
      <c r="J692" s="353"/>
      <c r="K692" s="538"/>
      <c r="L692" s="487"/>
      <c r="M692" s="487"/>
      <c r="N692" s="354"/>
      <c r="O692" s="354"/>
      <c r="P692" s="354"/>
      <c r="Q692" s="354"/>
      <c r="R692" s="354"/>
      <c r="S692" s="354"/>
      <c r="T692" s="354"/>
      <c r="U692" s="354"/>
      <c r="V692" s="354"/>
      <c r="W692" s="354"/>
      <c r="X692" s="354"/>
      <c r="Y692" s="354"/>
      <c r="Z692" s="353"/>
      <c r="AA692" s="353"/>
      <c r="AB692" s="836"/>
      <c r="AC692" s="836"/>
      <c r="AD692" s="836"/>
      <c r="AE692" s="838"/>
    </row>
    <row r="693" spans="1:31" ht="16.5" customHeight="1">
      <c r="A693" s="347">
        <v>40579567</v>
      </c>
      <c r="B693" s="347" t="s">
        <v>6258</v>
      </c>
      <c r="C693" s="347"/>
      <c r="D693" s="348"/>
      <c r="E693" s="348"/>
      <c r="F693" s="348"/>
      <c r="G693" s="348"/>
      <c r="H693" s="358"/>
      <c r="I693" s="352"/>
      <c r="J693" s="353"/>
      <c r="K693" s="538"/>
      <c r="L693" s="487"/>
      <c r="M693" s="487"/>
      <c r="N693" s="354"/>
      <c r="O693" s="354"/>
      <c r="P693" s="354"/>
      <c r="Q693" s="354"/>
      <c r="R693" s="354"/>
      <c r="S693" s="354"/>
      <c r="T693" s="354"/>
      <c r="U693" s="354"/>
      <c r="V693" s="354"/>
      <c r="W693" s="354"/>
      <c r="X693" s="354"/>
      <c r="Y693" s="354"/>
      <c r="Z693" s="353"/>
      <c r="AA693" s="353"/>
      <c r="AB693" s="836"/>
      <c r="AC693" s="836"/>
      <c r="AD693" s="836"/>
      <c r="AE693" s="838"/>
    </row>
    <row r="694" spans="1:31" ht="16.5" customHeight="1">
      <c r="A694" s="347">
        <v>3257060</v>
      </c>
      <c r="B694" s="347" t="s">
        <v>6259</v>
      </c>
      <c r="C694" s="347"/>
      <c r="D694" s="348"/>
      <c r="E694" s="348"/>
      <c r="F694" s="348"/>
      <c r="G694" s="348"/>
      <c r="H694" s="358"/>
      <c r="I694" s="352"/>
      <c r="J694" s="353"/>
      <c r="K694" s="538"/>
      <c r="L694" s="487"/>
      <c r="M694" s="487"/>
      <c r="N694" s="354"/>
      <c r="O694" s="354"/>
      <c r="P694" s="354"/>
      <c r="Q694" s="354"/>
      <c r="R694" s="354"/>
      <c r="S694" s="354"/>
      <c r="T694" s="354"/>
      <c r="U694" s="354"/>
      <c r="V694" s="354"/>
      <c r="W694" s="354"/>
      <c r="X694" s="354"/>
      <c r="Y694" s="354"/>
      <c r="Z694" s="353"/>
      <c r="AA694" s="353"/>
      <c r="AB694" s="836"/>
      <c r="AC694" s="836"/>
      <c r="AD694" s="836"/>
      <c r="AE694" s="838"/>
    </row>
    <row r="695" spans="1:31" ht="16.5" customHeight="1">
      <c r="A695" s="347">
        <v>37826435</v>
      </c>
      <c r="B695" s="347" t="s">
        <v>6260</v>
      </c>
      <c r="C695" s="347"/>
      <c r="D695" s="348"/>
      <c r="E695" s="348"/>
      <c r="F695" s="348"/>
      <c r="G695" s="348"/>
      <c r="H695" s="358"/>
      <c r="I695" s="352"/>
      <c r="J695" s="353"/>
      <c r="K695" s="538"/>
      <c r="L695" s="487"/>
      <c r="M695" s="487"/>
      <c r="N695" s="354"/>
      <c r="O695" s="354"/>
      <c r="P695" s="354"/>
      <c r="Q695" s="354"/>
      <c r="R695" s="354"/>
      <c r="S695" s="354"/>
      <c r="T695" s="354"/>
      <c r="U695" s="354"/>
      <c r="V695" s="354"/>
      <c r="W695" s="354"/>
      <c r="X695" s="354"/>
      <c r="Y695" s="354"/>
      <c r="Z695" s="353"/>
      <c r="AA695" s="353"/>
      <c r="AB695" s="836"/>
      <c r="AC695" s="836"/>
      <c r="AD695" s="836"/>
      <c r="AE695" s="838"/>
    </row>
    <row r="696" spans="1:31" ht="16.5" customHeight="1">
      <c r="A696" s="347">
        <v>626697</v>
      </c>
      <c r="B696" s="347" t="s">
        <v>6261</v>
      </c>
      <c r="C696" s="347"/>
      <c r="D696" s="348"/>
      <c r="E696" s="348"/>
      <c r="F696" s="348"/>
      <c r="G696" s="348"/>
      <c r="H696" s="358"/>
      <c r="I696" s="352"/>
      <c r="J696" s="353"/>
      <c r="K696" s="538"/>
      <c r="L696" s="487"/>
      <c r="M696" s="487"/>
      <c r="N696" s="354"/>
      <c r="O696" s="354"/>
      <c r="P696" s="354"/>
      <c r="Q696" s="354"/>
      <c r="R696" s="354"/>
      <c r="S696" s="354"/>
      <c r="T696" s="354"/>
      <c r="U696" s="354"/>
      <c r="V696" s="354"/>
      <c r="W696" s="354"/>
      <c r="X696" s="354"/>
      <c r="Y696" s="354"/>
      <c r="Z696" s="353"/>
      <c r="AA696" s="353"/>
      <c r="AB696" s="836"/>
      <c r="AC696" s="836"/>
      <c r="AD696" s="836"/>
      <c r="AE696" s="838"/>
    </row>
    <row r="697" spans="1:31" ht="16.5" customHeight="1">
      <c r="A697" s="347">
        <v>39301551</v>
      </c>
      <c r="B697" s="347" t="s">
        <v>6262</v>
      </c>
      <c r="C697" s="347"/>
      <c r="D697" s="348"/>
      <c r="E697" s="348"/>
      <c r="F697" s="348"/>
      <c r="G697" s="348"/>
      <c r="H697" s="358"/>
      <c r="I697" s="352"/>
      <c r="J697" s="353"/>
      <c r="K697" s="538"/>
      <c r="L697" s="487"/>
      <c r="M697" s="487"/>
      <c r="N697" s="354"/>
      <c r="O697" s="354"/>
      <c r="P697" s="354"/>
      <c r="Q697" s="354"/>
      <c r="R697" s="354"/>
      <c r="S697" s="354"/>
      <c r="T697" s="354"/>
      <c r="U697" s="354"/>
      <c r="V697" s="354"/>
      <c r="W697" s="354"/>
      <c r="X697" s="354"/>
      <c r="Y697" s="354"/>
      <c r="Z697" s="353"/>
      <c r="AA697" s="353"/>
      <c r="AB697" s="836"/>
      <c r="AC697" s="836"/>
      <c r="AD697" s="836"/>
      <c r="AE697" s="838"/>
    </row>
    <row r="698" spans="1:31" ht="16.5" customHeight="1">
      <c r="A698" s="347">
        <v>33685280</v>
      </c>
      <c r="B698" s="347" t="s">
        <v>6263</v>
      </c>
      <c r="C698" s="347"/>
      <c r="D698" s="348"/>
      <c r="E698" s="348"/>
      <c r="F698" s="348"/>
      <c r="G698" s="348"/>
      <c r="H698" s="358"/>
      <c r="I698" s="352"/>
      <c r="J698" s="353"/>
      <c r="K698" s="538"/>
      <c r="L698" s="487"/>
      <c r="M698" s="487"/>
      <c r="N698" s="354"/>
      <c r="O698" s="354"/>
      <c r="P698" s="354"/>
      <c r="Q698" s="354"/>
      <c r="R698" s="354"/>
      <c r="S698" s="354"/>
      <c r="T698" s="354"/>
      <c r="U698" s="354"/>
      <c r="V698" s="354"/>
      <c r="W698" s="354"/>
      <c r="X698" s="354"/>
      <c r="Y698" s="354"/>
      <c r="Z698" s="353"/>
      <c r="AA698" s="353"/>
      <c r="AB698" s="836"/>
      <c r="AC698" s="836"/>
      <c r="AD698" s="836"/>
      <c r="AE698" s="838"/>
    </row>
    <row r="699" spans="1:31" ht="16.5" customHeight="1">
      <c r="A699" s="347">
        <v>13602867</v>
      </c>
      <c r="B699" s="347" t="s">
        <v>6264</v>
      </c>
      <c r="C699" s="347"/>
      <c r="D699" s="348"/>
      <c r="E699" s="348"/>
      <c r="F699" s="348"/>
      <c r="G699" s="348"/>
      <c r="H699" s="358"/>
      <c r="I699" s="352"/>
      <c r="J699" s="353"/>
      <c r="K699" s="538"/>
      <c r="L699" s="487"/>
      <c r="M699" s="487"/>
      <c r="N699" s="354"/>
      <c r="O699" s="354"/>
      <c r="P699" s="354"/>
      <c r="Q699" s="354"/>
      <c r="R699" s="354"/>
      <c r="S699" s="354"/>
      <c r="T699" s="354"/>
      <c r="U699" s="354"/>
      <c r="V699" s="354"/>
      <c r="W699" s="354"/>
      <c r="X699" s="354"/>
      <c r="Y699" s="354"/>
      <c r="Z699" s="353"/>
      <c r="AA699" s="353"/>
      <c r="AB699" s="836"/>
      <c r="AC699" s="836"/>
      <c r="AD699" s="836"/>
      <c r="AE699" s="838"/>
    </row>
    <row r="700" spans="1:31" ht="16.5" customHeight="1">
      <c r="A700" s="347">
        <v>5834726</v>
      </c>
      <c r="B700" s="347" t="s">
        <v>6265</v>
      </c>
      <c r="C700" s="347"/>
      <c r="D700" s="348"/>
      <c r="E700" s="348"/>
      <c r="F700" s="348"/>
      <c r="G700" s="348"/>
      <c r="H700" s="358"/>
      <c r="I700" s="352"/>
      <c r="J700" s="353"/>
      <c r="K700" s="538"/>
      <c r="L700" s="487"/>
      <c r="M700" s="487"/>
      <c r="N700" s="354"/>
      <c r="O700" s="354"/>
      <c r="P700" s="354"/>
      <c r="Q700" s="354"/>
      <c r="R700" s="354"/>
      <c r="S700" s="354"/>
      <c r="T700" s="354"/>
      <c r="U700" s="354"/>
      <c r="V700" s="354"/>
      <c r="W700" s="354"/>
      <c r="X700" s="354"/>
      <c r="Y700" s="354"/>
      <c r="Z700" s="353"/>
      <c r="AA700" s="353"/>
      <c r="AB700" s="836"/>
      <c r="AC700" s="836"/>
      <c r="AD700" s="836"/>
      <c r="AE700" s="838"/>
    </row>
    <row r="701" spans="1:31" ht="16.5" customHeight="1">
      <c r="A701" s="347">
        <v>63891907</v>
      </c>
      <c r="B701" s="347" t="s">
        <v>6266</v>
      </c>
      <c r="C701" s="347"/>
      <c r="D701" s="348"/>
      <c r="E701" s="348"/>
      <c r="F701" s="348"/>
      <c r="G701" s="348"/>
      <c r="H701" s="358"/>
      <c r="I701" s="352"/>
      <c r="J701" s="353"/>
      <c r="K701" s="538"/>
      <c r="L701" s="487"/>
      <c r="M701" s="487"/>
      <c r="N701" s="354"/>
      <c r="O701" s="354"/>
      <c r="P701" s="354"/>
      <c r="Q701" s="354"/>
      <c r="R701" s="354"/>
      <c r="S701" s="354"/>
      <c r="T701" s="354"/>
      <c r="U701" s="354"/>
      <c r="V701" s="354"/>
      <c r="W701" s="354"/>
      <c r="X701" s="354"/>
      <c r="Y701" s="354"/>
      <c r="Z701" s="353"/>
      <c r="AA701" s="353"/>
      <c r="AB701" s="836"/>
      <c r="AC701" s="836"/>
      <c r="AD701" s="836"/>
      <c r="AE701" s="838"/>
    </row>
    <row r="702" spans="1:31" ht="16.5" customHeight="1">
      <c r="A702" s="347">
        <v>90170531</v>
      </c>
      <c r="B702" s="347" t="s">
        <v>6267</v>
      </c>
      <c r="C702" s="347"/>
      <c r="D702" s="348"/>
      <c r="E702" s="348"/>
      <c r="F702" s="348"/>
      <c r="G702" s="348"/>
      <c r="H702" s="358"/>
      <c r="I702" s="352"/>
      <c r="J702" s="353"/>
      <c r="K702" s="538"/>
      <c r="L702" s="487"/>
      <c r="M702" s="487"/>
      <c r="N702" s="354"/>
      <c r="O702" s="354"/>
      <c r="P702" s="354"/>
      <c r="Q702" s="354"/>
      <c r="R702" s="354"/>
      <c r="S702" s="354"/>
      <c r="T702" s="354"/>
      <c r="U702" s="354"/>
      <c r="V702" s="354"/>
      <c r="W702" s="354"/>
      <c r="X702" s="354"/>
      <c r="Y702" s="354"/>
      <c r="Z702" s="353"/>
      <c r="AA702" s="353"/>
      <c r="AB702" s="836"/>
      <c r="AC702" s="836"/>
      <c r="AD702" s="836"/>
      <c r="AE702" s="838"/>
    </row>
    <row r="703" spans="1:31" ht="16.5" customHeight="1">
      <c r="A703" s="347">
        <v>100005691</v>
      </c>
      <c r="B703" s="347" t="s">
        <v>5990</v>
      </c>
      <c r="C703" s="347"/>
      <c r="D703" s="348"/>
      <c r="E703" s="348"/>
      <c r="F703" s="348"/>
      <c r="G703" s="348"/>
      <c r="H703" s="358"/>
      <c r="I703" s="352"/>
      <c r="J703" s="353"/>
      <c r="K703" s="538"/>
      <c r="L703" s="487"/>
      <c r="M703" s="487"/>
      <c r="N703" s="354"/>
      <c r="O703" s="354"/>
      <c r="P703" s="354"/>
      <c r="Q703" s="354"/>
      <c r="R703" s="354"/>
      <c r="S703" s="354"/>
      <c r="T703" s="354"/>
      <c r="U703" s="354"/>
      <c r="V703" s="354"/>
      <c r="W703" s="354"/>
      <c r="X703" s="354"/>
      <c r="Y703" s="354"/>
      <c r="Z703" s="353"/>
      <c r="AA703" s="353"/>
      <c r="AB703" s="836"/>
      <c r="AC703" s="836"/>
      <c r="AD703" s="836"/>
      <c r="AE703" s="838"/>
    </row>
    <row r="704" spans="1:31" ht="16.5" customHeight="1">
      <c r="A704" s="347">
        <v>100005992</v>
      </c>
      <c r="B704" s="347" t="s">
        <v>6268</v>
      </c>
      <c r="C704" s="347"/>
      <c r="D704" s="348"/>
      <c r="E704" s="348"/>
      <c r="F704" s="348"/>
      <c r="G704" s="348"/>
      <c r="H704" s="358"/>
      <c r="I704" s="352"/>
      <c r="J704" s="353"/>
      <c r="K704" s="538"/>
      <c r="L704" s="487"/>
      <c r="M704" s="487"/>
      <c r="N704" s="354"/>
      <c r="O704" s="354"/>
      <c r="P704" s="354"/>
      <c r="Q704" s="354"/>
      <c r="R704" s="354"/>
      <c r="S704" s="354"/>
      <c r="T704" s="354"/>
      <c r="U704" s="354"/>
      <c r="V704" s="354"/>
      <c r="W704" s="354"/>
      <c r="X704" s="354"/>
      <c r="Y704" s="354"/>
      <c r="Z704" s="353"/>
      <c r="AA704" s="353"/>
      <c r="AB704" s="836"/>
      <c r="AC704" s="836"/>
      <c r="AD704" s="836"/>
      <c r="AE704" s="838"/>
    </row>
    <row r="705" spans="1:31" ht="16.5" customHeight="1">
      <c r="A705" s="347">
        <v>2193209</v>
      </c>
      <c r="B705" s="347" t="s">
        <v>6269</v>
      </c>
      <c r="C705" s="347"/>
      <c r="D705" s="348"/>
      <c r="E705" s="348"/>
      <c r="F705" s="348"/>
      <c r="G705" s="348"/>
      <c r="H705" s="358"/>
      <c r="I705" s="352"/>
      <c r="J705" s="353"/>
      <c r="K705" s="538"/>
      <c r="L705" s="487"/>
      <c r="M705" s="487"/>
      <c r="N705" s="354"/>
      <c r="O705" s="354"/>
      <c r="P705" s="354"/>
      <c r="Q705" s="354"/>
      <c r="R705" s="354"/>
      <c r="S705" s="354"/>
      <c r="T705" s="354"/>
      <c r="U705" s="354"/>
      <c r="V705" s="354"/>
      <c r="W705" s="354"/>
      <c r="X705" s="354"/>
      <c r="Y705" s="354"/>
      <c r="Z705" s="353"/>
      <c r="AA705" s="353"/>
      <c r="AB705" s="836"/>
      <c r="AC705" s="836"/>
      <c r="AD705" s="836"/>
      <c r="AE705" s="838"/>
    </row>
    <row r="706" spans="1:31" ht="16.5" customHeight="1">
      <c r="A706" s="347">
        <v>3559606</v>
      </c>
      <c r="B706" s="347" t="s">
        <v>6270</v>
      </c>
      <c r="C706" s="347"/>
      <c r="D706" s="348"/>
      <c r="E706" s="348"/>
      <c r="F706" s="348"/>
      <c r="G706" s="348"/>
      <c r="H706" s="358"/>
      <c r="I706" s="352"/>
      <c r="J706" s="353"/>
      <c r="K706" s="538"/>
      <c r="L706" s="487"/>
      <c r="M706" s="487"/>
      <c r="N706" s="354"/>
      <c r="O706" s="354"/>
      <c r="P706" s="354"/>
      <c r="Q706" s="354"/>
      <c r="R706" s="354"/>
      <c r="S706" s="354"/>
      <c r="T706" s="354"/>
      <c r="U706" s="354"/>
      <c r="V706" s="354"/>
      <c r="W706" s="354"/>
      <c r="X706" s="354"/>
      <c r="Y706" s="354"/>
      <c r="Z706" s="353"/>
      <c r="AA706" s="353"/>
      <c r="AB706" s="836"/>
      <c r="AC706" s="836"/>
      <c r="AD706" s="836"/>
      <c r="AE706" s="838"/>
    </row>
    <row r="707" spans="1:31" ht="16.5" customHeight="1">
      <c r="A707" s="347">
        <v>6980544</v>
      </c>
      <c r="B707" s="347" t="s">
        <v>6271</v>
      </c>
      <c r="C707" s="347"/>
      <c r="D707" s="348"/>
      <c r="E707" s="348"/>
      <c r="F707" s="348"/>
      <c r="G707" s="348"/>
      <c r="H707" s="358"/>
      <c r="I707" s="352"/>
      <c r="J707" s="353"/>
      <c r="K707" s="538"/>
      <c r="L707" s="487"/>
      <c r="M707" s="487"/>
      <c r="N707" s="354"/>
      <c r="O707" s="354"/>
      <c r="P707" s="354"/>
      <c r="Q707" s="354"/>
      <c r="R707" s="354"/>
      <c r="S707" s="354"/>
      <c r="T707" s="354"/>
      <c r="U707" s="354"/>
      <c r="V707" s="354"/>
      <c r="W707" s="354"/>
      <c r="X707" s="354"/>
      <c r="Y707" s="354"/>
      <c r="Z707" s="353"/>
      <c r="AA707" s="353"/>
      <c r="AB707" s="836"/>
      <c r="AC707" s="836"/>
      <c r="AD707" s="836"/>
      <c r="AE707" s="838"/>
    </row>
    <row r="708" spans="1:31" ht="16.5" customHeight="1">
      <c r="A708" s="347">
        <v>100174178</v>
      </c>
      <c r="B708" s="347" t="s">
        <v>6272</v>
      </c>
      <c r="C708" s="347"/>
      <c r="D708" s="348"/>
      <c r="E708" s="348"/>
      <c r="F708" s="348"/>
      <c r="G708" s="348"/>
      <c r="H708" s="358"/>
      <c r="I708" s="352"/>
      <c r="J708" s="353"/>
      <c r="K708" s="538"/>
      <c r="L708" s="487"/>
      <c r="M708" s="487"/>
      <c r="N708" s="354"/>
      <c r="O708" s="354"/>
      <c r="P708" s="354"/>
      <c r="Q708" s="354"/>
      <c r="R708" s="354"/>
      <c r="S708" s="354"/>
      <c r="T708" s="354"/>
      <c r="U708" s="354"/>
      <c r="V708" s="354"/>
      <c r="W708" s="354"/>
      <c r="X708" s="354"/>
      <c r="Y708" s="354"/>
      <c r="Z708" s="353"/>
      <c r="AA708" s="353"/>
      <c r="AB708" s="836"/>
      <c r="AC708" s="836"/>
      <c r="AD708" s="836"/>
      <c r="AE708" s="838"/>
    </row>
    <row r="709" spans="1:31" ht="16.5" customHeight="1">
      <c r="A709" s="347">
        <v>4983466</v>
      </c>
      <c r="B709" s="347" t="s">
        <v>6273</v>
      </c>
      <c r="C709" s="347"/>
      <c r="D709" s="348"/>
      <c r="E709" s="348"/>
      <c r="F709" s="348"/>
      <c r="G709" s="348"/>
      <c r="H709" s="358"/>
      <c r="I709" s="352"/>
      <c r="J709" s="353"/>
      <c r="K709" s="538"/>
      <c r="L709" s="487"/>
      <c r="M709" s="487"/>
      <c r="N709" s="354"/>
      <c r="O709" s="354"/>
      <c r="P709" s="354"/>
      <c r="Q709" s="354"/>
      <c r="R709" s="354"/>
      <c r="S709" s="354"/>
      <c r="T709" s="354"/>
      <c r="U709" s="354"/>
      <c r="V709" s="354"/>
      <c r="W709" s="354"/>
      <c r="X709" s="354"/>
      <c r="Y709" s="354"/>
      <c r="Z709" s="353"/>
      <c r="AA709" s="353"/>
      <c r="AB709" s="836"/>
      <c r="AC709" s="836"/>
      <c r="AD709" s="836"/>
      <c r="AE709" s="838"/>
    </row>
    <row r="710" spans="1:31" ht="16.5" customHeight="1">
      <c r="A710" s="347">
        <v>88788039</v>
      </c>
      <c r="B710" s="347" t="s">
        <v>6274</v>
      </c>
      <c r="C710" s="347"/>
      <c r="D710" s="348"/>
      <c r="E710" s="348"/>
      <c r="F710" s="348"/>
      <c r="G710" s="348"/>
      <c r="H710" s="358"/>
      <c r="I710" s="352"/>
      <c r="J710" s="353"/>
      <c r="K710" s="538"/>
      <c r="L710" s="487"/>
      <c r="M710" s="487"/>
      <c r="N710" s="354"/>
      <c r="O710" s="354"/>
      <c r="P710" s="354"/>
      <c r="Q710" s="354"/>
      <c r="R710" s="354"/>
      <c r="S710" s="354"/>
      <c r="T710" s="354"/>
      <c r="U710" s="354"/>
      <c r="V710" s="354"/>
      <c r="W710" s="354"/>
      <c r="X710" s="354"/>
      <c r="Y710" s="354"/>
      <c r="Z710" s="353"/>
      <c r="AA710" s="353"/>
      <c r="AB710" s="836"/>
      <c r="AC710" s="836"/>
      <c r="AD710" s="836"/>
      <c r="AE710" s="838"/>
    </row>
    <row r="711" spans="1:31" ht="16.5" customHeight="1">
      <c r="A711" s="347">
        <v>64297799</v>
      </c>
      <c r="B711" s="347" t="s">
        <v>6275</v>
      </c>
      <c r="C711" s="347"/>
      <c r="D711" s="348"/>
      <c r="E711" s="348"/>
      <c r="F711" s="348"/>
      <c r="G711" s="348"/>
      <c r="H711" s="358"/>
      <c r="I711" s="352"/>
      <c r="J711" s="353"/>
      <c r="K711" s="538"/>
      <c r="L711" s="487"/>
      <c r="M711" s="487"/>
      <c r="N711" s="354"/>
      <c r="O711" s="354"/>
      <c r="P711" s="354"/>
      <c r="Q711" s="354"/>
      <c r="R711" s="354"/>
      <c r="S711" s="354"/>
      <c r="T711" s="354"/>
      <c r="U711" s="354"/>
      <c r="V711" s="354"/>
      <c r="W711" s="354"/>
      <c r="X711" s="354"/>
      <c r="Y711" s="354"/>
      <c r="Z711" s="353"/>
      <c r="AA711" s="353"/>
      <c r="AB711" s="836"/>
      <c r="AC711" s="836"/>
      <c r="AD711" s="836"/>
      <c r="AE711" s="838"/>
    </row>
    <row r="712" spans="1:31" ht="16.5" customHeight="1">
      <c r="A712" s="347">
        <v>6215685</v>
      </c>
      <c r="B712" s="347" t="s">
        <v>6276</v>
      </c>
      <c r="C712" s="347"/>
      <c r="D712" s="348"/>
      <c r="E712" s="348"/>
      <c r="F712" s="348"/>
      <c r="G712" s="348"/>
      <c r="H712" s="358"/>
      <c r="I712" s="352"/>
      <c r="J712" s="353"/>
      <c r="K712" s="538"/>
      <c r="L712" s="487"/>
      <c r="M712" s="487"/>
      <c r="N712" s="354"/>
      <c r="O712" s="354"/>
      <c r="P712" s="354"/>
      <c r="Q712" s="354"/>
      <c r="R712" s="354"/>
      <c r="S712" s="354"/>
      <c r="T712" s="354"/>
      <c r="U712" s="354"/>
      <c r="V712" s="354"/>
      <c r="W712" s="354"/>
      <c r="X712" s="354"/>
      <c r="Y712" s="354"/>
      <c r="Z712" s="353"/>
      <c r="AA712" s="353"/>
      <c r="AB712" s="836"/>
      <c r="AC712" s="836"/>
      <c r="AD712" s="836"/>
      <c r="AE712" s="838"/>
    </row>
    <row r="713" spans="1:31" ht="16.5" customHeight="1">
      <c r="A713" s="347">
        <v>31370398</v>
      </c>
      <c r="B713" s="347" t="s">
        <v>6277</v>
      </c>
      <c r="C713" s="347"/>
      <c r="D713" s="348"/>
      <c r="E713" s="348"/>
      <c r="F713" s="348"/>
      <c r="G713" s="348"/>
      <c r="H713" s="358"/>
      <c r="I713" s="352"/>
      <c r="J713" s="353"/>
      <c r="K713" s="538"/>
      <c r="L713" s="487"/>
      <c r="M713" s="487"/>
      <c r="N713" s="354"/>
      <c r="O713" s="354"/>
      <c r="P713" s="354"/>
      <c r="Q713" s="354"/>
      <c r="R713" s="354"/>
      <c r="S713" s="354"/>
      <c r="T713" s="354"/>
      <c r="U713" s="354"/>
      <c r="V713" s="354"/>
      <c r="W713" s="354"/>
      <c r="X713" s="354"/>
      <c r="Y713" s="354"/>
      <c r="Z713" s="353"/>
      <c r="AA713" s="353"/>
      <c r="AB713" s="836"/>
      <c r="AC713" s="836"/>
      <c r="AD713" s="836"/>
      <c r="AE713" s="838"/>
    </row>
    <row r="714" spans="1:31" ht="16.5" customHeight="1">
      <c r="A714" s="347">
        <v>47241</v>
      </c>
      <c r="B714" s="347" t="s">
        <v>6278</v>
      </c>
      <c r="C714" s="347"/>
      <c r="D714" s="348"/>
      <c r="E714" s="348"/>
      <c r="F714" s="348"/>
      <c r="G714" s="348"/>
      <c r="H714" s="358"/>
      <c r="I714" s="352"/>
      <c r="J714" s="353"/>
      <c r="K714" s="538"/>
      <c r="L714" s="487"/>
      <c r="M714" s="487"/>
      <c r="N714" s="354"/>
      <c r="O714" s="354"/>
      <c r="P714" s="354"/>
      <c r="Q714" s="354"/>
      <c r="R714" s="354"/>
      <c r="S714" s="354"/>
      <c r="T714" s="354"/>
      <c r="U714" s="354"/>
      <c r="V714" s="354"/>
      <c r="W714" s="354"/>
      <c r="X714" s="354"/>
      <c r="Y714" s="354"/>
      <c r="Z714" s="353"/>
      <c r="AA714" s="353"/>
      <c r="AB714" s="836"/>
      <c r="AC714" s="836"/>
      <c r="AD714" s="836"/>
      <c r="AE714" s="838"/>
    </row>
    <row r="715" spans="1:31" ht="16.5" customHeight="1">
      <c r="A715" s="347">
        <v>94748894</v>
      </c>
      <c r="B715" s="347" t="s">
        <v>6279</v>
      </c>
      <c r="C715" s="347"/>
      <c r="D715" s="348"/>
      <c r="E715" s="348"/>
      <c r="F715" s="348"/>
      <c r="G715" s="348"/>
      <c r="H715" s="358"/>
      <c r="I715" s="352"/>
      <c r="J715" s="353"/>
      <c r="K715" s="538"/>
      <c r="L715" s="487"/>
      <c r="M715" s="487"/>
      <c r="N715" s="354"/>
      <c r="O715" s="354"/>
      <c r="P715" s="354"/>
      <c r="Q715" s="354"/>
      <c r="R715" s="354"/>
      <c r="S715" s="354"/>
      <c r="T715" s="354"/>
      <c r="U715" s="354"/>
      <c r="V715" s="354"/>
      <c r="W715" s="354"/>
      <c r="X715" s="354"/>
      <c r="Y715" s="354"/>
      <c r="Z715" s="353"/>
      <c r="AA715" s="353"/>
      <c r="AB715" s="836"/>
      <c r="AC715" s="836"/>
      <c r="AD715" s="836"/>
      <c r="AE715" s="838"/>
    </row>
    <row r="716" spans="1:31" ht="16.5" customHeight="1">
      <c r="A716" s="347">
        <v>5023106</v>
      </c>
      <c r="B716" s="347" t="s">
        <v>6280</v>
      </c>
      <c r="C716" s="347"/>
      <c r="D716" s="348"/>
      <c r="E716" s="348"/>
      <c r="F716" s="348"/>
      <c r="G716" s="348"/>
      <c r="H716" s="358"/>
      <c r="I716" s="352"/>
      <c r="J716" s="353"/>
      <c r="K716" s="538"/>
      <c r="L716" s="487"/>
      <c r="M716" s="487"/>
      <c r="N716" s="354"/>
      <c r="O716" s="354"/>
      <c r="P716" s="354"/>
      <c r="Q716" s="354"/>
      <c r="R716" s="354"/>
      <c r="S716" s="354"/>
      <c r="T716" s="354"/>
      <c r="U716" s="354"/>
      <c r="V716" s="354"/>
      <c r="W716" s="354"/>
      <c r="X716" s="354"/>
      <c r="Y716" s="354"/>
      <c r="Z716" s="353"/>
      <c r="AA716" s="353"/>
      <c r="AB716" s="836"/>
      <c r="AC716" s="836"/>
      <c r="AD716" s="836"/>
      <c r="AE716" s="838"/>
    </row>
    <row r="717" spans="1:31" ht="16.5" customHeight="1">
      <c r="A717" s="347">
        <v>19771591</v>
      </c>
      <c r="B717" s="347" t="s">
        <v>6281</v>
      </c>
      <c r="C717" s="347"/>
      <c r="D717" s="348"/>
      <c r="E717" s="348"/>
      <c r="F717" s="348"/>
      <c r="G717" s="348"/>
      <c r="H717" s="358"/>
      <c r="I717" s="352"/>
      <c r="J717" s="353"/>
      <c r="K717" s="538"/>
      <c r="L717" s="487"/>
      <c r="M717" s="487"/>
      <c r="N717" s="354"/>
      <c r="O717" s="354"/>
      <c r="P717" s="354"/>
      <c r="Q717" s="354"/>
      <c r="R717" s="354"/>
      <c r="S717" s="354"/>
      <c r="T717" s="354"/>
      <c r="U717" s="354"/>
      <c r="V717" s="354"/>
      <c r="W717" s="354"/>
      <c r="X717" s="354"/>
      <c r="Y717" s="354"/>
      <c r="Z717" s="353"/>
      <c r="AA717" s="353"/>
      <c r="AB717" s="836"/>
      <c r="AC717" s="836"/>
      <c r="AD717" s="836"/>
      <c r="AE717" s="838"/>
    </row>
    <row r="718" spans="1:31" ht="16.5" customHeight="1">
      <c r="A718" s="347">
        <v>28643195</v>
      </c>
      <c r="B718" s="347" t="s">
        <v>6282</v>
      </c>
      <c r="C718" s="347"/>
      <c r="D718" s="348"/>
      <c r="E718" s="348"/>
      <c r="F718" s="348"/>
      <c r="G718" s="348"/>
      <c r="H718" s="358"/>
      <c r="I718" s="352"/>
      <c r="J718" s="353"/>
      <c r="K718" s="538"/>
      <c r="L718" s="487"/>
      <c r="M718" s="487"/>
      <c r="N718" s="354"/>
      <c r="O718" s="354"/>
      <c r="P718" s="354"/>
      <c r="Q718" s="354"/>
      <c r="R718" s="354"/>
      <c r="S718" s="354"/>
      <c r="T718" s="354"/>
      <c r="U718" s="354"/>
      <c r="V718" s="354"/>
      <c r="W718" s="354"/>
      <c r="X718" s="354"/>
      <c r="Y718" s="354"/>
      <c r="Z718" s="353"/>
      <c r="AA718" s="353"/>
      <c r="AB718" s="836"/>
      <c r="AC718" s="836"/>
      <c r="AD718" s="836"/>
      <c r="AE718" s="838"/>
    </row>
    <row r="719" spans="1:31" ht="16.5" customHeight="1">
      <c r="A719" s="347">
        <v>18404566</v>
      </c>
      <c r="B719" s="347" t="s">
        <v>6283</v>
      </c>
      <c r="C719" s="347"/>
      <c r="D719" s="348"/>
      <c r="E719" s="348"/>
      <c r="F719" s="348"/>
      <c r="G719" s="348"/>
      <c r="H719" s="358"/>
      <c r="I719" s="352"/>
      <c r="J719" s="353"/>
      <c r="K719" s="538"/>
      <c r="L719" s="487"/>
      <c r="M719" s="487"/>
      <c r="N719" s="354"/>
      <c r="O719" s="354"/>
      <c r="P719" s="354"/>
      <c r="Q719" s="354"/>
      <c r="R719" s="354"/>
      <c r="S719" s="354"/>
      <c r="T719" s="354"/>
      <c r="U719" s="354"/>
      <c r="V719" s="354"/>
      <c r="W719" s="354"/>
      <c r="X719" s="354"/>
      <c r="Y719" s="354"/>
      <c r="Z719" s="353"/>
      <c r="AA719" s="353"/>
      <c r="AB719" s="836"/>
      <c r="AC719" s="836"/>
      <c r="AD719" s="836"/>
      <c r="AE719" s="838"/>
    </row>
    <row r="720" spans="1:31" ht="16.5" customHeight="1">
      <c r="A720" s="347">
        <v>63848402</v>
      </c>
      <c r="B720" s="347" t="s">
        <v>6284</v>
      </c>
      <c r="C720" s="347"/>
      <c r="D720" s="348"/>
      <c r="E720" s="348"/>
      <c r="F720" s="348"/>
      <c r="G720" s="348"/>
      <c r="H720" s="358"/>
      <c r="I720" s="352"/>
      <c r="J720" s="353"/>
      <c r="K720" s="538"/>
      <c r="L720" s="487"/>
      <c r="M720" s="487"/>
      <c r="N720" s="354"/>
      <c r="O720" s="354"/>
      <c r="P720" s="354"/>
      <c r="Q720" s="354"/>
      <c r="R720" s="354"/>
      <c r="S720" s="354"/>
      <c r="T720" s="354"/>
      <c r="U720" s="354"/>
      <c r="V720" s="354"/>
      <c r="W720" s="354"/>
      <c r="X720" s="354"/>
      <c r="Y720" s="354"/>
      <c r="Z720" s="353"/>
      <c r="AA720" s="353"/>
      <c r="AB720" s="836"/>
      <c r="AC720" s="836"/>
      <c r="AD720" s="836"/>
      <c r="AE720" s="838"/>
    </row>
    <row r="721" spans="1:31" ht="16.5" customHeight="1">
      <c r="A721" s="347">
        <v>67167981</v>
      </c>
      <c r="B721" s="347" t="s">
        <v>6285</v>
      </c>
      <c r="C721" s="347"/>
      <c r="D721" s="348"/>
      <c r="E721" s="348"/>
      <c r="F721" s="348"/>
      <c r="G721" s="348"/>
      <c r="H721" s="358"/>
      <c r="I721" s="352"/>
      <c r="J721" s="353"/>
      <c r="K721" s="538"/>
      <c r="L721" s="487"/>
      <c r="M721" s="487"/>
      <c r="N721" s="354"/>
      <c r="O721" s="354"/>
      <c r="P721" s="354"/>
      <c r="Q721" s="354"/>
      <c r="R721" s="354"/>
      <c r="S721" s="354"/>
      <c r="T721" s="354"/>
      <c r="U721" s="354"/>
      <c r="V721" s="354"/>
      <c r="W721" s="354"/>
      <c r="X721" s="354"/>
      <c r="Y721" s="354"/>
      <c r="Z721" s="353"/>
      <c r="AA721" s="353"/>
      <c r="AB721" s="836"/>
      <c r="AC721" s="836"/>
      <c r="AD721" s="836"/>
      <c r="AE721" s="838"/>
    </row>
    <row r="722" spans="1:31" ht="16.5" customHeight="1">
      <c r="A722" s="347">
        <v>25405614</v>
      </c>
      <c r="B722" s="347" t="s">
        <v>6286</v>
      </c>
      <c r="C722" s="347"/>
      <c r="D722" s="348"/>
      <c r="E722" s="348"/>
      <c r="F722" s="348"/>
      <c r="G722" s="348"/>
      <c r="H722" s="358"/>
      <c r="I722" s="352"/>
      <c r="J722" s="353"/>
      <c r="K722" s="538"/>
      <c r="L722" s="487"/>
      <c r="M722" s="487"/>
      <c r="N722" s="354"/>
      <c r="O722" s="354"/>
      <c r="P722" s="354"/>
      <c r="Q722" s="354"/>
      <c r="R722" s="354"/>
      <c r="S722" s="354"/>
      <c r="T722" s="354"/>
      <c r="U722" s="354"/>
      <c r="V722" s="354"/>
      <c r="W722" s="354"/>
      <c r="X722" s="354"/>
      <c r="Y722" s="354"/>
      <c r="Z722" s="353"/>
      <c r="AA722" s="353"/>
      <c r="AB722" s="836"/>
      <c r="AC722" s="836"/>
      <c r="AD722" s="836"/>
      <c r="AE722" s="838"/>
    </row>
    <row r="723" spans="1:31" ht="16.5" customHeight="1">
      <c r="A723" s="347">
        <v>3041217</v>
      </c>
      <c r="B723" s="347" t="s">
        <v>6287</v>
      </c>
      <c r="C723" s="347"/>
      <c r="D723" s="348"/>
      <c r="E723" s="348"/>
      <c r="F723" s="348"/>
      <c r="G723" s="348"/>
      <c r="H723" s="358"/>
      <c r="I723" s="352"/>
      <c r="J723" s="353"/>
      <c r="K723" s="538"/>
      <c r="L723" s="487"/>
      <c r="M723" s="487"/>
      <c r="N723" s="354"/>
      <c r="O723" s="354"/>
      <c r="P723" s="354"/>
      <c r="Q723" s="354"/>
      <c r="R723" s="354"/>
      <c r="S723" s="354"/>
      <c r="T723" s="354"/>
      <c r="U723" s="354"/>
      <c r="V723" s="354"/>
      <c r="W723" s="354"/>
      <c r="X723" s="354"/>
      <c r="Y723" s="354"/>
      <c r="Z723" s="353"/>
      <c r="AA723" s="353"/>
      <c r="AB723" s="836"/>
      <c r="AC723" s="836"/>
      <c r="AD723" s="836"/>
      <c r="AE723" s="838"/>
    </row>
    <row r="724" spans="1:31" ht="16.5" customHeight="1">
      <c r="A724" s="347">
        <v>16572521</v>
      </c>
      <c r="B724" s="347" t="s">
        <v>6288</v>
      </c>
      <c r="C724" s="347"/>
      <c r="D724" s="348"/>
      <c r="E724" s="348"/>
      <c r="F724" s="348"/>
      <c r="G724" s="348"/>
      <c r="H724" s="358"/>
      <c r="I724" s="352"/>
      <c r="J724" s="353"/>
      <c r="K724" s="538"/>
      <c r="L724" s="487"/>
      <c r="M724" s="487"/>
      <c r="N724" s="354"/>
      <c r="O724" s="354"/>
      <c r="P724" s="354"/>
      <c r="Q724" s="354"/>
      <c r="R724" s="354"/>
      <c r="S724" s="354"/>
      <c r="T724" s="354"/>
      <c r="U724" s="354"/>
      <c r="V724" s="354"/>
      <c r="W724" s="354"/>
      <c r="X724" s="354"/>
      <c r="Y724" s="354"/>
      <c r="Z724" s="353"/>
      <c r="AA724" s="353"/>
      <c r="AB724" s="836"/>
      <c r="AC724" s="836"/>
      <c r="AD724" s="836"/>
      <c r="AE724" s="838"/>
    </row>
    <row r="725" spans="1:31" ht="16.5" customHeight="1">
      <c r="A725" s="347">
        <v>6061204</v>
      </c>
      <c r="B725" s="347" t="s">
        <v>6289</v>
      </c>
      <c r="C725" s="347"/>
      <c r="D725" s="348"/>
      <c r="E725" s="348"/>
      <c r="F725" s="348"/>
      <c r="G725" s="348"/>
      <c r="H725" s="358"/>
      <c r="I725" s="352"/>
      <c r="J725" s="353"/>
      <c r="K725" s="538"/>
      <c r="L725" s="487"/>
      <c r="M725" s="487"/>
      <c r="N725" s="354"/>
      <c r="O725" s="354"/>
      <c r="P725" s="354"/>
      <c r="Q725" s="354"/>
      <c r="R725" s="354"/>
      <c r="S725" s="354"/>
      <c r="T725" s="354"/>
      <c r="U725" s="354"/>
      <c r="V725" s="354"/>
      <c r="W725" s="354"/>
      <c r="X725" s="354"/>
      <c r="Y725" s="354"/>
      <c r="Z725" s="353"/>
      <c r="AA725" s="353"/>
      <c r="AB725" s="836"/>
      <c r="AC725" s="836"/>
      <c r="AD725" s="836"/>
      <c r="AE725" s="838"/>
    </row>
    <row r="726" spans="1:31" ht="16.5" customHeight="1">
      <c r="A726" s="347">
        <v>41302688</v>
      </c>
      <c r="B726" s="347" t="s">
        <v>6290</v>
      </c>
      <c r="C726" s="347"/>
      <c r="D726" s="348"/>
      <c r="E726" s="348"/>
      <c r="F726" s="348"/>
      <c r="G726" s="348"/>
      <c r="H726" s="358"/>
      <c r="I726" s="352"/>
      <c r="J726" s="353"/>
      <c r="K726" s="538"/>
      <c r="L726" s="487"/>
      <c r="M726" s="487"/>
      <c r="N726" s="354"/>
      <c r="O726" s="354"/>
      <c r="P726" s="354"/>
      <c r="Q726" s="354"/>
      <c r="R726" s="354"/>
      <c r="S726" s="354"/>
      <c r="T726" s="354"/>
      <c r="U726" s="354"/>
      <c r="V726" s="354"/>
      <c r="W726" s="354"/>
      <c r="X726" s="354"/>
      <c r="Y726" s="354"/>
      <c r="Z726" s="353"/>
      <c r="AA726" s="353"/>
      <c r="AB726" s="836"/>
      <c r="AC726" s="836"/>
      <c r="AD726" s="836"/>
      <c r="AE726" s="838"/>
    </row>
    <row r="727" spans="1:31" ht="16.5" customHeight="1">
      <c r="A727" s="347">
        <v>36731677</v>
      </c>
      <c r="B727" s="347" t="s">
        <v>6291</v>
      </c>
      <c r="C727" s="347"/>
      <c r="D727" s="348"/>
      <c r="E727" s="348"/>
      <c r="F727" s="348"/>
      <c r="G727" s="348"/>
      <c r="H727" s="358"/>
      <c r="I727" s="352"/>
      <c r="J727" s="353"/>
      <c r="K727" s="538"/>
      <c r="L727" s="487"/>
      <c r="M727" s="487"/>
      <c r="N727" s="354"/>
      <c r="O727" s="354"/>
      <c r="P727" s="354"/>
      <c r="Q727" s="354"/>
      <c r="R727" s="354"/>
      <c r="S727" s="354"/>
      <c r="T727" s="354"/>
      <c r="U727" s="354"/>
      <c r="V727" s="354"/>
      <c r="W727" s="354"/>
      <c r="X727" s="354"/>
      <c r="Y727" s="354"/>
      <c r="Z727" s="353"/>
      <c r="AA727" s="353"/>
      <c r="AB727" s="836"/>
      <c r="AC727" s="836"/>
      <c r="AD727" s="836"/>
      <c r="AE727" s="838"/>
    </row>
    <row r="728" spans="1:31" ht="16.5" customHeight="1">
      <c r="A728" s="347">
        <v>15130776</v>
      </c>
      <c r="B728" s="347" t="s">
        <v>6292</v>
      </c>
      <c r="C728" s="347"/>
      <c r="D728" s="348"/>
      <c r="E728" s="348"/>
      <c r="F728" s="348"/>
      <c r="G728" s="348"/>
      <c r="H728" s="358"/>
      <c r="I728" s="352"/>
      <c r="J728" s="353"/>
      <c r="K728" s="538"/>
      <c r="L728" s="487"/>
      <c r="M728" s="487"/>
      <c r="N728" s="354"/>
      <c r="O728" s="354"/>
      <c r="P728" s="354"/>
      <c r="Q728" s="354"/>
      <c r="R728" s="354"/>
      <c r="S728" s="354"/>
      <c r="T728" s="354"/>
      <c r="U728" s="354"/>
      <c r="V728" s="354"/>
      <c r="W728" s="354"/>
      <c r="X728" s="354"/>
      <c r="Y728" s="354"/>
      <c r="Z728" s="353"/>
      <c r="AA728" s="353"/>
      <c r="AB728" s="836"/>
      <c r="AC728" s="836"/>
      <c r="AD728" s="836"/>
      <c r="AE728" s="838"/>
    </row>
    <row r="729" spans="1:31" ht="16.5" customHeight="1">
      <c r="A729" s="347">
        <v>94443108</v>
      </c>
      <c r="B729" s="347" t="s">
        <v>6293</v>
      </c>
      <c r="C729" s="347"/>
      <c r="D729" s="348"/>
      <c r="E729" s="348"/>
      <c r="F729" s="348"/>
      <c r="G729" s="348"/>
      <c r="H729" s="358"/>
      <c r="I729" s="352"/>
      <c r="J729" s="353"/>
      <c r="K729" s="538"/>
      <c r="L729" s="487"/>
      <c r="M729" s="487"/>
      <c r="N729" s="354"/>
      <c r="O729" s="354"/>
      <c r="P729" s="354"/>
      <c r="Q729" s="354"/>
      <c r="R729" s="354"/>
      <c r="S729" s="354"/>
      <c r="T729" s="354"/>
      <c r="U729" s="354"/>
      <c r="V729" s="354"/>
      <c r="W729" s="354"/>
      <c r="X729" s="354"/>
      <c r="Y729" s="354"/>
      <c r="Z729" s="353"/>
      <c r="AA729" s="353"/>
      <c r="AB729" s="836"/>
      <c r="AC729" s="836"/>
      <c r="AD729" s="836"/>
      <c r="AE729" s="838"/>
    </row>
    <row r="730" spans="1:31" ht="16.5" customHeight="1">
      <c r="A730" s="347">
        <v>41156944</v>
      </c>
      <c r="B730" s="347" t="s">
        <v>6294</v>
      </c>
      <c r="C730" s="347"/>
      <c r="D730" s="348"/>
      <c r="E730" s="348"/>
      <c r="F730" s="348"/>
      <c r="G730" s="348"/>
      <c r="H730" s="358"/>
      <c r="I730" s="352"/>
      <c r="J730" s="353"/>
      <c r="K730" s="538"/>
      <c r="L730" s="487"/>
      <c r="M730" s="487"/>
      <c r="N730" s="354"/>
      <c r="O730" s="354"/>
      <c r="P730" s="354"/>
      <c r="Q730" s="354"/>
      <c r="R730" s="354"/>
      <c r="S730" s="354"/>
      <c r="T730" s="354"/>
      <c r="U730" s="354"/>
      <c r="V730" s="354"/>
      <c r="W730" s="354"/>
      <c r="X730" s="354"/>
      <c r="Y730" s="354"/>
      <c r="Z730" s="353"/>
      <c r="AA730" s="353"/>
      <c r="AB730" s="836"/>
      <c r="AC730" s="836"/>
      <c r="AD730" s="836"/>
      <c r="AE730" s="838"/>
    </row>
    <row r="731" spans="1:31" ht="16.5" customHeight="1">
      <c r="A731" s="347">
        <v>81090615</v>
      </c>
      <c r="B731" s="347" t="s">
        <v>6295</v>
      </c>
      <c r="C731" s="347"/>
      <c r="D731" s="348"/>
      <c r="E731" s="348"/>
      <c r="F731" s="348"/>
      <c r="G731" s="348"/>
      <c r="H731" s="358"/>
      <c r="I731" s="352"/>
      <c r="J731" s="353"/>
      <c r="K731" s="538"/>
      <c r="L731" s="487"/>
      <c r="M731" s="487"/>
      <c r="N731" s="354"/>
      <c r="O731" s="354"/>
      <c r="P731" s="354"/>
      <c r="Q731" s="354"/>
      <c r="R731" s="354"/>
      <c r="S731" s="354"/>
      <c r="T731" s="354"/>
      <c r="U731" s="354"/>
      <c r="V731" s="354"/>
      <c r="W731" s="354"/>
      <c r="X731" s="354"/>
      <c r="Y731" s="354"/>
      <c r="Z731" s="353"/>
      <c r="AA731" s="353"/>
      <c r="AB731" s="836"/>
      <c r="AC731" s="836"/>
      <c r="AD731" s="836"/>
      <c r="AE731" s="838"/>
    </row>
    <row r="732" spans="1:31" ht="16.5" customHeight="1">
      <c r="A732" s="347">
        <v>100005098</v>
      </c>
      <c r="B732" s="347" t="s">
        <v>5990</v>
      </c>
      <c r="C732" s="347"/>
      <c r="D732" s="348"/>
      <c r="E732" s="348"/>
      <c r="F732" s="348"/>
      <c r="G732" s="348"/>
      <c r="H732" s="358"/>
      <c r="I732" s="352"/>
      <c r="J732" s="353"/>
      <c r="K732" s="538"/>
      <c r="L732" s="487"/>
      <c r="M732" s="487"/>
      <c r="N732" s="354"/>
      <c r="O732" s="354"/>
      <c r="P732" s="354"/>
      <c r="Q732" s="354"/>
      <c r="R732" s="354"/>
      <c r="S732" s="354"/>
      <c r="T732" s="354"/>
      <c r="U732" s="354"/>
      <c r="V732" s="354"/>
      <c r="W732" s="354"/>
      <c r="X732" s="354"/>
      <c r="Y732" s="354"/>
      <c r="Z732" s="353"/>
      <c r="AA732" s="353"/>
      <c r="AB732" s="836"/>
      <c r="AC732" s="836"/>
      <c r="AD732" s="836"/>
      <c r="AE732" s="838"/>
    </row>
    <row r="733" spans="1:31" ht="16.5" customHeight="1">
      <c r="A733" s="347">
        <v>33129099</v>
      </c>
      <c r="B733" s="347" t="s">
        <v>6296</v>
      </c>
      <c r="C733" s="347"/>
      <c r="D733" s="348"/>
      <c r="E733" s="348"/>
      <c r="F733" s="348"/>
      <c r="G733" s="348"/>
      <c r="H733" s="358"/>
      <c r="I733" s="352"/>
      <c r="J733" s="353"/>
      <c r="K733" s="538"/>
      <c r="L733" s="487"/>
      <c r="M733" s="487"/>
      <c r="N733" s="354"/>
      <c r="O733" s="354"/>
      <c r="P733" s="354"/>
      <c r="Q733" s="354"/>
      <c r="R733" s="354"/>
      <c r="S733" s="354"/>
      <c r="T733" s="354"/>
      <c r="U733" s="354"/>
      <c r="V733" s="354"/>
      <c r="W733" s="354"/>
      <c r="X733" s="354"/>
      <c r="Y733" s="354"/>
      <c r="Z733" s="353"/>
      <c r="AA733" s="353"/>
      <c r="AB733" s="836"/>
      <c r="AC733" s="836"/>
      <c r="AD733" s="836"/>
      <c r="AE733" s="838"/>
    </row>
    <row r="734" spans="1:31" ht="16.5" customHeight="1">
      <c r="A734" s="347">
        <v>36066264</v>
      </c>
      <c r="B734" s="347" t="s">
        <v>6297</v>
      </c>
      <c r="C734" s="347"/>
      <c r="D734" s="348"/>
      <c r="E734" s="348"/>
      <c r="F734" s="348"/>
      <c r="G734" s="348"/>
      <c r="H734" s="358"/>
      <c r="I734" s="352"/>
      <c r="J734" s="353"/>
      <c r="K734" s="538"/>
      <c r="L734" s="487"/>
      <c r="M734" s="487"/>
      <c r="N734" s="354"/>
      <c r="O734" s="354"/>
      <c r="P734" s="354"/>
      <c r="Q734" s="354"/>
      <c r="R734" s="354"/>
      <c r="S734" s="354"/>
      <c r="T734" s="354"/>
      <c r="U734" s="354"/>
      <c r="V734" s="354"/>
      <c r="W734" s="354"/>
      <c r="X734" s="354"/>
      <c r="Y734" s="354"/>
      <c r="Z734" s="353"/>
      <c r="AA734" s="353"/>
      <c r="AB734" s="836"/>
      <c r="AC734" s="836"/>
      <c r="AD734" s="836"/>
      <c r="AE734" s="838"/>
    </row>
    <row r="735" spans="1:31" ht="16.5" customHeight="1">
      <c r="A735" s="347">
        <v>21211057</v>
      </c>
      <c r="B735" s="347" t="s">
        <v>6298</v>
      </c>
      <c r="C735" s="347"/>
      <c r="D735" s="348"/>
      <c r="E735" s="348"/>
      <c r="F735" s="348"/>
      <c r="G735" s="348"/>
      <c r="H735" s="358"/>
      <c r="I735" s="352"/>
      <c r="J735" s="353"/>
      <c r="K735" s="538"/>
      <c r="L735" s="487"/>
      <c r="M735" s="487"/>
      <c r="N735" s="354"/>
      <c r="O735" s="354"/>
      <c r="P735" s="354"/>
      <c r="Q735" s="354"/>
      <c r="R735" s="354"/>
      <c r="S735" s="354"/>
      <c r="T735" s="354"/>
      <c r="U735" s="354"/>
      <c r="V735" s="354"/>
      <c r="W735" s="354"/>
      <c r="X735" s="354"/>
      <c r="Y735" s="354"/>
      <c r="Z735" s="353"/>
      <c r="AA735" s="353"/>
      <c r="AB735" s="836"/>
      <c r="AC735" s="836"/>
      <c r="AD735" s="836"/>
      <c r="AE735" s="838"/>
    </row>
    <row r="736" spans="1:31" ht="16.5" customHeight="1">
      <c r="A736" s="347">
        <v>5385752</v>
      </c>
      <c r="B736" s="347" t="s">
        <v>6299</v>
      </c>
      <c r="C736" s="347"/>
      <c r="D736" s="348"/>
      <c r="E736" s="348"/>
      <c r="F736" s="348"/>
      <c r="G736" s="348"/>
      <c r="H736" s="358"/>
      <c r="I736" s="352"/>
      <c r="J736" s="353"/>
      <c r="K736" s="538"/>
      <c r="L736" s="487"/>
      <c r="M736" s="487"/>
      <c r="N736" s="354"/>
      <c r="O736" s="354"/>
      <c r="P736" s="354"/>
      <c r="Q736" s="354"/>
      <c r="R736" s="354"/>
      <c r="S736" s="354"/>
      <c r="T736" s="354"/>
      <c r="U736" s="354"/>
      <c r="V736" s="354"/>
      <c r="W736" s="354"/>
      <c r="X736" s="354"/>
      <c r="Y736" s="354"/>
      <c r="Z736" s="353"/>
      <c r="AA736" s="353"/>
      <c r="AB736" s="836"/>
      <c r="AC736" s="836"/>
      <c r="AD736" s="836"/>
      <c r="AE736" s="838"/>
    </row>
    <row r="737" spans="1:31" ht="16.5" customHeight="1">
      <c r="A737" s="347">
        <v>6201784</v>
      </c>
      <c r="B737" s="347" t="s">
        <v>6300</v>
      </c>
      <c r="C737" s="347"/>
      <c r="D737" s="348"/>
      <c r="E737" s="348"/>
      <c r="F737" s="348"/>
      <c r="G737" s="348"/>
      <c r="H737" s="358"/>
      <c r="I737" s="352"/>
      <c r="J737" s="353"/>
      <c r="K737" s="538"/>
      <c r="L737" s="487"/>
      <c r="M737" s="487"/>
      <c r="N737" s="354"/>
      <c r="O737" s="354"/>
      <c r="P737" s="354"/>
      <c r="Q737" s="354"/>
      <c r="R737" s="354"/>
      <c r="S737" s="354"/>
      <c r="T737" s="354"/>
      <c r="U737" s="354"/>
      <c r="V737" s="354"/>
      <c r="W737" s="354"/>
      <c r="X737" s="354"/>
      <c r="Y737" s="354"/>
      <c r="Z737" s="353"/>
      <c r="AA737" s="353"/>
      <c r="AB737" s="836"/>
      <c r="AC737" s="836"/>
      <c r="AD737" s="836"/>
      <c r="AE737" s="838"/>
    </row>
    <row r="738" spans="1:31" ht="16.5" customHeight="1">
      <c r="A738" s="347">
        <v>33888892</v>
      </c>
      <c r="B738" s="347" t="s">
        <v>6301</v>
      </c>
      <c r="C738" s="347"/>
      <c r="D738" s="348"/>
      <c r="E738" s="348"/>
      <c r="F738" s="348"/>
      <c r="G738" s="348"/>
      <c r="H738" s="358"/>
      <c r="I738" s="352"/>
      <c r="J738" s="353"/>
      <c r="K738" s="538"/>
      <c r="L738" s="487"/>
      <c r="M738" s="487"/>
      <c r="N738" s="354"/>
      <c r="O738" s="354"/>
      <c r="P738" s="354"/>
      <c r="Q738" s="354"/>
      <c r="R738" s="354"/>
      <c r="S738" s="354"/>
      <c r="T738" s="354"/>
      <c r="U738" s="354"/>
      <c r="V738" s="354"/>
      <c r="W738" s="354"/>
      <c r="X738" s="354"/>
      <c r="Y738" s="354"/>
      <c r="Z738" s="353"/>
      <c r="AA738" s="353"/>
      <c r="AB738" s="836"/>
      <c r="AC738" s="836"/>
      <c r="AD738" s="836"/>
      <c r="AE738" s="838"/>
    </row>
    <row r="739" spans="1:31" ht="16.5" customHeight="1">
      <c r="A739" s="347">
        <v>19061191</v>
      </c>
      <c r="B739" s="347" t="s">
        <v>6302</v>
      </c>
      <c r="C739" s="347"/>
      <c r="D739" s="361"/>
      <c r="E739" s="361"/>
      <c r="F739" s="361"/>
      <c r="G739" s="348"/>
      <c r="H739" s="358"/>
      <c r="I739" s="352"/>
      <c r="J739" s="353"/>
      <c r="K739" s="538"/>
      <c r="L739" s="487"/>
      <c r="M739" s="487"/>
      <c r="N739" s="354"/>
      <c r="O739" s="354"/>
      <c r="P739" s="354"/>
      <c r="Q739" s="354"/>
      <c r="R739" s="354"/>
      <c r="S739" s="354"/>
      <c r="T739" s="354"/>
      <c r="U739" s="354"/>
      <c r="V739" s="354"/>
      <c r="W739" s="354"/>
      <c r="X739" s="354"/>
      <c r="Y739" s="354"/>
      <c r="Z739" s="353"/>
      <c r="AA739" s="353"/>
      <c r="AB739" s="836"/>
      <c r="AC739" s="836"/>
      <c r="AD739" s="836"/>
      <c r="AE739" s="838"/>
    </row>
    <row r="740" spans="1:31" ht="16.5" customHeight="1">
      <c r="A740" s="347">
        <v>8740458</v>
      </c>
      <c r="B740" s="347" t="s">
        <v>6303</v>
      </c>
      <c r="C740" s="347"/>
      <c r="D740" s="348"/>
      <c r="E740" s="348"/>
      <c r="F740" s="348"/>
      <c r="G740" s="348"/>
      <c r="H740" s="358"/>
      <c r="I740" s="352"/>
      <c r="J740" s="353"/>
      <c r="K740" s="538"/>
      <c r="L740" s="487"/>
      <c r="M740" s="487"/>
      <c r="N740" s="354"/>
      <c r="O740" s="354"/>
      <c r="P740" s="354"/>
      <c r="Q740" s="354"/>
      <c r="R740" s="354"/>
      <c r="S740" s="354"/>
      <c r="T740" s="354"/>
      <c r="U740" s="354"/>
      <c r="V740" s="354"/>
      <c r="W740" s="354"/>
      <c r="X740" s="354"/>
      <c r="Y740" s="354"/>
      <c r="Z740" s="353"/>
      <c r="AA740" s="353"/>
      <c r="AB740" s="836"/>
      <c r="AC740" s="836"/>
      <c r="AD740" s="836"/>
      <c r="AE740" s="838"/>
    </row>
    <row r="741" spans="1:31" ht="16.5" customHeight="1">
      <c r="A741" s="347">
        <v>29443132</v>
      </c>
      <c r="B741" s="347" t="s">
        <v>6304</v>
      </c>
      <c r="C741" s="347"/>
      <c r="D741" s="348"/>
      <c r="E741" s="348"/>
      <c r="F741" s="348"/>
      <c r="G741" s="348"/>
      <c r="H741" s="358"/>
      <c r="I741" s="352"/>
      <c r="J741" s="353"/>
      <c r="K741" s="538"/>
      <c r="L741" s="487"/>
      <c r="M741" s="487"/>
      <c r="N741" s="354"/>
      <c r="O741" s="354"/>
      <c r="P741" s="354"/>
      <c r="Q741" s="354"/>
      <c r="R741" s="354"/>
      <c r="S741" s="354"/>
      <c r="T741" s="354"/>
      <c r="U741" s="354"/>
      <c r="V741" s="354"/>
      <c r="W741" s="354"/>
      <c r="X741" s="354"/>
      <c r="Y741" s="354"/>
      <c r="Z741" s="353"/>
      <c r="AA741" s="353"/>
      <c r="AB741" s="836"/>
      <c r="AC741" s="836"/>
      <c r="AD741" s="836"/>
      <c r="AE741" s="838"/>
    </row>
    <row r="742" spans="1:31" ht="16.5" customHeight="1">
      <c r="A742" s="347">
        <v>802066</v>
      </c>
      <c r="B742" s="347" t="s">
        <v>6305</v>
      </c>
      <c r="C742" s="347"/>
      <c r="D742" s="348"/>
      <c r="E742" s="348"/>
      <c r="F742" s="348"/>
      <c r="G742" s="348"/>
      <c r="H742" s="358"/>
      <c r="I742" s="352"/>
      <c r="J742" s="353"/>
      <c r="K742" s="538"/>
      <c r="L742" s="487"/>
      <c r="M742" s="487"/>
      <c r="N742" s="354"/>
      <c r="O742" s="354"/>
      <c r="P742" s="354"/>
      <c r="Q742" s="354"/>
      <c r="R742" s="354"/>
      <c r="S742" s="354"/>
      <c r="T742" s="354"/>
      <c r="U742" s="354"/>
      <c r="V742" s="354"/>
      <c r="W742" s="354"/>
      <c r="X742" s="354"/>
      <c r="Y742" s="354"/>
      <c r="Z742" s="353"/>
      <c r="AA742" s="353"/>
      <c r="AB742" s="836"/>
      <c r="AC742" s="836"/>
      <c r="AD742" s="836"/>
      <c r="AE742" s="838"/>
    </row>
    <row r="743" spans="1:31" ht="16.5" customHeight="1">
      <c r="A743" s="347">
        <v>100005831</v>
      </c>
      <c r="B743" s="347" t="s">
        <v>5990</v>
      </c>
      <c r="C743" s="347"/>
      <c r="D743" s="361"/>
      <c r="E743" s="361"/>
      <c r="F743" s="361"/>
      <c r="G743" s="348"/>
      <c r="H743" s="358"/>
      <c r="I743" s="352"/>
      <c r="J743" s="353"/>
      <c r="K743" s="538"/>
      <c r="L743" s="487"/>
      <c r="M743" s="487"/>
      <c r="N743" s="354"/>
      <c r="O743" s="354"/>
      <c r="P743" s="354"/>
      <c r="Q743" s="354"/>
      <c r="R743" s="354"/>
      <c r="S743" s="354"/>
      <c r="T743" s="354"/>
      <c r="U743" s="354"/>
      <c r="V743" s="354"/>
      <c r="W743" s="354"/>
      <c r="X743" s="354"/>
      <c r="Y743" s="354"/>
      <c r="Z743" s="353"/>
      <c r="AA743" s="353"/>
      <c r="AB743" s="836"/>
      <c r="AC743" s="836"/>
      <c r="AD743" s="836"/>
      <c r="AE743" s="838"/>
    </row>
    <row r="744" spans="1:31" ht="16.5" customHeight="1">
      <c r="A744" s="347">
        <v>8602633</v>
      </c>
      <c r="B744" s="347" t="s">
        <v>6306</v>
      </c>
      <c r="C744" s="347"/>
      <c r="D744" s="348"/>
      <c r="E744" s="348"/>
      <c r="F744" s="348"/>
      <c r="G744" s="348"/>
      <c r="H744" s="358"/>
      <c r="I744" s="352"/>
      <c r="J744" s="353"/>
      <c r="K744" s="538"/>
      <c r="L744" s="487"/>
      <c r="M744" s="487"/>
      <c r="N744" s="354"/>
      <c r="O744" s="354"/>
      <c r="P744" s="354"/>
      <c r="Q744" s="354"/>
      <c r="R744" s="354"/>
      <c r="S744" s="354"/>
      <c r="T744" s="354"/>
      <c r="U744" s="354"/>
      <c r="V744" s="354"/>
      <c r="W744" s="354"/>
      <c r="X744" s="354"/>
      <c r="Y744" s="354"/>
      <c r="Z744" s="353"/>
      <c r="AA744" s="353"/>
      <c r="AB744" s="836"/>
      <c r="AC744" s="836"/>
      <c r="AD744" s="836"/>
      <c r="AE744" s="838"/>
    </row>
    <row r="745" spans="1:31" ht="16.5" customHeight="1">
      <c r="A745" s="347">
        <v>1303460</v>
      </c>
      <c r="B745" s="347" t="s">
        <v>6307</v>
      </c>
      <c r="C745" s="347"/>
      <c r="D745" s="348"/>
      <c r="E745" s="348"/>
      <c r="F745" s="348"/>
      <c r="G745" s="348"/>
      <c r="H745" s="358"/>
      <c r="I745" s="352"/>
      <c r="J745" s="353"/>
      <c r="K745" s="538"/>
      <c r="L745" s="487"/>
      <c r="M745" s="487"/>
      <c r="N745" s="354"/>
      <c r="O745" s="354"/>
      <c r="P745" s="354"/>
      <c r="Q745" s="354"/>
      <c r="R745" s="354"/>
      <c r="S745" s="354"/>
      <c r="T745" s="354"/>
      <c r="U745" s="354"/>
      <c r="V745" s="354"/>
      <c r="W745" s="354"/>
      <c r="X745" s="354"/>
      <c r="Y745" s="354"/>
      <c r="Z745" s="353"/>
      <c r="AA745" s="353"/>
      <c r="AB745" s="836"/>
      <c r="AC745" s="836"/>
      <c r="AD745" s="836"/>
      <c r="AE745" s="838"/>
    </row>
    <row r="746" spans="1:31" ht="16.5" customHeight="1">
      <c r="A746" s="347">
        <v>100005492</v>
      </c>
      <c r="B746" s="347" t="s">
        <v>5990</v>
      </c>
      <c r="C746" s="347"/>
      <c r="D746" s="348"/>
      <c r="E746" s="348"/>
      <c r="F746" s="348"/>
      <c r="G746" s="348"/>
      <c r="H746" s="358"/>
      <c r="I746" s="352"/>
      <c r="J746" s="353"/>
      <c r="K746" s="538"/>
      <c r="L746" s="487"/>
      <c r="M746" s="487"/>
      <c r="N746" s="354"/>
      <c r="O746" s="354"/>
      <c r="P746" s="354"/>
      <c r="Q746" s="354"/>
      <c r="R746" s="354"/>
      <c r="S746" s="354"/>
      <c r="T746" s="354"/>
      <c r="U746" s="354"/>
      <c r="V746" s="354"/>
      <c r="W746" s="354"/>
      <c r="X746" s="354"/>
      <c r="Y746" s="354"/>
      <c r="Z746" s="353"/>
      <c r="AA746" s="353"/>
      <c r="AB746" s="836"/>
      <c r="AC746" s="836"/>
      <c r="AD746" s="836"/>
      <c r="AE746" s="838"/>
    </row>
    <row r="747" spans="1:31" ht="16.5" customHeight="1">
      <c r="A747" s="347">
        <v>26343939</v>
      </c>
      <c r="B747" s="347" t="s">
        <v>6308</v>
      </c>
      <c r="C747" s="347"/>
      <c r="D747" s="348"/>
      <c r="E747" s="348"/>
      <c r="F747" s="348"/>
      <c r="G747" s="348"/>
      <c r="H747" s="358"/>
      <c r="I747" s="352"/>
      <c r="J747" s="353"/>
      <c r="K747" s="538"/>
      <c r="L747" s="487"/>
      <c r="M747" s="487"/>
      <c r="N747" s="354"/>
      <c r="O747" s="354"/>
      <c r="P747" s="354"/>
      <c r="Q747" s="354"/>
      <c r="R747" s="354"/>
      <c r="S747" s="354"/>
      <c r="T747" s="354"/>
      <c r="U747" s="354"/>
      <c r="V747" s="354"/>
      <c r="W747" s="354"/>
      <c r="X747" s="354"/>
      <c r="Y747" s="354"/>
      <c r="Z747" s="353"/>
      <c r="AA747" s="353"/>
      <c r="AB747" s="836"/>
      <c r="AC747" s="836"/>
      <c r="AD747" s="836"/>
      <c r="AE747" s="838"/>
    </row>
    <row r="748" spans="1:31" ht="16.5" customHeight="1">
      <c r="A748" s="347">
        <v>11539749</v>
      </c>
      <c r="B748" s="347" t="s">
        <v>6309</v>
      </c>
      <c r="C748" s="347"/>
      <c r="D748" s="348"/>
      <c r="E748" s="348"/>
      <c r="F748" s="348"/>
      <c r="G748" s="348"/>
      <c r="H748" s="358"/>
      <c r="I748" s="352"/>
      <c r="J748" s="353"/>
      <c r="K748" s="538"/>
      <c r="L748" s="487"/>
      <c r="M748" s="487"/>
      <c r="N748" s="354"/>
      <c r="O748" s="354"/>
      <c r="P748" s="354"/>
      <c r="Q748" s="354"/>
      <c r="R748" s="354"/>
      <c r="S748" s="354"/>
      <c r="T748" s="354"/>
      <c r="U748" s="354"/>
      <c r="V748" s="354"/>
      <c r="W748" s="354"/>
      <c r="X748" s="354"/>
      <c r="Y748" s="354"/>
      <c r="Z748" s="353"/>
      <c r="AA748" s="353"/>
      <c r="AB748" s="836"/>
      <c r="AC748" s="836"/>
      <c r="AD748" s="836"/>
      <c r="AE748" s="838"/>
    </row>
    <row r="749" spans="1:31" ht="16.5" customHeight="1">
      <c r="A749" s="347">
        <v>29223302</v>
      </c>
      <c r="B749" s="347" t="s">
        <v>6310</v>
      </c>
      <c r="C749" s="347"/>
      <c r="D749" s="348"/>
      <c r="E749" s="348"/>
      <c r="F749" s="348"/>
      <c r="G749" s="348"/>
      <c r="H749" s="358"/>
      <c r="I749" s="352"/>
      <c r="J749" s="353"/>
      <c r="K749" s="538"/>
      <c r="L749" s="487"/>
      <c r="M749" s="487"/>
      <c r="N749" s="354"/>
      <c r="O749" s="354"/>
      <c r="P749" s="354"/>
      <c r="Q749" s="354"/>
      <c r="R749" s="354"/>
      <c r="S749" s="354"/>
      <c r="T749" s="354"/>
      <c r="U749" s="354"/>
      <c r="V749" s="354"/>
      <c r="W749" s="354"/>
      <c r="X749" s="354"/>
      <c r="Y749" s="354"/>
      <c r="Z749" s="353"/>
      <c r="AA749" s="353"/>
      <c r="AB749" s="836"/>
      <c r="AC749" s="836"/>
      <c r="AD749" s="836"/>
      <c r="AE749" s="838"/>
    </row>
    <row r="750" spans="1:31" ht="16.5" customHeight="1">
      <c r="A750" s="347">
        <v>3978210</v>
      </c>
      <c r="B750" s="347" t="s">
        <v>6311</v>
      </c>
      <c r="C750" s="347"/>
      <c r="D750" s="348"/>
      <c r="E750" s="348"/>
      <c r="F750" s="348"/>
      <c r="G750" s="348"/>
      <c r="H750" s="358"/>
      <c r="I750" s="352"/>
      <c r="J750" s="353"/>
      <c r="K750" s="538"/>
      <c r="L750" s="487"/>
      <c r="M750" s="487"/>
      <c r="N750" s="354"/>
      <c r="O750" s="354"/>
      <c r="P750" s="354"/>
      <c r="Q750" s="354"/>
      <c r="R750" s="354"/>
      <c r="S750" s="354"/>
      <c r="T750" s="354"/>
      <c r="U750" s="354"/>
      <c r="V750" s="354"/>
      <c r="W750" s="354"/>
      <c r="X750" s="354"/>
      <c r="Y750" s="354"/>
      <c r="Z750" s="353"/>
      <c r="AA750" s="353"/>
      <c r="AB750" s="836"/>
      <c r="AC750" s="836"/>
      <c r="AD750" s="836"/>
      <c r="AE750" s="838"/>
    </row>
    <row r="751" spans="1:31" ht="16.5" customHeight="1">
      <c r="A751" s="347">
        <v>5674502</v>
      </c>
      <c r="B751" s="347" t="s">
        <v>6312</v>
      </c>
      <c r="C751" s="347"/>
      <c r="D751" s="348"/>
      <c r="E751" s="348"/>
      <c r="F751" s="348"/>
      <c r="G751" s="348"/>
      <c r="H751" s="358"/>
      <c r="I751" s="352"/>
      <c r="J751" s="353"/>
      <c r="K751" s="538"/>
      <c r="L751" s="487"/>
      <c r="M751" s="487"/>
      <c r="N751" s="354"/>
      <c r="O751" s="354"/>
      <c r="P751" s="354"/>
      <c r="Q751" s="354"/>
      <c r="R751" s="354"/>
      <c r="S751" s="354"/>
      <c r="T751" s="354"/>
      <c r="U751" s="354"/>
      <c r="V751" s="354"/>
      <c r="W751" s="354"/>
      <c r="X751" s="354"/>
      <c r="Y751" s="354"/>
      <c r="Z751" s="353"/>
      <c r="AA751" s="353"/>
      <c r="AB751" s="836"/>
      <c r="AC751" s="836"/>
      <c r="AD751" s="836"/>
      <c r="AE751" s="838"/>
    </row>
    <row r="752" spans="1:31" ht="16.5" customHeight="1">
      <c r="A752" s="347">
        <v>40469363</v>
      </c>
      <c r="B752" s="347" t="s">
        <v>6313</v>
      </c>
      <c r="C752" s="347"/>
      <c r="D752" s="348"/>
      <c r="E752" s="348"/>
      <c r="F752" s="348"/>
      <c r="G752" s="348"/>
      <c r="H752" s="358"/>
      <c r="I752" s="352"/>
      <c r="J752" s="353"/>
      <c r="K752" s="538"/>
      <c r="L752" s="487"/>
      <c r="M752" s="487"/>
      <c r="N752" s="354"/>
      <c r="O752" s="354"/>
      <c r="P752" s="354"/>
      <c r="Q752" s="354"/>
      <c r="R752" s="354"/>
      <c r="S752" s="354"/>
      <c r="T752" s="354"/>
      <c r="U752" s="354"/>
      <c r="V752" s="354"/>
      <c r="W752" s="354"/>
      <c r="X752" s="354"/>
      <c r="Y752" s="354"/>
      <c r="Z752" s="353"/>
      <c r="AA752" s="353"/>
      <c r="AB752" s="836"/>
      <c r="AC752" s="836"/>
      <c r="AD752" s="836"/>
      <c r="AE752" s="838"/>
    </row>
    <row r="753" spans="1:31" ht="16.5" customHeight="1">
      <c r="A753" s="347">
        <v>617837</v>
      </c>
      <c r="B753" s="347" t="s">
        <v>6314</v>
      </c>
      <c r="C753" s="347"/>
      <c r="D753" s="348"/>
      <c r="E753" s="348"/>
      <c r="F753" s="348"/>
      <c r="G753" s="348"/>
      <c r="H753" s="358"/>
      <c r="I753" s="352"/>
      <c r="J753" s="353"/>
      <c r="K753" s="538"/>
      <c r="L753" s="487"/>
      <c r="M753" s="487"/>
      <c r="N753" s="354"/>
      <c r="O753" s="354"/>
      <c r="P753" s="354"/>
      <c r="Q753" s="354"/>
      <c r="R753" s="354"/>
      <c r="S753" s="354"/>
      <c r="T753" s="354"/>
      <c r="U753" s="354"/>
      <c r="V753" s="354"/>
      <c r="W753" s="354"/>
      <c r="X753" s="354"/>
      <c r="Y753" s="354"/>
      <c r="Z753" s="353"/>
      <c r="AA753" s="353"/>
      <c r="AB753" s="836"/>
      <c r="AC753" s="836"/>
      <c r="AD753" s="836"/>
      <c r="AE753" s="838"/>
    </row>
    <row r="754" spans="1:31" ht="16.5" customHeight="1">
      <c r="A754" s="347">
        <v>17206988</v>
      </c>
      <c r="B754" s="347" t="s">
        <v>6315</v>
      </c>
      <c r="C754" s="347"/>
      <c r="D754" s="348"/>
      <c r="E754" s="348"/>
      <c r="F754" s="348"/>
      <c r="G754" s="348"/>
      <c r="H754" s="358"/>
      <c r="I754" s="352"/>
      <c r="J754" s="353"/>
      <c r="K754" s="538"/>
      <c r="L754" s="487"/>
      <c r="M754" s="487"/>
      <c r="N754" s="354"/>
      <c r="O754" s="354"/>
      <c r="P754" s="354"/>
      <c r="Q754" s="354"/>
      <c r="R754" s="354"/>
      <c r="S754" s="354"/>
      <c r="T754" s="354"/>
      <c r="U754" s="354"/>
      <c r="V754" s="354"/>
      <c r="W754" s="354"/>
      <c r="X754" s="354"/>
      <c r="Y754" s="354"/>
      <c r="Z754" s="353"/>
      <c r="AA754" s="353"/>
      <c r="AB754" s="836"/>
      <c r="AC754" s="836"/>
      <c r="AD754" s="836"/>
      <c r="AE754" s="838"/>
    </row>
    <row r="755" spans="1:31" ht="16.5" customHeight="1">
      <c r="A755" s="347">
        <v>55836779</v>
      </c>
      <c r="B755" s="347" t="s">
        <v>6316</v>
      </c>
      <c r="C755" s="347"/>
      <c r="D755" s="348"/>
      <c r="E755" s="348"/>
      <c r="F755" s="348"/>
      <c r="G755" s="348"/>
      <c r="H755" s="358"/>
      <c r="I755" s="352"/>
      <c r="J755" s="353"/>
      <c r="K755" s="538"/>
      <c r="L755" s="487"/>
      <c r="M755" s="487"/>
      <c r="N755" s="354"/>
      <c r="O755" s="354"/>
      <c r="P755" s="354"/>
      <c r="Q755" s="354"/>
      <c r="R755" s="354"/>
      <c r="S755" s="354"/>
      <c r="T755" s="354"/>
      <c r="U755" s="354"/>
      <c r="V755" s="354"/>
      <c r="W755" s="354"/>
      <c r="X755" s="354"/>
      <c r="Y755" s="354"/>
      <c r="Z755" s="353"/>
      <c r="AA755" s="353"/>
      <c r="AB755" s="836"/>
      <c r="AC755" s="836"/>
      <c r="AD755" s="836"/>
      <c r="AE755" s="838"/>
    </row>
    <row r="756" spans="1:31" ht="16.5" customHeight="1">
      <c r="A756" s="347">
        <v>100004677</v>
      </c>
      <c r="B756" s="347" t="s">
        <v>5990</v>
      </c>
      <c r="C756" s="347"/>
      <c r="D756" s="348"/>
      <c r="E756" s="348"/>
      <c r="F756" s="348"/>
      <c r="G756" s="348"/>
      <c r="H756" s="358"/>
      <c r="I756" s="352"/>
      <c r="J756" s="353"/>
      <c r="K756" s="538"/>
      <c r="L756" s="487"/>
      <c r="M756" s="487"/>
      <c r="N756" s="354"/>
      <c r="O756" s="354"/>
      <c r="P756" s="354"/>
      <c r="Q756" s="354"/>
      <c r="R756" s="354"/>
      <c r="S756" s="354"/>
      <c r="T756" s="354"/>
      <c r="U756" s="354"/>
      <c r="V756" s="354"/>
      <c r="W756" s="354"/>
      <c r="X756" s="354"/>
      <c r="Y756" s="354"/>
      <c r="Z756" s="353"/>
      <c r="AA756" s="353"/>
      <c r="AB756" s="836"/>
      <c r="AC756" s="836"/>
      <c r="AD756" s="836"/>
      <c r="AE756" s="838"/>
    </row>
    <row r="757" spans="1:31" ht="16.5" customHeight="1">
      <c r="A757" s="347">
        <v>8689663</v>
      </c>
      <c r="B757" s="347" t="s">
        <v>6317</v>
      </c>
      <c r="C757" s="347"/>
      <c r="D757" s="348"/>
      <c r="E757" s="348"/>
      <c r="F757" s="348"/>
      <c r="G757" s="348"/>
      <c r="H757" s="358"/>
      <c r="I757" s="352"/>
      <c r="J757" s="353"/>
      <c r="K757" s="538"/>
      <c r="L757" s="487"/>
      <c r="M757" s="487"/>
      <c r="N757" s="354"/>
      <c r="O757" s="354"/>
      <c r="P757" s="354"/>
      <c r="Q757" s="354"/>
      <c r="R757" s="354"/>
      <c r="S757" s="354"/>
      <c r="T757" s="354"/>
      <c r="U757" s="354"/>
      <c r="V757" s="354"/>
      <c r="W757" s="354"/>
      <c r="X757" s="354"/>
      <c r="Y757" s="354"/>
      <c r="Z757" s="353"/>
      <c r="AA757" s="353"/>
      <c r="AB757" s="836"/>
      <c r="AC757" s="836"/>
      <c r="AD757" s="836"/>
      <c r="AE757" s="838"/>
    </row>
    <row r="758" spans="1:31" ht="16.5" customHeight="1">
      <c r="A758" s="347">
        <v>28566529</v>
      </c>
      <c r="B758" s="347" t="s">
        <v>6318</v>
      </c>
      <c r="C758" s="347"/>
      <c r="D758" s="348"/>
      <c r="E758" s="348"/>
      <c r="F758" s="348"/>
      <c r="G758" s="348"/>
      <c r="H758" s="358"/>
      <c r="I758" s="352"/>
      <c r="J758" s="353"/>
      <c r="K758" s="538"/>
      <c r="L758" s="487"/>
      <c r="M758" s="487"/>
      <c r="N758" s="354"/>
      <c r="O758" s="354"/>
      <c r="P758" s="354"/>
      <c r="Q758" s="354"/>
      <c r="R758" s="354"/>
      <c r="S758" s="354"/>
      <c r="T758" s="354"/>
      <c r="U758" s="354"/>
      <c r="V758" s="354"/>
      <c r="W758" s="354"/>
      <c r="X758" s="354"/>
      <c r="Y758" s="354"/>
      <c r="Z758" s="353"/>
      <c r="AA758" s="353"/>
      <c r="AB758" s="836"/>
      <c r="AC758" s="836"/>
      <c r="AD758" s="836"/>
      <c r="AE758" s="838"/>
    </row>
    <row r="759" spans="1:31" ht="16.5" customHeight="1">
      <c r="A759" s="347">
        <v>35969708</v>
      </c>
      <c r="B759" s="347" t="s">
        <v>6319</v>
      </c>
      <c r="C759" s="347"/>
      <c r="D759" s="348"/>
      <c r="E759" s="348"/>
      <c r="F759" s="348"/>
      <c r="G759" s="348"/>
      <c r="H759" s="358"/>
      <c r="I759" s="352"/>
      <c r="J759" s="353"/>
      <c r="K759" s="538"/>
      <c r="L759" s="487"/>
      <c r="M759" s="487"/>
      <c r="N759" s="354"/>
      <c r="O759" s="354"/>
      <c r="P759" s="354"/>
      <c r="Q759" s="354"/>
      <c r="R759" s="354"/>
      <c r="S759" s="354"/>
      <c r="T759" s="354"/>
      <c r="U759" s="354"/>
      <c r="V759" s="354"/>
      <c r="W759" s="354"/>
      <c r="X759" s="354"/>
      <c r="Y759" s="354"/>
      <c r="Z759" s="353"/>
      <c r="AA759" s="353"/>
      <c r="AB759" s="836"/>
      <c r="AC759" s="836"/>
      <c r="AD759" s="836"/>
      <c r="AE759" s="838"/>
    </row>
    <row r="760" spans="1:31" ht="16.5" customHeight="1">
      <c r="A760" s="347">
        <v>6243299</v>
      </c>
      <c r="B760" s="347" t="s">
        <v>6320</v>
      </c>
      <c r="C760" s="347"/>
      <c r="D760" s="348"/>
      <c r="E760" s="348"/>
      <c r="F760" s="348"/>
      <c r="G760" s="348"/>
      <c r="H760" s="358"/>
      <c r="I760" s="352"/>
      <c r="J760" s="353"/>
      <c r="K760" s="538"/>
      <c r="L760" s="487"/>
      <c r="M760" s="487"/>
      <c r="N760" s="354"/>
      <c r="O760" s="354"/>
      <c r="P760" s="354"/>
      <c r="Q760" s="354"/>
      <c r="R760" s="354"/>
      <c r="S760" s="354"/>
      <c r="T760" s="354"/>
      <c r="U760" s="354"/>
      <c r="V760" s="354"/>
      <c r="W760" s="354"/>
      <c r="X760" s="354"/>
      <c r="Y760" s="354"/>
      <c r="Z760" s="353"/>
      <c r="AA760" s="353"/>
      <c r="AB760" s="836"/>
      <c r="AC760" s="836"/>
      <c r="AD760" s="836"/>
      <c r="AE760" s="838"/>
    </row>
    <row r="761" spans="1:31" ht="16.5" customHeight="1">
      <c r="A761" s="347">
        <v>16653263</v>
      </c>
      <c r="B761" s="347" t="s">
        <v>6321</v>
      </c>
      <c r="C761" s="347"/>
      <c r="D761" s="348"/>
      <c r="E761" s="348"/>
      <c r="F761" s="348"/>
      <c r="G761" s="348"/>
      <c r="H761" s="358"/>
      <c r="I761" s="352"/>
      <c r="J761" s="353"/>
      <c r="K761" s="538"/>
      <c r="L761" s="487"/>
      <c r="M761" s="487"/>
      <c r="N761" s="354"/>
      <c r="O761" s="354"/>
      <c r="P761" s="354"/>
      <c r="Q761" s="354"/>
      <c r="R761" s="354"/>
      <c r="S761" s="354"/>
      <c r="T761" s="354"/>
      <c r="U761" s="354"/>
      <c r="V761" s="354"/>
      <c r="W761" s="354"/>
      <c r="X761" s="354"/>
      <c r="Y761" s="354"/>
      <c r="Z761" s="353"/>
      <c r="AA761" s="353"/>
      <c r="AB761" s="836"/>
      <c r="AC761" s="836"/>
      <c r="AD761" s="836"/>
      <c r="AE761" s="838"/>
    </row>
    <row r="762" spans="1:31" ht="16.5" customHeight="1">
      <c r="A762" s="347">
        <v>99871832</v>
      </c>
      <c r="B762" s="347" t="s">
        <v>6322</v>
      </c>
      <c r="C762" s="347"/>
      <c r="D762" s="348"/>
      <c r="E762" s="348"/>
      <c r="F762" s="348"/>
      <c r="G762" s="348"/>
      <c r="H762" s="358"/>
      <c r="I762" s="352"/>
      <c r="J762" s="353"/>
      <c r="K762" s="538"/>
      <c r="L762" s="487"/>
      <c r="M762" s="487"/>
      <c r="N762" s="354"/>
      <c r="O762" s="354"/>
      <c r="P762" s="354"/>
      <c r="Q762" s="354"/>
      <c r="R762" s="354"/>
      <c r="S762" s="354"/>
      <c r="T762" s="354"/>
      <c r="U762" s="354"/>
      <c r="V762" s="354"/>
      <c r="W762" s="354"/>
      <c r="X762" s="354"/>
      <c r="Y762" s="354"/>
      <c r="Z762" s="353"/>
      <c r="AA762" s="353"/>
      <c r="AB762" s="836"/>
      <c r="AC762" s="836"/>
      <c r="AD762" s="836"/>
      <c r="AE762" s="838"/>
    </row>
    <row r="763" spans="1:31" ht="16.5" customHeight="1">
      <c r="A763" s="347">
        <v>31760390</v>
      </c>
      <c r="B763" s="347" t="s">
        <v>6323</v>
      </c>
      <c r="C763" s="347"/>
      <c r="D763" s="348"/>
      <c r="E763" s="348"/>
      <c r="F763" s="348"/>
      <c r="G763" s="348"/>
      <c r="H763" s="358"/>
      <c r="I763" s="352"/>
      <c r="J763" s="353"/>
      <c r="K763" s="538"/>
      <c r="L763" s="487"/>
      <c r="M763" s="487"/>
      <c r="N763" s="354"/>
      <c r="O763" s="354"/>
      <c r="P763" s="354"/>
      <c r="Q763" s="354"/>
      <c r="R763" s="354"/>
      <c r="S763" s="354"/>
      <c r="T763" s="354"/>
      <c r="U763" s="354"/>
      <c r="V763" s="354"/>
      <c r="W763" s="354"/>
      <c r="X763" s="354"/>
      <c r="Y763" s="354"/>
      <c r="Z763" s="353"/>
      <c r="AA763" s="353"/>
      <c r="AB763" s="836"/>
      <c r="AC763" s="836"/>
      <c r="AD763" s="836"/>
      <c r="AE763" s="838"/>
    </row>
    <row r="764" spans="1:31" ht="16.5" customHeight="1">
      <c r="A764" s="347">
        <v>2943413</v>
      </c>
      <c r="B764" s="347" t="s">
        <v>6324</v>
      </c>
      <c r="C764" s="347"/>
      <c r="D764" s="348"/>
      <c r="E764" s="348"/>
      <c r="F764" s="348"/>
      <c r="G764" s="348"/>
      <c r="H764" s="358"/>
      <c r="I764" s="352"/>
      <c r="J764" s="353"/>
      <c r="K764" s="538"/>
      <c r="L764" s="487"/>
      <c r="M764" s="487"/>
      <c r="N764" s="354"/>
      <c r="O764" s="354"/>
      <c r="P764" s="354"/>
      <c r="Q764" s="354"/>
      <c r="R764" s="354"/>
      <c r="S764" s="354"/>
      <c r="T764" s="354"/>
      <c r="U764" s="354"/>
      <c r="V764" s="354"/>
      <c r="W764" s="354"/>
      <c r="X764" s="354"/>
      <c r="Y764" s="354"/>
      <c r="Z764" s="353"/>
      <c r="AA764" s="353"/>
      <c r="AB764" s="836"/>
      <c r="AC764" s="836"/>
      <c r="AD764" s="836"/>
      <c r="AE764" s="838"/>
    </row>
    <row r="765" spans="1:31" ht="16.5" customHeight="1">
      <c r="A765" s="347">
        <v>6154546</v>
      </c>
      <c r="B765" s="347" t="s">
        <v>6325</v>
      </c>
      <c r="C765" s="347"/>
      <c r="D765" s="348"/>
      <c r="E765" s="348"/>
      <c r="F765" s="348"/>
      <c r="G765" s="348"/>
      <c r="H765" s="358"/>
      <c r="I765" s="352"/>
      <c r="J765" s="353"/>
      <c r="K765" s="538"/>
      <c r="L765" s="487"/>
      <c r="M765" s="487"/>
      <c r="N765" s="354"/>
      <c r="O765" s="354"/>
      <c r="P765" s="354"/>
      <c r="Q765" s="354"/>
      <c r="R765" s="354"/>
      <c r="S765" s="354"/>
      <c r="T765" s="354"/>
      <c r="U765" s="354"/>
      <c r="V765" s="354"/>
      <c r="W765" s="354"/>
      <c r="X765" s="354"/>
      <c r="Y765" s="354"/>
      <c r="Z765" s="353"/>
      <c r="AA765" s="353"/>
      <c r="AB765" s="836"/>
      <c r="AC765" s="836"/>
      <c r="AD765" s="836"/>
      <c r="AE765" s="838"/>
    </row>
    <row r="766" spans="1:31" ht="16.5" customHeight="1">
      <c r="A766" s="347">
        <v>1360668</v>
      </c>
      <c r="B766" s="347" t="s">
        <v>6326</v>
      </c>
      <c r="C766" s="347"/>
      <c r="D766" s="348"/>
      <c r="E766" s="348"/>
      <c r="F766" s="348"/>
      <c r="G766" s="348"/>
      <c r="H766" s="358"/>
      <c r="I766" s="352"/>
      <c r="J766" s="353"/>
      <c r="K766" s="538"/>
      <c r="L766" s="487"/>
      <c r="M766" s="487"/>
      <c r="N766" s="354"/>
      <c r="O766" s="354"/>
      <c r="P766" s="354"/>
      <c r="Q766" s="354"/>
      <c r="R766" s="354"/>
      <c r="S766" s="354"/>
      <c r="T766" s="354"/>
      <c r="U766" s="354"/>
      <c r="V766" s="354"/>
      <c r="W766" s="354"/>
      <c r="X766" s="354"/>
      <c r="Y766" s="354"/>
      <c r="Z766" s="353"/>
      <c r="AA766" s="353"/>
      <c r="AB766" s="836"/>
      <c r="AC766" s="836"/>
      <c r="AD766" s="836"/>
      <c r="AE766" s="838"/>
    </row>
    <row r="767" spans="1:31" ht="16.5" customHeight="1">
      <c r="A767" s="347">
        <v>30656136</v>
      </c>
      <c r="B767" s="347" t="s">
        <v>6327</v>
      </c>
      <c r="C767" s="347"/>
      <c r="D767" s="348"/>
      <c r="E767" s="348"/>
      <c r="F767" s="348"/>
      <c r="G767" s="348"/>
      <c r="H767" s="358"/>
      <c r="I767" s="352"/>
      <c r="J767" s="353"/>
      <c r="K767" s="538"/>
      <c r="L767" s="487"/>
      <c r="M767" s="487"/>
      <c r="N767" s="354"/>
      <c r="O767" s="354"/>
      <c r="P767" s="354"/>
      <c r="Q767" s="354"/>
      <c r="R767" s="354"/>
      <c r="S767" s="354"/>
      <c r="T767" s="354"/>
      <c r="U767" s="354"/>
      <c r="V767" s="354"/>
      <c r="W767" s="354"/>
      <c r="X767" s="354"/>
      <c r="Y767" s="354"/>
      <c r="Z767" s="353"/>
      <c r="AA767" s="353"/>
      <c r="AB767" s="836"/>
      <c r="AC767" s="836"/>
      <c r="AD767" s="836"/>
      <c r="AE767" s="838"/>
    </row>
    <row r="768" spans="1:31" ht="16.5" customHeight="1">
      <c r="A768" s="347">
        <v>132332</v>
      </c>
      <c r="B768" s="347" t="s">
        <v>6328</v>
      </c>
      <c r="C768" s="347"/>
      <c r="D768" s="361"/>
      <c r="E768" s="361"/>
      <c r="F768" s="361"/>
      <c r="G768" s="348"/>
      <c r="H768" s="358"/>
      <c r="I768" s="352"/>
      <c r="J768" s="353"/>
      <c r="K768" s="538"/>
      <c r="L768" s="487"/>
      <c r="M768" s="487"/>
      <c r="N768" s="354"/>
      <c r="O768" s="354"/>
      <c r="P768" s="354"/>
      <c r="Q768" s="354"/>
      <c r="R768" s="354"/>
      <c r="S768" s="354"/>
      <c r="T768" s="354"/>
      <c r="U768" s="354"/>
      <c r="V768" s="354"/>
      <c r="W768" s="354"/>
      <c r="X768" s="354"/>
      <c r="Y768" s="354"/>
      <c r="Z768" s="353"/>
      <c r="AA768" s="353"/>
      <c r="AB768" s="836"/>
      <c r="AC768" s="836"/>
      <c r="AD768" s="836"/>
      <c r="AE768" s="838"/>
    </row>
    <row r="769" spans="1:31" ht="16.5" customHeight="1">
      <c r="A769" s="347">
        <v>234013</v>
      </c>
      <c r="B769" s="347" t="s">
        <v>6329</v>
      </c>
      <c r="C769" s="347"/>
      <c r="D769" s="348"/>
      <c r="E769" s="348"/>
      <c r="F769" s="348"/>
      <c r="G769" s="348"/>
      <c r="H769" s="358"/>
      <c r="I769" s="352"/>
      <c r="J769" s="353"/>
      <c r="K769" s="538"/>
      <c r="L769" s="487"/>
      <c r="M769" s="487"/>
      <c r="N769" s="354"/>
      <c r="O769" s="354"/>
      <c r="P769" s="354"/>
      <c r="Q769" s="354"/>
      <c r="R769" s="354"/>
      <c r="S769" s="354"/>
      <c r="T769" s="354"/>
      <c r="U769" s="354"/>
      <c r="V769" s="354"/>
      <c r="W769" s="354"/>
      <c r="X769" s="354"/>
      <c r="Y769" s="354"/>
      <c r="Z769" s="353"/>
      <c r="AA769" s="353"/>
      <c r="AB769" s="836"/>
      <c r="AC769" s="836"/>
      <c r="AD769" s="836"/>
      <c r="AE769" s="838"/>
    </row>
    <row r="770" spans="1:31" ht="16.5" customHeight="1">
      <c r="A770" s="347">
        <v>7578982</v>
      </c>
      <c r="B770" s="347" t="s">
        <v>6330</v>
      </c>
      <c r="C770" s="347"/>
      <c r="D770" s="348"/>
      <c r="E770" s="348"/>
      <c r="F770" s="348"/>
      <c r="G770" s="348"/>
      <c r="H770" s="358"/>
      <c r="I770" s="352"/>
      <c r="J770" s="353"/>
      <c r="K770" s="538"/>
      <c r="L770" s="487"/>
      <c r="M770" s="487"/>
      <c r="N770" s="354"/>
      <c r="O770" s="354"/>
      <c r="P770" s="354"/>
      <c r="Q770" s="354"/>
      <c r="R770" s="354"/>
      <c r="S770" s="354"/>
      <c r="T770" s="354"/>
      <c r="U770" s="354"/>
      <c r="V770" s="354"/>
      <c r="W770" s="354"/>
      <c r="X770" s="354"/>
      <c r="Y770" s="354"/>
      <c r="Z770" s="353"/>
      <c r="AA770" s="353"/>
      <c r="AB770" s="836"/>
      <c r="AC770" s="836"/>
      <c r="AD770" s="836"/>
      <c r="AE770" s="838"/>
    </row>
    <row r="771" spans="1:31" ht="16.5" customHeight="1">
      <c r="A771" s="347">
        <v>97975254</v>
      </c>
      <c r="B771" s="347" t="s">
        <v>6331</v>
      </c>
      <c r="C771" s="347"/>
      <c r="D771" s="348"/>
      <c r="E771" s="348"/>
      <c r="F771" s="348"/>
      <c r="G771" s="348"/>
      <c r="H771" s="358"/>
      <c r="I771" s="352"/>
      <c r="J771" s="353"/>
      <c r="K771" s="538"/>
      <c r="L771" s="487"/>
      <c r="M771" s="487"/>
      <c r="N771" s="354"/>
      <c r="O771" s="354"/>
      <c r="P771" s="354"/>
      <c r="Q771" s="354"/>
      <c r="R771" s="354"/>
      <c r="S771" s="354"/>
      <c r="T771" s="354"/>
      <c r="U771" s="354"/>
      <c r="V771" s="354"/>
      <c r="W771" s="354"/>
      <c r="X771" s="354"/>
      <c r="Y771" s="354"/>
      <c r="Z771" s="353"/>
      <c r="AA771" s="353"/>
      <c r="AB771" s="836"/>
      <c r="AC771" s="836"/>
      <c r="AD771" s="836"/>
      <c r="AE771" s="838"/>
    </row>
    <row r="772" spans="1:31" ht="16.5" customHeight="1">
      <c r="A772" s="347">
        <v>97538128</v>
      </c>
      <c r="B772" s="347" t="s">
        <v>6332</v>
      </c>
      <c r="C772" s="347"/>
      <c r="D772" s="348"/>
      <c r="E772" s="348"/>
      <c r="F772" s="348"/>
      <c r="G772" s="348"/>
      <c r="H772" s="358"/>
      <c r="I772" s="352"/>
      <c r="J772" s="353"/>
      <c r="K772" s="538"/>
      <c r="L772" s="487"/>
      <c r="M772" s="487"/>
      <c r="N772" s="354"/>
      <c r="O772" s="354"/>
      <c r="P772" s="354"/>
      <c r="Q772" s="354"/>
      <c r="R772" s="354"/>
      <c r="S772" s="354"/>
      <c r="T772" s="354"/>
      <c r="U772" s="354"/>
      <c r="V772" s="354"/>
      <c r="W772" s="354"/>
      <c r="X772" s="354"/>
      <c r="Y772" s="354"/>
      <c r="Z772" s="353"/>
      <c r="AA772" s="353"/>
      <c r="AB772" s="836"/>
      <c r="AC772" s="836"/>
      <c r="AD772" s="836"/>
      <c r="AE772" s="838"/>
    </row>
    <row r="773" spans="1:31" ht="16.5" customHeight="1">
      <c r="A773" s="347">
        <v>26635920</v>
      </c>
      <c r="B773" s="347" t="s">
        <v>6333</v>
      </c>
      <c r="C773" s="347"/>
      <c r="D773" s="361"/>
      <c r="E773" s="361"/>
      <c r="F773" s="361"/>
      <c r="G773" s="348"/>
      <c r="H773" s="358"/>
      <c r="I773" s="352"/>
      <c r="J773" s="353"/>
      <c r="K773" s="538"/>
      <c r="L773" s="487"/>
      <c r="M773" s="487"/>
      <c r="N773" s="354"/>
      <c r="O773" s="354"/>
      <c r="P773" s="354"/>
      <c r="Q773" s="354"/>
      <c r="R773" s="354"/>
      <c r="S773" s="354"/>
      <c r="T773" s="354"/>
      <c r="U773" s="354"/>
      <c r="V773" s="354"/>
      <c r="W773" s="354"/>
      <c r="X773" s="354"/>
      <c r="Y773" s="354"/>
      <c r="Z773" s="353"/>
      <c r="AA773" s="353"/>
      <c r="AB773" s="836"/>
      <c r="AC773" s="836"/>
      <c r="AD773" s="836"/>
      <c r="AE773" s="838"/>
    </row>
    <row r="774" spans="1:31" ht="16.5" customHeight="1">
      <c r="A774" s="347">
        <v>3037108</v>
      </c>
      <c r="B774" s="347" t="s">
        <v>6334</v>
      </c>
      <c r="C774" s="347"/>
      <c r="D774" s="348"/>
      <c r="E774" s="348"/>
      <c r="F774" s="348"/>
      <c r="G774" s="348"/>
      <c r="H774" s="358"/>
      <c r="I774" s="352"/>
      <c r="J774" s="353"/>
      <c r="K774" s="538"/>
      <c r="L774" s="487"/>
      <c r="M774" s="487"/>
      <c r="N774" s="354"/>
      <c r="O774" s="354"/>
      <c r="P774" s="354"/>
      <c r="Q774" s="354"/>
      <c r="R774" s="354"/>
      <c r="S774" s="354"/>
      <c r="T774" s="354"/>
      <c r="U774" s="354"/>
      <c r="V774" s="354"/>
      <c r="W774" s="354"/>
      <c r="X774" s="354"/>
      <c r="Y774" s="354"/>
      <c r="Z774" s="353"/>
      <c r="AA774" s="353"/>
      <c r="AB774" s="836"/>
      <c r="AC774" s="836"/>
      <c r="AD774" s="836"/>
      <c r="AE774" s="838"/>
    </row>
    <row r="775" spans="1:31" ht="16.5" customHeight="1">
      <c r="A775" s="347">
        <v>14654222</v>
      </c>
      <c r="B775" s="347" t="s">
        <v>6335</v>
      </c>
      <c r="C775" s="347"/>
      <c r="D775" s="348"/>
      <c r="E775" s="348"/>
      <c r="F775" s="348"/>
      <c r="G775" s="348"/>
      <c r="H775" s="358"/>
      <c r="I775" s="352"/>
      <c r="J775" s="353"/>
      <c r="K775" s="538"/>
      <c r="L775" s="487"/>
      <c r="M775" s="487"/>
      <c r="N775" s="354"/>
      <c r="O775" s="354"/>
      <c r="P775" s="354"/>
      <c r="Q775" s="354"/>
      <c r="R775" s="354"/>
      <c r="S775" s="354"/>
      <c r="T775" s="354"/>
      <c r="U775" s="354"/>
      <c r="V775" s="354"/>
      <c r="W775" s="354"/>
      <c r="X775" s="354"/>
      <c r="Y775" s="354"/>
      <c r="Z775" s="353"/>
      <c r="AA775" s="353"/>
      <c r="AB775" s="836"/>
      <c r="AC775" s="836"/>
      <c r="AD775" s="836"/>
      <c r="AE775" s="838"/>
    </row>
    <row r="776" spans="1:31" ht="16.5" customHeight="1">
      <c r="A776" s="347">
        <v>15978315</v>
      </c>
      <c r="B776" s="347" t="s">
        <v>6336</v>
      </c>
      <c r="C776" s="347"/>
      <c r="D776" s="348"/>
      <c r="E776" s="348"/>
      <c r="F776" s="348"/>
      <c r="G776" s="348"/>
      <c r="H776" s="358"/>
      <c r="I776" s="352"/>
      <c r="J776" s="353"/>
      <c r="K776" s="538"/>
      <c r="L776" s="487"/>
      <c r="M776" s="487"/>
      <c r="N776" s="354"/>
      <c r="O776" s="354"/>
      <c r="P776" s="354"/>
      <c r="Q776" s="354"/>
      <c r="R776" s="354"/>
      <c r="S776" s="354"/>
      <c r="T776" s="354"/>
      <c r="U776" s="354"/>
      <c r="V776" s="354"/>
      <c r="W776" s="354"/>
      <c r="X776" s="354"/>
      <c r="Y776" s="354"/>
      <c r="Z776" s="353"/>
      <c r="AA776" s="353"/>
      <c r="AB776" s="836"/>
      <c r="AC776" s="836"/>
      <c r="AD776" s="836"/>
      <c r="AE776" s="838"/>
    </row>
    <row r="777" spans="1:31" ht="16.5" customHeight="1">
      <c r="A777" s="347">
        <v>36037216</v>
      </c>
      <c r="B777" s="347" t="s">
        <v>6337</v>
      </c>
      <c r="C777" s="347"/>
      <c r="D777" s="348"/>
      <c r="E777" s="348"/>
      <c r="F777" s="348"/>
      <c r="G777" s="348"/>
      <c r="H777" s="358"/>
      <c r="I777" s="352"/>
      <c r="J777" s="353"/>
      <c r="K777" s="538"/>
      <c r="L777" s="487"/>
      <c r="M777" s="487"/>
      <c r="N777" s="354"/>
      <c r="O777" s="354"/>
      <c r="P777" s="354"/>
      <c r="Q777" s="354"/>
      <c r="R777" s="354"/>
      <c r="S777" s="354"/>
      <c r="T777" s="354"/>
      <c r="U777" s="354"/>
      <c r="V777" s="354"/>
      <c r="W777" s="354"/>
      <c r="X777" s="354"/>
      <c r="Y777" s="354"/>
      <c r="Z777" s="353"/>
      <c r="AA777" s="353"/>
      <c r="AB777" s="836"/>
      <c r="AC777" s="836"/>
      <c r="AD777" s="836"/>
      <c r="AE777" s="838"/>
    </row>
    <row r="778" spans="1:31" ht="16.5" customHeight="1">
      <c r="A778" s="347">
        <v>5463526</v>
      </c>
      <c r="B778" s="347" t="s">
        <v>6338</v>
      </c>
      <c r="C778" s="347"/>
      <c r="D778" s="348"/>
      <c r="E778" s="348"/>
      <c r="F778" s="348"/>
      <c r="G778" s="348"/>
      <c r="H778" s="358"/>
      <c r="I778" s="352"/>
      <c r="J778" s="353"/>
      <c r="K778" s="538"/>
      <c r="L778" s="487"/>
      <c r="M778" s="487"/>
      <c r="N778" s="354"/>
      <c r="O778" s="354"/>
      <c r="P778" s="354"/>
      <c r="Q778" s="354"/>
      <c r="R778" s="354"/>
      <c r="S778" s="354"/>
      <c r="T778" s="354"/>
      <c r="U778" s="354"/>
      <c r="V778" s="354"/>
      <c r="W778" s="354"/>
      <c r="X778" s="354"/>
      <c r="Y778" s="354"/>
      <c r="Z778" s="353"/>
      <c r="AA778" s="353"/>
      <c r="AB778" s="836"/>
      <c r="AC778" s="836"/>
      <c r="AD778" s="836"/>
      <c r="AE778" s="838"/>
    </row>
    <row r="779" spans="1:31" ht="16.5" customHeight="1">
      <c r="A779" s="347">
        <v>100334417</v>
      </c>
      <c r="B779" s="347" t="s">
        <v>6339</v>
      </c>
      <c r="C779" s="347"/>
      <c r="D779" s="348"/>
      <c r="E779" s="348"/>
      <c r="F779" s="348"/>
      <c r="G779" s="348"/>
      <c r="H779" s="358"/>
      <c r="I779" s="352"/>
      <c r="J779" s="353"/>
      <c r="K779" s="538"/>
      <c r="L779" s="487"/>
      <c r="M779" s="487"/>
      <c r="N779" s="354"/>
      <c r="O779" s="354"/>
      <c r="P779" s="354"/>
      <c r="Q779" s="354"/>
      <c r="R779" s="354"/>
      <c r="S779" s="354"/>
      <c r="T779" s="354"/>
      <c r="U779" s="354"/>
      <c r="V779" s="354"/>
      <c r="W779" s="354"/>
      <c r="X779" s="354"/>
      <c r="Y779" s="354"/>
      <c r="Z779" s="353"/>
      <c r="AA779" s="353"/>
      <c r="AB779" s="836"/>
      <c r="AC779" s="836"/>
      <c r="AD779" s="836"/>
      <c r="AE779" s="838"/>
    </row>
    <row r="780" spans="1:31" ht="16.5" customHeight="1">
      <c r="A780" s="347">
        <v>40736035</v>
      </c>
      <c r="B780" s="347" t="s">
        <v>6340</v>
      </c>
      <c r="C780" s="347"/>
      <c r="D780" s="348"/>
      <c r="E780" s="348"/>
      <c r="F780" s="348"/>
      <c r="G780" s="348"/>
      <c r="H780" s="358"/>
      <c r="I780" s="352"/>
      <c r="J780" s="353"/>
      <c r="K780" s="538"/>
      <c r="L780" s="487"/>
      <c r="M780" s="487"/>
      <c r="N780" s="354"/>
      <c r="O780" s="354"/>
      <c r="P780" s="354"/>
      <c r="Q780" s="354"/>
      <c r="R780" s="354"/>
      <c r="S780" s="354"/>
      <c r="T780" s="354"/>
      <c r="U780" s="354"/>
      <c r="V780" s="354"/>
      <c r="W780" s="354"/>
      <c r="X780" s="354"/>
      <c r="Y780" s="354"/>
      <c r="Z780" s="353"/>
      <c r="AA780" s="353"/>
      <c r="AB780" s="836"/>
      <c r="AC780" s="836"/>
      <c r="AD780" s="836"/>
      <c r="AE780" s="838"/>
    </row>
    <row r="781" spans="1:31" ht="16.5" customHeight="1">
      <c r="A781" s="347">
        <v>38492948</v>
      </c>
      <c r="B781" s="347" t="s">
        <v>6341</v>
      </c>
      <c r="C781" s="347"/>
      <c r="D781" s="348"/>
      <c r="E781" s="348"/>
      <c r="F781" s="348"/>
      <c r="G781" s="348"/>
      <c r="H781" s="358"/>
      <c r="I781" s="352"/>
      <c r="J781" s="353"/>
      <c r="K781" s="538"/>
      <c r="L781" s="487"/>
      <c r="M781" s="487"/>
      <c r="N781" s="354"/>
      <c r="O781" s="354"/>
      <c r="P781" s="354"/>
      <c r="Q781" s="354"/>
      <c r="R781" s="354"/>
      <c r="S781" s="354"/>
      <c r="T781" s="354"/>
      <c r="U781" s="354"/>
      <c r="V781" s="354"/>
      <c r="W781" s="354"/>
      <c r="X781" s="354"/>
      <c r="Y781" s="354"/>
      <c r="Z781" s="353"/>
      <c r="AA781" s="353"/>
      <c r="AB781" s="836"/>
      <c r="AC781" s="836"/>
      <c r="AD781" s="836"/>
      <c r="AE781" s="838"/>
    </row>
    <row r="782" spans="1:31" ht="16.5" customHeight="1">
      <c r="A782" s="347">
        <v>9525866</v>
      </c>
      <c r="B782" s="347" t="s">
        <v>6342</v>
      </c>
      <c r="C782" s="347"/>
      <c r="D782" s="348"/>
      <c r="E782" s="348"/>
      <c r="F782" s="348"/>
      <c r="G782" s="348"/>
      <c r="H782" s="358"/>
      <c r="I782" s="352"/>
      <c r="J782" s="353"/>
      <c r="K782" s="538"/>
      <c r="L782" s="487"/>
      <c r="M782" s="487"/>
      <c r="N782" s="354"/>
      <c r="O782" s="354"/>
      <c r="P782" s="354"/>
      <c r="Q782" s="354"/>
      <c r="R782" s="354"/>
      <c r="S782" s="354"/>
      <c r="T782" s="354"/>
      <c r="U782" s="354"/>
      <c r="V782" s="354"/>
      <c r="W782" s="354"/>
      <c r="X782" s="354"/>
      <c r="Y782" s="354"/>
      <c r="Z782" s="353"/>
      <c r="AA782" s="353"/>
      <c r="AB782" s="836"/>
      <c r="AC782" s="836"/>
      <c r="AD782" s="836"/>
      <c r="AE782" s="838"/>
    </row>
    <row r="783" spans="1:31" ht="16.5" customHeight="1">
      <c r="A783" s="347">
        <v>27211044</v>
      </c>
      <c r="B783" s="347" t="s">
        <v>6343</v>
      </c>
      <c r="C783" s="347"/>
      <c r="D783" s="348"/>
      <c r="E783" s="348"/>
      <c r="F783" s="348"/>
      <c r="G783" s="348"/>
      <c r="H783" s="358"/>
      <c r="I783" s="352"/>
      <c r="J783" s="353"/>
      <c r="K783" s="538"/>
      <c r="L783" s="487"/>
      <c r="M783" s="487"/>
      <c r="N783" s="354"/>
      <c r="O783" s="354"/>
      <c r="P783" s="354"/>
      <c r="Q783" s="354"/>
      <c r="R783" s="354"/>
      <c r="S783" s="354"/>
      <c r="T783" s="354"/>
      <c r="U783" s="354"/>
      <c r="V783" s="354"/>
      <c r="W783" s="354"/>
      <c r="X783" s="354"/>
      <c r="Y783" s="354"/>
      <c r="Z783" s="353"/>
      <c r="AA783" s="353"/>
      <c r="AB783" s="836"/>
      <c r="AC783" s="836"/>
      <c r="AD783" s="836"/>
      <c r="AE783" s="838"/>
    </row>
    <row r="784" spans="1:31" ht="16.5" customHeight="1">
      <c r="A784" s="347">
        <v>3285913</v>
      </c>
      <c r="B784" s="347" t="s">
        <v>6344</v>
      </c>
      <c r="C784" s="347"/>
      <c r="D784" s="348"/>
      <c r="E784" s="348"/>
      <c r="F784" s="348"/>
      <c r="G784" s="348"/>
      <c r="H784" s="358"/>
      <c r="I784" s="352"/>
      <c r="J784" s="353"/>
      <c r="K784" s="538"/>
      <c r="L784" s="487"/>
      <c r="M784" s="487"/>
      <c r="N784" s="354"/>
      <c r="O784" s="354"/>
      <c r="P784" s="354"/>
      <c r="Q784" s="354"/>
      <c r="R784" s="354"/>
      <c r="S784" s="354"/>
      <c r="T784" s="354"/>
      <c r="U784" s="354"/>
      <c r="V784" s="354"/>
      <c r="W784" s="354"/>
      <c r="X784" s="354"/>
      <c r="Y784" s="354"/>
      <c r="Z784" s="353"/>
      <c r="AA784" s="353"/>
      <c r="AB784" s="836"/>
      <c r="AC784" s="836"/>
      <c r="AD784" s="836"/>
      <c r="AE784" s="838"/>
    </row>
    <row r="785" spans="1:31" ht="16.5" customHeight="1">
      <c r="A785" s="347">
        <v>41309899</v>
      </c>
      <c r="B785" s="347" t="s">
        <v>6345</v>
      </c>
      <c r="C785" s="347"/>
      <c r="D785" s="348"/>
      <c r="E785" s="348"/>
      <c r="F785" s="348"/>
      <c r="G785" s="348"/>
      <c r="H785" s="358"/>
      <c r="I785" s="352"/>
      <c r="J785" s="353"/>
      <c r="K785" s="538"/>
      <c r="L785" s="487"/>
      <c r="M785" s="487"/>
      <c r="N785" s="354"/>
      <c r="O785" s="354"/>
      <c r="P785" s="354"/>
      <c r="Q785" s="354"/>
      <c r="R785" s="354"/>
      <c r="S785" s="354"/>
      <c r="T785" s="354"/>
      <c r="U785" s="354"/>
      <c r="V785" s="354"/>
      <c r="W785" s="354"/>
      <c r="X785" s="354"/>
      <c r="Y785" s="354"/>
      <c r="Z785" s="353"/>
      <c r="AA785" s="353"/>
      <c r="AB785" s="836"/>
      <c r="AC785" s="836"/>
      <c r="AD785" s="836"/>
      <c r="AE785" s="838"/>
    </row>
    <row r="786" spans="1:31" ht="16.5" customHeight="1">
      <c r="A786" s="347">
        <v>2324929</v>
      </c>
      <c r="B786" s="347" t="s">
        <v>6346</v>
      </c>
      <c r="C786" s="347"/>
      <c r="D786" s="348"/>
      <c r="E786" s="348"/>
      <c r="F786" s="348"/>
      <c r="G786" s="348"/>
      <c r="H786" s="358"/>
      <c r="I786" s="352"/>
      <c r="J786" s="353"/>
      <c r="K786" s="538"/>
      <c r="L786" s="487"/>
      <c r="M786" s="487"/>
      <c r="N786" s="354"/>
      <c r="O786" s="354"/>
      <c r="P786" s="354"/>
      <c r="Q786" s="354"/>
      <c r="R786" s="354"/>
      <c r="S786" s="354"/>
      <c r="T786" s="354"/>
      <c r="U786" s="354"/>
      <c r="V786" s="354"/>
      <c r="W786" s="354"/>
      <c r="X786" s="354"/>
      <c r="Y786" s="354"/>
      <c r="Z786" s="353"/>
      <c r="AA786" s="353"/>
      <c r="AB786" s="836"/>
      <c r="AC786" s="836"/>
      <c r="AD786" s="836"/>
      <c r="AE786" s="838"/>
    </row>
    <row r="787" spans="1:31" ht="16.5" customHeight="1">
      <c r="A787" s="347">
        <v>9116427</v>
      </c>
      <c r="B787" s="347" t="s">
        <v>6347</v>
      </c>
      <c r="C787" s="347"/>
      <c r="D787" s="348"/>
      <c r="E787" s="348"/>
      <c r="F787" s="348"/>
      <c r="G787" s="348"/>
      <c r="H787" s="358"/>
      <c r="I787" s="352"/>
      <c r="J787" s="353"/>
      <c r="K787" s="538"/>
      <c r="L787" s="487"/>
      <c r="M787" s="487"/>
      <c r="N787" s="354"/>
      <c r="O787" s="354"/>
      <c r="P787" s="354"/>
      <c r="Q787" s="354"/>
      <c r="R787" s="354"/>
      <c r="S787" s="354"/>
      <c r="T787" s="354"/>
      <c r="U787" s="354"/>
      <c r="V787" s="354"/>
      <c r="W787" s="354"/>
      <c r="X787" s="354"/>
      <c r="Y787" s="354"/>
      <c r="Z787" s="353"/>
      <c r="AA787" s="353"/>
      <c r="AB787" s="836"/>
      <c r="AC787" s="836"/>
      <c r="AD787" s="836"/>
      <c r="AE787" s="838"/>
    </row>
    <row r="788" spans="1:31" ht="16.5" customHeight="1">
      <c r="A788" s="347">
        <v>10208866</v>
      </c>
      <c r="B788" s="347" t="s">
        <v>6348</v>
      </c>
      <c r="C788" s="347"/>
      <c r="D788" s="348"/>
      <c r="E788" s="348"/>
      <c r="F788" s="348"/>
      <c r="G788" s="348"/>
      <c r="H788" s="358"/>
      <c r="I788" s="352"/>
      <c r="J788" s="353"/>
      <c r="K788" s="538"/>
      <c r="L788" s="487"/>
      <c r="M788" s="487"/>
      <c r="N788" s="354"/>
      <c r="O788" s="354"/>
      <c r="P788" s="354"/>
      <c r="Q788" s="354"/>
      <c r="R788" s="354"/>
      <c r="S788" s="354"/>
      <c r="T788" s="354"/>
      <c r="U788" s="354"/>
      <c r="V788" s="354"/>
      <c r="W788" s="354"/>
      <c r="X788" s="354"/>
      <c r="Y788" s="354"/>
      <c r="Z788" s="353"/>
      <c r="AA788" s="353"/>
      <c r="AB788" s="836"/>
      <c r="AC788" s="836"/>
      <c r="AD788" s="836"/>
      <c r="AE788" s="838"/>
    </row>
    <row r="789" spans="1:31" ht="16.5" customHeight="1">
      <c r="A789" s="347">
        <v>5307905</v>
      </c>
      <c r="B789" s="347" t="s">
        <v>6349</v>
      </c>
      <c r="C789" s="347"/>
      <c r="D789" s="348"/>
      <c r="E789" s="348"/>
      <c r="F789" s="348"/>
      <c r="G789" s="348"/>
      <c r="H789" s="358"/>
      <c r="I789" s="352"/>
      <c r="J789" s="353"/>
      <c r="K789" s="538"/>
      <c r="L789" s="487"/>
      <c r="M789" s="487"/>
      <c r="N789" s="354"/>
      <c r="O789" s="354"/>
      <c r="P789" s="354"/>
      <c r="Q789" s="354"/>
      <c r="R789" s="354"/>
      <c r="S789" s="354"/>
      <c r="T789" s="354"/>
      <c r="U789" s="354"/>
      <c r="V789" s="354"/>
      <c r="W789" s="354"/>
      <c r="X789" s="354"/>
      <c r="Y789" s="354"/>
      <c r="Z789" s="353"/>
      <c r="AA789" s="353"/>
      <c r="AB789" s="836"/>
      <c r="AC789" s="836"/>
      <c r="AD789" s="836"/>
      <c r="AE789" s="838"/>
    </row>
    <row r="790" spans="1:31" ht="16.5" customHeight="1">
      <c r="A790" s="347">
        <v>36037273</v>
      </c>
      <c r="B790" s="347" t="s">
        <v>6350</v>
      </c>
      <c r="C790" s="347"/>
      <c r="D790" s="348"/>
      <c r="E790" s="348"/>
      <c r="F790" s="348"/>
      <c r="G790" s="348"/>
      <c r="H790" s="358"/>
      <c r="I790" s="352"/>
      <c r="J790" s="353"/>
      <c r="K790" s="538"/>
      <c r="L790" s="487"/>
      <c r="M790" s="487"/>
      <c r="N790" s="354"/>
      <c r="O790" s="354"/>
      <c r="P790" s="354"/>
      <c r="Q790" s="354"/>
      <c r="R790" s="354"/>
      <c r="S790" s="354"/>
      <c r="T790" s="354"/>
      <c r="U790" s="354"/>
      <c r="V790" s="354"/>
      <c r="W790" s="354"/>
      <c r="X790" s="354"/>
      <c r="Y790" s="354"/>
      <c r="Z790" s="353"/>
      <c r="AA790" s="353"/>
      <c r="AB790" s="836"/>
      <c r="AC790" s="836"/>
      <c r="AD790" s="836"/>
      <c r="AE790" s="838"/>
    </row>
    <row r="791" spans="1:31" ht="16.5" customHeight="1">
      <c r="A791" s="347">
        <v>2814309</v>
      </c>
      <c r="B791" s="347" t="s">
        <v>6351</v>
      </c>
      <c r="C791" s="347"/>
      <c r="D791" s="348"/>
      <c r="E791" s="348"/>
      <c r="F791" s="348"/>
      <c r="G791" s="348"/>
      <c r="H791" s="358"/>
      <c r="I791" s="352"/>
      <c r="J791" s="353"/>
      <c r="K791" s="538"/>
      <c r="L791" s="487"/>
      <c r="M791" s="487"/>
      <c r="N791" s="354"/>
      <c r="O791" s="354"/>
      <c r="P791" s="354"/>
      <c r="Q791" s="354"/>
      <c r="R791" s="354"/>
      <c r="S791" s="354"/>
      <c r="T791" s="354"/>
      <c r="U791" s="354"/>
      <c r="V791" s="354"/>
      <c r="W791" s="354"/>
      <c r="X791" s="354"/>
      <c r="Y791" s="354"/>
      <c r="Z791" s="353"/>
      <c r="AA791" s="353"/>
      <c r="AB791" s="836"/>
      <c r="AC791" s="836"/>
      <c r="AD791" s="836"/>
      <c r="AE791" s="838"/>
    </row>
    <row r="792" spans="1:31" ht="16.5" customHeight="1">
      <c r="A792" s="347">
        <v>100003858</v>
      </c>
      <c r="B792" s="347" t="s">
        <v>6352</v>
      </c>
      <c r="C792" s="347"/>
      <c r="D792" s="348"/>
      <c r="E792" s="348"/>
      <c r="F792" s="348"/>
      <c r="G792" s="348"/>
      <c r="H792" s="358"/>
      <c r="I792" s="352"/>
      <c r="J792" s="353"/>
      <c r="K792" s="538"/>
      <c r="L792" s="487"/>
      <c r="M792" s="487"/>
      <c r="N792" s="354"/>
      <c r="O792" s="354"/>
      <c r="P792" s="354"/>
      <c r="Q792" s="354"/>
      <c r="R792" s="354"/>
      <c r="S792" s="354"/>
      <c r="T792" s="354"/>
      <c r="U792" s="354"/>
      <c r="V792" s="354"/>
      <c r="W792" s="354"/>
      <c r="X792" s="354"/>
      <c r="Y792" s="354"/>
      <c r="Z792" s="353"/>
      <c r="AA792" s="353"/>
      <c r="AB792" s="836"/>
      <c r="AC792" s="836"/>
      <c r="AD792" s="836"/>
      <c r="AE792" s="838"/>
    </row>
    <row r="793" spans="1:31" ht="16.5" customHeight="1">
      <c r="A793" s="347">
        <v>37838810</v>
      </c>
      <c r="B793" s="347" t="s">
        <v>6353</v>
      </c>
      <c r="C793" s="347"/>
      <c r="D793" s="348"/>
      <c r="E793" s="348"/>
      <c r="F793" s="348"/>
      <c r="G793" s="348"/>
      <c r="H793" s="358"/>
      <c r="I793" s="352"/>
      <c r="J793" s="353"/>
      <c r="K793" s="538"/>
      <c r="L793" s="487"/>
      <c r="M793" s="487"/>
      <c r="N793" s="354"/>
      <c r="O793" s="354"/>
      <c r="P793" s="354"/>
      <c r="Q793" s="354"/>
      <c r="R793" s="354"/>
      <c r="S793" s="354"/>
      <c r="T793" s="354"/>
      <c r="U793" s="354"/>
      <c r="V793" s="354"/>
      <c r="W793" s="354"/>
      <c r="X793" s="354"/>
      <c r="Y793" s="354"/>
      <c r="Z793" s="353"/>
      <c r="AA793" s="353"/>
      <c r="AB793" s="836"/>
      <c r="AC793" s="836"/>
      <c r="AD793" s="836"/>
      <c r="AE793" s="838"/>
    </row>
    <row r="794" spans="1:31" ht="16.5" customHeight="1">
      <c r="A794" s="347">
        <v>73737777</v>
      </c>
      <c r="B794" s="347" t="s">
        <v>6354</v>
      </c>
      <c r="C794" s="347"/>
      <c r="D794" s="348"/>
      <c r="E794" s="348"/>
      <c r="F794" s="348"/>
      <c r="G794" s="348"/>
      <c r="H794" s="358"/>
      <c r="I794" s="352"/>
      <c r="J794" s="353"/>
      <c r="K794" s="538"/>
      <c r="L794" s="487"/>
      <c r="M794" s="487"/>
      <c r="N794" s="354"/>
      <c r="O794" s="354"/>
      <c r="P794" s="354"/>
      <c r="Q794" s="354"/>
      <c r="R794" s="354"/>
      <c r="S794" s="354"/>
      <c r="T794" s="354"/>
      <c r="U794" s="354"/>
      <c r="V794" s="354"/>
      <c r="W794" s="354"/>
      <c r="X794" s="354"/>
      <c r="Y794" s="354"/>
      <c r="Z794" s="353"/>
      <c r="AA794" s="353"/>
      <c r="AB794" s="836"/>
      <c r="AC794" s="836"/>
      <c r="AD794" s="836"/>
      <c r="AE794" s="838"/>
    </row>
    <row r="795" spans="1:31" ht="16.5" customHeight="1">
      <c r="A795" s="347">
        <v>36223568</v>
      </c>
      <c r="B795" s="347" t="s">
        <v>6355</v>
      </c>
      <c r="C795" s="347"/>
      <c r="D795" s="348"/>
      <c r="E795" s="348"/>
      <c r="F795" s="348"/>
      <c r="G795" s="348"/>
      <c r="H795" s="358"/>
      <c r="I795" s="352"/>
      <c r="J795" s="353"/>
      <c r="K795" s="538"/>
      <c r="L795" s="487"/>
      <c r="M795" s="487"/>
      <c r="N795" s="354"/>
      <c r="O795" s="354"/>
      <c r="P795" s="354"/>
      <c r="Q795" s="354"/>
      <c r="R795" s="354"/>
      <c r="S795" s="354"/>
      <c r="T795" s="354"/>
      <c r="U795" s="354"/>
      <c r="V795" s="354"/>
      <c r="W795" s="354"/>
      <c r="X795" s="354"/>
      <c r="Y795" s="354"/>
      <c r="Z795" s="353"/>
      <c r="AA795" s="353"/>
      <c r="AB795" s="836"/>
      <c r="AC795" s="836"/>
      <c r="AD795" s="836"/>
      <c r="AE795" s="838"/>
    </row>
    <row r="796" spans="1:31" ht="16.5" customHeight="1">
      <c r="A796" s="347">
        <v>33981770</v>
      </c>
      <c r="B796" s="347" t="s">
        <v>6356</v>
      </c>
      <c r="C796" s="347"/>
      <c r="D796" s="348"/>
      <c r="E796" s="348"/>
      <c r="F796" s="348"/>
      <c r="G796" s="348"/>
      <c r="H796" s="358"/>
      <c r="I796" s="352"/>
      <c r="J796" s="353"/>
      <c r="K796" s="538"/>
      <c r="L796" s="487"/>
      <c r="M796" s="487"/>
      <c r="N796" s="354"/>
      <c r="O796" s="354"/>
      <c r="P796" s="354"/>
      <c r="Q796" s="354"/>
      <c r="R796" s="354"/>
      <c r="S796" s="354"/>
      <c r="T796" s="354"/>
      <c r="U796" s="354"/>
      <c r="V796" s="354"/>
      <c r="W796" s="354"/>
      <c r="X796" s="354"/>
      <c r="Y796" s="354"/>
      <c r="Z796" s="353"/>
      <c r="AA796" s="353"/>
      <c r="AB796" s="836"/>
      <c r="AC796" s="836"/>
      <c r="AD796" s="836"/>
      <c r="AE796" s="838"/>
    </row>
    <row r="797" spans="1:31" ht="16.5" customHeight="1">
      <c r="A797" s="347">
        <v>28473957</v>
      </c>
      <c r="B797" s="347" t="s">
        <v>6357</v>
      </c>
      <c r="C797" s="347"/>
      <c r="D797" s="348"/>
      <c r="E797" s="348"/>
      <c r="F797" s="348"/>
      <c r="G797" s="348"/>
      <c r="H797" s="358"/>
      <c r="I797" s="352"/>
      <c r="J797" s="353"/>
      <c r="K797" s="538"/>
      <c r="L797" s="487"/>
      <c r="M797" s="487"/>
      <c r="N797" s="354"/>
      <c r="O797" s="354"/>
      <c r="P797" s="354"/>
      <c r="Q797" s="354"/>
      <c r="R797" s="354"/>
      <c r="S797" s="354"/>
      <c r="T797" s="354"/>
      <c r="U797" s="354"/>
      <c r="V797" s="354"/>
      <c r="W797" s="354"/>
      <c r="X797" s="354"/>
      <c r="Y797" s="354"/>
      <c r="Z797" s="353"/>
      <c r="AA797" s="353"/>
      <c r="AB797" s="836"/>
      <c r="AC797" s="836"/>
      <c r="AD797" s="836"/>
      <c r="AE797" s="838"/>
    </row>
    <row r="798" spans="1:31" ht="16.5" customHeight="1">
      <c r="A798" s="347">
        <v>5338363</v>
      </c>
      <c r="B798" s="347" t="s">
        <v>6358</v>
      </c>
      <c r="C798" s="347"/>
      <c r="D798" s="348"/>
      <c r="E798" s="348"/>
      <c r="F798" s="348"/>
      <c r="G798" s="348"/>
      <c r="H798" s="358"/>
      <c r="I798" s="352"/>
      <c r="J798" s="353"/>
      <c r="K798" s="538"/>
      <c r="L798" s="487"/>
      <c r="M798" s="487"/>
      <c r="N798" s="354"/>
      <c r="O798" s="354"/>
      <c r="P798" s="354"/>
      <c r="Q798" s="354"/>
      <c r="R798" s="354"/>
      <c r="S798" s="354"/>
      <c r="T798" s="354"/>
      <c r="U798" s="354"/>
      <c r="V798" s="354"/>
      <c r="W798" s="354"/>
      <c r="X798" s="354"/>
      <c r="Y798" s="354"/>
      <c r="Z798" s="353"/>
      <c r="AA798" s="353"/>
      <c r="AB798" s="836"/>
      <c r="AC798" s="836"/>
      <c r="AD798" s="836"/>
      <c r="AE798" s="838"/>
    </row>
    <row r="799" spans="1:31" ht="16.5" customHeight="1">
      <c r="A799" s="347">
        <v>5472402</v>
      </c>
      <c r="B799" s="347" t="s">
        <v>6359</v>
      </c>
      <c r="C799" s="347"/>
      <c r="D799" s="348"/>
      <c r="E799" s="348"/>
      <c r="F799" s="348"/>
      <c r="G799" s="348"/>
      <c r="H799" s="358"/>
      <c r="I799" s="352"/>
      <c r="J799" s="353"/>
      <c r="K799" s="538"/>
      <c r="L799" s="487"/>
      <c r="M799" s="487"/>
      <c r="N799" s="354"/>
      <c r="O799" s="354"/>
      <c r="P799" s="354"/>
      <c r="Q799" s="354"/>
      <c r="R799" s="354"/>
      <c r="S799" s="354"/>
      <c r="T799" s="354"/>
      <c r="U799" s="354"/>
      <c r="V799" s="354"/>
      <c r="W799" s="354"/>
      <c r="X799" s="354"/>
      <c r="Y799" s="354"/>
      <c r="Z799" s="353"/>
      <c r="AA799" s="353"/>
      <c r="AB799" s="836"/>
      <c r="AC799" s="836"/>
      <c r="AD799" s="836"/>
      <c r="AE799" s="838"/>
    </row>
    <row r="800" spans="1:31" ht="16.5" customHeight="1">
      <c r="A800" s="347">
        <v>40065195</v>
      </c>
      <c r="B800" s="347" t="s">
        <v>6360</v>
      </c>
      <c r="C800" s="347"/>
      <c r="D800" s="348"/>
      <c r="E800" s="348"/>
      <c r="F800" s="348"/>
      <c r="G800" s="348"/>
      <c r="H800" s="358"/>
      <c r="I800" s="352"/>
      <c r="J800" s="353"/>
      <c r="K800" s="538"/>
      <c r="L800" s="487"/>
      <c r="M800" s="487"/>
      <c r="N800" s="354"/>
      <c r="O800" s="354"/>
      <c r="P800" s="354"/>
      <c r="Q800" s="354"/>
      <c r="R800" s="354"/>
      <c r="S800" s="354"/>
      <c r="T800" s="354"/>
      <c r="U800" s="354"/>
      <c r="V800" s="354"/>
      <c r="W800" s="354"/>
      <c r="X800" s="354"/>
      <c r="Y800" s="354"/>
      <c r="Z800" s="353"/>
      <c r="AA800" s="353"/>
      <c r="AB800" s="836"/>
      <c r="AC800" s="836"/>
      <c r="AD800" s="836"/>
      <c r="AE800" s="838"/>
    </row>
    <row r="801" spans="1:31" ht="16.5" customHeight="1">
      <c r="A801" s="347">
        <v>17428061</v>
      </c>
      <c r="B801" s="347" t="s">
        <v>6361</v>
      </c>
      <c r="C801" s="347"/>
      <c r="D801" s="348"/>
      <c r="E801" s="348"/>
      <c r="F801" s="348"/>
      <c r="G801" s="348"/>
      <c r="H801" s="358"/>
      <c r="I801" s="352"/>
      <c r="J801" s="353"/>
      <c r="K801" s="538"/>
      <c r="L801" s="487"/>
      <c r="M801" s="487"/>
      <c r="N801" s="354"/>
      <c r="O801" s="354"/>
      <c r="P801" s="354"/>
      <c r="Q801" s="354"/>
      <c r="R801" s="354"/>
      <c r="S801" s="354"/>
      <c r="T801" s="354"/>
      <c r="U801" s="354"/>
      <c r="V801" s="354"/>
      <c r="W801" s="354"/>
      <c r="X801" s="354"/>
      <c r="Y801" s="354"/>
      <c r="Z801" s="353"/>
      <c r="AA801" s="353"/>
      <c r="AB801" s="836"/>
      <c r="AC801" s="836"/>
      <c r="AD801" s="836"/>
      <c r="AE801" s="838"/>
    </row>
    <row r="802" spans="1:31" ht="16.5" customHeight="1">
      <c r="A802" s="347">
        <v>17371501</v>
      </c>
      <c r="B802" s="347" t="s">
        <v>6362</v>
      </c>
      <c r="C802" s="347"/>
      <c r="D802" s="348"/>
      <c r="E802" s="348"/>
      <c r="F802" s="348"/>
      <c r="G802" s="348"/>
      <c r="H802" s="358"/>
      <c r="I802" s="352"/>
      <c r="J802" s="353"/>
      <c r="K802" s="538"/>
      <c r="L802" s="487"/>
      <c r="M802" s="487"/>
      <c r="N802" s="354"/>
      <c r="O802" s="354"/>
      <c r="P802" s="354"/>
      <c r="Q802" s="354"/>
      <c r="R802" s="354"/>
      <c r="S802" s="354"/>
      <c r="T802" s="354"/>
      <c r="U802" s="354"/>
      <c r="V802" s="354"/>
      <c r="W802" s="354"/>
      <c r="X802" s="354"/>
      <c r="Y802" s="354"/>
      <c r="Z802" s="353"/>
      <c r="AA802" s="353"/>
      <c r="AB802" s="836"/>
      <c r="AC802" s="836"/>
      <c r="AD802" s="836"/>
      <c r="AE802" s="838"/>
    </row>
    <row r="803" spans="1:31" ht="16.5" customHeight="1">
      <c r="A803" s="347">
        <v>16489429</v>
      </c>
      <c r="B803" s="347" t="s">
        <v>6363</v>
      </c>
      <c r="C803" s="347"/>
      <c r="D803" s="348"/>
      <c r="E803" s="348"/>
      <c r="F803" s="348"/>
      <c r="G803" s="348"/>
      <c r="H803" s="358"/>
      <c r="I803" s="352"/>
      <c r="J803" s="353"/>
      <c r="K803" s="538"/>
      <c r="L803" s="487"/>
      <c r="M803" s="487"/>
      <c r="N803" s="354"/>
      <c r="O803" s="354"/>
      <c r="P803" s="354"/>
      <c r="Q803" s="354"/>
      <c r="R803" s="354"/>
      <c r="S803" s="354"/>
      <c r="T803" s="354"/>
      <c r="U803" s="354"/>
      <c r="V803" s="354"/>
      <c r="W803" s="354"/>
      <c r="X803" s="354"/>
      <c r="Y803" s="354"/>
      <c r="Z803" s="353"/>
      <c r="AA803" s="353"/>
      <c r="AB803" s="836"/>
      <c r="AC803" s="836"/>
      <c r="AD803" s="836"/>
      <c r="AE803" s="838"/>
    </row>
    <row r="804" spans="1:31" ht="16.5" customHeight="1">
      <c r="A804" s="347">
        <v>92198027</v>
      </c>
      <c r="B804" s="347" t="s">
        <v>6364</v>
      </c>
      <c r="C804" s="347"/>
      <c r="D804" s="348"/>
      <c r="E804" s="348"/>
      <c r="F804" s="348"/>
      <c r="G804" s="348"/>
      <c r="H804" s="358"/>
      <c r="I804" s="352"/>
      <c r="J804" s="353"/>
      <c r="K804" s="538"/>
      <c r="L804" s="487"/>
      <c r="M804" s="487"/>
      <c r="N804" s="354"/>
      <c r="O804" s="354"/>
      <c r="P804" s="354"/>
      <c r="Q804" s="354"/>
      <c r="R804" s="354"/>
      <c r="S804" s="354"/>
      <c r="T804" s="354"/>
      <c r="U804" s="354"/>
      <c r="V804" s="354"/>
      <c r="W804" s="354"/>
      <c r="X804" s="354"/>
      <c r="Y804" s="354"/>
      <c r="Z804" s="353"/>
      <c r="AA804" s="353"/>
      <c r="AB804" s="836"/>
      <c r="AC804" s="836"/>
      <c r="AD804" s="836"/>
      <c r="AE804" s="838"/>
    </row>
    <row r="805" spans="1:31" ht="16.5" customHeight="1">
      <c r="A805" s="347">
        <v>5676457</v>
      </c>
      <c r="B805" s="347" t="s">
        <v>6365</v>
      </c>
      <c r="C805" s="347"/>
      <c r="D805" s="348"/>
      <c r="E805" s="348"/>
      <c r="F805" s="348"/>
      <c r="G805" s="348"/>
      <c r="H805" s="358"/>
      <c r="I805" s="352"/>
      <c r="J805" s="353"/>
      <c r="K805" s="538"/>
      <c r="L805" s="487"/>
      <c r="M805" s="487"/>
      <c r="N805" s="354"/>
      <c r="O805" s="354"/>
      <c r="P805" s="354"/>
      <c r="Q805" s="354"/>
      <c r="R805" s="354"/>
      <c r="S805" s="354"/>
      <c r="T805" s="354"/>
      <c r="U805" s="354"/>
      <c r="V805" s="354"/>
      <c r="W805" s="354"/>
      <c r="X805" s="354"/>
      <c r="Y805" s="354"/>
      <c r="Z805" s="353"/>
      <c r="AA805" s="353"/>
      <c r="AB805" s="836"/>
      <c r="AC805" s="836"/>
      <c r="AD805" s="836"/>
      <c r="AE805" s="838"/>
    </row>
    <row r="806" spans="1:31" ht="16.5" customHeight="1">
      <c r="A806" s="347">
        <v>24463747</v>
      </c>
      <c r="B806" s="347" t="s">
        <v>6366</v>
      </c>
      <c r="C806" s="347"/>
      <c r="D806" s="348"/>
      <c r="E806" s="348"/>
      <c r="F806" s="348"/>
      <c r="G806" s="348"/>
      <c r="H806" s="358"/>
      <c r="I806" s="352"/>
      <c r="J806" s="353"/>
      <c r="K806" s="538"/>
      <c r="L806" s="487"/>
      <c r="M806" s="487"/>
      <c r="N806" s="354"/>
      <c r="O806" s="354"/>
      <c r="P806" s="354"/>
      <c r="Q806" s="354"/>
      <c r="R806" s="354"/>
      <c r="S806" s="354"/>
      <c r="T806" s="354"/>
      <c r="U806" s="354"/>
      <c r="V806" s="354"/>
      <c r="W806" s="354"/>
      <c r="X806" s="354"/>
      <c r="Y806" s="354"/>
      <c r="Z806" s="353"/>
      <c r="AA806" s="353"/>
      <c r="AB806" s="836"/>
      <c r="AC806" s="836"/>
      <c r="AD806" s="836"/>
      <c r="AE806" s="838"/>
    </row>
    <row r="807" spans="1:31" ht="16.5" customHeight="1">
      <c r="A807" s="347">
        <v>2595825</v>
      </c>
      <c r="B807" s="347" t="s">
        <v>6367</v>
      </c>
      <c r="C807" s="347"/>
      <c r="D807" s="348"/>
      <c r="E807" s="348"/>
      <c r="F807" s="348"/>
      <c r="G807" s="348"/>
      <c r="H807" s="358"/>
      <c r="I807" s="352"/>
      <c r="J807" s="353"/>
      <c r="K807" s="538"/>
      <c r="L807" s="487"/>
      <c r="M807" s="487"/>
      <c r="N807" s="354"/>
      <c r="O807" s="354"/>
      <c r="P807" s="354"/>
      <c r="Q807" s="354"/>
      <c r="R807" s="354"/>
      <c r="S807" s="354"/>
      <c r="T807" s="354"/>
      <c r="U807" s="354"/>
      <c r="V807" s="354"/>
      <c r="W807" s="354"/>
      <c r="X807" s="354"/>
      <c r="Y807" s="354"/>
      <c r="Z807" s="353"/>
      <c r="AA807" s="353"/>
      <c r="AB807" s="836"/>
      <c r="AC807" s="836"/>
      <c r="AD807" s="836"/>
      <c r="AE807" s="838"/>
    </row>
    <row r="808" spans="1:31" ht="16.5" customHeight="1">
      <c r="A808" s="347">
        <v>39525662</v>
      </c>
      <c r="B808" s="347" t="s">
        <v>6368</v>
      </c>
      <c r="C808" s="347"/>
      <c r="D808" s="348"/>
      <c r="E808" s="348"/>
      <c r="F808" s="348"/>
      <c r="G808" s="348"/>
      <c r="H808" s="358"/>
      <c r="I808" s="352"/>
      <c r="J808" s="353"/>
      <c r="K808" s="538"/>
      <c r="L808" s="487"/>
      <c r="M808" s="487"/>
      <c r="N808" s="354"/>
      <c r="O808" s="354"/>
      <c r="P808" s="354"/>
      <c r="Q808" s="354"/>
      <c r="R808" s="354"/>
      <c r="S808" s="354"/>
      <c r="T808" s="354"/>
      <c r="U808" s="354"/>
      <c r="V808" s="354"/>
      <c r="W808" s="354"/>
      <c r="X808" s="354"/>
      <c r="Y808" s="354"/>
      <c r="Z808" s="353"/>
      <c r="AA808" s="353"/>
      <c r="AB808" s="836"/>
      <c r="AC808" s="836"/>
      <c r="AD808" s="836"/>
      <c r="AE808" s="838"/>
    </row>
    <row r="809" spans="1:31" ht="16.5" customHeight="1">
      <c r="A809" s="347">
        <v>100004528</v>
      </c>
      <c r="B809" s="347" t="s">
        <v>5990</v>
      </c>
      <c r="C809" s="347"/>
      <c r="D809" s="348"/>
      <c r="E809" s="348"/>
      <c r="F809" s="348"/>
      <c r="G809" s="348"/>
      <c r="H809" s="358"/>
      <c r="I809" s="352"/>
      <c r="J809" s="353"/>
      <c r="K809" s="538"/>
      <c r="L809" s="487"/>
      <c r="M809" s="487"/>
      <c r="N809" s="354"/>
      <c r="O809" s="354"/>
      <c r="P809" s="354"/>
      <c r="Q809" s="354"/>
      <c r="R809" s="354"/>
      <c r="S809" s="354"/>
      <c r="T809" s="354"/>
      <c r="U809" s="354"/>
      <c r="V809" s="354"/>
      <c r="W809" s="354"/>
      <c r="X809" s="354"/>
      <c r="Y809" s="354"/>
      <c r="Z809" s="353"/>
      <c r="AA809" s="353"/>
      <c r="AB809" s="836"/>
      <c r="AC809" s="836"/>
      <c r="AD809" s="836"/>
      <c r="AE809" s="838"/>
    </row>
    <row r="810" spans="1:31" ht="16.5" customHeight="1">
      <c r="A810" s="347">
        <v>46860573</v>
      </c>
      <c r="B810" s="347" t="s">
        <v>6369</v>
      </c>
      <c r="C810" s="347"/>
      <c r="D810" s="348"/>
      <c r="E810" s="348"/>
      <c r="F810" s="348"/>
      <c r="G810" s="348"/>
      <c r="H810" s="358"/>
      <c r="I810" s="352"/>
      <c r="J810" s="353"/>
      <c r="K810" s="538"/>
      <c r="L810" s="487"/>
      <c r="M810" s="487"/>
      <c r="N810" s="354"/>
      <c r="O810" s="354"/>
      <c r="P810" s="354"/>
      <c r="Q810" s="354"/>
      <c r="R810" s="354"/>
      <c r="S810" s="354"/>
      <c r="T810" s="354"/>
      <c r="U810" s="354"/>
      <c r="V810" s="354"/>
      <c r="W810" s="354"/>
      <c r="X810" s="354"/>
      <c r="Y810" s="354"/>
      <c r="Z810" s="353"/>
      <c r="AA810" s="353"/>
      <c r="AB810" s="836"/>
      <c r="AC810" s="836"/>
      <c r="AD810" s="836"/>
      <c r="AE810" s="838"/>
    </row>
    <row r="811" spans="1:31" ht="16.5" customHeight="1">
      <c r="A811" s="347">
        <v>276220</v>
      </c>
      <c r="B811" s="347" t="s">
        <v>6370</v>
      </c>
      <c r="C811" s="347"/>
      <c r="D811" s="348"/>
      <c r="E811" s="348"/>
      <c r="F811" s="348"/>
      <c r="G811" s="348"/>
      <c r="H811" s="358"/>
      <c r="I811" s="352"/>
      <c r="J811" s="353"/>
      <c r="K811" s="538"/>
      <c r="L811" s="487"/>
      <c r="M811" s="487"/>
      <c r="N811" s="354"/>
      <c r="O811" s="354"/>
      <c r="P811" s="354"/>
      <c r="Q811" s="354"/>
      <c r="R811" s="354"/>
      <c r="S811" s="354"/>
      <c r="T811" s="354"/>
      <c r="U811" s="354"/>
      <c r="V811" s="354"/>
      <c r="W811" s="354"/>
      <c r="X811" s="354"/>
      <c r="Y811" s="354"/>
      <c r="Z811" s="353"/>
      <c r="AA811" s="353"/>
      <c r="AB811" s="836"/>
      <c r="AC811" s="836"/>
      <c r="AD811" s="836"/>
      <c r="AE811" s="838"/>
    </row>
    <row r="812" spans="1:31" ht="16.5" customHeight="1">
      <c r="A812" s="347">
        <v>27330877</v>
      </c>
      <c r="B812" s="347" t="s">
        <v>6371</v>
      </c>
      <c r="C812" s="347"/>
      <c r="D812" s="348"/>
      <c r="E812" s="348"/>
      <c r="F812" s="348"/>
      <c r="G812" s="348"/>
      <c r="H812" s="358"/>
      <c r="I812" s="352"/>
      <c r="J812" s="353"/>
      <c r="K812" s="538"/>
      <c r="L812" s="487"/>
      <c r="M812" s="487"/>
      <c r="N812" s="354"/>
      <c r="O812" s="354"/>
      <c r="P812" s="354"/>
      <c r="Q812" s="354"/>
      <c r="R812" s="354"/>
      <c r="S812" s="354"/>
      <c r="T812" s="354"/>
      <c r="U812" s="354"/>
      <c r="V812" s="354"/>
      <c r="W812" s="354"/>
      <c r="X812" s="354"/>
      <c r="Y812" s="354"/>
      <c r="Z812" s="353"/>
      <c r="AA812" s="353"/>
      <c r="AB812" s="836"/>
      <c r="AC812" s="836"/>
      <c r="AD812" s="836"/>
      <c r="AE812" s="838"/>
    </row>
    <row r="813" spans="1:31" ht="16.5" customHeight="1">
      <c r="A813" s="347">
        <v>41311036</v>
      </c>
      <c r="B813" s="347" t="s">
        <v>6372</v>
      </c>
      <c r="C813" s="347"/>
      <c r="D813" s="348"/>
      <c r="E813" s="348"/>
      <c r="F813" s="348"/>
      <c r="G813" s="348"/>
      <c r="H813" s="358"/>
      <c r="I813" s="352"/>
      <c r="J813" s="353"/>
      <c r="K813" s="538"/>
      <c r="L813" s="487"/>
      <c r="M813" s="487"/>
      <c r="N813" s="354"/>
      <c r="O813" s="354"/>
      <c r="P813" s="354"/>
      <c r="Q813" s="354"/>
      <c r="R813" s="354"/>
      <c r="S813" s="354"/>
      <c r="T813" s="354"/>
      <c r="U813" s="354"/>
      <c r="V813" s="354"/>
      <c r="W813" s="354"/>
      <c r="X813" s="354"/>
      <c r="Y813" s="354"/>
      <c r="Z813" s="353"/>
      <c r="AA813" s="353"/>
      <c r="AB813" s="836"/>
      <c r="AC813" s="836"/>
      <c r="AD813" s="836"/>
      <c r="AE813" s="838"/>
    </row>
    <row r="814" spans="1:31" ht="16.5" customHeight="1">
      <c r="A814" s="347">
        <v>25242603</v>
      </c>
      <c r="B814" s="347" t="s">
        <v>6373</v>
      </c>
      <c r="C814" s="347"/>
      <c r="D814" s="348"/>
      <c r="E814" s="348"/>
      <c r="F814" s="348"/>
      <c r="G814" s="348"/>
      <c r="H814" s="358"/>
      <c r="I814" s="352"/>
      <c r="J814" s="353"/>
      <c r="K814" s="538"/>
      <c r="L814" s="487"/>
      <c r="M814" s="487"/>
      <c r="N814" s="354"/>
      <c r="O814" s="354"/>
      <c r="P814" s="354"/>
      <c r="Q814" s="354"/>
      <c r="R814" s="354"/>
      <c r="S814" s="354"/>
      <c r="T814" s="354"/>
      <c r="U814" s="354"/>
      <c r="V814" s="354"/>
      <c r="W814" s="354"/>
      <c r="X814" s="354"/>
      <c r="Y814" s="354"/>
      <c r="Z814" s="353"/>
      <c r="AA814" s="353"/>
      <c r="AB814" s="836"/>
      <c r="AC814" s="836"/>
      <c r="AD814" s="836"/>
      <c r="AE814" s="838"/>
    </row>
    <row r="815" spans="1:31" ht="16.5" customHeight="1">
      <c r="A815" s="347">
        <v>16501876</v>
      </c>
      <c r="B815" s="347" t="s">
        <v>6374</v>
      </c>
      <c r="C815" s="347"/>
      <c r="D815" s="348"/>
      <c r="E815" s="348"/>
      <c r="F815" s="348"/>
      <c r="G815" s="348"/>
      <c r="H815" s="358"/>
      <c r="I815" s="352"/>
      <c r="J815" s="353"/>
      <c r="K815" s="538"/>
      <c r="L815" s="487"/>
      <c r="M815" s="487"/>
      <c r="N815" s="354"/>
      <c r="O815" s="354"/>
      <c r="P815" s="354"/>
      <c r="Q815" s="354"/>
      <c r="R815" s="354"/>
      <c r="S815" s="354"/>
      <c r="T815" s="354"/>
      <c r="U815" s="354"/>
      <c r="V815" s="354"/>
      <c r="W815" s="354"/>
      <c r="X815" s="354"/>
      <c r="Y815" s="354"/>
      <c r="Z815" s="353"/>
      <c r="AA815" s="353"/>
      <c r="AB815" s="836"/>
      <c r="AC815" s="836"/>
      <c r="AD815" s="836"/>
      <c r="AE815" s="838"/>
    </row>
    <row r="816" spans="1:31" ht="16.5" customHeight="1">
      <c r="A816" s="347">
        <v>35740059</v>
      </c>
      <c r="B816" s="347" t="s">
        <v>6375</v>
      </c>
      <c r="C816" s="347"/>
      <c r="D816" s="348"/>
      <c r="E816" s="348"/>
      <c r="F816" s="348"/>
      <c r="G816" s="348"/>
      <c r="H816" s="358"/>
      <c r="I816" s="352"/>
      <c r="J816" s="353"/>
      <c r="K816" s="538"/>
      <c r="L816" s="487"/>
      <c r="M816" s="487"/>
      <c r="N816" s="354"/>
      <c r="O816" s="354"/>
      <c r="P816" s="354"/>
      <c r="Q816" s="354"/>
      <c r="R816" s="354"/>
      <c r="S816" s="354"/>
      <c r="T816" s="354"/>
      <c r="U816" s="354"/>
      <c r="V816" s="354"/>
      <c r="W816" s="354"/>
      <c r="X816" s="354"/>
      <c r="Y816" s="354"/>
      <c r="Z816" s="353"/>
      <c r="AA816" s="353"/>
      <c r="AB816" s="836"/>
      <c r="AC816" s="836"/>
      <c r="AD816" s="836"/>
      <c r="AE816" s="838"/>
    </row>
    <row r="817" spans="1:31" ht="16.5" customHeight="1">
      <c r="A817" s="347">
        <v>36832343</v>
      </c>
      <c r="B817" s="347" t="s">
        <v>6376</v>
      </c>
      <c r="C817" s="347"/>
      <c r="D817" s="348"/>
      <c r="E817" s="348"/>
      <c r="F817" s="348"/>
      <c r="G817" s="348"/>
      <c r="H817" s="358"/>
      <c r="I817" s="352"/>
      <c r="J817" s="353"/>
      <c r="K817" s="538"/>
      <c r="L817" s="487"/>
      <c r="M817" s="487"/>
      <c r="N817" s="354"/>
      <c r="O817" s="354"/>
      <c r="P817" s="354"/>
      <c r="Q817" s="354"/>
      <c r="R817" s="354"/>
      <c r="S817" s="354"/>
      <c r="T817" s="354"/>
      <c r="U817" s="354"/>
      <c r="V817" s="354"/>
      <c r="W817" s="354"/>
      <c r="X817" s="354"/>
      <c r="Y817" s="354"/>
      <c r="Z817" s="353"/>
      <c r="AA817" s="353"/>
      <c r="AB817" s="836"/>
      <c r="AC817" s="836"/>
      <c r="AD817" s="836"/>
      <c r="AE817" s="838"/>
    </row>
    <row r="818" spans="1:31" ht="16.5" customHeight="1">
      <c r="A818" s="347">
        <v>40074460</v>
      </c>
      <c r="B818" s="347" t="s">
        <v>6377</v>
      </c>
      <c r="C818" s="347"/>
      <c r="D818" s="348"/>
      <c r="E818" s="348"/>
      <c r="F818" s="348"/>
      <c r="G818" s="348"/>
      <c r="H818" s="358"/>
      <c r="I818" s="352"/>
      <c r="J818" s="353"/>
      <c r="K818" s="538"/>
      <c r="L818" s="487"/>
      <c r="M818" s="487"/>
      <c r="N818" s="354"/>
      <c r="O818" s="354"/>
      <c r="P818" s="354"/>
      <c r="Q818" s="354"/>
      <c r="R818" s="354"/>
      <c r="S818" s="354"/>
      <c r="T818" s="354"/>
      <c r="U818" s="354"/>
      <c r="V818" s="354"/>
      <c r="W818" s="354"/>
      <c r="X818" s="354"/>
      <c r="Y818" s="354"/>
      <c r="Z818" s="353"/>
      <c r="AA818" s="353"/>
      <c r="AB818" s="836"/>
      <c r="AC818" s="836"/>
      <c r="AD818" s="836"/>
      <c r="AE818" s="838"/>
    </row>
    <row r="819" spans="1:31" ht="16.5" customHeight="1">
      <c r="A819" s="347">
        <v>6081004</v>
      </c>
      <c r="B819" s="347" t="s">
        <v>6378</v>
      </c>
      <c r="C819" s="347"/>
      <c r="D819" s="348"/>
      <c r="E819" s="348"/>
      <c r="F819" s="348"/>
      <c r="G819" s="348"/>
      <c r="H819" s="358"/>
      <c r="I819" s="352"/>
      <c r="J819" s="353"/>
      <c r="K819" s="538"/>
      <c r="L819" s="487"/>
      <c r="M819" s="487"/>
      <c r="N819" s="354"/>
      <c r="O819" s="354"/>
      <c r="P819" s="354"/>
      <c r="Q819" s="354"/>
      <c r="R819" s="354"/>
      <c r="S819" s="354"/>
      <c r="T819" s="354"/>
      <c r="U819" s="354"/>
      <c r="V819" s="354"/>
      <c r="W819" s="354"/>
      <c r="X819" s="354"/>
      <c r="Y819" s="354"/>
      <c r="Z819" s="353"/>
      <c r="AA819" s="353"/>
      <c r="AB819" s="836"/>
      <c r="AC819" s="836"/>
      <c r="AD819" s="836"/>
      <c r="AE819" s="838"/>
    </row>
    <row r="820" spans="1:31" ht="16.5" customHeight="1">
      <c r="A820" s="347">
        <v>17613498</v>
      </c>
      <c r="B820" s="347" t="s">
        <v>6379</v>
      </c>
      <c r="C820" s="347"/>
      <c r="D820" s="348"/>
      <c r="E820" s="348"/>
      <c r="F820" s="348"/>
      <c r="G820" s="348"/>
      <c r="H820" s="358"/>
      <c r="I820" s="352"/>
      <c r="J820" s="353"/>
      <c r="K820" s="538"/>
      <c r="L820" s="487"/>
      <c r="M820" s="487"/>
      <c r="N820" s="354"/>
      <c r="O820" s="354"/>
      <c r="P820" s="354"/>
      <c r="Q820" s="354"/>
      <c r="R820" s="354"/>
      <c r="S820" s="354"/>
      <c r="T820" s="354"/>
      <c r="U820" s="354"/>
      <c r="V820" s="354"/>
      <c r="W820" s="354"/>
      <c r="X820" s="354"/>
      <c r="Y820" s="354"/>
      <c r="Z820" s="353"/>
      <c r="AA820" s="353"/>
      <c r="AB820" s="836"/>
      <c r="AC820" s="836"/>
      <c r="AD820" s="836"/>
      <c r="AE820" s="838"/>
    </row>
    <row r="821" spans="1:31" ht="16.5" customHeight="1">
      <c r="A821" s="347">
        <v>18972968</v>
      </c>
      <c r="B821" s="347" t="s">
        <v>6380</v>
      </c>
      <c r="C821" s="347"/>
      <c r="D821" s="348"/>
      <c r="E821" s="348"/>
      <c r="F821" s="348"/>
      <c r="G821" s="348"/>
      <c r="H821" s="358"/>
      <c r="I821" s="352"/>
      <c r="J821" s="353"/>
      <c r="K821" s="538"/>
      <c r="L821" s="487"/>
      <c r="M821" s="487"/>
      <c r="N821" s="354"/>
      <c r="O821" s="354"/>
      <c r="P821" s="354"/>
      <c r="Q821" s="354"/>
      <c r="R821" s="354"/>
      <c r="S821" s="354"/>
      <c r="T821" s="354"/>
      <c r="U821" s="354"/>
      <c r="V821" s="354"/>
      <c r="W821" s="354"/>
      <c r="X821" s="354"/>
      <c r="Y821" s="354"/>
      <c r="Z821" s="353"/>
      <c r="AA821" s="353"/>
      <c r="AB821" s="836"/>
      <c r="AC821" s="836"/>
      <c r="AD821" s="836"/>
      <c r="AE821" s="838"/>
    </row>
    <row r="822" spans="1:31" ht="16.5" customHeight="1">
      <c r="A822" s="347">
        <v>42938175</v>
      </c>
      <c r="B822" s="347" t="s">
        <v>6381</v>
      </c>
      <c r="C822" s="347"/>
      <c r="D822" s="348"/>
      <c r="E822" s="348"/>
      <c r="F822" s="348"/>
      <c r="G822" s="348"/>
      <c r="H822" s="358"/>
      <c r="I822" s="352"/>
      <c r="J822" s="353"/>
      <c r="K822" s="538"/>
      <c r="L822" s="487"/>
      <c r="M822" s="487"/>
      <c r="N822" s="354"/>
      <c r="O822" s="354"/>
      <c r="P822" s="354"/>
      <c r="Q822" s="354"/>
      <c r="R822" s="354"/>
      <c r="S822" s="354"/>
      <c r="T822" s="354"/>
      <c r="U822" s="354"/>
      <c r="V822" s="354"/>
      <c r="W822" s="354"/>
      <c r="X822" s="354"/>
      <c r="Y822" s="354"/>
      <c r="Z822" s="353"/>
      <c r="AA822" s="353"/>
      <c r="AB822" s="836"/>
      <c r="AC822" s="836"/>
      <c r="AD822" s="836"/>
      <c r="AE822" s="838"/>
    </row>
    <row r="823" spans="1:31" ht="16.5" customHeight="1">
      <c r="A823" s="347">
        <v>32281461</v>
      </c>
      <c r="B823" s="347" t="s">
        <v>6382</v>
      </c>
      <c r="C823" s="347"/>
      <c r="D823" s="348"/>
      <c r="E823" s="348"/>
      <c r="F823" s="348"/>
      <c r="G823" s="348"/>
      <c r="H823" s="358"/>
      <c r="I823" s="352"/>
      <c r="J823" s="353"/>
      <c r="K823" s="538"/>
      <c r="L823" s="487"/>
      <c r="M823" s="487"/>
      <c r="N823" s="354"/>
      <c r="O823" s="354"/>
      <c r="P823" s="354"/>
      <c r="Q823" s="354"/>
      <c r="R823" s="354"/>
      <c r="S823" s="354"/>
      <c r="T823" s="354"/>
      <c r="U823" s="354"/>
      <c r="V823" s="354"/>
      <c r="W823" s="354"/>
      <c r="X823" s="354"/>
      <c r="Y823" s="354"/>
      <c r="Z823" s="353"/>
      <c r="AA823" s="353"/>
      <c r="AB823" s="836"/>
      <c r="AC823" s="836"/>
      <c r="AD823" s="836"/>
      <c r="AE823" s="838"/>
    </row>
    <row r="824" spans="1:31" ht="16.5" customHeight="1">
      <c r="A824" s="347">
        <v>1132679</v>
      </c>
      <c r="B824" s="347" t="s">
        <v>6383</v>
      </c>
      <c r="C824" s="347"/>
      <c r="D824" s="348"/>
      <c r="E824" s="348"/>
      <c r="F824" s="348"/>
      <c r="G824" s="348"/>
      <c r="H824" s="358"/>
      <c r="I824" s="352"/>
      <c r="J824" s="353"/>
      <c r="K824" s="538"/>
      <c r="L824" s="487"/>
      <c r="M824" s="487"/>
      <c r="N824" s="354"/>
      <c r="O824" s="354"/>
      <c r="P824" s="354"/>
      <c r="Q824" s="354"/>
      <c r="R824" s="354"/>
      <c r="S824" s="354"/>
      <c r="T824" s="354"/>
      <c r="U824" s="354"/>
      <c r="V824" s="354"/>
      <c r="W824" s="354"/>
      <c r="X824" s="354"/>
      <c r="Y824" s="354"/>
      <c r="Z824" s="353"/>
      <c r="AA824" s="353"/>
      <c r="AB824" s="836"/>
      <c r="AC824" s="836"/>
      <c r="AD824" s="836"/>
      <c r="AE824" s="838"/>
    </row>
    <row r="825" spans="1:31" ht="16.5" customHeight="1">
      <c r="A825" s="347">
        <v>46104170</v>
      </c>
      <c r="B825" s="347" t="s">
        <v>6384</v>
      </c>
      <c r="C825" s="347"/>
      <c r="D825" s="348"/>
      <c r="E825" s="348"/>
      <c r="F825" s="348"/>
      <c r="G825" s="348"/>
      <c r="H825" s="358"/>
      <c r="I825" s="352"/>
      <c r="J825" s="353"/>
      <c r="K825" s="538"/>
      <c r="L825" s="487"/>
      <c r="M825" s="487"/>
      <c r="N825" s="354"/>
      <c r="O825" s="354"/>
      <c r="P825" s="354"/>
      <c r="Q825" s="354"/>
      <c r="R825" s="354"/>
      <c r="S825" s="354"/>
      <c r="T825" s="354"/>
      <c r="U825" s="354"/>
      <c r="V825" s="354"/>
      <c r="W825" s="354"/>
      <c r="X825" s="354"/>
      <c r="Y825" s="354"/>
      <c r="Z825" s="353"/>
      <c r="AA825" s="353"/>
      <c r="AB825" s="836"/>
      <c r="AC825" s="836"/>
      <c r="AD825" s="836"/>
      <c r="AE825" s="838"/>
    </row>
    <row r="826" spans="1:31" ht="16.5" customHeight="1">
      <c r="A826" s="347">
        <v>3929460</v>
      </c>
      <c r="B826" s="347" t="s">
        <v>6385</v>
      </c>
      <c r="C826" s="347"/>
      <c r="D826" s="348"/>
      <c r="E826" s="348"/>
      <c r="F826" s="348"/>
      <c r="G826" s="348"/>
      <c r="H826" s="358"/>
      <c r="I826" s="352"/>
      <c r="J826" s="353"/>
      <c r="K826" s="538"/>
      <c r="L826" s="487"/>
      <c r="M826" s="487"/>
      <c r="N826" s="354"/>
      <c r="O826" s="354"/>
      <c r="P826" s="354"/>
      <c r="Q826" s="354"/>
      <c r="R826" s="354"/>
      <c r="S826" s="354"/>
      <c r="T826" s="354"/>
      <c r="U826" s="354"/>
      <c r="V826" s="354"/>
      <c r="W826" s="354"/>
      <c r="X826" s="354"/>
      <c r="Y826" s="354"/>
      <c r="Z826" s="353"/>
      <c r="AA826" s="353"/>
      <c r="AB826" s="836"/>
      <c r="AC826" s="836"/>
      <c r="AD826" s="836"/>
      <c r="AE826" s="838"/>
    </row>
    <row r="827" spans="1:31" ht="16.5" customHeight="1">
      <c r="A827" s="347">
        <v>30881825</v>
      </c>
      <c r="B827" s="347" t="s">
        <v>6386</v>
      </c>
      <c r="C827" s="347"/>
      <c r="D827" s="348"/>
      <c r="E827" s="348"/>
      <c r="F827" s="348"/>
      <c r="G827" s="348"/>
      <c r="H827" s="358"/>
      <c r="I827" s="352"/>
      <c r="J827" s="353"/>
      <c r="K827" s="538"/>
      <c r="L827" s="487"/>
      <c r="M827" s="487"/>
      <c r="N827" s="354"/>
      <c r="O827" s="354"/>
      <c r="P827" s="354"/>
      <c r="Q827" s="354"/>
      <c r="R827" s="354"/>
      <c r="S827" s="354"/>
      <c r="T827" s="354"/>
      <c r="U827" s="354"/>
      <c r="V827" s="354"/>
      <c r="W827" s="354"/>
      <c r="X827" s="354"/>
      <c r="Y827" s="354"/>
      <c r="Z827" s="353"/>
      <c r="AA827" s="353"/>
      <c r="AB827" s="836"/>
      <c r="AC827" s="836"/>
      <c r="AD827" s="836"/>
      <c r="AE827" s="838"/>
    </row>
    <row r="828" spans="1:31" ht="16.5" customHeight="1">
      <c r="A828" s="347">
        <v>100234038</v>
      </c>
      <c r="B828" s="347" t="s">
        <v>6387</v>
      </c>
      <c r="C828" s="347"/>
      <c r="D828" s="348"/>
      <c r="E828" s="348"/>
      <c r="F828" s="348"/>
      <c r="G828" s="348"/>
      <c r="H828" s="358"/>
      <c r="I828" s="352"/>
      <c r="J828" s="353"/>
      <c r="K828" s="538"/>
      <c r="L828" s="487"/>
      <c r="M828" s="487"/>
      <c r="N828" s="354"/>
      <c r="O828" s="354"/>
      <c r="P828" s="354"/>
      <c r="Q828" s="354"/>
      <c r="R828" s="354"/>
      <c r="S828" s="354"/>
      <c r="T828" s="354"/>
      <c r="U828" s="354"/>
      <c r="V828" s="354"/>
      <c r="W828" s="354"/>
      <c r="X828" s="354"/>
      <c r="Y828" s="354"/>
      <c r="Z828" s="353"/>
      <c r="AA828" s="353"/>
      <c r="AB828" s="836"/>
      <c r="AC828" s="836"/>
      <c r="AD828" s="836"/>
      <c r="AE828" s="838"/>
    </row>
    <row r="829" spans="1:31" ht="16.5" customHeight="1">
      <c r="A829" s="347">
        <v>23488075</v>
      </c>
      <c r="B829" s="347" t="s">
        <v>6388</v>
      </c>
      <c r="C829" s="347"/>
      <c r="D829" s="348"/>
      <c r="E829" s="348"/>
      <c r="F829" s="348"/>
      <c r="G829" s="348"/>
      <c r="H829" s="358"/>
      <c r="I829" s="352"/>
      <c r="J829" s="353"/>
      <c r="K829" s="538"/>
      <c r="L829" s="487"/>
      <c r="M829" s="487"/>
      <c r="N829" s="354"/>
      <c r="O829" s="354"/>
      <c r="P829" s="354"/>
      <c r="Q829" s="354"/>
      <c r="R829" s="354"/>
      <c r="S829" s="354"/>
      <c r="T829" s="354"/>
      <c r="U829" s="354"/>
      <c r="V829" s="354"/>
      <c r="W829" s="354"/>
      <c r="X829" s="354"/>
      <c r="Y829" s="354"/>
      <c r="Z829" s="353"/>
      <c r="AA829" s="353"/>
      <c r="AB829" s="836"/>
      <c r="AC829" s="836"/>
      <c r="AD829" s="836"/>
      <c r="AE829" s="838"/>
    </row>
    <row r="830" spans="1:31" ht="16.5" customHeight="1">
      <c r="A830" s="347">
        <v>28356251</v>
      </c>
      <c r="B830" s="347" t="s">
        <v>6389</v>
      </c>
      <c r="C830" s="347"/>
      <c r="D830" s="361"/>
      <c r="E830" s="361"/>
      <c r="F830" s="361"/>
      <c r="G830" s="348"/>
      <c r="H830" s="358"/>
      <c r="I830" s="352"/>
      <c r="J830" s="353"/>
      <c r="K830" s="538"/>
      <c r="L830" s="487"/>
      <c r="M830" s="487"/>
      <c r="N830" s="354"/>
      <c r="O830" s="354"/>
      <c r="P830" s="354"/>
      <c r="Q830" s="354"/>
      <c r="R830" s="354"/>
      <c r="S830" s="354"/>
      <c r="T830" s="354"/>
      <c r="U830" s="354"/>
      <c r="V830" s="354"/>
      <c r="W830" s="354"/>
      <c r="X830" s="354"/>
      <c r="Y830" s="354"/>
      <c r="Z830" s="353"/>
      <c r="AA830" s="353"/>
      <c r="AB830" s="836"/>
      <c r="AC830" s="836"/>
      <c r="AD830" s="836"/>
      <c r="AE830" s="838"/>
    </row>
    <row r="831" spans="1:31" ht="16.5" customHeight="1">
      <c r="A831" s="347">
        <v>35129659</v>
      </c>
      <c r="B831" s="347" t="s">
        <v>6390</v>
      </c>
      <c r="C831" s="347"/>
      <c r="D831" s="348"/>
      <c r="E831" s="348"/>
      <c r="F831" s="348"/>
      <c r="G831" s="348"/>
      <c r="H831" s="358"/>
      <c r="I831" s="352"/>
      <c r="J831" s="353"/>
      <c r="K831" s="538"/>
      <c r="L831" s="487"/>
      <c r="M831" s="487"/>
      <c r="N831" s="354"/>
      <c r="O831" s="354"/>
      <c r="P831" s="354"/>
      <c r="Q831" s="354"/>
      <c r="R831" s="354"/>
      <c r="S831" s="354"/>
      <c r="T831" s="354"/>
      <c r="U831" s="354"/>
      <c r="V831" s="354"/>
      <c r="W831" s="354"/>
      <c r="X831" s="354"/>
      <c r="Y831" s="354"/>
      <c r="Z831" s="353"/>
      <c r="AA831" s="353"/>
      <c r="AB831" s="836"/>
      <c r="AC831" s="836"/>
      <c r="AD831" s="836"/>
      <c r="AE831" s="838"/>
    </row>
    <row r="832" spans="1:31" ht="16.5" customHeight="1">
      <c r="A832" s="347">
        <v>19436203</v>
      </c>
      <c r="B832" s="347" t="s">
        <v>6391</v>
      </c>
      <c r="C832" s="347"/>
      <c r="D832" s="348"/>
      <c r="E832" s="348"/>
      <c r="F832" s="348"/>
      <c r="G832" s="348"/>
      <c r="H832" s="358"/>
      <c r="I832" s="352"/>
      <c r="J832" s="353"/>
      <c r="K832" s="538"/>
      <c r="L832" s="487"/>
      <c r="M832" s="487"/>
      <c r="N832" s="354"/>
      <c r="O832" s="354"/>
      <c r="P832" s="354"/>
      <c r="Q832" s="354"/>
      <c r="R832" s="354"/>
      <c r="S832" s="354"/>
      <c r="T832" s="354"/>
      <c r="U832" s="354"/>
      <c r="V832" s="354"/>
      <c r="W832" s="354"/>
      <c r="X832" s="354"/>
      <c r="Y832" s="354"/>
      <c r="Z832" s="353"/>
      <c r="AA832" s="353"/>
      <c r="AB832" s="836"/>
      <c r="AC832" s="836"/>
      <c r="AD832" s="836"/>
      <c r="AE832" s="838"/>
    </row>
    <row r="833" spans="1:31" ht="16.5" customHeight="1">
      <c r="A833" s="347">
        <v>366518</v>
      </c>
      <c r="B833" s="347" t="s">
        <v>6392</v>
      </c>
      <c r="C833" s="347"/>
      <c r="D833" s="348"/>
      <c r="E833" s="348"/>
      <c r="F833" s="348"/>
      <c r="G833" s="348"/>
      <c r="H833" s="358"/>
      <c r="I833" s="352"/>
      <c r="J833" s="353"/>
      <c r="K833" s="538"/>
      <c r="L833" s="487"/>
      <c r="M833" s="487"/>
      <c r="N833" s="354"/>
      <c r="O833" s="354"/>
      <c r="P833" s="354"/>
      <c r="Q833" s="354"/>
      <c r="R833" s="354"/>
      <c r="S833" s="354"/>
      <c r="T833" s="354"/>
      <c r="U833" s="354"/>
      <c r="V833" s="354"/>
      <c r="W833" s="354"/>
      <c r="X833" s="354"/>
      <c r="Y833" s="354"/>
      <c r="Z833" s="353"/>
      <c r="AA833" s="353"/>
      <c r="AB833" s="836"/>
      <c r="AC833" s="836"/>
      <c r="AD833" s="836"/>
      <c r="AE833" s="838"/>
    </row>
    <row r="834" spans="1:31" ht="16.5" customHeight="1">
      <c r="A834" s="347">
        <v>37630738</v>
      </c>
      <c r="B834" s="347" t="s">
        <v>6393</v>
      </c>
      <c r="C834" s="347"/>
      <c r="D834" s="361"/>
      <c r="E834" s="361"/>
      <c r="F834" s="361"/>
      <c r="G834" s="348"/>
      <c r="H834" s="358"/>
      <c r="I834" s="352"/>
      <c r="J834" s="353"/>
      <c r="K834" s="538"/>
      <c r="L834" s="487"/>
      <c r="M834" s="487"/>
      <c r="N834" s="354"/>
      <c r="O834" s="354"/>
      <c r="P834" s="354"/>
      <c r="Q834" s="354"/>
      <c r="R834" s="354"/>
      <c r="S834" s="354"/>
      <c r="T834" s="354"/>
      <c r="U834" s="354"/>
      <c r="V834" s="354"/>
      <c r="W834" s="354"/>
      <c r="X834" s="354"/>
      <c r="Y834" s="354"/>
      <c r="Z834" s="353"/>
      <c r="AA834" s="353"/>
      <c r="AB834" s="836"/>
      <c r="AC834" s="836"/>
      <c r="AD834" s="836"/>
      <c r="AE834" s="838"/>
    </row>
    <row r="835" spans="1:31" ht="16.5" customHeight="1">
      <c r="A835" s="347">
        <v>6660377</v>
      </c>
      <c r="B835" s="347" t="s">
        <v>6394</v>
      </c>
      <c r="C835" s="347"/>
      <c r="D835" s="348"/>
      <c r="E835" s="348"/>
      <c r="F835" s="348"/>
      <c r="G835" s="348"/>
      <c r="H835" s="358"/>
      <c r="I835" s="352"/>
      <c r="J835" s="353"/>
      <c r="K835" s="538"/>
      <c r="L835" s="487"/>
      <c r="M835" s="487"/>
      <c r="N835" s="354"/>
      <c r="O835" s="354"/>
      <c r="P835" s="354"/>
      <c r="Q835" s="354"/>
      <c r="R835" s="354"/>
      <c r="S835" s="354"/>
      <c r="T835" s="354"/>
      <c r="U835" s="354"/>
      <c r="V835" s="354"/>
      <c r="W835" s="354"/>
      <c r="X835" s="354"/>
      <c r="Y835" s="354"/>
      <c r="Z835" s="353"/>
      <c r="AA835" s="353"/>
      <c r="AB835" s="836"/>
      <c r="AC835" s="836"/>
      <c r="AD835" s="836"/>
      <c r="AE835" s="838"/>
    </row>
    <row r="836" spans="1:31" ht="16.5" customHeight="1">
      <c r="A836" s="347">
        <v>23158116</v>
      </c>
      <c r="B836" s="347" t="s">
        <v>6395</v>
      </c>
      <c r="C836" s="347"/>
      <c r="D836" s="348"/>
      <c r="E836" s="348"/>
      <c r="F836" s="348"/>
      <c r="G836" s="348"/>
      <c r="H836" s="358"/>
      <c r="I836" s="352"/>
      <c r="J836" s="353"/>
      <c r="K836" s="538"/>
      <c r="L836" s="487"/>
      <c r="M836" s="487"/>
      <c r="N836" s="354"/>
      <c r="O836" s="354"/>
      <c r="P836" s="354"/>
      <c r="Q836" s="354"/>
      <c r="R836" s="354"/>
      <c r="S836" s="354"/>
      <c r="T836" s="354"/>
      <c r="U836" s="354"/>
      <c r="V836" s="354"/>
      <c r="W836" s="354"/>
      <c r="X836" s="354"/>
      <c r="Y836" s="354"/>
      <c r="Z836" s="353"/>
      <c r="AA836" s="353"/>
      <c r="AB836" s="836"/>
      <c r="AC836" s="836"/>
      <c r="AD836" s="836"/>
      <c r="AE836" s="838"/>
    </row>
    <row r="837" spans="1:31" ht="16.5" customHeight="1">
      <c r="A837" s="347">
        <v>26709428</v>
      </c>
      <c r="B837" s="347" t="s">
        <v>6396</v>
      </c>
      <c r="C837" s="347"/>
      <c r="D837" s="348"/>
      <c r="E837" s="348"/>
      <c r="F837" s="348"/>
      <c r="G837" s="348"/>
      <c r="H837" s="358"/>
      <c r="I837" s="352"/>
      <c r="J837" s="353"/>
      <c r="K837" s="538"/>
      <c r="L837" s="487"/>
      <c r="M837" s="487"/>
      <c r="N837" s="354"/>
      <c r="O837" s="354"/>
      <c r="P837" s="354"/>
      <c r="Q837" s="354"/>
      <c r="R837" s="354"/>
      <c r="S837" s="354"/>
      <c r="T837" s="354"/>
      <c r="U837" s="354"/>
      <c r="V837" s="354"/>
      <c r="W837" s="354"/>
      <c r="X837" s="354"/>
      <c r="Y837" s="354"/>
      <c r="Z837" s="353"/>
      <c r="AA837" s="353"/>
      <c r="AB837" s="836"/>
      <c r="AC837" s="836"/>
      <c r="AD837" s="836"/>
      <c r="AE837" s="838"/>
    </row>
    <row r="838" spans="1:31" ht="16.5" customHeight="1">
      <c r="A838" s="347">
        <v>18255935</v>
      </c>
      <c r="B838" s="347" t="s">
        <v>6397</v>
      </c>
      <c r="C838" s="347"/>
      <c r="D838" s="348"/>
      <c r="E838" s="348"/>
      <c r="F838" s="348"/>
      <c r="G838" s="348"/>
      <c r="H838" s="358"/>
      <c r="I838" s="352"/>
      <c r="J838" s="353"/>
      <c r="K838" s="538"/>
      <c r="L838" s="487"/>
      <c r="M838" s="487"/>
      <c r="N838" s="354"/>
      <c r="O838" s="354"/>
      <c r="P838" s="354"/>
      <c r="Q838" s="354"/>
      <c r="R838" s="354"/>
      <c r="S838" s="354"/>
      <c r="T838" s="354"/>
      <c r="U838" s="354"/>
      <c r="V838" s="354"/>
      <c r="W838" s="354"/>
      <c r="X838" s="354"/>
      <c r="Y838" s="354"/>
      <c r="Z838" s="353"/>
      <c r="AA838" s="353"/>
      <c r="AB838" s="836"/>
      <c r="AC838" s="836"/>
      <c r="AD838" s="836"/>
      <c r="AE838" s="838"/>
    </row>
    <row r="839" spans="1:31" ht="16.5" customHeight="1">
      <c r="A839" s="347">
        <v>4953634</v>
      </c>
      <c r="B839" s="347" t="s">
        <v>6398</v>
      </c>
      <c r="C839" s="347"/>
      <c r="D839" s="348"/>
      <c r="E839" s="348"/>
      <c r="F839" s="348"/>
      <c r="G839" s="348"/>
      <c r="H839" s="358"/>
      <c r="I839" s="352"/>
      <c r="J839" s="353"/>
      <c r="K839" s="538"/>
      <c r="L839" s="487"/>
      <c r="M839" s="487"/>
      <c r="N839" s="354"/>
      <c r="O839" s="354"/>
      <c r="P839" s="354"/>
      <c r="Q839" s="354"/>
      <c r="R839" s="354"/>
      <c r="S839" s="354"/>
      <c r="T839" s="354"/>
      <c r="U839" s="354"/>
      <c r="V839" s="354"/>
      <c r="W839" s="354"/>
      <c r="X839" s="354"/>
      <c r="Y839" s="354"/>
      <c r="Z839" s="353"/>
      <c r="AA839" s="353"/>
      <c r="AB839" s="836"/>
      <c r="AC839" s="836"/>
      <c r="AD839" s="836"/>
      <c r="AE839" s="838"/>
    </row>
    <row r="840" spans="1:31" ht="16.5" customHeight="1">
      <c r="A840" s="347">
        <v>17232349</v>
      </c>
      <c r="B840" s="347" t="s">
        <v>6399</v>
      </c>
      <c r="C840" s="347"/>
      <c r="D840" s="348"/>
      <c r="E840" s="348"/>
      <c r="F840" s="348"/>
      <c r="G840" s="348"/>
      <c r="H840" s="358"/>
      <c r="I840" s="352"/>
      <c r="J840" s="353"/>
      <c r="K840" s="538"/>
      <c r="L840" s="487"/>
      <c r="M840" s="487"/>
      <c r="N840" s="354"/>
      <c r="O840" s="354"/>
      <c r="P840" s="354"/>
      <c r="Q840" s="354"/>
      <c r="R840" s="354"/>
      <c r="S840" s="354"/>
      <c r="T840" s="354"/>
      <c r="U840" s="354"/>
      <c r="V840" s="354"/>
      <c r="W840" s="354"/>
      <c r="X840" s="354"/>
      <c r="Y840" s="354"/>
      <c r="Z840" s="353"/>
      <c r="AA840" s="353"/>
      <c r="AB840" s="836"/>
      <c r="AC840" s="836"/>
      <c r="AD840" s="836"/>
      <c r="AE840" s="838"/>
    </row>
    <row r="841" spans="1:31" ht="16.5" customHeight="1">
      <c r="A841" s="347">
        <v>20211223</v>
      </c>
      <c r="B841" s="347" t="s">
        <v>6400</v>
      </c>
      <c r="C841" s="347"/>
      <c r="D841" s="348"/>
      <c r="E841" s="348"/>
      <c r="F841" s="348"/>
      <c r="G841" s="348"/>
      <c r="H841" s="358"/>
      <c r="I841" s="352"/>
      <c r="J841" s="353"/>
      <c r="K841" s="538"/>
      <c r="L841" s="487"/>
      <c r="M841" s="487"/>
      <c r="N841" s="354"/>
      <c r="O841" s="354"/>
      <c r="P841" s="354"/>
      <c r="Q841" s="354"/>
      <c r="R841" s="354"/>
      <c r="S841" s="354"/>
      <c r="T841" s="354"/>
      <c r="U841" s="354"/>
      <c r="V841" s="354"/>
      <c r="W841" s="354"/>
      <c r="X841" s="354"/>
      <c r="Y841" s="354"/>
      <c r="Z841" s="353"/>
      <c r="AA841" s="353"/>
      <c r="AB841" s="836"/>
      <c r="AC841" s="836"/>
      <c r="AD841" s="836"/>
      <c r="AE841" s="838"/>
    </row>
    <row r="842" spans="1:31" ht="16.5" customHeight="1">
      <c r="A842" s="347">
        <v>14703623</v>
      </c>
      <c r="B842" s="347" t="s">
        <v>6401</v>
      </c>
      <c r="C842" s="347"/>
      <c r="D842" s="348"/>
      <c r="E842" s="348"/>
      <c r="F842" s="348"/>
      <c r="G842" s="348"/>
      <c r="H842" s="358"/>
      <c r="I842" s="352"/>
      <c r="J842" s="353"/>
      <c r="K842" s="538"/>
      <c r="L842" s="487"/>
      <c r="M842" s="487"/>
      <c r="N842" s="354"/>
      <c r="O842" s="354"/>
      <c r="P842" s="354"/>
      <c r="Q842" s="354"/>
      <c r="R842" s="354"/>
      <c r="S842" s="354"/>
      <c r="T842" s="354"/>
      <c r="U842" s="354"/>
      <c r="V842" s="354"/>
      <c r="W842" s="354"/>
      <c r="X842" s="354"/>
      <c r="Y842" s="354"/>
      <c r="Z842" s="353"/>
      <c r="AA842" s="353"/>
      <c r="AB842" s="836"/>
      <c r="AC842" s="836"/>
      <c r="AD842" s="836"/>
      <c r="AE842" s="838"/>
    </row>
    <row r="843" spans="1:31" ht="16.5" customHeight="1">
      <c r="A843" s="347">
        <v>100004615</v>
      </c>
      <c r="B843" s="347" t="s">
        <v>5990</v>
      </c>
      <c r="C843" s="347"/>
      <c r="D843" s="348"/>
      <c r="E843" s="348"/>
      <c r="F843" s="348"/>
      <c r="G843" s="348"/>
      <c r="H843" s="358"/>
      <c r="I843" s="352"/>
      <c r="J843" s="353"/>
      <c r="K843" s="538"/>
      <c r="L843" s="487"/>
      <c r="M843" s="487"/>
      <c r="N843" s="354"/>
      <c r="O843" s="354"/>
      <c r="P843" s="354"/>
      <c r="Q843" s="354"/>
      <c r="R843" s="354"/>
      <c r="S843" s="354"/>
      <c r="T843" s="354"/>
      <c r="U843" s="354"/>
      <c r="V843" s="354"/>
      <c r="W843" s="354"/>
      <c r="X843" s="354"/>
      <c r="Y843" s="354"/>
      <c r="Z843" s="353"/>
      <c r="AA843" s="353"/>
      <c r="AB843" s="836"/>
      <c r="AC843" s="836"/>
      <c r="AD843" s="836"/>
      <c r="AE843" s="838"/>
    </row>
    <row r="844" spans="1:31" ht="16.5" customHeight="1">
      <c r="A844" s="347">
        <v>35242130</v>
      </c>
      <c r="B844" s="347" t="s">
        <v>6402</v>
      </c>
      <c r="C844" s="347"/>
      <c r="D844" s="348"/>
      <c r="E844" s="348"/>
      <c r="F844" s="348"/>
      <c r="G844" s="348"/>
      <c r="H844" s="358"/>
      <c r="I844" s="352"/>
      <c r="J844" s="353"/>
      <c r="K844" s="538"/>
      <c r="L844" s="487"/>
      <c r="M844" s="487"/>
      <c r="N844" s="354"/>
      <c r="O844" s="354"/>
      <c r="P844" s="354"/>
      <c r="Q844" s="354"/>
      <c r="R844" s="354"/>
      <c r="S844" s="354"/>
      <c r="T844" s="354"/>
      <c r="U844" s="354"/>
      <c r="V844" s="354"/>
      <c r="W844" s="354"/>
      <c r="X844" s="354"/>
      <c r="Y844" s="354"/>
      <c r="Z844" s="353"/>
      <c r="AA844" s="353"/>
      <c r="AB844" s="836"/>
      <c r="AC844" s="836"/>
      <c r="AD844" s="836"/>
      <c r="AE844" s="838"/>
    </row>
    <row r="845" spans="1:31" ht="16.5" customHeight="1">
      <c r="A845" s="347">
        <v>52395787</v>
      </c>
      <c r="B845" s="347" t="s">
        <v>6403</v>
      </c>
      <c r="C845" s="347"/>
      <c r="D845" s="348"/>
      <c r="E845" s="348"/>
      <c r="F845" s="348"/>
      <c r="G845" s="348"/>
      <c r="H845" s="358"/>
      <c r="I845" s="352"/>
      <c r="J845" s="353"/>
      <c r="K845" s="538"/>
      <c r="L845" s="487"/>
      <c r="M845" s="487"/>
      <c r="N845" s="354"/>
      <c r="O845" s="354"/>
      <c r="P845" s="354"/>
      <c r="Q845" s="354"/>
      <c r="R845" s="354"/>
      <c r="S845" s="354"/>
      <c r="T845" s="354"/>
      <c r="U845" s="354"/>
      <c r="V845" s="354"/>
      <c r="W845" s="354"/>
      <c r="X845" s="354"/>
      <c r="Y845" s="354"/>
      <c r="Z845" s="353"/>
      <c r="AA845" s="353"/>
      <c r="AB845" s="836"/>
      <c r="AC845" s="836"/>
      <c r="AD845" s="836"/>
      <c r="AE845" s="838"/>
    </row>
    <row r="846" spans="1:31" ht="16.5" customHeight="1">
      <c r="A846" s="347">
        <v>35612480</v>
      </c>
      <c r="B846" s="347" t="s">
        <v>6404</v>
      </c>
      <c r="C846" s="347"/>
      <c r="D846" s="348"/>
      <c r="E846" s="348"/>
      <c r="F846" s="348"/>
      <c r="G846" s="348"/>
      <c r="H846" s="358"/>
      <c r="I846" s="352"/>
      <c r="J846" s="353"/>
      <c r="K846" s="538"/>
      <c r="L846" s="487"/>
      <c r="M846" s="487"/>
      <c r="N846" s="354"/>
      <c r="O846" s="354"/>
      <c r="P846" s="354"/>
      <c r="Q846" s="354"/>
      <c r="R846" s="354"/>
      <c r="S846" s="354"/>
      <c r="T846" s="354"/>
      <c r="U846" s="354"/>
      <c r="V846" s="354"/>
      <c r="W846" s="354"/>
      <c r="X846" s="354"/>
      <c r="Y846" s="354"/>
      <c r="Z846" s="353"/>
      <c r="AA846" s="353"/>
      <c r="AB846" s="836"/>
      <c r="AC846" s="836"/>
      <c r="AD846" s="836"/>
      <c r="AE846" s="838"/>
    </row>
    <row r="847" spans="1:31" ht="16.5" customHeight="1">
      <c r="A847" s="347">
        <v>92113562</v>
      </c>
      <c r="B847" s="347" t="s">
        <v>6405</v>
      </c>
      <c r="C847" s="347"/>
      <c r="D847" s="348"/>
      <c r="E847" s="348"/>
      <c r="F847" s="348"/>
      <c r="G847" s="348"/>
      <c r="H847" s="358"/>
      <c r="I847" s="352"/>
      <c r="J847" s="353"/>
      <c r="K847" s="538"/>
      <c r="L847" s="487"/>
      <c r="M847" s="487"/>
      <c r="N847" s="354"/>
      <c r="O847" s="354"/>
      <c r="P847" s="354"/>
      <c r="Q847" s="354"/>
      <c r="R847" s="354"/>
      <c r="S847" s="354"/>
      <c r="T847" s="354"/>
      <c r="U847" s="354"/>
      <c r="V847" s="354"/>
      <c r="W847" s="354"/>
      <c r="X847" s="354"/>
      <c r="Y847" s="354"/>
      <c r="Z847" s="353"/>
      <c r="AA847" s="353"/>
      <c r="AB847" s="836"/>
      <c r="AC847" s="836"/>
      <c r="AD847" s="836"/>
      <c r="AE847" s="838"/>
    </row>
    <row r="848" spans="1:31" ht="16.5" customHeight="1">
      <c r="A848" s="347">
        <v>79756599</v>
      </c>
      <c r="B848" s="347" t="s">
        <v>6406</v>
      </c>
      <c r="C848" s="347"/>
      <c r="D848" s="348"/>
      <c r="E848" s="348"/>
      <c r="F848" s="348"/>
      <c r="G848" s="348"/>
      <c r="H848" s="358"/>
      <c r="I848" s="352"/>
      <c r="J848" s="353"/>
      <c r="K848" s="538"/>
      <c r="L848" s="487"/>
      <c r="M848" s="487"/>
      <c r="N848" s="354"/>
      <c r="O848" s="354"/>
      <c r="P848" s="354"/>
      <c r="Q848" s="354"/>
      <c r="R848" s="354"/>
      <c r="S848" s="354"/>
      <c r="T848" s="354"/>
      <c r="U848" s="354"/>
      <c r="V848" s="354"/>
      <c r="W848" s="354"/>
      <c r="X848" s="354"/>
      <c r="Y848" s="354"/>
      <c r="Z848" s="353"/>
      <c r="AA848" s="353"/>
      <c r="AB848" s="836"/>
      <c r="AC848" s="836"/>
      <c r="AD848" s="836"/>
      <c r="AE848" s="838"/>
    </row>
    <row r="849" spans="1:31" ht="16.5" customHeight="1">
      <c r="A849" s="347">
        <v>10251015</v>
      </c>
      <c r="B849" s="347" t="s">
        <v>6407</v>
      </c>
      <c r="C849" s="347"/>
      <c r="D849" s="361"/>
      <c r="E849" s="361"/>
      <c r="F849" s="361"/>
      <c r="G849" s="348"/>
      <c r="H849" s="358"/>
      <c r="I849" s="352"/>
      <c r="J849" s="353"/>
      <c r="K849" s="538"/>
      <c r="L849" s="487"/>
      <c r="M849" s="487"/>
      <c r="N849" s="354"/>
      <c r="O849" s="354"/>
      <c r="P849" s="354"/>
      <c r="Q849" s="354"/>
      <c r="R849" s="354"/>
      <c r="S849" s="354"/>
      <c r="T849" s="354"/>
      <c r="U849" s="354"/>
      <c r="V849" s="354"/>
      <c r="W849" s="354"/>
      <c r="X849" s="354"/>
      <c r="Y849" s="354"/>
      <c r="Z849" s="353"/>
      <c r="AA849" s="353"/>
      <c r="AB849" s="836"/>
      <c r="AC849" s="836"/>
      <c r="AD849" s="836"/>
      <c r="AE849" s="838"/>
    </row>
    <row r="850" spans="1:31" ht="16.5" customHeight="1">
      <c r="A850" s="347">
        <v>61759171</v>
      </c>
      <c r="B850" s="347" t="s">
        <v>6408</v>
      </c>
      <c r="C850" s="347"/>
      <c r="D850" s="348"/>
      <c r="E850" s="348"/>
      <c r="F850" s="348"/>
      <c r="G850" s="348"/>
      <c r="H850" s="358"/>
      <c r="I850" s="352"/>
      <c r="J850" s="353"/>
      <c r="K850" s="538"/>
      <c r="L850" s="487"/>
      <c r="M850" s="487"/>
      <c r="N850" s="354"/>
      <c r="O850" s="354"/>
      <c r="P850" s="354"/>
      <c r="Q850" s="354"/>
      <c r="R850" s="354"/>
      <c r="S850" s="354"/>
      <c r="T850" s="354"/>
      <c r="U850" s="354"/>
      <c r="V850" s="354"/>
      <c r="W850" s="354"/>
      <c r="X850" s="354"/>
      <c r="Y850" s="354"/>
      <c r="Z850" s="353"/>
      <c r="AA850" s="353"/>
      <c r="AB850" s="836"/>
      <c r="AC850" s="836"/>
      <c r="AD850" s="836"/>
      <c r="AE850" s="838"/>
    </row>
    <row r="851" spans="1:31" ht="16.5" customHeight="1">
      <c r="A851" s="347">
        <v>32483232</v>
      </c>
      <c r="B851" s="347" t="s">
        <v>6409</v>
      </c>
      <c r="C851" s="347"/>
      <c r="D851" s="348"/>
      <c r="E851" s="348"/>
      <c r="F851" s="348"/>
      <c r="G851" s="348"/>
      <c r="H851" s="358"/>
      <c r="I851" s="352"/>
      <c r="J851" s="353"/>
      <c r="K851" s="538"/>
      <c r="L851" s="487"/>
      <c r="M851" s="487"/>
      <c r="N851" s="354"/>
      <c r="O851" s="354"/>
      <c r="P851" s="354"/>
      <c r="Q851" s="354"/>
      <c r="R851" s="354"/>
      <c r="S851" s="354"/>
      <c r="T851" s="354"/>
      <c r="U851" s="354"/>
      <c r="V851" s="354"/>
      <c r="W851" s="354"/>
      <c r="X851" s="354"/>
      <c r="Y851" s="354"/>
      <c r="Z851" s="353"/>
      <c r="AA851" s="353"/>
      <c r="AB851" s="836"/>
      <c r="AC851" s="836"/>
      <c r="AD851" s="836"/>
      <c r="AE851" s="838"/>
    </row>
    <row r="852" spans="1:31" ht="16.5" customHeight="1">
      <c r="A852" s="347">
        <v>22777411</v>
      </c>
      <c r="B852" s="347" t="s">
        <v>6410</v>
      </c>
      <c r="C852" s="347"/>
      <c r="D852" s="348"/>
      <c r="E852" s="348"/>
      <c r="F852" s="348"/>
      <c r="G852" s="348"/>
      <c r="H852" s="358"/>
      <c r="I852" s="352"/>
      <c r="J852" s="353"/>
      <c r="K852" s="538"/>
      <c r="L852" s="487"/>
      <c r="M852" s="487"/>
      <c r="N852" s="354"/>
      <c r="O852" s="354"/>
      <c r="P852" s="354"/>
      <c r="Q852" s="354"/>
      <c r="R852" s="354"/>
      <c r="S852" s="354"/>
      <c r="T852" s="354"/>
      <c r="U852" s="354"/>
      <c r="V852" s="354"/>
      <c r="W852" s="354"/>
      <c r="X852" s="354"/>
      <c r="Y852" s="354"/>
      <c r="Z852" s="353"/>
      <c r="AA852" s="353"/>
      <c r="AB852" s="836"/>
      <c r="AC852" s="836"/>
      <c r="AD852" s="836"/>
      <c r="AE852" s="838"/>
    </row>
    <row r="853" spans="1:31" ht="16.5" customHeight="1">
      <c r="A853" s="347">
        <v>22920995</v>
      </c>
      <c r="B853" s="347" t="s">
        <v>6411</v>
      </c>
      <c r="C853" s="347"/>
      <c r="D853" s="348"/>
      <c r="E853" s="348"/>
      <c r="F853" s="348"/>
      <c r="G853" s="348"/>
      <c r="H853" s="358"/>
      <c r="I853" s="352"/>
      <c r="J853" s="353"/>
      <c r="K853" s="538"/>
      <c r="L853" s="487"/>
      <c r="M853" s="487"/>
      <c r="N853" s="354"/>
      <c r="O853" s="354"/>
      <c r="P853" s="354"/>
      <c r="Q853" s="354"/>
      <c r="R853" s="354"/>
      <c r="S853" s="354"/>
      <c r="T853" s="354"/>
      <c r="U853" s="354"/>
      <c r="V853" s="354"/>
      <c r="W853" s="354"/>
      <c r="X853" s="354"/>
      <c r="Y853" s="354"/>
      <c r="Z853" s="353"/>
      <c r="AA853" s="353"/>
      <c r="AB853" s="836"/>
      <c r="AC853" s="836"/>
      <c r="AD853" s="836"/>
      <c r="AE853" s="838"/>
    </row>
    <row r="854" spans="1:31" ht="16.5" customHeight="1">
      <c r="A854" s="347">
        <v>2141265</v>
      </c>
      <c r="B854" s="347" t="s">
        <v>6412</v>
      </c>
      <c r="C854" s="347"/>
      <c r="D854" s="348"/>
      <c r="E854" s="348"/>
      <c r="F854" s="348"/>
      <c r="G854" s="348"/>
      <c r="H854" s="358"/>
      <c r="I854" s="352"/>
      <c r="J854" s="353"/>
      <c r="K854" s="538"/>
      <c r="L854" s="487"/>
      <c r="M854" s="487"/>
      <c r="N854" s="354"/>
      <c r="O854" s="354"/>
      <c r="P854" s="354"/>
      <c r="Q854" s="354"/>
      <c r="R854" s="354"/>
      <c r="S854" s="354"/>
      <c r="T854" s="354"/>
      <c r="U854" s="354"/>
      <c r="V854" s="354"/>
      <c r="W854" s="354"/>
      <c r="X854" s="354"/>
      <c r="Y854" s="354"/>
      <c r="Z854" s="353"/>
      <c r="AA854" s="353"/>
      <c r="AB854" s="836"/>
      <c r="AC854" s="836"/>
      <c r="AD854" s="836"/>
      <c r="AE854" s="838"/>
    </row>
    <row r="855" spans="1:31" ht="16.5" customHeight="1">
      <c r="A855" s="347">
        <v>51404762</v>
      </c>
      <c r="B855" s="347" t="s">
        <v>6413</v>
      </c>
      <c r="C855" s="347"/>
      <c r="D855" s="348"/>
      <c r="E855" s="348"/>
      <c r="F855" s="348"/>
      <c r="G855" s="348"/>
      <c r="H855" s="358"/>
      <c r="I855" s="352"/>
      <c r="J855" s="353"/>
      <c r="K855" s="538"/>
      <c r="L855" s="487"/>
      <c r="M855" s="487"/>
      <c r="N855" s="354"/>
      <c r="O855" s="354"/>
      <c r="P855" s="354"/>
      <c r="Q855" s="354"/>
      <c r="R855" s="354"/>
      <c r="S855" s="354"/>
      <c r="T855" s="354"/>
      <c r="U855" s="354"/>
      <c r="V855" s="354"/>
      <c r="W855" s="354"/>
      <c r="X855" s="354"/>
      <c r="Y855" s="354"/>
      <c r="Z855" s="353"/>
      <c r="AA855" s="353"/>
      <c r="AB855" s="836"/>
      <c r="AC855" s="836"/>
      <c r="AD855" s="836"/>
      <c r="AE855" s="838"/>
    </row>
    <row r="856" spans="1:31" ht="16.5" customHeight="1">
      <c r="A856" s="347">
        <v>19517952</v>
      </c>
      <c r="B856" s="347" t="s">
        <v>6414</v>
      </c>
      <c r="C856" s="347"/>
      <c r="D856" s="348"/>
      <c r="E856" s="348"/>
      <c r="F856" s="348"/>
      <c r="G856" s="348"/>
      <c r="H856" s="358"/>
      <c r="I856" s="352"/>
      <c r="J856" s="353"/>
      <c r="K856" s="538"/>
      <c r="L856" s="487"/>
      <c r="M856" s="487"/>
      <c r="N856" s="354"/>
      <c r="O856" s="354"/>
      <c r="P856" s="354"/>
      <c r="Q856" s="354"/>
      <c r="R856" s="354"/>
      <c r="S856" s="354"/>
      <c r="T856" s="354"/>
      <c r="U856" s="354"/>
      <c r="V856" s="354"/>
      <c r="W856" s="354"/>
      <c r="X856" s="354"/>
      <c r="Y856" s="354"/>
      <c r="Z856" s="353"/>
      <c r="AA856" s="353"/>
      <c r="AB856" s="836"/>
      <c r="AC856" s="836"/>
      <c r="AD856" s="836"/>
      <c r="AE856" s="838"/>
    </row>
    <row r="857" spans="1:31" ht="16.5" customHeight="1">
      <c r="A857" s="347">
        <v>35110337</v>
      </c>
      <c r="B857" s="347" t="s">
        <v>6415</v>
      </c>
      <c r="C857" s="347"/>
      <c r="D857" s="348"/>
      <c r="E857" s="348"/>
      <c r="F857" s="348"/>
      <c r="G857" s="348"/>
      <c r="H857" s="358"/>
      <c r="I857" s="352"/>
      <c r="J857" s="353"/>
      <c r="K857" s="538"/>
      <c r="L857" s="487"/>
      <c r="M857" s="487"/>
      <c r="N857" s="354"/>
      <c r="O857" s="354"/>
      <c r="P857" s="354"/>
      <c r="Q857" s="354"/>
      <c r="R857" s="354"/>
      <c r="S857" s="354"/>
      <c r="T857" s="354"/>
      <c r="U857" s="354"/>
      <c r="V857" s="354"/>
      <c r="W857" s="354"/>
      <c r="X857" s="354"/>
      <c r="Y857" s="354"/>
      <c r="Z857" s="353"/>
      <c r="AA857" s="353"/>
      <c r="AB857" s="836"/>
      <c r="AC857" s="836"/>
      <c r="AD857" s="836"/>
      <c r="AE857" s="838"/>
    </row>
    <row r="858" spans="1:31" ht="16.5" customHeight="1">
      <c r="A858" s="347">
        <v>38513792</v>
      </c>
      <c r="B858" s="347" t="s">
        <v>6416</v>
      </c>
      <c r="C858" s="347"/>
      <c r="D858" s="361"/>
      <c r="E858" s="361"/>
      <c r="F858" s="361"/>
      <c r="G858" s="348"/>
      <c r="H858" s="358"/>
      <c r="I858" s="352"/>
      <c r="J858" s="353"/>
      <c r="K858" s="538"/>
      <c r="L858" s="487"/>
      <c r="M858" s="487"/>
      <c r="N858" s="354"/>
      <c r="O858" s="354"/>
      <c r="P858" s="354"/>
      <c r="Q858" s="354"/>
      <c r="R858" s="354"/>
      <c r="S858" s="354"/>
      <c r="T858" s="354"/>
      <c r="U858" s="354"/>
      <c r="V858" s="354"/>
      <c r="W858" s="354"/>
      <c r="X858" s="354"/>
      <c r="Y858" s="354"/>
      <c r="Z858" s="353"/>
      <c r="AA858" s="353"/>
      <c r="AB858" s="836"/>
      <c r="AC858" s="836"/>
      <c r="AD858" s="836"/>
      <c r="AE858" s="838"/>
    </row>
    <row r="859" spans="1:31" ht="16.5" customHeight="1">
      <c r="A859" s="347">
        <v>18156653</v>
      </c>
      <c r="B859" s="347" t="s">
        <v>6417</v>
      </c>
      <c r="C859" s="347"/>
      <c r="D859" s="361"/>
      <c r="E859" s="361"/>
      <c r="F859" s="361"/>
      <c r="G859" s="348"/>
      <c r="H859" s="358"/>
      <c r="I859" s="352"/>
      <c r="J859" s="353"/>
      <c r="K859" s="538"/>
      <c r="L859" s="487"/>
      <c r="M859" s="487"/>
      <c r="N859" s="354"/>
      <c r="O859" s="354"/>
      <c r="P859" s="354"/>
      <c r="Q859" s="354"/>
      <c r="R859" s="354"/>
      <c r="S859" s="354"/>
      <c r="T859" s="354"/>
      <c r="U859" s="354"/>
      <c r="V859" s="354"/>
      <c r="W859" s="354"/>
      <c r="X859" s="354"/>
      <c r="Y859" s="354"/>
      <c r="Z859" s="353"/>
      <c r="AA859" s="353"/>
      <c r="AB859" s="836"/>
      <c r="AC859" s="836"/>
      <c r="AD859" s="836"/>
      <c r="AE859" s="838"/>
    </row>
    <row r="860" spans="1:31" ht="16.5" customHeight="1">
      <c r="A860" s="347">
        <v>48734370</v>
      </c>
      <c r="B860" s="347" t="s">
        <v>6418</v>
      </c>
      <c r="C860" s="347"/>
      <c r="D860" s="348"/>
      <c r="E860" s="348"/>
      <c r="F860" s="348"/>
      <c r="G860" s="348"/>
      <c r="H860" s="358"/>
      <c r="I860" s="352"/>
      <c r="J860" s="353"/>
      <c r="K860" s="538"/>
      <c r="L860" s="487"/>
      <c r="M860" s="487"/>
      <c r="N860" s="354"/>
      <c r="O860" s="354"/>
      <c r="P860" s="354"/>
      <c r="Q860" s="354"/>
      <c r="R860" s="354"/>
      <c r="S860" s="354"/>
      <c r="T860" s="354"/>
      <c r="U860" s="354"/>
      <c r="V860" s="354"/>
      <c r="W860" s="354"/>
      <c r="X860" s="354"/>
      <c r="Y860" s="354"/>
      <c r="Z860" s="353"/>
      <c r="AA860" s="353"/>
      <c r="AB860" s="836"/>
      <c r="AC860" s="836"/>
      <c r="AD860" s="836"/>
      <c r="AE860" s="838"/>
    </row>
    <row r="861" spans="1:31" ht="16.5" customHeight="1">
      <c r="A861" s="347">
        <v>36049914</v>
      </c>
      <c r="B861" s="347" t="s">
        <v>6419</v>
      </c>
      <c r="C861" s="347"/>
      <c r="D861" s="348"/>
      <c r="E861" s="348"/>
      <c r="F861" s="348"/>
      <c r="G861" s="348"/>
      <c r="H861" s="358"/>
      <c r="I861" s="352"/>
      <c r="J861" s="353"/>
      <c r="K861" s="538"/>
      <c r="L861" s="487"/>
      <c r="M861" s="487"/>
      <c r="N861" s="354"/>
      <c r="O861" s="354"/>
      <c r="P861" s="354"/>
      <c r="Q861" s="354"/>
      <c r="R861" s="354"/>
      <c r="S861" s="354"/>
      <c r="T861" s="354"/>
      <c r="U861" s="354"/>
      <c r="V861" s="354"/>
      <c r="W861" s="354"/>
      <c r="X861" s="354"/>
      <c r="Y861" s="354"/>
      <c r="Z861" s="353"/>
      <c r="AA861" s="353"/>
      <c r="AB861" s="836"/>
      <c r="AC861" s="836"/>
      <c r="AD861" s="836"/>
      <c r="AE861" s="838"/>
    </row>
    <row r="862" spans="1:31" ht="16.5" customHeight="1">
      <c r="A862" s="347">
        <v>61623211</v>
      </c>
      <c r="B862" s="347" t="s">
        <v>6420</v>
      </c>
      <c r="C862" s="347"/>
      <c r="D862" s="348"/>
      <c r="E862" s="348"/>
      <c r="F862" s="348"/>
      <c r="G862" s="348"/>
      <c r="H862" s="358"/>
      <c r="I862" s="352"/>
      <c r="J862" s="353"/>
      <c r="K862" s="538"/>
      <c r="L862" s="487"/>
      <c r="M862" s="487"/>
      <c r="N862" s="354"/>
      <c r="O862" s="354"/>
      <c r="P862" s="354"/>
      <c r="Q862" s="354"/>
      <c r="R862" s="354"/>
      <c r="S862" s="354"/>
      <c r="T862" s="354"/>
      <c r="U862" s="354"/>
      <c r="V862" s="354"/>
      <c r="W862" s="354"/>
      <c r="X862" s="354"/>
      <c r="Y862" s="354"/>
      <c r="Z862" s="353"/>
      <c r="AA862" s="353"/>
      <c r="AB862" s="836"/>
      <c r="AC862" s="836"/>
      <c r="AD862" s="836"/>
      <c r="AE862" s="838"/>
    </row>
    <row r="863" spans="1:31" ht="16.5" customHeight="1">
      <c r="A863" s="347">
        <v>64337124</v>
      </c>
      <c r="B863" s="347" t="s">
        <v>6421</v>
      </c>
      <c r="C863" s="347"/>
      <c r="D863" s="348"/>
      <c r="E863" s="348"/>
      <c r="F863" s="348"/>
      <c r="G863" s="348"/>
      <c r="H863" s="358"/>
      <c r="I863" s="352"/>
      <c r="J863" s="353"/>
      <c r="K863" s="538"/>
      <c r="L863" s="487"/>
      <c r="M863" s="487"/>
      <c r="N863" s="354"/>
      <c r="O863" s="354"/>
      <c r="P863" s="354"/>
      <c r="Q863" s="354"/>
      <c r="R863" s="354"/>
      <c r="S863" s="354"/>
      <c r="T863" s="354"/>
      <c r="U863" s="354"/>
      <c r="V863" s="354"/>
      <c r="W863" s="354"/>
      <c r="X863" s="354"/>
      <c r="Y863" s="354"/>
      <c r="Z863" s="353"/>
      <c r="AA863" s="353"/>
      <c r="AB863" s="836"/>
      <c r="AC863" s="836"/>
      <c r="AD863" s="836"/>
      <c r="AE863" s="838"/>
    </row>
    <row r="864" spans="1:31" ht="16.5" customHeight="1">
      <c r="A864" s="347">
        <v>36301810</v>
      </c>
      <c r="B864" s="347" t="s">
        <v>6422</v>
      </c>
      <c r="C864" s="347"/>
      <c r="D864" s="348"/>
      <c r="E864" s="348"/>
      <c r="F864" s="348"/>
      <c r="G864" s="348"/>
      <c r="H864" s="358"/>
      <c r="I864" s="352"/>
      <c r="J864" s="353"/>
      <c r="K864" s="538"/>
      <c r="L864" s="487"/>
      <c r="M864" s="487"/>
      <c r="N864" s="354"/>
      <c r="O864" s="354"/>
      <c r="P864" s="354"/>
      <c r="Q864" s="354"/>
      <c r="R864" s="354"/>
      <c r="S864" s="354"/>
      <c r="T864" s="354"/>
      <c r="U864" s="354"/>
      <c r="V864" s="354"/>
      <c r="W864" s="354"/>
      <c r="X864" s="354"/>
      <c r="Y864" s="354"/>
      <c r="Z864" s="353"/>
      <c r="AA864" s="353"/>
      <c r="AB864" s="836"/>
      <c r="AC864" s="836"/>
      <c r="AD864" s="836"/>
      <c r="AE864" s="838"/>
    </row>
    <row r="865" spans="1:31" ht="16.5" customHeight="1">
      <c r="A865" s="347">
        <v>62811187</v>
      </c>
      <c r="B865" s="347" t="s">
        <v>6423</v>
      </c>
      <c r="C865" s="347"/>
      <c r="D865" s="348"/>
      <c r="E865" s="348"/>
      <c r="F865" s="348"/>
      <c r="G865" s="348"/>
      <c r="H865" s="358"/>
      <c r="I865" s="352"/>
      <c r="J865" s="353"/>
      <c r="K865" s="538"/>
      <c r="L865" s="487"/>
      <c r="M865" s="487"/>
      <c r="N865" s="354"/>
      <c r="O865" s="354"/>
      <c r="P865" s="354"/>
      <c r="Q865" s="354"/>
      <c r="R865" s="354"/>
      <c r="S865" s="354"/>
      <c r="T865" s="354"/>
      <c r="U865" s="354"/>
      <c r="V865" s="354"/>
      <c r="W865" s="354"/>
      <c r="X865" s="354"/>
      <c r="Y865" s="354"/>
      <c r="Z865" s="353"/>
      <c r="AA865" s="353"/>
      <c r="AB865" s="836"/>
      <c r="AC865" s="836"/>
      <c r="AD865" s="836"/>
      <c r="AE865" s="838"/>
    </row>
    <row r="866" spans="1:31" ht="16.5" customHeight="1">
      <c r="A866" s="347">
        <v>36870665</v>
      </c>
      <c r="B866" s="347" t="s">
        <v>6424</v>
      </c>
      <c r="C866" s="347"/>
      <c r="D866" s="348"/>
      <c r="E866" s="348"/>
      <c r="F866" s="348"/>
      <c r="G866" s="348"/>
      <c r="H866" s="358"/>
      <c r="I866" s="352"/>
      <c r="J866" s="353"/>
      <c r="K866" s="538"/>
      <c r="L866" s="487"/>
      <c r="M866" s="487"/>
      <c r="N866" s="354"/>
      <c r="O866" s="354"/>
      <c r="P866" s="354"/>
      <c r="Q866" s="354"/>
      <c r="R866" s="354"/>
      <c r="S866" s="354"/>
      <c r="T866" s="354"/>
      <c r="U866" s="354"/>
      <c r="V866" s="354"/>
      <c r="W866" s="354"/>
      <c r="X866" s="354"/>
      <c r="Y866" s="354"/>
      <c r="Z866" s="353"/>
      <c r="AA866" s="353"/>
      <c r="AB866" s="836"/>
      <c r="AC866" s="836"/>
      <c r="AD866" s="836"/>
      <c r="AE866" s="838"/>
    </row>
    <row r="867" spans="1:31" ht="16.5" customHeight="1">
      <c r="A867" s="347">
        <v>17105016</v>
      </c>
      <c r="B867" s="347" t="s">
        <v>6425</v>
      </c>
      <c r="C867" s="347"/>
      <c r="D867" s="348"/>
      <c r="E867" s="348"/>
      <c r="F867" s="348"/>
      <c r="G867" s="348"/>
      <c r="H867" s="358"/>
      <c r="I867" s="352"/>
      <c r="J867" s="353"/>
      <c r="K867" s="538"/>
      <c r="L867" s="487"/>
      <c r="M867" s="487"/>
      <c r="N867" s="354"/>
      <c r="O867" s="354"/>
      <c r="P867" s="354"/>
      <c r="Q867" s="354"/>
      <c r="R867" s="354"/>
      <c r="S867" s="354"/>
      <c r="T867" s="354"/>
      <c r="U867" s="354"/>
      <c r="V867" s="354"/>
      <c r="W867" s="354"/>
      <c r="X867" s="354"/>
      <c r="Y867" s="354"/>
      <c r="Z867" s="353"/>
      <c r="AA867" s="353"/>
      <c r="AB867" s="836"/>
      <c r="AC867" s="836"/>
      <c r="AD867" s="836"/>
      <c r="AE867" s="838"/>
    </row>
    <row r="868" spans="1:31" ht="16.5" customHeight="1">
      <c r="A868" s="347">
        <v>883165</v>
      </c>
      <c r="B868" s="347" t="s">
        <v>6426</v>
      </c>
      <c r="C868" s="347"/>
      <c r="D868" s="348"/>
      <c r="E868" s="348"/>
      <c r="F868" s="348"/>
      <c r="G868" s="348"/>
      <c r="H868" s="358"/>
      <c r="I868" s="352"/>
      <c r="J868" s="353"/>
      <c r="K868" s="538"/>
      <c r="L868" s="487"/>
      <c r="M868" s="487"/>
      <c r="N868" s="354"/>
      <c r="O868" s="354"/>
      <c r="P868" s="354"/>
      <c r="Q868" s="354"/>
      <c r="R868" s="354"/>
      <c r="S868" s="354"/>
      <c r="T868" s="354"/>
      <c r="U868" s="354"/>
      <c r="V868" s="354"/>
      <c r="W868" s="354"/>
      <c r="X868" s="354"/>
      <c r="Y868" s="354"/>
      <c r="Z868" s="353"/>
      <c r="AA868" s="353"/>
      <c r="AB868" s="836"/>
      <c r="AC868" s="836"/>
      <c r="AD868" s="836"/>
      <c r="AE868" s="838"/>
    </row>
    <row r="869" spans="1:31" ht="16.5" customHeight="1">
      <c r="A869" s="347">
        <v>593210</v>
      </c>
      <c r="B869" s="347" t="s">
        <v>6427</v>
      </c>
      <c r="C869" s="347"/>
      <c r="D869" s="361"/>
      <c r="E869" s="361"/>
      <c r="F869" s="361"/>
      <c r="G869" s="348"/>
      <c r="H869" s="358"/>
      <c r="I869" s="352"/>
      <c r="J869" s="353"/>
      <c r="K869" s="538"/>
      <c r="L869" s="487"/>
      <c r="M869" s="487"/>
      <c r="N869" s="354"/>
      <c r="O869" s="354"/>
      <c r="P869" s="354"/>
      <c r="Q869" s="354"/>
      <c r="R869" s="354"/>
      <c r="S869" s="354"/>
      <c r="T869" s="354"/>
      <c r="U869" s="354"/>
      <c r="V869" s="354"/>
      <c r="W869" s="354"/>
      <c r="X869" s="354"/>
      <c r="Y869" s="354"/>
      <c r="Z869" s="353"/>
      <c r="AA869" s="353"/>
      <c r="AB869" s="836"/>
      <c r="AC869" s="836"/>
      <c r="AD869" s="836"/>
      <c r="AE869" s="838"/>
    </row>
    <row r="870" spans="1:31" ht="16.5" customHeight="1">
      <c r="A870" s="347">
        <v>265298</v>
      </c>
      <c r="B870" s="347" t="s">
        <v>6428</v>
      </c>
      <c r="C870" s="347"/>
      <c r="D870" s="361"/>
      <c r="E870" s="361"/>
      <c r="F870" s="361"/>
      <c r="G870" s="348"/>
      <c r="H870" s="358"/>
      <c r="I870" s="352"/>
      <c r="J870" s="353"/>
      <c r="K870" s="538"/>
      <c r="L870" s="487"/>
      <c r="M870" s="487"/>
      <c r="N870" s="354"/>
      <c r="O870" s="354"/>
      <c r="P870" s="354"/>
      <c r="Q870" s="354"/>
      <c r="R870" s="354"/>
      <c r="S870" s="354"/>
      <c r="T870" s="354"/>
      <c r="U870" s="354"/>
      <c r="V870" s="354"/>
      <c r="W870" s="354"/>
      <c r="X870" s="354"/>
      <c r="Y870" s="354"/>
      <c r="Z870" s="353"/>
      <c r="AA870" s="353"/>
      <c r="AB870" s="836"/>
      <c r="AC870" s="836"/>
      <c r="AD870" s="836"/>
      <c r="AE870" s="838"/>
    </row>
    <row r="871" spans="1:31" ht="16.5" customHeight="1">
      <c r="A871" s="347">
        <v>9224478</v>
      </c>
      <c r="B871" s="347" t="s">
        <v>6429</v>
      </c>
      <c r="C871" s="347"/>
      <c r="D871" s="361"/>
      <c r="E871" s="361"/>
      <c r="F871" s="361"/>
      <c r="G871" s="348"/>
      <c r="H871" s="358"/>
      <c r="I871" s="352"/>
      <c r="J871" s="353"/>
      <c r="K871" s="538"/>
      <c r="L871" s="487"/>
      <c r="M871" s="487"/>
      <c r="N871" s="354"/>
      <c r="O871" s="354"/>
      <c r="P871" s="354"/>
      <c r="Q871" s="354"/>
      <c r="R871" s="354"/>
      <c r="S871" s="354"/>
      <c r="T871" s="354"/>
      <c r="U871" s="354"/>
      <c r="V871" s="354"/>
      <c r="W871" s="354"/>
      <c r="X871" s="354"/>
      <c r="Y871" s="354"/>
      <c r="Z871" s="353"/>
      <c r="AA871" s="353"/>
      <c r="AB871" s="836"/>
      <c r="AC871" s="836"/>
      <c r="AD871" s="836"/>
      <c r="AE871" s="838"/>
    </row>
    <row r="872" spans="1:31" ht="16.5" customHeight="1">
      <c r="A872" s="347">
        <v>51252179</v>
      </c>
      <c r="B872" s="347" t="s">
        <v>6430</v>
      </c>
      <c r="C872" s="347"/>
      <c r="D872" s="348"/>
      <c r="E872" s="348"/>
      <c r="F872" s="348"/>
      <c r="G872" s="348"/>
      <c r="H872" s="358"/>
      <c r="I872" s="352"/>
      <c r="J872" s="353"/>
      <c r="K872" s="538"/>
      <c r="L872" s="487"/>
      <c r="M872" s="487"/>
      <c r="N872" s="354"/>
      <c r="O872" s="354"/>
      <c r="P872" s="354"/>
      <c r="Q872" s="354"/>
      <c r="R872" s="354"/>
      <c r="S872" s="354"/>
      <c r="T872" s="354"/>
      <c r="U872" s="354"/>
      <c r="V872" s="354"/>
      <c r="W872" s="354"/>
      <c r="X872" s="354"/>
      <c r="Y872" s="354"/>
      <c r="Z872" s="353"/>
      <c r="AA872" s="353"/>
      <c r="AB872" s="836"/>
      <c r="AC872" s="836"/>
      <c r="AD872" s="836"/>
      <c r="AE872" s="838"/>
    </row>
    <row r="873" spans="1:31" ht="16.5" customHeight="1">
      <c r="A873" s="347">
        <v>22899520</v>
      </c>
      <c r="B873" s="347" t="s">
        <v>6431</v>
      </c>
      <c r="C873" s="347"/>
      <c r="D873" s="348"/>
      <c r="E873" s="348"/>
      <c r="F873" s="348"/>
      <c r="G873" s="348"/>
      <c r="H873" s="358"/>
      <c r="I873" s="352"/>
      <c r="J873" s="353"/>
      <c r="K873" s="538"/>
      <c r="L873" s="487"/>
      <c r="M873" s="487"/>
      <c r="N873" s="354"/>
      <c r="O873" s="354"/>
      <c r="P873" s="354"/>
      <c r="Q873" s="354"/>
      <c r="R873" s="354"/>
      <c r="S873" s="354"/>
      <c r="T873" s="354"/>
      <c r="U873" s="354"/>
      <c r="V873" s="354"/>
      <c r="W873" s="354"/>
      <c r="X873" s="354"/>
      <c r="Y873" s="354"/>
      <c r="Z873" s="353"/>
      <c r="AA873" s="353"/>
      <c r="AB873" s="836"/>
      <c r="AC873" s="836"/>
      <c r="AD873" s="836"/>
      <c r="AE873" s="838"/>
    </row>
    <row r="874" spans="1:31" ht="16.5" customHeight="1">
      <c r="A874" s="347">
        <v>47204672</v>
      </c>
      <c r="B874" s="347" t="s">
        <v>6432</v>
      </c>
      <c r="C874" s="347"/>
      <c r="D874" s="348"/>
      <c r="E874" s="348"/>
      <c r="F874" s="348"/>
      <c r="G874" s="348"/>
      <c r="H874" s="358"/>
      <c r="I874" s="352"/>
      <c r="J874" s="353"/>
      <c r="K874" s="538"/>
      <c r="L874" s="487"/>
      <c r="M874" s="487"/>
      <c r="N874" s="354"/>
      <c r="O874" s="354"/>
      <c r="P874" s="354"/>
      <c r="Q874" s="354"/>
      <c r="R874" s="354"/>
      <c r="S874" s="354"/>
      <c r="T874" s="354"/>
      <c r="U874" s="354"/>
      <c r="V874" s="354"/>
      <c r="W874" s="354"/>
      <c r="X874" s="354"/>
      <c r="Y874" s="354"/>
      <c r="Z874" s="353"/>
      <c r="AA874" s="353"/>
      <c r="AB874" s="836"/>
      <c r="AC874" s="836"/>
      <c r="AD874" s="836"/>
      <c r="AE874" s="838"/>
    </row>
    <row r="875" spans="1:31" ht="16.5" customHeight="1">
      <c r="A875" s="347">
        <v>39606652</v>
      </c>
      <c r="B875" s="347" t="s">
        <v>6433</v>
      </c>
      <c r="C875" s="347"/>
      <c r="D875" s="361"/>
      <c r="E875" s="361"/>
      <c r="F875" s="361"/>
      <c r="G875" s="348"/>
      <c r="H875" s="358"/>
      <c r="I875" s="352"/>
      <c r="J875" s="353"/>
      <c r="K875" s="538"/>
      <c r="L875" s="487"/>
      <c r="M875" s="487"/>
      <c r="N875" s="354"/>
      <c r="O875" s="354"/>
      <c r="P875" s="354"/>
      <c r="Q875" s="354"/>
      <c r="R875" s="354"/>
      <c r="S875" s="354"/>
      <c r="T875" s="354"/>
      <c r="U875" s="354"/>
      <c r="V875" s="354"/>
      <c r="W875" s="354"/>
      <c r="X875" s="354"/>
      <c r="Y875" s="354"/>
      <c r="Z875" s="353"/>
      <c r="AA875" s="353"/>
      <c r="AB875" s="836"/>
      <c r="AC875" s="836"/>
      <c r="AD875" s="836"/>
      <c r="AE875" s="838"/>
    </row>
    <row r="876" spans="1:31" ht="16.5" customHeight="1">
      <c r="A876" s="347">
        <v>38252102</v>
      </c>
      <c r="B876" s="347" t="s">
        <v>6434</v>
      </c>
      <c r="C876" s="347"/>
      <c r="D876" s="361"/>
      <c r="E876" s="361"/>
      <c r="F876" s="361"/>
      <c r="G876" s="348"/>
      <c r="H876" s="358"/>
      <c r="I876" s="352"/>
      <c r="J876" s="353"/>
      <c r="K876" s="538"/>
      <c r="L876" s="487"/>
      <c r="M876" s="487"/>
      <c r="N876" s="354"/>
      <c r="O876" s="354"/>
      <c r="P876" s="354"/>
      <c r="Q876" s="354"/>
      <c r="R876" s="354"/>
      <c r="S876" s="354"/>
      <c r="T876" s="354"/>
      <c r="U876" s="354"/>
      <c r="V876" s="354"/>
      <c r="W876" s="354"/>
      <c r="X876" s="354"/>
      <c r="Y876" s="354"/>
      <c r="Z876" s="353"/>
      <c r="AA876" s="353"/>
      <c r="AB876" s="836"/>
      <c r="AC876" s="836"/>
      <c r="AD876" s="836"/>
      <c r="AE876" s="838"/>
    </row>
    <row r="877" spans="1:31" ht="16.5" customHeight="1">
      <c r="A877" s="347">
        <v>3150323</v>
      </c>
      <c r="B877" s="347" t="s">
        <v>6435</v>
      </c>
      <c r="C877" s="347"/>
      <c r="D877" s="348"/>
      <c r="E877" s="348"/>
      <c r="F877" s="348"/>
      <c r="G877" s="348"/>
      <c r="H877" s="358"/>
      <c r="I877" s="352"/>
      <c r="J877" s="353"/>
      <c r="K877" s="538"/>
      <c r="L877" s="487"/>
      <c r="M877" s="487"/>
      <c r="N877" s="354"/>
      <c r="O877" s="354"/>
      <c r="P877" s="354"/>
      <c r="Q877" s="354"/>
      <c r="R877" s="354"/>
      <c r="S877" s="354"/>
      <c r="T877" s="354"/>
      <c r="U877" s="354"/>
      <c r="V877" s="354"/>
      <c r="W877" s="354"/>
      <c r="X877" s="354"/>
      <c r="Y877" s="354"/>
      <c r="Z877" s="353"/>
      <c r="AA877" s="353"/>
      <c r="AB877" s="836"/>
      <c r="AC877" s="836"/>
      <c r="AD877" s="836"/>
      <c r="AE877" s="838"/>
    </row>
    <row r="878" spans="1:31" ht="16.5" customHeight="1">
      <c r="A878" s="347">
        <v>1803402</v>
      </c>
      <c r="B878" s="347" t="s">
        <v>6436</v>
      </c>
      <c r="C878" s="347"/>
      <c r="D878" s="348"/>
      <c r="E878" s="348"/>
      <c r="F878" s="348"/>
      <c r="G878" s="348"/>
      <c r="H878" s="358"/>
      <c r="I878" s="352"/>
      <c r="J878" s="353"/>
      <c r="K878" s="538"/>
      <c r="L878" s="487"/>
      <c r="M878" s="487"/>
      <c r="N878" s="354"/>
      <c r="O878" s="354"/>
      <c r="P878" s="354"/>
      <c r="Q878" s="354"/>
      <c r="R878" s="354"/>
      <c r="S878" s="354"/>
      <c r="T878" s="354"/>
      <c r="U878" s="354"/>
      <c r="V878" s="354"/>
      <c r="W878" s="354"/>
      <c r="X878" s="354"/>
      <c r="Y878" s="354"/>
      <c r="Z878" s="353"/>
      <c r="AA878" s="353"/>
      <c r="AB878" s="836"/>
      <c r="AC878" s="836"/>
      <c r="AD878" s="836"/>
      <c r="AE878" s="838"/>
    </row>
    <row r="879" spans="1:31" ht="16.5" customHeight="1">
      <c r="A879" s="347">
        <v>24065096</v>
      </c>
      <c r="B879" s="347" t="s">
        <v>6437</v>
      </c>
      <c r="C879" s="347"/>
      <c r="D879" s="348"/>
      <c r="E879" s="348"/>
      <c r="F879" s="348"/>
      <c r="G879" s="348"/>
      <c r="H879" s="358"/>
      <c r="I879" s="352"/>
      <c r="J879" s="353"/>
      <c r="K879" s="538"/>
      <c r="L879" s="487"/>
      <c r="M879" s="487"/>
      <c r="N879" s="354"/>
      <c r="O879" s="354"/>
      <c r="P879" s="354"/>
      <c r="Q879" s="354"/>
      <c r="R879" s="354"/>
      <c r="S879" s="354"/>
      <c r="T879" s="354"/>
      <c r="U879" s="354"/>
      <c r="V879" s="354"/>
      <c r="W879" s="354"/>
      <c r="X879" s="354"/>
      <c r="Y879" s="354"/>
      <c r="Z879" s="353"/>
      <c r="AA879" s="353"/>
      <c r="AB879" s="836"/>
      <c r="AC879" s="836"/>
      <c r="AD879" s="836"/>
      <c r="AE879" s="838"/>
    </row>
    <row r="880" spans="1:31" ht="16.5" customHeight="1">
      <c r="A880" s="347">
        <v>922591</v>
      </c>
      <c r="B880" s="347" t="s">
        <v>6438</v>
      </c>
      <c r="C880" s="347"/>
      <c r="D880" s="361"/>
      <c r="E880" s="361"/>
      <c r="F880" s="361"/>
      <c r="G880" s="348"/>
      <c r="H880" s="358"/>
      <c r="I880" s="352"/>
      <c r="J880" s="353"/>
      <c r="K880" s="538"/>
      <c r="L880" s="487"/>
      <c r="M880" s="487"/>
      <c r="N880" s="354"/>
      <c r="O880" s="354"/>
      <c r="P880" s="354"/>
      <c r="Q880" s="354"/>
      <c r="R880" s="354"/>
      <c r="S880" s="354"/>
      <c r="T880" s="354"/>
      <c r="U880" s="354"/>
      <c r="V880" s="354"/>
      <c r="W880" s="354"/>
      <c r="X880" s="354"/>
      <c r="Y880" s="354"/>
      <c r="Z880" s="353"/>
      <c r="AA880" s="353"/>
      <c r="AB880" s="836"/>
      <c r="AC880" s="836"/>
      <c r="AD880" s="836"/>
      <c r="AE880" s="838"/>
    </row>
    <row r="881" spans="1:31" ht="16.5" customHeight="1">
      <c r="A881" s="347">
        <v>6542658</v>
      </c>
      <c r="B881" s="347" t="s">
        <v>6439</v>
      </c>
      <c r="C881" s="347"/>
      <c r="D881" s="348"/>
      <c r="E881" s="348"/>
      <c r="F881" s="348"/>
      <c r="G881" s="348"/>
      <c r="H881" s="358"/>
      <c r="I881" s="352"/>
      <c r="J881" s="353"/>
      <c r="K881" s="538"/>
      <c r="L881" s="487"/>
      <c r="M881" s="487"/>
      <c r="N881" s="354"/>
      <c r="O881" s="354"/>
      <c r="P881" s="354"/>
      <c r="Q881" s="354"/>
      <c r="R881" s="354"/>
      <c r="S881" s="354"/>
      <c r="T881" s="354"/>
      <c r="U881" s="354"/>
      <c r="V881" s="354"/>
      <c r="W881" s="354"/>
      <c r="X881" s="354"/>
      <c r="Y881" s="354"/>
      <c r="Z881" s="353"/>
      <c r="AA881" s="353"/>
      <c r="AB881" s="836"/>
      <c r="AC881" s="836"/>
      <c r="AD881" s="836"/>
      <c r="AE881" s="838"/>
    </row>
    <row r="882" spans="1:31" ht="16.5" customHeight="1">
      <c r="A882" s="347">
        <v>41079971</v>
      </c>
      <c r="B882" s="347" t="s">
        <v>6440</v>
      </c>
      <c r="C882" s="347"/>
      <c r="D882" s="348"/>
      <c r="E882" s="348"/>
      <c r="F882" s="348"/>
      <c r="G882" s="348"/>
      <c r="H882" s="358"/>
      <c r="I882" s="352"/>
      <c r="J882" s="353"/>
      <c r="K882" s="538"/>
      <c r="L882" s="487"/>
      <c r="M882" s="487"/>
      <c r="N882" s="354"/>
      <c r="O882" s="354"/>
      <c r="P882" s="354"/>
      <c r="Q882" s="354"/>
      <c r="R882" s="354"/>
      <c r="S882" s="354"/>
      <c r="T882" s="354"/>
      <c r="U882" s="354"/>
      <c r="V882" s="354"/>
      <c r="W882" s="354"/>
      <c r="X882" s="354"/>
      <c r="Y882" s="354"/>
      <c r="Z882" s="353"/>
      <c r="AA882" s="353"/>
      <c r="AB882" s="836"/>
      <c r="AC882" s="836"/>
      <c r="AD882" s="836"/>
      <c r="AE882" s="838"/>
    </row>
    <row r="883" spans="1:31" ht="16.5" customHeight="1">
      <c r="A883" s="347">
        <v>25712449</v>
      </c>
      <c r="B883" s="347" t="s">
        <v>6441</v>
      </c>
      <c r="C883" s="347"/>
      <c r="D883" s="348"/>
      <c r="E883" s="348"/>
      <c r="F883" s="348"/>
      <c r="G883" s="348"/>
      <c r="H883" s="358"/>
      <c r="I883" s="352"/>
      <c r="J883" s="353"/>
      <c r="K883" s="538"/>
      <c r="L883" s="487"/>
      <c r="M883" s="487"/>
      <c r="N883" s="354"/>
      <c r="O883" s="354"/>
      <c r="P883" s="354"/>
      <c r="Q883" s="354"/>
      <c r="R883" s="354"/>
      <c r="S883" s="354"/>
      <c r="T883" s="354"/>
      <c r="U883" s="354"/>
      <c r="V883" s="354"/>
      <c r="W883" s="354"/>
      <c r="X883" s="354"/>
      <c r="Y883" s="354"/>
      <c r="Z883" s="353"/>
      <c r="AA883" s="353"/>
      <c r="AB883" s="836"/>
      <c r="AC883" s="836"/>
      <c r="AD883" s="836"/>
      <c r="AE883" s="838"/>
    </row>
    <row r="884" spans="1:31" ht="16.5" customHeight="1">
      <c r="A884" s="347">
        <v>100004540</v>
      </c>
      <c r="B884" s="347" t="s">
        <v>5990</v>
      </c>
      <c r="C884" s="347"/>
      <c r="D884" s="348"/>
      <c r="E884" s="348"/>
      <c r="F884" s="348"/>
      <c r="G884" s="348"/>
      <c r="H884" s="358"/>
      <c r="I884" s="352"/>
      <c r="J884" s="353"/>
      <c r="K884" s="538"/>
      <c r="L884" s="487"/>
      <c r="M884" s="487"/>
      <c r="N884" s="354"/>
      <c r="O884" s="354"/>
      <c r="P884" s="354"/>
      <c r="Q884" s="354"/>
      <c r="R884" s="354"/>
      <c r="S884" s="354"/>
      <c r="T884" s="354"/>
      <c r="U884" s="354"/>
      <c r="V884" s="354"/>
      <c r="W884" s="354"/>
      <c r="X884" s="354"/>
      <c r="Y884" s="354"/>
      <c r="Z884" s="353"/>
      <c r="AA884" s="353"/>
      <c r="AB884" s="836"/>
      <c r="AC884" s="836"/>
      <c r="AD884" s="836"/>
      <c r="AE884" s="838"/>
    </row>
    <row r="885" spans="1:31" ht="16.5" customHeight="1">
      <c r="A885" s="347">
        <v>69775146</v>
      </c>
      <c r="B885" s="347" t="s">
        <v>6442</v>
      </c>
      <c r="C885" s="347"/>
      <c r="D885" s="348"/>
      <c r="E885" s="348"/>
      <c r="F885" s="348"/>
      <c r="G885" s="348"/>
      <c r="H885" s="358"/>
      <c r="I885" s="352"/>
      <c r="J885" s="353"/>
      <c r="K885" s="538"/>
      <c r="L885" s="487"/>
      <c r="M885" s="487"/>
      <c r="N885" s="354"/>
      <c r="O885" s="354"/>
      <c r="P885" s="354"/>
      <c r="Q885" s="354"/>
      <c r="R885" s="354"/>
      <c r="S885" s="354"/>
      <c r="T885" s="354"/>
      <c r="U885" s="354"/>
      <c r="V885" s="354"/>
      <c r="W885" s="354"/>
      <c r="X885" s="354"/>
      <c r="Y885" s="354"/>
      <c r="Z885" s="353"/>
      <c r="AA885" s="353"/>
      <c r="AB885" s="836"/>
      <c r="AC885" s="836"/>
      <c r="AD885" s="836"/>
      <c r="AE885" s="838"/>
    </row>
    <row r="886" spans="1:31" ht="16.5" customHeight="1">
      <c r="A886" s="347">
        <v>100005950</v>
      </c>
      <c r="B886" s="347" t="s">
        <v>6443</v>
      </c>
      <c r="C886" s="347"/>
      <c r="D886" s="348"/>
      <c r="E886" s="348"/>
      <c r="F886" s="348"/>
      <c r="G886" s="348"/>
      <c r="H886" s="358"/>
      <c r="I886" s="352"/>
      <c r="J886" s="353"/>
      <c r="K886" s="538"/>
      <c r="L886" s="487"/>
      <c r="M886" s="487"/>
      <c r="N886" s="354"/>
      <c r="O886" s="354"/>
      <c r="P886" s="354"/>
      <c r="Q886" s="354"/>
      <c r="R886" s="354"/>
      <c r="S886" s="354"/>
      <c r="T886" s="354"/>
      <c r="U886" s="354"/>
      <c r="V886" s="354"/>
      <c r="W886" s="354"/>
      <c r="X886" s="354"/>
      <c r="Y886" s="354"/>
      <c r="Z886" s="353"/>
      <c r="AA886" s="353"/>
      <c r="AB886" s="836"/>
      <c r="AC886" s="836"/>
      <c r="AD886" s="836"/>
      <c r="AE886" s="838"/>
    </row>
    <row r="887" spans="1:31" ht="16.5" customHeight="1">
      <c r="A887" s="347">
        <v>6060552</v>
      </c>
      <c r="B887" s="347" t="s">
        <v>6444</v>
      </c>
      <c r="C887" s="347"/>
      <c r="D887" s="348"/>
      <c r="E887" s="348"/>
      <c r="F887" s="348"/>
      <c r="G887" s="348"/>
      <c r="H887" s="358"/>
      <c r="I887" s="352"/>
      <c r="J887" s="353"/>
      <c r="K887" s="538"/>
      <c r="L887" s="487"/>
      <c r="M887" s="487"/>
      <c r="N887" s="354"/>
      <c r="O887" s="354"/>
      <c r="P887" s="354"/>
      <c r="Q887" s="354"/>
      <c r="R887" s="354"/>
      <c r="S887" s="354"/>
      <c r="T887" s="354"/>
      <c r="U887" s="354"/>
      <c r="V887" s="354"/>
      <c r="W887" s="354"/>
      <c r="X887" s="354"/>
      <c r="Y887" s="354"/>
      <c r="Z887" s="353"/>
      <c r="AA887" s="353"/>
      <c r="AB887" s="836"/>
      <c r="AC887" s="836"/>
      <c r="AD887" s="836"/>
      <c r="AE887" s="838"/>
    </row>
    <row r="888" spans="1:31" ht="16.5" customHeight="1">
      <c r="A888" s="347">
        <v>37447786</v>
      </c>
      <c r="B888" s="347" t="s">
        <v>6445</v>
      </c>
      <c r="C888" s="347"/>
      <c r="D888" s="348"/>
      <c r="E888" s="348"/>
      <c r="F888" s="348"/>
      <c r="G888" s="348"/>
      <c r="H888" s="358"/>
      <c r="I888" s="352"/>
      <c r="J888" s="353"/>
      <c r="K888" s="538"/>
      <c r="L888" s="487"/>
      <c r="M888" s="487"/>
      <c r="N888" s="354"/>
      <c r="O888" s="354"/>
      <c r="P888" s="354"/>
      <c r="Q888" s="354"/>
      <c r="R888" s="354"/>
      <c r="S888" s="354"/>
      <c r="T888" s="354"/>
      <c r="U888" s="354"/>
      <c r="V888" s="354"/>
      <c r="W888" s="354"/>
      <c r="X888" s="354"/>
      <c r="Y888" s="354"/>
      <c r="Z888" s="353"/>
      <c r="AA888" s="353"/>
      <c r="AB888" s="836"/>
      <c r="AC888" s="836"/>
      <c r="AD888" s="836"/>
      <c r="AE888" s="838"/>
    </row>
    <row r="889" spans="1:31" ht="16.5" customHeight="1">
      <c r="A889" s="347">
        <v>3714417</v>
      </c>
      <c r="B889" s="347" t="s">
        <v>6446</v>
      </c>
      <c r="C889" s="347"/>
      <c r="D889" s="348"/>
      <c r="E889" s="348"/>
      <c r="F889" s="348"/>
      <c r="G889" s="348"/>
      <c r="H889" s="358"/>
      <c r="I889" s="352"/>
      <c r="J889" s="353"/>
      <c r="K889" s="538"/>
      <c r="L889" s="487"/>
      <c r="M889" s="487"/>
      <c r="N889" s="354"/>
      <c r="O889" s="354"/>
      <c r="P889" s="354"/>
      <c r="Q889" s="354"/>
      <c r="R889" s="354"/>
      <c r="S889" s="354"/>
      <c r="T889" s="354"/>
      <c r="U889" s="354"/>
      <c r="V889" s="354"/>
      <c r="W889" s="354"/>
      <c r="X889" s="354"/>
      <c r="Y889" s="354"/>
      <c r="Z889" s="353"/>
      <c r="AA889" s="353"/>
      <c r="AB889" s="836"/>
      <c r="AC889" s="836"/>
      <c r="AD889" s="836"/>
      <c r="AE889" s="838"/>
    </row>
    <row r="890" spans="1:31" ht="16.5" customHeight="1">
      <c r="A890" s="347">
        <v>35352707</v>
      </c>
      <c r="B890" s="347" t="s">
        <v>6447</v>
      </c>
      <c r="C890" s="347"/>
      <c r="D890" s="361"/>
      <c r="E890" s="361"/>
      <c r="F890" s="361"/>
      <c r="G890" s="348"/>
      <c r="H890" s="358"/>
      <c r="I890" s="352"/>
      <c r="J890" s="353"/>
      <c r="K890" s="538"/>
      <c r="L890" s="487"/>
      <c r="M890" s="487"/>
      <c r="N890" s="354"/>
      <c r="O890" s="354"/>
      <c r="P890" s="354"/>
      <c r="Q890" s="354"/>
      <c r="R890" s="354"/>
      <c r="S890" s="354"/>
      <c r="T890" s="354"/>
      <c r="U890" s="354"/>
      <c r="V890" s="354"/>
      <c r="W890" s="354"/>
      <c r="X890" s="354"/>
      <c r="Y890" s="354"/>
      <c r="Z890" s="353"/>
      <c r="AA890" s="353"/>
      <c r="AB890" s="836"/>
      <c r="AC890" s="836"/>
      <c r="AD890" s="836"/>
      <c r="AE890" s="838"/>
    </row>
    <row r="891" spans="1:31" ht="16.5" customHeight="1">
      <c r="A891" s="347">
        <v>29604659</v>
      </c>
      <c r="B891" s="347" t="s">
        <v>6448</v>
      </c>
      <c r="C891" s="347"/>
      <c r="D891" s="348"/>
      <c r="E891" s="348"/>
      <c r="F891" s="348"/>
      <c r="G891" s="348"/>
      <c r="H891" s="358"/>
      <c r="I891" s="352"/>
      <c r="J891" s="353"/>
      <c r="K891" s="538"/>
      <c r="L891" s="487"/>
      <c r="M891" s="487"/>
      <c r="N891" s="354"/>
      <c r="O891" s="354"/>
      <c r="P891" s="354"/>
      <c r="Q891" s="354"/>
      <c r="R891" s="354"/>
      <c r="S891" s="354"/>
      <c r="T891" s="354"/>
      <c r="U891" s="354"/>
      <c r="V891" s="354"/>
      <c r="W891" s="354"/>
      <c r="X891" s="354"/>
      <c r="Y891" s="354"/>
      <c r="Z891" s="353"/>
      <c r="AA891" s="353"/>
      <c r="AB891" s="836"/>
      <c r="AC891" s="836"/>
      <c r="AD891" s="836"/>
      <c r="AE891" s="838"/>
    </row>
    <row r="892" spans="1:31" ht="16.5" customHeight="1">
      <c r="A892" s="347">
        <v>39528427</v>
      </c>
      <c r="B892" s="347" t="s">
        <v>6449</v>
      </c>
      <c r="C892" s="347"/>
      <c r="D892" s="348"/>
      <c r="E892" s="348"/>
      <c r="F892" s="348"/>
      <c r="G892" s="348"/>
      <c r="H892" s="358"/>
      <c r="I892" s="352"/>
      <c r="J892" s="353"/>
      <c r="K892" s="538"/>
      <c r="L892" s="487"/>
      <c r="M892" s="487"/>
      <c r="N892" s="354"/>
      <c r="O892" s="354"/>
      <c r="P892" s="354"/>
      <c r="Q892" s="354"/>
      <c r="R892" s="354"/>
      <c r="S892" s="354"/>
      <c r="T892" s="354"/>
      <c r="U892" s="354"/>
      <c r="V892" s="354"/>
      <c r="W892" s="354"/>
      <c r="X892" s="354"/>
      <c r="Y892" s="354"/>
      <c r="Z892" s="353"/>
      <c r="AA892" s="353"/>
      <c r="AB892" s="836"/>
      <c r="AC892" s="836"/>
      <c r="AD892" s="836"/>
      <c r="AE892" s="838"/>
    </row>
    <row r="893" spans="1:31" ht="16.5" customHeight="1">
      <c r="A893" s="347">
        <v>13648134</v>
      </c>
      <c r="B893" s="347" t="s">
        <v>6450</v>
      </c>
      <c r="C893" s="347"/>
      <c r="D893" s="348"/>
      <c r="E893" s="348"/>
      <c r="F893" s="348"/>
      <c r="G893" s="348"/>
      <c r="H893" s="358"/>
      <c r="I893" s="352"/>
      <c r="J893" s="353"/>
      <c r="K893" s="538"/>
      <c r="L893" s="487"/>
      <c r="M893" s="487"/>
      <c r="N893" s="354"/>
      <c r="O893" s="354"/>
      <c r="P893" s="354"/>
      <c r="Q893" s="354"/>
      <c r="R893" s="354"/>
      <c r="S893" s="354"/>
      <c r="T893" s="354"/>
      <c r="U893" s="354"/>
      <c r="V893" s="354"/>
      <c r="W893" s="354"/>
      <c r="X893" s="354"/>
      <c r="Y893" s="354"/>
      <c r="Z893" s="353"/>
      <c r="AA893" s="353"/>
      <c r="AB893" s="836"/>
      <c r="AC893" s="836"/>
      <c r="AD893" s="836"/>
      <c r="AE893" s="838"/>
    </row>
    <row r="894" spans="1:31" ht="16.5" customHeight="1">
      <c r="A894" s="347">
        <v>35273010</v>
      </c>
      <c r="B894" s="347" t="s">
        <v>6451</v>
      </c>
      <c r="C894" s="347"/>
      <c r="D894" s="348"/>
      <c r="E894" s="348"/>
      <c r="F894" s="348"/>
      <c r="G894" s="348"/>
      <c r="H894" s="358"/>
      <c r="I894" s="352"/>
      <c r="J894" s="353"/>
      <c r="K894" s="538"/>
      <c r="L894" s="487"/>
      <c r="M894" s="487"/>
      <c r="N894" s="354"/>
      <c r="O894" s="354"/>
      <c r="P894" s="354"/>
      <c r="Q894" s="354"/>
      <c r="R894" s="354"/>
      <c r="S894" s="354"/>
      <c r="T894" s="354"/>
      <c r="U894" s="354"/>
      <c r="V894" s="354"/>
      <c r="W894" s="354"/>
      <c r="X894" s="354"/>
      <c r="Y894" s="354"/>
      <c r="Z894" s="353"/>
      <c r="AA894" s="353"/>
      <c r="AB894" s="836"/>
      <c r="AC894" s="836"/>
      <c r="AD894" s="836"/>
      <c r="AE894" s="838"/>
    </row>
    <row r="895" spans="1:31" ht="16.5" customHeight="1">
      <c r="A895" s="347">
        <v>27981042</v>
      </c>
      <c r="B895" s="347" t="s">
        <v>6452</v>
      </c>
      <c r="C895" s="347"/>
      <c r="D895" s="348"/>
      <c r="E895" s="348"/>
      <c r="F895" s="348"/>
      <c r="G895" s="348"/>
      <c r="H895" s="358"/>
      <c r="I895" s="352"/>
      <c r="J895" s="353"/>
      <c r="K895" s="538"/>
      <c r="L895" s="487"/>
      <c r="M895" s="487"/>
      <c r="N895" s="354"/>
      <c r="O895" s="354"/>
      <c r="P895" s="354"/>
      <c r="Q895" s="354"/>
      <c r="R895" s="354"/>
      <c r="S895" s="354"/>
      <c r="T895" s="354"/>
      <c r="U895" s="354"/>
      <c r="V895" s="354"/>
      <c r="W895" s="354"/>
      <c r="X895" s="354"/>
      <c r="Y895" s="354"/>
      <c r="Z895" s="353"/>
      <c r="AA895" s="353"/>
      <c r="AB895" s="836"/>
      <c r="AC895" s="836"/>
      <c r="AD895" s="836"/>
      <c r="AE895" s="838"/>
    </row>
    <row r="896" spans="1:31" ht="16.5" customHeight="1">
      <c r="A896" s="347">
        <v>3276763</v>
      </c>
      <c r="B896" s="347" t="s">
        <v>6453</v>
      </c>
      <c r="C896" s="347"/>
      <c r="D896" s="348"/>
      <c r="E896" s="348"/>
      <c r="F896" s="348"/>
      <c r="G896" s="348"/>
      <c r="H896" s="358"/>
      <c r="I896" s="352"/>
      <c r="J896" s="353"/>
      <c r="K896" s="538"/>
      <c r="L896" s="487"/>
      <c r="M896" s="487"/>
      <c r="N896" s="354"/>
      <c r="O896" s="354"/>
      <c r="P896" s="354"/>
      <c r="Q896" s="354"/>
      <c r="R896" s="354"/>
      <c r="S896" s="354"/>
      <c r="T896" s="354"/>
      <c r="U896" s="354"/>
      <c r="V896" s="354"/>
      <c r="W896" s="354"/>
      <c r="X896" s="354"/>
      <c r="Y896" s="354"/>
      <c r="Z896" s="353"/>
      <c r="AA896" s="353"/>
      <c r="AB896" s="836"/>
      <c r="AC896" s="836"/>
      <c r="AD896" s="836"/>
      <c r="AE896" s="838"/>
    </row>
    <row r="897" spans="1:31" ht="16.5" customHeight="1">
      <c r="A897" s="347">
        <v>7764905</v>
      </c>
      <c r="B897" s="347" t="s">
        <v>6454</v>
      </c>
      <c r="C897" s="347"/>
      <c r="D897" s="348"/>
      <c r="E897" s="348"/>
      <c r="F897" s="348"/>
      <c r="G897" s="348"/>
      <c r="H897" s="358"/>
      <c r="I897" s="352"/>
      <c r="J897" s="353"/>
      <c r="K897" s="538"/>
      <c r="L897" s="487"/>
      <c r="M897" s="487"/>
      <c r="N897" s="354"/>
      <c r="O897" s="354"/>
      <c r="P897" s="354"/>
      <c r="Q897" s="354"/>
      <c r="R897" s="354"/>
      <c r="S897" s="354"/>
      <c r="T897" s="354"/>
      <c r="U897" s="354"/>
      <c r="V897" s="354"/>
      <c r="W897" s="354"/>
      <c r="X897" s="354"/>
      <c r="Y897" s="354"/>
      <c r="Z897" s="353"/>
      <c r="AA897" s="353"/>
      <c r="AB897" s="836"/>
      <c r="AC897" s="836"/>
      <c r="AD897" s="836"/>
      <c r="AE897" s="838"/>
    </row>
    <row r="898" spans="1:31" ht="16.5" customHeight="1">
      <c r="A898" s="347">
        <v>33273079</v>
      </c>
      <c r="B898" s="347" t="s">
        <v>6455</v>
      </c>
      <c r="C898" s="347"/>
      <c r="D898" s="348"/>
      <c r="E898" s="348"/>
      <c r="F898" s="348"/>
      <c r="G898" s="348"/>
      <c r="H898" s="358"/>
      <c r="I898" s="352"/>
      <c r="J898" s="353"/>
      <c r="K898" s="538"/>
      <c r="L898" s="487"/>
      <c r="M898" s="487"/>
      <c r="N898" s="354"/>
      <c r="O898" s="354"/>
      <c r="P898" s="354"/>
      <c r="Q898" s="354"/>
      <c r="R898" s="354"/>
      <c r="S898" s="354"/>
      <c r="T898" s="354"/>
      <c r="U898" s="354"/>
      <c r="V898" s="354"/>
      <c r="W898" s="354"/>
      <c r="X898" s="354"/>
      <c r="Y898" s="354"/>
      <c r="Z898" s="353"/>
      <c r="AA898" s="353"/>
      <c r="AB898" s="836"/>
      <c r="AC898" s="836"/>
      <c r="AD898" s="836"/>
      <c r="AE898" s="838"/>
    </row>
    <row r="899" spans="1:31" ht="16.5" customHeight="1">
      <c r="A899" s="347">
        <v>64839384</v>
      </c>
      <c r="B899" s="347" t="s">
        <v>6456</v>
      </c>
      <c r="C899" s="347"/>
      <c r="D899" s="348"/>
      <c r="E899" s="348"/>
      <c r="F899" s="348"/>
      <c r="G899" s="348"/>
      <c r="H899" s="358"/>
      <c r="I899" s="352"/>
      <c r="J899" s="353"/>
      <c r="K899" s="538"/>
      <c r="L899" s="487"/>
      <c r="M899" s="487"/>
      <c r="N899" s="354"/>
      <c r="O899" s="354"/>
      <c r="P899" s="354"/>
      <c r="Q899" s="354"/>
      <c r="R899" s="354"/>
      <c r="S899" s="354"/>
      <c r="T899" s="354"/>
      <c r="U899" s="354"/>
      <c r="V899" s="354"/>
      <c r="W899" s="354"/>
      <c r="X899" s="354"/>
      <c r="Y899" s="354"/>
      <c r="Z899" s="353"/>
      <c r="AA899" s="353"/>
      <c r="AB899" s="836"/>
      <c r="AC899" s="836"/>
      <c r="AD899" s="836"/>
      <c r="AE899" s="838"/>
    </row>
    <row r="900" spans="1:31" ht="16.5" customHeight="1">
      <c r="A900" s="347">
        <v>3230752</v>
      </c>
      <c r="B900" s="347" t="s">
        <v>6457</v>
      </c>
      <c r="C900" s="347"/>
      <c r="D900" s="348"/>
      <c r="E900" s="348"/>
      <c r="F900" s="348"/>
      <c r="G900" s="348"/>
      <c r="H900" s="358"/>
      <c r="I900" s="352"/>
      <c r="J900" s="353"/>
      <c r="K900" s="538"/>
      <c r="L900" s="487"/>
      <c r="M900" s="487"/>
      <c r="N900" s="354"/>
      <c r="O900" s="354"/>
      <c r="P900" s="354"/>
      <c r="Q900" s="354"/>
      <c r="R900" s="354"/>
      <c r="S900" s="354"/>
      <c r="T900" s="354"/>
      <c r="U900" s="354"/>
      <c r="V900" s="354"/>
      <c r="W900" s="354"/>
      <c r="X900" s="354"/>
      <c r="Y900" s="354"/>
      <c r="Z900" s="353"/>
      <c r="AA900" s="353"/>
      <c r="AB900" s="836"/>
      <c r="AC900" s="836"/>
      <c r="AD900" s="836"/>
      <c r="AE900" s="838"/>
    </row>
    <row r="901" spans="1:31" ht="16.5" customHeight="1">
      <c r="A901" s="347">
        <v>28063063</v>
      </c>
      <c r="B901" s="347" t="s">
        <v>6458</v>
      </c>
      <c r="C901" s="347"/>
      <c r="D901" s="348"/>
      <c r="E901" s="348"/>
      <c r="F901" s="348"/>
      <c r="G901" s="348"/>
      <c r="H901" s="358"/>
      <c r="I901" s="352"/>
      <c r="J901" s="353"/>
      <c r="K901" s="538"/>
      <c r="L901" s="487"/>
      <c r="M901" s="487"/>
      <c r="N901" s="354"/>
      <c r="O901" s="354"/>
      <c r="P901" s="354"/>
      <c r="Q901" s="354"/>
      <c r="R901" s="354"/>
      <c r="S901" s="354"/>
      <c r="T901" s="354"/>
      <c r="U901" s="354"/>
      <c r="V901" s="354"/>
      <c r="W901" s="354"/>
      <c r="X901" s="354"/>
      <c r="Y901" s="354"/>
      <c r="Z901" s="353"/>
      <c r="AA901" s="353"/>
      <c r="AB901" s="836"/>
      <c r="AC901" s="836"/>
      <c r="AD901" s="836"/>
      <c r="AE901" s="838"/>
    </row>
    <row r="902" spans="1:31" ht="16.5" customHeight="1">
      <c r="A902" s="347">
        <v>31505563</v>
      </c>
      <c r="B902" s="347" t="s">
        <v>6459</v>
      </c>
      <c r="C902" s="347"/>
      <c r="D902" s="348"/>
      <c r="E902" s="348"/>
      <c r="F902" s="348"/>
      <c r="G902" s="348"/>
      <c r="H902" s="358"/>
      <c r="I902" s="352"/>
      <c r="J902" s="353"/>
      <c r="K902" s="538"/>
      <c r="L902" s="487"/>
      <c r="M902" s="487"/>
      <c r="N902" s="354"/>
      <c r="O902" s="354"/>
      <c r="P902" s="354"/>
      <c r="Q902" s="354"/>
      <c r="R902" s="354"/>
      <c r="S902" s="354"/>
      <c r="T902" s="354"/>
      <c r="U902" s="354"/>
      <c r="V902" s="354"/>
      <c r="W902" s="354"/>
      <c r="X902" s="354"/>
      <c r="Y902" s="354"/>
      <c r="Z902" s="353"/>
      <c r="AA902" s="353"/>
      <c r="AB902" s="836"/>
      <c r="AC902" s="836"/>
      <c r="AD902" s="836"/>
      <c r="AE902" s="838"/>
    </row>
    <row r="903" spans="1:31" ht="16.5" customHeight="1">
      <c r="A903" s="347">
        <v>38175931</v>
      </c>
      <c r="B903" s="347" t="s">
        <v>6460</v>
      </c>
      <c r="C903" s="347"/>
      <c r="D903" s="361"/>
      <c r="E903" s="361"/>
      <c r="F903" s="361"/>
      <c r="G903" s="348"/>
      <c r="H903" s="358"/>
      <c r="I903" s="352"/>
      <c r="J903" s="353"/>
      <c r="K903" s="538"/>
      <c r="L903" s="487"/>
      <c r="M903" s="487"/>
      <c r="N903" s="354"/>
      <c r="O903" s="354"/>
      <c r="P903" s="354"/>
      <c r="Q903" s="354"/>
      <c r="R903" s="354"/>
      <c r="S903" s="354"/>
      <c r="T903" s="354"/>
      <c r="U903" s="354"/>
      <c r="V903" s="354"/>
      <c r="W903" s="354"/>
      <c r="X903" s="354"/>
      <c r="Y903" s="354"/>
      <c r="Z903" s="353"/>
      <c r="AA903" s="353"/>
      <c r="AB903" s="836"/>
      <c r="AC903" s="836"/>
      <c r="AD903" s="836"/>
      <c r="AE903" s="838"/>
    </row>
    <row r="904" spans="1:31" ht="16.5" customHeight="1">
      <c r="A904" s="347">
        <v>24068736</v>
      </c>
      <c r="B904" s="347" t="s">
        <v>6461</v>
      </c>
      <c r="C904" s="347"/>
      <c r="D904" s="348"/>
      <c r="E904" s="348"/>
      <c r="F904" s="348"/>
      <c r="G904" s="348"/>
      <c r="H904" s="358"/>
      <c r="I904" s="352"/>
      <c r="J904" s="353"/>
      <c r="K904" s="538"/>
      <c r="L904" s="487"/>
      <c r="M904" s="487"/>
      <c r="N904" s="354"/>
      <c r="O904" s="354"/>
      <c r="P904" s="354"/>
      <c r="Q904" s="354"/>
      <c r="R904" s="354"/>
      <c r="S904" s="354"/>
      <c r="T904" s="354"/>
      <c r="U904" s="354"/>
      <c r="V904" s="354"/>
      <c r="W904" s="354"/>
      <c r="X904" s="354"/>
      <c r="Y904" s="354"/>
      <c r="Z904" s="353"/>
      <c r="AA904" s="353"/>
      <c r="AB904" s="836"/>
      <c r="AC904" s="836"/>
      <c r="AD904" s="836"/>
      <c r="AE904" s="838"/>
    </row>
    <row r="905" spans="1:31" ht="16.5" customHeight="1">
      <c r="A905" s="347">
        <v>19006014</v>
      </c>
      <c r="B905" s="347" t="s">
        <v>6462</v>
      </c>
      <c r="C905" s="347"/>
      <c r="D905" s="348"/>
      <c r="E905" s="348"/>
      <c r="F905" s="348"/>
      <c r="G905" s="348"/>
      <c r="H905" s="358"/>
      <c r="I905" s="352"/>
      <c r="J905" s="353"/>
      <c r="K905" s="538"/>
      <c r="L905" s="487"/>
      <c r="M905" s="487"/>
      <c r="N905" s="354"/>
      <c r="O905" s="354"/>
      <c r="P905" s="354"/>
      <c r="Q905" s="354"/>
      <c r="R905" s="354"/>
      <c r="S905" s="354"/>
      <c r="T905" s="354"/>
      <c r="U905" s="354"/>
      <c r="V905" s="354"/>
      <c r="W905" s="354"/>
      <c r="X905" s="354"/>
      <c r="Y905" s="354"/>
      <c r="Z905" s="353"/>
      <c r="AA905" s="353"/>
      <c r="AB905" s="836"/>
      <c r="AC905" s="836"/>
      <c r="AD905" s="836"/>
      <c r="AE905" s="838"/>
    </row>
    <row r="906" spans="1:31" ht="16.5" customHeight="1">
      <c r="A906" s="347">
        <v>74579764</v>
      </c>
      <c r="B906" s="347" t="s">
        <v>6463</v>
      </c>
      <c r="C906" s="347"/>
      <c r="D906" s="361"/>
      <c r="E906" s="361"/>
      <c r="F906" s="361"/>
      <c r="G906" s="348"/>
      <c r="H906" s="358"/>
      <c r="I906" s="352"/>
      <c r="J906" s="353"/>
      <c r="K906" s="538"/>
      <c r="L906" s="487"/>
      <c r="M906" s="487"/>
      <c r="N906" s="354"/>
      <c r="O906" s="354"/>
      <c r="P906" s="354"/>
      <c r="Q906" s="354"/>
      <c r="R906" s="354"/>
      <c r="S906" s="354"/>
      <c r="T906" s="354"/>
      <c r="U906" s="354"/>
      <c r="V906" s="354"/>
      <c r="W906" s="354"/>
      <c r="X906" s="354"/>
      <c r="Y906" s="354"/>
      <c r="Z906" s="353"/>
      <c r="AA906" s="353"/>
      <c r="AB906" s="836"/>
      <c r="AC906" s="836"/>
      <c r="AD906" s="836"/>
      <c r="AE906" s="838"/>
    </row>
    <row r="907" spans="1:31" ht="16.5" customHeight="1">
      <c r="A907" s="347">
        <v>4800603</v>
      </c>
      <c r="B907" s="347" t="s">
        <v>6464</v>
      </c>
      <c r="C907" s="347"/>
      <c r="D907" s="348"/>
      <c r="E907" s="348"/>
      <c r="F907" s="348"/>
      <c r="G907" s="348"/>
      <c r="H907" s="358"/>
      <c r="I907" s="352"/>
      <c r="J907" s="353"/>
      <c r="K907" s="538"/>
      <c r="L907" s="487"/>
      <c r="M907" s="487"/>
      <c r="N907" s="354"/>
      <c r="O907" s="354"/>
      <c r="P907" s="354"/>
      <c r="Q907" s="354"/>
      <c r="R907" s="354"/>
      <c r="S907" s="354"/>
      <c r="T907" s="354"/>
      <c r="U907" s="354"/>
      <c r="V907" s="354"/>
      <c r="W907" s="354"/>
      <c r="X907" s="354"/>
      <c r="Y907" s="354"/>
      <c r="Z907" s="353"/>
      <c r="AA907" s="353"/>
      <c r="AB907" s="836"/>
      <c r="AC907" s="836"/>
      <c r="AD907" s="836"/>
      <c r="AE907" s="838"/>
    </row>
    <row r="908" spans="1:31" ht="16.5" customHeight="1">
      <c r="A908" s="347">
        <v>18934547</v>
      </c>
      <c r="B908" s="347" t="s">
        <v>6465</v>
      </c>
      <c r="C908" s="347"/>
      <c r="D908" s="348"/>
      <c r="E908" s="348"/>
      <c r="F908" s="348"/>
      <c r="G908" s="348"/>
      <c r="H908" s="358"/>
      <c r="I908" s="352"/>
      <c r="J908" s="353"/>
      <c r="K908" s="538"/>
      <c r="L908" s="487"/>
      <c r="M908" s="487"/>
      <c r="N908" s="354"/>
      <c r="O908" s="354"/>
      <c r="P908" s="354"/>
      <c r="Q908" s="354"/>
      <c r="R908" s="354"/>
      <c r="S908" s="354"/>
      <c r="T908" s="354"/>
      <c r="U908" s="354"/>
      <c r="V908" s="354"/>
      <c r="W908" s="354"/>
      <c r="X908" s="354"/>
      <c r="Y908" s="354"/>
      <c r="Z908" s="353"/>
      <c r="AA908" s="353"/>
      <c r="AB908" s="836"/>
      <c r="AC908" s="836"/>
      <c r="AD908" s="836"/>
      <c r="AE908" s="838"/>
    </row>
    <row r="909" spans="1:31" ht="16.5" customHeight="1">
      <c r="A909" s="347">
        <v>41151861</v>
      </c>
      <c r="B909" s="347" t="s">
        <v>6466</v>
      </c>
      <c r="C909" s="347"/>
      <c r="D909" s="348"/>
      <c r="E909" s="348"/>
      <c r="F909" s="348"/>
      <c r="G909" s="348"/>
      <c r="H909" s="358"/>
      <c r="I909" s="352"/>
      <c r="J909" s="353"/>
      <c r="K909" s="538"/>
      <c r="L909" s="487"/>
      <c r="M909" s="487"/>
      <c r="N909" s="354"/>
      <c r="O909" s="354"/>
      <c r="P909" s="354"/>
      <c r="Q909" s="354"/>
      <c r="R909" s="354"/>
      <c r="S909" s="354"/>
      <c r="T909" s="354"/>
      <c r="U909" s="354"/>
      <c r="V909" s="354"/>
      <c r="W909" s="354"/>
      <c r="X909" s="354"/>
      <c r="Y909" s="354"/>
      <c r="Z909" s="353"/>
      <c r="AA909" s="353"/>
      <c r="AB909" s="836"/>
      <c r="AC909" s="836"/>
      <c r="AD909" s="836"/>
      <c r="AE909" s="838"/>
    </row>
    <row r="910" spans="1:31" ht="16.5" customHeight="1">
      <c r="A910" s="347">
        <v>8595571</v>
      </c>
      <c r="B910" s="347" t="s">
        <v>6467</v>
      </c>
      <c r="C910" s="347"/>
      <c r="D910" s="348"/>
      <c r="E910" s="348"/>
      <c r="F910" s="348"/>
      <c r="G910" s="348"/>
      <c r="H910" s="358"/>
      <c r="I910" s="352"/>
      <c r="J910" s="353"/>
      <c r="K910" s="538"/>
      <c r="L910" s="487"/>
      <c r="M910" s="487"/>
      <c r="N910" s="354"/>
      <c r="O910" s="354"/>
      <c r="P910" s="354"/>
      <c r="Q910" s="354"/>
      <c r="R910" s="354"/>
      <c r="S910" s="354"/>
      <c r="T910" s="354"/>
      <c r="U910" s="354"/>
      <c r="V910" s="354"/>
      <c r="W910" s="354"/>
      <c r="X910" s="354"/>
      <c r="Y910" s="354"/>
      <c r="Z910" s="353"/>
      <c r="AA910" s="353"/>
      <c r="AB910" s="836"/>
      <c r="AC910" s="836"/>
      <c r="AD910" s="836"/>
      <c r="AE910" s="838"/>
    </row>
    <row r="911" spans="1:31" ht="16.5" customHeight="1">
      <c r="A911" s="347">
        <v>5528021</v>
      </c>
      <c r="B911" s="347" t="s">
        <v>6468</v>
      </c>
      <c r="C911" s="347"/>
      <c r="D911" s="348"/>
      <c r="E911" s="348"/>
      <c r="F911" s="348"/>
      <c r="G911" s="348"/>
      <c r="H911" s="358"/>
      <c r="I911" s="352"/>
      <c r="J911" s="353"/>
      <c r="K911" s="538"/>
      <c r="L911" s="487"/>
      <c r="M911" s="487"/>
      <c r="N911" s="354"/>
      <c r="O911" s="354"/>
      <c r="P911" s="354"/>
      <c r="Q911" s="354"/>
      <c r="R911" s="354"/>
      <c r="S911" s="354"/>
      <c r="T911" s="354"/>
      <c r="U911" s="354"/>
      <c r="V911" s="354"/>
      <c r="W911" s="354"/>
      <c r="X911" s="354"/>
      <c r="Y911" s="354"/>
      <c r="Z911" s="353"/>
      <c r="AA911" s="353"/>
      <c r="AB911" s="836"/>
      <c r="AC911" s="836"/>
      <c r="AD911" s="836"/>
      <c r="AE911" s="838"/>
    </row>
    <row r="912" spans="1:31" ht="16.5" customHeight="1">
      <c r="A912" s="347">
        <v>25566027</v>
      </c>
      <c r="B912" s="347" t="s">
        <v>6469</v>
      </c>
      <c r="C912" s="347"/>
      <c r="D912" s="348"/>
      <c r="E912" s="348"/>
      <c r="F912" s="348"/>
      <c r="G912" s="348"/>
      <c r="H912" s="358"/>
      <c r="I912" s="352"/>
      <c r="J912" s="353"/>
      <c r="K912" s="538"/>
      <c r="L912" s="487"/>
      <c r="M912" s="487"/>
      <c r="N912" s="354"/>
      <c r="O912" s="354"/>
      <c r="P912" s="354"/>
      <c r="Q912" s="354"/>
      <c r="R912" s="354"/>
      <c r="S912" s="354"/>
      <c r="T912" s="354"/>
      <c r="U912" s="354"/>
      <c r="V912" s="354"/>
      <c r="W912" s="354"/>
      <c r="X912" s="354"/>
      <c r="Y912" s="354"/>
      <c r="Z912" s="353"/>
      <c r="AA912" s="353"/>
      <c r="AB912" s="836"/>
      <c r="AC912" s="836"/>
      <c r="AD912" s="836"/>
      <c r="AE912" s="838"/>
    </row>
    <row r="913" spans="1:31" ht="16.5" customHeight="1">
      <c r="A913" s="347">
        <v>23160161</v>
      </c>
      <c r="B913" s="347" t="s">
        <v>6470</v>
      </c>
      <c r="C913" s="347"/>
      <c r="D913" s="348"/>
      <c r="E913" s="348"/>
      <c r="F913" s="348"/>
      <c r="G913" s="348"/>
      <c r="H913" s="358"/>
      <c r="I913" s="352"/>
      <c r="J913" s="353"/>
      <c r="K913" s="538"/>
      <c r="L913" s="487"/>
      <c r="M913" s="487"/>
      <c r="N913" s="354"/>
      <c r="O913" s="354"/>
      <c r="P913" s="354"/>
      <c r="Q913" s="354"/>
      <c r="R913" s="354"/>
      <c r="S913" s="354"/>
      <c r="T913" s="354"/>
      <c r="U913" s="354"/>
      <c r="V913" s="354"/>
      <c r="W913" s="354"/>
      <c r="X913" s="354"/>
      <c r="Y913" s="354"/>
      <c r="Z913" s="353"/>
      <c r="AA913" s="353"/>
      <c r="AB913" s="836"/>
      <c r="AC913" s="836"/>
      <c r="AD913" s="836"/>
      <c r="AE913" s="838"/>
    </row>
    <row r="914" spans="1:31" ht="16.5" customHeight="1">
      <c r="A914" s="347">
        <v>37902459</v>
      </c>
      <c r="B914" s="347" t="s">
        <v>6471</v>
      </c>
      <c r="C914" s="347"/>
      <c r="D914" s="348"/>
      <c r="E914" s="348"/>
      <c r="F914" s="348"/>
      <c r="G914" s="348"/>
      <c r="H914" s="358"/>
      <c r="I914" s="352"/>
      <c r="J914" s="353"/>
      <c r="K914" s="538"/>
      <c r="L914" s="487"/>
      <c r="M914" s="487"/>
      <c r="N914" s="354"/>
      <c r="O914" s="354"/>
      <c r="P914" s="354"/>
      <c r="Q914" s="354"/>
      <c r="R914" s="354"/>
      <c r="S914" s="354"/>
      <c r="T914" s="354"/>
      <c r="U914" s="354"/>
      <c r="V914" s="354"/>
      <c r="W914" s="354"/>
      <c r="X914" s="354"/>
      <c r="Y914" s="354"/>
      <c r="Z914" s="353"/>
      <c r="AA914" s="353"/>
      <c r="AB914" s="836"/>
      <c r="AC914" s="836"/>
      <c r="AD914" s="836"/>
      <c r="AE914" s="838"/>
    </row>
    <row r="915" spans="1:31" ht="16.5" customHeight="1">
      <c r="A915" s="347">
        <v>6323257</v>
      </c>
      <c r="B915" s="347" t="s">
        <v>6472</v>
      </c>
      <c r="C915" s="347"/>
      <c r="D915" s="348"/>
      <c r="E915" s="348"/>
      <c r="F915" s="348"/>
      <c r="G915" s="348"/>
      <c r="H915" s="358"/>
      <c r="I915" s="352"/>
      <c r="J915" s="353"/>
      <c r="K915" s="538"/>
      <c r="L915" s="487"/>
      <c r="M915" s="487"/>
      <c r="N915" s="354"/>
      <c r="O915" s="354"/>
      <c r="P915" s="354"/>
      <c r="Q915" s="354"/>
      <c r="R915" s="354"/>
      <c r="S915" s="354"/>
      <c r="T915" s="354"/>
      <c r="U915" s="354"/>
      <c r="V915" s="354"/>
      <c r="W915" s="354"/>
      <c r="X915" s="354"/>
      <c r="Y915" s="354"/>
      <c r="Z915" s="353"/>
      <c r="AA915" s="353"/>
      <c r="AB915" s="836"/>
      <c r="AC915" s="836"/>
      <c r="AD915" s="836"/>
      <c r="AE915" s="838"/>
    </row>
    <row r="916" spans="1:31" ht="16.5" customHeight="1">
      <c r="A916" s="347">
        <v>523720</v>
      </c>
      <c r="B916" s="347" t="s">
        <v>6473</v>
      </c>
      <c r="C916" s="347"/>
      <c r="D916" s="348"/>
      <c r="E916" s="348"/>
      <c r="F916" s="348"/>
      <c r="G916" s="348"/>
      <c r="H916" s="358"/>
      <c r="I916" s="352"/>
      <c r="J916" s="353"/>
      <c r="K916" s="538"/>
      <c r="L916" s="487"/>
      <c r="M916" s="487"/>
      <c r="N916" s="354"/>
      <c r="O916" s="354"/>
      <c r="P916" s="354"/>
      <c r="Q916" s="354"/>
      <c r="R916" s="354"/>
      <c r="S916" s="354"/>
      <c r="T916" s="354"/>
      <c r="U916" s="354"/>
      <c r="V916" s="354"/>
      <c r="W916" s="354"/>
      <c r="X916" s="354"/>
      <c r="Y916" s="354"/>
      <c r="Z916" s="353"/>
      <c r="AA916" s="353"/>
      <c r="AB916" s="836"/>
      <c r="AC916" s="836"/>
      <c r="AD916" s="836"/>
      <c r="AE916" s="838"/>
    </row>
    <row r="917" spans="1:31" ht="16.5" customHeight="1">
      <c r="A917" s="347">
        <v>5012083</v>
      </c>
      <c r="B917" s="347" t="s">
        <v>6474</v>
      </c>
      <c r="C917" s="347"/>
      <c r="D917" s="348"/>
      <c r="E917" s="348"/>
      <c r="F917" s="348"/>
      <c r="G917" s="348"/>
      <c r="H917" s="358"/>
      <c r="I917" s="352"/>
      <c r="J917" s="353"/>
      <c r="K917" s="538"/>
      <c r="L917" s="487"/>
      <c r="M917" s="487"/>
      <c r="N917" s="354"/>
      <c r="O917" s="354"/>
      <c r="P917" s="354"/>
      <c r="Q917" s="354"/>
      <c r="R917" s="354"/>
      <c r="S917" s="354"/>
      <c r="T917" s="354"/>
      <c r="U917" s="354"/>
      <c r="V917" s="354"/>
      <c r="W917" s="354"/>
      <c r="X917" s="354"/>
      <c r="Y917" s="354"/>
      <c r="Z917" s="353"/>
      <c r="AA917" s="353"/>
      <c r="AB917" s="836"/>
      <c r="AC917" s="836"/>
      <c r="AD917" s="836"/>
      <c r="AE917" s="838"/>
    </row>
    <row r="918" spans="1:31" ht="16.5" customHeight="1">
      <c r="A918" s="347">
        <v>1695964</v>
      </c>
      <c r="B918" s="347" t="s">
        <v>6475</v>
      </c>
      <c r="C918" s="347"/>
      <c r="D918" s="361"/>
      <c r="E918" s="361"/>
      <c r="F918" s="361"/>
      <c r="G918" s="348"/>
      <c r="H918" s="358"/>
      <c r="I918" s="352"/>
      <c r="J918" s="353"/>
      <c r="K918" s="538"/>
      <c r="L918" s="487"/>
      <c r="M918" s="487"/>
      <c r="N918" s="354"/>
      <c r="O918" s="354"/>
      <c r="P918" s="354"/>
      <c r="Q918" s="354"/>
      <c r="R918" s="354"/>
      <c r="S918" s="354"/>
      <c r="T918" s="354"/>
      <c r="U918" s="354"/>
      <c r="V918" s="354"/>
      <c r="W918" s="354"/>
      <c r="X918" s="354"/>
      <c r="Y918" s="354"/>
      <c r="Z918" s="353"/>
      <c r="AA918" s="353"/>
      <c r="AB918" s="836"/>
      <c r="AC918" s="836"/>
      <c r="AD918" s="836"/>
      <c r="AE918" s="838"/>
    </row>
    <row r="919" spans="1:31" ht="16.5" customHeight="1">
      <c r="A919" s="347">
        <v>29383064</v>
      </c>
      <c r="B919" s="347" t="s">
        <v>6476</v>
      </c>
      <c r="C919" s="347"/>
      <c r="D919" s="348"/>
      <c r="E919" s="348"/>
      <c r="F919" s="348"/>
      <c r="G919" s="348"/>
      <c r="H919" s="358"/>
      <c r="I919" s="352"/>
      <c r="J919" s="353"/>
      <c r="K919" s="538"/>
      <c r="L919" s="487"/>
      <c r="M919" s="487"/>
      <c r="N919" s="354"/>
      <c r="O919" s="354"/>
      <c r="P919" s="354"/>
      <c r="Q919" s="354"/>
      <c r="R919" s="354"/>
      <c r="S919" s="354"/>
      <c r="T919" s="354"/>
      <c r="U919" s="354"/>
      <c r="V919" s="354"/>
      <c r="W919" s="354"/>
      <c r="X919" s="354"/>
      <c r="Y919" s="354"/>
      <c r="Z919" s="353"/>
      <c r="AA919" s="353"/>
      <c r="AB919" s="836"/>
      <c r="AC919" s="836"/>
      <c r="AD919" s="836"/>
      <c r="AE919" s="838"/>
    </row>
    <row r="920" spans="1:31" ht="16.5" customHeight="1">
      <c r="A920" s="347">
        <v>384453</v>
      </c>
      <c r="B920" s="347" t="s">
        <v>6477</v>
      </c>
      <c r="C920" s="347"/>
      <c r="D920" s="348"/>
      <c r="E920" s="348"/>
      <c r="F920" s="348"/>
      <c r="G920" s="348"/>
      <c r="H920" s="358"/>
      <c r="I920" s="352"/>
      <c r="J920" s="353"/>
      <c r="K920" s="538"/>
      <c r="L920" s="487"/>
      <c r="M920" s="487"/>
      <c r="N920" s="354"/>
      <c r="O920" s="354"/>
      <c r="P920" s="354"/>
      <c r="Q920" s="354"/>
      <c r="R920" s="354"/>
      <c r="S920" s="354"/>
      <c r="T920" s="354"/>
      <c r="U920" s="354"/>
      <c r="V920" s="354"/>
      <c r="W920" s="354"/>
      <c r="X920" s="354"/>
      <c r="Y920" s="354"/>
      <c r="Z920" s="353"/>
      <c r="AA920" s="353"/>
      <c r="AB920" s="836"/>
      <c r="AC920" s="836"/>
      <c r="AD920" s="836"/>
      <c r="AE920" s="838"/>
    </row>
    <row r="921" spans="1:31" ht="16.5" customHeight="1">
      <c r="A921" s="347">
        <v>929802</v>
      </c>
      <c r="B921" s="347" t="s">
        <v>6478</v>
      </c>
      <c r="C921" s="347"/>
      <c r="D921" s="348"/>
      <c r="E921" s="348"/>
      <c r="F921" s="348"/>
      <c r="G921" s="348"/>
      <c r="H921" s="358"/>
      <c r="I921" s="352"/>
      <c r="J921" s="353"/>
      <c r="K921" s="538"/>
      <c r="L921" s="487"/>
      <c r="M921" s="487"/>
      <c r="N921" s="354"/>
      <c r="O921" s="354"/>
      <c r="P921" s="354"/>
      <c r="Q921" s="354"/>
      <c r="R921" s="354"/>
      <c r="S921" s="354"/>
      <c r="T921" s="354"/>
      <c r="U921" s="354"/>
      <c r="V921" s="354"/>
      <c r="W921" s="354"/>
      <c r="X921" s="354"/>
      <c r="Y921" s="354"/>
      <c r="Z921" s="353"/>
      <c r="AA921" s="353"/>
      <c r="AB921" s="836"/>
      <c r="AC921" s="836"/>
      <c r="AD921" s="836"/>
      <c r="AE921" s="838"/>
    </row>
    <row r="922" spans="1:31" ht="16.5" customHeight="1">
      <c r="A922" s="347">
        <v>7859143</v>
      </c>
      <c r="B922" s="347" t="s">
        <v>6479</v>
      </c>
      <c r="C922" s="347"/>
      <c r="D922" s="348"/>
      <c r="E922" s="348"/>
      <c r="F922" s="348"/>
      <c r="G922" s="348"/>
      <c r="H922" s="358"/>
      <c r="I922" s="352"/>
      <c r="J922" s="353"/>
      <c r="K922" s="538"/>
      <c r="L922" s="487"/>
      <c r="M922" s="487"/>
      <c r="N922" s="354"/>
      <c r="O922" s="354"/>
      <c r="P922" s="354"/>
      <c r="Q922" s="354"/>
      <c r="R922" s="354"/>
      <c r="S922" s="354"/>
      <c r="T922" s="354"/>
      <c r="U922" s="354"/>
      <c r="V922" s="354"/>
      <c r="W922" s="354"/>
      <c r="X922" s="354"/>
      <c r="Y922" s="354"/>
      <c r="Z922" s="353"/>
      <c r="AA922" s="353"/>
      <c r="AB922" s="836"/>
      <c r="AC922" s="836"/>
      <c r="AD922" s="836"/>
      <c r="AE922" s="838"/>
    </row>
    <row r="923" spans="1:31" ht="16.5" customHeight="1">
      <c r="A923" s="347">
        <v>4017232</v>
      </c>
      <c r="B923" s="347" t="s">
        <v>6480</v>
      </c>
      <c r="C923" s="347"/>
      <c r="D923" s="348"/>
      <c r="E923" s="348"/>
      <c r="F923" s="348"/>
      <c r="G923" s="348"/>
      <c r="H923" s="358"/>
      <c r="I923" s="352"/>
      <c r="J923" s="353"/>
      <c r="K923" s="538"/>
      <c r="L923" s="487"/>
      <c r="M923" s="487"/>
      <c r="N923" s="354"/>
      <c r="O923" s="354"/>
      <c r="P923" s="354"/>
      <c r="Q923" s="354"/>
      <c r="R923" s="354"/>
      <c r="S923" s="354"/>
      <c r="T923" s="354"/>
      <c r="U923" s="354"/>
      <c r="V923" s="354"/>
      <c r="W923" s="354"/>
      <c r="X923" s="354"/>
      <c r="Y923" s="354"/>
      <c r="Z923" s="353"/>
      <c r="AA923" s="353"/>
      <c r="AB923" s="836"/>
      <c r="AC923" s="836"/>
      <c r="AD923" s="836"/>
      <c r="AE923" s="838"/>
    </row>
    <row r="924" spans="1:31" ht="16.5" customHeight="1">
      <c r="A924" s="347">
        <v>541672</v>
      </c>
      <c r="B924" s="347" t="s">
        <v>6481</v>
      </c>
      <c r="C924" s="347"/>
      <c r="D924" s="348"/>
      <c r="E924" s="348"/>
      <c r="F924" s="348"/>
      <c r="G924" s="348"/>
      <c r="H924" s="358"/>
      <c r="I924" s="352"/>
      <c r="J924" s="353"/>
      <c r="K924" s="538"/>
      <c r="L924" s="487"/>
      <c r="M924" s="487"/>
      <c r="N924" s="354"/>
      <c r="O924" s="354"/>
      <c r="P924" s="354"/>
      <c r="Q924" s="354"/>
      <c r="R924" s="354"/>
      <c r="S924" s="354"/>
      <c r="T924" s="354"/>
      <c r="U924" s="354"/>
      <c r="V924" s="354"/>
      <c r="W924" s="354"/>
      <c r="X924" s="354"/>
      <c r="Y924" s="354"/>
      <c r="Z924" s="353"/>
      <c r="AA924" s="353"/>
      <c r="AB924" s="836"/>
      <c r="AC924" s="836"/>
      <c r="AD924" s="836"/>
      <c r="AE924" s="838"/>
    </row>
    <row r="925" spans="1:31" ht="16.5" customHeight="1">
      <c r="A925" s="347">
        <v>19799196</v>
      </c>
      <c r="B925" s="347" t="s">
        <v>6482</v>
      </c>
      <c r="C925" s="347"/>
      <c r="D925" s="348"/>
      <c r="E925" s="348"/>
      <c r="F925" s="348"/>
      <c r="G925" s="348"/>
      <c r="H925" s="358"/>
      <c r="I925" s="352"/>
      <c r="J925" s="353"/>
      <c r="K925" s="538"/>
      <c r="L925" s="487"/>
      <c r="M925" s="487"/>
      <c r="N925" s="354"/>
      <c r="O925" s="354"/>
      <c r="P925" s="354"/>
      <c r="Q925" s="354"/>
      <c r="R925" s="354"/>
      <c r="S925" s="354"/>
      <c r="T925" s="354"/>
      <c r="U925" s="354"/>
      <c r="V925" s="354"/>
      <c r="W925" s="354"/>
      <c r="X925" s="354"/>
      <c r="Y925" s="354"/>
      <c r="Z925" s="353"/>
      <c r="AA925" s="353"/>
      <c r="AB925" s="836"/>
      <c r="AC925" s="836"/>
      <c r="AD925" s="836"/>
      <c r="AE925" s="838"/>
    </row>
    <row r="926" spans="1:31" ht="16.5" customHeight="1">
      <c r="A926" s="347">
        <v>6792758</v>
      </c>
      <c r="B926" s="347" t="s">
        <v>6483</v>
      </c>
      <c r="C926" s="347"/>
      <c r="D926" s="348"/>
      <c r="E926" s="348"/>
      <c r="F926" s="348"/>
      <c r="G926" s="348"/>
      <c r="H926" s="358"/>
      <c r="I926" s="352"/>
      <c r="J926" s="353"/>
      <c r="K926" s="538"/>
      <c r="L926" s="487"/>
      <c r="M926" s="487"/>
      <c r="N926" s="354"/>
      <c r="O926" s="354"/>
      <c r="P926" s="354"/>
      <c r="Q926" s="354"/>
      <c r="R926" s="354"/>
      <c r="S926" s="354"/>
      <c r="T926" s="354"/>
      <c r="U926" s="354"/>
      <c r="V926" s="354"/>
      <c r="W926" s="354"/>
      <c r="X926" s="354"/>
      <c r="Y926" s="354"/>
      <c r="Z926" s="353"/>
      <c r="AA926" s="353"/>
      <c r="AB926" s="836"/>
      <c r="AC926" s="836"/>
      <c r="AD926" s="836"/>
      <c r="AE926" s="838"/>
    </row>
    <row r="927" spans="1:31" ht="16.5" customHeight="1">
      <c r="A927" s="347">
        <v>28830602</v>
      </c>
      <c r="B927" s="347" t="s">
        <v>6484</v>
      </c>
      <c r="C927" s="347"/>
      <c r="D927" s="361"/>
      <c r="E927" s="361"/>
      <c r="F927" s="361"/>
      <c r="G927" s="348"/>
      <c r="H927" s="358"/>
      <c r="I927" s="352"/>
      <c r="J927" s="353"/>
      <c r="K927" s="538"/>
      <c r="L927" s="487"/>
      <c r="M927" s="487"/>
      <c r="N927" s="354"/>
      <c r="O927" s="354"/>
      <c r="P927" s="354"/>
      <c r="Q927" s="354"/>
      <c r="R927" s="354"/>
      <c r="S927" s="354"/>
      <c r="T927" s="354"/>
      <c r="U927" s="354"/>
      <c r="V927" s="354"/>
      <c r="W927" s="354"/>
      <c r="X927" s="354"/>
      <c r="Y927" s="354"/>
      <c r="Z927" s="353"/>
      <c r="AA927" s="353"/>
      <c r="AB927" s="836"/>
      <c r="AC927" s="836"/>
      <c r="AD927" s="836"/>
      <c r="AE927" s="838"/>
    </row>
    <row r="928" spans="1:31" ht="16.5" customHeight="1">
      <c r="A928" s="347">
        <v>36664183</v>
      </c>
      <c r="B928" s="347" t="s">
        <v>6485</v>
      </c>
      <c r="C928" s="347"/>
      <c r="D928" s="348"/>
      <c r="E928" s="348"/>
      <c r="F928" s="348"/>
      <c r="G928" s="348"/>
      <c r="H928" s="358"/>
      <c r="I928" s="352"/>
      <c r="J928" s="353"/>
      <c r="K928" s="538"/>
      <c r="L928" s="487"/>
      <c r="M928" s="487"/>
      <c r="N928" s="354"/>
      <c r="O928" s="354"/>
      <c r="P928" s="354"/>
      <c r="Q928" s="354"/>
      <c r="R928" s="354"/>
      <c r="S928" s="354"/>
      <c r="T928" s="354"/>
      <c r="U928" s="354"/>
      <c r="V928" s="354"/>
      <c r="W928" s="354"/>
      <c r="X928" s="354"/>
      <c r="Y928" s="354"/>
      <c r="Z928" s="353"/>
      <c r="AA928" s="353"/>
      <c r="AB928" s="836"/>
      <c r="AC928" s="836"/>
      <c r="AD928" s="836"/>
      <c r="AE928" s="838"/>
    </row>
    <row r="929" spans="1:31" ht="16.5" customHeight="1">
      <c r="A929" s="347">
        <v>79329173</v>
      </c>
      <c r="B929" s="347" t="s">
        <v>6486</v>
      </c>
      <c r="C929" s="347"/>
      <c r="D929" s="348"/>
      <c r="E929" s="348"/>
      <c r="F929" s="348"/>
      <c r="G929" s="348"/>
      <c r="H929" s="358"/>
      <c r="I929" s="352"/>
      <c r="J929" s="353"/>
      <c r="K929" s="538"/>
      <c r="L929" s="487"/>
      <c r="M929" s="487"/>
      <c r="N929" s="354"/>
      <c r="O929" s="354"/>
      <c r="P929" s="354"/>
      <c r="Q929" s="354"/>
      <c r="R929" s="354"/>
      <c r="S929" s="354"/>
      <c r="T929" s="354"/>
      <c r="U929" s="354"/>
      <c r="V929" s="354"/>
      <c r="W929" s="354"/>
      <c r="X929" s="354"/>
      <c r="Y929" s="354"/>
      <c r="Z929" s="353"/>
      <c r="AA929" s="353"/>
      <c r="AB929" s="836"/>
      <c r="AC929" s="836"/>
      <c r="AD929" s="836"/>
      <c r="AE929" s="838"/>
    </row>
    <row r="930" spans="1:31" ht="16.5" customHeight="1">
      <c r="A930" s="347">
        <v>4028619</v>
      </c>
      <c r="B930" s="347" t="s">
        <v>6487</v>
      </c>
      <c r="C930" s="347"/>
      <c r="D930" s="348"/>
      <c r="E930" s="348"/>
      <c r="F930" s="348"/>
      <c r="G930" s="348"/>
      <c r="H930" s="358"/>
      <c r="I930" s="352"/>
      <c r="J930" s="353"/>
      <c r="K930" s="538"/>
      <c r="L930" s="487"/>
      <c r="M930" s="487"/>
      <c r="N930" s="354"/>
      <c r="O930" s="354"/>
      <c r="P930" s="354"/>
      <c r="Q930" s="354"/>
      <c r="R930" s="354"/>
      <c r="S930" s="354"/>
      <c r="T930" s="354"/>
      <c r="U930" s="354"/>
      <c r="V930" s="354"/>
      <c r="W930" s="354"/>
      <c r="X930" s="354"/>
      <c r="Y930" s="354"/>
      <c r="Z930" s="353"/>
      <c r="AA930" s="353"/>
      <c r="AB930" s="836"/>
      <c r="AC930" s="836"/>
      <c r="AD930" s="836"/>
      <c r="AE930" s="838"/>
    </row>
    <row r="931" spans="1:31" ht="16.5" customHeight="1">
      <c r="A931" s="347">
        <v>23138837</v>
      </c>
      <c r="B931" s="347" t="s">
        <v>6488</v>
      </c>
      <c r="C931" s="347"/>
      <c r="D931" s="348"/>
      <c r="E931" s="348"/>
      <c r="F931" s="348"/>
      <c r="G931" s="348"/>
      <c r="H931" s="358"/>
      <c r="I931" s="352"/>
      <c r="J931" s="353"/>
      <c r="K931" s="538"/>
      <c r="L931" s="487"/>
      <c r="M931" s="487"/>
      <c r="N931" s="354"/>
      <c r="O931" s="354"/>
      <c r="P931" s="354"/>
      <c r="Q931" s="354"/>
      <c r="R931" s="354"/>
      <c r="S931" s="354"/>
      <c r="T931" s="354"/>
      <c r="U931" s="354"/>
      <c r="V931" s="354"/>
      <c r="W931" s="354"/>
      <c r="X931" s="354"/>
      <c r="Y931" s="354"/>
      <c r="Z931" s="353"/>
      <c r="AA931" s="353"/>
      <c r="AB931" s="836"/>
      <c r="AC931" s="836"/>
      <c r="AD931" s="836"/>
      <c r="AE931" s="838"/>
    </row>
    <row r="932" spans="1:31" ht="16.5" customHeight="1">
      <c r="A932" s="347">
        <v>25046590</v>
      </c>
      <c r="B932" s="347" t="s">
        <v>6489</v>
      </c>
      <c r="C932" s="347"/>
      <c r="D932" s="348"/>
      <c r="E932" s="348"/>
      <c r="F932" s="348"/>
      <c r="G932" s="348"/>
      <c r="H932" s="358"/>
      <c r="I932" s="352"/>
      <c r="J932" s="353"/>
      <c r="K932" s="538"/>
      <c r="L932" s="487"/>
      <c r="M932" s="487"/>
      <c r="N932" s="354"/>
      <c r="O932" s="354"/>
      <c r="P932" s="354"/>
      <c r="Q932" s="354"/>
      <c r="R932" s="354"/>
      <c r="S932" s="354"/>
      <c r="T932" s="354"/>
      <c r="U932" s="354"/>
      <c r="V932" s="354"/>
      <c r="W932" s="354"/>
      <c r="X932" s="354"/>
      <c r="Y932" s="354"/>
      <c r="Z932" s="353"/>
      <c r="AA932" s="353"/>
      <c r="AB932" s="836"/>
      <c r="AC932" s="836"/>
      <c r="AD932" s="836"/>
      <c r="AE932" s="838"/>
    </row>
    <row r="933" spans="1:31" ht="16.5" customHeight="1">
      <c r="A933" s="347">
        <v>2681922</v>
      </c>
      <c r="B933" s="347" t="s">
        <v>6490</v>
      </c>
      <c r="C933" s="347"/>
      <c r="D933" s="348"/>
      <c r="E933" s="348"/>
      <c r="F933" s="348"/>
      <c r="G933" s="348"/>
      <c r="H933" s="358"/>
      <c r="I933" s="352"/>
      <c r="J933" s="353"/>
      <c r="K933" s="538"/>
      <c r="L933" s="487"/>
      <c r="M933" s="487"/>
      <c r="N933" s="354"/>
      <c r="O933" s="354"/>
      <c r="P933" s="354"/>
      <c r="Q933" s="354"/>
      <c r="R933" s="354"/>
      <c r="S933" s="354"/>
      <c r="T933" s="354"/>
      <c r="U933" s="354"/>
      <c r="V933" s="354"/>
      <c r="W933" s="354"/>
      <c r="X933" s="354"/>
      <c r="Y933" s="354"/>
      <c r="Z933" s="353"/>
      <c r="AA933" s="353"/>
      <c r="AB933" s="836"/>
      <c r="AC933" s="836"/>
      <c r="AD933" s="836"/>
      <c r="AE933" s="838"/>
    </row>
    <row r="934" spans="1:31" ht="16.5" customHeight="1">
      <c r="A934" s="347">
        <v>100021769</v>
      </c>
      <c r="B934" s="347" t="s">
        <v>6491</v>
      </c>
      <c r="C934" s="347"/>
      <c r="D934" s="361"/>
      <c r="E934" s="361"/>
      <c r="F934" s="361"/>
      <c r="G934" s="348"/>
      <c r="H934" s="358"/>
      <c r="I934" s="352"/>
      <c r="J934" s="353"/>
      <c r="K934" s="538"/>
      <c r="L934" s="487"/>
      <c r="M934" s="487"/>
      <c r="N934" s="354"/>
      <c r="O934" s="354"/>
      <c r="P934" s="354"/>
      <c r="Q934" s="354"/>
      <c r="R934" s="354"/>
      <c r="S934" s="354"/>
      <c r="T934" s="354"/>
      <c r="U934" s="354"/>
      <c r="V934" s="354"/>
      <c r="W934" s="354"/>
      <c r="X934" s="354"/>
      <c r="Y934" s="354"/>
      <c r="Z934" s="353"/>
      <c r="AA934" s="353"/>
      <c r="AB934" s="836"/>
      <c r="AC934" s="836"/>
      <c r="AD934" s="836"/>
      <c r="AE934" s="838"/>
    </row>
    <row r="935" spans="1:31" ht="16.5" customHeight="1">
      <c r="A935" s="347">
        <v>92210103</v>
      </c>
      <c r="B935" s="347" t="s">
        <v>6492</v>
      </c>
      <c r="C935" s="347"/>
      <c r="D935" s="348"/>
      <c r="E935" s="348"/>
      <c r="F935" s="348"/>
      <c r="G935" s="348"/>
      <c r="H935" s="358"/>
      <c r="I935" s="352"/>
      <c r="J935" s="353"/>
      <c r="K935" s="538"/>
      <c r="L935" s="487"/>
      <c r="M935" s="487"/>
      <c r="N935" s="354"/>
      <c r="O935" s="354"/>
      <c r="P935" s="354"/>
      <c r="Q935" s="354"/>
      <c r="R935" s="354"/>
      <c r="S935" s="354"/>
      <c r="T935" s="354"/>
      <c r="U935" s="354"/>
      <c r="V935" s="354"/>
      <c r="W935" s="354"/>
      <c r="X935" s="354"/>
      <c r="Y935" s="354"/>
      <c r="Z935" s="353"/>
      <c r="AA935" s="353"/>
      <c r="AB935" s="836"/>
      <c r="AC935" s="836"/>
      <c r="AD935" s="836"/>
      <c r="AE935" s="838"/>
    </row>
    <row r="936" spans="1:31" ht="16.5" customHeight="1">
      <c r="A936" s="347">
        <v>30284194</v>
      </c>
      <c r="B936" s="347" t="s">
        <v>6493</v>
      </c>
      <c r="C936" s="347"/>
      <c r="D936" s="348"/>
      <c r="E936" s="348"/>
      <c r="F936" s="348"/>
      <c r="G936" s="348"/>
      <c r="H936" s="358"/>
      <c r="I936" s="352"/>
      <c r="J936" s="353"/>
      <c r="K936" s="538"/>
      <c r="L936" s="487"/>
      <c r="M936" s="487"/>
      <c r="N936" s="354"/>
      <c r="O936" s="354"/>
      <c r="P936" s="354"/>
      <c r="Q936" s="354"/>
      <c r="R936" s="354"/>
      <c r="S936" s="354"/>
      <c r="T936" s="354"/>
      <c r="U936" s="354"/>
      <c r="V936" s="354"/>
      <c r="W936" s="354"/>
      <c r="X936" s="354"/>
      <c r="Y936" s="354"/>
      <c r="Z936" s="353"/>
      <c r="AA936" s="353"/>
      <c r="AB936" s="836"/>
      <c r="AC936" s="836"/>
      <c r="AD936" s="836"/>
      <c r="AE936" s="838"/>
    </row>
    <row r="937" spans="1:31" ht="16.5" customHeight="1">
      <c r="A937" s="347">
        <v>27604321</v>
      </c>
      <c r="B937" s="347" t="s">
        <v>6494</v>
      </c>
      <c r="C937" s="347"/>
      <c r="D937" s="348"/>
      <c r="E937" s="348"/>
      <c r="F937" s="348"/>
      <c r="G937" s="348"/>
      <c r="H937" s="358"/>
      <c r="I937" s="352"/>
      <c r="J937" s="353"/>
      <c r="K937" s="538"/>
      <c r="L937" s="487"/>
      <c r="M937" s="487"/>
      <c r="N937" s="354"/>
      <c r="O937" s="354"/>
      <c r="P937" s="354"/>
      <c r="Q937" s="354"/>
      <c r="R937" s="354"/>
      <c r="S937" s="354"/>
      <c r="T937" s="354"/>
      <c r="U937" s="354"/>
      <c r="V937" s="354"/>
      <c r="W937" s="354"/>
      <c r="X937" s="354"/>
      <c r="Y937" s="354"/>
      <c r="Z937" s="353"/>
      <c r="AA937" s="353"/>
      <c r="AB937" s="836"/>
      <c r="AC937" s="836"/>
      <c r="AD937" s="836"/>
      <c r="AE937" s="838"/>
    </row>
    <row r="938" spans="1:31" ht="16.5" customHeight="1">
      <c r="A938" s="347">
        <v>17176561</v>
      </c>
      <c r="B938" s="347" t="s">
        <v>6495</v>
      </c>
      <c r="C938" s="347"/>
      <c r="D938" s="348"/>
      <c r="E938" s="348"/>
      <c r="F938" s="348"/>
      <c r="G938" s="348"/>
      <c r="H938" s="358"/>
      <c r="I938" s="352"/>
      <c r="J938" s="353"/>
      <c r="K938" s="538"/>
      <c r="L938" s="487"/>
      <c r="M938" s="487"/>
      <c r="N938" s="354"/>
      <c r="O938" s="354"/>
      <c r="P938" s="354"/>
      <c r="Q938" s="354"/>
      <c r="R938" s="354"/>
      <c r="S938" s="354"/>
      <c r="T938" s="354"/>
      <c r="U938" s="354"/>
      <c r="V938" s="354"/>
      <c r="W938" s="354"/>
      <c r="X938" s="354"/>
      <c r="Y938" s="354"/>
      <c r="Z938" s="353"/>
      <c r="AA938" s="353"/>
      <c r="AB938" s="836"/>
      <c r="AC938" s="836"/>
      <c r="AD938" s="836"/>
      <c r="AE938" s="838"/>
    </row>
    <row r="939" spans="1:31" ht="16.5" customHeight="1">
      <c r="A939" s="347">
        <v>59399188</v>
      </c>
      <c r="B939" s="347" t="s">
        <v>6496</v>
      </c>
      <c r="C939" s="347"/>
      <c r="D939" s="361"/>
      <c r="E939" s="361"/>
      <c r="F939" s="361"/>
      <c r="G939" s="348"/>
      <c r="H939" s="358"/>
      <c r="I939" s="352"/>
      <c r="J939" s="353"/>
      <c r="K939" s="538"/>
      <c r="L939" s="487"/>
      <c r="M939" s="487"/>
      <c r="N939" s="354"/>
      <c r="O939" s="354"/>
      <c r="P939" s="354"/>
      <c r="Q939" s="354"/>
      <c r="R939" s="354"/>
      <c r="S939" s="354"/>
      <c r="T939" s="354"/>
      <c r="U939" s="354"/>
      <c r="V939" s="354"/>
      <c r="W939" s="354"/>
      <c r="X939" s="354"/>
      <c r="Y939" s="354"/>
      <c r="Z939" s="353"/>
      <c r="AA939" s="353"/>
      <c r="AB939" s="836"/>
      <c r="AC939" s="836"/>
      <c r="AD939" s="836"/>
      <c r="AE939" s="838"/>
    </row>
    <row r="940" spans="1:31" ht="16.5" customHeight="1">
      <c r="A940" s="347">
        <v>344747</v>
      </c>
      <c r="B940" s="347" t="s">
        <v>6497</v>
      </c>
      <c r="C940" s="347"/>
      <c r="D940" s="361"/>
      <c r="E940" s="361"/>
      <c r="F940" s="361"/>
      <c r="G940" s="348"/>
      <c r="H940" s="358"/>
      <c r="I940" s="352"/>
      <c r="J940" s="353"/>
      <c r="K940" s="538"/>
      <c r="L940" s="487"/>
      <c r="M940" s="487"/>
      <c r="N940" s="354"/>
      <c r="O940" s="354"/>
      <c r="P940" s="354"/>
      <c r="Q940" s="354"/>
      <c r="R940" s="354"/>
      <c r="S940" s="354"/>
      <c r="T940" s="354"/>
      <c r="U940" s="354"/>
      <c r="V940" s="354"/>
      <c r="W940" s="354"/>
      <c r="X940" s="354"/>
      <c r="Y940" s="354"/>
      <c r="Z940" s="353"/>
      <c r="AA940" s="353"/>
      <c r="AB940" s="836"/>
      <c r="AC940" s="836"/>
      <c r="AD940" s="836"/>
      <c r="AE940" s="838"/>
    </row>
    <row r="941" spans="1:31" ht="16.5" customHeight="1">
      <c r="A941" s="347">
        <v>35620251</v>
      </c>
      <c r="B941" s="347" t="s">
        <v>6498</v>
      </c>
      <c r="C941" s="347"/>
      <c r="D941" s="348"/>
      <c r="E941" s="348"/>
      <c r="F941" s="348"/>
      <c r="G941" s="348"/>
      <c r="H941" s="358"/>
      <c r="I941" s="352"/>
      <c r="J941" s="353"/>
      <c r="K941" s="538"/>
      <c r="L941" s="487"/>
      <c r="M941" s="487"/>
      <c r="N941" s="354"/>
      <c r="O941" s="354"/>
      <c r="P941" s="354"/>
      <c r="Q941" s="354"/>
      <c r="R941" s="354"/>
      <c r="S941" s="354"/>
      <c r="T941" s="354"/>
      <c r="U941" s="354"/>
      <c r="V941" s="354"/>
      <c r="W941" s="354"/>
      <c r="X941" s="354"/>
      <c r="Y941" s="354"/>
      <c r="Z941" s="353"/>
      <c r="AA941" s="353"/>
      <c r="AB941" s="836"/>
      <c r="AC941" s="836"/>
      <c r="AD941" s="836"/>
      <c r="AE941" s="838"/>
    </row>
    <row r="942" spans="1:31" ht="16.5" customHeight="1">
      <c r="A942" s="347">
        <v>573667</v>
      </c>
      <c r="B942" s="347" t="s">
        <v>6499</v>
      </c>
      <c r="C942" s="347"/>
      <c r="D942" s="361"/>
      <c r="E942" s="361"/>
      <c r="F942" s="361"/>
      <c r="G942" s="348"/>
      <c r="H942" s="358"/>
      <c r="I942" s="352"/>
      <c r="J942" s="353"/>
      <c r="K942" s="538"/>
      <c r="L942" s="487"/>
      <c r="M942" s="487"/>
      <c r="N942" s="354"/>
      <c r="O942" s="354"/>
      <c r="P942" s="354"/>
      <c r="Q942" s="354"/>
      <c r="R942" s="354"/>
      <c r="S942" s="354"/>
      <c r="T942" s="354"/>
      <c r="U942" s="354"/>
      <c r="V942" s="354"/>
      <c r="W942" s="354"/>
      <c r="X942" s="354"/>
      <c r="Y942" s="354"/>
      <c r="Z942" s="353"/>
      <c r="AA942" s="353"/>
      <c r="AB942" s="836"/>
      <c r="AC942" s="836"/>
      <c r="AD942" s="836"/>
      <c r="AE942" s="838"/>
    </row>
    <row r="943" spans="1:31" ht="16.5" customHeight="1">
      <c r="A943" s="347">
        <v>6075519</v>
      </c>
      <c r="B943" s="347" t="s">
        <v>6500</v>
      </c>
      <c r="C943" s="347"/>
      <c r="D943" s="348"/>
      <c r="E943" s="348"/>
      <c r="F943" s="348"/>
      <c r="G943" s="348"/>
      <c r="H943" s="358"/>
      <c r="I943" s="352"/>
      <c r="J943" s="353"/>
      <c r="K943" s="538"/>
      <c r="L943" s="487"/>
      <c r="M943" s="487"/>
      <c r="N943" s="354"/>
      <c r="O943" s="354"/>
      <c r="P943" s="354"/>
      <c r="Q943" s="354"/>
      <c r="R943" s="354"/>
      <c r="S943" s="354"/>
      <c r="T943" s="354"/>
      <c r="U943" s="354"/>
      <c r="V943" s="354"/>
      <c r="W943" s="354"/>
      <c r="X943" s="354"/>
      <c r="Y943" s="354"/>
      <c r="Z943" s="353"/>
      <c r="AA943" s="353"/>
      <c r="AB943" s="836"/>
      <c r="AC943" s="836"/>
      <c r="AD943" s="836"/>
      <c r="AE943" s="838"/>
    </row>
    <row r="944" spans="1:31" ht="16.5" customHeight="1">
      <c r="A944" s="347">
        <v>6255293</v>
      </c>
      <c r="B944" s="347" t="s">
        <v>6501</v>
      </c>
      <c r="C944" s="347"/>
      <c r="D944" s="348"/>
      <c r="E944" s="348"/>
      <c r="F944" s="348"/>
      <c r="G944" s="348"/>
      <c r="H944" s="358"/>
      <c r="I944" s="352"/>
      <c r="J944" s="353"/>
      <c r="K944" s="538"/>
      <c r="L944" s="487"/>
      <c r="M944" s="487"/>
      <c r="N944" s="354"/>
      <c r="O944" s="354"/>
      <c r="P944" s="354"/>
      <c r="Q944" s="354"/>
      <c r="R944" s="354"/>
      <c r="S944" s="354"/>
      <c r="T944" s="354"/>
      <c r="U944" s="354"/>
      <c r="V944" s="354"/>
      <c r="W944" s="354"/>
      <c r="X944" s="354"/>
      <c r="Y944" s="354"/>
      <c r="Z944" s="353"/>
      <c r="AA944" s="353"/>
      <c r="AB944" s="836"/>
      <c r="AC944" s="836"/>
      <c r="AD944" s="836"/>
      <c r="AE944" s="838"/>
    </row>
    <row r="945" spans="1:31" ht="16.5" customHeight="1">
      <c r="A945" s="347">
        <v>25355926</v>
      </c>
      <c r="B945" s="347" t="s">
        <v>6502</v>
      </c>
      <c r="C945" s="347"/>
      <c r="D945" s="348"/>
      <c r="E945" s="348"/>
      <c r="F945" s="348"/>
      <c r="G945" s="348"/>
      <c r="H945" s="358"/>
      <c r="I945" s="352"/>
      <c r="J945" s="353"/>
      <c r="K945" s="538"/>
      <c r="L945" s="487"/>
      <c r="M945" s="487"/>
      <c r="N945" s="354"/>
      <c r="O945" s="354"/>
      <c r="P945" s="354"/>
      <c r="Q945" s="354"/>
      <c r="R945" s="354"/>
      <c r="S945" s="354"/>
      <c r="T945" s="354"/>
      <c r="U945" s="354"/>
      <c r="V945" s="354"/>
      <c r="W945" s="354"/>
      <c r="X945" s="354"/>
      <c r="Y945" s="354"/>
      <c r="Z945" s="353"/>
      <c r="AA945" s="353"/>
      <c r="AB945" s="836"/>
      <c r="AC945" s="836"/>
      <c r="AD945" s="836"/>
      <c r="AE945" s="838"/>
    </row>
    <row r="946" spans="1:31" ht="16.5" customHeight="1">
      <c r="A946" s="347">
        <v>26152819</v>
      </c>
      <c r="B946" s="347" t="s">
        <v>6503</v>
      </c>
      <c r="C946" s="347"/>
      <c r="D946" s="348"/>
      <c r="E946" s="348"/>
      <c r="F946" s="348"/>
      <c r="G946" s="348"/>
      <c r="H946" s="358"/>
      <c r="I946" s="352"/>
      <c r="J946" s="353"/>
      <c r="K946" s="538"/>
      <c r="L946" s="487"/>
      <c r="M946" s="487"/>
      <c r="N946" s="354"/>
      <c r="O946" s="354"/>
      <c r="P946" s="354"/>
      <c r="Q946" s="354"/>
      <c r="R946" s="354"/>
      <c r="S946" s="354"/>
      <c r="T946" s="354"/>
      <c r="U946" s="354"/>
      <c r="V946" s="354"/>
      <c r="W946" s="354"/>
      <c r="X946" s="354"/>
      <c r="Y946" s="354"/>
      <c r="Z946" s="353"/>
      <c r="AA946" s="353"/>
      <c r="AB946" s="836"/>
      <c r="AC946" s="836"/>
      <c r="AD946" s="836"/>
      <c r="AE946" s="838"/>
    </row>
    <row r="947" spans="1:31" ht="16.5" customHeight="1">
      <c r="A947" s="347">
        <v>50874973</v>
      </c>
      <c r="B947" s="347" t="s">
        <v>6504</v>
      </c>
      <c r="C947" s="347"/>
      <c r="D947" s="348"/>
      <c r="E947" s="348"/>
      <c r="F947" s="348"/>
      <c r="G947" s="348"/>
      <c r="H947" s="358"/>
      <c r="I947" s="352"/>
      <c r="J947" s="353"/>
      <c r="K947" s="538"/>
      <c r="L947" s="487"/>
      <c r="M947" s="487"/>
      <c r="N947" s="354"/>
      <c r="O947" s="354"/>
      <c r="P947" s="354"/>
      <c r="Q947" s="354"/>
      <c r="R947" s="354"/>
      <c r="S947" s="354"/>
      <c r="T947" s="354"/>
      <c r="U947" s="354"/>
      <c r="V947" s="354"/>
      <c r="W947" s="354"/>
      <c r="X947" s="354"/>
      <c r="Y947" s="354"/>
      <c r="Z947" s="353"/>
      <c r="AA947" s="353"/>
      <c r="AB947" s="836"/>
      <c r="AC947" s="836"/>
      <c r="AD947" s="836"/>
      <c r="AE947" s="838"/>
    </row>
    <row r="948" spans="1:31" ht="16.5" customHeight="1">
      <c r="A948" s="347">
        <v>27870</v>
      </c>
      <c r="B948" s="347" t="s">
        <v>6505</v>
      </c>
      <c r="C948" s="347"/>
      <c r="D948" s="348"/>
      <c r="E948" s="348"/>
      <c r="F948" s="348"/>
      <c r="G948" s="348"/>
      <c r="H948" s="358"/>
      <c r="I948" s="352"/>
      <c r="J948" s="353"/>
      <c r="K948" s="538"/>
      <c r="L948" s="487"/>
      <c r="M948" s="487"/>
      <c r="N948" s="354"/>
      <c r="O948" s="354"/>
      <c r="P948" s="354"/>
      <c r="Q948" s="354"/>
      <c r="R948" s="354"/>
      <c r="S948" s="354"/>
      <c r="T948" s="354"/>
      <c r="U948" s="354"/>
      <c r="V948" s="354"/>
      <c r="W948" s="354"/>
      <c r="X948" s="354"/>
      <c r="Y948" s="354"/>
      <c r="Z948" s="353"/>
      <c r="AA948" s="353"/>
      <c r="AB948" s="836"/>
      <c r="AC948" s="836"/>
      <c r="AD948" s="836"/>
      <c r="AE948" s="838"/>
    </row>
    <row r="949" spans="1:31" ht="16.5" customHeight="1">
      <c r="A949" s="347">
        <v>28405314</v>
      </c>
      <c r="B949" s="347" t="s">
        <v>6506</v>
      </c>
      <c r="C949" s="347"/>
      <c r="D949" s="348"/>
      <c r="E949" s="348"/>
      <c r="F949" s="348"/>
      <c r="G949" s="348"/>
      <c r="H949" s="358"/>
      <c r="I949" s="352"/>
      <c r="J949" s="353"/>
      <c r="K949" s="538"/>
      <c r="L949" s="487"/>
      <c r="M949" s="487"/>
      <c r="N949" s="354"/>
      <c r="O949" s="354"/>
      <c r="P949" s="354"/>
      <c r="Q949" s="354"/>
      <c r="R949" s="354"/>
      <c r="S949" s="354"/>
      <c r="T949" s="354"/>
      <c r="U949" s="354"/>
      <c r="V949" s="354"/>
      <c r="W949" s="354"/>
      <c r="X949" s="354"/>
      <c r="Y949" s="354"/>
      <c r="Z949" s="353"/>
      <c r="AA949" s="353"/>
      <c r="AB949" s="836"/>
      <c r="AC949" s="836"/>
      <c r="AD949" s="836"/>
      <c r="AE949" s="838"/>
    </row>
    <row r="950" spans="1:31" ht="16.5" customHeight="1">
      <c r="A950" s="347">
        <v>26968115</v>
      </c>
      <c r="B950" s="347" t="s">
        <v>6507</v>
      </c>
      <c r="C950" s="347"/>
      <c r="D950" s="348"/>
      <c r="E950" s="348"/>
      <c r="F950" s="348"/>
      <c r="G950" s="348"/>
      <c r="H950" s="358"/>
      <c r="I950" s="352"/>
      <c r="J950" s="353"/>
      <c r="K950" s="538"/>
      <c r="L950" s="487"/>
      <c r="M950" s="487"/>
      <c r="N950" s="354"/>
      <c r="O950" s="354"/>
      <c r="P950" s="354"/>
      <c r="Q950" s="354"/>
      <c r="R950" s="354"/>
      <c r="S950" s="354"/>
      <c r="T950" s="354"/>
      <c r="U950" s="354"/>
      <c r="V950" s="354"/>
      <c r="W950" s="354"/>
      <c r="X950" s="354"/>
      <c r="Y950" s="354"/>
      <c r="Z950" s="353"/>
      <c r="AA950" s="353"/>
      <c r="AB950" s="836"/>
      <c r="AC950" s="836"/>
      <c r="AD950" s="836"/>
      <c r="AE950" s="838"/>
    </row>
    <row r="951" spans="1:31" ht="16.5" customHeight="1">
      <c r="A951" s="347">
        <v>3463726</v>
      </c>
      <c r="B951" s="347" t="s">
        <v>6508</v>
      </c>
      <c r="C951" s="347"/>
      <c r="D951" s="348"/>
      <c r="E951" s="348"/>
      <c r="F951" s="348"/>
      <c r="G951" s="348"/>
      <c r="H951" s="358"/>
      <c r="I951" s="352"/>
      <c r="J951" s="353"/>
      <c r="K951" s="538"/>
      <c r="L951" s="487"/>
      <c r="M951" s="487"/>
      <c r="N951" s="354"/>
      <c r="O951" s="354"/>
      <c r="P951" s="354"/>
      <c r="Q951" s="354"/>
      <c r="R951" s="354"/>
      <c r="S951" s="354"/>
      <c r="T951" s="354"/>
      <c r="U951" s="354"/>
      <c r="V951" s="354"/>
      <c r="W951" s="354"/>
      <c r="X951" s="354"/>
      <c r="Y951" s="354"/>
      <c r="Z951" s="353"/>
      <c r="AA951" s="353"/>
      <c r="AB951" s="836"/>
      <c r="AC951" s="836"/>
      <c r="AD951" s="836"/>
      <c r="AE951" s="838"/>
    </row>
    <row r="952" spans="1:31" ht="16.5" customHeight="1">
      <c r="A952" s="347">
        <v>25056375</v>
      </c>
      <c r="B952" s="347" t="s">
        <v>6509</v>
      </c>
      <c r="C952" s="347"/>
      <c r="D952" s="348"/>
      <c r="E952" s="348"/>
      <c r="F952" s="348"/>
      <c r="G952" s="348"/>
      <c r="H952" s="358"/>
      <c r="I952" s="352"/>
      <c r="J952" s="353"/>
      <c r="K952" s="538"/>
      <c r="L952" s="487"/>
      <c r="M952" s="487"/>
      <c r="N952" s="354"/>
      <c r="O952" s="354"/>
      <c r="P952" s="354"/>
      <c r="Q952" s="354"/>
      <c r="R952" s="354"/>
      <c r="S952" s="354"/>
      <c r="T952" s="354"/>
      <c r="U952" s="354"/>
      <c r="V952" s="354"/>
      <c r="W952" s="354"/>
      <c r="X952" s="354"/>
      <c r="Y952" s="354"/>
      <c r="Z952" s="353"/>
      <c r="AA952" s="353"/>
      <c r="AB952" s="836"/>
      <c r="AC952" s="836"/>
      <c r="AD952" s="836"/>
      <c r="AE952" s="838"/>
    </row>
    <row r="953" spans="1:31" ht="16.5" customHeight="1">
      <c r="A953" s="347">
        <v>18385096</v>
      </c>
      <c r="B953" s="347" t="s">
        <v>6510</v>
      </c>
      <c r="C953" s="347"/>
      <c r="D953" s="348"/>
      <c r="E953" s="348"/>
      <c r="F953" s="348"/>
      <c r="G953" s="348"/>
      <c r="H953" s="358"/>
      <c r="I953" s="352"/>
      <c r="J953" s="353"/>
      <c r="K953" s="538"/>
      <c r="L953" s="487"/>
      <c r="M953" s="487"/>
      <c r="N953" s="354"/>
      <c r="O953" s="354"/>
      <c r="P953" s="354"/>
      <c r="Q953" s="354"/>
      <c r="R953" s="354"/>
      <c r="S953" s="354"/>
      <c r="T953" s="354"/>
      <c r="U953" s="354"/>
      <c r="V953" s="354"/>
      <c r="W953" s="354"/>
      <c r="X953" s="354"/>
      <c r="Y953" s="354"/>
      <c r="Z953" s="353"/>
      <c r="AA953" s="353"/>
      <c r="AB953" s="836"/>
      <c r="AC953" s="836"/>
      <c r="AD953" s="836"/>
      <c r="AE953" s="838"/>
    </row>
    <row r="954" spans="1:31" ht="16.5" customHeight="1">
      <c r="A954" s="347">
        <v>36741106</v>
      </c>
      <c r="B954" s="347" t="s">
        <v>6511</v>
      </c>
      <c r="C954" s="347"/>
      <c r="D954" s="348"/>
      <c r="E954" s="348"/>
      <c r="F954" s="348"/>
      <c r="G954" s="348"/>
      <c r="H954" s="358"/>
      <c r="I954" s="352"/>
      <c r="J954" s="353"/>
      <c r="K954" s="538"/>
      <c r="L954" s="487"/>
      <c r="M954" s="487"/>
      <c r="N954" s="354"/>
      <c r="O954" s="354"/>
      <c r="P954" s="354"/>
      <c r="Q954" s="354"/>
      <c r="R954" s="354"/>
      <c r="S954" s="354"/>
      <c r="T954" s="354"/>
      <c r="U954" s="354"/>
      <c r="V954" s="354"/>
      <c r="W954" s="354"/>
      <c r="X954" s="354"/>
      <c r="Y954" s="354"/>
      <c r="Z954" s="353"/>
      <c r="AA954" s="353"/>
      <c r="AB954" s="836"/>
      <c r="AC954" s="836"/>
      <c r="AD954" s="836"/>
      <c r="AE954" s="838"/>
    </row>
    <row r="955" spans="1:31" ht="16.5" customHeight="1">
      <c r="A955" s="347">
        <v>40557738</v>
      </c>
      <c r="B955" s="347" t="s">
        <v>6512</v>
      </c>
      <c r="C955" s="347"/>
      <c r="D955" s="348"/>
      <c r="E955" s="348"/>
      <c r="F955" s="348"/>
      <c r="G955" s="348"/>
      <c r="H955" s="358"/>
      <c r="I955" s="352"/>
      <c r="J955" s="353"/>
      <c r="K955" s="538"/>
      <c r="L955" s="487"/>
      <c r="M955" s="487"/>
      <c r="N955" s="354"/>
      <c r="O955" s="354"/>
      <c r="P955" s="354"/>
      <c r="Q955" s="354"/>
      <c r="R955" s="354"/>
      <c r="S955" s="354"/>
      <c r="T955" s="354"/>
      <c r="U955" s="354"/>
      <c r="V955" s="354"/>
      <c r="W955" s="354"/>
      <c r="X955" s="354"/>
      <c r="Y955" s="354"/>
      <c r="Z955" s="353"/>
      <c r="AA955" s="353"/>
      <c r="AB955" s="836"/>
      <c r="AC955" s="836"/>
      <c r="AD955" s="836"/>
      <c r="AE955" s="838"/>
    </row>
    <row r="956" spans="1:31" ht="16.5" customHeight="1">
      <c r="A956" s="347">
        <v>23400385</v>
      </c>
      <c r="B956" s="347" t="s">
        <v>6513</v>
      </c>
      <c r="C956" s="347"/>
      <c r="D956" s="348"/>
      <c r="E956" s="348"/>
      <c r="F956" s="348"/>
      <c r="G956" s="348"/>
      <c r="H956" s="358"/>
      <c r="I956" s="352"/>
      <c r="J956" s="353"/>
      <c r="K956" s="538"/>
      <c r="L956" s="487"/>
      <c r="M956" s="487"/>
      <c r="N956" s="354"/>
      <c r="O956" s="354"/>
      <c r="P956" s="354"/>
      <c r="Q956" s="354"/>
      <c r="R956" s="354"/>
      <c r="S956" s="354"/>
      <c r="T956" s="354"/>
      <c r="U956" s="354"/>
      <c r="V956" s="354"/>
      <c r="W956" s="354"/>
      <c r="X956" s="354"/>
      <c r="Y956" s="354"/>
      <c r="Z956" s="353"/>
      <c r="AA956" s="353"/>
      <c r="AB956" s="836"/>
      <c r="AC956" s="836"/>
      <c r="AD956" s="836"/>
      <c r="AE956" s="838"/>
    </row>
    <row r="957" spans="1:31" ht="16.5" customHeight="1">
      <c r="A957" s="347">
        <v>16358277</v>
      </c>
      <c r="B957" s="347" t="s">
        <v>6514</v>
      </c>
      <c r="C957" s="347"/>
      <c r="D957" s="348"/>
      <c r="E957" s="348"/>
      <c r="F957" s="348"/>
      <c r="G957" s="348"/>
      <c r="H957" s="358"/>
      <c r="I957" s="352"/>
      <c r="J957" s="353"/>
      <c r="K957" s="538"/>
      <c r="L957" s="487"/>
      <c r="M957" s="487"/>
      <c r="N957" s="354"/>
      <c r="O957" s="354"/>
      <c r="P957" s="354"/>
      <c r="Q957" s="354"/>
      <c r="R957" s="354"/>
      <c r="S957" s="354"/>
      <c r="T957" s="354"/>
      <c r="U957" s="354"/>
      <c r="V957" s="354"/>
      <c r="W957" s="354"/>
      <c r="X957" s="354"/>
      <c r="Y957" s="354"/>
      <c r="Z957" s="353"/>
      <c r="AA957" s="353"/>
      <c r="AB957" s="836"/>
      <c r="AC957" s="836"/>
      <c r="AD957" s="836"/>
      <c r="AE957" s="838"/>
    </row>
    <row r="958" spans="1:31" ht="16.5" customHeight="1">
      <c r="A958" s="347">
        <v>28411627</v>
      </c>
      <c r="B958" s="347" t="s">
        <v>6515</v>
      </c>
      <c r="C958" s="347"/>
      <c r="D958" s="348"/>
      <c r="E958" s="348"/>
      <c r="F958" s="348"/>
      <c r="G958" s="348"/>
      <c r="H958" s="358"/>
      <c r="I958" s="352"/>
      <c r="J958" s="353"/>
      <c r="K958" s="538"/>
      <c r="L958" s="487"/>
      <c r="M958" s="487"/>
      <c r="N958" s="354"/>
      <c r="O958" s="354"/>
      <c r="P958" s="354"/>
      <c r="Q958" s="354"/>
      <c r="R958" s="354"/>
      <c r="S958" s="354"/>
      <c r="T958" s="354"/>
      <c r="U958" s="354"/>
      <c r="V958" s="354"/>
      <c r="W958" s="354"/>
      <c r="X958" s="354"/>
      <c r="Y958" s="354"/>
      <c r="Z958" s="353"/>
      <c r="AA958" s="353"/>
      <c r="AB958" s="836"/>
      <c r="AC958" s="836"/>
      <c r="AD958" s="836"/>
      <c r="AE958" s="838"/>
    </row>
    <row r="959" spans="1:31" ht="16.5" customHeight="1">
      <c r="A959" s="347">
        <v>23817869</v>
      </c>
      <c r="B959" s="347" t="s">
        <v>6516</v>
      </c>
      <c r="C959" s="347"/>
      <c r="D959" s="348"/>
      <c r="E959" s="348"/>
      <c r="F959" s="348"/>
      <c r="G959" s="348"/>
      <c r="H959" s="358"/>
      <c r="I959" s="352"/>
      <c r="J959" s="353"/>
      <c r="K959" s="538"/>
      <c r="L959" s="487"/>
      <c r="M959" s="487"/>
      <c r="N959" s="354"/>
      <c r="O959" s="354"/>
      <c r="P959" s="354"/>
      <c r="Q959" s="354"/>
      <c r="R959" s="354"/>
      <c r="S959" s="354"/>
      <c r="T959" s="354"/>
      <c r="U959" s="354"/>
      <c r="V959" s="354"/>
      <c r="W959" s="354"/>
      <c r="X959" s="354"/>
      <c r="Y959" s="354"/>
      <c r="Z959" s="353"/>
      <c r="AA959" s="353"/>
      <c r="AB959" s="836"/>
      <c r="AC959" s="836"/>
      <c r="AD959" s="836"/>
      <c r="AE959" s="838"/>
    </row>
    <row r="960" spans="1:31" ht="16.5" customHeight="1">
      <c r="A960" s="347">
        <v>40991127</v>
      </c>
      <c r="B960" s="347" t="s">
        <v>6517</v>
      </c>
      <c r="C960" s="347"/>
      <c r="D960" s="348"/>
      <c r="E960" s="348"/>
      <c r="F960" s="348"/>
      <c r="G960" s="348"/>
      <c r="H960" s="358"/>
      <c r="I960" s="352"/>
      <c r="J960" s="353"/>
      <c r="K960" s="538"/>
      <c r="L960" s="487"/>
      <c r="M960" s="487"/>
      <c r="N960" s="354"/>
      <c r="O960" s="354"/>
      <c r="P960" s="354"/>
      <c r="Q960" s="354"/>
      <c r="R960" s="354"/>
      <c r="S960" s="354"/>
      <c r="T960" s="354"/>
      <c r="U960" s="354"/>
      <c r="V960" s="354"/>
      <c r="W960" s="354"/>
      <c r="X960" s="354"/>
      <c r="Y960" s="354"/>
      <c r="Z960" s="353"/>
      <c r="AA960" s="353"/>
      <c r="AB960" s="836"/>
      <c r="AC960" s="836"/>
      <c r="AD960" s="836"/>
      <c r="AE960" s="838"/>
    </row>
    <row r="961" spans="1:31" ht="16.5" customHeight="1">
      <c r="A961" s="347">
        <v>91217646</v>
      </c>
      <c r="B961" s="347" t="s">
        <v>6518</v>
      </c>
      <c r="C961" s="347"/>
      <c r="D961" s="348"/>
      <c r="E961" s="348"/>
      <c r="F961" s="348"/>
      <c r="G961" s="348"/>
      <c r="H961" s="358"/>
      <c r="I961" s="352"/>
      <c r="J961" s="353"/>
      <c r="K961" s="538"/>
      <c r="L961" s="487"/>
      <c r="M961" s="487"/>
      <c r="N961" s="354"/>
      <c r="O961" s="354"/>
      <c r="P961" s="354"/>
      <c r="Q961" s="354"/>
      <c r="R961" s="354"/>
      <c r="S961" s="354"/>
      <c r="T961" s="354"/>
      <c r="U961" s="354"/>
      <c r="V961" s="354"/>
      <c r="W961" s="354"/>
      <c r="X961" s="354"/>
      <c r="Y961" s="354"/>
      <c r="Z961" s="353"/>
      <c r="AA961" s="353"/>
      <c r="AB961" s="836"/>
      <c r="AC961" s="836"/>
      <c r="AD961" s="836"/>
      <c r="AE961" s="838"/>
    </row>
    <row r="962" spans="1:31" ht="16.5" customHeight="1">
      <c r="A962" s="347">
        <v>101386</v>
      </c>
      <c r="B962" s="347" t="s">
        <v>6519</v>
      </c>
      <c r="C962" s="347"/>
      <c r="D962" s="348"/>
      <c r="E962" s="348"/>
      <c r="F962" s="348"/>
      <c r="G962" s="348"/>
      <c r="H962" s="358"/>
      <c r="I962" s="352"/>
      <c r="J962" s="353"/>
      <c r="K962" s="538"/>
      <c r="L962" s="487"/>
      <c r="M962" s="487"/>
      <c r="N962" s="354"/>
      <c r="O962" s="354"/>
      <c r="P962" s="354"/>
      <c r="Q962" s="354"/>
      <c r="R962" s="354"/>
      <c r="S962" s="354"/>
      <c r="T962" s="354"/>
      <c r="U962" s="354"/>
      <c r="V962" s="354"/>
      <c r="W962" s="354"/>
      <c r="X962" s="354"/>
      <c r="Y962" s="354"/>
      <c r="Z962" s="353"/>
      <c r="AA962" s="353"/>
      <c r="AB962" s="836"/>
      <c r="AC962" s="836"/>
      <c r="AD962" s="836"/>
      <c r="AE962" s="838"/>
    </row>
    <row r="963" spans="1:31" ht="16.5" customHeight="1">
      <c r="A963" s="347">
        <v>20909529</v>
      </c>
      <c r="B963" s="347" t="s">
        <v>6520</v>
      </c>
      <c r="C963" s="347"/>
      <c r="D963" s="348"/>
      <c r="E963" s="348"/>
      <c r="F963" s="348"/>
      <c r="G963" s="348"/>
      <c r="H963" s="358"/>
      <c r="I963" s="352"/>
      <c r="J963" s="353"/>
      <c r="K963" s="538"/>
      <c r="L963" s="487"/>
      <c r="M963" s="487"/>
      <c r="N963" s="354"/>
      <c r="O963" s="354"/>
      <c r="P963" s="354"/>
      <c r="Q963" s="354"/>
      <c r="R963" s="354"/>
      <c r="S963" s="354"/>
      <c r="T963" s="354"/>
      <c r="U963" s="354"/>
      <c r="V963" s="354"/>
      <c r="W963" s="354"/>
      <c r="X963" s="354"/>
      <c r="Y963" s="354"/>
      <c r="Z963" s="353"/>
      <c r="AA963" s="353"/>
      <c r="AB963" s="836"/>
      <c r="AC963" s="836"/>
      <c r="AD963" s="836"/>
      <c r="AE963" s="838"/>
    </row>
    <row r="964" spans="1:31" ht="16.5" customHeight="1">
      <c r="A964" s="347">
        <v>22898761</v>
      </c>
      <c r="B964" s="347" t="s">
        <v>6521</v>
      </c>
      <c r="C964" s="347"/>
      <c r="D964" s="348"/>
      <c r="E964" s="348"/>
      <c r="F964" s="348"/>
      <c r="G964" s="348"/>
      <c r="H964" s="358"/>
      <c r="I964" s="352"/>
      <c r="J964" s="353"/>
      <c r="K964" s="538"/>
      <c r="L964" s="487"/>
      <c r="M964" s="487"/>
      <c r="N964" s="354"/>
      <c r="O964" s="354"/>
      <c r="P964" s="354"/>
      <c r="Q964" s="354"/>
      <c r="R964" s="354"/>
      <c r="S964" s="354"/>
      <c r="T964" s="354"/>
      <c r="U964" s="354"/>
      <c r="V964" s="354"/>
      <c r="W964" s="354"/>
      <c r="X964" s="354"/>
      <c r="Y964" s="354"/>
      <c r="Z964" s="353"/>
      <c r="AA964" s="353"/>
      <c r="AB964" s="836"/>
      <c r="AC964" s="836"/>
      <c r="AD964" s="836"/>
      <c r="AE964" s="838"/>
    </row>
    <row r="965" spans="1:31" ht="16.5" customHeight="1">
      <c r="A965" s="347">
        <v>61720108</v>
      </c>
      <c r="B965" s="347" t="s">
        <v>6522</v>
      </c>
      <c r="C965" s="347"/>
      <c r="D965" s="348"/>
      <c r="E965" s="348"/>
      <c r="F965" s="348"/>
      <c r="G965" s="348"/>
      <c r="H965" s="358"/>
      <c r="I965" s="352"/>
      <c r="J965" s="353"/>
      <c r="K965" s="538"/>
      <c r="L965" s="487"/>
      <c r="M965" s="487"/>
      <c r="N965" s="354"/>
      <c r="O965" s="354"/>
      <c r="P965" s="354"/>
      <c r="Q965" s="354"/>
      <c r="R965" s="354"/>
      <c r="S965" s="354"/>
      <c r="T965" s="354"/>
      <c r="U965" s="354"/>
      <c r="V965" s="354"/>
      <c r="W965" s="354"/>
      <c r="X965" s="354"/>
      <c r="Y965" s="354"/>
      <c r="Z965" s="353"/>
      <c r="AA965" s="353"/>
      <c r="AB965" s="836"/>
      <c r="AC965" s="836"/>
      <c r="AD965" s="836"/>
      <c r="AE965" s="838"/>
    </row>
    <row r="966" spans="1:31" ht="16.5" customHeight="1">
      <c r="A966" s="347">
        <v>22903520</v>
      </c>
      <c r="B966" s="347" t="s">
        <v>6523</v>
      </c>
      <c r="C966" s="347"/>
      <c r="D966" s="348"/>
      <c r="E966" s="348"/>
      <c r="F966" s="348"/>
      <c r="G966" s="348"/>
      <c r="H966" s="358"/>
      <c r="I966" s="352"/>
      <c r="J966" s="353"/>
      <c r="K966" s="538"/>
      <c r="L966" s="487"/>
      <c r="M966" s="487"/>
      <c r="N966" s="354"/>
      <c r="O966" s="354"/>
      <c r="P966" s="354"/>
      <c r="Q966" s="354"/>
      <c r="R966" s="354"/>
      <c r="S966" s="354"/>
      <c r="T966" s="354"/>
      <c r="U966" s="354"/>
      <c r="V966" s="354"/>
      <c r="W966" s="354"/>
      <c r="X966" s="354"/>
      <c r="Y966" s="354"/>
      <c r="Z966" s="353"/>
      <c r="AA966" s="353"/>
      <c r="AB966" s="836"/>
      <c r="AC966" s="836"/>
      <c r="AD966" s="836"/>
      <c r="AE966" s="838"/>
    </row>
    <row r="967" spans="1:31" ht="16.5" customHeight="1">
      <c r="A967" s="347">
        <v>40638397</v>
      </c>
      <c r="B967" s="347" t="s">
        <v>6524</v>
      </c>
      <c r="C967" s="347"/>
      <c r="D967" s="361"/>
      <c r="E967" s="361"/>
      <c r="F967" s="361"/>
      <c r="G967" s="348"/>
      <c r="H967" s="358"/>
      <c r="I967" s="352"/>
      <c r="J967" s="353"/>
      <c r="K967" s="538"/>
      <c r="L967" s="487"/>
      <c r="M967" s="487"/>
      <c r="N967" s="354"/>
      <c r="O967" s="354"/>
      <c r="P967" s="354"/>
      <c r="Q967" s="354"/>
      <c r="R967" s="354"/>
      <c r="S967" s="354"/>
      <c r="T967" s="354"/>
      <c r="U967" s="354"/>
      <c r="V967" s="354"/>
      <c r="W967" s="354"/>
      <c r="X967" s="354"/>
      <c r="Y967" s="354"/>
      <c r="Z967" s="353"/>
      <c r="AA967" s="353"/>
      <c r="AB967" s="836"/>
      <c r="AC967" s="836"/>
      <c r="AD967" s="836"/>
      <c r="AE967" s="838"/>
    </row>
    <row r="968" spans="1:31" ht="16.5" customHeight="1">
      <c r="A968" s="347">
        <v>32948291</v>
      </c>
      <c r="B968" s="347" t="s">
        <v>6525</v>
      </c>
      <c r="C968" s="347"/>
      <c r="D968" s="348"/>
      <c r="E968" s="348"/>
      <c r="F968" s="348"/>
      <c r="G968" s="348"/>
      <c r="H968" s="358"/>
      <c r="I968" s="352"/>
      <c r="J968" s="353"/>
      <c r="K968" s="538"/>
      <c r="L968" s="487"/>
      <c r="M968" s="487"/>
      <c r="N968" s="354"/>
      <c r="O968" s="354"/>
      <c r="P968" s="354"/>
      <c r="Q968" s="354"/>
      <c r="R968" s="354"/>
      <c r="S968" s="354"/>
      <c r="T968" s="354"/>
      <c r="U968" s="354"/>
      <c r="V968" s="354"/>
      <c r="W968" s="354"/>
      <c r="X968" s="354"/>
      <c r="Y968" s="354"/>
      <c r="Z968" s="353"/>
      <c r="AA968" s="353"/>
      <c r="AB968" s="836"/>
      <c r="AC968" s="836"/>
      <c r="AD968" s="836"/>
      <c r="AE968" s="838"/>
    </row>
    <row r="969" spans="1:31" ht="16.5" customHeight="1">
      <c r="A969" s="347">
        <v>61769386</v>
      </c>
      <c r="B969" s="347" t="s">
        <v>6526</v>
      </c>
      <c r="C969" s="347"/>
      <c r="D969" s="348"/>
      <c r="E969" s="348"/>
      <c r="F969" s="348"/>
      <c r="G969" s="348"/>
      <c r="H969" s="358"/>
      <c r="I969" s="352"/>
      <c r="J969" s="353"/>
      <c r="K969" s="538"/>
      <c r="L969" s="487"/>
      <c r="M969" s="487"/>
      <c r="N969" s="354"/>
      <c r="O969" s="354"/>
      <c r="P969" s="354"/>
      <c r="Q969" s="354"/>
      <c r="R969" s="354"/>
      <c r="S969" s="354"/>
      <c r="T969" s="354"/>
      <c r="U969" s="354"/>
      <c r="V969" s="354"/>
      <c r="W969" s="354"/>
      <c r="X969" s="354"/>
      <c r="Y969" s="354"/>
      <c r="Z969" s="353"/>
      <c r="AA969" s="353"/>
      <c r="AB969" s="836"/>
      <c r="AC969" s="836"/>
      <c r="AD969" s="836"/>
      <c r="AE969" s="838"/>
    </row>
    <row r="970" spans="1:31" ht="16.5" customHeight="1">
      <c r="A970" s="347">
        <v>880237</v>
      </c>
      <c r="B970" s="347" t="s">
        <v>6527</v>
      </c>
      <c r="C970" s="347"/>
      <c r="D970" s="348"/>
      <c r="E970" s="348"/>
      <c r="F970" s="348"/>
      <c r="G970" s="348"/>
      <c r="H970" s="358"/>
      <c r="I970" s="352"/>
      <c r="J970" s="353"/>
      <c r="K970" s="538"/>
      <c r="L970" s="487"/>
      <c r="M970" s="487"/>
      <c r="N970" s="354"/>
      <c r="O970" s="354"/>
      <c r="P970" s="354"/>
      <c r="Q970" s="354"/>
      <c r="R970" s="354"/>
      <c r="S970" s="354"/>
      <c r="T970" s="354"/>
      <c r="U970" s="354"/>
      <c r="V970" s="354"/>
      <c r="W970" s="354"/>
      <c r="X970" s="354"/>
      <c r="Y970" s="354"/>
      <c r="Z970" s="353"/>
      <c r="AA970" s="353"/>
      <c r="AB970" s="836"/>
      <c r="AC970" s="836"/>
      <c r="AD970" s="836"/>
      <c r="AE970" s="838"/>
    </row>
    <row r="971" spans="1:31" ht="16.5" customHeight="1">
      <c r="A971" s="347">
        <v>35019723</v>
      </c>
      <c r="B971" s="347" t="s">
        <v>6528</v>
      </c>
      <c r="C971" s="347"/>
      <c r="D971" s="361"/>
      <c r="E971" s="361"/>
      <c r="F971" s="361"/>
      <c r="G971" s="348"/>
      <c r="H971" s="358"/>
      <c r="I971" s="352"/>
      <c r="J971" s="353"/>
      <c r="K971" s="538"/>
      <c r="L971" s="487"/>
      <c r="M971" s="487"/>
      <c r="N971" s="354"/>
      <c r="O971" s="354"/>
      <c r="P971" s="354"/>
      <c r="Q971" s="354"/>
      <c r="R971" s="354"/>
      <c r="S971" s="354"/>
      <c r="T971" s="354"/>
      <c r="U971" s="354"/>
      <c r="V971" s="354"/>
      <c r="W971" s="354"/>
      <c r="X971" s="354"/>
      <c r="Y971" s="354"/>
      <c r="Z971" s="353"/>
      <c r="AA971" s="353"/>
      <c r="AB971" s="836"/>
      <c r="AC971" s="836"/>
      <c r="AD971" s="836"/>
      <c r="AE971" s="838"/>
    </row>
    <row r="972" spans="1:31" ht="16.5" customHeight="1">
      <c r="A972" s="347">
        <v>100174643</v>
      </c>
      <c r="B972" s="347" t="s">
        <v>6529</v>
      </c>
      <c r="C972" s="347"/>
      <c r="D972" s="348"/>
      <c r="E972" s="348"/>
      <c r="F972" s="348"/>
      <c r="G972" s="348"/>
      <c r="H972" s="358"/>
      <c r="I972" s="352"/>
      <c r="J972" s="353"/>
      <c r="K972" s="538"/>
      <c r="L972" s="487"/>
      <c r="M972" s="487"/>
      <c r="N972" s="354"/>
      <c r="O972" s="354"/>
      <c r="P972" s="354"/>
      <c r="Q972" s="354"/>
      <c r="R972" s="354"/>
      <c r="S972" s="354"/>
      <c r="T972" s="354"/>
      <c r="U972" s="354"/>
      <c r="V972" s="354"/>
      <c r="W972" s="354"/>
      <c r="X972" s="354"/>
      <c r="Y972" s="354"/>
      <c r="Z972" s="353"/>
      <c r="AA972" s="353"/>
      <c r="AB972" s="836"/>
      <c r="AC972" s="836"/>
      <c r="AD972" s="836"/>
      <c r="AE972" s="838"/>
    </row>
    <row r="973" spans="1:31" ht="16.5" customHeight="1">
      <c r="A973" s="347">
        <v>36091569</v>
      </c>
      <c r="B973" s="347" t="s">
        <v>6530</v>
      </c>
      <c r="C973" s="347"/>
      <c r="D973" s="348"/>
      <c r="E973" s="348"/>
      <c r="F973" s="348"/>
      <c r="G973" s="348"/>
      <c r="H973" s="358"/>
      <c r="I973" s="352"/>
      <c r="J973" s="353"/>
      <c r="K973" s="538"/>
      <c r="L973" s="487"/>
      <c r="M973" s="487"/>
      <c r="N973" s="354"/>
      <c r="O973" s="354"/>
      <c r="P973" s="354"/>
      <c r="Q973" s="354"/>
      <c r="R973" s="354"/>
      <c r="S973" s="354"/>
      <c r="T973" s="354"/>
      <c r="U973" s="354"/>
      <c r="V973" s="354"/>
      <c r="W973" s="354"/>
      <c r="X973" s="354"/>
      <c r="Y973" s="354"/>
      <c r="Z973" s="353"/>
      <c r="AA973" s="353"/>
      <c r="AB973" s="836"/>
      <c r="AC973" s="836"/>
      <c r="AD973" s="836"/>
      <c r="AE973" s="838"/>
    </row>
    <row r="974" spans="1:31" ht="16.5" customHeight="1">
      <c r="A974" s="347">
        <v>40032971</v>
      </c>
      <c r="B974" s="347" t="s">
        <v>6531</v>
      </c>
      <c r="C974" s="347"/>
      <c r="D974" s="348"/>
      <c r="E974" s="348"/>
      <c r="F974" s="348"/>
      <c r="G974" s="348"/>
      <c r="H974" s="358"/>
      <c r="I974" s="352"/>
      <c r="J974" s="353"/>
      <c r="K974" s="538"/>
      <c r="L974" s="487"/>
      <c r="M974" s="487"/>
      <c r="N974" s="354"/>
      <c r="O974" s="354"/>
      <c r="P974" s="354"/>
      <c r="Q974" s="354"/>
      <c r="R974" s="354"/>
      <c r="S974" s="354"/>
      <c r="T974" s="354"/>
      <c r="U974" s="354"/>
      <c r="V974" s="354"/>
      <c r="W974" s="354"/>
      <c r="X974" s="354"/>
      <c r="Y974" s="354"/>
      <c r="Z974" s="353"/>
      <c r="AA974" s="353"/>
      <c r="AB974" s="836"/>
      <c r="AC974" s="836"/>
      <c r="AD974" s="836"/>
      <c r="AE974" s="838"/>
    </row>
    <row r="975" spans="1:31" ht="16.5" customHeight="1">
      <c r="A975" s="347">
        <v>31205693</v>
      </c>
      <c r="B975" s="347" t="s">
        <v>6532</v>
      </c>
      <c r="C975" s="347"/>
      <c r="D975" s="348"/>
      <c r="E975" s="348"/>
      <c r="F975" s="348"/>
      <c r="G975" s="348"/>
      <c r="H975" s="358"/>
      <c r="I975" s="352"/>
      <c r="J975" s="353"/>
      <c r="K975" s="538"/>
      <c r="L975" s="487"/>
      <c r="M975" s="487"/>
      <c r="N975" s="354"/>
      <c r="O975" s="354"/>
      <c r="P975" s="354"/>
      <c r="Q975" s="354"/>
      <c r="R975" s="354"/>
      <c r="S975" s="354"/>
      <c r="T975" s="354"/>
      <c r="U975" s="354"/>
      <c r="V975" s="354"/>
      <c r="W975" s="354"/>
      <c r="X975" s="354"/>
      <c r="Y975" s="354"/>
      <c r="Z975" s="353"/>
      <c r="AA975" s="353"/>
      <c r="AB975" s="836"/>
      <c r="AC975" s="836"/>
      <c r="AD975" s="836"/>
      <c r="AE975" s="838"/>
    </row>
    <row r="976" spans="1:31" ht="16.5" customHeight="1">
      <c r="A976" s="347">
        <v>19233840</v>
      </c>
      <c r="B976" s="347" t="s">
        <v>6533</v>
      </c>
      <c r="C976" s="347"/>
      <c r="D976" s="348"/>
      <c r="E976" s="348"/>
      <c r="F976" s="348"/>
      <c r="G976" s="348"/>
      <c r="H976" s="358"/>
      <c r="I976" s="352"/>
      <c r="J976" s="353"/>
      <c r="K976" s="538"/>
      <c r="L976" s="487"/>
      <c r="M976" s="487"/>
      <c r="N976" s="354"/>
      <c r="O976" s="354"/>
      <c r="P976" s="354"/>
      <c r="Q976" s="354"/>
      <c r="R976" s="354"/>
      <c r="S976" s="354"/>
      <c r="T976" s="354"/>
      <c r="U976" s="354"/>
      <c r="V976" s="354"/>
      <c r="W976" s="354"/>
      <c r="X976" s="354"/>
      <c r="Y976" s="354"/>
      <c r="Z976" s="353"/>
      <c r="AA976" s="353"/>
      <c r="AB976" s="836"/>
      <c r="AC976" s="836"/>
      <c r="AD976" s="836"/>
      <c r="AE976" s="838"/>
    </row>
    <row r="977" spans="1:31" ht="16.5" customHeight="1">
      <c r="A977" s="347">
        <v>9000316</v>
      </c>
      <c r="B977" s="347" t="s">
        <v>6534</v>
      </c>
      <c r="C977" s="347"/>
      <c r="D977" s="348"/>
      <c r="E977" s="348"/>
      <c r="F977" s="348"/>
      <c r="G977" s="348"/>
      <c r="H977" s="358"/>
      <c r="I977" s="352"/>
      <c r="J977" s="353"/>
      <c r="K977" s="538"/>
      <c r="L977" s="487"/>
      <c r="M977" s="487"/>
      <c r="N977" s="354"/>
      <c r="O977" s="354"/>
      <c r="P977" s="354"/>
      <c r="Q977" s="354"/>
      <c r="R977" s="354"/>
      <c r="S977" s="354"/>
      <c r="T977" s="354"/>
      <c r="U977" s="354"/>
      <c r="V977" s="354"/>
      <c r="W977" s="354"/>
      <c r="X977" s="354"/>
      <c r="Y977" s="354"/>
      <c r="Z977" s="353"/>
      <c r="AA977" s="353"/>
      <c r="AB977" s="836"/>
      <c r="AC977" s="836"/>
      <c r="AD977" s="836"/>
      <c r="AE977" s="838"/>
    </row>
    <row r="978" spans="1:31" ht="16.5" customHeight="1">
      <c r="A978" s="347">
        <v>16570616</v>
      </c>
      <c r="B978" s="347" t="s">
        <v>6535</v>
      </c>
      <c r="C978" s="347"/>
      <c r="D978" s="348"/>
      <c r="E978" s="348"/>
      <c r="F978" s="348"/>
      <c r="G978" s="348"/>
      <c r="H978" s="358"/>
      <c r="I978" s="352"/>
      <c r="J978" s="353"/>
      <c r="K978" s="538"/>
      <c r="L978" s="487"/>
      <c r="M978" s="487"/>
      <c r="N978" s="354"/>
      <c r="O978" s="354"/>
      <c r="P978" s="354"/>
      <c r="Q978" s="354"/>
      <c r="R978" s="354"/>
      <c r="S978" s="354"/>
      <c r="T978" s="354"/>
      <c r="U978" s="354"/>
      <c r="V978" s="354"/>
      <c r="W978" s="354"/>
      <c r="X978" s="354"/>
      <c r="Y978" s="354"/>
      <c r="Z978" s="353"/>
      <c r="AA978" s="353"/>
      <c r="AB978" s="836"/>
      <c r="AC978" s="836"/>
      <c r="AD978" s="836"/>
      <c r="AE978" s="838"/>
    </row>
    <row r="979" spans="1:31" ht="16.5" customHeight="1">
      <c r="A979" s="347">
        <v>7395908</v>
      </c>
      <c r="B979" s="347" t="s">
        <v>6536</v>
      </c>
      <c r="C979" s="347"/>
      <c r="D979" s="348"/>
      <c r="E979" s="348"/>
      <c r="F979" s="348"/>
      <c r="G979" s="348"/>
      <c r="H979" s="358"/>
      <c r="I979" s="352"/>
      <c r="J979" s="353"/>
      <c r="K979" s="538"/>
      <c r="L979" s="487"/>
      <c r="M979" s="487"/>
      <c r="N979" s="354"/>
      <c r="O979" s="354"/>
      <c r="P979" s="354"/>
      <c r="Q979" s="354"/>
      <c r="R979" s="354"/>
      <c r="S979" s="354"/>
      <c r="T979" s="354"/>
      <c r="U979" s="354"/>
      <c r="V979" s="354"/>
      <c r="W979" s="354"/>
      <c r="X979" s="354"/>
      <c r="Y979" s="354"/>
      <c r="Z979" s="353"/>
      <c r="AA979" s="353"/>
      <c r="AB979" s="836"/>
      <c r="AC979" s="836"/>
      <c r="AD979" s="836"/>
      <c r="AE979" s="838"/>
    </row>
    <row r="980" spans="1:31" ht="16.5" customHeight="1">
      <c r="A980" s="347">
        <v>37224821</v>
      </c>
      <c r="B980" s="347" t="s">
        <v>6537</v>
      </c>
      <c r="C980" s="347"/>
      <c r="D980" s="348"/>
      <c r="E980" s="348"/>
      <c r="F980" s="348"/>
      <c r="G980" s="348"/>
      <c r="H980" s="358"/>
      <c r="I980" s="352"/>
      <c r="J980" s="353"/>
      <c r="K980" s="538"/>
      <c r="L980" s="487"/>
      <c r="M980" s="487"/>
      <c r="N980" s="354"/>
      <c r="O980" s="354"/>
      <c r="P980" s="354"/>
      <c r="Q980" s="354"/>
      <c r="R980" s="354"/>
      <c r="S980" s="354"/>
      <c r="T980" s="354"/>
      <c r="U980" s="354"/>
      <c r="V980" s="354"/>
      <c r="W980" s="354"/>
      <c r="X980" s="354"/>
      <c r="Y980" s="354"/>
      <c r="Z980" s="353"/>
      <c r="AA980" s="353"/>
      <c r="AB980" s="836"/>
      <c r="AC980" s="836"/>
      <c r="AD980" s="836"/>
      <c r="AE980" s="838"/>
    </row>
    <row r="981" spans="1:31" ht="16.5" customHeight="1">
      <c r="A981" s="347">
        <v>27592435</v>
      </c>
      <c r="B981" s="347" t="s">
        <v>6538</v>
      </c>
      <c r="C981" s="347"/>
      <c r="D981" s="348"/>
      <c r="E981" s="348"/>
      <c r="F981" s="348"/>
      <c r="G981" s="348"/>
      <c r="H981" s="358"/>
      <c r="I981" s="352"/>
      <c r="J981" s="353"/>
      <c r="K981" s="538"/>
      <c r="L981" s="487"/>
      <c r="M981" s="487"/>
      <c r="N981" s="354"/>
      <c r="O981" s="354"/>
      <c r="P981" s="354"/>
      <c r="Q981" s="354"/>
      <c r="R981" s="354"/>
      <c r="S981" s="354"/>
      <c r="T981" s="354"/>
      <c r="U981" s="354"/>
      <c r="V981" s="354"/>
      <c r="W981" s="354"/>
      <c r="X981" s="354"/>
      <c r="Y981" s="354"/>
      <c r="Z981" s="353"/>
      <c r="AA981" s="353"/>
      <c r="AB981" s="836"/>
      <c r="AC981" s="836"/>
      <c r="AD981" s="836"/>
      <c r="AE981" s="838"/>
    </row>
    <row r="982" spans="1:31" ht="16.5" customHeight="1">
      <c r="A982" s="347">
        <v>36597078</v>
      </c>
      <c r="B982" s="347" t="s">
        <v>6539</v>
      </c>
      <c r="C982" s="347"/>
      <c r="D982" s="348"/>
      <c r="E982" s="348"/>
      <c r="F982" s="348"/>
      <c r="G982" s="348"/>
      <c r="H982" s="358"/>
      <c r="I982" s="352"/>
      <c r="J982" s="353"/>
      <c r="K982" s="538"/>
      <c r="L982" s="487"/>
      <c r="M982" s="487"/>
      <c r="N982" s="354"/>
      <c r="O982" s="354"/>
      <c r="P982" s="354"/>
      <c r="Q982" s="354"/>
      <c r="R982" s="354"/>
      <c r="S982" s="354"/>
      <c r="T982" s="354"/>
      <c r="U982" s="354"/>
      <c r="V982" s="354"/>
      <c r="W982" s="354"/>
      <c r="X982" s="354"/>
      <c r="Y982" s="354"/>
      <c r="Z982" s="353"/>
      <c r="AA982" s="353"/>
      <c r="AB982" s="836"/>
      <c r="AC982" s="836"/>
      <c r="AD982" s="836"/>
      <c r="AE982" s="838"/>
    </row>
    <row r="983" spans="1:31" ht="16.5" customHeight="1">
      <c r="A983" s="347">
        <v>2538601</v>
      </c>
      <c r="B983" s="347" t="s">
        <v>6540</v>
      </c>
      <c r="C983" s="347"/>
      <c r="D983" s="348"/>
      <c r="E983" s="348"/>
      <c r="F983" s="348"/>
      <c r="G983" s="348"/>
      <c r="H983" s="358"/>
      <c r="I983" s="352"/>
      <c r="J983" s="353"/>
      <c r="K983" s="538"/>
      <c r="L983" s="487"/>
      <c r="M983" s="487"/>
      <c r="N983" s="354"/>
      <c r="O983" s="354"/>
      <c r="P983" s="354"/>
      <c r="Q983" s="354"/>
      <c r="R983" s="354"/>
      <c r="S983" s="354"/>
      <c r="T983" s="354"/>
      <c r="U983" s="354"/>
      <c r="V983" s="354"/>
      <c r="W983" s="354"/>
      <c r="X983" s="354"/>
      <c r="Y983" s="354"/>
      <c r="Z983" s="353"/>
      <c r="AA983" s="353"/>
      <c r="AB983" s="836"/>
      <c r="AC983" s="836"/>
      <c r="AD983" s="836"/>
      <c r="AE983" s="838"/>
    </row>
    <row r="984" spans="1:31" ht="16.5" customHeight="1">
      <c r="A984" s="347">
        <v>11410628</v>
      </c>
      <c r="B984" s="347" t="s">
        <v>6541</v>
      </c>
      <c r="C984" s="347"/>
      <c r="D984" s="348"/>
      <c r="E984" s="348"/>
      <c r="F984" s="348"/>
      <c r="G984" s="348"/>
      <c r="H984" s="358"/>
      <c r="I984" s="352"/>
      <c r="J984" s="353"/>
      <c r="K984" s="538"/>
      <c r="L984" s="487"/>
      <c r="M984" s="487"/>
      <c r="N984" s="354"/>
      <c r="O984" s="354"/>
      <c r="P984" s="354"/>
      <c r="Q984" s="354"/>
      <c r="R984" s="354"/>
      <c r="S984" s="354"/>
      <c r="T984" s="354"/>
      <c r="U984" s="354"/>
      <c r="V984" s="354"/>
      <c r="W984" s="354"/>
      <c r="X984" s="354"/>
      <c r="Y984" s="354"/>
      <c r="Z984" s="353"/>
      <c r="AA984" s="353"/>
      <c r="AB984" s="836"/>
      <c r="AC984" s="836"/>
      <c r="AD984" s="836"/>
      <c r="AE984" s="838"/>
    </row>
    <row r="985" spans="1:31" ht="16.5" customHeight="1">
      <c r="A985" s="347">
        <v>33640483</v>
      </c>
      <c r="B985" s="347" t="s">
        <v>6542</v>
      </c>
      <c r="C985" s="347"/>
      <c r="D985" s="348"/>
      <c r="E985" s="348"/>
      <c r="F985" s="348"/>
      <c r="G985" s="348"/>
      <c r="H985" s="358"/>
      <c r="I985" s="352"/>
      <c r="J985" s="353"/>
      <c r="K985" s="538"/>
      <c r="L985" s="487"/>
      <c r="M985" s="487"/>
      <c r="N985" s="354"/>
      <c r="O985" s="354"/>
      <c r="P985" s="354"/>
      <c r="Q985" s="354"/>
      <c r="R985" s="354"/>
      <c r="S985" s="354"/>
      <c r="T985" s="354"/>
      <c r="U985" s="354"/>
      <c r="V985" s="354"/>
      <c r="W985" s="354"/>
      <c r="X985" s="354"/>
      <c r="Y985" s="354"/>
      <c r="Z985" s="353"/>
      <c r="AA985" s="353"/>
      <c r="AB985" s="836"/>
      <c r="AC985" s="836"/>
      <c r="AD985" s="836"/>
      <c r="AE985" s="838"/>
    </row>
    <row r="986" spans="1:31" ht="16.5" customHeight="1">
      <c r="A986" s="347">
        <v>29602430</v>
      </c>
      <c r="B986" s="347" t="s">
        <v>6543</v>
      </c>
      <c r="C986" s="347"/>
      <c r="D986" s="348"/>
      <c r="E986" s="348"/>
      <c r="F986" s="348"/>
      <c r="G986" s="348"/>
      <c r="H986" s="358"/>
      <c r="I986" s="352"/>
      <c r="J986" s="353"/>
      <c r="K986" s="538"/>
      <c r="L986" s="487"/>
      <c r="M986" s="487"/>
      <c r="N986" s="354"/>
      <c r="O986" s="354"/>
      <c r="P986" s="354"/>
      <c r="Q986" s="354"/>
      <c r="R986" s="354"/>
      <c r="S986" s="354"/>
      <c r="T986" s="354"/>
      <c r="U986" s="354"/>
      <c r="V986" s="354"/>
      <c r="W986" s="354"/>
      <c r="X986" s="354"/>
      <c r="Y986" s="354"/>
      <c r="Z986" s="353"/>
      <c r="AA986" s="353"/>
      <c r="AB986" s="836"/>
      <c r="AC986" s="836"/>
      <c r="AD986" s="836"/>
      <c r="AE986" s="838"/>
    </row>
    <row r="987" spans="1:31" ht="16.5" customHeight="1">
      <c r="A987" s="347">
        <v>35904143</v>
      </c>
      <c r="B987" s="347" t="s">
        <v>6544</v>
      </c>
      <c r="C987" s="347"/>
      <c r="D987" s="348"/>
      <c r="E987" s="348"/>
      <c r="F987" s="348"/>
      <c r="G987" s="348"/>
      <c r="H987" s="358"/>
      <c r="I987" s="352"/>
      <c r="J987" s="353"/>
      <c r="K987" s="538"/>
      <c r="L987" s="487"/>
      <c r="M987" s="487"/>
      <c r="N987" s="354"/>
      <c r="O987" s="354"/>
      <c r="P987" s="354"/>
      <c r="Q987" s="354"/>
      <c r="R987" s="354"/>
      <c r="S987" s="354"/>
      <c r="T987" s="354"/>
      <c r="U987" s="354"/>
      <c r="V987" s="354"/>
      <c r="W987" s="354"/>
      <c r="X987" s="354"/>
      <c r="Y987" s="354"/>
      <c r="Z987" s="353"/>
      <c r="AA987" s="353"/>
      <c r="AB987" s="836"/>
      <c r="AC987" s="836"/>
      <c r="AD987" s="836"/>
      <c r="AE987" s="838"/>
    </row>
    <row r="988" spans="1:31" ht="16.5" customHeight="1">
      <c r="A988" s="347">
        <v>28801512</v>
      </c>
      <c r="B988" s="347" t="s">
        <v>6545</v>
      </c>
      <c r="C988" s="347"/>
      <c r="D988" s="348"/>
      <c r="E988" s="348"/>
      <c r="F988" s="348"/>
      <c r="G988" s="348"/>
      <c r="H988" s="358"/>
      <c r="I988" s="352"/>
      <c r="J988" s="353"/>
      <c r="K988" s="538"/>
      <c r="L988" s="487"/>
      <c r="M988" s="487"/>
      <c r="N988" s="354"/>
      <c r="O988" s="354"/>
      <c r="P988" s="354"/>
      <c r="Q988" s="354"/>
      <c r="R988" s="354"/>
      <c r="S988" s="354"/>
      <c r="T988" s="354"/>
      <c r="U988" s="354"/>
      <c r="V988" s="354"/>
      <c r="W988" s="354"/>
      <c r="X988" s="354"/>
      <c r="Y988" s="354"/>
      <c r="Z988" s="353"/>
      <c r="AA988" s="353"/>
      <c r="AB988" s="836"/>
      <c r="AC988" s="836"/>
      <c r="AD988" s="836"/>
      <c r="AE988" s="838"/>
    </row>
    <row r="989" spans="1:31" ht="16.5" customHeight="1">
      <c r="A989" s="347">
        <v>29930963</v>
      </c>
      <c r="B989" s="347" t="s">
        <v>6546</v>
      </c>
      <c r="C989" s="347"/>
      <c r="D989" s="348"/>
      <c r="E989" s="348"/>
      <c r="F989" s="348"/>
      <c r="G989" s="348"/>
      <c r="H989" s="358"/>
      <c r="I989" s="352"/>
      <c r="J989" s="353"/>
      <c r="K989" s="538"/>
      <c r="L989" s="487"/>
      <c r="M989" s="487"/>
      <c r="N989" s="354"/>
      <c r="O989" s="354"/>
      <c r="P989" s="354"/>
      <c r="Q989" s="354"/>
      <c r="R989" s="354"/>
      <c r="S989" s="354"/>
      <c r="T989" s="354"/>
      <c r="U989" s="354"/>
      <c r="V989" s="354"/>
      <c r="W989" s="354"/>
      <c r="X989" s="354"/>
      <c r="Y989" s="354"/>
      <c r="Z989" s="353"/>
      <c r="AA989" s="353"/>
      <c r="AB989" s="836"/>
      <c r="AC989" s="836"/>
      <c r="AD989" s="836"/>
      <c r="AE989" s="838"/>
    </row>
    <row r="990" spans="1:31" ht="16.5" customHeight="1">
      <c r="A990" s="347">
        <v>18605030</v>
      </c>
      <c r="B990" s="347" t="s">
        <v>6547</v>
      </c>
      <c r="C990" s="347"/>
      <c r="D990" s="348"/>
      <c r="E990" s="348"/>
      <c r="F990" s="348"/>
      <c r="G990" s="348"/>
      <c r="H990" s="358"/>
      <c r="I990" s="352"/>
      <c r="J990" s="353"/>
      <c r="K990" s="538"/>
      <c r="L990" s="487"/>
      <c r="M990" s="487"/>
      <c r="N990" s="354"/>
      <c r="O990" s="354"/>
      <c r="P990" s="354"/>
      <c r="Q990" s="354"/>
      <c r="R990" s="354"/>
      <c r="S990" s="354"/>
      <c r="T990" s="354"/>
      <c r="U990" s="354"/>
      <c r="V990" s="354"/>
      <c r="W990" s="354"/>
      <c r="X990" s="354"/>
      <c r="Y990" s="354"/>
      <c r="Z990" s="353"/>
      <c r="AA990" s="353"/>
      <c r="AB990" s="836"/>
      <c r="AC990" s="836"/>
      <c r="AD990" s="836"/>
      <c r="AE990" s="838"/>
    </row>
    <row r="991" spans="1:31" ht="16.5" customHeight="1">
      <c r="A991" s="347">
        <v>10176741</v>
      </c>
      <c r="B991" s="347" t="s">
        <v>6548</v>
      </c>
      <c r="C991" s="347"/>
      <c r="D991" s="348"/>
      <c r="E991" s="348"/>
      <c r="F991" s="348"/>
      <c r="G991" s="348"/>
      <c r="H991" s="358"/>
      <c r="I991" s="352"/>
      <c r="J991" s="353"/>
      <c r="K991" s="538"/>
      <c r="L991" s="487"/>
      <c r="M991" s="487"/>
      <c r="N991" s="354"/>
      <c r="O991" s="354"/>
      <c r="P991" s="354"/>
      <c r="Q991" s="354"/>
      <c r="R991" s="354"/>
      <c r="S991" s="354"/>
      <c r="T991" s="354"/>
      <c r="U991" s="354"/>
      <c r="V991" s="354"/>
      <c r="W991" s="354"/>
      <c r="X991" s="354"/>
      <c r="Y991" s="354"/>
      <c r="Z991" s="353"/>
      <c r="AA991" s="353"/>
      <c r="AB991" s="836"/>
      <c r="AC991" s="836"/>
      <c r="AD991" s="836"/>
      <c r="AE991" s="838"/>
    </row>
    <row r="992" spans="1:31" ht="16.5" customHeight="1">
      <c r="A992" s="347">
        <v>54930375</v>
      </c>
      <c r="B992" s="347" t="s">
        <v>6549</v>
      </c>
      <c r="C992" s="347"/>
      <c r="D992" s="348"/>
      <c r="E992" s="348"/>
      <c r="F992" s="348"/>
      <c r="G992" s="348"/>
      <c r="H992" s="358"/>
      <c r="I992" s="352"/>
      <c r="J992" s="353"/>
      <c r="K992" s="538"/>
      <c r="L992" s="487"/>
      <c r="M992" s="487"/>
      <c r="N992" s="354"/>
      <c r="O992" s="354"/>
      <c r="P992" s="354"/>
      <c r="Q992" s="354"/>
      <c r="R992" s="354"/>
      <c r="S992" s="354"/>
      <c r="T992" s="354"/>
      <c r="U992" s="354"/>
      <c r="V992" s="354"/>
      <c r="W992" s="354"/>
      <c r="X992" s="354"/>
      <c r="Y992" s="354"/>
      <c r="Z992" s="353"/>
      <c r="AA992" s="353"/>
      <c r="AB992" s="836"/>
      <c r="AC992" s="836"/>
      <c r="AD992" s="836"/>
      <c r="AE992" s="838"/>
    </row>
    <row r="993" spans="1:31" ht="16.5" customHeight="1">
      <c r="A993" s="347">
        <v>37169497</v>
      </c>
      <c r="B993" s="347" t="s">
        <v>6550</v>
      </c>
      <c r="C993" s="347"/>
      <c r="D993" s="348"/>
      <c r="E993" s="348"/>
      <c r="F993" s="348"/>
      <c r="G993" s="348"/>
      <c r="H993" s="358"/>
      <c r="I993" s="352"/>
      <c r="J993" s="353"/>
      <c r="K993" s="538"/>
      <c r="L993" s="487"/>
      <c r="M993" s="487"/>
      <c r="N993" s="354"/>
      <c r="O993" s="354"/>
      <c r="P993" s="354"/>
      <c r="Q993" s="354"/>
      <c r="R993" s="354"/>
      <c r="S993" s="354"/>
      <c r="T993" s="354"/>
      <c r="U993" s="354"/>
      <c r="V993" s="354"/>
      <c r="W993" s="354"/>
      <c r="X993" s="354"/>
      <c r="Y993" s="354"/>
      <c r="Z993" s="353"/>
      <c r="AA993" s="353"/>
      <c r="AB993" s="836"/>
      <c r="AC993" s="836"/>
      <c r="AD993" s="836"/>
      <c r="AE993" s="838"/>
    </row>
    <row r="994" spans="1:31" ht="16.5" customHeight="1">
      <c r="A994" s="347">
        <v>39935101</v>
      </c>
      <c r="B994" s="347" t="s">
        <v>6551</v>
      </c>
      <c r="C994" s="347"/>
      <c r="D994" s="348"/>
      <c r="E994" s="348"/>
      <c r="F994" s="348"/>
      <c r="G994" s="348"/>
      <c r="H994" s="358"/>
      <c r="I994" s="352"/>
      <c r="J994" s="353"/>
      <c r="K994" s="538"/>
      <c r="L994" s="487"/>
      <c r="M994" s="487"/>
      <c r="N994" s="354"/>
      <c r="O994" s="354"/>
      <c r="P994" s="354"/>
      <c r="Q994" s="354"/>
      <c r="R994" s="354"/>
      <c r="S994" s="354"/>
      <c r="T994" s="354"/>
      <c r="U994" s="354"/>
      <c r="V994" s="354"/>
      <c r="W994" s="354"/>
      <c r="X994" s="354"/>
      <c r="Y994" s="354"/>
      <c r="Z994" s="353"/>
      <c r="AA994" s="353"/>
      <c r="AB994" s="836"/>
      <c r="AC994" s="836"/>
      <c r="AD994" s="836"/>
      <c r="AE994" s="838"/>
    </row>
    <row r="995" spans="1:31" ht="16.5" customHeight="1">
      <c r="A995" s="347">
        <v>36895589</v>
      </c>
      <c r="B995" s="347" t="s">
        <v>6552</v>
      </c>
      <c r="C995" s="347"/>
      <c r="D995" s="348"/>
      <c r="E995" s="348"/>
      <c r="F995" s="348"/>
      <c r="G995" s="348"/>
      <c r="H995" s="358"/>
      <c r="I995" s="352"/>
      <c r="J995" s="353"/>
      <c r="K995" s="538"/>
      <c r="L995" s="487"/>
      <c r="M995" s="487"/>
      <c r="N995" s="354"/>
      <c r="O995" s="354"/>
      <c r="P995" s="354"/>
      <c r="Q995" s="354"/>
      <c r="R995" s="354"/>
      <c r="S995" s="354"/>
      <c r="T995" s="354"/>
      <c r="U995" s="354"/>
      <c r="V995" s="354"/>
      <c r="W995" s="354"/>
      <c r="X995" s="354"/>
      <c r="Y995" s="354"/>
      <c r="Z995" s="353"/>
      <c r="AA995" s="353"/>
      <c r="AB995" s="836"/>
      <c r="AC995" s="836"/>
      <c r="AD995" s="836"/>
      <c r="AE995" s="838"/>
    </row>
    <row r="996" spans="1:31" ht="16.5" customHeight="1">
      <c r="A996" s="347">
        <v>20070629</v>
      </c>
      <c r="B996" s="347" t="s">
        <v>6553</v>
      </c>
      <c r="C996" s="347"/>
      <c r="D996" s="348"/>
      <c r="E996" s="348"/>
      <c r="F996" s="348"/>
      <c r="G996" s="348"/>
      <c r="H996" s="358"/>
      <c r="I996" s="352"/>
      <c r="J996" s="353"/>
      <c r="K996" s="538"/>
      <c r="L996" s="487"/>
      <c r="M996" s="487"/>
      <c r="N996" s="354"/>
      <c r="O996" s="354"/>
      <c r="P996" s="354"/>
      <c r="Q996" s="354"/>
      <c r="R996" s="354"/>
      <c r="S996" s="354"/>
      <c r="T996" s="354"/>
      <c r="U996" s="354"/>
      <c r="V996" s="354"/>
      <c r="W996" s="354"/>
      <c r="X996" s="354"/>
      <c r="Y996" s="354"/>
      <c r="Z996" s="353"/>
      <c r="AA996" s="353"/>
      <c r="AB996" s="836"/>
      <c r="AC996" s="836"/>
      <c r="AD996" s="836"/>
      <c r="AE996" s="838"/>
    </row>
    <row r="997" spans="1:31" ht="16.5" customHeight="1">
      <c r="A997" s="347">
        <v>26826743</v>
      </c>
      <c r="B997" s="347" t="s">
        <v>6554</v>
      </c>
      <c r="C997" s="347"/>
      <c r="D997" s="348"/>
      <c r="E997" s="348"/>
      <c r="F997" s="348"/>
      <c r="G997" s="348"/>
      <c r="H997" s="358"/>
      <c r="I997" s="352"/>
      <c r="J997" s="353"/>
      <c r="K997" s="538"/>
      <c r="L997" s="487"/>
      <c r="M997" s="487"/>
      <c r="N997" s="354"/>
      <c r="O997" s="354"/>
      <c r="P997" s="354"/>
      <c r="Q997" s="354"/>
      <c r="R997" s="354"/>
      <c r="S997" s="354"/>
      <c r="T997" s="354"/>
      <c r="U997" s="354"/>
      <c r="V997" s="354"/>
      <c r="W997" s="354"/>
      <c r="X997" s="354"/>
      <c r="Y997" s="354"/>
      <c r="Z997" s="353"/>
      <c r="AA997" s="353"/>
      <c r="AB997" s="836"/>
      <c r="AC997" s="836"/>
      <c r="AD997" s="836"/>
      <c r="AE997" s="838"/>
    </row>
    <row r="998" spans="1:31" ht="16.5" customHeight="1">
      <c r="A998" s="347">
        <v>100037794</v>
      </c>
      <c r="B998" s="347" t="s">
        <v>6555</v>
      </c>
      <c r="C998" s="347"/>
      <c r="D998" s="348"/>
      <c r="E998" s="348"/>
      <c r="F998" s="348"/>
      <c r="G998" s="348"/>
      <c r="H998" s="358"/>
      <c r="I998" s="352"/>
      <c r="J998" s="353"/>
      <c r="K998" s="538"/>
      <c r="L998" s="487"/>
      <c r="M998" s="487"/>
      <c r="N998" s="354"/>
      <c r="O998" s="354"/>
      <c r="P998" s="354"/>
      <c r="Q998" s="354"/>
      <c r="R998" s="354"/>
      <c r="S998" s="354"/>
      <c r="T998" s="354"/>
      <c r="U998" s="354"/>
      <c r="V998" s="354"/>
      <c r="W998" s="354"/>
      <c r="X998" s="354"/>
      <c r="Y998" s="354"/>
      <c r="Z998" s="353"/>
      <c r="AA998" s="353"/>
      <c r="AB998" s="836"/>
      <c r="AC998" s="836"/>
      <c r="AD998" s="836"/>
      <c r="AE998" s="838"/>
    </row>
    <row r="999" spans="1:31" ht="16.5" customHeight="1">
      <c r="A999" s="347">
        <v>60486776</v>
      </c>
      <c r="B999" s="347" t="s">
        <v>6556</v>
      </c>
      <c r="C999" s="347"/>
      <c r="D999" s="348"/>
      <c r="E999" s="348"/>
      <c r="F999" s="348"/>
      <c r="G999" s="348"/>
      <c r="H999" s="358"/>
      <c r="I999" s="352"/>
      <c r="J999" s="353"/>
      <c r="K999" s="538"/>
      <c r="L999" s="487"/>
      <c r="M999" s="487"/>
      <c r="N999" s="354"/>
      <c r="O999" s="354"/>
      <c r="P999" s="354"/>
      <c r="Q999" s="354"/>
      <c r="R999" s="354"/>
      <c r="S999" s="354"/>
      <c r="T999" s="354"/>
      <c r="U999" s="354"/>
      <c r="V999" s="354"/>
      <c r="W999" s="354"/>
      <c r="X999" s="354"/>
      <c r="Y999" s="354"/>
      <c r="Z999" s="353"/>
      <c r="AA999" s="353"/>
      <c r="AB999" s="836"/>
      <c r="AC999" s="836"/>
      <c r="AD999" s="836"/>
      <c r="AE999" s="838"/>
    </row>
    <row r="1000" spans="1:31" ht="16.5" customHeight="1">
      <c r="A1000" s="347">
        <v>1033075</v>
      </c>
      <c r="B1000" s="347" t="s">
        <v>6557</v>
      </c>
      <c r="C1000" s="347"/>
      <c r="D1000" s="348"/>
      <c r="E1000" s="348"/>
      <c r="F1000" s="348"/>
      <c r="G1000" s="348"/>
      <c r="H1000" s="358"/>
      <c r="I1000" s="352"/>
      <c r="J1000" s="353"/>
      <c r="K1000" s="538"/>
      <c r="L1000" s="487"/>
      <c r="M1000" s="487"/>
      <c r="N1000" s="354"/>
      <c r="O1000" s="354"/>
      <c r="P1000" s="354"/>
      <c r="Q1000" s="354"/>
      <c r="R1000" s="354"/>
      <c r="S1000" s="354"/>
      <c r="T1000" s="354"/>
      <c r="U1000" s="354"/>
      <c r="V1000" s="354"/>
      <c r="W1000" s="354"/>
      <c r="X1000" s="354"/>
      <c r="Y1000" s="354"/>
      <c r="Z1000" s="353"/>
      <c r="AA1000" s="353"/>
      <c r="AB1000" s="836"/>
      <c r="AC1000" s="836"/>
      <c r="AD1000" s="836"/>
      <c r="AE1000" s="838"/>
    </row>
    <row r="1001" spans="1:31" ht="16.5" customHeight="1">
      <c r="A1001" s="347">
        <v>37673621</v>
      </c>
      <c r="B1001" s="347" t="s">
        <v>6558</v>
      </c>
      <c r="C1001" s="347"/>
      <c r="D1001" s="361"/>
      <c r="E1001" s="361"/>
      <c r="F1001" s="361"/>
      <c r="G1001" s="348"/>
      <c r="H1001" s="358"/>
      <c r="I1001" s="352"/>
      <c r="J1001" s="353"/>
      <c r="K1001" s="538"/>
      <c r="L1001" s="487"/>
      <c r="M1001" s="487"/>
      <c r="N1001" s="354"/>
      <c r="O1001" s="354"/>
      <c r="P1001" s="354"/>
      <c r="Q1001" s="354"/>
      <c r="R1001" s="354"/>
      <c r="S1001" s="354"/>
      <c r="T1001" s="354"/>
      <c r="U1001" s="354"/>
      <c r="V1001" s="354"/>
      <c r="W1001" s="354"/>
      <c r="X1001" s="354"/>
      <c r="Y1001" s="354"/>
      <c r="Z1001" s="353"/>
      <c r="AA1001" s="353"/>
      <c r="AB1001" s="836"/>
      <c r="AC1001" s="836"/>
      <c r="AD1001" s="836"/>
      <c r="AE1001" s="838"/>
    </row>
    <row r="1002" spans="1:31" ht="16.5" customHeight="1">
      <c r="A1002" s="347">
        <v>26501023</v>
      </c>
      <c r="B1002" s="347" t="s">
        <v>6559</v>
      </c>
      <c r="C1002" s="347"/>
      <c r="D1002" s="348"/>
      <c r="E1002" s="348"/>
      <c r="F1002" s="348"/>
      <c r="G1002" s="348"/>
      <c r="H1002" s="358"/>
      <c r="I1002" s="352"/>
      <c r="J1002" s="353"/>
      <c r="K1002" s="538"/>
      <c r="L1002" s="487"/>
      <c r="M1002" s="487"/>
      <c r="N1002" s="354"/>
      <c r="O1002" s="354"/>
      <c r="P1002" s="354"/>
      <c r="Q1002" s="354"/>
      <c r="R1002" s="354"/>
      <c r="S1002" s="354"/>
      <c r="T1002" s="354"/>
      <c r="U1002" s="354"/>
      <c r="V1002" s="354"/>
      <c r="W1002" s="354"/>
      <c r="X1002" s="354"/>
      <c r="Y1002" s="354"/>
      <c r="Z1002" s="353"/>
      <c r="AA1002" s="353"/>
      <c r="AB1002" s="836"/>
      <c r="AC1002" s="836"/>
      <c r="AD1002" s="836"/>
      <c r="AE1002" s="838"/>
    </row>
    <row r="1003" spans="1:31" ht="16.5" customHeight="1">
      <c r="A1003" s="347">
        <v>45891975</v>
      </c>
      <c r="B1003" s="347" t="s">
        <v>6560</v>
      </c>
      <c r="C1003" s="347"/>
      <c r="D1003" s="348"/>
      <c r="E1003" s="348"/>
      <c r="F1003" s="348"/>
      <c r="G1003" s="348"/>
      <c r="H1003" s="358"/>
      <c r="I1003" s="352"/>
      <c r="J1003" s="353"/>
      <c r="K1003" s="538"/>
      <c r="L1003" s="487"/>
      <c r="M1003" s="487"/>
      <c r="N1003" s="354"/>
      <c r="O1003" s="354"/>
      <c r="P1003" s="354"/>
      <c r="Q1003" s="354"/>
      <c r="R1003" s="354"/>
      <c r="S1003" s="354"/>
      <c r="T1003" s="354"/>
      <c r="U1003" s="354"/>
      <c r="V1003" s="354"/>
      <c r="W1003" s="354"/>
      <c r="X1003" s="354"/>
      <c r="Y1003" s="354"/>
      <c r="Z1003" s="353"/>
      <c r="AA1003" s="353"/>
      <c r="AB1003" s="836"/>
      <c r="AC1003" s="836"/>
      <c r="AD1003" s="836"/>
      <c r="AE1003" s="838"/>
    </row>
    <row r="1004" spans="1:31" ht="16.5" customHeight="1">
      <c r="A1004" s="347">
        <v>37989944</v>
      </c>
      <c r="B1004" s="347" t="s">
        <v>6561</v>
      </c>
      <c r="C1004" s="347"/>
      <c r="D1004" s="348"/>
      <c r="E1004" s="348"/>
      <c r="F1004" s="348"/>
      <c r="G1004" s="348"/>
      <c r="H1004" s="358"/>
      <c r="I1004" s="352"/>
      <c r="J1004" s="353"/>
      <c r="K1004" s="538"/>
      <c r="L1004" s="487"/>
      <c r="M1004" s="487"/>
      <c r="N1004" s="354"/>
      <c r="O1004" s="354"/>
      <c r="P1004" s="354"/>
      <c r="Q1004" s="354"/>
      <c r="R1004" s="354"/>
      <c r="S1004" s="354"/>
      <c r="T1004" s="354"/>
      <c r="U1004" s="354"/>
      <c r="V1004" s="354"/>
      <c r="W1004" s="354"/>
      <c r="X1004" s="354"/>
      <c r="Y1004" s="354"/>
      <c r="Z1004" s="353"/>
      <c r="AA1004" s="353"/>
      <c r="AB1004" s="836"/>
      <c r="AC1004" s="836"/>
      <c r="AD1004" s="836"/>
      <c r="AE1004" s="838"/>
    </row>
    <row r="1005" spans="1:31" ht="16.5" customHeight="1">
      <c r="A1005" s="347">
        <v>6425359</v>
      </c>
      <c r="B1005" s="347" t="s">
        <v>6562</v>
      </c>
      <c r="C1005" s="347"/>
      <c r="D1005" s="348"/>
      <c r="E1005" s="348"/>
      <c r="F1005" s="348"/>
      <c r="G1005" s="348"/>
      <c r="H1005" s="358"/>
      <c r="I1005" s="352"/>
      <c r="J1005" s="353"/>
      <c r="K1005" s="538"/>
      <c r="L1005" s="487"/>
      <c r="M1005" s="487"/>
      <c r="N1005" s="354"/>
      <c r="O1005" s="354"/>
      <c r="P1005" s="354"/>
      <c r="Q1005" s="354"/>
      <c r="R1005" s="354"/>
      <c r="S1005" s="354"/>
      <c r="T1005" s="354"/>
      <c r="U1005" s="354"/>
      <c r="V1005" s="354"/>
      <c r="W1005" s="354"/>
      <c r="X1005" s="354"/>
      <c r="Y1005" s="354"/>
      <c r="Z1005" s="353"/>
      <c r="AA1005" s="353"/>
      <c r="AB1005" s="836"/>
      <c r="AC1005" s="836"/>
      <c r="AD1005" s="836"/>
      <c r="AE1005" s="838"/>
    </row>
    <row r="1006" spans="1:31" ht="16.5" customHeight="1">
      <c r="A1006" s="347">
        <v>59271379</v>
      </c>
      <c r="B1006" s="347" t="s">
        <v>6563</v>
      </c>
      <c r="C1006" s="347"/>
      <c r="D1006" s="348"/>
      <c r="E1006" s="348"/>
      <c r="F1006" s="348"/>
      <c r="G1006" s="348"/>
      <c r="H1006" s="358"/>
      <c r="I1006" s="352"/>
      <c r="J1006" s="353"/>
      <c r="K1006" s="538"/>
      <c r="L1006" s="487"/>
      <c r="M1006" s="487"/>
      <c r="N1006" s="354"/>
      <c r="O1006" s="354"/>
      <c r="P1006" s="354"/>
      <c r="Q1006" s="354"/>
      <c r="R1006" s="354"/>
      <c r="S1006" s="354"/>
      <c r="T1006" s="354"/>
      <c r="U1006" s="354"/>
      <c r="V1006" s="354"/>
      <c r="W1006" s="354"/>
      <c r="X1006" s="354"/>
      <c r="Y1006" s="354"/>
      <c r="Z1006" s="353"/>
      <c r="AA1006" s="353"/>
      <c r="AB1006" s="836"/>
      <c r="AC1006" s="836"/>
      <c r="AD1006" s="836"/>
      <c r="AE1006" s="838"/>
    </row>
    <row r="1007" spans="1:31" ht="16.5" customHeight="1">
      <c r="A1007" s="347">
        <v>66431461</v>
      </c>
      <c r="B1007" s="347" t="s">
        <v>6564</v>
      </c>
      <c r="C1007" s="347"/>
      <c r="D1007" s="348"/>
      <c r="E1007" s="348"/>
      <c r="F1007" s="348"/>
      <c r="G1007" s="348"/>
      <c r="H1007" s="358"/>
      <c r="I1007" s="352"/>
      <c r="J1007" s="353"/>
      <c r="K1007" s="538"/>
      <c r="L1007" s="487"/>
      <c r="M1007" s="487"/>
      <c r="N1007" s="354"/>
      <c r="O1007" s="354"/>
      <c r="P1007" s="354"/>
      <c r="Q1007" s="354"/>
      <c r="R1007" s="354"/>
      <c r="S1007" s="354"/>
      <c r="T1007" s="354"/>
      <c r="U1007" s="354"/>
      <c r="V1007" s="354"/>
      <c r="W1007" s="354"/>
      <c r="X1007" s="354"/>
      <c r="Y1007" s="354"/>
      <c r="Z1007" s="353"/>
      <c r="AA1007" s="353"/>
      <c r="AB1007" s="836"/>
      <c r="AC1007" s="836"/>
      <c r="AD1007" s="836"/>
      <c r="AE1007" s="838"/>
    </row>
    <row r="1008" spans="1:31" ht="16.5" customHeight="1">
      <c r="A1008" s="347">
        <v>280099</v>
      </c>
      <c r="B1008" s="347" t="s">
        <v>6565</v>
      </c>
      <c r="C1008" s="347"/>
      <c r="D1008" s="348"/>
      <c r="E1008" s="348"/>
      <c r="F1008" s="348"/>
      <c r="G1008" s="348"/>
      <c r="H1008" s="358"/>
      <c r="I1008" s="352"/>
      <c r="J1008" s="353"/>
      <c r="K1008" s="538"/>
      <c r="L1008" s="487"/>
      <c r="M1008" s="487"/>
      <c r="N1008" s="354"/>
      <c r="O1008" s="354"/>
      <c r="P1008" s="354"/>
      <c r="Q1008" s="354"/>
      <c r="R1008" s="354"/>
      <c r="S1008" s="354"/>
      <c r="T1008" s="354"/>
      <c r="U1008" s="354"/>
      <c r="V1008" s="354"/>
      <c r="W1008" s="354"/>
      <c r="X1008" s="354"/>
      <c r="Y1008" s="354"/>
      <c r="Z1008" s="353"/>
      <c r="AA1008" s="353"/>
      <c r="AB1008" s="836"/>
      <c r="AC1008" s="836"/>
      <c r="AD1008" s="836"/>
      <c r="AE1008" s="838"/>
    </row>
    <row r="1009" spans="1:31" ht="16.5" customHeight="1">
      <c r="A1009" s="347">
        <v>26122242</v>
      </c>
      <c r="B1009" s="347" t="s">
        <v>6566</v>
      </c>
      <c r="C1009" s="347"/>
      <c r="D1009" s="348"/>
      <c r="E1009" s="348"/>
      <c r="F1009" s="348"/>
      <c r="G1009" s="348"/>
      <c r="H1009" s="358"/>
      <c r="I1009" s="352"/>
      <c r="J1009" s="353"/>
      <c r="K1009" s="538"/>
      <c r="L1009" s="487"/>
      <c r="M1009" s="487"/>
      <c r="N1009" s="354"/>
      <c r="O1009" s="354"/>
      <c r="P1009" s="354"/>
      <c r="Q1009" s="354"/>
      <c r="R1009" s="354"/>
      <c r="S1009" s="354"/>
      <c r="T1009" s="354"/>
      <c r="U1009" s="354"/>
      <c r="V1009" s="354"/>
      <c r="W1009" s="354"/>
      <c r="X1009" s="354"/>
      <c r="Y1009" s="354"/>
      <c r="Z1009" s="353"/>
      <c r="AA1009" s="353"/>
      <c r="AB1009" s="836"/>
      <c r="AC1009" s="836"/>
      <c r="AD1009" s="836"/>
      <c r="AE1009" s="838"/>
    </row>
    <row r="1010" spans="1:31" ht="16.5" customHeight="1">
      <c r="A1010" s="347">
        <v>100325864</v>
      </c>
      <c r="B1010" s="347" t="s">
        <v>6567</v>
      </c>
      <c r="C1010" s="347"/>
      <c r="D1010" s="348"/>
      <c r="E1010" s="348"/>
      <c r="F1010" s="348"/>
      <c r="G1010" s="348"/>
      <c r="H1010" s="358"/>
      <c r="I1010" s="352"/>
      <c r="J1010" s="353"/>
      <c r="K1010" s="538"/>
      <c r="L1010" s="487"/>
      <c r="M1010" s="487"/>
      <c r="N1010" s="354"/>
      <c r="O1010" s="354"/>
      <c r="P1010" s="354"/>
      <c r="Q1010" s="354"/>
      <c r="R1010" s="354"/>
      <c r="S1010" s="354"/>
      <c r="T1010" s="354"/>
      <c r="U1010" s="354"/>
      <c r="V1010" s="354"/>
      <c r="W1010" s="354"/>
      <c r="X1010" s="354"/>
      <c r="Y1010" s="354"/>
      <c r="Z1010" s="353"/>
      <c r="AA1010" s="353"/>
      <c r="AB1010" s="836"/>
      <c r="AC1010" s="836"/>
      <c r="AD1010" s="836"/>
      <c r="AE1010" s="838"/>
    </row>
    <row r="1011" spans="1:31" ht="16.5" customHeight="1">
      <c r="A1011" s="347">
        <v>5479027</v>
      </c>
      <c r="B1011" s="347" t="s">
        <v>6568</v>
      </c>
      <c r="C1011" s="347"/>
      <c r="D1011" s="348"/>
      <c r="E1011" s="348"/>
      <c r="F1011" s="348"/>
      <c r="G1011" s="348"/>
      <c r="H1011" s="358"/>
      <c r="I1011" s="352"/>
      <c r="J1011" s="353"/>
      <c r="K1011" s="538"/>
      <c r="L1011" s="487"/>
      <c r="M1011" s="487"/>
      <c r="N1011" s="354"/>
      <c r="O1011" s="354"/>
      <c r="P1011" s="354"/>
      <c r="Q1011" s="354"/>
      <c r="R1011" s="354"/>
      <c r="S1011" s="354"/>
      <c r="T1011" s="354"/>
      <c r="U1011" s="354"/>
      <c r="V1011" s="354"/>
      <c r="W1011" s="354"/>
      <c r="X1011" s="354"/>
      <c r="Y1011" s="354"/>
      <c r="Z1011" s="353"/>
      <c r="AA1011" s="353"/>
      <c r="AB1011" s="836"/>
      <c r="AC1011" s="836"/>
      <c r="AD1011" s="836"/>
      <c r="AE1011" s="838"/>
    </row>
    <row r="1012" spans="1:31" ht="16.5" customHeight="1">
      <c r="A1012" s="347">
        <v>28663441</v>
      </c>
      <c r="B1012" s="347" t="s">
        <v>6569</v>
      </c>
      <c r="C1012" s="347"/>
      <c r="D1012" s="348"/>
      <c r="E1012" s="348"/>
      <c r="F1012" s="348"/>
      <c r="G1012" s="348"/>
      <c r="H1012" s="358"/>
      <c r="I1012" s="352"/>
      <c r="J1012" s="353"/>
      <c r="K1012" s="538"/>
      <c r="L1012" s="487"/>
      <c r="M1012" s="487"/>
      <c r="N1012" s="354"/>
      <c r="O1012" s="354"/>
      <c r="P1012" s="354"/>
      <c r="Q1012" s="354"/>
      <c r="R1012" s="354"/>
      <c r="S1012" s="354"/>
      <c r="T1012" s="354"/>
      <c r="U1012" s="354"/>
      <c r="V1012" s="354"/>
      <c r="W1012" s="354"/>
      <c r="X1012" s="354"/>
      <c r="Y1012" s="354"/>
      <c r="Z1012" s="353"/>
      <c r="AA1012" s="353"/>
      <c r="AB1012" s="836"/>
      <c r="AC1012" s="836"/>
      <c r="AD1012" s="836"/>
      <c r="AE1012" s="838"/>
    </row>
    <row r="1013" spans="1:31" ht="16.5" customHeight="1">
      <c r="A1013" s="347">
        <v>23554082</v>
      </c>
      <c r="B1013" s="347" t="s">
        <v>6570</v>
      </c>
      <c r="C1013" s="347"/>
      <c r="D1013" s="348"/>
      <c r="E1013" s="348"/>
      <c r="F1013" s="348"/>
      <c r="G1013" s="348"/>
      <c r="H1013" s="358"/>
      <c r="I1013" s="352"/>
      <c r="J1013" s="353"/>
      <c r="K1013" s="538"/>
      <c r="L1013" s="487"/>
      <c r="M1013" s="487"/>
      <c r="N1013" s="354"/>
      <c r="O1013" s="354"/>
      <c r="P1013" s="354"/>
      <c r="Q1013" s="354"/>
      <c r="R1013" s="354"/>
      <c r="S1013" s="354"/>
      <c r="T1013" s="354"/>
      <c r="U1013" s="354"/>
      <c r="V1013" s="354"/>
      <c r="W1013" s="354"/>
      <c r="X1013" s="354"/>
      <c r="Y1013" s="354"/>
      <c r="Z1013" s="353"/>
      <c r="AA1013" s="353"/>
      <c r="AB1013" s="836"/>
      <c r="AC1013" s="836"/>
      <c r="AD1013" s="836"/>
      <c r="AE1013" s="838"/>
    </row>
    <row r="1014" spans="1:31" ht="16.5" customHeight="1">
      <c r="A1014" s="347">
        <v>37509643</v>
      </c>
      <c r="B1014" s="347" t="s">
        <v>6571</v>
      </c>
      <c r="C1014" s="347"/>
      <c r="D1014" s="348"/>
      <c r="E1014" s="348"/>
      <c r="F1014" s="348"/>
      <c r="G1014" s="348"/>
      <c r="H1014" s="358"/>
      <c r="I1014" s="352"/>
      <c r="J1014" s="353"/>
      <c r="K1014" s="538"/>
      <c r="L1014" s="487"/>
      <c r="M1014" s="487"/>
      <c r="N1014" s="354"/>
      <c r="O1014" s="354"/>
      <c r="P1014" s="354"/>
      <c r="Q1014" s="354"/>
      <c r="R1014" s="354"/>
      <c r="S1014" s="354"/>
      <c r="T1014" s="354"/>
      <c r="U1014" s="354"/>
      <c r="V1014" s="354"/>
      <c r="W1014" s="354"/>
      <c r="X1014" s="354"/>
      <c r="Y1014" s="354"/>
      <c r="Z1014" s="353"/>
      <c r="AA1014" s="353"/>
      <c r="AB1014" s="836"/>
      <c r="AC1014" s="836"/>
      <c r="AD1014" s="836"/>
      <c r="AE1014" s="838"/>
    </row>
    <row r="1015" spans="1:31" ht="16.5" customHeight="1">
      <c r="A1015" s="347">
        <v>36705903</v>
      </c>
      <c r="B1015" s="347" t="s">
        <v>6572</v>
      </c>
      <c r="C1015" s="347"/>
      <c r="D1015" s="348"/>
      <c r="E1015" s="348"/>
      <c r="F1015" s="348"/>
      <c r="G1015" s="348"/>
      <c r="H1015" s="358"/>
      <c r="I1015" s="352"/>
      <c r="J1015" s="353"/>
      <c r="K1015" s="538"/>
      <c r="L1015" s="487"/>
      <c r="M1015" s="487"/>
      <c r="N1015" s="354"/>
      <c r="O1015" s="354"/>
      <c r="P1015" s="354"/>
      <c r="Q1015" s="354"/>
      <c r="R1015" s="354"/>
      <c r="S1015" s="354"/>
      <c r="T1015" s="354"/>
      <c r="U1015" s="354"/>
      <c r="V1015" s="354"/>
      <c r="W1015" s="354"/>
      <c r="X1015" s="354"/>
      <c r="Y1015" s="354"/>
      <c r="Z1015" s="353"/>
      <c r="AA1015" s="353"/>
      <c r="AB1015" s="836"/>
      <c r="AC1015" s="836"/>
      <c r="AD1015" s="836"/>
      <c r="AE1015" s="838"/>
    </row>
    <row r="1016" spans="1:31" ht="16.5" customHeight="1">
      <c r="A1016" s="347">
        <v>36755015</v>
      </c>
      <c r="B1016" s="347" t="s">
        <v>6573</v>
      </c>
      <c r="C1016" s="347"/>
      <c r="D1016" s="348"/>
      <c r="E1016" s="348"/>
      <c r="F1016" s="348"/>
      <c r="G1016" s="348"/>
      <c r="H1016" s="358"/>
      <c r="I1016" s="352"/>
      <c r="J1016" s="353"/>
      <c r="K1016" s="538"/>
      <c r="L1016" s="487"/>
      <c r="M1016" s="487"/>
      <c r="N1016" s="354"/>
      <c r="O1016" s="354"/>
      <c r="P1016" s="354"/>
      <c r="Q1016" s="354"/>
      <c r="R1016" s="354"/>
      <c r="S1016" s="354"/>
      <c r="T1016" s="354"/>
      <c r="U1016" s="354"/>
      <c r="V1016" s="354"/>
      <c r="W1016" s="354"/>
      <c r="X1016" s="354"/>
      <c r="Y1016" s="354"/>
      <c r="Z1016" s="353"/>
      <c r="AA1016" s="353"/>
      <c r="AB1016" s="836"/>
      <c r="AC1016" s="836"/>
      <c r="AD1016" s="836"/>
      <c r="AE1016" s="838"/>
    </row>
    <row r="1017" spans="1:31" ht="16.5" customHeight="1">
      <c r="A1017" s="347">
        <v>38324430</v>
      </c>
      <c r="B1017" s="347" t="s">
        <v>6574</v>
      </c>
      <c r="C1017" s="347"/>
      <c r="D1017" s="348"/>
      <c r="E1017" s="348"/>
      <c r="F1017" s="348"/>
      <c r="G1017" s="348"/>
      <c r="H1017" s="358"/>
      <c r="I1017" s="352"/>
      <c r="J1017" s="353"/>
      <c r="K1017" s="538"/>
      <c r="L1017" s="487"/>
      <c r="M1017" s="487"/>
      <c r="N1017" s="354"/>
      <c r="O1017" s="354"/>
      <c r="P1017" s="354"/>
      <c r="Q1017" s="354"/>
      <c r="R1017" s="354"/>
      <c r="S1017" s="354"/>
      <c r="T1017" s="354"/>
      <c r="U1017" s="354"/>
      <c r="V1017" s="354"/>
      <c r="W1017" s="354"/>
      <c r="X1017" s="354"/>
      <c r="Y1017" s="354"/>
      <c r="Z1017" s="353"/>
      <c r="AA1017" s="353"/>
      <c r="AB1017" s="836"/>
      <c r="AC1017" s="836"/>
      <c r="AD1017" s="836"/>
      <c r="AE1017" s="838"/>
    </row>
    <row r="1018" spans="1:31" ht="16.5" customHeight="1">
      <c r="A1018" s="347">
        <v>36664589</v>
      </c>
      <c r="B1018" s="347" t="s">
        <v>6575</v>
      </c>
      <c r="C1018" s="347"/>
      <c r="D1018" s="348"/>
      <c r="E1018" s="348"/>
      <c r="F1018" s="348"/>
      <c r="G1018" s="348"/>
      <c r="H1018" s="358"/>
      <c r="I1018" s="352"/>
      <c r="J1018" s="353"/>
      <c r="K1018" s="538"/>
      <c r="L1018" s="487"/>
      <c r="M1018" s="487"/>
      <c r="N1018" s="354"/>
      <c r="O1018" s="354"/>
      <c r="P1018" s="354"/>
      <c r="Q1018" s="354"/>
      <c r="R1018" s="354"/>
      <c r="S1018" s="354"/>
      <c r="T1018" s="354"/>
      <c r="U1018" s="354"/>
      <c r="V1018" s="354"/>
      <c r="W1018" s="354"/>
      <c r="X1018" s="354"/>
      <c r="Y1018" s="354"/>
      <c r="Z1018" s="353"/>
      <c r="AA1018" s="353"/>
      <c r="AB1018" s="836"/>
      <c r="AC1018" s="836"/>
      <c r="AD1018" s="836"/>
      <c r="AE1018" s="838"/>
    </row>
    <row r="1019" spans="1:31" ht="16.5" customHeight="1">
      <c r="A1019" s="347">
        <v>38883179</v>
      </c>
      <c r="B1019" s="347" t="s">
        <v>6576</v>
      </c>
      <c r="C1019" s="347"/>
      <c r="D1019" s="348"/>
      <c r="E1019" s="348"/>
      <c r="F1019" s="348"/>
      <c r="G1019" s="348"/>
      <c r="H1019" s="358"/>
      <c r="I1019" s="352"/>
      <c r="J1019" s="353"/>
      <c r="K1019" s="538"/>
      <c r="L1019" s="487"/>
      <c r="M1019" s="487"/>
      <c r="N1019" s="354"/>
      <c r="O1019" s="354"/>
      <c r="P1019" s="354"/>
      <c r="Q1019" s="354"/>
      <c r="R1019" s="354"/>
      <c r="S1019" s="354"/>
      <c r="T1019" s="354"/>
      <c r="U1019" s="354"/>
      <c r="V1019" s="354"/>
      <c r="W1019" s="354"/>
      <c r="X1019" s="354"/>
      <c r="Y1019" s="354"/>
      <c r="Z1019" s="353"/>
      <c r="AA1019" s="353"/>
      <c r="AB1019" s="836"/>
      <c r="AC1019" s="836"/>
      <c r="AD1019" s="836"/>
      <c r="AE1019" s="838"/>
    </row>
    <row r="1020" spans="1:31" ht="16.5" customHeight="1">
      <c r="A1020" s="347">
        <v>28227163</v>
      </c>
      <c r="B1020" s="347" t="s">
        <v>6577</v>
      </c>
      <c r="C1020" s="347"/>
      <c r="D1020" s="348"/>
      <c r="E1020" s="348"/>
      <c r="F1020" s="348"/>
      <c r="G1020" s="348"/>
      <c r="H1020" s="358"/>
      <c r="I1020" s="352"/>
      <c r="J1020" s="353"/>
      <c r="K1020" s="538"/>
      <c r="L1020" s="487"/>
      <c r="M1020" s="487"/>
      <c r="N1020" s="354"/>
      <c r="O1020" s="354"/>
      <c r="P1020" s="354"/>
      <c r="Q1020" s="354"/>
      <c r="R1020" s="354"/>
      <c r="S1020" s="354"/>
      <c r="T1020" s="354"/>
      <c r="U1020" s="354"/>
      <c r="V1020" s="354"/>
      <c r="W1020" s="354"/>
      <c r="X1020" s="354"/>
      <c r="Y1020" s="354"/>
      <c r="Z1020" s="353"/>
      <c r="AA1020" s="353"/>
      <c r="AB1020" s="836"/>
      <c r="AC1020" s="836"/>
      <c r="AD1020" s="836"/>
      <c r="AE1020" s="838"/>
    </row>
    <row r="1021" spans="1:31" ht="16.5" customHeight="1">
      <c r="A1021" s="347">
        <v>18131227</v>
      </c>
      <c r="B1021" s="347" t="s">
        <v>6578</v>
      </c>
      <c r="C1021" s="347"/>
      <c r="D1021" s="348"/>
      <c r="E1021" s="348"/>
      <c r="F1021" s="348"/>
      <c r="G1021" s="348"/>
      <c r="H1021" s="358"/>
      <c r="I1021" s="352"/>
      <c r="J1021" s="353"/>
      <c r="K1021" s="538"/>
      <c r="L1021" s="487"/>
      <c r="M1021" s="487"/>
      <c r="N1021" s="354"/>
      <c r="O1021" s="354"/>
      <c r="P1021" s="354"/>
      <c r="Q1021" s="354"/>
      <c r="R1021" s="354"/>
      <c r="S1021" s="354"/>
      <c r="T1021" s="354"/>
      <c r="U1021" s="354"/>
      <c r="V1021" s="354"/>
      <c r="W1021" s="354"/>
      <c r="X1021" s="354"/>
      <c r="Y1021" s="354"/>
      <c r="Z1021" s="353"/>
      <c r="AA1021" s="353"/>
      <c r="AB1021" s="836"/>
      <c r="AC1021" s="836"/>
      <c r="AD1021" s="836"/>
      <c r="AE1021" s="838"/>
    </row>
    <row r="1022" spans="1:31" ht="16.5" customHeight="1">
      <c r="A1022" s="347">
        <v>18813543</v>
      </c>
      <c r="B1022" s="347" t="s">
        <v>6579</v>
      </c>
      <c r="C1022" s="347"/>
      <c r="D1022" s="348"/>
      <c r="E1022" s="348"/>
      <c r="F1022" s="348"/>
      <c r="G1022" s="348"/>
      <c r="H1022" s="358"/>
      <c r="I1022" s="352"/>
      <c r="J1022" s="353"/>
      <c r="K1022" s="538"/>
      <c r="L1022" s="487"/>
      <c r="M1022" s="487"/>
      <c r="N1022" s="354"/>
      <c r="O1022" s="354"/>
      <c r="P1022" s="354"/>
      <c r="Q1022" s="354"/>
      <c r="R1022" s="354"/>
      <c r="S1022" s="354"/>
      <c r="T1022" s="354"/>
      <c r="U1022" s="354"/>
      <c r="V1022" s="354"/>
      <c r="W1022" s="354"/>
      <c r="X1022" s="354"/>
      <c r="Y1022" s="354"/>
      <c r="Z1022" s="353"/>
      <c r="AA1022" s="353"/>
      <c r="AB1022" s="836"/>
      <c r="AC1022" s="836"/>
      <c r="AD1022" s="836"/>
      <c r="AE1022" s="838"/>
    </row>
    <row r="1023" spans="1:31" ht="16.5" customHeight="1">
      <c r="A1023" s="347">
        <v>38817474</v>
      </c>
      <c r="B1023" s="347" t="s">
        <v>6580</v>
      </c>
      <c r="C1023" s="347"/>
      <c r="D1023" s="348"/>
      <c r="E1023" s="348"/>
      <c r="F1023" s="348"/>
      <c r="G1023" s="348"/>
      <c r="H1023" s="358"/>
      <c r="I1023" s="352"/>
      <c r="J1023" s="353"/>
      <c r="K1023" s="538"/>
      <c r="L1023" s="487"/>
      <c r="M1023" s="487"/>
      <c r="N1023" s="354"/>
      <c r="O1023" s="354"/>
      <c r="P1023" s="354"/>
      <c r="Q1023" s="354"/>
      <c r="R1023" s="354"/>
      <c r="S1023" s="354"/>
      <c r="T1023" s="354"/>
      <c r="U1023" s="354"/>
      <c r="V1023" s="354"/>
      <c r="W1023" s="354"/>
      <c r="X1023" s="354"/>
      <c r="Y1023" s="354"/>
      <c r="Z1023" s="353"/>
      <c r="AA1023" s="353"/>
      <c r="AB1023" s="836"/>
      <c r="AC1023" s="836"/>
      <c r="AD1023" s="836"/>
      <c r="AE1023" s="838"/>
    </row>
    <row r="1024" spans="1:31" ht="16.5" customHeight="1">
      <c r="A1024" s="347">
        <v>27910710</v>
      </c>
      <c r="B1024" s="347" t="s">
        <v>6581</v>
      </c>
      <c r="C1024" s="347"/>
      <c r="D1024" s="348"/>
      <c r="E1024" s="348"/>
      <c r="F1024" s="348"/>
      <c r="G1024" s="348"/>
      <c r="H1024" s="358"/>
      <c r="I1024" s="352"/>
      <c r="J1024" s="353"/>
      <c r="K1024" s="538"/>
      <c r="L1024" s="487"/>
      <c r="M1024" s="487"/>
      <c r="N1024" s="354"/>
      <c r="O1024" s="354"/>
      <c r="P1024" s="354"/>
      <c r="Q1024" s="354"/>
      <c r="R1024" s="354"/>
      <c r="S1024" s="354"/>
      <c r="T1024" s="354"/>
      <c r="U1024" s="354"/>
      <c r="V1024" s="354"/>
      <c r="W1024" s="354"/>
      <c r="X1024" s="354"/>
      <c r="Y1024" s="354"/>
      <c r="Z1024" s="353"/>
      <c r="AA1024" s="353"/>
      <c r="AB1024" s="836"/>
      <c r="AC1024" s="836"/>
      <c r="AD1024" s="836"/>
      <c r="AE1024" s="838"/>
    </row>
    <row r="1025" spans="1:31" ht="16.5" customHeight="1">
      <c r="A1025" s="347">
        <v>35319961</v>
      </c>
      <c r="B1025" s="347" t="s">
        <v>6582</v>
      </c>
      <c r="C1025" s="347"/>
      <c r="D1025" s="348"/>
      <c r="E1025" s="348"/>
      <c r="F1025" s="348"/>
      <c r="G1025" s="348"/>
      <c r="H1025" s="358"/>
      <c r="I1025" s="352"/>
      <c r="J1025" s="353"/>
      <c r="K1025" s="538"/>
      <c r="L1025" s="487"/>
      <c r="M1025" s="487"/>
      <c r="N1025" s="354"/>
      <c r="O1025" s="354"/>
      <c r="P1025" s="354"/>
      <c r="Q1025" s="354"/>
      <c r="R1025" s="354"/>
      <c r="S1025" s="354"/>
      <c r="T1025" s="354"/>
      <c r="U1025" s="354"/>
      <c r="V1025" s="354"/>
      <c r="W1025" s="354"/>
      <c r="X1025" s="354"/>
      <c r="Y1025" s="354"/>
      <c r="Z1025" s="353"/>
      <c r="AA1025" s="353"/>
      <c r="AB1025" s="836"/>
      <c r="AC1025" s="836"/>
      <c r="AD1025" s="836"/>
      <c r="AE1025" s="838"/>
    </row>
    <row r="1026" spans="1:31" ht="16.5" customHeight="1">
      <c r="A1026" s="347">
        <v>4700795</v>
      </c>
      <c r="B1026" s="347" t="s">
        <v>6583</v>
      </c>
      <c r="C1026" s="347"/>
      <c r="D1026" s="348"/>
      <c r="E1026" s="348"/>
      <c r="F1026" s="348"/>
      <c r="G1026" s="348"/>
      <c r="H1026" s="358"/>
      <c r="I1026" s="352"/>
      <c r="J1026" s="353"/>
      <c r="K1026" s="538"/>
      <c r="L1026" s="487"/>
      <c r="M1026" s="487"/>
      <c r="N1026" s="354"/>
      <c r="O1026" s="354"/>
      <c r="P1026" s="354"/>
      <c r="Q1026" s="354"/>
      <c r="R1026" s="354"/>
      <c r="S1026" s="354"/>
      <c r="T1026" s="354"/>
      <c r="U1026" s="354"/>
      <c r="V1026" s="354"/>
      <c r="W1026" s="354"/>
      <c r="X1026" s="354"/>
      <c r="Y1026" s="354"/>
      <c r="Z1026" s="353"/>
      <c r="AA1026" s="353"/>
      <c r="AB1026" s="836"/>
      <c r="AC1026" s="836"/>
      <c r="AD1026" s="836"/>
      <c r="AE1026" s="838"/>
    </row>
    <row r="1027" spans="1:31" ht="16.5" customHeight="1">
      <c r="A1027" s="347">
        <v>6669386</v>
      </c>
      <c r="B1027" s="347" t="s">
        <v>6584</v>
      </c>
      <c r="C1027" s="347"/>
      <c r="D1027" s="348"/>
      <c r="E1027" s="348"/>
      <c r="F1027" s="348"/>
      <c r="G1027" s="348"/>
      <c r="H1027" s="358"/>
      <c r="I1027" s="352"/>
      <c r="J1027" s="353"/>
      <c r="K1027" s="538"/>
      <c r="L1027" s="487"/>
      <c r="M1027" s="487"/>
      <c r="N1027" s="354"/>
      <c r="O1027" s="354"/>
      <c r="P1027" s="354"/>
      <c r="Q1027" s="354"/>
      <c r="R1027" s="354"/>
      <c r="S1027" s="354"/>
      <c r="T1027" s="354"/>
      <c r="U1027" s="354"/>
      <c r="V1027" s="354"/>
      <c r="W1027" s="354"/>
      <c r="X1027" s="354"/>
      <c r="Y1027" s="354"/>
      <c r="Z1027" s="353"/>
      <c r="AA1027" s="353"/>
      <c r="AB1027" s="836"/>
      <c r="AC1027" s="836"/>
      <c r="AD1027" s="836"/>
      <c r="AE1027" s="838"/>
    </row>
    <row r="1028" spans="1:31" ht="16.5" customHeight="1">
      <c r="A1028" s="347">
        <v>38584769</v>
      </c>
      <c r="B1028" s="347" t="s">
        <v>6585</v>
      </c>
      <c r="C1028" s="347"/>
      <c r="D1028" s="348"/>
      <c r="E1028" s="348"/>
      <c r="F1028" s="348"/>
      <c r="G1028" s="348"/>
      <c r="H1028" s="358"/>
      <c r="I1028" s="352"/>
      <c r="J1028" s="353"/>
      <c r="K1028" s="538"/>
      <c r="L1028" s="487"/>
      <c r="M1028" s="487"/>
      <c r="N1028" s="354"/>
      <c r="O1028" s="354"/>
      <c r="P1028" s="354"/>
      <c r="Q1028" s="354"/>
      <c r="R1028" s="354"/>
      <c r="S1028" s="354"/>
      <c r="T1028" s="354"/>
      <c r="U1028" s="354"/>
      <c r="V1028" s="354"/>
      <c r="W1028" s="354"/>
      <c r="X1028" s="354"/>
      <c r="Y1028" s="354"/>
      <c r="Z1028" s="353"/>
      <c r="AA1028" s="353"/>
      <c r="AB1028" s="836"/>
      <c r="AC1028" s="836"/>
      <c r="AD1028" s="836"/>
      <c r="AE1028" s="838"/>
    </row>
    <row r="1029" spans="1:31" ht="16.5" customHeight="1">
      <c r="A1029" s="347">
        <v>27805878</v>
      </c>
      <c r="B1029" s="347" t="s">
        <v>6586</v>
      </c>
      <c r="C1029" s="347"/>
      <c r="D1029" s="348"/>
      <c r="E1029" s="348"/>
      <c r="F1029" s="348"/>
      <c r="G1029" s="348"/>
      <c r="H1029" s="358"/>
      <c r="I1029" s="352"/>
      <c r="J1029" s="353"/>
      <c r="K1029" s="538"/>
      <c r="L1029" s="487"/>
      <c r="M1029" s="487"/>
      <c r="N1029" s="354"/>
      <c r="O1029" s="354"/>
      <c r="P1029" s="354"/>
      <c r="Q1029" s="354"/>
      <c r="R1029" s="354"/>
      <c r="S1029" s="354"/>
      <c r="T1029" s="354"/>
      <c r="U1029" s="354"/>
      <c r="V1029" s="354"/>
      <c r="W1029" s="354"/>
      <c r="X1029" s="354"/>
      <c r="Y1029" s="354"/>
      <c r="Z1029" s="353"/>
      <c r="AA1029" s="353"/>
      <c r="AB1029" s="836"/>
      <c r="AC1029" s="836"/>
      <c r="AD1029" s="836"/>
      <c r="AE1029" s="838"/>
    </row>
    <row r="1030" spans="1:31" ht="16.5" customHeight="1">
      <c r="A1030" s="347">
        <v>40426744</v>
      </c>
      <c r="B1030" s="347" t="s">
        <v>6587</v>
      </c>
      <c r="C1030" s="347"/>
      <c r="D1030" s="361"/>
      <c r="E1030" s="361"/>
      <c r="F1030" s="361"/>
      <c r="G1030" s="348"/>
      <c r="H1030" s="358"/>
      <c r="I1030" s="352"/>
      <c r="J1030" s="353"/>
      <c r="K1030" s="538"/>
      <c r="L1030" s="487"/>
      <c r="M1030" s="487"/>
      <c r="N1030" s="354"/>
      <c r="O1030" s="354"/>
      <c r="P1030" s="354"/>
      <c r="Q1030" s="354"/>
      <c r="R1030" s="354"/>
      <c r="S1030" s="354"/>
      <c r="T1030" s="354"/>
      <c r="U1030" s="354"/>
      <c r="V1030" s="354"/>
      <c r="W1030" s="354"/>
      <c r="X1030" s="354"/>
      <c r="Y1030" s="354"/>
      <c r="Z1030" s="353"/>
      <c r="AA1030" s="353"/>
      <c r="AB1030" s="836"/>
      <c r="AC1030" s="836"/>
      <c r="AD1030" s="836"/>
      <c r="AE1030" s="838"/>
    </row>
    <row r="1031" spans="1:31" ht="16.5" customHeight="1">
      <c r="A1031" s="347">
        <v>30581227</v>
      </c>
      <c r="B1031" s="347" t="s">
        <v>6588</v>
      </c>
      <c r="C1031" s="347"/>
      <c r="D1031" s="348"/>
      <c r="E1031" s="348"/>
      <c r="F1031" s="348"/>
      <c r="G1031" s="348"/>
      <c r="H1031" s="358"/>
      <c r="I1031" s="352"/>
      <c r="J1031" s="353"/>
      <c r="K1031" s="538"/>
      <c r="L1031" s="487"/>
      <c r="M1031" s="487"/>
      <c r="N1031" s="354"/>
      <c r="O1031" s="354"/>
      <c r="P1031" s="354"/>
      <c r="Q1031" s="354"/>
      <c r="R1031" s="354"/>
      <c r="S1031" s="354"/>
      <c r="T1031" s="354"/>
      <c r="U1031" s="354"/>
      <c r="V1031" s="354"/>
      <c r="W1031" s="354"/>
      <c r="X1031" s="354"/>
      <c r="Y1031" s="354"/>
      <c r="Z1031" s="353"/>
      <c r="AA1031" s="353"/>
      <c r="AB1031" s="836"/>
      <c r="AC1031" s="836"/>
      <c r="AD1031" s="836"/>
      <c r="AE1031" s="838"/>
    </row>
    <row r="1032" spans="1:31" ht="16.5" customHeight="1">
      <c r="A1032" s="347">
        <v>37481728</v>
      </c>
      <c r="B1032" s="347" t="s">
        <v>6589</v>
      </c>
      <c r="C1032" s="347"/>
      <c r="D1032" s="348"/>
      <c r="E1032" s="348"/>
      <c r="F1032" s="348"/>
      <c r="G1032" s="348"/>
      <c r="H1032" s="358"/>
      <c r="I1032" s="352"/>
      <c r="J1032" s="353"/>
      <c r="K1032" s="538"/>
      <c r="L1032" s="487"/>
      <c r="M1032" s="487"/>
      <c r="N1032" s="354"/>
      <c r="O1032" s="354"/>
      <c r="P1032" s="354"/>
      <c r="Q1032" s="354"/>
      <c r="R1032" s="354"/>
      <c r="S1032" s="354"/>
      <c r="T1032" s="354"/>
      <c r="U1032" s="354"/>
      <c r="V1032" s="354"/>
      <c r="W1032" s="354"/>
      <c r="X1032" s="354"/>
      <c r="Y1032" s="354"/>
      <c r="Z1032" s="353"/>
      <c r="AA1032" s="353"/>
      <c r="AB1032" s="836"/>
      <c r="AC1032" s="836"/>
      <c r="AD1032" s="836"/>
      <c r="AE1032" s="838"/>
    </row>
    <row r="1033" spans="1:31" ht="16.5" customHeight="1">
      <c r="A1033" s="347">
        <v>41707183</v>
      </c>
      <c r="B1033" s="347" t="s">
        <v>6590</v>
      </c>
      <c r="C1033" s="347"/>
      <c r="D1033" s="348"/>
      <c r="E1033" s="348"/>
      <c r="F1033" s="348"/>
      <c r="G1033" s="348"/>
      <c r="H1033" s="358"/>
      <c r="I1033" s="352"/>
      <c r="J1033" s="353"/>
      <c r="K1033" s="538"/>
      <c r="L1033" s="487"/>
      <c r="M1033" s="487"/>
      <c r="N1033" s="354"/>
      <c r="O1033" s="354"/>
      <c r="P1033" s="354"/>
      <c r="Q1033" s="354"/>
      <c r="R1033" s="354"/>
      <c r="S1033" s="354"/>
      <c r="T1033" s="354"/>
      <c r="U1033" s="354"/>
      <c r="V1033" s="354"/>
      <c r="W1033" s="354"/>
      <c r="X1033" s="354"/>
      <c r="Y1033" s="354"/>
      <c r="Z1033" s="353"/>
      <c r="AA1033" s="353"/>
      <c r="AB1033" s="836"/>
      <c r="AC1033" s="836"/>
      <c r="AD1033" s="836"/>
      <c r="AE1033" s="838"/>
    </row>
    <row r="1034" spans="1:31" ht="16.5" customHeight="1">
      <c r="A1034" s="347">
        <v>59715771</v>
      </c>
      <c r="B1034" s="347" t="s">
        <v>6591</v>
      </c>
      <c r="C1034" s="347"/>
      <c r="D1034" s="348"/>
      <c r="E1034" s="348"/>
      <c r="F1034" s="348"/>
      <c r="G1034" s="348"/>
      <c r="H1034" s="358"/>
      <c r="I1034" s="352"/>
      <c r="J1034" s="353"/>
      <c r="K1034" s="538"/>
      <c r="L1034" s="487"/>
      <c r="M1034" s="487"/>
      <c r="N1034" s="354"/>
      <c r="O1034" s="354"/>
      <c r="P1034" s="354"/>
      <c r="Q1034" s="354"/>
      <c r="R1034" s="354"/>
      <c r="S1034" s="354"/>
      <c r="T1034" s="354"/>
      <c r="U1034" s="354"/>
      <c r="V1034" s="354"/>
      <c r="W1034" s="354"/>
      <c r="X1034" s="354"/>
      <c r="Y1034" s="354"/>
      <c r="Z1034" s="353"/>
      <c r="AA1034" s="353"/>
      <c r="AB1034" s="836"/>
      <c r="AC1034" s="836"/>
      <c r="AD1034" s="836"/>
      <c r="AE1034" s="838"/>
    </row>
    <row r="1035" spans="1:31" ht="16.5" customHeight="1">
      <c r="A1035" s="347">
        <v>340141</v>
      </c>
      <c r="B1035" s="347" t="s">
        <v>6592</v>
      </c>
      <c r="C1035" s="347"/>
      <c r="D1035" s="348"/>
      <c r="E1035" s="348"/>
      <c r="F1035" s="348"/>
      <c r="G1035" s="348"/>
      <c r="H1035" s="358"/>
      <c r="I1035" s="352"/>
      <c r="J1035" s="353"/>
      <c r="K1035" s="538"/>
      <c r="L1035" s="487"/>
      <c r="M1035" s="487"/>
      <c r="N1035" s="354"/>
      <c r="O1035" s="354"/>
      <c r="P1035" s="354"/>
      <c r="Q1035" s="354"/>
      <c r="R1035" s="354"/>
      <c r="S1035" s="354"/>
      <c r="T1035" s="354"/>
      <c r="U1035" s="354"/>
      <c r="V1035" s="354"/>
      <c r="W1035" s="354"/>
      <c r="X1035" s="354"/>
      <c r="Y1035" s="354"/>
      <c r="Z1035" s="353"/>
      <c r="AA1035" s="353"/>
      <c r="AB1035" s="836"/>
      <c r="AC1035" s="836"/>
      <c r="AD1035" s="836"/>
      <c r="AE1035" s="838"/>
    </row>
    <row r="1036" spans="1:31" ht="16.5" customHeight="1">
      <c r="A1036" s="347">
        <v>33376864</v>
      </c>
      <c r="B1036" s="347" t="s">
        <v>6593</v>
      </c>
      <c r="C1036" s="347"/>
      <c r="D1036" s="348"/>
      <c r="E1036" s="348"/>
      <c r="F1036" s="348"/>
      <c r="G1036" s="348"/>
      <c r="H1036" s="358"/>
      <c r="I1036" s="352"/>
      <c r="J1036" s="353"/>
      <c r="K1036" s="538"/>
      <c r="L1036" s="487"/>
      <c r="M1036" s="487"/>
      <c r="N1036" s="354"/>
      <c r="O1036" s="354"/>
      <c r="P1036" s="354"/>
      <c r="Q1036" s="354"/>
      <c r="R1036" s="354"/>
      <c r="S1036" s="354"/>
      <c r="T1036" s="354"/>
      <c r="U1036" s="354"/>
      <c r="V1036" s="354"/>
      <c r="W1036" s="354"/>
      <c r="X1036" s="354"/>
      <c r="Y1036" s="354"/>
      <c r="Z1036" s="353"/>
      <c r="AA1036" s="353"/>
      <c r="AB1036" s="836"/>
      <c r="AC1036" s="836"/>
      <c r="AD1036" s="836"/>
      <c r="AE1036" s="838"/>
    </row>
    <row r="1037" spans="1:31" ht="16.5" customHeight="1">
      <c r="A1037" s="347">
        <v>94501244</v>
      </c>
      <c r="B1037" s="347" t="s">
        <v>6594</v>
      </c>
      <c r="C1037" s="347"/>
      <c r="D1037" s="348"/>
      <c r="E1037" s="348"/>
      <c r="F1037" s="348"/>
      <c r="G1037" s="348"/>
      <c r="H1037" s="358"/>
      <c r="I1037" s="352"/>
      <c r="J1037" s="353"/>
      <c r="K1037" s="538"/>
      <c r="L1037" s="487"/>
      <c r="M1037" s="487"/>
      <c r="N1037" s="354"/>
      <c r="O1037" s="354"/>
      <c r="P1037" s="354"/>
      <c r="Q1037" s="354"/>
      <c r="R1037" s="354"/>
      <c r="S1037" s="354"/>
      <c r="T1037" s="354"/>
      <c r="U1037" s="354"/>
      <c r="V1037" s="354"/>
      <c r="W1037" s="354"/>
      <c r="X1037" s="354"/>
      <c r="Y1037" s="354"/>
      <c r="Z1037" s="353"/>
      <c r="AA1037" s="353"/>
      <c r="AB1037" s="836"/>
      <c r="AC1037" s="836"/>
      <c r="AD1037" s="836"/>
      <c r="AE1037" s="838"/>
    </row>
    <row r="1038" spans="1:31" ht="16.5" customHeight="1">
      <c r="A1038" s="347">
        <v>100006210</v>
      </c>
      <c r="B1038" s="347" t="s">
        <v>5990</v>
      </c>
      <c r="C1038" s="347"/>
      <c r="D1038" s="348"/>
      <c r="E1038" s="348"/>
      <c r="F1038" s="348"/>
      <c r="G1038" s="348"/>
      <c r="H1038" s="358"/>
      <c r="I1038" s="352"/>
      <c r="J1038" s="353"/>
      <c r="K1038" s="538"/>
      <c r="L1038" s="487"/>
      <c r="M1038" s="487"/>
      <c r="N1038" s="354"/>
      <c r="O1038" s="354"/>
      <c r="P1038" s="354"/>
      <c r="Q1038" s="354"/>
      <c r="R1038" s="354"/>
      <c r="S1038" s="354"/>
      <c r="T1038" s="354"/>
      <c r="U1038" s="354"/>
      <c r="V1038" s="354"/>
      <c r="W1038" s="354"/>
      <c r="X1038" s="354"/>
      <c r="Y1038" s="354"/>
      <c r="Z1038" s="353"/>
      <c r="AA1038" s="353"/>
      <c r="AB1038" s="836"/>
      <c r="AC1038" s="836"/>
      <c r="AD1038" s="836"/>
      <c r="AE1038" s="838"/>
    </row>
    <row r="1039" spans="1:31" ht="16.5" customHeight="1">
      <c r="A1039" s="347">
        <v>28655751</v>
      </c>
      <c r="B1039" s="347" t="s">
        <v>6595</v>
      </c>
      <c r="C1039" s="347"/>
      <c r="D1039" s="348"/>
      <c r="E1039" s="348"/>
      <c r="F1039" s="348"/>
      <c r="G1039" s="348"/>
      <c r="H1039" s="358"/>
      <c r="I1039" s="352"/>
      <c r="J1039" s="353"/>
      <c r="K1039" s="538"/>
      <c r="L1039" s="487"/>
      <c r="M1039" s="487"/>
      <c r="N1039" s="354"/>
      <c r="O1039" s="354"/>
      <c r="P1039" s="354"/>
      <c r="Q1039" s="354"/>
      <c r="R1039" s="354"/>
      <c r="S1039" s="354"/>
      <c r="T1039" s="354"/>
      <c r="U1039" s="354"/>
      <c r="V1039" s="354"/>
      <c r="W1039" s="354"/>
      <c r="X1039" s="354"/>
      <c r="Y1039" s="354"/>
      <c r="Z1039" s="353"/>
      <c r="AA1039" s="353"/>
      <c r="AB1039" s="836"/>
      <c r="AC1039" s="836"/>
      <c r="AD1039" s="836"/>
      <c r="AE1039" s="838"/>
    </row>
    <row r="1040" spans="1:31" ht="16.5" customHeight="1">
      <c r="A1040" s="347">
        <v>1859958</v>
      </c>
      <c r="B1040" s="347" t="s">
        <v>6596</v>
      </c>
      <c r="C1040" s="347"/>
      <c r="D1040" s="348"/>
      <c r="E1040" s="348"/>
      <c r="F1040" s="348"/>
      <c r="G1040" s="348"/>
      <c r="H1040" s="358"/>
      <c r="I1040" s="352"/>
      <c r="J1040" s="353"/>
      <c r="K1040" s="538"/>
      <c r="L1040" s="487"/>
      <c r="M1040" s="487"/>
      <c r="N1040" s="354"/>
      <c r="O1040" s="354"/>
      <c r="P1040" s="354"/>
      <c r="Q1040" s="354"/>
      <c r="R1040" s="354"/>
      <c r="S1040" s="354"/>
      <c r="T1040" s="354"/>
      <c r="U1040" s="354"/>
      <c r="V1040" s="354"/>
      <c r="W1040" s="354"/>
      <c r="X1040" s="354"/>
      <c r="Y1040" s="354"/>
      <c r="Z1040" s="353"/>
      <c r="AA1040" s="353"/>
      <c r="AB1040" s="836"/>
      <c r="AC1040" s="836"/>
      <c r="AD1040" s="836"/>
      <c r="AE1040" s="838"/>
    </row>
    <row r="1041" spans="1:31" ht="16.5" customHeight="1">
      <c r="A1041" s="347">
        <v>53582540</v>
      </c>
      <c r="B1041" s="347" t="s">
        <v>6597</v>
      </c>
      <c r="C1041" s="347"/>
      <c r="D1041" s="348"/>
      <c r="E1041" s="348"/>
      <c r="F1041" s="348"/>
      <c r="G1041" s="348"/>
      <c r="H1041" s="358"/>
      <c r="I1041" s="352"/>
      <c r="J1041" s="353"/>
      <c r="K1041" s="538"/>
      <c r="L1041" s="487"/>
      <c r="M1041" s="487"/>
      <c r="N1041" s="354"/>
      <c r="O1041" s="354"/>
      <c r="P1041" s="354"/>
      <c r="Q1041" s="354"/>
      <c r="R1041" s="354"/>
      <c r="S1041" s="354"/>
      <c r="T1041" s="354"/>
      <c r="U1041" s="354"/>
      <c r="V1041" s="354"/>
      <c r="W1041" s="354"/>
      <c r="X1041" s="354"/>
      <c r="Y1041" s="354"/>
      <c r="Z1041" s="353"/>
      <c r="AA1041" s="353"/>
      <c r="AB1041" s="836"/>
      <c r="AC1041" s="836"/>
      <c r="AD1041" s="836"/>
      <c r="AE1041" s="838"/>
    </row>
    <row r="1042" spans="1:31" ht="16.5" customHeight="1">
      <c r="A1042" s="347">
        <v>37448016</v>
      </c>
      <c r="B1042" s="347" t="s">
        <v>6598</v>
      </c>
      <c r="C1042" s="347"/>
      <c r="D1042" s="348"/>
      <c r="E1042" s="348"/>
      <c r="F1042" s="348"/>
      <c r="G1042" s="348"/>
      <c r="H1042" s="358"/>
      <c r="I1042" s="352"/>
      <c r="J1042" s="353"/>
      <c r="K1042" s="538"/>
      <c r="L1042" s="487"/>
      <c r="M1042" s="487"/>
      <c r="N1042" s="354"/>
      <c r="O1042" s="354"/>
      <c r="P1042" s="354"/>
      <c r="Q1042" s="354"/>
      <c r="R1042" s="354"/>
      <c r="S1042" s="354"/>
      <c r="T1042" s="354"/>
      <c r="U1042" s="354"/>
      <c r="V1042" s="354"/>
      <c r="W1042" s="354"/>
      <c r="X1042" s="354"/>
      <c r="Y1042" s="354"/>
      <c r="Z1042" s="353"/>
      <c r="AA1042" s="353"/>
      <c r="AB1042" s="836"/>
      <c r="AC1042" s="836"/>
      <c r="AD1042" s="836"/>
      <c r="AE1042" s="838"/>
    </row>
    <row r="1043" spans="1:31" ht="16.5" customHeight="1">
      <c r="A1043" s="347">
        <v>9303470</v>
      </c>
      <c r="B1043" s="347" t="s">
        <v>6599</v>
      </c>
      <c r="C1043" s="347"/>
      <c r="D1043" s="361"/>
      <c r="E1043" s="361"/>
      <c r="F1043" s="361"/>
      <c r="G1043" s="348"/>
      <c r="H1043" s="358"/>
      <c r="I1043" s="352"/>
      <c r="J1043" s="353"/>
      <c r="K1043" s="538"/>
      <c r="L1043" s="487"/>
      <c r="M1043" s="487"/>
      <c r="N1043" s="354"/>
      <c r="O1043" s="354"/>
      <c r="P1043" s="354"/>
      <c r="Q1043" s="354"/>
      <c r="R1043" s="354"/>
      <c r="S1043" s="354"/>
      <c r="T1043" s="354"/>
      <c r="U1043" s="354"/>
      <c r="V1043" s="354"/>
      <c r="W1043" s="354"/>
      <c r="X1043" s="354"/>
      <c r="Y1043" s="354"/>
      <c r="Z1043" s="353"/>
      <c r="AA1043" s="353"/>
      <c r="AB1043" s="836"/>
      <c r="AC1043" s="836"/>
      <c r="AD1043" s="836"/>
      <c r="AE1043" s="838"/>
    </row>
    <row r="1044" spans="1:31" ht="16.5" customHeight="1">
      <c r="A1044" s="347">
        <v>22638563</v>
      </c>
      <c r="B1044" s="347" t="s">
        <v>6600</v>
      </c>
      <c r="C1044" s="347"/>
      <c r="D1044" s="348"/>
      <c r="E1044" s="348"/>
      <c r="F1044" s="348"/>
      <c r="G1044" s="348"/>
      <c r="H1044" s="358"/>
      <c r="I1044" s="352"/>
      <c r="J1044" s="353"/>
      <c r="K1044" s="538"/>
      <c r="L1044" s="487"/>
      <c r="M1044" s="487"/>
      <c r="N1044" s="354"/>
      <c r="O1044" s="354"/>
      <c r="P1044" s="354"/>
      <c r="Q1044" s="354"/>
      <c r="R1044" s="354"/>
      <c r="S1044" s="354"/>
      <c r="T1044" s="354"/>
      <c r="U1044" s="354"/>
      <c r="V1044" s="354"/>
      <c r="W1044" s="354"/>
      <c r="X1044" s="354"/>
      <c r="Y1044" s="354"/>
      <c r="Z1044" s="353"/>
      <c r="AA1044" s="353"/>
      <c r="AB1044" s="836"/>
      <c r="AC1044" s="836"/>
      <c r="AD1044" s="836"/>
      <c r="AE1044" s="838"/>
    </row>
    <row r="1045" spans="1:31" ht="16.5" customHeight="1">
      <c r="A1045" s="347">
        <v>8850398</v>
      </c>
      <c r="B1045" s="347" t="s">
        <v>6601</v>
      </c>
      <c r="C1045" s="347"/>
      <c r="D1045" s="348"/>
      <c r="E1045" s="348"/>
      <c r="F1045" s="348"/>
      <c r="G1045" s="348"/>
      <c r="H1045" s="358"/>
      <c r="I1045" s="352"/>
      <c r="J1045" s="353"/>
      <c r="K1045" s="538"/>
      <c r="L1045" s="487"/>
      <c r="M1045" s="487"/>
      <c r="N1045" s="354"/>
      <c r="O1045" s="354"/>
      <c r="P1045" s="354"/>
      <c r="Q1045" s="354"/>
      <c r="R1045" s="354"/>
      <c r="S1045" s="354"/>
      <c r="T1045" s="354"/>
      <c r="U1045" s="354"/>
      <c r="V1045" s="354"/>
      <c r="W1045" s="354"/>
      <c r="X1045" s="354"/>
      <c r="Y1045" s="354"/>
      <c r="Z1045" s="353"/>
      <c r="AA1045" s="353"/>
      <c r="AB1045" s="836"/>
      <c r="AC1045" s="836"/>
      <c r="AD1045" s="836"/>
      <c r="AE1045" s="838"/>
    </row>
    <row r="1046" spans="1:31" ht="16.5" customHeight="1">
      <c r="A1046" s="347">
        <v>33862533</v>
      </c>
      <c r="B1046" s="347" t="s">
        <v>6602</v>
      </c>
      <c r="C1046" s="347"/>
      <c r="D1046" s="348"/>
      <c r="E1046" s="348"/>
      <c r="F1046" s="348"/>
      <c r="G1046" s="348"/>
      <c r="H1046" s="358"/>
      <c r="I1046" s="352"/>
      <c r="J1046" s="353"/>
      <c r="K1046" s="538"/>
      <c r="L1046" s="487"/>
      <c r="M1046" s="487"/>
      <c r="N1046" s="354"/>
      <c r="O1046" s="354"/>
      <c r="P1046" s="354"/>
      <c r="Q1046" s="354"/>
      <c r="R1046" s="354"/>
      <c r="S1046" s="354"/>
      <c r="T1046" s="354"/>
      <c r="U1046" s="354"/>
      <c r="V1046" s="354"/>
      <c r="W1046" s="354"/>
      <c r="X1046" s="354"/>
      <c r="Y1046" s="354"/>
      <c r="Z1046" s="353"/>
      <c r="AA1046" s="353"/>
      <c r="AB1046" s="836"/>
      <c r="AC1046" s="836"/>
      <c r="AD1046" s="836"/>
      <c r="AE1046" s="838"/>
    </row>
    <row r="1047" spans="1:31" ht="16.5" customHeight="1">
      <c r="A1047" s="347">
        <v>39865902</v>
      </c>
      <c r="B1047" s="347" t="s">
        <v>6603</v>
      </c>
      <c r="C1047" s="347"/>
      <c r="D1047" s="361"/>
      <c r="E1047" s="361"/>
      <c r="F1047" s="361"/>
      <c r="G1047" s="348"/>
      <c r="H1047" s="358"/>
      <c r="I1047" s="352"/>
      <c r="J1047" s="353"/>
      <c r="K1047" s="538"/>
      <c r="L1047" s="487"/>
      <c r="M1047" s="487"/>
      <c r="N1047" s="354"/>
      <c r="O1047" s="354"/>
      <c r="P1047" s="354"/>
      <c r="Q1047" s="354"/>
      <c r="R1047" s="354"/>
      <c r="S1047" s="354"/>
      <c r="T1047" s="354"/>
      <c r="U1047" s="354"/>
      <c r="V1047" s="354"/>
      <c r="W1047" s="354"/>
      <c r="X1047" s="354"/>
      <c r="Y1047" s="354"/>
      <c r="Z1047" s="353"/>
      <c r="AA1047" s="353"/>
      <c r="AB1047" s="836"/>
      <c r="AC1047" s="836"/>
      <c r="AD1047" s="836"/>
      <c r="AE1047" s="838"/>
    </row>
    <row r="1048" spans="1:31" ht="16.5" customHeight="1">
      <c r="A1048" s="347">
        <v>24089955</v>
      </c>
      <c r="B1048" s="347" t="s">
        <v>6604</v>
      </c>
      <c r="C1048" s="347"/>
      <c r="D1048" s="348"/>
      <c r="E1048" s="348"/>
      <c r="F1048" s="348"/>
      <c r="G1048" s="348"/>
      <c r="H1048" s="358"/>
      <c r="I1048" s="352"/>
      <c r="J1048" s="353"/>
      <c r="K1048" s="538"/>
      <c r="L1048" s="487"/>
      <c r="M1048" s="487"/>
      <c r="N1048" s="354"/>
      <c r="O1048" s="354"/>
      <c r="P1048" s="354"/>
      <c r="Q1048" s="354"/>
      <c r="R1048" s="354"/>
      <c r="S1048" s="354"/>
      <c r="T1048" s="354"/>
      <c r="U1048" s="354"/>
      <c r="V1048" s="354"/>
      <c r="W1048" s="354"/>
      <c r="X1048" s="354"/>
      <c r="Y1048" s="354"/>
      <c r="Z1048" s="353"/>
      <c r="AA1048" s="353"/>
      <c r="AB1048" s="836"/>
      <c r="AC1048" s="836"/>
      <c r="AD1048" s="836"/>
      <c r="AE1048" s="838"/>
    </row>
    <row r="1049" spans="1:31" ht="16.5" customHeight="1">
      <c r="A1049" s="347">
        <v>817569</v>
      </c>
      <c r="B1049" s="361" t="s">
        <v>6605</v>
      </c>
      <c r="C1049" s="347"/>
      <c r="D1049" s="361"/>
      <c r="E1049" s="361"/>
      <c r="F1049" s="361"/>
      <c r="G1049" s="348"/>
      <c r="H1049" s="358"/>
      <c r="I1049" s="352"/>
      <c r="J1049" s="353"/>
      <c r="K1049" s="538"/>
      <c r="L1049" s="487"/>
      <c r="M1049" s="487"/>
      <c r="N1049" s="354"/>
      <c r="O1049" s="354"/>
      <c r="P1049" s="354"/>
      <c r="Q1049" s="354"/>
      <c r="R1049" s="354"/>
      <c r="S1049" s="354"/>
      <c r="T1049" s="354"/>
      <c r="U1049" s="354"/>
      <c r="V1049" s="354"/>
      <c r="W1049" s="354"/>
      <c r="X1049" s="354"/>
      <c r="Y1049" s="354"/>
      <c r="Z1049" s="353"/>
      <c r="AA1049" s="353"/>
      <c r="AB1049" s="836"/>
      <c r="AC1049" s="836"/>
      <c r="AD1049" s="836"/>
      <c r="AE1049" s="838"/>
    </row>
    <row r="1050" spans="1:31" ht="16.5" customHeight="1">
      <c r="A1050" s="347">
        <v>60724176</v>
      </c>
      <c r="B1050" s="347" t="s">
        <v>6606</v>
      </c>
      <c r="C1050" s="347"/>
      <c r="D1050" s="348"/>
      <c r="E1050" s="348"/>
      <c r="F1050" s="348"/>
      <c r="G1050" s="348"/>
      <c r="H1050" s="358"/>
      <c r="I1050" s="352"/>
      <c r="J1050" s="353"/>
      <c r="K1050" s="538"/>
      <c r="L1050" s="487"/>
      <c r="M1050" s="487"/>
      <c r="N1050" s="354"/>
      <c r="O1050" s="354"/>
      <c r="P1050" s="354"/>
      <c r="Q1050" s="354"/>
      <c r="R1050" s="354"/>
      <c r="S1050" s="354"/>
      <c r="T1050" s="354"/>
      <c r="U1050" s="354"/>
      <c r="V1050" s="354"/>
      <c r="W1050" s="354"/>
      <c r="X1050" s="354"/>
      <c r="Y1050" s="354"/>
      <c r="Z1050" s="353"/>
      <c r="AA1050" s="353"/>
      <c r="AB1050" s="836"/>
      <c r="AC1050" s="836"/>
      <c r="AD1050" s="836"/>
      <c r="AE1050" s="838"/>
    </row>
    <row r="1051" spans="1:31" ht="16.5" customHeight="1">
      <c r="A1051" s="347">
        <v>50791359</v>
      </c>
      <c r="B1051" s="347" t="s">
        <v>6607</v>
      </c>
      <c r="C1051" s="347"/>
      <c r="D1051" s="348"/>
      <c r="E1051" s="348"/>
      <c r="F1051" s="348"/>
      <c r="G1051" s="348"/>
      <c r="H1051" s="358"/>
      <c r="I1051" s="352"/>
      <c r="J1051" s="353"/>
      <c r="K1051" s="538"/>
      <c r="L1051" s="487"/>
      <c r="M1051" s="487"/>
      <c r="N1051" s="354"/>
      <c r="O1051" s="354"/>
      <c r="P1051" s="354"/>
      <c r="Q1051" s="354"/>
      <c r="R1051" s="354"/>
      <c r="S1051" s="354"/>
      <c r="T1051" s="354"/>
      <c r="U1051" s="354"/>
      <c r="V1051" s="354"/>
      <c r="W1051" s="354"/>
      <c r="X1051" s="354"/>
      <c r="Y1051" s="354"/>
      <c r="Z1051" s="353"/>
      <c r="AA1051" s="353"/>
      <c r="AB1051" s="836"/>
      <c r="AC1051" s="836"/>
      <c r="AD1051" s="836"/>
      <c r="AE1051" s="838"/>
    </row>
    <row r="1052" spans="1:31" ht="16.5" customHeight="1">
      <c r="A1052" s="347">
        <v>31227861</v>
      </c>
      <c r="B1052" s="347" t="s">
        <v>6608</v>
      </c>
      <c r="C1052" s="347"/>
      <c r="D1052" s="348"/>
      <c r="E1052" s="348"/>
      <c r="F1052" s="348"/>
      <c r="G1052" s="348"/>
      <c r="H1052" s="358"/>
      <c r="I1052" s="352"/>
      <c r="J1052" s="353"/>
      <c r="K1052" s="538"/>
      <c r="L1052" s="487"/>
      <c r="M1052" s="487"/>
      <c r="N1052" s="354"/>
      <c r="O1052" s="354"/>
      <c r="P1052" s="354"/>
      <c r="Q1052" s="354"/>
      <c r="R1052" s="354"/>
      <c r="S1052" s="354"/>
      <c r="T1052" s="354"/>
      <c r="U1052" s="354"/>
      <c r="V1052" s="354"/>
      <c r="W1052" s="354"/>
      <c r="X1052" s="354"/>
      <c r="Y1052" s="354"/>
      <c r="Z1052" s="353"/>
      <c r="AA1052" s="353"/>
      <c r="AB1052" s="836"/>
      <c r="AC1052" s="836"/>
      <c r="AD1052" s="836"/>
      <c r="AE1052" s="838"/>
    </row>
    <row r="1053" spans="1:31" ht="16.5" customHeight="1">
      <c r="A1053" s="347">
        <v>2490860</v>
      </c>
      <c r="B1053" s="347" t="s">
        <v>6609</v>
      </c>
      <c r="C1053" s="347"/>
      <c r="D1053" s="348"/>
      <c r="E1053" s="348"/>
      <c r="F1053" s="348"/>
      <c r="G1053" s="348"/>
      <c r="H1053" s="358"/>
      <c r="I1053" s="352"/>
      <c r="J1053" s="353"/>
      <c r="K1053" s="538"/>
      <c r="L1053" s="487"/>
      <c r="M1053" s="487"/>
      <c r="N1053" s="354"/>
      <c r="O1053" s="354"/>
      <c r="P1053" s="354"/>
      <c r="Q1053" s="354"/>
      <c r="R1053" s="354"/>
      <c r="S1053" s="354"/>
      <c r="T1053" s="354"/>
      <c r="U1053" s="354"/>
      <c r="V1053" s="354"/>
      <c r="W1053" s="354"/>
      <c r="X1053" s="354"/>
      <c r="Y1053" s="354"/>
      <c r="Z1053" s="353"/>
      <c r="AA1053" s="353"/>
      <c r="AB1053" s="836"/>
      <c r="AC1053" s="836"/>
      <c r="AD1053" s="836"/>
      <c r="AE1053" s="838"/>
    </row>
    <row r="1054" spans="1:31" ht="16.5" customHeight="1">
      <c r="A1054" s="347">
        <v>3938123</v>
      </c>
      <c r="B1054" s="347" t="s">
        <v>6610</v>
      </c>
      <c r="C1054" s="347"/>
      <c r="D1054" s="348"/>
      <c r="E1054" s="348"/>
      <c r="F1054" s="348"/>
      <c r="G1054" s="348"/>
      <c r="H1054" s="358"/>
      <c r="I1054" s="352"/>
      <c r="J1054" s="353"/>
      <c r="K1054" s="538"/>
      <c r="L1054" s="487"/>
      <c r="M1054" s="487"/>
      <c r="N1054" s="354"/>
      <c r="O1054" s="354"/>
      <c r="P1054" s="354"/>
      <c r="Q1054" s="354"/>
      <c r="R1054" s="354"/>
      <c r="S1054" s="354"/>
      <c r="T1054" s="354"/>
      <c r="U1054" s="354"/>
      <c r="V1054" s="354"/>
      <c r="W1054" s="354"/>
      <c r="X1054" s="354"/>
      <c r="Y1054" s="354"/>
      <c r="Z1054" s="353"/>
      <c r="AA1054" s="353"/>
      <c r="AB1054" s="836"/>
      <c r="AC1054" s="836"/>
      <c r="AD1054" s="836"/>
      <c r="AE1054" s="838"/>
    </row>
    <row r="1055" spans="1:31" ht="16.5" customHeight="1">
      <c r="A1055" s="347">
        <v>874420</v>
      </c>
      <c r="B1055" s="347" t="s">
        <v>6611</v>
      </c>
      <c r="C1055" s="347"/>
      <c r="D1055" s="348"/>
      <c r="E1055" s="348"/>
      <c r="F1055" s="348"/>
      <c r="G1055" s="348"/>
      <c r="H1055" s="358"/>
      <c r="I1055" s="352"/>
      <c r="J1055" s="353"/>
      <c r="K1055" s="538"/>
      <c r="L1055" s="487"/>
      <c r="M1055" s="487"/>
      <c r="N1055" s="354"/>
      <c r="O1055" s="354"/>
      <c r="P1055" s="354"/>
      <c r="Q1055" s="354"/>
      <c r="R1055" s="354"/>
      <c r="S1055" s="354"/>
      <c r="T1055" s="354"/>
      <c r="U1055" s="354"/>
      <c r="V1055" s="354"/>
      <c r="W1055" s="354"/>
      <c r="X1055" s="354"/>
      <c r="Y1055" s="354"/>
      <c r="Z1055" s="353"/>
      <c r="AA1055" s="353"/>
      <c r="AB1055" s="836"/>
      <c r="AC1055" s="836"/>
      <c r="AD1055" s="836"/>
      <c r="AE1055" s="838"/>
    </row>
    <row r="1056" spans="1:31" ht="16.5" customHeight="1">
      <c r="A1056" s="347">
        <v>64771652</v>
      </c>
      <c r="B1056" s="347" t="s">
        <v>6612</v>
      </c>
      <c r="C1056" s="347"/>
      <c r="D1056" s="348"/>
      <c r="E1056" s="348"/>
      <c r="F1056" s="348"/>
      <c r="G1056" s="348"/>
      <c r="H1056" s="358"/>
      <c r="I1056" s="352"/>
      <c r="J1056" s="353"/>
      <c r="K1056" s="538"/>
      <c r="L1056" s="487"/>
      <c r="M1056" s="487"/>
      <c r="N1056" s="354"/>
      <c r="O1056" s="354"/>
      <c r="P1056" s="354"/>
      <c r="Q1056" s="354"/>
      <c r="R1056" s="354"/>
      <c r="S1056" s="354"/>
      <c r="T1056" s="354"/>
      <c r="U1056" s="354"/>
      <c r="V1056" s="354"/>
      <c r="W1056" s="354"/>
      <c r="X1056" s="354"/>
      <c r="Y1056" s="354"/>
      <c r="Z1056" s="353"/>
      <c r="AA1056" s="353"/>
      <c r="AB1056" s="836"/>
      <c r="AC1056" s="836"/>
      <c r="AD1056" s="836"/>
      <c r="AE1056" s="838"/>
    </row>
    <row r="1057" spans="1:31" ht="16.5" customHeight="1">
      <c r="A1057" s="347">
        <v>37998812</v>
      </c>
      <c r="B1057" s="347" t="s">
        <v>6613</v>
      </c>
      <c r="C1057" s="347"/>
      <c r="D1057" s="361"/>
      <c r="E1057" s="361"/>
      <c r="F1057" s="361"/>
      <c r="G1057" s="348"/>
      <c r="H1057" s="358"/>
      <c r="I1057" s="352"/>
      <c r="J1057" s="353"/>
      <c r="K1057" s="538"/>
      <c r="L1057" s="487"/>
      <c r="M1057" s="487"/>
      <c r="N1057" s="354"/>
      <c r="O1057" s="354"/>
      <c r="P1057" s="354"/>
      <c r="Q1057" s="354"/>
      <c r="R1057" s="354"/>
      <c r="S1057" s="354"/>
      <c r="T1057" s="354"/>
      <c r="U1057" s="354"/>
      <c r="V1057" s="354"/>
      <c r="W1057" s="354"/>
      <c r="X1057" s="354"/>
      <c r="Y1057" s="354"/>
      <c r="Z1057" s="353"/>
      <c r="AA1057" s="353"/>
      <c r="AB1057" s="836"/>
      <c r="AC1057" s="836"/>
      <c r="AD1057" s="836"/>
      <c r="AE1057" s="838"/>
    </row>
    <row r="1058" spans="1:31" ht="16.5" customHeight="1">
      <c r="A1058" s="347">
        <v>27145697</v>
      </c>
      <c r="B1058" s="347" t="s">
        <v>6614</v>
      </c>
      <c r="C1058" s="347"/>
      <c r="D1058" s="348"/>
      <c r="E1058" s="348"/>
      <c r="F1058" s="348"/>
      <c r="G1058" s="348"/>
      <c r="H1058" s="358"/>
      <c r="I1058" s="352"/>
      <c r="J1058" s="353"/>
      <c r="K1058" s="538"/>
      <c r="L1058" s="487"/>
      <c r="M1058" s="487"/>
      <c r="N1058" s="354"/>
      <c r="O1058" s="354"/>
      <c r="P1058" s="354"/>
      <c r="Q1058" s="354"/>
      <c r="R1058" s="354"/>
      <c r="S1058" s="354"/>
      <c r="T1058" s="354"/>
      <c r="U1058" s="354"/>
      <c r="V1058" s="354"/>
      <c r="W1058" s="354"/>
      <c r="X1058" s="354"/>
      <c r="Y1058" s="354"/>
      <c r="Z1058" s="353"/>
      <c r="AA1058" s="353"/>
      <c r="AB1058" s="836"/>
      <c r="AC1058" s="836"/>
      <c r="AD1058" s="836"/>
      <c r="AE1058" s="838"/>
    </row>
    <row r="1059" spans="1:31" ht="16.5" customHeight="1">
      <c r="A1059" s="347">
        <v>64926975</v>
      </c>
      <c r="B1059" s="347" t="s">
        <v>6615</v>
      </c>
      <c r="C1059" s="347"/>
      <c r="D1059" s="348"/>
      <c r="E1059" s="348"/>
      <c r="F1059" s="348"/>
      <c r="G1059" s="348"/>
      <c r="H1059" s="358"/>
      <c r="I1059" s="352"/>
      <c r="J1059" s="353"/>
      <c r="K1059" s="538"/>
      <c r="L1059" s="487"/>
      <c r="M1059" s="487"/>
      <c r="N1059" s="354"/>
      <c r="O1059" s="354"/>
      <c r="P1059" s="354"/>
      <c r="Q1059" s="354"/>
      <c r="R1059" s="354"/>
      <c r="S1059" s="354"/>
      <c r="T1059" s="354"/>
      <c r="U1059" s="354"/>
      <c r="V1059" s="354"/>
      <c r="W1059" s="354"/>
      <c r="X1059" s="354"/>
      <c r="Y1059" s="354"/>
      <c r="Z1059" s="353"/>
      <c r="AA1059" s="353"/>
      <c r="AB1059" s="836"/>
      <c r="AC1059" s="836"/>
      <c r="AD1059" s="836"/>
      <c r="AE1059" s="838"/>
    </row>
    <row r="1060" spans="1:31" ht="16.5" customHeight="1">
      <c r="A1060" s="347">
        <v>23270283</v>
      </c>
      <c r="B1060" s="347" t="s">
        <v>6616</v>
      </c>
      <c r="C1060" s="347"/>
      <c r="D1060" s="348"/>
      <c r="E1060" s="348"/>
      <c r="F1060" s="348"/>
      <c r="G1060" s="348"/>
      <c r="H1060" s="358"/>
      <c r="I1060" s="352"/>
      <c r="J1060" s="353"/>
      <c r="K1060" s="538"/>
      <c r="L1060" s="487"/>
      <c r="M1060" s="487"/>
      <c r="N1060" s="354"/>
      <c r="O1060" s="354"/>
      <c r="P1060" s="354"/>
      <c r="Q1060" s="354"/>
      <c r="R1060" s="354"/>
      <c r="S1060" s="354"/>
      <c r="T1060" s="354"/>
      <c r="U1060" s="354"/>
      <c r="V1060" s="354"/>
      <c r="W1060" s="354"/>
      <c r="X1060" s="354"/>
      <c r="Y1060" s="354"/>
      <c r="Z1060" s="353"/>
      <c r="AA1060" s="353"/>
      <c r="AB1060" s="836"/>
      <c r="AC1060" s="836"/>
      <c r="AD1060" s="836"/>
      <c r="AE1060" s="838"/>
    </row>
    <row r="1061" spans="1:31" ht="16.5" customHeight="1">
      <c r="A1061" s="347">
        <v>17946658</v>
      </c>
      <c r="B1061" s="347" t="s">
        <v>6617</v>
      </c>
      <c r="C1061" s="347"/>
      <c r="D1061" s="348"/>
      <c r="E1061" s="348"/>
      <c r="F1061" s="348"/>
      <c r="G1061" s="348"/>
      <c r="H1061" s="358"/>
      <c r="I1061" s="352"/>
      <c r="J1061" s="353"/>
      <c r="K1061" s="538"/>
      <c r="L1061" s="487"/>
      <c r="M1061" s="487"/>
      <c r="N1061" s="354"/>
      <c r="O1061" s="354"/>
      <c r="P1061" s="354"/>
      <c r="Q1061" s="354"/>
      <c r="R1061" s="354"/>
      <c r="S1061" s="354"/>
      <c r="T1061" s="354"/>
      <c r="U1061" s="354"/>
      <c r="V1061" s="354"/>
      <c r="W1061" s="354"/>
      <c r="X1061" s="354"/>
      <c r="Y1061" s="354"/>
      <c r="Z1061" s="353"/>
      <c r="AA1061" s="353"/>
      <c r="AB1061" s="836"/>
      <c r="AC1061" s="836"/>
      <c r="AD1061" s="836"/>
      <c r="AE1061" s="838"/>
    </row>
    <row r="1062" spans="1:31" ht="16.5" customHeight="1">
      <c r="A1062" s="347">
        <v>38030680</v>
      </c>
      <c r="B1062" s="347" t="s">
        <v>6618</v>
      </c>
      <c r="C1062" s="347"/>
      <c r="D1062" s="348"/>
      <c r="E1062" s="348"/>
      <c r="F1062" s="348"/>
      <c r="G1062" s="348"/>
      <c r="H1062" s="358"/>
      <c r="I1062" s="352"/>
      <c r="J1062" s="353"/>
      <c r="K1062" s="538"/>
      <c r="L1062" s="487"/>
      <c r="M1062" s="487"/>
      <c r="N1062" s="354"/>
      <c r="O1062" s="354"/>
      <c r="P1062" s="354"/>
      <c r="Q1062" s="354"/>
      <c r="R1062" s="354"/>
      <c r="S1062" s="354"/>
      <c r="T1062" s="354"/>
      <c r="U1062" s="354"/>
      <c r="V1062" s="354"/>
      <c r="W1062" s="354"/>
      <c r="X1062" s="354"/>
      <c r="Y1062" s="354"/>
      <c r="Z1062" s="353"/>
      <c r="AA1062" s="353"/>
      <c r="AB1062" s="836"/>
      <c r="AC1062" s="836"/>
      <c r="AD1062" s="836"/>
      <c r="AE1062" s="838"/>
    </row>
    <row r="1063" spans="1:31" ht="16.5" customHeight="1">
      <c r="A1063" s="347">
        <v>29482551</v>
      </c>
      <c r="B1063" s="347" t="s">
        <v>6619</v>
      </c>
      <c r="C1063" s="347"/>
      <c r="D1063" s="361"/>
      <c r="E1063" s="361"/>
      <c r="F1063" s="361"/>
      <c r="G1063" s="348"/>
      <c r="H1063" s="358"/>
      <c r="I1063" s="352"/>
      <c r="J1063" s="353"/>
      <c r="K1063" s="538"/>
      <c r="L1063" s="487"/>
      <c r="M1063" s="487"/>
      <c r="N1063" s="354"/>
      <c r="O1063" s="354"/>
      <c r="P1063" s="354"/>
      <c r="Q1063" s="354"/>
      <c r="R1063" s="354"/>
      <c r="S1063" s="354"/>
      <c r="T1063" s="354"/>
      <c r="U1063" s="354"/>
      <c r="V1063" s="354"/>
      <c r="W1063" s="354"/>
      <c r="X1063" s="354"/>
      <c r="Y1063" s="354"/>
      <c r="Z1063" s="353"/>
      <c r="AA1063" s="353"/>
      <c r="AB1063" s="836"/>
      <c r="AC1063" s="836"/>
      <c r="AD1063" s="836"/>
      <c r="AE1063" s="838"/>
    </row>
    <row r="1064" spans="1:31" ht="16.5" customHeight="1">
      <c r="A1064" s="347">
        <v>20209284</v>
      </c>
      <c r="B1064" s="347" t="s">
        <v>6620</v>
      </c>
      <c r="C1064" s="347"/>
      <c r="D1064" s="348"/>
      <c r="E1064" s="348"/>
      <c r="F1064" s="348"/>
      <c r="G1064" s="348"/>
      <c r="H1064" s="358"/>
      <c r="I1064" s="352"/>
      <c r="J1064" s="353"/>
      <c r="K1064" s="538"/>
      <c r="L1064" s="487"/>
      <c r="M1064" s="487"/>
      <c r="N1064" s="354"/>
      <c r="O1064" s="354"/>
      <c r="P1064" s="354"/>
      <c r="Q1064" s="354"/>
      <c r="R1064" s="354"/>
      <c r="S1064" s="354"/>
      <c r="T1064" s="354"/>
      <c r="U1064" s="354"/>
      <c r="V1064" s="354"/>
      <c r="W1064" s="354"/>
      <c r="X1064" s="354"/>
      <c r="Y1064" s="354"/>
      <c r="Z1064" s="353"/>
      <c r="AA1064" s="353"/>
      <c r="AB1064" s="836"/>
      <c r="AC1064" s="836"/>
      <c r="AD1064" s="836"/>
      <c r="AE1064" s="838"/>
    </row>
    <row r="1065" spans="1:31" ht="16.5" customHeight="1">
      <c r="A1065" s="347">
        <v>40262917</v>
      </c>
      <c r="B1065" s="347" t="s">
        <v>6621</v>
      </c>
      <c r="C1065" s="347"/>
      <c r="D1065" s="348"/>
      <c r="E1065" s="348"/>
      <c r="F1065" s="348"/>
      <c r="G1065" s="348"/>
      <c r="H1065" s="358"/>
      <c r="I1065" s="352"/>
      <c r="J1065" s="353"/>
      <c r="K1065" s="538"/>
      <c r="L1065" s="487"/>
      <c r="M1065" s="487"/>
      <c r="N1065" s="354"/>
      <c r="O1065" s="354"/>
      <c r="P1065" s="354"/>
      <c r="Q1065" s="354"/>
      <c r="R1065" s="354"/>
      <c r="S1065" s="354"/>
      <c r="T1065" s="354"/>
      <c r="U1065" s="354"/>
      <c r="V1065" s="354"/>
      <c r="W1065" s="354"/>
      <c r="X1065" s="354"/>
      <c r="Y1065" s="354"/>
      <c r="Z1065" s="353"/>
      <c r="AA1065" s="353"/>
      <c r="AB1065" s="836"/>
      <c r="AC1065" s="836"/>
      <c r="AD1065" s="836"/>
      <c r="AE1065" s="838"/>
    </row>
    <row r="1066" spans="1:31" ht="16.5" customHeight="1">
      <c r="A1066" s="347">
        <v>68935899</v>
      </c>
      <c r="B1066" s="347" t="s">
        <v>6622</v>
      </c>
      <c r="C1066" s="347"/>
      <c r="D1066" s="348"/>
      <c r="E1066" s="348"/>
      <c r="F1066" s="348"/>
      <c r="G1066" s="348"/>
      <c r="H1066" s="358"/>
      <c r="I1066" s="352"/>
      <c r="J1066" s="353"/>
      <c r="K1066" s="538"/>
      <c r="L1066" s="487"/>
      <c r="M1066" s="487"/>
      <c r="N1066" s="354"/>
      <c r="O1066" s="354"/>
      <c r="P1066" s="354"/>
      <c r="Q1066" s="354"/>
      <c r="R1066" s="354"/>
      <c r="S1066" s="354"/>
      <c r="T1066" s="354"/>
      <c r="U1066" s="354"/>
      <c r="V1066" s="354"/>
      <c r="W1066" s="354"/>
      <c r="X1066" s="354"/>
      <c r="Y1066" s="354"/>
      <c r="Z1066" s="353"/>
      <c r="AA1066" s="353"/>
      <c r="AB1066" s="836"/>
      <c r="AC1066" s="836"/>
      <c r="AD1066" s="836"/>
      <c r="AE1066" s="838"/>
    </row>
    <row r="1067" spans="1:31" ht="16.5" customHeight="1">
      <c r="A1067" s="347">
        <v>77983591</v>
      </c>
      <c r="B1067" s="347" t="s">
        <v>6623</v>
      </c>
      <c r="C1067" s="347"/>
      <c r="D1067" s="361"/>
      <c r="E1067" s="361"/>
      <c r="F1067" s="361"/>
      <c r="G1067" s="348"/>
      <c r="H1067" s="358"/>
      <c r="I1067" s="352"/>
      <c r="J1067" s="353"/>
      <c r="K1067" s="538"/>
      <c r="L1067" s="487"/>
      <c r="M1067" s="487"/>
      <c r="N1067" s="354"/>
      <c r="O1067" s="354"/>
      <c r="P1067" s="354"/>
      <c r="Q1067" s="354"/>
      <c r="R1067" s="354"/>
      <c r="S1067" s="354"/>
      <c r="T1067" s="354"/>
      <c r="U1067" s="354"/>
      <c r="V1067" s="354"/>
      <c r="W1067" s="354"/>
      <c r="X1067" s="354"/>
      <c r="Y1067" s="354"/>
      <c r="Z1067" s="353"/>
      <c r="AA1067" s="353"/>
      <c r="AB1067" s="836"/>
      <c r="AC1067" s="836"/>
      <c r="AD1067" s="836"/>
      <c r="AE1067" s="838"/>
    </row>
    <row r="1068" spans="1:31" ht="16.5" customHeight="1">
      <c r="A1068" s="347">
        <v>37087871</v>
      </c>
      <c r="B1068" s="347" t="s">
        <v>6624</v>
      </c>
      <c r="C1068" s="347"/>
      <c r="D1068" s="348"/>
      <c r="E1068" s="348"/>
      <c r="F1068" s="348"/>
      <c r="G1068" s="348"/>
      <c r="H1068" s="358"/>
      <c r="I1068" s="352"/>
      <c r="J1068" s="353"/>
      <c r="K1068" s="538"/>
      <c r="L1068" s="487"/>
      <c r="M1068" s="487"/>
      <c r="N1068" s="354"/>
      <c r="O1068" s="354"/>
      <c r="P1068" s="354"/>
      <c r="Q1068" s="354"/>
      <c r="R1068" s="354"/>
      <c r="S1068" s="354"/>
      <c r="T1068" s="354"/>
      <c r="U1068" s="354"/>
      <c r="V1068" s="354"/>
      <c r="W1068" s="354"/>
      <c r="X1068" s="354"/>
      <c r="Y1068" s="354"/>
      <c r="Z1068" s="353"/>
      <c r="AA1068" s="353"/>
      <c r="AB1068" s="836"/>
      <c r="AC1068" s="836"/>
      <c r="AD1068" s="836"/>
      <c r="AE1068" s="838"/>
    </row>
    <row r="1069" spans="1:31" ht="16.5" customHeight="1">
      <c r="A1069" s="347">
        <v>95850798</v>
      </c>
      <c r="B1069" s="347" t="s">
        <v>6625</v>
      </c>
      <c r="C1069" s="347"/>
      <c r="D1069" s="348"/>
      <c r="E1069" s="348"/>
      <c r="F1069" s="348"/>
      <c r="G1069" s="348"/>
      <c r="H1069" s="358"/>
      <c r="I1069" s="352"/>
      <c r="J1069" s="353"/>
      <c r="K1069" s="538"/>
      <c r="L1069" s="487"/>
      <c r="M1069" s="487"/>
      <c r="N1069" s="354"/>
      <c r="O1069" s="354"/>
      <c r="P1069" s="354"/>
      <c r="Q1069" s="354"/>
      <c r="R1069" s="354"/>
      <c r="S1069" s="354"/>
      <c r="T1069" s="354"/>
      <c r="U1069" s="354"/>
      <c r="V1069" s="354"/>
      <c r="W1069" s="354"/>
      <c r="X1069" s="354"/>
      <c r="Y1069" s="354"/>
      <c r="Z1069" s="353"/>
      <c r="AA1069" s="353"/>
      <c r="AB1069" s="836"/>
      <c r="AC1069" s="836"/>
      <c r="AD1069" s="836"/>
      <c r="AE1069" s="838"/>
    </row>
    <row r="1070" spans="1:31" ht="16.5" customHeight="1">
      <c r="A1070" s="347">
        <v>41219155</v>
      </c>
      <c r="B1070" s="347" t="s">
        <v>6626</v>
      </c>
      <c r="C1070" s="347"/>
      <c r="D1070" s="348"/>
      <c r="E1070" s="348"/>
      <c r="F1070" s="348"/>
      <c r="G1070" s="348"/>
      <c r="H1070" s="358"/>
      <c r="I1070" s="352"/>
      <c r="J1070" s="353"/>
      <c r="K1070" s="538"/>
      <c r="L1070" s="487"/>
      <c r="M1070" s="487"/>
      <c r="N1070" s="354"/>
      <c r="O1070" s="354"/>
      <c r="P1070" s="354"/>
      <c r="Q1070" s="354"/>
      <c r="R1070" s="354"/>
      <c r="S1070" s="354"/>
      <c r="T1070" s="354"/>
      <c r="U1070" s="354"/>
      <c r="V1070" s="354"/>
      <c r="W1070" s="354"/>
      <c r="X1070" s="354"/>
      <c r="Y1070" s="354"/>
      <c r="Z1070" s="353"/>
      <c r="AA1070" s="353"/>
      <c r="AB1070" s="836"/>
      <c r="AC1070" s="836"/>
      <c r="AD1070" s="836"/>
      <c r="AE1070" s="838"/>
    </row>
    <row r="1071" spans="1:31" ht="16.5" customHeight="1">
      <c r="A1071" s="347">
        <v>39918644</v>
      </c>
      <c r="B1071" s="347" t="s">
        <v>6627</v>
      </c>
      <c r="C1071" s="347"/>
      <c r="D1071" s="348"/>
      <c r="E1071" s="348"/>
      <c r="F1071" s="348"/>
      <c r="G1071" s="348"/>
      <c r="H1071" s="358"/>
      <c r="I1071" s="352"/>
      <c r="J1071" s="353"/>
      <c r="K1071" s="538"/>
      <c r="L1071" s="487"/>
      <c r="M1071" s="487"/>
      <c r="N1071" s="354"/>
      <c r="O1071" s="354"/>
      <c r="P1071" s="354"/>
      <c r="Q1071" s="354"/>
      <c r="R1071" s="354"/>
      <c r="S1071" s="354"/>
      <c r="T1071" s="354"/>
      <c r="U1071" s="354"/>
      <c r="V1071" s="354"/>
      <c r="W1071" s="354"/>
      <c r="X1071" s="354"/>
      <c r="Y1071" s="354"/>
      <c r="Z1071" s="353"/>
      <c r="AA1071" s="353"/>
      <c r="AB1071" s="836"/>
      <c r="AC1071" s="836"/>
      <c r="AD1071" s="836"/>
      <c r="AE1071" s="838"/>
    </row>
    <row r="1072" spans="1:31" ht="16.5" customHeight="1">
      <c r="A1072" s="347">
        <v>95592366</v>
      </c>
      <c r="B1072" s="347" t="s">
        <v>6628</v>
      </c>
      <c r="C1072" s="347"/>
      <c r="D1072" s="348"/>
      <c r="E1072" s="348"/>
      <c r="F1072" s="348"/>
      <c r="G1072" s="348"/>
      <c r="H1072" s="358"/>
      <c r="I1072" s="352"/>
      <c r="J1072" s="353"/>
      <c r="K1072" s="538"/>
      <c r="L1072" s="487"/>
      <c r="M1072" s="487"/>
      <c r="N1072" s="354"/>
      <c r="O1072" s="354"/>
      <c r="P1072" s="354"/>
      <c r="Q1072" s="354"/>
      <c r="R1072" s="354"/>
      <c r="S1072" s="354"/>
      <c r="T1072" s="354"/>
      <c r="U1072" s="354"/>
      <c r="V1072" s="354"/>
      <c r="W1072" s="354"/>
      <c r="X1072" s="354"/>
      <c r="Y1072" s="354"/>
      <c r="Z1072" s="353"/>
      <c r="AA1072" s="353"/>
      <c r="AB1072" s="836"/>
      <c r="AC1072" s="836"/>
      <c r="AD1072" s="836"/>
      <c r="AE1072" s="838"/>
    </row>
    <row r="1073" spans="1:31" ht="16.5" customHeight="1">
      <c r="A1073" s="347">
        <v>39670609</v>
      </c>
      <c r="B1073" s="347" t="s">
        <v>6629</v>
      </c>
      <c r="C1073" s="347"/>
      <c r="D1073" s="348"/>
      <c r="E1073" s="348"/>
      <c r="F1073" s="348"/>
      <c r="G1073" s="348"/>
      <c r="H1073" s="358"/>
      <c r="I1073" s="352"/>
      <c r="J1073" s="353"/>
      <c r="K1073" s="538"/>
      <c r="L1073" s="487"/>
      <c r="M1073" s="487"/>
      <c r="N1073" s="354"/>
      <c r="O1073" s="354"/>
      <c r="P1073" s="354"/>
      <c r="Q1073" s="354"/>
      <c r="R1073" s="354"/>
      <c r="S1073" s="354"/>
      <c r="T1073" s="354"/>
      <c r="U1073" s="354"/>
      <c r="V1073" s="354"/>
      <c r="W1073" s="354"/>
      <c r="X1073" s="354"/>
      <c r="Y1073" s="354"/>
      <c r="Z1073" s="353"/>
      <c r="AA1073" s="353"/>
      <c r="AB1073" s="836"/>
      <c r="AC1073" s="836"/>
      <c r="AD1073" s="836"/>
      <c r="AE1073" s="838"/>
    </row>
    <row r="1074" spans="1:31" ht="16.5" customHeight="1">
      <c r="A1074" s="347">
        <v>473645</v>
      </c>
      <c r="B1074" s="347" t="s">
        <v>6630</v>
      </c>
      <c r="C1074" s="347"/>
      <c r="D1074" s="348"/>
      <c r="E1074" s="348"/>
      <c r="F1074" s="348"/>
      <c r="G1074" s="348"/>
      <c r="H1074" s="358"/>
      <c r="I1074" s="352"/>
      <c r="J1074" s="353"/>
      <c r="K1074" s="538"/>
      <c r="L1074" s="487"/>
      <c r="M1074" s="487"/>
      <c r="N1074" s="354"/>
      <c r="O1074" s="354"/>
      <c r="P1074" s="354"/>
      <c r="Q1074" s="354"/>
      <c r="R1074" s="354"/>
      <c r="S1074" s="354"/>
      <c r="T1074" s="354"/>
      <c r="U1074" s="354"/>
      <c r="V1074" s="354"/>
      <c r="W1074" s="354"/>
      <c r="X1074" s="354"/>
      <c r="Y1074" s="354"/>
      <c r="Z1074" s="353"/>
      <c r="AA1074" s="353"/>
      <c r="AB1074" s="836"/>
      <c r="AC1074" s="836"/>
      <c r="AD1074" s="836"/>
      <c r="AE1074" s="838"/>
    </row>
    <row r="1075" spans="1:31" ht="16.5" customHeight="1">
      <c r="A1075" s="347">
        <v>51399806</v>
      </c>
      <c r="B1075" s="347" t="s">
        <v>6631</v>
      </c>
      <c r="C1075" s="347"/>
      <c r="D1075" s="348"/>
      <c r="E1075" s="348"/>
      <c r="F1075" s="348"/>
      <c r="G1075" s="348"/>
      <c r="H1075" s="358"/>
      <c r="I1075" s="352"/>
      <c r="J1075" s="353"/>
      <c r="K1075" s="538"/>
      <c r="L1075" s="487"/>
      <c r="M1075" s="487"/>
      <c r="N1075" s="354"/>
      <c r="O1075" s="354"/>
      <c r="P1075" s="354"/>
      <c r="Q1075" s="354"/>
      <c r="R1075" s="354"/>
      <c r="S1075" s="354"/>
      <c r="T1075" s="354"/>
      <c r="U1075" s="354"/>
      <c r="V1075" s="354"/>
      <c r="W1075" s="354"/>
      <c r="X1075" s="354"/>
      <c r="Y1075" s="354"/>
      <c r="Z1075" s="353"/>
      <c r="AA1075" s="353"/>
      <c r="AB1075" s="836"/>
      <c r="AC1075" s="836"/>
      <c r="AD1075" s="836"/>
      <c r="AE1075" s="838"/>
    </row>
    <row r="1076" spans="1:31" ht="16.5" customHeight="1">
      <c r="A1076" s="347">
        <v>9725854</v>
      </c>
      <c r="B1076" s="347" t="s">
        <v>6632</v>
      </c>
      <c r="C1076" s="347"/>
      <c r="D1076" s="348"/>
      <c r="E1076" s="348"/>
      <c r="F1076" s="348"/>
      <c r="G1076" s="348"/>
      <c r="H1076" s="358"/>
      <c r="I1076" s="352"/>
      <c r="J1076" s="353"/>
      <c r="K1076" s="538"/>
      <c r="L1076" s="487"/>
      <c r="M1076" s="487"/>
      <c r="N1076" s="354"/>
      <c r="O1076" s="354"/>
      <c r="P1076" s="354"/>
      <c r="Q1076" s="354"/>
      <c r="R1076" s="354"/>
      <c r="S1076" s="354"/>
      <c r="T1076" s="354"/>
      <c r="U1076" s="354"/>
      <c r="V1076" s="354"/>
      <c r="W1076" s="354"/>
      <c r="X1076" s="354"/>
      <c r="Y1076" s="354"/>
      <c r="Z1076" s="353"/>
      <c r="AA1076" s="353"/>
      <c r="AB1076" s="836"/>
      <c r="AC1076" s="836"/>
      <c r="AD1076" s="836"/>
      <c r="AE1076" s="838"/>
    </row>
    <row r="1077" spans="1:31" ht="16.5" customHeight="1">
      <c r="A1077" s="347">
        <v>10612943</v>
      </c>
      <c r="B1077" s="347" t="s">
        <v>6633</v>
      </c>
      <c r="C1077" s="347"/>
      <c r="D1077" s="348"/>
      <c r="E1077" s="348"/>
      <c r="F1077" s="348"/>
      <c r="G1077" s="348"/>
      <c r="H1077" s="358"/>
      <c r="I1077" s="352"/>
      <c r="J1077" s="353"/>
      <c r="K1077" s="538"/>
      <c r="L1077" s="487"/>
      <c r="M1077" s="487"/>
      <c r="N1077" s="354"/>
      <c r="O1077" s="354"/>
      <c r="P1077" s="354"/>
      <c r="Q1077" s="354"/>
      <c r="R1077" s="354"/>
      <c r="S1077" s="354"/>
      <c r="T1077" s="354"/>
      <c r="U1077" s="354"/>
      <c r="V1077" s="354"/>
      <c r="W1077" s="354"/>
      <c r="X1077" s="354"/>
      <c r="Y1077" s="354"/>
      <c r="Z1077" s="353"/>
      <c r="AA1077" s="353"/>
      <c r="AB1077" s="836"/>
      <c r="AC1077" s="836"/>
      <c r="AD1077" s="836"/>
      <c r="AE1077" s="838"/>
    </row>
    <row r="1078" spans="1:31" ht="16.5" customHeight="1">
      <c r="A1078" s="347">
        <v>21047857</v>
      </c>
      <c r="B1078" s="347" t="s">
        <v>6634</v>
      </c>
      <c r="C1078" s="347"/>
      <c r="D1078" s="348"/>
      <c r="E1078" s="348"/>
      <c r="F1078" s="348"/>
      <c r="G1078" s="348"/>
      <c r="H1078" s="358"/>
      <c r="I1078" s="352"/>
      <c r="J1078" s="353"/>
      <c r="K1078" s="538"/>
      <c r="L1078" s="487"/>
      <c r="M1078" s="487"/>
      <c r="N1078" s="354"/>
      <c r="O1078" s="354"/>
      <c r="P1078" s="354"/>
      <c r="Q1078" s="354"/>
      <c r="R1078" s="354"/>
      <c r="S1078" s="354"/>
      <c r="T1078" s="354"/>
      <c r="U1078" s="354"/>
      <c r="V1078" s="354"/>
      <c r="W1078" s="354"/>
      <c r="X1078" s="354"/>
      <c r="Y1078" s="354"/>
      <c r="Z1078" s="353"/>
      <c r="AA1078" s="353"/>
      <c r="AB1078" s="836"/>
      <c r="AC1078" s="836"/>
      <c r="AD1078" s="836"/>
      <c r="AE1078" s="838"/>
    </row>
    <row r="1079" spans="1:31" ht="16.5" customHeight="1">
      <c r="A1079" s="347">
        <v>19289024</v>
      </c>
      <c r="B1079" s="347" t="s">
        <v>6635</v>
      </c>
      <c r="C1079" s="347"/>
      <c r="D1079" s="348"/>
      <c r="E1079" s="348"/>
      <c r="F1079" s="348"/>
      <c r="G1079" s="348"/>
      <c r="H1079" s="358"/>
      <c r="I1079" s="352"/>
      <c r="J1079" s="353"/>
      <c r="K1079" s="538"/>
      <c r="L1079" s="487"/>
      <c r="M1079" s="487"/>
      <c r="N1079" s="354"/>
      <c r="O1079" s="354"/>
      <c r="P1079" s="354"/>
      <c r="Q1079" s="354"/>
      <c r="R1079" s="354"/>
      <c r="S1079" s="354"/>
      <c r="T1079" s="354"/>
      <c r="U1079" s="354"/>
      <c r="V1079" s="354"/>
      <c r="W1079" s="354"/>
      <c r="X1079" s="354"/>
      <c r="Y1079" s="354"/>
      <c r="Z1079" s="353"/>
      <c r="AA1079" s="353"/>
      <c r="AB1079" s="836"/>
      <c r="AC1079" s="836"/>
      <c r="AD1079" s="836"/>
      <c r="AE1079" s="838"/>
    </row>
    <row r="1080" spans="1:31" ht="16.5" customHeight="1">
      <c r="A1080" s="347">
        <v>38157822</v>
      </c>
      <c r="B1080" s="347" t="s">
        <v>6636</v>
      </c>
      <c r="C1080" s="347"/>
      <c r="D1080" s="348"/>
      <c r="E1080" s="348"/>
      <c r="F1080" s="348"/>
      <c r="G1080" s="348"/>
      <c r="H1080" s="358"/>
      <c r="I1080" s="352"/>
      <c r="J1080" s="353"/>
      <c r="K1080" s="538"/>
      <c r="L1080" s="487"/>
      <c r="M1080" s="487"/>
      <c r="N1080" s="354"/>
      <c r="O1080" s="354"/>
      <c r="P1080" s="354"/>
      <c r="Q1080" s="354"/>
      <c r="R1080" s="354"/>
      <c r="S1080" s="354"/>
      <c r="T1080" s="354"/>
      <c r="U1080" s="354"/>
      <c r="V1080" s="354"/>
      <c r="W1080" s="354"/>
      <c r="X1080" s="354"/>
      <c r="Y1080" s="354"/>
      <c r="Z1080" s="353"/>
      <c r="AA1080" s="353"/>
      <c r="AB1080" s="836"/>
      <c r="AC1080" s="836"/>
      <c r="AD1080" s="836"/>
      <c r="AE1080" s="838"/>
    </row>
    <row r="1081" spans="1:31" ht="16.5" customHeight="1">
      <c r="A1081" s="347">
        <v>889626</v>
      </c>
      <c r="B1081" s="347" t="s">
        <v>6637</v>
      </c>
      <c r="C1081" s="347"/>
      <c r="D1081" s="348"/>
      <c r="E1081" s="348"/>
      <c r="F1081" s="348"/>
      <c r="G1081" s="348"/>
      <c r="H1081" s="358"/>
      <c r="I1081" s="352"/>
      <c r="J1081" s="353"/>
      <c r="K1081" s="538"/>
      <c r="L1081" s="487"/>
      <c r="M1081" s="487"/>
      <c r="N1081" s="354"/>
      <c r="O1081" s="354"/>
      <c r="P1081" s="354"/>
      <c r="Q1081" s="354"/>
      <c r="R1081" s="354"/>
      <c r="S1081" s="354"/>
      <c r="T1081" s="354"/>
      <c r="U1081" s="354"/>
      <c r="V1081" s="354"/>
      <c r="W1081" s="354"/>
      <c r="X1081" s="354"/>
      <c r="Y1081" s="354"/>
      <c r="Z1081" s="353"/>
      <c r="AA1081" s="353"/>
      <c r="AB1081" s="836"/>
      <c r="AC1081" s="836"/>
      <c r="AD1081" s="836"/>
      <c r="AE1081" s="838"/>
    </row>
    <row r="1082" spans="1:31" ht="16.5" customHeight="1">
      <c r="A1082" s="347">
        <v>9313651</v>
      </c>
      <c r="B1082" s="347" t="s">
        <v>6638</v>
      </c>
      <c r="C1082" s="347"/>
      <c r="D1082" s="348"/>
      <c r="E1082" s="348"/>
      <c r="F1082" s="348"/>
      <c r="G1082" s="348"/>
      <c r="H1082" s="358"/>
      <c r="I1082" s="352"/>
      <c r="J1082" s="353"/>
      <c r="K1082" s="538"/>
      <c r="L1082" s="487"/>
      <c r="M1082" s="487"/>
      <c r="N1082" s="354"/>
      <c r="O1082" s="354"/>
      <c r="P1082" s="354"/>
      <c r="Q1082" s="354"/>
      <c r="R1082" s="354"/>
      <c r="S1082" s="354"/>
      <c r="T1082" s="354"/>
      <c r="U1082" s="354"/>
      <c r="V1082" s="354"/>
      <c r="W1082" s="354"/>
      <c r="X1082" s="354"/>
      <c r="Y1082" s="354"/>
      <c r="Z1082" s="353"/>
      <c r="AA1082" s="353"/>
      <c r="AB1082" s="836"/>
      <c r="AC1082" s="836"/>
      <c r="AD1082" s="836"/>
      <c r="AE1082" s="838"/>
    </row>
    <row r="1083" spans="1:31" ht="16.5" customHeight="1">
      <c r="A1083" s="347">
        <v>78386570</v>
      </c>
      <c r="B1083" s="347" t="s">
        <v>6639</v>
      </c>
      <c r="C1083" s="347"/>
      <c r="D1083" s="348"/>
      <c r="E1083" s="348"/>
      <c r="F1083" s="348"/>
      <c r="G1083" s="348"/>
      <c r="H1083" s="358"/>
      <c r="I1083" s="352"/>
      <c r="J1083" s="353"/>
      <c r="K1083" s="538"/>
      <c r="L1083" s="487"/>
      <c r="M1083" s="487"/>
      <c r="N1083" s="354"/>
      <c r="O1083" s="354"/>
      <c r="P1083" s="354"/>
      <c r="Q1083" s="354"/>
      <c r="R1083" s="354"/>
      <c r="S1083" s="354"/>
      <c r="T1083" s="354"/>
      <c r="U1083" s="354"/>
      <c r="V1083" s="354"/>
      <c r="W1083" s="354"/>
      <c r="X1083" s="354"/>
      <c r="Y1083" s="354"/>
      <c r="Z1083" s="353"/>
      <c r="AA1083" s="353"/>
      <c r="AB1083" s="836"/>
      <c r="AC1083" s="836"/>
      <c r="AD1083" s="836"/>
      <c r="AE1083" s="838"/>
    </row>
    <row r="1084" spans="1:31" ht="16.5" customHeight="1">
      <c r="A1084" s="347">
        <v>52933389</v>
      </c>
      <c r="B1084" s="347" t="s">
        <v>6640</v>
      </c>
      <c r="C1084" s="347"/>
      <c r="D1084" s="348"/>
      <c r="E1084" s="348"/>
      <c r="F1084" s="348"/>
      <c r="G1084" s="348"/>
      <c r="H1084" s="358"/>
      <c r="I1084" s="352"/>
      <c r="J1084" s="353"/>
      <c r="K1084" s="538"/>
      <c r="L1084" s="487"/>
      <c r="M1084" s="487"/>
      <c r="N1084" s="354"/>
      <c r="O1084" s="354"/>
      <c r="P1084" s="354"/>
      <c r="Q1084" s="354"/>
      <c r="R1084" s="354"/>
      <c r="S1084" s="354"/>
      <c r="T1084" s="354"/>
      <c r="U1084" s="354"/>
      <c r="V1084" s="354"/>
      <c r="W1084" s="354"/>
      <c r="X1084" s="354"/>
      <c r="Y1084" s="354"/>
      <c r="Z1084" s="353"/>
      <c r="AA1084" s="353"/>
      <c r="AB1084" s="836"/>
      <c r="AC1084" s="836"/>
      <c r="AD1084" s="836"/>
      <c r="AE1084" s="838"/>
    </row>
    <row r="1085" spans="1:31" ht="16.5" customHeight="1">
      <c r="A1085" s="347">
        <v>84092980</v>
      </c>
      <c r="B1085" s="347" t="s">
        <v>6641</v>
      </c>
      <c r="C1085" s="347"/>
      <c r="D1085" s="348"/>
      <c r="E1085" s="348"/>
      <c r="F1085" s="348"/>
      <c r="G1085" s="348"/>
      <c r="H1085" s="358"/>
      <c r="I1085" s="352"/>
      <c r="J1085" s="353"/>
      <c r="K1085" s="538"/>
      <c r="L1085" s="487"/>
      <c r="M1085" s="487"/>
      <c r="N1085" s="354"/>
      <c r="O1085" s="354"/>
      <c r="P1085" s="354"/>
      <c r="Q1085" s="354"/>
      <c r="R1085" s="354"/>
      <c r="S1085" s="354"/>
      <c r="T1085" s="354"/>
      <c r="U1085" s="354"/>
      <c r="V1085" s="354"/>
      <c r="W1085" s="354"/>
      <c r="X1085" s="354"/>
      <c r="Y1085" s="354"/>
      <c r="Z1085" s="353"/>
      <c r="AA1085" s="353"/>
      <c r="AB1085" s="836"/>
      <c r="AC1085" s="836"/>
      <c r="AD1085" s="836"/>
      <c r="AE1085" s="838"/>
    </row>
    <row r="1086" spans="1:31" ht="16.5" customHeight="1">
      <c r="A1086" s="347">
        <v>2409571</v>
      </c>
      <c r="B1086" s="347" t="s">
        <v>6642</v>
      </c>
      <c r="C1086" s="347"/>
      <c r="D1086" s="361"/>
      <c r="E1086" s="361"/>
      <c r="F1086" s="361"/>
      <c r="G1086" s="348"/>
      <c r="H1086" s="358"/>
      <c r="I1086" s="352"/>
      <c r="J1086" s="353"/>
      <c r="K1086" s="538"/>
      <c r="L1086" s="487"/>
      <c r="M1086" s="487"/>
      <c r="N1086" s="354"/>
      <c r="O1086" s="354"/>
      <c r="P1086" s="354"/>
      <c r="Q1086" s="354"/>
      <c r="R1086" s="354"/>
      <c r="S1086" s="354"/>
      <c r="T1086" s="354"/>
      <c r="U1086" s="354"/>
      <c r="V1086" s="354"/>
      <c r="W1086" s="354"/>
      <c r="X1086" s="354"/>
      <c r="Y1086" s="354"/>
      <c r="Z1086" s="353"/>
      <c r="AA1086" s="353"/>
      <c r="AB1086" s="836"/>
      <c r="AC1086" s="836"/>
      <c r="AD1086" s="836"/>
      <c r="AE1086" s="838"/>
    </row>
    <row r="1087" spans="1:31" ht="16.5" customHeight="1">
      <c r="A1087" s="347">
        <v>93554871</v>
      </c>
      <c r="B1087" s="347" t="s">
        <v>6643</v>
      </c>
      <c r="C1087" s="347"/>
      <c r="D1087" s="348"/>
      <c r="E1087" s="348"/>
      <c r="F1087" s="348"/>
      <c r="G1087" s="348"/>
      <c r="H1087" s="358"/>
      <c r="I1087" s="352"/>
      <c r="J1087" s="353"/>
      <c r="K1087" s="538"/>
      <c r="L1087" s="487"/>
      <c r="M1087" s="487"/>
      <c r="N1087" s="354"/>
      <c r="O1087" s="354"/>
      <c r="P1087" s="354"/>
      <c r="Q1087" s="354"/>
      <c r="R1087" s="354"/>
      <c r="S1087" s="354"/>
      <c r="T1087" s="354"/>
      <c r="U1087" s="354"/>
      <c r="V1087" s="354"/>
      <c r="W1087" s="354"/>
      <c r="X1087" s="354"/>
      <c r="Y1087" s="354"/>
      <c r="Z1087" s="353"/>
      <c r="AA1087" s="353"/>
      <c r="AB1087" s="836"/>
      <c r="AC1087" s="836"/>
      <c r="AD1087" s="836"/>
      <c r="AE1087" s="838"/>
    </row>
    <row r="1088" spans="1:31" ht="16.5" customHeight="1">
      <c r="A1088" s="347">
        <v>89939706</v>
      </c>
      <c r="B1088" s="347" t="s">
        <v>6644</v>
      </c>
      <c r="C1088" s="347"/>
      <c r="D1088" s="361"/>
      <c r="E1088" s="361"/>
      <c r="F1088" s="361"/>
      <c r="G1088" s="348"/>
      <c r="H1088" s="358"/>
      <c r="I1088" s="352"/>
      <c r="J1088" s="353"/>
      <c r="K1088" s="538"/>
      <c r="L1088" s="487"/>
      <c r="M1088" s="487"/>
      <c r="N1088" s="354"/>
      <c r="O1088" s="354"/>
      <c r="P1088" s="354"/>
      <c r="Q1088" s="354"/>
      <c r="R1088" s="354"/>
      <c r="S1088" s="354"/>
      <c r="T1088" s="354"/>
      <c r="U1088" s="354"/>
      <c r="V1088" s="354"/>
      <c r="W1088" s="354"/>
      <c r="X1088" s="354"/>
      <c r="Y1088" s="354"/>
      <c r="Z1088" s="353"/>
      <c r="AA1088" s="353"/>
      <c r="AB1088" s="836"/>
      <c r="AC1088" s="836"/>
      <c r="AD1088" s="836"/>
      <c r="AE1088" s="838"/>
    </row>
    <row r="1089" spans="1:31" ht="16.5" customHeight="1">
      <c r="A1089" s="347">
        <v>2496602</v>
      </c>
      <c r="B1089" s="347" t="s">
        <v>6645</v>
      </c>
      <c r="C1089" s="347"/>
      <c r="D1089" s="348"/>
      <c r="E1089" s="348"/>
      <c r="F1089" s="348"/>
      <c r="G1089" s="348"/>
      <c r="H1089" s="358"/>
      <c r="I1089" s="352"/>
      <c r="J1089" s="353"/>
      <c r="K1089" s="538"/>
      <c r="L1089" s="487"/>
      <c r="M1089" s="487"/>
      <c r="N1089" s="354"/>
      <c r="O1089" s="354"/>
      <c r="P1089" s="354"/>
      <c r="Q1089" s="354"/>
      <c r="R1089" s="354"/>
      <c r="S1089" s="354"/>
      <c r="T1089" s="354"/>
      <c r="U1089" s="354"/>
      <c r="V1089" s="354"/>
      <c r="W1089" s="354"/>
      <c r="X1089" s="354"/>
      <c r="Y1089" s="354"/>
      <c r="Z1089" s="353"/>
      <c r="AA1089" s="353"/>
      <c r="AB1089" s="836"/>
      <c r="AC1089" s="836"/>
      <c r="AD1089" s="836"/>
      <c r="AE1089" s="838"/>
    </row>
    <row r="1090" spans="1:31" ht="16.5" customHeight="1">
      <c r="A1090" s="347">
        <v>38516076</v>
      </c>
      <c r="B1090" s="347" t="s">
        <v>6646</v>
      </c>
      <c r="C1090" s="347"/>
      <c r="D1090" s="348"/>
      <c r="E1090" s="348"/>
      <c r="F1090" s="348"/>
      <c r="G1090" s="348"/>
      <c r="H1090" s="358"/>
      <c r="I1090" s="352"/>
      <c r="J1090" s="353"/>
      <c r="K1090" s="538"/>
      <c r="L1090" s="487"/>
      <c r="M1090" s="487"/>
      <c r="N1090" s="354"/>
      <c r="O1090" s="354"/>
      <c r="P1090" s="354"/>
      <c r="Q1090" s="354"/>
      <c r="R1090" s="354"/>
      <c r="S1090" s="354"/>
      <c r="T1090" s="354"/>
      <c r="U1090" s="354"/>
      <c r="V1090" s="354"/>
      <c r="W1090" s="354"/>
      <c r="X1090" s="354"/>
      <c r="Y1090" s="354"/>
      <c r="Z1090" s="353"/>
      <c r="AA1090" s="353"/>
      <c r="AB1090" s="836"/>
      <c r="AC1090" s="836"/>
      <c r="AD1090" s="836"/>
      <c r="AE1090" s="838"/>
    </row>
    <row r="1091" spans="1:31" ht="16.5" customHeight="1">
      <c r="A1091" s="347">
        <v>26949420</v>
      </c>
      <c r="B1091" s="347" t="s">
        <v>6647</v>
      </c>
      <c r="C1091" s="347"/>
      <c r="D1091" s="348"/>
      <c r="E1091" s="348"/>
      <c r="F1091" s="348"/>
      <c r="G1091" s="348"/>
      <c r="H1091" s="358"/>
      <c r="I1091" s="352"/>
      <c r="J1091" s="353"/>
      <c r="K1091" s="538"/>
      <c r="L1091" s="487"/>
      <c r="M1091" s="487"/>
      <c r="N1091" s="354"/>
      <c r="O1091" s="354"/>
      <c r="P1091" s="354"/>
      <c r="Q1091" s="354"/>
      <c r="R1091" s="354"/>
      <c r="S1091" s="354"/>
      <c r="T1091" s="354"/>
      <c r="U1091" s="354"/>
      <c r="V1091" s="354"/>
      <c r="W1091" s="354"/>
      <c r="X1091" s="354"/>
      <c r="Y1091" s="354"/>
      <c r="Z1091" s="353"/>
      <c r="AA1091" s="353"/>
      <c r="AB1091" s="836"/>
      <c r="AC1091" s="836"/>
      <c r="AD1091" s="836"/>
      <c r="AE1091" s="838"/>
    </row>
    <row r="1092" spans="1:31" ht="16.5" customHeight="1">
      <c r="A1092" s="347">
        <v>7641665</v>
      </c>
      <c r="B1092" s="347" t="s">
        <v>6648</v>
      </c>
      <c r="C1092" s="347"/>
      <c r="D1092" s="348"/>
      <c r="E1092" s="348"/>
      <c r="F1092" s="348"/>
      <c r="G1092" s="348"/>
      <c r="H1092" s="358"/>
      <c r="I1092" s="352"/>
      <c r="J1092" s="353"/>
      <c r="K1092" s="538"/>
      <c r="L1092" s="487"/>
      <c r="M1092" s="487"/>
      <c r="N1092" s="354"/>
      <c r="O1092" s="354"/>
      <c r="P1092" s="354"/>
      <c r="Q1092" s="354"/>
      <c r="R1092" s="354"/>
      <c r="S1092" s="354"/>
      <c r="T1092" s="354"/>
      <c r="U1092" s="354"/>
      <c r="V1092" s="354"/>
      <c r="W1092" s="354"/>
      <c r="X1092" s="354"/>
      <c r="Y1092" s="354"/>
      <c r="Z1092" s="353"/>
      <c r="AA1092" s="353"/>
      <c r="AB1092" s="836"/>
      <c r="AC1092" s="836"/>
      <c r="AD1092" s="836"/>
      <c r="AE1092" s="838"/>
    </row>
    <row r="1093" spans="1:31" ht="16.5" customHeight="1">
      <c r="A1093" s="347">
        <v>36783223</v>
      </c>
      <c r="B1093" s="347" t="s">
        <v>6649</v>
      </c>
      <c r="C1093" s="347"/>
      <c r="D1093" s="348"/>
      <c r="E1093" s="348"/>
      <c r="F1093" s="348"/>
      <c r="G1093" s="348"/>
      <c r="H1093" s="358"/>
      <c r="I1093" s="352"/>
      <c r="J1093" s="353"/>
      <c r="K1093" s="538"/>
      <c r="L1093" s="487"/>
      <c r="M1093" s="487"/>
      <c r="N1093" s="354"/>
      <c r="O1093" s="354"/>
      <c r="P1093" s="354"/>
      <c r="Q1093" s="354"/>
      <c r="R1093" s="354"/>
      <c r="S1093" s="354"/>
      <c r="T1093" s="354"/>
      <c r="U1093" s="354"/>
      <c r="V1093" s="354"/>
      <c r="W1093" s="354"/>
      <c r="X1093" s="354"/>
      <c r="Y1093" s="354"/>
      <c r="Z1093" s="353"/>
      <c r="AA1093" s="353"/>
      <c r="AB1093" s="836"/>
      <c r="AC1093" s="836"/>
      <c r="AD1093" s="836"/>
      <c r="AE1093" s="838"/>
    </row>
    <row r="1094" spans="1:31" ht="16.5" customHeight="1">
      <c r="A1094" s="347">
        <v>24161499</v>
      </c>
      <c r="B1094" s="347" t="s">
        <v>6650</v>
      </c>
      <c r="C1094" s="347"/>
      <c r="D1094" s="348"/>
      <c r="E1094" s="348"/>
      <c r="F1094" s="348"/>
      <c r="G1094" s="348"/>
      <c r="H1094" s="358"/>
      <c r="I1094" s="352"/>
      <c r="J1094" s="353"/>
      <c r="K1094" s="538"/>
      <c r="L1094" s="487"/>
      <c r="M1094" s="487"/>
      <c r="N1094" s="354"/>
      <c r="O1094" s="354"/>
      <c r="P1094" s="354"/>
      <c r="Q1094" s="354"/>
      <c r="R1094" s="354"/>
      <c r="S1094" s="354"/>
      <c r="T1094" s="354"/>
      <c r="U1094" s="354"/>
      <c r="V1094" s="354"/>
      <c r="W1094" s="354"/>
      <c r="X1094" s="354"/>
      <c r="Y1094" s="354"/>
      <c r="Z1094" s="353"/>
      <c r="AA1094" s="353"/>
      <c r="AB1094" s="836"/>
      <c r="AC1094" s="836"/>
      <c r="AD1094" s="836"/>
      <c r="AE1094" s="838"/>
    </row>
    <row r="1095" spans="1:31" ht="16.5" customHeight="1">
      <c r="A1095" s="347">
        <v>38488672</v>
      </c>
      <c r="B1095" s="347" t="s">
        <v>6651</v>
      </c>
      <c r="C1095" s="347"/>
      <c r="D1095" s="348"/>
      <c r="E1095" s="348"/>
      <c r="F1095" s="348"/>
      <c r="G1095" s="348"/>
      <c r="H1095" s="358"/>
      <c r="I1095" s="352"/>
      <c r="J1095" s="353"/>
      <c r="K1095" s="538"/>
      <c r="L1095" s="487"/>
      <c r="M1095" s="487"/>
      <c r="N1095" s="354"/>
      <c r="O1095" s="354"/>
      <c r="P1095" s="354"/>
      <c r="Q1095" s="354"/>
      <c r="R1095" s="354"/>
      <c r="S1095" s="354"/>
      <c r="T1095" s="354"/>
      <c r="U1095" s="354"/>
      <c r="V1095" s="354"/>
      <c r="W1095" s="354"/>
      <c r="X1095" s="354"/>
      <c r="Y1095" s="354"/>
      <c r="Z1095" s="353"/>
      <c r="AA1095" s="353"/>
      <c r="AB1095" s="836"/>
      <c r="AC1095" s="836"/>
      <c r="AD1095" s="836"/>
      <c r="AE1095" s="838"/>
    </row>
    <row r="1096" spans="1:31" ht="16.5" customHeight="1">
      <c r="A1096" s="347">
        <v>26582403</v>
      </c>
      <c r="B1096" s="347" t="s">
        <v>6652</v>
      </c>
      <c r="C1096" s="347"/>
      <c r="D1096" s="348"/>
      <c r="E1096" s="348"/>
      <c r="F1096" s="348"/>
      <c r="G1096" s="348"/>
      <c r="H1096" s="358"/>
      <c r="I1096" s="352"/>
      <c r="J1096" s="353"/>
      <c r="K1096" s="538"/>
      <c r="L1096" s="487"/>
      <c r="M1096" s="487"/>
      <c r="N1096" s="354"/>
      <c r="O1096" s="354"/>
      <c r="P1096" s="354"/>
      <c r="Q1096" s="354"/>
      <c r="R1096" s="354"/>
      <c r="S1096" s="354"/>
      <c r="T1096" s="354"/>
      <c r="U1096" s="354"/>
      <c r="V1096" s="354"/>
      <c r="W1096" s="354"/>
      <c r="X1096" s="354"/>
      <c r="Y1096" s="354"/>
      <c r="Z1096" s="353"/>
      <c r="AA1096" s="353"/>
      <c r="AB1096" s="836"/>
      <c r="AC1096" s="836"/>
      <c r="AD1096" s="836"/>
      <c r="AE1096" s="838"/>
    </row>
    <row r="1097" spans="1:31" ht="16.5" customHeight="1">
      <c r="A1097" s="347">
        <v>78950052</v>
      </c>
      <c r="B1097" s="347" t="s">
        <v>6653</v>
      </c>
      <c r="C1097" s="347"/>
      <c r="D1097" s="348"/>
      <c r="E1097" s="348"/>
      <c r="F1097" s="348"/>
      <c r="G1097" s="348"/>
      <c r="H1097" s="358"/>
      <c r="I1097" s="352"/>
      <c r="J1097" s="353"/>
      <c r="K1097" s="538"/>
      <c r="L1097" s="487"/>
      <c r="M1097" s="487"/>
      <c r="N1097" s="354"/>
      <c r="O1097" s="354"/>
      <c r="P1097" s="354"/>
      <c r="Q1097" s="354"/>
      <c r="R1097" s="354"/>
      <c r="S1097" s="354"/>
      <c r="T1097" s="354"/>
      <c r="U1097" s="354"/>
      <c r="V1097" s="354"/>
      <c r="W1097" s="354"/>
      <c r="X1097" s="354"/>
      <c r="Y1097" s="354"/>
      <c r="Z1097" s="353"/>
      <c r="AA1097" s="353"/>
      <c r="AB1097" s="836"/>
      <c r="AC1097" s="836"/>
      <c r="AD1097" s="836"/>
      <c r="AE1097" s="838"/>
    </row>
    <row r="1098" spans="1:31" ht="16.5" customHeight="1">
      <c r="A1098" s="347">
        <v>37431475</v>
      </c>
      <c r="B1098" s="347" t="s">
        <v>6654</v>
      </c>
      <c r="C1098" s="347"/>
      <c r="D1098" s="348"/>
      <c r="E1098" s="348"/>
      <c r="F1098" s="348"/>
      <c r="G1098" s="348"/>
      <c r="H1098" s="358"/>
      <c r="I1098" s="352"/>
      <c r="J1098" s="353"/>
      <c r="K1098" s="538"/>
      <c r="L1098" s="487"/>
      <c r="M1098" s="487"/>
      <c r="N1098" s="354"/>
      <c r="O1098" s="354"/>
      <c r="P1098" s="354"/>
      <c r="Q1098" s="354"/>
      <c r="R1098" s="354"/>
      <c r="S1098" s="354"/>
      <c r="T1098" s="354"/>
      <c r="U1098" s="354"/>
      <c r="V1098" s="354"/>
      <c r="W1098" s="354"/>
      <c r="X1098" s="354"/>
      <c r="Y1098" s="354"/>
      <c r="Z1098" s="353"/>
      <c r="AA1098" s="353"/>
      <c r="AB1098" s="836"/>
      <c r="AC1098" s="836"/>
      <c r="AD1098" s="836"/>
      <c r="AE1098" s="838"/>
    </row>
    <row r="1099" spans="1:31" ht="16.5" customHeight="1">
      <c r="A1099" s="347">
        <v>29917531</v>
      </c>
      <c r="B1099" s="347" t="s">
        <v>6655</v>
      </c>
      <c r="C1099" s="347"/>
      <c r="D1099" s="348"/>
      <c r="E1099" s="348"/>
      <c r="F1099" s="348"/>
      <c r="G1099" s="348"/>
      <c r="H1099" s="358"/>
      <c r="I1099" s="352"/>
      <c r="J1099" s="353"/>
      <c r="K1099" s="538"/>
      <c r="L1099" s="487"/>
      <c r="M1099" s="487"/>
      <c r="N1099" s="354"/>
      <c r="O1099" s="354"/>
      <c r="P1099" s="354"/>
      <c r="Q1099" s="354"/>
      <c r="R1099" s="354"/>
      <c r="S1099" s="354"/>
      <c r="T1099" s="354"/>
      <c r="U1099" s="354"/>
      <c r="V1099" s="354"/>
      <c r="W1099" s="354"/>
      <c r="X1099" s="354"/>
      <c r="Y1099" s="354"/>
      <c r="Z1099" s="353"/>
      <c r="AA1099" s="353"/>
      <c r="AB1099" s="836"/>
      <c r="AC1099" s="836"/>
      <c r="AD1099" s="836"/>
      <c r="AE1099" s="838"/>
    </row>
    <row r="1100" spans="1:31" ht="16.5" customHeight="1">
      <c r="A1100" s="347">
        <v>59223156</v>
      </c>
      <c r="B1100" s="347" t="s">
        <v>6656</v>
      </c>
      <c r="C1100" s="347"/>
      <c r="D1100" s="348"/>
      <c r="E1100" s="348"/>
      <c r="F1100" s="348"/>
      <c r="G1100" s="348"/>
      <c r="H1100" s="358"/>
      <c r="I1100" s="352"/>
      <c r="J1100" s="353"/>
      <c r="K1100" s="538"/>
      <c r="L1100" s="487"/>
      <c r="M1100" s="487"/>
      <c r="N1100" s="354"/>
      <c r="O1100" s="354"/>
      <c r="P1100" s="354"/>
      <c r="Q1100" s="354"/>
      <c r="R1100" s="354"/>
      <c r="S1100" s="354"/>
      <c r="T1100" s="354"/>
      <c r="U1100" s="354"/>
      <c r="V1100" s="354"/>
      <c r="W1100" s="354"/>
      <c r="X1100" s="354"/>
      <c r="Y1100" s="354"/>
      <c r="Z1100" s="353"/>
      <c r="AA1100" s="353"/>
      <c r="AB1100" s="836"/>
      <c r="AC1100" s="836"/>
      <c r="AD1100" s="836"/>
      <c r="AE1100" s="838"/>
    </row>
    <row r="1101" spans="1:31" ht="16.5" customHeight="1">
      <c r="A1101" s="347">
        <v>18740464</v>
      </c>
      <c r="B1101" s="347" t="s">
        <v>6657</v>
      </c>
      <c r="C1101" s="347"/>
      <c r="D1101" s="348"/>
      <c r="E1101" s="348"/>
      <c r="F1101" s="348"/>
      <c r="G1101" s="348"/>
      <c r="H1101" s="359"/>
      <c r="I1101" s="352"/>
      <c r="J1101" s="353"/>
      <c r="K1101" s="538"/>
      <c r="L1101" s="487"/>
      <c r="M1101" s="487"/>
      <c r="N1101" s="354"/>
      <c r="O1101" s="354"/>
      <c r="P1101" s="354"/>
      <c r="Q1101" s="354"/>
      <c r="R1101" s="354"/>
      <c r="S1101" s="354"/>
      <c r="T1101" s="354"/>
      <c r="U1101" s="354"/>
      <c r="V1101" s="354"/>
      <c r="W1101" s="354"/>
      <c r="X1101" s="354"/>
      <c r="Y1101" s="354"/>
      <c r="Z1101" s="353"/>
      <c r="AA1101" s="353"/>
      <c r="AB1101" s="836"/>
      <c r="AC1101" s="836"/>
      <c r="AD1101" s="836"/>
      <c r="AE1101" s="838"/>
    </row>
    <row r="1102" spans="1:31" ht="16.5" customHeight="1">
      <c r="A1102" s="347">
        <v>100237354</v>
      </c>
      <c r="B1102" s="347" t="s">
        <v>6658</v>
      </c>
      <c r="C1102" s="347"/>
      <c r="D1102" s="348"/>
      <c r="E1102" s="348"/>
      <c r="F1102" s="348"/>
      <c r="G1102" s="348"/>
      <c r="H1102" s="359"/>
      <c r="I1102" s="352"/>
      <c r="J1102" s="353"/>
      <c r="K1102" s="538"/>
      <c r="L1102" s="487"/>
      <c r="M1102" s="487"/>
      <c r="N1102" s="354"/>
      <c r="O1102" s="354"/>
      <c r="P1102" s="354"/>
      <c r="Q1102" s="354"/>
      <c r="R1102" s="354"/>
      <c r="S1102" s="354"/>
      <c r="T1102" s="354"/>
      <c r="U1102" s="354"/>
      <c r="V1102" s="354"/>
      <c r="W1102" s="354"/>
      <c r="X1102" s="354"/>
      <c r="Y1102" s="354"/>
      <c r="Z1102" s="353"/>
      <c r="AA1102" s="353"/>
      <c r="AB1102" s="836"/>
      <c r="AC1102" s="836"/>
      <c r="AD1102" s="836"/>
      <c r="AE1102" s="838"/>
    </row>
    <row r="1103" spans="1:31" ht="16.5" customHeight="1">
      <c r="A1103" s="347">
        <v>36370674</v>
      </c>
      <c r="B1103" s="347" t="s">
        <v>6659</v>
      </c>
      <c r="C1103" s="347"/>
      <c r="D1103" s="348"/>
      <c r="E1103" s="348"/>
      <c r="F1103" s="348"/>
      <c r="G1103" s="348"/>
      <c r="H1103" s="359"/>
      <c r="I1103" s="352"/>
      <c r="J1103" s="353"/>
      <c r="K1103" s="538"/>
      <c r="L1103" s="487"/>
      <c r="M1103" s="487"/>
      <c r="N1103" s="354"/>
      <c r="O1103" s="354"/>
      <c r="P1103" s="354"/>
      <c r="Q1103" s="354"/>
      <c r="R1103" s="354"/>
      <c r="S1103" s="354"/>
      <c r="T1103" s="354"/>
      <c r="U1103" s="354"/>
      <c r="V1103" s="354"/>
      <c r="W1103" s="354"/>
      <c r="X1103" s="354"/>
      <c r="Y1103" s="354"/>
      <c r="Z1103" s="353"/>
      <c r="AA1103" s="353"/>
      <c r="AB1103" s="836"/>
      <c r="AC1103" s="836"/>
      <c r="AD1103" s="836"/>
      <c r="AE1103" s="838"/>
    </row>
    <row r="1104" spans="1:31" ht="16.5" customHeight="1">
      <c r="A1104" s="347">
        <v>28109700</v>
      </c>
      <c r="B1104" s="347" t="s">
        <v>6660</v>
      </c>
      <c r="C1104" s="347"/>
      <c r="D1104" s="348"/>
      <c r="E1104" s="348"/>
      <c r="F1104" s="348"/>
      <c r="G1104" s="348"/>
      <c r="H1104" s="359"/>
      <c r="I1104" s="352"/>
      <c r="J1104" s="353"/>
      <c r="K1104" s="538"/>
      <c r="L1104" s="487"/>
      <c r="M1104" s="487"/>
      <c r="N1104" s="354"/>
      <c r="O1104" s="354"/>
      <c r="P1104" s="354"/>
      <c r="Q1104" s="354"/>
      <c r="R1104" s="354"/>
      <c r="S1104" s="354"/>
      <c r="T1104" s="354"/>
      <c r="U1104" s="354"/>
      <c r="V1104" s="354"/>
      <c r="W1104" s="354"/>
      <c r="X1104" s="354"/>
      <c r="Y1104" s="354"/>
      <c r="Z1104" s="353"/>
      <c r="AA1104" s="353"/>
      <c r="AB1104" s="836"/>
      <c r="AC1104" s="836"/>
      <c r="AD1104" s="836"/>
      <c r="AE1104" s="838"/>
    </row>
    <row r="1105" spans="1:31" ht="16.5" customHeight="1">
      <c r="A1105" s="347">
        <v>639096</v>
      </c>
      <c r="B1105" s="347" t="s">
        <v>6661</v>
      </c>
      <c r="C1105" s="347"/>
      <c r="D1105" s="348"/>
      <c r="E1105" s="348"/>
      <c r="F1105" s="348"/>
      <c r="G1105" s="348"/>
      <c r="H1105" s="359"/>
      <c r="I1105" s="352"/>
      <c r="J1105" s="353"/>
      <c r="K1105" s="538"/>
      <c r="L1105" s="487"/>
      <c r="M1105" s="487"/>
      <c r="N1105" s="354"/>
      <c r="O1105" s="354"/>
      <c r="P1105" s="354"/>
      <c r="Q1105" s="354"/>
      <c r="R1105" s="354"/>
      <c r="S1105" s="354"/>
      <c r="T1105" s="354"/>
      <c r="U1105" s="354"/>
      <c r="V1105" s="354"/>
      <c r="W1105" s="354"/>
      <c r="X1105" s="354"/>
      <c r="Y1105" s="354"/>
      <c r="Z1105" s="353"/>
      <c r="AA1105" s="353"/>
      <c r="AB1105" s="836"/>
      <c r="AC1105" s="836"/>
      <c r="AD1105" s="836"/>
      <c r="AE1105" s="838"/>
    </row>
    <row r="1106" spans="1:31" ht="16.5" customHeight="1">
      <c r="A1106" s="347">
        <v>74839176</v>
      </c>
      <c r="B1106" s="347" t="s">
        <v>6662</v>
      </c>
      <c r="C1106" s="347"/>
      <c r="D1106" s="348"/>
      <c r="E1106" s="348"/>
      <c r="F1106" s="348"/>
      <c r="G1106" s="348"/>
      <c r="H1106" s="359"/>
      <c r="I1106" s="352"/>
      <c r="J1106" s="353"/>
      <c r="K1106" s="538"/>
      <c r="L1106" s="487"/>
      <c r="M1106" s="487"/>
      <c r="N1106" s="354"/>
      <c r="O1106" s="354"/>
      <c r="P1106" s="354"/>
      <c r="Q1106" s="354"/>
      <c r="R1106" s="354"/>
      <c r="S1106" s="354"/>
      <c r="T1106" s="354"/>
      <c r="U1106" s="354"/>
      <c r="V1106" s="354"/>
      <c r="W1106" s="354"/>
      <c r="X1106" s="354"/>
      <c r="Y1106" s="354"/>
      <c r="Z1106" s="353"/>
      <c r="AA1106" s="353"/>
      <c r="AB1106" s="836"/>
      <c r="AC1106" s="836"/>
      <c r="AD1106" s="836"/>
      <c r="AE1106" s="838"/>
    </row>
    <row r="1107" spans="1:31" ht="16.5" customHeight="1">
      <c r="A1107" s="347">
        <v>85694800</v>
      </c>
      <c r="B1107" s="347" t="s">
        <v>6663</v>
      </c>
      <c r="C1107" s="347"/>
      <c r="D1107" s="361"/>
      <c r="E1107" s="361"/>
      <c r="F1107" s="361"/>
      <c r="G1107" s="348"/>
      <c r="H1107" s="359"/>
      <c r="I1107" s="352"/>
      <c r="J1107" s="353"/>
      <c r="K1107" s="538"/>
      <c r="L1107" s="487"/>
      <c r="M1107" s="487"/>
      <c r="N1107" s="354"/>
      <c r="O1107" s="354"/>
      <c r="P1107" s="354"/>
      <c r="Q1107" s="354"/>
      <c r="R1107" s="354"/>
      <c r="S1107" s="354"/>
      <c r="T1107" s="354"/>
      <c r="U1107" s="354"/>
      <c r="V1107" s="354"/>
      <c r="W1107" s="354"/>
      <c r="X1107" s="354"/>
      <c r="Y1107" s="354"/>
      <c r="Z1107" s="353"/>
      <c r="AA1107" s="353"/>
      <c r="AB1107" s="836"/>
      <c r="AC1107" s="836"/>
      <c r="AD1107" s="836"/>
      <c r="AE1107" s="838"/>
    </row>
    <row r="1108" spans="1:31" ht="16.5" customHeight="1">
      <c r="A1108" s="347">
        <v>66256397</v>
      </c>
      <c r="B1108" s="347" t="s">
        <v>6664</v>
      </c>
      <c r="C1108" s="347"/>
      <c r="D1108" s="361"/>
      <c r="E1108" s="361"/>
      <c r="F1108" s="361"/>
      <c r="G1108" s="348"/>
      <c r="H1108" s="359"/>
      <c r="I1108" s="352"/>
      <c r="J1108" s="353"/>
      <c r="K1108" s="538"/>
      <c r="L1108" s="487"/>
      <c r="M1108" s="487"/>
      <c r="N1108" s="354"/>
      <c r="O1108" s="354"/>
      <c r="P1108" s="354"/>
      <c r="Q1108" s="354"/>
      <c r="R1108" s="354"/>
      <c r="S1108" s="354"/>
      <c r="T1108" s="354"/>
      <c r="U1108" s="354"/>
      <c r="V1108" s="354"/>
      <c r="W1108" s="354"/>
      <c r="X1108" s="354"/>
      <c r="Y1108" s="354"/>
      <c r="Z1108" s="353"/>
      <c r="AA1108" s="353"/>
      <c r="AB1108" s="836"/>
      <c r="AC1108" s="836"/>
      <c r="AD1108" s="836"/>
      <c r="AE1108" s="838"/>
    </row>
    <row r="1109" spans="1:31" ht="16.5" customHeight="1">
      <c r="A1109" s="347">
        <v>95540639</v>
      </c>
      <c r="B1109" s="347" t="s">
        <v>6665</v>
      </c>
      <c r="C1109" s="347"/>
      <c r="D1109" s="348"/>
      <c r="E1109" s="348"/>
      <c r="F1109" s="348"/>
      <c r="G1109" s="348"/>
      <c r="H1109" s="359"/>
      <c r="I1109" s="352"/>
      <c r="J1109" s="353"/>
      <c r="K1109" s="538"/>
      <c r="L1109" s="487"/>
      <c r="M1109" s="487"/>
      <c r="N1109" s="354"/>
      <c r="O1109" s="354"/>
      <c r="P1109" s="354"/>
      <c r="Q1109" s="354"/>
      <c r="R1109" s="354"/>
      <c r="S1109" s="354"/>
      <c r="T1109" s="354"/>
      <c r="U1109" s="354"/>
      <c r="V1109" s="354"/>
      <c r="W1109" s="354"/>
      <c r="X1109" s="354"/>
      <c r="Y1109" s="354"/>
      <c r="Z1109" s="353"/>
      <c r="AA1109" s="353"/>
      <c r="AB1109" s="836"/>
      <c r="AC1109" s="836"/>
      <c r="AD1109" s="836"/>
      <c r="AE1109" s="838"/>
    </row>
    <row r="1110" spans="1:31" ht="16.5" customHeight="1">
      <c r="A1110" s="347">
        <v>40375057</v>
      </c>
      <c r="B1110" s="347" t="s">
        <v>6666</v>
      </c>
      <c r="C1110" s="347"/>
      <c r="D1110" s="348"/>
      <c r="E1110" s="348"/>
      <c r="F1110" s="348"/>
      <c r="G1110" s="348"/>
      <c r="H1110" s="359"/>
      <c r="I1110" s="352"/>
      <c r="J1110" s="353"/>
      <c r="K1110" s="538"/>
      <c r="L1110" s="487"/>
      <c r="M1110" s="487"/>
      <c r="N1110" s="354"/>
      <c r="O1110" s="354"/>
      <c r="P1110" s="354"/>
      <c r="Q1110" s="354"/>
      <c r="R1110" s="354"/>
      <c r="S1110" s="354"/>
      <c r="T1110" s="354"/>
      <c r="U1110" s="354"/>
      <c r="V1110" s="354"/>
      <c r="W1110" s="354"/>
      <c r="X1110" s="354"/>
      <c r="Y1110" s="354"/>
      <c r="Z1110" s="353"/>
      <c r="AA1110" s="353"/>
      <c r="AB1110" s="836"/>
      <c r="AC1110" s="836"/>
      <c r="AD1110" s="836"/>
      <c r="AE1110" s="838"/>
    </row>
    <row r="1111" spans="1:31" ht="16.5" customHeight="1">
      <c r="A1111" s="347">
        <v>26086314</v>
      </c>
      <c r="B1111" s="347" t="s">
        <v>6667</v>
      </c>
      <c r="C1111" s="347"/>
      <c r="D1111" s="361"/>
      <c r="E1111" s="361"/>
      <c r="F1111" s="361"/>
      <c r="G1111" s="348"/>
      <c r="H1111" s="359"/>
      <c r="I1111" s="352"/>
      <c r="J1111" s="353"/>
      <c r="K1111" s="538"/>
      <c r="L1111" s="487"/>
      <c r="M1111" s="487"/>
      <c r="N1111" s="354"/>
      <c r="O1111" s="354"/>
      <c r="P1111" s="354"/>
      <c r="Q1111" s="354"/>
      <c r="R1111" s="354"/>
      <c r="S1111" s="354"/>
      <c r="T1111" s="354"/>
      <c r="U1111" s="354"/>
      <c r="V1111" s="354"/>
      <c r="W1111" s="354"/>
      <c r="X1111" s="354"/>
      <c r="Y1111" s="354"/>
      <c r="Z1111" s="353"/>
      <c r="AA1111" s="353"/>
      <c r="AB1111" s="836"/>
      <c r="AC1111" s="836"/>
      <c r="AD1111" s="836"/>
      <c r="AE1111" s="838"/>
    </row>
    <row r="1112" spans="1:31" ht="16.5" customHeight="1">
      <c r="A1112" s="347">
        <v>100004387</v>
      </c>
      <c r="B1112" s="347" t="s">
        <v>5990</v>
      </c>
      <c r="C1112" s="347"/>
      <c r="D1112" s="348"/>
      <c r="E1112" s="348"/>
      <c r="F1112" s="348"/>
      <c r="G1112" s="348"/>
      <c r="H1112" s="359"/>
      <c r="I1112" s="352"/>
      <c r="J1112" s="353"/>
      <c r="K1112" s="538"/>
      <c r="L1112" s="487"/>
      <c r="M1112" s="487"/>
      <c r="N1112" s="354"/>
      <c r="O1112" s="354"/>
      <c r="P1112" s="354"/>
      <c r="Q1112" s="354"/>
      <c r="R1112" s="354"/>
      <c r="S1112" s="354"/>
      <c r="T1112" s="354"/>
      <c r="U1112" s="354"/>
      <c r="V1112" s="354"/>
      <c r="W1112" s="354"/>
      <c r="X1112" s="354"/>
      <c r="Y1112" s="354"/>
      <c r="Z1112" s="353"/>
      <c r="AA1112" s="353"/>
      <c r="AB1112" s="836"/>
      <c r="AC1112" s="836"/>
      <c r="AD1112" s="836"/>
      <c r="AE1112" s="838"/>
    </row>
    <row r="1113" spans="1:31" ht="16.5" customHeight="1">
      <c r="A1113" s="347">
        <v>339648</v>
      </c>
      <c r="B1113" s="347" t="s">
        <v>6668</v>
      </c>
      <c r="C1113" s="347"/>
      <c r="D1113" s="348"/>
      <c r="E1113" s="348"/>
      <c r="F1113" s="348"/>
      <c r="G1113" s="348"/>
      <c r="H1113" s="359"/>
      <c r="I1113" s="352"/>
      <c r="J1113" s="353"/>
      <c r="K1113" s="538"/>
      <c r="L1113" s="487"/>
      <c r="M1113" s="487"/>
      <c r="N1113" s="354"/>
      <c r="O1113" s="354"/>
      <c r="P1113" s="354"/>
      <c r="Q1113" s="354"/>
      <c r="R1113" s="354"/>
      <c r="S1113" s="354"/>
      <c r="T1113" s="354"/>
      <c r="U1113" s="354"/>
      <c r="V1113" s="354"/>
      <c r="W1113" s="354"/>
      <c r="X1113" s="354"/>
      <c r="Y1113" s="354"/>
      <c r="Z1113" s="353"/>
      <c r="AA1113" s="353"/>
      <c r="AB1113" s="836"/>
      <c r="AC1113" s="836"/>
      <c r="AD1113" s="836"/>
      <c r="AE1113" s="838"/>
    </row>
    <row r="1114" spans="1:31" ht="16.5" customHeight="1">
      <c r="A1114" s="347">
        <v>10305845</v>
      </c>
      <c r="B1114" s="347" t="s">
        <v>6669</v>
      </c>
      <c r="C1114" s="347"/>
      <c r="D1114" s="348"/>
      <c r="E1114" s="348"/>
      <c r="F1114" s="348"/>
      <c r="G1114" s="348"/>
      <c r="H1114" s="359"/>
      <c r="I1114" s="352"/>
      <c r="J1114" s="353"/>
      <c r="K1114" s="538"/>
      <c r="L1114" s="487"/>
      <c r="M1114" s="487"/>
      <c r="N1114" s="354"/>
      <c r="O1114" s="354"/>
      <c r="P1114" s="354"/>
      <c r="Q1114" s="354"/>
      <c r="R1114" s="354"/>
      <c r="S1114" s="354"/>
      <c r="T1114" s="354"/>
      <c r="U1114" s="354"/>
      <c r="V1114" s="354"/>
      <c r="W1114" s="354"/>
      <c r="X1114" s="354"/>
      <c r="Y1114" s="354"/>
      <c r="Z1114" s="353"/>
      <c r="AA1114" s="353"/>
      <c r="AB1114" s="836"/>
      <c r="AC1114" s="836"/>
      <c r="AD1114" s="836"/>
      <c r="AE1114" s="838"/>
    </row>
    <row r="1115" spans="1:31" ht="16.5" customHeight="1">
      <c r="A1115" s="347">
        <v>91153510</v>
      </c>
      <c r="B1115" s="347" t="s">
        <v>6670</v>
      </c>
      <c r="C1115" s="347"/>
      <c r="D1115" s="361"/>
      <c r="E1115" s="361"/>
      <c r="F1115" s="361"/>
      <c r="G1115" s="348"/>
      <c r="H1115" s="359"/>
      <c r="I1115" s="352"/>
      <c r="J1115" s="353"/>
      <c r="K1115" s="538"/>
      <c r="L1115" s="487"/>
      <c r="M1115" s="487"/>
      <c r="N1115" s="354"/>
      <c r="O1115" s="354"/>
      <c r="P1115" s="354"/>
      <c r="Q1115" s="354"/>
      <c r="R1115" s="354"/>
      <c r="S1115" s="354"/>
      <c r="T1115" s="354"/>
      <c r="U1115" s="354"/>
      <c r="V1115" s="354"/>
      <c r="W1115" s="354"/>
      <c r="X1115" s="354"/>
      <c r="Y1115" s="354"/>
      <c r="Z1115" s="353"/>
      <c r="AA1115" s="353"/>
      <c r="AB1115" s="836"/>
      <c r="AC1115" s="836"/>
      <c r="AD1115" s="836"/>
      <c r="AE1115" s="838"/>
    </row>
    <row r="1116" spans="1:31" ht="16.5" customHeight="1">
      <c r="A1116" s="347">
        <v>8502320</v>
      </c>
      <c r="B1116" s="347" t="s">
        <v>6671</v>
      </c>
      <c r="C1116" s="347"/>
      <c r="D1116" s="348"/>
      <c r="E1116" s="348"/>
      <c r="F1116" s="348"/>
      <c r="G1116" s="348"/>
      <c r="H1116" s="359"/>
      <c r="I1116" s="352"/>
      <c r="J1116" s="353"/>
      <c r="K1116" s="538"/>
      <c r="L1116" s="487"/>
      <c r="M1116" s="487"/>
      <c r="N1116" s="354"/>
      <c r="O1116" s="354"/>
      <c r="P1116" s="354"/>
      <c r="Q1116" s="354"/>
      <c r="R1116" s="354"/>
      <c r="S1116" s="354"/>
      <c r="T1116" s="354"/>
      <c r="U1116" s="354"/>
      <c r="V1116" s="354"/>
      <c r="W1116" s="354"/>
      <c r="X1116" s="354"/>
      <c r="Y1116" s="354"/>
      <c r="Z1116" s="353"/>
      <c r="AA1116" s="353"/>
      <c r="AB1116" s="836"/>
      <c r="AC1116" s="836"/>
      <c r="AD1116" s="836"/>
      <c r="AE1116" s="838"/>
    </row>
    <row r="1117" spans="1:31" ht="16.5" customHeight="1">
      <c r="A1117" s="347">
        <v>37519790</v>
      </c>
      <c r="B1117" s="347" t="s">
        <v>6672</v>
      </c>
      <c r="C1117" s="347"/>
      <c r="D1117" s="348"/>
      <c r="E1117" s="348"/>
      <c r="F1117" s="348"/>
      <c r="G1117" s="348"/>
      <c r="H1117" s="359"/>
      <c r="I1117" s="352"/>
      <c r="J1117" s="353"/>
      <c r="K1117" s="538"/>
      <c r="L1117" s="487"/>
      <c r="M1117" s="487"/>
      <c r="N1117" s="354"/>
      <c r="O1117" s="354"/>
      <c r="P1117" s="354"/>
      <c r="Q1117" s="354"/>
      <c r="R1117" s="354"/>
      <c r="S1117" s="354"/>
      <c r="T1117" s="354"/>
      <c r="U1117" s="354"/>
      <c r="V1117" s="354"/>
      <c r="W1117" s="354"/>
      <c r="X1117" s="354"/>
      <c r="Y1117" s="354"/>
      <c r="Z1117" s="353"/>
      <c r="AA1117" s="353"/>
      <c r="AB1117" s="836"/>
      <c r="AC1117" s="836"/>
      <c r="AD1117" s="836"/>
      <c r="AE1117" s="838"/>
    </row>
    <row r="1118" spans="1:31" ht="16.5" customHeight="1">
      <c r="A1118" s="347">
        <v>6320568</v>
      </c>
      <c r="B1118" s="347" t="s">
        <v>6673</v>
      </c>
      <c r="C1118" s="347"/>
      <c r="D1118" s="348"/>
      <c r="E1118" s="348"/>
      <c r="F1118" s="348"/>
      <c r="G1118" s="348"/>
      <c r="H1118" s="359"/>
      <c r="I1118" s="352"/>
      <c r="J1118" s="353"/>
      <c r="K1118" s="538"/>
      <c r="L1118" s="487"/>
      <c r="M1118" s="487"/>
      <c r="N1118" s="354"/>
      <c r="O1118" s="354"/>
      <c r="P1118" s="354"/>
      <c r="Q1118" s="354"/>
      <c r="R1118" s="354"/>
      <c r="S1118" s="354"/>
      <c r="T1118" s="354"/>
      <c r="U1118" s="354"/>
      <c r="V1118" s="354"/>
      <c r="W1118" s="354"/>
      <c r="X1118" s="354"/>
      <c r="Y1118" s="354"/>
      <c r="Z1118" s="353"/>
      <c r="AA1118" s="353"/>
      <c r="AB1118" s="836"/>
      <c r="AC1118" s="836"/>
      <c r="AD1118" s="836"/>
      <c r="AE1118" s="838"/>
    </row>
    <row r="1119" spans="1:31" ht="16.5" customHeight="1">
      <c r="A1119" s="347">
        <v>28779064</v>
      </c>
      <c r="B1119" s="347" t="s">
        <v>6674</v>
      </c>
      <c r="C1119" s="347"/>
      <c r="D1119" s="361"/>
      <c r="E1119" s="361"/>
      <c r="F1119" s="361"/>
      <c r="G1119" s="348"/>
      <c r="H1119" s="359"/>
      <c r="I1119" s="352"/>
      <c r="J1119" s="353"/>
      <c r="K1119" s="538"/>
      <c r="L1119" s="487"/>
      <c r="M1119" s="487"/>
      <c r="N1119" s="354"/>
      <c r="O1119" s="354"/>
      <c r="P1119" s="354"/>
      <c r="Q1119" s="354"/>
      <c r="R1119" s="354"/>
      <c r="S1119" s="354"/>
      <c r="T1119" s="354"/>
      <c r="U1119" s="354"/>
      <c r="V1119" s="354"/>
      <c r="W1119" s="354"/>
      <c r="X1119" s="354"/>
      <c r="Y1119" s="354"/>
      <c r="Z1119" s="353"/>
      <c r="AA1119" s="353"/>
      <c r="AB1119" s="836"/>
      <c r="AC1119" s="836"/>
      <c r="AD1119" s="836"/>
      <c r="AE1119" s="838"/>
    </row>
    <row r="1120" spans="1:31" ht="16.5" customHeight="1">
      <c r="A1120" s="347">
        <v>2512051</v>
      </c>
      <c r="B1120" s="347" t="s">
        <v>6675</v>
      </c>
      <c r="C1120" s="347"/>
      <c r="D1120" s="348"/>
      <c r="E1120" s="348"/>
      <c r="F1120" s="348"/>
      <c r="G1120" s="348"/>
      <c r="H1120" s="359"/>
      <c r="I1120" s="352"/>
      <c r="J1120" s="353"/>
      <c r="K1120" s="538"/>
      <c r="L1120" s="487"/>
      <c r="M1120" s="487"/>
      <c r="N1120" s="354"/>
      <c r="O1120" s="354"/>
      <c r="P1120" s="354"/>
      <c r="Q1120" s="354"/>
      <c r="R1120" s="354"/>
      <c r="S1120" s="354"/>
      <c r="T1120" s="354"/>
      <c r="U1120" s="354"/>
      <c r="V1120" s="354"/>
      <c r="W1120" s="354"/>
      <c r="X1120" s="354"/>
      <c r="Y1120" s="354"/>
      <c r="Z1120" s="353"/>
      <c r="AA1120" s="353"/>
      <c r="AB1120" s="836"/>
      <c r="AC1120" s="836"/>
      <c r="AD1120" s="836"/>
      <c r="AE1120" s="838"/>
    </row>
    <row r="1121" spans="1:31" ht="16.5" customHeight="1">
      <c r="A1121" s="347">
        <v>22757660</v>
      </c>
      <c r="B1121" s="347" t="s">
        <v>6676</v>
      </c>
      <c r="C1121" s="347"/>
      <c r="D1121" s="348"/>
      <c r="E1121" s="348"/>
      <c r="F1121" s="348"/>
      <c r="G1121" s="348"/>
      <c r="H1121" s="359"/>
      <c r="I1121" s="352"/>
      <c r="J1121" s="353"/>
      <c r="K1121" s="538"/>
      <c r="L1121" s="487"/>
      <c r="M1121" s="487"/>
      <c r="N1121" s="354"/>
      <c r="O1121" s="354"/>
      <c r="P1121" s="354"/>
      <c r="Q1121" s="354"/>
      <c r="R1121" s="354"/>
      <c r="S1121" s="354"/>
      <c r="T1121" s="354"/>
      <c r="U1121" s="354"/>
      <c r="V1121" s="354"/>
      <c r="W1121" s="354"/>
      <c r="X1121" s="354"/>
      <c r="Y1121" s="354"/>
      <c r="Z1121" s="353"/>
      <c r="AA1121" s="353"/>
      <c r="AB1121" s="836"/>
      <c r="AC1121" s="836"/>
      <c r="AD1121" s="836"/>
      <c r="AE1121" s="838"/>
    </row>
    <row r="1122" spans="1:31" ht="16.5" customHeight="1">
      <c r="A1122" s="347">
        <v>29856390</v>
      </c>
      <c r="B1122" s="347" t="s">
        <v>6677</v>
      </c>
      <c r="C1122" s="347"/>
      <c r="D1122" s="348"/>
      <c r="E1122" s="348"/>
      <c r="F1122" s="348"/>
      <c r="G1122" s="348"/>
      <c r="H1122" s="359"/>
      <c r="I1122" s="352"/>
      <c r="J1122" s="353"/>
      <c r="K1122" s="538"/>
      <c r="L1122" s="487"/>
      <c r="M1122" s="487"/>
      <c r="N1122" s="354"/>
      <c r="O1122" s="354"/>
      <c r="P1122" s="354"/>
      <c r="Q1122" s="354"/>
      <c r="R1122" s="354"/>
      <c r="S1122" s="354"/>
      <c r="T1122" s="354"/>
      <c r="U1122" s="354"/>
      <c r="V1122" s="354"/>
      <c r="W1122" s="354"/>
      <c r="X1122" s="354"/>
      <c r="Y1122" s="354"/>
      <c r="Z1122" s="353"/>
      <c r="AA1122" s="353"/>
      <c r="AB1122" s="836"/>
      <c r="AC1122" s="836"/>
      <c r="AD1122" s="836"/>
      <c r="AE1122" s="838"/>
    </row>
    <row r="1123" spans="1:31" ht="16.5" customHeight="1">
      <c r="A1123" s="347">
        <v>54687371</v>
      </c>
      <c r="B1123" s="347" t="s">
        <v>6678</v>
      </c>
      <c r="C1123" s="347"/>
      <c r="D1123" s="348"/>
      <c r="E1123" s="348"/>
      <c r="F1123" s="348"/>
      <c r="G1123" s="348"/>
      <c r="H1123" s="359"/>
      <c r="I1123" s="352"/>
      <c r="J1123" s="353"/>
      <c r="K1123" s="538"/>
      <c r="L1123" s="487"/>
      <c r="M1123" s="487"/>
      <c r="N1123" s="354"/>
      <c r="O1123" s="354"/>
      <c r="P1123" s="354"/>
      <c r="Q1123" s="354"/>
      <c r="R1123" s="354"/>
      <c r="S1123" s="354"/>
      <c r="T1123" s="354"/>
      <c r="U1123" s="354"/>
      <c r="V1123" s="354"/>
      <c r="W1123" s="354"/>
      <c r="X1123" s="354"/>
      <c r="Y1123" s="354"/>
      <c r="Z1123" s="353"/>
      <c r="AA1123" s="353"/>
      <c r="AB1123" s="836"/>
      <c r="AC1123" s="836"/>
      <c r="AD1123" s="836"/>
      <c r="AE1123" s="838"/>
    </row>
    <row r="1124" spans="1:31" ht="16.5" customHeight="1">
      <c r="A1124" s="347">
        <v>10169472</v>
      </c>
      <c r="B1124" s="347" t="s">
        <v>6679</v>
      </c>
      <c r="C1124" s="347"/>
      <c r="D1124" s="348"/>
      <c r="E1124" s="348"/>
      <c r="F1124" s="348"/>
      <c r="G1124" s="348"/>
      <c r="H1124" s="359"/>
      <c r="I1124" s="352"/>
      <c r="J1124" s="353"/>
      <c r="K1124" s="538"/>
      <c r="L1124" s="487"/>
      <c r="M1124" s="487"/>
      <c r="N1124" s="354"/>
      <c r="O1124" s="354"/>
      <c r="P1124" s="354"/>
      <c r="Q1124" s="354"/>
      <c r="R1124" s="354"/>
      <c r="S1124" s="354"/>
      <c r="T1124" s="354"/>
      <c r="U1124" s="354"/>
      <c r="V1124" s="354"/>
      <c r="W1124" s="354"/>
      <c r="X1124" s="354"/>
      <c r="Y1124" s="354"/>
      <c r="Z1124" s="353"/>
      <c r="AA1124" s="353"/>
      <c r="AB1124" s="836"/>
      <c r="AC1124" s="836"/>
      <c r="AD1124" s="836"/>
      <c r="AE1124" s="838"/>
    </row>
    <row r="1125" spans="1:31" ht="16.5" customHeight="1">
      <c r="A1125" s="347">
        <v>56399777</v>
      </c>
      <c r="B1125" s="347" t="s">
        <v>6680</v>
      </c>
      <c r="C1125" s="347"/>
      <c r="D1125" s="348"/>
      <c r="E1125" s="348"/>
      <c r="F1125" s="348"/>
      <c r="G1125" s="348"/>
      <c r="H1125" s="359"/>
      <c r="I1125" s="352"/>
      <c r="J1125" s="353"/>
      <c r="K1125" s="538"/>
      <c r="L1125" s="487"/>
      <c r="M1125" s="487"/>
      <c r="N1125" s="354"/>
      <c r="O1125" s="354"/>
      <c r="P1125" s="354"/>
      <c r="Q1125" s="354"/>
      <c r="R1125" s="354"/>
      <c r="S1125" s="354"/>
      <c r="T1125" s="354"/>
      <c r="U1125" s="354"/>
      <c r="V1125" s="354"/>
      <c r="W1125" s="354"/>
      <c r="X1125" s="354"/>
      <c r="Y1125" s="354"/>
      <c r="Z1125" s="353"/>
      <c r="AA1125" s="353"/>
      <c r="AB1125" s="836"/>
      <c r="AC1125" s="836"/>
      <c r="AD1125" s="836"/>
      <c r="AE1125" s="838"/>
    </row>
    <row r="1126" spans="1:31" ht="16.5" customHeight="1">
      <c r="A1126" s="347">
        <v>95334991</v>
      </c>
      <c r="B1126" s="347" t="s">
        <v>6681</v>
      </c>
      <c r="C1126" s="347"/>
      <c r="D1126" s="348"/>
      <c r="E1126" s="348"/>
      <c r="F1126" s="348"/>
      <c r="G1126" s="348"/>
      <c r="H1126" s="359"/>
      <c r="I1126" s="352"/>
      <c r="J1126" s="353"/>
      <c r="K1126" s="538"/>
      <c r="L1126" s="487"/>
      <c r="M1126" s="487"/>
      <c r="N1126" s="354"/>
      <c r="O1126" s="354"/>
      <c r="P1126" s="354"/>
      <c r="Q1126" s="354"/>
      <c r="R1126" s="354"/>
      <c r="S1126" s="354"/>
      <c r="T1126" s="354"/>
      <c r="U1126" s="354"/>
      <c r="V1126" s="354"/>
      <c r="W1126" s="354"/>
      <c r="X1126" s="354"/>
      <c r="Y1126" s="354"/>
      <c r="Z1126" s="353"/>
      <c r="AA1126" s="353"/>
      <c r="AB1126" s="836"/>
      <c r="AC1126" s="836"/>
      <c r="AD1126" s="836"/>
      <c r="AE1126" s="838"/>
    </row>
    <row r="1127" spans="1:31" ht="16.5" customHeight="1">
      <c r="A1127" s="347">
        <v>30115372</v>
      </c>
      <c r="B1127" s="347" t="s">
        <v>6682</v>
      </c>
      <c r="C1127" s="347"/>
      <c r="D1127" s="348"/>
      <c r="E1127" s="348"/>
      <c r="F1127" s="348"/>
      <c r="G1127" s="348"/>
      <c r="H1127" s="359"/>
      <c r="I1127" s="352"/>
      <c r="J1127" s="353"/>
      <c r="K1127" s="538"/>
      <c r="L1127" s="487"/>
      <c r="M1127" s="487"/>
      <c r="N1127" s="354"/>
      <c r="O1127" s="354"/>
      <c r="P1127" s="354"/>
      <c r="Q1127" s="354"/>
      <c r="R1127" s="354"/>
      <c r="S1127" s="354"/>
      <c r="T1127" s="354"/>
      <c r="U1127" s="354"/>
      <c r="V1127" s="354"/>
      <c r="W1127" s="354"/>
      <c r="X1127" s="354"/>
      <c r="Y1127" s="354"/>
      <c r="Z1127" s="353"/>
      <c r="AA1127" s="353"/>
      <c r="AB1127" s="836"/>
      <c r="AC1127" s="836"/>
      <c r="AD1127" s="836"/>
      <c r="AE1127" s="838"/>
    </row>
    <row r="1128" spans="1:31" ht="16.5" customHeight="1">
      <c r="A1128" s="347">
        <v>31131105</v>
      </c>
      <c r="B1128" s="347" t="s">
        <v>6683</v>
      </c>
      <c r="C1128" s="347"/>
      <c r="D1128" s="361"/>
      <c r="E1128" s="361"/>
      <c r="F1128" s="361"/>
      <c r="G1128" s="348"/>
      <c r="H1128" s="359"/>
      <c r="I1128" s="352"/>
      <c r="J1128" s="353"/>
      <c r="K1128" s="538"/>
      <c r="L1128" s="487"/>
      <c r="M1128" s="487"/>
      <c r="N1128" s="354"/>
      <c r="O1128" s="354"/>
      <c r="P1128" s="354"/>
      <c r="Q1128" s="354"/>
      <c r="R1128" s="354"/>
      <c r="S1128" s="354"/>
      <c r="T1128" s="354"/>
      <c r="U1128" s="354"/>
      <c r="V1128" s="354"/>
      <c r="W1128" s="354"/>
      <c r="X1128" s="354"/>
      <c r="Y1128" s="354"/>
      <c r="Z1128" s="353"/>
      <c r="AA1128" s="353"/>
      <c r="AB1128" s="836"/>
      <c r="AC1128" s="836"/>
      <c r="AD1128" s="836"/>
      <c r="AE1128" s="838"/>
    </row>
    <row r="1129" spans="1:31" ht="16.5" customHeight="1">
      <c r="A1129" s="347">
        <v>37653490</v>
      </c>
      <c r="B1129" s="347" t="s">
        <v>6684</v>
      </c>
      <c r="C1129" s="347"/>
      <c r="D1129" s="348"/>
      <c r="E1129" s="348"/>
      <c r="F1129" s="348"/>
      <c r="G1129" s="348"/>
      <c r="H1129" s="359"/>
      <c r="I1129" s="352"/>
      <c r="J1129" s="353"/>
      <c r="K1129" s="538"/>
      <c r="L1129" s="487"/>
      <c r="M1129" s="487"/>
      <c r="N1129" s="354"/>
      <c r="O1129" s="354"/>
      <c r="P1129" s="354"/>
      <c r="Q1129" s="354"/>
      <c r="R1129" s="354"/>
      <c r="S1129" s="354"/>
      <c r="T1129" s="354"/>
      <c r="U1129" s="354"/>
      <c r="V1129" s="354"/>
      <c r="W1129" s="354"/>
      <c r="X1129" s="354"/>
      <c r="Y1129" s="354"/>
      <c r="Z1129" s="353"/>
      <c r="AA1129" s="353"/>
      <c r="AB1129" s="836"/>
      <c r="AC1129" s="836"/>
      <c r="AD1129" s="836"/>
      <c r="AE1129" s="838"/>
    </row>
    <row r="1130" spans="1:31" ht="16.5" customHeight="1">
      <c r="A1130" s="347">
        <v>100335192</v>
      </c>
      <c r="B1130" s="347" t="s">
        <v>6685</v>
      </c>
      <c r="C1130" s="347"/>
      <c r="D1130" s="348"/>
      <c r="E1130" s="348"/>
      <c r="F1130" s="348"/>
      <c r="G1130" s="348"/>
      <c r="H1130" s="359"/>
      <c r="I1130" s="352"/>
      <c r="J1130" s="353"/>
      <c r="K1130" s="538"/>
      <c r="L1130" s="487"/>
      <c r="M1130" s="487"/>
      <c r="N1130" s="354"/>
      <c r="O1130" s="354"/>
      <c r="P1130" s="354"/>
      <c r="Q1130" s="354"/>
      <c r="R1130" s="354"/>
      <c r="S1130" s="354"/>
      <c r="T1130" s="354"/>
      <c r="U1130" s="354"/>
      <c r="V1130" s="354"/>
      <c r="W1130" s="354"/>
      <c r="X1130" s="354"/>
      <c r="Y1130" s="354"/>
      <c r="Z1130" s="353"/>
      <c r="AA1130" s="353"/>
      <c r="AB1130" s="836"/>
      <c r="AC1130" s="836"/>
      <c r="AD1130" s="836"/>
      <c r="AE1130" s="838"/>
    </row>
    <row r="1131" spans="1:31" ht="16.5" customHeight="1">
      <c r="A1131" s="347">
        <v>5840269</v>
      </c>
      <c r="B1131" s="347" t="s">
        <v>6686</v>
      </c>
      <c r="C1131" s="347"/>
      <c r="D1131" s="348"/>
      <c r="E1131" s="348"/>
      <c r="F1131" s="348"/>
      <c r="G1131" s="348"/>
      <c r="H1131" s="359"/>
      <c r="I1131" s="352"/>
      <c r="J1131" s="353"/>
      <c r="K1131" s="538"/>
      <c r="L1131" s="487"/>
      <c r="M1131" s="487"/>
      <c r="N1131" s="354"/>
      <c r="O1131" s="354"/>
      <c r="P1131" s="354"/>
      <c r="Q1131" s="354"/>
      <c r="R1131" s="354"/>
      <c r="S1131" s="354"/>
      <c r="T1131" s="354"/>
      <c r="U1131" s="354"/>
      <c r="V1131" s="354"/>
      <c r="W1131" s="354"/>
      <c r="X1131" s="354"/>
      <c r="Y1131" s="354"/>
      <c r="Z1131" s="353"/>
      <c r="AA1131" s="353"/>
      <c r="AB1131" s="836"/>
      <c r="AC1131" s="836"/>
      <c r="AD1131" s="836"/>
      <c r="AE1131" s="838"/>
    </row>
    <row r="1132" spans="1:31" ht="16.5" customHeight="1">
      <c r="A1132" s="347">
        <v>93766194</v>
      </c>
      <c r="B1132" s="347" t="s">
        <v>6687</v>
      </c>
      <c r="C1132" s="347"/>
      <c r="D1132" s="348"/>
      <c r="E1132" s="348"/>
      <c r="F1132" s="348"/>
      <c r="G1132" s="348"/>
      <c r="H1132" s="359"/>
      <c r="I1132" s="352"/>
      <c r="J1132" s="353"/>
      <c r="K1132" s="538"/>
      <c r="L1132" s="487"/>
      <c r="M1132" s="487"/>
      <c r="N1132" s="354"/>
      <c r="O1132" s="354"/>
      <c r="P1132" s="354"/>
      <c r="Q1132" s="354"/>
      <c r="R1132" s="354"/>
      <c r="S1132" s="354"/>
      <c r="T1132" s="354"/>
      <c r="U1132" s="354"/>
      <c r="V1132" s="354"/>
      <c r="W1132" s="354"/>
      <c r="X1132" s="354"/>
      <c r="Y1132" s="354"/>
      <c r="Z1132" s="353"/>
      <c r="AA1132" s="353"/>
      <c r="AB1132" s="836"/>
      <c r="AC1132" s="836"/>
      <c r="AD1132" s="836"/>
      <c r="AE1132" s="838"/>
    </row>
    <row r="1133" spans="1:31" ht="16.5" customHeight="1">
      <c r="A1133" s="347">
        <v>74919812</v>
      </c>
      <c r="B1133" s="347" t="s">
        <v>6688</v>
      </c>
      <c r="C1133" s="347"/>
      <c r="D1133" s="348"/>
      <c r="E1133" s="348"/>
      <c r="F1133" s="348"/>
      <c r="G1133" s="348"/>
      <c r="H1133" s="359"/>
      <c r="I1133" s="352"/>
      <c r="J1133" s="353"/>
      <c r="K1133" s="538"/>
      <c r="L1133" s="487"/>
      <c r="M1133" s="487"/>
      <c r="N1133" s="354"/>
      <c r="O1133" s="354"/>
      <c r="P1133" s="354"/>
      <c r="Q1133" s="354"/>
      <c r="R1133" s="354"/>
      <c r="S1133" s="354"/>
      <c r="T1133" s="354"/>
      <c r="U1133" s="354"/>
      <c r="V1133" s="354"/>
      <c r="W1133" s="354"/>
      <c r="X1133" s="354"/>
      <c r="Y1133" s="354"/>
      <c r="Z1133" s="353"/>
      <c r="AA1133" s="353"/>
      <c r="AB1133" s="836"/>
      <c r="AC1133" s="836"/>
      <c r="AD1133" s="836"/>
      <c r="AE1133" s="838"/>
    </row>
    <row r="1134" spans="1:31" ht="16.5" customHeight="1">
      <c r="A1134" s="347">
        <v>77613883</v>
      </c>
      <c r="B1134" s="347" t="s">
        <v>6689</v>
      </c>
      <c r="C1134" s="347"/>
      <c r="D1134" s="348"/>
      <c r="E1134" s="348"/>
      <c r="F1134" s="348"/>
      <c r="G1134" s="348"/>
      <c r="H1134" s="359"/>
      <c r="I1134" s="352"/>
      <c r="J1134" s="353"/>
      <c r="K1134" s="538"/>
      <c r="L1134" s="487"/>
      <c r="M1134" s="487"/>
      <c r="N1134" s="354"/>
      <c r="O1134" s="354"/>
      <c r="P1134" s="354"/>
      <c r="Q1134" s="354"/>
      <c r="R1134" s="354"/>
      <c r="S1134" s="354"/>
      <c r="T1134" s="354"/>
      <c r="U1134" s="354"/>
      <c r="V1134" s="354"/>
      <c r="W1134" s="354"/>
      <c r="X1134" s="354"/>
      <c r="Y1134" s="354"/>
      <c r="Z1134" s="353"/>
      <c r="AA1134" s="353"/>
      <c r="AB1134" s="836"/>
      <c r="AC1134" s="836"/>
      <c r="AD1134" s="836"/>
      <c r="AE1134" s="838"/>
    </row>
    <row r="1135" spans="1:31" ht="16.5" customHeight="1">
      <c r="A1135" s="347">
        <v>94300878</v>
      </c>
      <c r="B1135" s="347" t="s">
        <v>6690</v>
      </c>
      <c r="C1135" s="347"/>
      <c r="D1135" s="348"/>
      <c r="E1135" s="348"/>
      <c r="F1135" s="348"/>
      <c r="G1135" s="348"/>
      <c r="H1135" s="359"/>
      <c r="I1135" s="352"/>
      <c r="J1135" s="353"/>
      <c r="K1135" s="538"/>
      <c r="L1135" s="487"/>
      <c r="M1135" s="487"/>
      <c r="N1135" s="354"/>
      <c r="O1135" s="354"/>
      <c r="P1135" s="354"/>
      <c r="Q1135" s="354"/>
      <c r="R1135" s="354"/>
      <c r="S1135" s="354"/>
      <c r="T1135" s="354"/>
      <c r="U1135" s="354"/>
      <c r="V1135" s="354"/>
      <c r="W1135" s="354"/>
      <c r="X1135" s="354"/>
      <c r="Y1135" s="354"/>
      <c r="Z1135" s="353"/>
      <c r="AA1135" s="353"/>
      <c r="AB1135" s="836"/>
      <c r="AC1135" s="836"/>
      <c r="AD1135" s="836"/>
      <c r="AE1135" s="838"/>
    </row>
    <row r="1136" spans="1:31" ht="16.5" customHeight="1">
      <c r="A1136" s="347">
        <v>28249159</v>
      </c>
      <c r="B1136" s="347" t="s">
        <v>6691</v>
      </c>
      <c r="C1136" s="347"/>
      <c r="D1136" s="348"/>
      <c r="E1136" s="348"/>
      <c r="F1136" s="348"/>
      <c r="G1136" s="348"/>
      <c r="H1136" s="359"/>
      <c r="I1136" s="352"/>
      <c r="J1136" s="353"/>
      <c r="K1136" s="538"/>
      <c r="L1136" s="487"/>
      <c r="M1136" s="487"/>
      <c r="N1136" s="354"/>
      <c r="O1136" s="354"/>
      <c r="P1136" s="354"/>
      <c r="Q1136" s="354"/>
      <c r="R1136" s="354"/>
      <c r="S1136" s="354"/>
      <c r="T1136" s="354"/>
      <c r="U1136" s="354"/>
      <c r="V1136" s="354"/>
      <c r="W1136" s="354"/>
      <c r="X1136" s="354"/>
      <c r="Y1136" s="354"/>
      <c r="Z1136" s="353"/>
      <c r="AA1136" s="353"/>
      <c r="AB1136" s="836"/>
      <c r="AC1136" s="836"/>
      <c r="AD1136" s="836"/>
      <c r="AE1136" s="838"/>
    </row>
    <row r="1137" spans="1:31" ht="16.5" customHeight="1">
      <c r="A1137" s="347">
        <v>48632376</v>
      </c>
      <c r="B1137" s="347" t="s">
        <v>6692</v>
      </c>
      <c r="C1137" s="347"/>
      <c r="D1137" s="361"/>
      <c r="E1137" s="361"/>
      <c r="F1137" s="361"/>
      <c r="G1137" s="348"/>
      <c r="H1137" s="359"/>
      <c r="I1137" s="352"/>
      <c r="J1137" s="353"/>
      <c r="K1137" s="538"/>
      <c r="L1137" s="487"/>
      <c r="M1137" s="487"/>
      <c r="N1137" s="354"/>
      <c r="O1137" s="354"/>
      <c r="P1137" s="354"/>
      <c r="Q1137" s="354"/>
      <c r="R1137" s="354"/>
      <c r="S1137" s="354"/>
      <c r="T1137" s="354"/>
      <c r="U1137" s="354"/>
      <c r="V1137" s="354"/>
      <c r="W1137" s="354"/>
      <c r="X1137" s="354"/>
      <c r="Y1137" s="354"/>
      <c r="Z1137" s="353"/>
      <c r="AA1137" s="353"/>
      <c r="AB1137" s="836"/>
      <c r="AC1137" s="836"/>
      <c r="AD1137" s="836"/>
      <c r="AE1137" s="838"/>
    </row>
    <row r="1138" spans="1:31" ht="16.5" customHeight="1">
      <c r="A1138" s="347">
        <v>40019051</v>
      </c>
      <c r="B1138" s="347" t="s">
        <v>6693</v>
      </c>
      <c r="C1138" s="347"/>
      <c r="D1138" s="348"/>
      <c r="E1138" s="348"/>
      <c r="F1138" s="348"/>
      <c r="G1138" s="348"/>
      <c r="H1138" s="359"/>
      <c r="I1138" s="352"/>
      <c r="J1138" s="353"/>
      <c r="K1138" s="538"/>
      <c r="L1138" s="487"/>
      <c r="M1138" s="487"/>
      <c r="N1138" s="354"/>
      <c r="O1138" s="354"/>
      <c r="P1138" s="354"/>
      <c r="Q1138" s="354"/>
      <c r="R1138" s="354"/>
      <c r="S1138" s="354"/>
      <c r="T1138" s="354"/>
      <c r="U1138" s="354"/>
      <c r="V1138" s="354"/>
      <c r="W1138" s="354"/>
      <c r="X1138" s="354"/>
      <c r="Y1138" s="354"/>
      <c r="Z1138" s="353"/>
      <c r="AA1138" s="353"/>
      <c r="AB1138" s="836"/>
      <c r="AC1138" s="836"/>
      <c r="AD1138" s="836"/>
      <c r="AE1138" s="838"/>
    </row>
    <row r="1139" spans="1:31" ht="16.5" customHeight="1">
      <c r="A1139" s="347">
        <v>73068371</v>
      </c>
      <c r="B1139" s="347" t="s">
        <v>6694</v>
      </c>
      <c r="C1139" s="347"/>
      <c r="D1139" s="348"/>
      <c r="E1139" s="348"/>
      <c r="F1139" s="348"/>
      <c r="G1139" s="348"/>
      <c r="H1139" s="359"/>
      <c r="I1139" s="352"/>
      <c r="J1139" s="353"/>
      <c r="K1139" s="538"/>
      <c r="L1139" s="487"/>
      <c r="M1139" s="487"/>
      <c r="N1139" s="354"/>
      <c r="O1139" s="354"/>
      <c r="P1139" s="354"/>
      <c r="Q1139" s="354"/>
      <c r="R1139" s="354"/>
      <c r="S1139" s="354"/>
      <c r="T1139" s="354"/>
      <c r="U1139" s="354"/>
      <c r="V1139" s="354"/>
      <c r="W1139" s="354"/>
      <c r="X1139" s="354"/>
      <c r="Y1139" s="354"/>
      <c r="Z1139" s="353"/>
      <c r="AA1139" s="353"/>
      <c r="AB1139" s="836"/>
      <c r="AC1139" s="836"/>
      <c r="AD1139" s="836"/>
      <c r="AE1139" s="838"/>
    </row>
    <row r="1140" spans="1:31" ht="16.5" customHeight="1">
      <c r="A1140" s="347">
        <v>64181829</v>
      </c>
      <c r="B1140" s="347" t="s">
        <v>6695</v>
      </c>
      <c r="C1140" s="347"/>
      <c r="D1140" s="348"/>
      <c r="E1140" s="348"/>
      <c r="F1140" s="348"/>
      <c r="G1140" s="348"/>
      <c r="H1140" s="359"/>
      <c r="I1140" s="352"/>
      <c r="J1140" s="353"/>
      <c r="K1140" s="538"/>
      <c r="L1140" s="487"/>
      <c r="M1140" s="487"/>
      <c r="N1140" s="354"/>
      <c r="O1140" s="354"/>
      <c r="P1140" s="354"/>
      <c r="Q1140" s="354"/>
      <c r="R1140" s="354"/>
      <c r="S1140" s="354"/>
      <c r="T1140" s="354"/>
      <c r="U1140" s="354"/>
      <c r="V1140" s="354"/>
      <c r="W1140" s="354"/>
      <c r="X1140" s="354"/>
      <c r="Y1140" s="354"/>
      <c r="Z1140" s="353"/>
      <c r="AA1140" s="353"/>
      <c r="AB1140" s="836"/>
      <c r="AC1140" s="836"/>
      <c r="AD1140" s="836"/>
      <c r="AE1140" s="838"/>
    </row>
    <row r="1141" spans="1:31" ht="16.5" customHeight="1">
      <c r="A1141" s="347">
        <v>25425232</v>
      </c>
      <c r="B1141" s="347" t="s">
        <v>6696</v>
      </c>
      <c r="C1141" s="347"/>
      <c r="D1141" s="348"/>
      <c r="E1141" s="348"/>
      <c r="F1141" s="348"/>
      <c r="G1141" s="348"/>
      <c r="H1141" s="359"/>
      <c r="I1141" s="352"/>
      <c r="J1141" s="353"/>
      <c r="K1141" s="538"/>
      <c r="L1141" s="487"/>
      <c r="M1141" s="487"/>
      <c r="N1141" s="354"/>
      <c r="O1141" s="354"/>
      <c r="P1141" s="354"/>
      <c r="Q1141" s="354"/>
      <c r="R1141" s="354"/>
      <c r="S1141" s="354"/>
      <c r="T1141" s="354"/>
      <c r="U1141" s="354"/>
      <c r="V1141" s="354"/>
      <c r="W1141" s="354"/>
      <c r="X1141" s="354"/>
      <c r="Y1141" s="354"/>
      <c r="Z1141" s="353"/>
      <c r="AA1141" s="353"/>
      <c r="AB1141" s="836"/>
      <c r="AC1141" s="836"/>
      <c r="AD1141" s="836"/>
      <c r="AE1141" s="838"/>
    </row>
    <row r="1142" spans="1:31" ht="16.5" customHeight="1">
      <c r="A1142" s="347">
        <v>17718370</v>
      </c>
      <c r="B1142" s="347" t="s">
        <v>6697</v>
      </c>
      <c r="C1142" s="347"/>
      <c r="D1142" s="348"/>
      <c r="E1142" s="348"/>
      <c r="F1142" s="348"/>
      <c r="G1142" s="348"/>
      <c r="H1142" s="359"/>
      <c r="I1142" s="352"/>
      <c r="J1142" s="353"/>
      <c r="K1142" s="538"/>
      <c r="L1142" s="487"/>
      <c r="M1142" s="487"/>
      <c r="N1142" s="354"/>
      <c r="O1142" s="354"/>
      <c r="P1142" s="354"/>
      <c r="Q1142" s="354"/>
      <c r="R1142" s="354"/>
      <c r="S1142" s="354"/>
      <c r="T1142" s="354"/>
      <c r="U1142" s="354"/>
      <c r="V1142" s="354"/>
      <c r="W1142" s="354"/>
      <c r="X1142" s="354"/>
      <c r="Y1142" s="354"/>
      <c r="Z1142" s="353"/>
      <c r="AA1142" s="353"/>
      <c r="AB1142" s="836"/>
      <c r="AC1142" s="836"/>
      <c r="AD1142" s="836"/>
      <c r="AE1142" s="838"/>
    </row>
    <row r="1143" spans="1:31" ht="16.5" customHeight="1">
      <c r="A1143" s="347">
        <v>89805378</v>
      </c>
      <c r="B1143" s="347" t="s">
        <v>6698</v>
      </c>
      <c r="C1143" s="347"/>
      <c r="D1143" s="348"/>
      <c r="E1143" s="348"/>
      <c r="F1143" s="348"/>
      <c r="G1143" s="348"/>
      <c r="H1143" s="359"/>
      <c r="I1143" s="352"/>
      <c r="J1143" s="353"/>
      <c r="K1143" s="538"/>
      <c r="L1143" s="487"/>
      <c r="M1143" s="487"/>
      <c r="N1143" s="354"/>
      <c r="O1143" s="354"/>
      <c r="P1143" s="354"/>
      <c r="Q1143" s="354"/>
      <c r="R1143" s="354"/>
      <c r="S1143" s="354"/>
      <c r="T1143" s="354"/>
      <c r="U1143" s="354"/>
      <c r="V1143" s="354"/>
      <c r="W1143" s="354"/>
      <c r="X1143" s="354"/>
      <c r="Y1143" s="354"/>
      <c r="Z1143" s="353"/>
      <c r="AA1143" s="353"/>
      <c r="AB1143" s="836"/>
      <c r="AC1143" s="836"/>
      <c r="AD1143" s="836"/>
      <c r="AE1143" s="838"/>
    </row>
    <row r="1144" spans="1:31" ht="16.5" customHeight="1">
      <c r="A1144" s="347">
        <v>92365790</v>
      </c>
      <c r="B1144" s="347" t="s">
        <v>6699</v>
      </c>
      <c r="C1144" s="347"/>
      <c r="D1144" s="348"/>
      <c r="E1144" s="348"/>
      <c r="F1144" s="348"/>
      <c r="G1144" s="348"/>
      <c r="H1144" s="359"/>
      <c r="I1144" s="352"/>
      <c r="J1144" s="353"/>
      <c r="K1144" s="538"/>
      <c r="L1144" s="487"/>
      <c r="M1144" s="487"/>
      <c r="N1144" s="354"/>
      <c r="O1144" s="354"/>
      <c r="P1144" s="354"/>
      <c r="Q1144" s="354"/>
      <c r="R1144" s="354"/>
      <c r="S1144" s="354"/>
      <c r="T1144" s="354"/>
      <c r="U1144" s="354"/>
      <c r="V1144" s="354"/>
      <c r="W1144" s="354"/>
      <c r="X1144" s="354"/>
      <c r="Y1144" s="354"/>
      <c r="Z1144" s="353"/>
      <c r="AA1144" s="353"/>
      <c r="AB1144" s="836"/>
      <c r="AC1144" s="836"/>
      <c r="AD1144" s="836"/>
      <c r="AE1144" s="838"/>
    </row>
    <row r="1145" spans="1:31" ht="16.5" customHeight="1">
      <c r="A1145" s="347">
        <v>36539435</v>
      </c>
      <c r="B1145" s="347" t="s">
        <v>6700</v>
      </c>
      <c r="C1145" s="347"/>
      <c r="D1145" s="348"/>
      <c r="E1145" s="348"/>
      <c r="F1145" s="348"/>
      <c r="G1145" s="348"/>
      <c r="H1145" s="359"/>
      <c r="I1145" s="352"/>
      <c r="J1145" s="353"/>
      <c r="K1145" s="538"/>
      <c r="L1145" s="487"/>
      <c r="M1145" s="487"/>
      <c r="N1145" s="354"/>
      <c r="O1145" s="354"/>
      <c r="P1145" s="354"/>
      <c r="Q1145" s="354"/>
      <c r="R1145" s="354"/>
      <c r="S1145" s="354"/>
      <c r="T1145" s="354"/>
      <c r="U1145" s="354"/>
      <c r="V1145" s="354"/>
      <c r="W1145" s="354"/>
      <c r="X1145" s="354"/>
      <c r="Y1145" s="354"/>
      <c r="Z1145" s="353"/>
      <c r="AA1145" s="353"/>
      <c r="AB1145" s="836"/>
      <c r="AC1145" s="836"/>
      <c r="AD1145" s="836"/>
      <c r="AE1145" s="838"/>
    </row>
    <row r="1146" spans="1:31" ht="16.5" customHeight="1">
      <c r="A1146" s="347">
        <v>33103763</v>
      </c>
      <c r="B1146" s="347" t="s">
        <v>6701</v>
      </c>
      <c r="C1146" s="347"/>
      <c r="D1146" s="348"/>
      <c r="E1146" s="348"/>
      <c r="F1146" s="348"/>
      <c r="G1146" s="348"/>
      <c r="H1146" s="359"/>
      <c r="I1146" s="352"/>
      <c r="J1146" s="353"/>
      <c r="K1146" s="538"/>
      <c r="L1146" s="487"/>
      <c r="M1146" s="487"/>
      <c r="N1146" s="354"/>
      <c r="O1146" s="354"/>
      <c r="P1146" s="354"/>
      <c r="Q1146" s="354"/>
      <c r="R1146" s="354"/>
      <c r="S1146" s="354"/>
      <c r="T1146" s="354"/>
      <c r="U1146" s="354"/>
      <c r="V1146" s="354"/>
      <c r="W1146" s="354"/>
      <c r="X1146" s="354"/>
      <c r="Y1146" s="354"/>
      <c r="Z1146" s="353"/>
      <c r="AA1146" s="353"/>
      <c r="AB1146" s="836"/>
      <c r="AC1146" s="836"/>
      <c r="AD1146" s="836"/>
      <c r="AE1146" s="838"/>
    </row>
    <row r="1147" spans="1:31" ht="16.5" customHeight="1">
      <c r="A1147" s="347">
        <v>7982879</v>
      </c>
      <c r="B1147" s="347" t="s">
        <v>6702</v>
      </c>
      <c r="C1147" s="347"/>
      <c r="D1147" s="348"/>
      <c r="E1147" s="348"/>
      <c r="F1147" s="348"/>
      <c r="G1147" s="348"/>
      <c r="H1147" s="359"/>
      <c r="I1147" s="352"/>
      <c r="J1147" s="353"/>
      <c r="K1147" s="538"/>
      <c r="L1147" s="487"/>
      <c r="M1147" s="487"/>
      <c r="N1147" s="354"/>
      <c r="O1147" s="354"/>
      <c r="P1147" s="354"/>
      <c r="Q1147" s="354"/>
      <c r="R1147" s="354"/>
      <c r="S1147" s="354"/>
      <c r="T1147" s="354"/>
      <c r="U1147" s="354"/>
      <c r="V1147" s="354"/>
      <c r="W1147" s="354"/>
      <c r="X1147" s="354"/>
      <c r="Y1147" s="354"/>
      <c r="Z1147" s="353"/>
      <c r="AA1147" s="353"/>
      <c r="AB1147" s="836"/>
      <c r="AC1147" s="836"/>
      <c r="AD1147" s="836"/>
      <c r="AE1147" s="838"/>
    </row>
    <row r="1148" spans="1:31" ht="16.5" customHeight="1">
      <c r="A1148" s="347">
        <v>16767212</v>
      </c>
      <c r="B1148" s="347" t="s">
        <v>6703</v>
      </c>
      <c r="C1148" s="347"/>
      <c r="D1148" s="348"/>
      <c r="E1148" s="348"/>
      <c r="F1148" s="348"/>
      <c r="G1148" s="348"/>
      <c r="H1148" s="359"/>
      <c r="I1148" s="352"/>
      <c r="J1148" s="353"/>
      <c r="K1148" s="538"/>
      <c r="L1148" s="487"/>
      <c r="M1148" s="487"/>
      <c r="N1148" s="354"/>
      <c r="O1148" s="354"/>
      <c r="P1148" s="354"/>
      <c r="Q1148" s="354"/>
      <c r="R1148" s="354"/>
      <c r="S1148" s="354"/>
      <c r="T1148" s="354"/>
      <c r="U1148" s="354"/>
      <c r="V1148" s="354"/>
      <c r="W1148" s="354"/>
      <c r="X1148" s="354"/>
      <c r="Y1148" s="354"/>
      <c r="Z1148" s="353"/>
      <c r="AA1148" s="353"/>
      <c r="AB1148" s="836"/>
      <c r="AC1148" s="836"/>
      <c r="AD1148" s="836"/>
      <c r="AE1148" s="838"/>
    </row>
    <row r="1149" spans="1:31" ht="16.5" customHeight="1">
      <c r="A1149" s="347">
        <v>90686973</v>
      </c>
      <c r="B1149" s="347" t="s">
        <v>6704</v>
      </c>
      <c r="C1149" s="347"/>
      <c r="D1149" s="348"/>
      <c r="E1149" s="348"/>
      <c r="F1149" s="348"/>
      <c r="G1149" s="348"/>
      <c r="H1149" s="359"/>
      <c r="I1149" s="352"/>
      <c r="J1149" s="353"/>
      <c r="K1149" s="538"/>
      <c r="L1149" s="487"/>
      <c r="M1149" s="487"/>
      <c r="N1149" s="354"/>
      <c r="O1149" s="354"/>
      <c r="P1149" s="354"/>
      <c r="Q1149" s="354"/>
      <c r="R1149" s="354"/>
      <c r="S1149" s="354"/>
      <c r="T1149" s="354"/>
      <c r="U1149" s="354"/>
      <c r="V1149" s="354"/>
      <c r="W1149" s="354"/>
      <c r="X1149" s="354"/>
      <c r="Y1149" s="354"/>
      <c r="Z1149" s="353"/>
      <c r="AA1149" s="353"/>
      <c r="AB1149" s="836"/>
      <c r="AC1149" s="836"/>
      <c r="AD1149" s="836"/>
      <c r="AE1149" s="838"/>
    </row>
    <row r="1150" spans="1:31" ht="16.5" customHeight="1">
      <c r="A1150" s="347">
        <v>31000268</v>
      </c>
      <c r="B1150" s="347" t="s">
        <v>6705</v>
      </c>
      <c r="C1150" s="347"/>
      <c r="D1150" s="348"/>
      <c r="E1150" s="348"/>
      <c r="F1150" s="348"/>
      <c r="G1150" s="348"/>
      <c r="H1150" s="359"/>
      <c r="I1150" s="352"/>
      <c r="J1150" s="353"/>
      <c r="K1150" s="538"/>
      <c r="L1150" s="487"/>
      <c r="M1150" s="487"/>
      <c r="N1150" s="354"/>
      <c r="O1150" s="354"/>
      <c r="P1150" s="354"/>
      <c r="Q1150" s="354"/>
      <c r="R1150" s="354"/>
      <c r="S1150" s="354"/>
      <c r="T1150" s="354"/>
      <c r="U1150" s="354"/>
      <c r="V1150" s="354"/>
      <c r="W1150" s="354"/>
      <c r="X1150" s="354"/>
      <c r="Y1150" s="354"/>
      <c r="Z1150" s="353"/>
      <c r="AA1150" s="353"/>
      <c r="AB1150" s="836"/>
      <c r="AC1150" s="836"/>
      <c r="AD1150" s="836"/>
      <c r="AE1150" s="838"/>
    </row>
    <row r="1151" spans="1:31" ht="16.5" customHeight="1">
      <c r="A1151" s="347">
        <v>91545285</v>
      </c>
      <c r="B1151" s="347" t="s">
        <v>6706</v>
      </c>
      <c r="C1151" s="347"/>
      <c r="D1151" s="348"/>
      <c r="E1151" s="348"/>
      <c r="F1151" s="348"/>
      <c r="G1151" s="348"/>
      <c r="H1151" s="359"/>
      <c r="I1151" s="352"/>
      <c r="J1151" s="353"/>
      <c r="K1151" s="538"/>
      <c r="L1151" s="487"/>
      <c r="M1151" s="487"/>
      <c r="N1151" s="354"/>
      <c r="O1151" s="354"/>
      <c r="P1151" s="354"/>
      <c r="Q1151" s="354"/>
      <c r="R1151" s="354"/>
      <c r="S1151" s="354"/>
      <c r="T1151" s="354"/>
      <c r="U1151" s="354"/>
      <c r="V1151" s="354"/>
      <c r="W1151" s="354"/>
      <c r="X1151" s="354"/>
      <c r="Y1151" s="354"/>
      <c r="Z1151" s="353"/>
      <c r="AA1151" s="353"/>
      <c r="AB1151" s="836"/>
      <c r="AC1151" s="836"/>
      <c r="AD1151" s="836"/>
      <c r="AE1151" s="838"/>
    </row>
    <row r="1152" spans="1:31" ht="16.5" customHeight="1">
      <c r="A1152" s="347">
        <v>89023972</v>
      </c>
      <c r="B1152" s="347" t="s">
        <v>6707</v>
      </c>
      <c r="C1152" s="347"/>
      <c r="D1152" s="348"/>
      <c r="E1152" s="348"/>
      <c r="F1152" s="348"/>
      <c r="G1152" s="348"/>
      <c r="H1152" s="359"/>
      <c r="I1152" s="352"/>
      <c r="J1152" s="353"/>
      <c r="K1152" s="538"/>
      <c r="L1152" s="487"/>
      <c r="M1152" s="487"/>
      <c r="N1152" s="354"/>
      <c r="O1152" s="354"/>
      <c r="P1152" s="354"/>
      <c r="Q1152" s="354"/>
      <c r="R1152" s="354"/>
      <c r="S1152" s="354"/>
      <c r="T1152" s="354"/>
      <c r="U1152" s="354"/>
      <c r="V1152" s="354"/>
      <c r="W1152" s="354"/>
      <c r="X1152" s="354"/>
      <c r="Y1152" s="354"/>
      <c r="Z1152" s="353"/>
      <c r="AA1152" s="353"/>
      <c r="AB1152" s="836"/>
      <c r="AC1152" s="836"/>
      <c r="AD1152" s="836"/>
      <c r="AE1152" s="838"/>
    </row>
    <row r="1153" spans="1:31" ht="16.5" customHeight="1">
      <c r="A1153" s="347">
        <v>93105393</v>
      </c>
      <c r="B1153" s="347" t="s">
        <v>6708</v>
      </c>
      <c r="C1153" s="347"/>
      <c r="D1153" s="348"/>
      <c r="E1153" s="348"/>
      <c r="F1153" s="348"/>
      <c r="G1153" s="348"/>
      <c r="H1153" s="359"/>
      <c r="I1153" s="352"/>
      <c r="J1153" s="353"/>
      <c r="K1153" s="538"/>
      <c r="L1153" s="487"/>
      <c r="M1153" s="487"/>
      <c r="N1153" s="354"/>
      <c r="O1153" s="354"/>
      <c r="P1153" s="354"/>
      <c r="Q1153" s="354"/>
      <c r="R1153" s="354"/>
      <c r="S1153" s="354"/>
      <c r="T1153" s="354"/>
      <c r="U1153" s="354"/>
      <c r="V1153" s="354"/>
      <c r="W1153" s="354"/>
      <c r="X1153" s="354"/>
      <c r="Y1153" s="354"/>
      <c r="Z1153" s="353"/>
      <c r="AA1153" s="353"/>
      <c r="AB1153" s="836"/>
      <c r="AC1153" s="836"/>
      <c r="AD1153" s="836"/>
      <c r="AE1153" s="838"/>
    </row>
    <row r="1154" spans="1:31" ht="16.5" customHeight="1">
      <c r="A1154" s="347">
        <v>69994309</v>
      </c>
      <c r="B1154" s="347" t="s">
        <v>6709</v>
      </c>
      <c r="C1154" s="347"/>
      <c r="D1154" s="348"/>
      <c r="E1154" s="348"/>
      <c r="F1154" s="348"/>
      <c r="G1154" s="348"/>
      <c r="H1154" s="359"/>
      <c r="I1154" s="352"/>
      <c r="J1154" s="353"/>
      <c r="K1154" s="538"/>
      <c r="L1154" s="487"/>
      <c r="M1154" s="487"/>
      <c r="N1154" s="354"/>
      <c r="O1154" s="354"/>
      <c r="P1154" s="354"/>
      <c r="Q1154" s="354"/>
      <c r="R1154" s="354"/>
      <c r="S1154" s="354"/>
      <c r="T1154" s="354"/>
      <c r="U1154" s="354"/>
      <c r="V1154" s="354"/>
      <c r="W1154" s="354"/>
      <c r="X1154" s="354"/>
      <c r="Y1154" s="354"/>
      <c r="Z1154" s="353"/>
      <c r="AA1154" s="353"/>
      <c r="AB1154" s="836"/>
      <c r="AC1154" s="836"/>
      <c r="AD1154" s="836"/>
      <c r="AE1154" s="838"/>
    </row>
    <row r="1155" spans="1:31" ht="16.5" customHeight="1">
      <c r="A1155" s="347">
        <v>71639777</v>
      </c>
      <c r="B1155" s="347" t="s">
        <v>6710</v>
      </c>
      <c r="C1155" s="347"/>
      <c r="D1155" s="361"/>
      <c r="E1155" s="361"/>
      <c r="F1155" s="361"/>
      <c r="G1155" s="348"/>
      <c r="H1155" s="359"/>
      <c r="I1155" s="352"/>
      <c r="J1155" s="353"/>
      <c r="K1155" s="538"/>
      <c r="L1155" s="487"/>
      <c r="M1155" s="487"/>
      <c r="N1155" s="354"/>
      <c r="O1155" s="354"/>
      <c r="P1155" s="354"/>
      <c r="Q1155" s="354"/>
      <c r="R1155" s="354"/>
      <c r="S1155" s="354"/>
      <c r="T1155" s="354"/>
      <c r="U1155" s="354"/>
      <c r="V1155" s="354"/>
      <c r="W1155" s="354"/>
      <c r="X1155" s="354"/>
      <c r="Y1155" s="354"/>
      <c r="Z1155" s="353"/>
      <c r="AA1155" s="353"/>
      <c r="AB1155" s="836"/>
      <c r="AC1155" s="836"/>
      <c r="AD1155" s="836"/>
      <c r="AE1155" s="838"/>
    </row>
    <row r="1156" spans="1:31" ht="16.5" customHeight="1">
      <c r="A1156" s="347">
        <v>59623975</v>
      </c>
      <c r="B1156" s="347" t="s">
        <v>6711</v>
      </c>
      <c r="C1156" s="347"/>
      <c r="D1156" s="361"/>
      <c r="E1156" s="361"/>
      <c r="F1156" s="361"/>
      <c r="G1156" s="348"/>
      <c r="H1156" s="359"/>
      <c r="I1156" s="352"/>
      <c r="J1156" s="353"/>
      <c r="K1156" s="538"/>
      <c r="L1156" s="487"/>
      <c r="M1156" s="487"/>
      <c r="N1156" s="354"/>
      <c r="O1156" s="354"/>
      <c r="P1156" s="354"/>
      <c r="Q1156" s="354"/>
      <c r="R1156" s="354"/>
      <c r="S1156" s="354"/>
      <c r="T1156" s="354"/>
      <c r="U1156" s="354"/>
      <c r="V1156" s="354"/>
      <c r="W1156" s="354"/>
      <c r="X1156" s="354"/>
      <c r="Y1156" s="354"/>
      <c r="Z1156" s="353"/>
      <c r="AA1156" s="353"/>
      <c r="AB1156" s="836"/>
      <c r="AC1156" s="836"/>
      <c r="AD1156" s="836"/>
      <c r="AE1156" s="838"/>
    </row>
    <row r="1157" spans="1:31" ht="16.5" customHeight="1">
      <c r="A1157" s="347">
        <v>16153413</v>
      </c>
      <c r="B1157" s="347" t="s">
        <v>6712</v>
      </c>
      <c r="C1157" s="347"/>
      <c r="D1157" s="361"/>
      <c r="E1157" s="361"/>
      <c r="F1157" s="361"/>
      <c r="G1157" s="348"/>
      <c r="H1157" s="359"/>
      <c r="I1157" s="352"/>
      <c r="J1157" s="353"/>
      <c r="K1157" s="538"/>
      <c r="L1157" s="487"/>
      <c r="M1157" s="487"/>
      <c r="N1157" s="354"/>
      <c r="O1157" s="354"/>
      <c r="P1157" s="354"/>
      <c r="Q1157" s="354"/>
      <c r="R1157" s="354"/>
      <c r="S1157" s="354"/>
      <c r="T1157" s="354"/>
      <c r="U1157" s="354"/>
      <c r="V1157" s="354"/>
      <c r="W1157" s="354"/>
      <c r="X1157" s="354"/>
      <c r="Y1157" s="354"/>
      <c r="Z1157" s="353"/>
      <c r="AA1157" s="353"/>
      <c r="AB1157" s="836"/>
      <c r="AC1157" s="836"/>
      <c r="AD1157" s="836"/>
      <c r="AE1157" s="838"/>
    </row>
    <row r="1158" spans="1:31" ht="16.5" customHeight="1">
      <c r="A1158" s="347">
        <v>94929791</v>
      </c>
      <c r="B1158" s="347" t="s">
        <v>6713</v>
      </c>
      <c r="C1158" s="347"/>
      <c r="D1158" s="361"/>
      <c r="E1158" s="361"/>
      <c r="F1158" s="361"/>
      <c r="G1158" s="348"/>
      <c r="H1158" s="359"/>
      <c r="I1158" s="352"/>
      <c r="J1158" s="353"/>
      <c r="K1158" s="538"/>
      <c r="L1158" s="487"/>
      <c r="M1158" s="487"/>
      <c r="N1158" s="354"/>
      <c r="O1158" s="354"/>
      <c r="P1158" s="354"/>
      <c r="Q1158" s="354"/>
      <c r="R1158" s="354"/>
      <c r="S1158" s="354"/>
      <c r="T1158" s="354"/>
      <c r="U1158" s="354"/>
      <c r="V1158" s="354"/>
      <c r="W1158" s="354"/>
      <c r="X1158" s="354"/>
      <c r="Y1158" s="354"/>
      <c r="Z1158" s="353"/>
      <c r="AA1158" s="353"/>
      <c r="AB1158" s="836"/>
      <c r="AC1158" s="836"/>
      <c r="AD1158" s="836"/>
      <c r="AE1158" s="838"/>
    </row>
    <row r="1159" spans="1:31" ht="16.5" customHeight="1">
      <c r="A1159" s="347">
        <v>98789472</v>
      </c>
      <c r="B1159" s="347" t="s">
        <v>6714</v>
      </c>
      <c r="C1159" s="347"/>
      <c r="D1159" s="348"/>
      <c r="E1159" s="348"/>
      <c r="F1159" s="348"/>
      <c r="G1159" s="348"/>
      <c r="H1159" s="359"/>
      <c r="I1159" s="352"/>
      <c r="J1159" s="353"/>
      <c r="K1159" s="538"/>
      <c r="L1159" s="487"/>
      <c r="M1159" s="487"/>
      <c r="N1159" s="354"/>
      <c r="O1159" s="354"/>
      <c r="P1159" s="354"/>
      <c r="Q1159" s="354"/>
      <c r="R1159" s="354"/>
      <c r="S1159" s="354"/>
      <c r="T1159" s="354"/>
      <c r="U1159" s="354"/>
      <c r="V1159" s="354"/>
      <c r="W1159" s="354"/>
      <c r="X1159" s="354"/>
      <c r="Y1159" s="354"/>
      <c r="Z1159" s="353"/>
      <c r="AA1159" s="353"/>
      <c r="AB1159" s="836"/>
      <c r="AC1159" s="836"/>
      <c r="AD1159" s="836"/>
      <c r="AE1159" s="838"/>
    </row>
    <row r="1160" spans="1:31" ht="16.5" customHeight="1">
      <c r="A1160" s="347">
        <v>40915878</v>
      </c>
      <c r="B1160" s="347" t="s">
        <v>6715</v>
      </c>
      <c r="C1160" s="347"/>
      <c r="D1160" s="361"/>
      <c r="E1160" s="361"/>
      <c r="F1160" s="361"/>
      <c r="G1160" s="348"/>
      <c r="H1160" s="359"/>
      <c r="I1160" s="352"/>
      <c r="J1160" s="353"/>
      <c r="K1160" s="538"/>
      <c r="L1160" s="487"/>
      <c r="M1160" s="487"/>
      <c r="N1160" s="354"/>
      <c r="O1160" s="354"/>
      <c r="P1160" s="354"/>
      <c r="Q1160" s="354"/>
      <c r="R1160" s="354"/>
      <c r="S1160" s="354"/>
      <c r="T1160" s="354"/>
      <c r="U1160" s="354"/>
      <c r="V1160" s="354"/>
      <c r="W1160" s="354"/>
      <c r="X1160" s="354"/>
      <c r="Y1160" s="354"/>
      <c r="Z1160" s="353"/>
      <c r="AA1160" s="353"/>
      <c r="AB1160" s="836"/>
      <c r="AC1160" s="836"/>
      <c r="AD1160" s="836"/>
      <c r="AE1160" s="838"/>
    </row>
    <row r="1161" spans="1:31" ht="16.5" customHeight="1">
      <c r="A1161" s="347">
        <v>36334910</v>
      </c>
      <c r="B1161" s="347" t="s">
        <v>6716</v>
      </c>
      <c r="C1161" s="347"/>
      <c r="D1161" s="361"/>
      <c r="E1161" s="361"/>
      <c r="F1161" s="361"/>
      <c r="G1161" s="348"/>
      <c r="H1161" s="359"/>
      <c r="I1161" s="352"/>
      <c r="J1161" s="353"/>
      <c r="K1161" s="538"/>
      <c r="L1161" s="487"/>
      <c r="M1161" s="487"/>
      <c r="N1161" s="354"/>
      <c r="O1161" s="354"/>
      <c r="P1161" s="354"/>
      <c r="Q1161" s="354"/>
      <c r="R1161" s="354"/>
      <c r="S1161" s="354"/>
      <c r="T1161" s="354"/>
      <c r="U1161" s="354"/>
      <c r="V1161" s="354"/>
      <c r="W1161" s="354"/>
      <c r="X1161" s="354"/>
      <c r="Y1161" s="354"/>
      <c r="Z1161" s="353"/>
      <c r="AA1161" s="353"/>
      <c r="AB1161" s="836"/>
      <c r="AC1161" s="836"/>
      <c r="AD1161" s="836"/>
      <c r="AE1161" s="838"/>
    </row>
    <row r="1162" spans="1:31" ht="16.5" customHeight="1">
      <c r="A1162" s="347">
        <v>19048958</v>
      </c>
      <c r="B1162" s="347" t="s">
        <v>6717</v>
      </c>
      <c r="C1162" s="347"/>
      <c r="D1162" s="348"/>
      <c r="E1162" s="348"/>
      <c r="F1162" s="348"/>
      <c r="G1162" s="348"/>
      <c r="H1162" s="359"/>
      <c r="I1162" s="352"/>
      <c r="J1162" s="353"/>
      <c r="K1162" s="538"/>
      <c r="L1162" s="487"/>
      <c r="M1162" s="487"/>
      <c r="N1162" s="354"/>
      <c r="O1162" s="354"/>
      <c r="P1162" s="354"/>
      <c r="Q1162" s="354"/>
      <c r="R1162" s="354"/>
      <c r="S1162" s="354"/>
      <c r="T1162" s="354"/>
      <c r="U1162" s="354"/>
      <c r="V1162" s="354"/>
      <c r="W1162" s="354"/>
      <c r="X1162" s="354"/>
      <c r="Y1162" s="354"/>
      <c r="Z1162" s="353"/>
      <c r="AA1162" s="353"/>
      <c r="AB1162" s="836"/>
      <c r="AC1162" s="836"/>
      <c r="AD1162" s="836"/>
      <c r="AE1162" s="838"/>
    </row>
    <row r="1163" spans="1:31" ht="16.5" customHeight="1">
      <c r="A1163" s="347">
        <v>26461913</v>
      </c>
      <c r="B1163" s="347" t="s">
        <v>6718</v>
      </c>
      <c r="C1163" s="347"/>
      <c r="D1163" s="348"/>
      <c r="E1163" s="348"/>
      <c r="F1163" s="348"/>
      <c r="G1163" s="348"/>
      <c r="H1163" s="359"/>
      <c r="I1163" s="352"/>
      <c r="J1163" s="353"/>
      <c r="K1163" s="538"/>
      <c r="L1163" s="487"/>
      <c r="M1163" s="487"/>
      <c r="N1163" s="354"/>
      <c r="O1163" s="354"/>
      <c r="P1163" s="354"/>
      <c r="Q1163" s="354"/>
      <c r="R1163" s="354"/>
      <c r="S1163" s="354"/>
      <c r="T1163" s="354"/>
      <c r="U1163" s="354"/>
      <c r="V1163" s="354"/>
      <c r="W1163" s="354"/>
      <c r="X1163" s="354"/>
      <c r="Y1163" s="354"/>
      <c r="Z1163" s="353"/>
      <c r="AA1163" s="353"/>
      <c r="AB1163" s="836"/>
      <c r="AC1163" s="836"/>
      <c r="AD1163" s="836"/>
      <c r="AE1163" s="838"/>
    </row>
    <row r="1164" spans="1:31" ht="16.5" customHeight="1">
      <c r="A1164" s="347">
        <v>93476778</v>
      </c>
      <c r="B1164" s="347" t="s">
        <v>6719</v>
      </c>
      <c r="C1164" s="347"/>
      <c r="D1164" s="348"/>
      <c r="E1164" s="348"/>
      <c r="F1164" s="348"/>
      <c r="G1164" s="348"/>
      <c r="H1164" s="359"/>
      <c r="I1164" s="352"/>
      <c r="J1164" s="353"/>
      <c r="K1164" s="538"/>
      <c r="L1164" s="487"/>
      <c r="M1164" s="487"/>
      <c r="N1164" s="354"/>
      <c r="O1164" s="354"/>
      <c r="P1164" s="354"/>
      <c r="Q1164" s="354"/>
      <c r="R1164" s="354"/>
      <c r="S1164" s="354"/>
      <c r="T1164" s="354"/>
      <c r="U1164" s="354"/>
      <c r="V1164" s="354"/>
      <c r="W1164" s="354"/>
      <c r="X1164" s="354"/>
      <c r="Y1164" s="354"/>
      <c r="Z1164" s="353"/>
      <c r="AA1164" s="353"/>
      <c r="AB1164" s="836"/>
      <c r="AC1164" s="836"/>
      <c r="AD1164" s="836"/>
      <c r="AE1164" s="838"/>
    </row>
    <row r="1165" spans="1:31" ht="16.5" customHeight="1">
      <c r="A1165" s="347">
        <v>93640241</v>
      </c>
      <c r="B1165" s="347" t="s">
        <v>6720</v>
      </c>
      <c r="C1165" s="347"/>
      <c r="D1165" s="348"/>
      <c r="E1165" s="348"/>
      <c r="F1165" s="348"/>
      <c r="G1165" s="348"/>
      <c r="H1165" s="359"/>
      <c r="I1165" s="352"/>
      <c r="J1165" s="353"/>
      <c r="K1165" s="538"/>
      <c r="L1165" s="487"/>
      <c r="M1165" s="487"/>
      <c r="N1165" s="354"/>
      <c r="O1165" s="354"/>
      <c r="P1165" s="354"/>
      <c r="Q1165" s="354"/>
      <c r="R1165" s="354"/>
      <c r="S1165" s="354"/>
      <c r="T1165" s="354"/>
      <c r="U1165" s="354"/>
      <c r="V1165" s="354"/>
      <c r="W1165" s="354"/>
      <c r="X1165" s="354"/>
      <c r="Y1165" s="354"/>
      <c r="Z1165" s="353"/>
      <c r="AA1165" s="353"/>
      <c r="AB1165" s="836"/>
      <c r="AC1165" s="836"/>
      <c r="AD1165" s="836"/>
      <c r="AE1165" s="838"/>
    </row>
    <row r="1166" spans="1:31" ht="16.5" customHeight="1">
      <c r="A1166" s="347">
        <v>89117576</v>
      </c>
      <c r="B1166" s="347" t="s">
        <v>6721</v>
      </c>
      <c r="C1166" s="347"/>
      <c r="D1166" s="348"/>
      <c r="E1166" s="348"/>
      <c r="F1166" s="348"/>
      <c r="G1166" s="348"/>
      <c r="H1166" s="359"/>
      <c r="I1166" s="352"/>
      <c r="J1166" s="353"/>
      <c r="K1166" s="538"/>
      <c r="L1166" s="487"/>
      <c r="M1166" s="487"/>
      <c r="N1166" s="354"/>
      <c r="O1166" s="354"/>
      <c r="P1166" s="354"/>
      <c r="Q1166" s="354"/>
      <c r="R1166" s="354"/>
      <c r="S1166" s="354"/>
      <c r="T1166" s="354"/>
      <c r="U1166" s="354"/>
      <c r="V1166" s="354"/>
      <c r="W1166" s="354"/>
      <c r="X1166" s="354"/>
      <c r="Y1166" s="354"/>
      <c r="Z1166" s="353"/>
      <c r="AA1166" s="353"/>
      <c r="AB1166" s="836"/>
      <c r="AC1166" s="836"/>
      <c r="AD1166" s="836"/>
      <c r="AE1166" s="838"/>
    </row>
    <row r="1167" spans="1:31" ht="16.5" customHeight="1">
      <c r="A1167" s="347">
        <v>100228741</v>
      </c>
      <c r="B1167" s="347" t="s">
        <v>6722</v>
      </c>
      <c r="C1167" s="347"/>
      <c r="D1167" s="348"/>
      <c r="E1167" s="348"/>
      <c r="F1167" s="348"/>
      <c r="G1167" s="348"/>
      <c r="H1167" s="359"/>
      <c r="I1167" s="352"/>
      <c r="J1167" s="353"/>
      <c r="K1167" s="538"/>
      <c r="L1167" s="487"/>
      <c r="M1167" s="487"/>
      <c r="N1167" s="354"/>
      <c r="O1167" s="354"/>
      <c r="P1167" s="354"/>
      <c r="Q1167" s="354"/>
      <c r="R1167" s="354"/>
      <c r="S1167" s="354"/>
      <c r="T1167" s="354"/>
      <c r="U1167" s="354"/>
      <c r="V1167" s="354"/>
      <c r="W1167" s="354"/>
      <c r="X1167" s="354"/>
      <c r="Y1167" s="354"/>
      <c r="Z1167" s="353"/>
      <c r="AA1167" s="353"/>
      <c r="AB1167" s="836"/>
      <c r="AC1167" s="836"/>
      <c r="AD1167" s="836"/>
      <c r="AE1167" s="838"/>
    </row>
    <row r="1168" spans="1:31" ht="16.5" customHeight="1">
      <c r="A1168" s="347">
        <v>97542674</v>
      </c>
      <c r="B1168" s="347" t="s">
        <v>6723</v>
      </c>
      <c r="C1168" s="347"/>
      <c r="D1168" s="348"/>
      <c r="E1168" s="348"/>
      <c r="F1168" s="348"/>
      <c r="G1168" s="348"/>
      <c r="H1168" s="359"/>
      <c r="I1168" s="352"/>
      <c r="J1168" s="353"/>
      <c r="K1168" s="538"/>
      <c r="L1168" s="487"/>
      <c r="M1168" s="487"/>
      <c r="N1168" s="354"/>
      <c r="O1168" s="354"/>
      <c r="P1168" s="354"/>
      <c r="Q1168" s="354"/>
      <c r="R1168" s="354"/>
      <c r="S1168" s="354"/>
      <c r="T1168" s="354"/>
      <c r="U1168" s="354"/>
      <c r="V1168" s="354"/>
      <c r="W1168" s="354"/>
      <c r="X1168" s="354"/>
      <c r="Y1168" s="354"/>
      <c r="Z1168" s="353"/>
      <c r="AA1168" s="353"/>
      <c r="AB1168" s="836"/>
      <c r="AC1168" s="836"/>
      <c r="AD1168" s="836"/>
      <c r="AE1168" s="838"/>
    </row>
    <row r="1169" spans="1:31" ht="16.5" customHeight="1">
      <c r="A1169" s="347">
        <v>787663</v>
      </c>
      <c r="B1169" s="347" t="s">
        <v>6724</v>
      </c>
      <c r="C1169" s="347"/>
      <c r="D1169" s="361"/>
      <c r="E1169" s="361"/>
      <c r="F1169" s="361"/>
      <c r="G1169" s="348"/>
      <c r="H1169" s="359"/>
      <c r="I1169" s="352"/>
      <c r="J1169" s="353"/>
      <c r="K1169" s="538"/>
      <c r="L1169" s="487"/>
      <c r="M1169" s="487"/>
      <c r="N1169" s="354"/>
      <c r="O1169" s="354"/>
      <c r="P1169" s="354"/>
      <c r="Q1169" s="354"/>
      <c r="R1169" s="354"/>
      <c r="S1169" s="354"/>
      <c r="T1169" s="354"/>
      <c r="U1169" s="354"/>
      <c r="V1169" s="354"/>
      <c r="W1169" s="354"/>
      <c r="X1169" s="354"/>
      <c r="Y1169" s="354"/>
      <c r="Z1169" s="353"/>
      <c r="AA1169" s="353"/>
      <c r="AB1169" s="836"/>
      <c r="AC1169" s="836"/>
      <c r="AD1169" s="836"/>
      <c r="AE1169" s="838"/>
    </row>
    <row r="1170" spans="1:31" ht="16.5" customHeight="1">
      <c r="A1170" s="347">
        <v>93659902</v>
      </c>
      <c r="B1170" s="347" t="s">
        <v>6725</v>
      </c>
      <c r="C1170" s="347"/>
      <c r="D1170" s="348"/>
      <c r="E1170" s="348"/>
      <c r="F1170" s="348"/>
      <c r="G1170" s="348"/>
      <c r="H1170" s="359"/>
      <c r="I1170" s="352"/>
      <c r="J1170" s="353"/>
      <c r="K1170" s="538"/>
      <c r="L1170" s="487"/>
      <c r="M1170" s="487"/>
      <c r="N1170" s="354"/>
      <c r="O1170" s="354"/>
      <c r="P1170" s="354"/>
      <c r="Q1170" s="354"/>
      <c r="R1170" s="354"/>
      <c r="S1170" s="354"/>
      <c r="T1170" s="354"/>
      <c r="U1170" s="354"/>
      <c r="V1170" s="354"/>
      <c r="W1170" s="354"/>
      <c r="X1170" s="354"/>
      <c r="Y1170" s="354"/>
      <c r="Z1170" s="353"/>
      <c r="AA1170" s="353"/>
      <c r="AB1170" s="836"/>
      <c r="AC1170" s="836"/>
      <c r="AD1170" s="836"/>
      <c r="AE1170" s="838"/>
    </row>
    <row r="1171" spans="1:31" ht="16.5" customHeight="1">
      <c r="A1171" s="347">
        <v>31160674</v>
      </c>
      <c r="B1171" s="347" t="s">
        <v>6726</v>
      </c>
      <c r="C1171" s="347"/>
      <c r="D1171" s="348"/>
      <c r="E1171" s="348"/>
      <c r="F1171" s="348"/>
      <c r="G1171" s="348"/>
      <c r="H1171" s="359"/>
      <c r="I1171" s="352"/>
      <c r="J1171" s="353"/>
      <c r="K1171" s="538"/>
      <c r="L1171" s="487"/>
      <c r="M1171" s="487"/>
      <c r="N1171" s="354"/>
      <c r="O1171" s="354"/>
      <c r="P1171" s="354"/>
      <c r="Q1171" s="354"/>
      <c r="R1171" s="354"/>
      <c r="S1171" s="354"/>
      <c r="T1171" s="354"/>
      <c r="U1171" s="354"/>
      <c r="V1171" s="354"/>
      <c r="W1171" s="354"/>
      <c r="X1171" s="354"/>
      <c r="Y1171" s="354"/>
      <c r="Z1171" s="353"/>
      <c r="AA1171" s="353"/>
      <c r="AB1171" s="836"/>
      <c r="AC1171" s="836"/>
      <c r="AD1171" s="836"/>
      <c r="AE1171" s="838"/>
    </row>
    <row r="1172" spans="1:31" ht="16.5" customHeight="1">
      <c r="A1172" s="347">
        <v>40554602</v>
      </c>
      <c r="B1172" s="347" t="s">
        <v>6727</v>
      </c>
      <c r="C1172" s="347"/>
      <c r="D1172" s="348"/>
      <c r="E1172" s="348"/>
      <c r="F1172" s="348"/>
      <c r="G1172" s="348"/>
      <c r="H1172" s="359"/>
      <c r="I1172" s="352"/>
      <c r="J1172" s="353"/>
      <c r="K1172" s="538"/>
      <c r="L1172" s="487"/>
      <c r="M1172" s="487"/>
      <c r="N1172" s="354"/>
      <c r="O1172" s="354"/>
      <c r="P1172" s="354"/>
      <c r="Q1172" s="354"/>
      <c r="R1172" s="354"/>
      <c r="S1172" s="354"/>
      <c r="T1172" s="354"/>
      <c r="U1172" s="354"/>
      <c r="V1172" s="354"/>
      <c r="W1172" s="354"/>
      <c r="X1172" s="354"/>
      <c r="Y1172" s="354"/>
      <c r="Z1172" s="353"/>
      <c r="AA1172" s="353"/>
      <c r="AB1172" s="836"/>
      <c r="AC1172" s="836"/>
      <c r="AD1172" s="836"/>
      <c r="AE1172" s="838"/>
    </row>
    <row r="1173" spans="1:31" ht="16.5" customHeight="1">
      <c r="A1173" s="347">
        <v>92811165</v>
      </c>
      <c r="B1173" s="347" t="s">
        <v>6728</v>
      </c>
      <c r="C1173" s="347"/>
      <c r="D1173" s="361"/>
      <c r="E1173" s="361"/>
      <c r="F1173" s="361"/>
      <c r="G1173" s="348"/>
      <c r="H1173" s="359"/>
      <c r="I1173" s="352"/>
      <c r="J1173" s="353"/>
      <c r="K1173" s="538"/>
      <c r="L1173" s="487"/>
      <c r="M1173" s="487"/>
      <c r="N1173" s="354"/>
      <c r="O1173" s="354"/>
      <c r="P1173" s="354"/>
      <c r="Q1173" s="354"/>
      <c r="R1173" s="354"/>
      <c r="S1173" s="354"/>
      <c r="T1173" s="354"/>
      <c r="U1173" s="354"/>
      <c r="V1173" s="354"/>
      <c r="W1173" s="354"/>
      <c r="X1173" s="354"/>
      <c r="Y1173" s="354"/>
      <c r="Z1173" s="353"/>
      <c r="AA1173" s="353"/>
      <c r="AB1173" s="836"/>
      <c r="AC1173" s="836"/>
      <c r="AD1173" s="836"/>
      <c r="AE1173" s="838"/>
    </row>
    <row r="1174" spans="1:31" ht="16.5" customHeight="1">
      <c r="A1174" s="347">
        <v>32960445</v>
      </c>
      <c r="B1174" s="347" t="s">
        <v>6729</v>
      </c>
      <c r="C1174" s="347"/>
      <c r="D1174" s="348"/>
      <c r="E1174" s="348"/>
      <c r="F1174" s="348"/>
      <c r="G1174" s="348"/>
      <c r="H1174" s="359"/>
      <c r="I1174" s="352"/>
      <c r="J1174" s="353"/>
      <c r="K1174" s="538"/>
      <c r="L1174" s="487"/>
      <c r="M1174" s="487"/>
      <c r="N1174" s="354"/>
      <c r="O1174" s="354"/>
      <c r="P1174" s="354"/>
      <c r="Q1174" s="354"/>
      <c r="R1174" s="354"/>
      <c r="S1174" s="354"/>
      <c r="T1174" s="354"/>
      <c r="U1174" s="354"/>
      <c r="V1174" s="354"/>
      <c r="W1174" s="354"/>
      <c r="X1174" s="354"/>
      <c r="Y1174" s="354"/>
      <c r="Z1174" s="353"/>
      <c r="AA1174" s="353"/>
      <c r="AB1174" s="836"/>
      <c r="AC1174" s="836"/>
      <c r="AD1174" s="836"/>
      <c r="AE1174" s="838"/>
    </row>
    <row r="1175" spans="1:31" ht="16.5" customHeight="1">
      <c r="A1175" s="347">
        <v>40437642</v>
      </c>
      <c r="B1175" s="347" t="s">
        <v>6730</v>
      </c>
      <c r="C1175" s="347"/>
      <c r="D1175" s="348"/>
      <c r="E1175" s="348"/>
      <c r="F1175" s="348"/>
      <c r="G1175" s="348"/>
      <c r="H1175" s="359"/>
      <c r="I1175" s="352"/>
      <c r="J1175" s="353"/>
      <c r="K1175" s="538"/>
      <c r="L1175" s="487"/>
      <c r="M1175" s="487"/>
      <c r="N1175" s="354"/>
      <c r="O1175" s="354"/>
      <c r="P1175" s="354"/>
      <c r="Q1175" s="354"/>
      <c r="R1175" s="354"/>
      <c r="S1175" s="354"/>
      <c r="T1175" s="354"/>
      <c r="U1175" s="354"/>
      <c r="V1175" s="354"/>
      <c r="W1175" s="354"/>
      <c r="X1175" s="354"/>
      <c r="Y1175" s="354"/>
      <c r="Z1175" s="353"/>
      <c r="AA1175" s="353"/>
      <c r="AB1175" s="836"/>
      <c r="AC1175" s="836"/>
      <c r="AD1175" s="836"/>
      <c r="AE1175" s="838"/>
    </row>
    <row r="1176" spans="1:31" ht="16.5" customHeight="1">
      <c r="A1176" s="347">
        <v>40719320</v>
      </c>
      <c r="B1176" s="347" t="s">
        <v>6731</v>
      </c>
      <c r="C1176" s="347"/>
      <c r="D1176" s="348"/>
      <c r="E1176" s="348"/>
      <c r="F1176" s="348"/>
      <c r="G1176" s="348"/>
      <c r="H1176" s="359"/>
      <c r="I1176" s="352"/>
      <c r="J1176" s="353"/>
      <c r="K1176" s="538"/>
      <c r="L1176" s="487"/>
      <c r="M1176" s="487"/>
      <c r="N1176" s="354"/>
      <c r="O1176" s="354"/>
      <c r="P1176" s="354"/>
      <c r="Q1176" s="354"/>
      <c r="R1176" s="354"/>
      <c r="S1176" s="354"/>
      <c r="T1176" s="354"/>
      <c r="U1176" s="354"/>
      <c r="V1176" s="354"/>
      <c r="W1176" s="354"/>
      <c r="X1176" s="354"/>
      <c r="Y1176" s="354"/>
      <c r="Z1176" s="353"/>
      <c r="AA1176" s="353"/>
      <c r="AB1176" s="836"/>
      <c r="AC1176" s="836"/>
      <c r="AD1176" s="836"/>
      <c r="AE1176" s="838"/>
    </row>
    <row r="1177" spans="1:31" ht="16.5" customHeight="1">
      <c r="A1177" s="347">
        <v>45245578</v>
      </c>
      <c r="B1177" s="347" t="s">
        <v>6732</v>
      </c>
      <c r="C1177" s="347"/>
      <c r="D1177" s="348"/>
      <c r="E1177" s="348"/>
      <c r="F1177" s="348"/>
      <c r="G1177" s="348"/>
      <c r="H1177" s="359"/>
      <c r="I1177" s="352"/>
      <c r="J1177" s="353"/>
      <c r="K1177" s="538"/>
      <c r="L1177" s="487"/>
      <c r="M1177" s="487"/>
      <c r="N1177" s="354"/>
      <c r="O1177" s="354"/>
      <c r="P1177" s="354"/>
      <c r="Q1177" s="354"/>
      <c r="R1177" s="354"/>
      <c r="S1177" s="354"/>
      <c r="T1177" s="354"/>
      <c r="U1177" s="354"/>
      <c r="V1177" s="354"/>
      <c r="W1177" s="354"/>
      <c r="X1177" s="354"/>
      <c r="Y1177" s="354"/>
      <c r="Z1177" s="353"/>
      <c r="AA1177" s="353"/>
      <c r="AB1177" s="836"/>
      <c r="AC1177" s="836"/>
      <c r="AD1177" s="836"/>
      <c r="AE1177" s="838"/>
    </row>
    <row r="1178" spans="1:31" ht="16.5" customHeight="1">
      <c r="A1178" s="347">
        <v>96228754</v>
      </c>
      <c r="B1178" s="347" t="s">
        <v>6733</v>
      </c>
      <c r="C1178" s="347"/>
      <c r="D1178" s="348"/>
      <c r="E1178" s="348"/>
      <c r="F1178" s="348"/>
      <c r="G1178" s="348"/>
      <c r="H1178" s="359"/>
      <c r="I1178" s="352"/>
      <c r="J1178" s="353"/>
      <c r="K1178" s="538"/>
      <c r="L1178" s="487"/>
      <c r="M1178" s="487"/>
      <c r="N1178" s="354"/>
      <c r="O1178" s="354"/>
      <c r="P1178" s="354"/>
      <c r="Q1178" s="354"/>
      <c r="R1178" s="354"/>
      <c r="S1178" s="354"/>
      <c r="T1178" s="354"/>
      <c r="U1178" s="354"/>
      <c r="V1178" s="354"/>
      <c r="W1178" s="354"/>
      <c r="X1178" s="354"/>
      <c r="Y1178" s="354"/>
      <c r="Z1178" s="353"/>
      <c r="AA1178" s="353"/>
      <c r="AB1178" s="836"/>
      <c r="AC1178" s="836"/>
      <c r="AD1178" s="836"/>
      <c r="AE1178" s="838"/>
    </row>
    <row r="1179" spans="1:31" ht="16.5" customHeight="1">
      <c r="A1179" s="347">
        <v>100225846</v>
      </c>
      <c r="B1179" s="347" t="s">
        <v>6734</v>
      </c>
      <c r="C1179" s="347"/>
      <c r="D1179" s="348"/>
      <c r="E1179" s="348"/>
      <c r="F1179" s="348"/>
      <c r="G1179" s="348"/>
      <c r="H1179" s="359"/>
      <c r="I1179" s="352"/>
      <c r="J1179" s="353"/>
      <c r="K1179" s="538"/>
      <c r="L1179" s="487"/>
      <c r="M1179" s="487"/>
      <c r="N1179" s="354"/>
      <c r="O1179" s="354"/>
      <c r="P1179" s="354"/>
      <c r="Q1179" s="354"/>
      <c r="R1179" s="354"/>
      <c r="S1179" s="354"/>
      <c r="T1179" s="354"/>
      <c r="U1179" s="354"/>
      <c r="V1179" s="354"/>
      <c r="W1179" s="354"/>
      <c r="X1179" s="354"/>
      <c r="Y1179" s="354"/>
      <c r="Z1179" s="353"/>
      <c r="AA1179" s="353"/>
      <c r="AB1179" s="836"/>
      <c r="AC1179" s="836"/>
      <c r="AD1179" s="836"/>
      <c r="AE1179" s="838"/>
    </row>
    <row r="1180" spans="1:31" ht="16.5" customHeight="1">
      <c r="A1180" s="347">
        <v>91092601</v>
      </c>
      <c r="B1180" s="347" t="s">
        <v>6735</v>
      </c>
      <c r="C1180" s="347"/>
      <c r="D1180" s="348"/>
      <c r="E1180" s="348"/>
      <c r="F1180" s="348"/>
      <c r="G1180" s="348"/>
      <c r="H1180" s="359"/>
      <c r="I1180" s="352"/>
      <c r="J1180" s="353"/>
      <c r="K1180" s="538"/>
      <c r="L1180" s="487"/>
      <c r="M1180" s="487"/>
      <c r="N1180" s="354"/>
      <c r="O1180" s="354"/>
      <c r="P1180" s="354"/>
      <c r="Q1180" s="354"/>
      <c r="R1180" s="354"/>
      <c r="S1180" s="354"/>
      <c r="T1180" s="354"/>
      <c r="U1180" s="354"/>
      <c r="V1180" s="354"/>
      <c r="W1180" s="354"/>
      <c r="X1180" s="354"/>
      <c r="Y1180" s="354"/>
      <c r="Z1180" s="353"/>
      <c r="AA1180" s="353"/>
      <c r="AB1180" s="836"/>
      <c r="AC1180" s="836"/>
      <c r="AD1180" s="836"/>
      <c r="AE1180" s="838"/>
    </row>
    <row r="1181" spans="1:31" ht="16.5" customHeight="1">
      <c r="A1181" s="347">
        <v>33543935</v>
      </c>
      <c r="B1181" s="347" t="s">
        <v>6736</v>
      </c>
      <c r="C1181" s="347"/>
      <c r="D1181" s="348"/>
      <c r="E1181" s="348"/>
      <c r="F1181" s="348"/>
      <c r="G1181" s="348"/>
      <c r="H1181" s="359"/>
      <c r="I1181" s="352"/>
      <c r="J1181" s="353"/>
      <c r="K1181" s="538"/>
      <c r="L1181" s="487"/>
      <c r="M1181" s="487"/>
      <c r="N1181" s="354"/>
      <c r="O1181" s="354"/>
      <c r="P1181" s="354"/>
      <c r="Q1181" s="354"/>
      <c r="R1181" s="354"/>
      <c r="S1181" s="354"/>
      <c r="T1181" s="354"/>
      <c r="U1181" s="354"/>
      <c r="V1181" s="354"/>
      <c r="W1181" s="354"/>
      <c r="X1181" s="354"/>
      <c r="Y1181" s="354"/>
      <c r="Z1181" s="353"/>
      <c r="AA1181" s="353"/>
      <c r="AB1181" s="836"/>
      <c r="AC1181" s="836"/>
      <c r="AD1181" s="836"/>
      <c r="AE1181" s="838"/>
    </row>
    <row r="1182" spans="1:31" ht="16.5" customHeight="1">
      <c r="A1182" s="347">
        <v>39544424</v>
      </c>
      <c r="B1182" s="347" t="s">
        <v>6737</v>
      </c>
      <c r="C1182" s="347"/>
      <c r="D1182" s="348"/>
      <c r="E1182" s="348"/>
      <c r="F1182" s="348"/>
      <c r="G1182" s="348"/>
      <c r="H1182" s="359"/>
      <c r="I1182" s="352"/>
      <c r="J1182" s="353"/>
      <c r="K1182" s="538"/>
      <c r="L1182" s="487"/>
      <c r="M1182" s="487"/>
      <c r="N1182" s="354"/>
      <c r="O1182" s="354"/>
      <c r="P1182" s="354"/>
      <c r="Q1182" s="354"/>
      <c r="R1182" s="354"/>
      <c r="S1182" s="354"/>
      <c r="T1182" s="354"/>
      <c r="U1182" s="354"/>
      <c r="V1182" s="354"/>
      <c r="W1182" s="354"/>
      <c r="X1182" s="354"/>
      <c r="Y1182" s="354"/>
      <c r="Z1182" s="353"/>
      <c r="AA1182" s="353"/>
      <c r="AB1182" s="836"/>
      <c r="AC1182" s="836"/>
      <c r="AD1182" s="836"/>
      <c r="AE1182" s="838"/>
    </row>
    <row r="1183" spans="1:31" ht="16.5" customHeight="1">
      <c r="A1183" s="347">
        <v>93434462</v>
      </c>
      <c r="B1183" s="347" t="s">
        <v>6738</v>
      </c>
      <c r="C1183" s="347"/>
      <c r="D1183" s="348"/>
      <c r="E1183" s="348"/>
      <c r="F1183" s="348"/>
      <c r="G1183" s="348"/>
      <c r="H1183" s="359"/>
      <c r="I1183" s="352"/>
      <c r="J1183" s="353"/>
      <c r="K1183" s="538"/>
      <c r="L1183" s="487"/>
      <c r="M1183" s="487"/>
      <c r="N1183" s="354"/>
      <c r="O1183" s="354"/>
      <c r="P1183" s="354"/>
      <c r="Q1183" s="354"/>
      <c r="R1183" s="354"/>
      <c r="S1183" s="354"/>
      <c r="T1183" s="354"/>
      <c r="U1183" s="354"/>
      <c r="V1183" s="354"/>
      <c r="W1183" s="354"/>
      <c r="X1183" s="354"/>
      <c r="Y1183" s="354"/>
      <c r="Z1183" s="353"/>
      <c r="AA1183" s="353"/>
      <c r="AB1183" s="836"/>
      <c r="AC1183" s="836"/>
      <c r="AD1183" s="836"/>
      <c r="AE1183" s="838"/>
    </row>
    <row r="1184" spans="1:31" ht="16.5" customHeight="1">
      <c r="A1184" s="347">
        <v>27852128</v>
      </c>
      <c r="B1184" s="347" t="s">
        <v>6739</v>
      </c>
      <c r="C1184" s="347"/>
      <c r="D1184" s="348"/>
      <c r="E1184" s="348"/>
      <c r="F1184" s="348"/>
      <c r="G1184" s="348"/>
      <c r="H1184" s="359"/>
      <c r="I1184" s="352"/>
      <c r="J1184" s="353"/>
      <c r="K1184" s="538"/>
      <c r="L1184" s="487"/>
      <c r="M1184" s="487"/>
      <c r="N1184" s="354"/>
      <c r="O1184" s="354"/>
      <c r="P1184" s="354"/>
      <c r="Q1184" s="354"/>
      <c r="R1184" s="354"/>
      <c r="S1184" s="354"/>
      <c r="T1184" s="354"/>
      <c r="U1184" s="354"/>
      <c r="V1184" s="354"/>
      <c r="W1184" s="354"/>
      <c r="X1184" s="354"/>
      <c r="Y1184" s="354"/>
      <c r="Z1184" s="353"/>
      <c r="AA1184" s="353"/>
      <c r="AB1184" s="836"/>
      <c r="AC1184" s="836"/>
      <c r="AD1184" s="836"/>
      <c r="AE1184" s="838"/>
    </row>
    <row r="1185" spans="1:31" ht="16.5" customHeight="1">
      <c r="A1185" s="347">
        <v>35341254</v>
      </c>
      <c r="B1185" s="347" t="s">
        <v>6740</v>
      </c>
      <c r="C1185" s="347"/>
      <c r="D1185" s="348"/>
      <c r="E1185" s="348"/>
      <c r="F1185" s="348"/>
      <c r="G1185" s="348"/>
      <c r="H1185" s="359"/>
      <c r="I1185" s="352"/>
      <c r="J1185" s="353"/>
      <c r="K1185" s="538"/>
      <c r="L1185" s="487"/>
      <c r="M1185" s="487"/>
      <c r="N1185" s="354"/>
      <c r="O1185" s="354"/>
      <c r="P1185" s="354"/>
      <c r="Q1185" s="354"/>
      <c r="R1185" s="354"/>
      <c r="S1185" s="354"/>
      <c r="T1185" s="354"/>
      <c r="U1185" s="354"/>
      <c r="V1185" s="354"/>
      <c r="W1185" s="354"/>
      <c r="X1185" s="354"/>
      <c r="Y1185" s="354"/>
      <c r="Z1185" s="353"/>
      <c r="AA1185" s="353"/>
      <c r="AB1185" s="836"/>
      <c r="AC1185" s="836"/>
      <c r="AD1185" s="836"/>
      <c r="AE1185" s="838"/>
    </row>
    <row r="1186" spans="1:31" ht="16.5" customHeight="1">
      <c r="A1186" s="347">
        <v>40521312</v>
      </c>
      <c r="B1186" s="347" t="s">
        <v>6741</v>
      </c>
      <c r="C1186" s="347"/>
      <c r="D1186" s="348"/>
      <c r="E1186" s="348"/>
      <c r="F1186" s="348"/>
      <c r="G1186" s="348"/>
      <c r="H1186" s="359"/>
      <c r="I1186" s="352"/>
      <c r="J1186" s="353"/>
      <c r="K1186" s="538"/>
      <c r="L1186" s="487"/>
      <c r="M1186" s="487"/>
      <c r="N1186" s="354"/>
      <c r="O1186" s="354"/>
      <c r="P1186" s="354"/>
      <c r="Q1186" s="354"/>
      <c r="R1186" s="354"/>
      <c r="S1186" s="354"/>
      <c r="T1186" s="354"/>
      <c r="U1186" s="354"/>
      <c r="V1186" s="354"/>
      <c r="W1186" s="354"/>
      <c r="X1186" s="354"/>
      <c r="Y1186" s="354"/>
      <c r="Z1186" s="353"/>
      <c r="AA1186" s="353"/>
      <c r="AB1186" s="836"/>
      <c r="AC1186" s="836"/>
      <c r="AD1186" s="836"/>
      <c r="AE1186" s="838"/>
    </row>
    <row r="1187" spans="1:31" ht="16.5" customHeight="1">
      <c r="A1187" s="347">
        <v>36314870</v>
      </c>
      <c r="B1187" s="347" t="s">
        <v>6742</v>
      </c>
      <c r="C1187" s="347"/>
      <c r="D1187" s="348"/>
      <c r="E1187" s="348"/>
      <c r="F1187" s="348"/>
      <c r="G1187" s="348"/>
      <c r="H1187" s="359"/>
      <c r="I1187" s="352"/>
      <c r="J1187" s="353"/>
      <c r="K1187" s="538"/>
      <c r="L1187" s="487"/>
      <c r="M1187" s="487"/>
      <c r="N1187" s="354"/>
      <c r="O1187" s="354"/>
      <c r="P1187" s="354"/>
      <c r="Q1187" s="354"/>
      <c r="R1187" s="354"/>
      <c r="S1187" s="354"/>
      <c r="T1187" s="354"/>
      <c r="U1187" s="354"/>
      <c r="V1187" s="354"/>
      <c r="W1187" s="354"/>
      <c r="X1187" s="354"/>
      <c r="Y1187" s="354"/>
      <c r="Z1187" s="353"/>
      <c r="AA1187" s="353"/>
      <c r="AB1187" s="836"/>
      <c r="AC1187" s="836"/>
      <c r="AD1187" s="836"/>
      <c r="AE1187" s="838"/>
    </row>
    <row r="1188" spans="1:31" ht="16.5" customHeight="1">
      <c r="A1188" s="347">
        <v>90407487</v>
      </c>
      <c r="B1188" s="347" t="s">
        <v>6743</v>
      </c>
      <c r="C1188" s="347"/>
      <c r="D1188" s="348"/>
      <c r="E1188" s="348"/>
      <c r="F1188" s="348"/>
      <c r="G1188" s="348"/>
      <c r="H1188" s="359"/>
      <c r="I1188" s="352"/>
      <c r="J1188" s="353"/>
      <c r="K1188" s="538"/>
      <c r="L1188" s="487"/>
      <c r="M1188" s="487"/>
      <c r="N1188" s="354"/>
      <c r="O1188" s="354"/>
      <c r="P1188" s="354"/>
      <c r="Q1188" s="354"/>
      <c r="R1188" s="354"/>
      <c r="S1188" s="354"/>
      <c r="T1188" s="354"/>
      <c r="U1188" s="354"/>
      <c r="V1188" s="354"/>
      <c r="W1188" s="354"/>
      <c r="X1188" s="354"/>
      <c r="Y1188" s="354"/>
      <c r="Z1188" s="353"/>
      <c r="AA1188" s="353"/>
      <c r="AB1188" s="836"/>
      <c r="AC1188" s="836"/>
      <c r="AD1188" s="836"/>
      <c r="AE1188" s="838"/>
    </row>
    <row r="1189" spans="1:31" ht="16.5" customHeight="1">
      <c r="A1189" s="347">
        <v>30681928</v>
      </c>
      <c r="B1189" s="347" t="s">
        <v>6744</v>
      </c>
      <c r="C1189" s="347"/>
      <c r="D1189" s="348"/>
      <c r="E1189" s="348"/>
      <c r="F1189" s="348"/>
      <c r="G1189" s="348"/>
      <c r="H1189" s="359"/>
      <c r="I1189" s="352"/>
      <c r="J1189" s="353"/>
      <c r="K1189" s="538"/>
      <c r="L1189" s="487"/>
      <c r="M1189" s="487"/>
      <c r="N1189" s="354"/>
      <c r="O1189" s="354"/>
      <c r="P1189" s="354"/>
      <c r="Q1189" s="354"/>
      <c r="R1189" s="354"/>
      <c r="S1189" s="354"/>
      <c r="T1189" s="354"/>
      <c r="U1189" s="354"/>
      <c r="V1189" s="354"/>
      <c r="W1189" s="354"/>
      <c r="X1189" s="354"/>
      <c r="Y1189" s="354"/>
      <c r="Z1189" s="353"/>
      <c r="AA1189" s="353"/>
      <c r="AB1189" s="836"/>
      <c r="AC1189" s="836"/>
      <c r="AD1189" s="836"/>
      <c r="AE1189" s="838"/>
    </row>
    <row r="1190" spans="1:31" ht="16.5" customHeight="1">
      <c r="A1190" s="347">
        <v>40265936</v>
      </c>
      <c r="B1190" s="347" t="s">
        <v>6745</v>
      </c>
      <c r="C1190" s="347"/>
      <c r="D1190" s="348"/>
      <c r="E1190" s="348"/>
      <c r="F1190" s="348"/>
      <c r="G1190" s="348"/>
      <c r="H1190" s="359"/>
      <c r="I1190" s="352"/>
      <c r="J1190" s="353"/>
      <c r="K1190" s="538"/>
      <c r="L1190" s="487"/>
      <c r="M1190" s="487"/>
      <c r="N1190" s="354"/>
      <c r="O1190" s="354"/>
      <c r="P1190" s="354"/>
      <c r="Q1190" s="354"/>
      <c r="R1190" s="354"/>
      <c r="S1190" s="354"/>
      <c r="T1190" s="354"/>
      <c r="U1190" s="354"/>
      <c r="V1190" s="354"/>
      <c r="W1190" s="354"/>
      <c r="X1190" s="354"/>
      <c r="Y1190" s="354"/>
      <c r="Z1190" s="353"/>
      <c r="AA1190" s="353"/>
      <c r="AB1190" s="836"/>
      <c r="AC1190" s="836"/>
      <c r="AD1190" s="836"/>
      <c r="AE1190" s="838"/>
    </row>
    <row r="1191" spans="1:31" ht="16.5" customHeight="1">
      <c r="A1191" s="347">
        <v>100314098</v>
      </c>
      <c r="B1191" s="347" t="s">
        <v>6746</v>
      </c>
      <c r="C1191" s="347"/>
      <c r="D1191" s="348"/>
      <c r="E1191" s="348"/>
      <c r="F1191" s="348"/>
      <c r="G1191" s="348"/>
      <c r="H1191" s="359"/>
      <c r="I1191" s="352"/>
      <c r="J1191" s="353"/>
      <c r="K1191" s="538"/>
      <c r="L1191" s="487"/>
      <c r="M1191" s="487"/>
      <c r="N1191" s="354"/>
      <c r="O1191" s="354"/>
      <c r="P1191" s="354"/>
      <c r="Q1191" s="354"/>
      <c r="R1191" s="354"/>
      <c r="S1191" s="354"/>
      <c r="T1191" s="354"/>
      <c r="U1191" s="354"/>
      <c r="V1191" s="354"/>
      <c r="W1191" s="354"/>
      <c r="X1191" s="354"/>
      <c r="Y1191" s="354"/>
      <c r="Z1191" s="353"/>
      <c r="AA1191" s="353"/>
      <c r="AB1191" s="836"/>
      <c r="AC1191" s="836"/>
      <c r="AD1191" s="836"/>
      <c r="AE1191" s="838"/>
    </row>
    <row r="1192" spans="1:31" ht="16.5" customHeight="1">
      <c r="A1192" s="347">
        <v>60665577</v>
      </c>
      <c r="B1192" s="347" t="s">
        <v>6747</v>
      </c>
      <c r="C1192" s="347"/>
      <c r="D1192" s="348"/>
      <c r="E1192" s="348"/>
      <c r="F1192" s="348"/>
      <c r="G1192" s="348"/>
      <c r="H1192" s="359"/>
      <c r="I1192" s="352"/>
      <c r="J1192" s="353"/>
      <c r="K1192" s="538"/>
      <c r="L1192" s="487"/>
      <c r="M1192" s="487"/>
      <c r="N1192" s="354"/>
      <c r="O1192" s="354"/>
      <c r="P1192" s="354"/>
      <c r="Q1192" s="354"/>
      <c r="R1192" s="354"/>
      <c r="S1192" s="354"/>
      <c r="T1192" s="354"/>
      <c r="U1192" s="354"/>
      <c r="V1192" s="354"/>
      <c r="W1192" s="354"/>
      <c r="X1192" s="354"/>
      <c r="Y1192" s="354"/>
      <c r="Z1192" s="353"/>
      <c r="AA1192" s="353"/>
      <c r="AB1192" s="836"/>
      <c r="AC1192" s="836"/>
      <c r="AD1192" s="836"/>
      <c r="AE1192" s="838"/>
    </row>
    <row r="1193" spans="1:31" ht="16.5" customHeight="1">
      <c r="A1193" s="347">
        <v>100322866</v>
      </c>
      <c r="B1193" s="347" t="s">
        <v>6748</v>
      </c>
      <c r="C1193" s="347"/>
      <c r="D1193" s="348"/>
      <c r="E1193" s="348"/>
      <c r="F1193" s="348"/>
      <c r="G1193" s="348"/>
      <c r="H1193" s="359"/>
      <c r="I1193" s="352"/>
      <c r="J1193" s="353"/>
      <c r="K1193" s="538"/>
      <c r="L1193" s="487"/>
      <c r="M1193" s="487"/>
      <c r="N1193" s="354"/>
      <c r="O1193" s="354"/>
      <c r="P1193" s="354"/>
      <c r="Q1193" s="354"/>
      <c r="R1193" s="354"/>
      <c r="S1193" s="354"/>
      <c r="T1193" s="354"/>
      <c r="U1193" s="354"/>
      <c r="V1193" s="354"/>
      <c r="W1193" s="354"/>
      <c r="X1193" s="354"/>
      <c r="Y1193" s="354"/>
      <c r="Z1193" s="353"/>
      <c r="AA1193" s="353"/>
      <c r="AB1193" s="836"/>
      <c r="AC1193" s="836"/>
      <c r="AD1193" s="836"/>
      <c r="AE1193" s="838"/>
    </row>
    <row r="1194" spans="1:31" ht="16.5" customHeight="1">
      <c r="A1194" s="347">
        <v>100325857</v>
      </c>
      <c r="B1194" s="347" t="s">
        <v>6749</v>
      </c>
      <c r="C1194" s="347"/>
      <c r="D1194" s="348"/>
      <c r="E1194" s="348"/>
      <c r="F1194" s="348"/>
      <c r="G1194" s="348"/>
      <c r="H1194" s="359"/>
      <c r="I1194" s="352"/>
      <c r="J1194" s="353"/>
      <c r="K1194" s="538"/>
      <c r="L1194" s="487"/>
      <c r="M1194" s="487"/>
      <c r="N1194" s="354"/>
      <c r="O1194" s="354"/>
      <c r="P1194" s="354"/>
      <c r="Q1194" s="354"/>
      <c r="R1194" s="354"/>
      <c r="S1194" s="354"/>
      <c r="T1194" s="354"/>
      <c r="U1194" s="354"/>
      <c r="V1194" s="354"/>
      <c r="W1194" s="354"/>
      <c r="X1194" s="354"/>
      <c r="Y1194" s="354"/>
      <c r="Z1194" s="353"/>
      <c r="AA1194" s="353"/>
      <c r="AB1194" s="836"/>
      <c r="AC1194" s="836"/>
      <c r="AD1194" s="836"/>
      <c r="AE1194" s="838"/>
    </row>
    <row r="1195" spans="1:31" ht="16.5" customHeight="1">
      <c r="A1195" s="347">
        <v>37860491</v>
      </c>
      <c r="B1195" s="347" t="s">
        <v>6750</v>
      </c>
      <c r="C1195" s="347"/>
      <c r="D1195" s="348"/>
      <c r="E1195" s="348"/>
      <c r="F1195" s="348"/>
      <c r="G1195" s="348"/>
      <c r="H1195" s="359"/>
      <c r="I1195" s="352"/>
      <c r="J1195" s="353"/>
      <c r="K1195" s="538"/>
      <c r="L1195" s="487"/>
      <c r="M1195" s="487"/>
      <c r="N1195" s="354"/>
      <c r="O1195" s="354"/>
      <c r="P1195" s="354"/>
      <c r="Q1195" s="354"/>
      <c r="R1195" s="354"/>
      <c r="S1195" s="354"/>
      <c r="T1195" s="354"/>
      <c r="U1195" s="354"/>
      <c r="V1195" s="354"/>
      <c r="W1195" s="354"/>
      <c r="X1195" s="354"/>
      <c r="Y1195" s="354"/>
      <c r="Z1195" s="353"/>
      <c r="AA1195" s="353"/>
      <c r="AB1195" s="836"/>
      <c r="AC1195" s="836"/>
      <c r="AD1195" s="836"/>
      <c r="AE1195" s="838"/>
    </row>
    <row r="1196" spans="1:31" ht="16.5" customHeight="1">
      <c r="A1196" s="347">
        <v>93977635</v>
      </c>
      <c r="B1196" s="347" t="s">
        <v>6751</v>
      </c>
      <c r="C1196" s="347"/>
      <c r="D1196" s="361"/>
      <c r="E1196" s="361"/>
      <c r="F1196" s="361"/>
      <c r="G1196" s="348"/>
      <c r="H1196" s="359"/>
      <c r="I1196" s="352"/>
      <c r="J1196" s="353"/>
      <c r="K1196" s="538"/>
      <c r="L1196" s="487"/>
      <c r="M1196" s="487"/>
      <c r="N1196" s="354"/>
      <c r="O1196" s="354"/>
      <c r="P1196" s="354"/>
      <c r="Q1196" s="354"/>
      <c r="R1196" s="354"/>
      <c r="S1196" s="354"/>
      <c r="T1196" s="354"/>
      <c r="U1196" s="354"/>
      <c r="V1196" s="354"/>
      <c r="W1196" s="354"/>
      <c r="X1196" s="354"/>
      <c r="Y1196" s="354"/>
      <c r="Z1196" s="353"/>
      <c r="AA1196" s="353"/>
      <c r="AB1196" s="836"/>
      <c r="AC1196" s="836"/>
      <c r="AD1196" s="836"/>
      <c r="AE1196" s="838"/>
    </row>
    <row r="1197" spans="1:31" ht="16.5" customHeight="1">
      <c r="A1197" s="347">
        <v>100219807</v>
      </c>
      <c r="B1197" s="347" t="s">
        <v>6752</v>
      </c>
      <c r="C1197" s="347"/>
      <c r="D1197" s="348"/>
      <c r="E1197" s="348"/>
      <c r="F1197" s="348"/>
      <c r="G1197" s="348"/>
      <c r="H1197" s="359"/>
      <c r="I1197" s="352"/>
      <c r="J1197" s="353"/>
      <c r="K1197" s="538"/>
      <c r="L1197" s="487"/>
      <c r="M1197" s="487"/>
      <c r="N1197" s="354"/>
      <c r="O1197" s="354"/>
      <c r="P1197" s="354"/>
      <c r="Q1197" s="354"/>
      <c r="R1197" s="354"/>
      <c r="S1197" s="354"/>
      <c r="T1197" s="354"/>
      <c r="U1197" s="354"/>
      <c r="V1197" s="354"/>
      <c r="W1197" s="354"/>
      <c r="X1197" s="354"/>
      <c r="Y1197" s="354"/>
      <c r="Z1197" s="353"/>
      <c r="AA1197" s="353"/>
      <c r="AB1197" s="836"/>
      <c r="AC1197" s="836"/>
      <c r="AD1197" s="836"/>
      <c r="AE1197" s="838"/>
    </row>
    <row r="1198" spans="1:31" ht="16.5" customHeight="1">
      <c r="A1198" s="347">
        <v>100292992</v>
      </c>
      <c r="B1198" s="347" t="s">
        <v>6753</v>
      </c>
      <c r="C1198" s="347"/>
      <c r="D1198" s="348"/>
      <c r="E1198" s="348"/>
      <c r="F1198" s="348"/>
      <c r="G1198" s="348"/>
      <c r="H1198" s="359"/>
      <c r="I1198" s="352"/>
      <c r="J1198" s="353"/>
      <c r="K1198" s="538"/>
      <c r="L1198" s="487"/>
      <c r="M1198" s="487"/>
      <c r="N1198" s="354"/>
      <c r="O1198" s="354"/>
      <c r="P1198" s="354"/>
      <c r="Q1198" s="354"/>
      <c r="R1198" s="354"/>
      <c r="S1198" s="354"/>
      <c r="T1198" s="354"/>
      <c r="U1198" s="354"/>
      <c r="V1198" s="354"/>
      <c r="W1198" s="354"/>
      <c r="X1198" s="354"/>
      <c r="Y1198" s="354"/>
      <c r="Z1198" s="353"/>
      <c r="AA1198" s="353"/>
      <c r="AB1198" s="836"/>
      <c r="AC1198" s="836"/>
      <c r="AD1198" s="836"/>
      <c r="AE1198" s="838"/>
    </row>
    <row r="1199" spans="1:31" ht="16.5" customHeight="1">
      <c r="A1199" s="347">
        <v>100314704</v>
      </c>
      <c r="B1199" s="347" t="s">
        <v>6754</v>
      </c>
      <c r="C1199" s="347"/>
      <c r="D1199" s="348"/>
      <c r="E1199" s="348"/>
      <c r="F1199" s="348"/>
      <c r="G1199" s="348"/>
      <c r="H1199" s="359"/>
      <c r="I1199" s="352"/>
      <c r="J1199" s="353"/>
      <c r="K1199" s="538"/>
      <c r="L1199" s="487"/>
      <c r="M1199" s="487"/>
      <c r="N1199" s="354"/>
      <c r="O1199" s="354"/>
      <c r="P1199" s="354"/>
      <c r="Q1199" s="354"/>
      <c r="R1199" s="354"/>
      <c r="S1199" s="354"/>
      <c r="T1199" s="354"/>
      <c r="U1199" s="354"/>
      <c r="V1199" s="354"/>
      <c r="W1199" s="354"/>
      <c r="X1199" s="354"/>
      <c r="Y1199" s="354"/>
      <c r="Z1199" s="353"/>
      <c r="AA1199" s="353"/>
      <c r="AB1199" s="836"/>
      <c r="AC1199" s="836"/>
      <c r="AD1199" s="836"/>
      <c r="AE1199" s="838"/>
    </row>
    <row r="1200" spans="1:31" ht="16.5" customHeight="1">
      <c r="A1200" s="347">
        <v>100325865</v>
      </c>
      <c r="B1200" s="347" t="s">
        <v>6755</v>
      </c>
      <c r="C1200" s="347"/>
      <c r="D1200" s="348"/>
      <c r="E1200" s="348"/>
      <c r="F1200" s="348"/>
      <c r="G1200" s="348"/>
      <c r="H1200" s="359"/>
      <c r="I1200" s="352"/>
      <c r="J1200" s="353"/>
      <c r="K1200" s="538"/>
      <c r="L1200" s="487"/>
      <c r="M1200" s="487"/>
      <c r="N1200" s="354"/>
      <c r="O1200" s="354"/>
      <c r="P1200" s="354"/>
      <c r="Q1200" s="354"/>
      <c r="R1200" s="354"/>
      <c r="S1200" s="354"/>
      <c r="T1200" s="354"/>
      <c r="U1200" s="354"/>
      <c r="V1200" s="354"/>
      <c r="W1200" s="354"/>
      <c r="X1200" s="354"/>
      <c r="Y1200" s="354"/>
      <c r="Z1200" s="353"/>
      <c r="AA1200" s="353"/>
      <c r="AB1200" s="836"/>
      <c r="AC1200" s="836"/>
      <c r="AD1200" s="836"/>
      <c r="AE1200" s="838"/>
    </row>
    <row r="1201" spans="1:31" ht="16.5" customHeight="1">
      <c r="A1201" s="347">
        <v>43700376</v>
      </c>
      <c r="B1201" s="347" t="s">
        <v>6756</v>
      </c>
      <c r="C1201" s="347"/>
      <c r="D1201" s="348"/>
      <c r="E1201" s="348"/>
      <c r="F1201" s="348"/>
      <c r="G1201" s="348"/>
      <c r="H1201" s="359"/>
      <c r="I1201" s="352"/>
      <c r="J1201" s="353"/>
      <c r="K1201" s="538"/>
      <c r="L1201" s="487"/>
      <c r="M1201" s="487"/>
      <c r="N1201" s="354"/>
      <c r="O1201" s="354"/>
      <c r="P1201" s="354"/>
      <c r="Q1201" s="354"/>
      <c r="R1201" s="354"/>
      <c r="S1201" s="354"/>
      <c r="T1201" s="354"/>
      <c r="U1201" s="354"/>
      <c r="V1201" s="354"/>
      <c r="W1201" s="354"/>
      <c r="X1201" s="354"/>
      <c r="Y1201" s="354"/>
      <c r="Z1201" s="353"/>
      <c r="AA1201" s="353"/>
      <c r="AB1201" s="836"/>
      <c r="AC1201" s="836"/>
      <c r="AD1201" s="836"/>
      <c r="AE1201" s="838"/>
    </row>
    <row r="1202" spans="1:31" ht="16.5" customHeight="1">
      <c r="A1202" s="347">
        <v>60665171</v>
      </c>
      <c r="B1202" s="347" t="s">
        <v>6757</v>
      </c>
      <c r="C1202" s="347"/>
      <c r="D1202" s="348"/>
      <c r="E1202" s="348"/>
      <c r="F1202" s="348"/>
      <c r="G1202" s="348"/>
      <c r="H1202" s="359"/>
      <c r="I1202" s="352"/>
      <c r="J1202" s="353"/>
      <c r="K1202" s="538"/>
      <c r="L1202" s="487"/>
      <c r="M1202" s="487"/>
      <c r="N1202" s="354"/>
      <c r="O1202" s="354"/>
      <c r="P1202" s="354"/>
      <c r="Q1202" s="354"/>
      <c r="R1202" s="354"/>
      <c r="S1202" s="354"/>
      <c r="T1202" s="354"/>
      <c r="U1202" s="354"/>
      <c r="V1202" s="354"/>
      <c r="W1202" s="354"/>
      <c r="X1202" s="354"/>
      <c r="Y1202" s="354"/>
      <c r="Z1202" s="353"/>
      <c r="AA1202" s="353"/>
      <c r="AB1202" s="836"/>
      <c r="AC1202" s="836"/>
      <c r="AD1202" s="836"/>
      <c r="AE1202" s="838"/>
    </row>
    <row r="1203" spans="1:31" ht="16.5" customHeight="1">
      <c r="A1203" s="347">
        <v>61673182</v>
      </c>
      <c r="B1203" s="347" t="s">
        <v>6758</v>
      </c>
      <c r="C1203" s="347"/>
      <c r="D1203" s="348"/>
      <c r="E1203" s="348"/>
      <c r="F1203" s="348"/>
      <c r="G1203" s="348"/>
      <c r="H1203" s="359"/>
      <c r="I1203" s="352"/>
      <c r="J1203" s="353"/>
      <c r="K1203" s="538"/>
      <c r="L1203" s="487"/>
      <c r="M1203" s="487"/>
      <c r="N1203" s="354"/>
      <c r="O1203" s="354"/>
      <c r="P1203" s="354"/>
      <c r="Q1203" s="354"/>
      <c r="R1203" s="354"/>
      <c r="S1203" s="354"/>
      <c r="T1203" s="354"/>
      <c r="U1203" s="354"/>
      <c r="V1203" s="354"/>
      <c r="W1203" s="354"/>
      <c r="X1203" s="354"/>
      <c r="Y1203" s="354"/>
      <c r="Z1203" s="353"/>
      <c r="AA1203" s="353"/>
      <c r="AB1203" s="836"/>
      <c r="AC1203" s="836"/>
      <c r="AD1203" s="836"/>
      <c r="AE1203" s="838"/>
    </row>
    <row r="1204" spans="1:31" ht="16.5" customHeight="1">
      <c r="A1204" s="347">
        <v>6562912</v>
      </c>
      <c r="B1204" s="347" t="s">
        <v>6759</v>
      </c>
      <c r="C1204" s="347"/>
      <c r="D1204" s="348"/>
      <c r="E1204" s="348"/>
      <c r="F1204" s="348"/>
      <c r="G1204" s="348"/>
      <c r="H1204" s="359"/>
      <c r="I1204" s="352"/>
      <c r="J1204" s="353"/>
      <c r="K1204" s="538"/>
      <c r="L1204" s="487"/>
      <c r="M1204" s="487"/>
      <c r="N1204" s="354"/>
      <c r="O1204" s="354"/>
      <c r="P1204" s="354"/>
      <c r="Q1204" s="354"/>
      <c r="R1204" s="354"/>
      <c r="S1204" s="354"/>
      <c r="T1204" s="354"/>
      <c r="U1204" s="354"/>
      <c r="V1204" s="354"/>
      <c r="W1204" s="354"/>
      <c r="X1204" s="354"/>
      <c r="Y1204" s="354"/>
      <c r="Z1204" s="353"/>
      <c r="AA1204" s="353"/>
      <c r="AB1204" s="836"/>
      <c r="AC1204" s="836"/>
      <c r="AD1204" s="836"/>
      <c r="AE1204" s="838"/>
    </row>
    <row r="1205" spans="1:31" ht="16.5" customHeight="1">
      <c r="A1205" s="347">
        <v>30325922</v>
      </c>
      <c r="B1205" s="347" t="s">
        <v>6760</v>
      </c>
      <c r="C1205" s="347"/>
      <c r="D1205" s="361"/>
      <c r="E1205" s="361"/>
      <c r="F1205" s="361"/>
      <c r="G1205" s="348"/>
      <c r="H1205" s="359"/>
      <c r="I1205" s="352"/>
      <c r="J1205" s="353"/>
      <c r="K1205" s="538"/>
      <c r="L1205" s="487"/>
      <c r="M1205" s="487"/>
      <c r="N1205" s="354"/>
      <c r="O1205" s="354"/>
      <c r="P1205" s="354"/>
      <c r="Q1205" s="354"/>
      <c r="R1205" s="354"/>
      <c r="S1205" s="354"/>
      <c r="T1205" s="354"/>
      <c r="U1205" s="354"/>
      <c r="V1205" s="354"/>
      <c r="W1205" s="354"/>
      <c r="X1205" s="354"/>
      <c r="Y1205" s="354"/>
      <c r="Z1205" s="353"/>
      <c r="AA1205" s="353"/>
      <c r="AB1205" s="836"/>
      <c r="AC1205" s="836"/>
      <c r="AD1205" s="836"/>
      <c r="AE1205" s="838"/>
    </row>
    <row r="1206" spans="1:31" ht="16.5" customHeight="1">
      <c r="A1206" s="347">
        <v>50559574</v>
      </c>
      <c r="B1206" s="347" t="s">
        <v>6761</v>
      </c>
      <c r="C1206" s="347"/>
      <c r="D1206" s="348"/>
      <c r="E1206" s="348"/>
      <c r="F1206" s="348"/>
      <c r="G1206" s="348"/>
      <c r="H1206" s="359"/>
      <c r="I1206" s="352"/>
      <c r="J1206" s="353"/>
      <c r="K1206" s="538"/>
      <c r="L1206" s="487"/>
      <c r="M1206" s="487"/>
      <c r="N1206" s="354"/>
      <c r="O1206" s="354"/>
      <c r="P1206" s="354"/>
      <c r="Q1206" s="354"/>
      <c r="R1206" s="354"/>
      <c r="S1206" s="354"/>
      <c r="T1206" s="354"/>
      <c r="U1206" s="354"/>
      <c r="V1206" s="354"/>
      <c r="W1206" s="354"/>
      <c r="X1206" s="354"/>
      <c r="Y1206" s="354"/>
      <c r="Z1206" s="353"/>
      <c r="AA1206" s="353"/>
      <c r="AB1206" s="836"/>
      <c r="AC1206" s="836"/>
      <c r="AD1206" s="836"/>
      <c r="AE1206" s="838"/>
    </row>
    <row r="1207" spans="1:31" ht="16.5" customHeight="1">
      <c r="A1207" s="347">
        <v>100314106</v>
      </c>
      <c r="B1207" s="347" t="s">
        <v>6762</v>
      </c>
      <c r="C1207" s="347"/>
      <c r="D1207" s="348"/>
      <c r="E1207" s="348"/>
      <c r="F1207" s="348"/>
      <c r="G1207" s="348"/>
      <c r="H1207" s="359"/>
      <c r="I1207" s="352"/>
      <c r="J1207" s="353"/>
      <c r="K1207" s="538"/>
      <c r="L1207" s="487"/>
      <c r="M1207" s="487"/>
      <c r="N1207" s="354"/>
      <c r="O1207" s="354"/>
      <c r="P1207" s="354"/>
      <c r="Q1207" s="354"/>
      <c r="R1207" s="354"/>
      <c r="S1207" s="354"/>
      <c r="T1207" s="354"/>
      <c r="U1207" s="354"/>
      <c r="V1207" s="354"/>
      <c r="W1207" s="354"/>
      <c r="X1207" s="354"/>
      <c r="Y1207" s="354"/>
      <c r="Z1207" s="353"/>
      <c r="AA1207" s="353"/>
      <c r="AB1207" s="836"/>
      <c r="AC1207" s="836"/>
      <c r="AD1207" s="836"/>
      <c r="AE1207" s="838"/>
    </row>
    <row r="1208" spans="1:31" ht="16.5" customHeight="1">
      <c r="A1208" s="347">
        <v>100322863</v>
      </c>
      <c r="B1208" s="347" t="s">
        <v>6763</v>
      </c>
      <c r="C1208" s="347"/>
      <c r="D1208" s="348"/>
      <c r="E1208" s="348"/>
      <c r="F1208" s="348"/>
      <c r="G1208" s="348"/>
      <c r="H1208" s="359"/>
      <c r="I1208" s="352"/>
      <c r="J1208" s="353"/>
      <c r="K1208" s="538"/>
      <c r="L1208" s="487"/>
      <c r="M1208" s="487"/>
      <c r="N1208" s="354"/>
      <c r="O1208" s="354"/>
      <c r="P1208" s="354"/>
      <c r="Q1208" s="354"/>
      <c r="R1208" s="354"/>
      <c r="S1208" s="354"/>
      <c r="T1208" s="354"/>
      <c r="U1208" s="354"/>
      <c r="V1208" s="354"/>
      <c r="W1208" s="354"/>
      <c r="X1208" s="354"/>
      <c r="Y1208" s="354"/>
      <c r="Z1208" s="353"/>
      <c r="AA1208" s="353"/>
      <c r="AB1208" s="836"/>
      <c r="AC1208" s="836"/>
      <c r="AD1208" s="836"/>
      <c r="AE1208" s="838"/>
    </row>
    <row r="1209" spans="1:31" ht="16.5" customHeight="1">
      <c r="A1209" s="347">
        <v>100322864</v>
      </c>
      <c r="B1209" s="347" t="s">
        <v>6764</v>
      </c>
      <c r="C1209" s="347"/>
      <c r="D1209" s="348"/>
      <c r="E1209" s="348"/>
      <c r="F1209" s="348"/>
      <c r="G1209" s="348"/>
      <c r="H1209" s="359"/>
      <c r="I1209" s="352"/>
      <c r="J1209" s="353"/>
      <c r="K1209" s="538"/>
      <c r="L1209" s="487"/>
      <c r="M1209" s="487"/>
      <c r="N1209" s="354"/>
      <c r="O1209" s="354"/>
      <c r="P1209" s="354"/>
      <c r="Q1209" s="354"/>
      <c r="R1209" s="354"/>
      <c r="S1209" s="354"/>
      <c r="T1209" s="354"/>
      <c r="U1209" s="354"/>
      <c r="V1209" s="354"/>
      <c r="W1209" s="354"/>
      <c r="X1209" s="354"/>
      <c r="Y1209" s="354"/>
      <c r="Z1209" s="353"/>
      <c r="AA1209" s="353"/>
      <c r="AB1209" s="836"/>
      <c r="AC1209" s="836"/>
      <c r="AD1209" s="836"/>
      <c r="AE1209" s="838"/>
    </row>
    <row r="1210" spans="1:31" ht="16.5" customHeight="1">
      <c r="A1210" s="347">
        <v>100322865</v>
      </c>
      <c r="B1210" s="347" t="s">
        <v>6765</v>
      </c>
      <c r="C1210" s="347"/>
      <c r="D1210" s="348"/>
      <c r="E1210" s="348"/>
      <c r="F1210" s="348"/>
      <c r="G1210" s="348"/>
      <c r="H1210" s="359"/>
      <c r="I1210" s="352"/>
      <c r="J1210" s="353"/>
      <c r="K1210" s="538"/>
      <c r="L1210" s="487"/>
      <c r="M1210" s="487"/>
      <c r="N1210" s="354"/>
      <c r="O1210" s="354"/>
      <c r="P1210" s="354"/>
      <c r="Q1210" s="354"/>
      <c r="R1210" s="354"/>
      <c r="S1210" s="354"/>
      <c r="T1210" s="354"/>
      <c r="U1210" s="354"/>
      <c r="V1210" s="354"/>
      <c r="W1210" s="354"/>
      <c r="X1210" s="354"/>
      <c r="Y1210" s="354"/>
      <c r="Z1210" s="353"/>
      <c r="AA1210" s="353"/>
      <c r="AB1210" s="836"/>
      <c r="AC1210" s="836"/>
      <c r="AD1210" s="836"/>
      <c r="AE1210" s="838"/>
    </row>
    <row r="1211" spans="1:31" ht="16.5" customHeight="1">
      <c r="A1211" s="347">
        <v>97857056</v>
      </c>
      <c r="B1211" s="347" t="s">
        <v>6766</v>
      </c>
      <c r="C1211" s="347"/>
      <c r="D1211" s="348"/>
      <c r="E1211" s="348"/>
      <c r="F1211" s="348"/>
      <c r="G1211" s="348"/>
      <c r="H1211" s="359"/>
      <c r="I1211" s="352"/>
      <c r="J1211" s="353"/>
      <c r="K1211" s="538"/>
      <c r="L1211" s="487"/>
      <c r="M1211" s="487"/>
      <c r="N1211" s="354"/>
      <c r="O1211" s="354"/>
      <c r="P1211" s="354"/>
      <c r="Q1211" s="354"/>
      <c r="R1211" s="354"/>
      <c r="S1211" s="354"/>
      <c r="T1211" s="354"/>
      <c r="U1211" s="354"/>
      <c r="V1211" s="354"/>
      <c r="W1211" s="354"/>
      <c r="X1211" s="354"/>
      <c r="Y1211" s="354"/>
      <c r="Z1211" s="353"/>
      <c r="AA1211" s="353"/>
      <c r="AB1211" s="836"/>
      <c r="AC1211" s="836"/>
      <c r="AD1211" s="836"/>
      <c r="AE1211" s="838"/>
    </row>
    <row r="1212" spans="1:31" ht="16.5" customHeight="1">
      <c r="A1212" s="347">
        <v>100313958</v>
      </c>
      <c r="B1212" s="347" t="s">
        <v>6767</v>
      </c>
      <c r="C1212" s="347"/>
      <c r="D1212" s="348"/>
      <c r="E1212" s="348"/>
      <c r="F1212" s="348"/>
      <c r="G1212" s="348"/>
      <c r="H1212" s="359"/>
      <c r="I1212" s="352"/>
      <c r="J1212" s="353"/>
      <c r="K1212" s="538"/>
      <c r="L1212" s="487"/>
      <c r="M1212" s="487"/>
      <c r="N1212" s="354"/>
      <c r="O1212" s="354"/>
      <c r="P1212" s="354"/>
      <c r="Q1212" s="354"/>
      <c r="R1212" s="354"/>
      <c r="S1212" s="354"/>
      <c r="T1212" s="354"/>
      <c r="U1212" s="354"/>
      <c r="V1212" s="354"/>
      <c r="W1212" s="354"/>
      <c r="X1212" s="354"/>
      <c r="Y1212" s="354"/>
      <c r="Z1212" s="353"/>
      <c r="AA1212" s="353"/>
      <c r="AB1212" s="836"/>
      <c r="AC1212" s="836"/>
      <c r="AD1212" s="836"/>
      <c r="AE1212" s="838"/>
    </row>
    <row r="1213" spans="1:31" ht="16.5" customHeight="1">
      <c r="A1213" s="347">
        <v>100316160</v>
      </c>
      <c r="B1213" s="347" t="s">
        <v>6768</v>
      </c>
      <c r="C1213" s="347"/>
      <c r="D1213" s="361"/>
      <c r="E1213" s="361"/>
      <c r="F1213" s="361"/>
      <c r="G1213" s="348"/>
      <c r="H1213" s="359"/>
      <c r="I1213" s="352"/>
      <c r="J1213" s="353"/>
      <c r="K1213" s="538"/>
      <c r="L1213" s="487"/>
      <c r="M1213" s="487"/>
      <c r="N1213" s="354"/>
      <c r="O1213" s="354"/>
      <c r="P1213" s="354"/>
      <c r="Q1213" s="354"/>
      <c r="R1213" s="354"/>
      <c r="S1213" s="354"/>
      <c r="T1213" s="354"/>
      <c r="U1213" s="354"/>
      <c r="V1213" s="354"/>
      <c r="W1213" s="354"/>
      <c r="X1213" s="354"/>
      <c r="Y1213" s="354"/>
      <c r="Z1213" s="353"/>
      <c r="AA1213" s="353"/>
      <c r="AB1213" s="836"/>
      <c r="AC1213" s="836"/>
      <c r="AD1213" s="836"/>
      <c r="AE1213" s="838"/>
    </row>
    <row r="1214" spans="1:31" ht="16.5" customHeight="1">
      <c r="A1214" s="347">
        <v>100325862</v>
      </c>
      <c r="B1214" s="347" t="s">
        <v>6769</v>
      </c>
      <c r="C1214" s="347"/>
      <c r="D1214" s="348"/>
      <c r="E1214" s="348"/>
      <c r="F1214" s="348"/>
      <c r="G1214" s="348"/>
      <c r="H1214" s="359"/>
      <c r="I1214" s="352"/>
      <c r="J1214" s="353"/>
      <c r="K1214" s="538"/>
      <c r="L1214" s="487"/>
      <c r="M1214" s="487"/>
      <c r="N1214" s="354"/>
      <c r="O1214" s="354"/>
      <c r="P1214" s="354"/>
      <c r="Q1214" s="354"/>
      <c r="R1214" s="354"/>
      <c r="S1214" s="354"/>
      <c r="T1214" s="354"/>
      <c r="U1214" s="354"/>
      <c r="V1214" s="354"/>
      <c r="W1214" s="354"/>
      <c r="X1214" s="354"/>
      <c r="Y1214" s="354"/>
      <c r="Z1214" s="353"/>
      <c r="AA1214" s="353"/>
      <c r="AB1214" s="836"/>
      <c r="AC1214" s="836"/>
      <c r="AD1214" s="836"/>
      <c r="AE1214" s="838"/>
    </row>
    <row r="1215" spans="1:31" ht="16.5" customHeight="1">
      <c r="A1215" s="347">
        <v>711242</v>
      </c>
      <c r="B1215" s="347" t="s">
        <v>6770</v>
      </c>
      <c r="C1215" s="347"/>
      <c r="D1215" s="361"/>
      <c r="E1215" s="361"/>
      <c r="F1215" s="361"/>
      <c r="G1215" s="348"/>
      <c r="H1215" s="359"/>
      <c r="I1215" s="352"/>
      <c r="J1215" s="353"/>
      <c r="K1215" s="538"/>
      <c r="L1215" s="487"/>
      <c r="M1215" s="487"/>
      <c r="N1215" s="354"/>
      <c r="O1215" s="354"/>
      <c r="P1215" s="354"/>
      <c r="Q1215" s="354"/>
      <c r="R1215" s="354"/>
      <c r="S1215" s="354"/>
      <c r="T1215" s="354"/>
      <c r="U1215" s="354"/>
      <c r="V1215" s="354"/>
      <c r="W1215" s="354"/>
      <c r="X1215" s="354"/>
      <c r="Y1215" s="354"/>
      <c r="Z1215" s="353"/>
      <c r="AA1215" s="353"/>
      <c r="AB1215" s="836"/>
      <c r="AC1215" s="836"/>
      <c r="AD1215" s="836"/>
      <c r="AE1215" s="838"/>
    </row>
    <row r="1216" spans="1:31" ht="16.5" customHeight="1">
      <c r="A1216" s="347">
        <v>37380284</v>
      </c>
      <c r="B1216" s="347" t="s">
        <v>6771</v>
      </c>
      <c r="C1216" s="347"/>
      <c r="D1216" s="348"/>
      <c r="E1216" s="348"/>
      <c r="F1216" s="348"/>
      <c r="G1216" s="348"/>
      <c r="H1216" s="359"/>
      <c r="I1216" s="352"/>
      <c r="J1216" s="353"/>
      <c r="K1216" s="538"/>
      <c r="L1216" s="487"/>
      <c r="M1216" s="487"/>
      <c r="N1216" s="354"/>
      <c r="O1216" s="354"/>
      <c r="P1216" s="354"/>
      <c r="Q1216" s="354"/>
      <c r="R1216" s="354"/>
      <c r="S1216" s="354"/>
      <c r="T1216" s="354"/>
      <c r="U1216" s="354"/>
      <c r="V1216" s="354"/>
      <c r="W1216" s="354"/>
      <c r="X1216" s="354"/>
      <c r="Y1216" s="354"/>
      <c r="Z1216" s="353"/>
      <c r="AA1216" s="353"/>
      <c r="AB1216" s="836"/>
      <c r="AC1216" s="836"/>
      <c r="AD1216" s="836"/>
      <c r="AE1216" s="838"/>
    </row>
    <row r="1217" spans="1:31" ht="16.5" customHeight="1">
      <c r="A1217" s="347">
        <v>61615977</v>
      </c>
      <c r="B1217" s="347" t="s">
        <v>6772</v>
      </c>
      <c r="C1217" s="347"/>
      <c r="D1217" s="348"/>
      <c r="E1217" s="348"/>
      <c r="F1217" s="348"/>
      <c r="G1217" s="348"/>
      <c r="H1217" s="359"/>
      <c r="I1217" s="352"/>
      <c r="J1217" s="353"/>
      <c r="K1217" s="538"/>
      <c r="L1217" s="487"/>
      <c r="M1217" s="487"/>
      <c r="N1217" s="354"/>
      <c r="O1217" s="354"/>
      <c r="P1217" s="354"/>
      <c r="Q1217" s="354"/>
      <c r="R1217" s="354"/>
      <c r="S1217" s="354"/>
      <c r="T1217" s="354"/>
      <c r="U1217" s="354"/>
      <c r="V1217" s="354"/>
      <c r="W1217" s="354"/>
      <c r="X1217" s="354"/>
      <c r="Y1217" s="354"/>
      <c r="Z1217" s="353"/>
      <c r="AA1217" s="353"/>
      <c r="AB1217" s="836"/>
      <c r="AC1217" s="836"/>
      <c r="AD1217" s="836"/>
      <c r="AE1217" s="838"/>
    </row>
    <row r="1218" spans="1:31" ht="16.5" customHeight="1">
      <c r="A1218" s="347">
        <v>79507778</v>
      </c>
      <c r="B1218" s="347" t="s">
        <v>6773</v>
      </c>
      <c r="C1218" s="347"/>
      <c r="D1218" s="361"/>
      <c r="E1218" s="361"/>
      <c r="F1218" s="361"/>
      <c r="G1218" s="348"/>
      <c r="H1218" s="359"/>
      <c r="I1218" s="352"/>
      <c r="J1218" s="353"/>
      <c r="K1218" s="538"/>
      <c r="L1218" s="487"/>
      <c r="M1218" s="487"/>
      <c r="N1218" s="354"/>
      <c r="O1218" s="354"/>
      <c r="P1218" s="354"/>
      <c r="Q1218" s="354"/>
      <c r="R1218" s="354"/>
      <c r="S1218" s="354"/>
      <c r="T1218" s="354"/>
      <c r="U1218" s="354"/>
      <c r="V1218" s="354"/>
      <c r="W1218" s="354"/>
      <c r="X1218" s="354"/>
      <c r="Y1218" s="354"/>
      <c r="Z1218" s="353"/>
      <c r="AA1218" s="353"/>
      <c r="AB1218" s="836"/>
      <c r="AC1218" s="836"/>
      <c r="AD1218" s="836"/>
      <c r="AE1218" s="838"/>
    </row>
    <row r="1219" spans="1:31" ht="16.5" customHeight="1">
      <c r="A1219" s="347">
        <v>84071174</v>
      </c>
      <c r="B1219" s="347" t="s">
        <v>6774</v>
      </c>
      <c r="C1219" s="347"/>
      <c r="D1219" s="348"/>
      <c r="E1219" s="348"/>
      <c r="F1219" s="348"/>
      <c r="G1219" s="348"/>
      <c r="H1219" s="359"/>
      <c r="I1219" s="352"/>
      <c r="J1219" s="353"/>
      <c r="K1219" s="538"/>
      <c r="L1219" s="487"/>
      <c r="M1219" s="487"/>
      <c r="N1219" s="354"/>
      <c r="O1219" s="354"/>
      <c r="P1219" s="354"/>
      <c r="Q1219" s="354"/>
      <c r="R1219" s="354"/>
      <c r="S1219" s="354"/>
      <c r="T1219" s="354"/>
      <c r="U1219" s="354"/>
      <c r="V1219" s="354"/>
      <c r="W1219" s="354"/>
      <c r="X1219" s="354"/>
      <c r="Y1219" s="354"/>
      <c r="Z1219" s="353"/>
      <c r="AA1219" s="353"/>
      <c r="AB1219" s="836"/>
      <c r="AC1219" s="836"/>
      <c r="AD1219" s="836"/>
      <c r="AE1219" s="838"/>
    </row>
    <row r="1220" spans="1:31" ht="16.5" customHeight="1">
      <c r="A1220" s="347">
        <v>100322867</v>
      </c>
      <c r="B1220" s="347" t="s">
        <v>6775</v>
      </c>
      <c r="C1220" s="347"/>
      <c r="D1220" s="348"/>
      <c r="E1220" s="348"/>
      <c r="F1220" s="348"/>
      <c r="G1220" s="348"/>
      <c r="H1220" s="359"/>
      <c r="I1220" s="352"/>
      <c r="J1220" s="353"/>
      <c r="K1220" s="538"/>
      <c r="L1220" s="487"/>
      <c r="M1220" s="487"/>
      <c r="N1220" s="354"/>
      <c r="O1220" s="354"/>
      <c r="P1220" s="354"/>
      <c r="Q1220" s="354"/>
      <c r="R1220" s="354"/>
      <c r="S1220" s="354"/>
      <c r="T1220" s="354"/>
      <c r="U1220" s="354"/>
      <c r="V1220" s="354"/>
      <c r="W1220" s="354"/>
      <c r="X1220" s="354"/>
      <c r="Y1220" s="354"/>
      <c r="Z1220" s="353"/>
      <c r="AA1220" s="353"/>
      <c r="AB1220" s="836"/>
      <c r="AC1220" s="836"/>
      <c r="AD1220" s="836"/>
      <c r="AE1220" s="838"/>
    </row>
    <row r="1221" spans="1:31" ht="16.5" customHeight="1">
      <c r="A1221" s="347">
        <v>100322868</v>
      </c>
      <c r="B1221" s="347" t="s">
        <v>6776</v>
      </c>
      <c r="C1221" s="347"/>
      <c r="D1221" s="348"/>
      <c r="E1221" s="348"/>
      <c r="F1221" s="348"/>
      <c r="G1221" s="348"/>
      <c r="H1221" s="359"/>
      <c r="I1221" s="352"/>
      <c r="J1221" s="353"/>
      <c r="K1221" s="538"/>
      <c r="L1221" s="487"/>
      <c r="M1221" s="487"/>
      <c r="N1221" s="354"/>
      <c r="O1221" s="354"/>
      <c r="P1221" s="354"/>
      <c r="Q1221" s="354"/>
      <c r="R1221" s="354"/>
      <c r="S1221" s="354"/>
      <c r="T1221" s="354"/>
      <c r="U1221" s="354"/>
      <c r="V1221" s="354"/>
      <c r="W1221" s="354"/>
      <c r="X1221" s="354"/>
      <c r="Y1221" s="354"/>
      <c r="Z1221" s="353"/>
      <c r="AA1221" s="353"/>
      <c r="AB1221" s="836"/>
      <c r="AC1221" s="836"/>
      <c r="AD1221" s="836"/>
      <c r="AE1221" s="838"/>
    </row>
    <row r="1222" spans="1:31" ht="16.5" customHeight="1">
      <c r="A1222" s="347">
        <v>100330812</v>
      </c>
      <c r="B1222" s="347" t="s">
        <v>6777</v>
      </c>
      <c r="C1222" s="347"/>
      <c r="D1222" s="348"/>
      <c r="E1222" s="348"/>
      <c r="F1222" s="348"/>
      <c r="G1222" s="348"/>
      <c r="H1222" s="359"/>
      <c r="I1222" s="352"/>
      <c r="J1222" s="353"/>
      <c r="K1222" s="538"/>
      <c r="L1222" s="487"/>
      <c r="M1222" s="487"/>
      <c r="N1222" s="354"/>
      <c r="O1222" s="354"/>
      <c r="P1222" s="354"/>
      <c r="Q1222" s="354"/>
      <c r="R1222" s="354"/>
      <c r="S1222" s="354"/>
      <c r="T1222" s="354"/>
      <c r="U1222" s="354"/>
      <c r="V1222" s="354"/>
      <c r="W1222" s="354"/>
      <c r="X1222" s="354"/>
      <c r="Y1222" s="354"/>
      <c r="Z1222" s="353"/>
      <c r="AA1222" s="353"/>
      <c r="AB1222" s="836"/>
      <c r="AC1222" s="836"/>
      <c r="AD1222" s="836"/>
      <c r="AE1222" s="838"/>
    </row>
    <row r="1223" spans="1:31" ht="16.5" customHeight="1">
      <c r="A1223" s="347">
        <v>43608579</v>
      </c>
      <c r="B1223" s="347" t="s">
        <v>6778</v>
      </c>
      <c r="C1223" s="347"/>
      <c r="D1223" s="348"/>
      <c r="E1223" s="348"/>
      <c r="F1223" s="348"/>
      <c r="G1223" s="348"/>
      <c r="H1223" s="359"/>
      <c r="I1223" s="352"/>
      <c r="J1223" s="353"/>
      <c r="K1223" s="538"/>
      <c r="L1223" s="487"/>
      <c r="M1223" s="487"/>
      <c r="N1223" s="354"/>
      <c r="O1223" s="354"/>
      <c r="P1223" s="354"/>
      <c r="Q1223" s="354"/>
      <c r="R1223" s="354"/>
      <c r="S1223" s="354"/>
      <c r="T1223" s="354"/>
      <c r="U1223" s="354"/>
      <c r="V1223" s="354"/>
      <c r="W1223" s="354"/>
      <c r="X1223" s="354"/>
      <c r="Y1223" s="354"/>
      <c r="Z1223" s="353"/>
      <c r="AA1223" s="353"/>
      <c r="AB1223" s="836"/>
      <c r="AC1223" s="836"/>
      <c r="AD1223" s="836"/>
      <c r="AE1223" s="838"/>
    </row>
    <row r="1224" spans="1:31" ht="16.5" customHeight="1">
      <c r="A1224" s="347">
        <v>46193777</v>
      </c>
      <c r="B1224" s="347" t="s">
        <v>6779</v>
      </c>
      <c r="C1224" s="347"/>
      <c r="D1224" s="348"/>
      <c r="E1224" s="348"/>
      <c r="F1224" s="348"/>
      <c r="G1224" s="348"/>
      <c r="H1224" s="359"/>
      <c r="I1224" s="352"/>
      <c r="J1224" s="353"/>
      <c r="K1224" s="538"/>
      <c r="L1224" s="487"/>
      <c r="M1224" s="487"/>
      <c r="N1224" s="354"/>
      <c r="O1224" s="354"/>
      <c r="P1224" s="354"/>
      <c r="Q1224" s="354"/>
      <c r="R1224" s="354"/>
      <c r="S1224" s="354"/>
      <c r="T1224" s="354"/>
      <c r="U1224" s="354"/>
      <c r="V1224" s="354"/>
      <c r="W1224" s="354"/>
      <c r="X1224" s="354"/>
      <c r="Y1224" s="354"/>
      <c r="Z1224" s="353"/>
      <c r="AA1224" s="353"/>
      <c r="AB1224" s="836"/>
      <c r="AC1224" s="836"/>
      <c r="AD1224" s="836"/>
      <c r="AE1224" s="838"/>
    </row>
    <row r="1225" spans="1:31" ht="16.5" customHeight="1">
      <c r="A1225" s="347">
        <v>100314105</v>
      </c>
      <c r="B1225" s="347" t="s">
        <v>6780</v>
      </c>
      <c r="C1225" s="347"/>
      <c r="D1225" s="348"/>
      <c r="E1225" s="348"/>
      <c r="F1225" s="348"/>
      <c r="G1225" s="348"/>
      <c r="H1225" s="359"/>
      <c r="I1225" s="352"/>
      <c r="J1225" s="353"/>
      <c r="K1225" s="538"/>
      <c r="L1225" s="487"/>
      <c r="M1225" s="487"/>
      <c r="N1225" s="354"/>
      <c r="O1225" s="354"/>
      <c r="P1225" s="354"/>
      <c r="Q1225" s="354"/>
      <c r="R1225" s="354"/>
      <c r="S1225" s="354"/>
      <c r="T1225" s="354"/>
      <c r="U1225" s="354"/>
      <c r="V1225" s="354"/>
      <c r="W1225" s="354"/>
      <c r="X1225" s="354"/>
      <c r="Y1225" s="354"/>
      <c r="Z1225" s="353"/>
      <c r="AA1225" s="353"/>
      <c r="AB1225" s="836"/>
      <c r="AC1225" s="836"/>
      <c r="AD1225" s="836"/>
      <c r="AE1225" s="838"/>
    </row>
    <row r="1226" spans="1:31" ht="16.5" customHeight="1">
      <c r="A1226" s="347">
        <v>100314705</v>
      </c>
      <c r="B1226" s="347" t="s">
        <v>6781</v>
      </c>
      <c r="C1226" s="347"/>
      <c r="D1226" s="348"/>
      <c r="E1226" s="348"/>
      <c r="F1226" s="348"/>
      <c r="G1226" s="348"/>
      <c r="H1226" s="359"/>
      <c r="I1226" s="352"/>
      <c r="J1226" s="353"/>
      <c r="K1226" s="538"/>
      <c r="L1226" s="487"/>
      <c r="M1226" s="487"/>
      <c r="N1226" s="354"/>
      <c r="O1226" s="354"/>
      <c r="P1226" s="354"/>
      <c r="Q1226" s="354"/>
      <c r="R1226" s="354"/>
      <c r="S1226" s="354"/>
      <c r="T1226" s="354"/>
      <c r="U1226" s="354"/>
      <c r="V1226" s="354"/>
      <c r="W1226" s="354"/>
      <c r="X1226" s="354"/>
      <c r="Y1226" s="354"/>
      <c r="Z1226" s="353"/>
      <c r="AA1226" s="353"/>
      <c r="AB1226" s="836"/>
      <c r="AC1226" s="836"/>
      <c r="AD1226" s="836"/>
      <c r="AE1226" s="838"/>
    </row>
    <row r="1227" spans="1:31" ht="16.5" customHeight="1">
      <c r="A1227" s="347">
        <v>30272025</v>
      </c>
      <c r="B1227" s="347" t="s">
        <v>6782</v>
      </c>
      <c r="C1227" s="347"/>
      <c r="D1227" s="348"/>
      <c r="E1227" s="348"/>
      <c r="F1227" s="348"/>
      <c r="G1227" s="348"/>
      <c r="H1227" s="359"/>
      <c r="I1227" s="352"/>
      <c r="J1227" s="353"/>
      <c r="K1227" s="538"/>
      <c r="L1227" s="487"/>
      <c r="M1227" s="487"/>
      <c r="N1227" s="354"/>
      <c r="O1227" s="354"/>
      <c r="P1227" s="354"/>
      <c r="Q1227" s="354"/>
      <c r="R1227" s="354"/>
      <c r="S1227" s="354"/>
      <c r="T1227" s="354"/>
      <c r="U1227" s="354"/>
      <c r="V1227" s="354"/>
      <c r="W1227" s="354"/>
      <c r="X1227" s="354"/>
      <c r="Y1227" s="354"/>
      <c r="Z1227" s="353"/>
      <c r="AA1227" s="353"/>
      <c r="AB1227" s="836"/>
      <c r="AC1227" s="836"/>
      <c r="AD1227" s="836"/>
      <c r="AE1227" s="838"/>
    </row>
    <row r="1228" spans="1:31" ht="16.5" customHeight="1">
      <c r="A1228" s="347">
        <v>89513378</v>
      </c>
      <c r="B1228" s="347" t="s">
        <v>6783</v>
      </c>
      <c r="C1228" s="347"/>
      <c r="D1228" s="348"/>
      <c r="E1228" s="348"/>
      <c r="F1228" s="348"/>
      <c r="G1228" s="348"/>
      <c r="H1228" s="359"/>
      <c r="I1228" s="352"/>
      <c r="J1228" s="353"/>
      <c r="K1228" s="538"/>
      <c r="L1228" s="487"/>
      <c r="M1228" s="487"/>
      <c r="N1228" s="354"/>
      <c r="O1228" s="354"/>
      <c r="P1228" s="354"/>
      <c r="Q1228" s="354"/>
      <c r="R1228" s="354"/>
      <c r="S1228" s="354"/>
      <c r="T1228" s="354"/>
      <c r="U1228" s="354"/>
      <c r="V1228" s="354"/>
      <c r="W1228" s="354"/>
      <c r="X1228" s="354"/>
      <c r="Y1228" s="354"/>
      <c r="Z1228" s="353"/>
      <c r="AA1228" s="353"/>
      <c r="AB1228" s="836"/>
      <c r="AC1228" s="836"/>
      <c r="AD1228" s="836"/>
      <c r="AE1228" s="838"/>
    </row>
    <row r="1229" spans="1:31" ht="16.5" customHeight="1">
      <c r="A1229" s="347">
        <v>92614106</v>
      </c>
      <c r="B1229" s="347" t="s">
        <v>6784</v>
      </c>
      <c r="C1229" s="347"/>
      <c r="D1229" s="348"/>
      <c r="E1229" s="348"/>
      <c r="F1229" s="348"/>
      <c r="G1229" s="348"/>
      <c r="H1229" s="359"/>
      <c r="I1229" s="352"/>
      <c r="J1229" s="353"/>
      <c r="K1229" s="538"/>
      <c r="L1229" s="487"/>
      <c r="M1229" s="487"/>
      <c r="N1229" s="354"/>
      <c r="O1229" s="354"/>
      <c r="P1229" s="354"/>
      <c r="Q1229" s="354"/>
      <c r="R1229" s="354"/>
      <c r="S1229" s="354"/>
      <c r="T1229" s="354"/>
      <c r="U1229" s="354"/>
      <c r="V1229" s="354"/>
      <c r="W1229" s="354"/>
      <c r="X1229" s="354"/>
      <c r="Y1229" s="354"/>
      <c r="Z1229" s="353"/>
      <c r="AA1229" s="353"/>
      <c r="AB1229" s="836"/>
      <c r="AC1229" s="836"/>
      <c r="AD1229" s="836"/>
      <c r="AE1229" s="838"/>
    </row>
    <row r="1230" spans="1:31" ht="16.5" customHeight="1">
      <c r="A1230" s="347">
        <v>92685494</v>
      </c>
      <c r="B1230" s="347" t="s">
        <v>6785</v>
      </c>
      <c r="C1230" s="347"/>
      <c r="D1230" s="348"/>
      <c r="E1230" s="348"/>
      <c r="F1230" s="348"/>
      <c r="G1230" s="348"/>
      <c r="H1230" s="359"/>
      <c r="I1230" s="352"/>
      <c r="J1230" s="353"/>
      <c r="K1230" s="538"/>
      <c r="L1230" s="487"/>
      <c r="M1230" s="487"/>
      <c r="N1230" s="354"/>
      <c r="O1230" s="354"/>
      <c r="P1230" s="354"/>
      <c r="Q1230" s="354"/>
      <c r="R1230" s="354"/>
      <c r="S1230" s="354"/>
      <c r="T1230" s="354"/>
      <c r="U1230" s="354"/>
      <c r="V1230" s="354"/>
      <c r="W1230" s="354"/>
      <c r="X1230" s="354"/>
      <c r="Y1230" s="354"/>
      <c r="Z1230" s="353"/>
      <c r="AA1230" s="353"/>
      <c r="AB1230" s="836"/>
      <c r="AC1230" s="836"/>
      <c r="AD1230" s="836"/>
      <c r="AE1230" s="838"/>
    </row>
    <row r="1231" spans="1:31" ht="16.5" customHeight="1">
      <c r="A1231" s="347">
        <v>25421991</v>
      </c>
      <c r="B1231" s="347" t="s">
        <v>6786</v>
      </c>
      <c r="C1231" s="347"/>
      <c r="D1231" s="348"/>
      <c r="E1231" s="348"/>
      <c r="F1231" s="348"/>
      <c r="G1231" s="348"/>
      <c r="H1231" s="359"/>
      <c r="I1231" s="352"/>
      <c r="J1231" s="353"/>
      <c r="K1231" s="538"/>
      <c r="L1231" s="487"/>
      <c r="M1231" s="487"/>
      <c r="N1231" s="354"/>
      <c r="O1231" s="354"/>
      <c r="P1231" s="354"/>
      <c r="Q1231" s="354"/>
      <c r="R1231" s="354"/>
      <c r="S1231" s="354"/>
      <c r="T1231" s="354"/>
      <c r="U1231" s="354"/>
      <c r="V1231" s="354"/>
      <c r="W1231" s="354"/>
      <c r="X1231" s="354"/>
      <c r="Y1231" s="354"/>
      <c r="Z1231" s="353"/>
      <c r="AA1231" s="353"/>
      <c r="AB1231" s="836"/>
      <c r="AC1231" s="836"/>
      <c r="AD1231" s="836"/>
      <c r="AE1231" s="838"/>
    </row>
    <row r="1232" spans="1:31" ht="16.5" customHeight="1">
      <c r="A1232" s="347">
        <v>26461889</v>
      </c>
      <c r="B1232" s="347" t="s">
        <v>6787</v>
      </c>
      <c r="C1232" s="347"/>
      <c r="D1232" s="348"/>
      <c r="E1232" s="348"/>
      <c r="F1232" s="348"/>
      <c r="G1232" s="348"/>
      <c r="H1232" s="359"/>
      <c r="I1232" s="352"/>
      <c r="J1232" s="353"/>
      <c r="K1232" s="538"/>
      <c r="L1232" s="487"/>
      <c r="M1232" s="487"/>
      <c r="N1232" s="354"/>
      <c r="O1232" s="354"/>
      <c r="P1232" s="354"/>
      <c r="Q1232" s="354"/>
      <c r="R1232" s="354"/>
      <c r="S1232" s="354"/>
      <c r="T1232" s="354"/>
      <c r="U1232" s="354"/>
      <c r="V1232" s="354"/>
      <c r="W1232" s="354"/>
      <c r="X1232" s="354"/>
      <c r="Y1232" s="354"/>
      <c r="Z1232" s="353"/>
      <c r="AA1232" s="353"/>
      <c r="AB1232" s="836"/>
      <c r="AC1232" s="836"/>
      <c r="AD1232" s="836"/>
      <c r="AE1232" s="838"/>
    </row>
    <row r="1233" spans="1:31" ht="16.5" customHeight="1">
      <c r="A1233" s="347">
        <v>91738179</v>
      </c>
      <c r="B1233" s="347" t="s">
        <v>6788</v>
      </c>
      <c r="C1233" s="347"/>
      <c r="D1233" s="348"/>
      <c r="E1233" s="348"/>
      <c r="F1233" s="348"/>
      <c r="G1233" s="348"/>
      <c r="H1233" s="359"/>
      <c r="I1233" s="352"/>
      <c r="J1233" s="353"/>
      <c r="K1233" s="538"/>
      <c r="L1233" s="487"/>
      <c r="M1233" s="487"/>
      <c r="N1233" s="354"/>
      <c r="O1233" s="354"/>
      <c r="P1233" s="354"/>
      <c r="Q1233" s="354"/>
      <c r="R1233" s="354"/>
      <c r="S1233" s="354"/>
      <c r="T1233" s="354"/>
      <c r="U1233" s="354"/>
      <c r="V1233" s="354"/>
      <c r="W1233" s="354"/>
      <c r="X1233" s="354"/>
      <c r="Y1233" s="354"/>
      <c r="Z1233" s="353"/>
      <c r="AA1233" s="353"/>
      <c r="AB1233" s="836"/>
      <c r="AC1233" s="836"/>
      <c r="AD1233" s="836"/>
      <c r="AE1233" s="838"/>
    </row>
    <row r="1234" spans="1:31" ht="16.5" customHeight="1">
      <c r="A1234" s="347">
        <v>100314102</v>
      </c>
      <c r="B1234" s="347" t="s">
        <v>6789</v>
      </c>
      <c r="C1234" s="347"/>
      <c r="D1234" s="348"/>
      <c r="E1234" s="348"/>
      <c r="F1234" s="348"/>
      <c r="G1234" s="348"/>
      <c r="H1234" s="359"/>
      <c r="I1234" s="352"/>
      <c r="J1234" s="353"/>
      <c r="K1234" s="538"/>
      <c r="L1234" s="487"/>
      <c r="M1234" s="487"/>
      <c r="N1234" s="354"/>
      <c r="O1234" s="354"/>
      <c r="P1234" s="354"/>
      <c r="Q1234" s="354"/>
      <c r="R1234" s="354"/>
      <c r="S1234" s="354"/>
      <c r="T1234" s="354"/>
      <c r="U1234" s="354"/>
      <c r="V1234" s="354"/>
      <c r="W1234" s="354"/>
      <c r="X1234" s="354"/>
      <c r="Y1234" s="354"/>
      <c r="Z1234" s="353"/>
      <c r="AA1234" s="353"/>
      <c r="AB1234" s="836"/>
      <c r="AC1234" s="836"/>
      <c r="AD1234" s="836"/>
      <c r="AE1234" s="838"/>
    </row>
    <row r="1235" spans="1:31" ht="16.5" customHeight="1">
      <c r="A1235" s="347">
        <v>100325853</v>
      </c>
      <c r="B1235" s="347" t="s">
        <v>6790</v>
      </c>
      <c r="C1235" s="347"/>
      <c r="D1235" s="348"/>
      <c r="E1235" s="348"/>
      <c r="F1235" s="348"/>
      <c r="G1235" s="348"/>
      <c r="H1235" s="359"/>
      <c r="I1235" s="352"/>
      <c r="J1235" s="353"/>
      <c r="K1235" s="538"/>
      <c r="L1235" s="487"/>
      <c r="M1235" s="487"/>
      <c r="N1235" s="354"/>
      <c r="O1235" s="354"/>
      <c r="P1235" s="354"/>
      <c r="Q1235" s="354"/>
      <c r="R1235" s="354"/>
      <c r="S1235" s="354"/>
      <c r="T1235" s="354"/>
      <c r="U1235" s="354"/>
      <c r="V1235" s="354"/>
      <c r="W1235" s="354"/>
      <c r="X1235" s="354"/>
      <c r="Y1235" s="354"/>
      <c r="Z1235" s="353"/>
      <c r="AA1235" s="353"/>
      <c r="AB1235" s="836"/>
      <c r="AC1235" s="836"/>
      <c r="AD1235" s="836"/>
      <c r="AE1235" s="838"/>
    </row>
    <row r="1236" spans="1:31" ht="16.5" customHeight="1">
      <c r="A1236" s="347">
        <v>100325860</v>
      </c>
      <c r="B1236" s="347" t="s">
        <v>6791</v>
      </c>
      <c r="C1236" s="347"/>
      <c r="D1236" s="361"/>
      <c r="E1236" s="361"/>
      <c r="F1236" s="361"/>
      <c r="G1236" s="348"/>
      <c r="H1236" s="359"/>
      <c r="I1236" s="352"/>
      <c r="J1236" s="353"/>
      <c r="K1236" s="538"/>
      <c r="L1236" s="487"/>
      <c r="M1236" s="487"/>
      <c r="N1236" s="354"/>
      <c r="O1236" s="354"/>
      <c r="P1236" s="354"/>
      <c r="Q1236" s="354"/>
      <c r="R1236" s="354"/>
      <c r="S1236" s="354"/>
      <c r="T1236" s="354"/>
      <c r="U1236" s="354"/>
      <c r="V1236" s="354"/>
      <c r="W1236" s="354"/>
      <c r="X1236" s="354"/>
      <c r="Y1236" s="354"/>
      <c r="Z1236" s="353"/>
      <c r="AA1236" s="353"/>
      <c r="AB1236" s="836"/>
      <c r="AC1236" s="836"/>
      <c r="AD1236" s="836"/>
      <c r="AE1236" s="838"/>
    </row>
    <row r="1237" spans="1:31" ht="16.5" customHeight="1">
      <c r="A1237" s="347">
        <v>100210444</v>
      </c>
      <c r="B1237" s="347" t="s">
        <v>6792</v>
      </c>
      <c r="C1237" s="347"/>
      <c r="D1237" s="348"/>
      <c r="E1237" s="348"/>
      <c r="F1237" s="348"/>
      <c r="G1237" s="348"/>
      <c r="H1237" s="359"/>
      <c r="I1237" s="352"/>
      <c r="J1237" s="353"/>
      <c r="K1237" s="538"/>
      <c r="L1237" s="487"/>
      <c r="M1237" s="487"/>
      <c r="N1237" s="354"/>
      <c r="O1237" s="354"/>
      <c r="P1237" s="354"/>
      <c r="Q1237" s="354"/>
      <c r="R1237" s="354"/>
      <c r="S1237" s="354"/>
      <c r="T1237" s="354"/>
      <c r="U1237" s="354"/>
      <c r="V1237" s="354"/>
      <c r="W1237" s="354"/>
      <c r="X1237" s="354"/>
      <c r="Y1237" s="354"/>
      <c r="Z1237" s="353"/>
      <c r="AA1237" s="353"/>
      <c r="AB1237" s="836"/>
      <c r="AC1237" s="836"/>
      <c r="AD1237" s="836"/>
      <c r="AE1237" s="838"/>
    </row>
    <row r="1238" spans="1:31" ht="16.5" customHeight="1">
      <c r="A1238" s="347">
        <v>100314108</v>
      </c>
      <c r="B1238" s="347" t="s">
        <v>6793</v>
      </c>
      <c r="C1238" s="347"/>
      <c r="D1238" s="348"/>
      <c r="E1238" s="348"/>
      <c r="F1238" s="348"/>
      <c r="G1238" s="348"/>
      <c r="H1238" s="359"/>
      <c r="I1238" s="352"/>
      <c r="J1238" s="353"/>
      <c r="K1238" s="538"/>
      <c r="L1238" s="487"/>
      <c r="M1238" s="487"/>
      <c r="N1238" s="354"/>
      <c r="O1238" s="354"/>
      <c r="P1238" s="354"/>
      <c r="Q1238" s="354"/>
      <c r="R1238" s="354"/>
      <c r="S1238" s="354"/>
      <c r="T1238" s="354"/>
      <c r="U1238" s="354"/>
      <c r="V1238" s="354"/>
      <c r="W1238" s="354"/>
      <c r="X1238" s="354"/>
      <c r="Y1238" s="354"/>
      <c r="Z1238" s="353"/>
      <c r="AA1238" s="353"/>
      <c r="AB1238" s="836"/>
      <c r="AC1238" s="836"/>
      <c r="AD1238" s="836"/>
      <c r="AE1238" s="838"/>
    </row>
    <row r="1239" spans="1:31" ht="16.5" customHeight="1">
      <c r="A1239" s="347">
        <v>100316161</v>
      </c>
      <c r="B1239" s="347" t="s">
        <v>6794</v>
      </c>
      <c r="C1239" s="347"/>
      <c r="D1239" s="348"/>
      <c r="E1239" s="348"/>
      <c r="F1239" s="348"/>
      <c r="G1239" s="348"/>
      <c r="H1239" s="359"/>
      <c r="I1239" s="352"/>
      <c r="J1239" s="353"/>
      <c r="K1239" s="538"/>
      <c r="L1239" s="487"/>
      <c r="M1239" s="487"/>
      <c r="N1239" s="354"/>
      <c r="O1239" s="354"/>
      <c r="P1239" s="354"/>
      <c r="Q1239" s="354"/>
      <c r="R1239" s="354"/>
      <c r="S1239" s="354"/>
      <c r="T1239" s="354"/>
      <c r="U1239" s="354"/>
      <c r="V1239" s="354"/>
      <c r="W1239" s="354"/>
      <c r="X1239" s="354"/>
      <c r="Y1239" s="354"/>
      <c r="Z1239" s="353"/>
      <c r="AA1239" s="353"/>
      <c r="AB1239" s="836"/>
      <c r="AC1239" s="836"/>
      <c r="AD1239" s="836"/>
      <c r="AE1239" s="838"/>
    </row>
    <row r="1240" spans="1:31" ht="16.5" customHeight="1">
      <c r="A1240" s="347">
        <v>26461863</v>
      </c>
      <c r="B1240" s="347" t="s">
        <v>6795</v>
      </c>
      <c r="C1240" s="347"/>
      <c r="D1240" s="348"/>
      <c r="E1240" s="348"/>
      <c r="F1240" s="348"/>
      <c r="G1240" s="348"/>
      <c r="H1240" s="359"/>
      <c r="I1240" s="352"/>
      <c r="J1240" s="353"/>
      <c r="K1240" s="538"/>
      <c r="L1240" s="487"/>
      <c r="M1240" s="487"/>
      <c r="N1240" s="354"/>
      <c r="O1240" s="354"/>
      <c r="P1240" s="354"/>
      <c r="Q1240" s="354"/>
      <c r="R1240" s="354"/>
      <c r="S1240" s="354"/>
      <c r="T1240" s="354"/>
      <c r="U1240" s="354"/>
      <c r="V1240" s="354"/>
      <c r="W1240" s="354"/>
      <c r="X1240" s="354"/>
      <c r="Y1240" s="354"/>
      <c r="Z1240" s="353"/>
      <c r="AA1240" s="353"/>
      <c r="AB1240" s="836"/>
      <c r="AC1240" s="836"/>
      <c r="AD1240" s="836"/>
      <c r="AE1240" s="838"/>
    </row>
    <row r="1241" spans="1:31" ht="16.5" customHeight="1">
      <c r="A1241" s="347">
        <v>35292853</v>
      </c>
      <c r="B1241" s="347" t="s">
        <v>6796</v>
      </c>
      <c r="C1241" s="347"/>
      <c r="D1241" s="348"/>
      <c r="E1241" s="348"/>
      <c r="F1241" s="348"/>
      <c r="G1241" s="348"/>
      <c r="H1241" s="359"/>
      <c r="I1241" s="352"/>
      <c r="J1241" s="353"/>
      <c r="K1241" s="538"/>
      <c r="L1241" s="487"/>
      <c r="M1241" s="487"/>
      <c r="N1241" s="354"/>
      <c r="O1241" s="354"/>
      <c r="P1241" s="354"/>
      <c r="Q1241" s="354"/>
      <c r="R1241" s="354"/>
      <c r="S1241" s="354"/>
      <c r="T1241" s="354"/>
      <c r="U1241" s="354"/>
      <c r="V1241" s="354"/>
      <c r="W1241" s="354"/>
      <c r="X1241" s="354"/>
      <c r="Y1241" s="354"/>
      <c r="Z1241" s="353"/>
      <c r="AA1241" s="353"/>
      <c r="AB1241" s="836"/>
      <c r="AC1241" s="836"/>
      <c r="AD1241" s="836"/>
      <c r="AE1241" s="838"/>
    </row>
    <row r="1242" spans="1:31" ht="16.5" customHeight="1">
      <c r="A1242" s="347">
        <v>100314703</v>
      </c>
      <c r="B1242" s="347" t="s">
        <v>6797</v>
      </c>
      <c r="C1242" s="347"/>
      <c r="D1242" s="348"/>
      <c r="E1242" s="348"/>
      <c r="F1242" s="348"/>
      <c r="G1242" s="348"/>
      <c r="H1242" s="359"/>
      <c r="I1242" s="352"/>
      <c r="J1242" s="353"/>
      <c r="K1242" s="538"/>
      <c r="L1242" s="487"/>
      <c r="M1242" s="487"/>
      <c r="N1242" s="354"/>
      <c r="O1242" s="354"/>
      <c r="P1242" s="354"/>
      <c r="Q1242" s="354"/>
      <c r="R1242" s="354"/>
      <c r="S1242" s="354"/>
      <c r="T1242" s="354"/>
      <c r="U1242" s="354"/>
      <c r="V1242" s="354"/>
      <c r="W1242" s="354"/>
      <c r="X1242" s="354"/>
      <c r="Y1242" s="354"/>
      <c r="Z1242" s="353"/>
      <c r="AA1242" s="353"/>
      <c r="AB1242" s="836"/>
      <c r="AC1242" s="836"/>
      <c r="AD1242" s="836"/>
      <c r="AE1242" s="838"/>
    </row>
    <row r="1243" spans="1:31" ht="16.5" customHeight="1">
      <c r="A1243" s="347"/>
      <c r="B1243" s="347"/>
      <c r="C1243" s="347"/>
      <c r="D1243" s="348"/>
      <c r="E1243" s="348"/>
      <c r="F1243" s="348"/>
      <c r="G1243" s="348"/>
      <c r="H1243" s="359"/>
      <c r="I1243" s="352"/>
      <c r="J1243" s="353"/>
      <c r="K1243" s="538"/>
      <c r="L1243" s="487"/>
      <c r="M1243" s="487"/>
      <c r="N1243" s="354"/>
      <c r="O1243" s="354"/>
      <c r="P1243" s="354"/>
      <c r="Q1243" s="354"/>
      <c r="R1243" s="354"/>
      <c r="S1243" s="354"/>
      <c r="T1243" s="354"/>
      <c r="U1243" s="354"/>
      <c r="V1243" s="354"/>
      <c r="W1243" s="354"/>
      <c r="X1243" s="354"/>
      <c r="Y1243" s="354"/>
      <c r="Z1243" s="353"/>
      <c r="AA1243" s="353"/>
      <c r="AB1243" s="836"/>
      <c r="AC1243" s="836"/>
      <c r="AD1243" s="836"/>
      <c r="AE1243" s="838"/>
    </row>
    <row r="1244" spans="1:31" ht="16.5" customHeight="1">
      <c r="A1244" s="347"/>
      <c r="B1244" s="347"/>
      <c r="C1244" s="347"/>
      <c r="D1244" s="348"/>
      <c r="E1244" s="348"/>
      <c r="F1244" s="348"/>
      <c r="G1244" s="348"/>
      <c r="H1244" s="359"/>
      <c r="I1244" s="352"/>
      <c r="J1244" s="353"/>
      <c r="K1244" s="538"/>
      <c r="L1244" s="487"/>
      <c r="M1244" s="487"/>
      <c r="N1244" s="354"/>
      <c r="O1244" s="354"/>
      <c r="P1244" s="354"/>
      <c r="Q1244" s="354"/>
      <c r="R1244" s="354"/>
      <c r="S1244" s="354"/>
      <c r="T1244" s="354"/>
      <c r="U1244" s="354"/>
      <c r="V1244" s="354"/>
      <c r="W1244" s="354"/>
      <c r="X1244" s="354"/>
      <c r="Y1244" s="354"/>
      <c r="Z1244" s="353"/>
      <c r="AA1244" s="352"/>
      <c r="AB1244" s="726"/>
    </row>
    <row r="1245" spans="1:31" ht="16.5" customHeight="1">
      <c r="A1245" s="347"/>
      <c r="B1245" s="347"/>
      <c r="C1245" s="347"/>
      <c r="D1245" s="348"/>
      <c r="E1245" s="348"/>
      <c r="F1245" s="348"/>
      <c r="G1245" s="348"/>
      <c r="H1245" s="359"/>
      <c r="I1245" s="352"/>
      <c r="J1245" s="353"/>
      <c r="K1245" s="538"/>
      <c r="L1245" s="487"/>
      <c r="M1245" s="487"/>
      <c r="N1245" s="354"/>
      <c r="O1245" s="354"/>
      <c r="P1245" s="354"/>
      <c r="Q1245" s="354"/>
      <c r="R1245" s="354"/>
      <c r="S1245" s="354"/>
      <c r="T1245" s="354"/>
      <c r="U1245" s="354"/>
      <c r="V1245" s="354"/>
      <c r="W1245" s="354"/>
      <c r="X1245" s="354"/>
      <c r="Y1245" s="354"/>
      <c r="Z1245" s="353"/>
      <c r="AA1245" s="352"/>
      <c r="AB1245" s="726"/>
    </row>
    <row r="1246" spans="1:31" ht="16.5" customHeight="1">
      <c r="A1246" s="347"/>
      <c r="B1246" s="347"/>
      <c r="C1246" s="347"/>
      <c r="D1246" s="348"/>
      <c r="E1246" s="348"/>
      <c r="F1246" s="348"/>
      <c r="G1246" s="348"/>
      <c r="H1246" s="359"/>
      <c r="I1246" s="352"/>
      <c r="J1246" s="353"/>
      <c r="K1246" s="538"/>
      <c r="L1246" s="487"/>
      <c r="M1246" s="487"/>
      <c r="N1246" s="354"/>
      <c r="O1246" s="354"/>
      <c r="P1246" s="354"/>
      <c r="Q1246" s="354"/>
      <c r="R1246" s="354"/>
      <c r="S1246" s="354"/>
      <c r="T1246" s="354"/>
      <c r="U1246" s="354"/>
      <c r="V1246" s="354"/>
      <c r="W1246" s="354"/>
      <c r="X1246" s="354"/>
      <c r="Y1246" s="354"/>
      <c r="Z1246" s="353"/>
      <c r="AA1246" s="352"/>
      <c r="AB1246" s="726"/>
    </row>
    <row r="1247" spans="1:31" ht="16.5" customHeight="1">
      <c r="A1247" s="347"/>
      <c r="B1247" s="347"/>
      <c r="C1247" s="347"/>
      <c r="D1247" s="348"/>
      <c r="E1247" s="348"/>
      <c r="F1247" s="348"/>
      <c r="G1247" s="348"/>
      <c r="H1247" s="359"/>
      <c r="I1247" s="352"/>
      <c r="J1247" s="353"/>
      <c r="K1247" s="538"/>
      <c r="L1247" s="487"/>
      <c r="M1247" s="487"/>
      <c r="N1247" s="354"/>
      <c r="O1247" s="354"/>
      <c r="P1247" s="354"/>
      <c r="Q1247" s="354"/>
      <c r="R1247" s="354"/>
      <c r="S1247" s="354"/>
      <c r="T1247" s="354"/>
      <c r="U1247" s="354"/>
      <c r="V1247" s="354"/>
      <c r="W1247" s="354"/>
      <c r="X1247" s="354"/>
      <c r="Y1247" s="354"/>
      <c r="Z1247" s="353"/>
      <c r="AA1247" s="352"/>
      <c r="AB1247" s="726"/>
    </row>
    <row r="1248" spans="1:31" ht="16.5" customHeight="1">
      <c r="A1248" s="347"/>
      <c r="B1248" s="347"/>
      <c r="C1248" s="347"/>
      <c r="D1248" s="348"/>
      <c r="E1248" s="348"/>
      <c r="F1248" s="348"/>
      <c r="G1248" s="348"/>
      <c r="H1248" s="359"/>
      <c r="I1248" s="352"/>
      <c r="J1248" s="353"/>
      <c r="K1248" s="538"/>
      <c r="L1248" s="487"/>
      <c r="M1248" s="487"/>
      <c r="N1248" s="354"/>
      <c r="O1248" s="354"/>
      <c r="P1248" s="354"/>
      <c r="Q1248" s="354"/>
      <c r="R1248" s="354"/>
      <c r="S1248" s="354"/>
      <c r="T1248" s="354"/>
      <c r="U1248" s="354"/>
      <c r="V1248" s="354"/>
      <c r="W1248" s="354"/>
      <c r="X1248" s="354"/>
      <c r="Y1248" s="354"/>
      <c r="Z1248" s="353"/>
      <c r="AA1248" s="352"/>
      <c r="AB1248" s="726"/>
    </row>
    <row r="1249" spans="1:28" ht="16.5" customHeight="1">
      <c r="A1249" s="347"/>
      <c r="B1249" s="347"/>
      <c r="C1249" s="347"/>
      <c r="D1249" s="348"/>
      <c r="E1249" s="348"/>
      <c r="F1249" s="348"/>
      <c r="G1249" s="348"/>
      <c r="H1249" s="359"/>
      <c r="I1249" s="352"/>
      <c r="J1249" s="353"/>
      <c r="K1249" s="538"/>
      <c r="L1249" s="487"/>
      <c r="M1249" s="487"/>
      <c r="N1249" s="354"/>
      <c r="O1249" s="354"/>
      <c r="P1249" s="354"/>
      <c r="Q1249" s="354"/>
      <c r="R1249" s="354"/>
      <c r="S1249" s="354"/>
      <c r="T1249" s="354"/>
      <c r="U1249" s="354"/>
      <c r="V1249" s="354"/>
      <c r="W1249" s="354"/>
      <c r="X1249" s="354"/>
      <c r="Y1249" s="354"/>
      <c r="Z1249" s="353"/>
      <c r="AA1249" s="352"/>
      <c r="AB1249" s="726"/>
    </row>
    <row r="1250" spans="1:28" ht="16.5" customHeight="1">
      <c r="A1250" s="347"/>
      <c r="B1250" s="347"/>
      <c r="C1250" s="347"/>
      <c r="D1250" s="348"/>
      <c r="E1250" s="348"/>
      <c r="F1250" s="348"/>
      <c r="G1250" s="348"/>
      <c r="H1250" s="359"/>
      <c r="I1250" s="352"/>
      <c r="J1250" s="353"/>
      <c r="K1250" s="538"/>
      <c r="L1250" s="487"/>
      <c r="M1250" s="487"/>
      <c r="N1250" s="354"/>
      <c r="O1250" s="354"/>
      <c r="P1250" s="354"/>
      <c r="Q1250" s="354"/>
      <c r="R1250" s="354"/>
      <c r="S1250" s="354"/>
      <c r="T1250" s="354"/>
      <c r="U1250" s="354"/>
      <c r="V1250" s="354"/>
      <c r="W1250" s="354"/>
      <c r="X1250" s="354"/>
      <c r="Y1250" s="354"/>
      <c r="Z1250" s="353"/>
      <c r="AA1250" s="352"/>
      <c r="AB1250" s="726"/>
    </row>
    <row r="1251" spans="1:28" ht="16.5" customHeight="1">
      <c r="A1251" s="347"/>
      <c r="B1251" s="347"/>
      <c r="C1251" s="347"/>
      <c r="D1251" s="348"/>
      <c r="E1251" s="348"/>
      <c r="F1251" s="348"/>
      <c r="G1251" s="348"/>
      <c r="H1251" s="359"/>
      <c r="I1251" s="352"/>
      <c r="J1251" s="353"/>
      <c r="K1251" s="538"/>
      <c r="L1251" s="487"/>
      <c r="M1251" s="487"/>
      <c r="N1251" s="354"/>
      <c r="O1251" s="354"/>
      <c r="P1251" s="354"/>
      <c r="Q1251" s="354"/>
      <c r="R1251" s="354"/>
      <c r="S1251" s="354"/>
      <c r="T1251" s="354"/>
      <c r="U1251" s="354"/>
      <c r="V1251" s="354"/>
      <c r="W1251" s="354"/>
      <c r="X1251" s="354"/>
      <c r="Y1251" s="354"/>
      <c r="Z1251" s="353"/>
      <c r="AA1251" s="352"/>
      <c r="AB1251" s="726"/>
    </row>
    <row r="1252" spans="1:28" ht="16.5" customHeight="1">
      <c r="A1252" s="347"/>
      <c r="B1252" s="347"/>
      <c r="C1252" s="347"/>
      <c r="D1252" s="348"/>
      <c r="E1252" s="348"/>
      <c r="F1252" s="348"/>
      <c r="G1252" s="348"/>
      <c r="H1252" s="359"/>
      <c r="I1252" s="352"/>
      <c r="J1252" s="353"/>
      <c r="K1252" s="538"/>
      <c r="L1252" s="487"/>
      <c r="M1252" s="487"/>
      <c r="N1252" s="354"/>
      <c r="O1252" s="354"/>
      <c r="P1252" s="354"/>
      <c r="Q1252" s="354"/>
      <c r="R1252" s="354"/>
      <c r="S1252" s="354"/>
      <c r="T1252" s="354"/>
      <c r="U1252" s="354"/>
      <c r="V1252" s="354"/>
      <c r="W1252" s="354"/>
      <c r="X1252" s="354"/>
      <c r="Y1252" s="354"/>
      <c r="Z1252" s="353"/>
      <c r="AA1252" s="352"/>
      <c r="AB1252" s="726"/>
    </row>
    <row r="1253" spans="1:28" ht="16.5" customHeight="1">
      <c r="A1253" s="347"/>
      <c r="B1253" s="347"/>
      <c r="C1253" s="347"/>
      <c r="D1253" s="348"/>
      <c r="E1253" s="348"/>
      <c r="F1253" s="348"/>
      <c r="G1253" s="348"/>
      <c r="H1253" s="359"/>
      <c r="I1253" s="352"/>
      <c r="J1253" s="353"/>
      <c r="K1253" s="538"/>
      <c r="L1253" s="487"/>
      <c r="M1253" s="487"/>
      <c r="N1253" s="354"/>
      <c r="O1253" s="354"/>
      <c r="P1253" s="354"/>
      <c r="Q1253" s="354"/>
      <c r="R1253" s="354"/>
      <c r="S1253" s="354"/>
      <c r="T1253" s="354"/>
      <c r="U1253" s="354"/>
      <c r="V1253" s="354"/>
      <c r="W1253" s="354"/>
      <c r="X1253" s="354"/>
      <c r="Y1253" s="354"/>
      <c r="Z1253" s="353"/>
      <c r="AA1253" s="352"/>
      <c r="AB1253" s="726"/>
    </row>
    <row r="1254" spans="1:28" ht="16.5" customHeight="1">
      <c r="A1254" s="347"/>
      <c r="B1254" s="347"/>
      <c r="C1254" s="347"/>
      <c r="D1254" s="348"/>
      <c r="E1254" s="348"/>
      <c r="F1254" s="348"/>
      <c r="G1254" s="348"/>
      <c r="H1254" s="359"/>
      <c r="I1254" s="352"/>
      <c r="J1254" s="353"/>
      <c r="K1254" s="538"/>
      <c r="L1254" s="487"/>
      <c r="M1254" s="487"/>
      <c r="N1254" s="354"/>
      <c r="O1254" s="354"/>
      <c r="P1254" s="354"/>
      <c r="Q1254" s="354"/>
      <c r="R1254" s="354"/>
      <c r="S1254" s="354"/>
      <c r="T1254" s="354"/>
      <c r="U1254" s="354"/>
      <c r="V1254" s="354"/>
      <c r="W1254" s="354"/>
      <c r="X1254" s="354"/>
      <c r="Y1254" s="354"/>
      <c r="Z1254" s="353"/>
      <c r="AA1254" s="352"/>
      <c r="AB1254" s="726"/>
    </row>
    <row r="1255" spans="1:28" ht="16.5" customHeight="1">
      <c r="A1255" s="347"/>
      <c r="B1255" s="347"/>
      <c r="C1255" s="347"/>
      <c r="D1255" s="348"/>
      <c r="E1255" s="348"/>
      <c r="F1255" s="348"/>
      <c r="G1255" s="348"/>
      <c r="H1255" s="359"/>
      <c r="I1255" s="352"/>
      <c r="J1255" s="353"/>
      <c r="K1255" s="538"/>
      <c r="L1255" s="487"/>
      <c r="M1255" s="487"/>
      <c r="N1255" s="354"/>
      <c r="O1255" s="354"/>
      <c r="P1255" s="354"/>
      <c r="Q1255" s="354"/>
      <c r="R1255" s="354"/>
      <c r="S1255" s="354"/>
      <c r="T1255" s="354"/>
      <c r="U1255" s="354"/>
      <c r="V1255" s="354"/>
      <c r="W1255" s="354"/>
      <c r="X1255" s="354"/>
      <c r="Y1255" s="354"/>
      <c r="Z1255" s="353"/>
      <c r="AA1255" s="352"/>
      <c r="AB1255" s="726"/>
    </row>
    <row r="1256" spans="1:28" ht="16.5" customHeight="1">
      <c r="A1256" s="347"/>
      <c r="B1256" s="347"/>
      <c r="C1256" s="347"/>
      <c r="D1256" s="348"/>
      <c r="E1256" s="348"/>
      <c r="F1256" s="348"/>
      <c r="G1256" s="348"/>
      <c r="H1256" s="359"/>
      <c r="I1256" s="352"/>
      <c r="J1256" s="353"/>
      <c r="K1256" s="538"/>
      <c r="L1256" s="487"/>
      <c r="M1256" s="487"/>
      <c r="N1256" s="354"/>
      <c r="O1256" s="354"/>
      <c r="P1256" s="354"/>
      <c r="Q1256" s="354"/>
      <c r="R1256" s="354"/>
      <c r="S1256" s="354"/>
      <c r="T1256" s="354"/>
      <c r="U1256" s="354"/>
      <c r="V1256" s="354"/>
      <c r="W1256" s="354"/>
      <c r="X1256" s="354"/>
      <c r="Y1256" s="354"/>
      <c r="Z1256" s="353"/>
      <c r="AA1256" s="352"/>
      <c r="AB1256" s="726"/>
    </row>
    <row r="1257" spans="1:28" ht="16.5" customHeight="1">
      <c r="A1257" s="347"/>
      <c r="B1257" s="347"/>
      <c r="C1257" s="347"/>
      <c r="D1257" s="348"/>
      <c r="E1257" s="348"/>
      <c r="F1257" s="348"/>
      <c r="G1257" s="348"/>
      <c r="H1257" s="359"/>
      <c r="I1257" s="352"/>
      <c r="J1257" s="353"/>
      <c r="K1257" s="538"/>
      <c r="L1257" s="487"/>
      <c r="M1257" s="487"/>
      <c r="N1257" s="354"/>
      <c r="O1257" s="354"/>
      <c r="P1257" s="354"/>
      <c r="Q1257" s="354"/>
      <c r="R1257" s="354"/>
      <c r="S1257" s="354"/>
      <c r="T1257" s="354"/>
      <c r="U1257" s="354"/>
      <c r="V1257" s="354"/>
      <c r="W1257" s="354"/>
      <c r="X1257" s="354"/>
      <c r="Y1257" s="354"/>
      <c r="Z1257" s="353"/>
      <c r="AA1257" s="352"/>
      <c r="AB1257" s="726"/>
    </row>
    <row r="1258" spans="1:28" ht="16.5" customHeight="1">
      <c r="A1258" s="347"/>
      <c r="B1258" s="347"/>
      <c r="C1258" s="347"/>
      <c r="D1258" s="348"/>
      <c r="E1258" s="348"/>
      <c r="F1258" s="348"/>
      <c r="G1258" s="348"/>
      <c r="H1258" s="359"/>
      <c r="I1258" s="352"/>
      <c r="J1258" s="353"/>
      <c r="K1258" s="538"/>
      <c r="L1258" s="487"/>
      <c r="M1258" s="487"/>
      <c r="N1258" s="354"/>
      <c r="O1258" s="354"/>
      <c r="P1258" s="354"/>
      <c r="Q1258" s="354"/>
      <c r="R1258" s="354"/>
      <c r="S1258" s="354"/>
      <c r="T1258" s="354"/>
      <c r="U1258" s="354"/>
      <c r="V1258" s="354"/>
      <c r="W1258" s="354"/>
      <c r="X1258" s="354"/>
      <c r="Y1258" s="354"/>
      <c r="Z1258" s="353"/>
      <c r="AA1258" s="352"/>
      <c r="AB1258" s="726"/>
    </row>
    <row r="1259" spans="1:28" ht="16.5" customHeight="1">
      <c r="A1259" s="347"/>
      <c r="B1259" s="347"/>
      <c r="C1259" s="347"/>
      <c r="D1259" s="348"/>
      <c r="E1259" s="348"/>
      <c r="F1259" s="348"/>
      <c r="G1259" s="348"/>
      <c r="H1259" s="359"/>
      <c r="I1259" s="352"/>
      <c r="J1259" s="353"/>
      <c r="K1259" s="538"/>
      <c r="L1259" s="487"/>
      <c r="M1259" s="487"/>
      <c r="N1259" s="354"/>
      <c r="O1259" s="354"/>
      <c r="P1259" s="354"/>
      <c r="Q1259" s="354"/>
      <c r="R1259" s="354"/>
      <c r="S1259" s="354"/>
      <c r="T1259" s="354"/>
      <c r="U1259" s="354"/>
      <c r="V1259" s="354"/>
      <c r="W1259" s="354"/>
      <c r="X1259" s="354"/>
      <c r="Y1259" s="354"/>
      <c r="Z1259" s="353"/>
      <c r="AA1259" s="352"/>
      <c r="AB1259" s="726"/>
    </row>
    <row r="1260" spans="1:28" ht="16.5" customHeight="1">
      <c r="A1260" s="347"/>
      <c r="B1260" s="347"/>
      <c r="C1260" s="347"/>
      <c r="D1260" s="348"/>
      <c r="E1260" s="348"/>
      <c r="F1260" s="348"/>
      <c r="G1260" s="348"/>
      <c r="H1260" s="359"/>
      <c r="I1260" s="352"/>
      <c r="J1260" s="353"/>
      <c r="K1260" s="538"/>
      <c r="L1260" s="487"/>
      <c r="M1260" s="487"/>
      <c r="N1260" s="354"/>
      <c r="O1260" s="354"/>
      <c r="P1260" s="354"/>
      <c r="Q1260" s="354"/>
      <c r="R1260" s="354"/>
      <c r="S1260" s="354"/>
      <c r="T1260" s="354"/>
      <c r="U1260" s="354"/>
      <c r="V1260" s="354"/>
      <c r="W1260" s="354"/>
      <c r="X1260" s="354"/>
      <c r="Y1260" s="354"/>
      <c r="Z1260" s="353"/>
      <c r="AA1260" s="352"/>
      <c r="AB1260" s="726"/>
    </row>
    <row r="1261" spans="1:28" ht="16.5" customHeight="1">
      <c r="A1261" s="347"/>
      <c r="B1261" s="347"/>
      <c r="C1261" s="347"/>
      <c r="D1261" s="348"/>
      <c r="E1261" s="348"/>
      <c r="F1261" s="348"/>
      <c r="G1261" s="348"/>
      <c r="H1261" s="359"/>
      <c r="I1261" s="352"/>
      <c r="J1261" s="353"/>
      <c r="K1261" s="538"/>
      <c r="L1261" s="487"/>
      <c r="M1261" s="487"/>
      <c r="N1261" s="354"/>
      <c r="O1261" s="354"/>
      <c r="P1261" s="354"/>
      <c r="Q1261" s="354"/>
      <c r="R1261" s="354"/>
      <c r="S1261" s="354"/>
      <c r="T1261" s="354"/>
      <c r="U1261" s="354"/>
      <c r="V1261" s="354"/>
      <c r="W1261" s="354"/>
      <c r="X1261" s="354"/>
      <c r="Y1261" s="354"/>
      <c r="Z1261" s="353"/>
      <c r="AA1261" s="352"/>
      <c r="AB1261" s="726"/>
    </row>
    <row r="1262" spans="1:28" ht="16.5" customHeight="1">
      <c r="A1262" s="347"/>
      <c r="B1262" s="347"/>
      <c r="C1262" s="347"/>
      <c r="D1262" s="348"/>
      <c r="E1262" s="348"/>
      <c r="F1262" s="348"/>
      <c r="G1262" s="348"/>
      <c r="H1262" s="359"/>
      <c r="I1262" s="352"/>
      <c r="J1262" s="353"/>
      <c r="K1262" s="538"/>
      <c r="L1262" s="487"/>
      <c r="M1262" s="487"/>
      <c r="N1262" s="354"/>
      <c r="O1262" s="354"/>
      <c r="P1262" s="354"/>
      <c r="Q1262" s="354"/>
      <c r="R1262" s="354"/>
      <c r="S1262" s="354"/>
      <c r="T1262" s="354"/>
      <c r="U1262" s="354"/>
      <c r="V1262" s="354"/>
      <c r="W1262" s="354"/>
      <c r="X1262" s="354"/>
      <c r="Y1262" s="354"/>
      <c r="Z1262" s="353"/>
      <c r="AA1262" s="352"/>
      <c r="AB1262" s="726"/>
    </row>
    <row r="1263" spans="1:28" ht="16.5" customHeight="1">
      <c r="A1263" s="347"/>
      <c r="B1263" s="347"/>
      <c r="C1263" s="347"/>
      <c r="D1263" s="348"/>
      <c r="E1263" s="348"/>
      <c r="F1263" s="348"/>
      <c r="G1263" s="348"/>
      <c r="H1263" s="359"/>
      <c r="I1263" s="352"/>
      <c r="J1263" s="353"/>
      <c r="K1263" s="538"/>
      <c r="L1263" s="487"/>
      <c r="M1263" s="487"/>
      <c r="N1263" s="354"/>
      <c r="O1263" s="354"/>
      <c r="P1263" s="354"/>
      <c r="Q1263" s="354"/>
      <c r="R1263" s="354"/>
      <c r="S1263" s="354"/>
      <c r="T1263" s="354"/>
      <c r="U1263" s="354"/>
      <c r="V1263" s="354"/>
      <c r="W1263" s="354"/>
      <c r="X1263" s="354"/>
      <c r="Y1263" s="354"/>
      <c r="Z1263" s="353"/>
      <c r="AA1263" s="352"/>
      <c r="AB1263" s="726"/>
    </row>
    <row r="1264" spans="1:28" ht="16.5" customHeight="1">
      <c r="A1264" s="347"/>
      <c r="B1264" s="347"/>
      <c r="C1264" s="347"/>
      <c r="D1264" s="361"/>
      <c r="E1264" s="361"/>
      <c r="F1264" s="361"/>
      <c r="G1264" s="348"/>
      <c r="H1264" s="359"/>
      <c r="I1264" s="352"/>
      <c r="J1264" s="353"/>
      <c r="K1264" s="538"/>
      <c r="L1264" s="487"/>
      <c r="M1264" s="487"/>
      <c r="N1264" s="354"/>
      <c r="O1264" s="354"/>
      <c r="P1264" s="354"/>
      <c r="Q1264" s="354"/>
      <c r="R1264" s="354"/>
      <c r="S1264" s="354"/>
      <c r="T1264" s="354"/>
      <c r="U1264" s="354"/>
      <c r="V1264" s="354"/>
      <c r="W1264" s="354"/>
      <c r="X1264" s="354"/>
      <c r="Y1264" s="354"/>
      <c r="Z1264" s="353"/>
      <c r="AA1264" s="352"/>
      <c r="AB1264" s="726"/>
    </row>
    <row r="1265" spans="1:28" ht="16.5" customHeight="1">
      <c r="A1265" s="347"/>
      <c r="B1265" s="347"/>
      <c r="C1265" s="347"/>
      <c r="D1265" s="348"/>
      <c r="E1265" s="348"/>
      <c r="F1265" s="348"/>
      <c r="G1265" s="348"/>
      <c r="H1265" s="359"/>
      <c r="I1265" s="352"/>
      <c r="J1265" s="353"/>
      <c r="K1265" s="538"/>
      <c r="L1265" s="487"/>
      <c r="M1265" s="487"/>
      <c r="N1265" s="354"/>
      <c r="O1265" s="354"/>
      <c r="P1265" s="354"/>
      <c r="Q1265" s="354"/>
      <c r="R1265" s="354"/>
      <c r="S1265" s="354"/>
      <c r="T1265" s="354"/>
      <c r="U1265" s="354"/>
      <c r="V1265" s="354"/>
      <c r="W1265" s="354"/>
      <c r="X1265" s="354"/>
      <c r="Y1265" s="354"/>
      <c r="Z1265" s="353"/>
      <c r="AA1265" s="352"/>
      <c r="AB1265" s="726"/>
    </row>
    <row r="1266" spans="1:28" ht="16.5" customHeight="1">
      <c r="A1266" s="347"/>
      <c r="B1266" s="347"/>
      <c r="C1266" s="347"/>
      <c r="D1266" s="348"/>
      <c r="E1266" s="348"/>
      <c r="F1266" s="348"/>
      <c r="G1266" s="348"/>
      <c r="H1266" s="359"/>
      <c r="I1266" s="352"/>
      <c r="J1266" s="353"/>
      <c r="K1266" s="538"/>
      <c r="L1266" s="487"/>
      <c r="M1266" s="487"/>
      <c r="N1266" s="354"/>
      <c r="O1266" s="354"/>
      <c r="P1266" s="354"/>
      <c r="Q1266" s="354"/>
      <c r="R1266" s="354"/>
      <c r="S1266" s="354"/>
      <c r="T1266" s="354"/>
      <c r="U1266" s="354"/>
      <c r="V1266" s="354"/>
      <c r="W1266" s="354"/>
      <c r="X1266" s="354"/>
      <c r="Y1266" s="354"/>
      <c r="Z1266" s="353"/>
      <c r="AA1266" s="352"/>
      <c r="AB1266" s="726"/>
    </row>
    <row r="1267" spans="1:28" ht="16.5" customHeight="1">
      <c r="A1267" s="347"/>
      <c r="B1267" s="347"/>
      <c r="C1267" s="347"/>
      <c r="D1267" s="348"/>
      <c r="E1267" s="348"/>
      <c r="F1267" s="348"/>
      <c r="G1267" s="348"/>
      <c r="H1267" s="359"/>
      <c r="I1267" s="352"/>
      <c r="J1267" s="353"/>
      <c r="K1267" s="538"/>
      <c r="L1267" s="487"/>
      <c r="M1267" s="487"/>
      <c r="N1267" s="354"/>
      <c r="O1267" s="354"/>
      <c r="P1267" s="354"/>
      <c r="Q1267" s="354"/>
      <c r="R1267" s="354"/>
      <c r="S1267" s="354"/>
      <c r="T1267" s="354"/>
      <c r="U1267" s="354"/>
      <c r="V1267" s="354"/>
      <c r="W1267" s="354"/>
      <c r="X1267" s="354"/>
      <c r="Y1267" s="354"/>
      <c r="Z1267" s="353"/>
      <c r="AA1267" s="352"/>
      <c r="AB1267" s="726"/>
    </row>
    <row r="1268" spans="1:28" ht="16.5" customHeight="1">
      <c r="A1268" s="347"/>
      <c r="B1268" s="347"/>
      <c r="C1268" s="347"/>
      <c r="D1268" s="348"/>
      <c r="E1268" s="348"/>
      <c r="F1268" s="348"/>
      <c r="G1268" s="348"/>
      <c r="H1268" s="359"/>
      <c r="I1268" s="352"/>
      <c r="J1268" s="353"/>
      <c r="K1268" s="538"/>
      <c r="L1268" s="487"/>
      <c r="M1268" s="487"/>
      <c r="N1268" s="354"/>
      <c r="O1268" s="354"/>
      <c r="P1268" s="354"/>
      <c r="Q1268" s="354"/>
      <c r="R1268" s="354"/>
      <c r="S1268" s="354"/>
      <c r="T1268" s="354"/>
      <c r="U1268" s="354"/>
      <c r="V1268" s="354"/>
      <c r="W1268" s="354"/>
      <c r="X1268" s="354"/>
      <c r="Y1268" s="354"/>
      <c r="Z1268" s="353"/>
      <c r="AA1268" s="352"/>
      <c r="AB1268" s="726"/>
    </row>
    <row r="1269" spans="1:28" ht="16.5" customHeight="1">
      <c r="A1269" s="347"/>
      <c r="B1269" s="347"/>
      <c r="C1269" s="347"/>
      <c r="D1269" s="348"/>
      <c r="E1269" s="348"/>
      <c r="F1269" s="348"/>
      <c r="G1269" s="348"/>
      <c r="H1269" s="359"/>
      <c r="I1269" s="352"/>
      <c r="J1269" s="353"/>
      <c r="K1269" s="538"/>
      <c r="L1269" s="487"/>
      <c r="M1269" s="487"/>
      <c r="N1269" s="354"/>
      <c r="O1269" s="354"/>
      <c r="P1269" s="354"/>
      <c r="Q1269" s="354"/>
      <c r="R1269" s="354"/>
      <c r="S1269" s="354"/>
      <c r="T1269" s="354"/>
      <c r="U1269" s="354"/>
      <c r="V1269" s="354"/>
      <c r="W1269" s="354"/>
      <c r="X1269" s="354"/>
      <c r="Y1269" s="354"/>
      <c r="Z1269" s="353"/>
      <c r="AA1269" s="352"/>
      <c r="AB1269" s="726"/>
    </row>
    <row r="1270" spans="1:28" ht="16.5" customHeight="1">
      <c r="A1270" s="347"/>
      <c r="B1270" s="347"/>
      <c r="C1270" s="347"/>
      <c r="D1270" s="348"/>
      <c r="E1270" s="348"/>
      <c r="F1270" s="348"/>
      <c r="G1270" s="348"/>
      <c r="H1270" s="359"/>
      <c r="I1270" s="352"/>
      <c r="J1270" s="353"/>
      <c r="K1270" s="538"/>
      <c r="L1270" s="487"/>
      <c r="M1270" s="487"/>
      <c r="N1270" s="354"/>
      <c r="O1270" s="354"/>
      <c r="P1270" s="354"/>
      <c r="Q1270" s="354"/>
      <c r="R1270" s="354"/>
      <c r="S1270" s="354"/>
      <c r="T1270" s="354"/>
      <c r="U1270" s="354"/>
      <c r="V1270" s="354"/>
      <c r="W1270" s="354"/>
      <c r="X1270" s="354"/>
      <c r="Y1270" s="354"/>
      <c r="Z1270" s="353"/>
      <c r="AA1270" s="352"/>
      <c r="AB1270" s="726"/>
    </row>
    <row r="1271" spans="1:28" ht="16.5" customHeight="1">
      <c r="A1271" s="347"/>
      <c r="B1271" s="347"/>
      <c r="C1271" s="347"/>
      <c r="D1271" s="348"/>
      <c r="E1271" s="348"/>
      <c r="F1271" s="348"/>
      <c r="G1271" s="348"/>
      <c r="H1271" s="359"/>
      <c r="I1271" s="352"/>
      <c r="J1271" s="353"/>
      <c r="K1271" s="538"/>
      <c r="L1271" s="487"/>
      <c r="M1271" s="487"/>
      <c r="N1271" s="354"/>
      <c r="O1271" s="354"/>
      <c r="P1271" s="354"/>
      <c r="Q1271" s="354"/>
      <c r="R1271" s="354"/>
      <c r="S1271" s="354"/>
      <c r="T1271" s="354"/>
      <c r="U1271" s="354"/>
      <c r="V1271" s="354"/>
      <c r="W1271" s="354"/>
      <c r="X1271" s="354"/>
      <c r="Y1271" s="354"/>
      <c r="Z1271" s="353"/>
      <c r="AA1271" s="352"/>
      <c r="AB1271" s="726"/>
    </row>
    <row r="1272" spans="1:28" ht="16.5" customHeight="1">
      <c r="A1272" s="347"/>
      <c r="B1272" s="347"/>
      <c r="C1272" s="347"/>
      <c r="D1272" s="348"/>
      <c r="E1272" s="348"/>
      <c r="F1272" s="348"/>
      <c r="G1272" s="348"/>
      <c r="H1272" s="359"/>
      <c r="I1272" s="352"/>
      <c r="J1272" s="353"/>
      <c r="K1272" s="538"/>
      <c r="L1272" s="487"/>
      <c r="M1272" s="487"/>
      <c r="N1272" s="354"/>
      <c r="O1272" s="354"/>
      <c r="P1272" s="354"/>
      <c r="Q1272" s="354"/>
      <c r="R1272" s="354"/>
      <c r="S1272" s="354"/>
      <c r="T1272" s="354"/>
      <c r="U1272" s="354"/>
      <c r="V1272" s="354"/>
      <c r="W1272" s="354"/>
      <c r="X1272" s="354"/>
      <c r="Y1272" s="354"/>
      <c r="Z1272" s="353"/>
      <c r="AA1272" s="352"/>
      <c r="AB1272" s="726"/>
    </row>
    <row r="1273" spans="1:28" ht="16.5" customHeight="1">
      <c r="A1273" s="347"/>
      <c r="B1273" s="347"/>
      <c r="C1273" s="347"/>
      <c r="D1273" s="348"/>
      <c r="E1273" s="348"/>
      <c r="F1273" s="348"/>
      <c r="G1273" s="348"/>
      <c r="H1273" s="359"/>
      <c r="I1273" s="352"/>
      <c r="J1273" s="353"/>
      <c r="K1273" s="538"/>
      <c r="L1273" s="487"/>
      <c r="M1273" s="487"/>
      <c r="N1273" s="354"/>
      <c r="O1273" s="354"/>
      <c r="P1273" s="354"/>
      <c r="Q1273" s="354"/>
      <c r="R1273" s="354"/>
      <c r="S1273" s="354"/>
      <c r="T1273" s="354"/>
      <c r="U1273" s="354"/>
      <c r="V1273" s="354"/>
      <c r="W1273" s="354"/>
      <c r="X1273" s="354"/>
      <c r="Y1273" s="354"/>
      <c r="Z1273" s="353"/>
      <c r="AA1273" s="352"/>
      <c r="AB1273" s="726"/>
    </row>
    <row r="1274" spans="1:28" ht="16.5" customHeight="1">
      <c r="A1274" s="347"/>
      <c r="B1274" s="347"/>
      <c r="C1274" s="347"/>
      <c r="D1274" s="348"/>
      <c r="E1274" s="348"/>
      <c r="F1274" s="348"/>
      <c r="G1274" s="348"/>
      <c r="H1274" s="359"/>
      <c r="I1274" s="352"/>
      <c r="J1274" s="353"/>
      <c r="K1274" s="538"/>
      <c r="L1274" s="487"/>
      <c r="M1274" s="487"/>
      <c r="N1274" s="354"/>
      <c r="O1274" s="354"/>
      <c r="P1274" s="354"/>
      <c r="Q1274" s="354"/>
      <c r="R1274" s="354"/>
      <c r="S1274" s="354"/>
      <c r="T1274" s="354"/>
      <c r="U1274" s="354"/>
      <c r="V1274" s="354"/>
      <c r="W1274" s="354"/>
      <c r="X1274" s="354"/>
      <c r="Y1274" s="354"/>
      <c r="Z1274" s="353"/>
      <c r="AA1274" s="352"/>
      <c r="AB1274" s="726"/>
    </row>
    <row r="1275" spans="1:28" ht="16.5" customHeight="1">
      <c r="A1275" s="347"/>
      <c r="B1275" s="347"/>
      <c r="C1275" s="347"/>
      <c r="D1275" s="348"/>
      <c r="E1275" s="348"/>
      <c r="F1275" s="348"/>
      <c r="G1275" s="348"/>
      <c r="H1275" s="359"/>
      <c r="I1275" s="352"/>
      <c r="J1275" s="353"/>
      <c r="K1275" s="538"/>
      <c r="L1275" s="487"/>
      <c r="M1275" s="487"/>
      <c r="N1275" s="354"/>
      <c r="O1275" s="354"/>
      <c r="P1275" s="354"/>
      <c r="Q1275" s="354"/>
      <c r="R1275" s="354"/>
      <c r="S1275" s="354"/>
      <c r="T1275" s="354"/>
      <c r="U1275" s="354"/>
      <c r="V1275" s="354"/>
      <c r="W1275" s="354"/>
      <c r="X1275" s="354"/>
      <c r="Y1275" s="354"/>
      <c r="Z1275" s="353"/>
      <c r="AA1275" s="352"/>
      <c r="AB1275" s="726"/>
    </row>
    <row r="1276" spans="1:28" ht="16.5" customHeight="1">
      <c r="A1276" s="347"/>
      <c r="B1276" s="347"/>
      <c r="C1276" s="347"/>
      <c r="D1276" s="348"/>
      <c r="E1276" s="348"/>
      <c r="F1276" s="348"/>
      <c r="G1276" s="348"/>
      <c r="H1276" s="359"/>
      <c r="I1276" s="352"/>
      <c r="J1276" s="353"/>
      <c r="K1276" s="538"/>
      <c r="L1276" s="487"/>
      <c r="M1276" s="487"/>
      <c r="N1276" s="354"/>
      <c r="O1276" s="354"/>
      <c r="P1276" s="354"/>
      <c r="Q1276" s="354"/>
      <c r="R1276" s="354"/>
      <c r="S1276" s="354"/>
      <c r="T1276" s="354"/>
      <c r="U1276" s="354"/>
      <c r="V1276" s="354"/>
      <c r="W1276" s="354"/>
      <c r="X1276" s="354"/>
      <c r="Y1276" s="354"/>
      <c r="Z1276" s="353"/>
      <c r="AA1276" s="352"/>
      <c r="AB1276" s="726"/>
    </row>
    <row r="1277" spans="1:28" ht="16.5" customHeight="1">
      <c r="A1277" s="347"/>
      <c r="B1277" s="347"/>
      <c r="C1277" s="347"/>
      <c r="D1277" s="348"/>
      <c r="E1277" s="348"/>
      <c r="F1277" s="348"/>
      <c r="G1277" s="348"/>
      <c r="H1277" s="359"/>
      <c r="I1277" s="352"/>
      <c r="J1277" s="353"/>
      <c r="K1277" s="538"/>
      <c r="L1277" s="487"/>
      <c r="M1277" s="487"/>
      <c r="N1277" s="354"/>
      <c r="O1277" s="354"/>
      <c r="P1277" s="354"/>
      <c r="Q1277" s="354"/>
      <c r="R1277" s="354"/>
      <c r="S1277" s="354"/>
      <c r="T1277" s="354"/>
      <c r="U1277" s="354"/>
      <c r="V1277" s="354"/>
      <c r="W1277" s="354"/>
      <c r="X1277" s="354"/>
      <c r="Y1277" s="354"/>
      <c r="Z1277" s="353"/>
      <c r="AA1277" s="352"/>
      <c r="AB1277" s="726"/>
    </row>
    <row r="1278" spans="1:28" ht="16.5" customHeight="1">
      <c r="A1278" s="347"/>
      <c r="B1278" s="347"/>
      <c r="C1278" s="347"/>
      <c r="D1278" s="348"/>
      <c r="E1278" s="348"/>
      <c r="F1278" s="348"/>
      <c r="G1278" s="348"/>
      <c r="H1278" s="359"/>
      <c r="I1278" s="352"/>
      <c r="J1278" s="353"/>
      <c r="K1278" s="538"/>
      <c r="L1278" s="487"/>
      <c r="M1278" s="487"/>
      <c r="N1278" s="354"/>
      <c r="O1278" s="354"/>
      <c r="P1278" s="354"/>
      <c r="Q1278" s="354"/>
      <c r="R1278" s="354"/>
      <c r="S1278" s="354"/>
      <c r="T1278" s="354"/>
      <c r="U1278" s="354"/>
      <c r="V1278" s="354"/>
      <c r="W1278" s="354"/>
      <c r="X1278" s="354"/>
      <c r="Y1278" s="354"/>
      <c r="Z1278" s="353"/>
      <c r="AA1278" s="352"/>
      <c r="AB1278" s="726"/>
    </row>
    <row r="1279" spans="1:28" ht="16.5" customHeight="1">
      <c r="A1279" s="347"/>
      <c r="B1279" s="347"/>
      <c r="C1279" s="347"/>
      <c r="D1279" s="348"/>
      <c r="E1279" s="348"/>
      <c r="F1279" s="348"/>
      <c r="G1279" s="348"/>
      <c r="H1279" s="359"/>
      <c r="I1279" s="352"/>
      <c r="J1279" s="353"/>
      <c r="K1279" s="538"/>
      <c r="L1279" s="487"/>
      <c r="M1279" s="487"/>
      <c r="N1279" s="354"/>
      <c r="O1279" s="354"/>
      <c r="P1279" s="354"/>
      <c r="Q1279" s="354"/>
      <c r="R1279" s="354"/>
      <c r="S1279" s="354"/>
      <c r="T1279" s="354"/>
      <c r="U1279" s="354"/>
      <c r="V1279" s="354"/>
      <c r="W1279" s="354"/>
      <c r="X1279" s="354"/>
      <c r="Y1279" s="354"/>
      <c r="Z1279" s="353"/>
      <c r="AA1279" s="352"/>
      <c r="AB1279" s="726"/>
    </row>
    <row r="1280" spans="1:28" ht="16.5" customHeight="1">
      <c r="A1280" s="347"/>
      <c r="B1280" s="347"/>
      <c r="C1280" s="347"/>
      <c r="D1280" s="348"/>
      <c r="E1280" s="348"/>
      <c r="F1280" s="348"/>
      <c r="G1280" s="348"/>
      <c r="H1280" s="359"/>
      <c r="I1280" s="352"/>
      <c r="J1280" s="353"/>
      <c r="K1280" s="538"/>
      <c r="L1280" s="487"/>
      <c r="M1280" s="487"/>
      <c r="N1280" s="354"/>
      <c r="O1280" s="354"/>
      <c r="P1280" s="354"/>
      <c r="Q1280" s="354"/>
      <c r="R1280" s="354"/>
      <c r="S1280" s="354"/>
      <c r="T1280" s="354"/>
      <c r="U1280" s="354"/>
      <c r="V1280" s="354"/>
      <c r="W1280" s="354"/>
      <c r="X1280" s="354"/>
      <c r="Y1280" s="354"/>
      <c r="Z1280" s="353"/>
      <c r="AA1280" s="352"/>
      <c r="AB1280" s="726"/>
    </row>
    <row r="1281" spans="1:28" ht="16.5" customHeight="1">
      <c r="A1281" s="347"/>
      <c r="B1281" s="347"/>
      <c r="C1281" s="347"/>
      <c r="D1281" s="348"/>
      <c r="E1281" s="348"/>
      <c r="F1281" s="348"/>
      <c r="G1281" s="348"/>
      <c r="H1281" s="359"/>
      <c r="I1281" s="352"/>
      <c r="J1281" s="353"/>
      <c r="K1281" s="538"/>
      <c r="L1281" s="487"/>
      <c r="M1281" s="487"/>
      <c r="N1281" s="354"/>
      <c r="O1281" s="354"/>
      <c r="P1281" s="354"/>
      <c r="Q1281" s="354"/>
      <c r="R1281" s="354"/>
      <c r="S1281" s="354"/>
      <c r="T1281" s="354"/>
      <c r="U1281" s="354"/>
      <c r="V1281" s="354"/>
      <c r="W1281" s="354"/>
      <c r="X1281" s="354"/>
      <c r="Y1281" s="354"/>
      <c r="Z1281" s="353"/>
      <c r="AA1281" s="352"/>
      <c r="AB1281" s="726"/>
    </row>
    <row r="1282" spans="1:28" ht="16.5" customHeight="1">
      <c r="A1282" s="347"/>
      <c r="B1282" s="347"/>
      <c r="C1282" s="347"/>
      <c r="D1282" s="348"/>
      <c r="E1282" s="348"/>
      <c r="F1282" s="348"/>
      <c r="G1282" s="348"/>
      <c r="H1282" s="359"/>
      <c r="I1282" s="352"/>
      <c r="J1282" s="353"/>
      <c r="K1282" s="538"/>
      <c r="L1282" s="487"/>
      <c r="M1282" s="487"/>
      <c r="N1282" s="354"/>
      <c r="O1282" s="354"/>
      <c r="P1282" s="354"/>
      <c r="Q1282" s="354"/>
      <c r="R1282" s="354"/>
      <c r="S1282" s="354"/>
      <c r="T1282" s="354"/>
      <c r="U1282" s="354"/>
      <c r="V1282" s="354"/>
      <c r="W1282" s="354"/>
      <c r="X1282" s="354"/>
      <c r="Y1282" s="354"/>
      <c r="Z1282" s="353"/>
      <c r="AA1282" s="352"/>
      <c r="AB1282" s="726"/>
    </row>
    <row r="1283" spans="1:28" ht="16.5" customHeight="1">
      <c r="A1283" s="347"/>
      <c r="B1283" s="347"/>
      <c r="C1283" s="347"/>
      <c r="D1283" s="348"/>
      <c r="E1283" s="348"/>
      <c r="F1283" s="348"/>
      <c r="G1283" s="348"/>
      <c r="H1283" s="359"/>
      <c r="I1283" s="352"/>
      <c r="J1283" s="353"/>
      <c r="K1283" s="538"/>
      <c r="L1283" s="487"/>
      <c r="M1283" s="487"/>
      <c r="N1283" s="354"/>
      <c r="O1283" s="354"/>
      <c r="P1283" s="354"/>
      <c r="Q1283" s="354"/>
      <c r="R1283" s="354"/>
      <c r="S1283" s="354"/>
      <c r="T1283" s="354"/>
      <c r="U1283" s="354"/>
      <c r="V1283" s="354"/>
      <c r="W1283" s="354"/>
      <c r="X1283" s="354"/>
      <c r="Y1283" s="354"/>
      <c r="Z1283" s="353"/>
      <c r="AA1283" s="352"/>
      <c r="AB1283" s="726"/>
    </row>
    <row r="1284" spans="1:28" ht="16.5" customHeight="1">
      <c r="A1284" s="347"/>
      <c r="B1284" s="347"/>
      <c r="C1284" s="347"/>
      <c r="D1284" s="361"/>
      <c r="E1284" s="361"/>
      <c r="F1284" s="361"/>
      <c r="G1284" s="348"/>
      <c r="H1284" s="359"/>
      <c r="I1284" s="352"/>
      <c r="J1284" s="353"/>
      <c r="K1284" s="538"/>
      <c r="L1284" s="487"/>
      <c r="M1284" s="487"/>
      <c r="N1284" s="354"/>
      <c r="O1284" s="354"/>
      <c r="P1284" s="354"/>
      <c r="Q1284" s="354"/>
      <c r="R1284" s="354"/>
      <c r="S1284" s="354"/>
      <c r="T1284" s="354"/>
      <c r="U1284" s="354"/>
      <c r="V1284" s="354"/>
      <c r="W1284" s="354"/>
      <c r="X1284" s="354"/>
      <c r="Y1284" s="354"/>
      <c r="Z1284" s="353"/>
      <c r="AA1284" s="352"/>
      <c r="AB1284" s="726"/>
    </row>
    <row r="1285" spans="1:28" ht="16.5" customHeight="1">
      <c r="A1285" s="347"/>
      <c r="B1285" s="347"/>
      <c r="C1285" s="347"/>
      <c r="D1285" s="348"/>
      <c r="E1285" s="348"/>
      <c r="F1285" s="348"/>
      <c r="G1285" s="348"/>
      <c r="H1285" s="359"/>
      <c r="I1285" s="352"/>
      <c r="J1285" s="353"/>
      <c r="K1285" s="538"/>
      <c r="L1285" s="487"/>
      <c r="M1285" s="487"/>
      <c r="N1285" s="354"/>
      <c r="O1285" s="354"/>
      <c r="P1285" s="354"/>
      <c r="Q1285" s="354"/>
      <c r="R1285" s="354"/>
      <c r="S1285" s="354"/>
      <c r="T1285" s="354"/>
      <c r="U1285" s="354"/>
      <c r="V1285" s="354"/>
      <c r="W1285" s="354"/>
      <c r="X1285" s="354"/>
      <c r="Y1285" s="354"/>
      <c r="Z1285" s="353"/>
      <c r="AA1285" s="352"/>
      <c r="AB1285" s="726"/>
    </row>
    <row r="1286" spans="1:28" ht="16.5" customHeight="1">
      <c r="A1286" s="347"/>
      <c r="B1286" s="347"/>
      <c r="C1286" s="347"/>
      <c r="D1286" s="348"/>
      <c r="E1286" s="348"/>
      <c r="F1286" s="348"/>
      <c r="G1286" s="348"/>
      <c r="H1286" s="359"/>
      <c r="I1286" s="352"/>
      <c r="J1286" s="353"/>
      <c r="K1286" s="538"/>
      <c r="L1286" s="487"/>
      <c r="M1286" s="487"/>
      <c r="N1286" s="354"/>
      <c r="O1286" s="354"/>
      <c r="P1286" s="354"/>
      <c r="Q1286" s="354"/>
      <c r="R1286" s="354"/>
      <c r="S1286" s="354"/>
      <c r="T1286" s="354"/>
      <c r="U1286" s="354"/>
      <c r="V1286" s="354"/>
      <c r="W1286" s="354"/>
      <c r="X1286" s="354"/>
      <c r="Y1286" s="354"/>
      <c r="Z1286" s="353"/>
      <c r="AA1286" s="352"/>
      <c r="AB1286" s="726"/>
    </row>
    <row r="1287" spans="1:28" ht="16.5" customHeight="1">
      <c r="A1287" s="347"/>
      <c r="B1287" s="347"/>
      <c r="C1287" s="347"/>
      <c r="D1287" s="348"/>
      <c r="E1287" s="348"/>
      <c r="F1287" s="348"/>
      <c r="G1287" s="348"/>
      <c r="H1287" s="359"/>
      <c r="I1287" s="352"/>
      <c r="J1287" s="353"/>
      <c r="K1287" s="538"/>
      <c r="L1287" s="487"/>
      <c r="M1287" s="487"/>
      <c r="N1287" s="354"/>
      <c r="O1287" s="354"/>
      <c r="P1287" s="354"/>
      <c r="Q1287" s="354"/>
      <c r="R1287" s="354"/>
      <c r="S1287" s="354"/>
      <c r="T1287" s="354"/>
      <c r="U1287" s="354"/>
      <c r="V1287" s="354"/>
      <c r="W1287" s="354"/>
      <c r="X1287" s="354"/>
      <c r="Y1287" s="354"/>
      <c r="Z1287" s="353"/>
      <c r="AA1287" s="352"/>
      <c r="AB1287" s="726"/>
    </row>
    <row r="1288" spans="1:28" ht="16.5" customHeight="1">
      <c r="A1288" s="347"/>
      <c r="B1288" s="347"/>
      <c r="C1288" s="347"/>
      <c r="D1288" s="348"/>
      <c r="E1288" s="348"/>
      <c r="F1288" s="348"/>
      <c r="G1288" s="348"/>
      <c r="H1288" s="359"/>
      <c r="I1288" s="352"/>
      <c r="J1288" s="353"/>
      <c r="K1288" s="538"/>
      <c r="L1288" s="487"/>
      <c r="M1288" s="487"/>
      <c r="N1288" s="354"/>
      <c r="O1288" s="354"/>
      <c r="P1288" s="354"/>
      <c r="Q1288" s="354"/>
      <c r="R1288" s="354"/>
      <c r="S1288" s="354"/>
      <c r="T1288" s="354"/>
      <c r="U1288" s="354"/>
      <c r="V1288" s="354"/>
      <c r="W1288" s="354"/>
      <c r="X1288" s="354"/>
      <c r="Y1288" s="354"/>
      <c r="Z1288" s="353"/>
      <c r="AA1288" s="352"/>
      <c r="AB1288" s="726"/>
    </row>
    <row r="1289" spans="1:28" ht="16.5" customHeight="1">
      <c r="A1289" s="347"/>
      <c r="B1289" s="347"/>
      <c r="C1289" s="347"/>
      <c r="D1289" s="348"/>
      <c r="E1289" s="348"/>
      <c r="F1289" s="348"/>
      <c r="G1289" s="348"/>
      <c r="H1289" s="359"/>
      <c r="I1289" s="352"/>
      <c r="J1289" s="353"/>
      <c r="K1289" s="538"/>
      <c r="L1289" s="487"/>
      <c r="M1289" s="487"/>
      <c r="N1289" s="354"/>
      <c r="O1289" s="354"/>
      <c r="P1289" s="354"/>
      <c r="Q1289" s="354"/>
      <c r="R1289" s="354"/>
      <c r="S1289" s="354"/>
      <c r="T1289" s="354"/>
      <c r="U1289" s="354"/>
      <c r="V1289" s="354"/>
      <c r="W1289" s="354"/>
      <c r="X1289" s="354"/>
      <c r="Y1289" s="354"/>
      <c r="Z1289" s="353"/>
      <c r="AA1289" s="352"/>
      <c r="AB1289" s="726"/>
    </row>
    <row r="1290" spans="1:28" ht="16.5" customHeight="1">
      <c r="A1290" s="347"/>
      <c r="B1290" s="347"/>
      <c r="C1290" s="347"/>
      <c r="D1290" s="361"/>
      <c r="E1290" s="361"/>
      <c r="F1290" s="361"/>
      <c r="G1290" s="348"/>
      <c r="H1290" s="359"/>
      <c r="I1290" s="352"/>
      <c r="J1290" s="353"/>
      <c r="K1290" s="538"/>
      <c r="L1290" s="487"/>
      <c r="M1290" s="487"/>
      <c r="N1290" s="354"/>
      <c r="O1290" s="354"/>
      <c r="P1290" s="354"/>
      <c r="Q1290" s="354"/>
      <c r="R1290" s="354"/>
      <c r="S1290" s="354"/>
      <c r="T1290" s="354"/>
      <c r="U1290" s="354"/>
      <c r="V1290" s="354"/>
      <c r="W1290" s="354"/>
      <c r="X1290" s="354"/>
      <c r="Y1290" s="354"/>
      <c r="Z1290" s="353"/>
      <c r="AA1290" s="352"/>
      <c r="AB1290" s="726"/>
    </row>
    <row r="1291" spans="1:28" ht="16.5" customHeight="1">
      <c r="A1291" s="347"/>
      <c r="B1291" s="347"/>
      <c r="C1291" s="347"/>
      <c r="D1291" s="361"/>
      <c r="E1291" s="361"/>
      <c r="F1291" s="361"/>
      <c r="G1291" s="348"/>
      <c r="H1291" s="359"/>
      <c r="I1291" s="352"/>
      <c r="J1291" s="353"/>
      <c r="K1291" s="538"/>
      <c r="L1291" s="487"/>
      <c r="M1291" s="487"/>
      <c r="N1291" s="354"/>
      <c r="O1291" s="354"/>
      <c r="P1291" s="354"/>
      <c r="Q1291" s="354"/>
      <c r="R1291" s="354"/>
      <c r="S1291" s="354"/>
      <c r="T1291" s="354"/>
      <c r="U1291" s="354"/>
      <c r="V1291" s="354"/>
      <c r="W1291" s="354"/>
      <c r="X1291" s="354"/>
      <c r="Y1291" s="354"/>
      <c r="Z1291" s="353"/>
      <c r="AA1291" s="352"/>
      <c r="AB1291" s="726"/>
    </row>
    <row r="1292" spans="1:28" ht="16.5" customHeight="1">
      <c r="A1292" s="347"/>
      <c r="B1292" s="347"/>
      <c r="C1292" s="347"/>
      <c r="D1292" s="348"/>
      <c r="E1292" s="348"/>
      <c r="F1292" s="348"/>
      <c r="G1292" s="348"/>
      <c r="H1292" s="359"/>
      <c r="I1292" s="352"/>
      <c r="J1292" s="353"/>
      <c r="K1292" s="538"/>
      <c r="L1292" s="487"/>
      <c r="M1292" s="487"/>
      <c r="N1292" s="354"/>
      <c r="O1292" s="354"/>
      <c r="P1292" s="354"/>
      <c r="Q1292" s="354"/>
      <c r="R1292" s="354"/>
      <c r="S1292" s="354"/>
      <c r="T1292" s="354"/>
      <c r="U1292" s="354"/>
      <c r="V1292" s="354"/>
      <c r="W1292" s="354"/>
      <c r="X1292" s="354"/>
      <c r="Y1292" s="354"/>
      <c r="Z1292" s="353"/>
      <c r="AA1292" s="352"/>
      <c r="AB1292" s="726"/>
    </row>
    <row r="1293" spans="1:28" ht="16.5" customHeight="1">
      <c r="A1293" s="347"/>
      <c r="B1293" s="347"/>
      <c r="C1293" s="347"/>
      <c r="D1293" s="348"/>
      <c r="E1293" s="348"/>
      <c r="F1293" s="348"/>
      <c r="G1293" s="348"/>
      <c r="H1293" s="359"/>
      <c r="I1293" s="352"/>
      <c r="J1293" s="353"/>
      <c r="K1293" s="538"/>
      <c r="L1293" s="487"/>
      <c r="M1293" s="487"/>
      <c r="N1293" s="354"/>
      <c r="O1293" s="354"/>
      <c r="P1293" s="354"/>
      <c r="Q1293" s="354"/>
      <c r="R1293" s="354"/>
      <c r="S1293" s="354"/>
      <c r="T1293" s="354"/>
      <c r="U1293" s="354"/>
      <c r="V1293" s="354"/>
      <c r="W1293" s="354"/>
      <c r="X1293" s="354"/>
      <c r="Y1293" s="354"/>
      <c r="Z1293" s="353"/>
      <c r="AA1293" s="352"/>
      <c r="AB1293" s="726"/>
    </row>
    <row r="1294" spans="1:28" ht="16.5" customHeight="1">
      <c r="A1294" s="347"/>
      <c r="B1294" s="347"/>
      <c r="C1294" s="347"/>
      <c r="D1294" s="348"/>
      <c r="E1294" s="348"/>
      <c r="F1294" s="348"/>
      <c r="G1294" s="348"/>
      <c r="H1294" s="359"/>
      <c r="I1294" s="352"/>
      <c r="J1294" s="353"/>
      <c r="K1294" s="538"/>
      <c r="L1294" s="487"/>
      <c r="M1294" s="487"/>
      <c r="N1294" s="354"/>
      <c r="O1294" s="354"/>
      <c r="P1294" s="354"/>
      <c r="Q1294" s="354"/>
      <c r="R1294" s="354"/>
      <c r="S1294" s="354"/>
      <c r="T1294" s="354"/>
      <c r="U1294" s="354"/>
      <c r="V1294" s="354"/>
      <c r="W1294" s="354"/>
      <c r="X1294" s="354"/>
      <c r="Y1294" s="354"/>
      <c r="Z1294" s="353"/>
      <c r="AA1294" s="352"/>
      <c r="AB1294" s="726"/>
    </row>
    <row r="1295" spans="1:28" ht="16.5" customHeight="1">
      <c r="A1295" s="347"/>
      <c r="B1295" s="347"/>
      <c r="C1295" s="347"/>
      <c r="D1295" s="361"/>
      <c r="E1295" s="361"/>
      <c r="F1295" s="361"/>
      <c r="G1295" s="348"/>
      <c r="H1295" s="359"/>
      <c r="I1295" s="352"/>
      <c r="J1295" s="353"/>
      <c r="K1295" s="538"/>
      <c r="L1295" s="487"/>
      <c r="M1295" s="487"/>
      <c r="N1295" s="354"/>
      <c r="O1295" s="354"/>
      <c r="P1295" s="354"/>
      <c r="Q1295" s="354"/>
      <c r="R1295" s="354"/>
      <c r="S1295" s="354"/>
      <c r="T1295" s="354"/>
      <c r="U1295" s="354"/>
      <c r="V1295" s="354"/>
      <c r="W1295" s="354"/>
      <c r="X1295" s="354"/>
      <c r="Y1295" s="354"/>
      <c r="Z1295" s="353"/>
      <c r="AA1295" s="352"/>
      <c r="AB1295" s="726"/>
    </row>
    <row r="1296" spans="1:28" ht="16.5" customHeight="1">
      <c r="A1296" s="347"/>
      <c r="B1296" s="347"/>
      <c r="C1296" s="347"/>
      <c r="D1296" s="361"/>
      <c r="E1296" s="361"/>
      <c r="F1296" s="361"/>
      <c r="G1296" s="348"/>
      <c r="H1296" s="359"/>
      <c r="I1296" s="352"/>
      <c r="J1296" s="353"/>
      <c r="K1296" s="538"/>
      <c r="L1296" s="487"/>
      <c r="M1296" s="487"/>
      <c r="N1296" s="354"/>
      <c r="O1296" s="354"/>
      <c r="P1296" s="354"/>
      <c r="Q1296" s="354"/>
      <c r="R1296" s="354"/>
      <c r="S1296" s="354"/>
      <c r="T1296" s="354"/>
      <c r="U1296" s="354"/>
      <c r="V1296" s="354"/>
      <c r="W1296" s="354"/>
      <c r="X1296" s="354"/>
      <c r="Y1296" s="354"/>
      <c r="Z1296" s="353"/>
      <c r="AA1296" s="352"/>
      <c r="AB1296" s="726"/>
    </row>
    <row r="1297" spans="1:28" ht="16.5" customHeight="1">
      <c r="A1297" s="347"/>
      <c r="B1297" s="347"/>
      <c r="C1297" s="347"/>
      <c r="D1297" s="348"/>
      <c r="E1297" s="348"/>
      <c r="F1297" s="348"/>
      <c r="G1297" s="348"/>
      <c r="H1297" s="359"/>
      <c r="I1297" s="352"/>
      <c r="J1297" s="353"/>
      <c r="K1297" s="538"/>
      <c r="L1297" s="487"/>
      <c r="M1297" s="487"/>
      <c r="N1297" s="354"/>
      <c r="O1297" s="354"/>
      <c r="P1297" s="354"/>
      <c r="Q1297" s="354"/>
      <c r="R1297" s="354"/>
      <c r="S1297" s="354"/>
      <c r="T1297" s="354"/>
      <c r="U1297" s="354"/>
      <c r="V1297" s="354"/>
      <c r="W1297" s="354"/>
      <c r="X1297" s="354"/>
      <c r="Y1297" s="354"/>
      <c r="Z1297" s="353"/>
      <c r="AA1297" s="352"/>
      <c r="AB1297" s="726"/>
    </row>
    <row r="1298" spans="1:28" ht="16.5" customHeight="1">
      <c r="A1298" s="347"/>
      <c r="B1298" s="347"/>
      <c r="C1298" s="347"/>
      <c r="D1298" s="348"/>
      <c r="E1298" s="348"/>
      <c r="F1298" s="348"/>
      <c r="G1298" s="348"/>
      <c r="H1298" s="359"/>
      <c r="I1298" s="352"/>
      <c r="J1298" s="353"/>
      <c r="K1298" s="538"/>
      <c r="L1298" s="487"/>
      <c r="M1298" s="487"/>
      <c r="N1298" s="354"/>
      <c r="O1298" s="354"/>
      <c r="P1298" s="354"/>
      <c r="Q1298" s="354"/>
      <c r="R1298" s="354"/>
      <c r="S1298" s="354"/>
      <c r="T1298" s="354"/>
      <c r="U1298" s="354"/>
      <c r="V1298" s="354"/>
      <c r="W1298" s="354"/>
      <c r="X1298" s="354"/>
      <c r="Y1298" s="354"/>
      <c r="Z1298" s="353"/>
      <c r="AA1298" s="352"/>
      <c r="AB1298" s="726"/>
    </row>
    <row r="1299" spans="1:28" ht="16.5" customHeight="1">
      <c r="A1299" s="347"/>
      <c r="B1299" s="347"/>
      <c r="C1299" s="347"/>
      <c r="D1299" s="361"/>
      <c r="E1299" s="361"/>
      <c r="F1299" s="361"/>
      <c r="G1299" s="348"/>
      <c r="H1299" s="359"/>
      <c r="I1299" s="352"/>
      <c r="J1299" s="353"/>
      <c r="K1299" s="538"/>
      <c r="L1299" s="487"/>
      <c r="M1299" s="487"/>
      <c r="N1299" s="354"/>
      <c r="O1299" s="354"/>
      <c r="P1299" s="354"/>
      <c r="Q1299" s="354"/>
      <c r="R1299" s="354"/>
      <c r="S1299" s="354"/>
      <c r="T1299" s="354"/>
      <c r="U1299" s="354"/>
      <c r="V1299" s="354"/>
      <c r="W1299" s="354"/>
      <c r="X1299" s="354"/>
      <c r="Y1299" s="354"/>
      <c r="Z1299" s="353"/>
      <c r="AA1299" s="352"/>
      <c r="AB1299" s="726"/>
    </row>
    <row r="1300" spans="1:28" ht="16.5" customHeight="1">
      <c r="A1300" s="347"/>
      <c r="B1300" s="347"/>
      <c r="C1300" s="347"/>
      <c r="D1300" s="348"/>
      <c r="E1300" s="348"/>
      <c r="F1300" s="348"/>
      <c r="G1300" s="348"/>
      <c r="H1300" s="359"/>
      <c r="I1300" s="352"/>
      <c r="J1300" s="353"/>
      <c r="K1300" s="538"/>
      <c r="L1300" s="487"/>
      <c r="M1300" s="487"/>
      <c r="N1300" s="354"/>
      <c r="O1300" s="354"/>
      <c r="P1300" s="354"/>
      <c r="Q1300" s="354"/>
      <c r="R1300" s="354"/>
      <c r="S1300" s="354"/>
      <c r="T1300" s="354"/>
      <c r="U1300" s="354"/>
      <c r="V1300" s="354"/>
      <c r="W1300" s="354"/>
      <c r="X1300" s="354"/>
      <c r="Y1300" s="354"/>
      <c r="Z1300" s="353"/>
      <c r="AA1300" s="352"/>
      <c r="AB1300" s="726"/>
    </row>
    <row r="1301" spans="1:28" ht="16.5" customHeight="1">
      <c r="A1301" s="347"/>
      <c r="B1301" s="347"/>
      <c r="C1301" s="347"/>
      <c r="D1301" s="348"/>
      <c r="E1301" s="348"/>
      <c r="F1301" s="348"/>
      <c r="G1301" s="348"/>
      <c r="H1301" s="359"/>
      <c r="I1301" s="352"/>
      <c r="J1301" s="353"/>
      <c r="K1301" s="538"/>
      <c r="L1301" s="487"/>
      <c r="M1301" s="487"/>
      <c r="N1301" s="354"/>
      <c r="O1301" s="354"/>
      <c r="P1301" s="354"/>
      <c r="Q1301" s="354"/>
      <c r="R1301" s="354"/>
      <c r="S1301" s="354"/>
      <c r="T1301" s="354"/>
      <c r="U1301" s="354"/>
      <c r="V1301" s="354"/>
      <c r="W1301" s="354"/>
      <c r="X1301" s="354"/>
      <c r="Y1301" s="354"/>
      <c r="Z1301" s="353"/>
      <c r="AA1301" s="352"/>
      <c r="AB1301" s="726"/>
    </row>
    <row r="1302" spans="1:28" ht="16.5" customHeight="1">
      <c r="A1302" s="347"/>
      <c r="B1302" s="347"/>
      <c r="C1302" s="347"/>
      <c r="D1302" s="348"/>
      <c r="E1302" s="348"/>
      <c r="F1302" s="348"/>
      <c r="G1302" s="348"/>
      <c r="H1302" s="359"/>
      <c r="I1302" s="352"/>
      <c r="J1302" s="353"/>
      <c r="K1302" s="538"/>
      <c r="L1302" s="487"/>
      <c r="M1302" s="487"/>
      <c r="N1302" s="354"/>
      <c r="O1302" s="354"/>
      <c r="P1302" s="354"/>
      <c r="Q1302" s="354"/>
      <c r="R1302" s="354"/>
      <c r="S1302" s="354"/>
      <c r="T1302" s="354"/>
      <c r="U1302" s="354"/>
      <c r="V1302" s="354"/>
      <c r="W1302" s="354"/>
      <c r="X1302" s="354"/>
      <c r="Y1302" s="354"/>
      <c r="Z1302" s="353"/>
      <c r="AA1302" s="352"/>
      <c r="AB1302" s="726"/>
    </row>
    <row r="1303" spans="1:28" ht="16.5" customHeight="1">
      <c r="A1303" s="347"/>
      <c r="B1303" s="347"/>
      <c r="C1303" s="347"/>
      <c r="D1303" s="348"/>
      <c r="E1303" s="348"/>
      <c r="F1303" s="348"/>
      <c r="G1303" s="348"/>
      <c r="H1303" s="359"/>
      <c r="I1303" s="352"/>
      <c r="J1303" s="353"/>
      <c r="K1303" s="538"/>
      <c r="L1303" s="487"/>
      <c r="M1303" s="487"/>
      <c r="N1303" s="354"/>
      <c r="O1303" s="354"/>
      <c r="P1303" s="354"/>
      <c r="Q1303" s="354"/>
      <c r="R1303" s="354"/>
      <c r="S1303" s="354"/>
      <c r="T1303" s="354"/>
      <c r="U1303" s="354"/>
      <c r="V1303" s="354"/>
      <c r="W1303" s="354"/>
      <c r="X1303" s="354"/>
      <c r="Y1303" s="354"/>
      <c r="Z1303" s="353"/>
      <c r="AA1303" s="352"/>
      <c r="AB1303" s="726"/>
    </row>
    <row r="1304" spans="1:28" ht="16.5" customHeight="1">
      <c r="A1304" s="347"/>
      <c r="B1304" s="347"/>
      <c r="C1304" s="347"/>
      <c r="D1304" s="348"/>
      <c r="E1304" s="348"/>
      <c r="F1304" s="348"/>
      <c r="G1304" s="348"/>
      <c r="H1304" s="359"/>
      <c r="I1304" s="352"/>
      <c r="J1304" s="353"/>
      <c r="K1304" s="538"/>
      <c r="L1304" s="487"/>
      <c r="M1304" s="487"/>
      <c r="N1304" s="354"/>
      <c r="O1304" s="354"/>
      <c r="P1304" s="354"/>
      <c r="Q1304" s="354"/>
      <c r="R1304" s="354"/>
      <c r="S1304" s="354"/>
      <c r="T1304" s="354"/>
      <c r="U1304" s="354"/>
      <c r="V1304" s="354"/>
      <c r="W1304" s="354"/>
      <c r="X1304" s="354"/>
      <c r="Y1304" s="354"/>
      <c r="Z1304" s="353"/>
      <c r="AA1304" s="352"/>
      <c r="AB1304" s="726"/>
    </row>
    <row r="1305" spans="1:28" ht="16.5" customHeight="1">
      <c r="A1305" s="347"/>
      <c r="B1305" s="347"/>
      <c r="C1305" s="347"/>
      <c r="D1305" s="361"/>
      <c r="E1305" s="361"/>
      <c r="F1305" s="361"/>
      <c r="G1305" s="348"/>
      <c r="H1305" s="359"/>
      <c r="I1305" s="352"/>
      <c r="J1305" s="353"/>
      <c r="K1305" s="538"/>
      <c r="L1305" s="487"/>
      <c r="M1305" s="487"/>
      <c r="N1305" s="354"/>
      <c r="O1305" s="354"/>
      <c r="P1305" s="354"/>
      <c r="Q1305" s="354"/>
      <c r="R1305" s="354"/>
      <c r="S1305" s="354"/>
      <c r="T1305" s="354"/>
      <c r="U1305" s="354"/>
      <c r="V1305" s="354"/>
      <c r="W1305" s="354"/>
      <c r="X1305" s="354"/>
      <c r="Y1305" s="354"/>
      <c r="Z1305" s="353"/>
      <c r="AA1305" s="352"/>
      <c r="AB1305" s="726"/>
    </row>
    <row r="1306" spans="1:28" ht="16.5" customHeight="1">
      <c r="A1306" s="347"/>
      <c r="B1306" s="347"/>
      <c r="C1306" s="347"/>
      <c r="D1306" s="348"/>
      <c r="E1306" s="348"/>
      <c r="F1306" s="348"/>
      <c r="G1306" s="348"/>
      <c r="H1306" s="359"/>
      <c r="I1306" s="352"/>
      <c r="J1306" s="353"/>
      <c r="K1306" s="538"/>
      <c r="L1306" s="487"/>
      <c r="M1306" s="487"/>
      <c r="N1306" s="354"/>
      <c r="O1306" s="354"/>
      <c r="P1306" s="354"/>
      <c r="Q1306" s="354"/>
      <c r="R1306" s="354"/>
      <c r="S1306" s="354"/>
      <c r="T1306" s="354"/>
      <c r="U1306" s="354"/>
      <c r="V1306" s="354"/>
      <c r="W1306" s="354"/>
      <c r="X1306" s="354"/>
      <c r="Y1306" s="354"/>
      <c r="Z1306" s="353"/>
      <c r="AA1306" s="352"/>
      <c r="AB1306" s="726"/>
    </row>
    <row r="1307" spans="1:28" ht="16.5" customHeight="1">
      <c r="A1307" s="347"/>
      <c r="B1307" s="347"/>
      <c r="C1307" s="347"/>
      <c r="D1307" s="348"/>
      <c r="E1307" s="348"/>
      <c r="F1307" s="348"/>
      <c r="G1307" s="348"/>
      <c r="H1307" s="359"/>
      <c r="I1307" s="352"/>
      <c r="J1307" s="353"/>
      <c r="K1307" s="538"/>
      <c r="L1307" s="487"/>
      <c r="M1307" s="487"/>
      <c r="N1307" s="354"/>
      <c r="O1307" s="354"/>
      <c r="P1307" s="354"/>
      <c r="Q1307" s="354"/>
      <c r="R1307" s="354"/>
      <c r="S1307" s="354"/>
      <c r="T1307" s="354"/>
      <c r="U1307" s="354"/>
      <c r="V1307" s="354"/>
      <c r="W1307" s="354"/>
      <c r="X1307" s="354"/>
      <c r="Y1307" s="354"/>
      <c r="Z1307" s="353"/>
      <c r="AA1307" s="352"/>
      <c r="AB1307" s="726"/>
    </row>
    <row r="1308" spans="1:28" ht="16.5" customHeight="1">
      <c r="A1308" s="347"/>
      <c r="B1308" s="347"/>
      <c r="C1308" s="347"/>
      <c r="D1308" s="348"/>
      <c r="E1308" s="348"/>
      <c r="F1308" s="348"/>
      <c r="G1308" s="348"/>
      <c r="H1308" s="359"/>
      <c r="I1308" s="352"/>
      <c r="J1308" s="353"/>
      <c r="K1308" s="538"/>
      <c r="L1308" s="487"/>
      <c r="M1308" s="487"/>
      <c r="N1308" s="354"/>
      <c r="O1308" s="354"/>
      <c r="P1308" s="354"/>
      <c r="Q1308" s="354"/>
      <c r="R1308" s="354"/>
      <c r="S1308" s="354"/>
      <c r="T1308" s="354"/>
      <c r="U1308" s="354"/>
      <c r="V1308" s="354"/>
      <c r="W1308" s="354"/>
      <c r="X1308" s="354"/>
      <c r="Y1308" s="354"/>
      <c r="Z1308" s="353"/>
      <c r="AA1308" s="352"/>
      <c r="AB1308" s="726"/>
    </row>
    <row r="1309" spans="1:28" ht="16.5" customHeight="1">
      <c r="A1309" s="347"/>
      <c r="B1309" s="347"/>
      <c r="C1309" s="347"/>
      <c r="D1309" s="361"/>
      <c r="E1309" s="361"/>
      <c r="F1309" s="361"/>
      <c r="G1309" s="348"/>
      <c r="H1309" s="359"/>
      <c r="I1309" s="352"/>
      <c r="J1309" s="353"/>
      <c r="K1309" s="538"/>
      <c r="L1309" s="487"/>
      <c r="M1309" s="487"/>
      <c r="N1309" s="354"/>
      <c r="O1309" s="354"/>
      <c r="P1309" s="354"/>
      <c r="Q1309" s="354"/>
      <c r="R1309" s="354"/>
      <c r="S1309" s="354"/>
      <c r="T1309" s="354"/>
      <c r="U1309" s="354"/>
      <c r="V1309" s="354"/>
      <c r="W1309" s="354"/>
      <c r="X1309" s="354"/>
      <c r="Y1309" s="354"/>
      <c r="Z1309" s="353"/>
      <c r="AA1309" s="352"/>
      <c r="AB1309" s="726"/>
    </row>
    <row r="1310" spans="1:28" ht="16.5" customHeight="1">
      <c r="A1310" s="347"/>
      <c r="B1310" s="347"/>
      <c r="C1310" s="347"/>
      <c r="D1310" s="348"/>
      <c r="E1310" s="348"/>
      <c r="F1310" s="348"/>
      <c r="G1310" s="348"/>
      <c r="H1310" s="359"/>
      <c r="I1310" s="352"/>
      <c r="J1310" s="353"/>
      <c r="K1310" s="538"/>
      <c r="L1310" s="487"/>
      <c r="M1310" s="487"/>
      <c r="N1310" s="354"/>
      <c r="O1310" s="354"/>
      <c r="P1310" s="354"/>
      <c r="Q1310" s="354"/>
      <c r="R1310" s="354"/>
      <c r="S1310" s="354"/>
      <c r="T1310" s="354"/>
      <c r="U1310" s="354"/>
      <c r="V1310" s="354"/>
      <c r="W1310" s="354"/>
      <c r="X1310" s="354"/>
      <c r="Y1310" s="354"/>
      <c r="Z1310" s="353"/>
      <c r="AA1310" s="352"/>
      <c r="AB1310" s="726"/>
    </row>
    <row r="1311" spans="1:28" ht="16.5" customHeight="1">
      <c r="A1311" s="347"/>
      <c r="B1311" s="347"/>
      <c r="C1311" s="347"/>
      <c r="D1311" s="348"/>
      <c r="E1311" s="348"/>
      <c r="F1311" s="348"/>
      <c r="G1311" s="348"/>
      <c r="H1311" s="359"/>
      <c r="I1311" s="352"/>
      <c r="J1311" s="353"/>
      <c r="K1311" s="538"/>
      <c r="L1311" s="487"/>
      <c r="M1311" s="487"/>
      <c r="N1311" s="354"/>
      <c r="O1311" s="354"/>
      <c r="P1311" s="354"/>
      <c r="Q1311" s="354"/>
      <c r="R1311" s="354"/>
      <c r="S1311" s="354"/>
      <c r="T1311" s="354"/>
      <c r="U1311" s="354"/>
      <c r="V1311" s="354"/>
      <c r="W1311" s="354"/>
      <c r="X1311" s="354"/>
      <c r="Y1311" s="354"/>
      <c r="Z1311" s="353"/>
      <c r="AA1311" s="352"/>
      <c r="AB1311" s="726"/>
    </row>
    <row r="1312" spans="1:28" ht="16.5" customHeight="1">
      <c r="A1312" s="347"/>
      <c r="B1312" s="347"/>
      <c r="C1312" s="347"/>
      <c r="D1312" s="348"/>
      <c r="E1312" s="348"/>
      <c r="F1312" s="348"/>
      <c r="G1312" s="348"/>
      <c r="H1312" s="359"/>
      <c r="I1312" s="352"/>
      <c r="J1312" s="353"/>
      <c r="K1312" s="538"/>
      <c r="L1312" s="487"/>
      <c r="M1312" s="487"/>
      <c r="N1312" s="354"/>
      <c r="O1312" s="354"/>
      <c r="P1312" s="354"/>
      <c r="Q1312" s="354"/>
      <c r="R1312" s="354"/>
      <c r="S1312" s="354"/>
      <c r="T1312" s="354"/>
      <c r="U1312" s="354"/>
      <c r="V1312" s="354"/>
      <c r="W1312" s="354"/>
      <c r="X1312" s="354"/>
      <c r="Y1312" s="354"/>
      <c r="Z1312" s="353"/>
      <c r="AA1312" s="352"/>
      <c r="AB1312" s="726"/>
    </row>
    <row r="1313" spans="1:28" ht="16.5" customHeight="1">
      <c r="A1313" s="347"/>
      <c r="B1313" s="347"/>
      <c r="C1313" s="347"/>
      <c r="D1313" s="348"/>
      <c r="E1313" s="348"/>
      <c r="F1313" s="348"/>
      <c r="G1313" s="348"/>
      <c r="H1313" s="359"/>
      <c r="I1313" s="352"/>
      <c r="J1313" s="353"/>
      <c r="K1313" s="538"/>
      <c r="L1313" s="487"/>
      <c r="M1313" s="487"/>
      <c r="N1313" s="354"/>
      <c r="O1313" s="354"/>
      <c r="P1313" s="354"/>
      <c r="Q1313" s="354"/>
      <c r="R1313" s="354"/>
      <c r="S1313" s="354"/>
      <c r="T1313" s="354"/>
      <c r="U1313" s="354"/>
      <c r="V1313" s="354"/>
      <c r="W1313" s="354"/>
      <c r="X1313" s="354"/>
      <c r="Y1313" s="354"/>
      <c r="Z1313" s="353"/>
      <c r="AA1313" s="352"/>
      <c r="AB1313" s="726"/>
    </row>
    <row r="1314" spans="1:28" ht="16.5" customHeight="1">
      <c r="A1314" s="347"/>
      <c r="B1314" s="347"/>
      <c r="C1314" s="347"/>
      <c r="D1314" s="348"/>
      <c r="E1314" s="348"/>
      <c r="F1314" s="348"/>
      <c r="G1314" s="348"/>
      <c r="H1314" s="359"/>
      <c r="I1314" s="352"/>
      <c r="J1314" s="353"/>
      <c r="K1314" s="538"/>
      <c r="L1314" s="487"/>
      <c r="M1314" s="487"/>
      <c r="N1314" s="354"/>
      <c r="O1314" s="354"/>
      <c r="P1314" s="354"/>
      <c r="Q1314" s="354"/>
      <c r="R1314" s="354"/>
      <c r="S1314" s="354"/>
      <c r="T1314" s="354"/>
      <c r="U1314" s="354"/>
      <c r="V1314" s="354"/>
      <c r="W1314" s="354"/>
      <c r="X1314" s="354"/>
      <c r="Y1314" s="354"/>
      <c r="Z1314" s="353"/>
      <c r="AA1314" s="352"/>
      <c r="AB1314" s="726"/>
    </row>
    <row r="1315" spans="1:28" ht="16.5" customHeight="1">
      <c r="A1315" s="347"/>
      <c r="B1315" s="347"/>
      <c r="C1315" s="347"/>
      <c r="D1315" s="361"/>
      <c r="E1315" s="361"/>
      <c r="F1315" s="361"/>
      <c r="G1315" s="348"/>
      <c r="H1315" s="359"/>
      <c r="I1315" s="352"/>
      <c r="J1315" s="353"/>
      <c r="K1315" s="538"/>
      <c r="L1315" s="487"/>
      <c r="M1315" s="487"/>
      <c r="N1315" s="354"/>
      <c r="O1315" s="354"/>
      <c r="P1315" s="354"/>
      <c r="Q1315" s="354"/>
      <c r="R1315" s="354"/>
      <c r="S1315" s="354"/>
      <c r="T1315" s="354"/>
      <c r="U1315" s="354"/>
      <c r="V1315" s="354"/>
      <c r="W1315" s="354"/>
      <c r="X1315" s="354"/>
      <c r="Y1315" s="354"/>
      <c r="Z1315" s="353"/>
      <c r="AA1315" s="352"/>
      <c r="AB1315" s="726"/>
    </row>
    <row r="1316" spans="1:28" ht="16.5" customHeight="1">
      <c r="A1316" s="347"/>
      <c r="B1316" s="347"/>
      <c r="C1316" s="347"/>
      <c r="D1316" s="348"/>
      <c r="E1316" s="348"/>
      <c r="F1316" s="348"/>
      <c r="G1316" s="348"/>
      <c r="H1316" s="359"/>
      <c r="I1316" s="352"/>
      <c r="J1316" s="353"/>
      <c r="K1316" s="538"/>
      <c r="L1316" s="487"/>
      <c r="M1316" s="487"/>
      <c r="N1316" s="354"/>
      <c r="O1316" s="354"/>
      <c r="P1316" s="354"/>
      <c r="Q1316" s="354"/>
      <c r="R1316" s="354"/>
      <c r="S1316" s="354"/>
      <c r="T1316" s="354"/>
      <c r="U1316" s="354"/>
      <c r="V1316" s="354"/>
      <c r="W1316" s="354"/>
      <c r="X1316" s="354"/>
      <c r="Y1316" s="354"/>
      <c r="Z1316" s="353"/>
      <c r="AA1316" s="352"/>
      <c r="AB1316" s="726"/>
    </row>
    <row r="1317" spans="1:28" ht="16.5" customHeight="1">
      <c r="A1317" s="347"/>
      <c r="B1317" s="347"/>
      <c r="C1317" s="347"/>
      <c r="D1317" s="348"/>
      <c r="E1317" s="348"/>
      <c r="F1317" s="348"/>
      <c r="G1317" s="348"/>
      <c r="H1317" s="359"/>
      <c r="I1317" s="352"/>
      <c r="J1317" s="353"/>
      <c r="K1317" s="538"/>
      <c r="L1317" s="487"/>
      <c r="M1317" s="487"/>
      <c r="N1317" s="354"/>
      <c r="O1317" s="354"/>
      <c r="P1317" s="354"/>
      <c r="Q1317" s="354"/>
      <c r="R1317" s="354"/>
      <c r="S1317" s="354"/>
      <c r="T1317" s="354"/>
      <c r="U1317" s="354"/>
      <c r="V1317" s="354"/>
      <c r="W1317" s="354"/>
      <c r="X1317" s="354"/>
      <c r="Y1317" s="354"/>
      <c r="Z1317" s="353"/>
      <c r="AA1317" s="352"/>
      <c r="AB1317" s="726"/>
    </row>
    <row r="1318" spans="1:28" ht="16.5" customHeight="1">
      <c r="A1318" s="347"/>
      <c r="B1318" s="347"/>
      <c r="C1318" s="347"/>
      <c r="D1318" s="348"/>
      <c r="E1318" s="348"/>
      <c r="F1318" s="348"/>
      <c r="G1318" s="348"/>
      <c r="H1318" s="359"/>
      <c r="I1318" s="352"/>
      <c r="J1318" s="353"/>
      <c r="K1318" s="538"/>
      <c r="L1318" s="487"/>
      <c r="M1318" s="487"/>
      <c r="N1318" s="354"/>
      <c r="O1318" s="354"/>
      <c r="P1318" s="354"/>
      <c r="Q1318" s="354"/>
      <c r="R1318" s="354"/>
      <c r="S1318" s="354"/>
      <c r="T1318" s="354"/>
      <c r="U1318" s="354"/>
      <c r="V1318" s="354"/>
      <c r="W1318" s="354"/>
      <c r="X1318" s="354"/>
      <c r="Y1318" s="354"/>
      <c r="Z1318" s="353"/>
      <c r="AA1318" s="352"/>
      <c r="AB1318" s="726"/>
    </row>
    <row r="1319" spans="1:28" ht="16.5" customHeight="1">
      <c r="A1319" s="347"/>
      <c r="B1319" s="347"/>
      <c r="C1319" s="347"/>
      <c r="D1319" s="348"/>
      <c r="E1319" s="348"/>
      <c r="F1319" s="348"/>
      <c r="G1319" s="348"/>
      <c r="H1319" s="359"/>
      <c r="I1319" s="352"/>
      <c r="J1319" s="353"/>
      <c r="K1319" s="538"/>
      <c r="L1319" s="487"/>
      <c r="M1319" s="487"/>
      <c r="N1319" s="354"/>
      <c r="O1319" s="354"/>
      <c r="P1319" s="354"/>
      <c r="Q1319" s="354"/>
      <c r="R1319" s="354"/>
      <c r="S1319" s="354"/>
      <c r="T1319" s="354"/>
      <c r="U1319" s="354"/>
      <c r="V1319" s="354"/>
      <c r="W1319" s="354"/>
      <c r="X1319" s="354"/>
      <c r="Y1319" s="354"/>
      <c r="Z1319" s="353"/>
      <c r="AA1319" s="352"/>
      <c r="AB1319" s="726"/>
    </row>
    <row r="1320" spans="1:28" ht="16.5" customHeight="1">
      <c r="A1320" s="347"/>
      <c r="B1320" s="347"/>
      <c r="C1320" s="347"/>
      <c r="D1320" s="348"/>
      <c r="E1320" s="348"/>
      <c r="F1320" s="348"/>
      <c r="G1320" s="348"/>
      <c r="H1320" s="359"/>
      <c r="I1320" s="352"/>
      <c r="J1320" s="353"/>
      <c r="K1320" s="538"/>
      <c r="L1320" s="487"/>
      <c r="M1320" s="487"/>
      <c r="N1320" s="354"/>
      <c r="O1320" s="354"/>
      <c r="P1320" s="354"/>
      <c r="Q1320" s="354"/>
      <c r="R1320" s="354"/>
      <c r="S1320" s="354"/>
      <c r="T1320" s="354"/>
      <c r="U1320" s="354"/>
      <c r="V1320" s="354"/>
      <c r="W1320" s="354"/>
      <c r="X1320" s="354"/>
      <c r="Y1320" s="354"/>
      <c r="Z1320" s="353"/>
      <c r="AA1320" s="352"/>
      <c r="AB1320" s="726"/>
    </row>
    <row r="1321" spans="1:28" ht="16.5" customHeight="1">
      <c r="A1321" s="347"/>
      <c r="B1321" s="347"/>
      <c r="C1321" s="347"/>
      <c r="D1321" s="348"/>
      <c r="E1321" s="348"/>
      <c r="F1321" s="348"/>
      <c r="G1321" s="348"/>
      <c r="H1321" s="359"/>
      <c r="I1321" s="352"/>
      <c r="J1321" s="353"/>
      <c r="K1321" s="538"/>
      <c r="L1321" s="487"/>
      <c r="M1321" s="487"/>
      <c r="N1321" s="354"/>
      <c r="O1321" s="354"/>
      <c r="P1321" s="354"/>
      <c r="Q1321" s="354"/>
      <c r="R1321" s="354"/>
      <c r="S1321" s="354"/>
      <c r="T1321" s="354"/>
      <c r="U1321" s="354"/>
      <c r="V1321" s="354"/>
      <c r="W1321" s="354"/>
      <c r="X1321" s="354"/>
      <c r="Y1321" s="354"/>
      <c r="Z1321" s="353"/>
      <c r="AA1321" s="352"/>
      <c r="AB1321" s="726"/>
    </row>
    <row r="1322" spans="1:28" ht="16.5" customHeight="1">
      <c r="A1322" s="347"/>
      <c r="B1322" s="347"/>
      <c r="C1322" s="347"/>
      <c r="D1322" s="361"/>
      <c r="E1322" s="361"/>
      <c r="F1322" s="361"/>
      <c r="G1322" s="348"/>
      <c r="H1322" s="359"/>
      <c r="I1322" s="352"/>
      <c r="J1322" s="353"/>
      <c r="K1322" s="538"/>
      <c r="L1322" s="487"/>
      <c r="M1322" s="487"/>
      <c r="N1322" s="354"/>
      <c r="O1322" s="354"/>
      <c r="P1322" s="354"/>
      <c r="Q1322" s="354"/>
      <c r="R1322" s="354"/>
      <c r="S1322" s="354"/>
      <c r="T1322" s="354"/>
      <c r="U1322" s="354"/>
      <c r="V1322" s="354"/>
      <c r="W1322" s="354"/>
      <c r="X1322" s="354"/>
      <c r="Y1322" s="354"/>
      <c r="Z1322" s="353"/>
      <c r="AA1322" s="352"/>
      <c r="AB1322" s="726"/>
    </row>
    <row r="1323" spans="1:28" ht="16.5" customHeight="1">
      <c r="A1323" s="347"/>
      <c r="B1323" s="347"/>
      <c r="C1323" s="347"/>
      <c r="D1323" s="348"/>
      <c r="E1323" s="348"/>
      <c r="F1323" s="348"/>
      <c r="G1323" s="348"/>
      <c r="H1323" s="359"/>
      <c r="I1323" s="352"/>
      <c r="J1323" s="353"/>
      <c r="K1323" s="538"/>
      <c r="L1323" s="487"/>
      <c r="M1323" s="487"/>
      <c r="N1323" s="354"/>
      <c r="O1323" s="354"/>
      <c r="P1323" s="354"/>
      <c r="Q1323" s="354"/>
      <c r="R1323" s="354"/>
      <c r="S1323" s="354"/>
      <c r="T1323" s="354"/>
      <c r="U1323" s="354"/>
      <c r="V1323" s="354"/>
      <c r="W1323" s="354"/>
      <c r="X1323" s="354"/>
      <c r="Y1323" s="354"/>
      <c r="Z1323" s="353"/>
      <c r="AA1323" s="352"/>
      <c r="AB1323" s="726"/>
    </row>
    <row r="1324" spans="1:28" ht="16.5" customHeight="1">
      <c r="A1324" s="347"/>
      <c r="B1324" s="347"/>
      <c r="C1324" s="347"/>
      <c r="D1324" s="361"/>
      <c r="E1324" s="361"/>
      <c r="F1324" s="361"/>
      <c r="G1324" s="348"/>
      <c r="H1324" s="359"/>
      <c r="I1324" s="352"/>
      <c r="J1324" s="353"/>
      <c r="K1324" s="538"/>
      <c r="L1324" s="487"/>
      <c r="M1324" s="487"/>
      <c r="N1324" s="354"/>
      <c r="O1324" s="354"/>
      <c r="P1324" s="354"/>
      <c r="Q1324" s="354"/>
      <c r="R1324" s="354"/>
      <c r="S1324" s="354"/>
      <c r="T1324" s="354"/>
      <c r="U1324" s="354"/>
      <c r="V1324" s="354"/>
      <c r="W1324" s="354"/>
      <c r="X1324" s="354"/>
      <c r="Y1324" s="354"/>
      <c r="Z1324" s="353"/>
      <c r="AA1324" s="352"/>
      <c r="AB1324" s="726"/>
    </row>
    <row r="1325" spans="1:28" ht="16.5" customHeight="1">
      <c r="A1325" s="347"/>
      <c r="B1325" s="361"/>
      <c r="C1325" s="361"/>
      <c r="D1325" s="361"/>
      <c r="E1325" s="361"/>
      <c r="F1325" s="361"/>
      <c r="G1325" s="348"/>
      <c r="H1325" s="359"/>
      <c r="I1325" s="352"/>
      <c r="J1325" s="353"/>
      <c r="K1325" s="538"/>
      <c r="L1325" s="487"/>
      <c r="M1325" s="487"/>
      <c r="N1325" s="354"/>
      <c r="O1325" s="354"/>
      <c r="P1325" s="354"/>
      <c r="Q1325" s="354"/>
      <c r="R1325" s="354"/>
      <c r="S1325" s="354"/>
      <c r="T1325" s="354"/>
      <c r="U1325" s="354"/>
      <c r="V1325" s="354"/>
      <c r="W1325" s="354"/>
      <c r="X1325" s="354"/>
      <c r="Y1325" s="354"/>
      <c r="Z1325" s="353"/>
      <c r="AA1325" s="352"/>
      <c r="AB1325" s="726"/>
    </row>
    <row r="1326" spans="1:28" ht="16.5" customHeight="1">
      <c r="A1326" s="347"/>
      <c r="B1326" s="347"/>
      <c r="C1326" s="347"/>
      <c r="D1326" s="348"/>
      <c r="E1326" s="348"/>
      <c r="F1326" s="348"/>
      <c r="G1326" s="348"/>
      <c r="H1326" s="359"/>
      <c r="I1326" s="352"/>
      <c r="J1326" s="353"/>
      <c r="K1326" s="538"/>
      <c r="L1326" s="487"/>
      <c r="M1326" s="487"/>
      <c r="N1326" s="354"/>
      <c r="O1326" s="354"/>
      <c r="P1326" s="354"/>
      <c r="Q1326" s="354"/>
      <c r="R1326" s="354"/>
      <c r="S1326" s="354"/>
      <c r="T1326" s="354"/>
      <c r="U1326" s="354"/>
      <c r="V1326" s="354"/>
      <c r="W1326" s="354"/>
      <c r="X1326" s="354"/>
      <c r="Y1326" s="354"/>
      <c r="Z1326" s="353"/>
      <c r="AA1326" s="352"/>
      <c r="AB1326" s="726"/>
    </row>
    <row r="1327" spans="1:28" ht="16.5" customHeight="1">
      <c r="A1327" s="347"/>
      <c r="B1327" s="347"/>
      <c r="C1327" s="347"/>
      <c r="D1327" s="348"/>
      <c r="E1327" s="348"/>
      <c r="F1327" s="348"/>
      <c r="G1327" s="348"/>
      <c r="H1327" s="359"/>
      <c r="I1327" s="352"/>
      <c r="J1327" s="353"/>
      <c r="K1327" s="538"/>
      <c r="L1327" s="487"/>
      <c r="M1327" s="487"/>
      <c r="N1327" s="354"/>
      <c r="O1327" s="354"/>
      <c r="P1327" s="354"/>
      <c r="Q1327" s="354"/>
      <c r="R1327" s="354"/>
      <c r="S1327" s="354"/>
      <c r="T1327" s="354"/>
      <c r="U1327" s="354"/>
      <c r="V1327" s="354"/>
      <c r="W1327" s="354"/>
      <c r="X1327" s="354"/>
      <c r="Y1327" s="354"/>
      <c r="Z1327" s="353"/>
      <c r="AA1327" s="352"/>
      <c r="AB1327" s="726"/>
    </row>
    <row r="1328" spans="1:28" ht="16.5" customHeight="1">
      <c r="A1328" s="347"/>
      <c r="B1328" s="347"/>
      <c r="C1328" s="347"/>
      <c r="D1328" s="348"/>
      <c r="E1328" s="348"/>
      <c r="F1328" s="348"/>
      <c r="G1328" s="348"/>
      <c r="H1328" s="359"/>
      <c r="I1328" s="352"/>
      <c r="J1328" s="353"/>
      <c r="K1328" s="538"/>
      <c r="L1328" s="487"/>
      <c r="M1328" s="487"/>
      <c r="N1328" s="354"/>
      <c r="O1328" s="354"/>
      <c r="P1328" s="354"/>
      <c r="Q1328" s="354"/>
      <c r="R1328" s="354"/>
      <c r="S1328" s="354"/>
      <c r="T1328" s="354"/>
      <c r="U1328" s="354"/>
      <c r="V1328" s="354"/>
      <c r="W1328" s="354"/>
      <c r="X1328" s="354"/>
      <c r="Y1328" s="354"/>
      <c r="Z1328" s="353"/>
      <c r="AA1328" s="352"/>
      <c r="AB1328" s="726"/>
    </row>
    <row r="1329" spans="1:28" ht="16.5" customHeight="1">
      <c r="A1329" s="347"/>
      <c r="B1329" s="347"/>
      <c r="C1329" s="347"/>
      <c r="D1329" s="348"/>
      <c r="E1329" s="348"/>
      <c r="F1329" s="348"/>
      <c r="G1329" s="348"/>
      <c r="H1329" s="359"/>
      <c r="I1329" s="352"/>
      <c r="J1329" s="353"/>
      <c r="K1329" s="538"/>
      <c r="L1329" s="487"/>
      <c r="M1329" s="487"/>
      <c r="N1329" s="354"/>
      <c r="O1329" s="354"/>
      <c r="P1329" s="354"/>
      <c r="Q1329" s="354"/>
      <c r="R1329" s="354"/>
      <c r="S1329" s="354"/>
      <c r="T1329" s="354"/>
      <c r="U1329" s="354"/>
      <c r="V1329" s="354"/>
      <c r="W1329" s="354"/>
      <c r="X1329" s="354"/>
      <c r="Y1329" s="354"/>
      <c r="Z1329" s="353"/>
      <c r="AA1329" s="352"/>
      <c r="AB1329" s="726"/>
    </row>
    <row r="1330" spans="1:28" ht="16.5" customHeight="1">
      <c r="A1330" s="347"/>
      <c r="B1330" s="347"/>
      <c r="C1330" s="347"/>
      <c r="D1330" s="348"/>
      <c r="E1330" s="348"/>
      <c r="F1330" s="348"/>
      <c r="G1330" s="348"/>
      <c r="H1330" s="359"/>
      <c r="I1330" s="352"/>
      <c r="J1330" s="353"/>
      <c r="K1330" s="538"/>
      <c r="L1330" s="487"/>
      <c r="M1330" s="487"/>
      <c r="N1330" s="354"/>
      <c r="O1330" s="354"/>
      <c r="P1330" s="354"/>
      <c r="Q1330" s="354"/>
      <c r="R1330" s="354"/>
      <c r="S1330" s="354"/>
      <c r="T1330" s="354"/>
      <c r="U1330" s="354"/>
      <c r="V1330" s="354"/>
      <c r="W1330" s="354"/>
      <c r="X1330" s="354"/>
      <c r="Y1330" s="354"/>
      <c r="Z1330" s="353"/>
      <c r="AA1330" s="352"/>
      <c r="AB1330" s="726"/>
    </row>
    <row r="1331" spans="1:28" ht="16.5" customHeight="1">
      <c r="A1331" s="347"/>
      <c r="B1331" s="347"/>
      <c r="C1331" s="347"/>
      <c r="D1331" s="361"/>
      <c r="E1331" s="361"/>
      <c r="F1331" s="361"/>
      <c r="G1331" s="348"/>
      <c r="H1331" s="359"/>
      <c r="I1331" s="352"/>
      <c r="J1331" s="353"/>
      <c r="K1331" s="538"/>
      <c r="L1331" s="487"/>
      <c r="M1331" s="487"/>
      <c r="N1331" s="354"/>
      <c r="O1331" s="354"/>
      <c r="P1331" s="354"/>
      <c r="Q1331" s="354"/>
      <c r="R1331" s="354"/>
      <c r="S1331" s="354"/>
      <c r="T1331" s="354"/>
      <c r="U1331" s="354"/>
      <c r="V1331" s="354"/>
      <c r="W1331" s="354"/>
      <c r="X1331" s="354"/>
      <c r="Y1331" s="354"/>
      <c r="Z1331" s="353"/>
      <c r="AA1331" s="352"/>
      <c r="AB1331" s="726"/>
    </row>
    <row r="1332" spans="1:28" ht="16.5" customHeight="1">
      <c r="A1332" s="347"/>
      <c r="B1332" s="347"/>
      <c r="C1332" s="347"/>
      <c r="D1332" s="348"/>
      <c r="E1332" s="348"/>
      <c r="F1332" s="348"/>
      <c r="G1332" s="348"/>
      <c r="H1332" s="359"/>
      <c r="I1332" s="352"/>
      <c r="J1332" s="353"/>
      <c r="K1332" s="538"/>
      <c r="L1332" s="487"/>
      <c r="M1332" s="487"/>
      <c r="N1332" s="354"/>
      <c r="O1332" s="354"/>
      <c r="P1332" s="354"/>
      <c r="Q1332" s="354"/>
      <c r="R1332" s="354"/>
      <c r="S1332" s="354"/>
      <c r="T1332" s="354"/>
      <c r="U1332" s="354"/>
      <c r="V1332" s="354"/>
      <c r="W1332" s="354"/>
      <c r="X1332" s="354"/>
      <c r="Y1332" s="354"/>
      <c r="Z1332" s="353"/>
      <c r="AA1332" s="352"/>
      <c r="AB1332" s="726"/>
    </row>
    <row r="1333" spans="1:28" ht="16.5" customHeight="1">
      <c r="A1333" s="347"/>
      <c r="B1333" s="347"/>
      <c r="C1333" s="347"/>
      <c r="D1333" s="348"/>
      <c r="E1333" s="348"/>
      <c r="F1333" s="348"/>
      <c r="G1333" s="348"/>
      <c r="H1333" s="359"/>
      <c r="I1333" s="352"/>
      <c r="J1333" s="353"/>
      <c r="K1333" s="538"/>
      <c r="L1333" s="487"/>
      <c r="M1333" s="487"/>
      <c r="N1333" s="354"/>
      <c r="O1333" s="354"/>
      <c r="P1333" s="354"/>
      <c r="Q1333" s="354"/>
      <c r="R1333" s="354"/>
      <c r="S1333" s="354"/>
      <c r="T1333" s="354"/>
      <c r="U1333" s="354"/>
      <c r="V1333" s="354"/>
      <c r="W1333" s="354"/>
      <c r="X1333" s="354"/>
      <c r="Y1333" s="354"/>
      <c r="Z1333" s="353"/>
      <c r="AA1333" s="352"/>
      <c r="AB1333" s="726"/>
    </row>
    <row r="1334" spans="1:28" ht="16.5" customHeight="1">
      <c r="A1334" s="347"/>
      <c r="B1334" s="347"/>
      <c r="C1334" s="347"/>
      <c r="D1334" s="348"/>
      <c r="E1334" s="348"/>
      <c r="F1334" s="348"/>
      <c r="G1334" s="348"/>
      <c r="H1334" s="359"/>
      <c r="I1334" s="352"/>
      <c r="J1334" s="353"/>
      <c r="K1334" s="538"/>
      <c r="L1334" s="487"/>
      <c r="M1334" s="487"/>
      <c r="N1334" s="354"/>
      <c r="O1334" s="354"/>
      <c r="P1334" s="354"/>
      <c r="Q1334" s="354"/>
      <c r="R1334" s="354"/>
      <c r="S1334" s="354"/>
      <c r="T1334" s="354"/>
      <c r="U1334" s="354"/>
      <c r="V1334" s="354"/>
      <c r="W1334" s="354"/>
      <c r="X1334" s="354"/>
      <c r="Y1334" s="354"/>
      <c r="Z1334" s="353"/>
      <c r="AA1334" s="352"/>
      <c r="AB1334" s="726"/>
    </row>
    <row r="1335" spans="1:28" ht="16.5" customHeight="1">
      <c r="A1335" s="347"/>
      <c r="B1335" s="347"/>
      <c r="C1335" s="347"/>
      <c r="D1335" s="348"/>
      <c r="E1335" s="348"/>
      <c r="F1335" s="348"/>
      <c r="G1335" s="348"/>
      <c r="H1335" s="359"/>
      <c r="I1335" s="352"/>
      <c r="J1335" s="353"/>
      <c r="K1335" s="538"/>
      <c r="L1335" s="487"/>
      <c r="M1335" s="487"/>
      <c r="N1335" s="354"/>
      <c r="O1335" s="354"/>
      <c r="P1335" s="354"/>
      <c r="Q1335" s="354"/>
      <c r="R1335" s="354"/>
      <c r="S1335" s="354"/>
      <c r="T1335" s="354"/>
      <c r="U1335" s="354"/>
      <c r="V1335" s="354"/>
      <c r="W1335" s="354"/>
      <c r="X1335" s="354"/>
      <c r="Y1335" s="354"/>
      <c r="Z1335" s="353"/>
      <c r="AA1335" s="352"/>
      <c r="AB1335" s="726"/>
    </row>
    <row r="1336" spans="1:28" ht="16.5" customHeight="1">
      <c r="A1336" s="347"/>
      <c r="B1336" s="347"/>
      <c r="C1336" s="347"/>
      <c r="D1336" s="361"/>
      <c r="E1336" s="361"/>
      <c r="F1336" s="361"/>
      <c r="G1336" s="348"/>
      <c r="H1336" s="359"/>
      <c r="I1336" s="352"/>
      <c r="J1336" s="353"/>
      <c r="K1336" s="538"/>
      <c r="L1336" s="487"/>
      <c r="M1336" s="487"/>
      <c r="N1336" s="354"/>
      <c r="O1336" s="354"/>
      <c r="P1336" s="354"/>
      <c r="Q1336" s="354"/>
      <c r="R1336" s="354"/>
      <c r="S1336" s="354"/>
      <c r="T1336" s="354"/>
      <c r="U1336" s="354"/>
      <c r="V1336" s="354"/>
      <c r="W1336" s="354"/>
      <c r="X1336" s="354"/>
      <c r="Y1336" s="354"/>
      <c r="Z1336" s="353"/>
      <c r="AA1336" s="352"/>
      <c r="AB1336" s="726"/>
    </row>
    <row r="1337" spans="1:28" ht="16.5" customHeight="1">
      <c r="A1337" s="347"/>
      <c r="B1337" s="347"/>
      <c r="C1337" s="347"/>
      <c r="D1337" s="348"/>
      <c r="E1337" s="348"/>
      <c r="F1337" s="348"/>
      <c r="G1337" s="348"/>
      <c r="H1337" s="359"/>
      <c r="I1337" s="352"/>
      <c r="J1337" s="353"/>
      <c r="K1337" s="538"/>
      <c r="L1337" s="487"/>
      <c r="M1337" s="487"/>
      <c r="N1337" s="354"/>
      <c r="O1337" s="354"/>
      <c r="P1337" s="354"/>
      <c r="Q1337" s="354"/>
      <c r="R1337" s="354"/>
      <c r="S1337" s="354"/>
      <c r="T1337" s="354"/>
      <c r="U1337" s="354"/>
      <c r="V1337" s="354"/>
      <c r="W1337" s="354"/>
      <c r="X1337" s="354"/>
      <c r="Y1337" s="354"/>
      <c r="Z1337" s="353"/>
      <c r="AA1337" s="352"/>
      <c r="AB1337" s="726"/>
    </row>
    <row r="1338" spans="1:28" ht="16.5" customHeight="1">
      <c r="A1338" s="347"/>
      <c r="B1338" s="347"/>
      <c r="C1338" s="347"/>
      <c r="D1338" s="361"/>
      <c r="E1338" s="361"/>
      <c r="F1338" s="361"/>
      <c r="G1338" s="348"/>
      <c r="H1338" s="359"/>
      <c r="I1338" s="352"/>
      <c r="J1338" s="353"/>
      <c r="K1338" s="538"/>
      <c r="L1338" s="487"/>
      <c r="M1338" s="487"/>
      <c r="N1338" s="354"/>
      <c r="O1338" s="354"/>
      <c r="P1338" s="354"/>
      <c r="Q1338" s="354"/>
      <c r="R1338" s="354"/>
      <c r="S1338" s="354"/>
      <c r="T1338" s="354"/>
      <c r="U1338" s="354"/>
      <c r="V1338" s="354"/>
      <c r="W1338" s="487"/>
      <c r="X1338" s="354"/>
      <c r="Y1338" s="354"/>
      <c r="Z1338" s="353"/>
      <c r="AA1338" s="352"/>
      <c r="AB1338" s="727"/>
    </row>
    <row r="1339" spans="1:28" ht="16.5" customHeight="1">
      <c r="A1339" s="347"/>
      <c r="B1339" s="347"/>
      <c r="C1339" s="347"/>
      <c r="D1339" s="348"/>
      <c r="E1339" s="348"/>
      <c r="F1339" s="348"/>
      <c r="G1339" s="348"/>
      <c r="H1339" s="359"/>
      <c r="I1339" s="352"/>
      <c r="J1339" s="353"/>
      <c r="K1339" s="538"/>
      <c r="L1339" s="487"/>
      <c r="M1339" s="487"/>
      <c r="N1339" s="354"/>
      <c r="O1339" s="354"/>
      <c r="P1339" s="354"/>
      <c r="Q1339" s="354"/>
      <c r="R1339" s="354"/>
      <c r="S1339" s="354"/>
      <c r="T1339" s="354"/>
      <c r="U1339" s="354"/>
      <c r="V1339" s="354"/>
      <c r="W1339" s="354"/>
      <c r="X1339" s="354"/>
      <c r="Y1339" s="354"/>
      <c r="Z1339" s="353"/>
      <c r="AA1339" s="352"/>
      <c r="AB1339" s="726"/>
    </row>
    <row r="1340" spans="1:28" ht="16.5" customHeight="1">
      <c r="A1340" s="347"/>
      <c r="B1340" s="347"/>
      <c r="C1340" s="347"/>
      <c r="D1340" s="348"/>
      <c r="E1340" s="348"/>
      <c r="F1340" s="348"/>
      <c r="G1340" s="348"/>
      <c r="H1340" s="359"/>
      <c r="I1340" s="352"/>
      <c r="J1340" s="353"/>
      <c r="K1340" s="538"/>
      <c r="L1340" s="487"/>
      <c r="M1340" s="487"/>
      <c r="N1340" s="354"/>
      <c r="O1340" s="354"/>
      <c r="P1340" s="354"/>
      <c r="Q1340" s="354"/>
      <c r="R1340" s="354"/>
      <c r="S1340" s="354"/>
      <c r="T1340" s="354"/>
      <c r="U1340" s="354"/>
      <c r="V1340" s="354"/>
      <c r="W1340" s="354"/>
      <c r="X1340" s="354"/>
      <c r="Y1340" s="354"/>
      <c r="Z1340" s="353"/>
      <c r="AA1340" s="352"/>
      <c r="AB1340" s="726"/>
    </row>
    <row r="1341" spans="1:28" ht="16.5" customHeight="1">
      <c r="A1341" s="347"/>
      <c r="B1341" s="347"/>
      <c r="C1341" s="347"/>
      <c r="D1341" s="361"/>
      <c r="E1341" s="361"/>
      <c r="F1341" s="361"/>
      <c r="G1341" s="348"/>
      <c r="H1341" s="359"/>
      <c r="I1341" s="352"/>
      <c r="J1341" s="353"/>
      <c r="K1341" s="538"/>
      <c r="L1341" s="487"/>
      <c r="M1341" s="487"/>
      <c r="N1341" s="354"/>
      <c r="O1341" s="354"/>
      <c r="P1341" s="354"/>
      <c r="Q1341" s="354"/>
      <c r="R1341" s="354"/>
      <c r="S1341" s="354"/>
      <c r="T1341" s="354"/>
      <c r="U1341" s="354"/>
      <c r="V1341" s="354"/>
      <c r="W1341" s="354"/>
      <c r="X1341" s="354"/>
      <c r="Y1341" s="354"/>
      <c r="Z1341" s="353"/>
      <c r="AA1341" s="352"/>
      <c r="AB1341" s="726"/>
    </row>
    <row r="1342" spans="1:28" ht="16.5" customHeight="1">
      <c r="A1342" s="347"/>
      <c r="B1342" s="347"/>
      <c r="C1342" s="347"/>
      <c r="D1342" s="361"/>
      <c r="E1342" s="361"/>
      <c r="F1342" s="361"/>
      <c r="G1342" s="348"/>
      <c r="H1342" s="359"/>
      <c r="I1342" s="352"/>
      <c r="J1342" s="353"/>
      <c r="K1342" s="538"/>
      <c r="L1342" s="487"/>
      <c r="M1342" s="487"/>
      <c r="N1342" s="354"/>
      <c r="O1342" s="354"/>
      <c r="P1342" s="354"/>
      <c r="Q1342" s="354"/>
      <c r="R1342" s="354"/>
      <c r="S1342" s="354"/>
      <c r="T1342" s="354"/>
      <c r="U1342" s="354"/>
      <c r="V1342" s="354"/>
      <c r="W1342" s="354"/>
      <c r="X1342" s="354"/>
      <c r="Y1342" s="354"/>
      <c r="Z1342" s="353"/>
      <c r="AA1342" s="352"/>
      <c r="AB1342" s="726"/>
    </row>
    <row r="1343" spans="1:28" ht="16.5" customHeight="1">
      <c r="A1343" s="347"/>
      <c r="B1343" s="347"/>
      <c r="C1343" s="347"/>
      <c r="D1343" s="348"/>
      <c r="E1343" s="348"/>
      <c r="F1343" s="348"/>
      <c r="G1343" s="348"/>
      <c r="H1343" s="359"/>
      <c r="I1343" s="352"/>
      <c r="J1343" s="353"/>
      <c r="K1343" s="538"/>
      <c r="L1343" s="487"/>
      <c r="M1343" s="487"/>
      <c r="N1343" s="354"/>
      <c r="O1343" s="354"/>
      <c r="P1343" s="354"/>
      <c r="Q1343" s="354"/>
      <c r="R1343" s="354"/>
      <c r="S1343" s="354"/>
      <c r="T1343" s="354"/>
      <c r="U1343" s="354"/>
      <c r="V1343" s="354"/>
      <c r="W1343" s="354"/>
      <c r="X1343" s="354"/>
      <c r="Y1343" s="354"/>
      <c r="Z1343" s="353"/>
      <c r="AA1343" s="352"/>
      <c r="AB1343" s="726"/>
    </row>
    <row r="1344" spans="1:28" ht="16.5" customHeight="1">
      <c r="A1344" s="347"/>
      <c r="B1344" s="347"/>
      <c r="C1344" s="347"/>
      <c r="D1344" s="348"/>
      <c r="E1344" s="348"/>
      <c r="F1344" s="348"/>
      <c r="G1344" s="348"/>
      <c r="H1344" s="359"/>
      <c r="I1344" s="352"/>
      <c r="J1344" s="353"/>
      <c r="K1344" s="538"/>
      <c r="L1344" s="487"/>
      <c r="M1344" s="487"/>
      <c r="N1344" s="354"/>
      <c r="O1344" s="354"/>
      <c r="P1344" s="354"/>
      <c r="Q1344" s="354"/>
      <c r="R1344" s="354"/>
      <c r="S1344" s="354"/>
      <c r="T1344" s="354"/>
      <c r="U1344" s="354"/>
      <c r="V1344" s="354"/>
      <c r="W1344" s="354"/>
      <c r="X1344" s="354"/>
      <c r="Y1344" s="354"/>
      <c r="Z1344" s="353"/>
      <c r="AA1344" s="352"/>
      <c r="AB1344" s="726"/>
    </row>
    <row r="1345" spans="1:28" ht="16.5" customHeight="1">
      <c r="A1345" s="347"/>
      <c r="B1345" s="347"/>
      <c r="C1345" s="347"/>
      <c r="D1345" s="348"/>
      <c r="E1345" s="348"/>
      <c r="F1345" s="348"/>
      <c r="G1345" s="348"/>
      <c r="H1345" s="359"/>
      <c r="I1345" s="352"/>
      <c r="J1345" s="353"/>
      <c r="K1345" s="538"/>
      <c r="L1345" s="487"/>
      <c r="M1345" s="487"/>
      <c r="N1345" s="354"/>
      <c r="O1345" s="354"/>
      <c r="P1345" s="354"/>
      <c r="Q1345" s="354"/>
      <c r="R1345" s="354"/>
      <c r="S1345" s="354"/>
      <c r="T1345" s="354"/>
      <c r="U1345" s="354"/>
      <c r="V1345" s="354"/>
      <c r="W1345" s="354"/>
      <c r="X1345" s="354"/>
      <c r="Y1345" s="354"/>
      <c r="Z1345" s="353"/>
      <c r="AA1345" s="352"/>
      <c r="AB1345" s="726"/>
    </row>
    <row r="1346" spans="1:28" ht="16.5" customHeight="1">
      <c r="A1346" s="347"/>
      <c r="B1346" s="347"/>
      <c r="C1346" s="347"/>
      <c r="D1346" s="348"/>
      <c r="E1346" s="348"/>
      <c r="F1346" s="348"/>
      <c r="G1346" s="348"/>
      <c r="H1346" s="359"/>
      <c r="I1346" s="352"/>
      <c r="J1346" s="353"/>
      <c r="K1346" s="538"/>
      <c r="L1346" s="487"/>
      <c r="M1346" s="487"/>
      <c r="N1346" s="354"/>
      <c r="O1346" s="354"/>
      <c r="P1346" s="354"/>
      <c r="Q1346" s="354"/>
      <c r="R1346" s="354"/>
      <c r="S1346" s="354"/>
      <c r="T1346" s="354"/>
      <c r="U1346" s="354"/>
      <c r="V1346" s="354"/>
      <c r="W1346" s="354"/>
      <c r="X1346" s="354"/>
      <c r="Y1346" s="354"/>
      <c r="Z1346" s="353"/>
      <c r="AA1346" s="352"/>
      <c r="AB1346" s="726"/>
    </row>
    <row r="1347" spans="1:28" ht="16.5" customHeight="1">
      <c r="A1347" s="347"/>
      <c r="B1347" s="347"/>
      <c r="C1347" s="347"/>
      <c r="D1347" s="348"/>
      <c r="E1347" s="348"/>
      <c r="F1347" s="348"/>
      <c r="G1347" s="348"/>
      <c r="H1347" s="359"/>
      <c r="I1347" s="352"/>
      <c r="J1347" s="353"/>
      <c r="K1347" s="538"/>
      <c r="L1347" s="487"/>
      <c r="M1347" s="487"/>
      <c r="N1347" s="354"/>
      <c r="O1347" s="354"/>
      <c r="P1347" s="354"/>
      <c r="Q1347" s="354"/>
      <c r="R1347" s="354"/>
      <c r="S1347" s="354"/>
      <c r="T1347" s="354"/>
      <c r="U1347" s="354"/>
      <c r="V1347" s="354"/>
      <c r="W1347" s="354"/>
      <c r="X1347" s="354"/>
      <c r="Y1347" s="354"/>
      <c r="Z1347" s="353"/>
      <c r="AA1347" s="352"/>
      <c r="AB1347" s="726"/>
    </row>
    <row r="1348" spans="1:28" ht="16.5" customHeight="1">
      <c r="A1348" s="347"/>
      <c r="B1348" s="347"/>
      <c r="C1348" s="347"/>
      <c r="D1348" s="361"/>
      <c r="E1348" s="361"/>
      <c r="F1348" s="361"/>
      <c r="G1348" s="348"/>
      <c r="H1348" s="359"/>
      <c r="I1348" s="352"/>
      <c r="J1348" s="353"/>
      <c r="K1348" s="538"/>
      <c r="L1348" s="487"/>
      <c r="M1348" s="487"/>
      <c r="N1348" s="354"/>
      <c r="O1348" s="354"/>
      <c r="P1348" s="354"/>
      <c r="Q1348" s="354"/>
      <c r="R1348" s="354"/>
      <c r="S1348" s="354"/>
      <c r="T1348" s="354"/>
      <c r="U1348" s="354"/>
      <c r="V1348" s="354"/>
      <c r="W1348" s="354"/>
      <c r="X1348" s="354"/>
      <c r="Y1348" s="354"/>
      <c r="Z1348" s="353"/>
      <c r="AA1348" s="352"/>
      <c r="AB1348" s="726"/>
    </row>
    <row r="1349" spans="1:28" ht="16.5" customHeight="1">
      <c r="A1349" s="347"/>
      <c r="B1349" s="347"/>
      <c r="C1349" s="347"/>
      <c r="D1349" s="348"/>
      <c r="E1349" s="348"/>
      <c r="F1349" s="348"/>
      <c r="G1349" s="348"/>
      <c r="H1349" s="359"/>
      <c r="I1349" s="352"/>
      <c r="J1349" s="353"/>
      <c r="K1349" s="538"/>
      <c r="L1349" s="487"/>
      <c r="M1349" s="487"/>
      <c r="N1349" s="354"/>
      <c r="O1349" s="354"/>
      <c r="P1349" s="354"/>
      <c r="Q1349" s="354"/>
      <c r="R1349" s="354"/>
      <c r="S1349" s="354"/>
      <c r="T1349" s="354"/>
      <c r="U1349" s="354"/>
      <c r="V1349" s="354"/>
      <c r="W1349" s="354"/>
      <c r="X1349" s="354"/>
      <c r="Y1349" s="354"/>
      <c r="Z1349" s="353"/>
      <c r="AA1349" s="352"/>
      <c r="AB1349" s="726"/>
    </row>
    <row r="1350" spans="1:28" ht="16.5" customHeight="1">
      <c r="A1350" s="347"/>
      <c r="B1350" s="347"/>
      <c r="C1350" s="347"/>
      <c r="D1350" s="348"/>
      <c r="E1350" s="348"/>
      <c r="F1350" s="348"/>
      <c r="G1350" s="348"/>
      <c r="H1350" s="359"/>
      <c r="I1350" s="352"/>
      <c r="J1350" s="353"/>
      <c r="K1350" s="538"/>
      <c r="L1350" s="487"/>
      <c r="M1350" s="487"/>
      <c r="N1350" s="354"/>
      <c r="O1350" s="354"/>
      <c r="P1350" s="354"/>
      <c r="Q1350" s="354"/>
      <c r="R1350" s="354"/>
      <c r="S1350" s="354"/>
      <c r="T1350" s="354"/>
      <c r="U1350" s="354"/>
      <c r="V1350" s="354"/>
      <c r="W1350" s="354"/>
      <c r="X1350" s="354"/>
      <c r="Y1350" s="354"/>
      <c r="Z1350" s="353"/>
      <c r="AA1350" s="352"/>
      <c r="AB1350" s="726"/>
    </row>
    <row r="1351" spans="1:28" ht="16.5" customHeight="1">
      <c r="A1351" s="347"/>
      <c r="B1351" s="347"/>
      <c r="C1351" s="347"/>
      <c r="D1351" s="348"/>
      <c r="E1351" s="348"/>
      <c r="F1351" s="348"/>
      <c r="G1351" s="348"/>
      <c r="H1351" s="359"/>
      <c r="I1351" s="352"/>
      <c r="J1351" s="353"/>
      <c r="K1351" s="538"/>
      <c r="L1351" s="487"/>
      <c r="M1351" s="487"/>
      <c r="N1351" s="354"/>
      <c r="O1351" s="354"/>
      <c r="P1351" s="354"/>
      <c r="Q1351" s="354"/>
      <c r="R1351" s="354"/>
      <c r="S1351" s="354"/>
      <c r="T1351" s="354"/>
      <c r="U1351" s="354"/>
      <c r="V1351" s="354"/>
      <c r="W1351" s="354"/>
      <c r="X1351" s="354"/>
      <c r="Y1351" s="354"/>
      <c r="Z1351" s="353"/>
      <c r="AA1351" s="352"/>
      <c r="AB1351" s="726"/>
    </row>
    <row r="1352" spans="1:28" ht="16.5" customHeight="1">
      <c r="A1352" s="347"/>
      <c r="B1352" s="347"/>
      <c r="C1352" s="347"/>
      <c r="D1352" s="348"/>
      <c r="E1352" s="348"/>
      <c r="F1352" s="348"/>
      <c r="G1352" s="348"/>
      <c r="H1352" s="359"/>
      <c r="I1352" s="352"/>
      <c r="J1352" s="353"/>
      <c r="K1352" s="538"/>
      <c r="L1352" s="487"/>
      <c r="M1352" s="487"/>
      <c r="N1352" s="354"/>
      <c r="O1352" s="354"/>
      <c r="P1352" s="354"/>
      <c r="Q1352" s="354"/>
      <c r="R1352" s="354"/>
      <c r="S1352" s="354"/>
      <c r="T1352" s="354"/>
      <c r="U1352" s="354"/>
      <c r="V1352" s="354"/>
      <c r="W1352" s="354"/>
      <c r="X1352" s="354"/>
      <c r="Y1352" s="354"/>
      <c r="Z1352" s="353"/>
      <c r="AA1352" s="352"/>
      <c r="AB1352" s="726"/>
    </row>
    <row r="1353" spans="1:28" ht="16.5" customHeight="1">
      <c r="A1353" s="347"/>
      <c r="B1353" s="347"/>
      <c r="C1353" s="347"/>
      <c r="D1353" s="348"/>
      <c r="E1353" s="348"/>
      <c r="F1353" s="348"/>
      <c r="G1353" s="348"/>
      <c r="H1353" s="359"/>
      <c r="I1353" s="352"/>
      <c r="J1353" s="353"/>
      <c r="K1353" s="538"/>
      <c r="L1353" s="487"/>
      <c r="M1353" s="487"/>
      <c r="N1353" s="354"/>
      <c r="O1353" s="354"/>
      <c r="P1353" s="354"/>
      <c r="Q1353" s="354"/>
      <c r="R1353" s="354"/>
      <c r="S1353" s="354"/>
      <c r="T1353" s="354"/>
      <c r="U1353" s="354"/>
      <c r="V1353" s="354"/>
      <c r="W1353" s="354"/>
      <c r="X1353" s="354"/>
      <c r="Y1353" s="354"/>
      <c r="Z1353" s="353"/>
      <c r="AA1353" s="352"/>
      <c r="AB1353" s="726"/>
    </row>
    <row r="1354" spans="1:28" ht="16.5" customHeight="1">
      <c r="A1354" s="347"/>
      <c r="B1354" s="347"/>
      <c r="C1354" s="347"/>
      <c r="D1354" s="348"/>
      <c r="E1354" s="348"/>
      <c r="F1354" s="348"/>
      <c r="G1354" s="348"/>
      <c r="H1354" s="359"/>
      <c r="I1354" s="352"/>
      <c r="J1354" s="353"/>
      <c r="K1354" s="538"/>
      <c r="L1354" s="487"/>
      <c r="M1354" s="487"/>
      <c r="N1354" s="354"/>
      <c r="O1354" s="354"/>
      <c r="P1354" s="354"/>
      <c r="Q1354" s="354"/>
      <c r="R1354" s="354"/>
      <c r="S1354" s="354"/>
      <c r="T1354" s="354"/>
      <c r="U1354" s="354"/>
      <c r="V1354" s="354"/>
      <c r="W1354" s="354"/>
      <c r="X1354" s="354"/>
      <c r="Y1354" s="354"/>
      <c r="Z1354" s="353"/>
      <c r="AA1354" s="352"/>
      <c r="AB1354" s="726"/>
    </row>
    <row r="1355" spans="1:28" ht="16.5" customHeight="1">
      <c r="A1355" s="347"/>
      <c r="B1355" s="347"/>
      <c r="C1355" s="347"/>
      <c r="D1355" s="361"/>
      <c r="E1355" s="361"/>
      <c r="F1355" s="361"/>
      <c r="G1355" s="348"/>
      <c r="H1355" s="359"/>
      <c r="I1355" s="352"/>
      <c r="J1355" s="353"/>
      <c r="K1355" s="538"/>
      <c r="L1355" s="487"/>
      <c r="M1355" s="487"/>
      <c r="N1355" s="354"/>
      <c r="O1355" s="354"/>
      <c r="P1355" s="354"/>
      <c r="Q1355" s="354"/>
      <c r="R1355" s="354"/>
      <c r="S1355" s="354"/>
      <c r="T1355" s="354"/>
      <c r="U1355" s="354"/>
      <c r="V1355" s="354"/>
      <c r="W1355" s="354"/>
      <c r="X1355" s="354"/>
      <c r="Y1355" s="354"/>
      <c r="Z1355" s="353"/>
      <c r="AA1355" s="352"/>
      <c r="AB1355" s="726"/>
    </row>
    <row r="1356" spans="1:28" ht="16.5" customHeight="1">
      <c r="A1356" s="347"/>
      <c r="B1356" s="347"/>
      <c r="C1356" s="347"/>
      <c r="D1356" s="348"/>
      <c r="E1356" s="348"/>
      <c r="F1356" s="348"/>
      <c r="G1356" s="348"/>
      <c r="H1356" s="359"/>
      <c r="I1356" s="352"/>
      <c r="J1356" s="353"/>
      <c r="K1356" s="538"/>
      <c r="L1356" s="487"/>
      <c r="M1356" s="487"/>
      <c r="N1356" s="354"/>
      <c r="O1356" s="354"/>
      <c r="P1356" s="354"/>
      <c r="Q1356" s="354"/>
      <c r="R1356" s="354"/>
      <c r="S1356" s="354"/>
      <c r="T1356" s="354"/>
      <c r="U1356" s="354"/>
      <c r="V1356" s="354"/>
      <c r="W1356" s="354"/>
      <c r="X1356" s="354"/>
      <c r="Y1356" s="354"/>
      <c r="Z1356" s="353"/>
      <c r="AA1356" s="352"/>
      <c r="AB1356" s="726"/>
    </row>
    <row r="1357" spans="1:28" ht="16.5" customHeight="1">
      <c r="A1357" s="347"/>
      <c r="B1357" s="347"/>
      <c r="C1357" s="347"/>
      <c r="D1357" s="361"/>
      <c r="E1357" s="361"/>
      <c r="F1357" s="361"/>
      <c r="G1357" s="348"/>
      <c r="H1357" s="359"/>
      <c r="I1357" s="352"/>
      <c r="J1357" s="353"/>
      <c r="K1357" s="538"/>
      <c r="L1357" s="487"/>
      <c r="M1357" s="487"/>
      <c r="N1357" s="354"/>
      <c r="O1357" s="354"/>
      <c r="P1357" s="354"/>
      <c r="Q1357" s="354"/>
      <c r="R1357" s="354"/>
      <c r="S1357" s="354"/>
      <c r="T1357" s="354"/>
      <c r="U1357" s="354"/>
      <c r="V1357" s="354"/>
      <c r="W1357" s="354"/>
      <c r="X1357" s="354"/>
      <c r="Y1357" s="354"/>
      <c r="Z1357" s="353"/>
      <c r="AA1357" s="352"/>
      <c r="AB1357" s="726"/>
    </row>
    <row r="1358" spans="1:28" ht="16.5" customHeight="1">
      <c r="A1358" s="347"/>
      <c r="B1358" s="347"/>
      <c r="C1358" s="347"/>
      <c r="D1358" s="348"/>
      <c r="E1358" s="348"/>
      <c r="F1358" s="348"/>
      <c r="G1358" s="348"/>
      <c r="H1358" s="359"/>
      <c r="I1358" s="352"/>
      <c r="J1358" s="353"/>
      <c r="K1358" s="538"/>
      <c r="L1358" s="487"/>
      <c r="M1358" s="487"/>
      <c r="N1358" s="354"/>
      <c r="O1358" s="354"/>
      <c r="P1358" s="354"/>
      <c r="Q1358" s="354"/>
      <c r="R1358" s="354"/>
      <c r="S1358" s="354"/>
      <c r="T1358" s="354"/>
      <c r="U1358" s="354"/>
      <c r="V1358" s="354"/>
      <c r="W1358" s="354"/>
      <c r="X1358" s="354"/>
      <c r="Y1358" s="354"/>
      <c r="Z1358" s="353"/>
      <c r="AA1358" s="352"/>
      <c r="AB1358" s="726"/>
    </row>
    <row r="1359" spans="1:28" ht="16.5" customHeight="1">
      <c r="A1359" s="347"/>
      <c r="B1359" s="347"/>
      <c r="C1359" s="347"/>
      <c r="D1359" s="348"/>
      <c r="E1359" s="348"/>
      <c r="F1359" s="348"/>
      <c r="G1359" s="348"/>
      <c r="H1359" s="359"/>
      <c r="I1359" s="352"/>
      <c r="J1359" s="353"/>
      <c r="K1359" s="538"/>
      <c r="L1359" s="487"/>
      <c r="M1359" s="487"/>
      <c r="N1359" s="354"/>
      <c r="O1359" s="354"/>
      <c r="P1359" s="354"/>
      <c r="Q1359" s="354"/>
      <c r="R1359" s="354"/>
      <c r="S1359" s="354"/>
      <c r="T1359" s="354"/>
      <c r="U1359" s="354"/>
      <c r="V1359" s="354"/>
      <c r="W1359" s="354"/>
      <c r="X1359" s="354"/>
      <c r="Y1359" s="354"/>
      <c r="Z1359" s="353"/>
      <c r="AA1359" s="352"/>
      <c r="AB1359" s="726"/>
    </row>
    <row r="1360" spans="1:28" ht="16.5" customHeight="1">
      <c r="A1360" s="347"/>
      <c r="B1360" s="347"/>
      <c r="C1360" s="347"/>
      <c r="D1360" s="361"/>
      <c r="E1360" s="361"/>
      <c r="F1360" s="361"/>
      <c r="G1360" s="348"/>
      <c r="H1360" s="359"/>
      <c r="I1360" s="352"/>
      <c r="J1360" s="353"/>
      <c r="K1360" s="538"/>
      <c r="L1360" s="487"/>
      <c r="M1360" s="487"/>
      <c r="N1360" s="354"/>
      <c r="O1360" s="354"/>
      <c r="P1360" s="354"/>
      <c r="Q1360" s="354"/>
      <c r="R1360" s="354"/>
      <c r="S1360" s="354"/>
      <c r="T1360" s="354"/>
      <c r="U1360" s="354"/>
      <c r="V1360" s="354"/>
      <c r="W1360" s="354"/>
      <c r="X1360" s="354"/>
      <c r="Y1360" s="354"/>
      <c r="Z1360" s="353"/>
      <c r="AA1360" s="352"/>
      <c r="AB1360" s="726"/>
    </row>
    <row r="1361" spans="1:28" ht="16.5" customHeight="1">
      <c r="A1361" s="347"/>
      <c r="B1361" s="347"/>
      <c r="C1361" s="347"/>
      <c r="D1361" s="348"/>
      <c r="E1361" s="348"/>
      <c r="F1361" s="348"/>
      <c r="G1361" s="348"/>
      <c r="H1361" s="359"/>
      <c r="I1361" s="352"/>
      <c r="J1361" s="353"/>
      <c r="K1361" s="538"/>
      <c r="L1361" s="487"/>
      <c r="M1361" s="487"/>
      <c r="N1361" s="354"/>
      <c r="O1361" s="354"/>
      <c r="P1361" s="354"/>
      <c r="Q1361" s="354"/>
      <c r="R1361" s="354"/>
      <c r="S1361" s="354"/>
      <c r="T1361" s="354"/>
      <c r="U1361" s="354"/>
      <c r="V1361" s="354"/>
      <c r="W1361" s="354"/>
      <c r="X1361" s="354"/>
      <c r="Y1361" s="354"/>
      <c r="Z1361" s="353"/>
      <c r="AA1361" s="352"/>
      <c r="AB1361" s="726"/>
    </row>
    <row r="1362" spans="1:28" ht="16.5" customHeight="1">
      <c r="A1362" s="347"/>
      <c r="B1362" s="347"/>
      <c r="C1362" s="347"/>
      <c r="D1362" s="348"/>
      <c r="E1362" s="348"/>
      <c r="F1362" s="348"/>
      <c r="G1362" s="348"/>
      <c r="H1362" s="359"/>
      <c r="I1362" s="352"/>
      <c r="J1362" s="353"/>
      <c r="K1362" s="538"/>
      <c r="L1362" s="487"/>
      <c r="M1362" s="487"/>
      <c r="N1362" s="354"/>
      <c r="O1362" s="354"/>
      <c r="P1362" s="354"/>
      <c r="Q1362" s="354"/>
      <c r="R1362" s="354"/>
      <c r="S1362" s="354"/>
      <c r="T1362" s="354"/>
      <c r="U1362" s="354"/>
      <c r="V1362" s="354"/>
      <c r="W1362" s="354"/>
      <c r="X1362" s="354"/>
      <c r="Y1362" s="354"/>
      <c r="Z1362" s="353"/>
      <c r="AA1362" s="352"/>
      <c r="AB1362" s="726"/>
    </row>
    <row r="1363" spans="1:28" ht="16.5" customHeight="1">
      <c r="A1363" s="347"/>
      <c r="B1363" s="347"/>
      <c r="C1363" s="347"/>
      <c r="D1363" s="348"/>
      <c r="E1363" s="348"/>
      <c r="F1363" s="348"/>
      <c r="G1363" s="348"/>
      <c r="H1363" s="359"/>
      <c r="I1363" s="352"/>
      <c r="J1363" s="353"/>
      <c r="K1363" s="538"/>
      <c r="L1363" s="487"/>
      <c r="M1363" s="487"/>
      <c r="N1363" s="354"/>
      <c r="O1363" s="354"/>
      <c r="P1363" s="354"/>
      <c r="Q1363" s="354"/>
      <c r="R1363" s="354"/>
      <c r="S1363" s="354"/>
      <c r="T1363" s="354"/>
      <c r="U1363" s="354"/>
      <c r="V1363" s="354"/>
      <c r="W1363" s="354"/>
      <c r="X1363" s="354"/>
      <c r="Y1363" s="354"/>
      <c r="Z1363" s="353"/>
      <c r="AA1363" s="352"/>
      <c r="AB1363" s="726"/>
    </row>
    <row r="1364" spans="1:28" ht="16.5" customHeight="1">
      <c r="A1364" s="347"/>
      <c r="B1364" s="347"/>
      <c r="C1364" s="347"/>
      <c r="D1364" s="348"/>
      <c r="E1364" s="348"/>
      <c r="F1364" s="348"/>
      <c r="G1364" s="348"/>
      <c r="H1364" s="359"/>
      <c r="I1364" s="352"/>
      <c r="J1364" s="353"/>
      <c r="K1364" s="538"/>
      <c r="L1364" s="487"/>
      <c r="M1364" s="487"/>
      <c r="N1364" s="354"/>
      <c r="O1364" s="354"/>
      <c r="P1364" s="354"/>
      <c r="Q1364" s="354"/>
      <c r="R1364" s="354"/>
      <c r="S1364" s="354"/>
      <c r="T1364" s="354"/>
      <c r="U1364" s="354"/>
      <c r="V1364" s="354"/>
      <c r="W1364" s="354"/>
      <c r="X1364" s="354"/>
      <c r="Y1364" s="354"/>
      <c r="Z1364" s="353"/>
      <c r="AA1364" s="352"/>
      <c r="AB1364" s="726"/>
    </row>
    <row r="1365" spans="1:28" ht="16.5" customHeight="1">
      <c r="A1365" s="347"/>
      <c r="B1365" s="347"/>
      <c r="C1365" s="347"/>
      <c r="D1365" s="348"/>
      <c r="E1365" s="348"/>
      <c r="F1365" s="348"/>
      <c r="G1365" s="348"/>
      <c r="H1365" s="359"/>
      <c r="I1365" s="352"/>
      <c r="J1365" s="353"/>
      <c r="K1365" s="538"/>
      <c r="L1365" s="487"/>
      <c r="M1365" s="487"/>
      <c r="N1365" s="354"/>
      <c r="O1365" s="354"/>
      <c r="P1365" s="354"/>
      <c r="Q1365" s="354"/>
      <c r="R1365" s="354"/>
      <c r="S1365" s="354"/>
      <c r="T1365" s="354"/>
      <c r="U1365" s="354"/>
      <c r="V1365" s="354"/>
      <c r="W1365" s="354"/>
      <c r="X1365" s="354"/>
      <c r="Y1365" s="354"/>
      <c r="Z1365" s="353"/>
      <c r="AA1365" s="352"/>
      <c r="AB1365" s="726"/>
    </row>
    <row r="1366" spans="1:28" ht="16.5" customHeight="1">
      <c r="A1366" s="347"/>
      <c r="B1366" s="347"/>
      <c r="C1366" s="347"/>
      <c r="D1366" s="348"/>
      <c r="E1366" s="348"/>
      <c r="F1366" s="348"/>
      <c r="G1366" s="348"/>
      <c r="H1366" s="359"/>
      <c r="I1366" s="352"/>
      <c r="J1366" s="353"/>
      <c r="K1366" s="538"/>
      <c r="L1366" s="487"/>
      <c r="M1366" s="487"/>
      <c r="N1366" s="354"/>
      <c r="O1366" s="354"/>
      <c r="P1366" s="354"/>
      <c r="Q1366" s="354"/>
      <c r="R1366" s="354"/>
      <c r="S1366" s="354"/>
      <c r="T1366" s="354"/>
      <c r="U1366" s="354"/>
      <c r="V1366" s="354"/>
      <c r="W1366" s="354"/>
      <c r="X1366" s="354"/>
      <c r="Y1366" s="354"/>
      <c r="Z1366" s="353"/>
      <c r="AA1366" s="352"/>
      <c r="AB1366" s="726"/>
    </row>
    <row r="1367" spans="1:28" ht="16.5" customHeight="1">
      <c r="A1367" s="347"/>
      <c r="B1367" s="347"/>
      <c r="C1367" s="347"/>
      <c r="D1367" s="348"/>
      <c r="E1367" s="348"/>
      <c r="F1367" s="348"/>
      <c r="G1367" s="348"/>
      <c r="H1367" s="359"/>
      <c r="I1367" s="352"/>
      <c r="J1367" s="353"/>
      <c r="K1367" s="538"/>
      <c r="L1367" s="487"/>
      <c r="M1367" s="487"/>
      <c r="N1367" s="354"/>
      <c r="O1367" s="354"/>
      <c r="P1367" s="354"/>
      <c r="Q1367" s="354"/>
      <c r="R1367" s="354"/>
      <c r="S1367" s="354"/>
      <c r="T1367" s="354"/>
      <c r="U1367" s="354"/>
      <c r="V1367" s="354"/>
      <c r="W1367" s="354"/>
      <c r="X1367" s="354"/>
      <c r="Y1367" s="354"/>
      <c r="Z1367" s="353"/>
      <c r="AA1367" s="352"/>
      <c r="AB1367" s="726"/>
    </row>
    <row r="1368" spans="1:28" ht="16.5" customHeight="1">
      <c r="A1368" s="347"/>
      <c r="B1368" s="347"/>
      <c r="C1368" s="347"/>
      <c r="D1368" s="348"/>
      <c r="E1368" s="348"/>
      <c r="F1368" s="348"/>
      <c r="G1368" s="348"/>
      <c r="H1368" s="359"/>
      <c r="I1368" s="352"/>
      <c r="J1368" s="353"/>
      <c r="K1368" s="538"/>
      <c r="L1368" s="487"/>
      <c r="M1368" s="487"/>
      <c r="N1368" s="354"/>
      <c r="O1368" s="354"/>
      <c r="P1368" s="354"/>
      <c r="Q1368" s="354"/>
      <c r="R1368" s="354"/>
      <c r="S1368" s="354"/>
      <c r="T1368" s="354"/>
      <c r="U1368" s="354"/>
      <c r="V1368" s="354"/>
      <c r="W1368" s="354"/>
      <c r="X1368" s="354"/>
      <c r="Y1368" s="354"/>
      <c r="Z1368" s="353"/>
      <c r="AA1368" s="352"/>
      <c r="AB1368" s="726"/>
    </row>
    <row r="1369" spans="1:28" ht="16.5" customHeight="1">
      <c r="A1369" s="347"/>
      <c r="B1369" s="347"/>
      <c r="C1369" s="347"/>
      <c r="D1369" s="348"/>
      <c r="E1369" s="348"/>
      <c r="F1369" s="348"/>
      <c r="G1369" s="348"/>
      <c r="H1369" s="359"/>
      <c r="I1369" s="352"/>
      <c r="J1369" s="353"/>
      <c r="K1369" s="538"/>
      <c r="L1369" s="487"/>
      <c r="M1369" s="487"/>
      <c r="N1369" s="354"/>
      <c r="O1369" s="354"/>
      <c r="P1369" s="354"/>
      <c r="Q1369" s="354"/>
      <c r="R1369" s="354"/>
      <c r="S1369" s="354"/>
      <c r="T1369" s="354"/>
      <c r="U1369" s="354"/>
      <c r="V1369" s="354"/>
      <c r="W1369" s="354"/>
      <c r="X1369" s="354"/>
      <c r="Y1369" s="354"/>
      <c r="Z1369" s="353"/>
      <c r="AA1369" s="352"/>
      <c r="AB1369" s="726"/>
    </row>
    <row r="1370" spans="1:28" ht="16.5" customHeight="1">
      <c r="A1370" s="347"/>
      <c r="B1370" s="347"/>
      <c r="C1370" s="347"/>
      <c r="D1370" s="361"/>
      <c r="E1370" s="361"/>
      <c r="F1370" s="361"/>
      <c r="G1370" s="348"/>
      <c r="H1370" s="359"/>
      <c r="I1370" s="352"/>
      <c r="J1370" s="353"/>
      <c r="K1370" s="538"/>
      <c r="L1370" s="487"/>
      <c r="M1370" s="487"/>
      <c r="N1370" s="354"/>
      <c r="O1370" s="354"/>
      <c r="P1370" s="354"/>
      <c r="Q1370" s="354"/>
      <c r="R1370" s="354"/>
      <c r="S1370" s="354"/>
      <c r="T1370" s="354"/>
      <c r="U1370" s="354"/>
      <c r="V1370" s="354"/>
      <c r="W1370" s="354"/>
      <c r="X1370" s="354"/>
      <c r="Y1370" s="354"/>
      <c r="Z1370" s="353"/>
      <c r="AA1370" s="352"/>
      <c r="AB1370" s="726"/>
    </row>
    <row r="1371" spans="1:28" ht="16.5" customHeight="1">
      <c r="A1371" s="347"/>
      <c r="B1371" s="347"/>
      <c r="C1371" s="347"/>
      <c r="D1371" s="348"/>
      <c r="E1371" s="348"/>
      <c r="F1371" s="348"/>
      <c r="G1371" s="348"/>
      <c r="H1371" s="359"/>
      <c r="I1371" s="352"/>
      <c r="J1371" s="353"/>
      <c r="K1371" s="538"/>
      <c r="L1371" s="487"/>
      <c r="M1371" s="487"/>
      <c r="N1371" s="354"/>
      <c r="O1371" s="354"/>
      <c r="P1371" s="354"/>
      <c r="Q1371" s="354"/>
      <c r="R1371" s="354"/>
      <c r="S1371" s="354"/>
      <c r="T1371" s="354"/>
      <c r="U1371" s="354"/>
      <c r="V1371" s="354"/>
      <c r="W1371" s="354"/>
      <c r="X1371" s="354"/>
      <c r="Y1371" s="354"/>
      <c r="Z1371" s="353"/>
      <c r="AA1371" s="352"/>
      <c r="AB1371" s="726"/>
    </row>
    <row r="1372" spans="1:28" ht="16.5" customHeight="1">
      <c r="A1372" s="347"/>
      <c r="B1372" s="347"/>
      <c r="C1372" s="347"/>
      <c r="D1372" s="348"/>
      <c r="E1372" s="348"/>
      <c r="F1372" s="348"/>
      <c r="G1372" s="348"/>
      <c r="H1372" s="359"/>
      <c r="I1372" s="352"/>
      <c r="J1372" s="353"/>
      <c r="K1372" s="538"/>
      <c r="L1372" s="487"/>
      <c r="M1372" s="487"/>
      <c r="N1372" s="354"/>
      <c r="O1372" s="354"/>
      <c r="P1372" s="354"/>
      <c r="Q1372" s="354"/>
      <c r="R1372" s="354"/>
      <c r="S1372" s="354"/>
      <c r="T1372" s="354"/>
      <c r="U1372" s="354"/>
      <c r="V1372" s="354"/>
      <c r="W1372" s="354"/>
      <c r="X1372" s="354"/>
      <c r="Y1372" s="354"/>
      <c r="Z1372" s="353"/>
      <c r="AA1372" s="352"/>
      <c r="AB1372" s="726"/>
    </row>
    <row r="1373" spans="1:28" ht="16.5" customHeight="1">
      <c r="A1373" s="347"/>
      <c r="B1373" s="347"/>
      <c r="C1373" s="347"/>
      <c r="D1373" s="348"/>
      <c r="E1373" s="348"/>
      <c r="F1373" s="348"/>
      <c r="G1373" s="348"/>
      <c r="H1373" s="359"/>
      <c r="I1373" s="352"/>
      <c r="J1373" s="353"/>
      <c r="K1373" s="538"/>
      <c r="L1373" s="487"/>
      <c r="M1373" s="487"/>
      <c r="N1373" s="354"/>
      <c r="O1373" s="354"/>
      <c r="P1373" s="354"/>
      <c r="Q1373" s="354"/>
      <c r="R1373" s="354"/>
      <c r="S1373" s="354"/>
      <c r="T1373" s="354"/>
      <c r="U1373" s="354"/>
      <c r="V1373" s="354"/>
      <c r="W1373" s="354"/>
      <c r="X1373" s="354"/>
      <c r="Y1373" s="354"/>
      <c r="Z1373" s="353"/>
      <c r="AA1373" s="352"/>
      <c r="AB1373" s="726"/>
    </row>
    <row r="1374" spans="1:28" ht="16.5" customHeight="1">
      <c r="A1374" s="347"/>
      <c r="B1374" s="347"/>
      <c r="C1374" s="347"/>
      <c r="D1374" s="361"/>
      <c r="E1374" s="361"/>
      <c r="F1374" s="361"/>
      <c r="G1374" s="348"/>
      <c r="H1374" s="359"/>
      <c r="I1374" s="352"/>
      <c r="J1374" s="353"/>
      <c r="K1374" s="538"/>
      <c r="L1374" s="487"/>
      <c r="M1374" s="487"/>
      <c r="N1374" s="354"/>
      <c r="O1374" s="354"/>
      <c r="P1374" s="354"/>
      <c r="Q1374" s="354"/>
      <c r="R1374" s="354"/>
      <c r="S1374" s="354"/>
      <c r="T1374" s="354"/>
      <c r="U1374" s="354"/>
      <c r="V1374" s="354"/>
      <c r="W1374" s="354"/>
      <c r="X1374" s="354"/>
      <c r="Y1374" s="354"/>
      <c r="Z1374" s="353"/>
      <c r="AA1374" s="352"/>
      <c r="AB1374" s="726"/>
    </row>
    <row r="1375" spans="1:28" ht="16.5" customHeight="1">
      <c r="A1375" s="347"/>
      <c r="B1375" s="347"/>
      <c r="C1375" s="347"/>
      <c r="D1375" s="348"/>
      <c r="E1375" s="348"/>
      <c r="F1375" s="348"/>
      <c r="G1375" s="348"/>
      <c r="H1375" s="359"/>
      <c r="I1375" s="352"/>
      <c r="J1375" s="353"/>
      <c r="K1375" s="538"/>
      <c r="L1375" s="487"/>
      <c r="M1375" s="487"/>
      <c r="N1375" s="354"/>
      <c r="O1375" s="354"/>
      <c r="P1375" s="354"/>
      <c r="Q1375" s="354"/>
      <c r="R1375" s="354"/>
      <c r="S1375" s="354"/>
      <c r="T1375" s="354"/>
      <c r="U1375" s="354"/>
      <c r="V1375" s="354"/>
      <c r="W1375" s="354"/>
      <c r="X1375" s="354"/>
      <c r="Y1375" s="354"/>
      <c r="Z1375" s="353"/>
      <c r="AA1375" s="352"/>
      <c r="AB1375" s="726"/>
    </row>
    <row r="1376" spans="1:28" ht="16.5" customHeight="1">
      <c r="A1376" s="347"/>
      <c r="B1376" s="347"/>
      <c r="C1376" s="347"/>
      <c r="D1376" s="348"/>
      <c r="E1376" s="348"/>
      <c r="F1376" s="348"/>
      <c r="G1376" s="348"/>
      <c r="H1376" s="359"/>
      <c r="I1376" s="352"/>
      <c r="J1376" s="353"/>
      <c r="K1376" s="538"/>
      <c r="L1376" s="487"/>
      <c r="M1376" s="487"/>
      <c r="N1376" s="354"/>
      <c r="O1376" s="354"/>
      <c r="P1376" s="354"/>
      <c r="Q1376" s="354"/>
      <c r="R1376" s="354"/>
      <c r="S1376" s="354"/>
      <c r="T1376" s="354"/>
      <c r="U1376" s="354"/>
      <c r="V1376" s="354"/>
      <c r="W1376" s="354"/>
      <c r="X1376" s="354"/>
      <c r="Y1376" s="354"/>
      <c r="Z1376" s="353"/>
      <c r="AA1376" s="352"/>
      <c r="AB1376" s="726"/>
    </row>
    <row r="1377" spans="1:28" ht="16.5" customHeight="1">
      <c r="A1377" s="347"/>
      <c r="B1377" s="347"/>
      <c r="C1377" s="347"/>
      <c r="D1377" s="348"/>
      <c r="E1377" s="348"/>
      <c r="F1377" s="348"/>
      <c r="G1377" s="348"/>
      <c r="H1377" s="359"/>
      <c r="I1377" s="352"/>
      <c r="J1377" s="353"/>
      <c r="K1377" s="538"/>
      <c r="L1377" s="487"/>
      <c r="M1377" s="487"/>
      <c r="N1377" s="354"/>
      <c r="O1377" s="354"/>
      <c r="P1377" s="354"/>
      <c r="Q1377" s="354"/>
      <c r="R1377" s="354"/>
      <c r="S1377" s="354"/>
      <c r="T1377" s="354"/>
      <c r="U1377" s="354"/>
      <c r="V1377" s="354"/>
      <c r="W1377" s="354"/>
      <c r="X1377" s="354"/>
      <c r="Y1377" s="354"/>
      <c r="Z1377" s="353"/>
      <c r="AA1377" s="352"/>
      <c r="AB1377" s="726"/>
    </row>
    <row r="1378" spans="1:28" ht="16.5" customHeight="1">
      <c r="A1378" s="347"/>
      <c r="B1378" s="347"/>
      <c r="C1378" s="347"/>
      <c r="D1378" s="348"/>
      <c r="E1378" s="348"/>
      <c r="F1378" s="348"/>
      <c r="G1378" s="348"/>
      <c r="H1378" s="359"/>
      <c r="I1378" s="352"/>
      <c r="J1378" s="353"/>
      <c r="K1378" s="538"/>
      <c r="L1378" s="487"/>
      <c r="M1378" s="487"/>
      <c r="N1378" s="354"/>
      <c r="O1378" s="354"/>
      <c r="P1378" s="354"/>
      <c r="Q1378" s="354"/>
      <c r="R1378" s="354"/>
      <c r="S1378" s="354"/>
      <c r="T1378" s="354"/>
      <c r="U1378" s="354"/>
      <c r="V1378" s="354"/>
      <c r="W1378" s="354"/>
      <c r="X1378" s="354"/>
      <c r="Y1378" s="354"/>
      <c r="Z1378" s="353"/>
      <c r="AA1378" s="352"/>
      <c r="AB1378" s="726"/>
    </row>
    <row r="1379" spans="1:28" ht="16.5" customHeight="1">
      <c r="A1379" s="347"/>
      <c r="B1379" s="347"/>
      <c r="C1379" s="347"/>
      <c r="D1379" s="348"/>
      <c r="E1379" s="348"/>
      <c r="F1379" s="348"/>
      <c r="G1379" s="348"/>
      <c r="H1379" s="359"/>
      <c r="I1379" s="352"/>
      <c r="J1379" s="353"/>
      <c r="K1379" s="538"/>
      <c r="L1379" s="487"/>
      <c r="M1379" s="487"/>
      <c r="N1379" s="354"/>
      <c r="O1379" s="354"/>
      <c r="P1379" s="354"/>
      <c r="Q1379" s="354"/>
      <c r="R1379" s="354"/>
      <c r="S1379" s="354"/>
      <c r="T1379" s="354"/>
      <c r="U1379" s="354"/>
      <c r="V1379" s="354"/>
      <c r="W1379" s="354"/>
      <c r="X1379" s="354"/>
      <c r="Y1379" s="354"/>
      <c r="Z1379" s="353"/>
      <c r="AA1379" s="352"/>
      <c r="AB1379" s="726"/>
    </row>
    <row r="1380" spans="1:28" ht="16.5" customHeight="1">
      <c r="A1380" s="347"/>
      <c r="B1380" s="347"/>
      <c r="C1380" s="347"/>
      <c r="D1380" s="348"/>
      <c r="E1380" s="348"/>
      <c r="F1380" s="348"/>
      <c r="G1380" s="348"/>
      <c r="H1380" s="359"/>
      <c r="I1380" s="352"/>
      <c r="J1380" s="353"/>
      <c r="K1380" s="538"/>
      <c r="L1380" s="487"/>
      <c r="M1380" s="487"/>
      <c r="N1380" s="354"/>
      <c r="O1380" s="354"/>
      <c r="P1380" s="354"/>
      <c r="Q1380" s="354"/>
      <c r="R1380" s="354"/>
      <c r="S1380" s="354"/>
      <c r="T1380" s="354"/>
      <c r="U1380" s="354"/>
      <c r="V1380" s="354"/>
      <c r="W1380" s="354"/>
      <c r="X1380" s="354"/>
      <c r="Y1380" s="354"/>
      <c r="Z1380" s="353"/>
      <c r="AA1380" s="352"/>
      <c r="AB1380" s="726"/>
    </row>
    <row r="1381" spans="1:28" ht="16.5" customHeight="1">
      <c r="A1381" s="347"/>
      <c r="B1381" s="347"/>
      <c r="C1381" s="347"/>
      <c r="D1381" s="348"/>
      <c r="E1381" s="348"/>
      <c r="F1381" s="348"/>
      <c r="G1381" s="348"/>
      <c r="H1381" s="359"/>
      <c r="I1381" s="352"/>
      <c r="J1381" s="353"/>
      <c r="K1381" s="538"/>
      <c r="L1381" s="487"/>
      <c r="M1381" s="487"/>
      <c r="N1381" s="354"/>
      <c r="O1381" s="354"/>
      <c r="P1381" s="354"/>
      <c r="Q1381" s="354"/>
      <c r="R1381" s="354"/>
      <c r="S1381" s="354"/>
      <c r="T1381" s="354"/>
      <c r="U1381" s="354"/>
      <c r="V1381" s="354"/>
      <c r="W1381" s="354"/>
      <c r="X1381" s="354"/>
      <c r="Y1381" s="354"/>
      <c r="Z1381" s="353"/>
      <c r="AA1381" s="352"/>
      <c r="AB1381" s="726"/>
    </row>
    <row r="1382" spans="1:28" ht="16.5" customHeight="1">
      <c r="A1382" s="347"/>
      <c r="B1382" s="347"/>
      <c r="C1382" s="347"/>
      <c r="D1382" s="348"/>
      <c r="E1382" s="348"/>
      <c r="F1382" s="348"/>
      <c r="G1382" s="348"/>
      <c r="H1382" s="359"/>
      <c r="I1382" s="352"/>
      <c r="J1382" s="353"/>
      <c r="K1382" s="538"/>
      <c r="L1382" s="487"/>
      <c r="M1382" s="487"/>
      <c r="N1382" s="354"/>
      <c r="O1382" s="354"/>
      <c r="P1382" s="354"/>
      <c r="Q1382" s="354"/>
      <c r="R1382" s="354"/>
      <c r="S1382" s="354"/>
      <c r="T1382" s="354"/>
      <c r="U1382" s="354"/>
      <c r="V1382" s="354"/>
      <c r="W1382" s="354"/>
      <c r="X1382" s="354"/>
      <c r="Y1382" s="354"/>
      <c r="Z1382" s="353"/>
      <c r="AA1382" s="352"/>
      <c r="AB1382" s="726"/>
    </row>
    <row r="1383" spans="1:28" ht="16.5" customHeight="1">
      <c r="A1383" s="347"/>
      <c r="B1383" s="347"/>
      <c r="C1383" s="347"/>
      <c r="D1383" s="348"/>
      <c r="E1383" s="348"/>
      <c r="F1383" s="348"/>
      <c r="G1383" s="348"/>
      <c r="H1383" s="359"/>
      <c r="I1383" s="352"/>
      <c r="J1383" s="353"/>
      <c r="K1383" s="538"/>
      <c r="L1383" s="487"/>
      <c r="M1383" s="487"/>
      <c r="N1383" s="354"/>
      <c r="O1383" s="354"/>
      <c r="P1383" s="354"/>
      <c r="Q1383" s="354"/>
      <c r="R1383" s="354"/>
      <c r="S1383" s="354"/>
      <c r="T1383" s="354"/>
      <c r="U1383" s="354"/>
      <c r="V1383" s="354"/>
      <c r="W1383" s="354"/>
      <c r="X1383" s="354"/>
      <c r="Y1383" s="354"/>
      <c r="Z1383" s="353"/>
      <c r="AA1383" s="352"/>
      <c r="AB1383" s="726"/>
    </row>
    <row r="1384" spans="1:28" ht="16.5" customHeight="1">
      <c r="A1384" s="347"/>
      <c r="B1384" s="347"/>
      <c r="C1384" s="347"/>
      <c r="D1384" s="348"/>
      <c r="E1384" s="348"/>
      <c r="F1384" s="348"/>
      <c r="G1384" s="348"/>
      <c r="H1384" s="359"/>
      <c r="I1384" s="352"/>
      <c r="J1384" s="353"/>
      <c r="K1384" s="538"/>
      <c r="L1384" s="487"/>
      <c r="M1384" s="487"/>
      <c r="N1384" s="354"/>
      <c r="O1384" s="354"/>
      <c r="P1384" s="354"/>
      <c r="Q1384" s="354"/>
      <c r="R1384" s="354"/>
      <c r="S1384" s="354"/>
      <c r="T1384" s="354"/>
      <c r="U1384" s="354"/>
      <c r="V1384" s="354"/>
      <c r="W1384" s="354"/>
      <c r="X1384" s="354"/>
      <c r="Y1384" s="354"/>
      <c r="Z1384" s="353"/>
      <c r="AA1384" s="352"/>
      <c r="AB1384" s="726"/>
    </row>
    <row r="1385" spans="1:28" ht="16.5" customHeight="1">
      <c r="A1385" s="347"/>
      <c r="B1385" s="347"/>
      <c r="C1385" s="347"/>
      <c r="D1385" s="348"/>
      <c r="E1385" s="348"/>
      <c r="F1385" s="348"/>
      <c r="G1385" s="348"/>
      <c r="H1385" s="359"/>
      <c r="I1385" s="352"/>
      <c r="J1385" s="353"/>
      <c r="K1385" s="538"/>
      <c r="L1385" s="487"/>
      <c r="M1385" s="487"/>
      <c r="N1385" s="354"/>
      <c r="O1385" s="354"/>
      <c r="P1385" s="354"/>
      <c r="Q1385" s="354"/>
      <c r="R1385" s="354"/>
      <c r="S1385" s="354"/>
      <c r="T1385" s="354"/>
      <c r="U1385" s="354"/>
      <c r="V1385" s="354"/>
      <c r="W1385" s="354"/>
      <c r="X1385" s="354"/>
      <c r="Y1385" s="354"/>
      <c r="Z1385" s="353"/>
      <c r="AA1385" s="352"/>
      <c r="AB1385" s="726"/>
    </row>
    <row r="1386" spans="1:28" ht="16.5" customHeight="1">
      <c r="A1386" s="347"/>
      <c r="B1386" s="347"/>
      <c r="C1386" s="347"/>
      <c r="D1386" s="348"/>
      <c r="E1386" s="348"/>
      <c r="F1386" s="348"/>
      <c r="G1386" s="348"/>
      <c r="H1386" s="359"/>
      <c r="I1386" s="352"/>
      <c r="J1386" s="353"/>
      <c r="K1386" s="538"/>
      <c r="L1386" s="487"/>
      <c r="M1386" s="487"/>
      <c r="N1386" s="354"/>
      <c r="O1386" s="354"/>
      <c r="P1386" s="354"/>
      <c r="Q1386" s="354"/>
      <c r="R1386" s="354"/>
      <c r="S1386" s="354"/>
      <c r="T1386" s="354"/>
      <c r="U1386" s="354"/>
      <c r="V1386" s="354"/>
      <c r="W1386" s="354"/>
      <c r="X1386" s="354"/>
      <c r="Y1386" s="354"/>
      <c r="Z1386" s="353"/>
      <c r="AA1386" s="352"/>
      <c r="AB1386" s="726"/>
    </row>
    <row r="1387" spans="1:28" ht="16.5" customHeight="1">
      <c r="A1387" s="347"/>
      <c r="B1387" s="347"/>
      <c r="C1387" s="347"/>
      <c r="D1387" s="348"/>
      <c r="E1387" s="348"/>
      <c r="F1387" s="348"/>
      <c r="G1387" s="348"/>
      <c r="H1387" s="359"/>
      <c r="I1387" s="352"/>
      <c r="J1387" s="353"/>
      <c r="K1387" s="538"/>
      <c r="L1387" s="487"/>
      <c r="M1387" s="487"/>
      <c r="N1387" s="354"/>
      <c r="O1387" s="354"/>
      <c r="P1387" s="354"/>
      <c r="Q1387" s="354"/>
      <c r="R1387" s="354"/>
      <c r="S1387" s="354"/>
      <c r="T1387" s="354"/>
      <c r="U1387" s="354"/>
      <c r="V1387" s="354"/>
      <c r="W1387" s="354"/>
      <c r="X1387" s="354"/>
      <c r="Y1387" s="354"/>
      <c r="Z1387" s="353"/>
      <c r="AA1387" s="352"/>
      <c r="AB1387" s="726"/>
    </row>
    <row r="1388" spans="1:28" ht="16.5" customHeight="1">
      <c r="A1388" s="347"/>
      <c r="B1388" s="347"/>
      <c r="C1388" s="347"/>
      <c r="D1388" s="361"/>
      <c r="E1388" s="361"/>
      <c r="F1388" s="361"/>
      <c r="G1388" s="348"/>
      <c r="H1388" s="359"/>
      <c r="I1388" s="352"/>
      <c r="J1388" s="353"/>
      <c r="K1388" s="538"/>
      <c r="L1388" s="487"/>
      <c r="M1388" s="487"/>
      <c r="N1388" s="354"/>
      <c r="O1388" s="354"/>
      <c r="P1388" s="354"/>
      <c r="Q1388" s="354"/>
      <c r="R1388" s="354"/>
      <c r="S1388" s="354"/>
      <c r="T1388" s="354"/>
      <c r="U1388" s="354"/>
      <c r="V1388" s="354"/>
      <c r="W1388" s="354"/>
      <c r="X1388" s="354"/>
      <c r="Y1388" s="354"/>
      <c r="Z1388" s="353"/>
      <c r="AA1388" s="352"/>
      <c r="AB1388" s="726"/>
    </row>
    <row r="1389" spans="1:28" ht="16.5" customHeight="1">
      <c r="A1389" s="347"/>
      <c r="B1389" s="347"/>
      <c r="C1389" s="347"/>
      <c r="D1389" s="348"/>
      <c r="E1389" s="348"/>
      <c r="F1389" s="348"/>
      <c r="G1389" s="348"/>
      <c r="H1389" s="359"/>
      <c r="I1389" s="352"/>
      <c r="J1389" s="353"/>
      <c r="K1389" s="538"/>
      <c r="L1389" s="487"/>
      <c r="M1389" s="487"/>
      <c r="N1389" s="354"/>
      <c r="O1389" s="354"/>
      <c r="P1389" s="354"/>
      <c r="Q1389" s="354"/>
      <c r="R1389" s="354"/>
      <c r="S1389" s="354"/>
      <c r="T1389" s="354"/>
      <c r="U1389" s="354"/>
      <c r="V1389" s="354"/>
      <c r="W1389" s="354"/>
      <c r="X1389" s="354"/>
      <c r="Y1389" s="354"/>
      <c r="Z1389" s="353"/>
      <c r="AA1389" s="352"/>
      <c r="AB1389" s="726"/>
    </row>
    <row r="1390" spans="1:28" ht="16.5" customHeight="1">
      <c r="A1390" s="347"/>
      <c r="B1390" s="347"/>
      <c r="C1390" s="347"/>
      <c r="D1390" s="361"/>
      <c r="E1390" s="361"/>
      <c r="F1390" s="361"/>
      <c r="G1390" s="348"/>
      <c r="H1390" s="359"/>
      <c r="I1390" s="352"/>
      <c r="J1390" s="353"/>
      <c r="K1390" s="538"/>
      <c r="L1390" s="487"/>
      <c r="M1390" s="487"/>
      <c r="N1390" s="354"/>
      <c r="O1390" s="354"/>
      <c r="P1390" s="354"/>
      <c r="Q1390" s="354"/>
      <c r="R1390" s="354"/>
      <c r="S1390" s="354"/>
      <c r="T1390" s="354"/>
      <c r="U1390" s="354"/>
      <c r="V1390" s="354"/>
      <c r="W1390" s="354"/>
      <c r="X1390" s="354"/>
      <c r="Y1390" s="354"/>
      <c r="Z1390" s="353"/>
      <c r="AA1390" s="352"/>
      <c r="AB1390" s="726"/>
    </row>
    <row r="1391" spans="1:28" ht="16.5" customHeight="1">
      <c r="A1391" s="347"/>
      <c r="B1391" s="347"/>
      <c r="C1391" s="347"/>
      <c r="D1391" s="348"/>
      <c r="E1391" s="348"/>
      <c r="F1391" s="348"/>
      <c r="G1391" s="348"/>
      <c r="H1391" s="359"/>
      <c r="I1391" s="352"/>
      <c r="J1391" s="353"/>
      <c r="K1391" s="538"/>
      <c r="L1391" s="487"/>
      <c r="M1391" s="487"/>
      <c r="N1391" s="354"/>
      <c r="O1391" s="354"/>
      <c r="P1391" s="354"/>
      <c r="Q1391" s="354"/>
      <c r="R1391" s="354"/>
      <c r="S1391" s="354"/>
      <c r="T1391" s="354"/>
      <c r="U1391" s="354"/>
      <c r="V1391" s="354"/>
      <c r="W1391" s="354"/>
      <c r="X1391" s="354"/>
      <c r="Y1391" s="354"/>
      <c r="Z1391" s="353"/>
      <c r="AA1391" s="352"/>
      <c r="AB1391" s="726"/>
    </row>
    <row r="1392" spans="1:28" ht="16.5" customHeight="1">
      <c r="A1392" s="347"/>
      <c r="B1392" s="347"/>
      <c r="C1392" s="347"/>
      <c r="D1392" s="361"/>
      <c r="E1392" s="361"/>
      <c r="F1392" s="361"/>
      <c r="G1392" s="348"/>
      <c r="H1392" s="359"/>
      <c r="I1392" s="352"/>
      <c r="J1392" s="353"/>
      <c r="K1392" s="538"/>
      <c r="L1392" s="487"/>
      <c r="M1392" s="487"/>
      <c r="N1392" s="354"/>
      <c r="O1392" s="354"/>
      <c r="P1392" s="354"/>
      <c r="Q1392" s="354"/>
      <c r="R1392" s="354"/>
      <c r="S1392" s="354"/>
      <c r="T1392" s="354"/>
      <c r="U1392" s="354"/>
      <c r="V1392" s="354"/>
      <c r="W1392" s="354"/>
      <c r="X1392" s="354"/>
      <c r="Y1392" s="354"/>
      <c r="Z1392" s="353"/>
      <c r="AA1392" s="352"/>
      <c r="AB1392" s="726"/>
    </row>
    <row r="1393" spans="1:28" ht="16.5" customHeight="1">
      <c r="A1393" s="347"/>
      <c r="B1393" s="347"/>
      <c r="C1393" s="347"/>
      <c r="D1393" s="348"/>
      <c r="E1393" s="348"/>
      <c r="F1393" s="348"/>
      <c r="G1393" s="348"/>
      <c r="H1393" s="359"/>
      <c r="I1393" s="352"/>
      <c r="J1393" s="353"/>
      <c r="K1393" s="538"/>
      <c r="L1393" s="487"/>
      <c r="M1393" s="487"/>
      <c r="N1393" s="354"/>
      <c r="O1393" s="354"/>
      <c r="P1393" s="354"/>
      <c r="Q1393" s="354"/>
      <c r="R1393" s="354"/>
      <c r="S1393" s="354"/>
      <c r="T1393" s="354"/>
      <c r="U1393" s="354"/>
      <c r="V1393" s="354"/>
      <c r="W1393" s="354"/>
      <c r="X1393" s="354"/>
      <c r="Y1393" s="354"/>
      <c r="Z1393" s="353"/>
      <c r="AA1393" s="352"/>
      <c r="AB1393" s="726"/>
    </row>
    <row r="1394" spans="1:28" ht="16.5" customHeight="1">
      <c r="A1394" s="347"/>
      <c r="B1394" s="347"/>
      <c r="C1394" s="347"/>
      <c r="D1394" s="348"/>
      <c r="E1394" s="348"/>
      <c r="F1394" s="348"/>
      <c r="G1394" s="348"/>
      <c r="H1394" s="359"/>
      <c r="I1394" s="352"/>
      <c r="J1394" s="353"/>
      <c r="K1394" s="538"/>
      <c r="L1394" s="487"/>
      <c r="M1394" s="487"/>
      <c r="N1394" s="354"/>
      <c r="O1394" s="354"/>
      <c r="P1394" s="354"/>
      <c r="Q1394" s="354"/>
      <c r="R1394" s="354"/>
      <c r="S1394" s="354"/>
      <c r="T1394" s="354"/>
      <c r="U1394" s="354"/>
      <c r="V1394" s="354"/>
      <c r="W1394" s="354"/>
      <c r="X1394" s="354"/>
      <c r="Y1394" s="354"/>
      <c r="Z1394" s="353"/>
      <c r="AA1394" s="352"/>
      <c r="AB1394" s="726"/>
    </row>
    <row r="1395" spans="1:28" ht="16.5" customHeight="1">
      <c r="A1395" s="347"/>
      <c r="B1395" s="347"/>
      <c r="C1395" s="347"/>
      <c r="D1395" s="348"/>
      <c r="E1395" s="348"/>
      <c r="F1395" s="348"/>
      <c r="G1395" s="348"/>
      <c r="H1395" s="359"/>
      <c r="I1395" s="352"/>
      <c r="J1395" s="353"/>
      <c r="K1395" s="538"/>
      <c r="L1395" s="487"/>
      <c r="M1395" s="487"/>
      <c r="N1395" s="354"/>
      <c r="O1395" s="354"/>
      <c r="P1395" s="354"/>
      <c r="Q1395" s="354"/>
      <c r="R1395" s="354"/>
      <c r="S1395" s="354"/>
      <c r="T1395" s="354"/>
      <c r="U1395" s="354"/>
      <c r="V1395" s="354"/>
      <c r="W1395" s="354"/>
      <c r="X1395" s="354"/>
      <c r="Y1395" s="354"/>
      <c r="Z1395" s="353"/>
      <c r="AA1395" s="352"/>
      <c r="AB1395" s="726"/>
    </row>
    <row r="1396" spans="1:28" ht="16.5" customHeight="1">
      <c r="A1396" s="347"/>
      <c r="B1396" s="347"/>
      <c r="C1396" s="347"/>
      <c r="D1396" s="361"/>
      <c r="E1396" s="361"/>
      <c r="F1396" s="361"/>
      <c r="G1396" s="348"/>
      <c r="H1396" s="359"/>
      <c r="I1396" s="352"/>
      <c r="J1396" s="353"/>
      <c r="K1396" s="538"/>
      <c r="L1396" s="487"/>
      <c r="M1396" s="487"/>
      <c r="N1396" s="354"/>
      <c r="O1396" s="354"/>
      <c r="P1396" s="354"/>
      <c r="Q1396" s="354"/>
      <c r="R1396" s="354"/>
      <c r="S1396" s="354"/>
      <c r="T1396" s="354"/>
      <c r="U1396" s="354"/>
      <c r="V1396" s="354"/>
      <c r="W1396" s="354"/>
      <c r="X1396" s="354"/>
      <c r="Y1396" s="354"/>
      <c r="Z1396" s="353"/>
      <c r="AA1396" s="352"/>
      <c r="AB1396" s="726"/>
    </row>
    <row r="1397" spans="1:28" ht="16.5" customHeight="1">
      <c r="A1397" s="347"/>
      <c r="B1397" s="347"/>
      <c r="C1397" s="347"/>
      <c r="D1397" s="348"/>
      <c r="E1397" s="348"/>
      <c r="F1397" s="348"/>
      <c r="G1397" s="348"/>
      <c r="H1397" s="359"/>
      <c r="I1397" s="352"/>
      <c r="J1397" s="353"/>
      <c r="K1397" s="538"/>
      <c r="L1397" s="487"/>
      <c r="M1397" s="487"/>
      <c r="N1397" s="354"/>
      <c r="O1397" s="354"/>
      <c r="P1397" s="354"/>
      <c r="Q1397" s="354"/>
      <c r="R1397" s="354"/>
      <c r="S1397" s="354"/>
      <c r="T1397" s="354"/>
      <c r="U1397" s="354"/>
      <c r="V1397" s="354"/>
      <c r="W1397" s="354"/>
      <c r="X1397" s="354"/>
      <c r="Y1397" s="354"/>
      <c r="Z1397" s="353"/>
      <c r="AA1397" s="352"/>
      <c r="AB1397" s="726"/>
    </row>
    <row r="1398" spans="1:28" ht="16.5" customHeight="1">
      <c r="A1398" s="347"/>
      <c r="B1398" s="347"/>
      <c r="C1398" s="347"/>
      <c r="D1398" s="348"/>
      <c r="E1398" s="348"/>
      <c r="F1398" s="348"/>
      <c r="G1398" s="348"/>
      <c r="H1398" s="359"/>
      <c r="I1398" s="352"/>
      <c r="J1398" s="353"/>
      <c r="K1398" s="538"/>
      <c r="L1398" s="487"/>
      <c r="M1398" s="487"/>
      <c r="N1398" s="354"/>
      <c r="O1398" s="354"/>
      <c r="P1398" s="354"/>
      <c r="Q1398" s="354"/>
      <c r="R1398" s="354"/>
      <c r="S1398" s="354"/>
      <c r="T1398" s="354"/>
      <c r="U1398" s="354"/>
      <c r="V1398" s="354"/>
      <c r="W1398" s="354"/>
      <c r="X1398" s="354"/>
      <c r="Y1398" s="354"/>
      <c r="Z1398" s="353"/>
      <c r="AA1398" s="352"/>
      <c r="AB1398" s="726"/>
    </row>
    <row r="1399" spans="1:28" ht="16.5" customHeight="1">
      <c r="A1399" s="347"/>
      <c r="B1399" s="347"/>
      <c r="C1399" s="347"/>
      <c r="D1399" s="348"/>
      <c r="E1399" s="348"/>
      <c r="F1399" s="348"/>
      <c r="G1399" s="348"/>
      <c r="H1399" s="359"/>
      <c r="I1399" s="352"/>
      <c r="J1399" s="353"/>
      <c r="K1399" s="538"/>
      <c r="L1399" s="487"/>
      <c r="M1399" s="487"/>
      <c r="N1399" s="354"/>
      <c r="O1399" s="354"/>
      <c r="P1399" s="354"/>
      <c r="Q1399" s="354"/>
      <c r="R1399" s="354"/>
      <c r="S1399" s="354"/>
      <c r="T1399" s="354"/>
      <c r="U1399" s="354"/>
      <c r="V1399" s="354"/>
      <c r="W1399" s="354"/>
      <c r="X1399" s="354"/>
      <c r="Y1399" s="354"/>
      <c r="Z1399" s="353"/>
      <c r="AA1399" s="352"/>
      <c r="AB1399" s="726"/>
    </row>
    <row r="1400" spans="1:28" ht="16.5" customHeight="1">
      <c r="A1400" s="347"/>
      <c r="B1400" s="347"/>
      <c r="C1400" s="347"/>
      <c r="D1400" s="348"/>
      <c r="E1400" s="348"/>
      <c r="F1400" s="348"/>
      <c r="G1400" s="348"/>
      <c r="H1400" s="359"/>
      <c r="I1400" s="352"/>
      <c r="J1400" s="353"/>
      <c r="K1400" s="538"/>
      <c r="L1400" s="487"/>
      <c r="M1400" s="487"/>
      <c r="N1400" s="354"/>
      <c r="O1400" s="354"/>
      <c r="P1400" s="354"/>
      <c r="Q1400" s="354"/>
      <c r="R1400" s="354"/>
      <c r="S1400" s="354"/>
      <c r="T1400" s="354"/>
      <c r="U1400" s="354"/>
      <c r="V1400" s="354"/>
      <c r="W1400" s="354"/>
      <c r="X1400" s="354"/>
      <c r="Y1400" s="354"/>
      <c r="Z1400" s="353"/>
      <c r="AA1400" s="352"/>
      <c r="AB1400" s="726"/>
    </row>
    <row r="1401" spans="1:28" ht="16.5" customHeight="1">
      <c r="A1401" s="347"/>
      <c r="B1401" s="347"/>
      <c r="C1401" s="347"/>
      <c r="D1401" s="348"/>
      <c r="E1401" s="348"/>
      <c r="F1401" s="348"/>
      <c r="G1401" s="348"/>
      <c r="H1401" s="359"/>
      <c r="I1401" s="352"/>
      <c r="J1401" s="353"/>
      <c r="K1401" s="538"/>
      <c r="L1401" s="487"/>
      <c r="M1401" s="487"/>
      <c r="N1401" s="354"/>
      <c r="O1401" s="354"/>
      <c r="P1401" s="354"/>
      <c r="Q1401" s="354"/>
      <c r="R1401" s="354"/>
      <c r="S1401" s="354"/>
      <c r="T1401" s="354"/>
      <c r="U1401" s="354"/>
      <c r="V1401" s="354"/>
      <c r="W1401" s="354"/>
      <c r="X1401" s="354"/>
      <c r="Y1401" s="354"/>
      <c r="Z1401" s="353"/>
      <c r="AA1401" s="352"/>
      <c r="AB1401" s="726"/>
    </row>
    <row r="1402" spans="1:28" ht="16.5" customHeight="1">
      <c r="A1402" s="347"/>
      <c r="B1402" s="347"/>
      <c r="C1402" s="347"/>
      <c r="D1402" s="348"/>
      <c r="E1402" s="348"/>
      <c r="F1402" s="348"/>
      <c r="G1402" s="348"/>
      <c r="H1402" s="359"/>
      <c r="I1402" s="352"/>
      <c r="J1402" s="353"/>
      <c r="K1402" s="538"/>
      <c r="L1402" s="487"/>
      <c r="M1402" s="487"/>
      <c r="N1402" s="354"/>
      <c r="O1402" s="354"/>
      <c r="P1402" s="354"/>
      <c r="Q1402" s="354"/>
      <c r="R1402" s="354"/>
      <c r="S1402" s="354"/>
      <c r="T1402" s="354"/>
      <c r="U1402" s="354"/>
      <c r="V1402" s="354"/>
      <c r="W1402" s="354"/>
      <c r="X1402" s="354"/>
      <c r="Y1402" s="354"/>
      <c r="Z1402" s="353"/>
      <c r="AA1402" s="352"/>
      <c r="AB1402" s="726"/>
    </row>
    <row r="1403" spans="1:28" ht="16.5" customHeight="1">
      <c r="A1403" s="347"/>
      <c r="B1403" s="347"/>
      <c r="C1403" s="347"/>
      <c r="D1403" s="348"/>
      <c r="E1403" s="348"/>
      <c r="F1403" s="348"/>
      <c r="G1403" s="348"/>
      <c r="H1403" s="359"/>
      <c r="I1403" s="352"/>
      <c r="J1403" s="353"/>
      <c r="K1403" s="538"/>
      <c r="L1403" s="487"/>
      <c r="M1403" s="487"/>
      <c r="N1403" s="354"/>
      <c r="O1403" s="354"/>
      <c r="P1403" s="354"/>
      <c r="Q1403" s="354"/>
      <c r="R1403" s="354"/>
      <c r="S1403" s="354"/>
      <c r="T1403" s="354"/>
      <c r="U1403" s="354"/>
      <c r="V1403" s="354"/>
      <c r="W1403" s="354"/>
      <c r="X1403" s="354"/>
      <c r="Y1403" s="354"/>
      <c r="Z1403" s="353"/>
      <c r="AA1403" s="352"/>
      <c r="AB1403" s="726"/>
    </row>
    <row r="1404" spans="1:28" ht="16.5" customHeight="1">
      <c r="A1404" s="347"/>
      <c r="B1404" s="347"/>
      <c r="C1404" s="347"/>
      <c r="D1404" s="348"/>
      <c r="E1404" s="348"/>
      <c r="F1404" s="348"/>
      <c r="G1404" s="348"/>
      <c r="H1404" s="359"/>
      <c r="I1404" s="352"/>
      <c r="J1404" s="353"/>
      <c r="K1404" s="538"/>
      <c r="L1404" s="487"/>
      <c r="M1404" s="487"/>
      <c r="N1404" s="354"/>
      <c r="O1404" s="354"/>
      <c r="P1404" s="354"/>
      <c r="Q1404" s="354"/>
      <c r="R1404" s="354"/>
      <c r="S1404" s="354"/>
      <c r="T1404" s="354"/>
      <c r="U1404" s="354"/>
      <c r="V1404" s="354"/>
      <c r="W1404" s="354"/>
      <c r="X1404" s="354"/>
      <c r="Y1404" s="354"/>
      <c r="Z1404" s="353"/>
      <c r="AA1404" s="352"/>
      <c r="AB1404" s="726"/>
    </row>
    <row r="1405" spans="1:28" ht="16.5" customHeight="1">
      <c r="A1405" s="347"/>
      <c r="B1405" s="347"/>
      <c r="C1405" s="347"/>
      <c r="D1405" s="348"/>
      <c r="E1405" s="348"/>
      <c r="F1405" s="348"/>
      <c r="G1405" s="348"/>
      <c r="H1405" s="359"/>
      <c r="I1405" s="352"/>
      <c r="J1405" s="353"/>
      <c r="K1405" s="538"/>
      <c r="L1405" s="487"/>
      <c r="M1405" s="487"/>
      <c r="N1405" s="354"/>
      <c r="O1405" s="354"/>
      <c r="P1405" s="354"/>
      <c r="Q1405" s="354"/>
      <c r="R1405" s="354"/>
      <c r="S1405" s="354"/>
      <c r="T1405" s="354"/>
      <c r="U1405" s="354"/>
      <c r="V1405" s="354"/>
      <c r="W1405" s="354"/>
      <c r="X1405" s="354"/>
      <c r="Y1405" s="354"/>
      <c r="Z1405" s="353"/>
      <c r="AA1405" s="352"/>
      <c r="AB1405" s="726"/>
    </row>
    <row r="1406" spans="1:28" ht="16.5" customHeight="1">
      <c r="A1406" s="347"/>
      <c r="B1406" s="347"/>
      <c r="C1406" s="347"/>
      <c r="D1406" s="348"/>
      <c r="E1406" s="348"/>
      <c r="F1406" s="348"/>
      <c r="G1406" s="348"/>
      <c r="H1406" s="359"/>
      <c r="I1406" s="352"/>
      <c r="J1406" s="353"/>
      <c r="K1406" s="538"/>
      <c r="L1406" s="487"/>
      <c r="M1406" s="487"/>
      <c r="N1406" s="354"/>
      <c r="O1406" s="354"/>
      <c r="P1406" s="354"/>
      <c r="Q1406" s="354"/>
      <c r="R1406" s="354"/>
      <c r="S1406" s="354"/>
      <c r="T1406" s="354"/>
      <c r="U1406" s="354"/>
      <c r="V1406" s="354"/>
      <c r="W1406" s="354"/>
      <c r="X1406" s="354"/>
      <c r="Y1406" s="354"/>
      <c r="Z1406" s="353"/>
      <c r="AA1406" s="352"/>
      <c r="AB1406" s="726"/>
    </row>
    <row r="1407" spans="1:28" ht="16.5" customHeight="1">
      <c r="A1407" s="347"/>
      <c r="B1407" s="347"/>
      <c r="C1407" s="347"/>
      <c r="D1407" s="348"/>
      <c r="E1407" s="348"/>
      <c r="F1407" s="348"/>
      <c r="G1407" s="348"/>
      <c r="H1407" s="359"/>
      <c r="I1407" s="352"/>
      <c r="J1407" s="353"/>
      <c r="K1407" s="538"/>
      <c r="L1407" s="487"/>
      <c r="M1407" s="487"/>
      <c r="N1407" s="354"/>
      <c r="O1407" s="354"/>
      <c r="P1407" s="354"/>
      <c r="Q1407" s="354"/>
      <c r="R1407" s="354"/>
      <c r="S1407" s="354"/>
      <c r="T1407" s="354"/>
      <c r="U1407" s="354"/>
      <c r="V1407" s="354"/>
      <c r="W1407" s="354"/>
      <c r="X1407" s="354"/>
      <c r="Y1407" s="354"/>
      <c r="Z1407" s="353"/>
      <c r="AA1407" s="352"/>
      <c r="AB1407" s="726"/>
    </row>
    <row r="1408" spans="1:28" ht="16.5" customHeight="1">
      <c r="A1408" s="347"/>
      <c r="B1408" s="347"/>
      <c r="C1408" s="347"/>
      <c r="D1408" s="348"/>
      <c r="E1408" s="348"/>
      <c r="F1408" s="348"/>
      <c r="G1408" s="348"/>
      <c r="H1408" s="359"/>
      <c r="I1408" s="352"/>
      <c r="J1408" s="353"/>
      <c r="K1408" s="538"/>
      <c r="L1408" s="487"/>
      <c r="M1408" s="487"/>
      <c r="N1408" s="354"/>
      <c r="O1408" s="354"/>
      <c r="P1408" s="354"/>
      <c r="Q1408" s="354"/>
      <c r="R1408" s="354"/>
      <c r="S1408" s="354"/>
      <c r="T1408" s="354"/>
      <c r="U1408" s="354"/>
      <c r="V1408" s="354"/>
      <c r="W1408" s="354"/>
      <c r="X1408" s="354"/>
      <c r="Y1408" s="354"/>
      <c r="Z1408" s="353"/>
      <c r="AA1408" s="352"/>
      <c r="AB1408" s="726"/>
    </row>
    <row r="1409" spans="1:28" ht="16.5" customHeight="1">
      <c r="A1409" s="347"/>
      <c r="B1409" s="347"/>
      <c r="C1409" s="347"/>
      <c r="D1409" s="348"/>
      <c r="E1409" s="348"/>
      <c r="F1409" s="348"/>
      <c r="G1409" s="348"/>
      <c r="H1409" s="359"/>
      <c r="I1409" s="352"/>
      <c r="J1409" s="353"/>
      <c r="K1409" s="538"/>
      <c r="L1409" s="487"/>
      <c r="M1409" s="487"/>
      <c r="N1409" s="354"/>
      <c r="O1409" s="354"/>
      <c r="P1409" s="354"/>
      <c r="Q1409" s="354"/>
      <c r="R1409" s="354"/>
      <c r="S1409" s="354"/>
      <c r="T1409" s="354"/>
      <c r="U1409" s="354"/>
      <c r="V1409" s="354"/>
      <c r="W1409" s="354"/>
      <c r="X1409" s="354"/>
      <c r="Y1409" s="354"/>
      <c r="Z1409" s="353"/>
      <c r="AA1409" s="352"/>
      <c r="AB1409" s="726"/>
    </row>
    <row r="1410" spans="1:28" ht="16.5" customHeight="1">
      <c r="A1410" s="347"/>
      <c r="B1410" s="347"/>
      <c r="C1410" s="347"/>
      <c r="D1410" s="348"/>
      <c r="E1410" s="348"/>
      <c r="F1410" s="348"/>
      <c r="G1410" s="348"/>
      <c r="H1410" s="359"/>
      <c r="I1410" s="352"/>
      <c r="J1410" s="353"/>
      <c r="K1410" s="538"/>
      <c r="L1410" s="487"/>
      <c r="M1410" s="487"/>
      <c r="N1410" s="354"/>
      <c r="O1410" s="354"/>
      <c r="P1410" s="354"/>
      <c r="Q1410" s="354"/>
      <c r="R1410" s="354"/>
      <c r="S1410" s="354"/>
      <c r="T1410" s="354"/>
      <c r="U1410" s="354"/>
      <c r="V1410" s="354"/>
      <c r="W1410" s="354"/>
      <c r="X1410" s="354"/>
      <c r="Y1410" s="354"/>
      <c r="Z1410" s="353"/>
      <c r="AA1410" s="352"/>
      <c r="AB1410" s="726"/>
    </row>
    <row r="1411" spans="1:28" ht="16.5" customHeight="1">
      <c r="A1411" s="347"/>
      <c r="B1411" s="347"/>
      <c r="C1411" s="347"/>
      <c r="D1411" s="348"/>
      <c r="E1411" s="348"/>
      <c r="F1411" s="348"/>
      <c r="G1411" s="348"/>
      <c r="H1411" s="359"/>
      <c r="I1411" s="352"/>
      <c r="J1411" s="353"/>
      <c r="K1411" s="538"/>
      <c r="L1411" s="487"/>
      <c r="M1411" s="487"/>
      <c r="N1411" s="354"/>
      <c r="O1411" s="354"/>
      <c r="P1411" s="354"/>
      <c r="Q1411" s="354"/>
      <c r="R1411" s="354"/>
      <c r="S1411" s="354"/>
      <c r="T1411" s="354"/>
      <c r="U1411" s="354"/>
      <c r="V1411" s="354"/>
      <c r="W1411" s="354"/>
      <c r="X1411" s="354"/>
      <c r="Y1411" s="354"/>
      <c r="Z1411" s="353"/>
      <c r="AA1411" s="352"/>
      <c r="AB1411" s="726"/>
    </row>
    <row r="1412" spans="1:28" ht="16.5" customHeight="1">
      <c r="A1412" s="347"/>
      <c r="B1412" s="347"/>
      <c r="C1412" s="347"/>
      <c r="D1412" s="348"/>
      <c r="E1412" s="348"/>
      <c r="F1412" s="348"/>
      <c r="G1412" s="348"/>
      <c r="H1412" s="359"/>
      <c r="I1412" s="352"/>
      <c r="J1412" s="353"/>
      <c r="K1412" s="538"/>
      <c r="L1412" s="487"/>
      <c r="M1412" s="487"/>
      <c r="N1412" s="354"/>
      <c r="O1412" s="354"/>
      <c r="P1412" s="354"/>
      <c r="Q1412" s="354"/>
      <c r="R1412" s="354"/>
      <c r="S1412" s="354"/>
      <c r="T1412" s="354"/>
      <c r="U1412" s="354"/>
      <c r="V1412" s="354"/>
      <c r="W1412" s="354"/>
      <c r="X1412" s="354"/>
      <c r="Y1412" s="354"/>
      <c r="Z1412" s="353"/>
      <c r="AA1412" s="352"/>
      <c r="AB1412" s="726"/>
    </row>
    <row r="1413" spans="1:28" ht="16.5" customHeight="1">
      <c r="A1413" s="347"/>
      <c r="B1413" s="347"/>
      <c r="C1413" s="347"/>
      <c r="D1413" s="348"/>
      <c r="E1413" s="348"/>
      <c r="F1413" s="348"/>
      <c r="G1413" s="348"/>
      <c r="H1413" s="359"/>
      <c r="I1413" s="352"/>
      <c r="J1413" s="353"/>
      <c r="K1413" s="538"/>
      <c r="L1413" s="487"/>
      <c r="M1413" s="487"/>
      <c r="N1413" s="354"/>
      <c r="O1413" s="354"/>
      <c r="P1413" s="354"/>
      <c r="Q1413" s="354"/>
      <c r="R1413" s="354"/>
      <c r="S1413" s="354"/>
      <c r="T1413" s="354"/>
      <c r="U1413" s="354"/>
      <c r="V1413" s="354"/>
      <c r="W1413" s="354"/>
      <c r="X1413" s="354"/>
      <c r="Y1413" s="354"/>
      <c r="Z1413" s="353"/>
      <c r="AA1413" s="352"/>
      <c r="AB1413" s="726"/>
    </row>
    <row r="1414" spans="1:28" ht="16.5" customHeight="1">
      <c r="A1414" s="347"/>
      <c r="B1414" s="347"/>
      <c r="C1414" s="347"/>
      <c r="D1414" s="348"/>
      <c r="E1414" s="348"/>
      <c r="F1414" s="348"/>
      <c r="G1414" s="348"/>
      <c r="H1414" s="359"/>
      <c r="I1414" s="352"/>
      <c r="J1414" s="353"/>
      <c r="K1414" s="538"/>
      <c r="L1414" s="487"/>
      <c r="M1414" s="487"/>
      <c r="N1414" s="354"/>
      <c r="O1414" s="354"/>
      <c r="P1414" s="354"/>
      <c r="Q1414" s="354"/>
      <c r="R1414" s="354"/>
      <c r="S1414" s="354"/>
      <c r="T1414" s="354"/>
      <c r="U1414" s="354"/>
      <c r="V1414" s="354"/>
      <c r="W1414" s="354"/>
      <c r="X1414" s="354"/>
      <c r="Y1414" s="354"/>
      <c r="Z1414" s="353"/>
      <c r="AA1414" s="352"/>
      <c r="AB1414" s="726"/>
    </row>
    <row r="1415" spans="1:28" ht="16.5" customHeight="1">
      <c r="A1415" s="347"/>
      <c r="B1415" s="347"/>
      <c r="C1415" s="347"/>
      <c r="D1415" s="348"/>
      <c r="E1415" s="348"/>
      <c r="F1415" s="348"/>
      <c r="G1415" s="348"/>
      <c r="H1415" s="359"/>
      <c r="I1415" s="352"/>
      <c r="J1415" s="353"/>
      <c r="K1415" s="538"/>
      <c r="L1415" s="487"/>
      <c r="M1415" s="487"/>
      <c r="N1415" s="354"/>
      <c r="O1415" s="354"/>
      <c r="P1415" s="354"/>
      <c r="Q1415" s="354"/>
      <c r="R1415" s="354"/>
      <c r="S1415" s="354"/>
      <c r="T1415" s="354"/>
      <c r="U1415" s="354"/>
      <c r="V1415" s="354"/>
      <c r="W1415" s="354"/>
      <c r="X1415" s="354"/>
      <c r="Y1415" s="354"/>
      <c r="Z1415" s="353"/>
      <c r="AA1415" s="352"/>
      <c r="AB1415" s="726"/>
    </row>
    <row r="1416" spans="1:28" ht="16.5" customHeight="1">
      <c r="A1416" s="347"/>
      <c r="B1416" s="347"/>
      <c r="C1416" s="347"/>
      <c r="D1416" s="348"/>
      <c r="E1416" s="348"/>
      <c r="F1416" s="348"/>
      <c r="G1416" s="348"/>
      <c r="H1416" s="359"/>
      <c r="I1416" s="352"/>
      <c r="J1416" s="353"/>
      <c r="K1416" s="538"/>
      <c r="L1416" s="487"/>
      <c r="M1416" s="487"/>
      <c r="N1416" s="354"/>
      <c r="O1416" s="354"/>
      <c r="P1416" s="354"/>
      <c r="Q1416" s="354"/>
      <c r="R1416" s="354"/>
      <c r="S1416" s="354"/>
      <c r="T1416" s="354"/>
      <c r="U1416" s="354"/>
      <c r="V1416" s="354"/>
      <c r="W1416" s="354"/>
      <c r="X1416" s="354"/>
      <c r="Y1416" s="354"/>
      <c r="Z1416" s="353"/>
      <c r="AA1416" s="352"/>
      <c r="AB1416" s="726"/>
    </row>
    <row r="1417" spans="1:28" ht="16.5" customHeight="1">
      <c r="A1417" s="347"/>
      <c r="B1417" s="347"/>
      <c r="C1417" s="347"/>
      <c r="D1417" s="348"/>
      <c r="E1417" s="348"/>
      <c r="F1417" s="348"/>
      <c r="G1417" s="348"/>
      <c r="H1417" s="359"/>
      <c r="I1417" s="352"/>
      <c r="J1417" s="353"/>
      <c r="K1417" s="538"/>
      <c r="L1417" s="487"/>
      <c r="M1417" s="487"/>
      <c r="N1417" s="354"/>
      <c r="O1417" s="354"/>
      <c r="P1417" s="354"/>
      <c r="Q1417" s="354"/>
      <c r="R1417" s="354"/>
      <c r="S1417" s="354"/>
      <c r="T1417" s="354"/>
      <c r="U1417" s="354"/>
      <c r="V1417" s="354"/>
      <c r="W1417" s="354"/>
      <c r="X1417" s="354"/>
      <c r="Y1417" s="354"/>
      <c r="Z1417" s="353"/>
      <c r="AA1417" s="352"/>
      <c r="AB1417" s="726"/>
    </row>
    <row r="1418" spans="1:28" ht="16.5" customHeight="1">
      <c r="A1418" s="347"/>
      <c r="B1418" s="347"/>
      <c r="C1418" s="347"/>
      <c r="D1418" s="348"/>
      <c r="E1418" s="348"/>
      <c r="F1418" s="348"/>
      <c r="G1418" s="348"/>
      <c r="H1418" s="359"/>
      <c r="I1418" s="352"/>
      <c r="J1418" s="353"/>
      <c r="K1418" s="538"/>
      <c r="L1418" s="487"/>
      <c r="M1418" s="487"/>
      <c r="N1418" s="354"/>
      <c r="O1418" s="354"/>
      <c r="P1418" s="354"/>
      <c r="Q1418" s="354"/>
      <c r="R1418" s="354"/>
      <c r="S1418" s="354"/>
      <c r="T1418" s="354"/>
      <c r="U1418" s="354"/>
      <c r="V1418" s="354"/>
      <c r="W1418" s="354"/>
      <c r="X1418" s="354"/>
      <c r="Y1418" s="354"/>
      <c r="Z1418" s="353"/>
      <c r="AA1418" s="352"/>
      <c r="AB1418" s="726"/>
    </row>
    <row r="1419" spans="1:28" ht="16.5" customHeight="1">
      <c r="A1419" s="347"/>
      <c r="B1419" s="347"/>
      <c r="C1419" s="347"/>
      <c r="D1419" s="348"/>
      <c r="E1419" s="348"/>
      <c r="F1419" s="348"/>
      <c r="G1419" s="348"/>
      <c r="H1419" s="359"/>
      <c r="I1419" s="352"/>
      <c r="J1419" s="353"/>
      <c r="K1419" s="538"/>
      <c r="L1419" s="487"/>
      <c r="M1419" s="487"/>
      <c r="N1419" s="354"/>
      <c r="O1419" s="354"/>
      <c r="P1419" s="354"/>
      <c r="Q1419" s="354"/>
      <c r="R1419" s="354"/>
      <c r="S1419" s="354"/>
      <c r="T1419" s="354"/>
      <c r="U1419" s="354"/>
      <c r="V1419" s="354"/>
      <c r="W1419" s="354"/>
      <c r="X1419" s="354"/>
      <c r="Y1419" s="354"/>
      <c r="Z1419" s="353"/>
      <c r="AA1419" s="352"/>
      <c r="AB1419" s="726"/>
    </row>
    <row r="1420" spans="1:28" ht="16.5" customHeight="1">
      <c r="A1420" s="347"/>
      <c r="B1420" s="347"/>
      <c r="C1420" s="347"/>
      <c r="D1420" s="361"/>
      <c r="E1420" s="361"/>
      <c r="F1420" s="361"/>
      <c r="G1420" s="348"/>
      <c r="H1420" s="359"/>
      <c r="I1420" s="352"/>
      <c r="J1420" s="353"/>
      <c r="K1420" s="538"/>
      <c r="L1420" s="487"/>
      <c r="M1420" s="487"/>
      <c r="N1420" s="354"/>
      <c r="O1420" s="354"/>
      <c r="P1420" s="354"/>
      <c r="Q1420" s="354"/>
      <c r="R1420" s="354"/>
      <c r="S1420" s="354"/>
      <c r="T1420" s="354"/>
      <c r="U1420" s="354"/>
      <c r="V1420" s="354"/>
      <c r="W1420" s="354"/>
      <c r="X1420" s="354"/>
      <c r="Y1420" s="354"/>
      <c r="Z1420" s="353"/>
      <c r="AA1420" s="352"/>
      <c r="AB1420" s="726"/>
    </row>
    <row r="1421" spans="1:28" ht="16.5" customHeight="1">
      <c r="A1421" s="347"/>
      <c r="B1421" s="347"/>
      <c r="C1421" s="347"/>
      <c r="D1421" s="348"/>
      <c r="E1421" s="348"/>
      <c r="F1421" s="348"/>
      <c r="G1421" s="348"/>
      <c r="H1421" s="359"/>
      <c r="I1421" s="352"/>
      <c r="J1421" s="353"/>
      <c r="K1421" s="538"/>
      <c r="L1421" s="487"/>
      <c r="M1421" s="487"/>
      <c r="N1421" s="354"/>
      <c r="O1421" s="354"/>
      <c r="P1421" s="354"/>
      <c r="Q1421" s="354"/>
      <c r="R1421" s="354"/>
      <c r="S1421" s="354"/>
      <c r="T1421" s="354"/>
      <c r="U1421" s="354"/>
      <c r="V1421" s="354"/>
      <c r="W1421" s="354"/>
      <c r="X1421" s="354"/>
      <c r="Y1421" s="354"/>
      <c r="Z1421" s="353"/>
      <c r="AA1421" s="352"/>
      <c r="AB1421" s="726"/>
    </row>
    <row r="1422" spans="1:28" ht="16.5" customHeight="1">
      <c r="A1422" s="347"/>
      <c r="B1422" s="347"/>
      <c r="C1422" s="347"/>
      <c r="D1422" s="348"/>
      <c r="E1422" s="348"/>
      <c r="F1422" s="348"/>
      <c r="G1422" s="348"/>
      <c r="H1422" s="359"/>
      <c r="I1422" s="352"/>
      <c r="J1422" s="353"/>
      <c r="K1422" s="538"/>
      <c r="L1422" s="487"/>
      <c r="M1422" s="487"/>
      <c r="N1422" s="354"/>
      <c r="O1422" s="354"/>
      <c r="P1422" s="354"/>
      <c r="Q1422" s="354"/>
      <c r="R1422" s="354"/>
      <c r="S1422" s="354"/>
      <c r="T1422" s="354"/>
      <c r="U1422" s="354"/>
      <c r="V1422" s="354"/>
      <c r="W1422" s="354"/>
      <c r="X1422" s="354"/>
      <c r="Y1422" s="354"/>
      <c r="Z1422" s="353"/>
      <c r="AA1422" s="352"/>
      <c r="AB1422" s="726"/>
    </row>
    <row r="1423" spans="1:28" ht="16.5" customHeight="1">
      <c r="A1423" s="347"/>
      <c r="B1423" s="347"/>
      <c r="C1423" s="347"/>
      <c r="D1423" s="348"/>
      <c r="E1423" s="348"/>
      <c r="F1423" s="348"/>
      <c r="G1423" s="348"/>
      <c r="H1423" s="359"/>
      <c r="I1423" s="352"/>
      <c r="J1423" s="353"/>
      <c r="K1423" s="538"/>
      <c r="L1423" s="487"/>
      <c r="M1423" s="487"/>
      <c r="N1423" s="354"/>
      <c r="O1423" s="354"/>
      <c r="P1423" s="354"/>
      <c r="Q1423" s="354"/>
      <c r="R1423" s="354"/>
      <c r="S1423" s="354"/>
      <c r="T1423" s="354"/>
      <c r="U1423" s="354"/>
      <c r="V1423" s="354"/>
      <c r="W1423" s="354"/>
      <c r="X1423" s="354"/>
      <c r="Y1423" s="354"/>
      <c r="Z1423" s="353"/>
      <c r="AA1423" s="352"/>
      <c r="AB1423" s="726"/>
    </row>
    <row r="1424" spans="1:28" ht="16.5" customHeight="1">
      <c r="A1424" s="347"/>
      <c r="B1424" s="347"/>
      <c r="C1424" s="347"/>
      <c r="D1424" s="361"/>
      <c r="E1424" s="361"/>
      <c r="F1424" s="361"/>
      <c r="G1424" s="348"/>
      <c r="H1424" s="359"/>
      <c r="I1424" s="352"/>
      <c r="J1424" s="353"/>
      <c r="K1424" s="538"/>
      <c r="L1424" s="487"/>
      <c r="M1424" s="487"/>
      <c r="N1424" s="354"/>
      <c r="O1424" s="354"/>
      <c r="P1424" s="354"/>
      <c r="Q1424" s="354"/>
      <c r="R1424" s="354"/>
      <c r="S1424" s="354"/>
      <c r="T1424" s="354"/>
      <c r="U1424" s="354"/>
      <c r="V1424" s="354"/>
      <c r="W1424" s="354"/>
      <c r="X1424" s="354"/>
      <c r="Y1424" s="354"/>
      <c r="Z1424" s="353"/>
      <c r="AA1424" s="352"/>
      <c r="AB1424" s="726"/>
    </row>
    <row r="1425" spans="1:28" ht="16.5" customHeight="1">
      <c r="A1425" s="347"/>
      <c r="B1425" s="347"/>
      <c r="C1425" s="347"/>
      <c r="D1425" s="348"/>
      <c r="E1425" s="348"/>
      <c r="F1425" s="348"/>
      <c r="G1425" s="348"/>
      <c r="H1425" s="359"/>
      <c r="I1425" s="352"/>
      <c r="J1425" s="353"/>
      <c r="K1425" s="538"/>
      <c r="L1425" s="487"/>
      <c r="M1425" s="487"/>
      <c r="N1425" s="354"/>
      <c r="O1425" s="354"/>
      <c r="P1425" s="354"/>
      <c r="Q1425" s="354"/>
      <c r="R1425" s="354"/>
      <c r="S1425" s="354"/>
      <c r="T1425" s="354"/>
      <c r="U1425" s="354"/>
      <c r="V1425" s="354"/>
      <c r="W1425" s="354"/>
      <c r="X1425" s="354"/>
      <c r="Y1425" s="354"/>
      <c r="Z1425" s="353"/>
      <c r="AA1425" s="352"/>
      <c r="AB1425" s="726"/>
    </row>
    <row r="1426" spans="1:28" ht="16.5" customHeight="1">
      <c r="A1426" s="347"/>
      <c r="B1426" s="347"/>
      <c r="C1426" s="347"/>
      <c r="D1426" s="348"/>
      <c r="E1426" s="348"/>
      <c r="F1426" s="348"/>
      <c r="G1426" s="348"/>
      <c r="H1426" s="359"/>
      <c r="I1426" s="352"/>
      <c r="J1426" s="353"/>
      <c r="K1426" s="538"/>
      <c r="L1426" s="487"/>
      <c r="M1426" s="487"/>
      <c r="N1426" s="354"/>
      <c r="O1426" s="354"/>
      <c r="P1426" s="354"/>
      <c r="Q1426" s="354"/>
      <c r="R1426" s="354"/>
      <c r="S1426" s="354"/>
      <c r="T1426" s="354"/>
      <c r="U1426" s="354"/>
      <c r="V1426" s="354"/>
      <c r="W1426" s="354"/>
      <c r="X1426" s="354"/>
      <c r="Y1426" s="354"/>
      <c r="Z1426" s="353"/>
      <c r="AA1426" s="352"/>
      <c r="AB1426" s="726"/>
    </row>
    <row r="1427" spans="1:28" ht="16.5" customHeight="1">
      <c r="A1427" s="347"/>
      <c r="B1427" s="347"/>
      <c r="C1427" s="347"/>
      <c r="D1427" s="348"/>
      <c r="E1427" s="348"/>
      <c r="F1427" s="348"/>
      <c r="G1427" s="348"/>
      <c r="H1427" s="359"/>
      <c r="I1427" s="352"/>
      <c r="J1427" s="353"/>
      <c r="K1427" s="538"/>
      <c r="L1427" s="487"/>
      <c r="M1427" s="487"/>
      <c r="N1427" s="354"/>
      <c r="O1427" s="354"/>
      <c r="P1427" s="354"/>
      <c r="Q1427" s="354"/>
      <c r="R1427" s="354"/>
      <c r="S1427" s="354"/>
      <c r="T1427" s="354"/>
      <c r="U1427" s="354"/>
      <c r="V1427" s="354"/>
      <c r="W1427" s="354"/>
      <c r="X1427" s="354"/>
      <c r="Y1427" s="354"/>
      <c r="Z1427" s="353"/>
      <c r="AA1427" s="352"/>
      <c r="AB1427" s="726"/>
    </row>
    <row r="1428" spans="1:28" ht="16.5" customHeight="1">
      <c r="A1428" s="347"/>
      <c r="B1428" s="347"/>
      <c r="C1428" s="347"/>
      <c r="D1428" s="348"/>
      <c r="E1428" s="348"/>
      <c r="F1428" s="348"/>
      <c r="G1428" s="348"/>
      <c r="H1428" s="359"/>
      <c r="I1428" s="352"/>
      <c r="J1428" s="353"/>
      <c r="K1428" s="538"/>
      <c r="L1428" s="487"/>
      <c r="M1428" s="487"/>
      <c r="N1428" s="354"/>
      <c r="O1428" s="354"/>
      <c r="P1428" s="354"/>
      <c r="Q1428" s="354"/>
      <c r="R1428" s="354"/>
      <c r="S1428" s="354"/>
      <c r="T1428" s="354"/>
      <c r="U1428" s="354"/>
      <c r="V1428" s="354"/>
      <c r="W1428" s="354"/>
      <c r="X1428" s="354"/>
      <c r="Y1428" s="354"/>
      <c r="Z1428" s="353"/>
      <c r="AA1428" s="352"/>
      <c r="AB1428" s="726"/>
    </row>
    <row r="1429" spans="1:28" ht="16.5" customHeight="1">
      <c r="A1429" s="347"/>
      <c r="B1429" s="347"/>
      <c r="C1429" s="347"/>
      <c r="D1429" s="361"/>
      <c r="E1429" s="361"/>
      <c r="F1429" s="361"/>
      <c r="G1429" s="348"/>
      <c r="H1429" s="359"/>
      <c r="I1429" s="352"/>
      <c r="J1429" s="353"/>
      <c r="K1429" s="538"/>
      <c r="L1429" s="487"/>
      <c r="M1429" s="487"/>
      <c r="N1429" s="354"/>
      <c r="O1429" s="354"/>
      <c r="P1429" s="354"/>
      <c r="Q1429" s="354"/>
      <c r="R1429" s="354"/>
      <c r="S1429" s="354"/>
      <c r="T1429" s="354"/>
      <c r="U1429" s="354"/>
      <c r="V1429" s="354"/>
      <c r="W1429" s="354"/>
      <c r="X1429" s="354"/>
      <c r="Y1429" s="354"/>
      <c r="Z1429" s="353"/>
      <c r="AA1429" s="352"/>
      <c r="AB1429" s="726"/>
    </row>
    <row r="1430" spans="1:28" ht="16.5" customHeight="1">
      <c r="A1430" s="347"/>
      <c r="B1430" s="347"/>
      <c r="C1430" s="347"/>
      <c r="D1430" s="348"/>
      <c r="E1430" s="348"/>
      <c r="F1430" s="348"/>
      <c r="G1430" s="348"/>
      <c r="H1430" s="359"/>
      <c r="I1430" s="352"/>
      <c r="J1430" s="353"/>
      <c r="K1430" s="538"/>
      <c r="L1430" s="487"/>
      <c r="M1430" s="487"/>
      <c r="N1430" s="354"/>
      <c r="O1430" s="354"/>
      <c r="P1430" s="354"/>
      <c r="Q1430" s="354"/>
      <c r="R1430" s="354"/>
      <c r="S1430" s="354"/>
      <c r="T1430" s="354"/>
      <c r="U1430" s="354"/>
      <c r="V1430" s="354"/>
      <c r="W1430" s="354"/>
      <c r="X1430" s="354"/>
      <c r="Y1430" s="354"/>
      <c r="Z1430" s="353"/>
      <c r="AA1430" s="352"/>
      <c r="AB1430" s="726"/>
    </row>
    <row r="1431" spans="1:28" ht="16.5" customHeight="1">
      <c r="A1431" s="347"/>
      <c r="B1431" s="347"/>
      <c r="C1431" s="347"/>
      <c r="D1431" s="348"/>
      <c r="E1431" s="348"/>
      <c r="F1431" s="348"/>
      <c r="G1431" s="348"/>
      <c r="H1431" s="359"/>
      <c r="I1431" s="352"/>
      <c r="J1431" s="353"/>
      <c r="K1431" s="538"/>
      <c r="L1431" s="487"/>
      <c r="M1431" s="487"/>
      <c r="N1431" s="354"/>
      <c r="O1431" s="354"/>
      <c r="P1431" s="354"/>
      <c r="Q1431" s="354"/>
      <c r="R1431" s="354"/>
      <c r="S1431" s="354"/>
      <c r="T1431" s="354"/>
      <c r="U1431" s="354"/>
      <c r="V1431" s="354"/>
      <c r="W1431" s="354"/>
      <c r="X1431" s="354"/>
      <c r="Y1431" s="354"/>
      <c r="Z1431" s="353"/>
      <c r="AA1431" s="352"/>
      <c r="AB1431" s="726"/>
    </row>
    <row r="1432" spans="1:28" ht="16.5" customHeight="1">
      <c r="A1432" s="347"/>
      <c r="B1432" s="347"/>
      <c r="C1432" s="347"/>
      <c r="D1432" s="348"/>
      <c r="E1432" s="348"/>
      <c r="F1432" s="348"/>
      <c r="G1432" s="348"/>
      <c r="H1432" s="359"/>
      <c r="I1432" s="352"/>
      <c r="J1432" s="353"/>
      <c r="K1432" s="538"/>
      <c r="L1432" s="487"/>
      <c r="M1432" s="487"/>
      <c r="N1432" s="354"/>
      <c r="O1432" s="354"/>
      <c r="P1432" s="354"/>
      <c r="Q1432" s="354"/>
      <c r="R1432" s="354"/>
      <c r="S1432" s="354"/>
      <c r="T1432" s="354"/>
      <c r="U1432" s="354"/>
      <c r="V1432" s="354"/>
      <c r="W1432" s="354"/>
      <c r="X1432" s="354"/>
      <c r="Y1432" s="354"/>
      <c r="Z1432" s="353"/>
      <c r="AA1432" s="352"/>
      <c r="AB1432" s="726"/>
    </row>
    <row r="1433" spans="1:28" ht="16.5" customHeight="1">
      <c r="A1433" s="347"/>
      <c r="B1433" s="347"/>
      <c r="C1433" s="347"/>
      <c r="D1433" s="348"/>
      <c r="E1433" s="348"/>
      <c r="F1433" s="348"/>
      <c r="G1433" s="348"/>
      <c r="H1433" s="359"/>
      <c r="I1433" s="352"/>
      <c r="J1433" s="353"/>
      <c r="K1433" s="538"/>
      <c r="L1433" s="487"/>
      <c r="M1433" s="487"/>
      <c r="N1433" s="354"/>
      <c r="O1433" s="354"/>
      <c r="P1433" s="354"/>
      <c r="Q1433" s="354"/>
      <c r="R1433" s="354"/>
      <c r="S1433" s="354"/>
      <c r="T1433" s="354"/>
      <c r="U1433" s="354"/>
      <c r="V1433" s="354"/>
      <c r="W1433" s="354"/>
      <c r="X1433" s="354"/>
      <c r="Y1433" s="354"/>
      <c r="Z1433" s="353"/>
      <c r="AA1433" s="352"/>
      <c r="AB1433" s="726"/>
    </row>
    <row r="1434" spans="1:28" ht="16.5" customHeight="1">
      <c r="A1434" s="347"/>
      <c r="B1434" s="347"/>
      <c r="C1434" s="347"/>
      <c r="D1434" s="348"/>
      <c r="E1434" s="348"/>
      <c r="F1434" s="348"/>
      <c r="G1434" s="348"/>
      <c r="H1434" s="359"/>
      <c r="I1434" s="352"/>
      <c r="J1434" s="353"/>
      <c r="K1434" s="538"/>
      <c r="L1434" s="487"/>
      <c r="M1434" s="487"/>
      <c r="N1434" s="354"/>
      <c r="O1434" s="354"/>
      <c r="P1434" s="354"/>
      <c r="Q1434" s="354"/>
      <c r="R1434" s="354"/>
      <c r="S1434" s="354"/>
      <c r="T1434" s="354"/>
      <c r="U1434" s="354"/>
      <c r="V1434" s="354"/>
      <c r="W1434" s="354"/>
      <c r="X1434" s="354"/>
      <c r="Y1434" s="354"/>
      <c r="Z1434" s="353"/>
      <c r="AA1434" s="352"/>
      <c r="AB1434" s="726"/>
    </row>
    <row r="1435" spans="1:28" ht="16.5" customHeight="1">
      <c r="A1435" s="347"/>
      <c r="B1435" s="347"/>
      <c r="C1435" s="347"/>
      <c r="D1435" s="348"/>
      <c r="E1435" s="348"/>
      <c r="F1435" s="348"/>
      <c r="G1435" s="348"/>
      <c r="H1435" s="359"/>
      <c r="I1435" s="352"/>
      <c r="J1435" s="353"/>
      <c r="K1435" s="538"/>
      <c r="L1435" s="487"/>
      <c r="M1435" s="487"/>
      <c r="N1435" s="354"/>
      <c r="O1435" s="354"/>
      <c r="P1435" s="354"/>
      <c r="Q1435" s="354"/>
      <c r="R1435" s="354"/>
      <c r="S1435" s="354"/>
      <c r="T1435" s="354"/>
      <c r="U1435" s="354"/>
      <c r="V1435" s="354"/>
      <c r="W1435" s="354"/>
      <c r="X1435" s="354"/>
      <c r="Y1435" s="354"/>
      <c r="Z1435" s="353"/>
      <c r="AA1435" s="352"/>
      <c r="AB1435" s="726"/>
    </row>
    <row r="1436" spans="1:28" ht="16.5" customHeight="1">
      <c r="A1436" s="347"/>
      <c r="B1436" s="347"/>
      <c r="C1436" s="347"/>
      <c r="D1436" s="348"/>
      <c r="E1436" s="348"/>
      <c r="F1436" s="348"/>
      <c r="G1436" s="348"/>
      <c r="H1436" s="359"/>
      <c r="I1436" s="352"/>
      <c r="J1436" s="353"/>
      <c r="K1436" s="538"/>
      <c r="L1436" s="487"/>
      <c r="M1436" s="487"/>
      <c r="N1436" s="354"/>
      <c r="O1436" s="354"/>
      <c r="P1436" s="354"/>
      <c r="Q1436" s="354"/>
      <c r="R1436" s="354"/>
      <c r="S1436" s="354"/>
      <c r="T1436" s="354"/>
      <c r="U1436" s="354"/>
      <c r="V1436" s="354"/>
      <c r="W1436" s="354"/>
      <c r="X1436" s="354"/>
      <c r="Y1436" s="354"/>
      <c r="Z1436" s="353"/>
      <c r="AA1436" s="352"/>
      <c r="AB1436" s="726"/>
    </row>
    <row r="1437" spans="1:28" ht="16.5" customHeight="1">
      <c r="A1437" s="347"/>
      <c r="B1437" s="347"/>
      <c r="C1437" s="347"/>
      <c r="D1437" s="348"/>
      <c r="E1437" s="348"/>
      <c r="F1437" s="348"/>
      <c r="G1437" s="348"/>
      <c r="H1437" s="359"/>
      <c r="I1437" s="352"/>
      <c r="J1437" s="353"/>
      <c r="K1437" s="538"/>
      <c r="L1437" s="487"/>
      <c r="M1437" s="487"/>
      <c r="N1437" s="354"/>
      <c r="O1437" s="354"/>
      <c r="P1437" s="354"/>
      <c r="Q1437" s="354"/>
      <c r="R1437" s="354"/>
      <c r="S1437" s="354"/>
      <c r="T1437" s="354"/>
      <c r="U1437" s="354"/>
      <c r="V1437" s="354"/>
      <c r="W1437" s="354"/>
      <c r="X1437" s="354"/>
      <c r="Y1437" s="354"/>
      <c r="Z1437" s="353"/>
      <c r="AA1437" s="352"/>
      <c r="AB1437" s="726"/>
    </row>
    <row r="1438" spans="1:28" ht="16.5" customHeight="1">
      <c r="A1438" s="347"/>
      <c r="B1438" s="347"/>
      <c r="C1438" s="347"/>
      <c r="D1438" s="348"/>
      <c r="E1438" s="348"/>
      <c r="F1438" s="348"/>
      <c r="G1438" s="348"/>
      <c r="H1438" s="359"/>
      <c r="I1438" s="352"/>
      <c r="J1438" s="353"/>
      <c r="K1438" s="538"/>
      <c r="L1438" s="487"/>
      <c r="M1438" s="487"/>
      <c r="N1438" s="354"/>
      <c r="O1438" s="354"/>
      <c r="P1438" s="354"/>
      <c r="Q1438" s="354"/>
      <c r="R1438" s="354"/>
      <c r="S1438" s="354"/>
      <c r="T1438" s="354"/>
      <c r="U1438" s="354"/>
      <c r="V1438" s="354"/>
      <c r="W1438" s="354"/>
      <c r="X1438" s="354"/>
      <c r="Y1438" s="354"/>
      <c r="Z1438" s="353"/>
      <c r="AA1438" s="352"/>
      <c r="AB1438" s="726"/>
    </row>
    <row r="1439" spans="1:28" ht="16.5" customHeight="1">
      <c r="A1439" s="347"/>
      <c r="B1439" s="347"/>
      <c r="C1439" s="347"/>
      <c r="D1439" s="348"/>
      <c r="E1439" s="348"/>
      <c r="F1439" s="348"/>
      <c r="G1439" s="348"/>
      <c r="H1439" s="359"/>
      <c r="I1439" s="352"/>
      <c r="J1439" s="353"/>
      <c r="K1439" s="538"/>
      <c r="L1439" s="487"/>
      <c r="M1439" s="487"/>
      <c r="N1439" s="354"/>
      <c r="O1439" s="354"/>
      <c r="P1439" s="354"/>
      <c r="Q1439" s="354"/>
      <c r="R1439" s="354"/>
      <c r="S1439" s="354"/>
      <c r="T1439" s="354"/>
      <c r="U1439" s="354"/>
      <c r="V1439" s="354"/>
      <c r="W1439" s="354"/>
      <c r="X1439" s="354"/>
      <c r="Y1439" s="354"/>
      <c r="Z1439" s="353"/>
      <c r="AA1439" s="352"/>
      <c r="AB1439" s="726"/>
    </row>
    <row r="1440" spans="1:28" ht="16.5" customHeight="1">
      <c r="A1440" s="347"/>
      <c r="B1440" s="347"/>
      <c r="C1440" s="347"/>
      <c r="D1440" s="348"/>
      <c r="E1440" s="348"/>
      <c r="F1440" s="348"/>
      <c r="G1440" s="348"/>
      <c r="H1440" s="359"/>
      <c r="I1440" s="352"/>
      <c r="J1440" s="353"/>
      <c r="K1440" s="538"/>
      <c r="L1440" s="487"/>
      <c r="M1440" s="487"/>
      <c r="N1440" s="354"/>
      <c r="O1440" s="354"/>
      <c r="P1440" s="354"/>
      <c r="Q1440" s="354"/>
      <c r="R1440" s="354"/>
      <c r="S1440" s="354"/>
      <c r="T1440" s="354"/>
      <c r="U1440" s="354"/>
      <c r="V1440" s="354"/>
      <c r="W1440" s="354"/>
      <c r="X1440" s="354"/>
      <c r="Y1440" s="354"/>
      <c r="Z1440" s="353"/>
      <c r="AA1440" s="352"/>
      <c r="AB1440" s="726"/>
    </row>
    <row r="1441" spans="1:28" ht="16.5" customHeight="1">
      <c r="A1441" s="347"/>
      <c r="B1441" s="347"/>
      <c r="C1441" s="347"/>
      <c r="D1441" s="361"/>
      <c r="E1441" s="361"/>
      <c r="F1441" s="361"/>
      <c r="G1441" s="348"/>
      <c r="H1441" s="359"/>
      <c r="I1441" s="352"/>
      <c r="J1441" s="353"/>
      <c r="K1441" s="538"/>
      <c r="L1441" s="487"/>
      <c r="M1441" s="487"/>
      <c r="N1441" s="354"/>
      <c r="O1441" s="354"/>
      <c r="P1441" s="354"/>
      <c r="Q1441" s="354"/>
      <c r="R1441" s="354"/>
      <c r="S1441" s="354"/>
      <c r="T1441" s="354"/>
      <c r="U1441" s="354"/>
      <c r="V1441" s="354"/>
      <c r="W1441" s="354"/>
      <c r="X1441" s="354"/>
      <c r="Y1441" s="354"/>
      <c r="Z1441" s="353"/>
      <c r="AA1441" s="352"/>
      <c r="AB1441" s="726"/>
    </row>
    <row r="1442" spans="1:28" ht="16.5" customHeight="1">
      <c r="A1442" s="347"/>
      <c r="B1442" s="347"/>
      <c r="C1442" s="347"/>
      <c r="D1442" s="348"/>
      <c r="E1442" s="348"/>
      <c r="F1442" s="348"/>
      <c r="G1442" s="348"/>
      <c r="H1442" s="359"/>
      <c r="I1442" s="352"/>
      <c r="J1442" s="353"/>
      <c r="K1442" s="538"/>
      <c r="L1442" s="487"/>
      <c r="M1442" s="487"/>
      <c r="N1442" s="354"/>
      <c r="O1442" s="354"/>
      <c r="P1442" s="354"/>
      <c r="Q1442" s="354"/>
      <c r="R1442" s="354"/>
      <c r="S1442" s="354"/>
      <c r="T1442" s="354"/>
      <c r="U1442" s="354"/>
      <c r="V1442" s="354"/>
      <c r="W1442" s="354"/>
      <c r="X1442" s="354"/>
      <c r="Y1442" s="354"/>
      <c r="Z1442" s="353"/>
      <c r="AA1442" s="352"/>
      <c r="AB1442" s="726"/>
    </row>
    <row r="1443" spans="1:28" ht="16.5" customHeight="1">
      <c r="A1443" s="347"/>
      <c r="B1443" s="347"/>
      <c r="C1443" s="347"/>
      <c r="D1443" s="361"/>
      <c r="E1443" s="361"/>
      <c r="F1443" s="361"/>
      <c r="G1443" s="348"/>
      <c r="H1443" s="359"/>
      <c r="I1443" s="352"/>
      <c r="J1443" s="353"/>
      <c r="K1443" s="538"/>
      <c r="L1443" s="487"/>
      <c r="M1443" s="487"/>
      <c r="N1443" s="354"/>
      <c r="O1443" s="354"/>
      <c r="P1443" s="354"/>
      <c r="Q1443" s="354"/>
      <c r="R1443" s="354"/>
      <c r="S1443" s="354"/>
      <c r="T1443" s="354"/>
      <c r="U1443" s="354"/>
      <c r="V1443" s="354"/>
      <c r="W1443" s="354"/>
      <c r="X1443" s="354"/>
      <c r="Y1443" s="354"/>
      <c r="Z1443" s="353"/>
      <c r="AA1443" s="352"/>
      <c r="AB1443" s="726"/>
    </row>
    <row r="1444" spans="1:28" ht="16.5" customHeight="1">
      <c r="A1444" s="347"/>
      <c r="B1444" s="347"/>
      <c r="C1444" s="347"/>
      <c r="D1444" s="348"/>
      <c r="E1444" s="348"/>
      <c r="F1444" s="348"/>
      <c r="G1444" s="348"/>
      <c r="H1444" s="359"/>
      <c r="I1444" s="352"/>
      <c r="J1444" s="353"/>
      <c r="K1444" s="538"/>
      <c r="L1444" s="487"/>
      <c r="M1444" s="487"/>
      <c r="N1444" s="354"/>
      <c r="O1444" s="354"/>
      <c r="P1444" s="354"/>
      <c r="Q1444" s="354"/>
      <c r="R1444" s="354"/>
      <c r="S1444" s="354"/>
      <c r="T1444" s="354"/>
      <c r="U1444" s="354"/>
      <c r="V1444" s="354"/>
      <c r="W1444" s="354"/>
      <c r="X1444" s="354"/>
      <c r="Y1444" s="354"/>
      <c r="Z1444" s="353"/>
      <c r="AA1444" s="352"/>
      <c r="AB1444" s="726"/>
    </row>
    <row r="1445" spans="1:28" ht="16.5" customHeight="1">
      <c r="A1445" s="347"/>
      <c r="B1445" s="347"/>
      <c r="C1445" s="347"/>
      <c r="D1445" s="348"/>
      <c r="E1445" s="348"/>
      <c r="F1445" s="348"/>
      <c r="G1445" s="348"/>
      <c r="H1445" s="359"/>
      <c r="I1445" s="352"/>
      <c r="J1445" s="353"/>
      <c r="K1445" s="538"/>
      <c r="L1445" s="487"/>
      <c r="M1445" s="487"/>
      <c r="N1445" s="354"/>
      <c r="O1445" s="354"/>
      <c r="P1445" s="354"/>
      <c r="Q1445" s="354"/>
      <c r="R1445" s="354"/>
      <c r="S1445" s="354"/>
      <c r="T1445" s="354"/>
      <c r="U1445" s="354"/>
      <c r="V1445" s="354"/>
      <c r="W1445" s="354"/>
      <c r="X1445" s="354"/>
      <c r="Y1445" s="354"/>
      <c r="Z1445" s="353"/>
      <c r="AA1445" s="352"/>
      <c r="AB1445" s="726"/>
    </row>
    <row r="1446" spans="1:28" ht="16.5" customHeight="1">
      <c r="A1446" s="347"/>
      <c r="B1446" s="347"/>
      <c r="C1446" s="347"/>
      <c r="D1446" s="348"/>
      <c r="E1446" s="348"/>
      <c r="F1446" s="348"/>
      <c r="G1446" s="348"/>
      <c r="H1446" s="359"/>
      <c r="I1446" s="352"/>
      <c r="J1446" s="353"/>
      <c r="K1446" s="538"/>
      <c r="L1446" s="487"/>
      <c r="M1446" s="487"/>
      <c r="N1446" s="354"/>
      <c r="O1446" s="354"/>
      <c r="P1446" s="354"/>
      <c r="Q1446" s="354"/>
      <c r="R1446" s="354"/>
      <c r="S1446" s="354"/>
      <c r="T1446" s="354"/>
      <c r="U1446" s="354"/>
      <c r="V1446" s="354"/>
      <c r="W1446" s="354"/>
      <c r="X1446" s="354"/>
      <c r="Y1446" s="354"/>
      <c r="Z1446" s="353"/>
      <c r="AA1446" s="352"/>
      <c r="AB1446" s="726"/>
    </row>
    <row r="1447" spans="1:28" ht="16.5" customHeight="1">
      <c r="A1447" s="347"/>
      <c r="B1447" s="347"/>
      <c r="C1447" s="347"/>
      <c r="D1447" s="348"/>
      <c r="E1447" s="348"/>
      <c r="F1447" s="348"/>
      <c r="G1447" s="348"/>
      <c r="H1447" s="359"/>
      <c r="I1447" s="352"/>
      <c r="J1447" s="353"/>
      <c r="K1447" s="538"/>
      <c r="L1447" s="487"/>
      <c r="M1447" s="487"/>
      <c r="N1447" s="354"/>
      <c r="O1447" s="354"/>
      <c r="P1447" s="354"/>
      <c r="Q1447" s="354"/>
      <c r="R1447" s="354"/>
      <c r="S1447" s="354"/>
      <c r="T1447" s="354"/>
      <c r="U1447" s="354"/>
      <c r="V1447" s="354"/>
      <c r="W1447" s="354"/>
      <c r="X1447" s="354"/>
      <c r="Y1447" s="354"/>
      <c r="Z1447" s="353"/>
      <c r="AA1447" s="352"/>
      <c r="AB1447" s="726"/>
    </row>
    <row r="1448" spans="1:28" ht="16.5" customHeight="1">
      <c r="A1448" s="347"/>
      <c r="B1448" s="347"/>
      <c r="C1448" s="347"/>
      <c r="D1448" s="348"/>
      <c r="E1448" s="348"/>
      <c r="F1448" s="348"/>
      <c r="G1448" s="348"/>
      <c r="H1448" s="359"/>
      <c r="I1448" s="352"/>
      <c r="J1448" s="353"/>
      <c r="K1448" s="538"/>
      <c r="L1448" s="487"/>
      <c r="M1448" s="487"/>
      <c r="N1448" s="354"/>
      <c r="O1448" s="354"/>
      <c r="P1448" s="354"/>
      <c r="Q1448" s="354"/>
      <c r="R1448" s="354"/>
      <c r="S1448" s="354"/>
      <c r="T1448" s="354"/>
      <c r="U1448" s="354"/>
      <c r="V1448" s="354"/>
      <c r="W1448" s="354"/>
      <c r="X1448" s="354"/>
      <c r="Y1448" s="354"/>
      <c r="Z1448" s="353"/>
      <c r="AA1448" s="352"/>
      <c r="AB1448" s="726"/>
    </row>
    <row r="1449" spans="1:28" ht="16.5" customHeight="1">
      <c r="A1449" s="347"/>
      <c r="B1449" s="347"/>
      <c r="C1449" s="347"/>
      <c r="D1449" s="348"/>
      <c r="E1449" s="348"/>
      <c r="F1449" s="348"/>
      <c r="G1449" s="348"/>
      <c r="H1449" s="359"/>
      <c r="I1449" s="352"/>
      <c r="J1449" s="353"/>
      <c r="K1449" s="538"/>
      <c r="L1449" s="487"/>
      <c r="M1449" s="487"/>
      <c r="N1449" s="354"/>
      <c r="O1449" s="354"/>
      <c r="P1449" s="354"/>
      <c r="Q1449" s="354"/>
      <c r="R1449" s="354"/>
      <c r="S1449" s="354"/>
      <c r="T1449" s="354"/>
      <c r="U1449" s="354"/>
      <c r="V1449" s="354"/>
      <c r="W1449" s="354"/>
      <c r="X1449" s="354"/>
      <c r="Y1449" s="354"/>
      <c r="Z1449" s="353"/>
      <c r="AA1449" s="352"/>
      <c r="AB1449" s="726"/>
    </row>
    <row r="1450" spans="1:28" ht="16.5" customHeight="1">
      <c r="A1450" s="347"/>
      <c r="B1450" s="347"/>
      <c r="C1450" s="347"/>
      <c r="D1450" s="361"/>
      <c r="E1450" s="361"/>
      <c r="F1450" s="361"/>
      <c r="G1450" s="348"/>
      <c r="H1450" s="359"/>
      <c r="I1450" s="352"/>
      <c r="J1450" s="353"/>
      <c r="K1450" s="538"/>
      <c r="L1450" s="487"/>
      <c r="M1450" s="487"/>
      <c r="N1450" s="354"/>
      <c r="O1450" s="354"/>
      <c r="P1450" s="354"/>
      <c r="Q1450" s="354"/>
      <c r="R1450" s="354"/>
      <c r="S1450" s="354"/>
      <c r="T1450" s="354"/>
      <c r="U1450" s="354"/>
      <c r="V1450" s="354"/>
      <c r="W1450" s="354"/>
      <c r="X1450" s="354"/>
      <c r="Y1450" s="354"/>
      <c r="Z1450" s="353"/>
      <c r="AA1450" s="352"/>
      <c r="AB1450" s="726"/>
    </row>
    <row r="1451" spans="1:28" ht="16.5" customHeight="1">
      <c r="A1451" s="347"/>
      <c r="B1451" s="347"/>
      <c r="C1451" s="347"/>
      <c r="D1451" s="348"/>
      <c r="E1451" s="348"/>
      <c r="F1451" s="348"/>
      <c r="G1451" s="348"/>
      <c r="H1451" s="359"/>
      <c r="I1451" s="352"/>
      <c r="J1451" s="353"/>
      <c r="K1451" s="538"/>
      <c r="L1451" s="487"/>
      <c r="M1451" s="487"/>
      <c r="N1451" s="354"/>
      <c r="O1451" s="354"/>
      <c r="P1451" s="354"/>
      <c r="Q1451" s="354"/>
      <c r="R1451" s="354"/>
      <c r="S1451" s="354"/>
      <c r="T1451" s="354"/>
      <c r="U1451" s="354"/>
      <c r="V1451" s="354"/>
      <c r="W1451" s="354"/>
      <c r="X1451" s="354"/>
      <c r="Y1451" s="354"/>
      <c r="Z1451" s="353"/>
      <c r="AA1451" s="352"/>
      <c r="AB1451" s="726"/>
    </row>
    <row r="1452" spans="1:28" ht="16.5" customHeight="1">
      <c r="A1452" s="347"/>
      <c r="B1452" s="347"/>
      <c r="C1452" s="347"/>
      <c r="D1452" s="348"/>
      <c r="E1452" s="348"/>
      <c r="F1452" s="348"/>
      <c r="G1452" s="348"/>
      <c r="H1452" s="359"/>
      <c r="I1452" s="352"/>
      <c r="J1452" s="353"/>
      <c r="K1452" s="538"/>
      <c r="L1452" s="487"/>
      <c r="M1452" s="487"/>
      <c r="N1452" s="354"/>
      <c r="O1452" s="354"/>
      <c r="P1452" s="354"/>
      <c r="Q1452" s="354"/>
      <c r="R1452" s="354"/>
      <c r="S1452" s="354"/>
      <c r="T1452" s="354"/>
      <c r="U1452" s="354"/>
      <c r="V1452" s="354"/>
      <c r="W1452" s="354"/>
      <c r="X1452" s="354"/>
      <c r="Y1452" s="354"/>
      <c r="Z1452" s="353"/>
      <c r="AA1452" s="352"/>
      <c r="AB1452" s="726"/>
    </row>
    <row r="1453" spans="1:28" ht="16.5" customHeight="1">
      <c r="A1453" s="347"/>
      <c r="B1453" s="347"/>
      <c r="C1453" s="347"/>
      <c r="D1453" s="348"/>
      <c r="E1453" s="348"/>
      <c r="F1453" s="348"/>
      <c r="G1453" s="348"/>
      <c r="H1453" s="359"/>
      <c r="I1453" s="352"/>
      <c r="J1453" s="353"/>
      <c r="K1453" s="538"/>
      <c r="L1453" s="487"/>
      <c r="M1453" s="487"/>
      <c r="N1453" s="354"/>
      <c r="O1453" s="354"/>
      <c r="P1453" s="354"/>
      <c r="Q1453" s="354"/>
      <c r="R1453" s="354"/>
      <c r="S1453" s="354"/>
      <c r="T1453" s="354"/>
      <c r="U1453" s="354"/>
      <c r="V1453" s="354"/>
      <c r="W1453" s="354"/>
      <c r="X1453" s="354"/>
      <c r="Y1453" s="354"/>
      <c r="Z1453" s="353"/>
      <c r="AA1453" s="352"/>
      <c r="AB1453" s="726"/>
    </row>
    <row r="1454" spans="1:28" ht="16.5" customHeight="1">
      <c r="A1454" s="347"/>
      <c r="B1454" s="347"/>
      <c r="C1454" s="347"/>
      <c r="D1454" s="348"/>
      <c r="E1454" s="348"/>
      <c r="F1454" s="348"/>
      <c r="G1454" s="348"/>
      <c r="H1454" s="359"/>
      <c r="I1454" s="352"/>
      <c r="J1454" s="353"/>
      <c r="K1454" s="538"/>
      <c r="L1454" s="487"/>
      <c r="M1454" s="487"/>
      <c r="N1454" s="354"/>
      <c r="O1454" s="354"/>
      <c r="P1454" s="354"/>
      <c r="Q1454" s="354"/>
      <c r="R1454" s="354"/>
      <c r="S1454" s="354"/>
      <c r="T1454" s="354"/>
      <c r="U1454" s="354"/>
      <c r="V1454" s="354"/>
      <c r="W1454" s="354"/>
      <c r="X1454" s="354"/>
      <c r="Y1454" s="354"/>
      <c r="Z1454" s="353"/>
      <c r="AA1454" s="352"/>
      <c r="AB1454" s="726"/>
    </row>
    <row r="1455" spans="1:28" ht="16.5" customHeight="1">
      <c r="A1455" s="347"/>
      <c r="B1455" s="347"/>
      <c r="C1455" s="347"/>
      <c r="D1455" s="348"/>
      <c r="E1455" s="348"/>
      <c r="F1455" s="348"/>
      <c r="G1455" s="348"/>
      <c r="H1455" s="359"/>
      <c r="I1455" s="352"/>
      <c r="J1455" s="353"/>
      <c r="K1455" s="538"/>
      <c r="L1455" s="487"/>
      <c r="M1455" s="487"/>
      <c r="N1455" s="354"/>
      <c r="O1455" s="354"/>
      <c r="P1455" s="354"/>
      <c r="Q1455" s="354"/>
      <c r="R1455" s="354"/>
      <c r="S1455" s="354"/>
      <c r="T1455" s="354"/>
      <c r="U1455" s="354"/>
      <c r="V1455" s="354"/>
      <c r="W1455" s="354"/>
      <c r="X1455" s="354"/>
      <c r="Y1455" s="354"/>
      <c r="Z1455" s="353"/>
      <c r="AA1455" s="352"/>
      <c r="AB1455" s="726"/>
    </row>
    <row r="1456" spans="1:28" ht="16.5" customHeight="1">
      <c r="A1456" s="347"/>
      <c r="B1456" s="347"/>
      <c r="C1456" s="347"/>
      <c r="D1456" s="348"/>
      <c r="E1456" s="348"/>
      <c r="F1456" s="348"/>
      <c r="G1456" s="348"/>
      <c r="H1456" s="359"/>
      <c r="I1456" s="352"/>
      <c r="J1456" s="353"/>
      <c r="K1456" s="538"/>
      <c r="L1456" s="487"/>
      <c r="M1456" s="487"/>
      <c r="N1456" s="354"/>
      <c r="O1456" s="354"/>
      <c r="P1456" s="354"/>
      <c r="Q1456" s="354"/>
      <c r="R1456" s="354"/>
      <c r="S1456" s="354"/>
      <c r="T1456" s="354"/>
      <c r="U1456" s="354"/>
      <c r="V1456" s="354"/>
      <c r="W1456" s="354"/>
      <c r="X1456" s="354"/>
      <c r="Y1456" s="354"/>
      <c r="Z1456" s="353"/>
      <c r="AA1456" s="352"/>
      <c r="AB1456" s="726"/>
    </row>
    <row r="1457" spans="1:28" ht="16.5" customHeight="1">
      <c r="A1457" s="347"/>
      <c r="B1457" s="347"/>
      <c r="C1457" s="347"/>
      <c r="D1457" s="348"/>
      <c r="E1457" s="348"/>
      <c r="F1457" s="348"/>
      <c r="G1457" s="348"/>
      <c r="H1457" s="359"/>
      <c r="I1457" s="352"/>
      <c r="J1457" s="353"/>
      <c r="K1457" s="538"/>
      <c r="L1457" s="487"/>
      <c r="M1457" s="487"/>
      <c r="N1457" s="354"/>
      <c r="O1457" s="354"/>
      <c r="P1457" s="354"/>
      <c r="Q1457" s="354"/>
      <c r="R1457" s="354"/>
      <c r="S1457" s="354"/>
      <c r="T1457" s="354"/>
      <c r="U1457" s="354"/>
      <c r="V1457" s="354"/>
      <c r="W1457" s="354"/>
      <c r="X1457" s="354"/>
      <c r="Y1457" s="354"/>
      <c r="Z1457" s="353"/>
      <c r="AA1457" s="352"/>
      <c r="AB1457" s="726"/>
    </row>
    <row r="1458" spans="1:28" ht="16.5" customHeight="1">
      <c r="A1458" s="347"/>
      <c r="B1458" s="347"/>
      <c r="C1458" s="347"/>
      <c r="D1458" s="348"/>
      <c r="E1458" s="348"/>
      <c r="F1458" s="348"/>
      <c r="G1458" s="348"/>
      <c r="H1458" s="359"/>
      <c r="I1458" s="352"/>
      <c r="J1458" s="353"/>
      <c r="K1458" s="538"/>
      <c r="L1458" s="487"/>
      <c r="M1458" s="487"/>
      <c r="N1458" s="354"/>
      <c r="O1458" s="354"/>
      <c r="P1458" s="354"/>
      <c r="Q1458" s="354"/>
      <c r="R1458" s="354"/>
      <c r="S1458" s="354"/>
      <c r="T1458" s="354"/>
      <c r="U1458" s="354"/>
      <c r="V1458" s="354"/>
      <c r="W1458" s="354"/>
      <c r="X1458" s="354"/>
      <c r="Y1458" s="354"/>
      <c r="Z1458" s="353"/>
      <c r="AA1458" s="352"/>
      <c r="AB1458" s="726"/>
    </row>
    <row r="1459" spans="1:28" ht="16.5" customHeight="1">
      <c r="A1459" s="347"/>
      <c r="B1459" s="347"/>
      <c r="C1459" s="347"/>
      <c r="D1459" s="361"/>
      <c r="E1459" s="361"/>
      <c r="F1459" s="361"/>
      <c r="G1459" s="348"/>
      <c r="H1459" s="359"/>
      <c r="I1459" s="352"/>
      <c r="J1459" s="353"/>
      <c r="K1459" s="538"/>
      <c r="L1459" s="487"/>
      <c r="M1459" s="487"/>
      <c r="N1459" s="354"/>
      <c r="O1459" s="354"/>
      <c r="P1459" s="354"/>
      <c r="Q1459" s="354"/>
      <c r="R1459" s="354"/>
      <c r="S1459" s="354"/>
      <c r="T1459" s="354"/>
      <c r="U1459" s="354"/>
      <c r="V1459" s="354"/>
      <c r="W1459" s="354"/>
      <c r="X1459" s="354"/>
      <c r="Y1459" s="354"/>
      <c r="Z1459" s="353"/>
      <c r="AA1459" s="352"/>
      <c r="AB1459" s="726"/>
    </row>
    <row r="1460" spans="1:28" ht="16.5" customHeight="1">
      <c r="A1460" s="347"/>
      <c r="B1460" s="347"/>
      <c r="C1460" s="347"/>
      <c r="D1460" s="348"/>
      <c r="E1460" s="348"/>
      <c r="F1460" s="348"/>
      <c r="G1460" s="348"/>
      <c r="H1460" s="359"/>
      <c r="I1460" s="352"/>
      <c r="J1460" s="353"/>
      <c r="K1460" s="538"/>
      <c r="L1460" s="487"/>
      <c r="M1460" s="487"/>
      <c r="N1460" s="354"/>
      <c r="O1460" s="354"/>
      <c r="P1460" s="354"/>
      <c r="Q1460" s="354"/>
      <c r="R1460" s="354"/>
      <c r="S1460" s="354"/>
      <c r="T1460" s="354"/>
      <c r="U1460" s="354"/>
      <c r="V1460" s="354"/>
      <c r="W1460" s="354"/>
      <c r="X1460" s="354"/>
      <c r="Y1460" s="354"/>
      <c r="Z1460" s="353"/>
      <c r="AA1460" s="352"/>
      <c r="AB1460" s="726"/>
    </row>
    <row r="1461" spans="1:28" ht="16.5" customHeight="1">
      <c r="A1461" s="347"/>
      <c r="B1461" s="347"/>
      <c r="C1461" s="347"/>
      <c r="D1461" s="348"/>
      <c r="E1461" s="348"/>
      <c r="F1461" s="348"/>
      <c r="G1461" s="348"/>
      <c r="H1461" s="359"/>
      <c r="I1461" s="352"/>
      <c r="J1461" s="353"/>
      <c r="K1461" s="538"/>
      <c r="L1461" s="487"/>
      <c r="M1461" s="487"/>
      <c r="N1461" s="354"/>
      <c r="O1461" s="354"/>
      <c r="P1461" s="354"/>
      <c r="Q1461" s="354"/>
      <c r="R1461" s="354"/>
      <c r="S1461" s="354"/>
      <c r="T1461" s="354"/>
      <c r="U1461" s="354"/>
      <c r="V1461" s="354"/>
      <c r="W1461" s="354"/>
      <c r="X1461" s="354"/>
      <c r="Y1461" s="354"/>
      <c r="Z1461" s="353"/>
      <c r="AA1461" s="352"/>
      <c r="AB1461" s="726"/>
    </row>
    <row r="1462" spans="1:28" ht="16.5" customHeight="1">
      <c r="A1462" s="347"/>
      <c r="B1462" s="347"/>
      <c r="C1462" s="347"/>
      <c r="D1462" s="361"/>
      <c r="E1462" s="361"/>
      <c r="F1462" s="361"/>
      <c r="G1462" s="348"/>
      <c r="H1462" s="359"/>
      <c r="I1462" s="352"/>
      <c r="J1462" s="353"/>
      <c r="K1462" s="538"/>
      <c r="L1462" s="487"/>
      <c r="M1462" s="487"/>
      <c r="N1462" s="354"/>
      <c r="O1462" s="354"/>
      <c r="P1462" s="354"/>
      <c r="Q1462" s="354"/>
      <c r="R1462" s="354"/>
      <c r="S1462" s="354"/>
      <c r="T1462" s="354"/>
      <c r="U1462" s="354"/>
      <c r="V1462" s="354"/>
      <c r="W1462" s="354"/>
      <c r="X1462" s="354"/>
      <c r="Y1462" s="354"/>
      <c r="Z1462" s="353"/>
      <c r="AA1462" s="352"/>
      <c r="AB1462" s="726"/>
    </row>
    <row r="1463" spans="1:28" ht="16.5" customHeight="1">
      <c r="A1463" s="347"/>
      <c r="B1463" s="347"/>
      <c r="C1463" s="347"/>
      <c r="D1463" s="361"/>
      <c r="E1463" s="361"/>
      <c r="F1463" s="361"/>
      <c r="G1463" s="348"/>
      <c r="H1463" s="359"/>
      <c r="I1463" s="352"/>
      <c r="J1463" s="353"/>
      <c r="K1463" s="538"/>
      <c r="L1463" s="487"/>
      <c r="M1463" s="487"/>
      <c r="N1463" s="354"/>
      <c r="O1463" s="354"/>
      <c r="P1463" s="354"/>
      <c r="Q1463" s="354"/>
      <c r="R1463" s="354"/>
      <c r="S1463" s="354"/>
      <c r="T1463" s="354"/>
      <c r="U1463" s="354"/>
      <c r="V1463" s="354"/>
      <c r="W1463" s="354"/>
      <c r="X1463" s="354"/>
      <c r="Y1463" s="354"/>
      <c r="Z1463" s="353"/>
      <c r="AA1463" s="352"/>
      <c r="AB1463" s="726"/>
    </row>
    <row r="1464" spans="1:28" ht="16.5" customHeight="1">
      <c r="A1464" s="347"/>
      <c r="B1464" s="347"/>
      <c r="C1464" s="347"/>
      <c r="D1464" s="348"/>
      <c r="E1464" s="348"/>
      <c r="F1464" s="348"/>
      <c r="G1464" s="348"/>
      <c r="H1464" s="359"/>
      <c r="I1464" s="352"/>
      <c r="J1464" s="353"/>
      <c r="K1464" s="538"/>
      <c r="L1464" s="487"/>
      <c r="M1464" s="487"/>
      <c r="N1464" s="354"/>
      <c r="O1464" s="354"/>
      <c r="P1464" s="354"/>
      <c r="Q1464" s="354"/>
      <c r="R1464" s="354"/>
      <c r="S1464" s="354"/>
      <c r="T1464" s="354"/>
      <c r="U1464" s="354"/>
      <c r="V1464" s="354"/>
      <c r="W1464" s="354"/>
      <c r="X1464" s="354"/>
      <c r="Y1464" s="354"/>
      <c r="Z1464" s="353"/>
      <c r="AA1464" s="352"/>
      <c r="AB1464" s="726"/>
    </row>
    <row r="1465" spans="1:28" ht="16.5" customHeight="1">
      <c r="A1465" s="347"/>
      <c r="B1465" s="347"/>
      <c r="C1465" s="347"/>
      <c r="D1465" s="348"/>
      <c r="E1465" s="348"/>
      <c r="F1465" s="348"/>
      <c r="G1465" s="348"/>
      <c r="H1465" s="359"/>
      <c r="I1465" s="352"/>
      <c r="J1465" s="353"/>
      <c r="K1465" s="538"/>
      <c r="L1465" s="487"/>
      <c r="M1465" s="487"/>
      <c r="N1465" s="354"/>
      <c r="O1465" s="354"/>
      <c r="P1465" s="354"/>
      <c r="Q1465" s="354"/>
      <c r="R1465" s="354"/>
      <c r="S1465" s="354"/>
      <c r="T1465" s="354"/>
      <c r="U1465" s="354"/>
      <c r="V1465" s="354"/>
      <c r="W1465" s="354"/>
      <c r="X1465" s="354"/>
      <c r="Y1465" s="354"/>
      <c r="Z1465" s="353"/>
      <c r="AA1465" s="352"/>
      <c r="AB1465" s="726"/>
    </row>
    <row r="1466" spans="1:28" ht="16.5" customHeight="1">
      <c r="A1466" s="347"/>
      <c r="B1466" s="347"/>
      <c r="C1466" s="347"/>
      <c r="D1466" s="348"/>
      <c r="E1466" s="348"/>
      <c r="F1466" s="348"/>
      <c r="G1466" s="348"/>
      <c r="H1466" s="359"/>
      <c r="I1466" s="352"/>
      <c r="J1466" s="353"/>
      <c r="K1466" s="538"/>
      <c r="L1466" s="487"/>
      <c r="M1466" s="487"/>
      <c r="N1466" s="354"/>
      <c r="O1466" s="354"/>
      <c r="P1466" s="354"/>
      <c r="Q1466" s="354"/>
      <c r="R1466" s="354"/>
      <c r="S1466" s="354"/>
      <c r="T1466" s="354"/>
      <c r="U1466" s="354"/>
      <c r="V1466" s="354"/>
      <c r="W1466" s="354"/>
      <c r="X1466" s="354"/>
      <c r="Y1466" s="354"/>
      <c r="Z1466" s="353"/>
      <c r="AA1466" s="352"/>
      <c r="AB1466" s="726"/>
    </row>
    <row r="1467" spans="1:28" ht="16.5" customHeight="1">
      <c r="A1467" s="347"/>
      <c r="B1467" s="347"/>
      <c r="C1467" s="347"/>
      <c r="D1467" s="348"/>
      <c r="E1467" s="348"/>
      <c r="F1467" s="348"/>
      <c r="G1467" s="348"/>
      <c r="H1467" s="359"/>
      <c r="I1467" s="352"/>
      <c r="J1467" s="353"/>
      <c r="K1467" s="538"/>
      <c r="L1467" s="487"/>
      <c r="M1467" s="487"/>
      <c r="N1467" s="354"/>
      <c r="O1467" s="354"/>
      <c r="P1467" s="354"/>
      <c r="Q1467" s="354"/>
      <c r="R1467" s="354"/>
      <c r="S1467" s="354"/>
      <c r="T1467" s="354"/>
      <c r="U1467" s="354"/>
      <c r="V1467" s="354"/>
      <c r="W1467" s="354"/>
      <c r="X1467" s="354"/>
      <c r="Y1467" s="354"/>
      <c r="Z1467" s="353"/>
      <c r="AA1467" s="352"/>
      <c r="AB1467" s="726"/>
    </row>
    <row r="1468" spans="1:28" ht="16.5" customHeight="1">
      <c r="A1468" s="347"/>
      <c r="B1468" s="347"/>
      <c r="C1468" s="347"/>
      <c r="D1468" s="361"/>
      <c r="E1468" s="361"/>
      <c r="F1468" s="361"/>
      <c r="G1468" s="348"/>
      <c r="H1468" s="359"/>
      <c r="I1468" s="352"/>
      <c r="J1468" s="353"/>
      <c r="K1468" s="538"/>
      <c r="L1468" s="487"/>
      <c r="M1468" s="487"/>
      <c r="N1468" s="354"/>
      <c r="O1468" s="354"/>
      <c r="P1468" s="354"/>
      <c r="Q1468" s="354"/>
      <c r="R1468" s="354"/>
      <c r="S1468" s="354"/>
      <c r="T1468" s="354"/>
      <c r="U1468" s="354"/>
      <c r="V1468" s="354"/>
      <c r="W1468" s="354"/>
      <c r="X1468" s="354"/>
      <c r="Y1468" s="354"/>
      <c r="Z1468" s="353"/>
      <c r="AA1468" s="352"/>
      <c r="AB1468" s="726"/>
    </row>
    <row r="1469" spans="1:28" ht="16.5" customHeight="1">
      <c r="A1469" s="347"/>
      <c r="B1469" s="347"/>
      <c r="C1469" s="347"/>
      <c r="D1469" s="361"/>
      <c r="E1469" s="361"/>
      <c r="F1469" s="361"/>
      <c r="G1469" s="348"/>
      <c r="H1469" s="359"/>
      <c r="I1469" s="352"/>
      <c r="J1469" s="353"/>
      <c r="K1469" s="538"/>
      <c r="L1469" s="487"/>
      <c r="M1469" s="487"/>
      <c r="N1469" s="354"/>
      <c r="O1469" s="354"/>
      <c r="P1469" s="354"/>
      <c r="Q1469" s="354"/>
      <c r="R1469" s="354"/>
      <c r="S1469" s="354"/>
      <c r="T1469" s="354"/>
      <c r="U1469" s="354"/>
      <c r="V1469" s="354"/>
      <c r="W1469" s="354"/>
      <c r="X1469" s="354"/>
      <c r="Y1469" s="354"/>
      <c r="Z1469" s="353"/>
      <c r="AA1469" s="352"/>
      <c r="AB1469" s="726"/>
    </row>
    <row r="1470" spans="1:28" ht="16.5" customHeight="1">
      <c r="A1470" s="347"/>
      <c r="B1470" s="347"/>
      <c r="C1470" s="347"/>
      <c r="D1470" s="361"/>
      <c r="E1470" s="361"/>
      <c r="F1470" s="361"/>
      <c r="G1470" s="348"/>
      <c r="H1470" s="359"/>
      <c r="I1470" s="352"/>
      <c r="J1470" s="353"/>
      <c r="K1470" s="538"/>
      <c r="L1470" s="487"/>
      <c r="M1470" s="487"/>
      <c r="N1470" s="354"/>
      <c r="O1470" s="354"/>
      <c r="P1470" s="354"/>
      <c r="Q1470" s="354"/>
      <c r="R1470" s="354"/>
      <c r="S1470" s="354"/>
      <c r="T1470" s="354"/>
      <c r="U1470" s="354"/>
      <c r="V1470" s="354"/>
      <c r="W1470" s="354"/>
      <c r="X1470" s="354"/>
      <c r="Y1470" s="354"/>
      <c r="Z1470" s="353"/>
      <c r="AA1470" s="352"/>
      <c r="AB1470" s="726"/>
    </row>
    <row r="1471" spans="1:28" ht="16.5" customHeight="1">
      <c r="A1471" s="347"/>
      <c r="B1471" s="347"/>
      <c r="C1471" s="347"/>
      <c r="D1471" s="361"/>
      <c r="E1471" s="361"/>
      <c r="F1471" s="361"/>
      <c r="G1471" s="348"/>
      <c r="H1471" s="359"/>
      <c r="I1471" s="352"/>
      <c r="J1471" s="353"/>
      <c r="K1471" s="538"/>
      <c r="L1471" s="487"/>
      <c r="M1471" s="487"/>
      <c r="N1471" s="354"/>
      <c r="O1471" s="354"/>
      <c r="P1471" s="354"/>
      <c r="Q1471" s="354"/>
      <c r="R1471" s="354"/>
      <c r="S1471" s="354"/>
      <c r="T1471" s="354"/>
      <c r="U1471" s="354"/>
      <c r="V1471" s="354"/>
      <c r="W1471" s="354"/>
      <c r="X1471" s="354"/>
      <c r="Y1471" s="354"/>
      <c r="Z1471" s="353"/>
      <c r="AA1471" s="352"/>
      <c r="AB1471" s="726"/>
    </row>
    <row r="1472" spans="1:28" ht="16.5" customHeight="1">
      <c r="A1472" s="347"/>
      <c r="B1472" s="347"/>
      <c r="C1472" s="347"/>
      <c r="D1472" s="361"/>
      <c r="E1472" s="361"/>
      <c r="F1472" s="361"/>
      <c r="G1472" s="348"/>
      <c r="H1472" s="359"/>
      <c r="I1472" s="352"/>
      <c r="J1472" s="353"/>
      <c r="K1472" s="538"/>
      <c r="L1472" s="487"/>
      <c r="M1472" s="487"/>
      <c r="N1472" s="354"/>
      <c r="O1472" s="354"/>
      <c r="P1472" s="354"/>
      <c r="Q1472" s="354"/>
      <c r="R1472" s="354"/>
      <c r="S1472" s="354"/>
      <c r="T1472" s="354"/>
      <c r="U1472" s="354"/>
      <c r="V1472" s="354"/>
      <c r="W1472" s="354"/>
      <c r="X1472" s="354"/>
      <c r="Y1472" s="354"/>
      <c r="Z1472" s="353"/>
      <c r="AA1472" s="352"/>
      <c r="AB1472" s="726"/>
    </row>
    <row r="1473" spans="1:28" ht="16.5" customHeight="1">
      <c r="A1473" s="347"/>
      <c r="B1473" s="347"/>
      <c r="C1473" s="347"/>
      <c r="D1473" s="348"/>
      <c r="E1473" s="348"/>
      <c r="F1473" s="348"/>
      <c r="G1473" s="348"/>
      <c r="H1473" s="359"/>
      <c r="I1473" s="352"/>
      <c r="J1473" s="353"/>
      <c r="K1473" s="538"/>
      <c r="L1473" s="487"/>
      <c r="M1473" s="487"/>
      <c r="N1473" s="354"/>
      <c r="O1473" s="354"/>
      <c r="P1473" s="354"/>
      <c r="Q1473" s="354"/>
      <c r="R1473" s="354"/>
      <c r="S1473" s="354"/>
      <c r="T1473" s="354"/>
      <c r="U1473" s="354"/>
      <c r="V1473" s="354"/>
      <c r="W1473" s="354"/>
      <c r="X1473" s="354"/>
      <c r="Y1473" s="354"/>
      <c r="Z1473" s="353"/>
      <c r="AA1473" s="352"/>
      <c r="AB1473" s="726"/>
    </row>
    <row r="1474" spans="1:28" ht="16.5" customHeight="1">
      <c r="A1474" s="347"/>
      <c r="B1474" s="347"/>
      <c r="C1474" s="347"/>
      <c r="D1474" s="348"/>
      <c r="E1474" s="348"/>
      <c r="F1474" s="348"/>
      <c r="G1474" s="348"/>
      <c r="H1474" s="359"/>
      <c r="I1474" s="352"/>
      <c r="J1474" s="353"/>
      <c r="K1474" s="538"/>
      <c r="L1474" s="487"/>
      <c r="M1474" s="487"/>
      <c r="N1474" s="354"/>
      <c r="O1474" s="354"/>
      <c r="P1474" s="354"/>
      <c r="Q1474" s="354"/>
      <c r="R1474" s="354"/>
      <c r="S1474" s="354"/>
      <c r="T1474" s="354"/>
      <c r="U1474" s="354"/>
      <c r="V1474" s="354"/>
      <c r="W1474" s="354"/>
      <c r="X1474" s="354"/>
      <c r="Y1474" s="354"/>
      <c r="Z1474" s="353"/>
      <c r="AA1474" s="352"/>
      <c r="AB1474" s="726"/>
    </row>
    <row r="1475" spans="1:28" ht="16.5" customHeight="1">
      <c r="A1475" s="347"/>
      <c r="B1475" s="347"/>
      <c r="C1475" s="347"/>
      <c r="D1475" s="348"/>
      <c r="E1475" s="348"/>
      <c r="F1475" s="348"/>
      <c r="G1475" s="348"/>
      <c r="H1475" s="359"/>
      <c r="I1475" s="352"/>
      <c r="J1475" s="353"/>
      <c r="K1475" s="538"/>
      <c r="L1475" s="487"/>
      <c r="M1475" s="487"/>
      <c r="N1475" s="354"/>
      <c r="O1475" s="354"/>
      <c r="P1475" s="354"/>
      <c r="Q1475" s="354"/>
      <c r="R1475" s="354"/>
      <c r="S1475" s="354"/>
      <c r="T1475" s="354"/>
      <c r="U1475" s="354"/>
      <c r="V1475" s="354"/>
      <c r="W1475" s="354"/>
      <c r="X1475" s="354"/>
      <c r="Y1475" s="354"/>
      <c r="Z1475" s="353"/>
      <c r="AA1475" s="352"/>
      <c r="AB1475" s="726"/>
    </row>
    <row r="1476" spans="1:28" ht="16.5" customHeight="1">
      <c r="A1476" s="347"/>
      <c r="B1476" s="347"/>
      <c r="C1476" s="347"/>
      <c r="D1476" s="361"/>
      <c r="E1476" s="361"/>
      <c r="F1476" s="361"/>
      <c r="G1476" s="348"/>
      <c r="H1476" s="359"/>
      <c r="I1476" s="352"/>
      <c r="J1476" s="353"/>
      <c r="K1476" s="538"/>
      <c r="L1476" s="487"/>
      <c r="M1476" s="487"/>
      <c r="N1476" s="354"/>
      <c r="O1476" s="354"/>
      <c r="P1476" s="354"/>
      <c r="Q1476" s="354"/>
      <c r="R1476" s="354"/>
      <c r="S1476" s="354"/>
      <c r="T1476" s="354"/>
      <c r="U1476" s="354"/>
      <c r="V1476" s="354"/>
      <c r="W1476" s="354"/>
      <c r="X1476" s="354"/>
      <c r="Y1476" s="354"/>
      <c r="Z1476" s="353"/>
      <c r="AA1476" s="352"/>
      <c r="AB1476" s="726"/>
    </row>
    <row r="1477" spans="1:28" ht="16.5" customHeight="1">
      <c r="A1477" s="347"/>
      <c r="B1477" s="347"/>
      <c r="C1477" s="347"/>
      <c r="D1477" s="361"/>
      <c r="E1477" s="361"/>
      <c r="F1477" s="361"/>
      <c r="G1477" s="348"/>
      <c r="H1477" s="359"/>
      <c r="I1477" s="352"/>
      <c r="J1477" s="353"/>
      <c r="K1477" s="538"/>
      <c r="L1477" s="487"/>
      <c r="M1477" s="487"/>
      <c r="N1477" s="354"/>
      <c r="O1477" s="354"/>
      <c r="P1477" s="354"/>
      <c r="Q1477" s="354"/>
      <c r="R1477" s="354"/>
      <c r="S1477" s="354"/>
      <c r="T1477" s="354"/>
      <c r="U1477" s="354"/>
      <c r="V1477" s="354"/>
      <c r="W1477" s="354"/>
      <c r="X1477" s="354"/>
      <c r="Y1477" s="354"/>
      <c r="Z1477" s="353"/>
      <c r="AA1477" s="352"/>
      <c r="AB1477" s="726"/>
    </row>
    <row r="1478" spans="1:28" ht="16.5" customHeight="1">
      <c r="A1478" s="347"/>
      <c r="B1478" s="347"/>
      <c r="C1478" s="347"/>
      <c r="D1478" s="348"/>
      <c r="E1478" s="348"/>
      <c r="F1478" s="348"/>
      <c r="G1478" s="348"/>
      <c r="H1478" s="359"/>
      <c r="I1478" s="352"/>
      <c r="J1478" s="353"/>
      <c r="K1478" s="538"/>
      <c r="L1478" s="487"/>
      <c r="M1478" s="487"/>
      <c r="N1478" s="354"/>
      <c r="O1478" s="354"/>
      <c r="P1478" s="354"/>
      <c r="Q1478" s="354"/>
      <c r="R1478" s="354"/>
      <c r="S1478" s="354"/>
      <c r="T1478" s="354"/>
      <c r="U1478" s="354"/>
      <c r="V1478" s="354"/>
      <c r="W1478" s="354"/>
      <c r="X1478" s="354"/>
      <c r="Y1478" s="354"/>
      <c r="Z1478" s="353"/>
      <c r="AA1478" s="352"/>
      <c r="AB1478" s="726"/>
    </row>
    <row r="1479" spans="1:28" ht="16.5" customHeight="1">
      <c r="A1479" s="347"/>
      <c r="B1479" s="347"/>
      <c r="C1479" s="347"/>
      <c r="D1479" s="348"/>
      <c r="E1479" s="348"/>
      <c r="F1479" s="348"/>
      <c r="G1479" s="348"/>
      <c r="H1479" s="359"/>
      <c r="I1479" s="352"/>
      <c r="J1479" s="353"/>
      <c r="K1479" s="538"/>
      <c r="L1479" s="487"/>
      <c r="M1479" s="487"/>
      <c r="N1479" s="354"/>
      <c r="O1479" s="354"/>
      <c r="P1479" s="354"/>
      <c r="Q1479" s="354"/>
      <c r="R1479" s="354"/>
      <c r="S1479" s="354"/>
      <c r="T1479" s="354"/>
      <c r="U1479" s="354"/>
      <c r="V1479" s="354"/>
      <c r="W1479" s="354"/>
      <c r="X1479" s="354"/>
      <c r="Y1479" s="354"/>
      <c r="Z1479" s="353"/>
      <c r="AA1479" s="352"/>
      <c r="AB1479" s="726"/>
    </row>
    <row r="1480" spans="1:28" ht="16.5" customHeight="1">
      <c r="A1480" s="347"/>
      <c r="B1480" s="347"/>
      <c r="C1480" s="347"/>
      <c r="D1480" s="348"/>
      <c r="E1480" s="348"/>
      <c r="F1480" s="348"/>
      <c r="G1480" s="348"/>
      <c r="H1480" s="359"/>
      <c r="I1480" s="352"/>
      <c r="J1480" s="353"/>
      <c r="K1480" s="538"/>
      <c r="L1480" s="487"/>
      <c r="M1480" s="487"/>
      <c r="N1480" s="354"/>
      <c r="O1480" s="354"/>
      <c r="P1480" s="354"/>
      <c r="Q1480" s="354"/>
      <c r="R1480" s="354"/>
      <c r="S1480" s="354"/>
      <c r="T1480" s="354"/>
      <c r="U1480" s="354"/>
      <c r="V1480" s="354"/>
      <c r="W1480" s="354"/>
      <c r="X1480" s="354"/>
      <c r="Y1480" s="354"/>
      <c r="Z1480" s="353"/>
      <c r="AA1480" s="352"/>
      <c r="AB1480" s="726"/>
    </row>
    <row r="1481" spans="1:28" ht="16.5" customHeight="1">
      <c r="A1481" s="347"/>
      <c r="B1481" s="347"/>
      <c r="C1481" s="347"/>
      <c r="D1481" s="348"/>
      <c r="E1481" s="348"/>
      <c r="F1481" s="348"/>
      <c r="G1481" s="348"/>
      <c r="H1481" s="359"/>
      <c r="I1481" s="352"/>
      <c r="J1481" s="353"/>
      <c r="K1481" s="538"/>
      <c r="L1481" s="487"/>
      <c r="M1481" s="487"/>
      <c r="N1481" s="354"/>
      <c r="O1481" s="354"/>
      <c r="P1481" s="354"/>
      <c r="Q1481" s="354"/>
      <c r="R1481" s="354"/>
      <c r="S1481" s="354"/>
      <c r="T1481" s="354"/>
      <c r="U1481" s="354"/>
      <c r="V1481" s="354"/>
      <c r="W1481" s="354"/>
      <c r="X1481" s="354"/>
      <c r="Y1481" s="354"/>
      <c r="Z1481" s="353"/>
      <c r="AA1481" s="352"/>
      <c r="AB1481" s="726"/>
    </row>
    <row r="1482" spans="1:28" ht="16.5" customHeight="1">
      <c r="A1482" s="347"/>
      <c r="B1482" s="347"/>
      <c r="C1482" s="347"/>
      <c r="D1482" s="348"/>
      <c r="E1482" s="348"/>
      <c r="F1482" s="348"/>
      <c r="G1482" s="348"/>
      <c r="H1482" s="359"/>
      <c r="I1482" s="352"/>
      <c r="J1482" s="353"/>
      <c r="K1482" s="538"/>
      <c r="L1482" s="487"/>
      <c r="M1482" s="487"/>
      <c r="N1482" s="354"/>
      <c r="O1482" s="354"/>
      <c r="P1482" s="354"/>
      <c r="Q1482" s="354"/>
      <c r="R1482" s="354"/>
      <c r="S1482" s="354"/>
      <c r="T1482" s="354"/>
      <c r="U1482" s="354"/>
      <c r="V1482" s="354"/>
      <c r="W1482" s="354"/>
      <c r="X1482" s="354"/>
      <c r="Y1482" s="354"/>
      <c r="Z1482" s="353"/>
      <c r="AA1482" s="352"/>
      <c r="AB1482" s="726"/>
    </row>
    <row r="1483" spans="1:28" ht="16.5" customHeight="1">
      <c r="A1483" s="347"/>
      <c r="B1483" s="347"/>
      <c r="C1483" s="347"/>
      <c r="D1483" s="348"/>
      <c r="E1483" s="348"/>
      <c r="F1483" s="348"/>
      <c r="G1483" s="348"/>
      <c r="H1483" s="359"/>
      <c r="I1483" s="352"/>
      <c r="J1483" s="353"/>
      <c r="K1483" s="538"/>
      <c r="L1483" s="487"/>
      <c r="M1483" s="487"/>
      <c r="N1483" s="354"/>
      <c r="O1483" s="354"/>
      <c r="P1483" s="354"/>
      <c r="Q1483" s="354"/>
      <c r="R1483" s="354"/>
      <c r="S1483" s="354"/>
      <c r="T1483" s="354"/>
      <c r="U1483" s="354"/>
      <c r="V1483" s="354"/>
      <c r="W1483" s="354"/>
      <c r="X1483" s="354"/>
      <c r="Y1483" s="354"/>
      <c r="Z1483" s="353"/>
      <c r="AA1483" s="352"/>
      <c r="AB1483" s="726"/>
    </row>
    <row r="1484" spans="1:28" ht="16.5" customHeight="1">
      <c r="A1484" s="347"/>
      <c r="B1484" s="347"/>
      <c r="C1484" s="347"/>
      <c r="D1484" s="361"/>
      <c r="E1484" s="361"/>
      <c r="F1484" s="361"/>
      <c r="G1484" s="348"/>
      <c r="H1484" s="359"/>
      <c r="I1484" s="352"/>
      <c r="J1484" s="353"/>
      <c r="K1484" s="538"/>
      <c r="L1484" s="487"/>
      <c r="M1484" s="487"/>
      <c r="N1484" s="354"/>
      <c r="O1484" s="354"/>
      <c r="P1484" s="354"/>
      <c r="Q1484" s="354"/>
      <c r="R1484" s="354"/>
      <c r="S1484" s="354"/>
      <c r="T1484" s="354"/>
      <c r="U1484" s="354"/>
      <c r="V1484" s="354"/>
      <c r="W1484" s="354"/>
      <c r="X1484" s="354"/>
      <c r="Y1484" s="354"/>
      <c r="Z1484" s="353"/>
      <c r="AA1484" s="352"/>
      <c r="AB1484" s="726"/>
    </row>
    <row r="1485" spans="1:28" ht="16.5" customHeight="1">
      <c r="A1485" s="347"/>
      <c r="B1485" s="347"/>
      <c r="C1485" s="347"/>
      <c r="D1485" s="348"/>
      <c r="E1485" s="348"/>
      <c r="F1485" s="348"/>
      <c r="G1485" s="348"/>
      <c r="H1485" s="359"/>
      <c r="I1485" s="352"/>
      <c r="J1485" s="353"/>
      <c r="K1485" s="538"/>
      <c r="L1485" s="487"/>
      <c r="M1485" s="487"/>
      <c r="N1485" s="354"/>
      <c r="O1485" s="354"/>
      <c r="P1485" s="354"/>
      <c r="Q1485" s="354"/>
      <c r="R1485" s="354"/>
      <c r="S1485" s="354"/>
      <c r="T1485" s="354"/>
      <c r="U1485" s="354"/>
      <c r="V1485" s="354"/>
      <c r="W1485" s="354"/>
      <c r="X1485" s="354"/>
      <c r="Y1485" s="354"/>
      <c r="Z1485" s="353"/>
      <c r="AA1485" s="352"/>
      <c r="AB1485" s="726"/>
    </row>
    <row r="1486" spans="1:28" ht="16.5" customHeight="1">
      <c r="A1486" s="347"/>
      <c r="B1486" s="347"/>
      <c r="C1486" s="347"/>
      <c r="D1486" s="361"/>
      <c r="E1486" s="361"/>
      <c r="F1486" s="361"/>
      <c r="G1486" s="348"/>
      <c r="H1486" s="359"/>
      <c r="I1486" s="352"/>
      <c r="J1486" s="353"/>
      <c r="K1486" s="538"/>
      <c r="L1486" s="487"/>
      <c r="M1486" s="487"/>
      <c r="N1486" s="354"/>
      <c r="O1486" s="354"/>
      <c r="P1486" s="354"/>
      <c r="Q1486" s="354"/>
      <c r="R1486" s="354"/>
      <c r="S1486" s="354"/>
      <c r="T1486" s="354"/>
      <c r="U1486" s="354"/>
      <c r="V1486" s="354"/>
      <c r="W1486" s="354"/>
      <c r="X1486" s="354"/>
      <c r="Y1486" s="354"/>
      <c r="Z1486" s="353"/>
      <c r="AA1486" s="352"/>
      <c r="AB1486" s="726"/>
    </row>
    <row r="1487" spans="1:28" ht="16.5" customHeight="1">
      <c r="A1487" s="347"/>
      <c r="B1487" s="347"/>
      <c r="C1487" s="347"/>
      <c r="D1487" s="348"/>
      <c r="E1487" s="348"/>
      <c r="F1487" s="348"/>
      <c r="G1487" s="348"/>
      <c r="H1487" s="359"/>
      <c r="I1487" s="352"/>
      <c r="J1487" s="353"/>
      <c r="K1487" s="538"/>
      <c r="L1487" s="487"/>
      <c r="M1487" s="487"/>
      <c r="N1487" s="354"/>
      <c r="O1487" s="354"/>
      <c r="P1487" s="354"/>
      <c r="Q1487" s="354"/>
      <c r="R1487" s="354"/>
      <c r="S1487" s="354"/>
      <c r="T1487" s="354"/>
      <c r="U1487" s="354"/>
      <c r="V1487" s="354"/>
      <c r="W1487" s="354"/>
      <c r="X1487" s="354"/>
      <c r="Y1487" s="354"/>
      <c r="Z1487" s="353"/>
      <c r="AA1487" s="352"/>
      <c r="AB1487" s="726"/>
    </row>
    <row r="1488" spans="1:28" ht="16.5" customHeight="1">
      <c r="A1488" s="347"/>
      <c r="B1488" s="347"/>
      <c r="C1488" s="347"/>
      <c r="D1488" s="348"/>
      <c r="E1488" s="348"/>
      <c r="F1488" s="348"/>
      <c r="G1488" s="348"/>
      <c r="H1488" s="359"/>
      <c r="I1488" s="352"/>
      <c r="J1488" s="353"/>
      <c r="K1488" s="538"/>
      <c r="L1488" s="487"/>
      <c r="M1488" s="487"/>
      <c r="N1488" s="354"/>
      <c r="O1488" s="354"/>
      <c r="P1488" s="354"/>
      <c r="Q1488" s="354"/>
      <c r="R1488" s="354"/>
      <c r="S1488" s="354"/>
      <c r="T1488" s="354"/>
      <c r="U1488" s="354"/>
      <c r="V1488" s="354"/>
      <c r="W1488" s="354"/>
      <c r="X1488" s="354"/>
      <c r="Y1488" s="354"/>
      <c r="Z1488" s="353"/>
      <c r="AA1488" s="352"/>
      <c r="AB1488" s="726"/>
    </row>
    <row r="1489" spans="1:28" ht="16.5" customHeight="1">
      <c r="A1489" s="347"/>
      <c r="B1489" s="347"/>
      <c r="C1489" s="347"/>
      <c r="D1489" s="348"/>
      <c r="E1489" s="348"/>
      <c r="F1489" s="348"/>
      <c r="G1489" s="348"/>
      <c r="H1489" s="359"/>
      <c r="I1489" s="352"/>
      <c r="J1489" s="353"/>
      <c r="K1489" s="538"/>
      <c r="L1489" s="487"/>
      <c r="M1489" s="487"/>
      <c r="N1489" s="354"/>
      <c r="O1489" s="354"/>
      <c r="P1489" s="354"/>
      <c r="Q1489" s="354"/>
      <c r="R1489" s="354"/>
      <c r="S1489" s="354"/>
      <c r="T1489" s="354"/>
      <c r="U1489" s="354"/>
      <c r="V1489" s="354"/>
      <c r="W1489" s="354"/>
      <c r="X1489" s="354"/>
      <c r="Y1489" s="354"/>
      <c r="Z1489" s="353"/>
      <c r="AA1489" s="352"/>
      <c r="AB1489" s="726"/>
    </row>
    <row r="1490" spans="1:28" ht="16.5" customHeight="1">
      <c r="A1490" s="347"/>
      <c r="B1490" s="347"/>
      <c r="C1490" s="347"/>
      <c r="D1490" s="348"/>
      <c r="E1490" s="348"/>
      <c r="F1490" s="348"/>
      <c r="G1490" s="348"/>
      <c r="H1490" s="359"/>
      <c r="I1490" s="352"/>
      <c r="J1490" s="353"/>
      <c r="K1490" s="538"/>
      <c r="L1490" s="487"/>
      <c r="M1490" s="487"/>
      <c r="N1490" s="354"/>
      <c r="O1490" s="354"/>
      <c r="P1490" s="354"/>
      <c r="Q1490" s="354"/>
      <c r="R1490" s="354"/>
      <c r="S1490" s="354"/>
      <c r="T1490" s="354"/>
      <c r="U1490" s="354"/>
      <c r="V1490" s="354"/>
      <c r="W1490" s="354"/>
      <c r="X1490" s="354"/>
      <c r="Y1490" s="354"/>
      <c r="Z1490" s="353"/>
      <c r="AA1490" s="352"/>
      <c r="AB1490" s="726"/>
    </row>
    <row r="1491" spans="1:28" ht="16.5" customHeight="1">
      <c r="A1491" s="347"/>
      <c r="B1491" s="347"/>
      <c r="C1491" s="347"/>
      <c r="D1491" s="348"/>
      <c r="E1491" s="348"/>
      <c r="F1491" s="348"/>
      <c r="G1491" s="348"/>
      <c r="H1491" s="359"/>
      <c r="I1491" s="352"/>
      <c r="J1491" s="353"/>
      <c r="K1491" s="538"/>
      <c r="L1491" s="487"/>
      <c r="M1491" s="487"/>
      <c r="N1491" s="354"/>
      <c r="O1491" s="354"/>
      <c r="P1491" s="354"/>
      <c r="Q1491" s="354"/>
      <c r="R1491" s="354"/>
      <c r="S1491" s="354"/>
      <c r="T1491" s="354"/>
      <c r="U1491" s="354"/>
      <c r="V1491" s="354"/>
      <c r="W1491" s="354"/>
      <c r="X1491" s="354"/>
      <c r="Y1491" s="354"/>
      <c r="Z1491" s="353"/>
      <c r="AA1491" s="352"/>
      <c r="AB1491" s="726"/>
    </row>
    <row r="1492" spans="1:28" ht="16.5" customHeight="1">
      <c r="A1492" s="347"/>
      <c r="B1492" s="347"/>
      <c r="C1492" s="347"/>
      <c r="D1492" s="361"/>
      <c r="E1492" s="361"/>
      <c r="F1492" s="361"/>
      <c r="G1492" s="348"/>
      <c r="H1492" s="359"/>
      <c r="I1492" s="352"/>
      <c r="J1492" s="353"/>
      <c r="K1492" s="538"/>
      <c r="L1492" s="487"/>
      <c r="M1492" s="487"/>
      <c r="N1492" s="354"/>
      <c r="O1492" s="354"/>
      <c r="P1492" s="354"/>
      <c r="Q1492" s="354"/>
      <c r="R1492" s="354"/>
      <c r="S1492" s="354"/>
      <c r="T1492" s="354"/>
      <c r="U1492" s="354"/>
      <c r="V1492" s="354"/>
      <c r="W1492" s="354"/>
      <c r="X1492" s="354"/>
      <c r="Y1492" s="354"/>
      <c r="Z1492" s="353"/>
      <c r="AA1492" s="352"/>
      <c r="AB1492" s="726"/>
    </row>
    <row r="1493" spans="1:28" ht="16.5" customHeight="1">
      <c r="A1493" s="347"/>
      <c r="B1493" s="347"/>
      <c r="C1493" s="347"/>
      <c r="D1493" s="361"/>
      <c r="E1493" s="361"/>
      <c r="F1493" s="361"/>
      <c r="G1493" s="348"/>
      <c r="H1493" s="359"/>
      <c r="I1493" s="352"/>
      <c r="J1493" s="353"/>
      <c r="K1493" s="538"/>
      <c r="L1493" s="487"/>
      <c r="M1493" s="487"/>
      <c r="N1493" s="354"/>
      <c r="O1493" s="354"/>
      <c r="P1493" s="354"/>
      <c r="Q1493" s="354"/>
      <c r="R1493" s="354"/>
      <c r="S1493" s="354"/>
      <c r="T1493" s="354"/>
      <c r="U1493" s="354"/>
      <c r="V1493" s="354"/>
      <c r="W1493" s="354"/>
      <c r="X1493" s="354"/>
      <c r="Y1493" s="354"/>
      <c r="Z1493" s="353"/>
      <c r="AA1493" s="352"/>
      <c r="AB1493" s="726"/>
    </row>
    <row r="1494" spans="1:28" ht="16.5" customHeight="1">
      <c r="A1494" s="347"/>
      <c r="B1494" s="347"/>
      <c r="C1494" s="347"/>
      <c r="D1494" s="348"/>
      <c r="E1494" s="348"/>
      <c r="F1494" s="348"/>
      <c r="G1494" s="348"/>
      <c r="H1494" s="359"/>
      <c r="I1494" s="352"/>
      <c r="J1494" s="353"/>
      <c r="K1494" s="538"/>
      <c r="L1494" s="487"/>
      <c r="M1494" s="487"/>
      <c r="N1494" s="354"/>
      <c r="O1494" s="354"/>
      <c r="P1494" s="354"/>
      <c r="Q1494" s="354"/>
      <c r="R1494" s="354"/>
      <c r="S1494" s="354"/>
      <c r="T1494" s="354"/>
      <c r="U1494" s="354"/>
      <c r="V1494" s="354"/>
      <c r="W1494" s="354"/>
      <c r="X1494" s="354"/>
      <c r="Y1494" s="354"/>
      <c r="Z1494" s="353"/>
      <c r="AA1494" s="352"/>
      <c r="AB1494" s="726"/>
    </row>
    <row r="1495" spans="1:28" ht="16.5" customHeight="1">
      <c r="A1495" s="347"/>
      <c r="B1495" s="347"/>
      <c r="C1495" s="347"/>
      <c r="D1495" s="348"/>
      <c r="E1495" s="348"/>
      <c r="F1495" s="348"/>
      <c r="G1495" s="348"/>
      <c r="H1495" s="359"/>
      <c r="I1495" s="352"/>
      <c r="J1495" s="353"/>
      <c r="K1495" s="538"/>
      <c r="L1495" s="487"/>
      <c r="M1495" s="487"/>
      <c r="N1495" s="354"/>
      <c r="O1495" s="354"/>
      <c r="P1495" s="354"/>
      <c r="Q1495" s="354"/>
      <c r="R1495" s="354"/>
      <c r="S1495" s="354"/>
      <c r="T1495" s="354"/>
      <c r="U1495" s="354"/>
      <c r="V1495" s="354"/>
      <c r="W1495" s="354"/>
      <c r="X1495" s="354"/>
      <c r="Y1495" s="354"/>
      <c r="Z1495" s="353"/>
      <c r="AA1495" s="352"/>
      <c r="AB1495" s="726"/>
    </row>
    <row r="1496" spans="1:28" ht="16.5" customHeight="1">
      <c r="A1496" s="347"/>
      <c r="B1496" s="347"/>
      <c r="C1496" s="347"/>
      <c r="D1496" s="348"/>
      <c r="E1496" s="348"/>
      <c r="F1496" s="348"/>
      <c r="G1496" s="348"/>
      <c r="H1496" s="359"/>
      <c r="I1496" s="352"/>
      <c r="J1496" s="353"/>
      <c r="K1496" s="538"/>
      <c r="L1496" s="487"/>
      <c r="M1496" s="487"/>
      <c r="N1496" s="354"/>
      <c r="O1496" s="354"/>
      <c r="P1496" s="354"/>
      <c r="Q1496" s="354"/>
      <c r="R1496" s="354"/>
      <c r="S1496" s="354"/>
      <c r="T1496" s="354"/>
      <c r="U1496" s="354"/>
      <c r="V1496" s="354"/>
      <c r="W1496" s="354"/>
      <c r="X1496" s="354"/>
      <c r="Y1496" s="354"/>
      <c r="Z1496" s="353"/>
      <c r="AA1496" s="352"/>
      <c r="AB1496" s="726"/>
    </row>
    <row r="1497" spans="1:28" ht="16.5" customHeight="1">
      <c r="A1497" s="347"/>
      <c r="B1497" s="347"/>
      <c r="C1497" s="347"/>
      <c r="D1497" s="361"/>
      <c r="E1497" s="361"/>
      <c r="F1497" s="361"/>
      <c r="G1497" s="348"/>
      <c r="H1497" s="359"/>
      <c r="I1497" s="352"/>
      <c r="J1497" s="353"/>
      <c r="K1497" s="538"/>
      <c r="L1497" s="487"/>
      <c r="M1497" s="487"/>
      <c r="N1497" s="354"/>
      <c r="O1497" s="354"/>
      <c r="P1497" s="354"/>
      <c r="Q1497" s="354"/>
      <c r="R1497" s="354"/>
      <c r="S1497" s="354"/>
      <c r="T1497" s="354"/>
      <c r="U1497" s="354"/>
      <c r="V1497" s="354"/>
      <c r="W1497" s="354"/>
      <c r="X1497" s="354"/>
      <c r="Y1497" s="354"/>
      <c r="Z1497" s="353"/>
      <c r="AA1497" s="352"/>
      <c r="AB1497" s="726"/>
    </row>
    <row r="1498" spans="1:28" ht="16.5" customHeight="1">
      <c r="A1498" s="347"/>
      <c r="B1498" s="347"/>
      <c r="C1498" s="347"/>
      <c r="D1498" s="348"/>
      <c r="E1498" s="348"/>
      <c r="F1498" s="348"/>
      <c r="G1498" s="348"/>
      <c r="H1498" s="359"/>
      <c r="I1498" s="352"/>
      <c r="J1498" s="353"/>
      <c r="K1498" s="538"/>
      <c r="L1498" s="487"/>
      <c r="M1498" s="487"/>
      <c r="N1498" s="354"/>
      <c r="O1498" s="354"/>
      <c r="P1498" s="354"/>
      <c r="Q1498" s="354"/>
      <c r="R1498" s="354"/>
      <c r="S1498" s="354"/>
      <c r="T1498" s="354"/>
      <c r="U1498" s="354"/>
      <c r="V1498" s="354"/>
      <c r="W1498" s="354"/>
      <c r="X1498" s="354"/>
      <c r="Y1498" s="354"/>
      <c r="Z1498" s="353"/>
      <c r="AA1498" s="352"/>
      <c r="AB1498" s="726"/>
    </row>
    <row r="1499" spans="1:28" ht="16.5" customHeight="1">
      <c r="A1499" s="347"/>
      <c r="B1499" s="347"/>
      <c r="C1499" s="347"/>
      <c r="D1499" s="348"/>
      <c r="E1499" s="348"/>
      <c r="F1499" s="348"/>
      <c r="G1499" s="348"/>
      <c r="H1499" s="359"/>
      <c r="I1499" s="352"/>
      <c r="J1499" s="353"/>
      <c r="K1499" s="538"/>
      <c r="L1499" s="487"/>
      <c r="M1499" s="487"/>
      <c r="N1499" s="354"/>
      <c r="O1499" s="354"/>
      <c r="P1499" s="354"/>
      <c r="Q1499" s="354"/>
      <c r="R1499" s="354"/>
      <c r="S1499" s="354"/>
      <c r="T1499" s="354"/>
      <c r="U1499" s="354"/>
      <c r="V1499" s="354"/>
      <c r="W1499" s="354"/>
      <c r="X1499" s="354"/>
      <c r="Y1499" s="354"/>
      <c r="Z1499" s="353"/>
      <c r="AA1499" s="352"/>
      <c r="AB1499" s="726"/>
    </row>
    <row r="1500" spans="1:28" ht="16.5" customHeight="1">
      <c r="A1500" s="347"/>
      <c r="B1500" s="347"/>
      <c r="C1500" s="347"/>
      <c r="D1500" s="361"/>
      <c r="E1500" s="361"/>
      <c r="F1500" s="361"/>
      <c r="G1500" s="348"/>
      <c r="H1500" s="359"/>
      <c r="I1500" s="352"/>
      <c r="J1500" s="353"/>
      <c r="K1500" s="538"/>
      <c r="L1500" s="487"/>
      <c r="M1500" s="487"/>
      <c r="N1500" s="354"/>
      <c r="O1500" s="354"/>
      <c r="P1500" s="354"/>
      <c r="Q1500" s="354"/>
      <c r="R1500" s="354"/>
      <c r="S1500" s="354"/>
      <c r="T1500" s="354"/>
      <c r="U1500" s="354"/>
      <c r="V1500" s="354"/>
      <c r="W1500" s="354"/>
      <c r="X1500" s="354"/>
      <c r="Y1500" s="354"/>
      <c r="Z1500" s="353"/>
      <c r="AA1500" s="352"/>
      <c r="AB1500" s="726"/>
    </row>
    <row r="1501" spans="1:28" ht="16.5" customHeight="1">
      <c r="A1501" s="347"/>
      <c r="B1501" s="347"/>
      <c r="C1501" s="347"/>
      <c r="D1501" s="348"/>
      <c r="E1501" s="348"/>
      <c r="F1501" s="348"/>
      <c r="G1501" s="348"/>
      <c r="H1501" s="359"/>
      <c r="I1501" s="352"/>
      <c r="J1501" s="353"/>
      <c r="K1501" s="538"/>
      <c r="L1501" s="487"/>
      <c r="M1501" s="487"/>
      <c r="N1501" s="354"/>
      <c r="O1501" s="354"/>
      <c r="P1501" s="354"/>
      <c r="Q1501" s="354"/>
      <c r="R1501" s="354"/>
      <c r="S1501" s="354"/>
      <c r="T1501" s="354"/>
      <c r="U1501" s="354"/>
      <c r="V1501" s="354"/>
      <c r="W1501" s="354"/>
      <c r="X1501" s="354"/>
      <c r="Y1501" s="354"/>
      <c r="Z1501" s="353"/>
      <c r="AA1501" s="352"/>
      <c r="AB1501" s="726"/>
    </row>
    <row r="1502" spans="1:28" ht="16.5" customHeight="1">
      <c r="A1502" s="347"/>
      <c r="B1502" s="347"/>
      <c r="C1502" s="347"/>
      <c r="D1502" s="348"/>
      <c r="E1502" s="348"/>
      <c r="F1502" s="348"/>
      <c r="G1502" s="348"/>
      <c r="H1502" s="359"/>
      <c r="I1502" s="352"/>
      <c r="J1502" s="353"/>
      <c r="K1502" s="538"/>
      <c r="L1502" s="487"/>
      <c r="M1502" s="487"/>
      <c r="N1502" s="354"/>
      <c r="O1502" s="354"/>
      <c r="P1502" s="354"/>
      <c r="Q1502" s="354"/>
      <c r="R1502" s="354"/>
      <c r="S1502" s="354"/>
      <c r="T1502" s="354"/>
      <c r="U1502" s="354"/>
      <c r="V1502" s="354"/>
      <c r="W1502" s="354"/>
      <c r="X1502" s="354"/>
      <c r="Y1502" s="354"/>
      <c r="Z1502" s="353"/>
      <c r="AA1502" s="352"/>
      <c r="AB1502" s="726"/>
    </row>
    <row r="1503" spans="1:28" ht="16.5" customHeight="1">
      <c r="A1503" s="347"/>
      <c r="B1503" s="347"/>
      <c r="C1503" s="347"/>
      <c r="D1503" s="348"/>
      <c r="E1503" s="348"/>
      <c r="F1503" s="348"/>
      <c r="G1503" s="348"/>
      <c r="H1503" s="359"/>
      <c r="I1503" s="352"/>
      <c r="J1503" s="353"/>
      <c r="K1503" s="538"/>
      <c r="L1503" s="487"/>
      <c r="M1503" s="487"/>
      <c r="N1503" s="354"/>
      <c r="O1503" s="354"/>
      <c r="P1503" s="354"/>
      <c r="Q1503" s="354"/>
      <c r="R1503" s="354"/>
      <c r="S1503" s="354"/>
      <c r="T1503" s="354"/>
      <c r="U1503" s="354"/>
      <c r="V1503" s="354"/>
      <c r="W1503" s="354"/>
      <c r="X1503" s="354"/>
      <c r="Y1503" s="354"/>
      <c r="Z1503" s="353"/>
      <c r="AA1503" s="352"/>
      <c r="AB1503" s="726"/>
    </row>
    <row r="1504" spans="1:28" ht="16.5" customHeight="1">
      <c r="A1504" s="347"/>
      <c r="B1504" s="347"/>
      <c r="C1504" s="347"/>
      <c r="D1504" s="348"/>
      <c r="E1504" s="348"/>
      <c r="F1504" s="348"/>
      <c r="G1504" s="348"/>
      <c r="H1504" s="359"/>
      <c r="I1504" s="352"/>
      <c r="J1504" s="353"/>
      <c r="K1504" s="538"/>
      <c r="L1504" s="487"/>
      <c r="M1504" s="487"/>
      <c r="N1504" s="354"/>
      <c r="O1504" s="354"/>
      <c r="P1504" s="354"/>
      <c r="Q1504" s="354"/>
      <c r="R1504" s="354"/>
      <c r="S1504" s="354"/>
      <c r="T1504" s="354"/>
      <c r="U1504" s="354"/>
      <c r="V1504" s="354"/>
      <c r="W1504" s="354"/>
      <c r="X1504" s="354"/>
      <c r="Y1504" s="354"/>
      <c r="Z1504" s="353"/>
      <c r="AA1504" s="352"/>
      <c r="AB1504" s="726"/>
    </row>
    <row r="1505" spans="1:28" ht="16.5" customHeight="1">
      <c r="A1505" s="347"/>
      <c r="B1505" s="347"/>
      <c r="C1505" s="347"/>
      <c r="D1505" s="348"/>
      <c r="E1505" s="348"/>
      <c r="F1505" s="348"/>
      <c r="G1505" s="348"/>
      <c r="H1505" s="359"/>
      <c r="I1505" s="352"/>
      <c r="J1505" s="353"/>
      <c r="K1505" s="538"/>
      <c r="L1505" s="487"/>
      <c r="M1505" s="487"/>
      <c r="N1505" s="354"/>
      <c r="O1505" s="354"/>
      <c r="P1505" s="354"/>
      <c r="Q1505" s="354"/>
      <c r="R1505" s="354"/>
      <c r="S1505" s="354"/>
      <c r="T1505" s="354"/>
      <c r="U1505" s="354"/>
      <c r="V1505" s="354"/>
      <c r="W1505" s="354"/>
      <c r="X1505" s="354"/>
      <c r="Y1505" s="354"/>
      <c r="Z1505" s="353"/>
      <c r="AA1505" s="352"/>
      <c r="AB1505" s="726"/>
    </row>
    <row r="1506" spans="1:28" ht="16.5" customHeight="1">
      <c r="A1506" s="347"/>
      <c r="B1506" s="347"/>
      <c r="C1506" s="347"/>
      <c r="D1506" s="348"/>
      <c r="E1506" s="348"/>
      <c r="F1506" s="348"/>
      <c r="G1506" s="348"/>
      <c r="H1506" s="359"/>
      <c r="I1506" s="352"/>
      <c r="J1506" s="353"/>
      <c r="K1506" s="538"/>
      <c r="L1506" s="487"/>
      <c r="M1506" s="487"/>
      <c r="N1506" s="354"/>
      <c r="O1506" s="354"/>
      <c r="P1506" s="354"/>
      <c r="Q1506" s="354"/>
      <c r="R1506" s="354"/>
      <c r="S1506" s="354"/>
      <c r="T1506" s="354"/>
      <c r="U1506" s="354"/>
      <c r="V1506" s="354"/>
      <c r="W1506" s="354"/>
      <c r="X1506" s="354"/>
      <c r="Y1506" s="354"/>
      <c r="Z1506" s="353"/>
      <c r="AA1506" s="352"/>
      <c r="AB1506" s="726"/>
    </row>
    <row r="1507" spans="1:28" ht="16.5" customHeight="1">
      <c r="A1507" s="347"/>
      <c r="B1507" s="347"/>
      <c r="C1507" s="347"/>
      <c r="D1507" s="348"/>
      <c r="E1507" s="348"/>
      <c r="F1507" s="348"/>
      <c r="G1507" s="348"/>
      <c r="H1507" s="359"/>
      <c r="I1507" s="352"/>
      <c r="J1507" s="353"/>
      <c r="K1507" s="538"/>
      <c r="L1507" s="487"/>
      <c r="M1507" s="487"/>
      <c r="N1507" s="354"/>
      <c r="O1507" s="354"/>
      <c r="P1507" s="354"/>
      <c r="Q1507" s="354"/>
      <c r="R1507" s="354"/>
      <c r="S1507" s="354"/>
      <c r="T1507" s="354"/>
      <c r="U1507" s="354"/>
      <c r="V1507" s="354"/>
      <c r="W1507" s="354"/>
      <c r="X1507" s="354"/>
      <c r="Y1507" s="354"/>
      <c r="Z1507" s="353"/>
      <c r="AA1507" s="352"/>
      <c r="AB1507" s="726"/>
    </row>
    <row r="1508" spans="1:28" ht="16.5" customHeight="1">
      <c r="A1508" s="347"/>
      <c r="B1508" s="347"/>
      <c r="C1508" s="347"/>
      <c r="D1508" s="348"/>
      <c r="E1508" s="348"/>
      <c r="F1508" s="348"/>
      <c r="G1508" s="348"/>
      <c r="H1508" s="359"/>
      <c r="I1508" s="352"/>
      <c r="J1508" s="353"/>
      <c r="K1508" s="538"/>
      <c r="L1508" s="487"/>
      <c r="M1508" s="487"/>
      <c r="N1508" s="354"/>
      <c r="O1508" s="354"/>
      <c r="P1508" s="354"/>
      <c r="Q1508" s="354"/>
      <c r="R1508" s="354"/>
      <c r="S1508" s="354"/>
      <c r="T1508" s="354"/>
      <c r="U1508" s="354"/>
      <c r="V1508" s="354"/>
      <c r="W1508" s="354"/>
      <c r="X1508" s="354"/>
      <c r="Y1508" s="354"/>
      <c r="Z1508" s="353"/>
      <c r="AA1508" s="352"/>
      <c r="AB1508" s="726"/>
    </row>
    <row r="1509" spans="1:28" ht="16.5" customHeight="1">
      <c r="A1509" s="347"/>
      <c r="B1509" s="347"/>
      <c r="C1509" s="347"/>
      <c r="D1509" s="348"/>
      <c r="E1509" s="348"/>
      <c r="F1509" s="348"/>
      <c r="G1509" s="348"/>
      <c r="H1509" s="359"/>
      <c r="I1509" s="352"/>
      <c r="J1509" s="353"/>
      <c r="K1509" s="538"/>
      <c r="L1509" s="487"/>
      <c r="M1509" s="487"/>
      <c r="N1509" s="354"/>
      <c r="O1509" s="354"/>
      <c r="P1509" s="354"/>
      <c r="Q1509" s="354"/>
      <c r="R1509" s="354"/>
      <c r="S1509" s="354"/>
      <c r="T1509" s="354"/>
      <c r="U1509" s="354"/>
      <c r="V1509" s="354"/>
      <c r="W1509" s="354"/>
      <c r="X1509" s="354"/>
      <c r="Y1509" s="354"/>
      <c r="Z1509" s="353"/>
      <c r="AA1509" s="352"/>
      <c r="AB1509" s="726"/>
    </row>
    <row r="1510" spans="1:28" ht="16.5" customHeight="1">
      <c r="A1510" s="347"/>
      <c r="B1510" s="347"/>
      <c r="C1510" s="347"/>
      <c r="D1510" s="348"/>
      <c r="E1510" s="348"/>
      <c r="F1510" s="348"/>
      <c r="G1510" s="348"/>
      <c r="H1510" s="359"/>
      <c r="I1510" s="352"/>
      <c r="J1510" s="353"/>
      <c r="K1510" s="538"/>
      <c r="L1510" s="487"/>
      <c r="M1510" s="487"/>
      <c r="N1510" s="354"/>
      <c r="O1510" s="354"/>
      <c r="P1510" s="354"/>
      <c r="Q1510" s="354"/>
      <c r="R1510" s="354"/>
      <c r="S1510" s="354"/>
      <c r="T1510" s="354"/>
      <c r="U1510" s="354"/>
      <c r="V1510" s="354"/>
      <c r="W1510" s="354"/>
      <c r="X1510" s="354"/>
      <c r="Y1510" s="354"/>
      <c r="Z1510" s="353"/>
      <c r="AA1510" s="352"/>
      <c r="AB1510" s="726"/>
    </row>
    <row r="1511" spans="1:28" ht="16.5" customHeight="1">
      <c r="A1511" s="347"/>
      <c r="B1511" s="347"/>
      <c r="C1511" s="347"/>
      <c r="D1511" s="361"/>
      <c r="E1511" s="361"/>
      <c r="F1511" s="361"/>
      <c r="G1511" s="348"/>
      <c r="H1511" s="359"/>
      <c r="I1511" s="352"/>
      <c r="J1511" s="353"/>
      <c r="K1511" s="538"/>
      <c r="L1511" s="487"/>
      <c r="M1511" s="487"/>
      <c r="N1511" s="354"/>
      <c r="O1511" s="354"/>
      <c r="P1511" s="354"/>
      <c r="Q1511" s="354"/>
      <c r="R1511" s="354"/>
      <c r="S1511" s="354"/>
      <c r="T1511" s="354"/>
      <c r="U1511" s="354"/>
      <c r="V1511" s="354"/>
      <c r="W1511" s="354"/>
      <c r="X1511" s="354"/>
      <c r="Y1511" s="354"/>
      <c r="Z1511" s="353"/>
      <c r="AA1511" s="352"/>
      <c r="AB1511" s="726"/>
    </row>
    <row r="1512" spans="1:28" ht="16.5" customHeight="1">
      <c r="A1512" s="347"/>
      <c r="B1512" s="347"/>
      <c r="C1512" s="347"/>
      <c r="D1512" s="361"/>
      <c r="E1512" s="361"/>
      <c r="F1512" s="361"/>
      <c r="G1512" s="348"/>
      <c r="H1512" s="359"/>
      <c r="I1512" s="352"/>
      <c r="J1512" s="353"/>
      <c r="K1512" s="538"/>
      <c r="L1512" s="487"/>
      <c r="M1512" s="487"/>
      <c r="N1512" s="354"/>
      <c r="O1512" s="354"/>
      <c r="P1512" s="354"/>
      <c r="Q1512" s="354"/>
      <c r="R1512" s="354"/>
      <c r="S1512" s="354"/>
      <c r="T1512" s="354"/>
      <c r="U1512" s="354"/>
      <c r="V1512" s="354"/>
      <c r="W1512" s="354"/>
      <c r="X1512" s="354"/>
      <c r="Y1512" s="354"/>
      <c r="Z1512" s="353"/>
      <c r="AA1512" s="352"/>
      <c r="AB1512" s="726"/>
    </row>
    <row r="1513" spans="1:28" ht="16.5" customHeight="1">
      <c r="A1513" s="347"/>
      <c r="B1513" s="347"/>
      <c r="C1513" s="347"/>
      <c r="D1513" s="348"/>
      <c r="E1513" s="348"/>
      <c r="F1513" s="348"/>
      <c r="G1513" s="348"/>
      <c r="H1513" s="359"/>
      <c r="I1513" s="352"/>
      <c r="J1513" s="353"/>
      <c r="K1513" s="538"/>
      <c r="L1513" s="487"/>
      <c r="M1513" s="487"/>
      <c r="N1513" s="354"/>
      <c r="O1513" s="354"/>
      <c r="P1513" s="354"/>
      <c r="Q1513" s="354"/>
      <c r="R1513" s="354"/>
      <c r="S1513" s="354"/>
      <c r="T1513" s="354"/>
      <c r="U1513" s="354"/>
      <c r="V1513" s="354"/>
      <c r="W1513" s="354"/>
      <c r="X1513" s="354"/>
      <c r="Y1513" s="354"/>
      <c r="Z1513" s="353"/>
      <c r="AA1513" s="352"/>
      <c r="AB1513" s="726"/>
    </row>
    <row r="1514" spans="1:28" ht="16.5" customHeight="1">
      <c r="A1514" s="347"/>
      <c r="B1514" s="347"/>
      <c r="C1514" s="347"/>
      <c r="D1514" s="348"/>
      <c r="E1514" s="348"/>
      <c r="F1514" s="348"/>
      <c r="G1514" s="348"/>
      <c r="H1514" s="359"/>
      <c r="I1514" s="352"/>
      <c r="J1514" s="353"/>
      <c r="K1514" s="538"/>
      <c r="L1514" s="487"/>
      <c r="M1514" s="487"/>
      <c r="N1514" s="354"/>
      <c r="O1514" s="354"/>
      <c r="P1514" s="354"/>
      <c r="Q1514" s="354"/>
      <c r="R1514" s="354"/>
      <c r="S1514" s="354"/>
      <c r="T1514" s="354"/>
      <c r="U1514" s="354"/>
      <c r="V1514" s="354"/>
      <c r="W1514" s="354"/>
      <c r="X1514" s="354"/>
      <c r="Y1514" s="354"/>
      <c r="Z1514" s="353"/>
      <c r="AA1514" s="352"/>
      <c r="AB1514" s="726"/>
    </row>
    <row r="1515" spans="1:28" ht="16.5" customHeight="1">
      <c r="A1515" s="347"/>
      <c r="B1515" s="347"/>
      <c r="C1515" s="347"/>
      <c r="D1515" s="348"/>
      <c r="E1515" s="348"/>
      <c r="F1515" s="348"/>
      <c r="G1515" s="348"/>
      <c r="H1515" s="359"/>
      <c r="I1515" s="352"/>
      <c r="J1515" s="353"/>
      <c r="K1515" s="538"/>
      <c r="L1515" s="487"/>
      <c r="M1515" s="487"/>
      <c r="N1515" s="354"/>
      <c r="O1515" s="354"/>
      <c r="P1515" s="354"/>
      <c r="Q1515" s="354"/>
      <c r="R1515" s="354"/>
      <c r="S1515" s="354"/>
      <c r="T1515" s="354"/>
      <c r="U1515" s="354"/>
      <c r="V1515" s="354"/>
      <c r="W1515" s="354"/>
      <c r="X1515" s="354"/>
      <c r="Y1515" s="354"/>
      <c r="Z1515" s="353"/>
      <c r="AA1515" s="352"/>
      <c r="AB1515" s="726"/>
    </row>
    <row r="1516" spans="1:28" ht="16.5" customHeight="1">
      <c r="A1516" s="347"/>
      <c r="B1516" s="347"/>
      <c r="C1516" s="347"/>
      <c r="D1516" s="348"/>
      <c r="E1516" s="348"/>
      <c r="F1516" s="348"/>
      <c r="G1516" s="348"/>
      <c r="H1516" s="359"/>
      <c r="I1516" s="352"/>
      <c r="J1516" s="353"/>
      <c r="K1516" s="538"/>
      <c r="L1516" s="487"/>
      <c r="M1516" s="487"/>
      <c r="N1516" s="354"/>
      <c r="O1516" s="354"/>
      <c r="P1516" s="354"/>
      <c r="Q1516" s="354"/>
      <c r="R1516" s="354"/>
      <c r="S1516" s="354"/>
      <c r="T1516" s="354"/>
      <c r="U1516" s="354"/>
      <c r="V1516" s="354"/>
      <c r="W1516" s="354"/>
      <c r="X1516" s="354"/>
      <c r="Y1516" s="354"/>
      <c r="Z1516" s="353"/>
      <c r="AA1516" s="352"/>
      <c r="AB1516" s="726"/>
    </row>
    <row r="1517" spans="1:28" ht="16.5" customHeight="1">
      <c r="A1517" s="347"/>
      <c r="B1517" s="347"/>
      <c r="C1517" s="347"/>
      <c r="D1517" s="361"/>
      <c r="E1517" s="361"/>
      <c r="F1517" s="361"/>
      <c r="G1517" s="348"/>
      <c r="H1517" s="359"/>
      <c r="I1517" s="352"/>
      <c r="J1517" s="353"/>
      <c r="K1517" s="538"/>
      <c r="L1517" s="487"/>
      <c r="M1517" s="487"/>
      <c r="N1517" s="354"/>
      <c r="O1517" s="354"/>
      <c r="P1517" s="354"/>
      <c r="Q1517" s="354"/>
      <c r="R1517" s="354"/>
      <c r="S1517" s="354"/>
      <c r="T1517" s="354"/>
      <c r="U1517" s="354"/>
      <c r="V1517" s="354"/>
      <c r="W1517" s="354"/>
      <c r="X1517" s="354"/>
      <c r="Y1517" s="354"/>
      <c r="Z1517" s="353"/>
      <c r="AA1517" s="352"/>
      <c r="AB1517" s="726"/>
    </row>
    <row r="1518" spans="1:28" ht="16.5" customHeight="1">
      <c r="A1518" s="347"/>
      <c r="B1518" s="347"/>
      <c r="C1518" s="347"/>
      <c r="D1518" s="361"/>
      <c r="E1518" s="361"/>
      <c r="F1518" s="361"/>
      <c r="G1518" s="348"/>
      <c r="H1518" s="359"/>
      <c r="I1518" s="352"/>
      <c r="J1518" s="353"/>
      <c r="K1518" s="538"/>
      <c r="L1518" s="487"/>
      <c r="M1518" s="487"/>
      <c r="N1518" s="354"/>
      <c r="O1518" s="354"/>
      <c r="P1518" s="354"/>
      <c r="Q1518" s="354"/>
      <c r="R1518" s="354"/>
      <c r="S1518" s="354"/>
      <c r="T1518" s="354"/>
      <c r="U1518" s="354"/>
      <c r="V1518" s="354"/>
      <c r="W1518" s="354"/>
      <c r="X1518" s="354"/>
      <c r="Y1518" s="354"/>
      <c r="Z1518" s="353"/>
      <c r="AA1518" s="352"/>
      <c r="AB1518" s="726"/>
    </row>
    <row r="1519" spans="1:28" ht="16.5" customHeight="1">
      <c r="A1519" s="347"/>
      <c r="B1519" s="347"/>
      <c r="C1519" s="347"/>
      <c r="D1519" s="361"/>
      <c r="E1519" s="361"/>
      <c r="F1519" s="361"/>
      <c r="G1519" s="348"/>
      <c r="H1519" s="359"/>
      <c r="I1519" s="352"/>
      <c r="J1519" s="353"/>
      <c r="K1519" s="538"/>
      <c r="L1519" s="487"/>
      <c r="M1519" s="487"/>
      <c r="N1519" s="354"/>
      <c r="O1519" s="354"/>
      <c r="P1519" s="354"/>
      <c r="Q1519" s="354"/>
      <c r="R1519" s="354"/>
      <c r="S1519" s="354"/>
      <c r="T1519" s="354"/>
      <c r="U1519" s="354"/>
      <c r="V1519" s="354"/>
      <c r="W1519" s="354"/>
      <c r="X1519" s="354"/>
      <c r="Y1519" s="354"/>
      <c r="Z1519" s="353"/>
      <c r="AA1519" s="352"/>
      <c r="AB1519" s="726"/>
    </row>
    <row r="1520" spans="1:28" ht="16.5" customHeight="1">
      <c r="A1520" s="347"/>
      <c r="B1520" s="347"/>
      <c r="C1520" s="347"/>
      <c r="D1520" s="361"/>
      <c r="E1520" s="361"/>
      <c r="F1520" s="361"/>
      <c r="G1520" s="348"/>
      <c r="H1520" s="359"/>
      <c r="I1520" s="352"/>
      <c r="J1520" s="353"/>
      <c r="K1520" s="538"/>
      <c r="L1520" s="487"/>
      <c r="M1520" s="487"/>
      <c r="N1520" s="354"/>
      <c r="O1520" s="354"/>
      <c r="P1520" s="354"/>
      <c r="Q1520" s="354"/>
      <c r="R1520" s="354"/>
      <c r="S1520" s="354"/>
      <c r="T1520" s="354"/>
      <c r="U1520" s="354"/>
      <c r="V1520" s="354"/>
      <c r="W1520" s="354"/>
      <c r="X1520" s="354"/>
      <c r="Y1520" s="354"/>
      <c r="Z1520" s="353"/>
      <c r="AA1520" s="352"/>
      <c r="AB1520" s="726"/>
    </row>
    <row r="1521" spans="1:28" ht="16.5" customHeight="1">
      <c r="A1521" s="347"/>
      <c r="B1521" s="347"/>
      <c r="C1521" s="347"/>
      <c r="D1521" s="348"/>
      <c r="E1521" s="348"/>
      <c r="F1521" s="348"/>
      <c r="G1521" s="348"/>
      <c r="H1521" s="359"/>
      <c r="I1521" s="352"/>
      <c r="J1521" s="353"/>
      <c r="K1521" s="538"/>
      <c r="L1521" s="487"/>
      <c r="M1521" s="487"/>
      <c r="N1521" s="354"/>
      <c r="O1521" s="354"/>
      <c r="P1521" s="354"/>
      <c r="Q1521" s="354"/>
      <c r="R1521" s="354"/>
      <c r="S1521" s="354"/>
      <c r="T1521" s="354"/>
      <c r="U1521" s="354"/>
      <c r="V1521" s="354"/>
      <c r="W1521" s="354"/>
      <c r="X1521" s="354"/>
      <c r="Y1521" s="354"/>
      <c r="Z1521" s="353"/>
      <c r="AA1521" s="352"/>
      <c r="AB1521" s="726"/>
    </row>
    <row r="1522" spans="1:28" ht="16.5" customHeight="1">
      <c r="A1522" s="347"/>
      <c r="B1522" s="347"/>
      <c r="C1522" s="347"/>
      <c r="D1522" s="361"/>
      <c r="E1522" s="361"/>
      <c r="F1522" s="361"/>
      <c r="G1522" s="348"/>
      <c r="H1522" s="359"/>
      <c r="I1522" s="352"/>
      <c r="J1522" s="353"/>
      <c r="K1522" s="538"/>
      <c r="L1522" s="487"/>
      <c r="M1522" s="487"/>
      <c r="N1522" s="354"/>
      <c r="O1522" s="354"/>
      <c r="P1522" s="354"/>
      <c r="Q1522" s="354"/>
      <c r="R1522" s="354"/>
      <c r="S1522" s="354"/>
      <c r="T1522" s="354"/>
      <c r="U1522" s="354"/>
      <c r="V1522" s="354"/>
      <c r="W1522" s="354"/>
      <c r="X1522" s="354"/>
      <c r="Y1522" s="354"/>
      <c r="Z1522" s="353"/>
      <c r="AA1522" s="352"/>
      <c r="AB1522" s="726"/>
    </row>
    <row r="1523" spans="1:28" ht="16.5" customHeight="1">
      <c r="A1523" s="347"/>
      <c r="B1523" s="347"/>
      <c r="C1523" s="347"/>
      <c r="D1523" s="348"/>
      <c r="E1523" s="348"/>
      <c r="F1523" s="348"/>
      <c r="G1523" s="348"/>
      <c r="H1523" s="359"/>
      <c r="I1523" s="352"/>
      <c r="J1523" s="353"/>
      <c r="K1523" s="538"/>
      <c r="L1523" s="487"/>
      <c r="M1523" s="487"/>
      <c r="N1523" s="354"/>
      <c r="O1523" s="354"/>
      <c r="P1523" s="354"/>
      <c r="Q1523" s="354"/>
      <c r="R1523" s="354"/>
      <c r="S1523" s="354"/>
      <c r="T1523" s="354"/>
      <c r="U1523" s="354"/>
      <c r="V1523" s="354"/>
      <c r="W1523" s="354"/>
      <c r="X1523" s="354"/>
      <c r="Y1523" s="354"/>
      <c r="Z1523" s="353"/>
      <c r="AA1523" s="352"/>
      <c r="AB1523" s="726"/>
    </row>
    <row r="1524" spans="1:28" ht="16.5" customHeight="1">
      <c r="A1524" s="347"/>
      <c r="B1524" s="347"/>
      <c r="C1524" s="347"/>
      <c r="D1524" s="361"/>
      <c r="E1524" s="361"/>
      <c r="F1524" s="361"/>
      <c r="G1524" s="348"/>
      <c r="H1524" s="359"/>
      <c r="I1524" s="352"/>
      <c r="J1524" s="353"/>
      <c r="K1524" s="538"/>
      <c r="L1524" s="487"/>
      <c r="M1524" s="487"/>
      <c r="N1524" s="354"/>
      <c r="O1524" s="354"/>
      <c r="P1524" s="354"/>
      <c r="Q1524" s="354"/>
      <c r="R1524" s="354"/>
      <c r="S1524" s="354"/>
      <c r="T1524" s="354"/>
      <c r="U1524" s="354"/>
      <c r="V1524" s="354"/>
      <c r="W1524" s="354"/>
      <c r="X1524" s="354"/>
      <c r="Y1524" s="354"/>
      <c r="Z1524" s="353"/>
      <c r="AA1524" s="352"/>
      <c r="AB1524" s="726"/>
    </row>
    <row r="1525" spans="1:28" ht="16.5" customHeight="1">
      <c r="A1525" s="347"/>
      <c r="B1525" s="347"/>
      <c r="C1525" s="347"/>
      <c r="D1525" s="348"/>
      <c r="E1525" s="348"/>
      <c r="F1525" s="348"/>
      <c r="G1525" s="348"/>
      <c r="H1525" s="359"/>
      <c r="I1525" s="352"/>
      <c r="J1525" s="353"/>
      <c r="K1525" s="538"/>
      <c r="L1525" s="487"/>
      <c r="M1525" s="487"/>
      <c r="N1525" s="354"/>
      <c r="O1525" s="354"/>
      <c r="P1525" s="354"/>
      <c r="Q1525" s="354"/>
      <c r="R1525" s="354"/>
      <c r="S1525" s="354"/>
      <c r="T1525" s="354"/>
      <c r="U1525" s="354"/>
      <c r="V1525" s="354"/>
      <c r="W1525" s="354"/>
      <c r="X1525" s="354"/>
      <c r="Y1525" s="354"/>
      <c r="Z1525" s="353"/>
      <c r="AA1525" s="352"/>
      <c r="AB1525" s="726"/>
    </row>
    <row r="1526" spans="1:28" ht="16.5" customHeight="1">
      <c r="A1526" s="347"/>
      <c r="B1526" s="347"/>
      <c r="C1526" s="347"/>
      <c r="D1526" s="348"/>
      <c r="E1526" s="348"/>
      <c r="F1526" s="348"/>
      <c r="G1526" s="348"/>
      <c r="H1526" s="359"/>
      <c r="I1526" s="352"/>
      <c r="J1526" s="353"/>
      <c r="K1526" s="538"/>
      <c r="L1526" s="487"/>
      <c r="M1526" s="487"/>
      <c r="N1526" s="354"/>
      <c r="O1526" s="354"/>
      <c r="P1526" s="354"/>
      <c r="Q1526" s="354"/>
      <c r="R1526" s="354"/>
      <c r="S1526" s="354"/>
      <c r="T1526" s="354"/>
      <c r="U1526" s="354"/>
      <c r="V1526" s="354"/>
      <c r="W1526" s="354"/>
      <c r="X1526" s="354"/>
      <c r="Y1526" s="354"/>
      <c r="Z1526" s="353"/>
      <c r="AA1526" s="352"/>
      <c r="AB1526" s="726"/>
    </row>
    <row r="1527" spans="1:28" ht="16.5" customHeight="1">
      <c r="A1527" s="347"/>
      <c r="B1527" s="347"/>
      <c r="C1527" s="347"/>
      <c r="D1527" s="348"/>
      <c r="E1527" s="348"/>
      <c r="F1527" s="348"/>
      <c r="G1527" s="348"/>
      <c r="H1527" s="359"/>
      <c r="I1527" s="352"/>
      <c r="J1527" s="353"/>
      <c r="K1527" s="538"/>
      <c r="L1527" s="487"/>
      <c r="M1527" s="487"/>
      <c r="N1527" s="354"/>
      <c r="O1527" s="354"/>
      <c r="P1527" s="354"/>
      <c r="Q1527" s="354"/>
      <c r="R1527" s="354"/>
      <c r="S1527" s="354"/>
      <c r="T1527" s="354"/>
      <c r="U1527" s="354"/>
      <c r="V1527" s="354"/>
      <c r="W1527" s="354"/>
      <c r="X1527" s="354"/>
      <c r="Y1527" s="354"/>
      <c r="Z1527" s="353"/>
      <c r="AA1527" s="352"/>
      <c r="AB1527" s="726"/>
    </row>
    <row r="1528" spans="1:28" ht="16.5" customHeight="1">
      <c r="A1528" s="347"/>
      <c r="B1528" s="347"/>
      <c r="C1528" s="347"/>
      <c r="D1528" s="348"/>
      <c r="E1528" s="348"/>
      <c r="F1528" s="348"/>
      <c r="G1528" s="348"/>
      <c r="H1528" s="359"/>
      <c r="I1528" s="352"/>
      <c r="J1528" s="353"/>
      <c r="K1528" s="538"/>
      <c r="L1528" s="487"/>
      <c r="M1528" s="487"/>
      <c r="N1528" s="354"/>
      <c r="O1528" s="354"/>
      <c r="P1528" s="354"/>
      <c r="Q1528" s="354"/>
      <c r="R1528" s="354"/>
      <c r="S1528" s="354"/>
      <c r="T1528" s="354"/>
      <c r="U1528" s="354"/>
      <c r="V1528" s="354"/>
      <c r="W1528" s="354"/>
      <c r="X1528" s="354"/>
      <c r="Y1528" s="354"/>
      <c r="Z1528" s="353"/>
      <c r="AA1528" s="352"/>
      <c r="AB1528" s="726"/>
    </row>
    <row r="1529" spans="1:28" ht="16.5" customHeight="1">
      <c r="A1529" s="347"/>
      <c r="B1529" s="347"/>
      <c r="C1529" s="347"/>
      <c r="D1529" s="348"/>
      <c r="E1529" s="348"/>
      <c r="F1529" s="348"/>
      <c r="G1529" s="348"/>
      <c r="H1529" s="359"/>
      <c r="I1529" s="352"/>
      <c r="J1529" s="353"/>
      <c r="K1529" s="538"/>
      <c r="L1529" s="487"/>
      <c r="M1529" s="487"/>
      <c r="N1529" s="354"/>
      <c r="O1529" s="354"/>
      <c r="P1529" s="354"/>
      <c r="Q1529" s="354"/>
      <c r="R1529" s="354"/>
      <c r="S1529" s="354"/>
      <c r="T1529" s="354"/>
      <c r="U1529" s="354"/>
      <c r="V1529" s="354"/>
      <c r="W1529" s="354"/>
      <c r="X1529" s="354"/>
      <c r="Y1529" s="354"/>
      <c r="Z1529" s="353"/>
      <c r="AA1529" s="352"/>
      <c r="AB1529" s="726"/>
    </row>
    <row r="1530" spans="1:28" ht="16.5" customHeight="1">
      <c r="A1530" s="347"/>
      <c r="B1530" s="347"/>
      <c r="C1530" s="347"/>
      <c r="D1530" s="348"/>
      <c r="E1530" s="348"/>
      <c r="F1530" s="348"/>
      <c r="G1530" s="348"/>
      <c r="H1530" s="359"/>
      <c r="I1530" s="352"/>
      <c r="J1530" s="353"/>
      <c r="K1530" s="538"/>
      <c r="L1530" s="487"/>
      <c r="M1530" s="487"/>
      <c r="N1530" s="354"/>
      <c r="O1530" s="354"/>
      <c r="P1530" s="354"/>
      <c r="Q1530" s="354"/>
      <c r="R1530" s="354"/>
      <c r="S1530" s="354"/>
      <c r="T1530" s="354"/>
      <c r="U1530" s="354"/>
      <c r="V1530" s="354"/>
      <c r="W1530" s="354"/>
      <c r="X1530" s="354"/>
      <c r="Y1530" s="354"/>
      <c r="Z1530" s="353"/>
      <c r="AA1530" s="352"/>
      <c r="AB1530" s="726"/>
    </row>
    <row r="1531" spans="1:28" ht="16.5" customHeight="1">
      <c r="A1531" s="347"/>
      <c r="B1531" s="347"/>
      <c r="C1531" s="347"/>
      <c r="D1531" s="348"/>
      <c r="E1531" s="348"/>
      <c r="F1531" s="348"/>
      <c r="G1531" s="348"/>
      <c r="H1531" s="359"/>
      <c r="I1531" s="352"/>
      <c r="J1531" s="353"/>
      <c r="K1531" s="538"/>
      <c r="L1531" s="487"/>
      <c r="M1531" s="487"/>
      <c r="N1531" s="354"/>
      <c r="O1531" s="354"/>
      <c r="P1531" s="354"/>
      <c r="Q1531" s="354"/>
      <c r="R1531" s="354"/>
      <c r="S1531" s="354"/>
      <c r="T1531" s="354"/>
      <c r="U1531" s="354"/>
      <c r="V1531" s="354"/>
      <c r="W1531" s="354"/>
      <c r="X1531" s="354"/>
      <c r="Y1531" s="354"/>
      <c r="Z1531" s="353"/>
      <c r="AA1531" s="352"/>
      <c r="AB1531" s="726"/>
    </row>
    <row r="1532" spans="1:28" ht="16.5" customHeight="1">
      <c r="A1532" s="347"/>
      <c r="B1532" s="347"/>
      <c r="C1532" s="347"/>
      <c r="D1532" s="348"/>
      <c r="E1532" s="348"/>
      <c r="F1532" s="348"/>
      <c r="G1532" s="348"/>
      <c r="H1532" s="359"/>
      <c r="I1532" s="352"/>
      <c r="J1532" s="353"/>
      <c r="K1532" s="538"/>
      <c r="L1532" s="487"/>
      <c r="M1532" s="487"/>
      <c r="N1532" s="354"/>
      <c r="O1532" s="354"/>
      <c r="P1532" s="354"/>
      <c r="Q1532" s="354"/>
      <c r="R1532" s="354"/>
      <c r="S1532" s="354"/>
      <c r="T1532" s="354"/>
      <c r="U1532" s="354"/>
      <c r="V1532" s="354"/>
      <c r="W1532" s="354"/>
      <c r="X1532" s="354"/>
      <c r="Y1532" s="354"/>
      <c r="Z1532" s="353"/>
      <c r="AA1532" s="352"/>
      <c r="AB1532" s="726"/>
    </row>
    <row r="1533" spans="1:28" ht="16.5" customHeight="1">
      <c r="A1533" s="347"/>
      <c r="B1533" s="347"/>
      <c r="C1533" s="347"/>
      <c r="D1533" s="348"/>
      <c r="E1533" s="348"/>
      <c r="F1533" s="348"/>
      <c r="G1533" s="348"/>
      <c r="H1533" s="359"/>
      <c r="I1533" s="352"/>
      <c r="J1533" s="353"/>
      <c r="K1533" s="538"/>
      <c r="L1533" s="487"/>
      <c r="M1533" s="487"/>
      <c r="N1533" s="354"/>
      <c r="O1533" s="354"/>
      <c r="P1533" s="354"/>
      <c r="Q1533" s="354"/>
      <c r="R1533" s="354"/>
      <c r="S1533" s="354"/>
      <c r="T1533" s="354"/>
      <c r="U1533" s="354"/>
      <c r="V1533" s="354"/>
      <c r="W1533" s="354"/>
      <c r="X1533" s="354"/>
      <c r="Y1533" s="354"/>
      <c r="Z1533" s="353"/>
      <c r="AA1533" s="352"/>
      <c r="AB1533" s="726"/>
    </row>
    <row r="1534" spans="1:28" ht="16.5" customHeight="1">
      <c r="A1534" s="347"/>
      <c r="B1534" s="347"/>
      <c r="C1534" s="347"/>
      <c r="D1534" s="348"/>
      <c r="E1534" s="348"/>
      <c r="F1534" s="348"/>
      <c r="G1534" s="348"/>
      <c r="H1534" s="359"/>
      <c r="I1534" s="352"/>
      <c r="J1534" s="353"/>
      <c r="K1534" s="538"/>
      <c r="L1534" s="487"/>
      <c r="M1534" s="487"/>
      <c r="N1534" s="354"/>
      <c r="O1534" s="354"/>
      <c r="P1534" s="354"/>
      <c r="Q1534" s="354"/>
      <c r="R1534" s="354"/>
      <c r="S1534" s="354"/>
      <c r="T1534" s="354"/>
      <c r="U1534" s="354"/>
      <c r="V1534" s="354"/>
      <c r="W1534" s="354"/>
      <c r="X1534" s="354"/>
      <c r="Y1534" s="354"/>
      <c r="Z1534" s="353"/>
      <c r="AA1534" s="352"/>
      <c r="AB1534" s="726"/>
    </row>
    <row r="1535" spans="1:28" ht="16.5" customHeight="1">
      <c r="A1535" s="347"/>
      <c r="B1535" s="347"/>
      <c r="C1535" s="347"/>
      <c r="D1535" s="348"/>
      <c r="E1535" s="348"/>
      <c r="F1535" s="348"/>
      <c r="G1535" s="348"/>
      <c r="H1535" s="359"/>
      <c r="I1535" s="352"/>
      <c r="J1535" s="353"/>
      <c r="K1535" s="538"/>
      <c r="L1535" s="487"/>
      <c r="M1535" s="487"/>
      <c r="N1535" s="354"/>
      <c r="O1535" s="354"/>
      <c r="P1535" s="354"/>
      <c r="Q1535" s="354"/>
      <c r="R1535" s="354"/>
      <c r="S1535" s="354"/>
      <c r="T1535" s="354"/>
      <c r="U1535" s="354"/>
      <c r="V1535" s="354"/>
      <c r="W1535" s="354"/>
      <c r="X1535" s="354"/>
      <c r="Y1535" s="354"/>
      <c r="Z1535" s="353"/>
      <c r="AA1535" s="352"/>
      <c r="AB1535" s="726"/>
    </row>
    <row r="1536" spans="1:28" ht="16.5" customHeight="1">
      <c r="A1536" s="347"/>
      <c r="B1536" s="347"/>
      <c r="C1536" s="347"/>
      <c r="D1536" s="348"/>
      <c r="E1536" s="348"/>
      <c r="F1536" s="348"/>
      <c r="G1536" s="348"/>
      <c r="H1536" s="359"/>
      <c r="I1536" s="352"/>
      <c r="J1536" s="353"/>
      <c r="K1536" s="538"/>
      <c r="L1536" s="487"/>
      <c r="M1536" s="487"/>
      <c r="N1536" s="354"/>
      <c r="O1536" s="354"/>
      <c r="P1536" s="354"/>
      <c r="Q1536" s="354"/>
      <c r="R1536" s="354"/>
      <c r="S1536" s="354"/>
      <c r="T1536" s="354"/>
      <c r="U1536" s="354"/>
      <c r="V1536" s="354"/>
      <c r="W1536" s="354"/>
      <c r="X1536" s="354"/>
      <c r="Y1536" s="354"/>
      <c r="Z1536" s="353"/>
      <c r="AA1536" s="352"/>
      <c r="AB1536" s="726"/>
    </row>
    <row r="1537" spans="1:28" ht="16.5" customHeight="1">
      <c r="A1537" s="347"/>
      <c r="B1537" s="347"/>
      <c r="C1537" s="347"/>
      <c r="D1537" s="348"/>
      <c r="E1537" s="348"/>
      <c r="F1537" s="348"/>
      <c r="G1537" s="348"/>
      <c r="H1537" s="359"/>
      <c r="I1537" s="352"/>
      <c r="J1537" s="353"/>
      <c r="K1537" s="538"/>
      <c r="L1537" s="487"/>
      <c r="M1537" s="487"/>
      <c r="N1537" s="354"/>
      <c r="O1537" s="354"/>
      <c r="P1537" s="354"/>
      <c r="Q1537" s="354"/>
      <c r="R1537" s="354"/>
      <c r="S1537" s="354"/>
      <c r="T1537" s="354"/>
      <c r="U1537" s="354"/>
      <c r="V1537" s="354"/>
      <c r="W1537" s="354"/>
      <c r="X1537" s="354"/>
      <c r="Y1537" s="354"/>
      <c r="Z1537" s="353"/>
      <c r="AA1537" s="352"/>
      <c r="AB1537" s="726"/>
    </row>
    <row r="1538" spans="1:28" ht="16.5" customHeight="1">
      <c r="A1538" s="347"/>
      <c r="B1538" s="347"/>
      <c r="C1538" s="347"/>
      <c r="D1538" s="348"/>
      <c r="E1538" s="348"/>
      <c r="F1538" s="348"/>
      <c r="G1538" s="348"/>
      <c r="H1538" s="359"/>
      <c r="I1538" s="352"/>
      <c r="J1538" s="353"/>
      <c r="K1538" s="538"/>
      <c r="L1538" s="487"/>
      <c r="M1538" s="487"/>
      <c r="N1538" s="354"/>
      <c r="O1538" s="354"/>
      <c r="P1538" s="354"/>
      <c r="Q1538" s="354"/>
      <c r="R1538" s="354"/>
      <c r="S1538" s="354"/>
      <c r="T1538" s="354"/>
      <c r="U1538" s="354"/>
      <c r="V1538" s="354"/>
      <c r="W1538" s="354"/>
      <c r="X1538" s="354"/>
      <c r="Y1538" s="354"/>
      <c r="Z1538" s="353"/>
      <c r="AA1538" s="352"/>
      <c r="AB1538" s="726"/>
    </row>
    <row r="1539" spans="1:28" ht="16.5" customHeight="1">
      <c r="A1539" s="347"/>
      <c r="B1539" s="347"/>
      <c r="C1539" s="347"/>
      <c r="D1539" s="348"/>
      <c r="E1539" s="348"/>
      <c r="F1539" s="348"/>
      <c r="G1539" s="348"/>
      <c r="H1539" s="359"/>
      <c r="I1539" s="352"/>
      <c r="J1539" s="353"/>
      <c r="K1539" s="538"/>
      <c r="L1539" s="487"/>
      <c r="M1539" s="487"/>
      <c r="N1539" s="354"/>
      <c r="O1539" s="354"/>
      <c r="P1539" s="354"/>
      <c r="Q1539" s="354"/>
      <c r="R1539" s="354"/>
      <c r="S1539" s="354"/>
      <c r="T1539" s="354"/>
      <c r="U1539" s="354"/>
      <c r="V1539" s="354"/>
      <c r="W1539" s="354"/>
      <c r="X1539" s="354"/>
      <c r="Y1539" s="354"/>
      <c r="Z1539" s="353"/>
      <c r="AA1539" s="352"/>
      <c r="AB1539" s="726"/>
    </row>
    <row r="1540" spans="1:28" ht="16.5" customHeight="1">
      <c r="A1540" s="347"/>
      <c r="B1540" s="347"/>
      <c r="C1540" s="347"/>
      <c r="D1540" s="348"/>
      <c r="E1540" s="348"/>
      <c r="F1540" s="348"/>
      <c r="G1540" s="348"/>
      <c r="H1540" s="359"/>
      <c r="I1540" s="352"/>
      <c r="J1540" s="353"/>
      <c r="K1540" s="538"/>
      <c r="L1540" s="487"/>
      <c r="M1540" s="487"/>
      <c r="N1540" s="354"/>
      <c r="O1540" s="354"/>
      <c r="P1540" s="354"/>
      <c r="Q1540" s="354"/>
      <c r="R1540" s="354"/>
      <c r="S1540" s="354"/>
      <c r="T1540" s="354"/>
      <c r="U1540" s="354"/>
      <c r="V1540" s="354"/>
      <c r="W1540" s="354"/>
      <c r="X1540" s="354"/>
      <c r="Y1540" s="354"/>
      <c r="Z1540" s="353"/>
      <c r="AA1540" s="352"/>
      <c r="AB1540" s="726"/>
    </row>
    <row r="1541" spans="1:28" ht="16.5" customHeight="1">
      <c r="A1541" s="347"/>
      <c r="B1541" s="347"/>
      <c r="C1541" s="347"/>
      <c r="D1541" s="348"/>
      <c r="E1541" s="348"/>
      <c r="F1541" s="348"/>
      <c r="G1541" s="348"/>
      <c r="H1541" s="359"/>
      <c r="I1541" s="352"/>
      <c r="J1541" s="353"/>
      <c r="K1541" s="538"/>
      <c r="L1541" s="487"/>
      <c r="M1541" s="487"/>
      <c r="N1541" s="354"/>
      <c r="O1541" s="354"/>
      <c r="P1541" s="354"/>
      <c r="Q1541" s="354"/>
      <c r="R1541" s="354"/>
      <c r="S1541" s="354"/>
      <c r="T1541" s="354"/>
      <c r="U1541" s="354"/>
      <c r="V1541" s="354"/>
      <c r="W1541" s="354"/>
      <c r="X1541" s="354"/>
      <c r="Y1541" s="354"/>
      <c r="Z1541" s="353"/>
      <c r="AA1541" s="352"/>
      <c r="AB1541" s="726"/>
    </row>
    <row r="1542" spans="1:28" ht="16.5" customHeight="1">
      <c r="A1542" s="347"/>
      <c r="B1542" s="361"/>
      <c r="C1542" s="361"/>
      <c r="D1542" s="361"/>
      <c r="E1542" s="361"/>
      <c r="F1542" s="361"/>
      <c r="G1542" s="348"/>
      <c r="H1542" s="359"/>
      <c r="I1542" s="352"/>
      <c r="J1542" s="353"/>
      <c r="K1542" s="538"/>
      <c r="L1542" s="487"/>
      <c r="M1542" s="487"/>
      <c r="N1542" s="354"/>
      <c r="O1542" s="354"/>
      <c r="P1542" s="354"/>
      <c r="Q1542" s="354"/>
      <c r="R1542" s="354"/>
      <c r="S1542" s="354"/>
      <c r="T1542" s="354"/>
      <c r="U1542" s="354"/>
      <c r="V1542" s="354"/>
      <c r="W1542" s="354"/>
      <c r="X1542" s="354"/>
      <c r="Y1542" s="354"/>
      <c r="Z1542" s="353"/>
      <c r="AA1542" s="352"/>
      <c r="AB1542" s="726"/>
    </row>
    <row r="1543" spans="1:28" ht="16.5" customHeight="1">
      <c r="A1543" s="347"/>
      <c r="B1543" s="347"/>
      <c r="C1543" s="347"/>
      <c r="D1543" s="348"/>
      <c r="E1543" s="348"/>
      <c r="F1543" s="348"/>
      <c r="G1543" s="348"/>
      <c r="H1543" s="359"/>
      <c r="I1543" s="352"/>
      <c r="J1543" s="353"/>
      <c r="K1543" s="538"/>
      <c r="L1543" s="487"/>
      <c r="M1543" s="487"/>
      <c r="N1543" s="354"/>
      <c r="O1543" s="354"/>
      <c r="P1543" s="354"/>
      <c r="Q1543" s="354"/>
      <c r="R1543" s="354"/>
      <c r="S1543" s="354"/>
      <c r="T1543" s="354"/>
      <c r="U1543" s="354"/>
      <c r="V1543" s="354"/>
      <c r="W1543" s="354"/>
      <c r="X1543" s="354"/>
      <c r="Y1543" s="354"/>
      <c r="Z1543" s="353"/>
      <c r="AA1543" s="352"/>
      <c r="AB1543" s="726"/>
    </row>
    <row r="1544" spans="1:28" ht="16.5" customHeight="1">
      <c r="A1544" s="347"/>
      <c r="B1544" s="347"/>
      <c r="C1544" s="347"/>
      <c r="D1544" s="348"/>
      <c r="E1544" s="348"/>
      <c r="F1544" s="348"/>
      <c r="G1544" s="348"/>
      <c r="H1544" s="359"/>
      <c r="I1544" s="352"/>
      <c r="J1544" s="353"/>
      <c r="K1544" s="538"/>
      <c r="L1544" s="487"/>
      <c r="M1544" s="487"/>
      <c r="N1544" s="354"/>
      <c r="O1544" s="354"/>
      <c r="P1544" s="354"/>
      <c r="Q1544" s="354"/>
      <c r="R1544" s="354"/>
      <c r="S1544" s="354"/>
      <c r="T1544" s="354"/>
      <c r="U1544" s="354"/>
      <c r="V1544" s="354"/>
      <c r="W1544" s="354"/>
      <c r="X1544" s="354"/>
      <c r="Y1544" s="354"/>
      <c r="Z1544" s="353"/>
      <c r="AA1544" s="352"/>
      <c r="AB1544" s="726"/>
    </row>
    <row r="1545" spans="1:28" ht="16.5" customHeight="1">
      <c r="A1545" s="347"/>
      <c r="B1545" s="347"/>
      <c r="C1545" s="347"/>
      <c r="D1545" s="361"/>
      <c r="E1545" s="361"/>
      <c r="F1545" s="361"/>
      <c r="G1545" s="348"/>
      <c r="H1545" s="359"/>
      <c r="I1545" s="352"/>
      <c r="J1545" s="353"/>
      <c r="K1545" s="538"/>
      <c r="L1545" s="487"/>
      <c r="M1545" s="487"/>
      <c r="N1545" s="354"/>
      <c r="O1545" s="354"/>
      <c r="P1545" s="354"/>
      <c r="Q1545" s="354"/>
      <c r="R1545" s="354"/>
      <c r="S1545" s="354"/>
      <c r="T1545" s="354"/>
      <c r="U1545" s="354"/>
      <c r="V1545" s="354"/>
      <c r="W1545" s="354"/>
      <c r="X1545" s="354"/>
      <c r="Y1545" s="354"/>
      <c r="Z1545" s="353"/>
      <c r="AA1545" s="352"/>
      <c r="AB1545" s="726"/>
    </row>
    <row r="1546" spans="1:28" ht="16.5" customHeight="1">
      <c r="A1546" s="347"/>
      <c r="B1546" s="347"/>
      <c r="C1546" s="347"/>
      <c r="D1546" s="361"/>
      <c r="E1546" s="361"/>
      <c r="F1546" s="361"/>
      <c r="G1546" s="348"/>
      <c r="H1546" s="359"/>
      <c r="I1546" s="352"/>
      <c r="J1546" s="353"/>
      <c r="K1546" s="538"/>
      <c r="L1546" s="487"/>
      <c r="M1546" s="487"/>
      <c r="N1546" s="354"/>
      <c r="O1546" s="354"/>
      <c r="P1546" s="354"/>
      <c r="Q1546" s="354"/>
      <c r="R1546" s="354"/>
      <c r="S1546" s="354"/>
      <c r="T1546" s="354"/>
      <c r="U1546" s="354"/>
      <c r="V1546" s="354"/>
      <c r="W1546" s="354"/>
      <c r="X1546" s="354"/>
      <c r="Y1546" s="354"/>
      <c r="Z1546" s="353"/>
      <c r="AA1546" s="352"/>
      <c r="AB1546" s="726"/>
    </row>
    <row r="1547" spans="1:28" ht="16.5" customHeight="1">
      <c r="A1547" s="347"/>
      <c r="B1547" s="347"/>
      <c r="C1547" s="347"/>
      <c r="D1547" s="348"/>
      <c r="E1547" s="348"/>
      <c r="F1547" s="348"/>
      <c r="G1547" s="348"/>
      <c r="H1547" s="359"/>
      <c r="I1547" s="352"/>
      <c r="J1547" s="353"/>
      <c r="K1547" s="538"/>
      <c r="L1547" s="487"/>
      <c r="M1547" s="487"/>
      <c r="N1547" s="354"/>
      <c r="O1547" s="354"/>
      <c r="P1547" s="354"/>
      <c r="Q1547" s="354"/>
      <c r="R1547" s="354"/>
      <c r="S1547" s="354"/>
      <c r="T1547" s="354"/>
      <c r="U1547" s="354"/>
      <c r="V1547" s="354"/>
      <c r="W1547" s="354"/>
      <c r="X1547" s="354"/>
      <c r="Y1547" s="354"/>
      <c r="Z1547" s="353"/>
      <c r="AA1547" s="352"/>
      <c r="AB1547" s="726"/>
    </row>
    <row r="1548" spans="1:28" ht="16.5" customHeight="1">
      <c r="A1548" s="347"/>
      <c r="B1548" s="347"/>
      <c r="C1548" s="347"/>
      <c r="D1548" s="348"/>
      <c r="E1548" s="348"/>
      <c r="F1548" s="348"/>
      <c r="G1548" s="348"/>
      <c r="H1548" s="359"/>
      <c r="I1548" s="352"/>
      <c r="J1548" s="353"/>
      <c r="K1548" s="538"/>
      <c r="L1548" s="487"/>
      <c r="M1548" s="487"/>
      <c r="N1548" s="354"/>
      <c r="O1548" s="354"/>
      <c r="P1548" s="354"/>
      <c r="Q1548" s="354"/>
      <c r="R1548" s="354"/>
      <c r="S1548" s="354"/>
      <c r="T1548" s="354"/>
      <c r="U1548" s="354"/>
      <c r="V1548" s="354"/>
      <c r="W1548" s="354"/>
      <c r="X1548" s="354"/>
      <c r="Y1548" s="354"/>
      <c r="Z1548" s="353"/>
      <c r="AA1548" s="352"/>
      <c r="AB1548" s="726"/>
    </row>
    <row r="1549" spans="1:28" ht="16.5" customHeight="1">
      <c r="A1549" s="347"/>
      <c r="B1549" s="347"/>
      <c r="C1549" s="347"/>
      <c r="D1549" s="348"/>
      <c r="E1549" s="348"/>
      <c r="F1549" s="348"/>
      <c r="G1549" s="348"/>
      <c r="H1549" s="359"/>
      <c r="I1549" s="352"/>
      <c r="J1549" s="353"/>
      <c r="K1549" s="538"/>
      <c r="L1549" s="487"/>
      <c r="M1549" s="487"/>
      <c r="N1549" s="354"/>
      <c r="O1549" s="354"/>
      <c r="P1549" s="354"/>
      <c r="Q1549" s="354"/>
      <c r="R1549" s="354"/>
      <c r="S1549" s="354"/>
      <c r="T1549" s="354"/>
      <c r="U1549" s="354"/>
      <c r="V1549" s="354"/>
      <c r="W1549" s="354"/>
      <c r="X1549" s="354"/>
      <c r="Y1549" s="354"/>
      <c r="Z1549" s="353"/>
      <c r="AA1549" s="352"/>
      <c r="AB1549" s="726"/>
    </row>
    <row r="1550" spans="1:28" ht="16.5" customHeight="1">
      <c r="A1550" s="347"/>
      <c r="B1550" s="347"/>
      <c r="C1550" s="347"/>
      <c r="D1550" s="348"/>
      <c r="E1550" s="348"/>
      <c r="F1550" s="348"/>
      <c r="G1550" s="348"/>
      <c r="H1550" s="359"/>
      <c r="I1550" s="352"/>
      <c r="J1550" s="353"/>
      <c r="K1550" s="538"/>
      <c r="L1550" s="487"/>
      <c r="M1550" s="487"/>
      <c r="N1550" s="354"/>
      <c r="O1550" s="354"/>
      <c r="P1550" s="354"/>
      <c r="Q1550" s="354"/>
      <c r="R1550" s="354"/>
      <c r="S1550" s="354"/>
      <c r="T1550" s="354"/>
      <c r="U1550" s="354"/>
      <c r="V1550" s="354"/>
      <c r="W1550" s="354"/>
      <c r="X1550" s="354"/>
      <c r="Y1550" s="354"/>
      <c r="Z1550" s="353"/>
      <c r="AA1550" s="352"/>
      <c r="AB1550" s="726"/>
    </row>
    <row r="1551" spans="1:28" ht="16.5" customHeight="1">
      <c r="A1551" s="347"/>
      <c r="B1551" s="347"/>
      <c r="C1551" s="347"/>
      <c r="D1551" s="348"/>
      <c r="E1551" s="348"/>
      <c r="F1551" s="348"/>
      <c r="G1551" s="348"/>
      <c r="H1551" s="359"/>
      <c r="I1551" s="352"/>
      <c r="J1551" s="353"/>
      <c r="K1551" s="538"/>
      <c r="L1551" s="487"/>
      <c r="M1551" s="487"/>
      <c r="N1551" s="354"/>
      <c r="O1551" s="354"/>
      <c r="P1551" s="354"/>
      <c r="Q1551" s="354"/>
      <c r="R1551" s="354"/>
      <c r="S1551" s="354"/>
      <c r="T1551" s="354"/>
      <c r="U1551" s="354"/>
      <c r="V1551" s="354"/>
      <c r="W1551" s="354"/>
      <c r="X1551" s="354"/>
      <c r="Y1551" s="354"/>
      <c r="Z1551" s="353"/>
      <c r="AA1551" s="352"/>
      <c r="AB1551" s="726"/>
    </row>
    <row r="1552" spans="1:28" ht="16.5" customHeight="1">
      <c r="A1552" s="347"/>
      <c r="B1552" s="347"/>
      <c r="C1552" s="347"/>
      <c r="D1552" s="348"/>
      <c r="E1552" s="348"/>
      <c r="F1552" s="348"/>
      <c r="G1552" s="348"/>
      <c r="H1552" s="359"/>
      <c r="I1552" s="352"/>
      <c r="J1552" s="353"/>
      <c r="K1552" s="538"/>
      <c r="L1552" s="487"/>
      <c r="M1552" s="487"/>
      <c r="N1552" s="354"/>
      <c r="O1552" s="354"/>
      <c r="P1552" s="354"/>
      <c r="Q1552" s="354"/>
      <c r="R1552" s="354"/>
      <c r="S1552" s="354"/>
      <c r="T1552" s="354"/>
      <c r="U1552" s="354"/>
      <c r="V1552" s="354"/>
      <c r="W1552" s="354"/>
      <c r="X1552" s="354"/>
      <c r="Y1552" s="354"/>
      <c r="Z1552" s="353"/>
      <c r="AA1552" s="352"/>
      <c r="AB1552" s="726"/>
    </row>
    <row r="1553" spans="1:28" ht="16.5" customHeight="1">
      <c r="A1553" s="347"/>
      <c r="B1553" s="347"/>
      <c r="C1553" s="347"/>
      <c r="D1553" s="348"/>
      <c r="E1553" s="348"/>
      <c r="F1553" s="348"/>
      <c r="G1553" s="348"/>
      <c r="H1553" s="359"/>
      <c r="I1553" s="352"/>
      <c r="J1553" s="353"/>
      <c r="K1553" s="538"/>
      <c r="L1553" s="487"/>
      <c r="M1553" s="487"/>
      <c r="N1553" s="354"/>
      <c r="O1553" s="354"/>
      <c r="P1553" s="354"/>
      <c r="Q1553" s="354"/>
      <c r="R1553" s="354"/>
      <c r="S1553" s="354"/>
      <c r="T1553" s="354"/>
      <c r="U1553" s="354"/>
      <c r="V1553" s="354"/>
      <c r="W1553" s="354"/>
      <c r="X1553" s="354"/>
      <c r="Y1553" s="354"/>
      <c r="Z1553" s="353"/>
      <c r="AA1553" s="352"/>
      <c r="AB1553" s="726"/>
    </row>
    <row r="1554" spans="1:28" ht="16.5" customHeight="1">
      <c r="A1554" s="347"/>
      <c r="B1554" s="347"/>
      <c r="C1554" s="347"/>
      <c r="D1554" s="361"/>
      <c r="E1554" s="361"/>
      <c r="F1554" s="361"/>
      <c r="G1554" s="348"/>
      <c r="H1554" s="359"/>
      <c r="I1554" s="352"/>
      <c r="J1554" s="353"/>
      <c r="K1554" s="538"/>
      <c r="L1554" s="487"/>
      <c r="M1554" s="487"/>
      <c r="N1554" s="354"/>
      <c r="O1554" s="354"/>
      <c r="P1554" s="354"/>
      <c r="Q1554" s="354"/>
      <c r="R1554" s="354"/>
      <c r="S1554" s="354"/>
      <c r="T1554" s="354"/>
      <c r="U1554" s="354"/>
      <c r="V1554" s="354"/>
      <c r="W1554" s="354"/>
      <c r="X1554" s="354"/>
      <c r="Y1554" s="354"/>
      <c r="Z1554" s="353"/>
      <c r="AA1554" s="352"/>
      <c r="AB1554" s="726"/>
    </row>
    <row r="1555" spans="1:28" ht="16.5" customHeight="1">
      <c r="A1555" s="347"/>
      <c r="B1555" s="347"/>
      <c r="C1555" s="347"/>
      <c r="D1555" s="348"/>
      <c r="E1555" s="348"/>
      <c r="F1555" s="348"/>
      <c r="G1555" s="348"/>
      <c r="H1555" s="359"/>
      <c r="I1555" s="352"/>
      <c r="J1555" s="353"/>
      <c r="K1555" s="538"/>
      <c r="L1555" s="487"/>
      <c r="M1555" s="487"/>
      <c r="N1555" s="354"/>
      <c r="O1555" s="354"/>
      <c r="P1555" s="354"/>
      <c r="Q1555" s="354"/>
      <c r="R1555" s="354"/>
      <c r="S1555" s="354"/>
      <c r="T1555" s="354"/>
      <c r="U1555" s="354"/>
      <c r="V1555" s="354"/>
      <c r="W1555" s="354"/>
      <c r="X1555" s="354"/>
      <c r="Y1555" s="354"/>
      <c r="Z1555" s="353"/>
      <c r="AA1555" s="352"/>
      <c r="AB1555" s="726"/>
    </row>
    <row r="1556" spans="1:28" ht="16.5" customHeight="1">
      <c r="A1556" s="347"/>
      <c r="B1556" s="347"/>
      <c r="C1556" s="347"/>
      <c r="D1556" s="348"/>
      <c r="E1556" s="348"/>
      <c r="F1556" s="348"/>
      <c r="G1556" s="348"/>
      <c r="H1556" s="359"/>
      <c r="I1556" s="352"/>
      <c r="J1556" s="353"/>
      <c r="K1556" s="538"/>
      <c r="L1556" s="487"/>
      <c r="M1556" s="487"/>
      <c r="N1556" s="354"/>
      <c r="O1556" s="354"/>
      <c r="P1556" s="354"/>
      <c r="Q1556" s="354"/>
      <c r="R1556" s="354"/>
      <c r="S1556" s="354"/>
      <c r="T1556" s="354"/>
      <c r="U1556" s="354"/>
      <c r="V1556" s="354"/>
      <c r="W1556" s="354"/>
      <c r="X1556" s="354"/>
      <c r="Y1556" s="354"/>
      <c r="Z1556" s="353"/>
      <c r="AA1556" s="352"/>
      <c r="AB1556" s="726"/>
    </row>
    <row r="1557" spans="1:28" ht="16.5" customHeight="1">
      <c r="A1557" s="347"/>
      <c r="B1557" s="347"/>
      <c r="C1557" s="347"/>
      <c r="D1557" s="361"/>
      <c r="E1557" s="361"/>
      <c r="F1557" s="361"/>
      <c r="G1557" s="348"/>
      <c r="H1557" s="359"/>
      <c r="I1557" s="352"/>
      <c r="J1557" s="353"/>
      <c r="K1557" s="538"/>
      <c r="L1557" s="487"/>
      <c r="M1557" s="487"/>
      <c r="N1557" s="354"/>
      <c r="O1557" s="354"/>
      <c r="P1557" s="354"/>
      <c r="Q1557" s="354"/>
      <c r="R1557" s="354"/>
      <c r="S1557" s="354"/>
      <c r="T1557" s="354"/>
      <c r="U1557" s="354"/>
      <c r="V1557" s="354"/>
      <c r="W1557" s="354"/>
      <c r="X1557" s="354"/>
      <c r="Y1557" s="354"/>
      <c r="Z1557" s="353"/>
      <c r="AA1557" s="352"/>
      <c r="AB1557" s="726"/>
    </row>
    <row r="1558" spans="1:28" ht="16.5" customHeight="1">
      <c r="A1558" s="347"/>
      <c r="B1558" s="347"/>
      <c r="C1558" s="347"/>
      <c r="D1558" s="348"/>
      <c r="E1558" s="348"/>
      <c r="F1558" s="348"/>
      <c r="G1558" s="348"/>
      <c r="H1558" s="359"/>
      <c r="I1558" s="352"/>
      <c r="J1558" s="353"/>
      <c r="K1558" s="538"/>
      <c r="L1558" s="487"/>
      <c r="M1558" s="487"/>
      <c r="N1558" s="354"/>
      <c r="O1558" s="354"/>
      <c r="P1558" s="354"/>
      <c r="Q1558" s="354"/>
      <c r="R1558" s="354"/>
      <c r="S1558" s="354"/>
      <c r="T1558" s="354"/>
      <c r="U1558" s="354"/>
      <c r="V1558" s="354"/>
      <c r="W1558" s="354"/>
      <c r="X1558" s="354"/>
      <c r="Y1558" s="354"/>
      <c r="Z1558" s="353"/>
      <c r="AA1558" s="352"/>
      <c r="AB1558" s="726"/>
    </row>
    <row r="1559" spans="1:28" ht="16.5" customHeight="1">
      <c r="A1559" s="347"/>
      <c r="B1559" s="347"/>
      <c r="C1559" s="347"/>
      <c r="D1559" s="348"/>
      <c r="E1559" s="348"/>
      <c r="F1559" s="348"/>
      <c r="G1559" s="348"/>
      <c r="H1559" s="359"/>
      <c r="I1559" s="352"/>
      <c r="J1559" s="353"/>
      <c r="K1559" s="538"/>
      <c r="L1559" s="487"/>
      <c r="M1559" s="487"/>
      <c r="N1559" s="354"/>
      <c r="O1559" s="354"/>
      <c r="P1559" s="354"/>
      <c r="Q1559" s="354"/>
      <c r="R1559" s="354"/>
      <c r="S1559" s="354"/>
      <c r="T1559" s="354"/>
      <c r="U1559" s="354"/>
      <c r="V1559" s="354"/>
      <c r="W1559" s="354"/>
      <c r="X1559" s="354"/>
      <c r="Y1559" s="354"/>
      <c r="Z1559" s="353"/>
      <c r="AA1559" s="352"/>
      <c r="AB1559" s="726"/>
    </row>
    <row r="1560" spans="1:28" ht="16.5" customHeight="1">
      <c r="A1560" s="347"/>
      <c r="B1560" s="347"/>
      <c r="C1560" s="347"/>
      <c r="D1560" s="348"/>
      <c r="E1560" s="348"/>
      <c r="F1560" s="348"/>
      <c r="G1560" s="348"/>
      <c r="H1560" s="359"/>
      <c r="I1560" s="352"/>
      <c r="J1560" s="353"/>
      <c r="K1560" s="538"/>
      <c r="L1560" s="487"/>
      <c r="M1560" s="487"/>
      <c r="N1560" s="354"/>
      <c r="O1560" s="354"/>
      <c r="P1560" s="354"/>
      <c r="Q1560" s="354"/>
      <c r="R1560" s="354"/>
      <c r="S1560" s="354"/>
      <c r="T1560" s="354"/>
      <c r="U1560" s="354"/>
      <c r="V1560" s="354"/>
      <c r="W1560" s="354"/>
      <c r="X1560" s="354"/>
      <c r="Y1560" s="354"/>
      <c r="Z1560" s="353"/>
      <c r="AA1560" s="352"/>
      <c r="AB1560" s="726"/>
    </row>
    <row r="1561" spans="1:28" ht="16.5" customHeight="1">
      <c r="A1561" s="347"/>
      <c r="B1561" s="347"/>
      <c r="C1561" s="347"/>
      <c r="D1561" s="348"/>
      <c r="E1561" s="348"/>
      <c r="F1561" s="348"/>
      <c r="G1561" s="348"/>
      <c r="H1561" s="359"/>
      <c r="I1561" s="352"/>
      <c r="J1561" s="353"/>
      <c r="K1561" s="538"/>
      <c r="L1561" s="487"/>
      <c r="M1561" s="487"/>
      <c r="N1561" s="354"/>
      <c r="O1561" s="354"/>
      <c r="P1561" s="354"/>
      <c r="Q1561" s="354"/>
      <c r="R1561" s="354"/>
      <c r="S1561" s="354"/>
      <c r="T1561" s="354"/>
      <c r="U1561" s="354"/>
      <c r="V1561" s="354"/>
      <c r="W1561" s="354"/>
      <c r="X1561" s="354"/>
      <c r="Y1561" s="354"/>
      <c r="Z1561" s="353"/>
      <c r="AA1561" s="352"/>
      <c r="AB1561" s="726"/>
    </row>
    <row r="1562" spans="1:28" ht="16.5" customHeight="1">
      <c r="A1562" s="347"/>
      <c r="B1562" s="347"/>
      <c r="C1562" s="347"/>
      <c r="D1562" s="348"/>
      <c r="E1562" s="348"/>
      <c r="F1562" s="348"/>
      <c r="G1562" s="348"/>
      <c r="H1562" s="359"/>
      <c r="I1562" s="352"/>
      <c r="J1562" s="353"/>
      <c r="K1562" s="538"/>
      <c r="L1562" s="487"/>
      <c r="M1562" s="487"/>
      <c r="N1562" s="354"/>
      <c r="O1562" s="354"/>
      <c r="P1562" s="354"/>
      <c r="Q1562" s="354"/>
      <c r="R1562" s="354"/>
      <c r="S1562" s="354"/>
      <c r="T1562" s="354"/>
      <c r="U1562" s="354"/>
      <c r="V1562" s="354"/>
      <c r="W1562" s="354"/>
      <c r="X1562" s="354"/>
      <c r="Y1562" s="354"/>
      <c r="Z1562" s="353"/>
      <c r="AA1562" s="352"/>
      <c r="AB1562" s="726"/>
    </row>
    <row r="1563" spans="1:28" ht="16.5" customHeight="1">
      <c r="A1563" s="347"/>
      <c r="B1563" s="347"/>
      <c r="C1563" s="347"/>
      <c r="D1563" s="348"/>
      <c r="E1563" s="348"/>
      <c r="F1563" s="348"/>
      <c r="G1563" s="348"/>
      <c r="H1563" s="359"/>
      <c r="I1563" s="352"/>
      <c r="J1563" s="353"/>
      <c r="K1563" s="538"/>
      <c r="L1563" s="487"/>
      <c r="M1563" s="487"/>
      <c r="N1563" s="354"/>
      <c r="O1563" s="354"/>
      <c r="P1563" s="354"/>
      <c r="Q1563" s="354"/>
      <c r="R1563" s="354"/>
      <c r="S1563" s="354"/>
      <c r="T1563" s="354"/>
      <c r="U1563" s="354"/>
      <c r="V1563" s="354"/>
      <c r="W1563" s="354"/>
      <c r="X1563" s="354"/>
      <c r="Y1563" s="354"/>
      <c r="Z1563" s="353"/>
      <c r="AA1563" s="352"/>
      <c r="AB1563" s="726"/>
    </row>
    <row r="1564" spans="1:28" ht="16.5" customHeight="1">
      <c r="A1564" s="347"/>
      <c r="B1564" s="347"/>
      <c r="C1564" s="347"/>
      <c r="D1564" s="348"/>
      <c r="E1564" s="348"/>
      <c r="F1564" s="348"/>
      <c r="G1564" s="348"/>
      <c r="H1564" s="359"/>
      <c r="I1564" s="352"/>
      <c r="J1564" s="353"/>
      <c r="K1564" s="538"/>
      <c r="L1564" s="487"/>
      <c r="M1564" s="487"/>
      <c r="N1564" s="354"/>
      <c r="O1564" s="354"/>
      <c r="P1564" s="354"/>
      <c r="Q1564" s="354"/>
      <c r="R1564" s="354"/>
      <c r="S1564" s="354"/>
      <c r="T1564" s="354"/>
      <c r="U1564" s="354"/>
      <c r="V1564" s="354"/>
      <c r="W1564" s="354"/>
      <c r="X1564" s="354"/>
      <c r="Y1564" s="354"/>
      <c r="Z1564" s="353"/>
      <c r="AA1564" s="352"/>
      <c r="AB1564" s="726"/>
    </row>
    <row r="1565" spans="1:28" ht="16.5" customHeight="1">
      <c r="A1565" s="347"/>
      <c r="B1565" s="347"/>
      <c r="C1565" s="347"/>
      <c r="D1565" s="348"/>
      <c r="E1565" s="348"/>
      <c r="F1565" s="348"/>
      <c r="G1565" s="348"/>
      <c r="H1565" s="359"/>
      <c r="I1565" s="352"/>
      <c r="J1565" s="353"/>
      <c r="K1565" s="538"/>
      <c r="L1565" s="487"/>
      <c r="M1565" s="487"/>
      <c r="N1565" s="354"/>
      <c r="O1565" s="354"/>
      <c r="P1565" s="354"/>
      <c r="Q1565" s="354"/>
      <c r="R1565" s="354"/>
      <c r="S1565" s="354"/>
      <c r="T1565" s="354"/>
      <c r="U1565" s="354"/>
      <c r="V1565" s="354"/>
      <c r="W1565" s="354"/>
      <c r="X1565" s="354"/>
      <c r="Y1565" s="354"/>
      <c r="Z1565" s="353"/>
      <c r="AA1565" s="352"/>
      <c r="AB1565" s="726"/>
    </row>
    <row r="1566" spans="1:28" ht="16.5" customHeight="1">
      <c r="A1566" s="347"/>
      <c r="B1566" s="347"/>
      <c r="C1566" s="347"/>
      <c r="D1566" s="361"/>
      <c r="E1566" s="361"/>
      <c r="F1566" s="361"/>
      <c r="G1566" s="348"/>
      <c r="H1566" s="359"/>
      <c r="I1566" s="352"/>
      <c r="J1566" s="353"/>
      <c r="K1566" s="538"/>
      <c r="L1566" s="487"/>
      <c r="M1566" s="487"/>
      <c r="N1566" s="354"/>
      <c r="O1566" s="354"/>
      <c r="P1566" s="354"/>
      <c r="Q1566" s="354"/>
      <c r="R1566" s="354"/>
      <c r="S1566" s="354"/>
      <c r="T1566" s="354"/>
      <c r="U1566" s="354"/>
      <c r="V1566" s="354"/>
      <c r="W1566" s="354"/>
      <c r="X1566" s="354"/>
      <c r="Y1566" s="354"/>
      <c r="Z1566" s="353"/>
      <c r="AA1566" s="352"/>
      <c r="AB1566" s="726"/>
    </row>
    <row r="1567" spans="1:28" ht="16.5" customHeight="1">
      <c r="A1567" s="347"/>
      <c r="B1567" s="347"/>
      <c r="C1567" s="347"/>
      <c r="D1567" s="348"/>
      <c r="E1567" s="348"/>
      <c r="F1567" s="348"/>
      <c r="G1567" s="348"/>
      <c r="H1567" s="359"/>
      <c r="I1567" s="352"/>
      <c r="J1567" s="353"/>
      <c r="K1567" s="538"/>
      <c r="L1567" s="487"/>
      <c r="M1567" s="487"/>
      <c r="N1567" s="354"/>
      <c r="O1567" s="354"/>
      <c r="P1567" s="354"/>
      <c r="Q1567" s="354"/>
      <c r="R1567" s="354"/>
      <c r="S1567" s="354"/>
      <c r="T1567" s="354"/>
      <c r="U1567" s="354"/>
      <c r="V1567" s="354"/>
      <c r="W1567" s="354"/>
      <c r="X1567" s="354"/>
      <c r="Y1567" s="354"/>
      <c r="Z1567" s="353"/>
      <c r="AA1567" s="352"/>
      <c r="AB1567" s="726"/>
    </row>
    <row r="1568" spans="1:28" ht="16.5" customHeight="1">
      <c r="A1568" s="347"/>
      <c r="B1568" s="347"/>
      <c r="C1568" s="347"/>
      <c r="D1568" s="348"/>
      <c r="E1568" s="348"/>
      <c r="F1568" s="348"/>
      <c r="G1568" s="348"/>
      <c r="H1568" s="359"/>
      <c r="I1568" s="352"/>
      <c r="J1568" s="353"/>
      <c r="K1568" s="538"/>
      <c r="L1568" s="487"/>
      <c r="M1568" s="487"/>
      <c r="N1568" s="354"/>
      <c r="O1568" s="354"/>
      <c r="P1568" s="354"/>
      <c r="Q1568" s="354"/>
      <c r="R1568" s="354"/>
      <c r="S1568" s="354"/>
      <c r="T1568" s="354"/>
      <c r="U1568" s="354"/>
      <c r="V1568" s="354"/>
      <c r="W1568" s="354"/>
      <c r="X1568" s="354"/>
      <c r="Y1568" s="354"/>
      <c r="Z1568" s="353"/>
      <c r="AA1568" s="352"/>
      <c r="AB1568" s="726"/>
    </row>
    <row r="1569" spans="1:28" ht="16.5" customHeight="1">
      <c r="A1569" s="347"/>
      <c r="B1569" s="347"/>
      <c r="C1569" s="347"/>
      <c r="D1569" s="348"/>
      <c r="E1569" s="348"/>
      <c r="F1569" s="348"/>
      <c r="G1569" s="348"/>
      <c r="H1569" s="359"/>
      <c r="I1569" s="352"/>
      <c r="J1569" s="353"/>
      <c r="K1569" s="538"/>
      <c r="L1569" s="487"/>
      <c r="M1569" s="487"/>
      <c r="N1569" s="354"/>
      <c r="O1569" s="354"/>
      <c r="P1569" s="354"/>
      <c r="Q1569" s="354"/>
      <c r="R1569" s="354"/>
      <c r="S1569" s="354"/>
      <c r="T1569" s="354"/>
      <c r="U1569" s="354"/>
      <c r="V1569" s="354"/>
      <c r="W1569" s="354"/>
      <c r="X1569" s="354"/>
      <c r="Y1569" s="354"/>
      <c r="Z1569" s="353"/>
      <c r="AA1569" s="352"/>
      <c r="AB1569" s="726"/>
    </row>
    <row r="1570" spans="1:28" ht="16.5" customHeight="1">
      <c r="A1570" s="347"/>
      <c r="B1570" s="347"/>
      <c r="C1570" s="347"/>
      <c r="D1570" s="348"/>
      <c r="E1570" s="348"/>
      <c r="F1570" s="348"/>
      <c r="G1570" s="348"/>
      <c r="H1570" s="359"/>
      <c r="I1570" s="352"/>
      <c r="J1570" s="353"/>
      <c r="K1570" s="538"/>
      <c r="L1570" s="487"/>
      <c r="M1570" s="487"/>
      <c r="N1570" s="354"/>
      <c r="O1570" s="354"/>
      <c r="P1570" s="354"/>
      <c r="Q1570" s="354"/>
      <c r="R1570" s="354"/>
      <c r="S1570" s="354"/>
      <c r="T1570" s="354"/>
      <c r="U1570" s="354"/>
      <c r="V1570" s="354"/>
      <c r="W1570" s="354"/>
      <c r="X1570" s="354"/>
      <c r="Y1570" s="354"/>
      <c r="Z1570" s="353"/>
      <c r="AA1570" s="352"/>
      <c r="AB1570" s="726"/>
    </row>
    <row r="1571" spans="1:28" ht="16.5" customHeight="1">
      <c r="A1571" s="347"/>
      <c r="B1571" s="347"/>
      <c r="C1571" s="347"/>
      <c r="D1571" s="361"/>
      <c r="E1571" s="361"/>
      <c r="F1571" s="361"/>
      <c r="G1571" s="348"/>
      <c r="H1571" s="359"/>
      <c r="I1571" s="352"/>
      <c r="J1571" s="353"/>
      <c r="K1571" s="538"/>
      <c r="L1571" s="487"/>
      <c r="M1571" s="487"/>
      <c r="N1571" s="354"/>
      <c r="O1571" s="354"/>
      <c r="P1571" s="354"/>
      <c r="Q1571" s="354"/>
      <c r="R1571" s="354"/>
      <c r="S1571" s="354"/>
      <c r="T1571" s="354"/>
      <c r="U1571" s="354"/>
      <c r="V1571" s="354"/>
      <c r="W1571" s="354"/>
      <c r="X1571" s="354"/>
      <c r="Y1571" s="354"/>
      <c r="Z1571" s="353"/>
      <c r="AA1571" s="352"/>
      <c r="AB1571" s="726"/>
    </row>
    <row r="1572" spans="1:28" ht="16.5" customHeight="1">
      <c r="A1572" s="347"/>
      <c r="B1572" s="347"/>
      <c r="C1572" s="347"/>
      <c r="D1572" s="348"/>
      <c r="E1572" s="348"/>
      <c r="F1572" s="348"/>
      <c r="G1572" s="348"/>
      <c r="H1572" s="359"/>
      <c r="I1572" s="352"/>
      <c r="J1572" s="353"/>
      <c r="K1572" s="538"/>
      <c r="L1572" s="487"/>
      <c r="M1572" s="487"/>
      <c r="N1572" s="354"/>
      <c r="O1572" s="354"/>
      <c r="P1572" s="354"/>
      <c r="Q1572" s="354"/>
      <c r="R1572" s="354"/>
      <c r="S1572" s="354"/>
      <c r="T1572" s="354"/>
      <c r="U1572" s="354"/>
      <c r="V1572" s="354"/>
      <c r="W1572" s="354"/>
      <c r="X1572" s="354"/>
      <c r="Y1572" s="354"/>
      <c r="Z1572" s="353"/>
      <c r="AA1572" s="352"/>
      <c r="AB1572" s="726"/>
    </row>
    <row r="1573" spans="1:28" ht="16.5" customHeight="1">
      <c r="A1573" s="347"/>
      <c r="B1573" s="347"/>
      <c r="C1573" s="347"/>
      <c r="D1573" s="361"/>
      <c r="E1573" s="361"/>
      <c r="F1573" s="361"/>
      <c r="G1573" s="348"/>
      <c r="H1573" s="359"/>
      <c r="I1573" s="352"/>
      <c r="J1573" s="353"/>
      <c r="K1573" s="538"/>
      <c r="L1573" s="487"/>
      <c r="M1573" s="487"/>
      <c r="N1573" s="354"/>
      <c r="O1573" s="354"/>
      <c r="P1573" s="354"/>
      <c r="Q1573" s="354"/>
      <c r="R1573" s="354"/>
      <c r="S1573" s="354"/>
      <c r="T1573" s="354"/>
      <c r="U1573" s="354"/>
      <c r="V1573" s="354"/>
      <c r="W1573" s="354"/>
      <c r="X1573" s="354"/>
      <c r="Y1573" s="354"/>
      <c r="Z1573" s="353"/>
      <c r="AA1573" s="352"/>
      <c r="AB1573" s="726"/>
    </row>
    <row r="1574" spans="1:28" ht="16.5" customHeight="1">
      <c r="A1574" s="347"/>
      <c r="B1574" s="347"/>
      <c r="C1574" s="347"/>
      <c r="D1574" s="348"/>
      <c r="E1574" s="348"/>
      <c r="F1574" s="348"/>
      <c r="G1574" s="348"/>
      <c r="H1574" s="359"/>
      <c r="I1574" s="352"/>
      <c r="J1574" s="353"/>
      <c r="K1574" s="538"/>
      <c r="L1574" s="487"/>
      <c r="M1574" s="487"/>
      <c r="N1574" s="354"/>
      <c r="O1574" s="354"/>
      <c r="P1574" s="354"/>
      <c r="Q1574" s="354"/>
      <c r="R1574" s="354"/>
      <c r="S1574" s="354"/>
      <c r="T1574" s="354"/>
      <c r="U1574" s="354"/>
      <c r="V1574" s="354"/>
      <c r="W1574" s="354"/>
      <c r="X1574" s="354"/>
      <c r="Y1574" s="354"/>
      <c r="Z1574" s="353"/>
      <c r="AA1574" s="352"/>
      <c r="AB1574" s="726"/>
    </row>
    <row r="1575" spans="1:28" ht="16.5" customHeight="1">
      <c r="A1575" s="347"/>
      <c r="B1575" s="347"/>
      <c r="C1575" s="347"/>
      <c r="D1575" s="348"/>
      <c r="E1575" s="348"/>
      <c r="F1575" s="348"/>
      <c r="G1575" s="348"/>
      <c r="H1575" s="359"/>
      <c r="I1575" s="352"/>
      <c r="J1575" s="353"/>
      <c r="K1575" s="538"/>
      <c r="L1575" s="487"/>
      <c r="M1575" s="487"/>
      <c r="N1575" s="354"/>
      <c r="O1575" s="354"/>
      <c r="P1575" s="354"/>
      <c r="Q1575" s="354"/>
      <c r="R1575" s="354"/>
      <c r="S1575" s="354"/>
      <c r="T1575" s="354"/>
      <c r="U1575" s="354"/>
      <c r="V1575" s="354"/>
      <c r="W1575" s="354"/>
      <c r="X1575" s="354"/>
      <c r="Y1575" s="354"/>
      <c r="Z1575" s="353"/>
      <c r="AA1575" s="352"/>
      <c r="AB1575" s="726"/>
    </row>
    <row r="1576" spans="1:28" ht="16.5" customHeight="1">
      <c r="A1576" s="347"/>
      <c r="B1576" s="347"/>
      <c r="C1576" s="347"/>
      <c r="D1576" s="348"/>
      <c r="E1576" s="348"/>
      <c r="F1576" s="348"/>
      <c r="G1576" s="348"/>
      <c r="H1576" s="359"/>
      <c r="I1576" s="352"/>
      <c r="J1576" s="353"/>
      <c r="K1576" s="538"/>
      <c r="L1576" s="487"/>
      <c r="M1576" s="487"/>
      <c r="N1576" s="354"/>
      <c r="O1576" s="354"/>
      <c r="P1576" s="354"/>
      <c r="Q1576" s="354"/>
      <c r="R1576" s="354"/>
      <c r="S1576" s="354"/>
      <c r="T1576" s="354"/>
      <c r="U1576" s="354"/>
      <c r="V1576" s="354"/>
      <c r="W1576" s="354"/>
      <c r="X1576" s="354"/>
      <c r="Y1576" s="354"/>
      <c r="Z1576" s="353"/>
      <c r="AA1576" s="352"/>
      <c r="AB1576" s="726"/>
    </row>
    <row r="1577" spans="1:28" ht="16.5" customHeight="1">
      <c r="A1577" s="347"/>
      <c r="B1577" s="347"/>
      <c r="C1577" s="347"/>
      <c r="D1577" s="348"/>
      <c r="E1577" s="348"/>
      <c r="F1577" s="348"/>
      <c r="G1577" s="348"/>
      <c r="H1577" s="359"/>
      <c r="I1577" s="352"/>
      <c r="J1577" s="353"/>
      <c r="K1577" s="538"/>
      <c r="L1577" s="487"/>
      <c r="M1577" s="487"/>
      <c r="N1577" s="354"/>
      <c r="O1577" s="354"/>
      <c r="P1577" s="354"/>
      <c r="Q1577" s="354"/>
      <c r="R1577" s="354"/>
      <c r="S1577" s="354"/>
      <c r="T1577" s="354"/>
      <c r="U1577" s="354"/>
      <c r="V1577" s="354"/>
      <c r="W1577" s="354"/>
      <c r="X1577" s="354"/>
      <c r="Y1577" s="354"/>
      <c r="Z1577" s="353"/>
      <c r="AA1577" s="352"/>
      <c r="AB1577" s="726"/>
    </row>
    <row r="1578" spans="1:28" ht="16.5" customHeight="1">
      <c r="A1578" s="347"/>
      <c r="B1578" s="347"/>
      <c r="C1578" s="347"/>
      <c r="D1578" s="361"/>
      <c r="E1578" s="361"/>
      <c r="F1578" s="361"/>
      <c r="G1578" s="348"/>
      <c r="H1578" s="359"/>
      <c r="I1578" s="352"/>
      <c r="J1578" s="353"/>
      <c r="K1578" s="538"/>
      <c r="L1578" s="487"/>
      <c r="M1578" s="487"/>
      <c r="N1578" s="354"/>
      <c r="O1578" s="354"/>
      <c r="P1578" s="354"/>
      <c r="Q1578" s="354"/>
      <c r="R1578" s="354"/>
      <c r="S1578" s="354"/>
      <c r="T1578" s="354"/>
      <c r="U1578" s="354"/>
      <c r="V1578" s="354"/>
      <c r="W1578" s="354"/>
      <c r="X1578" s="354"/>
      <c r="Y1578" s="354"/>
      <c r="Z1578" s="353"/>
      <c r="AA1578" s="352"/>
      <c r="AB1578" s="726"/>
    </row>
    <row r="1579" spans="1:28" ht="16.5" customHeight="1">
      <c r="A1579" s="347"/>
      <c r="B1579" s="347"/>
      <c r="C1579" s="347"/>
      <c r="D1579" s="348"/>
      <c r="E1579" s="348"/>
      <c r="F1579" s="348"/>
      <c r="G1579" s="348"/>
      <c r="H1579" s="359"/>
      <c r="I1579" s="352"/>
      <c r="J1579" s="353"/>
      <c r="K1579" s="538"/>
      <c r="L1579" s="487"/>
      <c r="M1579" s="487"/>
      <c r="N1579" s="354"/>
      <c r="O1579" s="354"/>
      <c r="P1579" s="354"/>
      <c r="Q1579" s="354"/>
      <c r="R1579" s="354"/>
      <c r="S1579" s="354"/>
      <c r="T1579" s="354"/>
      <c r="U1579" s="354"/>
      <c r="V1579" s="354"/>
      <c r="W1579" s="354"/>
      <c r="X1579" s="354"/>
      <c r="Y1579" s="354"/>
      <c r="Z1579" s="353"/>
      <c r="AA1579" s="352"/>
      <c r="AB1579" s="726"/>
    </row>
    <row r="1580" spans="1:28" ht="16.5" customHeight="1">
      <c r="A1580" s="347"/>
      <c r="B1580" s="347"/>
      <c r="C1580" s="347"/>
      <c r="D1580" s="361"/>
      <c r="E1580" s="361"/>
      <c r="F1580" s="361"/>
      <c r="G1580" s="348"/>
      <c r="H1580" s="359"/>
      <c r="I1580" s="352"/>
      <c r="J1580" s="353"/>
      <c r="K1580" s="538"/>
      <c r="L1580" s="487"/>
      <c r="M1580" s="487"/>
      <c r="N1580" s="354"/>
      <c r="O1580" s="354"/>
      <c r="P1580" s="354"/>
      <c r="Q1580" s="354"/>
      <c r="R1580" s="354"/>
      <c r="S1580" s="354"/>
      <c r="T1580" s="354"/>
      <c r="U1580" s="354"/>
      <c r="V1580" s="354"/>
      <c r="W1580" s="354"/>
      <c r="X1580" s="354"/>
      <c r="Y1580" s="354"/>
      <c r="Z1580" s="353"/>
      <c r="AA1580" s="352"/>
      <c r="AB1580" s="726"/>
    </row>
    <row r="1581" spans="1:28" ht="16.5" customHeight="1">
      <c r="A1581" s="347"/>
      <c r="B1581" s="347"/>
      <c r="C1581" s="347"/>
      <c r="D1581" s="348"/>
      <c r="E1581" s="348"/>
      <c r="F1581" s="348"/>
      <c r="G1581" s="348"/>
      <c r="H1581" s="359"/>
      <c r="I1581" s="352"/>
      <c r="J1581" s="353"/>
      <c r="K1581" s="538"/>
      <c r="L1581" s="487"/>
      <c r="M1581" s="487"/>
      <c r="N1581" s="354"/>
      <c r="O1581" s="354"/>
      <c r="P1581" s="354"/>
      <c r="Q1581" s="354"/>
      <c r="R1581" s="354"/>
      <c r="S1581" s="354"/>
      <c r="T1581" s="354"/>
      <c r="U1581" s="354"/>
      <c r="V1581" s="354"/>
      <c r="W1581" s="354"/>
      <c r="X1581" s="354"/>
      <c r="Y1581" s="354"/>
      <c r="Z1581" s="353"/>
      <c r="AA1581" s="352"/>
      <c r="AB1581" s="726"/>
    </row>
    <row r="1582" spans="1:28" ht="16.5" customHeight="1">
      <c r="A1582" s="347"/>
      <c r="B1582" s="347"/>
      <c r="C1582" s="347"/>
      <c r="D1582" s="361"/>
      <c r="E1582" s="361"/>
      <c r="F1582" s="361"/>
      <c r="G1582" s="348"/>
      <c r="H1582" s="359"/>
      <c r="I1582" s="352"/>
      <c r="J1582" s="353"/>
      <c r="K1582" s="538"/>
      <c r="L1582" s="487"/>
      <c r="M1582" s="487"/>
      <c r="N1582" s="354"/>
      <c r="O1582" s="354"/>
      <c r="P1582" s="354"/>
      <c r="Q1582" s="354"/>
      <c r="R1582" s="354"/>
      <c r="S1582" s="354"/>
      <c r="T1582" s="354"/>
      <c r="U1582" s="354"/>
      <c r="V1582" s="354"/>
      <c r="W1582" s="354"/>
      <c r="X1582" s="354"/>
      <c r="Y1582" s="354"/>
      <c r="Z1582" s="353"/>
      <c r="AA1582" s="352"/>
      <c r="AB1582" s="726"/>
    </row>
    <row r="1583" spans="1:28" ht="16.5" customHeight="1">
      <c r="A1583" s="347"/>
      <c r="B1583" s="347"/>
      <c r="C1583" s="347"/>
      <c r="D1583" s="348"/>
      <c r="E1583" s="348"/>
      <c r="F1583" s="348"/>
      <c r="G1583" s="348"/>
      <c r="H1583" s="359"/>
      <c r="I1583" s="352"/>
      <c r="J1583" s="353"/>
      <c r="K1583" s="538"/>
      <c r="L1583" s="487"/>
      <c r="M1583" s="487"/>
      <c r="N1583" s="354"/>
      <c r="O1583" s="354"/>
      <c r="P1583" s="354"/>
      <c r="Q1583" s="354"/>
      <c r="R1583" s="354"/>
      <c r="S1583" s="354"/>
      <c r="T1583" s="354"/>
      <c r="U1583" s="354"/>
      <c r="V1583" s="354"/>
      <c r="W1583" s="354"/>
      <c r="X1583" s="354"/>
      <c r="Y1583" s="354"/>
      <c r="Z1583" s="353"/>
      <c r="AA1583" s="352"/>
      <c r="AB1583" s="726"/>
    </row>
    <row r="1584" spans="1:28" ht="16.5" customHeight="1">
      <c r="A1584" s="347"/>
      <c r="B1584" s="347"/>
      <c r="C1584" s="347"/>
      <c r="D1584" s="348"/>
      <c r="E1584" s="348"/>
      <c r="F1584" s="348"/>
      <c r="G1584" s="348"/>
      <c r="H1584" s="359"/>
      <c r="I1584" s="352"/>
      <c r="J1584" s="353"/>
      <c r="K1584" s="538"/>
      <c r="L1584" s="487"/>
      <c r="M1584" s="487"/>
      <c r="N1584" s="354"/>
      <c r="O1584" s="354"/>
      <c r="P1584" s="354"/>
      <c r="Q1584" s="354"/>
      <c r="R1584" s="354"/>
      <c r="S1584" s="354"/>
      <c r="T1584" s="354"/>
      <c r="U1584" s="354"/>
      <c r="V1584" s="354"/>
      <c r="W1584" s="354"/>
      <c r="X1584" s="354"/>
      <c r="Y1584" s="354"/>
      <c r="Z1584" s="353"/>
      <c r="AA1584" s="352"/>
      <c r="AB1584" s="726"/>
    </row>
    <row r="1585" spans="1:28" ht="16.5" customHeight="1">
      <c r="A1585" s="347"/>
      <c r="B1585" s="347"/>
      <c r="C1585" s="347"/>
      <c r="D1585" s="361"/>
      <c r="E1585" s="361"/>
      <c r="F1585" s="361"/>
      <c r="G1585" s="348"/>
      <c r="H1585" s="359"/>
      <c r="I1585" s="352"/>
      <c r="J1585" s="353"/>
      <c r="K1585" s="538"/>
      <c r="L1585" s="487"/>
      <c r="M1585" s="487"/>
      <c r="N1585" s="354"/>
      <c r="O1585" s="354"/>
      <c r="P1585" s="354"/>
      <c r="Q1585" s="354"/>
      <c r="R1585" s="354"/>
      <c r="S1585" s="354"/>
      <c r="T1585" s="354"/>
      <c r="U1585" s="354"/>
      <c r="V1585" s="354"/>
      <c r="W1585" s="354"/>
      <c r="X1585" s="354"/>
      <c r="Y1585" s="354"/>
      <c r="Z1585" s="353"/>
      <c r="AA1585" s="352"/>
      <c r="AB1585" s="726"/>
    </row>
    <row r="1586" spans="1:28" ht="16.5" customHeight="1">
      <c r="A1586" s="347"/>
      <c r="B1586" s="347"/>
      <c r="C1586" s="347"/>
      <c r="D1586" s="348"/>
      <c r="E1586" s="348"/>
      <c r="F1586" s="348"/>
      <c r="G1586" s="348"/>
      <c r="H1586" s="359"/>
      <c r="I1586" s="352"/>
      <c r="J1586" s="353"/>
      <c r="K1586" s="538"/>
      <c r="L1586" s="487"/>
      <c r="M1586" s="487"/>
      <c r="N1586" s="354"/>
      <c r="O1586" s="354"/>
      <c r="P1586" s="354"/>
      <c r="Q1586" s="354"/>
      <c r="R1586" s="354"/>
      <c r="S1586" s="354"/>
      <c r="T1586" s="354"/>
      <c r="U1586" s="354"/>
      <c r="V1586" s="354"/>
      <c r="W1586" s="354"/>
      <c r="X1586" s="354"/>
      <c r="Y1586" s="354"/>
      <c r="Z1586" s="353"/>
      <c r="AA1586" s="352"/>
      <c r="AB1586" s="726"/>
    </row>
    <row r="1587" spans="1:28" ht="16.5" customHeight="1">
      <c r="A1587" s="347"/>
      <c r="B1587" s="347"/>
      <c r="C1587" s="347"/>
      <c r="D1587" s="361"/>
      <c r="E1587" s="361"/>
      <c r="F1587" s="361"/>
      <c r="G1587" s="348"/>
      <c r="H1587" s="359"/>
      <c r="I1587" s="352"/>
      <c r="J1587" s="353"/>
      <c r="K1587" s="538"/>
      <c r="L1587" s="487"/>
      <c r="M1587" s="487"/>
      <c r="N1587" s="354"/>
      <c r="O1587" s="354"/>
      <c r="P1587" s="354"/>
      <c r="Q1587" s="354"/>
      <c r="R1587" s="354"/>
      <c r="S1587" s="354"/>
      <c r="T1587" s="354"/>
      <c r="U1587" s="354"/>
      <c r="V1587" s="354"/>
      <c r="W1587" s="354"/>
      <c r="X1587" s="354"/>
      <c r="Y1587" s="354"/>
      <c r="Z1587" s="353"/>
      <c r="AA1587" s="352"/>
      <c r="AB1587" s="726"/>
    </row>
    <row r="1588" spans="1:28" ht="16.5" customHeight="1">
      <c r="A1588" s="347"/>
      <c r="B1588" s="347"/>
      <c r="C1588" s="347"/>
      <c r="D1588" s="348"/>
      <c r="E1588" s="348"/>
      <c r="F1588" s="348"/>
      <c r="G1588" s="348"/>
      <c r="H1588" s="359"/>
      <c r="I1588" s="352"/>
      <c r="J1588" s="353"/>
      <c r="K1588" s="538"/>
      <c r="L1588" s="487"/>
      <c r="M1588" s="487"/>
      <c r="N1588" s="354"/>
      <c r="O1588" s="354"/>
      <c r="P1588" s="354"/>
      <c r="Q1588" s="354"/>
      <c r="R1588" s="354"/>
      <c r="S1588" s="354"/>
      <c r="T1588" s="354"/>
      <c r="U1588" s="354"/>
      <c r="V1588" s="354"/>
      <c r="W1588" s="354"/>
      <c r="X1588" s="354"/>
      <c r="Y1588" s="354"/>
      <c r="Z1588" s="353"/>
      <c r="AA1588" s="352"/>
      <c r="AB1588" s="726"/>
    </row>
    <row r="1589" spans="1:28" ht="16.5" customHeight="1">
      <c r="A1589" s="347"/>
      <c r="B1589" s="347"/>
      <c r="C1589" s="347"/>
      <c r="D1589" s="348"/>
      <c r="E1589" s="348"/>
      <c r="F1589" s="348"/>
      <c r="G1589" s="348"/>
      <c r="H1589" s="359"/>
      <c r="I1589" s="352"/>
      <c r="J1589" s="353"/>
      <c r="K1589" s="538"/>
      <c r="L1589" s="487"/>
      <c r="M1589" s="487"/>
      <c r="N1589" s="354"/>
      <c r="O1589" s="354"/>
      <c r="P1589" s="354"/>
      <c r="Q1589" s="354"/>
      <c r="R1589" s="354"/>
      <c r="S1589" s="354"/>
      <c r="T1589" s="354"/>
      <c r="U1589" s="354"/>
      <c r="V1589" s="354"/>
      <c r="W1589" s="354"/>
      <c r="X1589" s="354"/>
      <c r="Y1589" s="354"/>
      <c r="Z1589" s="353"/>
      <c r="AA1589" s="352"/>
      <c r="AB1589" s="726"/>
    </row>
    <row r="1590" spans="1:28" ht="16.5" customHeight="1">
      <c r="A1590" s="347"/>
      <c r="B1590" s="347"/>
      <c r="C1590" s="347"/>
      <c r="D1590" s="348"/>
      <c r="E1590" s="348"/>
      <c r="F1590" s="348"/>
      <c r="G1590" s="348"/>
      <c r="H1590" s="359"/>
      <c r="I1590" s="352"/>
      <c r="J1590" s="353"/>
      <c r="K1590" s="538"/>
      <c r="L1590" s="487"/>
      <c r="M1590" s="487"/>
      <c r="N1590" s="354"/>
      <c r="O1590" s="354"/>
      <c r="P1590" s="354"/>
      <c r="Q1590" s="354"/>
      <c r="R1590" s="354"/>
      <c r="S1590" s="354"/>
      <c r="T1590" s="354"/>
      <c r="U1590" s="354"/>
      <c r="V1590" s="354"/>
      <c r="W1590" s="354"/>
      <c r="X1590" s="354"/>
      <c r="Y1590" s="354"/>
      <c r="Z1590" s="353"/>
      <c r="AA1590" s="352"/>
      <c r="AB1590" s="726"/>
    </row>
    <row r="1591" spans="1:28" ht="16.5" customHeight="1">
      <c r="A1591" s="347"/>
      <c r="B1591" s="347"/>
      <c r="C1591" s="347"/>
      <c r="D1591" s="348"/>
      <c r="E1591" s="348"/>
      <c r="F1591" s="348"/>
      <c r="G1591" s="348"/>
      <c r="H1591" s="359"/>
      <c r="I1591" s="352"/>
      <c r="J1591" s="353"/>
      <c r="K1591" s="538"/>
      <c r="L1591" s="487"/>
      <c r="M1591" s="487"/>
      <c r="N1591" s="354"/>
      <c r="O1591" s="354"/>
      <c r="P1591" s="354"/>
      <c r="Q1591" s="354"/>
      <c r="R1591" s="354"/>
      <c r="S1591" s="354"/>
      <c r="T1591" s="354"/>
      <c r="U1591" s="354"/>
      <c r="V1591" s="354"/>
      <c r="W1591" s="354"/>
      <c r="X1591" s="354"/>
      <c r="Y1591" s="354"/>
      <c r="Z1591" s="353"/>
      <c r="AA1591" s="352"/>
      <c r="AB1591" s="726"/>
    </row>
    <row r="1592" spans="1:28" ht="16.5" customHeight="1">
      <c r="A1592" s="347"/>
      <c r="B1592" s="347"/>
      <c r="C1592" s="347"/>
      <c r="D1592" s="361"/>
      <c r="E1592" s="361"/>
      <c r="F1592" s="361"/>
      <c r="G1592" s="348"/>
      <c r="H1592" s="359"/>
      <c r="I1592" s="352"/>
      <c r="J1592" s="353"/>
      <c r="K1592" s="538"/>
      <c r="L1592" s="487"/>
      <c r="M1592" s="487"/>
      <c r="N1592" s="354"/>
      <c r="O1592" s="354"/>
      <c r="P1592" s="354"/>
      <c r="Q1592" s="354"/>
      <c r="R1592" s="354"/>
      <c r="S1592" s="354"/>
      <c r="T1592" s="354"/>
      <c r="U1592" s="354"/>
      <c r="V1592" s="354"/>
      <c r="W1592" s="354"/>
      <c r="X1592" s="354"/>
      <c r="Y1592" s="354"/>
      <c r="Z1592" s="353"/>
      <c r="AA1592" s="352"/>
      <c r="AB1592" s="726"/>
    </row>
    <row r="1593" spans="1:28" ht="16.5" customHeight="1">
      <c r="A1593" s="347"/>
      <c r="B1593" s="347"/>
      <c r="C1593" s="347"/>
      <c r="D1593" s="348"/>
      <c r="E1593" s="348"/>
      <c r="F1593" s="348"/>
      <c r="G1593" s="348"/>
      <c r="H1593" s="359"/>
      <c r="I1593" s="352"/>
      <c r="J1593" s="353"/>
      <c r="K1593" s="538"/>
      <c r="L1593" s="487"/>
      <c r="M1593" s="487"/>
      <c r="N1593" s="354"/>
      <c r="O1593" s="354"/>
      <c r="P1593" s="354"/>
      <c r="Q1593" s="354"/>
      <c r="R1593" s="354"/>
      <c r="S1593" s="354"/>
      <c r="T1593" s="354"/>
      <c r="U1593" s="354"/>
      <c r="V1593" s="354"/>
      <c r="W1593" s="354"/>
      <c r="X1593" s="354"/>
      <c r="Y1593" s="354"/>
      <c r="Z1593" s="353"/>
      <c r="AA1593" s="352"/>
      <c r="AB1593" s="726"/>
    </row>
    <row r="1594" spans="1:28" ht="16.5" customHeight="1">
      <c r="A1594" s="347"/>
      <c r="B1594" s="347"/>
      <c r="C1594" s="347"/>
      <c r="D1594" s="348"/>
      <c r="E1594" s="348"/>
      <c r="F1594" s="348"/>
      <c r="G1594" s="348"/>
      <c r="H1594" s="359"/>
      <c r="I1594" s="352"/>
      <c r="J1594" s="353"/>
      <c r="K1594" s="538"/>
      <c r="L1594" s="487"/>
      <c r="M1594" s="487"/>
      <c r="N1594" s="354"/>
      <c r="O1594" s="354"/>
      <c r="P1594" s="354"/>
      <c r="Q1594" s="354"/>
      <c r="R1594" s="354"/>
      <c r="S1594" s="354"/>
      <c r="T1594" s="354"/>
      <c r="U1594" s="354"/>
      <c r="V1594" s="354"/>
      <c r="W1594" s="354"/>
      <c r="X1594" s="354"/>
      <c r="Y1594" s="354"/>
      <c r="Z1594" s="353"/>
      <c r="AA1594" s="352"/>
      <c r="AB1594" s="726"/>
    </row>
    <row r="1595" spans="1:28" ht="16.5" customHeight="1">
      <c r="A1595" s="347"/>
      <c r="B1595" s="347"/>
      <c r="C1595" s="347"/>
      <c r="D1595" s="361"/>
      <c r="E1595" s="361"/>
      <c r="F1595" s="361"/>
      <c r="G1595" s="348"/>
      <c r="H1595" s="359"/>
      <c r="I1595" s="352"/>
      <c r="J1595" s="353"/>
      <c r="K1595" s="538"/>
      <c r="L1595" s="487"/>
      <c r="M1595" s="487"/>
      <c r="N1595" s="354"/>
      <c r="O1595" s="354"/>
      <c r="P1595" s="354"/>
      <c r="Q1595" s="354"/>
      <c r="R1595" s="354"/>
      <c r="S1595" s="354"/>
      <c r="T1595" s="354"/>
      <c r="U1595" s="354"/>
      <c r="V1595" s="354"/>
      <c r="W1595" s="354"/>
      <c r="X1595" s="354"/>
      <c r="Y1595" s="354"/>
      <c r="Z1595" s="353"/>
      <c r="AA1595" s="352"/>
      <c r="AB1595" s="726"/>
    </row>
    <row r="1596" spans="1:28" ht="16.5" customHeight="1">
      <c r="A1596" s="347"/>
      <c r="B1596" s="347"/>
      <c r="C1596" s="347"/>
      <c r="D1596" s="361"/>
      <c r="E1596" s="361"/>
      <c r="F1596" s="361"/>
      <c r="G1596" s="348"/>
      <c r="H1596" s="359"/>
      <c r="I1596" s="352"/>
      <c r="J1596" s="353"/>
      <c r="K1596" s="538"/>
      <c r="L1596" s="487"/>
      <c r="M1596" s="487"/>
      <c r="N1596" s="354"/>
      <c r="O1596" s="354"/>
      <c r="P1596" s="354"/>
      <c r="Q1596" s="354"/>
      <c r="R1596" s="354"/>
      <c r="S1596" s="354"/>
      <c r="T1596" s="354"/>
      <c r="U1596" s="354"/>
      <c r="V1596" s="354"/>
      <c r="W1596" s="354"/>
      <c r="X1596" s="354"/>
      <c r="Y1596" s="354"/>
      <c r="Z1596" s="353"/>
      <c r="AA1596" s="352"/>
      <c r="AB1596" s="726"/>
    </row>
    <row r="1597" spans="1:28" ht="16.5" customHeight="1">
      <c r="A1597" s="347"/>
      <c r="B1597" s="347"/>
      <c r="C1597" s="347"/>
      <c r="D1597" s="348"/>
      <c r="E1597" s="348"/>
      <c r="F1597" s="348"/>
      <c r="G1597" s="348"/>
      <c r="H1597" s="359"/>
      <c r="I1597" s="352"/>
      <c r="J1597" s="353"/>
      <c r="K1597" s="538"/>
      <c r="L1597" s="487"/>
      <c r="M1597" s="487"/>
      <c r="N1597" s="354"/>
      <c r="O1597" s="354"/>
      <c r="P1597" s="354"/>
      <c r="Q1597" s="354"/>
      <c r="R1597" s="354"/>
      <c r="S1597" s="354"/>
      <c r="T1597" s="354"/>
      <c r="U1597" s="354"/>
      <c r="V1597" s="354"/>
      <c r="W1597" s="354"/>
      <c r="X1597" s="354"/>
      <c r="Y1597" s="354"/>
      <c r="Z1597" s="353"/>
      <c r="AA1597" s="352"/>
      <c r="AB1597" s="726"/>
    </row>
    <row r="1598" spans="1:28" ht="16.5" customHeight="1">
      <c r="A1598" s="347"/>
      <c r="B1598" s="347"/>
      <c r="C1598" s="347"/>
      <c r="D1598" s="348"/>
      <c r="E1598" s="348"/>
      <c r="F1598" s="348"/>
      <c r="G1598" s="348"/>
      <c r="H1598" s="359"/>
      <c r="I1598" s="352"/>
      <c r="J1598" s="353"/>
      <c r="K1598" s="538"/>
      <c r="L1598" s="487"/>
      <c r="M1598" s="487"/>
      <c r="N1598" s="354"/>
      <c r="O1598" s="354"/>
      <c r="P1598" s="354"/>
      <c r="Q1598" s="354"/>
      <c r="R1598" s="354"/>
      <c r="S1598" s="354"/>
      <c r="T1598" s="354"/>
      <c r="U1598" s="354"/>
      <c r="V1598" s="354"/>
      <c r="W1598" s="354"/>
      <c r="X1598" s="354"/>
      <c r="Y1598" s="354"/>
      <c r="Z1598" s="353"/>
      <c r="AA1598" s="352"/>
      <c r="AB1598" s="726"/>
    </row>
    <row r="1599" spans="1:28" ht="16.5" customHeight="1">
      <c r="A1599" s="347"/>
      <c r="B1599" s="347"/>
      <c r="C1599" s="347"/>
      <c r="D1599" s="348"/>
      <c r="E1599" s="348"/>
      <c r="F1599" s="348"/>
      <c r="G1599" s="348"/>
      <c r="H1599" s="359"/>
      <c r="I1599" s="352"/>
      <c r="J1599" s="353"/>
      <c r="K1599" s="538"/>
      <c r="L1599" s="487"/>
      <c r="M1599" s="487"/>
      <c r="N1599" s="354"/>
      <c r="O1599" s="354"/>
      <c r="P1599" s="354"/>
      <c r="Q1599" s="354"/>
      <c r="R1599" s="354"/>
      <c r="S1599" s="354"/>
      <c r="T1599" s="354"/>
      <c r="U1599" s="354"/>
      <c r="V1599" s="354"/>
      <c r="W1599" s="354"/>
      <c r="X1599" s="354"/>
      <c r="Y1599" s="354"/>
      <c r="Z1599" s="353"/>
      <c r="AA1599" s="352"/>
      <c r="AB1599" s="726"/>
    </row>
    <row r="1600" spans="1:28" ht="16.5" customHeight="1">
      <c r="A1600" s="347"/>
      <c r="B1600" s="347"/>
      <c r="C1600" s="347"/>
      <c r="D1600" s="348"/>
      <c r="E1600" s="348"/>
      <c r="F1600" s="348"/>
      <c r="G1600" s="348"/>
      <c r="H1600" s="359"/>
      <c r="I1600" s="352"/>
      <c r="J1600" s="353"/>
      <c r="K1600" s="538"/>
      <c r="L1600" s="487"/>
      <c r="M1600" s="487"/>
      <c r="N1600" s="354"/>
      <c r="O1600" s="354"/>
      <c r="P1600" s="354"/>
      <c r="Q1600" s="354"/>
      <c r="R1600" s="354"/>
      <c r="S1600" s="354"/>
      <c r="T1600" s="354"/>
      <c r="U1600" s="354"/>
      <c r="V1600" s="354"/>
      <c r="W1600" s="354"/>
      <c r="X1600" s="354"/>
      <c r="Y1600" s="354"/>
      <c r="Z1600" s="353"/>
      <c r="AA1600" s="352"/>
      <c r="AB1600" s="726"/>
    </row>
    <row r="1601" spans="1:28" ht="16.5" customHeight="1">
      <c r="A1601" s="347"/>
      <c r="B1601" s="347"/>
      <c r="C1601" s="347"/>
      <c r="D1601" s="348"/>
      <c r="E1601" s="348"/>
      <c r="F1601" s="348"/>
      <c r="G1601" s="348"/>
      <c r="H1601" s="359"/>
      <c r="I1601" s="352"/>
      <c r="J1601" s="353"/>
      <c r="K1601" s="538"/>
      <c r="L1601" s="487"/>
      <c r="M1601" s="487"/>
      <c r="N1601" s="354"/>
      <c r="O1601" s="354"/>
      <c r="P1601" s="354"/>
      <c r="Q1601" s="354"/>
      <c r="R1601" s="354"/>
      <c r="S1601" s="354"/>
      <c r="T1601" s="354"/>
      <c r="U1601" s="354"/>
      <c r="V1601" s="354"/>
      <c r="W1601" s="354"/>
      <c r="X1601" s="354"/>
      <c r="Y1601" s="354"/>
      <c r="Z1601" s="353"/>
      <c r="AA1601" s="352"/>
      <c r="AB1601" s="726"/>
    </row>
    <row r="1602" spans="1:28" ht="16.5" customHeight="1">
      <c r="A1602" s="347"/>
      <c r="B1602" s="347"/>
      <c r="C1602" s="347"/>
      <c r="D1602" s="348"/>
      <c r="E1602" s="348"/>
      <c r="F1602" s="348"/>
      <c r="G1602" s="348"/>
      <c r="H1602" s="359"/>
      <c r="I1602" s="352"/>
      <c r="J1602" s="353"/>
      <c r="K1602" s="538"/>
      <c r="L1602" s="487"/>
      <c r="M1602" s="487"/>
      <c r="N1602" s="354"/>
      <c r="O1602" s="354"/>
      <c r="P1602" s="354"/>
      <c r="Q1602" s="354"/>
      <c r="R1602" s="354"/>
      <c r="S1602" s="354"/>
      <c r="T1602" s="354"/>
      <c r="U1602" s="354"/>
      <c r="V1602" s="354"/>
      <c r="W1602" s="354"/>
      <c r="X1602" s="354"/>
      <c r="Y1602" s="354"/>
      <c r="Z1602" s="353"/>
      <c r="AA1602" s="352"/>
      <c r="AB1602" s="726"/>
    </row>
    <row r="1603" spans="1:28" ht="16.5" customHeight="1">
      <c r="A1603" s="347"/>
      <c r="B1603" s="347"/>
      <c r="C1603" s="347"/>
      <c r="D1603" s="348"/>
      <c r="E1603" s="348"/>
      <c r="F1603" s="348"/>
      <c r="G1603" s="348"/>
      <c r="H1603" s="359"/>
      <c r="I1603" s="352"/>
      <c r="J1603" s="353"/>
      <c r="K1603" s="538"/>
      <c r="L1603" s="487"/>
      <c r="M1603" s="487"/>
      <c r="N1603" s="354"/>
      <c r="O1603" s="354"/>
      <c r="P1603" s="354"/>
      <c r="Q1603" s="354"/>
      <c r="R1603" s="354"/>
      <c r="S1603" s="354"/>
      <c r="T1603" s="354"/>
      <c r="U1603" s="354"/>
      <c r="V1603" s="354"/>
      <c r="W1603" s="354"/>
      <c r="X1603" s="354"/>
      <c r="Y1603" s="354"/>
      <c r="Z1603" s="353"/>
      <c r="AA1603" s="352"/>
      <c r="AB1603" s="726"/>
    </row>
    <row r="1604" spans="1:28" ht="16.5" customHeight="1">
      <c r="A1604" s="347"/>
      <c r="B1604" s="347"/>
      <c r="C1604" s="347"/>
      <c r="D1604" s="348"/>
      <c r="E1604" s="348"/>
      <c r="F1604" s="348"/>
      <c r="G1604" s="348"/>
      <c r="H1604" s="359"/>
      <c r="I1604" s="352"/>
      <c r="J1604" s="353"/>
      <c r="K1604" s="538"/>
      <c r="L1604" s="487"/>
      <c r="M1604" s="487"/>
      <c r="N1604" s="354"/>
      <c r="O1604" s="354"/>
      <c r="P1604" s="354"/>
      <c r="Q1604" s="354"/>
      <c r="R1604" s="354"/>
      <c r="S1604" s="354"/>
      <c r="T1604" s="354"/>
      <c r="U1604" s="354"/>
      <c r="V1604" s="354"/>
      <c r="W1604" s="354"/>
      <c r="X1604" s="354"/>
      <c r="Y1604" s="354"/>
      <c r="Z1604" s="353"/>
      <c r="AA1604" s="352"/>
      <c r="AB1604" s="726"/>
    </row>
    <row r="1605" spans="1:28" ht="16.5" customHeight="1">
      <c r="A1605" s="347"/>
      <c r="B1605" s="347"/>
      <c r="C1605" s="347"/>
      <c r="D1605" s="348"/>
      <c r="E1605" s="348"/>
      <c r="F1605" s="348"/>
      <c r="G1605" s="348"/>
      <c r="H1605" s="359"/>
      <c r="I1605" s="352"/>
      <c r="J1605" s="353"/>
      <c r="K1605" s="538"/>
      <c r="L1605" s="487"/>
      <c r="M1605" s="487"/>
      <c r="N1605" s="354"/>
      <c r="O1605" s="354"/>
      <c r="P1605" s="354"/>
      <c r="Q1605" s="354"/>
      <c r="R1605" s="354"/>
      <c r="S1605" s="354"/>
      <c r="T1605" s="354"/>
      <c r="U1605" s="354"/>
      <c r="V1605" s="354"/>
      <c r="W1605" s="354"/>
      <c r="X1605" s="354"/>
      <c r="Y1605" s="354"/>
      <c r="Z1605" s="353"/>
      <c r="AA1605" s="352"/>
      <c r="AB1605" s="726"/>
    </row>
    <row r="1606" spans="1:28" ht="16.5" customHeight="1">
      <c r="A1606" s="347"/>
      <c r="B1606" s="347"/>
      <c r="C1606" s="347"/>
      <c r="D1606" s="361"/>
      <c r="E1606" s="361"/>
      <c r="F1606" s="361"/>
      <c r="G1606" s="348"/>
      <c r="H1606" s="359"/>
      <c r="I1606" s="352"/>
      <c r="J1606" s="353"/>
      <c r="K1606" s="538"/>
      <c r="L1606" s="487"/>
      <c r="M1606" s="487"/>
      <c r="N1606" s="354"/>
      <c r="O1606" s="354"/>
      <c r="P1606" s="354"/>
      <c r="Q1606" s="354"/>
      <c r="R1606" s="354"/>
      <c r="S1606" s="354"/>
      <c r="T1606" s="354"/>
      <c r="U1606" s="354"/>
      <c r="V1606" s="354"/>
      <c r="W1606" s="354"/>
      <c r="X1606" s="354"/>
      <c r="Y1606" s="354"/>
      <c r="Z1606" s="353"/>
      <c r="AA1606" s="352"/>
      <c r="AB1606" s="726"/>
    </row>
    <row r="1607" spans="1:28" ht="16.5" customHeight="1">
      <c r="A1607" s="347"/>
      <c r="B1607" s="347"/>
      <c r="C1607" s="347"/>
      <c r="D1607" s="348"/>
      <c r="E1607" s="348"/>
      <c r="F1607" s="348"/>
      <c r="G1607" s="348"/>
      <c r="H1607" s="359"/>
      <c r="I1607" s="352"/>
      <c r="J1607" s="353"/>
      <c r="K1607" s="538"/>
      <c r="L1607" s="487"/>
      <c r="M1607" s="487"/>
      <c r="N1607" s="354"/>
      <c r="O1607" s="354"/>
      <c r="P1607" s="354"/>
      <c r="Q1607" s="354"/>
      <c r="R1607" s="354"/>
      <c r="S1607" s="354"/>
      <c r="T1607" s="354"/>
      <c r="U1607" s="354"/>
      <c r="V1607" s="354"/>
      <c r="W1607" s="354"/>
      <c r="X1607" s="354"/>
      <c r="Y1607" s="354"/>
      <c r="Z1607" s="353"/>
      <c r="AA1607" s="352"/>
      <c r="AB1607" s="726"/>
    </row>
    <row r="1608" spans="1:28" ht="16.5" customHeight="1">
      <c r="A1608" s="347"/>
      <c r="B1608" s="347"/>
      <c r="C1608" s="347"/>
      <c r="D1608" s="348"/>
      <c r="E1608" s="348"/>
      <c r="F1608" s="348"/>
      <c r="G1608" s="348"/>
      <c r="H1608" s="359"/>
      <c r="I1608" s="352"/>
      <c r="J1608" s="353"/>
      <c r="K1608" s="538"/>
      <c r="L1608" s="487"/>
      <c r="M1608" s="487"/>
      <c r="N1608" s="354"/>
      <c r="O1608" s="354"/>
      <c r="P1608" s="354"/>
      <c r="Q1608" s="354"/>
      <c r="R1608" s="354"/>
      <c r="S1608" s="354"/>
      <c r="T1608" s="354"/>
      <c r="U1608" s="354"/>
      <c r="V1608" s="354"/>
      <c r="W1608" s="354"/>
      <c r="X1608" s="354"/>
      <c r="Y1608" s="354"/>
      <c r="Z1608" s="353"/>
      <c r="AA1608" s="352"/>
      <c r="AB1608" s="726"/>
    </row>
    <row r="1609" spans="1:28" ht="16.5" customHeight="1">
      <c r="A1609" s="347"/>
      <c r="B1609" s="347"/>
      <c r="C1609" s="347"/>
      <c r="D1609" s="348"/>
      <c r="E1609" s="348"/>
      <c r="F1609" s="348"/>
      <c r="G1609" s="348"/>
      <c r="H1609" s="359"/>
      <c r="I1609" s="352"/>
      <c r="J1609" s="353"/>
      <c r="K1609" s="538"/>
      <c r="L1609" s="487"/>
      <c r="M1609" s="487"/>
      <c r="N1609" s="354"/>
      <c r="O1609" s="354"/>
      <c r="P1609" s="354"/>
      <c r="Q1609" s="354"/>
      <c r="R1609" s="354"/>
      <c r="S1609" s="354"/>
      <c r="T1609" s="354"/>
      <c r="U1609" s="354"/>
      <c r="V1609" s="354"/>
      <c r="W1609" s="354"/>
      <c r="X1609" s="354"/>
      <c r="Y1609" s="354"/>
      <c r="Z1609" s="353"/>
      <c r="AA1609" s="352"/>
      <c r="AB1609" s="726"/>
    </row>
    <row r="1610" spans="1:28" ht="16.5" customHeight="1">
      <c r="A1610" s="347"/>
      <c r="B1610" s="347"/>
      <c r="C1610" s="347"/>
      <c r="D1610" s="348"/>
      <c r="E1610" s="348"/>
      <c r="F1610" s="348"/>
      <c r="G1610" s="348"/>
      <c r="H1610" s="359"/>
      <c r="I1610" s="352"/>
      <c r="J1610" s="353"/>
      <c r="K1610" s="538"/>
      <c r="L1610" s="487"/>
      <c r="M1610" s="487"/>
      <c r="N1610" s="354"/>
      <c r="O1610" s="354"/>
      <c r="P1610" s="354"/>
      <c r="Q1610" s="354"/>
      <c r="R1610" s="354"/>
      <c r="S1610" s="354"/>
      <c r="T1610" s="354"/>
      <c r="U1610" s="354"/>
      <c r="V1610" s="354"/>
      <c r="W1610" s="354"/>
      <c r="X1610" s="354"/>
      <c r="Y1610" s="354"/>
      <c r="Z1610" s="353"/>
      <c r="AA1610" s="352"/>
      <c r="AB1610" s="726"/>
    </row>
    <row r="1611" spans="1:28" ht="16.5" customHeight="1">
      <c r="A1611" s="347"/>
      <c r="B1611" s="347"/>
      <c r="C1611" s="347"/>
      <c r="D1611" s="361"/>
      <c r="E1611" s="361"/>
      <c r="F1611" s="361"/>
      <c r="G1611" s="348"/>
      <c r="H1611" s="359"/>
      <c r="I1611" s="352"/>
      <c r="J1611" s="353"/>
      <c r="K1611" s="538"/>
      <c r="L1611" s="487"/>
      <c r="M1611" s="487"/>
      <c r="N1611" s="354"/>
      <c r="O1611" s="354"/>
      <c r="P1611" s="354"/>
      <c r="Q1611" s="354"/>
      <c r="R1611" s="354"/>
      <c r="S1611" s="354"/>
      <c r="T1611" s="354"/>
      <c r="U1611" s="354"/>
      <c r="V1611" s="354"/>
      <c r="W1611" s="354"/>
      <c r="X1611" s="354"/>
      <c r="Y1611" s="354"/>
      <c r="Z1611" s="353"/>
      <c r="AA1611" s="352"/>
      <c r="AB1611" s="726"/>
    </row>
    <row r="1612" spans="1:28" ht="16.5" customHeight="1">
      <c r="A1612" s="347"/>
      <c r="B1612" s="347"/>
      <c r="C1612" s="347"/>
      <c r="D1612" s="348"/>
      <c r="E1612" s="348"/>
      <c r="F1612" s="348"/>
      <c r="G1612" s="348"/>
      <c r="H1612" s="359"/>
      <c r="I1612" s="352"/>
      <c r="J1612" s="353"/>
      <c r="K1612" s="538"/>
      <c r="L1612" s="487"/>
      <c r="M1612" s="487"/>
      <c r="N1612" s="354"/>
      <c r="O1612" s="354"/>
      <c r="P1612" s="354"/>
      <c r="Q1612" s="354"/>
      <c r="R1612" s="354"/>
      <c r="S1612" s="354"/>
      <c r="T1612" s="354"/>
      <c r="U1612" s="354"/>
      <c r="V1612" s="354"/>
      <c r="W1612" s="354"/>
      <c r="X1612" s="354"/>
      <c r="Y1612" s="354"/>
      <c r="Z1612" s="353"/>
      <c r="AA1612" s="352"/>
      <c r="AB1612" s="726"/>
    </row>
    <row r="1613" spans="1:28" ht="16.5" customHeight="1">
      <c r="A1613" s="347"/>
      <c r="B1613" s="347"/>
      <c r="C1613" s="347"/>
      <c r="D1613" s="348"/>
      <c r="E1613" s="348"/>
      <c r="F1613" s="348"/>
      <c r="G1613" s="348"/>
      <c r="H1613" s="359"/>
      <c r="I1613" s="352"/>
      <c r="J1613" s="353"/>
      <c r="K1613" s="538"/>
      <c r="L1613" s="487"/>
      <c r="M1613" s="487"/>
      <c r="N1613" s="354"/>
      <c r="O1613" s="354"/>
      <c r="P1613" s="354"/>
      <c r="Q1613" s="354"/>
      <c r="R1613" s="354"/>
      <c r="S1613" s="354"/>
      <c r="T1613" s="354"/>
      <c r="U1613" s="354"/>
      <c r="V1613" s="354"/>
      <c r="W1613" s="354"/>
      <c r="X1613" s="354"/>
      <c r="Y1613" s="354"/>
      <c r="Z1613" s="353"/>
      <c r="AA1613" s="352"/>
      <c r="AB1613" s="726"/>
    </row>
    <row r="1614" spans="1:28" ht="16.5" customHeight="1">
      <c r="A1614" s="347"/>
      <c r="B1614" s="347"/>
      <c r="C1614" s="347"/>
      <c r="D1614" s="348"/>
      <c r="E1614" s="348"/>
      <c r="F1614" s="348"/>
      <c r="G1614" s="348"/>
      <c r="H1614" s="359"/>
      <c r="I1614" s="352"/>
      <c r="J1614" s="353"/>
      <c r="K1614" s="538"/>
      <c r="L1614" s="487"/>
      <c r="M1614" s="487"/>
      <c r="N1614" s="354"/>
      <c r="O1614" s="354"/>
      <c r="P1614" s="354"/>
      <c r="Q1614" s="354"/>
      <c r="R1614" s="354"/>
      <c r="S1614" s="354"/>
      <c r="T1614" s="354"/>
      <c r="U1614" s="354"/>
      <c r="V1614" s="354"/>
      <c r="W1614" s="354"/>
      <c r="X1614" s="354"/>
      <c r="Y1614" s="354"/>
      <c r="Z1614" s="353"/>
      <c r="AA1614" s="352"/>
      <c r="AB1614" s="726"/>
    </row>
    <row r="1615" spans="1:28" ht="16.5" customHeight="1">
      <c r="A1615" s="347"/>
      <c r="B1615" s="347"/>
      <c r="C1615" s="347"/>
      <c r="D1615" s="348"/>
      <c r="E1615" s="348"/>
      <c r="F1615" s="348"/>
      <c r="G1615" s="348"/>
      <c r="H1615" s="359"/>
      <c r="I1615" s="352"/>
      <c r="J1615" s="353"/>
      <c r="K1615" s="538"/>
      <c r="L1615" s="487"/>
      <c r="M1615" s="487"/>
      <c r="N1615" s="354"/>
      <c r="O1615" s="354"/>
      <c r="P1615" s="354"/>
      <c r="Q1615" s="354"/>
      <c r="R1615" s="354"/>
      <c r="S1615" s="354"/>
      <c r="T1615" s="354"/>
      <c r="U1615" s="354"/>
      <c r="V1615" s="354"/>
      <c r="W1615" s="354"/>
      <c r="X1615" s="354"/>
      <c r="Y1615" s="354"/>
      <c r="Z1615" s="353"/>
      <c r="AA1615" s="352"/>
      <c r="AB1615" s="726"/>
    </row>
    <row r="1616" spans="1:28" ht="16.5" customHeight="1">
      <c r="A1616" s="347"/>
      <c r="B1616" s="347"/>
      <c r="C1616" s="347"/>
      <c r="D1616" s="348"/>
      <c r="E1616" s="348"/>
      <c r="F1616" s="348"/>
      <c r="G1616" s="348"/>
      <c r="H1616" s="359"/>
      <c r="I1616" s="352"/>
      <c r="J1616" s="353"/>
      <c r="K1616" s="538"/>
      <c r="L1616" s="487"/>
      <c r="M1616" s="487"/>
      <c r="N1616" s="354"/>
      <c r="O1616" s="354"/>
      <c r="P1616" s="354"/>
      <c r="Q1616" s="354"/>
      <c r="R1616" s="354"/>
      <c r="S1616" s="354"/>
      <c r="T1616" s="354"/>
      <c r="U1616" s="354"/>
      <c r="V1616" s="354"/>
      <c r="W1616" s="354"/>
      <c r="X1616" s="354"/>
      <c r="Y1616" s="354"/>
      <c r="Z1616" s="353"/>
      <c r="AA1616" s="352"/>
      <c r="AB1616" s="726"/>
    </row>
    <row r="1617" spans="1:28" ht="16.5" customHeight="1">
      <c r="A1617" s="347"/>
      <c r="B1617" s="347"/>
      <c r="C1617" s="347"/>
      <c r="D1617" s="361"/>
      <c r="E1617" s="361"/>
      <c r="F1617" s="361"/>
      <c r="G1617" s="348"/>
      <c r="H1617" s="359"/>
      <c r="I1617" s="352"/>
      <c r="J1617" s="353"/>
      <c r="K1617" s="538"/>
      <c r="L1617" s="487"/>
      <c r="M1617" s="487"/>
      <c r="N1617" s="354"/>
      <c r="O1617" s="354"/>
      <c r="P1617" s="354"/>
      <c r="Q1617" s="354"/>
      <c r="R1617" s="354"/>
      <c r="S1617" s="354"/>
      <c r="T1617" s="354"/>
      <c r="U1617" s="354"/>
      <c r="V1617" s="354"/>
      <c r="W1617" s="354"/>
      <c r="X1617" s="354"/>
      <c r="Y1617" s="354"/>
      <c r="Z1617" s="353"/>
      <c r="AA1617" s="352"/>
      <c r="AB1617" s="726"/>
    </row>
    <row r="1618" spans="1:28" ht="16.5" customHeight="1">
      <c r="A1618" s="347"/>
      <c r="B1618" s="347"/>
      <c r="C1618" s="347"/>
      <c r="D1618" s="348"/>
      <c r="E1618" s="348"/>
      <c r="F1618" s="348"/>
      <c r="G1618" s="348"/>
      <c r="H1618" s="359"/>
      <c r="I1618" s="352"/>
      <c r="J1618" s="353"/>
      <c r="K1618" s="538"/>
      <c r="L1618" s="487"/>
      <c r="M1618" s="487"/>
      <c r="N1618" s="354"/>
      <c r="O1618" s="354"/>
      <c r="P1618" s="354"/>
      <c r="Q1618" s="354"/>
      <c r="R1618" s="354"/>
      <c r="S1618" s="354"/>
      <c r="T1618" s="354"/>
      <c r="U1618" s="354"/>
      <c r="V1618" s="354"/>
      <c r="W1618" s="354"/>
      <c r="X1618" s="354"/>
      <c r="Y1618" s="354"/>
      <c r="Z1618" s="353"/>
      <c r="AA1618" s="352"/>
      <c r="AB1618" s="726"/>
    </row>
    <row r="1619" spans="1:28" ht="16.5" customHeight="1">
      <c r="A1619" s="347"/>
      <c r="B1619" s="347"/>
      <c r="C1619" s="347"/>
      <c r="D1619" s="348"/>
      <c r="E1619" s="348"/>
      <c r="F1619" s="348"/>
      <c r="G1619" s="348"/>
      <c r="H1619" s="359"/>
      <c r="I1619" s="352"/>
      <c r="J1619" s="353"/>
      <c r="K1619" s="538"/>
      <c r="L1619" s="487"/>
      <c r="M1619" s="487"/>
      <c r="N1619" s="354"/>
      <c r="O1619" s="354"/>
      <c r="P1619" s="354"/>
      <c r="Q1619" s="354"/>
      <c r="R1619" s="354"/>
      <c r="S1619" s="354"/>
      <c r="T1619" s="354"/>
      <c r="U1619" s="354"/>
      <c r="V1619" s="354"/>
      <c r="W1619" s="354"/>
      <c r="X1619" s="354"/>
      <c r="Y1619" s="354"/>
      <c r="Z1619" s="353"/>
      <c r="AA1619" s="352"/>
      <c r="AB1619" s="726"/>
    </row>
    <row r="1620" spans="1:28" ht="16.5" customHeight="1">
      <c r="A1620" s="347"/>
      <c r="B1620" s="347"/>
      <c r="C1620" s="347"/>
      <c r="D1620" s="348"/>
      <c r="E1620" s="348"/>
      <c r="F1620" s="348"/>
      <c r="G1620" s="348"/>
      <c r="H1620" s="359"/>
      <c r="I1620" s="352"/>
      <c r="J1620" s="353"/>
      <c r="K1620" s="538"/>
      <c r="L1620" s="487"/>
      <c r="M1620" s="487"/>
      <c r="N1620" s="354"/>
      <c r="O1620" s="354"/>
      <c r="P1620" s="354"/>
      <c r="Q1620" s="354"/>
      <c r="R1620" s="354"/>
      <c r="S1620" s="354"/>
      <c r="T1620" s="354"/>
      <c r="U1620" s="354"/>
      <c r="V1620" s="354"/>
      <c r="W1620" s="354"/>
      <c r="X1620" s="354"/>
      <c r="Y1620" s="354"/>
      <c r="Z1620" s="353"/>
      <c r="AA1620" s="352"/>
      <c r="AB1620" s="726"/>
    </row>
    <row r="1621" spans="1:28" ht="16.5" customHeight="1">
      <c r="A1621" s="347"/>
      <c r="B1621" s="347"/>
      <c r="C1621" s="347"/>
      <c r="D1621" s="348"/>
      <c r="E1621" s="348"/>
      <c r="F1621" s="348"/>
      <c r="G1621" s="348"/>
      <c r="H1621" s="359"/>
      <c r="I1621" s="352"/>
      <c r="J1621" s="353"/>
      <c r="K1621" s="538"/>
      <c r="L1621" s="487"/>
      <c r="M1621" s="487"/>
      <c r="N1621" s="354"/>
      <c r="O1621" s="354"/>
      <c r="P1621" s="354"/>
      <c r="Q1621" s="354"/>
      <c r="R1621" s="354"/>
      <c r="S1621" s="354"/>
      <c r="T1621" s="354"/>
      <c r="U1621" s="354"/>
      <c r="V1621" s="354"/>
      <c r="W1621" s="354"/>
      <c r="X1621" s="354"/>
      <c r="Y1621" s="354"/>
      <c r="Z1621" s="353"/>
      <c r="AA1621" s="352"/>
      <c r="AB1621" s="726"/>
    </row>
    <row r="1622" spans="1:28" ht="16.5" customHeight="1">
      <c r="A1622" s="347"/>
      <c r="B1622" s="347"/>
      <c r="C1622" s="347"/>
      <c r="D1622" s="348"/>
      <c r="E1622" s="348"/>
      <c r="F1622" s="348"/>
      <c r="G1622" s="348"/>
      <c r="H1622" s="359"/>
      <c r="I1622" s="352"/>
      <c r="J1622" s="353"/>
      <c r="K1622" s="538"/>
      <c r="L1622" s="487"/>
      <c r="M1622" s="487"/>
      <c r="N1622" s="354"/>
      <c r="O1622" s="354"/>
      <c r="P1622" s="354"/>
      <c r="Q1622" s="354"/>
      <c r="R1622" s="354"/>
      <c r="S1622" s="354"/>
      <c r="T1622" s="354"/>
      <c r="U1622" s="354"/>
      <c r="V1622" s="354"/>
      <c r="W1622" s="354"/>
      <c r="X1622" s="354"/>
      <c r="Y1622" s="354"/>
      <c r="Z1622" s="353"/>
      <c r="AA1622" s="352"/>
      <c r="AB1622" s="726"/>
    </row>
    <row r="1623" spans="1:28" ht="16.5" customHeight="1">
      <c r="A1623" s="347"/>
      <c r="B1623" s="347"/>
      <c r="C1623" s="347"/>
      <c r="D1623" s="361"/>
      <c r="E1623" s="361"/>
      <c r="F1623" s="361"/>
      <c r="G1623" s="348"/>
      <c r="H1623" s="359"/>
      <c r="I1623" s="352"/>
      <c r="J1623" s="353"/>
      <c r="K1623" s="538"/>
      <c r="L1623" s="487"/>
      <c r="M1623" s="487"/>
      <c r="N1623" s="354"/>
      <c r="O1623" s="354"/>
      <c r="P1623" s="354"/>
      <c r="Q1623" s="354"/>
      <c r="R1623" s="354"/>
      <c r="S1623" s="354"/>
      <c r="T1623" s="354"/>
      <c r="U1623" s="354"/>
      <c r="V1623" s="354"/>
      <c r="W1623" s="354"/>
      <c r="X1623" s="354"/>
      <c r="Y1623" s="354"/>
      <c r="Z1623" s="353"/>
      <c r="AA1623" s="352"/>
      <c r="AB1623" s="726"/>
    </row>
    <row r="1624" spans="1:28" ht="16.5" customHeight="1">
      <c r="A1624" s="347"/>
      <c r="B1624" s="347"/>
      <c r="C1624" s="347"/>
      <c r="D1624" s="348"/>
      <c r="E1624" s="348"/>
      <c r="F1624" s="348"/>
      <c r="G1624" s="348"/>
      <c r="H1624" s="359"/>
      <c r="I1624" s="352"/>
      <c r="J1624" s="353"/>
      <c r="K1624" s="538"/>
      <c r="L1624" s="487"/>
      <c r="M1624" s="487"/>
      <c r="N1624" s="354"/>
      <c r="O1624" s="354"/>
      <c r="P1624" s="354"/>
      <c r="Q1624" s="354"/>
      <c r="R1624" s="354"/>
      <c r="S1624" s="354"/>
      <c r="T1624" s="354"/>
      <c r="U1624" s="354"/>
      <c r="V1624" s="354"/>
      <c r="W1624" s="354"/>
      <c r="X1624" s="354"/>
      <c r="Y1624" s="354"/>
      <c r="Z1624" s="353"/>
      <c r="AA1624" s="352"/>
      <c r="AB1624" s="726"/>
    </row>
    <row r="1625" spans="1:28" ht="16.5" customHeight="1">
      <c r="A1625" s="347"/>
      <c r="B1625" s="347"/>
      <c r="C1625" s="347"/>
      <c r="D1625" s="361"/>
      <c r="E1625" s="361"/>
      <c r="F1625" s="361"/>
      <c r="G1625" s="348"/>
      <c r="H1625" s="359"/>
      <c r="I1625" s="352"/>
      <c r="J1625" s="353"/>
      <c r="K1625" s="538"/>
      <c r="L1625" s="487"/>
      <c r="M1625" s="487"/>
      <c r="N1625" s="354"/>
      <c r="O1625" s="354"/>
      <c r="P1625" s="354"/>
      <c r="Q1625" s="354"/>
      <c r="R1625" s="354"/>
      <c r="S1625" s="354"/>
      <c r="T1625" s="354"/>
      <c r="U1625" s="354"/>
      <c r="V1625" s="354"/>
      <c r="W1625" s="354"/>
      <c r="X1625" s="354"/>
      <c r="Y1625" s="354"/>
      <c r="Z1625" s="353"/>
      <c r="AA1625" s="352"/>
      <c r="AB1625" s="726"/>
    </row>
    <row r="1626" spans="1:28" ht="16.5" customHeight="1">
      <c r="A1626" s="347"/>
      <c r="B1626" s="347"/>
      <c r="C1626" s="347"/>
      <c r="D1626" s="348"/>
      <c r="E1626" s="348"/>
      <c r="F1626" s="348"/>
      <c r="G1626" s="348"/>
      <c r="H1626" s="359"/>
      <c r="I1626" s="352"/>
      <c r="J1626" s="353"/>
      <c r="K1626" s="538"/>
      <c r="L1626" s="487"/>
      <c r="M1626" s="487"/>
      <c r="N1626" s="354"/>
      <c r="O1626" s="354"/>
      <c r="P1626" s="354"/>
      <c r="Q1626" s="354"/>
      <c r="R1626" s="354"/>
      <c r="S1626" s="354"/>
      <c r="T1626" s="354"/>
      <c r="U1626" s="354"/>
      <c r="V1626" s="354"/>
      <c r="W1626" s="354"/>
      <c r="X1626" s="354"/>
      <c r="Y1626" s="354"/>
      <c r="Z1626" s="353"/>
      <c r="AA1626" s="352"/>
      <c r="AB1626" s="726"/>
    </row>
    <row r="1627" spans="1:28" ht="16.5" customHeight="1">
      <c r="A1627" s="347"/>
      <c r="B1627" s="347"/>
      <c r="C1627" s="347"/>
      <c r="D1627" s="348"/>
      <c r="E1627" s="348"/>
      <c r="F1627" s="348"/>
      <c r="G1627" s="348"/>
      <c r="H1627" s="359"/>
      <c r="I1627" s="352"/>
      <c r="J1627" s="353"/>
      <c r="K1627" s="538"/>
      <c r="L1627" s="487"/>
      <c r="M1627" s="487"/>
      <c r="N1627" s="354"/>
      <c r="O1627" s="354"/>
      <c r="P1627" s="354"/>
      <c r="Q1627" s="354"/>
      <c r="R1627" s="354"/>
      <c r="S1627" s="354"/>
      <c r="T1627" s="354"/>
      <c r="U1627" s="354"/>
      <c r="V1627" s="354"/>
      <c r="W1627" s="354"/>
      <c r="X1627" s="354"/>
      <c r="Y1627" s="354"/>
      <c r="Z1627" s="353"/>
      <c r="AA1627" s="352"/>
      <c r="AB1627" s="726"/>
    </row>
    <row r="1628" spans="1:28" ht="16.5" customHeight="1">
      <c r="A1628" s="347"/>
      <c r="B1628" s="347"/>
      <c r="C1628" s="347"/>
      <c r="D1628" s="348"/>
      <c r="E1628" s="348"/>
      <c r="F1628" s="348"/>
      <c r="G1628" s="348"/>
      <c r="H1628" s="359"/>
      <c r="I1628" s="352"/>
      <c r="J1628" s="353"/>
      <c r="K1628" s="538"/>
      <c r="L1628" s="487"/>
      <c r="M1628" s="487"/>
      <c r="N1628" s="354"/>
      <c r="O1628" s="354"/>
      <c r="P1628" s="354"/>
      <c r="Q1628" s="354"/>
      <c r="R1628" s="354"/>
      <c r="S1628" s="354"/>
      <c r="T1628" s="354"/>
      <c r="U1628" s="354"/>
      <c r="V1628" s="354"/>
      <c r="W1628" s="354"/>
      <c r="X1628" s="354"/>
      <c r="Y1628" s="354"/>
      <c r="Z1628" s="353"/>
      <c r="AA1628" s="352"/>
      <c r="AB1628" s="726"/>
    </row>
    <row r="1629" spans="1:28" ht="16.5" customHeight="1">
      <c r="A1629" s="347"/>
      <c r="B1629" s="347"/>
      <c r="C1629" s="347"/>
      <c r="D1629" s="348"/>
      <c r="E1629" s="348"/>
      <c r="F1629" s="348"/>
      <c r="G1629" s="348"/>
      <c r="H1629" s="359"/>
      <c r="I1629" s="352"/>
      <c r="J1629" s="353"/>
      <c r="K1629" s="538"/>
      <c r="L1629" s="487"/>
      <c r="M1629" s="487"/>
      <c r="N1629" s="354"/>
      <c r="O1629" s="354"/>
      <c r="P1629" s="354"/>
      <c r="Q1629" s="354"/>
      <c r="R1629" s="354"/>
      <c r="S1629" s="354"/>
      <c r="T1629" s="354"/>
      <c r="U1629" s="354"/>
      <c r="V1629" s="354"/>
      <c r="W1629" s="354"/>
      <c r="X1629" s="354"/>
      <c r="Y1629" s="354"/>
      <c r="Z1629" s="353"/>
      <c r="AA1629" s="352"/>
      <c r="AB1629" s="726"/>
    </row>
    <row r="1630" spans="1:28" ht="16.5" customHeight="1">
      <c r="A1630" s="347"/>
      <c r="B1630" s="347"/>
      <c r="C1630" s="347"/>
      <c r="D1630" s="348"/>
      <c r="E1630" s="348"/>
      <c r="F1630" s="348"/>
      <c r="G1630" s="348"/>
      <c r="H1630" s="359"/>
      <c r="I1630" s="352"/>
      <c r="J1630" s="353"/>
      <c r="K1630" s="538"/>
      <c r="L1630" s="487"/>
      <c r="M1630" s="487"/>
      <c r="N1630" s="354"/>
      <c r="O1630" s="354"/>
      <c r="P1630" s="354"/>
      <c r="Q1630" s="354"/>
      <c r="R1630" s="354"/>
      <c r="S1630" s="354"/>
      <c r="T1630" s="354"/>
      <c r="U1630" s="354"/>
      <c r="V1630" s="354"/>
      <c r="W1630" s="354"/>
      <c r="X1630" s="354"/>
      <c r="Y1630" s="354"/>
      <c r="Z1630" s="353"/>
      <c r="AA1630" s="352"/>
      <c r="AB1630" s="726"/>
    </row>
    <row r="1631" spans="1:28" ht="16.5" customHeight="1">
      <c r="A1631" s="347"/>
      <c r="B1631" s="347"/>
      <c r="C1631" s="347"/>
      <c r="D1631" s="348"/>
      <c r="E1631" s="348"/>
      <c r="F1631" s="348"/>
      <c r="G1631" s="348"/>
      <c r="H1631" s="359"/>
      <c r="I1631" s="352"/>
      <c r="J1631" s="353"/>
      <c r="K1631" s="538"/>
      <c r="L1631" s="487"/>
      <c r="M1631" s="487"/>
      <c r="N1631" s="354"/>
      <c r="O1631" s="354"/>
      <c r="P1631" s="354"/>
      <c r="Q1631" s="354"/>
      <c r="R1631" s="354"/>
      <c r="S1631" s="354"/>
      <c r="T1631" s="354"/>
      <c r="U1631" s="354"/>
      <c r="V1631" s="354"/>
      <c r="W1631" s="354"/>
      <c r="X1631" s="354"/>
      <c r="Y1631" s="354"/>
      <c r="Z1631" s="353"/>
      <c r="AA1631" s="352"/>
      <c r="AB1631" s="726"/>
    </row>
    <row r="1632" spans="1:28" ht="16.5" customHeight="1">
      <c r="A1632" s="347"/>
      <c r="B1632" s="347"/>
      <c r="C1632" s="347"/>
      <c r="D1632" s="348"/>
      <c r="E1632" s="348"/>
      <c r="F1632" s="348"/>
      <c r="G1632" s="348"/>
      <c r="H1632" s="359"/>
      <c r="I1632" s="352"/>
      <c r="J1632" s="353"/>
      <c r="K1632" s="538"/>
      <c r="L1632" s="487"/>
      <c r="M1632" s="487"/>
      <c r="N1632" s="354"/>
      <c r="O1632" s="354"/>
      <c r="P1632" s="354"/>
      <c r="Q1632" s="354"/>
      <c r="R1632" s="354"/>
      <c r="S1632" s="354"/>
      <c r="T1632" s="354"/>
      <c r="U1632" s="354"/>
      <c r="V1632" s="354"/>
      <c r="W1632" s="354"/>
      <c r="X1632" s="354"/>
      <c r="Y1632" s="354"/>
      <c r="Z1632" s="353"/>
      <c r="AA1632" s="352"/>
      <c r="AB1632" s="726"/>
    </row>
    <row r="1633" spans="1:28" ht="16.5" customHeight="1">
      <c r="A1633" s="347"/>
      <c r="B1633" s="347"/>
      <c r="C1633" s="347"/>
      <c r="D1633" s="348"/>
      <c r="E1633" s="348"/>
      <c r="F1633" s="348"/>
      <c r="G1633" s="348"/>
      <c r="H1633" s="359"/>
      <c r="I1633" s="352"/>
      <c r="J1633" s="353"/>
      <c r="K1633" s="538"/>
      <c r="L1633" s="487"/>
      <c r="M1633" s="487"/>
      <c r="N1633" s="354"/>
      <c r="O1633" s="354"/>
      <c r="P1633" s="354"/>
      <c r="Q1633" s="354"/>
      <c r="R1633" s="354"/>
      <c r="S1633" s="354"/>
      <c r="T1633" s="354"/>
      <c r="U1633" s="354"/>
      <c r="V1633" s="354"/>
      <c r="W1633" s="354"/>
      <c r="X1633" s="354"/>
      <c r="Y1633" s="354"/>
      <c r="Z1633" s="353"/>
      <c r="AA1633" s="352"/>
      <c r="AB1633" s="726"/>
    </row>
    <row r="1634" spans="1:28" ht="16.5" customHeight="1">
      <c r="A1634" s="347"/>
      <c r="B1634" s="347"/>
      <c r="C1634" s="347"/>
      <c r="D1634" s="348"/>
      <c r="E1634" s="348"/>
      <c r="F1634" s="348"/>
      <c r="G1634" s="348"/>
      <c r="H1634" s="359"/>
      <c r="I1634" s="352"/>
      <c r="J1634" s="353"/>
      <c r="K1634" s="538"/>
      <c r="L1634" s="487"/>
      <c r="M1634" s="487"/>
      <c r="N1634" s="354"/>
      <c r="O1634" s="354"/>
      <c r="P1634" s="354"/>
      <c r="Q1634" s="354"/>
      <c r="R1634" s="354"/>
      <c r="S1634" s="354"/>
      <c r="T1634" s="354"/>
      <c r="U1634" s="354"/>
      <c r="V1634" s="354"/>
      <c r="W1634" s="354"/>
      <c r="X1634" s="354"/>
      <c r="Y1634" s="354"/>
      <c r="Z1634" s="353"/>
      <c r="AA1634" s="352"/>
      <c r="AB1634" s="726"/>
    </row>
    <row r="1635" spans="1:28" ht="16.5" customHeight="1">
      <c r="A1635" s="347"/>
      <c r="B1635" s="347"/>
      <c r="C1635" s="347"/>
      <c r="D1635" s="361"/>
      <c r="E1635" s="361"/>
      <c r="F1635" s="361"/>
      <c r="G1635" s="348"/>
      <c r="H1635" s="359"/>
      <c r="I1635" s="352"/>
      <c r="J1635" s="353"/>
      <c r="K1635" s="538"/>
      <c r="L1635" s="487"/>
      <c r="M1635" s="487"/>
      <c r="N1635" s="354"/>
      <c r="O1635" s="354"/>
      <c r="P1635" s="354"/>
      <c r="Q1635" s="354"/>
      <c r="R1635" s="354"/>
      <c r="S1635" s="354"/>
      <c r="T1635" s="354"/>
      <c r="U1635" s="354"/>
      <c r="V1635" s="354"/>
      <c r="W1635" s="354"/>
      <c r="X1635" s="354"/>
      <c r="Y1635" s="354"/>
      <c r="Z1635" s="353"/>
      <c r="AA1635" s="352"/>
      <c r="AB1635" s="726"/>
    </row>
    <row r="1636" spans="1:28" ht="16.5" customHeight="1">
      <c r="A1636" s="347"/>
      <c r="B1636" s="347"/>
      <c r="C1636" s="347"/>
      <c r="D1636" s="348"/>
      <c r="E1636" s="348"/>
      <c r="F1636" s="348"/>
      <c r="G1636" s="348"/>
      <c r="H1636" s="359"/>
      <c r="I1636" s="352"/>
      <c r="J1636" s="353"/>
      <c r="K1636" s="538"/>
      <c r="L1636" s="487"/>
      <c r="M1636" s="487"/>
      <c r="N1636" s="354"/>
      <c r="O1636" s="354"/>
      <c r="P1636" s="354"/>
      <c r="Q1636" s="354"/>
      <c r="R1636" s="354"/>
      <c r="S1636" s="354"/>
      <c r="T1636" s="354"/>
      <c r="U1636" s="354"/>
      <c r="V1636" s="354"/>
      <c r="W1636" s="354"/>
      <c r="X1636" s="354"/>
      <c r="Y1636" s="354"/>
      <c r="Z1636" s="353"/>
      <c r="AA1636" s="352"/>
      <c r="AB1636" s="726"/>
    </row>
    <row r="1637" spans="1:28" ht="16.5" customHeight="1">
      <c r="A1637" s="347"/>
      <c r="B1637" s="347"/>
      <c r="C1637" s="347"/>
      <c r="D1637" s="348"/>
      <c r="E1637" s="348"/>
      <c r="F1637" s="348"/>
      <c r="G1637" s="348"/>
      <c r="H1637" s="359"/>
      <c r="I1637" s="352"/>
      <c r="J1637" s="353"/>
      <c r="K1637" s="538"/>
      <c r="L1637" s="487"/>
      <c r="M1637" s="487"/>
      <c r="N1637" s="354"/>
      <c r="O1637" s="354"/>
      <c r="P1637" s="354"/>
      <c r="Q1637" s="354"/>
      <c r="R1637" s="354"/>
      <c r="S1637" s="354"/>
      <c r="T1637" s="354"/>
      <c r="U1637" s="354"/>
      <c r="V1637" s="354"/>
      <c r="W1637" s="354"/>
      <c r="X1637" s="354"/>
      <c r="Y1637" s="354"/>
      <c r="Z1637" s="353"/>
      <c r="AA1637" s="352"/>
      <c r="AB1637" s="726"/>
    </row>
    <row r="1638" spans="1:28" ht="16.5" customHeight="1">
      <c r="A1638" s="347"/>
      <c r="B1638" s="347"/>
      <c r="C1638" s="347"/>
      <c r="D1638" s="348"/>
      <c r="E1638" s="348"/>
      <c r="F1638" s="348"/>
      <c r="G1638" s="348"/>
      <c r="H1638" s="359"/>
      <c r="I1638" s="352"/>
      <c r="J1638" s="353"/>
      <c r="K1638" s="538"/>
      <c r="L1638" s="487"/>
      <c r="M1638" s="487"/>
      <c r="N1638" s="354"/>
      <c r="O1638" s="354"/>
      <c r="P1638" s="354"/>
      <c r="Q1638" s="354"/>
      <c r="R1638" s="354"/>
      <c r="S1638" s="354"/>
      <c r="T1638" s="354"/>
      <c r="U1638" s="354"/>
      <c r="V1638" s="354"/>
      <c r="W1638" s="354"/>
      <c r="X1638" s="354"/>
      <c r="Y1638" s="354"/>
      <c r="Z1638" s="353"/>
      <c r="AA1638" s="352"/>
      <c r="AB1638" s="726"/>
    </row>
    <row r="1639" spans="1:28" ht="16.5" customHeight="1">
      <c r="A1639" s="347"/>
      <c r="B1639" s="347"/>
      <c r="C1639" s="347"/>
      <c r="D1639" s="361"/>
      <c r="E1639" s="361"/>
      <c r="F1639" s="361"/>
      <c r="G1639" s="348"/>
      <c r="H1639" s="359"/>
      <c r="I1639" s="352"/>
      <c r="J1639" s="353"/>
      <c r="K1639" s="538"/>
      <c r="L1639" s="487"/>
      <c r="M1639" s="487"/>
      <c r="N1639" s="354"/>
      <c r="O1639" s="354"/>
      <c r="P1639" s="354"/>
      <c r="Q1639" s="354"/>
      <c r="R1639" s="354"/>
      <c r="S1639" s="354"/>
      <c r="T1639" s="354"/>
      <c r="U1639" s="354"/>
      <c r="V1639" s="354"/>
      <c r="W1639" s="354"/>
      <c r="X1639" s="354"/>
      <c r="Y1639" s="354"/>
      <c r="Z1639" s="353"/>
      <c r="AA1639" s="352"/>
      <c r="AB1639" s="726"/>
    </row>
    <row r="1640" spans="1:28" ht="16.5" customHeight="1">
      <c r="A1640" s="347"/>
      <c r="B1640" s="347"/>
      <c r="C1640" s="347"/>
      <c r="D1640" s="361"/>
      <c r="E1640" s="361"/>
      <c r="F1640" s="361"/>
      <c r="G1640" s="348"/>
      <c r="H1640" s="359"/>
      <c r="I1640" s="352"/>
      <c r="J1640" s="353"/>
      <c r="K1640" s="538"/>
      <c r="L1640" s="487"/>
      <c r="M1640" s="487"/>
      <c r="N1640" s="354"/>
      <c r="O1640" s="354"/>
      <c r="P1640" s="354"/>
      <c r="Q1640" s="354"/>
      <c r="R1640" s="354"/>
      <c r="S1640" s="354"/>
      <c r="T1640" s="354"/>
      <c r="U1640" s="354"/>
      <c r="V1640" s="354"/>
      <c r="W1640" s="354"/>
      <c r="X1640" s="354"/>
      <c r="Y1640" s="354"/>
      <c r="Z1640" s="353"/>
      <c r="AA1640" s="352"/>
      <c r="AB1640" s="726"/>
    </row>
    <row r="1641" spans="1:28" ht="16.5" customHeight="1">
      <c r="A1641" s="347"/>
      <c r="B1641" s="347"/>
      <c r="C1641" s="347"/>
      <c r="D1641" s="348"/>
      <c r="E1641" s="348"/>
      <c r="F1641" s="348"/>
      <c r="G1641" s="348"/>
      <c r="H1641" s="359"/>
      <c r="I1641" s="352"/>
      <c r="J1641" s="353"/>
      <c r="K1641" s="538"/>
      <c r="L1641" s="487"/>
      <c r="M1641" s="487"/>
      <c r="N1641" s="354"/>
      <c r="O1641" s="354"/>
      <c r="P1641" s="354"/>
      <c r="Q1641" s="354"/>
      <c r="R1641" s="354"/>
      <c r="S1641" s="354"/>
      <c r="T1641" s="354"/>
      <c r="U1641" s="354"/>
      <c r="V1641" s="354"/>
      <c r="W1641" s="354"/>
      <c r="X1641" s="354"/>
      <c r="Y1641" s="354"/>
      <c r="Z1641" s="353"/>
      <c r="AA1641" s="352"/>
      <c r="AB1641" s="726"/>
    </row>
    <row r="1642" spans="1:28" ht="16.5" customHeight="1">
      <c r="A1642" s="347"/>
      <c r="B1642" s="347"/>
      <c r="C1642" s="347"/>
      <c r="D1642" s="348"/>
      <c r="E1642" s="348"/>
      <c r="F1642" s="348"/>
      <c r="G1642" s="348"/>
      <c r="H1642" s="359"/>
      <c r="I1642" s="352"/>
      <c r="J1642" s="353"/>
      <c r="K1642" s="538"/>
      <c r="L1642" s="487"/>
      <c r="M1642" s="487"/>
      <c r="N1642" s="354"/>
      <c r="O1642" s="354"/>
      <c r="P1642" s="354"/>
      <c r="Q1642" s="354"/>
      <c r="R1642" s="354"/>
      <c r="S1642" s="354"/>
      <c r="T1642" s="354"/>
      <c r="U1642" s="354"/>
      <c r="V1642" s="354"/>
      <c r="W1642" s="354"/>
      <c r="X1642" s="354"/>
      <c r="Y1642" s="354"/>
      <c r="Z1642" s="353"/>
      <c r="AA1642" s="352"/>
      <c r="AB1642" s="726"/>
    </row>
    <row r="1643" spans="1:28" ht="16.5" customHeight="1">
      <c r="A1643" s="347"/>
      <c r="B1643" s="347"/>
      <c r="C1643" s="347"/>
      <c r="D1643" s="348"/>
      <c r="E1643" s="348"/>
      <c r="F1643" s="348"/>
      <c r="G1643" s="348"/>
      <c r="H1643" s="359"/>
      <c r="I1643" s="352"/>
      <c r="J1643" s="353"/>
      <c r="K1643" s="538"/>
      <c r="L1643" s="487"/>
      <c r="M1643" s="487"/>
      <c r="N1643" s="354"/>
      <c r="O1643" s="354"/>
      <c r="P1643" s="354"/>
      <c r="Q1643" s="354"/>
      <c r="R1643" s="354"/>
      <c r="S1643" s="354"/>
      <c r="T1643" s="354"/>
      <c r="U1643" s="354"/>
      <c r="V1643" s="354"/>
      <c r="W1643" s="354"/>
      <c r="X1643" s="354"/>
      <c r="Y1643" s="354"/>
      <c r="Z1643" s="353"/>
      <c r="AA1643" s="352"/>
      <c r="AB1643" s="726"/>
    </row>
    <row r="1644" spans="1:28" ht="16.5" customHeight="1">
      <c r="A1644" s="347"/>
      <c r="B1644" s="347"/>
      <c r="C1644" s="347"/>
      <c r="D1644" s="348"/>
      <c r="E1644" s="348"/>
      <c r="F1644" s="348"/>
      <c r="G1644" s="348"/>
      <c r="H1644" s="359"/>
      <c r="I1644" s="352"/>
      <c r="J1644" s="353"/>
      <c r="K1644" s="538"/>
      <c r="L1644" s="487"/>
      <c r="M1644" s="487"/>
      <c r="N1644" s="354"/>
      <c r="O1644" s="354"/>
      <c r="P1644" s="354"/>
      <c r="Q1644" s="354"/>
      <c r="R1644" s="354"/>
      <c r="S1644" s="354"/>
      <c r="T1644" s="354"/>
      <c r="U1644" s="354"/>
      <c r="V1644" s="354"/>
      <c r="W1644" s="354"/>
      <c r="X1644" s="354"/>
      <c r="Y1644" s="354"/>
      <c r="Z1644" s="353"/>
      <c r="AA1644" s="352"/>
      <c r="AB1644" s="726"/>
    </row>
    <row r="1645" spans="1:28" ht="16.5" customHeight="1">
      <c r="A1645" s="347"/>
      <c r="B1645" s="347"/>
      <c r="C1645" s="347"/>
      <c r="D1645" s="361"/>
      <c r="E1645" s="361"/>
      <c r="F1645" s="361"/>
      <c r="G1645" s="348"/>
      <c r="H1645" s="359"/>
      <c r="I1645" s="352"/>
      <c r="J1645" s="353"/>
      <c r="K1645" s="538"/>
      <c r="L1645" s="487"/>
      <c r="M1645" s="487"/>
      <c r="N1645" s="354"/>
      <c r="O1645" s="354"/>
      <c r="P1645" s="354"/>
      <c r="Q1645" s="354"/>
      <c r="R1645" s="354"/>
      <c r="S1645" s="354"/>
      <c r="T1645" s="354"/>
      <c r="U1645" s="354"/>
      <c r="V1645" s="354"/>
      <c r="W1645" s="354"/>
      <c r="X1645" s="354"/>
      <c r="Y1645" s="354"/>
      <c r="Z1645" s="353"/>
      <c r="AA1645" s="352"/>
      <c r="AB1645" s="726"/>
    </row>
    <row r="1646" spans="1:28" ht="16.5" customHeight="1">
      <c r="A1646" s="347"/>
      <c r="B1646" s="347"/>
      <c r="C1646" s="347"/>
      <c r="D1646" s="348"/>
      <c r="E1646" s="348"/>
      <c r="F1646" s="348"/>
      <c r="G1646" s="348"/>
      <c r="H1646" s="359"/>
      <c r="I1646" s="352"/>
      <c r="J1646" s="353"/>
      <c r="K1646" s="538"/>
      <c r="L1646" s="487"/>
      <c r="M1646" s="487"/>
      <c r="N1646" s="354"/>
      <c r="O1646" s="354"/>
      <c r="P1646" s="354"/>
      <c r="Q1646" s="354"/>
      <c r="R1646" s="354"/>
      <c r="S1646" s="354"/>
      <c r="T1646" s="354"/>
      <c r="U1646" s="354"/>
      <c r="V1646" s="354"/>
      <c r="W1646" s="354"/>
      <c r="X1646" s="354"/>
      <c r="Y1646" s="354"/>
      <c r="Z1646" s="353"/>
      <c r="AA1646" s="352"/>
      <c r="AB1646" s="726"/>
    </row>
    <row r="1647" spans="1:28" ht="16.5" customHeight="1">
      <c r="A1647" s="347"/>
      <c r="B1647" s="347"/>
      <c r="C1647" s="347"/>
      <c r="D1647" s="348"/>
      <c r="E1647" s="348"/>
      <c r="F1647" s="348"/>
      <c r="G1647" s="348"/>
      <c r="H1647" s="359"/>
      <c r="I1647" s="352"/>
      <c r="J1647" s="353"/>
      <c r="K1647" s="538"/>
      <c r="L1647" s="487"/>
      <c r="M1647" s="487"/>
      <c r="N1647" s="354"/>
      <c r="O1647" s="354"/>
      <c r="P1647" s="354"/>
      <c r="Q1647" s="354"/>
      <c r="R1647" s="354"/>
      <c r="S1647" s="354"/>
      <c r="T1647" s="354"/>
      <c r="U1647" s="354"/>
      <c r="V1647" s="354"/>
      <c r="W1647" s="354"/>
      <c r="X1647" s="354"/>
      <c r="Y1647" s="354"/>
      <c r="Z1647" s="353"/>
      <c r="AA1647" s="352"/>
      <c r="AB1647" s="726"/>
    </row>
    <row r="1648" spans="1:28" ht="16.5" customHeight="1">
      <c r="A1648" s="347"/>
      <c r="B1648" s="347"/>
      <c r="C1648" s="347"/>
      <c r="D1648" s="348"/>
      <c r="E1648" s="348"/>
      <c r="F1648" s="348"/>
      <c r="G1648" s="348"/>
      <c r="H1648" s="359"/>
      <c r="I1648" s="352"/>
      <c r="J1648" s="353"/>
      <c r="K1648" s="538"/>
      <c r="L1648" s="487"/>
      <c r="M1648" s="487"/>
      <c r="N1648" s="354"/>
      <c r="O1648" s="354"/>
      <c r="P1648" s="354"/>
      <c r="Q1648" s="354"/>
      <c r="R1648" s="354"/>
      <c r="S1648" s="354"/>
      <c r="T1648" s="354"/>
      <c r="U1648" s="354"/>
      <c r="V1648" s="354"/>
      <c r="W1648" s="354"/>
      <c r="X1648" s="354"/>
      <c r="Y1648" s="354"/>
      <c r="Z1648" s="353"/>
      <c r="AA1648" s="352"/>
      <c r="AB1648" s="726"/>
    </row>
    <row r="1649" spans="1:28" ht="16.5" customHeight="1">
      <c r="A1649" s="347"/>
      <c r="B1649" s="347"/>
      <c r="C1649" s="347"/>
      <c r="D1649" s="361"/>
      <c r="E1649" s="361"/>
      <c r="F1649" s="361"/>
      <c r="G1649" s="348"/>
      <c r="H1649" s="359"/>
      <c r="I1649" s="352"/>
      <c r="J1649" s="353"/>
      <c r="K1649" s="538"/>
      <c r="L1649" s="487"/>
      <c r="M1649" s="487"/>
      <c r="N1649" s="354"/>
      <c r="O1649" s="354"/>
      <c r="P1649" s="354"/>
      <c r="Q1649" s="354"/>
      <c r="R1649" s="354"/>
      <c r="S1649" s="354"/>
      <c r="T1649" s="354"/>
      <c r="U1649" s="354"/>
      <c r="V1649" s="354"/>
      <c r="W1649" s="354"/>
      <c r="X1649" s="354"/>
      <c r="Y1649" s="354"/>
      <c r="Z1649" s="353"/>
      <c r="AA1649" s="352"/>
      <c r="AB1649" s="726"/>
    </row>
    <row r="1650" spans="1:28" ht="16.5" customHeight="1">
      <c r="A1650" s="347"/>
      <c r="B1650" s="347"/>
      <c r="C1650" s="347"/>
      <c r="D1650" s="361"/>
      <c r="E1650" s="361"/>
      <c r="F1650" s="361"/>
      <c r="G1650" s="348"/>
      <c r="H1650" s="359"/>
      <c r="I1650" s="352"/>
      <c r="J1650" s="353"/>
      <c r="K1650" s="538"/>
      <c r="L1650" s="487"/>
      <c r="M1650" s="487"/>
      <c r="N1650" s="354"/>
      <c r="O1650" s="354"/>
      <c r="P1650" s="354"/>
      <c r="Q1650" s="354"/>
      <c r="R1650" s="354"/>
      <c r="S1650" s="354"/>
      <c r="T1650" s="354"/>
      <c r="U1650" s="354"/>
      <c r="V1650" s="354"/>
      <c r="W1650" s="354"/>
      <c r="X1650" s="354"/>
      <c r="Y1650" s="354"/>
      <c r="Z1650" s="353"/>
      <c r="AA1650" s="352"/>
      <c r="AB1650" s="726"/>
    </row>
    <row r="1651" spans="1:28" ht="16.5" customHeight="1">
      <c r="A1651" s="347"/>
      <c r="B1651" s="347"/>
      <c r="C1651" s="347"/>
      <c r="D1651" s="348"/>
      <c r="E1651" s="348"/>
      <c r="F1651" s="348"/>
      <c r="G1651" s="348"/>
      <c r="H1651" s="359"/>
      <c r="I1651" s="352"/>
      <c r="J1651" s="353"/>
      <c r="K1651" s="538"/>
      <c r="L1651" s="487"/>
      <c r="M1651" s="487"/>
      <c r="N1651" s="354"/>
      <c r="O1651" s="354"/>
      <c r="P1651" s="354"/>
      <c r="Q1651" s="354"/>
      <c r="R1651" s="354"/>
      <c r="S1651" s="354"/>
      <c r="T1651" s="354"/>
      <c r="U1651" s="354"/>
      <c r="V1651" s="354"/>
      <c r="W1651" s="354"/>
      <c r="X1651" s="354"/>
      <c r="Y1651" s="354"/>
      <c r="Z1651" s="353"/>
      <c r="AA1651" s="352"/>
      <c r="AB1651" s="726"/>
    </row>
    <row r="1652" spans="1:28" ht="16.5" customHeight="1">
      <c r="A1652" s="347"/>
      <c r="B1652" s="347"/>
      <c r="C1652" s="347"/>
      <c r="D1652" s="361"/>
      <c r="E1652" s="361"/>
      <c r="F1652" s="361"/>
      <c r="G1652" s="348"/>
      <c r="H1652" s="359"/>
      <c r="I1652" s="352"/>
      <c r="J1652" s="353"/>
      <c r="K1652" s="538"/>
      <c r="L1652" s="487"/>
      <c r="M1652" s="487"/>
      <c r="N1652" s="354"/>
      <c r="O1652" s="354"/>
      <c r="P1652" s="354"/>
      <c r="Q1652" s="354"/>
      <c r="R1652" s="354"/>
      <c r="S1652" s="354"/>
      <c r="T1652" s="354"/>
      <c r="U1652" s="354"/>
      <c r="V1652" s="354"/>
      <c r="W1652" s="354"/>
      <c r="X1652" s="354"/>
      <c r="Y1652" s="354"/>
      <c r="Z1652" s="353"/>
      <c r="AA1652" s="352"/>
      <c r="AB1652" s="726"/>
    </row>
    <row r="1653" spans="1:28" ht="16.5" customHeight="1">
      <c r="A1653" s="347"/>
      <c r="B1653" s="347"/>
      <c r="C1653" s="347"/>
      <c r="D1653" s="361"/>
      <c r="E1653" s="361"/>
      <c r="F1653" s="361"/>
      <c r="G1653" s="348"/>
      <c r="H1653" s="359"/>
      <c r="I1653" s="352"/>
      <c r="J1653" s="353"/>
      <c r="K1653" s="538"/>
      <c r="L1653" s="487"/>
      <c r="M1653" s="487"/>
      <c r="N1653" s="354"/>
      <c r="O1653" s="354"/>
      <c r="P1653" s="354"/>
      <c r="Q1653" s="354"/>
      <c r="R1653" s="354"/>
      <c r="S1653" s="354"/>
      <c r="T1653" s="354"/>
      <c r="U1653" s="354"/>
      <c r="V1653" s="354"/>
      <c r="W1653" s="354"/>
      <c r="X1653" s="354"/>
      <c r="Y1653" s="354"/>
      <c r="Z1653" s="353"/>
      <c r="AA1653" s="352"/>
      <c r="AB1653" s="726"/>
    </row>
    <row r="1654" spans="1:28" ht="16.5" customHeight="1">
      <c r="A1654" s="347"/>
      <c r="B1654" s="347"/>
      <c r="C1654" s="347"/>
      <c r="D1654" s="361"/>
      <c r="E1654" s="361"/>
      <c r="F1654" s="361"/>
      <c r="G1654" s="348"/>
      <c r="H1654" s="359"/>
      <c r="I1654" s="352"/>
      <c r="J1654" s="353"/>
      <c r="K1654" s="538"/>
      <c r="L1654" s="487"/>
      <c r="M1654" s="487"/>
      <c r="N1654" s="354"/>
      <c r="O1654" s="354"/>
      <c r="P1654" s="354"/>
      <c r="Q1654" s="354"/>
      <c r="R1654" s="354"/>
      <c r="S1654" s="354"/>
      <c r="T1654" s="354"/>
      <c r="U1654" s="354"/>
      <c r="V1654" s="354"/>
      <c r="W1654" s="354"/>
      <c r="X1654" s="354"/>
      <c r="Y1654" s="354"/>
      <c r="Z1654" s="353"/>
      <c r="AA1654" s="352"/>
      <c r="AB1654" s="726"/>
    </row>
    <row r="1655" spans="1:28" ht="16.5" customHeight="1">
      <c r="A1655" s="347"/>
      <c r="B1655" s="347"/>
      <c r="C1655" s="347"/>
      <c r="D1655" s="348"/>
      <c r="E1655" s="348"/>
      <c r="F1655" s="348"/>
      <c r="G1655" s="348"/>
      <c r="H1655" s="359"/>
      <c r="I1655" s="352"/>
      <c r="J1655" s="353"/>
      <c r="K1655" s="538"/>
      <c r="L1655" s="487"/>
      <c r="M1655" s="487"/>
      <c r="N1655" s="354"/>
      <c r="O1655" s="354"/>
      <c r="P1655" s="354"/>
      <c r="Q1655" s="354"/>
      <c r="R1655" s="354"/>
      <c r="S1655" s="354"/>
      <c r="T1655" s="354"/>
      <c r="U1655" s="354"/>
      <c r="V1655" s="354"/>
      <c r="W1655" s="354"/>
      <c r="X1655" s="354"/>
      <c r="Y1655" s="354"/>
      <c r="Z1655" s="353"/>
      <c r="AA1655" s="352"/>
      <c r="AB1655" s="726"/>
    </row>
    <row r="1656" spans="1:28" ht="16.5" customHeight="1">
      <c r="A1656" s="347"/>
      <c r="B1656" s="347"/>
      <c r="C1656" s="347"/>
      <c r="D1656" s="361"/>
      <c r="E1656" s="361"/>
      <c r="F1656" s="361"/>
      <c r="G1656" s="348"/>
      <c r="H1656" s="359"/>
      <c r="I1656" s="352"/>
      <c r="J1656" s="353"/>
      <c r="K1656" s="538"/>
      <c r="L1656" s="487"/>
      <c r="M1656" s="487"/>
      <c r="N1656" s="354"/>
      <c r="O1656" s="354"/>
      <c r="P1656" s="354"/>
      <c r="Q1656" s="354"/>
      <c r="R1656" s="354"/>
      <c r="S1656" s="354"/>
      <c r="T1656" s="354"/>
      <c r="U1656" s="354"/>
      <c r="V1656" s="354"/>
      <c r="W1656" s="354"/>
      <c r="X1656" s="354"/>
      <c r="Y1656" s="354"/>
      <c r="Z1656" s="353"/>
      <c r="AA1656" s="352"/>
      <c r="AB1656" s="726"/>
    </row>
    <row r="1657" spans="1:28" ht="16.5" customHeight="1">
      <c r="A1657" s="347"/>
      <c r="B1657" s="347"/>
      <c r="C1657" s="347"/>
      <c r="D1657" s="361"/>
      <c r="E1657" s="361"/>
      <c r="F1657" s="361"/>
      <c r="G1657" s="348"/>
      <c r="H1657" s="359"/>
      <c r="I1657" s="352"/>
      <c r="J1657" s="353"/>
      <c r="K1657" s="538"/>
      <c r="L1657" s="487"/>
      <c r="M1657" s="487"/>
      <c r="N1657" s="354"/>
      <c r="O1657" s="354"/>
      <c r="P1657" s="354"/>
      <c r="Q1657" s="354"/>
      <c r="R1657" s="354"/>
      <c r="S1657" s="354"/>
      <c r="T1657" s="354"/>
      <c r="U1657" s="354"/>
      <c r="V1657" s="354"/>
      <c r="W1657" s="354"/>
      <c r="X1657" s="354"/>
      <c r="Y1657" s="354"/>
      <c r="Z1657" s="353"/>
      <c r="AA1657" s="352"/>
      <c r="AB1657" s="726"/>
    </row>
    <row r="1658" spans="1:28" ht="16.5" customHeight="1">
      <c r="A1658" s="347"/>
      <c r="B1658" s="347"/>
      <c r="C1658" s="347"/>
      <c r="D1658" s="348"/>
      <c r="E1658" s="348"/>
      <c r="F1658" s="348"/>
      <c r="G1658" s="348"/>
      <c r="H1658" s="359"/>
      <c r="I1658" s="352"/>
      <c r="J1658" s="353"/>
      <c r="K1658" s="538"/>
      <c r="L1658" s="487"/>
      <c r="M1658" s="487"/>
      <c r="N1658" s="354"/>
      <c r="O1658" s="354"/>
      <c r="P1658" s="354"/>
      <c r="Q1658" s="354"/>
      <c r="R1658" s="354"/>
      <c r="S1658" s="354"/>
      <c r="T1658" s="354"/>
      <c r="U1658" s="354"/>
      <c r="V1658" s="354"/>
      <c r="W1658" s="354"/>
      <c r="X1658" s="354"/>
      <c r="Y1658" s="354"/>
      <c r="Z1658" s="353"/>
      <c r="AA1658" s="352"/>
      <c r="AB1658" s="726"/>
    </row>
    <row r="1659" spans="1:28" ht="16.5" customHeight="1">
      <c r="A1659" s="347"/>
      <c r="B1659" s="347"/>
      <c r="C1659" s="347"/>
      <c r="D1659" s="361"/>
      <c r="E1659" s="361"/>
      <c r="F1659" s="361"/>
      <c r="G1659" s="348"/>
      <c r="H1659" s="359"/>
      <c r="I1659" s="352"/>
      <c r="J1659" s="353"/>
      <c r="K1659" s="538"/>
      <c r="L1659" s="487"/>
      <c r="M1659" s="487"/>
      <c r="N1659" s="354"/>
      <c r="O1659" s="354"/>
      <c r="P1659" s="354"/>
      <c r="Q1659" s="354"/>
      <c r="R1659" s="354"/>
      <c r="S1659" s="354"/>
      <c r="T1659" s="354"/>
      <c r="U1659" s="354"/>
      <c r="V1659" s="354"/>
      <c r="W1659" s="354"/>
      <c r="X1659" s="354"/>
      <c r="Y1659" s="354"/>
      <c r="Z1659" s="353"/>
      <c r="AA1659" s="352"/>
      <c r="AB1659" s="726"/>
    </row>
    <row r="1660" spans="1:28" ht="16.5" customHeight="1">
      <c r="A1660" s="347"/>
      <c r="B1660" s="347"/>
      <c r="C1660" s="347"/>
      <c r="D1660" s="348"/>
      <c r="E1660" s="348"/>
      <c r="F1660" s="348"/>
      <c r="G1660" s="348"/>
      <c r="H1660" s="359"/>
      <c r="I1660" s="352"/>
      <c r="J1660" s="353"/>
      <c r="K1660" s="538"/>
      <c r="L1660" s="487"/>
      <c r="M1660" s="487"/>
      <c r="N1660" s="354"/>
      <c r="O1660" s="354"/>
      <c r="P1660" s="354"/>
      <c r="Q1660" s="354"/>
      <c r="R1660" s="354"/>
      <c r="S1660" s="354"/>
      <c r="T1660" s="354"/>
      <c r="U1660" s="354"/>
      <c r="V1660" s="354"/>
      <c r="W1660" s="354"/>
      <c r="X1660" s="354"/>
      <c r="Y1660" s="354"/>
      <c r="Z1660" s="353"/>
      <c r="AA1660" s="352"/>
      <c r="AB1660" s="726"/>
    </row>
    <row r="1661" spans="1:28" ht="16.5" customHeight="1">
      <c r="A1661" s="347"/>
      <c r="B1661" s="347"/>
      <c r="C1661" s="347"/>
      <c r="D1661" s="348"/>
      <c r="E1661" s="348"/>
      <c r="F1661" s="348"/>
      <c r="G1661" s="348"/>
      <c r="H1661" s="359"/>
      <c r="I1661" s="352"/>
      <c r="J1661" s="353"/>
      <c r="K1661" s="538"/>
      <c r="L1661" s="487"/>
      <c r="M1661" s="487"/>
      <c r="N1661" s="354"/>
      <c r="O1661" s="354"/>
      <c r="P1661" s="354"/>
      <c r="Q1661" s="354"/>
      <c r="R1661" s="354"/>
      <c r="S1661" s="354"/>
      <c r="T1661" s="354"/>
      <c r="U1661" s="354"/>
      <c r="V1661" s="354"/>
      <c r="W1661" s="354"/>
      <c r="X1661" s="354"/>
      <c r="Y1661" s="354"/>
      <c r="Z1661" s="353"/>
      <c r="AA1661" s="352"/>
      <c r="AB1661" s="726"/>
    </row>
    <row r="1662" spans="1:28" ht="16.5" customHeight="1">
      <c r="A1662" s="347"/>
      <c r="B1662" s="347"/>
      <c r="C1662" s="347"/>
      <c r="D1662" s="348"/>
      <c r="E1662" s="348"/>
      <c r="F1662" s="348"/>
      <c r="G1662" s="348"/>
      <c r="H1662" s="359"/>
      <c r="I1662" s="352"/>
      <c r="J1662" s="353"/>
      <c r="K1662" s="538"/>
      <c r="L1662" s="487"/>
      <c r="M1662" s="487"/>
      <c r="N1662" s="354"/>
      <c r="O1662" s="354"/>
      <c r="P1662" s="354"/>
      <c r="Q1662" s="354"/>
      <c r="R1662" s="354"/>
      <c r="S1662" s="354"/>
      <c r="T1662" s="354"/>
      <c r="U1662" s="354"/>
      <c r="V1662" s="354"/>
      <c r="W1662" s="354"/>
      <c r="X1662" s="354"/>
      <c r="Y1662" s="354"/>
      <c r="Z1662" s="353"/>
      <c r="AA1662" s="352"/>
      <c r="AB1662" s="726"/>
    </row>
    <row r="1663" spans="1:28" ht="16.5" customHeight="1">
      <c r="A1663" s="347"/>
      <c r="B1663" s="347"/>
      <c r="C1663" s="347"/>
      <c r="D1663" s="348"/>
      <c r="E1663" s="348"/>
      <c r="F1663" s="348"/>
      <c r="G1663" s="348"/>
      <c r="H1663" s="359"/>
      <c r="I1663" s="352"/>
      <c r="J1663" s="353"/>
      <c r="K1663" s="538"/>
      <c r="L1663" s="487"/>
      <c r="M1663" s="487"/>
      <c r="N1663" s="354"/>
      <c r="O1663" s="354"/>
      <c r="P1663" s="354"/>
      <c r="Q1663" s="354"/>
      <c r="R1663" s="354"/>
      <c r="S1663" s="354"/>
      <c r="T1663" s="354"/>
      <c r="U1663" s="354"/>
      <c r="V1663" s="354"/>
      <c r="W1663" s="354"/>
      <c r="X1663" s="354"/>
      <c r="Y1663" s="354"/>
      <c r="Z1663" s="353"/>
      <c r="AA1663" s="352"/>
      <c r="AB1663" s="726"/>
    </row>
    <row r="1664" spans="1:28" ht="16.5" customHeight="1">
      <c r="A1664" s="347"/>
      <c r="B1664" s="347"/>
      <c r="C1664" s="347"/>
      <c r="D1664" s="348"/>
      <c r="E1664" s="348"/>
      <c r="F1664" s="348"/>
      <c r="G1664" s="348"/>
      <c r="H1664" s="359"/>
      <c r="I1664" s="352"/>
      <c r="J1664" s="353"/>
      <c r="K1664" s="538"/>
      <c r="L1664" s="487"/>
      <c r="M1664" s="487"/>
      <c r="N1664" s="354"/>
      <c r="O1664" s="354"/>
      <c r="P1664" s="354"/>
      <c r="Q1664" s="354"/>
      <c r="R1664" s="354"/>
      <c r="S1664" s="354"/>
      <c r="T1664" s="354"/>
      <c r="U1664" s="354"/>
      <c r="V1664" s="354"/>
      <c r="W1664" s="354"/>
      <c r="X1664" s="354"/>
      <c r="Y1664" s="354"/>
      <c r="Z1664" s="353"/>
      <c r="AA1664" s="352"/>
      <c r="AB1664" s="726"/>
    </row>
    <row r="1665" spans="1:28" ht="16.5" customHeight="1">
      <c r="A1665" s="347"/>
      <c r="B1665" s="347"/>
      <c r="C1665" s="347"/>
      <c r="D1665" s="348"/>
      <c r="E1665" s="348"/>
      <c r="F1665" s="348"/>
      <c r="G1665" s="348"/>
      <c r="H1665" s="359"/>
      <c r="I1665" s="352"/>
      <c r="J1665" s="353"/>
      <c r="K1665" s="538"/>
      <c r="L1665" s="487"/>
      <c r="M1665" s="487"/>
      <c r="N1665" s="354"/>
      <c r="O1665" s="354"/>
      <c r="P1665" s="354"/>
      <c r="Q1665" s="354"/>
      <c r="R1665" s="354"/>
      <c r="S1665" s="354"/>
      <c r="T1665" s="354"/>
      <c r="U1665" s="354"/>
      <c r="V1665" s="354"/>
      <c r="W1665" s="354"/>
      <c r="X1665" s="354"/>
      <c r="Y1665" s="354"/>
      <c r="Z1665" s="353"/>
      <c r="AA1665" s="352"/>
      <c r="AB1665" s="726"/>
    </row>
    <row r="1666" spans="1:28" ht="16.5" customHeight="1">
      <c r="A1666" s="347"/>
      <c r="B1666" s="347"/>
      <c r="C1666" s="347"/>
      <c r="D1666" s="348"/>
      <c r="E1666" s="348"/>
      <c r="F1666" s="348"/>
      <c r="G1666" s="348"/>
      <c r="H1666" s="359"/>
      <c r="I1666" s="352"/>
      <c r="J1666" s="353"/>
      <c r="K1666" s="538"/>
      <c r="L1666" s="487"/>
      <c r="M1666" s="487"/>
      <c r="N1666" s="354"/>
      <c r="O1666" s="354"/>
      <c r="P1666" s="354"/>
      <c r="Q1666" s="354"/>
      <c r="R1666" s="354"/>
      <c r="S1666" s="354"/>
      <c r="T1666" s="354"/>
      <c r="U1666" s="354"/>
      <c r="V1666" s="354"/>
      <c r="W1666" s="354"/>
      <c r="X1666" s="354"/>
      <c r="Y1666" s="354"/>
      <c r="Z1666" s="353"/>
      <c r="AA1666" s="352"/>
      <c r="AB1666" s="726"/>
    </row>
    <row r="1667" spans="1:28" ht="16.5" customHeight="1">
      <c r="A1667" s="347"/>
      <c r="B1667" s="347"/>
      <c r="C1667" s="347"/>
      <c r="D1667" s="361"/>
      <c r="E1667" s="361"/>
      <c r="F1667" s="361"/>
      <c r="G1667" s="348"/>
      <c r="H1667" s="359"/>
      <c r="I1667" s="352"/>
      <c r="J1667" s="353"/>
      <c r="K1667" s="538"/>
      <c r="L1667" s="487"/>
      <c r="M1667" s="487"/>
      <c r="N1667" s="354"/>
      <c r="O1667" s="354"/>
      <c r="P1667" s="354"/>
      <c r="Q1667" s="354"/>
      <c r="R1667" s="354"/>
      <c r="S1667" s="354"/>
      <c r="T1667" s="354"/>
      <c r="U1667" s="354"/>
      <c r="V1667" s="354"/>
      <c r="W1667" s="354"/>
      <c r="X1667" s="354"/>
      <c r="Y1667" s="354"/>
      <c r="Z1667" s="353"/>
      <c r="AA1667" s="352"/>
      <c r="AB1667" s="726"/>
    </row>
    <row r="1668" spans="1:28" ht="16.5" customHeight="1">
      <c r="A1668" s="347"/>
      <c r="B1668" s="347"/>
      <c r="C1668" s="347"/>
      <c r="D1668" s="348"/>
      <c r="E1668" s="348"/>
      <c r="F1668" s="348"/>
      <c r="G1668" s="348"/>
      <c r="H1668" s="359"/>
      <c r="I1668" s="352"/>
      <c r="J1668" s="353"/>
      <c r="K1668" s="538"/>
      <c r="L1668" s="487"/>
      <c r="M1668" s="487"/>
      <c r="N1668" s="354"/>
      <c r="O1668" s="354"/>
      <c r="P1668" s="354"/>
      <c r="Q1668" s="354"/>
      <c r="R1668" s="354"/>
      <c r="S1668" s="354"/>
      <c r="T1668" s="354"/>
      <c r="U1668" s="354"/>
      <c r="V1668" s="354"/>
      <c r="W1668" s="354"/>
      <c r="X1668" s="354"/>
      <c r="Y1668" s="354"/>
      <c r="Z1668" s="353"/>
      <c r="AA1668" s="352"/>
      <c r="AB1668" s="726"/>
    </row>
    <row r="1669" spans="1:28" ht="16.5" customHeight="1">
      <c r="A1669" s="347"/>
      <c r="B1669" s="347"/>
      <c r="C1669" s="347"/>
      <c r="D1669" s="361"/>
      <c r="E1669" s="361"/>
      <c r="F1669" s="361"/>
      <c r="G1669" s="348"/>
      <c r="H1669" s="359"/>
      <c r="I1669" s="352"/>
      <c r="J1669" s="353"/>
      <c r="K1669" s="538"/>
      <c r="L1669" s="487"/>
      <c r="M1669" s="487"/>
      <c r="N1669" s="354"/>
      <c r="O1669" s="354"/>
      <c r="P1669" s="354"/>
      <c r="Q1669" s="354"/>
      <c r="R1669" s="354"/>
      <c r="S1669" s="354"/>
      <c r="T1669" s="354"/>
      <c r="U1669" s="354"/>
      <c r="V1669" s="354"/>
      <c r="W1669" s="354"/>
      <c r="X1669" s="354"/>
      <c r="Y1669" s="354"/>
      <c r="Z1669" s="353"/>
      <c r="AA1669" s="352"/>
      <c r="AB1669" s="726"/>
    </row>
    <row r="1670" spans="1:28" ht="16.5" customHeight="1">
      <c r="A1670" s="347"/>
      <c r="B1670" s="347"/>
      <c r="C1670" s="347"/>
      <c r="D1670" s="348"/>
      <c r="E1670" s="348"/>
      <c r="F1670" s="348"/>
      <c r="G1670" s="348"/>
      <c r="H1670" s="359"/>
      <c r="I1670" s="352"/>
      <c r="J1670" s="353"/>
      <c r="K1670" s="538"/>
      <c r="L1670" s="487"/>
      <c r="M1670" s="487"/>
      <c r="N1670" s="354"/>
      <c r="O1670" s="354"/>
      <c r="P1670" s="354"/>
      <c r="Q1670" s="354"/>
      <c r="R1670" s="354"/>
      <c r="S1670" s="354"/>
      <c r="T1670" s="354"/>
      <c r="U1670" s="354"/>
      <c r="V1670" s="354"/>
      <c r="W1670" s="354"/>
      <c r="X1670" s="354"/>
      <c r="Y1670" s="354"/>
      <c r="Z1670" s="353"/>
      <c r="AA1670" s="352"/>
      <c r="AB1670" s="726"/>
    </row>
    <row r="1671" spans="1:28" ht="16.5" customHeight="1">
      <c r="A1671" s="347"/>
      <c r="B1671" s="347"/>
      <c r="C1671" s="347"/>
      <c r="D1671" s="348"/>
      <c r="E1671" s="348"/>
      <c r="F1671" s="348"/>
      <c r="G1671" s="348"/>
      <c r="H1671" s="359"/>
      <c r="I1671" s="352"/>
      <c r="J1671" s="353"/>
      <c r="K1671" s="538"/>
      <c r="L1671" s="487"/>
      <c r="M1671" s="487"/>
      <c r="N1671" s="354"/>
      <c r="O1671" s="354"/>
      <c r="P1671" s="354"/>
      <c r="Q1671" s="354"/>
      <c r="R1671" s="354"/>
      <c r="S1671" s="354"/>
      <c r="T1671" s="354"/>
      <c r="U1671" s="354"/>
      <c r="V1671" s="354"/>
      <c r="W1671" s="354"/>
      <c r="X1671" s="354"/>
      <c r="Y1671" s="354"/>
      <c r="Z1671" s="353"/>
      <c r="AA1671" s="352"/>
      <c r="AB1671" s="726"/>
    </row>
    <row r="1672" spans="1:28" ht="16.5" customHeight="1">
      <c r="A1672" s="347"/>
      <c r="B1672" s="347"/>
      <c r="C1672" s="347"/>
      <c r="D1672" s="348"/>
      <c r="E1672" s="348"/>
      <c r="F1672" s="348"/>
      <c r="G1672" s="348"/>
      <c r="H1672" s="359"/>
      <c r="I1672" s="352"/>
      <c r="J1672" s="353"/>
      <c r="K1672" s="538"/>
      <c r="L1672" s="487"/>
      <c r="M1672" s="487"/>
      <c r="N1672" s="354"/>
      <c r="O1672" s="354"/>
      <c r="P1672" s="354"/>
      <c r="Q1672" s="354"/>
      <c r="R1672" s="354"/>
      <c r="S1672" s="354"/>
      <c r="T1672" s="354"/>
      <c r="U1672" s="354"/>
      <c r="V1672" s="354"/>
      <c r="W1672" s="354"/>
      <c r="X1672" s="354"/>
      <c r="Y1672" s="354"/>
      <c r="Z1672" s="353"/>
      <c r="AA1672" s="352"/>
      <c r="AB1672" s="726"/>
    </row>
    <row r="1673" spans="1:28" ht="16.5" customHeight="1">
      <c r="A1673" s="347"/>
      <c r="B1673" s="347"/>
      <c r="C1673" s="347"/>
      <c r="D1673" s="348"/>
      <c r="E1673" s="348"/>
      <c r="F1673" s="348"/>
      <c r="G1673" s="348"/>
      <c r="H1673" s="359"/>
      <c r="I1673" s="352"/>
      <c r="J1673" s="353"/>
      <c r="K1673" s="538"/>
      <c r="L1673" s="487"/>
      <c r="M1673" s="487"/>
      <c r="N1673" s="354"/>
      <c r="O1673" s="354"/>
      <c r="P1673" s="354"/>
      <c r="Q1673" s="354"/>
      <c r="R1673" s="354"/>
      <c r="S1673" s="354"/>
      <c r="T1673" s="354"/>
      <c r="U1673" s="354"/>
      <c r="V1673" s="354"/>
      <c r="W1673" s="354"/>
      <c r="X1673" s="354"/>
      <c r="Y1673" s="354"/>
      <c r="Z1673" s="353"/>
      <c r="AA1673" s="352"/>
      <c r="AB1673" s="726"/>
    </row>
    <row r="1674" spans="1:28" ht="16.5" customHeight="1">
      <c r="A1674" s="347"/>
      <c r="B1674" s="347"/>
      <c r="C1674" s="347"/>
      <c r="D1674" s="348"/>
      <c r="E1674" s="348"/>
      <c r="F1674" s="348"/>
      <c r="G1674" s="348"/>
      <c r="H1674" s="359"/>
      <c r="I1674" s="352"/>
      <c r="J1674" s="353"/>
      <c r="K1674" s="538"/>
      <c r="L1674" s="487"/>
      <c r="M1674" s="487"/>
      <c r="N1674" s="354"/>
      <c r="O1674" s="354"/>
      <c r="P1674" s="354"/>
      <c r="Q1674" s="354"/>
      <c r="R1674" s="354"/>
      <c r="S1674" s="354"/>
      <c r="T1674" s="354"/>
      <c r="U1674" s="354"/>
      <c r="V1674" s="354"/>
      <c r="W1674" s="354"/>
      <c r="X1674" s="354"/>
      <c r="Y1674" s="354"/>
      <c r="Z1674" s="353"/>
      <c r="AA1674" s="352"/>
      <c r="AB1674" s="726"/>
    </row>
    <row r="1675" spans="1:28" ht="16.5" customHeight="1">
      <c r="A1675" s="347"/>
      <c r="B1675" s="347"/>
      <c r="C1675" s="347"/>
      <c r="D1675" s="348"/>
      <c r="E1675" s="348"/>
      <c r="F1675" s="348"/>
      <c r="G1675" s="348"/>
      <c r="H1675" s="359"/>
      <c r="I1675" s="352"/>
      <c r="J1675" s="353"/>
      <c r="K1675" s="538"/>
      <c r="L1675" s="487"/>
      <c r="M1675" s="487"/>
      <c r="N1675" s="354"/>
      <c r="O1675" s="354"/>
      <c r="P1675" s="354"/>
      <c r="Q1675" s="354"/>
      <c r="R1675" s="354"/>
      <c r="S1675" s="354"/>
      <c r="T1675" s="354"/>
      <c r="U1675" s="354"/>
      <c r="V1675" s="354"/>
      <c r="W1675" s="354"/>
      <c r="X1675" s="354"/>
      <c r="Y1675" s="354"/>
      <c r="Z1675" s="353"/>
      <c r="AA1675" s="352"/>
      <c r="AB1675" s="726"/>
    </row>
    <row r="1676" spans="1:28" ht="16.5" customHeight="1">
      <c r="A1676" s="347"/>
      <c r="B1676" s="347"/>
      <c r="C1676" s="347"/>
      <c r="D1676" s="348"/>
      <c r="E1676" s="348"/>
      <c r="F1676" s="348"/>
      <c r="G1676" s="348"/>
      <c r="H1676" s="359"/>
      <c r="I1676" s="352"/>
      <c r="J1676" s="353"/>
      <c r="K1676" s="538"/>
      <c r="L1676" s="487"/>
      <c r="M1676" s="487"/>
      <c r="N1676" s="354"/>
      <c r="O1676" s="354"/>
      <c r="P1676" s="354"/>
      <c r="Q1676" s="354"/>
      <c r="R1676" s="354"/>
      <c r="S1676" s="354"/>
      <c r="T1676" s="354"/>
      <c r="U1676" s="354"/>
      <c r="V1676" s="354"/>
      <c r="W1676" s="354"/>
      <c r="X1676" s="354"/>
      <c r="Y1676" s="354"/>
      <c r="Z1676" s="353"/>
      <c r="AA1676" s="352"/>
      <c r="AB1676" s="726"/>
    </row>
    <row r="1677" spans="1:28" ht="16.5" customHeight="1">
      <c r="A1677" s="347"/>
      <c r="B1677" s="347"/>
      <c r="C1677" s="347"/>
      <c r="D1677" s="348"/>
      <c r="E1677" s="348"/>
      <c r="F1677" s="348"/>
      <c r="G1677" s="348"/>
      <c r="H1677" s="359"/>
      <c r="I1677" s="352"/>
      <c r="J1677" s="353"/>
      <c r="K1677" s="538"/>
      <c r="L1677" s="487"/>
      <c r="M1677" s="487"/>
      <c r="N1677" s="354"/>
      <c r="O1677" s="354"/>
      <c r="P1677" s="354"/>
      <c r="Q1677" s="354"/>
      <c r="R1677" s="354"/>
      <c r="S1677" s="354"/>
      <c r="T1677" s="354"/>
      <c r="U1677" s="354"/>
      <c r="V1677" s="354"/>
      <c r="W1677" s="354"/>
      <c r="X1677" s="354"/>
      <c r="Y1677" s="354"/>
      <c r="Z1677" s="353"/>
      <c r="AA1677" s="352"/>
      <c r="AB1677" s="726"/>
    </row>
    <row r="1678" spans="1:28" ht="16.5" customHeight="1">
      <c r="A1678" s="347"/>
      <c r="B1678" s="347"/>
      <c r="C1678" s="347"/>
      <c r="D1678" s="361"/>
      <c r="E1678" s="361"/>
      <c r="F1678" s="361"/>
      <c r="G1678" s="348"/>
      <c r="H1678" s="359"/>
      <c r="I1678" s="352"/>
      <c r="J1678" s="353"/>
      <c r="K1678" s="538"/>
      <c r="L1678" s="487"/>
      <c r="M1678" s="487"/>
      <c r="N1678" s="354"/>
      <c r="O1678" s="354"/>
      <c r="P1678" s="354"/>
      <c r="Q1678" s="354"/>
      <c r="R1678" s="354"/>
      <c r="S1678" s="354"/>
      <c r="T1678" s="354"/>
      <c r="U1678" s="354"/>
      <c r="V1678" s="354"/>
      <c r="W1678" s="354"/>
      <c r="X1678" s="354"/>
      <c r="Y1678" s="354"/>
      <c r="Z1678" s="353"/>
      <c r="AA1678" s="352"/>
      <c r="AB1678" s="726"/>
    </row>
    <row r="1679" spans="1:28" ht="16.5" customHeight="1">
      <c r="A1679" s="347"/>
      <c r="B1679" s="347"/>
      <c r="C1679" s="347"/>
      <c r="D1679" s="361"/>
      <c r="E1679" s="361"/>
      <c r="F1679" s="361"/>
      <c r="G1679" s="348"/>
      <c r="H1679" s="359"/>
      <c r="I1679" s="352"/>
      <c r="J1679" s="353"/>
      <c r="K1679" s="538"/>
      <c r="L1679" s="487"/>
      <c r="M1679" s="487"/>
      <c r="N1679" s="354"/>
      <c r="O1679" s="354"/>
      <c r="P1679" s="354"/>
      <c r="Q1679" s="354"/>
      <c r="R1679" s="354"/>
      <c r="S1679" s="354"/>
      <c r="T1679" s="354"/>
      <c r="U1679" s="354"/>
      <c r="V1679" s="354"/>
      <c r="W1679" s="354"/>
      <c r="X1679" s="354"/>
      <c r="Y1679" s="354"/>
      <c r="Z1679" s="353"/>
      <c r="AA1679" s="352"/>
      <c r="AB1679" s="726"/>
    </row>
    <row r="1680" spans="1:28" ht="16.5" customHeight="1">
      <c r="A1680" s="347"/>
      <c r="B1680" s="347"/>
      <c r="C1680" s="347"/>
      <c r="D1680" s="348"/>
      <c r="E1680" s="348"/>
      <c r="F1680" s="348"/>
      <c r="G1680" s="348"/>
      <c r="H1680" s="359"/>
      <c r="I1680" s="352"/>
      <c r="J1680" s="353"/>
      <c r="K1680" s="538"/>
      <c r="L1680" s="487"/>
      <c r="M1680" s="487"/>
      <c r="N1680" s="354"/>
      <c r="O1680" s="354"/>
      <c r="P1680" s="354"/>
      <c r="Q1680" s="354"/>
      <c r="R1680" s="354"/>
      <c r="S1680" s="354"/>
      <c r="T1680" s="354"/>
      <c r="U1680" s="354"/>
      <c r="V1680" s="354"/>
      <c r="W1680" s="354"/>
      <c r="X1680" s="354"/>
      <c r="Y1680" s="354"/>
      <c r="Z1680" s="353"/>
      <c r="AA1680" s="352"/>
      <c r="AB1680" s="726"/>
    </row>
    <row r="1681" spans="1:28" ht="16.5" customHeight="1">
      <c r="A1681" s="347"/>
      <c r="B1681" s="347"/>
      <c r="C1681" s="347"/>
      <c r="D1681" s="348"/>
      <c r="E1681" s="348"/>
      <c r="F1681" s="348"/>
      <c r="G1681" s="348"/>
      <c r="H1681" s="359"/>
      <c r="I1681" s="352"/>
      <c r="J1681" s="353"/>
      <c r="K1681" s="538"/>
      <c r="L1681" s="487"/>
      <c r="M1681" s="487"/>
      <c r="N1681" s="354"/>
      <c r="O1681" s="354"/>
      <c r="P1681" s="354"/>
      <c r="Q1681" s="354"/>
      <c r="R1681" s="354"/>
      <c r="S1681" s="354"/>
      <c r="T1681" s="354"/>
      <c r="U1681" s="354"/>
      <c r="V1681" s="354"/>
      <c r="W1681" s="354"/>
      <c r="X1681" s="354"/>
      <c r="Y1681" s="354"/>
      <c r="Z1681" s="353"/>
      <c r="AA1681" s="352"/>
      <c r="AB1681" s="726"/>
    </row>
    <row r="1682" spans="1:28" ht="16.5" customHeight="1">
      <c r="A1682" s="347"/>
      <c r="B1682" s="347"/>
      <c r="C1682" s="347"/>
      <c r="D1682" s="348"/>
      <c r="E1682" s="348"/>
      <c r="F1682" s="348"/>
      <c r="G1682" s="348"/>
      <c r="H1682" s="359"/>
      <c r="I1682" s="352"/>
      <c r="J1682" s="353"/>
      <c r="K1682" s="538"/>
      <c r="L1682" s="487"/>
      <c r="M1682" s="487"/>
      <c r="N1682" s="354"/>
      <c r="O1682" s="354"/>
      <c r="P1682" s="354"/>
      <c r="Q1682" s="354"/>
      <c r="R1682" s="354"/>
      <c r="S1682" s="354"/>
      <c r="T1682" s="354"/>
      <c r="U1682" s="354"/>
      <c r="V1682" s="354"/>
      <c r="W1682" s="354"/>
      <c r="X1682" s="354"/>
      <c r="Y1682" s="354"/>
      <c r="Z1682" s="353"/>
      <c r="AA1682" s="352"/>
      <c r="AB1682" s="726"/>
    </row>
    <row r="1683" spans="1:28" ht="16.5" customHeight="1">
      <c r="A1683" s="347"/>
      <c r="B1683" s="347"/>
      <c r="C1683" s="347"/>
      <c r="D1683" s="361"/>
      <c r="E1683" s="361"/>
      <c r="F1683" s="361"/>
      <c r="G1683" s="348"/>
      <c r="H1683" s="359"/>
      <c r="I1683" s="352"/>
      <c r="J1683" s="353"/>
      <c r="K1683" s="538"/>
      <c r="L1683" s="487"/>
      <c r="M1683" s="487"/>
      <c r="N1683" s="354"/>
      <c r="O1683" s="354"/>
      <c r="P1683" s="354"/>
      <c r="Q1683" s="354"/>
      <c r="R1683" s="354"/>
      <c r="S1683" s="354"/>
      <c r="T1683" s="354"/>
      <c r="U1683" s="354"/>
      <c r="V1683" s="354"/>
      <c r="W1683" s="354"/>
      <c r="X1683" s="354"/>
      <c r="Y1683" s="354"/>
      <c r="Z1683" s="353"/>
      <c r="AA1683" s="352"/>
      <c r="AB1683" s="726"/>
    </row>
    <row r="1684" spans="1:28" ht="16.5" customHeight="1">
      <c r="A1684" s="347"/>
      <c r="B1684" s="347"/>
      <c r="C1684" s="347"/>
      <c r="D1684" s="348"/>
      <c r="E1684" s="348"/>
      <c r="F1684" s="348"/>
      <c r="G1684" s="348"/>
      <c r="H1684" s="359"/>
      <c r="I1684" s="352"/>
      <c r="J1684" s="353"/>
      <c r="K1684" s="538"/>
      <c r="L1684" s="487"/>
      <c r="M1684" s="487"/>
      <c r="N1684" s="354"/>
      <c r="O1684" s="354"/>
      <c r="P1684" s="354"/>
      <c r="Q1684" s="354"/>
      <c r="R1684" s="354"/>
      <c r="S1684" s="354"/>
      <c r="T1684" s="354"/>
      <c r="U1684" s="354"/>
      <c r="V1684" s="354"/>
      <c r="W1684" s="354"/>
      <c r="X1684" s="354"/>
      <c r="Y1684" s="354"/>
      <c r="Z1684" s="353"/>
      <c r="AA1684" s="352"/>
      <c r="AB1684" s="726"/>
    </row>
    <row r="1685" spans="1:28" ht="16.5" customHeight="1">
      <c r="A1685" s="347"/>
      <c r="B1685" s="347"/>
      <c r="C1685" s="347"/>
      <c r="D1685" s="361"/>
      <c r="E1685" s="361"/>
      <c r="F1685" s="361"/>
      <c r="G1685" s="348"/>
      <c r="H1685" s="359"/>
      <c r="I1685" s="352"/>
      <c r="J1685" s="353"/>
      <c r="K1685" s="538"/>
      <c r="L1685" s="487"/>
      <c r="M1685" s="487"/>
      <c r="N1685" s="354"/>
      <c r="O1685" s="354"/>
      <c r="P1685" s="354"/>
      <c r="Q1685" s="354"/>
      <c r="R1685" s="354"/>
      <c r="S1685" s="354"/>
      <c r="T1685" s="354"/>
      <c r="U1685" s="354"/>
      <c r="V1685" s="354"/>
      <c r="W1685" s="354"/>
      <c r="X1685" s="354"/>
      <c r="Y1685" s="354"/>
      <c r="Z1685" s="353"/>
      <c r="AA1685" s="352"/>
      <c r="AB1685" s="726"/>
    </row>
    <row r="1686" spans="1:28" ht="16.5" customHeight="1">
      <c r="A1686" s="347"/>
      <c r="B1686" s="347"/>
      <c r="C1686" s="347"/>
      <c r="D1686" s="361"/>
      <c r="E1686" s="361"/>
      <c r="F1686" s="361"/>
      <c r="G1686" s="348"/>
      <c r="H1686" s="359"/>
      <c r="I1686" s="352"/>
      <c r="J1686" s="353"/>
      <c r="K1686" s="538"/>
      <c r="L1686" s="487"/>
      <c r="M1686" s="487"/>
      <c r="N1686" s="354"/>
      <c r="O1686" s="354"/>
      <c r="P1686" s="354"/>
      <c r="Q1686" s="354"/>
      <c r="R1686" s="354"/>
      <c r="S1686" s="354"/>
      <c r="T1686" s="354"/>
      <c r="U1686" s="354"/>
      <c r="V1686" s="354"/>
      <c r="W1686" s="354"/>
      <c r="X1686" s="354"/>
      <c r="Y1686" s="354"/>
      <c r="Z1686" s="353"/>
      <c r="AA1686" s="352"/>
      <c r="AB1686" s="726"/>
    </row>
    <row r="1687" spans="1:28" ht="16.5" customHeight="1">
      <c r="A1687" s="347"/>
      <c r="B1687" s="347"/>
      <c r="C1687" s="347"/>
      <c r="D1687" s="348"/>
      <c r="E1687" s="348"/>
      <c r="F1687" s="348"/>
      <c r="G1687" s="348"/>
      <c r="H1687" s="359"/>
      <c r="I1687" s="352"/>
      <c r="J1687" s="353"/>
      <c r="K1687" s="538"/>
      <c r="L1687" s="487"/>
      <c r="M1687" s="487"/>
      <c r="N1687" s="354"/>
      <c r="O1687" s="354"/>
      <c r="P1687" s="354"/>
      <c r="Q1687" s="354"/>
      <c r="R1687" s="354"/>
      <c r="S1687" s="354"/>
      <c r="T1687" s="354"/>
      <c r="U1687" s="354"/>
      <c r="V1687" s="354"/>
      <c r="W1687" s="354"/>
      <c r="X1687" s="354"/>
      <c r="Y1687" s="354"/>
      <c r="Z1687" s="353"/>
      <c r="AA1687" s="352"/>
      <c r="AB1687" s="726"/>
    </row>
    <row r="1688" spans="1:28" ht="16.5" customHeight="1">
      <c r="A1688" s="347"/>
      <c r="B1688" s="347"/>
      <c r="C1688" s="347"/>
      <c r="D1688" s="348"/>
      <c r="E1688" s="348"/>
      <c r="F1688" s="348"/>
      <c r="G1688" s="348"/>
      <c r="H1688" s="359"/>
      <c r="I1688" s="352"/>
      <c r="J1688" s="353"/>
      <c r="K1688" s="538"/>
      <c r="L1688" s="487"/>
      <c r="M1688" s="487"/>
      <c r="N1688" s="354"/>
      <c r="O1688" s="354"/>
      <c r="P1688" s="354"/>
      <c r="Q1688" s="354"/>
      <c r="R1688" s="354"/>
      <c r="S1688" s="354"/>
      <c r="T1688" s="354"/>
      <c r="U1688" s="354"/>
      <c r="V1688" s="354"/>
      <c r="W1688" s="354"/>
      <c r="X1688" s="354"/>
      <c r="Y1688" s="354"/>
      <c r="Z1688" s="353"/>
      <c r="AA1688" s="352"/>
      <c r="AB1688" s="726"/>
    </row>
    <row r="1689" spans="1:28" ht="16.5" customHeight="1">
      <c r="A1689" s="347"/>
      <c r="B1689" s="347"/>
      <c r="C1689" s="347"/>
      <c r="D1689" s="348"/>
      <c r="E1689" s="348"/>
      <c r="F1689" s="348"/>
      <c r="G1689" s="348"/>
      <c r="H1689" s="359"/>
      <c r="I1689" s="352"/>
      <c r="J1689" s="353"/>
      <c r="K1689" s="538"/>
      <c r="L1689" s="487"/>
      <c r="M1689" s="487"/>
      <c r="N1689" s="354"/>
      <c r="O1689" s="354"/>
      <c r="P1689" s="354"/>
      <c r="Q1689" s="354"/>
      <c r="R1689" s="354"/>
      <c r="S1689" s="354"/>
      <c r="T1689" s="354"/>
      <c r="U1689" s="354"/>
      <c r="V1689" s="354"/>
      <c r="W1689" s="354"/>
      <c r="X1689" s="354"/>
      <c r="Y1689" s="354"/>
      <c r="Z1689" s="353"/>
      <c r="AA1689" s="352"/>
      <c r="AB1689" s="726"/>
    </row>
    <row r="1690" spans="1:28" ht="16.5" customHeight="1">
      <c r="A1690" s="347"/>
      <c r="B1690" s="347"/>
      <c r="C1690" s="347"/>
      <c r="D1690" s="361"/>
      <c r="E1690" s="361"/>
      <c r="F1690" s="361"/>
      <c r="G1690" s="348"/>
      <c r="H1690" s="359"/>
      <c r="I1690" s="352"/>
      <c r="J1690" s="353"/>
      <c r="K1690" s="538"/>
      <c r="L1690" s="487"/>
      <c r="M1690" s="487"/>
      <c r="N1690" s="354"/>
      <c r="O1690" s="354"/>
      <c r="P1690" s="354"/>
      <c r="Q1690" s="354"/>
      <c r="R1690" s="354"/>
      <c r="S1690" s="354"/>
      <c r="T1690" s="354"/>
      <c r="U1690" s="354"/>
      <c r="V1690" s="354"/>
      <c r="W1690" s="354"/>
      <c r="X1690" s="354"/>
      <c r="Y1690" s="354"/>
      <c r="Z1690" s="353"/>
      <c r="AA1690" s="352"/>
      <c r="AB1690" s="726"/>
    </row>
    <row r="1691" spans="1:28" ht="16.5" customHeight="1">
      <c r="A1691" s="347"/>
      <c r="B1691" s="347"/>
      <c r="C1691" s="347"/>
      <c r="D1691" s="348"/>
      <c r="E1691" s="348"/>
      <c r="F1691" s="348"/>
      <c r="G1691" s="348"/>
      <c r="H1691" s="359"/>
      <c r="I1691" s="352"/>
      <c r="J1691" s="353"/>
      <c r="K1691" s="538"/>
      <c r="L1691" s="487"/>
      <c r="M1691" s="487"/>
      <c r="N1691" s="354"/>
      <c r="O1691" s="354"/>
      <c r="P1691" s="354"/>
      <c r="Q1691" s="354"/>
      <c r="R1691" s="354"/>
      <c r="S1691" s="354"/>
      <c r="T1691" s="354"/>
      <c r="U1691" s="354"/>
      <c r="V1691" s="354"/>
      <c r="W1691" s="354"/>
      <c r="X1691" s="354"/>
      <c r="Y1691" s="354"/>
      <c r="Z1691" s="353"/>
      <c r="AA1691" s="352"/>
      <c r="AB1691" s="726"/>
    </row>
    <row r="1692" spans="1:28" ht="16.5" customHeight="1">
      <c r="A1692" s="347"/>
      <c r="B1692" s="347"/>
      <c r="C1692" s="347"/>
      <c r="D1692" s="348"/>
      <c r="E1692" s="348"/>
      <c r="F1692" s="348"/>
      <c r="G1692" s="348"/>
      <c r="H1692" s="359"/>
      <c r="I1692" s="352"/>
      <c r="J1692" s="353"/>
      <c r="K1692" s="538"/>
      <c r="L1692" s="487"/>
      <c r="M1692" s="487"/>
      <c r="N1692" s="354"/>
      <c r="O1692" s="354"/>
      <c r="P1692" s="354"/>
      <c r="Q1692" s="354"/>
      <c r="R1692" s="354"/>
      <c r="S1692" s="354"/>
      <c r="T1692" s="354"/>
      <c r="U1692" s="354"/>
      <c r="V1692" s="354"/>
      <c r="W1692" s="354"/>
      <c r="X1692" s="354"/>
      <c r="Y1692" s="354"/>
      <c r="Z1692" s="353"/>
      <c r="AA1692" s="352"/>
      <c r="AB1692" s="726"/>
    </row>
    <row r="1693" spans="1:28" ht="16.5" customHeight="1">
      <c r="A1693" s="347"/>
      <c r="B1693" s="347"/>
      <c r="C1693" s="347"/>
      <c r="D1693" s="348"/>
      <c r="E1693" s="348"/>
      <c r="F1693" s="348"/>
      <c r="G1693" s="348"/>
      <c r="H1693" s="359"/>
      <c r="I1693" s="352"/>
      <c r="J1693" s="353"/>
      <c r="K1693" s="538"/>
      <c r="L1693" s="487"/>
      <c r="M1693" s="487"/>
      <c r="N1693" s="354"/>
      <c r="O1693" s="354"/>
      <c r="P1693" s="354"/>
      <c r="Q1693" s="354"/>
      <c r="R1693" s="354"/>
      <c r="S1693" s="354"/>
      <c r="T1693" s="354"/>
      <c r="U1693" s="354"/>
      <c r="V1693" s="354"/>
      <c r="W1693" s="354"/>
      <c r="X1693" s="354"/>
      <c r="Y1693" s="354"/>
      <c r="Z1693" s="353"/>
      <c r="AA1693" s="352"/>
      <c r="AB1693" s="726"/>
    </row>
    <row r="1694" spans="1:28" ht="16.5" customHeight="1">
      <c r="A1694" s="347"/>
      <c r="B1694" s="347"/>
      <c r="C1694" s="347"/>
      <c r="D1694" s="361"/>
      <c r="E1694" s="361"/>
      <c r="F1694" s="361"/>
      <c r="G1694" s="348"/>
      <c r="H1694" s="359"/>
      <c r="I1694" s="352"/>
      <c r="J1694" s="353"/>
      <c r="K1694" s="538"/>
      <c r="L1694" s="487"/>
      <c r="M1694" s="487"/>
      <c r="N1694" s="354"/>
      <c r="O1694" s="354"/>
      <c r="P1694" s="354"/>
      <c r="Q1694" s="354"/>
      <c r="R1694" s="354"/>
      <c r="S1694" s="354"/>
      <c r="T1694" s="354"/>
      <c r="U1694" s="354"/>
      <c r="V1694" s="354"/>
      <c r="W1694" s="354"/>
      <c r="X1694" s="354"/>
      <c r="Y1694" s="354"/>
      <c r="Z1694" s="353"/>
      <c r="AA1694" s="352"/>
      <c r="AB1694" s="726"/>
    </row>
    <row r="1695" spans="1:28" ht="16.5" customHeight="1">
      <c r="A1695" s="347"/>
      <c r="B1695" s="347"/>
      <c r="C1695" s="347"/>
      <c r="D1695" s="348"/>
      <c r="E1695" s="348"/>
      <c r="F1695" s="348"/>
      <c r="G1695" s="348"/>
      <c r="H1695" s="359"/>
      <c r="I1695" s="352"/>
      <c r="J1695" s="353"/>
      <c r="K1695" s="538"/>
      <c r="L1695" s="487"/>
      <c r="M1695" s="487"/>
      <c r="N1695" s="354"/>
      <c r="O1695" s="354"/>
      <c r="P1695" s="354"/>
      <c r="Q1695" s="354"/>
      <c r="R1695" s="354"/>
      <c r="S1695" s="354"/>
      <c r="T1695" s="354"/>
      <c r="U1695" s="354"/>
      <c r="V1695" s="354"/>
      <c r="W1695" s="354"/>
      <c r="X1695" s="354"/>
      <c r="Y1695" s="354"/>
      <c r="Z1695" s="353"/>
      <c r="AA1695" s="352"/>
      <c r="AB1695" s="726"/>
    </row>
    <row r="1696" spans="1:28" ht="16.5" customHeight="1">
      <c r="A1696" s="347"/>
      <c r="B1696" s="347"/>
      <c r="C1696" s="347"/>
      <c r="D1696" s="361"/>
      <c r="E1696" s="361"/>
      <c r="F1696" s="361"/>
      <c r="G1696" s="348"/>
      <c r="H1696" s="359"/>
      <c r="I1696" s="352"/>
      <c r="J1696" s="353"/>
      <c r="K1696" s="538"/>
      <c r="L1696" s="487"/>
      <c r="M1696" s="487"/>
      <c r="N1696" s="354"/>
      <c r="O1696" s="354"/>
      <c r="P1696" s="354"/>
      <c r="Q1696" s="354"/>
      <c r="R1696" s="354"/>
      <c r="S1696" s="354"/>
      <c r="T1696" s="354"/>
      <c r="U1696" s="354"/>
      <c r="V1696" s="354"/>
      <c r="W1696" s="354"/>
      <c r="X1696" s="354"/>
      <c r="Y1696" s="354"/>
      <c r="Z1696" s="353"/>
      <c r="AA1696" s="352"/>
      <c r="AB1696" s="726"/>
    </row>
    <row r="1697" spans="1:28" ht="16.5" customHeight="1">
      <c r="A1697" s="347"/>
      <c r="B1697" s="347"/>
      <c r="C1697" s="347"/>
      <c r="D1697" s="361"/>
      <c r="E1697" s="361"/>
      <c r="F1697" s="361"/>
      <c r="G1697" s="348"/>
      <c r="H1697" s="359"/>
      <c r="I1697" s="352"/>
      <c r="J1697" s="353"/>
      <c r="K1697" s="538"/>
      <c r="L1697" s="487"/>
      <c r="M1697" s="487"/>
      <c r="N1697" s="354"/>
      <c r="O1697" s="354"/>
      <c r="P1697" s="354"/>
      <c r="Q1697" s="354"/>
      <c r="R1697" s="354"/>
      <c r="S1697" s="354"/>
      <c r="T1697" s="354"/>
      <c r="U1697" s="354"/>
      <c r="V1697" s="354"/>
      <c r="W1697" s="354"/>
      <c r="X1697" s="354"/>
      <c r="Y1697" s="354"/>
      <c r="Z1697" s="353"/>
      <c r="AA1697" s="352"/>
      <c r="AB1697" s="726"/>
    </row>
    <row r="1698" spans="1:28" ht="16.5" customHeight="1">
      <c r="A1698" s="347"/>
      <c r="B1698" s="347"/>
      <c r="C1698" s="347"/>
      <c r="D1698" s="348"/>
      <c r="E1698" s="348"/>
      <c r="F1698" s="348"/>
      <c r="G1698" s="348"/>
      <c r="H1698" s="359"/>
      <c r="I1698" s="352"/>
      <c r="J1698" s="353"/>
      <c r="K1698" s="538"/>
      <c r="L1698" s="487"/>
      <c r="M1698" s="487"/>
      <c r="N1698" s="354"/>
      <c r="O1698" s="354"/>
      <c r="P1698" s="354"/>
      <c r="Q1698" s="354"/>
      <c r="R1698" s="354"/>
      <c r="S1698" s="354"/>
      <c r="T1698" s="354"/>
      <c r="U1698" s="354"/>
      <c r="V1698" s="354"/>
      <c r="W1698" s="354"/>
      <c r="X1698" s="354"/>
      <c r="Y1698" s="354"/>
      <c r="Z1698" s="353"/>
      <c r="AA1698" s="352"/>
      <c r="AB1698" s="726"/>
    </row>
    <row r="1699" spans="1:28" ht="16.5" customHeight="1">
      <c r="A1699" s="347"/>
      <c r="B1699" s="347"/>
      <c r="C1699" s="347"/>
      <c r="D1699" s="348"/>
      <c r="E1699" s="348"/>
      <c r="F1699" s="348"/>
      <c r="G1699" s="348"/>
      <c r="H1699" s="359"/>
      <c r="I1699" s="352"/>
      <c r="J1699" s="353"/>
      <c r="K1699" s="538"/>
      <c r="L1699" s="487"/>
      <c r="M1699" s="487"/>
      <c r="N1699" s="354"/>
      <c r="O1699" s="354"/>
      <c r="P1699" s="354"/>
      <c r="Q1699" s="354"/>
      <c r="R1699" s="354"/>
      <c r="S1699" s="354"/>
      <c r="T1699" s="354"/>
      <c r="U1699" s="354"/>
      <c r="V1699" s="354"/>
      <c r="W1699" s="354"/>
      <c r="X1699" s="354"/>
      <c r="Y1699" s="354"/>
      <c r="Z1699" s="353"/>
      <c r="AA1699" s="352"/>
      <c r="AB1699" s="726"/>
    </row>
    <row r="1700" spans="1:28" ht="16.5" customHeight="1">
      <c r="A1700" s="347"/>
      <c r="B1700" s="347"/>
      <c r="C1700" s="347"/>
      <c r="D1700" s="361"/>
      <c r="E1700" s="361"/>
      <c r="F1700" s="361"/>
      <c r="G1700" s="348"/>
      <c r="H1700" s="359"/>
      <c r="I1700" s="352"/>
      <c r="J1700" s="353"/>
      <c r="K1700" s="538"/>
      <c r="L1700" s="487"/>
      <c r="M1700" s="487"/>
      <c r="N1700" s="354"/>
      <c r="O1700" s="354"/>
      <c r="P1700" s="354"/>
      <c r="Q1700" s="354"/>
      <c r="R1700" s="354"/>
      <c r="S1700" s="354"/>
      <c r="T1700" s="354"/>
      <c r="U1700" s="354"/>
      <c r="V1700" s="354"/>
      <c r="W1700" s="354"/>
      <c r="X1700" s="354"/>
      <c r="Y1700" s="354"/>
      <c r="Z1700" s="353"/>
      <c r="AA1700" s="352"/>
      <c r="AB1700" s="726"/>
    </row>
    <row r="1701" spans="1:28" ht="16.5" customHeight="1">
      <c r="A1701" s="347"/>
      <c r="B1701" s="347"/>
      <c r="C1701" s="347"/>
      <c r="D1701" s="361"/>
      <c r="E1701" s="361"/>
      <c r="F1701" s="361"/>
      <c r="G1701" s="348"/>
      <c r="H1701" s="359"/>
      <c r="I1701" s="352"/>
      <c r="J1701" s="353"/>
      <c r="K1701" s="538"/>
      <c r="L1701" s="487"/>
      <c r="M1701" s="487"/>
      <c r="N1701" s="354"/>
      <c r="O1701" s="354"/>
      <c r="P1701" s="354"/>
      <c r="Q1701" s="354"/>
      <c r="R1701" s="354"/>
      <c r="S1701" s="354"/>
      <c r="T1701" s="354"/>
      <c r="U1701" s="354"/>
      <c r="V1701" s="354"/>
      <c r="W1701" s="354"/>
      <c r="X1701" s="354"/>
      <c r="Y1701" s="354"/>
      <c r="Z1701" s="353"/>
      <c r="AA1701" s="352"/>
      <c r="AB1701" s="726"/>
    </row>
    <row r="1702" spans="1:28" ht="16.5" customHeight="1">
      <c r="A1702" s="347"/>
      <c r="B1702" s="347"/>
      <c r="C1702" s="347"/>
      <c r="D1702" s="361"/>
      <c r="E1702" s="361"/>
      <c r="F1702" s="361"/>
      <c r="G1702" s="348"/>
      <c r="H1702" s="359"/>
      <c r="I1702" s="352"/>
      <c r="J1702" s="353"/>
      <c r="K1702" s="538"/>
      <c r="L1702" s="487"/>
      <c r="M1702" s="487"/>
      <c r="N1702" s="354"/>
      <c r="O1702" s="354"/>
      <c r="P1702" s="354"/>
      <c r="Q1702" s="354"/>
      <c r="R1702" s="354"/>
      <c r="S1702" s="354"/>
      <c r="T1702" s="354"/>
      <c r="U1702" s="354"/>
      <c r="V1702" s="354"/>
      <c r="W1702" s="354"/>
      <c r="X1702" s="354"/>
      <c r="Y1702" s="354"/>
      <c r="Z1702" s="353"/>
      <c r="AA1702" s="352"/>
      <c r="AB1702" s="726"/>
    </row>
    <row r="1703" spans="1:28" ht="16.5" customHeight="1">
      <c r="A1703" s="347"/>
      <c r="B1703" s="347"/>
      <c r="C1703" s="347"/>
      <c r="D1703" s="348"/>
      <c r="E1703" s="348"/>
      <c r="F1703" s="348"/>
      <c r="G1703" s="348"/>
      <c r="H1703" s="359"/>
      <c r="I1703" s="352"/>
      <c r="J1703" s="353"/>
      <c r="K1703" s="538"/>
      <c r="L1703" s="487"/>
      <c r="M1703" s="487"/>
      <c r="N1703" s="354"/>
      <c r="O1703" s="354"/>
      <c r="P1703" s="354"/>
      <c r="Q1703" s="354"/>
      <c r="R1703" s="354"/>
      <c r="S1703" s="354"/>
      <c r="T1703" s="354"/>
      <c r="U1703" s="354"/>
      <c r="V1703" s="354"/>
      <c r="W1703" s="354"/>
      <c r="X1703" s="354"/>
      <c r="Y1703" s="354"/>
      <c r="Z1703" s="353"/>
      <c r="AA1703" s="352"/>
      <c r="AB1703" s="726"/>
    </row>
    <row r="1704" spans="1:28" ht="16.5" customHeight="1">
      <c r="A1704" s="347"/>
      <c r="B1704" s="347"/>
      <c r="C1704" s="347"/>
      <c r="D1704" s="348"/>
      <c r="E1704" s="348"/>
      <c r="F1704" s="348"/>
      <c r="G1704" s="348"/>
      <c r="H1704" s="359"/>
      <c r="I1704" s="352"/>
      <c r="J1704" s="353"/>
      <c r="K1704" s="538"/>
      <c r="L1704" s="487"/>
      <c r="M1704" s="487"/>
      <c r="N1704" s="354"/>
      <c r="O1704" s="354"/>
      <c r="P1704" s="354"/>
      <c r="Q1704" s="354"/>
      <c r="R1704" s="354"/>
      <c r="S1704" s="354"/>
      <c r="T1704" s="354"/>
      <c r="U1704" s="354"/>
      <c r="V1704" s="354"/>
      <c r="W1704" s="354"/>
      <c r="X1704" s="354"/>
      <c r="Y1704" s="354"/>
      <c r="Z1704" s="353"/>
      <c r="AA1704" s="352"/>
      <c r="AB1704" s="726"/>
    </row>
    <row r="1705" spans="1:28" ht="16.5" customHeight="1">
      <c r="A1705" s="347"/>
      <c r="B1705" s="347"/>
      <c r="C1705" s="347"/>
      <c r="D1705" s="361"/>
      <c r="E1705" s="361"/>
      <c r="F1705" s="361"/>
      <c r="G1705" s="348"/>
      <c r="H1705" s="359"/>
      <c r="I1705" s="352"/>
      <c r="J1705" s="353"/>
      <c r="K1705" s="538"/>
      <c r="L1705" s="487"/>
      <c r="M1705" s="487"/>
      <c r="N1705" s="354"/>
      <c r="O1705" s="354"/>
      <c r="P1705" s="354"/>
      <c r="Q1705" s="354"/>
      <c r="R1705" s="354"/>
      <c r="S1705" s="354"/>
      <c r="T1705" s="354"/>
      <c r="U1705" s="354"/>
      <c r="V1705" s="354"/>
      <c r="W1705" s="354"/>
      <c r="X1705" s="354"/>
      <c r="Y1705" s="354"/>
      <c r="Z1705" s="353"/>
      <c r="AA1705" s="352"/>
      <c r="AB1705" s="726"/>
    </row>
    <row r="1706" spans="1:28" ht="16.5" customHeight="1">
      <c r="A1706" s="347"/>
      <c r="B1706" s="347"/>
      <c r="C1706" s="347"/>
      <c r="D1706" s="348"/>
      <c r="E1706" s="348"/>
      <c r="F1706" s="348"/>
      <c r="G1706" s="348"/>
      <c r="H1706" s="359"/>
      <c r="I1706" s="352"/>
      <c r="J1706" s="353"/>
      <c r="K1706" s="538"/>
      <c r="L1706" s="487"/>
      <c r="M1706" s="487"/>
      <c r="N1706" s="354"/>
      <c r="O1706" s="354"/>
      <c r="P1706" s="354"/>
      <c r="Q1706" s="354"/>
      <c r="R1706" s="354"/>
      <c r="S1706" s="354"/>
      <c r="T1706" s="354"/>
      <c r="U1706" s="354"/>
      <c r="V1706" s="354"/>
      <c r="W1706" s="354"/>
      <c r="X1706" s="354"/>
      <c r="Y1706" s="354"/>
      <c r="Z1706" s="353"/>
      <c r="AA1706" s="352"/>
      <c r="AB1706" s="726"/>
    </row>
    <row r="1707" spans="1:28" ht="16.5" customHeight="1">
      <c r="A1707" s="347"/>
      <c r="B1707" s="347"/>
      <c r="C1707" s="347"/>
      <c r="D1707" s="361"/>
      <c r="E1707" s="361"/>
      <c r="F1707" s="361"/>
      <c r="G1707" s="348"/>
      <c r="H1707" s="359"/>
      <c r="I1707" s="352"/>
      <c r="J1707" s="353"/>
      <c r="K1707" s="538"/>
      <c r="L1707" s="487"/>
      <c r="M1707" s="487"/>
      <c r="N1707" s="354"/>
      <c r="O1707" s="354"/>
      <c r="P1707" s="354"/>
      <c r="Q1707" s="354"/>
      <c r="R1707" s="354"/>
      <c r="S1707" s="354"/>
      <c r="T1707" s="354"/>
      <c r="U1707" s="354"/>
      <c r="V1707" s="354"/>
      <c r="W1707" s="354"/>
      <c r="X1707" s="354"/>
      <c r="Y1707" s="354"/>
      <c r="Z1707" s="353"/>
      <c r="AA1707" s="352"/>
      <c r="AB1707" s="726"/>
    </row>
    <row r="1708" spans="1:28" ht="16.5" customHeight="1">
      <c r="A1708" s="347"/>
      <c r="B1708" s="347"/>
      <c r="C1708" s="347"/>
      <c r="D1708" s="361"/>
      <c r="E1708" s="361"/>
      <c r="F1708" s="361"/>
      <c r="G1708" s="348"/>
      <c r="H1708" s="359"/>
      <c r="I1708" s="352"/>
      <c r="J1708" s="353"/>
      <c r="K1708" s="538"/>
      <c r="L1708" s="487"/>
      <c r="M1708" s="487"/>
      <c r="N1708" s="354"/>
      <c r="O1708" s="354"/>
      <c r="P1708" s="354"/>
      <c r="Q1708" s="354"/>
      <c r="R1708" s="354"/>
      <c r="S1708" s="354"/>
      <c r="T1708" s="354"/>
      <c r="U1708" s="354"/>
      <c r="V1708" s="354"/>
      <c r="W1708" s="354"/>
      <c r="X1708" s="354"/>
      <c r="Y1708" s="354"/>
      <c r="Z1708" s="353"/>
      <c r="AA1708" s="352"/>
      <c r="AB1708" s="726"/>
    </row>
    <row r="1709" spans="1:28" ht="16.5" customHeight="1">
      <c r="A1709" s="347"/>
      <c r="B1709" s="347"/>
      <c r="C1709" s="347"/>
      <c r="D1709" s="348"/>
      <c r="E1709" s="348"/>
      <c r="F1709" s="348"/>
      <c r="G1709" s="348"/>
      <c r="H1709" s="359"/>
      <c r="I1709" s="352"/>
      <c r="J1709" s="353"/>
      <c r="K1709" s="538"/>
      <c r="L1709" s="487"/>
      <c r="M1709" s="487"/>
      <c r="N1709" s="354"/>
      <c r="O1709" s="354"/>
      <c r="P1709" s="354"/>
      <c r="Q1709" s="354"/>
      <c r="R1709" s="354"/>
      <c r="S1709" s="354"/>
      <c r="T1709" s="354"/>
      <c r="U1709" s="354"/>
      <c r="V1709" s="354"/>
      <c r="W1709" s="354"/>
      <c r="X1709" s="354"/>
      <c r="Y1709" s="354"/>
      <c r="Z1709" s="353"/>
      <c r="AA1709" s="352"/>
      <c r="AB1709" s="726"/>
    </row>
    <row r="1710" spans="1:28" ht="16.5" customHeight="1">
      <c r="A1710" s="347"/>
      <c r="B1710" s="347"/>
      <c r="C1710" s="347"/>
      <c r="D1710" s="348"/>
      <c r="E1710" s="348"/>
      <c r="F1710" s="348"/>
      <c r="G1710" s="348"/>
      <c r="H1710" s="359"/>
      <c r="I1710" s="352"/>
      <c r="J1710" s="353"/>
      <c r="K1710" s="538"/>
      <c r="L1710" s="487"/>
      <c r="M1710" s="487"/>
      <c r="N1710" s="354"/>
      <c r="O1710" s="354"/>
      <c r="P1710" s="354"/>
      <c r="Q1710" s="354"/>
      <c r="R1710" s="354"/>
      <c r="S1710" s="354"/>
      <c r="T1710" s="354"/>
      <c r="U1710" s="354"/>
      <c r="V1710" s="354"/>
      <c r="W1710" s="354"/>
      <c r="X1710" s="354"/>
      <c r="Y1710" s="354"/>
      <c r="Z1710" s="353"/>
      <c r="AA1710" s="352"/>
      <c r="AB1710" s="726"/>
    </row>
    <row r="1711" spans="1:28" ht="16.5" customHeight="1">
      <c r="A1711" s="347"/>
      <c r="B1711" s="347"/>
      <c r="C1711" s="347"/>
      <c r="D1711" s="348"/>
      <c r="E1711" s="348"/>
      <c r="F1711" s="348"/>
      <c r="G1711" s="348"/>
      <c r="H1711" s="359"/>
      <c r="I1711" s="352"/>
      <c r="J1711" s="353"/>
      <c r="K1711" s="538"/>
      <c r="L1711" s="487"/>
      <c r="M1711" s="487"/>
      <c r="N1711" s="354"/>
      <c r="O1711" s="354"/>
      <c r="P1711" s="354"/>
      <c r="Q1711" s="354"/>
      <c r="R1711" s="354"/>
      <c r="S1711" s="354"/>
      <c r="T1711" s="354"/>
      <c r="U1711" s="354"/>
      <c r="V1711" s="354"/>
      <c r="W1711" s="354"/>
      <c r="X1711" s="354"/>
      <c r="Y1711" s="354"/>
      <c r="Z1711" s="353"/>
      <c r="AA1711" s="352"/>
      <c r="AB1711" s="726"/>
    </row>
    <row r="1712" spans="1:28" ht="16.5" customHeight="1">
      <c r="A1712" s="347"/>
      <c r="B1712" s="347"/>
      <c r="C1712" s="347"/>
      <c r="D1712" s="348"/>
      <c r="E1712" s="348"/>
      <c r="F1712" s="348"/>
      <c r="G1712" s="348"/>
      <c r="H1712" s="359"/>
      <c r="I1712" s="352"/>
      <c r="J1712" s="353"/>
      <c r="K1712" s="538"/>
      <c r="L1712" s="487"/>
      <c r="M1712" s="487"/>
      <c r="N1712" s="354"/>
      <c r="O1712" s="354"/>
      <c r="P1712" s="354"/>
      <c r="Q1712" s="354"/>
      <c r="R1712" s="354"/>
      <c r="S1712" s="354"/>
      <c r="T1712" s="354"/>
      <c r="U1712" s="354"/>
      <c r="V1712" s="354"/>
      <c r="W1712" s="354"/>
      <c r="X1712" s="354"/>
      <c r="Y1712" s="354"/>
      <c r="Z1712" s="353"/>
      <c r="AA1712" s="352"/>
      <c r="AB1712" s="726"/>
    </row>
    <row r="1713" spans="1:28" ht="16.5" customHeight="1">
      <c r="A1713" s="347"/>
      <c r="B1713" s="347"/>
      <c r="C1713" s="347"/>
      <c r="D1713" s="348"/>
      <c r="E1713" s="348"/>
      <c r="F1713" s="348"/>
      <c r="G1713" s="348"/>
      <c r="H1713" s="359"/>
      <c r="I1713" s="352"/>
      <c r="J1713" s="353"/>
      <c r="K1713" s="538"/>
      <c r="L1713" s="487"/>
      <c r="M1713" s="487"/>
      <c r="N1713" s="354"/>
      <c r="O1713" s="354"/>
      <c r="P1713" s="354"/>
      <c r="Q1713" s="354"/>
      <c r="R1713" s="354"/>
      <c r="S1713" s="354"/>
      <c r="T1713" s="354"/>
      <c r="U1713" s="354"/>
      <c r="V1713" s="354"/>
      <c r="W1713" s="354"/>
      <c r="X1713" s="354"/>
      <c r="Y1713" s="354"/>
      <c r="Z1713" s="353"/>
      <c r="AA1713" s="352"/>
      <c r="AB1713" s="726"/>
    </row>
    <row r="1714" spans="1:28" ht="16.5" customHeight="1">
      <c r="A1714" s="347"/>
      <c r="B1714" s="347"/>
      <c r="C1714" s="347"/>
      <c r="D1714" s="348"/>
      <c r="E1714" s="348"/>
      <c r="F1714" s="348"/>
      <c r="G1714" s="348"/>
      <c r="H1714" s="359"/>
      <c r="I1714" s="352"/>
      <c r="J1714" s="353"/>
      <c r="K1714" s="538"/>
      <c r="L1714" s="487"/>
      <c r="M1714" s="487"/>
      <c r="N1714" s="354"/>
      <c r="O1714" s="354"/>
      <c r="P1714" s="354"/>
      <c r="Q1714" s="354"/>
      <c r="R1714" s="354"/>
      <c r="S1714" s="354"/>
      <c r="T1714" s="354"/>
      <c r="U1714" s="354"/>
      <c r="V1714" s="354"/>
      <c r="W1714" s="354"/>
      <c r="X1714" s="354"/>
      <c r="Y1714" s="354"/>
      <c r="Z1714" s="353"/>
      <c r="AA1714" s="352"/>
      <c r="AB1714" s="726"/>
    </row>
    <row r="1715" spans="1:28" ht="16.5" customHeight="1">
      <c r="A1715" s="347"/>
      <c r="B1715" s="347"/>
      <c r="C1715" s="347"/>
      <c r="D1715" s="348"/>
      <c r="E1715" s="348"/>
      <c r="F1715" s="348"/>
      <c r="G1715" s="348"/>
      <c r="H1715" s="359"/>
      <c r="I1715" s="352"/>
      <c r="J1715" s="353"/>
      <c r="K1715" s="538"/>
      <c r="L1715" s="487"/>
      <c r="M1715" s="487"/>
      <c r="N1715" s="354"/>
      <c r="O1715" s="354"/>
      <c r="P1715" s="354"/>
      <c r="Q1715" s="354"/>
      <c r="R1715" s="354"/>
      <c r="S1715" s="354"/>
      <c r="T1715" s="354"/>
      <c r="U1715" s="354"/>
      <c r="V1715" s="354"/>
      <c r="W1715" s="354"/>
      <c r="X1715" s="354"/>
      <c r="Y1715" s="354"/>
      <c r="Z1715" s="353"/>
      <c r="AA1715" s="352"/>
      <c r="AB1715" s="726"/>
    </row>
    <row r="1716" spans="1:28" ht="16.5" customHeight="1">
      <c r="A1716" s="347"/>
      <c r="B1716" s="347"/>
      <c r="C1716" s="347"/>
      <c r="D1716" s="348"/>
      <c r="E1716" s="348"/>
      <c r="F1716" s="348"/>
      <c r="G1716" s="348"/>
      <c r="H1716" s="359"/>
      <c r="I1716" s="352"/>
      <c r="J1716" s="353"/>
      <c r="K1716" s="538"/>
      <c r="L1716" s="487"/>
      <c r="M1716" s="487"/>
      <c r="N1716" s="354"/>
      <c r="O1716" s="354"/>
      <c r="P1716" s="354"/>
      <c r="Q1716" s="354"/>
      <c r="R1716" s="354"/>
      <c r="S1716" s="354"/>
      <c r="T1716" s="354"/>
      <c r="U1716" s="354"/>
      <c r="V1716" s="354"/>
      <c r="W1716" s="354"/>
      <c r="X1716" s="354"/>
      <c r="Y1716" s="354"/>
      <c r="Z1716" s="353"/>
      <c r="AA1716" s="352"/>
      <c r="AB1716" s="726"/>
    </row>
    <row r="1717" spans="1:28" ht="16.5" customHeight="1">
      <c r="A1717" s="347"/>
      <c r="B1717" s="347"/>
      <c r="C1717" s="347"/>
      <c r="D1717" s="361"/>
      <c r="E1717" s="361"/>
      <c r="F1717" s="361"/>
      <c r="G1717" s="348"/>
      <c r="H1717" s="359"/>
      <c r="I1717" s="352"/>
      <c r="J1717" s="353"/>
      <c r="K1717" s="538"/>
      <c r="L1717" s="487"/>
      <c r="M1717" s="487"/>
      <c r="N1717" s="354"/>
      <c r="O1717" s="354"/>
      <c r="P1717" s="354"/>
      <c r="Q1717" s="354"/>
      <c r="R1717" s="354"/>
      <c r="S1717" s="354"/>
      <c r="T1717" s="354"/>
      <c r="U1717" s="354"/>
      <c r="V1717" s="354"/>
      <c r="W1717" s="354"/>
      <c r="X1717" s="354"/>
      <c r="Y1717" s="354"/>
      <c r="Z1717" s="353"/>
      <c r="AA1717" s="352"/>
      <c r="AB1717" s="726"/>
    </row>
    <row r="1718" spans="1:28" ht="16.5" customHeight="1">
      <c r="A1718" s="347"/>
      <c r="B1718" s="347"/>
      <c r="C1718" s="347"/>
      <c r="D1718" s="348"/>
      <c r="E1718" s="348"/>
      <c r="F1718" s="348"/>
      <c r="G1718" s="348"/>
      <c r="H1718" s="359"/>
      <c r="I1718" s="352"/>
      <c r="J1718" s="353"/>
      <c r="K1718" s="538"/>
      <c r="L1718" s="487"/>
      <c r="M1718" s="487"/>
      <c r="N1718" s="354"/>
      <c r="O1718" s="354"/>
      <c r="P1718" s="354"/>
      <c r="Q1718" s="354"/>
      <c r="R1718" s="354"/>
      <c r="S1718" s="354"/>
      <c r="T1718" s="354"/>
      <c r="U1718" s="354"/>
      <c r="V1718" s="354"/>
      <c r="W1718" s="354"/>
      <c r="X1718" s="354"/>
      <c r="Y1718" s="354"/>
      <c r="Z1718" s="353"/>
      <c r="AA1718" s="352"/>
      <c r="AB1718" s="726"/>
    </row>
    <row r="1719" spans="1:28" ht="16.5" customHeight="1">
      <c r="A1719" s="347"/>
      <c r="B1719" s="347"/>
      <c r="C1719" s="347"/>
      <c r="D1719" s="348"/>
      <c r="E1719" s="348"/>
      <c r="F1719" s="348"/>
      <c r="G1719" s="348"/>
      <c r="H1719" s="359"/>
      <c r="I1719" s="352"/>
      <c r="J1719" s="353"/>
      <c r="K1719" s="538"/>
      <c r="L1719" s="487"/>
      <c r="M1719" s="487"/>
      <c r="N1719" s="354"/>
      <c r="O1719" s="354"/>
      <c r="P1719" s="354"/>
      <c r="Q1719" s="354"/>
      <c r="R1719" s="354"/>
      <c r="S1719" s="354"/>
      <c r="T1719" s="354"/>
      <c r="U1719" s="354"/>
      <c r="V1719" s="354"/>
      <c r="W1719" s="354"/>
      <c r="X1719" s="354"/>
      <c r="Y1719" s="354"/>
      <c r="Z1719" s="353"/>
      <c r="AA1719" s="352"/>
      <c r="AB1719" s="726"/>
    </row>
    <row r="1720" spans="1:28" ht="16.5" customHeight="1">
      <c r="A1720" s="347"/>
      <c r="B1720" s="347"/>
      <c r="C1720" s="347"/>
      <c r="D1720" s="348"/>
      <c r="E1720" s="348"/>
      <c r="F1720" s="348"/>
      <c r="G1720" s="348"/>
      <c r="H1720" s="359"/>
      <c r="I1720" s="352"/>
      <c r="J1720" s="353"/>
      <c r="K1720" s="538"/>
      <c r="L1720" s="487"/>
      <c r="M1720" s="487"/>
      <c r="N1720" s="354"/>
      <c r="O1720" s="354"/>
      <c r="P1720" s="354"/>
      <c r="Q1720" s="354"/>
      <c r="R1720" s="354"/>
      <c r="S1720" s="354"/>
      <c r="T1720" s="354"/>
      <c r="U1720" s="354"/>
      <c r="V1720" s="354"/>
      <c r="W1720" s="354"/>
      <c r="X1720" s="354"/>
      <c r="Y1720" s="354"/>
      <c r="Z1720" s="353"/>
      <c r="AA1720" s="352"/>
      <c r="AB1720" s="726"/>
    </row>
    <row r="1721" spans="1:28" ht="16.5" customHeight="1">
      <c r="A1721" s="347"/>
      <c r="B1721" s="347"/>
      <c r="C1721" s="347"/>
      <c r="D1721" s="348"/>
      <c r="E1721" s="348"/>
      <c r="F1721" s="348"/>
      <c r="G1721" s="348"/>
      <c r="H1721" s="359"/>
      <c r="I1721" s="352"/>
      <c r="J1721" s="353"/>
      <c r="K1721" s="538"/>
      <c r="L1721" s="487"/>
      <c r="M1721" s="487"/>
      <c r="N1721" s="354"/>
      <c r="O1721" s="354"/>
      <c r="P1721" s="354"/>
      <c r="Q1721" s="354"/>
      <c r="R1721" s="354"/>
      <c r="S1721" s="354"/>
      <c r="T1721" s="354"/>
      <c r="U1721" s="354"/>
      <c r="V1721" s="354"/>
      <c r="W1721" s="354"/>
      <c r="X1721" s="354"/>
      <c r="Y1721" s="354"/>
      <c r="Z1721" s="353"/>
      <c r="AA1721" s="352"/>
      <c r="AB1721" s="726"/>
    </row>
    <row r="1722" spans="1:28" ht="16.5" customHeight="1">
      <c r="A1722" s="347"/>
      <c r="B1722" s="347"/>
      <c r="C1722" s="347"/>
      <c r="D1722" s="348"/>
      <c r="E1722" s="348"/>
      <c r="F1722" s="348"/>
      <c r="G1722" s="348"/>
      <c r="H1722" s="359"/>
      <c r="I1722" s="352"/>
      <c r="J1722" s="353"/>
      <c r="K1722" s="538"/>
      <c r="L1722" s="487"/>
      <c r="M1722" s="487"/>
      <c r="N1722" s="354"/>
      <c r="O1722" s="354"/>
      <c r="P1722" s="354"/>
      <c r="Q1722" s="354"/>
      <c r="R1722" s="354"/>
      <c r="S1722" s="354"/>
      <c r="T1722" s="354"/>
      <c r="U1722" s="354"/>
      <c r="V1722" s="354"/>
      <c r="W1722" s="354"/>
      <c r="X1722" s="354"/>
      <c r="Y1722" s="354"/>
      <c r="Z1722" s="353"/>
      <c r="AA1722" s="352"/>
      <c r="AB1722" s="726"/>
    </row>
    <row r="1723" spans="1:28" ht="16.5" customHeight="1">
      <c r="A1723" s="347"/>
      <c r="B1723" s="347"/>
      <c r="C1723" s="347"/>
      <c r="D1723" s="348"/>
      <c r="E1723" s="348"/>
      <c r="F1723" s="348"/>
      <c r="G1723" s="348"/>
      <c r="H1723" s="359"/>
      <c r="I1723" s="352"/>
      <c r="J1723" s="353"/>
      <c r="K1723" s="538"/>
      <c r="L1723" s="487"/>
      <c r="M1723" s="487"/>
      <c r="N1723" s="354"/>
      <c r="O1723" s="354"/>
      <c r="P1723" s="354"/>
      <c r="Q1723" s="354"/>
      <c r="R1723" s="354"/>
      <c r="S1723" s="354"/>
      <c r="T1723" s="354"/>
      <c r="U1723" s="354"/>
      <c r="V1723" s="354"/>
      <c r="W1723" s="354"/>
      <c r="X1723" s="354"/>
      <c r="Y1723" s="354"/>
      <c r="Z1723" s="353"/>
      <c r="AA1723" s="352"/>
      <c r="AB1723" s="726"/>
    </row>
    <row r="1724" spans="1:28" ht="16.5" customHeight="1">
      <c r="A1724" s="347"/>
      <c r="B1724" s="347"/>
      <c r="C1724" s="347"/>
      <c r="D1724" s="348"/>
      <c r="E1724" s="348"/>
      <c r="F1724" s="348"/>
      <c r="G1724" s="348"/>
      <c r="H1724" s="359"/>
      <c r="I1724" s="352"/>
      <c r="J1724" s="353"/>
      <c r="K1724" s="538"/>
      <c r="L1724" s="487"/>
      <c r="M1724" s="487"/>
      <c r="N1724" s="354"/>
      <c r="O1724" s="354"/>
      <c r="P1724" s="354"/>
      <c r="Q1724" s="354"/>
      <c r="R1724" s="354"/>
      <c r="S1724" s="354"/>
      <c r="T1724" s="354"/>
      <c r="U1724" s="354"/>
      <c r="V1724" s="354"/>
      <c r="W1724" s="354"/>
      <c r="X1724" s="354"/>
      <c r="Y1724" s="354"/>
      <c r="Z1724" s="353"/>
      <c r="AA1724" s="352"/>
      <c r="AB1724" s="726"/>
    </row>
    <row r="1725" spans="1:28" ht="16.5" customHeight="1">
      <c r="A1725" s="347"/>
      <c r="B1725" s="347"/>
      <c r="C1725" s="347"/>
      <c r="D1725" s="348"/>
      <c r="E1725" s="348"/>
      <c r="F1725" s="348"/>
      <c r="G1725" s="348"/>
      <c r="H1725" s="359"/>
      <c r="I1725" s="352"/>
      <c r="J1725" s="353"/>
      <c r="K1725" s="538"/>
      <c r="L1725" s="487"/>
      <c r="M1725" s="487"/>
      <c r="N1725" s="354"/>
      <c r="O1725" s="354"/>
      <c r="P1725" s="354"/>
      <c r="Q1725" s="354"/>
      <c r="R1725" s="354"/>
      <c r="S1725" s="354"/>
      <c r="T1725" s="354"/>
      <c r="U1725" s="354"/>
      <c r="V1725" s="354"/>
      <c r="W1725" s="354"/>
      <c r="X1725" s="354"/>
      <c r="Y1725" s="354"/>
      <c r="Z1725" s="353"/>
      <c r="AA1725" s="352"/>
      <c r="AB1725" s="726"/>
    </row>
    <row r="1726" spans="1:28" ht="16.5" customHeight="1">
      <c r="A1726" s="347"/>
      <c r="B1726" s="347"/>
      <c r="C1726" s="347"/>
      <c r="D1726" s="348"/>
      <c r="E1726" s="348"/>
      <c r="F1726" s="348"/>
      <c r="G1726" s="348"/>
      <c r="H1726" s="359"/>
      <c r="I1726" s="352"/>
      <c r="J1726" s="353"/>
      <c r="K1726" s="538"/>
      <c r="L1726" s="487"/>
      <c r="M1726" s="487"/>
      <c r="N1726" s="354"/>
      <c r="O1726" s="354"/>
      <c r="P1726" s="354"/>
      <c r="Q1726" s="354"/>
      <c r="R1726" s="354"/>
      <c r="S1726" s="354"/>
      <c r="T1726" s="354"/>
      <c r="U1726" s="354"/>
      <c r="V1726" s="354"/>
      <c r="W1726" s="354"/>
      <c r="X1726" s="354"/>
      <c r="Y1726" s="354"/>
      <c r="Z1726" s="353"/>
      <c r="AA1726" s="352"/>
      <c r="AB1726" s="726"/>
    </row>
    <row r="1727" spans="1:28" ht="16.5" customHeight="1">
      <c r="A1727" s="347"/>
      <c r="B1727" s="347"/>
      <c r="C1727" s="347"/>
      <c r="D1727" s="348"/>
      <c r="E1727" s="348"/>
      <c r="F1727" s="348"/>
      <c r="G1727" s="348"/>
      <c r="H1727" s="359"/>
      <c r="I1727" s="352"/>
      <c r="J1727" s="353"/>
      <c r="K1727" s="538"/>
      <c r="L1727" s="487"/>
      <c r="M1727" s="487"/>
      <c r="N1727" s="354"/>
      <c r="O1727" s="354"/>
      <c r="P1727" s="354"/>
      <c r="Q1727" s="354"/>
      <c r="R1727" s="354"/>
      <c r="S1727" s="354"/>
      <c r="T1727" s="354"/>
      <c r="U1727" s="354"/>
      <c r="V1727" s="354"/>
      <c r="W1727" s="354"/>
      <c r="X1727" s="354"/>
      <c r="Y1727" s="354"/>
      <c r="Z1727" s="353"/>
      <c r="AA1727" s="352"/>
      <c r="AB1727" s="726"/>
    </row>
    <row r="1728" spans="1:28" ht="16.5" customHeight="1">
      <c r="A1728" s="347"/>
      <c r="B1728" s="347"/>
      <c r="C1728" s="347"/>
      <c r="D1728" s="361"/>
      <c r="E1728" s="361"/>
      <c r="F1728" s="361"/>
      <c r="G1728" s="348"/>
      <c r="H1728" s="359"/>
      <c r="I1728" s="352"/>
      <c r="J1728" s="353"/>
      <c r="K1728" s="538"/>
      <c r="L1728" s="487"/>
      <c r="M1728" s="487"/>
      <c r="N1728" s="354"/>
      <c r="O1728" s="354"/>
      <c r="P1728" s="354"/>
      <c r="Q1728" s="354"/>
      <c r="R1728" s="354"/>
      <c r="S1728" s="354"/>
      <c r="T1728" s="354"/>
      <c r="U1728" s="354"/>
      <c r="V1728" s="354"/>
      <c r="W1728" s="354"/>
      <c r="X1728" s="354"/>
      <c r="Y1728" s="354"/>
      <c r="Z1728" s="353"/>
      <c r="AA1728" s="352"/>
      <c r="AB1728" s="726"/>
    </row>
    <row r="1729" spans="1:28" ht="16.5" customHeight="1">
      <c r="A1729" s="347"/>
      <c r="B1729" s="347"/>
      <c r="C1729" s="347"/>
      <c r="D1729" s="348"/>
      <c r="E1729" s="348"/>
      <c r="F1729" s="348"/>
      <c r="G1729" s="348"/>
      <c r="H1729" s="359"/>
      <c r="I1729" s="352"/>
      <c r="J1729" s="353"/>
      <c r="K1729" s="538"/>
      <c r="L1729" s="487"/>
      <c r="M1729" s="487"/>
      <c r="N1729" s="354"/>
      <c r="O1729" s="354"/>
      <c r="P1729" s="354"/>
      <c r="Q1729" s="354"/>
      <c r="R1729" s="354"/>
      <c r="S1729" s="354"/>
      <c r="T1729" s="354"/>
      <c r="U1729" s="354"/>
      <c r="V1729" s="354"/>
      <c r="W1729" s="354"/>
      <c r="X1729" s="354"/>
      <c r="Y1729" s="354"/>
      <c r="Z1729" s="353"/>
      <c r="AA1729" s="352"/>
      <c r="AB1729" s="726"/>
    </row>
    <row r="1730" spans="1:28" ht="16.5" customHeight="1">
      <c r="A1730" s="347"/>
      <c r="B1730" s="347"/>
      <c r="C1730" s="347"/>
      <c r="D1730" s="348"/>
      <c r="E1730" s="348"/>
      <c r="F1730" s="348"/>
      <c r="G1730" s="348"/>
      <c r="H1730" s="359"/>
      <c r="I1730" s="352"/>
      <c r="J1730" s="353"/>
      <c r="K1730" s="538"/>
      <c r="L1730" s="487"/>
      <c r="M1730" s="487"/>
      <c r="N1730" s="354"/>
      <c r="O1730" s="354"/>
      <c r="P1730" s="354"/>
      <c r="Q1730" s="354"/>
      <c r="R1730" s="354"/>
      <c r="S1730" s="354"/>
      <c r="T1730" s="354"/>
      <c r="U1730" s="354"/>
      <c r="V1730" s="354"/>
      <c r="W1730" s="354"/>
      <c r="X1730" s="354"/>
      <c r="Y1730" s="354"/>
      <c r="Z1730" s="353"/>
      <c r="AA1730" s="352"/>
      <c r="AB1730" s="726"/>
    </row>
    <row r="1731" spans="1:28" ht="16.5" customHeight="1">
      <c r="A1731" s="347"/>
      <c r="B1731" s="347"/>
      <c r="C1731" s="347"/>
      <c r="D1731" s="348"/>
      <c r="E1731" s="348"/>
      <c r="F1731" s="348"/>
      <c r="G1731" s="348"/>
      <c r="H1731" s="359"/>
      <c r="I1731" s="352"/>
      <c r="J1731" s="353"/>
      <c r="K1731" s="538"/>
      <c r="L1731" s="487"/>
      <c r="M1731" s="487"/>
      <c r="N1731" s="354"/>
      <c r="O1731" s="354"/>
      <c r="P1731" s="354"/>
      <c r="Q1731" s="354"/>
      <c r="R1731" s="354"/>
      <c r="S1731" s="354"/>
      <c r="T1731" s="354"/>
      <c r="U1731" s="354"/>
      <c r="V1731" s="354"/>
      <c r="W1731" s="354"/>
      <c r="X1731" s="354"/>
      <c r="Y1731" s="354"/>
      <c r="Z1731" s="353"/>
      <c r="AA1731" s="352"/>
      <c r="AB1731" s="726"/>
    </row>
    <row r="1732" spans="1:28" ht="16.5" customHeight="1">
      <c r="A1732" s="347"/>
      <c r="B1732" s="347"/>
      <c r="C1732" s="347"/>
      <c r="D1732" s="348"/>
      <c r="E1732" s="348"/>
      <c r="F1732" s="348"/>
      <c r="G1732" s="348"/>
      <c r="H1732" s="359"/>
      <c r="I1732" s="352"/>
      <c r="J1732" s="353"/>
      <c r="K1732" s="538"/>
      <c r="L1732" s="487"/>
      <c r="M1732" s="487"/>
      <c r="N1732" s="354"/>
      <c r="O1732" s="354"/>
      <c r="P1732" s="354"/>
      <c r="Q1732" s="354"/>
      <c r="R1732" s="354"/>
      <c r="S1732" s="354"/>
      <c r="T1732" s="354"/>
      <c r="U1732" s="354"/>
      <c r="V1732" s="354"/>
      <c r="W1732" s="354"/>
      <c r="X1732" s="354"/>
      <c r="Y1732" s="354"/>
      <c r="Z1732" s="353"/>
      <c r="AA1732" s="352"/>
      <c r="AB1732" s="726"/>
    </row>
    <row r="1733" spans="1:28" ht="16.5" customHeight="1">
      <c r="A1733" s="347"/>
      <c r="B1733" s="347"/>
      <c r="C1733" s="347"/>
      <c r="D1733" s="361"/>
      <c r="E1733" s="361"/>
      <c r="F1733" s="361"/>
      <c r="G1733" s="348"/>
      <c r="H1733" s="359"/>
      <c r="I1733" s="352"/>
      <c r="J1733" s="353"/>
      <c r="K1733" s="538"/>
      <c r="L1733" s="487"/>
      <c r="M1733" s="487"/>
      <c r="N1733" s="354"/>
      <c r="O1733" s="354"/>
      <c r="P1733" s="354"/>
      <c r="Q1733" s="354"/>
      <c r="R1733" s="354"/>
      <c r="S1733" s="354"/>
      <c r="T1733" s="354"/>
      <c r="U1733" s="354"/>
      <c r="V1733" s="354"/>
      <c r="W1733" s="354"/>
      <c r="X1733" s="354"/>
      <c r="Y1733" s="354"/>
      <c r="Z1733" s="353"/>
      <c r="AA1733" s="352"/>
      <c r="AB1733" s="726"/>
    </row>
    <row r="1734" spans="1:28" ht="16.5" customHeight="1">
      <c r="A1734" s="347"/>
      <c r="B1734" s="347"/>
      <c r="C1734" s="347"/>
      <c r="D1734" s="348"/>
      <c r="E1734" s="348"/>
      <c r="F1734" s="348"/>
      <c r="G1734" s="348"/>
      <c r="H1734" s="359"/>
      <c r="I1734" s="352"/>
      <c r="J1734" s="353"/>
      <c r="K1734" s="538"/>
      <c r="L1734" s="487"/>
      <c r="M1734" s="487"/>
      <c r="N1734" s="354"/>
      <c r="O1734" s="354"/>
      <c r="P1734" s="354"/>
      <c r="Q1734" s="354"/>
      <c r="R1734" s="354"/>
      <c r="S1734" s="354"/>
      <c r="T1734" s="354"/>
      <c r="U1734" s="354"/>
      <c r="V1734" s="354"/>
      <c r="W1734" s="354"/>
      <c r="X1734" s="354"/>
      <c r="Y1734" s="354"/>
      <c r="Z1734" s="353"/>
      <c r="AA1734" s="352"/>
      <c r="AB1734" s="726"/>
    </row>
    <row r="1735" spans="1:28" ht="16.5" customHeight="1">
      <c r="A1735" s="347"/>
      <c r="B1735" s="347"/>
      <c r="C1735" s="347"/>
      <c r="D1735" s="348"/>
      <c r="E1735" s="348"/>
      <c r="F1735" s="348"/>
      <c r="G1735" s="348"/>
      <c r="H1735" s="359"/>
      <c r="I1735" s="352"/>
      <c r="J1735" s="353"/>
      <c r="K1735" s="538"/>
      <c r="L1735" s="487"/>
      <c r="M1735" s="487"/>
      <c r="N1735" s="354"/>
      <c r="O1735" s="354"/>
      <c r="P1735" s="354"/>
      <c r="Q1735" s="354"/>
      <c r="R1735" s="354"/>
      <c r="S1735" s="354"/>
      <c r="T1735" s="354"/>
      <c r="U1735" s="354"/>
      <c r="V1735" s="354"/>
      <c r="W1735" s="354"/>
      <c r="X1735" s="354"/>
      <c r="Y1735" s="354"/>
      <c r="Z1735" s="353"/>
      <c r="AA1735" s="352"/>
      <c r="AB1735" s="726"/>
    </row>
    <row r="1736" spans="1:28" ht="16.5" customHeight="1">
      <c r="A1736" s="347"/>
      <c r="B1736" s="347"/>
      <c r="C1736" s="347"/>
      <c r="D1736" s="348"/>
      <c r="E1736" s="348"/>
      <c r="F1736" s="348"/>
      <c r="G1736" s="348"/>
      <c r="H1736" s="359"/>
      <c r="I1736" s="352"/>
      <c r="J1736" s="353"/>
      <c r="K1736" s="538"/>
      <c r="L1736" s="487"/>
      <c r="M1736" s="487"/>
      <c r="N1736" s="354"/>
      <c r="O1736" s="354"/>
      <c r="P1736" s="354"/>
      <c r="Q1736" s="354"/>
      <c r="R1736" s="354"/>
      <c r="S1736" s="354"/>
      <c r="T1736" s="354"/>
      <c r="U1736" s="354"/>
      <c r="V1736" s="354"/>
      <c r="W1736" s="354"/>
      <c r="X1736" s="354"/>
      <c r="Y1736" s="354"/>
      <c r="Z1736" s="353"/>
      <c r="AA1736" s="352"/>
      <c r="AB1736" s="726"/>
    </row>
    <row r="1737" spans="1:28" ht="16.5" customHeight="1">
      <c r="A1737" s="347"/>
      <c r="B1737" s="347"/>
      <c r="C1737" s="347"/>
      <c r="D1737" s="348"/>
      <c r="E1737" s="348"/>
      <c r="F1737" s="348"/>
      <c r="G1737" s="348"/>
      <c r="H1737" s="359"/>
      <c r="I1737" s="352"/>
      <c r="J1737" s="353"/>
      <c r="K1737" s="538"/>
      <c r="L1737" s="487"/>
      <c r="M1737" s="487"/>
      <c r="N1737" s="354"/>
      <c r="O1737" s="354"/>
      <c r="P1737" s="354"/>
      <c r="Q1737" s="354"/>
      <c r="R1737" s="354"/>
      <c r="S1737" s="354"/>
      <c r="T1737" s="354"/>
      <c r="U1737" s="354"/>
      <c r="V1737" s="354"/>
      <c r="W1737" s="354"/>
      <c r="X1737" s="354"/>
      <c r="Y1737" s="354"/>
      <c r="Z1737" s="353"/>
      <c r="AA1737" s="352"/>
      <c r="AB1737" s="726"/>
    </row>
    <row r="1738" spans="1:28" ht="16.5" customHeight="1">
      <c r="A1738" s="347"/>
      <c r="B1738" s="347"/>
      <c r="C1738" s="347"/>
      <c r="D1738" s="348"/>
      <c r="E1738" s="348"/>
      <c r="F1738" s="348"/>
      <c r="G1738" s="348"/>
      <c r="H1738" s="359"/>
      <c r="I1738" s="352"/>
      <c r="J1738" s="353"/>
      <c r="K1738" s="538"/>
      <c r="L1738" s="487"/>
      <c r="M1738" s="487"/>
      <c r="N1738" s="354"/>
      <c r="O1738" s="354"/>
      <c r="P1738" s="354"/>
      <c r="Q1738" s="354"/>
      <c r="R1738" s="354"/>
      <c r="S1738" s="354"/>
      <c r="T1738" s="354"/>
      <c r="U1738" s="354"/>
      <c r="V1738" s="354"/>
      <c r="W1738" s="354"/>
      <c r="X1738" s="354"/>
      <c r="Y1738" s="354"/>
      <c r="Z1738" s="353"/>
      <c r="AA1738" s="352"/>
      <c r="AB1738" s="726"/>
    </row>
    <row r="1739" spans="1:28" ht="16.5" customHeight="1">
      <c r="A1739" s="347"/>
      <c r="B1739" s="347"/>
      <c r="C1739" s="347"/>
      <c r="D1739" s="348"/>
      <c r="E1739" s="348"/>
      <c r="F1739" s="348"/>
      <c r="G1739" s="348"/>
      <c r="H1739" s="359"/>
      <c r="I1739" s="352"/>
      <c r="J1739" s="353"/>
      <c r="K1739" s="538"/>
      <c r="L1739" s="487"/>
      <c r="M1739" s="487"/>
      <c r="N1739" s="354"/>
      <c r="O1739" s="354"/>
      <c r="P1739" s="354"/>
      <c r="Q1739" s="354"/>
      <c r="R1739" s="354"/>
      <c r="S1739" s="354"/>
      <c r="T1739" s="354"/>
      <c r="U1739" s="354"/>
      <c r="V1739" s="354"/>
      <c r="W1739" s="354"/>
      <c r="X1739" s="354"/>
      <c r="Y1739" s="354"/>
      <c r="Z1739" s="353"/>
      <c r="AA1739" s="352"/>
      <c r="AB1739" s="726"/>
    </row>
    <row r="1740" spans="1:28" ht="16.5" customHeight="1">
      <c r="A1740" s="347"/>
      <c r="B1740" s="347"/>
      <c r="C1740" s="347"/>
      <c r="D1740" s="348"/>
      <c r="E1740" s="348"/>
      <c r="F1740" s="348"/>
      <c r="G1740" s="348"/>
      <c r="H1740" s="359"/>
      <c r="I1740" s="352"/>
      <c r="J1740" s="353"/>
      <c r="K1740" s="538"/>
      <c r="L1740" s="487"/>
      <c r="M1740" s="487"/>
      <c r="N1740" s="354"/>
      <c r="O1740" s="354"/>
      <c r="P1740" s="354"/>
      <c r="Q1740" s="354"/>
      <c r="R1740" s="354"/>
      <c r="S1740" s="354"/>
      <c r="T1740" s="354"/>
      <c r="U1740" s="354"/>
      <c r="V1740" s="354"/>
      <c r="W1740" s="354"/>
      <c r="X1740" s="354"/>
      <c r="Y1740" s="354"/>
      <c r="Z1740" s="353"/>
      <c r="AA1740" s="352"/>
      <c r="AB1740" s="726"/>
    </row>
    <row r="1741" spans="1:28" ht="16.5" customHeight="1">
      <c r="A1741" s="347"/>
      <c r="B1741" s="347"/>
      <c r="C1741" s="347"/>
      <c r="D1741" s="348"/>
      <c r="E1741" s="348"/>
      <c r="F1741" s="348"/>
      <c r="G1741" s="348"/>
      <c r="H1741" s="359"/>
      <c r="I1741" s="352"/>
      <c r="J1741" s="353"/>
      <c r="K1741" s="538"/>
      <c r="L1741" s="487"/>
      <c r="M1741" s="487"/>
      <c r="N1741" s="354"/>
      <c r="O1741" s="354"/>
      <c r="P1741" s="354"/>
      <c r="Q1741" s="354"/>
      <c r="R1741" s="354"/>
      <c r="S1741" s="354"/>
      <c r="T1741" s="354"/>
      <c r="U1741" s="354"/>
      <c r="V1741" s="354"/>
      <c r="W1741" s="354"/>
      <c r="X1741" s="354"/>
      <c r="Y1741" s="354"/>
      <c r="Z1741" s="353"/>
      <c r="AA1741" s="352"/>
      <c r="AB1741" s="726"/>
    </row>
    <row r="1742" spans="1:28" ht="16.5" customHeight="1">
      <c r="A1742" s="347"/>
      <c r="B1742" s="347"/>
      <c r="C1742" s="347"/>
      <c r="D1742" s="348"/>
      <c r="E1742" s="348"/>
      <c r="F1742" s="348"/>
      <c r="G1742" s="348"/>
      <c r="H1742" s="359"/>
      <c r="I1742" s="352"/>
      <c r="J1742" s="353"/>
      <c r="K1742" s="538"/>
      <c r="L1742" s="487"/>
      <c r="M1742" s="487"/>
      <c r="N1742" s="354"/>
      <c r="O1742" s="354"/>
      <c r="P1742" s="354"/>
      <c r="Q1742" s="354"/>
      <c r="R1742" s="354"/>
      <c r="S1742" s="354"/>
      <c r="T1742" s="354"/>
      <c r="U1742" s="354"/>
      <c r="V1742" s="354"/>
      <c r="W1742" s="354"/>
      <c r="X1742" s="354"/>
      <c r="Y1742" s="354"/>
      <c r="Z1742" s="353"/>
      <c r="AA1742" s="352"/>
      <c r="AB1742" s="726"/>
    </row>
    <row r="1743" spans="1:28" ht="16.5" customHeight="1">
      <c r="A1743" s="347"/>
      <c r="B1743" s="347"/>
      <c r="C1743" s="347"/>
      <c r="D1743" s="348"/>
      <c r="E1743" s="348"/>
      <c r="F1743" s="348"/>
      <c r="G1743" s="348"/>
      <c r="H1743" s="359"/>
      <c r="I1743" s="352"/>
      <c r="J1743" s="353"/>
      <c r="K1743" s="538"/>
      <c r="L1743" s="487"/>
      <c r="M1743" s="487"/>
      <c r="N1743" s="354"/>
      <c r="O1743" s="354"/>
      <c r="P1743" s="354"/>
      <c r="Q1743" s="354"/>
      <c r="R1743" s="354"/>
      <c r="S1743" s="354"/>
      <c r="T1743" s="354"/>
      <c r="U1743" s="354"/>
      <c r="V1743" s="354"/>
      <c r="W1743" s="354"/>
      <c r="X1743" s="354"/>
      <c r="Y1743" s="354"/>
      <c r="Z1743" s="353"/>
      <c r="AA1743" s="352"/>
      <c r="AB1743" s="726"/>
    </row>
    <row r="1744" spans="1:28" ht="16.5" customHeight="1">
      <c r="A1744" s="347"/>
      <c r="B1744" s="347"/>
      <c r="C1744" s="347"/>
      <c r="D1744" s="348"/>
      <c r="E1744" s="348"/>
      <c r="F1744" s="348"/>
      <c r="G1744" s="348"/>
      <c r="H1744" s="359"/>
      <c r="I1744" s="352"/>
      <c r="J1744" s="353"/>
      <c r="K1744" s="538"/>
      <c r="L1744" s="487"/>
      <c r="M1744" s="487"/>
      <c r="N1744" s="354"/>
      <c r="O1744" s="354"/>
      <c r="P1744" s="354"/>
      <c r="Q1744" s="354"/>
      <c r="R1744" s="354"/>
      <c r="S1744" s="354"/>
      <c r="T1744" s="354"/>
      <c r="U1744" s="354"/>
      <c r="V1744" s="354"/>
      <c r="W1744" s="354"/>
      <c r="X1744" s="354"/>
      <c r="Y1744" s="354"/>
      <c r="Z1744" s="353"/>
      <c r="AA1744" s="352"/>
      <c r="AB1744" s="726"/>
    </row>
    <row r="1745" spans="1:28" ht="16.5" customHeight="1">
      <c r="A1745" s="347"/>
      <c r="B1745" s="347"/>
      <c r="C1745" s="347"/>
      <c r="D1745" s="348"/>
      <c r="E1745" s="348"/>
      <c r="F1745" s="348"/>
      <c r="G1745" s="348"/>
      <c r="H1745" s="359"/>
      <c r="I1745" s="352"/>
      <c r="J1745" s="353"/>
      <c r="K1745" s="538"/>
      <c r="L1745" s="487"/>
      <c r="M1745" s="487"/>
      <c r="N1745" s="354"/>
      <c r="O1745" s="354"/>
      <c r="P1745" s="354"/>
      <c r="Q1745" s="354"/>
      <c r="R1745" s="354"/>
      <c r="S1745" s="354"/>
      <c r="T1745" s="354"/>
      <c r="U1745" s="354"/>
      <c r="V1745" s="354"/>
      <c r="W1745" s="354"/>
      <c r="X1745" s="354"/>
      <c r="Y1745" s="354"/>
      <c r="Z1745" s="353"/>
      <c r="AA1745" s="352"/>
      <c r="AB1745" s="726"/>
    </row>
    <row r="1746" spans="1:28" ht="16.5" customHeight="1">
      <c r="A1746" s="347"/>
      <c r="B1746" s="347"/>
      <c r="C1746" s="347"/>
      <c r="D1746" s="348"/>
      <c r="E1746" s="348"/>
      <c r="F1746" s="348"/>
      <c r="G1746" s="348"/>
      <c r="H1746" s="359"/>
      <c r="I1746" s="352"/>
      <c r="J1746" s="353"/>
      <c r="K1746" s="538"/>
      <c r="L1746" s="487"/>
      <c r="M1746" s="487"/>
      <c r="N1746" s="354"/>
      <c r="O1746" s="354"/>
      <c r="P1746" s="354"/>
      <c r="Q1746" s="354"/>
      <c r="R1746" s="354"/>
      <c r="S1746" s="354"/>
      <c r="T1746" s="354"/>
      <c r="U1746" s="354"/>
      <c r="V1746" s="354"/>
      <c r="W1746" s="354"/>
      <c r="X1746" s="354"/>
      <c r="Y1746" s="354"/>
      <c r="Z1746" s="353"/>
      <c r="AA1746" s="352"/>
      <c r="AB1746" s="726"/>
    </row>
    <row r="1747" spans="1:28" ht="16.5" customHeight="1">
      <c r="A1747" s="347"/>
      <c r="B1747" s="347"/>
      <c r="C1747" s="347"/>
      <c r="D1747" s="348"/>
      <c r="E1747" s="348"/>
      <c r="F1747" s="348"/>
      <c r="G1747" s="348"/>
      <c r="H1747" s="359"/>
      <c r="I1747" s="352"/>
      <c r="J1747" s="353"/>
      <c r="K1747" s="538"/>
      <c r="L1747" s="487"/>
      <c r="M1747" s="487"/>
      <c r="N1747" s="354"/>
      <c r="O1747" s="354"/>
      <c r="P1747" s="354"/>
      <c r="Q1747" s="354"/>
      <c r="R1747" s="354"/>
      <c r="S1747" s="354"/>
      <c r="T1747" s="354"/>
      <c r="U1747" s="354"/>
      <c r="V1747" s="354"/>
      <c r="W1747" s="354"/>
      <c r="X1747" s="354"/>
      <c r="Y1747" s="354"/>
      <c r="Z1747" s="353"/>
      <c r="AA1747" s="352"/>
      <c r="AB1747" s="726"/>
    </row>
    <row r="1748" spans="1:28" ht="16.5" customHeight="1">
      <c r="A1748" s="347"/>
      <c r="B1748" s="347"/>
      <c r="C1748" s="347"/>
      <c r="D1748" s="348"/>
      <c r="E1748" s="348"/>
      <c r="F1748" s="348"/>
      <c r="G1748" s="348"/>
      <c r="H1748" s="359"/>
      <c r="I1748" s="352"/>
      <c r="J1748" s="353"/>
      <c r="K1748" s="538"/>
      <c r="L1748" s="487"/>
      <c r="M1748" s="487"/>
      <c r="N1748" s="354"/>
      <c r="O1748" s="354"/>
      <c r="P1748" s="354"/>
      <c r="Q1748" s="354"/>
      <c r="R1748" s="354"/>
      <c r="S1748" s="354"/>
      <c r="T1748" s="354"/>
      <c r="U1748" s="354"/>
      <c r="V1748" s="354"/>
      <c r="W1748" s="354"/>
      <c r="X1748" s="354"/>
      <c r="Y1748" s="354"/>
      <c r="Z1748" s="353"/>
      <c r="AA1748" s="352"/>
      <c r="AB1748" s="726"/>
    </row>
    <row r="1749" spans="1:28" ht="16.5" customHeight="1">
      <c r="A1749" s="347"/>
      <c r="B1749" s="347"/>
      <c r="C1749" s="347"/>
      <c r="D1749" s="348"/>
      <c r="E1749" s="348"/>
      <c r="F1749" s="348"/>
      <c r="G1749" s="348"/>
      <c r="H1749" s="359"/>
      <c r="I1749" s="352"/>
      <c r="J1749" s="353"/>
      <c r="K1749" s="538"/>
      <c r="L1749" s="487"/>
      <c r="M1749" s="487"/>
      <c r="N1749" s="354"/>
      <c r="O1749" s="354"/>
      <c r="P1749" s="354"/>
      <c r="Q1749" s="354"/>
      <c r="R1749" s="354"/>
      <c r="S1749" s="354"/>
      <c r="T1749" s="354"/>
      <c r="U1749" s="354"/>
      <c r="V1749" s="354"/>
      <c r="W1749" s="354"/>
      <c r="X1749" s="354"/>
      <c r="Y1749" s="354"/>
      <c r="Z1749" s="353"/>
      <c r="AA1749" s="352"/>
      <c r="AB1749" s="726"/>
    </row>
    <row r="1750" spans="1:28" ht="16.5" customHeight="1">
      <c r="A1750" s="347"/>
      <c r="B1750" s="347"/>
      <c r="C1750" s="347"/>
      <c r="D1750" s="361"/>
      <c r="E1750" s="361"/>
      <c r="F1750" s="361"/>
      <c r="G1750" s="348"/>
      <c r="H1750" s="359"/>
      <c r="I1750" s="352"/>
      <c r="J1750" s="353"/>
      <c r="K1750" s="538"/>
      <c r="L1750" s="487"/>
      <c r="M1750" s="487"/>
      <c r="N1750" s="354"/>
      <c r="O1750" s="354"/>
      <c r="P1750" s="354"/>
      <c r="Q1750" s="354"/>
      <c r="R1750" s="354"/>
      <c r="S1750" s="354"/>
      <c r="T1750" s="354"/>
      <c r="U1750" s="354"/>
      <c r="V1750" s="354"/>
      <c r="W1750" s="354"/>
      <c r="X1750" s="354"/>
      <c r="Y1750" s="354"/>
      <c r="Z1750" s="353"/>
      <c r="AA1750" s="352"/>
      <c r="AB1750" s="726"/>
    </row>
    <row r="1751" spans="1:28" ht="16.5" customHeight="1">
      <c r="A1751" s="347"/>
      <c r="B1751" s="347"/>
      <c r="C1751" s="347"/>
      <c r="D1751" s="348"/>
      <c r="E1751" s="348"/>
      <c r="F1751" s="348"/>
      <c r="G1751" s="348"/>
      <c r="H1751" s="359"/>
      <c r="I1751" s="352"/>
      <c r="J1751" s="353"/>
      <c r="K1751" s="538"/>
      <c r="L1751" s="487"/>
      <c r="M1751" s="487"/>
      <c r="N1751" s="354"/>
      <c r="O1751" s="354"/>
      <c r="P1751" s="354"/>
      <c r="Q1751" s="354"/>
      <c r="R1751" s="354"/>
      <c r="S1751" s="354"/>
      <c r="T1751" s="354"/>
      <c r="U1751" s="354"/>
      <c r="V1751" s="354"/>
      <c r="W1751" s="354"/>
      <c r="X1751" s="354"/>
      <c r="Y1751" s="354"/>
      <c r="Z1751" s="353"/>
      <c r="AA1751" s="352"/>
      <c r="AB1751" s="726"/>
    </row>
    <row r="1752" spans="1:28" ht="16.5" customHeight="1">
      <c r="A1752" s="347"/>
      <c r="B1752" s="347"/>
      <c r="C1752" s="347"/>
      <c r="D1752" s="348"/>
      <c r="E1752" s="348"/>
      <c r="F1752" s="348"/>
      <c r="G1752" s="348"/>
      <c r="H1752" s="359"/>
      <c r="I1752" s="352"/>
      <c r="J1752" s="353"/>
      <c r="K1752" s="538"/>
      <c r="L1752" s="487"/>
      <c r="M1752" s="487"/>
      <c r="N1752" s="354"/>
      <c r="O1752" s="354"/>
      <c r="P1752" s="354"/>
      <c r="Q1752" s="354"/>
      <c r="R1752" s="354"/>
      <c r="S1752" s="354"/>
      <c r="T1752" s="354"/>
      <c r="U1752" s="354"/>
      <c r="V1752" s="354"/>
      <c r="W1752" s="354"/>
      <c r="X1752" s="354"/>
      <c r="Y1752" s="354"/>
      <c r="Z1752" s="353"/>
      <c r="AA1752" s="352"/>
      <c r="AB1752" s="726"/>
    </row>
    <row r="1753" spans="1:28" ht="16.5" customHeight="1">
      <c r="A1753" s="347"/>
      <c r="B1753" s="347"/>
      <c r="C1753" s="347"/>
      <c r="D1753" s="348"/>
      <c r="E1753" s="348"/>
      <c r="F1753" s="348"/>
      <c r="G1753" s="348"/>
      <c r="H1753" s="359"/>
      <c r="I1753" s="352"/>
      <c r="J1753" s="353"/>
      <c r="K1753" s="538"/>
      <c r="L1753" s="487"/>
      <c r="M1753" s="487"/>
      <c r="N1753" s="354"/>
      <c r="O1753" s="354"/>
      <c r="P1753" s="354"/>
      <c r="Q1753" s="354"/>
      <c r="R1753" s="354"/>
      <c r="S1753" s="354"/>
      <c r="T1753" s="354"/>
      <c r="U1753" s="354"/>
      <c r="V1753" s="354"/>
      <c r="W1753" s="354"/>
      <c r="X1753" s="354"/>
      <c r="Y1753" s="354"/>
      <c r="Z1753" s="353"/>
      <c r="AA1753" s="352"/>
      <c r="AB1753" s="726"/>
    </row>
    <row r="1754" spans="1:28" ht="16.5" customHeight="1">
      <c r="A1754" s="347"/>
      <c r="B1754" s="347"/>
      <c r="C1754" s="347"/>
      <c r="D1754" s="348"/>
      <c r="E1754" s="348"/>
      <c r="F1754" s="348"/>
      <c r="G1754" s="348"/>
      <c r="H1754" s="359"/>
      <c r="I1754" s="352"/>
      <c r="J1754" s="353"/>
      <c r="K1754" s="538"/>
      <c r="L1754" s="487"/>
      <c r="M1754" s="487"/>
      <c r="N1754" s="354"/>
      <c r="O1754" s="354"/>
      <c r="P1754" s="354"/>
      <c r="Q1754" s="354"/>
      <c r="R1754" s="354"/>
      <c r="S1754" s="354"/>
      <c r="T1754" s="354"/>
      <c r="U1754" s="354"/>
      <c r="V1754" s="354"/>
      <c r="W1754" s="354"/>
      <c r="X1754" s="354"/>
      <c r="Y1754" s="354"/>
      <c r="Z1754" s="353"/>
      <c r="AA1754" s="352"/>
      <c r="AB1754" s="726"/>
    </row>
    <row r="1755" spans="1:28" ht="16.5" customHeight="1">
      <c r="A1755" s="347"/>
      <c r="B1755" s="347"/>
      <c r="C1755" s="347"/>
      <c r="D1755" s="348"/>
      <c r="E1755" s="348"/>
      <c r="F1755" s="348"/>
      <c r="G1755" s="348"/>
      <c r="H1755" s="359"/>
      <c r="I1755" s="352"/>
      <c r="J1755" s="353"/>
      <c r="K1755" s="538"/>
      <c r="L1755" s="487"/>
      <c r="M1755" s="487"/>
      <c r="N1755" s="354"/>
      <c r="O1755" s="354"/>
      <c r="P1755" s="354"/>
      <c r="Q1755" s="354"/>
      <c r="R1755" s="354"/>
      <c r="S1755" s="354"/>
      <c r="T1755" s="354"/>
      <c r="U1755" s="354"/>
      <c r="V1755" s="354"/>
      <c r="W1755" s="354"/>
      <c r="X1755" s="354"/>
      <c r="Y1755" s="354"/>
      <c r="Z1755" s="353"/>
      <c r="AA1755" s="352"/>
      <c r="AB1755" s="726"/>
    </row>
    <row r="1756" spans="1:28" ht="16.5" customHeight="1">
      <c r="A1756" s="347"/>
      <c r="B1756" s="347"/>
      <c r="C1756" s="347"/>
      <c r="D1756" s="348"/>
      <c r="E1756" s="348"/>
      <c r="F1756" s="348"/>
      <c r="G1756" s="348"/>
      <c r="H1756" s="359"/>
      <c r="I1756" s="352"/>
      <c r="J1756" s="353"/>
      <c r="K1756" s="538"/>
      <c r="L1756" s="487"/>
      <c r="M1756" s="487"/>
      <c r="N1756" s="354"/>
      <c r="O1756" s="354"/>
      <c r="P1756" s="354"/>
      <c r="Q1756" s="354"/>
      <c r="R1756" s="354"/>
      <c r="S1756" s="354"/>
      <c r="T1756" s="354"/>
      <c r="U1756" s="354"/>
      <c r="V1756" s="354"/>
      <c r="W1756" s="354"/>
      <c r="X1756" s="354"/>
      <c r="Y1756" s="354"/>
      <c r="Z1756" s="353"/>
      <c r="AA1756" s="352"/>
      <c r="AB1756" s="726"/>
    </row>
    <row r="1757" spans="1:28" ht="16.5" customHeight="1">
      <c r="A1757" s="347"/>
      <c r="B1757" s="347"/>
      <c r="C1757" s="347"/>
      <c r="D1757" s="361"/>
      <c r="E1757" s="361"/>
      <c r="F1757" s="361"/>
      <c r="G1757" s="348"/>
      <c r="H1757" s="359"/>
      <c r="I1757" s="352"/>
      <c r="J1757" s="353"/>
      <c r="K1757" s="538"/>
      <c r="L1757" s="487"/>
      <c r="M1757" s="487"/>
      <c r="N1757" s="354"/>
      <c r="O1757" s="354"/>
      <c r="P1757" s="354"/>
      <c r="Q1757" s="354"/>
      <c r="R1757" s="354"/>
      <c r="S1757" s="354"/>
      <c r="T1757" s="354"/>
      <c r="U1757" s="354"/>
      <c r="V1757" s="354"/>
      <c r="W1757" s="354"/>
      <c r="X1757" s="354"/>
      <c r="Y1757" s="354"/>
      <c r="Z1757" s="353"/>
      <c r="AA1757" s="352"/>
      <c r="AB1757" s="726"/>
    </row>
    <row r="1758" spans="1:28" ht="16.5" customHeight="1">
      <c r="A1758" s="347"/>
      <c r="B1758" s="347"/>
      <c r="C1758" s="347"/>
      <c r="D1758" s="361"/>
      <c r="E1758" s="361"/>
      <c r="F1758" s="361"/>
      <c r="G1758" s="348"/>
      <c r="H1758" s="359"/>
      <c r="I1758" s="352"/>
      <c r="J1758" s="353"/>
      <c r="K1758" s="538"/>
      <c r="L1758" s="487"/>
      <c r="M1758" s="487"/>
      <c r="N1758" s="354"/>
      <c r="O1758" s="354"/>
      <c r="P1758" s="354"/>
      <c r="Q1758" s="354"/>
      <c r="R1758" s="354"/>
      <c r="S1758" s="354"/>
      <c r="T1758" s="354"/>
      <c r="U1758" s="354"/>
      <c r="V1758" s="354"/>
      <c r="W1758" s="354"/>
      <c r="X1758" s="354"/>
      <c r="Y1758" s="354"/>
      <c r="Z1758" s="353"/>
      <c r="AA1758" s="352"/>
      <c r="AB1758" s="726"/>
    </row>
    <row r="1759" spans="1:28" ht="16.5" customHeight="1">
      <c r="A1759" s="347"/>
      <c r="B1759" s="347"/>
      <c r="C1759" s="347"/>
      <c r="D1759" s="348"/>
      <c r="E1759" s="348"/>
      <c r="F1759" s="348"/>
      <c r="G1759" s="348"/>
      <c r="H1759" s="359"/>
      <c r="I1759" s="352"/>
      <c r="J1759" s="353"/>
      <c r="K1759" s="538"/>
      <c r="L1759" s="487"/>
      <c r="M1759" s="487"/>
      <c r="N1759" s="354"/>
      <c r="O1759" s="354"/>
      <c r="P1759" s="354"/>
      <c r="Q1759" s="354"/>
      <c r="R1759" s="354"/>
      <c r="S1759" s="354"/>
      <c r="T1759" s="354"/>
      <c r="U1759" s="354"/>
      <c r="V1759" s="354"/>
      <c r="W1759" s="354"/>
      <c r="X1759" s="354"/>
      <c r="Y1759" s="354"/>
      <c r="Z1759" s="353"/>
      <c r="AA1759" s="352"/>
      <c r="AB1759" s="726"/>
    </row>
    <row r="1760" spans="1:28" ht="16.5" customHeight="1">
      <c r="A1760" s="347"/>
      <c r="B1760" s="347"/>
      <c r="C1760" s="347"/>
      <c r="D1760" s="361"/>
      <c r="E1760" s="361"/>
      <c r="F1760" s="361"/>
      <c r="G1760" s="348"/>
      <c r="H1760" s="359"/>
      <c r="I1760" s="352"/>
      <c r="J1760" s="353"/>
      <c r="K1760" s="538"/>
      <c r="L1760" s="487"/>
      <c r="M1760" s="487"/>
      <c r="N1760" s="354"/>
      <c r="O1760" s="354"/>
      <c r="P1760" s="354"/>
      <c r="Q1760" s="354"/>
      <c r="R1760" s="354"/>
      <c r="S1760" s="354"/>
      <c r="T1760" s="354"/>
      <c r="U1760" s="354"/>
      <c r="V1760" s="354"/>
      <c r="W1760" s="354"/>
      <c r="X1760" s="354"/>
      <c r="Y1760" s="354"/>
      <c r="Z1760" s="353"/>
      <c r="AA1760" s="352"/>
      <c r="AB1760" s="726"/>
    </row>
    <row r="1761" spans="1:28" ht="16.5" customHeight="1">
      <c r="A1761" s="347"/>
      <c r="B1761" s="347"/>
      <c r="C1761" s="347"/>
      <c r="D1761" s="348"/>
      <c r="E1761" s="348"/>
      <c r="F1761" s="348"/>
      <c r="G1761" s="348"/>
      <c r="H1761" s="359"/>
      <c r="I1761" s="352"/>
      <c r="J1761" s="353"/>
      <c r="K1761" s="538"/>
      <c r="L1761" s="487"/>
      <c r="M1761" s="487"/>
      <c r="N1761" s="354"/>
      <c r="O1761" s="354"/>
      <c r="P1761" s="354"/>
      <c r="Q1761" s="354"/>
      <c r="R1761" s="354"/>
      <c r="S1761" s="354"/>
      <c r="T1761" s="354"/>
      <c r="U1761" s="354"/>
      <c r="V1761" s="354"/>
      <c r="W1761" s="354"/>
      <c r="X1761" s="354"/>
      <c r="Y1761" s="354"/>
      <c r="Z1761" s="353"/>
      <c r="AA1761" s="352"/>
      <c r="AB1761" s="726"/>
    </row>
    <row r="1762" spans="1:28" ht="16.5" customHeight="1">
      <c r="A1762" s="347"/>
      <c r="B1762" s="347"/>
      <c r="C1762" s="347"/>
      <c r="D1762" s="348"/>
      <c r="E1762" s="348"/>
      <c r="F1762" s="348"/>
      <c r="G1762" s="348"/>
      <c r="H1762" s="359"/>
      <c r="I1762" s="352"/>
      <c r="J1762" s="353"/>
      <c r="K1762" s="538"/>
      <c r="L1762" s="487"/>
      <c r="M1762" s="487"/>
      <c r="N1762" s="354"/>
      <c r="O1762" s="354"/>
      <c r="P1762" s="354"/>
      <c r="Q1762" s="354"/>
      <c r="R1762" s="354"/>
      <c r="S1762" s="354"/>
      <c r="T1762" s="354"/>
      <c r="U1762" s="354"/>
      <c r="V1762" s="354"/>
      <c r="W1762" s="354"/>
      <c r="X1762" s="354"/>
      <c r="Y1762" s="354"/>
      <c r="Z1762" s="353"/>
      <c r="AA1762" s="352"/>
      <c r="AB1762" s="726"/>
    </row>
    <row r="1763" spans="1:28" ht="16.5" customHeight="1">
      <c r="A1763" s="347"/>
      <c r="B1763" s="347"/>
      <c r="C1763" s="347"/>
      <c r="D1763" s="348"/>
      <c r="E1763" s="348"/>
      <c r="F1763" s="348"/>
      <c r="G1763" s="348"/>
      <c r="H1763" s="359"/>
      <c r="I1763" s="352"/>
      <c r="J1763" s="353"/>
      <c r="K1763" s="538"/>
      <c r="L1763" s="487"/>
      <c r="M1763" s="487"/>
      <c r="N1763" s="354"/>
      <c r="O1763" s="354"/>
      <c r="P1763" s="354"/>
      <c r="Q1763" s="354"/>
      <c r="R1763" s="354"/>
      <c r="S1763" s="354"/>
      <c r="T1763" s="354"/>
      <c r="U1763" s="354"/>
      <c r="V1763" s="354"/>
      <c r="W1763" s="354"/>
      <c r="X1763" s="354"/>
      <c r="Y1763" s="354"/>
      <c r="Z1763" s="353"/>
      <c r="AA1763" s="352"/>
      <c r="AB1763" s="726"/>
    </row>
    <row r="1764" spans="1:28" ht="16.5" customHeight="1">
      <c r="A1764" s="347"/>
      <c r="B1764" s="347"/>
      <c r="C1764" s="347"/>
      <c r="D1764" s="348"/>
      <c r="E1764" s="348"/>
      <c r="F1764" s="348"/>
      <c r="G1764" s="348"/>
      <c r="H1764" s="359"/>
      <c r="I1764" s="352"/>
      <c r="J1764" s="353"/>
      <c r="K1764" s="538"/>
      <c r="L1764" s="487"/>
      <c r="M1764" s="487"/>
      <c r="N1764" s="354"/>
      <c r="O1764" s="354"/>
      <c r="P1764" s="354"/>
      <c r="Q1764" s="354"/>
      <c r="R1764" s="354"/>
      <c r="S1764" s="354"/>
      <c r="T1764" s="354"/>
      <c r="U1764" s="354"/>
      <c r="V1764" s="354"/>
      <c r="W1764" s="354"/>
      <c r="X1764" s="354"/>
      <c r="Y1764" s="354"/>
      <c r="Z1764" s="353"/>
      <c r="AA1764" s="352"/>
      <c r="AB1764" s="726"/>
    </row>
    <row r="1765" spans="1:28" ht="16.5" customHeight="1">
      <c r="A1765" s="347"/>
      <c r="B1765" s="347"/>
      <c r="C1765" s="347"/>
      <c r="D1765" s="348"/>
      <c r="E1765" s="348"/>
      <c r="F1765" s="348"/>
      <c r="G1765" s="348"/>
      <c r="H1765" s="359"/>
      <c r="I1765" s="352"/>
      <c r="J1765" s="353"/>
      <c r="K1765" s="538"/>
      <c r="L1765" s="487"/>
      <c r="M1765" s="487"/>
      <c r="N1765" s="354"/>
      <c r="O1765" s="354"/>
      <c r="P1765" s="354"/>
      <c r="Q1765" s="354"/>
      <c r="R1765" s="354"/>
      <c r="S1765" s="354"/>
      <c r="T1765" s="354"/>
      <c r="U1765" s="354"/>
      <c r="V1765" s="354"/>
      <c r="W1765" s="354"/>
      <c r="X1765" s="354"/>
      <c r="Y1765" s="354"/>
      <c r="Z1765" s="353"/>
      <c r="AA1765" s="352"/>
      <c r="AB1765" s="726"/>
    </row>
    <row r="1766" spans="1:28" ht="16.5" customHeight="1">
      <c r="A1766" s="347"/>
      <c r="B1766" s="347"/>
      <c r="C1766" s="347"/>
      <c r="D1766" s="348"/>
      <c r="E1766" s="348"/>
      <c r="F1766" s="348"/>
      <c r="G1766" s="348"/>
      <c r="H1766" s="359"/>
      <c r="I1766" s="352"/>
      <c r="J1766" s="353"/>
      <c r="K1766" s="538"/>
      <c r="L1766" s="487"/>
      <c r="M1766" s="487"/>
      <c r="N1766" s="354"/>
      <c r="O1766" s="354"/>
      <c r="P1766" s="354"/>
      <c r="Q1766" s="354"/>
      <c r="R1766" s="354"/>
      <c r="S1766" s="354"/>
      <c r="T1766" s="354"/>
      <c r="U1766" s="354"/>
      <c r="V1766" s="354"/>
      <c r="W1766" s="354"/>
      <c r="X1766" s="354"/>
      <c r="Y1766" s="354"/>
      <c r="Z1766" s="353"/>
      <c r="AA1766" s="352"/>
      <c r="AB1766" s="726"/>
    </row>
    <row r="1767" spans="1:28" ht="16.5" customHeight="1">
      <c r="A1767" s="347"/>
      <c r="B1767" s="347"/>
      <c r="C1767" s="347"/>
      <c r="D1767" s="348"/>
      <c r="E1767" s="348"/>
      <c r="F1767" s="348"/>
      <c r="G1767" s="348"/>
      <c r="H1767" s="359"/>
      <c r="I1767" s="352"/>
      <c r="J1767" s="353"/>
      <c r="K1767" s="538"/>
      <c r="L1767" s="487"/>
      <c r="M1767" s="487"/>
      <c r="N1767" s="354"/>
      <c r="O1767" s="354"/>
      <c r="P1767" s="354"/>
      <c r="Q1767" s="354"/>
      <c r="R1767" s="354"/>
      <c r="S1767" s="354"/>
      <c r="T1767" s="354"/>
      <c r="U1767" s="354"/>
      <c r="V1767" s="354"/>
      <c r="W1767" s="354"/>
      <c r="X1767" s="354"/>
      <c r="Y1767" s="354"/>
      <c r="Z1767" s="353"/>
      <c r="AA1767" s="352"/>
      <c r="AB1767" s="726"/>
    </row>
    <row r="1768" spans="1:28" ht="16.5" customHeight="1">
      <c r="A1768" s="347"/>
      <c r="B1768" s="347"/>
      <c r="C1768" s="347"/>
      <c r="D1768" s="348"/>
      <c r="E1768" s="348"/>
      <c r="F1768" s="348"/>
      <c r="G1768" s="348"/>
      <c r="H1768" s="359"/>
      <c r="I1768" s="352"/>
      <c r="J1768" s="353"/>
      <c r="K1768" s="538"/>
      <c r="L1768" s="487"/>
      <c r="M1768" s="487"/>
      <c r="N1768" s="354"/>
      <c r="O1768" s="354"/>
      <c r="P1768" s="354"/>
      <c r="Q1768" s="354"/>
      <c r="R1768" s="354"/>
      <c r="S1768" s="354"/>
      <c r="T1768" s="354"/>
      <c r="U1768" s="354"/>
      <c r="V1768" s="354"/>
      <c r="W1768" s="354"/>
      <c r="X1768" s="354"/>
      <c r="Y1768" s="354"/>
      <c r="Z1768" s="353"/>
      <c r="AA1768" s="352"/>
      <c r="AB1768" s="726"/>
    </row>
    <row r="1769" spans="1:28" ht="16.5" customHeight="1">
      <c r="A1769" s="347"/>
      <c r="B1769" s="347"/>
      <c r="C1769" s="347"/>
      <c r="D1769" s="361"/>
      <c r="E1769" s="361"/>
      <c r="F1769" s="361"/>
      <c r="G1769" s="348"/>
      <c r="H1769" s="359"/>
      <c r="I1769" s="352"/>
      <c r="J1769" s="353"/>
      <c r="K1769" s="538"/>
      <c r="L1769" s="487"/>
      <c r="M1769" s="487"/>
      <c r="N1769" s="354"/>
      <c r="O1769" s="354"/>
      <c r="P1769" s="354"/>
      <c r="Q1769" s="354"/>
      <c r="R1769" s="354"/>
      <c r="S1769" s="354"/>
      <c r="T1769" s="354"/>
      <c r="U1769" s="354"/>
      <c r="V1769" s="354"/>
      <c r="W1769" s="354"/>
      <c r="X1769" s="354"/>
      <c r="Y1769" s="354"/>
      <c r="Z1769" s="353"/>
      <c r="AA1769" s="352"/>
      <c r="AB1769" s="726"/>
    </row>
    <row r="1770" spans="1:28" ht="16.5" customHeight="1">
      <c r="A1770" s="347"/>
      <c r="B1770" s="347"/>
      <c r="C1770" s="347"/>
      <c r="D1770" s="348"/>
      <c r="E1770" s="348"/>
      <c r="F1770" s="348"/>
      <c r="G1770" s="348"/>
      <c r="H1770" s="359"/>
      <c r="I1770" s="352"/>
      <c r="J1770" s="353"/>
      <c r="K1770" s="538"/>
      <c r="L1770" s="487"/>
      <c r="M1770" s="487"/>
      <c r="N1770" s="354"/>
      <c r="O1770" s="354"/>
      <c r="P1770" s="354"/>
      <c r="Q1770" s="354"/>
      <c r="R1770" s="354"/>
      <c r="S1770" s="354"/>
      <c r="T1770" s="354"/>
      <c r="U1770" s="354"/>
      <c r="V1770" s="354"/>
      <c r="W1770" s="354"/>
      <c r="X1770" s="354"/>
      <c r="Y1770" s="354"/>
      <c r="Z1770" s="353"/>
      <c r="AA1770" s="352"/>
      <c r="AB1770" s="726"/>
    </row>
    <row r="1771" spans="1:28" ht="16.5" customHeight="1">
      <c r="A1771" s="347"/>
      <c r="B1771" s="347"/>
      <c r="C1771" s="347"/>
      <c r="D1771" s="348"/>
      <c r="E1771" s="348"/>
      <c r="F1771" s="348"/>
      <c r="G1771" s="348"/>
      <c r="H1771" s="359"/>
      <c r="I1771" s="352"/>
      <c r="J1771" s="353"/>
      <c r="K1771" s="538"/>
      <c r="L1771" s="487"/>
      <c r="M1771" s="487"/>
      <c r="N1771" s="354"/>
      <c r="O1771" s="354"/>
      <c r="P1771" s="354"/>
      <c r="Q1771" s="354"/>
      <c r="R1771" s="354"/>
      <c r="S1771" s="354"/>
      <c r="T1771" s="354"/>
      <c r="U1771" s="354"/>
      <c r="V1771" s="354"/>
      <c r="W1771" s="354"/>
      <c r="X1771" s="354"/>
      <c r="Y1771" s="354"/>
      <c r="Z1771" s="353"/>
      <c r="AA1771" s="352"/>
      <c r="AB1771" s="726"/>
    </row>
    <row r="1772" spans="1:28" ht="16.5" customHeight="1">
      <c r="A1772" s="347"/>
      <c r="B1772" s="347"/>
      <c r="C1772" s="347"/>
      <c r="D1772" s="348"/>
      <c r="E1772" s="348"/>
      <c r="F1772" s="348"/>
      <c r="G1772" s="348"/>
      <c r="H1772" s="359"/>
      <c r="I1772" s="352"/>
      <c r="J1772" s="353"/>
      <c r="K1772" s="538"/>
      <c r="L1772" s="487"/>
      <c r="M1772" s="487"/>
      <c r="N1772" s="354"/>
      <c r="O1772" s="354"/>
      <c r="P1772" s="354"/>
      <c r="Q1772" s="354"/>
      <c r="R1772" s="354"/>
      <c r="S1772" s="354"/>
      <c r="T1772" s="354"/>
      <c r="U1772" s="354"/>
      <c r="V1772" s="354"/>
      <c r="W1772" s="354"/>
      <c r="X1772" s="354"/>
      <c r="Y1772" s="354"/>
      <c r="Z1772" s="353"/>
      <c r="AA1772" s="352"/>
      <c r="AB1772" s="726"/>
    </row>
    <row r="1773" spans="1:28" ht="16.5" customHeight="1">
      <c r="A1773" s="347"/>
      <c r="B1773" s="347"/>
      <c r="C1773" s="347"/>
      <c r="D1773" s="348"/>
      <c r="E1773" s="348"/>
      <c r="F1773" s="348"/>
      <c r="G1773" s="348"/>
      <c r="H1773" s="359"/>
      <c r="I1773" s="352"/>
      <c r="J1773" s="353"/>
      <c r="K1773" s="538"/>
      <c r="L1773" s="487"/>
      <c r="M1773" s="487"/>
      <c r="N1773" s="354"/>
      <c r="O1773" s="354"/>
      <c r="P1773" s="354"/>
      <c r="Q1773" s="354"/>
      <c r="R1773" s="354"/>
      <c r="S1773" s="354"/>
      <c r="T1773" s="354"/>
      <c r="U1773" s="354"/>
      <c r="V1773" s="354"/>
      <c r="W1773" s="354"/>
      <c r="X1773" s="354"/>
      <c r="Y1773" s="354"/>
      <c r="Z1773" s="353"/>
      <c r="AA1773" s="352"/>
      <c r="AB1773" s="726"/>
    </row>
    <row r="1774" spans="1:28" ht="16.5" customHeight="1">
      <c r="A1774" s="347"/>
      <c r="B1774" s="347"/>
      <c r="C1774" s="347"/>
      <c r="D1774" s="361"/>
      <c r="E1774" s="361"/>
      <c r="F1774" s="361"/>
      <c r="G1774" s="348"/>
      <c r="H1774" s="359"/>
      <c r="I1774" s="352"/>
      <c r="J1774" s="353"/>
      <c r="K1774" s="538"/>
      <c r="L1774" s="487"/>
      <c r="M1774" s="487"/>
      <c r="N1774" s="354"/>
      <c r="O1774" s="354"/>
      <c r="P1774" s="354"/>
      <c r="Q1774" s="354"/>
      <c r="R1774" s="354"/>
      <c r="S1774" s="354"/>
      <c r="T1774" s="354"/>
      <c r="U1774" s="354"/>
      <c r="V1774" s="354"/>
      <c r="W1774" s="354"/>
      <c r="X1774" s="354"/>
      <c r="Y1774" s="354"/>
      <c r="Z1774" s="353"/>
      <c r="AA1774" s="352"/>
      <c r="AB1774" s="726"/>
    </row>
    <row r="1775" spans="1:28" ht="16.5" customHeight="1">
      <c r="A1775" s="347"/>
      <c r="B1775" s="347"/>
      <c r="C1775" s="347"/>
      <c r="D1775" s="348"/>
      <c r="E1775" s="348"/>
      <c r="F1775" s="348"/>
      <c r="G1775" s="348"/>
      <c r="H1775" s="359"/>
      <c r="I1775" s="352"/>
      <c r="J1775" s="353"/>
      <c r="K1775" s="538"/>
      <c r="L1775" s="487"/>
      <c r="M1775" s="487"/>
      <c r="N1775" s="354"/>
      <c r="O1775" s="354"/>
      <c r="P1775" s="354"/>
      <c r="Q1775" s="354"/>
      <c r="R1775" s="354"/>
      <c r="S1775" s="354"/>
      <c r="T1775" s="354"/>
      <c r="U1775" s="354"/>
      <c r="V1775" s="354"/>
      <c r="W1775" s="354"/>
      <c r="X1775" s="354"/>
      <c r="Y1775" s="354"/>
      <c r="Z1775" s="353"/>
      <c r="AA1775" s="352"/>
      <c r="AB1775" s="726"/>
    </row>
    <row r="1776" spans="1:28" ht="16.5" customHeight="1">
      <c r="A1776" s="347"/>
      <c r="B1776" s="347"/>
      <c r="C1776" s="347"/>
      <c r="D1776" s="348"/>
      <c r="E1776" s="348"/>
      <c r="F1776" s="348"/>
      <c r="G1776" s="348"/>
      <c r="H1776" s="359"/>
      <c r="I1776" s="352"/>
      <c r="J1776" s="353"/>
      <c r="K1776" s="538"/>
      <c r="L1776" s="487"/>
      <c r="M1776" s="487"/>
      <c r="N1776" s="354"/>
      <c r="O1776" s="354"/>
      <c r="P1776" s="354"/>
      <c r="Q1776" s="354"/>
      <c r="R1776" s="354"/>
      <c r="S1776" s="354"/>
      <c r="T1776" s="354"/>
      <c r="U1776" s="354"/>
      <c r="V1776" s="354"/>
      <c r="W1776" s="354"/>
      <c r="X1776" s="354"/>
      <c r="Y1776" s="354"/>
      <c r="Z1776" s="353"/>
      <c r="AA1776" s="352"/>
      <c r="AB1776" s="726"/>
    </row>
    <row r="1777" spans="1:28" ht="16.5" customHeight="1">
      <c r="A1777" s="347"/>
      <c r="B1777" s="347"/>
      <c r="C1777" s="347"/>
      <c r="D1777" s="348"/>
      <c r="E1777" s="348"/>
      <c r="F1777" s="348"/>
      <c r="G1777" s="348"/>
      <c r="H1777" s="359"/>
      <c r="I1777" s="352"/>
      <c r="J1777" s="353"/>
      <c r="K1777" s="538"/>
      <c r="L1777" s="487"/>
      <c r="M1777" s="487"/>
      <c r="N1777" s="354"/>
      <c r="O1777" s="354"/>
      <c r="P1777" s="354"/>
      <c r="Q1777" s="354"/>
      <c r="R1777" s="354"/>
      <c r="S1777" s="354"/>
      <c r="T1777" s="354"/>
      <c r="U1777" s="354"/>
      <c r="V1777" s="354"/>
      <c r="W1777" s="354"/>
      <c r="X1777" s="354"/>
      <c r="Y1777" s="354"/>
      <c r="Z1777" s="353"/>
      <c r="AA1777" s="352"/>
      <c r="AB1777" s="726"/>
    </row>
    <row r="1778" spans="1:28" ht="16.5" customHeight="1">
      <c r="A1778" s="347"/>
      <c r="B1778" s="347"/>
      <c r="C1778" s="347"/>
      <c r="D1778" s="348"/>
      <c r="E1778" s="348"/>
      <c r="F1778" s="348"/>
      <c r="G1778" s="348"/>
      <c r="H1778" s="359"/>
      <c r="I1778" s="352"/>
      <c r="J1778" s="353"/>
      <c r="K1778" s="538"/>
      <c r="L1778" s="487"/>
      <c r="M1778" s="487"/>
      <c r="N1778" s="354"/>
      <c r="O1778" s="354"/>
      <c r="P1778" s="354"/>
      <c r="Q1778" s="354"/>
      <c r="R1778" s="354"/>
      <c r="S1778" s="354"/>
      <c r="T1778" s="354"/>
      <c r="U1778" s="354"/>
      <c r="V1778" s="354"/>
      <c r="W1778" s="354"/>
      <c r="X1778" s="354"/>
      <c r="Y1778" s="354"/>
      <c r="Z1778" s="353"/>
      <c r="AA1778" s="352"/>
      <c r="AB1778" s="726"/>
    </row>
    <row r="1779" spans="1:28" ht="16.5" customHeight="1">
      <c r="A1779" s="347"/>
      <c r="B1779" s="347"/>
      <c r="C1779" s="347"/>
      <c r="D1779" s="348"/>
      <c r="E1779" s="348"/>
      <c r="F1779" s="348"/>
      <c r="G1779" s="348"/>
      <c r="H1779" s="359"/>
      <c r="I1779" s="352"/>
      <c r="J1779" s="353"/>
      <c r="K1779" s="538"/>
      <c r="L1779" s="487"/>
      <c r="M1779" s="487"/>
      <c r="N1779" s="354"/>
      <c r="O1779" s="354"/>
      <c r="P1779" s="354"/>
      <c r="Q1779" s="354"/>
      <c r="R1779" s="354"/>
      <c r="S1779" s="354"/>
      <c r="T1779" s="354"/>
      <c r="U1779" s="354"/>
      <c r="V1779" s="354"/>
      <c r="W1779" s="354"/>
      <c r="X1779" s="354"/>
      <c r="Y1779" s="354"/>
      <c r="Z1779" s="353"/>
      <c r="AA1779" s="352"/>
      <c r="AB1779" s="726"/>
    </row>
    <row r="1780" spans="1:28" ht="16.5" customHeight="1">
      <c r="A1780" s="347"/>
      <c r="B1780" s="347"/>
      <c r="C1780" s="347"/>
      <c r="D1780" s="348"/>
      <c r="E1780" s="348"/>
      <c r="F1780" s="348"/>
      <c r="G1780" s="348"/>
      <c r="H1780" s="359"/>
      <c r="I1780" s="352"/>
      <c r="J1780" s="353"/>
      <c r="K1780" s="538"/>
      <c r="L1780" s="487"/>
      <c r="M1780" s="487"/>
      <c r="N1780" s="354"/>
      <c r="O1780" s="354"/>
      <c r="P1780" s="354"/>
      <c r="Q1780" s="354"/>
      <c r="R1780" s="354"/>
      <c r="S1780" s="354"/>
      <c r="T1780" s="354"/>
      <c r="U1780" s="354"/>
      <c r="V1780" s="354"/>
      <c r="W1780" s="354"/>
      <c r="X1780" s="354"/>
      <c r="Y1780" s="354"/>
      <c r="Z1780" s="353"/>
      <c r="AA1780" s="352"/>
      <c r="AB1780" s="726"/>
    </row>
    <row r="1781" spans="1:28" ht="16.5" customHeight="1">
      <c r="A1781" s="347"/>
      <c r="B1781" s="347"/>
      <c r="C1781" s="347"/>
      <c r="D1781" s="348"/>
      <c r="E1781" s="348"/>
      <c r="F1781" s="348"/>
      <c r="G1781" s="348"/>
      <c r="H1781" s="359"/>
      <c r="I1781" s="352"/>
      <c r="J1781" s="353"/>
      <c r="K1781" s="538"/>
      <c r="L1781" s="487"/>
      <c r="M1781" s="487"/>
      <c r="N1781" s="354"/>
      <c r="O1781" s="354"/>
      <c r="P1781" s="354"/>
      <c r="Q1781" s="354"/>
      <c r="R1781" s="354"/>
      <c r="S1781" s="354"/>
      <c r="T1781" s="354"/>
      <c r="U1781" s="354"/>
      <c r="V1781" s="354"/>
      <c r="W1781" s="354"/>
      <c r="X1781" s="354"/>
      <c r="Y1781" s="354"/>
      <c r="Z1781" s="353"/>
      <c r="AA1781" s="352"/>
      <c r="AB1781" s="726"/>
    </row>
    <row r="1782" spans="1:28" ht="16.5" customHeight="1">
      <c r="A1782" s="347"/>
      <c r="B1782" s="347"/>
      <c r="C1782" s="347"/>
      <c r="D1782" s="348"/>
      <c r="E1782" s="348"/>
      <c r="F1782" s="348"/>
      <c r="G1782" s="348"/>
      <c r="H1782" s="359"/>
      <c r="I1782" s="352"/>
      <c r="J1782" s="353"/>
      <c r="K1782" s="538"/>
      <c r="L1782" s="487"/>
      <c r="M1782" s="487"/>
      <c r="N1782" s="354"/>
      <c r="O1782" s="354"/>
      <c r="P1782" s="354"/>
      <c r="Q1782" s="354"/>
      <c r="R1782" s="354"/>
      <c r="S1782" s="354"/>
      <c r="T1782" s="354"/>
      <c r="U1782" s="354"/>
      <c r="V1782" s="354"/>
      <c r="W1782" s="354"/>
      <c r="X1782" s="354"/>
      <c r="Y1782" s="354"/>
      <c r="Z1782" s="353"/>
      <c r="AA1782" s="352"/>
      <c r="AB1782" s="726"/>
    </row>
    <row r="1783" spans="1:28" ht="16.5" customHeight="1">
      <c r="A1783" s="347"/>
      <c r="B1783" s="347"/>
      <c r="C1783" s="347"/>
      <c r="D1783" s="348"/>
      <c r="E1783" s="348"/>
      <c r="F1783" s="348"/>
      <c r="G1783" s="348"/>
      <c r="H1783" s="359"/>
      <c r="I1783" s="352"/>
      <c r="J1783" s="353"/>
      <c r="K1783" s="538"/>
      <c r="L1783" s="487"/>
      <c r="M1783" s="487"/>
      <c r="N1783" s="354"/>
      <c r="O1783" s="354"/>
      <c r="P1783" s="354"/>
      <c r="Q1783" s="354"/>
      <c r="R1783" s="354"/>
      <c r="S1783" s="354"/>
      <c r="T1783" s="354"/>
      <c r="U1783" s="354"/>
      <c r="V1783" s="354"/>
      <c r="W1783" s="354"/>
      <c r="X1783" s="354"/>
      <c r="Y1783" s="354"/>
      <c r="Z1783" s="353"/>
      <c r="AA1783" s="352"/>
      <c r="AB1783" s="726"/>
    </row>
    <row r="1784" spans="1:28" ht="16.5" customHeight="1">
      <c r="A1784" s="347"/>
      <c r="B1784" s="347"/>
      <c r="C1784" s="347"/>
      <c r="D1784" s="348"/>
      <c r="E1784" s="348"/>
      <c r="F1784" s="348"/>
      <c r="G1784" s="348"/>
      <c r="H1784" s="359"/>
      <c r="I1784" s="352"/>
      <c r="J1784" s="353"/>
      <c r="K1784" s="538"/>
      <c r="L1784" s="487"/>
      <c r="M1784" s="487"/>
      <c r="N1784" s="354"/>
      <c r="O1784" s="354"/>
      <c r="P1784" s="354"/>
      <c r="Q1784" s="354"/>
      <c r="R1784" s="354"/>
      <c r="S1784" s="354"/>
      <c r="T1784" s="354"/>
      <c r="U1784" s="354"/>
      <c r="V1784" s="354"/>
      <c r="W1784" s="354"/>
      <c r="X1784" s="354"/>
      <c r="Y1784" s="354"/>
      <c r="Z1784" s="353"/>
      <c r="AA1784" s="352"/>
      <c r="AB1784" s="726"/>
    </row>
    <row r="1785" spans="1:28" ht="16.5" customHeight="1">
      <c r="A1785" s="347"/>
      <c r="B1785" s="347"/>
      <c r="C1785" s="347"/>
      <c r="D1785" s="361"/>
      <c r="E1785" s="361"/>
      <c r="F1785" s="361"/>
      <c r="G1785" s="348"/>
      <c r="H1785" s="359"/>
      <c r="I1785" s="352"/>
      <c r="J1785" s="353"/>
      <c r="K1785" s="538"/>
      <c r="L1785" s="487"/>
      <c r="M1785" s="487"/>
      <c r="N1785" s="354"/>
      <c r="O1785" s="354"/>
      <c r="P1785" s="354"/>
      <c r="Q1785" s="354"/>
      <c r="R1785" s="354"/>
      <c r="S1785" s="354"/>
      <c r="T1785" s="354"/>
      <c r="U1785" s="354"/>
      <c r="V1785" s="354"/>
      <c r="W1785" s="354"/>
      <c r="X1785" s="354"/>
      <c r="Y1785" s="354"/>
      <c r="Z1785" s="353"/>
      <c r="AA1785" s="352"/>
      <c r="AB1785" s="726"/>
    </row>
    <row r="1786" spans="1:28" ht="16.5" customHeight="1">
      <c r="A1786" s="347"/>
      <c r="B1786" s="347"/>
      <c r="C1786" s="347"/>
      <c r="D1786" s="348"/>
      <c r="E1786" s="348"/>
      <c r="F1786" s="348"/>
      <c r="G1786" s="348"/>
      <c r="H1786" s="359"/>
      <c r="I1786" s="352"/>
      <c r="J1786" s="353"/>
      <c r="K1786" s="538"/>
      <c r="L1786" s="487"/>
      <c r="M1786" s="487"/>
      <c r="N1786" s="354"/>
      <c r="O1786" s="354"/>
      <c r="P1786" s="354"/>
      <c r="Q1786" s="354"/>
      <c r="R1786" s="354"/>
      <c r="S1786" s="354"/>
      <c r="T1786" s="354"/>
      <c r="U1786" s="354"/>
      <c r="V1786" s="354"/>
      <c r="W1786" s="354"/>
      <c r="X1786" s="354"/>
      <c r="Y1786" s="354"/>
      <c r="Z1786" s="353"/>
      <c r="AA1786" s="352"/>
      <c r="AB1786" s="726"/>
    </row>
    <row r="1787" spans="1:28" ht="16.5" customHeight="1">
      <c r="A1787" s="347"/>
      <c r="B1787" s="347"/>
      <c r="C1787" s="347"/>
      <c r="D1787" s="361"/>
      <c r="E1787" s="361"/>
      <c r="F1787" s="361"/>
      <c r="G1787" s="348"/>
      <c r="H1787" s="359"/>
      <c r="I1787" s="352"/>
      <c r="J1787" s="353"/>
      <c r="K1787" s="538"/>
      <c r="L1787" s="487"/>
      <c r="M1787" s="487"/>
      <c r="N1787" s="354"/>
      <c r="O1787" s="354"/>
      <c r="P1787" s="354"/>
      <c r="Q1787" s="354"/>
      <c r="R1787" s="354"/>
      <c r="S1787" s="354"/>
      <c r="T1787" s="354"/>
      <c r="U1787" s="354"/>
      <c r="V1787" s="354"/>
      <c r="W1787" s="354"/>
      <c r="X1787" s="354"/>
      <c r="Y1787" s="354"/>
      <c r="Z1787" s="353"/>
      <c r="AA1787" s="352"/>
      <c r="AB1787" s="726"/>
    </row>
    <row r="1788" spans="1:28" ht="16.5" customHeight="1">
      <c r="A1788" s="347"/>
      <c r="B1788" s="347"/>
      <c r="C1788" s="347"/>
      <c r="D1788" s="361"/>
      <c r="E1788" s="361"/>
      <c r="F1788" s="361"/>
      <c r="G1788" s="348"/>
      <c r="H1788" s="359"/>
      <c r="I1788" s="352"/>
      <c r="J1788" s="353"/>
      <c r="K1788" s="538"/>
      <c r="L1788" s="487"/>
      <c r="M1788" s="487"/>
      <c r="N1788" s="354"/>
      <c r="O1788" s="354"/>
      <c r="P1788" s="354"/>
      <c r="Q1788" s="354"/>
      <c r="R1788" s="354"/>
      <c r="S1788" s="354"/>
      <c r="T1788" s="354"/>
      <c r="U1788" s="354"/>
      <c r="V1788" s="354"/>
      <c r="W1788" s="354"/>
      <c r="X1788" s="354"/>
      <c r="Y1788" s="354"/>
      <c r="Z1788" s="353"/>
      <c r="AA1788" s="352"/>
      <c r="AB1788" s="726"/>
    </row>
    <row r="1789" spans="1:28" ht="16.5" customHeight="1">
      <c r="A1789" s="347"/>
      <c r="B1789" s="347"/>
      <c r="C1789" s="347"/>
      <c r="D1789" s="348"/>
      <c r="E1789" s="348"/>
      <c r="F1789" s="348"/>
      <c r="G1789" s="348"/>
      <c r="H1789" s="359"/>
      <c r="I1789" s="352"/>
      <c r="J1789" s="353"/>
      <c r="K1789" s="538"/>
      <c r="L1789" s="487"/>
      <c r="M1789" s="487"/>
      <c r="N1789" s="354"/>
      <c r="O1789" s="354"/>
      <c r="P1789" s="354"/>
      <c r="Q1789" s="354"/>
      <c r="R1789" s="354"/>
      <c r="S1789" s="354"/>
      <c r="T1789" s="354"/>
      <c r="U1789" s="354"/>
      <c r="V1789" s="354"/>
      <c r="W1789" s="354"/>
      <c r="X1789" s="354"/>
      <c r="Y1789" s="354"/>
      <c r="Z1789" s="353"/>
      <c r="AA1789" s="352"/>
      <c r="AB1789" s="726"/>
    </row>
    <row r="1790" spans="1:28" ht="16.5" customHeight="1">
      <c r="A1790" s="347"/>
      <c r="B1790" s="347"/>
      <c r="C1790" s="347"/>
      <c r="D1790" s="361"/>
      <c r="E1790" s="361"/>
      <c r="F1790" s="361"/>
      <c r="G1790" s="348"/>
      <c r="H1790" s="359"/>
      <c r="I1790" s="352"/>
      <c r="J1790" s="353"/>
      <c r="K1790" s="538"/>
      <c r="L1790" s="487"/>
      <c r="M1790" s="487"/>
      <c r="N1790" s="354"/>
      <c r="O1790" s="354"/>
      <c r="P1790" s="354"/>
      <c r="Q1790" s="354"/>
      <c r="R1790" s="354"/>
      <c r="S1790" s="354"/>
      <c r="T1790" s="354"/>
      <c r="U1790" s="354"/>
      <c r="V1790" s="354"/>
      <c r="W1790" s="354"/>
      <c r="X1790" s="354"/>
      <c r="Y1790" s="354"/>
      <c r="Z1790" s="353"/>
      <c r="AA1790" s="352"/>
      <c r="AB1790" s="726"/>
    </row>
    <row r="1791" spans="1:28" ht="16.5" customHeight="1">
      <c r="A1791" s="347"/>
      <c r="B1791" s="347"/>
      <c r="C1791" s="347"/>
      <c r="D1791" s="348"/>
      <c r="E1791" s="348"/>
      <c r="F1791" s="348"/>
      <c r="G1791" s="348"/>
      <c r="H1791" s="359"/>
      <c r="I1791" s="352"/>
      <c r="J1791" s="353"/>
      <c r="K1791" s="538"/>
      <c r="L1791" s="487"/>
      <c r="M1791" s="487"/>
      <c r="N1791" s="354"/>
      <c r="O1791" s="354"/>
      <c r="P1791" s="354"/>
      <c r="Q1791" s="354"/>
      <c r="R1791" s="354"/>
      <c r="S1791" s="354"/>
      <c r="T1791" s="354"/>
      <c r="U1791" s="354"/>
      <c r="V1791" s="354"/>
      <c r="W1791" s="354"/>
      <c r="X1791" s="354"/>
      <c r="Y1791" s="354"/>
      <c r="Z1791" s="353"/>
      <c r="AA1791" s="352"/>
      <c r="AB1791" s="726"/>
    </row>
    <row r="1792" spans="1:28" ht="16.5" customHeight="1">
      <c r="A1792" s="347"/>
      <c r="B1792" s="347"/>
      <c r="C1792" s="347"/>
      <c r="D1792" s="348"/>
      <c r="E1792" s="348"/>
      <c r="F1792" s="348"/>
      <c r="G1792" s="348"/>
      <c r="H1792" s="359"/>
      <c r="I1792" s="352"/>
      <c r="J1792" s="353"/>
      <c r="K1792" s="538"/>
      <c r="L1792" s="487"/>
      <c r="M1792" s="487"/>
      <c r="N1792" s="354"/>
      <c r="O1792" s="354"/>
      <c r="P1792" s="354"/>
      <c r="Q1792" s="354"/>
      <c r="R1792" s="354"/>
      <c r="S1792" s="354"/>
      <c r="T1792" s="354"/>
      <c r="U1792" s="354"/>
      <c r="V1792" s="354"/>
      <c r="W1792" s="354"/>
      <c r="X1792" s="354"/>
      <c r="Y1792" s="354"/>
      <c r="Z1792" s="353"/>
      <c r="AA1792" s="352"/>
      <c r="AB1792" s="726"/>
    </row>
    <row r="1793" spans="1:28" ht="16.5" customHeight="1">
      <c r="A1793" s="347"/>
      <c r="B1793" s="347"/>
      <c r="C1793" s="347"/>
      <c r="D1793" s="361"/>
      <c r="E1793" s="361"/>
      <c r="F1793" s="361"/>
      <c r="G1793" s="348"/>
      <c r="H1793" s="359"/>
      <c r="I1793" s="352"/>
      <c r="J1793" s="353"/>
      <c r="K1793" s="538"/>
      <c r="L1793" s="487"/>
      <c r="M1793" s="487"/>
      <c r="N1793" s="354"/>
      <c r="O1793" s="354"/>
      <c r="P1793" s="354"/>
      <c r="Q1793" s="354"/>
      <c r="R1793" s="354"/>
      <c r="S1793" s="354"/>
      <c r="T1793" s="354"/>
      <c r="U1793" s="354"/>
      <c r="V1793" s="354"/>
      <c r="W1793" s="354"/>
      <c r="X1793" s="354"/>
      <c r="Y1793" s="354"/>
      <c r="Z1793" s="353"/>
      <c r="AA1793" s="352"/>
      <c r="AB1793" s="726"/>
    </row>
    <row r="1794" spans="1:28" ht="16.5" customHeight="1">
      <c r="A1794" s="347"/>
      <c r="B1794" s="347"/>
      <c r="C1794" s="347"/>
      <c r="D1794" s="348"/>
      <c r="E1794" s="348"/>
      <c r="F1794" s="348"/>
      <c r="G1794" s="348"/>
      <c r="H1794" s="359"/>
      <c r="I1794" s="352"/>
      <c r="J1794" s="353"/>
      <c r="K1794" s="538"/>
      <c r="L1794" s="487"/>
      <c r="M1794" s="487"/>
      <c r="N1794" s="354"/>
      <c r="O1794" s="354"/>
      <c r="P1794" s="354"/>
      <c r="Q1794" s="354"/>
      <c r="R1794" s="354"/>
      <c r="S1794" s="354"/>
      <c r="T1794" s="354"/>
      <c r="U1794" s="354"/>
      <c r="V1794" s="354"/>
      <c r="W1794" s="354"/>
      <c r="X1794" s="354"/>
      <c r="Y1794" s="354"/>
      <c r="Z1794" s="353"/>
      <c r="AA1794" s="352"/>
      <c r="AB1794" s="726"/>
    </row>
    <row r="1795" spans="1:28" ht="16.5" customHeight="1">
      <c r="A1795" s="347"/>
      <c r="B1795" s="347"/>
      <c r="C1795" s="347"/>
      <c r="D1795" s="348"/>
      <c r="E1795" s="348"/>
      <c r="F1795" s="348"/>
      <c r="G1795" s="348"/>
      <c r="H1795" s="359"/>
      <c r="I1795" s="352"/>
      <c r="J1795" s="353"/>
      <c r="K1795" s="538"/>
      <c r="L1795" s="487"/>
      <c r="M1795" s="487"/>
      <c r="N1795" s="354"/>
      <c r="O1795" s="354"/>
      <c r="P1795" s="354"/>
      <c r="Q1795" s="354"/>
      <c r="R1795" s="354"/>
      <c r="S1795" s="354"/>
      <c r="T1795" s="354"/>
      <c r="U1795" s="354"/>
      <c r="V1795" s="354"/>
      <c r="W1795" s="354"/>
      <c r="X1795" s="354"/>
      <c r="Y1795" s="354"/>
      <c r="Z1795" s="353"/>
      <c r="AA1795" s="352"/>
      <c r="AB1795" s="726"/>
    </row>
    <row r="1796" spans="1:28" ht="16.5" customHeight="1">
      <c r="A1796" s="347"/>
      <c r="B1796" s="347"/>
      <c r="C1796" s="347"/>
      <c r="D1796" s="361"/>
      <c r="E1796" s="361"/>
      <c r="F1796" s="361"/>
      <c r="G1796" s="348"/>
      <c r="H1796" s="359"/>
      <c r="I1796" s="352"/>
      <c r="J1796" s="353"/>
      <c r="K1796" s="538"/>
      <c r="L1796" s="487"/>
      <c r="M1796" s="487"/>
      <c r="N1796" s="354"/>
      <c r="O1796" s="354"/>
      <c r="P1796" s="354"/>
      <c r="Q1796" s="354"/>
      <c r="R1796" s="354"/>
      <c r="S1796" s="354"/>
      <c r="T1796" s="354"/>
      <c r="U1796" s="354"/>
      <c r="V1796" s="354"/>
      <c r="W1796" s="354"/>
      <c r="X1796" s="354"/>
      <c r="Y1796" s="354"/>
      <c r="Z1796" s="353"/>
      <c r="AA1796" s="352"/>
      <c r="AB1796" s="726"/>
    </row>
    <row r="1797" spans="1:28" ht="16.5" customHeight="1">
      <c r="A1797" s="347"/>
      <c r="B1797" s="347"/>
      <c r="C1797" s="347"/>
      <c r="D1797" s="348"/>
      <c r="E1797" s="348"/>
      <c r="F1797" s="348"/>
      <c r="G1797" s="348"/>
      <c r="H1797" s="359"/>
      <c r="I1797" s="352"/>
      <c r="J1797" s="353"/>
      <c r="K1797" s="538"/>
      <c r="L1797" s="487"/>
      <c r="M1797" s="487"/>
      <c r="N1797" s="354"/>
      <c r="O1797" s="354"/>
      <c r="P1797" s="354"/>
      <c r="Q1797" s="354"/>
      <c r="R1797" s="354"/>
      <c r="S1797" s="354"/>
      <c r="T1797" s="354"/>
      <c r="U1797" s="354"/>
      <c r="V1797" s="354"/>
      <c r="W1797" s="354"/>
      <c r="X1797" s="354"/>
      <c r="Y1797" s="354"/>
      <c r="Z1797" s="353"/>
      <c r="AA1797" s="352"/>
      <c r="AB1797" s="726"/>
    </row>
    <row r="1798" spans="1:28" ht="16.5" customHeight="1">
      <c r="A1798" s="347"/>
      <c r="B1798" s="347"/>
      <c r="C1798" s="347"/>
      <c r="D1798" s="361"/>
      <c r="E1798" s="361"/>
      <c r="F1798" s="361"/>
      <c r="G1798" s="348"/>
      <c r="H1798" s="359"/>
      <c r="I1798" s="352"/>
      <c r="J1798" s="353"/>
      <c r="K1798" s="538"/>
      <c r="L1798" s="487"/>
      <c r="M1798" s="487"/>
      <c r="N1798" s="354"/>
      <c r="O1798" s="354"/>
      <c r="P1798" s="354"/>
      <c r="Q1798" s="354"/>
      <c r="R1798" s="354"/>
      <c r="S1798" s="354"/>
      <c r="T1798" s="354"/>
      <c r="U1798" s="354"/>
      <c r="V1798" s="354"/>
      <c r="W1798" s="354"/>
      <c r="X1798" s="354"/>
      <c r="Y1798" s="354"/>
      <c r="Z1798" s="353"/>
      <c r="AA1798" s="352"/>
      <c r="AB1798" s="726"/>
    </row>
    <row r="1799" spans="1:28" ht="16.5" customHeight="1">
      <c r="A1799" s="347"/>
      <c r="B1799" s="347"/>
      <c r="C1799" s="347"/>
      <c r="D1799" s="348"/>
      <c r="E1799" s="348"/>
      <c r="F1799" s="348"/>
      <c r="G1799" s="348"/>
      <c r="H1799" s="359"/>
      <c r="I1799" s="352"/>
      <c r="J1799" s="353"/>
      <c r="K1799" s="538"/>
      <c r="L1799" s="487"/>
      <c r="M1799" s="487"/>
      <c r="N1799" s="354"/>
      <c r="O1799" s="354"/>
      <c r="P1799" s="354"/>
      <c r="Q1799" s="354"/>
      <c r="R1799" s="354"/>
      <c r="S1799" s="354"/>
      <c r="T1799" s="354"/>
      <c r="U1799" s="354"/>
      <c r="V1799" s="354"/>
      <c r="W1799" s="354"/>
      <c r="X1799" s="354"/>
      <c r="Y1799" s="354"/>
      <c r="Z1799" s="353"/>
      <c r="AA1799" s="352"/>
      <c r="AB1799" s="726"/>
    </row>
    <row r="1800" spans="1:28" ht="16.5" customHeight="1">
      <c r="A1800" s="347"/>
      <c r="B1800" s="347"/>
      <c r="C1800" s="347"/>
      <c r="D1800" s="361"/>
      <c r="E1800" s="361"/>
      <c r="F1800" s="361"/>
      <c r="G1800" s="348"/>
      <c r="H1800" s="359"/>
      <c r="I1800" s="352"/>
      <c r="J1800" s="353"/>
      <c r="K1800" s="538"/>
      <c r="L1800" s="487"/>
      <c r="M1800" s="487"/>
      <c r="N1800" s="354"/>
      <c r="O1800" s="354"/>
      <c r="P1800" s="354"/>
      <c r="Q1800" s="354"/>
      <c r="R1800" s="354"/>
      <c r="S1800" s="354"/>
      <c r="T1800" s="354"/>
      <c r="U1800" s="354"/>
      <c r="V1800" s="354"/>
      <c r="W1800" s="354"/>
      <c r="X1800" s="354"/>
      <c r="Y1800" s="354"/>
      <c r="Z1800" s="353"/>
      <c r="AA1800" s="352"/>
      <c r="AB1800" s="726"/>
    </row>
    <row r="1801" spans="1:28" ht="16.5" customHeight="1">
      <c r="A1801" s="347"/>
      <c r="B1801" s="347"/>
      <c r="C1801" s="347"/>
      <c r="D1801" s="348"/>
      <c r="E1801" s="348"/>
      <c r="F1801" s="348"/>
      <c r="G1801" s="348"/>
      <c r="H1801" s="359"/>
      <c r="I1801" s="352"/>
      <c r="J1801" s="353"/>
      <c r="K1801" s="538"/>
      <c r="L1801" s="487"/>
      <c r="M1801" s="487"/>
      <c r="N1801" s="354"/>
      <c r="O1801" s="354"/>
      <c r="P1801" s="354"/>
      <c r="Q1801" s="354"/>
      <c r="R1801" s="354"/>
      <c r="S1801" s="354"/>
      <c r="T1801" s="354"/>
      <c r="U1801" s="354"/>
      <c r="V1801" s="354"/>
      <c r="W1801" s="354"/>
      <c r="X1801" s="354"/>
      <c r="Y1801" s="354"/>
      <c r="Z1801" s="353"/>
      <c r="AA1801" s="352"/>
      <c r="AB1801" s="726"/>
    </row>
    <row r="1802" spans="1:28" ht="16.5" customHeight="1">
      <c r="A1802" s="347"/>
      <c r="B1802" s="347"/>
      <c r="C1802" s="347"/>
      <c r="D1802" s="348"/>
      <c r="E1802" s="348"/>
      <c r="F1802" s="348"/>
      <c r="G1802" s="348"/>
      <c r="H1802" s="359"/>
      <c r="I1802" s="352"/>
      <c r="J1802" s="353"/>
      <c r="K1802" s="538"/>
      <c r="L1802" s="487"/>
      <c r="M1802" s="487"/>
      <c r="N1802" s="354"/>
      <c r="O1802" s="354"/>
      <c r="P1802" s="354"/>
      <c r="Q1802" s="354"/>
      <c r="R1802" s="354"/>
      <c r="S1802" s="354"/>
      <c r="T1802" s="354"/>
      <c r="U1802" s="354"/>
      <c r="V1802" s="354"/>
      <c r="W1802" s="354"/>
      <c r="X1802" s="354"/>
      <c r="Y1802" s="354"/>
      <c r="Z1802" s="353"/>
      <c r="AA1802" s="352"/>
      <c r="AB1802" s="726"/>
    </row>
    <row r="1803" spans="1:28" ht="16.5" customHeight="1">
      <c r="A1803" s="347"/>
      <c r="B1803" s="347"/>
      <c r="C1803" s="347"/>
      <c r="D1803" s="348"/>
      <c r="E1803" s="348"/>
      <c r="F1803" s="348"/>
      <c r="G1803" s="348"/>
      <c r="H1803" s="359"/>
      <c r="I1803" s="352"/>
      <c r="J1803" s="353"/>
      <c r="K1803" s="538"/>
      <c r="L1803" s="487"/>
      <c r="M1803" s="487"/>
      <c r="N1803" s="354"/>
      <c r="O1803" s="354"/>
      <c r="P1803" s="354"/>
      <c r="Q1803" s="354"/>
      <c r="R1803" s="354"/>
      <c r="S1803" s="354"/>
      <c r="T1803" s="354"/>
      <c r="U1803" s="354"/>
      <c r="V1803" s="354"/>
      <c r="W1803" s="354"/>
      <c r="X1803" s="354"/>
      <c r="Y1803" s="354"/>
      <c r="Z1803" s="353"/>
      <c r="AA1803" s="352"/>
      <c r="AB1803" s="726"/>
    </row>
    <row r="1804" spans="1:28" ht="16.5" customHeight="1">
      <c r="A1804" s="347"/>
      <c r="B1804" s="347"/>
      <c r="C1804" s="347"/>
      <c r="D1804" s="361"/>
      <c r="E1804" s="361"/>
      <c r="F1804" s="361"/>
      <c r="G1804" s="348"/>
      <c r="H1804" s="359"/>
      <c r="I1804" s="352"/>
      <c r="J1804" s="353"/>
      <c r="K1804" s="538"/>
      <c r="L1804" s="487"/>
      <c r="M1804" s="487"/>
      <c r="N1804" s="354"/>
      <c r="O1804" s="354"/>
      <c r="P1804" s="354"/>
      <c r="Q1804" s="354"/>
      <c r="R1804" s="354"/>
      <c r="S1804" s="354"/>
      <c r="T1804" s="354"/>
      <c r="U1804" s="354"/>
      <c r="V1804" s="354"/>
      <c r="W1804" s="354"/>
      <c r="X1804" s="354"/>
      <c r="Y1804" s="354"/>
      <c r="Z1804" s="353"/>
      <c r="AA1804" s="352"/>
      <c r="AB1804" s="726"/>
    </row>
    <row r="1805" spans="1:28" ht="16.5" customHeight="1">
      <c r="A1805" s="347"/>
      <c r="B1805" s="347"/>
      <c r="C1805" s="347"/>
      <c r="D1805" s="361"/>
      <c r="E1805" s="361"/>
      <c r="F1805" s="361"/>
      <c r="G1805" s="348"/>
      <c r="H1805" s="359"/>
      <c r="I1805" s="352"/>
      <c r="J1805" s="353"/>
      <c r="K1805" s="538"/>
      <c r="L1805" s="487"/>
      <c r="M1805" s="487"/>
      <c r="N1805" s="354"/>
      <c r="O1805" s="354"/>
      <c r="P1805" s="354"/>
      <c r="Q1805" s="354"/>
      <c r="R1805" s="354"/>
      <c r="S1805" s="354"/>
      <c r="T1805" s="354"/>
      <c r="U1805" s="354"/>
      <c r="V1805" s="354"/>
      <c r="W1805" s="354"/>
      <c r="X1805" s="354"/>
      <c r="Y1805" s="354"/>
      <c r="Z1805" s="353"/>
      <c r="AA1805" s="352"/>
      <c r="AB1805" s="726"/>
    </row>
    <row r="1806" spans="1:28" ht="16.5" customHeight="1">
      <c r="A1806" s="347"/>
      <c r="B1806" s="347"/>
      <c r="C1806" s="347"/>
      <c r="D1806" s="348"/>
      <c r="E1806" s="348"/>
      <c r="F1806" s="348"/>
      <c r="G1806" s="348"/>
      <c r="H1806" s="359"/>
      <c r="I1806" s="352"/>
      <c r="J1806" s="353"/>
      <c r="K1806" s="538"/>
      <c r="L1806" s="487"/>
      <c r="M1806" s="487"/>
      <c r="N1806" s="354"/>
      <c r="O1806" s="354"/>
      <c r="P1806" s="354"/>
      <c r="Q1806" s="354"/>
      <c r="R1806" s="354"/>
      <c r="S1806" s="354"/>
      <c r="T1806" s="354"/>
      <c r="U1806" s="354"/>
      <c r="V1806" s="354"/>
      <c r="W1806" s="354"/>
      <c r="X1806" s="354"/>
      <c r="Y1806" s="354"/>
      <c r="Z1806" s="353"/>
      <c r="AA1806" s="352"/>
      <c r="AB1806" s="726"/>
    </row>
    <row r="1807" spans="1:28" ht="16.5" customHeight="1">
      <c r="A1807" s="347"/>
      <c r="B1807" s="347"/>
      <c r="C1807" s="347"/>
      <c r="D1807" s="361"/>
      <c r="E1807" s="361"/>
      <c r="F1807" s="361"/>
      <c r="G1807" s="348"/>
      <c r="H1807" s="359"/>
      <c r="I1807" s="352"/>
      <c r="J1807" s="353"/>
      <c r="K1807" s="538"/>
      <c r="L1807" s="487"/>
      <c r="M1807" s="487"/>
      <c r="N1807" s="354"/>
      <c r="O1807" s="354"/>
      <c r="P1807" s="354"/>
      <c r="Q1807" s="354"/>
      <c r="R1807" s="354"/>
      <c r="S1807" s="354"/>
      <c r="T1807" s="354"/>
      <c r="U1807" s="354"/>
      <c r="V1807" s="354"/>
      <c r="W1807" s="354"/>
      <c r="X1807" s="354"/>
      <c r="Y1807" s="354"/>
      <c r="Z1807" s="353"/>
      <c r="AA1807" s="352"/>
      <c r="AB1807" s="726"/>
    </row>
    <row r="1808" spans="1:28" ht="16.5" customHeight="1">
      <c r="A1808" s="347"/>
      <c r="B1808" s="347"/>
      <c r="C1808" s="347"/>
      <c r="D1808" s="348"/>
      <c r="E1808" s="348"/>
      <c r="F1808" s="348"/>
      <c r="G1808" s="348"/>
      <c r="H1808" s="359"/>
      <c r="I1808" s="352"/>
      <c r="J1808" s="353"/>
      <c r="K1808" s="538"/>
      <c r="L1808" s="487"/>
      <c r="M1808" s="487"/>
      <c r="N1808" s="354"/>
      <c r="O1808" s="354"/>
      <c r="P1808" s="354"/>
      <c r="Q1808" s="354"/>
      <c r="R1808" s="354"/>
      <c r="S1808" s="354"/>
      <c r="T1808" s="354"/>
      <c r="U1808" s="354"/>
      <c r="V1808" s="354"/>
      <c r="W1808" s="354"/>
      <c r="X1808" s="354"/>
      <c r="Y1808" s="354"/>
      <c r="Z1808" s="353"/>
      <c r="AA1808" s="352"/>
      <c r="AB1808" s="726"/>
    </row>
    <row r="1809" spans="1:28" ht="16.5" customHeight="1">
      <c r="A1809" s="347"/>
      <c r="B1809" s="347"/>
      <c r="C1809" s="347"/>
      <c r="D1809" s="361"/>
      <c r="E1809" s="361"/>
      <c r="F1809" s="361"/>
      <c r="G1809" s="348"/>
      <c r="H1809" s="359"/>
      <c r="I1809" s="352"/>
      <c r="J1809" s="353"/>
      <c r="K1809" s="538"/>
      <c r="L1809" s="487"/>
      <c r="M1809" s="487"/>
      <c r="N1809" s="354"/>
      <c r="O1809" s="354"/>
      <c r="P1809" s="354"/>
      <c r="Q1809" s="354"/>
      <c r="R1809" s="354"/>
      <c r="S1809" s="354"/>
      <c r="T1809" s="354"/>
      <c r="U1809" s="354"/>
      <c r="V1809" s="354"/>
      <c r="W1809" s="354"/>
      <c r="X1809" s="354"/>
      <c r="Y1809" s="354"/>
      <c r="Z1809" s="353"/>
      <c r="AA1809" s="352"/>
      <c r="AB1809" s="726"/>
    </row>
    <row r="1810" spans="1:28" ht="16.5" customHeight="1">
      <c r="A1810" s="347"/>
      <c r="B1810" s="347"/>
      <c r="C1810" s="347"/>
      <c r="D1810" s="348"/>
      <c r="E1810" s="348"/>
      <c r="F1810" s="348"/>
      <c r="G1810" s="348"/>
      <c r="H1810" s="359"/>
      <c r="I1810" s="352"/>
      <c r="J1810" s="353"/>
      <c r="K1810" s="538"/>
      <c r="L1810" s="487"/>
      <c r="M1810" s="487"/>
      <c r="N1810" s="354"/>
      <c r="O1810" s="354"/>
      <c r="P1810" s="354"/>
      <c r="Q1810" s="354"/>
      <c r="R1810" s="354"/>
      <c r="S1810" s="354"/>
      <c r="T1810" s="354"/>
      <c r="U1810" s="354"/>
      <c r="V1810" s="354"/>
      <c r="W1810" s="354"/>
      <c r="X1810" s="354"/>
      <c r="Y1810" s="354"/>
      <c r="Z1810" s="353"/>
      <c r="AA1810" s="352"/>
      <c r="AB1810" s="726"/>
    </row>
    <row r="1811" spans="1:28" ht="16.5" customHeight="1">
      <c r="A1811" s="347"/>
      <c r="B1811" s="347"/>
      <c r="C1811" s="347"/>
      <c r="D1811" s="361"/>
      <c r="E1811" s="361"/>
      <c r="F1811" s="361"/>
      <c r="G1811" s="348"/>
      <c r="H1811" s="359"/>
      <c r="I1811" s="352"/>
      <c r="J1811" s="353"/>
      <c r="K1811" s="538"/>
      <c r="L1811" s="487"/>
      <c r="M1811" s="487"/>
      <c r="N1811" s="354"/>
      <c r="O1811" s="354"/>
      <c r="P1811" s="354"/>
      <c r="Q1811" s="354"/>
      <c r="R1811" s="354"/>
      <c r="S1811" s="354"/>
      <c r="T1811" s="354"/>
      <c r="U1811" s="354"/>
      <c r="V1811" s="354"/>
      <c r="W1811" s="354"/>
      <c r="X1811" s="354"/>
      <c r="Y1811" s="354"/>
      <c r="Z1811" s="353"/>
      <c r="AA1811" s="352"/>
      <c r="AB1811" s="726"/>
    </row>
    <row r="1812" spans="1:28" ht="16.5" customHeight="1">
      <c r="A1812" s="347"/>
      <c r="B1812" s="347"/>
      <c r="C1812" s="347"/>
      <c r="D1812" s="348"/>
      <c r="E1812" s="348"/>
      <c r="F1812" s="348"/>
      <c r="G1812" s="348"/>
      <c r="H1812" s="359"/>
      <c r="I1812" s="352"/>
      <c r="J1812" s="353"/>
      <c r="K1812" s="538"/>
      <c r="L1812" s="487"/>
      <c r="M1812" s="487"/>
      <c r="N1812" s="354"/>
      <c r="O1812" s="354"/>
      <c r="P1812" s="354"/>
      <c r="Q1812" s="354"/>
      <c r="R1812" s="354"/>
      <c r="S1812" s="354"/>
      <c r="T1812" s="354"/>
      <c r="U1812" s="354"/>
      <c r="V1812" s="354"/>
      <c r="W1812" s="354"/>
      <c r="X1812" s="354"/>
      <c r="Y1812" s="354"/>
      <c r="Z1812" s="353"/>
      <c r="AA1812" s="352"/>
      <c r="AB1812" s="726"/>
    </row>
    <row r="1813" spans="1:28" ht="16.5" customHeight="1">
      <c r="A1813" s="347"/>
      <c r="B1813" s="347"/>
      <c r="C1813" s="347"/>
      <c r="D1813" s="348"/>
      <c r="E1813" s="348"/>
      <c r="F1813" s="348"/>
      <c r="G1813" s="348"/>
      <c r="H1813" s="359"/>
      <c r="I1813" s="352"/>
      <c r="J1813" s="353"/>
      <c r="K1813" s="538"/>
      <c r="L1813" s="487"/>
      <c r="M1813" s="487"/>
      <c r="N1813" s="354"/>
      <c r="O1813" s="354"/>
      <c r="P1813" s="354"/>
      <c r="Q1813" s="354"/>
      <c r="R1813" s="354"/>
      <c r="S1813" s="354"/>
      <c r="T1813" s="354"/>
      <c r="U1813" s="354"/>
      <c r="V1813" s="354"/>
      <c r="W1813" s="354"/>
      <c r="X1813" s="354"/>
      <c r="Y1813" s="354"/>
      <c r="Z1813" s="353"/>
      <c r="AA1813" s="352"/>
      <c r="AB1813" s="726"/>
    </row>
    <row r="1814" spans="1:28" ht="16.5" customHeight="1">
      <c r="A1814" s="347"/>
      <c r="B1814" s="347"/>
      <c r="C1814" s="347"/>
      <c r="D1814" s="361"/>
      <c r="E1814" s="361"/>
      <c r="F1814" s="361"/>
      <c r="G1814" s="348"/>
      <c r="H1814" s="359"/>
      <c r="I1814" s="352"/>
      <c r="J1814" s="353"/>
      <c r="K1814" s="538"/>
      <c r="L1814" s="487"/>
      <c r="M1814" s="487"/>
      <c r="N1814" s="354"/>
      <c r="O1814" s="354"/>
      <c r="P1814" s="354"/>
      <c r="Q1814" s="354"/>
      <c r="R1814" s="354"/>
      <c r="S1814" s="354"/>
      <c r="T1814" s="354"/>
      <c r="U1814" s="354"/>
      <c r="V1814" s="354"/>
      <c r="W1814" s="354"/>
      <c r="X1814" s="354"/>
      <c r="Y1814" s="354"/>
      <c r="Z1814" s="353"/>
      <c r="AA1814" s="352"/>
      <c r="AB1814" s="726"/>
    </row>
    <row r="1815" spans="1:28" ht="16.5" customHeight="1">
      <c r="A1815" s="347"/>
      <c r="B1815" s="347"/>
      <c r="C1815" s="347"/>
      <c r="D1815" s="348"/>
      <c r="E1815" s="348"/>
      <c r="F1815" s="348"/>
      <c r="G1815" s="348"/>
      <c r="H1815" s="359"/>
      <c r="I1815" s="352"/>
      <c r="J1815" s="353"/>
      <c r="K1815" s="538"/>
      <c r="L1815" s="487"/>
      <c r="M1815" s="487"/>
      <c r="N1815" s="354"/>
      <c r="O1815" s="354"/>
      <c r="P1815" s="354"/>
      <c r="Q1815" s="354"/>
      <c r="R1815" s="354"/>
      <c r="S1815" s="354"/>
      <c r="T1815" s="354"/>
      <c r="U1815" s="354"/>
      <c r="V1815" s="354"/>
      <c r="W1815" s="354"/>
      <c r="X1815" s="354"/>
      <c r="Y1815" s="354"/>
      <c r="Z1815" s="353"/>
      <c r="AA1815" s="352"/>
      <c r="AB1815" s="726"/>
    </row>
    <row r="1816" spans="1:28" ht="16.5" customHeight="1">
      <c r="A1816" s="347"/>
      <c r="B1816" s="347"/>
      <c r="C1816" s="347"/>
      <c r="D1816" s="361"/>
      <c r="E1816" s="361"/>
      <c r="F1816" s="361"/>
      <c r="G1816" s="348"/>
      <c r="H1816" s="359"/>
      <c r="I1816" s="352"/>
      <c r="J1816" s="353"/>
      <c r="K1816" s="538"/>
      <c r="L1816" s="487"/>
      <c r="M1816" s="487"/>
      <c r="N1816" s="354"/>
      <c r="O1816" s="354"/>
      <c r="P1816" s="354"/>
      <c r="Q1816" s="354"/>
      <c r="R1816" s="354"/>
      <c r="S1816" s="354"/>
      <c r="T1816" s="354"/>
      <c r="U1816" s="354"/>
      <c r="V1816" s="354"/>
      <c r="W1816" s="354"/>
      <c r="X1816" s="354"/>
      <c r="Y1816" s="354"/>
      <c r="Z1816" s="353"/>
      <c r="AA1816" s="352"/>
      <c r="AB1816" s="726"/>
    </row>
    <row r="1817" spans="1:28" ht="16.5" customHeight="1">
      <c r="A1817" s="347"/>
      <c r="B1817" s="347"/>
      <c r="C1817" s="347"/>
      <c r="D1817" s="348"/>
      <c r="E1817" s="348"/>
      <c r="F1817" s="348"/>
      <c r="G1817" s="348"/>
      <c r="H1817" s="359"/>
      <c r="I1817" s="352"/>
      <c r="J1817" s="353"/>
      <c r="K1817" s="538"/>
      <c r="L1817" s="487"/>
      <c r="M1817" s="487"/>
      <c r="N1817" s="354"/>
      <c r="O1817" s="354"/>
      <c r="P1817" s="354"/>
      <c r="Q1817" s="354"/>
      <c r="R1817" s="354"/>
      <c r="S1817" s="354"/>
      <c r="T1817" s="354"/>
      <c r="U1817" s="354"/>
      <c r="V1817" s="354"/>
      <c r="W1817" s="354"/>
      <c r="X1817" s="354"/>
      <c r="Y1817" s="354"/>
      <c r="Z1817" s="353"/>
      <c r="AA1817" s="352"/>
      <c r="AB1817" s="726"/>
    </row>
    <row r="1818" spans="1:28" ht="16.5" customHeight="1">
      <c r="A1818" s="347"/>
      <c r="B1818" s="347"/>
      <c r="C1818" s="347"/>
      <c r="D1818" s="348"/>
      <c r="E1818" s="348"/>
      <c r="F1818" s="348"/>
      <c r="G1818" s="348"/>
      <c r="H1818" s="359"/>
      <c r="I1818" s="352"/>
      <c r="J1818" s="353"/>
      <c r="K1818" s="538"/>
      <c r="L1818" s="487"/>
      <c r="M1818" s="487"/>
      <c r="N1818" s="354"/>
      <c r="O1818" s="354"/>
      <c r="P1818" s="354"/>
      <c r="Q1818" s="354"/>
      <c r="R1818" s="354"/>
      <c r="S1818" s="354"/>
      <c r="T1818" s="354"/>
      <c r="U1818" s="354"/>
      <c r="V1818" s="354"/>
      <c r="W1818" s="354"/>
      <c r="X1818" s="354"/>
      <c r="Y1818" s="354"/>
      <c r="Z1818" s="353"/>
      <c r="AA1818" s="352"/>
      <c r="AB1818" s="726"/>
    </row>
    <row r="1819" spans="1:28" ht="16.5" customHeight="1">
      <c r="A1819" s="347"/>
      <c r="B1819" s="347"/>
      <c r="C1819" s="347"/>
      <c r="D1819" s="348"/>
      <c r="E1819" s="348"/>
      <c r="F1819" s="348"/>
      <c r="G1819" s="348"/>
      <c r="H1819" s="359"/>
      <c r="I1819" s="352"/>
      <c r="J1819" s="353"/>
      <c r="K1819" s="538"/>
      <c r="L1819" s="487"/>
      <c r="M1819" s="487"/>
      <c r="N1819" s="354"/>
      <c r="O1819" s="354"/>
      <c r="P1819" s="354"/>
      <c r="Q1819" s="354"/>
      <c r="R1819" s="354"/>
      <c r="S1819" s="354"/>
      <c r="T1819" s="354"/>
      <c r="U1819" s="354"/>
      <c r="V1819" s="354"/>
      <c r="W1819" s="354"/>
      <c r="X1819" s="354"/>
      <c r="Y1819" s="354"/>
      <c r="Z1819" s="353"/>
      <c r="AA1819" s="352"/>
      <c r="AB1819" s="726"/>
    </row>
    <row r="1820" spans="1:28" ht="16.5" customHeight="1">
      <c r="A1820" s="347"/>
      <c r="B1820" s="347"/>
      <c r="C1820" s="347"/>
      <c r="D1820" s="361"/>
      <c r="E1820" s="361"/>
      <c r="F1820" s="361"/>
      <c r="G1820" s="348"/>
      <c r="H1820" s="359"/>
      <c r="I1820" s="352"/>
      <c r="J1820" s="353"/>
      <c r="K1820" s="538"/>
      <c r="L1820" s="487"/>
      <c r="M1820" s="487"/>
      <c r="N1820" s="354"/>
      <c r="O1820" s="354"/>
      <c r="P1820" s="354"/>
      <c r="Q1820" s="354"/>
      <c r="R1820" s="354"/>
      <c r="S1820" s="354"/>
      <c r="T1820" s="354"/>
      <c r="U1820" s="354"/>
      <c r="V1820" s="354"/>
      <c r="W1820" s="354"/>
      <c r="X1820" s="354"/>
      <c r="Y1820" s="354"/>
      <c r="Z1820" s="353"/>
      <c r="AA1820" s="352"/>
      <c r="AB1820" s="726"/>
    </row>
    <row r="1821" spans="1:28" ht="16.5" customHeight="1">
      <c r="A1821" s="347"/>
      <c r="B1821" s="347"/>
      <c r="C1821" s="347"/>
      <c r="D1821" s="361"/>
      <c r="E1821" s="361"/>
      <c r="F1821" s="361"/>
      <c r="G1821" s="348"/>
      <c r="H1821" s="359"/>
      <c r="I1821" s="352"/>
      <c r="J1821" s="353"/>
      <c r="K1821" s="538"/>
      <c r="L1821" s="487"/>
      <c r="M1821" s="487"/>
      <c r="N1821" s="354"/>
      <c r="O1821" s="354"/>
      <c r="P1821" s="354"/>
      <c r="Q1821" s="354"/>
      <c r="R1821" s="354"/>
      <c r="S1821" s="354"/>
      <c r="T1821" s="354"/>
      <c r="U1821" s="354"/>
      <c r="V1821" s="354"/>
      <c r="W1821" s="354"/>
      <c r="X1821" s="354"/>
      <c r="Y1821" s="354"/>
      <c r="Z1821" s="353"/>
      <c r="AA1821" s="352"/>
      <c r="AB1821" s="726"/>
    </row>
    <row r="1822" spans="1:28" ht="16.5" customHeight="1">
      <c r="A1822" s="347"/>
      <c r="B1822" s="347"/>
      <c r="C1822" s="347"/>
      <c r="D1822" s="361"/>
      <c r="E1822" s="361"/>
      <c r="F1822" s="361"/>
      <c r="G1822" s="348"/>
      <c r="H1822" s="359"/>
      <c r="I1822" s="352"/>
      <c r="J1822" s="353"/>
      <c r="K1822" s="538"/>
      <c r="L1822" s="487"/>
      <c r="M1822" s="487"/>
      <c r="N1822" s="354"/>
      <c r="O1822" s="354"/>
      <c r="P1822" s="354"/>
      <c r="Q1822" s="354"/>
      <c r="R1822" s="354"/>
      <c r="S1822" s="354"/>
      <c r="T1822" s="354"/>
      <c r="U1822" s="354"/>
      <c r="V1822" s="354"/>
      <c r="W1822" s="354"/>
      <c r="X1822" s="354"/>
      <c r="Y1822" s="354"/>
      <c r="Z1822" s="353"/>
      <c r="AA1822" s="352"/>
      <c r="AB1822" s="726"/>
    </row>
    <row r="1823" spans="1:28" ht="16.5" customHeight="1">
      <c r="A1823" s="347"/>
      <c r="B1823" s="347"/>
      <c r="C1823" s="347"/>
      <c r="D1823" s="348"/>
      <c r="E1823" s="348"/>
      <c r="F1823" s="348"/>
      <c r="G1823" s="348"/>
      <c r="H1823" s="359"/>
      <c r="I1823" s="352"/>
      <c r="J1823" s="353"/>
      <c r="K1823" s="538"/>
      <c r="L1823" s="487"/>
      <c r="M1823" s="487"/>
      <c r="N1823" s="354"/>
      <c r="O1823" s="354"/>
      <c r="P1823" s="354"/>
      <c r="Q1823" s="354"/>
      <c r="R1823" s="354"/>
      <c r="S1823" s="354"/>
      <c r="T1823" s="354"/>
      <c r="U1823" s="354"/>
      <c r="V1823" s="354"/>
      <c r="W1823" s="354"/>
      <c r="X1823" s="354"/>
      <c r="Y1823" s="354"/>
      <c r="Z1823" s="353"/>
      <c r="AA1823" s="352"/>
      <c r="AB1823" s="726"/>
    </row>
    <row r="1824" spans="1:28" ht="16.5" customHeight="1">
      <c r="A1824" s="347"/>
      <c r="B1824" s="347"/>
      <c r="C1824" s="347"/>
      <c r="D1824" s="348"/>
      <c r="E1824" s="348"/>
      <c r="F1824" s="348"/>
      <c r="G1824" s="348"/>
      <c r="H1824" s="359"/>
      <c r="I1824" s="352"/>
      <c r="J1824" s="353"/>
      <c r="K1824" s="538"/>
      <c r="L1824" s="487"/>
      <c r="M1824" s="487"/>
      <c r="N1824" s="354"/>
      <c r="O1824" s="354"/>
      <c r="P1824" s="354"/>
      <c r="Q1824" s="354"/>
      <c r="R1824" s="354"/>
      <c r="S1824" s="354"/>
      <c r="T1824" s="354"/>
      <c r="U1824" s="354"/>
      <c r="V1824" s="354"/>
      <c r="W1824" s="354"/>
      <c r="X1824" s="354"/>
      <c r="Y1824" s="354"/>
      <c r="Z1824" s="353"/>
      <c r="AA1824" s="352"/>
      <c r="AB1824" s="726"/>
    </row>
    <row r="1825" spans="1:28" ht="16.5" customHeight="1">
      <c r="A1825" s="347"/>
      <c r="B1825" s="347"/>
      <c r="C1825" s="347"/>
      <c r="D1825" s="348"/>
      <c r="E1825" s="348"/>
      <c r="F1825" s="348"/>
      <c r="G1825" s="348"/>
      <c r="H1825" s="359"/>
      <c r="I1825" s="352"/>
      <c r="J1825" s="353"/>
      <c r="K1825" s="538"/>
      <c r="L1825" s="487"/>
      <c r="M1825" s="487"/>
      <c r="N1825" s="354"/>
      <c r="O1825" s="354"/>
      <c r="P1825" s="354"/>
      <c r="Q1825" s="354"/>
      <c r="R1825" s="354"/>
      <c r="S1825" s="354"/>
      <c r="T1825" s="354"/>
      <c r="U1825" s="354"/>
      <c r="V1825" s="354"/>
      <c r="W1825" s="354"/>
      <c r="X1825" s="354"/>
      <c r="Y1825" s="354"/>
      <c r="Z1825" s="353"/>
      <c r="AA1825" s="352"/>
      <c r="AB1825" s="726"/>
    </row>
    <row r="1826" spans="1:28" ht="16.5" customHeight="1">
      <c r="A1826" s="347"/>
      <c r="B1826" s="347"/>
      <c r="C1826" s="347"/>
      <c r="D1826" s="348"/>
      <c r="E1826" s="348"/>
      <c r="F1826" s="348"/>
      <c r="G1826" s="348"/>
      <c r="H1826" s="359"/>
      <c r="I1826" s="352"/>
      <c r="J1826" s="353"/>
      <c r="K1826" s="538"/>
      <c r="L1826" s="487"/>
      <c r="M1826" s="487"/>
      <c r="N1826" s="354"/>
      <c r="O1826" s="354"/>
      <c r="P1826" s="354"/>
      <c r="Q1826" s="354"/>
      <c r="R1826" s="354"/>
      <c r="S1826" s="354"/>
      <c r="T1826" s="354"/>
      <c r="U1826" s="354"/>
      <c r="V1826" s="354"/>
      <c r="W1826" s="354"/>
      <c r="X1826" s="354"/>
      <c r="Y1826" s="354"/>
      <c r="Z1826" s="353"/>
      <c r="AA1826" s="352"/>
      <c r="AB1826" s="726"/>
    </row>
    <row r="1827" spans="1:28" ht="16.5" customHeight="1">
      <c r="A1827" s="347"/>
      <c r="B1827" s="347"/>
      <c r="C1827" s="347"/>
      <c r="D1827" s="361"/>
      <c r="E1827" s="361"/>
      <c r="F1827" s="361"/>
      <c r="G1827" s="348"/>
      <c r="H1827" s="359"/>
      <c r="I1827" s="352"/>
      <c r="J1827" s="353"/>
      <c r="K1827" s="538"/>
      <c r="L1827" s="487"/>
      <c r="M1827" s="487"/>
      <c r="N1827" s="354"/>
      <c r="O1827" s="354"/>
      <c r="P1827" s="354"/>
      <c r="Q1827" s="354"/>
      <c r="R1827" s="354"/>
      <c r="S1827" s="354"/>
      <c r="T1827" s="354"/>
      <c r="U1827" s="354"/>
      <c r="V1827" s="354"/>
      <c r="W1827" s="354"/>
      <c r="X1827" s="354"/>
      <c r="Y1827" s="354"/>
      <c r="Z1827" s="353"/>
      <c r="AA1827" s="352"/>
      <c r="AB1827" s="726"/>
    </row>
    <row r="1828" spans="1:28" ht="16.5" customHeight="1">
      <c r="A1828" s="347"/>
      <c r="B1828" s="347"/>
      <c r="C1828" s="347"/>
      <c r="D1828" s="348"/>
      <c r="E1828" s="348"/>
      <c r="F1828" s="348"/>
      <c r="G1828" s="348"/>
      <c r="H1828" s="359"/>
      <c r="I1828" s="352"/>
      <c r="J1828" s="353"/>
      <c r="K1828" s="538"/>
      <c r="L1828" s="487"/>
      <c r="M1828" s="487"/>
      <c r="N1828" s="354"/>
      <c r="O1828" s="354"/>
      <c r="P1828" s="354"/>
      <c r="Q1828" s="354"/>
      <c r="R1828" s="354"/>
      <c r="S1828" s="354"/>
      <c r="T1828" s="354"/>
      <c r="U1828" s="354"/>
      <c r="V1828" s="354"/>
      <c r="W1828" s="354"/>
      <c r="X1828" s="354"/>
      <c r="Y1828" s="354"/>
      <c r="Z1828" s="353"/>
      <c r="AA1828" s="352"/>
      <c r="AB1828" s="726"/>
    </row>
    <row r="1829" spans="1:28" ht="16.5" customHeight="1">
      <c r="A1829" s="347"/>
      <c r="B1829" s="347"/>
      <c r="C1829" s="347"/>
      <c r="D1829" s="348"/>
      <c r="E1829" s="348"/>
      <c r="F1829" s="348"/>
      <c r="G1829" s="348"/>
      <c r="H1829" s="359"/>
      <c r="I1829" s="352"/>
      <c r="J1829" s="353"/>
      <c r="K1829" s="538"/>
      <c r="L1829" s="487"/>
      <c r="M1829" s="487"/>
      <c r="N1829" s="354"/>
      <c r="O1829" s="354"/>
      <c r="P1829" s="354"/>
      <c r="Q1829" s="354"/>
      <c r="R1829" s="354"/>
      <c r="S1829" s="354"/>
      <c r="T1829" s="354"/>
      <c r="U1829" s="354"/>
      <c r="V1829" s="354"/>
      <c r="W1829" s="354"/>
      <c r="X1829" s="354"/>
      <c r="Y1829" s="354"/>
      <c r="Z1829" s="353"/>
      <c r="AA1829" s="352"/>
      <c r="AB1829" s="726"/>
    </row>
    <row r="1830" spans="1:28" ht="16.5" customHeight="1">
      <c r="A1830" s="347"/>
      <c r="B1830" s="347"/>
      <c r="C1830" s="347"/>
      <c r="D1830" s="348"/>
      <c r="E1830" s="348"/>
      <c r="F1830" s="348"/>
      <c r="G1830" s="348"/>
      <c r="H1830" s="359"/>
      <c r="I1830" s="352"/>
      <c r="J1830" s="353"/>
      <c r="K1830" s="538"/>
      <c r="L1830" s="487"/>
      <c r="M1830" s="487"/>
      <c r="N1830" s="354"/>
      <c r="O1830" s="354"/>
      <c r="P1830" s="354"/>
      <c r="Q1830" s="354"/>
      <c r="R1830" s="354"/>
      <c r="S1830" s="354"/>
      <c r="T1830" s="354"/>
      <c r="U1830" s="354"/>
      <c r="V1830" s="354"/>
      <c r="W1830" s="354"/>
      <c r="X1830" s="354"/>
      <c r="Y1830" s="354"/>
      <c r="Z1830" s="353"/>
      <c r="AA1830" s="352"/>
      <c r="AB1830" s="726"/>
    </row>
    <row r="1831" spans="1:28" ht="16.5" customHeight="1">
      <c r="A1831" s="347"/>
      <c r="B1831" s="347"/>
      <c r="C1831" s="347"/>
      <c r="D1831" s="348"/>
      <c r="E1831" s="348"/>
      <c r="F1831" s="348"/>
      <c r="G1831" s="348"/>
      <c r="H1831" s="359"/>
      <c r="I1831" s="352"/>
      <c r="J1831" s="353"/>
      <c r="K1831" s="538"/>
      <c r="L1831" s="487"/>
      <c r="M1831" s="487"/>
      <c r="N1831" s="354"/>
      <c r="O1831" s="354"/>
      <c r="P1831" s="354"/>
      <c r="Q1831" s="354"/>
      <c r="R1831" s="354"/>
      <c r="S1831" s="354"/>
      <c r="T1831" s="354"/>
      <c r="U1831" s="354"/>
      <c r="V1831" s="354"/>
      <c r="W1831" s="354"/>
      <c r="X1831" s="354"/>
      <c r="Y1831" s="354"/>
      <c r="Z1831" s="353"/>
      <c r="AA1831" s="352"/>
      <c r="AB1831" s="726"/>
    </row>
    <row r="1832" spans="1:28" ht="16.5" customHeight="1">
      <c r="A1832" s="347"/>
      <c r="B1832" s="347"/>
      <c r="C1832" s="347"/>
      <c r="D1832" s="348"/>
      <c r="E1832" s="348"/>
      <c r="F1832" s="348"/>
      <c r="G1832" s="348"/>
      <c r="H1832" s="359"/>
      <c r="I1832" s="352"/>
      <c r="J1832" s="353"/>
      <c r="K1832" s="538"/>
      <c r="L1832" s="487"/>
      <c r="M1832" s="487"/>
      <c r="N1832" s="354"/>
      <c r="O1832" s="354"/>
      <c r="P1832" s="354"/>
      <c r="Q1832" s="354"/>
      <c r="R1832" s="354"/>
      <c r="S1832" s="354"/>
      <c r="T1832" s="354"/>
      <c r="U1832" s="354"/>
      <c r="V1832" s="354"/>
      <c r="W1832" s="354"/>
      <c r="X1832" s="354"/>
      <c r="Y1832" s="354"/>
      <c r="Z1832" s="353"/>
      <c r="AA1832" s="352"/>
      <c r="AB1832" s="726"/>
    </row>
    <row r="1833" spans="1:28" ht="16.5" customHeight="1">
      <c r="A1833" s="347"/>
      <c r="B1833" s="347"/>
      <c r="C1833" s="347"/>
      <c r="D1833" s="348"/>
      <c r="E1833" s="348"/>
      <c r="F1833" s="348"/>
      <c r="G1833" s="348"/>
      <c r="H1833" s="359"/>
      <c r="I1833" s="352"/>
      <c r="J1833" s="353"/>
      <c r="K1833" s="538"/>
      <c r="L1833" s="487"/>
      <c r="M1833" s="487"/>
      <c r="N1833" s="354"/>
      <c r="O1833" s="354"/>
      <c r="P1833" s="354"/>
      <c r="Q1833" s="354"/>
      <c r="R1833" s="354"/>
      <c r="S1833" s="354"/>
      <c r="T1833" s="354"/>
      <c r="U1833" s="354"/>
      <c r="V1833" s="354"/>
      <c r="W1833" s="354"/>
      <c r="X1833" s="354"/>
      <c r="Y1833" s="354"/>
      <c r="Z1833" s="353"/>
      <c r="AA1833" s="352"/>
      <c r="AB1833" s="726"/>
    </row>
    <row r="1834" spans="1:28" ht="16.5" customHeight="1">
      <c r="A1834" s="347"/>
      <c r="B1834" s="347"/>
      <c r="C1834" s="347"/>
      <c r="D1834" s="348"/>
      <c r="E1834" s="348"/>
      <c r="F1834" s="348"/>
      <c r="G1834" s="348"/>
      <c r="H1834" s="359"/>
      <c r="I1834" s="352"/>
      <c r="J1834" s="353"/>
      <c r="K1834" s="538"/>
      <c r="L1834" s="487"/>
      <c r="M1834" s="487"/>
      <c r="N1834" s="354"/>
      <c r="O1834" s="354"/>
      <c r="P1834" s="354"/>
      <c r="Q1834" s="354"/>
      <c r="R1834" s="354"/>
      <c r="S1834" s="354"/>
      <c r="T1834" s="354"/>
      <c r="U1834" s="354"/>
      <c r="V1834" s="354"/>
      <c r="W1834" s="354"/>
      <c r="X1834" s="354"/>
      <c r="Y1834" s="354"/>
      <c r="Z1834" s="353"/>
      <c r="AA1834" s="352"/>
      <c r="AB1834" s="726"/>
    </row>
    <row r="1835" spans="1:28" ht="16.5" customHeight="1">
      <c r="A1835" s="347"/>
      <c r="B1835" s="347"/>
      <c r="C1835" s="347"/>
      <c r="D1835" s="348"/>
      <c r="E1835" s="348"/>
      <c r="F1835" s="348"/>
      <c r="G1835" s="348"/>
      <c r="H1835" s="359"/>
      <c r="I1835" s="352"/>
      <c r="J1835" s="353"/>
      <c r="K1835" s="538"/>
      <c r="L1835" s="487"/>
      <c r="M1835" s="487"/>
      <c r="N1835" s="354"/>
      <c r="O1835" s="354"/>
      <c r="P1835" s="354"/>
      <c r="Q1835" s="354"/>
      <c r="R1835" s="354"/>
      <c r="S1835" s="354"/>
      <c r="T1835" s="354"/>
      <c r="U1835" s="354"/>
      <c r="V1835" s="354"/>
      <c r="W1835" s="354"/>
      <c r="X1835" s="354"/>
      <c r="Y1835" s="354"/>
      <c r="Z1835" s="353"/>
      <c r="AA1835" s="352"/>
      <c r="AB1835" s="726"/>
    </row>
    <row r="1836" spans="1:28" ht="16.5" customHeight="1">
      <c r="A1836" s="347"/>
      <c r="B1836" s="347"/>
      <c r="C1836" s="347"/>
      <c r="D1836" s="348"/>
      <c r="E1836" s="348"/>
      <c r="F1836" s="348"/>
      <c r="G1836" s="348"/>
      <c r="H1836" s="359"/>
      <c r="I1836" s="352"/>
      <c r="J1836" s="353"/>
      <c r="K1836" s="538"/>
      <c r="L1836" s="487"/>
      <c r="M1836" s="487"/>
      <c r="N1836" s="354"/>
      <c r="O1836" s="354"/>
      <c r="P1836" s="354"/>
      <c r="Q1836" s="354"/>
      <c r="R1836" s="354"/>
      <c r="S1836" s="354"/>
      <c r="T1836" s="354"/>
      <c r="U1836" s="354"/>
      <c r="V1836" s="354"/>
      <c r="W1836" s="354"/>
      <c r="X1836" s="354"/>
      <c r="Y1836" s="354"/>
      <c r="Z1836" s="353"/>
      <c r="AA1836" s="352"/>
      <c r="AB1836" s="726"/>
    </row>
    <row r="1837" spans="1:28" ht="16.5" customHeight="1">
      <c r="A1837" s="347"/>
      <c r="B1837" s="347"/>
      <c r="C1837" s="347"/>
      <c r="D1837" s="348"/>
      <c r="E1837" s="348"/>
      <c r="F1837" s="348"/>
      <c r="G1837" s="348"/>
      <c r="H1837" s="359"/>
      <c r="I1837" s="352"/>
      <c r="J1837" s="353"/>
      <c r="K1837" s="538"/>
      <c r="L1837" s="487"/>
      <c r="M1837" s="487"/>
      <c r="N1837" s="354"/>
      <c r="O1837" s="354"/>
      <c r="P1837" s="354"/>
      <c r="Q1837" s="354"/>
      <c r="R1837" s="354"/>
      <c r="S1837" s="354"/>
      <c r="T1837" s="354"/>
      <c r="U1837" s="354"/>
      <c r="V1837" s="354"/>
      <c r="W1837" s="354"/>
      <c r="X1837" s="354"/>
      <c r="Y1837" s="354"/>
      <c r="Z1837" s="353"/>
      <c r="AA1837" s="352"/>
      <c r="AB1837" s="726"/>
    </row>
    <row r="1838" spans="1:28" ht="16.5" customHeight="1">
      <c r="A1838" s="347"/>
      <c r="B1838" s="347"/>
      <c r="C1838" s="347"/>
      <c r="D1838" s="348"/>
      <c r="E1838" s="348"/>
      <c r="F1838" s="348"/>
      <c r="G1838" s="348"/>
      <c r="H1838" s="359"/>
      <c r="I1838" s="352"/>
      <c r="J1838" s="353"/>
      <c r="K1838" s="538"/>
      <c r="L1838" s="487"/>
      <c r="M1838" s="487"/>
      <c r="N1838" s="354"/>
      <c r="O1838" s="354"/>
      <c r="P1838" s="354"/>
      <c r="Q1838" s="354"/>
      <c r="R1838" s="354"/>
      <c r="S1838" s="354"/>
      <c r="T1838" s="354"/>
      <c r="U1838" s="354"/>
      <c r="V1838" s="354"/>
      <c r="W1838" s="354"/>
      <c r="X1838" s="354"/>
      <c r="Y1838" s="354"/>
      <c r="Z1838" s="353"/>
      <c r="AA1838" s="352"/>
      <c r="AB1838" s="726"/>
    </row>
    <row r="1839" spans="1:28" ht="16.5" customHeight="1">
      <c r="A1839" s="347"/>
      <c r="B1839" s="347"/>
      <c r="C1839" s="347"/>
      <c r="D1839" s="348"/>
      <c r="E1839" s="348"/>
      <c r="F1839" s="348"/>
      <c r="G1839" s="348"/>
      <c r="H1839" s="359"/>
      <c r="I1839" s="352"/>
      <c r="J1839" s="353"/>
      <c r="K1839" s="538"/>
      <c r="L1839" s="487"/>
      <c r="M1839" s="487"/>
      <c r="N1839" s="354"/>
      <c r="O1839" s="354"/>
      <c r="P1839" s="354"/>
      <c r="Q1839" s="354"/>
      <c r="R1839" s="354"/>
      <c r="S1839" s="354"/>
      <c r="T1839" s="354"/>
      <c r="U1839" s="354"/>
      <c r="V1839" s="354"/>
      <c r="W1839" s="354"/>
      <c r="X1839" s="354"/>
      <c r="Y1839" s="354"/>
      <c r="Z1839" s="353"/>
      <c r="AA1839" s="352"/>
      <c r="AB1839" s="726"/>
    </row>
    <row r="1840" spans="1:28" ht="16.5" customHeight="1">
      <c r="A1840" s="347"/>
      <c r="B1840" s="347"/>
      <c r="C1840" s="347"/>
      <c r="D1840" s="348"/>
      <c r="E1840" s="348"/>
      <c r="F1840" s="348"/>
      <c r="G1840" s="348"/>
      <c r="H1840" s="359"/>
      <c r="I1840" s="352"/>
      <c r="J1840" s="353"/>
      <c r="K1840" s="538"/>
      <c r="L1840" s="487"/>
      <c r="M1840" s="487"/>
      <c r="N1840" s="354"/>
      <c r="O1840" s="354"/>
      <c r="P1840" s="354"/>
      <c r="Q1840" s="354"/>
      <c r="R1840" s="354"/>
      <c r="S1840" s="354"/>
      <c r="T1840" s="354"/>
      <c r="U1840" s="354"/>
      <c r="V1840" s="354"/>
      <c r="W1840" s="354"/>
      <c r="X1840" s="354"/>
      <c r="Y1840" s="354"/>
      <c r="Z1840" s="353"/>
      <c r="AA1840" s="352"/>
      <c r="AB1840" s="726"/>
    </row>
    <row r="1841" spans="1:28" ht="16.5" customHeight="1">
      <c r="A1841" s="347"/>
      <c r="B1841" s="347"/>
      <c r="C1841" s="347"/>
      <c r="D1841" s="348"/>
      <c r="E1841" s="348"/>
      <c r="F1841" s="348"/>
      <c r="G1841" s="348"/>
      <c r="H1841" s="359"/>
      <c r="I1841" s="352"/>
      <c r="J1841" s="353"/>
      <c r="K1841" s="538"/>
      <c r="L1841" s="487"/>
      <c r="M1841" s="487"/>
      <c r="N1841" s="354"/>
      <c r="O1841" s="354"/>
      <c r="P1841" s="354"/>
      <c r="Q1841" s="354"/>
      <c r="R1841" s="354"/>
      <c r="S1841" s="354"/>
      <c r="T1841" s="354"/>
      <c r="U1841" s="354"/>
      <c r="V1841" s="354"/>
      <c r="W1841" s="354"/>
      <c r="X1841" s="354"/>
      <c r="Y1841" s="354"/>
      <c r="Z1841" s="353"/>
      <c r="AA1841" s="352"/>
      <c r="AB1841" s="726"/>
    </row>
    <row r="1842" spans="1:28" ht="16.5" customHeight="1">
      <c r="A1842" s="347"/>
      <c r="B1842" s="347"/>
      <c r="C1842" s="347"/>
      <c r="D1842" s="348"/>
      <c r="E1842" s="348"/>
      <c r="F1842" s="348"/>
      <c r="G1842" s="348"/>
      <c r="H1842" s="359"/>
      <c r="I1842" s="352"/>
      <c r="J1842" s="353"/>
      <c r="K1842" s="538"/>
      <c r="L1842" s="487"/>
      <c r="M1842" s="487"/>
      <c r="N1842" s="354"/>
      <c r="O1842" s="354"/>
      <c r="P1842" s="354"/>
      <c r="Q1842" s="354"/>
      <c r="R1842" s="354"/>
      <c r="S1842" s="354"/>
      <c r="T1842" s="354"/>
      <c r="U1842" s="354"/>
      <c r="V1842" s="354"/>
      <c r="W1842" s="354"/>
      <c r="X1842" s="354"/>
      <c r="Y1842" s="354"/>
      <c r="Z1842" s="353"/>
      <c r="AA1842" s="352"/>
      <c r="AB1842" s="726"/>
    </row>
    <row r="1843" spans="1:28" ht="16.5" customHeight="1">
      <c r="A1843" s="347"/>
      <c r="B1843" s="347"/>
      <c r="C1843" s="347"/>
      <c r="D1843" s="348"/>
      <c r="E1843" s="348"/>
      <c r="F1843" s="348"/>
      <c r="G1843" s="348"/>
      <c r="H1843" s="359"/>
      <c r="I1843" s="352"/>
      <c r="J1843" s="353"/>
      <c r="K1843" s="538"/>
      <c r="L1843" s="487"/>
      <c r="M1843" s="487"/>
      <c r="N1843" s="354"/>
      <c r="O1843" s="354"/>
      <c r="P1843" s="354"/>
      <c r="Q1843" s="354"/>
      <c r="R1843" s="354"/>
      <c r="S1843" s="354"/>
      <c r="T1843" s="354"/>
      <c r="U1843" s="354"/>
      <c r="V1843" s="354"/>
      <c r="W1843" s="354"/>
      <c r="X1843" s="354"/>
      <c r="Y1843" s="354"/>
      <c r="Z1843" s="353"/>
      <c r="AA1843" s="352"/>
      <c r="AB1843" s="726"/>
    </row>
    <row r="1844" spans="1:28" ht="16.5" customHeight="1">
      <c r="A1844" s="347"/>
      <c r="B1844" s="347"/>
      <c r="C1844" s="347"/>
      <c r="D1844" s="348"/>
      <c r="E1844" s="348"/>
      <c r="F1844" s="348"/>
      <c r="G1844" s="348"/>
      <c r="H1844" s="359"/>
      <c r="I1844" s="352"/>
      <c r="J1844" s="353"/>
      <c r="K1844" s="538"/>
      <c r="L1844" s="487"/>
      <c r="M1844" s="487"/>
      <c r="N1844" s="354"/>
      <c r="O1844" s="354"/>
      <c r="P1844" s="354"/>
      <c r="Q1844" s="354"/>
      <c r="R1844" s="354"/>
      <c r="S1844" s="354"/>
      <c r="T1844" s="354"/>
      <c r="U1844" s="354"/>
      <c r="V1844" s="354"/>
      <c r="W1844" s="354"/>
      <c r="X1844" s="354"/>
      <c r="Y1844" s="354"/>
      <c r="Z1844" s="353"/>
      <c r="AA1844" s="352"/>
      <c r="AB1844" s="726"/>
    </row>
    <row r="1845" spans="1:28" ht="16.5" customHeight="1">
      <c r="A1845" s="347"/>
      <c r="B1845" s="347"/>
      <c r="C1845" s="347"/>
      <c r="D1845" s="348"/>
      <c r="E1845" s="348"/>
      <c r="F1845" s="348"/>
      <c r="G1845" s="348"/>
      <c r="H1845" s="359"/>
      <c r="I1845" s="352"/>
      <c r="J1845" s="353"/>
      <c r="K1845" s="538"/>
      <c r="L1845" s="487"/>
      <c r="M1845" s="487"/>
      <c r="N1845" s="354"/>
      <c r="O1845" s="354"/>
      <c r="P1845" s="354"/>
      <c r="Q1845" s="354"/>
      <c r="R1845" s="354"/>
      <c r="S1845" s="354"/>
      <c r="T1845" s="354"/>
      <c r="U1845" s="354"/>
      <c r="V1845" s="354"/>
      <c r="W1845" s="354"/>
      <c r="X1845" s="354"/>
      <c r="Y1845" s="354"/>
      <c r="Z1845" s="353"/>
      <c r="AA1845" s="352"/>
      <c r="AB1845" s="726"/>
    </row>
    <row r="1846" spans="1:28" ht="16.5" customHeight="1">
      <c r="A1846" s="347"/>
      <c r="B1846" s="347"/>
      <c r="C1846" s="347"/>
      <c r="D1846" s="348"/>
      <c r="E1846" s="348"/>
      <c r="F1846" s="348"/>
      <c r="G1846" s="348"/>
      <c r="H1846" s="359"/>
      <c r="I1846" s="352"/>
      <c r="J1846" s="353"/>
      <c r="K1846" s="538"/>
      <c r="L1846" s="487"/>
      <c r="M1846" s="487"/>
      <c r="N1846" s="354"/>
      <c r="O1846" s="354"/>
      <c r="P1846" s="354"/>
      <c r="Q1846" s="354"/>
      <c r="R1846" s="354"/>
      <c r="S1846" s="354"/>
      <c r="T1846" s="354"/>
      <c r="U1846" s="354"/>
      <c r="V1846" s="354"/>
      <c r="W1846" s="354"/>
      <c r="X1846" s="354"/>
      <c r="Y1846" s="354"/>
      <c r="Z1846" s="353"/>
      <c r="AA1846" s="352"/>
      <c r="AB1846" s="726"/>
    </row>
    <row r="1847" spans="1:28" ht="16.5" customHeight="1">
      <c r="A1847" s="347"/>
      <c r="B1847" s="347"/>
      <c r="C1847" s="347"/>
      <c r="D1847" s="348"/>
      <c r="E1847" s="348"/>
      <c r="F1847" s="348"/>
      <c r="G1847" s="348"/>
      <c r="H1847" s="359"/>
      <c r="I1847" s="352"/>
      <c r="J1847" s="353"/>
      <c r="K1847" s="538"/>
      <c r="L1847" s="487"/>
      <c r="M1847" s="487"/>
      <c r="N1847" s="354"/>
      <c r="O1847" s="354"/>
      <c r="P1847" s="354"/>
      <c r="Q1847" s="354"/>
      <c r="R1847" s="354"/>
      <c r="S1847" s="354"/>
      <c r="T1847" s="354"/>
      <c r="U1847" s="354"/>
      <c r="V1847" s="354"/>
      <c r="W1847" s="354"/>
      <c r="X1847" s="354"/>
      <c r="Y1847" s="354"/>
      <c r="Z1847" s="353"/>
      <c r="AA1847" s="352"/>
      <c r="AB1847" s="726"/>
    </row>
    <row r="1848" spans="1:28" ht="16.5" customHeight="1">
      <c r="A1848" s="347"/>
      <c r="B1848" s="347"/>
      <c r="C1848" s="347"/>
      <c r="D1848" s="348"/>
      <c r="E1848" s="348"/>
      <c r="F1848" s="348"/>
      <c r="G1848" s="348"/>
      <c r="H1848" s="359"/>
      <c r="I1848" s="352"/>
      <c r="J1848" s="353"/>
      <c r="K1848" s="538"/>
      <c r="L1848" s="487"/>
      <c r="M1848" s="487"/>
      <c r="N1848" s="354"/>
      <c r="O1848" s="354"/>
      <c r="P1848" s="354"/>
      <c r="Q1848" s="354"/>
      <c r="R1848" s="354"/>
      <c r="S1848" s="354"/>
      <c r="T1848" s="354"/>
      <c r="U1848" s="354"/>
      <c r="V1848" s="354"/>
      <c r="W1848" s="354"/>
      <c r="X1848" s="354"/>
      <c r="Y1848" s="354"/>
      <c r="Z1848" s="353"/>
      <c r="AA1848" s="352"/>
      <c r="AB1848" s="726"/>
    </row>
    <row r="1849" spans="1:28" ht="16.5" customHeight="1">
      <c r="A1849" s="347"/>
      <c r="B1849" s="347"/>
      <c r="C1849" s="347"/>
      <c r="D1849" s="348"/>
      <c r="E1849" s="348"/>
      <c r="F1849" s="348"/>
      <c r="G1849" s="348"/>
      <c r="H1849" s="359"/>
      <c r="I1849" s="352"/>
      <c r="J1849" s="353"/>
      <c r="K1849" s="538"/>
      <c r="L1849" s="487"/>
      <c r="M1849" s="487"/>
      <c r="N1849" s="354"/>
      <c r="O1849" s="354"/>
      <c r="P1849" s="354"/>
      <c r="Q1849" s="354"/>
      <c r="R1849" s="354"/>
      <c r="S1849" s="354"/>
      <c r="T1849" s="354"/>
      <c r="U1849" s="354"/>
      <c r="V1849" s="354"/>
      <c r="W1849" s="354"/>
      <c r="X1849" s="354"/>
      <c r="Y1849" s="354"/>
      <c r="Z1849" s="353"/>
      <c r="AA1849" s="352"/>
      <c r="AB1849" s="726"/>
    </row>
    <row r="1850" spans="1:28" ht="16.5" customHeight="1">
      <c r="A1850" s="347"/>
      <c r="B1850" s="347"/>
      <c r="C1850" s="347"/>
      <c r="D1850" s="348"/>
      <c r="E1850" s="348"/>
      <c r="F1850" s="348"/>
      <c r="G1850" s="348"/>
      <c r="H1850" s="359"/>
      <c r="I1850" s="352"/>
      <c r="J1850" s="353"/>
      <c r="K1850" s="538"/>
      <c r="L1850" s="487"/>
      <c r="M1850" s="487"/>
      <c r="N1850" s="354"/>
      <c r="O1850" s="354"/>
      <c r="P1850" s="354"/>
      <c r="Q1850" s="354"/>
      <c r="R1850" s="354"/>
      <c r="S1850" s="354"/>
      <c r="T1850" s="354"/>
      <c r="U1850" s="354"/>
      <c r="V1850" s="354"/>
      <c r="W1850" s="354"/>
      <c r="X1850" s="354"/>
      <c r="Y1850" s="354"/>
      <c r="Z1850" s="353"/>
      <c r="AA1850" s="352"/>
      <c r="AB1850" s="726"/>
    </row>
    <row r="1851" spans="1:28" ht="16.5" customHeight="1">
      <c r="A1851" s="347"/>
      <c r="B1851" s="347"/>
      <c r="C1851" s="347"/>
      <c r="D1851" s="348"/>
      <c r="E1851" s="348"/>
      <c r="F1851" s="348"/>
      <c r="G1851" s="348"/>
      <c r="H1851" s="359"/>
      <c r="I1851" s="352"/>
      <c r="J1851" s="353"/>
      <c r="K1851" s="538"/>
      <c r="L1851" s="487"/>
      <c r="M1851" s="487"/>
      <c r="N1851" s="354"/>
      <c r="O1851" s="354"/>
      <c r="P1851" s="354"/>
      <c r="Q1851" s="354"/>
      <c r="R1851" s="354"/>
      <c r="S1851" s="354"/>
      <c r="T1851" s="354"/>
      <c r="U1851" s="354"/>
      <c r="V1851" s="354"/>
      <c r="W1851" s="354"/>
      <c r="X1851" s="354"/>
      <c r="Y1851" s="354"/>
      <c r="Z1851" s="353"/>
      <c r="AA1851" s="352"/>
      <c r="AB1851" s="726"/>
    </row>
    <row r="1852" spans="1:28" ht="16.5" customHeight="1">
      <c r="A1852" s="347"/>
      <c r="B1852" s="347"/>
      <c r="C1852" s="347"/>
      <c r="D1852" s="348"/>
      <c r="E1852" s="348"/>
      <c r="F1852" s="348"/>
      <c r="G1852" s="348"/>
      <c r="H1852" s="359"/>
      <c r="I1852" s="352"/>
      <c r="J1852" s="353"/>
      <c r="K1852" s="538"/>
      <c r="L1852" s="487"/>
      <c r="M1852" s="487"/>
      <c r="N1852" s="354"/>
      <c r="O1852" s="354"/>
      <c r="P1852" s="354"/>
      <c r="Q1852" s="354"/>
      <c r="R1852" s="354"/>
      <c r="S1852" s="354"/>
      <c r="T1852" s="354"/>
      <c r="U1852" s="354"/>
      <c r="V1852" s="354"/>
      <c r="W1852" s="354"/>
      <c r="X1852" s="354"/>
      <c r="Y1852" s="354"/>
      <c r="Z1852" s="353"/>
      <c r="AA1852" s="352"/>
      <c r="AB1852" s="726"/>
    </row>
    <row r="1853" spans="1:28" ht="16.5" customHeight="1">
      <c r="A1853" s="347"/>
      <c r="B1853" s="347"/>
      <c r="C1853" s="347"/>
      <c r="D1853" s="348"/>
      <c r="E1853" s="348"/>
      <c r="F1853" s="348"/>
      <c r="G1853" s="348"/>
      <c r="H1853" s="359"/>
      <c r="I1853" s="352"/>
      <c r="J1853" s="353"/>
      <c r="K1853" s="538"/>
      <c r="L1853" s="487"/>
      <c r="M1853" s="487"/>
      <c r="N1853" s="354"/>
      <c r="O1853" s="354"/>
      <c r="P1853" s="354"/>
      <c r="Q1853" s="354"/>
      <c r="R1853" s="354"/>
      <c r="S1853" s="354"/>
      <c r="T1853" s="354"/>
      <c r="U1853" s="354"/>
      <c r="V1853" s="354"/>
      <c r="W1853" s="354"/>
      <c r="X1853" s="354"/>
      <c r="Y1853" s="354"/>
      <c r="Z1853" s="353"/>
      <c r="AA1853" s="352"/>
      <c r="AB1853" s="726"/>
    </row>
    <row r="1854" spans="1:28" ht="16.5" customHeight="1">
      <c r="A1854" s="347"/>
      <c r="B1854" s="347"/>
      <c r="C1854" s="347"/>
      <c r="D1854" s="348"/>
      <c r="E1854" s="348"/>
      <c r="F1854" s="348"/>
      <c r="G1854" s="348"/>
      <c r="H1854" s="359"/>
      <c r="I1854" s="352"/>
      <c r="J1854" s="353"/>
      <c r="K1854" s="538"/>
      <c r="L1854" s="487"/>
      <c r="M1854" s="487"/>
      <c r="N1854" s="354"/>
      <c r="O1854" s="354"/>
      <c r="P1854" s="354"/>
      <c r="Q1854" s="354"/>
      <c r="R1854" s="354"/>
      <c r="S1854" s="354"/>
      <c r="T1854" s="354"/>
      <c r="U1854" s="354"/>
      <c r="V1854" s="354"/>
      <c r="W1854" s="354"/>
      <c r="X1854" s="354"/>
      <c r="Y1854" s="354"/>
      <c r="Z1854" s="353"/>
      <c r="AA1854" s="352"/>
      <c r="AB1854" s="726"/>
    </row>
    <row r="1855" spans="1:28" ht="16.5" customHeight="1">
      <c r="A1855" s="347"/>
      <c r="B1855" s="347"/>
      <c r="C1855" s="347"/>
      <c r="D1855" s="348"/>
      <c r="E1855" s="348"/>
      <c r="F1855" s="348"/>
      <c r="G1855" s="348"/>
      <c r="H1855" s="359"/>
      <c r="I1855" s="352"/>
      <c r="J1855" s="353"/>
      <c r="K1855" s="538"/>
      <c r="L1855" s="487"/>
      <c r="M1855" s="487"/>
      <c r="N1855" s="354"/>
      <c r="O1855" s="354"/>
      <c r="P1855" s="354"/>
      <c r="Q1855" s="354"/>
      <c r="R1855" s="354"/>
      <c r="S1855" s="354"/>
      <c r="T1855" s="354"/>
      <c r="U1855" s="354"/>
      <c r="V1855" s="354"/>
      <c r="W1855" s="354"/>
      <c r="X1855" s="354"/>
      <c r="Y1855" s="354"/>
      <c r="Z1855" s="353"/>
      <c r="AA1855" s="352"/>
      <c r="AB1855" s="726"/>
    </row>
    <row r="1856" spans="1:28" ht="16.5" customHeight="1">
      <c r="A1856" s="347"/>
      <c r="B1856" s="347"/>
      <c r="C1856" s="347"/>
      <c r="D1856" s="348"/>
      <c r="E1856" s="348"/>
      <c r="F1856" s="348"/>
      <c r="G1856" s="348"/>
      <c r="H1856" s="359"/>
      <c r="I1856" s="352"/>
      <c r="J1856" s="353"/>
      <c r="K1856" s="538"/>
      <c r="L1856" s="487"/>
      <c r="M1856" s="487"/>
      <c r="N1856" s="354"/>
      <c r="O1856" s="354"/>
      <c r="P1856" s="354"/>
      <c r="Q1856" s="354"/>
      <c r="R1856" s="354"/>
      <c r="S1856" s="354"/>
      <c r="T1856" s="354"/>
      <c r="U1856" s="354"/>
      <c r="V1856" s="354"/>
      <c r="W1856" s="354"/>
      <c r="X1856" s="354"/>
      <c r="Y1856" s="354"/>
      <c r="Z1856" s="353"/>
      <c r="AA1856" s="352"/>
      <c r="AB1856" s="726"/>
    </row>
    <row r="1857" spans="1:28" ht="16.5" customHeight="1">
      <c r="A1857" s="347"/>
      <c r="B1857" s="347"/>
      <c r="C1857" s="347"/>
      <c r="D1857" s="348"/>
      <c r="E1857" s="348"/>
      <c r="F1857" s="348"/>
      <c r="G1857" s="348"/>
      <c r="H1857" s="359"/>
      <c r="I1857" s="352"/>
      <c r="J1857" s="353"/>
      <c r="K1857" s="538"/>
      <c r="L1857" s="487"/>
      <c r="M1857" s="487"/>
      <c r="N1857" s="354"/>
      <c r="O1857" s="354"/>
      <c r="P1857" s="354"/>
      <c r="Q1857" s="354"/>
      <c r="R1857" s="354"/>
      <c r="S1857" s="354"/>
      <c r="T1857" s="354"/>
      <c r="U1857" s="354"/>
      <c r="V1857" s="354"/>
      <c r="W1857" s="354"/>
      <c r="X1857" s="354"/>
      <c r="Y1857" s="354"/>
      <c r="Z1857" s="353"/>
      <c r="AA1857" s="352"/>
      <c r="AB1857" s="726"/>
    </row>
    <row r="1858" spans="1:28" ht="16.5" customHeight="1">
      <c r="A1858" s="347"/>
      <c r="B1858" s="347"/>
      <c r="C1858" s="347"/>
      <c r="D1858" s="348"/>
      <c r="E1858" s="348"/>
      <c r="F1858" s="348"/>
      <c r="G1858" s="348"/>
      <c r="H1858" s="359"/>
      <c r="I1858" s="352"/>
      <c r="J1858" s="353"/>
      <c r="K1858" s="538"/>
      <c r="L1858" s="487"/>
      <c r="M1858" s="487"/>
      <c r="N1858" s="354"/>
      <c r="O1858" s="354"/>
      <c r="P1858" s="354"/>
      <c r="Q1858" s="354"/>
      <c r="R1858" s="354"/>
      <c r="S1858" s="354"/>
      <c r="T1858" s="354"/>
      <c r="U1858" s="354"/>
      <c r="V1858" s="354"/>
      <c r="W1858" s="354"/>
      <c r="X1858" s="354"/>
      <c r="Y1858" s="354"/>
      <c r="Z1858" s="353"/>
      <c r="AA1858" s="352"/>
      <c r="AB1858" s="726"/>
    </row>
    <row r="1859" spans="1:28" ht="16.5" customHeight="1">
      <c r="A1859" s="347"/>
      <c r="B1859" s="347"/>
      <c r="C1859" s="347"/>
      <c r="D1859" s="348"/>
      <c r="E1859" s="348"/>
      <c r="F1859" s="348"/>
      <c r="G1859" s="348"/>
      <c r="H1859" s="359"/>
      <c r="I1859" s="352"/>
      <c r="J1859" s="353"/>
      <c r="K1859" s="538"/>
      <c r="L1859" s="487"/>
      <c r="M1859" s="487"/>
      <c r="N1859" s="354"/>
      <c r="O1859" s="354"/>
      <c r="P1859" s="354"/>
      <c r="Q1859" s="354"/>
      <c r="R1859" s="354"/>
      <c r="S1859" s="354"/>
      <c r="T1859" s="354"/>
      <c r="U1859" s="354"/>
      <c r="V1859" s="354"/>
      <c r="W1859" s="354"/>
      <c r="X1859" s="354"/>
      <c r="Y1859" s="354"/>
      <c r="Z1859" s="353"/>
      <c r="AA1859" s="352"/>
      <c r="AB1859" s="726"/>
    </row>
    <row r="1860" spans="1:28" ht="16.5" customHeight="1">
      <c r="A1860" s="347"/>
      <c r="B1860" s="347"/>
      <c r="C1860" s="347"/>
      <c r="D1860" s="361"/>
      <c r="E1860" s="361"/>
      <c r="F1860" s="361"/>
      <c r="G1860" s="348"/>
      <c r="H1860" s="359"/>
      <c r="I1860" s="352"/>
      <c r="J1860" s="353"/>
      <c r="K1860" s="538"/>
      <c r="L1860" s="487"/>
      <c r="M1860" s="487"/>
      <c r="N1860" s="354"/>
      <c r="O1860" s="354"/>
      <c r="P1860" s="354"/>
      <c r="Q1860" s="354"/>
      <c r="R1860" s="354"/>
      <c r="S1860" s="354"/>
      <c r="T1860" s="354"/>
      <c r="U1860" s="354"/>
      <c r="V1860" s="354"/>
      <c r="W1860" s="354"/>
      <c r="X1860" s="354"/>
      <c r="Y1860" s="354"/>
      <c r="Z1860" s="353"/>
      <c r="AA1860" s="352"/>
      <c r="AB1860" s="726"/>
    </row>
    <row r="1861" spans="1:28" ht="16.5" customHeight="1">
      <c r="A1861" s="347"/>
      <c r="B1861" s="347"/>
      <c r="C1861" s="347"/>
      <c r="D1861" s="348"/>
      <c r="E1861" s="348"/>
      <c r="F1861" s="348"/>
      <c r="G1861" s="348"/>
      <c r="H1861" s="359"/>
      <c r="I1861" s="352"/>
      <c r="J1861" s="353"/>
      <c r="K1861" s="538"/>
      <c r="L1861" s="487"/>
      <c r="M1861" s="487"/>
      <c r="N1861" s="354"/>
      <c r="O1861" s="354"/>
      <c r="P1861" s="354"/>
      <c r="Q1861" s="354"/>
      <c r="R1861" s="354"/>
      <c r="S1861" s="354"/>
      <c r="T1861" s="354"/>
      <c r="U1861" s="354"/>
      <c r="V1861" s="354"/>
      <c r="W1861" s="354"/>
      <c r="X1861" s="354"/>
      <c r="Y1861" s="354"/>
      <c r="Z1861" s="353"/>
      <c r="AA1861" s="352"/>
      <c r="AB1861" s="726"/>
    </row>
    <row r="1862" spans="1:28" ht="16.5" customHeight="1">
      <c r="A1862" s="347"/>
      <c r="B1862" s="347"/>
      <c r="C1862" s="347"/>
      <c r="D1862" s="361"/>
      <c r="E1862" s="361"/>
      <c r="F1862" s="361"/>
      <c r="G1862" s="348"/>
      <c r="H1862" s="359"/>
      <c r="I1862" s="352"/>
      <c r="J1862" s="353"/>
      <c r="K1862" s="538"/>
      <c r="L1862" s="487"/>
      <c r="M1862" s="487"/>
      <c r="N1862" s="354"/>
      <c r="O1862" s="354"/>
      <c r="P1862" s="354"/>
      <c r="Q1862" s="354"/>
      <c r="R1862" s="354"/>
      <c r="S1862" s="354"/>
      <c r="T1862" s="354"/>
      <c r="U1862" s="354"/>
      <c r="V1862" s="354"/>
      <c r="W1862" s="354"/>
      <c r="X1862" s="354"/>
      <c r="Y1862" s="354"/>
      <c r="Z1862" s="353"/>
      <c r="AA1862" s="352"/>
      <c r="AB1862" s="726"/>
    </row>
    <row r="1863" spans="1:28" ht="16.5" customHeight="1">
      <c r="A1863" s="347"/>
      <c r="B1863" s="347"/>
      <c r="C1863" s="347"/>
      <c r="D1863" s="348"/>
      <c r="E1863" s="348"/>
      <c r="F1863" s="348"/>
      <c r="G1863" s="348"/>
      <c r="H1863" s="359"/>
      <c r="I1863" s="352"/>
      <c r="J1863" s="353"/>
      <c r="K1863" s="538"/>
      <c r="L1863" s="487"/>
      <c r="M1863" s="487"/>
      <c r="N1863" s="354"/>
      <c r="O1863" s="354"/>
      <c r="P1863" s="354"/>
      <c r="Q1863" s="354"/>
      <c r="R1863" s="354"/>
      <c r="S1863" s="354"/>
      <c r="T1863" s="354"/>
      <c r="U1863" s="354"/>
      <c r="V1863" s="354"/>
      <c r="W1863" s="354"/>
      <c r="X1863" s="354"/>
      <c r="Y1863" s="354"/>
      <c r="Z1863" s="353"/>
      <c r="AA1863" s="352"/>
      <c r="AB1863" s="726"/>
    </row>
    <row r="1864" spans="1:28" ht="16.5" customHeight="1">
      <c r="A1864" s="347"/>
      <c r="B1864" s="347"/>
      <c r="C1864" s="347"/>
      <c r="D1864" s="348"/>
      <c r="E1864" s="348"/>
      <c r="F1864" s="348"/>
      <c r="G1864" s="348"/>
      <c r="H1864" s="359"/>
      <c r="I1864" s="352"/>
      <c r="J1864" s="353"/>
      <c r="K1864" s="538"/>
      <c r="L1864" s="487"/>
      <c r="M1864" s="487"/>
      <c r="N1864" s="354"/>
      <c r="O1864" s="354"/>
      <c r="P1864" s="354"/>
      <c r="Q1864" s="354"/>
      <c r="R1864" s="354"/>
      <c r="S1864" s="354"/>
      <c r="T1864" s="354"/>
      <c r="U1864" s="354"/>
      <c r="V1864" s="354"/>
      <c r="W1864" s="354"/>
      <c r="X1864" s="354"/>
      <c r="Y1864" s="354"/>
      <c r="Z1864" s="353"/>
      <c r="AA1864" s="352"/>
      <c r="AB1864" s="726"/>
    </row>
    <row r="1865" spans="1:28" ht="16.5" customHeight="1">
      <c r="A1865" s="347"/>
      <c r="B1865" s="347"/>
      <c r="C1865" s="347"/>
      <c r="D1865" s="348"/>
      <c r="E1865" s="348"/>
      <c r="F1865" s="348"/>
      <c r="G1865" s="348"/>
      <c r="H1865" s="359"/>
      <c r="I1865" s="352"/>
      <c r="J1865" s="353"/>
      <c r="K1865" s="538"/>
      <c r="L1865" s="487"/>
      <c r="M1865" s="487"/>
      <c r="N1865" s="354"/>
      <c r="O1865" s="354"/>
      <c r="P1865" s="354"/>
      <c r="Q1865" s="354"/>
      <c r="R1865" s="354"/>
      <c r="S1865" s="354"/>
      <c r="T1865" s="354"/>
      <c r="U1865" s="354"/>
      <c r="V1865" s="354"/>
      <c r="W1865" s="354"/>
      <c r="X1865" s="354"/>
      <c r="Y1865" s="354"/>
      <c r="Z1865" s="353"/>
      <c r="AA1865" s="352"/>
      <c r="AB1865" s="726"/>
    </row>
    <row r="1866" spans="1:28" ht="16.5" customHeight="1">
      <c r="A1866" s="347"/>
      <c r="B1866" s="347"/>
      <c r="C1866" s="347"/>
      <c r="D1866" s="348"/>
      <c r="E1866" s="348"/>
      <c r="F1866" s="348"/>
      <c r="G1866" s="348"/>
      <c r="H1866" s="359"/>
      <c r="I1866" s="352"/>
      <c r="J1866" s="353"/>
      <c r="K1866" s="538"/>
      <c r="L1866" s="487"/>
      <c r="M1866" s="487"/>
      <c r="N1866" s="354"/>
      <c r="O1866" s="354"/>
      <c r="P1866" s="354"/>
      <c r="Q1866" s="354"/>
      <c r="R1866" s="354"/>
      <c r="S1866" s="354"/>
      <c r="T1866" s="354"/>
      <c r="U1866" s="354"/>
      <c r="V1866" s="354"/>
      <c r="W1866" s="354"/>
      <c r="X1866" s="354"/>
      <c r="Y1866" s="354"/>
      <c r="Z1866" s="353"/>
      <c r="AA1866" s="352"/>
      <c r="AB1866" s="726"/>
    </row>
    <row r="1867" spans="1:28" ht="16.5" customHeight="1">
      <c r="A1867" s="347"/>
      <c r="B1867" s="347"/>
      <c r="C1867" s="347"/>
      <c r="D1867" s="348"/>
      <c r="E1867" s="348"/>
      <c r="F1867" s="348"/>
      <c r="G1867" s="348"/>
      <c r="H1867" s="359"/>
      <c r="I1867" s="352"/>
      <c r="J1867" s="353"/>
      <c r="K1867" s="538"/>
      <c r="L1867" s="487"/>
      <c r="M1867" s="487"/>
      <c r="N1867" s="354"/>
      <c r="O1867" s="354"/>
      <c r="P1867" s="354"/>
      <c r="Q1867" s="354"/>
      <c r="R1867" s="354"/>
      <c r="S1867" s="354"/>
      <c r="T1867" s="354"/>
      <c r="U1867" s="354"/>
      <c r="V1867" s="354"/>
      <c r="W1867" s="354"/>
      <c r="X1867" s="354"/>
      <c r="Y1867" s="354"/>
      <c r="Z1867" s="353"/>
      <c r="AA1867" s="352"/>
      <c r="AB1867" s="726"/>
    </row>
    <row r="1868" spans="1:28" ht="16.5" customHeight="1">
      <c r="A1868" s="347"/>
      <c r="B1868" s="347"/>
      <c r="C1868" s="347"/>
      <c r="D1868" s="348"/>
      <c r="E1868" s="348"/>
      <c r="F1868" s="348"/>
      <c r="G1868" s="348"/>
      <c r="H1868" s="359"/>
      <c r="I1868" s="352"/>
      <c r="J1868" s="353"/>
      <c r="K1868" s="538"/>
      <c r="L1868" s="487"/>
      <c r="M1868" s="487"/>
      <c r="N1868" s="354"/>
      <c r="O1868" s="354"/>
      <c r="P1868" s="354"/>
      <c r="Q1868" s="354"/>
      <c r="R1868" s="354"/>
      <c r="S1868" s="354"/>
      <c r="T1868" s="354"/>
      <c r="U1868" s="354"/>
      <c r="V1868" s="354"/>
      <c r="W1868" s="354"/>
      <c r="X1868" s="354"/>
      <c r="Y1868" s="354"/>
      <c r="Z1868" s="353"/>
      <c r="AA1868" s="352"/>
      <c r="AB1868" s="726"/>
    </row>
    <row r="1869" spans="1:28" ht="16.5" customHeight="1">
      <c r="A1869" s="347"/>
      <c r="B1869" s="347"/>
      <c r="C1869" s="347"/>
      <c r="D1869" s="361"/>
      <c r="E1869" s="361"/>
      <c r="F1869" s="361"/>
      <c r="G1869" s="348"/>
      <c r="H1869" s="359"/>
      <c r="I1869" s="352"/>
      <c r="J1869" s="353"/>
      <c r="K1869" s="538"/>
      <c r="L1869" s="487"/>
      <c r="M1869" s="487"/>
      <c r="N1869" s="354"/>
      <c r="O1869" s="354"/>
      <c r="P1869" s="354"/>
      <c r="Q1869" s="354"/>
      <c r="R1869" s="354"/>
      <c r="S1869" s="354"/>
      <c r="T1869" s="354"/>
      <c r="U1869" s="354"/>
      <c r="V1869" s="354"/>
      <c r="W1869" s="354"/>
      <c r="X1869" s="354"/>
      <c r="Y1869" s="354"/>
      <c r="Z1869" s="353"/>
      <c r="AA1869" s="352"/>
      <c r="AB1869" s="726"/>
    </row>
    <row r="1870" spans="1:28" ht="16.5" customHeight="1">
      <c r="A1870" s="347"/>
      <c r="B1870" s="347"/>
      <c r="C1870" s="347"/>
      <c r="D1870" s="348"/>
      <c r="E1870" s="348"/>
      <c r="F1870" s="348"/>
      <c r="G1870" s="348"/>
      <c r="H1870" s="359"/>
      <c r="I1870" s="352"/>
      <c r="J1870" s="353"/>
      <c r="K1870" s="538"/>
      <c r="L1870" s="487"/>
      <c r="M1870" s="487"/>
      <c r="N1870" s="354"/>
      <c r="O1870" s="354"/>
      <c r="P1870" s="354"/>
      <c r="Q1870" s="354"/>
      <c r="R1870" s="354"/>
      <c r="S1870" s="354"/>
      <c r="T1870" s="354"/>
      <c r="U1870" s="354"/>
      <c r="V1870" s="354"/>
      <c r="W1870" s="354"/>
      <c r="X1870" s="354"/>
      <c r="Y1870" s="354"/>
      <c r="Z1870" s="353"/>
      <c r="AA1870" s="352"/>
      <c r="AB1870" s="726"/>
    </row>
    <row r="1871" spans="1:28" ht="16.5" customHeight="1">
      <c r="A1871" s="347"/>
      <c r="B1871" s="347"/>
      <c r="C1871" s="347"/>
      <c r="D1871" s="348"/>
      <c r="E1871" s="348"/>
      <c r="F1871" s="348"/>
      <c r="G1871" s="348"/>
      <c r="H1871" s="359"/>
      <c r="I1871" s="352"/>
      <c r="J1871" s="353"/>
      <c r="K1871" s="538"/>
      <c r="L1871" s="487"/>
      <c r="M1871" s="487"/>
      <c r="N1871" s="354"/>
      <c r="O1871" s="354"/>
      <c r="P1871" s="354"/>
      <c r="Q1871" s="354"/>
      <c r="R1871" s="354"/>
      <c r="S1871" s="354"/>
      <c r="T1871" s="354"/>
      <c r="U1871" s="354"/>
      <c r="V1871" s="354"/>
      <c r="W1871" s="354"/>
      <c r="X1871" s="354"/>
      <c r="Y1871" s="354"/>
      <c r="Z1871" s="353"/>
      <c r="AA1871" s="352"/>
      <c r="AB1871" s="726"/>
    </row>
    <row r="1872" spans="1:28" ht="16.5" customHeight="1">
      <c r="A1872" s="347"/>
      <c r="B1872" s="347"/>
      <c r="C1872" s="347"/>
      <c r="D1872" s="348"/>
      <c r="E1872" s="348"/>
      <c r="F1872" s="348"/>
      <c r="G1872" s="348"/>
      <c r="H1872" s="359"/>
      <c r="I1872" s="352"/>
      <c r="J1872" s="353"/>
      <c r="K1872" s="538"/>
      <c r="L1872" s="487"/>
      <c r="M1872" s="487"/>
      <c r="N1872" s="354"/>
      <c r="O1872" s="354"/>
      <c r="P1872" s="354"/>
      <c r="Q1872" s="354"/>
      <c r="R1872" s="354"/>
      <c r="S1872" s="354"/>
      <c r="T1872" s="354"/>
      <c r="U1872" s="354"/>
      <c r="V1872" s="354"/>
      <c r="W1872" s="354"/>
      <c r="X1872" s="354"/>
      <c r="Y1872" s="354"/>
      <c r="Z1872" s="353"/>
      <c r="AA1872" s="352"/>
      <c r="AB1872" s="726"/>
    </row>
    <row r="1873" spans="1:28" ht="16.5" customHeight="1">
      <c r="A1873" s="347"/>
      <c r="B1873" s="347"/>
      <c r="C1873" s="347"/>
      <c r="D1873" s="348"/>
      <c r="E1873" s="348"/>
      <c r="F1873" s="348"/>
      <c r="G1873" s="348"/>
      <c r="H1873" s="359"/>
      <c r="I1873" s="352"/>
      <c r="J1873" s="353"/>
      <c r="K1873" s="538"/>
      <c r="L1873" s="487"/>
      <c r="M1873" s="487"/>
      <c r="N1873" s="354"/>
      <c r="O1873" s="354"/>
      <c r="P1873" s="354"/>
      <c r="Q1873" s="354"/>
      <c r="R1873" s="354"/>
      <c r="S1873" s="354"/>
      <c r="T1873" s="354"/>
      <c r="U1873" s="354"/>
      <c r="V1873" s="354"/>
      <c r="W1873" s="354"/>
      <c r="X1873" s="354"/>
      <c r="Y1873" s="354"/>
      <c r="Z1873" s="353"/>
      <c r="AA1873" s="352"/>
      <c r="AB1873" s="726"/>
    </row>
    <row r="1874" spans="1:28" ht="16.5" customHeight="1">
      <c r="A1874" s="347"/>
      <c r="B1874" s="347"/>
      <c r="C1874" s="347"/>
      <c r="D1874" s="348"/>
      <c r="E1874" s="348"/>
      <c r="F1874" s="348"/>
      <c r="G1874" s="348"/>
      <c r="H1874" s="359"/>
      <c r="I1874" s="352"/>
      <c r="J1874" s="353"/>
      <c r="K1874" s="538"/>
      <c r="L1874" s="487"/>
      <c r="M1874" s="487"/>
      <c r="N1874" s="354"/>
      <c r="O1874" s="354"/>
      <c r="P1874" s="354"/>
      <c r="Q1874" s="354"/>
      <c r="R1874" s="354"/>
      <c r="S1874" s="354"/>
      <c r="T1874" s="354"/>
      <c r="U1874" s="354"/>
      <c r="V1874" s="354"/>
      <c r="W1874" s="354"/>
      <c r="X1874" s="354"/>
      <c r="Y1874" s="354"/>
      <c r="Z1874" s="353"/>
      <c r="AA1874" s="352"/>
      <c r="AB1874" s="726"/>
    </row>
    <row r="1875" spans="1:28" ht="16.5" customHeight="1">
      <c r="A1875" s="347"/>
      <c r="B1875" s="347"/>
      <c r="C1875" s="347"/>
      <c r="D1875" s="348"/>
      <c r="E1875" s="348"/>
      <c r="F1875" s="348"/>
      <c r="G1875" s="348"/>
      <c r="H1875" s="359"/>
      <c r="I1875" s="352"/>
      <c r="J1875" s="353"/>
      <c r="K1875" s="538"/>
      <c r="L1875" s="487"/>
      <c r="M1875" s="487"/>
      <c r="N1875" s="354"/>
      <c r="O1875" s="354"/>
      <c r="P1875" s="354"/>
      <c r="Q1875" s="354"/>
      <c r="R1875" s="354"/>
      <c r="S1875" s="354"/>
      <c r="T1875" s="354"/>
      <c r="U1875" s="354"/>
      <c r="V1875" s="354"/>
      <c r="W1875" s="354"/>
      <c r="X1875" s="354"/>
      <c r="Y1875" s="354"/>
      <c r="Z1875" s="353"/>
      <c r="AA1875" s="352"/>
      <c r="AB1875" s="726"/>
    </row>
    <row r="1876" spans="1:28" ht="16.5" customHeight="1">
      <c r="A1876" s="347"/>
      <c r="B1876" s="347"/>
      <c r="C1876" s="347"/>
      <c r="D1876" s="361"/>
      <c r="E1876" s="361"/>
      <c r="F1876" s="361"/>
      <c r="G1876" s="348"/>
      <c r="H1876" s="359"/>
      <c r="I1876" s="352"/>
      <c r="J1876" s="353"/>
      <c r="K1876" s="538"/>
      <c r="L1876" s="487"/>
      <c r="M1876" s="487"/>
      <c r="N1876" s="354"/>
      <c r="O1876" s="354"/>
      <c r="P1876" s="354"/>
      <c r="Q1876" s="354"/>
      <c r="R1876" s="354"/>
      <c r="S1876" s="354"/>
      <c r="T1876" s="354"/>
      <c r="U1876" s="354"/>
      <c r="V1876" s="354"/>
      <c r="W1876" s="354"/>
      <c r="X1876" s="354"/>
      <c r="Y1876" s="354"/>
      <c r="Z1876" s="353"/>
      <c r="AA1876" s="352"/>
      <c r="AB1876" s="726"/>
    </row>
    <row r="1877" spans="1:28" ht="16.5" customHeight="1">
      <c r="A1877" s="347"/>
      <c r="B1877" s="347"/>
      <c r="C1877" s="347"/>
      <c r="D1877" s="361"/>
      <c r="E1877" s="361"/>
      <c r="F1877" s="361"/>
      <c r="G1877" s="348"/>
      <c r="H1877" s="359"/>
      <c r="I1877" s="352"/>
      <c r="J1877" s="353"/>
      <c r="K1877" s="538"/>
      <c r="L1877" s="487"/>
      <c r="M1877" s="487"/>
      <c r="N1877" s="354"/>
      <c r="O1877" s="354"/>
      <c r="P1877" s="354"/>
      <c r="Q1877" s="354"/>
      <c r="R1877" s="354"/>
      <c r="S1877" s="354"/>
      <c r="T1877" s="354"/>
      <c r="U1877" s="354"/>
      <c r="V1877" s="354"/>
      <c r="W1877" s="354"/>
      <c r="X1877" s="354"/>
      <c r="Y1877" s="354"/>
      <c r="Z1877" s="353"/>
      <c r="AA1877" s="352"/>
      <c r="AB1877" s="726"/>
    </row>
    <row r="1878" spans="1:28" ht="16.5" customHeight="1">
      <c r="A1878" s="347"/>
      <c r="B1878" s="347"/>
      <c r="C1878" s="347"/>
      <c r="D1878" s="348"/>
      <c r="E1878" s="348"/>
      <c r="F1878" s="348"/>
      <c r="G1878" s="348"/>
      <c r="H1878" s="359"/>
      <c r="I1878" s="352"/>
      <c r="J1878" s="353"/>
      <c r="K1878" s="538"/>
      <c r="L1878" s="487"/>
      <c r="M1878" s="487"/>
      <c r="N1878" s="354"/>
      <c r="O1878" s="354"/>
      <c r="P1878" s="354"/>
      <c r="Q1878" s="354"/>
      <c r="R1878" s="354"/>
      <c r="S1878" s="354"/>
      <c r="T1878" s="354"/>
      <c r="U1878" s="354"/>
      <c r="V1878" s="354"/>
      <c r="W1878" s="354"/>
      <c r="X1878" s="354"/>
      <c r="Y1878" s="354"/>
      <c r="Z1878" s="353"/>
      <c r="AA1878" s="352"/>
      <c r="AB1878" s="726"/>
    </row>
    <row r="1879" spans="1:28" ht="16.5" customHeight="1">
      <c r="A1879" s="347"/>
      <c r="B1879" s="347"/>
      <c r="C1879" s="347"/>
      <c r="D1879" s="348"/>
      <c r="E1879" s="348"/>
      <c r="F1879" s="348"/>
      <c r="G1879" s="348"/>
      <c r="H1879" s="359"/>
      <c r="I1879" s="352"/>
      <c r="J1879" s="353"/>
      <c r="K1879" s="538"/>
      <c r="L1879" s="487"/>
      <c r="M1879" s="487"/>
      <c r="N1879" s="354"/>
      <c r="O1879" s="354"/>
      <c r="P1879" s="354"/>
      <c r="Q1879" s="354"/>
      <c r="R1879" s="354"/>
      <c r="S1879" s="354"/>
      <c r="T1879" s="354"/>
      <c r="U1879" s="354"/>
      <c r="V1879" s="354"/>
      <c r="W1879" s="354"/>
      <c r="X1879" s="354"/>
      <c r="Y1879" s="354"/>
      <c r="Z1879" s="353"/>
      <c r="AA1879" s="352"/>
      <c r="AB1879" s="726"/>
    </row>
    <row r="1880" spans="1:28" ht="16.5" customHeight="1">
      <c r="A1880" s="347"/>
      <c r="B1880" s="347"/>
      <c r="C1880" s="347"/>
      <c r="D1880" s="348"/>
      <c r="E1880" s="348"/>
      <c r="F1880" s="348"/>
      <c r="G1880" s="348"/>
      <c r="H1880" s="359"/>
      <c r="I1880" s="352"/>
      <c r="J1880" s="353"/>
      <c r="K1880" s="538"/>
      <c r="L1880" s="487"/>
      <c r="M1880" s="487"/>
      <c r="N1880" s="354"/>
      <c r="O1880" s="354"/>
      <c r="P1880" s="354"/>
      <c r="Q1880" s="354"/>
      <c r="R1880" s="354"/>
      <c r="S1880" s="354"/>
      <c r="T1880" s="354"/>
      <c r="U1880" s="354"/>
      <c r="V1880" s="354"/>
      <c r="W1880" s="354"/>
      <c r="X1880" s="354"/>
      <c r="Y1880" s="354"/>
      <c r="Z1880" s="353"/>
      <c r="AA1880" s="352"/>
      <c r="AB1880" s="726"/>
    </row>
    <row r="1881" spans="1:28" ht="16.5" customHeight="1">
      <c r="A1881" s="347"/>
      <c r="B1881" s="347"/>
      <c r="C1881" s="347"/>
      <c r="D1881" s="348"/>
      <c r="E1881" s="348"/>
      <c r="F1881" s="348"/>
      <c r="G1881" s="348"/>
      <c r="H1881" s="359"/>
      <c r="I1881" s="352"/>
      <c r="J1881" s="353"/>
      <c r="K1881" s="538"/>
      <c r="L1881" s="487"/>
      <c r="M1881" s="487"/>
      <c r="N1881" s="354"/>
      <c r="O1881" s="354"/>
      <c r="P1881" s="354"/>
      <c r="Q1881" s="354"/>
      <c r="R1881" s="354"/>
      <c r="S1881" s="354"/>
      <c r="T1881" s="354"/>
      <c r="U1881" s="354"/>
      <c r="V1881" s="354"/>
      <c r="W1881" s="354"/>
      <c r="X1881" s="354"/>
      <c r="Y1881" s="354"/>
      <c r="Z1881" s="353"/>
      <c r="AA1881" s="352"/>
      <c r="AB1881" s="726"/>
    </row>
    <row r="1882" spans="1:28" ht="16.5" customHeight="1">
      <c r="A1882" s="347"/>
      <c r="B1882" s="347"/>
      <c r="C1882" s="347"/>
      <c r="D1882" s="348"/>
      <c r="E1882" s="348"/>
      <c r="F1882" s="348"/>
      <c r="G1882" s="348"/>
      <c r="H1882" s="359"/>
      <c r="I1882" s="352"/>
      <c r="J1882" s="353"/>
      <c r="K1882" s="538"/>
      <c r="L1882" s="487"/>
      <c r="M1882" s="487"/>
      <c r="N1882" s="354"/>
      <c r="O1882" s="354"/>
      <c r="P1882" s="354"/>
      <c r="Q1882" s="354"/>
      <c r="R1882" s="354"/>
      <c r="S1882" s="354"/>
      <c r="T1882" s="354"/>
      <c r="U1882" s="354"/>
      <c r="V1882" s="354"/>
      <c r="W1882" s="354"/>
      <c r="X1882" s="354"/>
      <c r="Y1882" s="354"/>
      <c r="Z1882" s="353"/>
      <c r="AA1882" s="352"/>
      <c r="AB1882" s="726"/>
    </row>
    <row r="1883" spans="1:28" ht="16.5" customHeight="1">
      <c r="A1883" s="347"/>
      <c r="B1883" s="347"/>
      <c r="C1883" s="347"/>
      <c r="D1883" s="348"/>
      <c r="E1883" s="348"/>
      <c r="F1883" s="348"/>
      <c r="G1883" s="348"/>
      <c r="H1883" s="359"/>
      <c r="I1883" s="352"/>
      <c r="J1883" s="353"/>
      <c r="K1883" s="538"/>
      <c r="L1883" s="487"/>
      <c r="M1883" s="487"/>
      <c r="N1883" s="354"/>
      <c r="O1883" s="354"/>
      <c r="P1883" s="354"/>
      <c r="Q1883" s="354"/>
      <c r="R1883" s="354"/>
      <c r="S1883" s="354"/>
      <c r="T1883" s="354"/>
      <c r="U1883" s="354"/>
      <c r="V1883" s="354"/>
      <c r="W1883" s="354"/>
      <c r="X1883" s="354"/>
      <c r="Y1883" s="354"/>
      <c r="Z1883" s="353"/>
      <c r="AA1883" s="352"/>
      <c r="AB1883" s="726"/>
    </row>
    <row r="1884" spans="1:28" ht="16.5" customHeight="1">
      <c r="A1884" s="347"/>
      <c r="B1884" s="347"/>
      <c r="C1884" s="347"/>
      <c r="D1884" s="348"/>
      <c r="E1884" s="348"/>
      <c r="F1884" s="348"/>
      <c r="G1884" s="348"/>
      <c r="H1884" s="359"/>
      <c r="I1884" s="352"/>
      <c r="J1884" s="353"/>
      <c r="K1884" s="538"/>
      <c r="L1884" s="487"/>
      <c r="M1884" s="487"/>
      <c r="N1884" s="354"/>
      <c r="O1884" s="354"/>
      <c r="P1884" s="354"/>
      <c r="Q1884" s="354"/>
      <c r="R1884" s="354"/>
      <c r="S1884" s="354"/>
      <c r="T1884" s="354"/>
      <c r="U1884" s="354"/>
      <c r="V1884" s="354"/>
      <c r="W1884" s="354"/>
      <c r="X1884" s="354"/>
      <c r="Y1884" s="354"/>
      <c r="Z1884" s="353"/>
      <c r="AA1884" s="352"/>
      <c r="AB1884" s="726"/>
    </row>
    <row r="1885" spans="1:28" ht="16.5" customHeight="1">
      <c r="A1885" s="347"/>
      <c r="B1885" s="347"/>
      <c r="C1885" s="347"/>
      <c r="D1885" s="348"/>
      <c r="E1885" s="348"/>
      <c r="F1885" s="348"/>
      <c r="G1885" s="348"/>
      <c r="H1885" s="359"/>
      <c r="I1885" s="352"/>
      <c r="J1885" s="353"/>
      <c r="K1885" s="538"/>
      <c r="L1885" s="487"/>
      <c r="M1885" s="487"/>
      <c r="N1885" s="354"/>
      <c r="O1885" s="354"/>
      <c r="P1885" s="354"/>
      <c r="Q1885" s="354"/>
      <c r="R1885" s="354"/>
      <c r="S1885" s="354"/>
      <c r="T1885" s="354"/>
      <c r="U1885" s="354"/>
      <c r="V1885" s="354"/>
      <c r="W1885" s="354"/>
      <c r="X1885" s="354"/>
      <c r="Y1885" s="354"/>
      <c r="Z1885" s="353"/>
      <c r="AA1885" s="352"/>
      <c r="AB1885" s="726"/>
    </row>
    <row r="1886" spans="1:28" ht="16.5" customHeight="1">
      <c r="A1886" s="347"/>
      <c r="B1886" s="347"/>
      <c r="C1886" s="347"/>
      <c r="D1886" s="348"/>
      <c r="E1886" s="348"/>
      <c r="F1886" s="348"/>
      <c r="G1886" s="348"/>
      <c r="H1886" s="359"/>
      <c r="I1886" s="352"/>
      <c r="J1886" s="353"/>
      <c r="K1886" s="538"/>
      <c r="L1886" s="487"/>
      <c r="M1886" s="487"/>
      <c r="N1886" s="354"/>
      <c r="O1886" s="354"/>
      <c r="P1886" s="354"/>
      <c r="Q1886" s="354"/>
      <c r="R1886" s="354"/>
      <c r="S1886" s="354"/>
      <c r="T1886" s="354"/>
      <c r="U1886" s="354"/>
      <c r="V1886" s="354"/>
      <c r="W1886" s="354"/>
      <c r="X1886" s="354"/>
      <c r="Y1886" s="354"/>
      <c r="Z1886" s="353"/>
      <c r="AA1886" s="352"/>
      <c r="AB1886" s="726"/>
    </row>
    <row r="1887" spans="1:28" ht="16.5" customHeight="1">
      <c r="A1887" s="347"/>
      <c r="B1887" s="347"/>
      <c r="C1887" s="347"/>
      <c r="D1887" s="348"/>
      <c r="E1887" s="348"/>
      <c r="F1887" s="348"/>
      <c r="G1887" s="348"/>
      <c r="H1887" s="359"/>
      <c r="I1887" s="352"/>
      <c r="J1887" s="353"/>
      <c r="K1887" s="538"/>
      <c r="L1887" s="487"/>
      <c r="M1887" s="487"/>
      <c r="N1887" s="354"/>
      <c r="O1887" s="354"/>
      <c r="P1887" s="354"/>
      <c r="Q1887" s="354"/>
      <c r="R1887" s="354"/>
      <c r="S1887" s="354"/>
      <c r="T1887" s="354"/>
      <c r="U1887" s="354"/>
      <c r="V1887" s="354"/>
      <c r="W1887" s="354"/>
      <c r="X1887" s="354"/>
      <c r="Y1887" s="354"/>
      <c r="Z1887" s="353"/>
      <c r="AA1887" s="352"/>
      <c r="AB1887" s="726"/>
    </row>
    <row r="1888" spans="1:28" ht="16.5" customHeight="1">
      <c r="A1888" s="347"/>
      <c r="B1888" s="347"/>
      <c r="C1888" s="347"/>
      <c r="D1888" s="361"/>
      <c r="E1888" s="361"/>
      <c r="F1888" s="361"/>
      <c r="G1888" s="348"/>
      <c r="H1888" s="359"/>
      <c r="I1888" s="352"/>
      <c r="J1888" s="353"/>
      <c r="K1888" s="538"/>
      <c r="L1888" s="487"/>
      <c r="M1888" s="487"/>
      <c r="N1888" s="354"/>
      <c r="O1888" s="354"/>
      <c r="P1888" s="354"/>
      <c r="Q1888" s="354"/>
      <c r="R1888" s="354"/>
      <c r="S1888" s="354"/>
      <c r="T1888" s="354"/>
      <c r="U1888" s="354"/>
      <c r="V1888" s="354"/>
      <c r="W1888" s="354"/>
      <c r="X1888" s="354"/>
      <c r="Y1888" s="354"/>
      <c r="Z1888" s="353"/>
      <c r="AA1888" s="352"/>
      <c r="AB1888" s="726"/>
    </row>
    <row r="1889" spans="1:28" ht="16.5" customHeight="1">
      <c r="A1889" s="347"/>
      <c r="B1889" s="347"/>
      <c r="C1889" s="347"/>
      <c r="D1889" s="348"/>
      <c r="E1889" s="348"/>
      <c r="F1889" s="348"/>
      <c r="G1889" s="348"/>
      <c r="H1889" s="359"/>
      <c r="I1889" s="352"/>
      <c r="J1889" s="353"/>
      <c r="K1889" s="538"/>
      <c r="L1889" s="487"/>
      <c r="M1889" s="487"/>
      <c r="N1889" s="354"/>
      <c r="O1889" s="354"/>
      <c r="P1889" s="354"/>
      <c r="Q1889" s="354"/>
      <c r="R1889" s="354"/>
      <c r="S1889" s="354"/>
      <c r="T1889" s="354"/>
      <c r="U1889" s="354"/>
      <c r="V1889" s="354"/>
      <c r="W1889" s="354"/>
      <c r="X1889" s="354"/>
      <c r="Y1889" s="354"/>
      <c r="Z1889" s="353"/>
      <c r="AA1889" s="352"/>
      <c r="AB1889" s="726"/>
    </row>
    <row r="1890" spans="1:28" ht="16.5" customHeight="1">
      <c r="A1890" s="347"/>
      <c r="B1890" s="347"/>
      <c r="C1890" s="347"/>
      <c r="D1890" s="348"/>
      <c r="E1890" s="348"/>
      <c r="F1890" s="348"/>
      <c r="G1890" s="348"/>
      <c r="H1890" s="359"/>
      <c r="I1890" s="352"/>
      <c r="J1890" s="353"/>
      <c r="K1890" s="538"/>
      <c r="L1890" s="487"/>
      <c r="M1890" s="487"/>
      <c r="N1890" s="354"/>
      <c r="O1890" s="354"/>
      <c r="P1890" s="354"/>
      <c r="Q1890" s="354"/>
      <c r="R1890" s="354"/>
      <c r="S1890" s="354"/>
      <c r="T1890" s="354"/>
      <c r="U1890" s="354"/>
      <c r="V1890" s="354"/>
      <c r="W1890" s="354"/>
      <c r="X1890" s="354"/>
      <c r="Y1890" s="354"/>
      <c r="Z1890" s="353"/>
      <c r="AA1890" s="352"/>
      <c r="AB1890" s="726"/>
    </row>
    <row r="1891" spans="1:28" ht="16.5" customHeight="1">
      <c r="A1891" s="347"/>
      <c r="B1891" s="347"/>
      <c r="C1891" s="347"/>
      <c r="D1891" s="348"/>
      <c r="E1891" s="348"/>
      <c r="F1891" s="348"/>
      <c r="G1891" s="348"/>
      <c r="H1891" s="359"/>
      <c r="I1891" s="352"/>
      <c r="J1891" s="353"/>
      <c r="K1891" s="538"/>
      <c r="L1891" s="487"/>
      <c r="M1891" s="487"/>
      <c r="N1891" s="354"/>
      <c r="O1891" s="354"/>
      <c r="P1891" s="354"/>
      <c r="Q1891" s="354"/>
      <c r="R1891" s="354"/>
      <c r="S1891" s="354"/>
      <c r="T1891" s="354"/>
      <c r="U1891" s="354"/>
      <c r="V1891" s="354"/>
      <c r="W1891" s="354"/>
      <c r="X1891" s="354"/>
      <c r="Y1891" s="354"/>
      <c r="Z1891" s="353"/>
      <c r="AA1891" s="352"/>
      <c r="AB1891" s="726"/>
    </row>
    <row r="1892" spans="1:28" ht="16.5" customHeight="1">
      <c r="A1892" s="347"/>
      <c r="B1892" s="347"/>
      <c r="C1892" s="347"/>
      <c r="D1892" s="361"/>
      <c r="E1892" s="361"/>
      <c r="F1892" s="361"/>
      <c r="G1892" s="348"/>
      <c r="H1892" s="359"/>
      <c r="I1892" s="352"/>
      <c r="J1892" s="353"/>
      <c r="K1892" s="538"/>
      <c r="L1892" s="487"/>
      <c r="M1892" s="487"/>
      <c r="N1892" s="354"/>
      <c r="O1892" s="354"/>
      <c r="P1892" s="354"/>
      <c r="Q1892" s="354"/>
      <c r="R1892" s="354"/>
      <c r="S1892" s="354"/>
      <c r="T1892" s="354"/>
      <c r="U1892" s="354"/>
      <c r="V1892" s="354"/>
      <c r="W1892" s="354"/>
      <c r="X1892" s="354"/>
      <c r="Y1892" s="354"/>
      <c r="Z1892" s="353"/>
      <c r="AA1892" s="352"/>
      <c r="AB1892" s="726"/>
    </row>
    <row r="1893" spans="1:28" ht="16.5" customHeight="1">
      <c r="A1893" s="347"/>
      <c r="B1893" s="347"/>
      <c r="C1893" s="347"/>
      <c r="D1893" s="348"/>
      <c r="E1893" s="348"/>
      <c r="F1893" s="348"/>
      <c r="G1893" s="348"/>
      <c r="H1893" s="359"/>
      <c r="I1893" s="352"/>
      <c r="J1893" s="353"/>
      <c r="K1893" s="538"/>
      <c r="L1893" s="487"/>
      <c r="M1893" s="487"/>
      <c r="N1893" s="354"/>
      <c r="O1893" s="354"/>
      <c r="P1893" s="354"/>
      <c r="Q1893" s="354"/>
      <c r="R1893" s="354"/>
      <c r="S1893" s="354"/>
      <c r="T1893" s="354"/>
      <c r="U1893" s="354"/>
      <c r="V1893" s="354"/>
      <c r="W1893" s="354"/>
      <c r="X1893" s="354"/>
      <c r="Y1893" s="354"/>
      <c r="Z1893" s="353"/>
      <c r="AA1893" s="352"/>
      <c r="AB1893" s="726"/>
    </row>
    <row r="1894" spans="1:28" ht="16.5" customHeight="1">
      <c r="A1894" s="347"/>
      <c r="B1894" s="347"/>
      <c r="C1894" s="347"/>
      <c r="D1894" s="348"/>
      <c r="E1894" s="348"/>
      <c r="F1894" s="348"/>
      <c r="G1894" s="348"/>
      <c r="H1894" s="359"/>
      <c r="I1894" s="352"/>
      <c r="J1894" s="353"/>
      <c r="K1894" s="538"/>
      <c r="L1894" s="487"/>
      <c r="M1894" s="487"/>
      <c r="N1894" s="354"/>
      <c r="O1894" s="354"/>
      <c r="P1894" s="354"/>
      <c r="Q1894" s="354"/>
      <c r="R1894" s="354"/>
      <c r="S1894" s="354"/>
      <c r="T1894" s="354"/>
      <c r="U1894" s="354"/>
      <c r="V1894" s="354"/>
      <c r="W1894" s="354"/>
      <c r="X1894" s="354"/>
      <c r="Y1894" s="354"/>
      <c r="Z1894" s="353"/>
      <c r="AA1894" s="352"/>
      <c r="AB1894" s="726"/>
    </row>
    <row r="1895" spans="1:28" ht="16.5" customHeight="1">
      <c r="A1895" s="347"/>
      <c r="B1895" s="347"/>
      <c r="C1895" s="347"/>
      <c r="D1895" s="348"/>
      <c r="E1895" s="348"/>
      <c r="F1895" s="348"/>
      <c r="G1895" s="348"/>
      <c r="H1895" s="359"/>
      <c r="I1895" s="352"/>
      <c r="J1895" s="353"/>
      <c r="K1895" s="538"/>
      <c r="L1895" s="487"/>
      <c r="M1895" s="487"/>
      <c r="N1895" s="354"/>
      <c r="O1895" s="354"/>
      <c r="P1895" s="354"/>
      <c r="Q1895" s="354"/>
      <c r="R1895" s="354"/>
      <c r="S1895" s="354"/>
      <c r="T1895" s="354"/>
      <c r="U1895" s="354"/>
      <c r="V1895" s="354"/>
      <c r="W1895" s="354"/>
      <c r="X1895" s="354"/>
      <c r="Y1895" s="354"/>
      <c r="Z1895" s="353"/>
      <c r="AA1895" s="352"/>
      <c r="AB1895" s="726"/>
    </row>
    <row r="1896" spans="1:28" ht="16.5" customHeight="1">
      <c r="A1896" s="347"/>
      <c r="B1896" s="347"/>
      <c r="C1896" s="347"/>
      <c r="D1896" s="348"/>
      <c r="E1896" s="348"/>
      <c r="F1896" s="348"/>
      <c r="G1896" s="348"/>
      <c r="H1896" s="359"/>
      <c r="I1896" s="352"/>
      <c r="J1896" s="353"/>
      <c r="K1896" s="538"/>
      <c r="L1896" s="487"/>
      <c r="M1896" s="487"/>
      <c r="N1896" s="354"/>
      <c r="O1896" s="354"/>
      <c r="P1896" s="354"/>
      <c r="Q1896" s="354"/>
      <c r="R1896" s="354"/>
      <c r="S1896" s="354"/>
      <c r="T1896" s="354"/>
      <c r="U1896" s="354"/>
      <c r="V1896" s="354"/>
      <c r="W1896" s="354"/>
      <c r="X1896" s="354"/>
      <c r="Y1896" s="354"/>
      <c r="Z1896" s="353"/>
      <c r="AA1896" s="352"/>
      <c r="AB1896" s="726"/>
    </row>
    <row r="1897" spans="1:28" ht="16.5" customHeight="1">
      <c r="A1897" s="347"/>
      <c r="B1897" s="347"/>
      <c r="C1897" s="347"/>
      <c r="D1897" s="348"/>
      <c r="E1897" s="348"/>
      <c r="F1897" s="348"/>
      <c r="G1897" s="348"/>
      <c r="H1897" s="359"/>
      <c r="I1897" s="352"/>
      <c r="J1897" s="353"/>
      <c r="K1897" s="538"/>
      <c r="L1897" s="487"/>
      <c r="M1897" s="487"/>
      <c r="N1897" s="354"/>
      <c r="O1897" s="354"/>
      <c r="P1897" s="354"/>
      <c r="Q1897" s="354"/>
      <c r="R1897" s="354"/>
      <c r="S1897" s="354"/>
      <c r="T1897" s="354"/>
      <c r="U1897" s="354"/>
      <c r="V1897" s="354"/>
      <c r="W1897" s="354"/>
      <c r="X1897" s="354"/>
      <c r="Y1897" s="354"/>
      <c r="Z1897" s="353"/>
      <c r="AA1897" s="352"/>
      <c r="AB1897" s="726"/>
    </row>
    <row r="1898" spans="1:28" ht="16.5" customHeight="1">
      <c r="A1898" s="347"/>
      <c r="B1898" s="347"/>
      <c r="C1898" s="347"/>
      <c r="D1898" s="361"/>
      <c r="E1898" s="361"/>
      <c r="F1898" s="361"/>
      <c r="G1898" s="348"/>
      <c r="H1898" s="359"/>
      <c r="I1898" s="352"/>
      <c r="J1898" s="353"/>
      <c r="K1898" s="538"/>
      <c r="L1898" s="487"/>
      <c r="M1898" s="487"/>
      <c r="N1898" s="354"/>
      <c r="O1898" s="354"/>
      <c r="P1898" s="354"/>
      <c r="Q1898" s="354"/>
      <c r="R1898" s="354"/>
      <c r="S1898" s="354"/>
      <c r="T1898" s="354"/>
      <c r="U1898" s="354"/>
      <c r="V1898" s="354"/>
      <c r="W1898" s="354"/>
      <c r="X1898" s="354"/>
      <c r="Y1898" s="354"/>
      <c r="Z1898" s="353"/>
      <c r="AA1898" s="352"/>
      <c r="AB1898" s="726"/>
    </row>
    <row r="1899" spans="1:28" ht="16.5" customHeight="1">
      <c r="A1899" s="347"/>
      <c r="B1899" s="347"/>
      <c r="C1899" s="347"/>
      <c r="D1899" s="348"/>
      <c r="E1899" s="348"/>
      <c r="F1899" s="348"/>
      <c r="G1899" s="348"/>
      <c r="H1899" s="359"/>
      <c r="I1899" s="352"/>
      <c r="J1899" s="353"/>
      <c r="K1899" s="538"/>
      <c r="L1899" s="487"/>
      <c r="M1899" s="487"/>
      <c r="N1899" s="354"/>
      <c r="O1899" s="354"/>
      <c r="P1899" s="354"/>
      <c r="Q1899" s="354"/>
      <c r="R1899" s="354"/>
      <c r="S1899" s="354"/>
      <c r="T1899" s="354"/>
      <c r="U1899" s="354"/>
      <c r="V1899" s="354"/>
      <c r="W1899" s="354"/>
      <c r="X1899" s="354"/>
      <c r="Y1899" s="354"/>
      <c r="Z1899" s="353"/>
      <c r="AA1899" s="352"/>
      <c r="AB1899" s="726"/>
    </row>
    <row r="1900" spans="1:28" ht="16.5" customHeight="1">
      <c r="A1900" s="347"/>
      <c r="B1900" s="347"/>
      <c r="C1900" s="347"/>
      <c r="D1900" s="361"/>
      <c r="E1900" s="361"/>
      <c r="F1900" s="361"/>
      <c r="G1900" s="348"/>
      <c r="H1900" s="359"/>
      <c r="I1900" s="352"/>
      <c r="J1900" s="353"/>
      <c r="K1900" s="538"/>
      <c r="L1900" s="487"/>
      <c r="M1900" s="487"/>
      <c r="N1900" s="354"/>
      <c r="O1900" s="354"/>
      <c r="P1900" s="354"/>
      <c r="Q1900" s="354"/>
      <c r="R1900" s="354"/>
      <c r="S1900" s="354"/>
      <c r="T1900" s="354"/>
      <c r="U1900" s="354"/>
      <c r="V1900" s="354"/>
      <c r="W1900" s="354"/>
      <c r="X1900" s="354"/>
      <c r="Y1900" s="354"/>
      <c r="Z1900" s="353"/>
      <c r="AA1900" s="352"/>
      <c r="AB1900" s="726"/>
    </row>
    <row r="1901" spans="1:28" ht="16.5" customHeight="1">
      <c r="A1901" s="347"/>
      <c r="B1901" s="347"/>
      <c r="C1901" s="347"/>
      <c r="D1901" s="348"/>
      <c r="E1901" s="348"/>
      <c r="F1901" s="348"/>
      <c r="G1901" s="348"/>
      <c r="H1901" s="359"/>
      <c r="I1901" s="352"/>
      <c r="J1901" s="353"/>
      <c r="K1901" s="538"/>
      <c r="L1901" s="487"/>
      <c r="M1901" s="487"/>
      <c r="N1901" s="354"/>
      <c r="O1901" s="354"/>
      <c r="P1901" s="354"/>
      <c r="Q1901" s="354"/>
      <c r="R1901" s="354"/>
      <c r="S1901" s="354"/>
      <c r="T1901" s="354"/>
      <c r="U1901" s="354"/>
      <c r="V1901" s="354"/>
      <c r="W1901" s="354"/>
      <c r="X1901" s="354"/>
      <c r="Y1901" s="354"/>
      <c r="Z1901" s="353"/>
      <c r="AA1901" s="352"/>
      <c r="AB1901" s="726"/>
    </row>
    <row r="1902" spans="1:28" ht="16.5" customHeight="1">
      <c r="A1902" s="347"/>
      <c r="B1902" s="347"/>
      <c r="C1902" s="347"/>
      <c r="D1902" s="348"/>
      <c r="E1902" s="348"/>
      <c r="F1902" s="348"/>
      <c r="G1902" s="348"/>
      <c r="H1902" s="359"/>
      <c r="I1902" s="352"/>
      <c r="J1902" s="353"/>
      <c r="K1902" s="538"/>
      <c r="L1902" s="487"/>
      <c r="M1902" s="487"/>
      <c r="N1902" s="354"/>
      <c r="O1902" s="354"/>
      <c r="P1902" s="354"/>
      <c r="Q1902" s="354"/>
      <c r="R1902" s="354"/>
      <c r="S1902" s="354"/>
      <c r="T1902" s="354"/>
      <c r="U1902" s="354"/>
      <c r="V1902" s="354"/>
      <c r="W1902" s="354"/>
      <c r="X1902" s="354"/>
      <c r="Y1902" s="354"/>
      <c r="Z1902" s="353"/>
      <c r="AA1902" s="352"/>
      <c r="AB1902" s="726"/>
    </row>
    <row r="1903" spans="1:28" ht="16.5" customHeight="1">
      <c r="A1903" s="347"/>
      <c r="B1903" s="347"/>
      <c r="C1903" s="347"/>
      <c r="D1903" s="348"/>
      <c r="E1903" s="348"/>
      <c r="F1903" s="348"/>
      <c r="G1903" s="348"/>
      <c r="H1903" s="359"/>
      <c r="I1903" s="352"/>
      <c r="J1903" s="353"/>
      <c r="K1903" s="538"/>
      <c r="L1903" s="487"/>
      <c r="M1903" s="487"/>
      <c r="N1903" s="354"/>
      <c r="O1903" s="354"/>
      <c r="P1903" s="354"/>
      <c r="Q1903" s="354"/>
      <c r="R1903" s="354"/>
      <c r="S1903" s="354"/>
      <c r="T1903" s="354"/>
      <c r="U1903" s="354"/>
      <c r="V1903" s="354"/>
      <c r="W1903" s="354"/>
      <c r="X1903" s="354"/>
      <c r="Y1903" s="354"/>
      <c r="Z1903" s="353"/>
      <c r="AA1903" s="352"/>
      <c r="AB1903" s="726"/>
    </row>
    <row r="1904" spans="1:28" ht="16.5" customHeight="1">
      <c r="A1904" s="347"/>
      <c r="B1904" s="347"/>
      <c r="C1904" s="347"/>
      <c r="D1904" s="361"/>
      <c r="E1904" s="361"/>
      <c r="F1904" s="361"/>
      <c r="G1904" s="348"/>
      <c r="H1904" s="359"/>
      <c r="I1904" s="352"/>
      <c r="J1904" s="353"/>
      <c r="K1904" s="538"/>
      <c r="L1904" s="487"/>
      <c r="M1904" s="487"/>
      <c r="N1904" s="354"/>
      <c r="O1904" s="354"/>
      <c r="P1904" s="354"/>
      <c r="Q1904" s="354"/>
      <c r="R1904" s="354"/>
      <c r="S1904" s="354"/>
      <c r="T1904" s="354"/>
      <c r="U1904" s="354"/>
      <c r="V1904" s="354"/>
      <c r="W1904" s="354"/>
      <c r="X1904" s="354"/>
      <c r="Y1904" s="354"/>
      <c r="Z1904" s="353"/>
      <c r="AA1904" s="352"/>
      <c r="AB1904" s="726"/>
    </row>
    <row r="1905" spans="1:28" ht="16.5" customHeight="1">
      <c r="A1905" s="347"/>
      <c r="B1905" s="347"/>
      <c r="C1905" s="347"/>
      <c r="D1905" s="348"/>
      <c r="E1905" s="348"/>
      <c r="F1905" s="348"/>
      <c r="G1905" s="348"/>
      <c r="H1905" s="359"/>
      <c r="I1905" s="352"/>
      <c r="J1905" s="353"/>
      <c r="K1905" s="538"/>
      <c r="L1905" s="487"/>
      <c r="M1905" s="487"/>
      <c r="N1905" s="354"/>
      <c r="O1905" s="354"/>
      <c r="P1905" s="354"/>
      <c r="Q1905" s="354"/>
      <c r="R1905" s="354"/>
      <c r="S1905" s="354"/>
      <c r="T1905" s="354"/>
      <c r="U1905" s="354"/>
      <c r="V1905" s="354"/>
      <c r="W1905" s="354"/>
      <c r="X1905" s="354"/>
      <c r="Y1905" s="354"/>
      <c r="Z1905" s="353"/>
      <c r="AA1905" s="352"/>
      <c r="AB1905" s="726"/>
    </row>
    <row r="1906" spans="1:28" ht="16.5" customHeight="1">
      <c r="A1906" s="347"/>
      <c r="B1906" s="347"/>
      <c r="C1906" s="347"/>
      <c r="D1906" s="348"/>
      <c r="E1906" s="348"/>
      <c r="F1906" s="348"/>
      <c r="G1906" s="348"/>
      <c r="H1906" s="359"/>
      <c r="I1906" s="352"/>
      <c r="J1906" s="353"/>
      <c r="K1906" s="538"/>
      <c r="L1906" s="487"/>
      <c r="M1906" s="487"/>
      <c r="N1906" s="354"/>
      <c r="O1906" s="354"/>
      <c r="P1906" s="354"/>
      <c r="Q1906" s="354"/>
      <c r="R1906" s="354"/>
      <c r="S1906" s="354"/>
      <c r="T1906" s="354"/>
      <c r="U1906" s="354"/>
      <c r="V1906" s="354"/>
      <c r="W1906" s="354"/>
      <c r="X1906" s="354"/>
      <c r="Y1906" s="354"/>
      <c r="Z1906" s="353"/>
      <c r="AA1906" s="352"/>
      <c r="AB1906" s="726"/>
    </row>
    <row r="1907" spans="1:28" ht="16.5" customHeight="1">
      <c r="A1907" s="347"/>
      <c r="B1907" s="347"/>
      <c r="C1907" s="347"/>
      <c r="D1907" s="348"/>
      <c r="E1907" s="348"/>
      <c r="F1907" s="348"/>
      <c r="G1907" s="348"/>
      <c r="H1907" s="359"/>
      <c r="I1907" s="352"/>
      <c r="J1907" s="353"/>
      <c r="K1907" s="538"/>
      <c r="L1907" s="487"/>
      <c r="M1907" s="487"/>
      <c r="N1907" s="354"/>
      <c r="O1907" s="354"/>
      <c r="P1907" s="354"/>
      <c r="Q1907" s="354"/>
      <c r="R1907" s="354"/>
      <c r="S1907" s="354"/>
      <c r="T1907" s="354"/>
      <c r="U1907" s="354"/>
      <c r="V1907" s="354"/>
      <c r="W1907" s="354"/>
      <c r="X1907" s="354"/>
      <c r="Y1907" s="354"/>
      <c r="Z1907" s="353"/>
      <c r="AA1907" s="352"/>
      <c r="AB1907" s="726"/>
    </row>
    <row r="1908" spans="1:28" ht="16.5" customHeight="1">
      <c r="A1908" s="347"/>
      <c r="B1908" s="347"/>
      <c r="C1908" s="347"/>
      <c r="D1908" s="348"/>
      <c r="E1908" s="348"/>
      <c r="F1908" s="348"/>
      <c r="G1908" s="348"/>
      <c r="H1908" s="359"/>
      <c r="I1908" s="352"/>
      <c r="J1908" s="353"/>
      <c r="K1908" s="538"/>
      <c r="L1908" s="487"/>
      <c r="M1908" s="487"/>
      <c r="N1908" s="354"/>
      <c r="O1908" s="354"/>
      <c r="P1908" s="354"/>
      <c r="Q1908" s="354"/>
      <c r="R1908" s="354"/>
      <c r="S1908" s="354"/>
      <c r="T1908" s="354"/>
      <c r="U1908" s="354"/>
      <c r="V1908" s="354"/>
      <c r="W1908" s="354"/>
      <c r="X1908" s="354"/>
      <c r="Y1908" s="354"/>
      <c r="Z1908" s="353"/>
      <c r="AA1908" s="352"/>
      <c r="AB1908" s="726"/>
    </row>
    <row r="1909" spans="1:28" ht="16.5" customHeight="1">
      <c r="A1909" s="347"/>
      <c r="B1909" s="347"/>
      <c r="C1909" s="347"/>
      <c r="D1909" s="348"/>
      <c r="E1909" s="348"/>
      <c r="F1909" s="348"/>
      <c r="G1909" s="348"/>
      <c r="H1909" s="359"/>
      <c r="I1909" s="352"/>
      <c r="J1909" s="353"/>
      <c r="K1909" s="538"/>
      <c r="L1909" s="487"/>
      <c r="M1909" s="487"/>
      <c r="N1909" s="354"/>
      <c r="O1909" s="354"/>
      <c r="P1909" s="354"/>
      <c r="Q1909" s="354"/>
      <c r="R1909" s="354"/>
      <c r="S1909" s="354"/>
      <c r="T1909" s="354"/>
      <c r="U1909" s="354"/>
      <c r="V1909" s="354"/>
      <c r="W1909" s="354"/>
      <c r="X1909" s="354"/>
      <c r="Y1909" s="354"/>
      <c r="Z1909" s="353"/>
      <c r="AA1909" s="352"/>
      <c r="AB1909" s="726"/>
    </row>
    <row r="1910" spans="1:28" ht="16.5" customHeight="1">
      <c r="A1910" s="347"/>
      <c r="B1910" s="347"/>
      <c r="C1910" s="347"/>
      <c r="D1910" s="348"/>
      <c r="E1910" s="348"/>
      <c r="F1910" s="348"/>
      <c r="G1910" s="348"/>
      <c r="H1910" s="359"/>
      <c r="I1910" s="352"/>
      <c r="J1910" s="353"/>
      <c r="K1910" s="538"/>
      <c r="L1910" s="487"/>
      <c r="M1910" s="487"/>
      <c r="N1910" s="354"/>
      <c r="O1910" s="354"/>
      <c r="P1910" s="354"/>
      <c r="Q1910" s="354"/>
      <c r="R1910" s="354"/>
      <c r="S1910" s="354"/>
      <c r="T1910" s="354"/>
      <c r="U1910" s="354"/>
      <c r="V1910" s="354"/>
      <c r="W1910" s="354"/>
      <c r="X1910" s="354"/>
      <c r="Y1910" s="354"/>
      <c r="Z1910" s="353"/>
      <c r="AA1910" s="352"/>
      <c r="AB1910" s="726"/>
    </row>
    <row r="1911" spans="1:28" ht="16.5" customHeight="1">
      <c r="A1911" s="347"/>
      <c r="B1911" s="347"/>
      <c r="C1911" s="347"/>
      <c r="D1911" s="348"/>
      <c r="E1911" s="348"/>
      <c r="F1911" s="348"/>
      <c r="G1911" s="348"/>
      <c r="H1911" s="359"/>
      <c r="I1911" s="352"/>
      <c r="J1911" s="353"/>
      <c r="K1911" s="538"/>
      <c r="L1911" s="487"/>
      <c r="M1911" s="487"/>
      <c r="N1911" s="354"/>
      <c r="O1911" s="354"/>
      <c r="P1911" s="354"/>
      <c r="Q1911" s="354"/>
      <c r="R1911" s="354"/>
      <c r="S1911" s="354"/>
      <c r="T1911" s="354"/>
      <c r="U1911" s="354"/>
      <c r="V1911" s="354"/>
      <c r="W1911" s="354"/>
      <c r="X1911" s="354"/>
      <c r="Y1911" s="354"/>
      <c r="Z1911" s="353"/>
      <c r="AA1911" s="352"/>
      <c r="AB1911" s="726"/>
    </row>
    <row r="1912" spans="1:28" ht="16.5" customHeight="1">
      <c r="A1912" s="347"/>
      <c r="B1912" s="347"/>
      <c r="C1912" s="347"/>
      <c r="D1912" s="348"/>
      <c r="E1912" s="348"/>
      <c r="F1912" s="348"/>
      <c r="G1912" s="348"/>
      <c r="H1912" s="359"/>
      <c r="I1912" s="352"/>
      <c r="J1912" s="353"/>
      <c r="K1912" s="538"/>
      <c r="L1912" s="487"/>
      <c r="M1912" s="487"/>
      <c r="N1912" s="354"/>
      <c r="O1912" s="354"/>
      <c r="P1912" s="354"/>
      <c r="Q1912" s="354"/>
      <c r="R1912" s="354"/>
      <c r="S1912" s="354"/>
      <c r="T1912" s="354"/>
      <c r="U1912" s="354"/>
      <c r="V1912" s="354"/>
      <c r="W1912" s="354"/>
      <c r="X1912" s="354"/>
      <c r="Y1912" s="354"/>
      <c r="Z1912" s="353"/>
      <c r="AA1912" s="352"/>
      <c r="AB1912" s="726"/>
    </row>
    <row r="1913" spans="1:28" ht="16.5" customHeight="1">
      <c r="A1913" s="347"/>
      <c r="B1913" s="347"/>
      <c r="C1913" s="347"/>
      <c r="D1913" s="348"/>
      <c r="E1913" s="348"/>
      <c r="F1913" s="348"/>
      <c r="G1913" s="348"/>
      <c r="H1913" s="359"/>
      <c r="I1913" s="352"/>
      <c r="J1913" s="353"/>
      <c r="K1913" s="538"/>
      <c r="L1913" s="487"/>
      <c r="M1913" s="487"/>
      <c r="N1913" s="354"/>
      <c r="O1913" s="354"/>
      <c r="P1913" s="354"/>
      <c r="Q1913" s="354"/>
      <c r="R1913" s="354"/>
      <c r="S1913" s="354"/>
      <c r="T1913" s="354"/>
      <c r="U1913" s="354"/>
      <c r="V1913" s="354"/>
      <c r="W1913" s="354"/>
      <c r="X1913" s="354"/>
      <c r="Y1913" s="354"/>
      <c r="Z1913" s="353"/>
      <c r="AA1913" s="352"/>
      <c r="AB1913" s="726"/>
    </row>
    <row r="1914" spans="1:28" ht="16.5" customHeight="1">
      <c r="A1914" s="347"/>
      <c r="B1914" s="347"/>
      <c r="C1914" s="347"/>
      <c r="D1914" s="361"/>
      <c r="E1914" s="361"/>
      <c r="F1914" s="361"/>
      <c r="G1914" s="348"/>
      <c r="H1914" s="359"/>
      <c r="I1914" s="352"/>
      <c r="J1914" s="353"/>
      <c r="K1914" s="538"/>
      <c r="L1914" s="487"/>
      <c r="M1914" s="487"/>
      <c r="N1914" s="354"/>
      <c r="O1914" s="354"/>
      <c r="P1914" s="354"/>
      <c r="Q1914" s="354"/>
      <c r="R1914" s="354"/>
      <c r="S1914" s="354"/>
      <c r="T1914" s="354"/>
      <c r="U1914" s="354"/>
      <c r="V1914" s="354"/>
      <c r="W1914" s="354"/>
      <c r="X1914" s="354"/>
      <c r="Y1914" s="354"/>
      <c r="Z1914" s="353"/>
      <c r="AA1914" s="352"/>
      <c r="AB1914" s="726"/>
    </row>
    <row r="1915" spans="1:28" ht="16.5" customHeight="1">
      <c r="A1915" s="347"/>
      <c r="B1915" s="347"/>
      <c r="C1915" s="347"/>
      <c r="D1915" s="348"/>
      <c r="E1915" s="348"/>
      <c r="F1915" s="348"/>
      <c r="G1915" s="348"/>
      <c r="H1915" s="359"/>
      <c r="I1915" s="352"/>
      <c r="J1915" s="353"/>
      <c r="K1915" s="538"/>
      <c r="L1915" s="487"/>
      <c r="M1915" s="487"/>
      <c r="N1915" s="354"/>
      <c r="O1915" s="354"/>
      <c r="P1915" s="354"/>
      <c r="Q1915" s="354"/>
      <c r="R1915" s="354"/>
      <c r="S1915" s="354"/>
      <c r="T1915" s="354"/>
      <c r="U1915" s="354"/>
      <c r="V1915" s="354"/>
      <c r="W1915" s="354"/>
      <c r="X1915" s="354"/>
      <c r="Y1915" s="354"/>
      <c r="Z1915" s="353"/>
      <c r="AA1915" s="352"/>
      <c r="AB1915" s="726"/>
    </row>
    <row r="1916" spans="1:28" ht="16.5" customHeight="1">
      <c r="A1916" s="347"/>
      <c r="B1916" s="347"/>
      <c r="C1916" s="347"/>
      <c r="D1916" s="348"/>
      <c r="E1916" s="348"/>
      <c r="F1916" s="348"/>
      <c r="G1916" s="348"/>
      <c r="H1916" s="359"/>
      <c r="I1916" s="352"/>
      <c r="J1916" s="353"/>
      <c r="K1916" s="538"/>
      <c r="L1916" s="487"/>
      <c r="M1916" s="487"/>
      <c r="N1916" s="354"/>
      <c r="O1916" s="354"/>
      <c r="P1916" s="354"/>
      <c r="Q1916" s="354"/>
      <c r="R1916" s="354"/>
      <c r="S1916" s="354"/>
      <c r="T1916" s="354"/>
      <c r="U1916" s="354"/>
      <c r="V1916" s="354"/>
      <c r="W1916" s="354"/>
      <c r="X1916" s="354"/>
      <c r="Y1916" s="354"/>
      <c r="Z1916" s="353"/>
      <c r="AA1916" s="352"/>
      <c r="AB1916" s="726"/>
    </row>
    <row r="1917" spans="1:28" ht="16.5" customHeight="1">
      <c r="A1917" s="347"/>
      <c r="B1917" s="347"/>
      <c r="C1917" s="347"/>
      <c r="D1917" s="348"/>
      <c r="E1917" s="348"/>
      <c r="F1917" s="348"/>
      <c r="G1917" s="348"/>
      <c r="H1917" s="359"/>
      <c r="I1917" s="352"/>
      <c r="J1917" s="353"/>
      <c r="K1917" s="538"/>
      <c r="L1917" s="487"/>
      <c r="M1917" s="487"/>
      <c r="N1917" s="354"/>
      <c r="O1917" s="354"/>
      <c r="P1917" s="354"/>
      <c r="Q1917" s="354"/>
      <c r="R1917" s="354"/>
      <c r="S1917" s="354"/>
      <c r="T1917" s="354"/>
      <c r="U1917" s="354"/>
      <c r="V1917" s="354"/>
      <c r="W1917" s="354"/>
      <c r="X1917" s="354"/>
      <c r="Y1917" s="354"/>
      <c r="Z1917" s="353"/>
      <c r="AA1917" s="352"/>
      <c r="AB1917" s="726"/>
    </row>
    <row r="1918" spans="1:28" ht="16.5" customHeight="1">
      <c r="A1918" s="347"/>
      <c r="B1918" s="347"/>
      <c r="C1918" s="347"/>
      <c r="D1918" s="348"/>
      <c r="E1918" s="348"/>
      <c r="F1918" s="348"/>
      <c r="G1918" s="348"/>
      <c r="H1918" s="359"/>
      <c r="I1918" s="352"/>
      <c r="J1918" s="353"/>
      <c r="K1918" s="538"/>
      <c r="L1918" s="487"/>
      <c r="M1918" s="487"/>
      <c r="N1918" s="354"/>
      <c r="O1918" s="354"/>
      <c r="P1918" s="354"/>
      <c r="Q1918" s="354"/>
      <c r="R1918" s="354"/>
      <c r="S1918" s="354"/>
      <c r="T1918" s="354"/>
      <c r="U1918" s="354"/>
      <c r="V1918" s="354"/>
      <c r="W1918" s="354"/>
      <c r="X1918" s="354"/>
      <c r="Y1918" s="354"/>
      <c r="Z1918" s="353"/>
      <c r="AA1918" s="352"/>
      <c r="AB1918" s="726"/>
    </row>
    <row r="1919" spans="1:28" ht="16.5" customHeight="1">
      <c r="A1919" s="347"/>
      <c r="B1919" s="347"/>
      <c r="C1919" s="347"/>
      <c r="D1919" s="348"/>
      <c r="E1919" s="348"/>
      <c r="F1919" s="348"/>
      <c r="G1919" s="348"/>
      <c r="H1919" s="359"/>
      <c r="I1919" s="352"/>
      <c r="J1919" s="353"/>
      <c r="K1919" s="538"/>
      <c r="L1919" s="487"/>
      <c r="M1919" s="487"/>
      <c r="N1919" s="354"/>
      <c r="O1919" s="354"/>
      <c r="P1919" s="354"/>
      <c r="Q1919" s="354"/>
      <c r="R1919" s="354"/>
      <c r="S1919" s="354"/>
      <c r="T1919" s="354"/>
      <c r="U1919" s="354"/>
      <c r="V1919" s="354"/>
      <c r="W1919" s="354"/>
      <c r="X1919" s="354"/>
      <c r="Y1919" s="354"/>
      <c r="Z1919" s="353"/>
      <c r="AA1919" s="352"/>
      <c r="AB1919" s="726"/>
    </row>
    <row r="1920" spans="1:28" ht="16.5" customHeight="1">
      <c r="A1920" s="347"/>
      <c r="B1920" s="347"/>
      <c r="C1920" s="347"/>
      <c r="D1920" s="348"/>
      <c r="E1920" s="348"/>
      <c r="F1920" s="348"/>
      <c r="G1920" s="348"/>
      <c r="H1920" s="359"/>
      <c r="I1920" s="352"/>
      <c r="J1920" s="353"/>
      <c r="K1920" s="538"/>
      <c r="L1920" s="487"/>
      <c r="M1920" s="487"/>
      <c r="N1920" s="354"/>
      <c r="O1920" s="354"/>
      <c r="P1920" s="354"/>
      <c r="Q1920" s="354"/>
      <c r="R1920" s="354"/>
      <c r="S1920" s="354"/>
      <c r="T1920" s="354"/>
      <c r="U1920" s="354"/>
      <c r="V1920" s="354"/>
      <c r="W1920" s="354"/>
      <c r="X1920" s="354"/>
      <c r="Y1920" s="354"/>
      <c r="Z1920" s="353"/>
      <c r="AA1920" s="352"/>
      <c r="AB1920" s="726"/>
    </row>
    <row r="1921" spans="1:28" ht="16.5" customHeight="1">
      <c r="A1921" s="347"/>
      <c r="B1921" s="347"/>
      <c r="C1921" s="347"/>
      <c r="D1921" s="348"/>
      <c r="E1921" s="348"/>
      <c r="F1921" s="348"/>
      <c r="G1921" s="348"/>
      <c r="H1921" s="359"/>
      <c r="I1921" s="352"/>
      <c r="J1921" s="353"/>
      <c r="K1921" s="538"/>
      <c r="L1921" s="487"/>
      <c r="M1921" s="487"/>
      <c r="N1921" s="354"/>
      <c r="O1921" s="354"/>
      <c r="P1921" s="354"/>
      <c r="Q1921" s="354"/>
      <c r="R1921" s="354"/>
      <c r="S1921" s="354"/>
      <c r="T1921" s="354"/>
      <c r="U1921" s="354"/>
      <c r="V1921" s="354"/>
      <c r="W1921" s="354"/>
      <c r="X1921" s="354"/>
      <c r="Y1921" s="354"/>
      <c r="Z1921" s="353"/>
      <c r="AA1921" s="352"/>
      <c r="AB1921" s="726"/>
    </row>
    <row r="1922" spans="1:28" ht="16.5" customHeight="1">
      <c r="A1922" s="347"/>
      <c r="B1922" s="347"/>
      <c r="C1922" s="347"/>
      <c r="D1922" s="348"/>
      <c r="E1922" s="348"/>
      <c r="F1922" s="348"/>
      <c r="G1922" s="348"/>
      <c r="H1922" s="359"/>
      <c r="I1922" s="352"/>
      <c r="J1922" s="353"/>
      <c r="K1922" s="538"/>
      <c r="L1922" s="487"/>
      <c r="M1922" s="487"/>
      <c r="N1922" s="354"/>
      <c r="O1922" s="354"/>
      <c r="P1922" s="354"/>
      <c r="Q1922" s="354"/>
      <c r="R1922" s="354"/>
      <c r="S1922" s="354"/>
      <c r="T1922" s="354"/>
      <c r="U1922" s="354"/>
      <c r="V1922" s="354"/>
      <c r="W1922" s="354"/>
      <c r="X1922" s="354"/>
      <c r="Y1922" s="354"/>
      <c r="Z1922" s="353"/>
      <c r="AA1922" s="352"/>
      <c r="AB1922" s="726"/>
    </row>
    <row r="1923" spans="1:28" ht="16.5" customHeight="1">
      <c r="A1923" s="347"/>
      <c r="B1923" s="347"/>
      <c r="C1923" s="347"/>
      <c r="D1923" s="361"/>
      <c r="E1923" s="361"/>
      <c r="F1923" s="361"/>
      <c r="G1923" s="348"/>
      <c r="H1923" s="359"/>
      <c r="I1923" s="352"/>
      <c r="J1923" s="353"/>
      <c r="K1923" s="538"/>
      <c r="L1923" s="487"/>
      <c r="M1923" s="487"/>
      <c r="N1923" s="354"/>
      <c r="O1923" s="354"/>
      <c r="P1923" s="354"/>
      <c r="Q1923" s="354"/>
      <c r="R1923" s="354"/>
      <c r="S1923" s="354"/>
      <c r="T1923" s="354"/>
      <c r="U1923" s="354"/>
      <c r="V1923" s="354"/>
      <c r="W1923" s="354"/>
      <c r="X1923" s="354"/>
      <c r="Y1923" s="354"/>
      <c r="Z1923" s="353"/>
      <c r="AA1923" s="352"/>
      <c r="AB1923" s="726"/>
    </row>
    <row r="1924" spans="1:28" ht="16.5" customHeight="1">
      <c r="A1924" s="347"/>
      <c r="B1924" s="347"/>
      <c r="C1924" s="347"/>
      <c r="D1924" s="361"/>
      <c r="E1924" s="361"/>
      <c r="F1924" s="361"/>
      <c r="G1924" s="348"/>
      <c r="H1924" s="359"/>
      <c r="I1924" s="352"/>
      <c r="J1924" s="353"/>
      <c r="K1924" s="538"/>
      <c r="L1924" s="487"/>
      <c r="M1924" s="487"/>
      <c r="N1924" s="354"/>
      <c r="O1924" s="354"/>
      <c r="P1924" s="354"/>
      <c r="Q1924" s="354"/>
      <c r="R1924" s="354"/>
      <c r="S1924" s="354"/>
      <c r="T1924" s="354"/>
      <c r="U1924" s="354"/>
      <c r="V1924" s="354"/>
      <c r="W1924" s="354"/>
      <c r="X1924" s="354"/>
      <c r="Y1924" s="354"/>
      <c r="Z1924" s="353"/>
      <c r="AA1924" s="352"/>
      <c r="AB1924" s="726"/>
    </row>
    <row r="1925" spans="1:28" ht="16.5" customHeight="1">
      <c r="A1925" s="347"/>
      <c r="B1925" s="347"/>
      <c r="C1925" s="347"/>
      <c r="D1925" s="348"/>
      <c r="E1925" s="348"/>
      <c r="F1925" s="348"/>
      <c r="G1925" s="348"/>
      <c r="H1925" s="359"/>
      <c r="I1925" s="352"/>
      <c r="J1925" s="353"/>
      <c r="K1925" s="538"/>
      <c r="L1925" s="487"/>
      <c r="M1925" s="487"/>
      <c r="N1925" s="354"/>
      <c r="O1925" s="354"/>
      <c r="P1925" s="354"/>
      <c r="Q1925" s="354"/>
      <c r="R1925" s="354"/>
      <c r="S1925" s="354"/>
      <c r="T1925" s="354"/>
      <c r="U1925" s="354"/>
      <c r="V1925" s="354"/>
      <c r="W1925" s="354"/>
      <c r="X1925" s="354"/>
      <c r="Y1925" s="354"/>
      <c r="Z1925" s="353"/>
      <c r="AA1925" s="352"/>
      <c r="AB1925" s="726"/>
    </row>
    <row r="1926" spans="1:28" ht="16.5" customHeight="1">
      <c r="A1926" s="347"/>
      <c r="B1926" s="347"/>
      <c r="C1926" s="347"/>
      <c r="D1926" s="348"/>
      <c r="E1926" s="348"/>
      <c r="F1926" s="348"/>
      <c r="G1926" s="348"/>
      <c r="H1926" s="359"/>
      <c r="I1926" s="352"/>
      <c r="J1926" s="353"/>
      <c r="K1926" s="538"/>
      <c r="L1926" s="487"/>
      <c r="M1926" s="487"/>
      <c r="N1926" s="354"/>
      <c r="O1926" s="354"/>
      <c r="P1926" s="354"/>
      <c r="Q1926" s="354"/>
      <c r="R1926" s="354"/>
      <c r="S1926" s="354"/>
      <c r="T1926" s="354"/>
      <c r="U1926" s="354"/>
      <c r="V1926" s="354"/>
      <c r="W1926" s="354"/>
      <c r="X1926" s="354"/>
      <c r="Y1926" s="354"/>
      <c r="Z1926" s="353"/>
      <c r="AA1926" s="352"/>
      <c r="AB1926" s="726"/>
    </row>
    <row r="1927" spans="1:28" ht="16.5" customHeight="1">
      <c r="A1927" s="347"/>
      <c r="B1927" s="347"/>
      <c r="C1927" s="347"/>
      <c r="D1927" s="361"/>
      <c r="E1927" s="361"/>
      <c r="F1927" s="361"/>
      <c r="G1927" s="348"/>
      <c r="H1927" s="359"/>
      <c r="I1927" s="352"/>
      <c r="J1927" s="353"/>
      <c r="K1927" s="538"/>
      <c r="L1927" s="487"/>
      <c r="M1927" s="487"/>
      <c r="N1927" s="354"/>
      <c r="O1927" s="354"/>
      <c r="P1927" s="354"/>
      <c r="Q1927" s="354"/>
      <c r="R1927" s="354"/>
      <c r="S1927" s="354"/>
      <c r="T1927" s="354"/>
      <c r="U1927" s="354"/>
      <c r="V1927" s="354"/>
      <c r="W1927" s="354"/>
      <c r="X1927" s="354"/>
      <c r="Y1927" s="354"/>
      <c r="Z1927" s="353"/>
      <c r="AA1927" s="352"/>
      <c r="AB1927" s="726"/>
    </row>
    <row r="1928" spans="1:28" ht="16.5" customHeight="1">
      <c r="A1928" s="347"/>
      <c r="B1928" s="347"/>
      <c r="C1928" s="347"/>
      <c r="D1928" s="348"/>
      <c r="E1928" s="348"/>
      <c r="F1928" s="348"/>
      <c r="G1928" s="348"/>
      <c r="H1928" s="359"/>
      <c r="I1928" s="352"/>
      <c r="J1928" s="353"/>
      <c r="K1928" s="538"/>
      <c r="L1928" s="487"/>
      <c r="M1928" s="487"/>
      <c r="N1928" s="354"/>
      <c r="O1928" s="354"/>
      <c r="P1928" s="354"/>
      <c r="Q1928" s="354"/>
      <c r="R1928" s="354"/>
      <c r="S1928" s="354"/>
      <c r="T1928" s="354"/>
      <c r="U1928" s="354"/>
      <c r="V1928" s="354"/>
      <c r="W1928" s="354"/>
      <c r="X1928" s="354"/>
      <c r="Y1928" s="354"/>
      <c r="Z1928" s="353"/>
      <c r="AA1928" s="352"/>
      <c r="AB1928" s="726"/>
    </row>
    <row r="1929" spans="1:28" ht="16.5" customHeight="1">
      <c r="A1929" s="347"/>
      <c r="B1929" s="347"/>
      <c r="C1929" s="347"/>
      <c r="D1929" s="348"/>
      <c r="E1929" s="348"/>
      <c r="F1929" s="348"/>
      <c r="G1929" s="348"/>
      <c r="H1929" s="359"/>
      <c r="I1929" s="352"/>
      <c r="J1929" s="353"/>
      <c r="K1929" s="538"/>
      <c r="L1929" s="487"/>
      <c r="M1929" s="487"/>
      <c r="N1929" s="354"/>
      <c r="O1929" s="354"/>
      <c r="P1929" s="354"/>
      <c r="Q1929" s="354"/>
      <c r="R1929" s="354"/>
      <c r="S1929" s="354"/>
      <c r="T1929" s="354"/>
      <c r="U1929" s="354"/>
      <c r="V1929" s="354"/>
      <c r="W1929" s="354"/>
      <c r="X1929" s="354"/>
      <c r="Y1929" s="354"/>
      <c r="Z1929" s="353"/>
      <c r="AA1929" s="352"/>
      <c r="AB1929" s="726"/>
    </row>
    <row r="1930" spans="1:28" ht="16.5" customHeight="1">
      <c r="A1930" s="347"/>
      <c r="B1930" s="347"/>
      <c r="C1930" s="347"/>
      <c r="D1930" s="348"/>
      <c r="E1930" s="348"/>
      <c r="F1930" s="348"/>
      <c r="G1930" s="348"/>
      <c r="H1930" s="359"/>
      <c r="I1930" s="352"/>
      <c r="J1930" s="353"/>
      <c r="K1930" s="538"/>
      <c r="L1930" s="487"/>
      <c r="M1930" s="487"/>
      <c r="N1930" s="354"/>
      <c r="O1930" s="354"/>
      <c r="P1930" s="354"/>
      <c r="Q1930" s="354"/>
      <c r="R1930" s="354"/>
      <c r="S1930" s="354"/>
      <c r="T1930" s="354"/>
      <c r="U1930" s="354"/>
      <c r="V1930" s="354"/>
      <c r="W1930" s="354"/>
      <c r="X1930" s="354"/>
      <c r="Y1930" s="354"/>
      <c r="Z1930" s="353"/>
      <c r="AA1930" s="352"/>
      <c r="AB1930" s="726"/>
    </row>
    <row r="1931" spans="1:28" ht="16.5" customHeight="1">
      <c r="A1931" s="347"/>
      <c r="B1931" s="347"/>
      <c r="C1931" s="347"/>
      <c r="D1931" s="348"/>
      <c r="E1931" s="348"/>
      <c r="F1931" s="348"/>
      <c r="G1931" s="348"/>
      <c r="H1931" s="359"/>
      <c r="I1931" s="352"/>
      <c r="J1931" s="353"/>
      <c r="K1931" s="538"/>
      <c r="L1931" s="487"/>
      <c r="M1931" s="487"/>
      <c r="N1931" s="354"/>
      <c r="O1931" s="354"/>
      <c r="P1931" s="354"/>
      <c r="Q1931" s="354"/>
      <c r="R1931" s="354"/>
      <c r="S1931" s="354"/>
      <c r="T1931" s="354"/>
      <c r="U1931" s="354"/>
      <c r="V1931" s="354"/>
      <c r="W1931" s="354"/>
      <c r="X1931" s="354"/>
      <c r="Y1931" s="354"/>
      <c r="Z1931" s="353"/>
      <c r="AA1931" s="352"/>
      <c r="AB1931" s="726"/>
    </row>
    <row r="1932" spans="1:28" ht="16.5" customHeight="1">
      <c r="A1932" s="347"/>
      <c r="B1932" s="347"/>
      <c r="C1932" s="347"/>
      <c r="D1932" s="361"/>
      <c r="E1932" s="361"/>
      <c r="F1932" s="361"/>
      <c r="G1932" s="348"/>
      <c r="H1932" s="359"/>
      <c r="I1932" s="352"/>
      <c r="J1932" s="353"/>
      <c r="K1932" s="538"/>
      <c r="L1932" s="487"/>
      <c r="M1932" s="487"/>
      <c r="N1932" s="354"/>
      <c r="O1932" s="354"/>
      <c r="P1932" s="354"/>
      <c r="Q1932" s="354"/>
      <c r="R1932" s="354"/>
      <c r="S1932" s="354"/>
      <c r="T1932" s="354"/>
      <c r="U1932" s="354"/>
      <c r="V1932" s="354"/>
      <c r="W1932" s="354"/>
      <c r="X1932" s="354"/>
      <c r="Y1932" s="354"/>
      <c r="Z1932" s="353"/>
      <c r="AA1932" s="352"/>
      <c r="AB1932" s="726"/>
    </row>
    <row r="1933" spans="1:28" ht="16.5" customHeight="1">
      <c r="A1933" s="347"/>
      <c r="B1933" s="347"/>
      <c r="C1933" s="347"/>
      <c r="D1933" s="348"/>
      <c r="E1933" s="348"/>
      <c r="F1933" s="348"/>
      <c r="G1933" s="348"/>
      <c r="H1933" s="359"/>
      <c r="I1933" s="352"/>
      <c r="J1933" s="353"/>
      <c r="K1933" s="538"/>
      <c r="L1933" s="487"/>
      <c r="M1933" s="487"/>
      <c r="N1933" s="354"/>
      <c r="O1933" s="354"/>
      <c r="P1933" s="354"/>
      <c r="Q1933" s="354"/>
      <c r="R1933" s="354"/>
      <c r="S1933" s="354"/>
      <c r="T1933" s="354"/>
      <c r="U1933" s="354"/>
      <c r="V1933" s="354"/>
      <c r="W1933" s="354"/>
      <c r="X1933" s="354"/>
      <c r="Y1933" s="354"/>
      <c r="Z1933" s="353"/>
      <c r="AA1933" s="352"/>
      <c r="AB1933" s="726"/>
    </row>
    <row r="1934" spans="1:28" ht="16.5" customHeight="1">
      <c r="A1934" s="347"/>
      <c r="B1934" s="347"/>
      <c r="C1934" s="347"/>
      <c r="D1934" s="348"/>
      <c r="E1934" s="348"/>
      <c r="F1934" s="348"/>
      <c r="G1934" s="348"/>
      <c r="H1934" s="359"/>
      <c r="I1934" s="352"/>
      <c r="J1934" s="353"/>
      <c r="K1934" s="538"/>
      <c r="L1934" s="487"/>
      <c r="M1934" s="487"/>
      <c r="N1934" s="354"/>
      <c r="O1934" s="354"/>
      <c r="P1934" s="354"/>
      <c r="Q1934" s="354"/>
      <c r="R1934" s="354"/>
      <c r="S1934" s="354"/>
      <c r="T1934" s="354"/>
      <c r="U1934" s="354"/>
      <c r="V1934" s="354"/>
      <c r="W1934" s="354"/>
      <c r="X1934" s="354"/>
      <c r="Y1934" s="354"/>
      <c r="Z1934" s="353"/>
      <c r="AA1934" s="352"/>
      <c r="AB1934" s="726"/>
    </row>
    <row r="1935" spans="1:28" ht="16.5" customHeight="1">
      <c r="A1935" s="347"/>
      <c r="B1935" s="347"/>
      <c r="C1935" s="347"/>
      <c r="D1935" s="348"/>
      <c r="E1935" s="348"/>
      <c r="F1935" s="348"/>
      <c r="G1935" s="348"/>
      <c r="H1935" s="359"/>
      <c r="I1935" s="352"/>
      <c r="J1935" s="353"/>
      <c r="K1935" s="538"/>
      <c r="L1935" s="487"/>
      <c r="M1935" s="487"/>
      <c r="N1935" s="354"/>
      <c r="O1935" s="354"/>
      <c r="P1935" s="354"/>
      <c r="Q1935" s="354"/>
      <c r="R1935" s="354"/>
      <c r="S1935" s="354"/>
      <c r="T1935" s="354"/>
      <c r="U1935" s="354"/>
      <c r="V1935" s="354"/>
      <c r="W1935" s="354"/>
      <c r="X1935" s="354"/>
      <c r="Y1935" s="354"/>
      <c r="Z1935" s="353"/>
      <c r="AA1935" s="352"/>
      <c r="AB1935" s="726"/>
    </row>
    <row r="1936" spans="1:28" ht="16.5" customHeight="1">
      <c r="A1936" s="347"/>
      <c r="B1936" s="347"/>
      <c r="C1936" s="347"/>
      <c r="D1936" s="348"/>
      <c r="E1936" s="348"/>
      <c r="F1936" s="348"/>
      <c r="G1936" s="348"/>
      <c r="H1936" s="359"/>
      <c r="I1936" s="352"/>
      <c r="J1936" s="353"/>
      <c r="K1936" s="538"/>
      <c r="L1936" s="487"/>
      <c r="M1936" s="487"/>
      <c r="N1936" s="354"/>
      <c r="O1936" s="354"/>
      <c r="P1936" s="354"/>
      <c r="Q1936" s="354"/>
      <c r="R1936" s="354"/>
      <c r="S1936" s="354"/>
      <c r="T1936" s="354"/>
      <c r="U1936" s="354"/>
      <c r="V1936" s="354"/>
      <c r="W1936" s="354"/>
      <c r="X1936" s="354"/>
      <c r="Y1936" s="354"/>
      <c r="Z1936" s="353"/>
      <c r="AA1936" s="352"/>
      <c r="AB1936" s="726"/>
    </row>
    <row r="1937" spans="1:28" ht="16.5" customHeight="1">
      <c r="A1937" s="347"/>
      <c r="B1937" s="347"/>
      <c r="C1937" s="347"/>
      <c r="D1937" s="361"/>
      <c r="E1937" s="361"/>
      <c r="F1937" s="361"/>
      <c r="G1937" s="348"/>
      <c r="H1937" s="359"/>
      <c r="I1937" s="352"/>
      <c r="J1937" s="353"/>
      <c r="K1937" s="538"/>
      <c r="L1937" s="487"/>
      <c r="M1937" s="487"/>
      <c r="N1937" s="354"/>
      <c r="O1937" s="354"/>
      <c r="P1937" s="354"/>
      <c r="Q1937" s="354"/>
      <c r="R1937" s="354"/>
      <c r="S1937" s="354"/>
      <c r="T1937" s="354"/>
      <c r="U1937" s="354"/>
      <c r="V1937" s="354"/>
      <c r="W1937" s="354"/>
      <c r="X1937" s="354"/>
      <c r="Y1937" s="354"/>
      <c r="Z1937" s="353"/>
      <c r="AA1937" s="352"/>
      <c r="AB1937" s="726"/>
    </row>
    <row r="1938" spans="1:28" ht="16.5" customHeight="1">
      <c r="A1938" s="347"/>
      <c r="B1938" s="347"/>
      <c r="C1938" s="347"/>
      <c r="D1938" s="348"/>
      <c r="E1938" s="348"/>
      <c r="F1938" s="348"/>
      <c r="G1938" s="348"/>
      <c r="H1938" s="359"/>
      <c r="I1938" s="352"/>
      <c r="J1938" s="353"/>
      <c r="K1938" s="538"/>
      <c r="L1938" s="487"/>
      <c r="M1938" s="487"/>
      <c r="N1938" s="354"/>
      <c r="O1938" s="354"/>
      <c r="P1938" s="354"/>
      <c r="Q1938" s="354"/>
      <c r="R1938" s="354"/>
      <c r="S1938" s="354"/>
      <c r="T1938" s="354"/>
      <c r="U1938" s="354"/>
      <c r="V1938" s="354"/>
      <c r="W1938" s="354"/>
      <c r="X1938" s="354"/>
      <c r="Y1938" s="354"/>
      <c r="Z1938" s="353"/>
      <c r="AA1938" s="352"/>
      <c r="AB1938" s="726"/>
    </row>
    <row r="1939" spans="1:28" ht="16.5" customHeight="1">
      <c r="A1939" s="347"/>
      <c r="B1939" s="347"/>
      <c r="C1939" s="347"/>
      <c r="D1939" s="348"/>
      <c r="E1939" s="348"/>
      <c r="F1939" s="348"/>
      <c r="G1939" s="348"/>
      <c r="H1939" s="359"/>
      <c r="I1939" s="352"/>
      <c r="J1939" s="353"/>
      <c r="K1939" s="538"/>
      <c r="L1939" s="487"/>
      <c r="M1939" s="487"/>
      <c r="N1939" s="354"/>
      <c r="O1939" s="354"/>
      <c r="P1939" s="354"/>
      <c r="Q1939" s="354"/>
      <c r="R1939" s="354"/>
      <c r="S1939" s="354"/>
      <c r="T1939" s="354"/>
      <c r="U1939" s="354"/>
      <c r="V1939" s="354"/>
      <c r="W1939" s="354"/>
      <c r="X1939" s="354"/>
      <c r="Y1939" s="354"/>
      <c r="Z1939" s="353"/>
      <c r="AA1939" s="352"/>
      <c r="AB1939" s="726"/>
    </row>
    <row r="1940" spans="1:28" ht="16.5" customHeight="1">
      <c r="A1940" s="347"/>
      <c r="B1940" s="347"/>
      <c r="C1940" s="347"/>
      <c r="D1940" s="348"/>
      <c r="E1940" s="348"/>
      <c r="F1940" s="348"/>
      <c r="G1940" s="348"/>
      <c r="H1940" s="359"/>
      <c r="I1940" s="352"/>
      <c r="J1940" s="353"/>
      <c r="K1940" s="538"/>
      <c r="L1940" s="487"/>
      <c r="M1940" s="487"/>
      <c r="N1940" s="354"/>
      <c r="O1940" s="354"/>
      <c r="P1940" s="354"/>
      <c r="Q1940" s="354"/>
      <c r="R1940" s="354"/>
      <c r="S1940" s="354"/>
      <c r="T1940" s="354"/>
      <c r="U1940" s="354"/>
      <c r="V1940" s="354"/>
      <c r="W1940" s="354"/>
      <c r="X1940" s="354"/>
      <c r="Y1940" s="354"/>
      <c r="Z1940" s="353"/>
      <c r="AA1940" s="352"/>
      <c r="AB1940" s="726"/>
    </row>
    <row r="1941" spans="1:28" ht="16.5" customHeight="1">
      <c r="A1941" s="347"/>
      <c r="B1941" s="347"/>
      <c r="C1941" s="347"/>
      <c r="D1941" s="361"/>
      <c r="E1941" s="361"/>
      <c r="F1941" s="361"/>
      <c r="G1941" s="348"/>
      <c r="H1941" s="359"/>
      <c r="I1941" s="352"/>
      <c r="J1941" s="353"/>
      <c r="K1941" s="538"/>
      <c r="L1941" s="487"/>
      <c r="M1941" s="487"/>
      <c r="N1941" s="354"/>
      <c r="O1941" s="354"/>
      <c r="P1941" s="354"/>
      <c r="Q1941" s="354"/>
      <c r="R1941" s="354"/>
      <c r="S1941" s="354"/>
      <c r="T1941" s="354"/>
      <c r="U1941" s="354"/>
      <c r="V1941" s="354"/>
      <c r="W1941" s="354"/>
      <c r="X1941" s="354"/>
      <c r="Y1941" s="354"/>
      <c r="Z1941" s="353"/>
      <c r="AA1941" s="352"/>
      <c r="AB1941" s="726"/>
    </row>
    <row r="1942" spans="1:28" ht="16.5" customHeight="1">
      <c r="A1942" s="347"/>
      <c r="B1942" s="347"/>
      <c r="C1942" s="347"/>
      <c r="D1942" s="348"/>
      <c r="E1942" s="348"/>
      <c r="F1942" s="348"/>
      <c r="G1942" s="348"/>
      <c r="H1942" s="359"/>
      <c r="I1942" s="352"/>
      <c r="J1942" s="353"/>
      <c r="K1942" s="538"/>
      <c r="L1942" s="487"/>
      <c r="M1942" s="487"/>
      <c r="N1942" s="354"/>
      <c r="O1942" s="354"/>
      <c r="P1942" s="354"/>
      <c r="Q1942" s="354"/>
      <c r="R1942" s="354"/>
      <c r="S1942" s="354"/>
      <c r="T1942" s="354"/>
      <c r="U1942" s="354"/>
      <c r="V1942" s="354"/>
      <c r="W1942" s="354"/>
      <c r="X1942" s="354"/>
      <c r="Y1942" s="354"/>
      <c r="Z1942" s="353"/>
      <c r="AA1942" s="352"/>
      <c r="AB1942" s="726"/>
    </row>
    <row r="1943" spans="1:28" ht="16.5" customHeight="1">
      <c r="A1943" s="347"/>
      <c r="B1943" s="347"/>
      <c r="C1943" s="347"/>
      <c r="D1943" s="348"/>
      <c r="E1943" s="348"/>
      <c r="F1943" s="348"/>
      <c r="G1943" s="348"/>
      <c r="H1943" s="359"/>
      <c r="I1943" s="352"/>
      <c r="J1943" s="353"/>
      <c r="K1943" s="538"/>
      <c r="L1943" s="487"/>
      <c r="M1943" s="487"/>
      <c r="N1943" s="354"/>
      <c r="O1943" s="354"/>
      <c r="P1943" s="354"/>
      <c r="Q1943" s="354"/>
      <c r="R1943" s="354"/>
      <c r="S1943" s="354"/>
      <c r="T1943" s="354"/>
      <c r="U1943" s="354"/>
      <c r="V1943" s="354"/>
      <c r="W1943" s="354"/>
      <c r="X1943" s="354"/>
      <c r="Y1943" s="354"/>
      <c r="Z1943" s="353"/>
      <c r="AA1943" s="352"/>
      <c r="AB1943" s="726"/>
    </row>
    <row r="1944" spans="1:28" ht="16.5" customHeight="1">
      <c r="A1944" s="347"/>
      <c r="B1944" s="347"/>
      <c r="C1944" s="347"/>
      <c r="D1944" s="348"/>
      <c r="E1944" s="348"/>
      <c r="F1944" s="348"/>
      <c r="G1944" s="348"/>
      <c r="H1944" s="359"/>
      <c r="I1944" s="352"/>
      <c r="J1944" s="353"/>
      <c r="K1944" s="538"/>
      <c r="L1944" s="487"/>
      <c r="M1944" s="487"/>
      <c r="N1944" s="354"/>
      <c r="O1944" s="354"/>
      <c r="P1944" s="354"/>
      <c r="Q1944" s="354"/>
      <c r="R1944" s="354"/>
      <c r="S1944" s="354"/>
      <c r="T1944" s="354"/>
      <c r="U1944" s="354"/>
      <c r="V1944" s="354"/>
      <c r="W1944" s="354"/>
      <c r="X1944" s="354"/>
      <c r="Y1944" s="354"/>
      <c r="Z1944" s="353"/>
      <c r="AA1944" s="352"/>
      <c r="AB1944" s="726"/>
    </row>
    <row r="1945" spans="1:28" ht="16.5" customHeight="1">
      <c r="A1945" s="347"/>
      <c r="B1945" s="347"/>
      <c r="C1945" s="347"/>
      <c r="D1945" s="348"/>
      <c r="E1945" s="348"/>
      <c r="F1945" s="348"/>
      <c r="G1945" s="348"/>
      <c r="H1945" s="359"/>
      <c r="I1945" s="352"/>
      <c r="J1945" s="353"/>
      <c r="K1945" s="538"/>
      <c r="L1945" s="487"/>
      <c r="M1945" s="487"/>
      <c r="N1945" s="354"/>
      <c r="O1945" s="354"/>
      <c r="P1945" s="354"/>
      <c r="Q1945" s="354"/>
      <c r="R1945" s="354"/>
      <c r="S1945" s="354"/>
      <c r="T1945" s="354"/>
      <c r="U1945" s="354"/>
      <c r="V1945" s="354"/>
      <c r="W1945" s="354"/>
      <c r="X1945" s="354"/>
      <c r="Y1945" s="354"/>
      <c r="Z1945" s="353"/>
      <c r="AA1945" s="352"/>
      <c r="AB1945" s="726"/>
    </row>
    <row r="1946" spans="1:28" ht="16.5" customHeight="1">
      <c r="A1946" s="347"/>
      <c r="B1946" s="347"/>
      <c r="C1946" s="347"/>
      <c r="D1946" s="348"/>
      <c r="E1946" s="348"/>
      <c r="F1946" s="348"/>
      <c r="G1946" s="348"/>
      <c r="H1946" s="359"/>
      <c r="I1946" s="352"/>
      <c r="J1946" s="353"/>
      <c r="K1946" s="538"/>
      <c r="L1946" s="487"/>
      <c r="M1946" s="487"/>
      <c r="N1946" s="354"/>
      <c r="O1946" s="354"/>
      <c r="P1946" s="354"/>
      <c r="Q1946" s="354"/>
      <c r="R1946" s="354"/>
      <c r="S1946" s="354"/>
      <c r="T1946" s="354"/>
      <c r="U1946" s="354"/>
      <c r="V1946" s="354"/>
      <c r="W1946" s="354"/>
      <c r="X1946" s="354"/>
      <c r="Y1946" s="354"/>
      <c r="Z1946" s="353"/>
      <c r="AA1946" s="352"/>
      <c r="AB1946" s="726"/>
    </row>
    <row r="1947" spans="1:28" ht="16.5" customHeight="1">
      <c r="A1947" s="347"/>
      <c r="B1947" s="347"/>
      <c r="C1947" s="347"/>
      <c r="D1947" s="361"/>
      <c r="E1947" s="361"/>
      <c r="F1947" s="361"/>
      <c r="G1947" s="348"/>
      <c r="H1947" s="359"/>
      <c r="I1947" s="352"/>
      <c r="J1947" s="353"/>
      <c r="K1947" s="538"/>
      <c r="L1947" s="487"/>
      <c r="M1947" s="487"/>
      <c r="N1947" s="354"/>
      <c r="O1947" s="354"/>
      <c r="P1947" s="354"/>
      <c r="Q1947" s="354"/>
      <c r="R1947" s="354"/>
      <c r="S1947" s="354"/>
      <c r="T1947" s="354"/>
      <c r="U1947" s="354"/>
      <c r="V1947" s="354"/>
      <c r="W1947" s="354"/>
      <c r="X1947" s="354"/>
      <c r="Y1947" s="354"/>
      <c r="Z1947" s="353"/>
      <c r="AA1947" s="352"/>
      <c r="AB1947" s="726"/>
    </row>
    <row r="1948" spans="1:28" ht="16.5" customHeight="1">
      <c r="A1948" s="347"/>
      <c r="B1948" s="347"/>
      <c r="C1948" s="347"/>
      <c r="D1948" s="348"/>
      <c r="E1948" s="348"/>
      <c r="F1948" s="348"/>
      <c r="G1948" s="348"/>
      <c r="H1948" s="359"/>
      <c r="I1948" s="352"/>
      <c r="J1948" s="353"/>
      <c r="K1948" s="538"/>
      <c r="L1948" s="487"/>
      <c r="M1948" s="487"/>
      <c r="N1948" s="354"/>
      <c r="O1948" s="354"/>
      <c r="P1948" s="354"/>
      <c r="Q1948" s="354"/>
      <c r="R1948" s="354"/>
      <c r="S1948" s="354"/>
      <c r="T1948" s="354"/>
      <c r="U1948" s="354"/>
      <c r="V1948" s="354"/>
      <c r="W1948" s="354"/>
      <c r="X1948" s="354"/>
      <c r="Y1948" s="354"/>
      <c r="Z1948" s="353"/>
      <c r="AA1948" s="352"/>
      <c r="AB1948" s="726"/>
    </row>
    <row r="1949" spans="1:28" ht="16.5" customHeight="1">
      <c r="A1949" s="347"/>
      <c r="B1949" s="347"/>
      <c r="C1949" s="347"/>
      <c r="D1949" s="348"/>
      <c r="E1949" s="348"/>
      <c r="F1949" s="348"/>
      <c r="G1949" s="348"/>
      <c r="H1949" s="359"/>
      <c r="I1949" s="352"/>
      <c r="J1949" s="353"/>
      <c r="K1949" s="538"/>
      <c r="L1949" s="487"/>
      <c r="M1949" s="487"/>
      <c r="N1949" s="354"/>
      <c r="O1949" s="354"/>
      <c r="P1949" s="354"/>
      <c r="Q1949" s="354"/>
      <c r="R1949" s="354"/>
      <c r="S1949" s="354"/>
      <c r="T1949" s="354"/>
      <c r="U1949" s="354"/>
      <c r="V1949" s="354"/>
      <c r="W1949" s="354"/>
      <c r="X1949" s="354"/>
      <c r="Y1949" s="354"/>
      <c r="Z1949" s="353"/>
      <c r="AA1949" s="352"/>
      <c r="AB1949" s="726"/>
    </row>
    <row r="1950" spans="1:28" ht="16.5" customHeight="1">
      <c r="A1950" s="347"/>
      <c r="B1950" s="347"/>
      <c r="C1950" s="347"/>
      <c r="D1950" s="348"/>
      <c r="E1950" s="348"/>
      <c r="F1950" s="348"/>
      <c r="G1950" s="348"/>
      <c r="H1950" s="359"/>
      <c r="I1950" s="352"/>
      <c r="J1950" s="353"/>
      <c r="K1950" s="538"/>
      <c r="L1950" s="487"/>
      <c r="M1950" s="487"/>
      <c r="N1950" s="354"/>
      <c r="O1950" s="354"/>
      <c r="P1950" s="354"/>
      <c r="Q1950" s="354"/>
      <c r="R1950" s="354"/>
      <c r="S1950" s="354"/>
      <c r="T1950" s="354"/>
      <c r="U1950" s="354"/>
      <c r="V1950" s="354"/>
      <c r="W1950" s="354"/>
      <c r="X1950" s="354"/>
      <c r="Y1950" s="354"/>
      <c r="Z1950" s="353"/>
      <c r="AA1950" s="352"/>
      <c r="AB1950" s="726"/>
    </row>
    <row r="1951" spans="1:28" ht="16.5" customHeight="1">
      <c r="A1951" s="347"/>
      <c r="B1951" s="347"/>
      <c r="C1951" s="347"/>
      <c r="D1951" s="348"/>
      <c r="E1951" s="348"/>
      <c r="F1951" s="348"/>
      <c r="G1951" s="348"/>
      <c r="H1951" s="359"/>
      <c r="I1951" s="352"/>
      <c r="J1951" s="353"/>
      <c r="K1951" s="538"/>
      <c r="L1951" s="487"/>
      <c r="M1951" s="487"/>
      <c r="N1951" s="354"/>
      <c r="O1951" s="354"/>
      <c r="P1951" s="354"/>
      <c r="Q1951" s="354"/>
      <c r="R1951" s="354"/>
      <c r="S1951" s="354"/>
      <c r="T1951" s="354"/>
      <c r="U1951" s="354"/>
      <c r="V1951" s="354"/>
      <c r="W1951" s="354"/>
      <c r="X1951" s="354"/>
      <c r="Y1951" s="354"/>
      <c r="Z1951" s="353"/>
      <c r="AA1951" s="352"/>
      <c r="AB1951" s="726"/>
    </row>
    <row r="1952" spans="1:28" ht="16.5" customHeight="1">
      <c r="A1952" s="347"/>
      <c r="B1952" s="347"/>
      <c r="C1952" s="347"/>
      <c r="D1952" s="348"/>
      <c r="E1952" s="348"/>
      <c r="F1952" s="348"/>
      <c r="G1952" s="348"/>
      <c r="H1952" s="359"/>
      <c r="I1952" s="352"/>
      <c r="J1952" s="353"/>
      <c r="K1952" s="538"/>
      <c r="L1952" s="487"/>
      <c r="M1952" s="487"/>
      <c r="N1952" s="354"/>
      <c r="O1952" s="354"/>
      <c r="P1952" s="354"/>
      <c r="Q1952" s="354"/>
      <c r="R1952" s="354"/>
      <c r="S1952" s="354"/>
      <c r="T1952" s="354"/>
      <c r="U1952" s="354"/>
      <c r="V1952" s="354"/>
      <c r="W1952" s="354"/>
      <c r="X1952" s="354"/>
      <c r="Y1952" s="354"/>
      <c r="Z1952" s="353"/>
      <c r="AA1952" s="352"/>
      <c r="AB1952" s="726"/>
    </row>
    <row r="1953" spans="1:28" ht="16.5" customHeight="1">
      <c r="A1953" s="347"/>
      <c r="B1953" s="347"/>
      <c r="C1953" s="347"/>
      <c r="D1953" s="361"/>
      <c r="E1953" s="361"/>
      <c r="F1953" s="361"/>
      <c r="G1953" s="348"/>
      <c r="H1953" s="359"/>
      <c r="I1953" s="352"/>
      <c r="J1953" s="353"/>
      <c r="K1953" s="538"/>
      <c r="L1953" s="487"/>
      <c r="M1953" s="487"/>
      <c r="N1953" s="354"/>
      <c r="O1953" s="354"/>
      <c r="P1953" s="354"/>
      <c r="Q1953" s="354"/>
      <c r="R1953" s="354"/>
      <c r="S1953" s="354"/>
      <c r="T1953" s="354"/>
      <c r="U1953" s="354"/>
      <c r="V1953" s="354"/>
      <c r="W1953" s="354"/>
      <c r="X1953" s="354"/>
      <c r="Y1953" s="354"/>
      <c r="Z1953" s="353"/>
      <c r="AA1953" s="352"/>
      <c r="AB1953" s="726"/>
    </row>
    <row r="1954" spans="1:28" ht="16.5" customHeight="1">
      <c r="A1954" s="347"/>
      <c r="B1954" s="347"/>
      <c r="C1954" s="347"/>
      <c r="D1954" s="348"/>
      <c r="E1954" s="348"/>
      <c r="F1954" s="348"/>
      <c r="G1954" s="348"/>
      <c r="H1954" s="359"/>
      <c r="I1954" s="352"/>
      <c r="J1954" s="353"/>
      <c r="K1954" s="538"/>
      <c r="L1954" s="487"/>
      <c r="M1954" s="487"/>
      <c r="N1954" s="354"/>
      <c r="O1954" s="354"/>
      <c r="P1954" s="354"/>
      <c r="Q1954" s="354"/>
      <c r="R1954" s="354"/>
      <c r="S1954" s="354"/>
      <c r="T1954" s="354"/>
      <c r="U1954" s="354"/>
      <c r="V1954" s="354"/>
      <c r="W1954" s="354"/>
      <c r="X1954" s="354"/>
      <c r="Y1954" s="354"/>
      <c r="Z1954" s="353"/>
      <c r="AA1954" s="352"/>
      <c r="AB1954" s="726"/>
    </row>
    <row r="1955" spans="1:28" ht="16.5" customHeight="1">
      <c r="A1955" s="347"/>
      <c r="B1955" s="347"/>
      <c r="C1955" s="347"/>
      <c r="D1955" s="348"/>
      <c r="E1955" s="348"/>
      <c r="F1955" s="348"/>
      <c r="G1955" s="348"/>
      <c r="H1955" s="359"/>
      <c r="I1955" s="352"/>
      <c r="J1955" s="353"/>
      <c r="K1955" s="538"/>
      <c r="L1955" s="487"/>
      <c r="M1955" s="487"/>
      <c r="N1955" s="354"/>
      <c r="O1955" s="354"/>
      <c r="P1955" s="354"/>
      <c r="Q1955" s="354"/>
      <c r="R1955" s="354"/>
      <c r="S1955" s="354"/>
      <c r="T1955" s="354"/>
      <c r="U1955" s="354"/>
      <c r="V1955" s="354"/>
      <c r="W1955" s="354"/>
      <c r="X1955" s="354"/>
      <c r="Y1955" s="354"/>
      <c r="Z1955" s="353"/>
      <c r="AA1955" s="352"/>
      <c r="AB1955" s="726"/>
    </row>
    <row r="1956" spans="1:28" ht="16.5" customHeight="1">
      <c r="A1956" s="347"/>
      <c r="B1956" s="347"/>
      <c r="C1956" s="347"/>
      <c r="D1956" s="348"/>
      <c r="E1956" s="348"/>
      <c r="F1956" s="348"/>
      <c r="G1956" s="348"/>
      <c r="H1956" s="359"/>
      <c r="I1956" s="352"/>
      <c r="J1956" s="353"/>
      <c r="K1956" s="538"/>
      <c r="L1956" s="487"/>
      <c r="M1956" s="487"/>
      <c r="N1956" s="354"/>
      <c r="O1956" s="354"/>
      <c r="P1956" s="354"/>
      <c r="Q1956" s="354"/>
      <c r="R1956" s="354"/>
      <c r="S1956" s="354"/>
      <c r="T1956" s="354"/>
      <c r="U1956" s="354"/>
      <c r="V1956" s="354"/>
      <c r="W1956" s="354"/>
      <c r="X1956" s="354"/>
      <c r="Y1956" s="354"/>
      <c r="Z1956" s="353"/>
      <c r="AA1956" s="352"/>
      <c r="AB1956" s="726"/>
    </row>
    <row r="1957" spans="1:28" ht="16.5" customHeight="1">
      <c r="A1957" s="347"/>
      <c r="B1957" s="347"/>
      <c r="C1957" s="347"/>
      <c r="D1957" s="348"/>
      <c r="E1957" s="348"/>
      <c r="F1957" s="348"/>
      <c r="G1957" s="348"/>
      <c r="H1957" s="359"/>
      <c r="I1957" s="352"/>
      <c r="J1957" s="353"/>
      <c r="K1957" s="538"/>
      <c r="L1957" s="487"/>
      <c r="M1957" s="487"/>
      <c r="N1957" s="354"/>
      <c r="O1957" s="354"/>
      <c r="P1957" s="354"/>
      <c r="Q1957" s="354"/>
      <c r="R1957" s="354"/>
      <c r="S1957" s="354"/>
      <c r="T1957" s="354"/>
      <c r="U1957" s="354"/>
      <c r="V1957" s="354"/>
      <c r="W1957" s="354"/>
      <c r="X1957" s="354"/>
      <c r="Y1957" s="354"/>
      <c r="Z1957" s="353"/>
      <c r="AA1957" s="352"/>
      <c r="AB1957" s="726"/>
    </row>
    <row r="1958" spans="1:28" ht="16.5" customHeight="1">
      <c r="A1958" s="347"/>
      <c r="B1958" s="347"/>
      <c r="C1958" s="347"/>
      <c r="D1958" s="348"/>
      <c r="E1958" s="348"/>
      <c r="F1958" s="348"/>
      <c r="G1958" s="348"/>
      <c r="H1958" s="359"/>
      <c r="I1958" s="352"/>
      <c r="J1958" s="353"/>
      <c r="K1958" s="538"/>
      <c r="L1958" s="487"/>
      <c r="M1958" s="487"/>
      <c r="N1958" s="354"/>
      <c r="O1958" s="354"/>
      <c r="P1958" s="354"/>
      <c r="Q1958" s="354"/>
      <c r="R1958" s="354"/>
      <c r="S1958" s="354"/>
      <c r="T1958" s="354"/>
      <c r="U1958" s="354"/>
      <c r="V1958" s="354"/>
      <c r="W1958" s="354"/>
      <c r="X1958" s="354"/>
      <c r="Y1958" s="354"/>
      <c r="Z1958" s="353"/>
      <c r="AA1958" s="352"/>
      <c r="AB1958" s="726"/>
    </row>
    <row r="1959" spans="1:28" ht="16.5" customHeight="1">
      <c r="A1959" s="347"/>
      <c r="B1959" s="347"/>
      <c r="C1959" s="347"/>
      <c r="D1959" s="348"/>
      <c r="E1959" s="348"/>
      <c r="F1959" s="348"/>
      <c r="G1959" s="348"/>
      <c r="H1959" s="359"/>
      <c r="I1959" s="352"/>
      <c r="J1959" s="353"/>
      <c r="K1959" s="538"/>
      <c r="L1959" s="487"/>
      <c r="M1959" s="487"/>
      <c r="N1959" s="354"/>
      <c r="O1959" s="354"/>
      <c r="P1959" s="354"/>
      <c r="Q1959" s="354"/>
      <c r="R1959" s="354"/>
      <c r="S1959" s="354"/>
      <c r="T1959" s="354"/>
      <c r="U1959" s="354"/>
      <c r="V1959" s="354"/>
      <c r="W1959" s="354"/>
      <c r="X1959" s="354"/>
      <c r="Y1959" s="354"/>
      <c r="Z1959" s="353"/>
      <c r="AA1959" s="352"/>
      <c r="AB1959" s="726"/>
    </row>
    <row r="1960" spans="1:28" ht="16.5" customHeight="1">
      <c r="A1960" s="347"/>
      <c r="B1960" s="347"/>
      <c r="C1960" s="347"/>
      <c r="D1960" s="348"/>
      <c r="E1960" s="348"/>
      <c r="F1960" s="348"/>
      <c r="G1960" s="348"/>
      <c r="H1960" s="359"/>
      <c r="I1960" s="352"/>
      <c r="J1960" s="353"/>
      <c r="K1960" s="538"/>
      <c r="L1960" s="487"/>
      <c r="M1960" s="487"/>
      <c r="N1960" s="354"/>
      <c r="O1960" s="354"/>
      <c r="P1960" s="354"/>
      <c r="Q1960" s="354"/>
      <c r="R1960" s="354"/>
      <c r="S1960" s="354"/>
      <c r="T1960" s="354"/>
      <c r="U1960" s="354"/>
      <c r="V1960" s="354"/>
      <c r="W1960" s="354"/>
      <c r="X1960" s="354"/>
      <c r="Y1960" s="354"/>
      <c r="Z1960" s="353"/>
      <c r="AA1960" s="352"/>
      <c r="AB1960" s="726"/>
    </row>
    <row r="1961" spans="1:28" ht="16.5" customHeight="1">
      <c r="A1961" s="347"/>
      <c r="B1961" s="347"/>
      <c r="C1961" s="347"/>
      <c r="D1961" s="348"/>
      <c r="E1961" s="348"/>
      <c r="F1961" s="348"/>
      <c r="G1961" s="348"/>
      <c r="H1961" s="359"/>
      <c r="I1961" s="352"/>
      <c r="J1961" s="353"/>
      <c r="K1961" s="538"/>
      <c r="L1961" s="487"/>
      <c r="M1961" s="487"/>
      <c r="N1961" s="354"/>
      <c r="O1961" s="354"/>
      <c r="P1961" s="354"/>
      <c r="Q1961" s="354"/>
      <c r="R1961" s="354"/>
      <c r="S1961" s="354"/>
      <c r="T1961" s="354"/>
      <c r="U1961" s="354"/>
      <c r="V1961" s="354"/>
      <c r="W1961" s="354"/>
      <c r="X1961" s="354"/>
      <c r="Y1961" s="354"/>
      <c r="Z1961" s="353"/>
      <c r="AA1961" s="352"/>
      <c r="AB1961" s="726"/>
    </row>
    <row r="1962" spans="1:28" ht="16.5" customHeight="1">
      <c r="A1962" s="347"/>
      <c r="B1962" s="347"/>
      <c r="C1962" s="347"/>
      <c r="D1962" s="348"/>
      <c r="E1962" s="348"/>
      <c r="F1962" s="348"/>
      <c r="G1962" s="348"/>
      <c r="H1962" s="359"/>
      <c r="I1962" s="352"/>
      <c r="J1962" s="353"/>
      <c r="K1962" s="538"/>
      <c r="L1962" s="487"/>
      <c r="M1962" s="487"/>
      <c r="N1962" s="354"/>
      <c r="O1962" s="354"/>
      <c r="P1962" s="354"/>
      <c r="Q1962" s="354"/>
      <c r="R1962" s="354"/>
      <c r="S1962" s="354"/>
      <c r="T1962" s="354"/>
      <c r="U1962" s="354"/>
      <c r="V1962" s="354"/>
      <c r="W1962" s="354"/>
      <c r="X1962" s="354"/>
      <c r="Y1962" s="354"/>
      <c r="Z1962" s="353"/>
      <c r="AA1962" s="352"/>
      <c r="AB1962" s="726"/>
    </row>
    <row r="1963" spans="1:28" ht="16.5" customHeight="1">
      <c r="A1963" s="347"/>
      <c r="B1963" s="347"/>
      <c r="C1963" s="347"/>
      <c r="D1963" s="348"/>
      <c r="E1963" s="348"/>
      <c r="F1963" s="348"/>
      <c r="G1963" s="348"/>
      <c r="H1963" s="359"/>
      <c r="I1963" s="352"/>
      <c r="J1963" s="353"/>
      <c r="K1963" s="538"/>
      <c r="L1963" s="487"/>
      <c r="M1963" s="487"/>
      <c r="N1963" s="354"/>
      <c r="O1963" s="354"/>
      <c r="P1963" s="354"/>
      <c r="Q1963" s="354"/>
      <c r="R1963" s="354"/>
      <c r="S1963" s="354"/>
      <c r="T1963" s="354"/>
      <c r="U1963" s="354"/>
      <c r="V1963" s="354"/>
      <c r="W1963" s="354"/>
      <c r="X1963" s="354"/>
      <c r="Y1963" s="354"/>
      <c r="Z1963" s="353"/>
      <c r="AA1963" s="352"/>
      <c r="AB1963" s="726"/>
    </row>
    <row r="1964" spans="1:28" ht="16.5" customHeight="1">
      <c r="A1964" s="347"/>
      <c r="B1964" s="347"/>
      <c r="C1964" s="347"/>
      <c r="D1964" s="348"/>
      <c r="E1964" s="348"/>
      <c r="F1964" s="348"/>
      <c r="G1964" s="348"/>
      <c r="H1964" s="359"/>
      <c r="I1964" s="352"/>
      <c r="J1964" s="353"/>
      <c r="K1964" s="538"/>
      <c r="L1964" s="487"/>
      <c r="M1964" s="487"/>
      <c r="N1964" s="354"/>
      <c r="O1964" s="354"/>
      <c r="P1964" s="354"/>
      <c r="Q1964" s="354"/>
      <c r="R1964" s="354"/>
      <c r="S1964" s="354"/>
      <c r="T1964" s="354"/>
      <c r="U1964" s="354"/>
      <c r="V1964" s="354"/>
      <c r="W1964" s="354"/>
      <c r="X1964" s="354"/>
      <c r="Y1964" s="354"/>
      <c r="Z1964" s="353"/>
      <c r="AA1964" s="352"/>
      <c r="AB1964" s="726"/>
    </row>
    <row r="1965" spans="1:28" ht="16.5" customHeight="1">
      <c r="A1965" s="347"/>
      <c r="B1965" s="347"/>
      <c r="C1965" s="347"/>
      <c r="D1965" s="361"/>
      <c r="E1965" s="361"/>
      <c r="F1965" s="361"/>
      <c r="G1965" s="348"/>
      <c r="H1965" s="359"/>
      <c r="I1965" s="352"/>
      <c r="J1965" s="353"/>
      <c r="K1965" s="538"/>
      <c r="L1965" s="487"/>
      <c r="M1965" s="487"/>
      <c r="N1965" s="354"/>
      <c r="O1965" s="354"/>
      <c r="P1965" s="354"/>
      <c r="Q1965" s="354"/>
      <c r="R1965" s="354"/>
      <c r="S1965" s="354"/>
      <c r="T1965" s="354"/>
      <c r="U1965" s="354"/>
      <c r="V1965" s="354"/>
      <c r="W1965" s="354"/>
      <c r="X1965" s="354"/>
      <c r="Y1965" s="354"/>
      <c r="Z1965" s="353"/>
      <c r="AA1965" s="352"/>
      <c r="AB1965" s="726"/>
    </row>
    <row r="1966" spans="1:28" ht="16.5" customHeight="1">
      <c r="A1966" s="347"/>
      <c r="B1966" s="347"/>
      <c r="C1966" s="347"/>
      <c r="D1966" s="348"/>
      <c r="E1966" s="348"/>
      <c r="F1966" s="348"/>
      <c r="G1966" s="361"/>
      <c r="H1966" s="359"/>
      <c r="I1966" s="352"/>
      <c r="J1966" s="353"/>
      <c r="K1966" s="538"/>
      <c r="L1966" s="487"/>
      <c r="M1966" s="487"/>
      <c r="N1966" s="354"/>
      <c r="O1966" s="354"/>
      <c r="P1966" s="354"/>
      <c r="Q1966" s="354"/>
      <c r="R1966" s="354"/>
      <c r="S1966" s="354"/>
      <c r="T1966" s="354"/>
      <c r="U1966" s="354"/>
      <c r="V1966" s="354"/>
      <c r="W1966" s="354"/>
      <c r="X1966" s="354"/>
      <c r="Y1966" s="354"/>
      <c r="Z1966" s="353"/>
      <c r="AA1966" s="352"/>
      <c r="AB1966" s="726"/>
    </row>
    <row r="1967" spans="1:28" ht="16.5" customHeight="1">
      <c r="A1967" s="347"/>
      <c r="B1967" s="347"/>
      <c r="C1967" s="347"/>
      <c r="D1967" s="348"/>
      <c r="E1967" s="348"/>
      <c r="F1967" s="348"/>
      <c r="G1967" s="361"/>
      <c r="H1967" s="359"/>
      <c r="I1967" s="352"/>
      <c r="J1967" s="353"/>
      <c r="K1967" s="538"/>
      <c r="L1967" s="487"/>
      <c r="M1967" s="487"/>
      <c r="N1967" s="354"/>
      <c r="O1967" s="354"/>
      <c r="P1967" s="354"/>
      <c r="Q1967" s="354"/>
      <c r="R1967" s="354"/>
      <c r="S1967" s="354"/>
      <c r="T1967" s="354"/>
      <c r="U1967" s="354"/>
      <c r="V1967" s="354"/>
      <c r="W1967" s="354"/>
      <c r="X1967" s="354"/>
      <c r="Y1967" s="354"/>
      <c r="Z1967" s="353"/>
      <c r="AA1967" s="352"/>
      <c r="AB1967" s="726"/>
    </row>
    <row r="1968" spans="1:28" ht="16.5" customHeight="1">
      <c r="A1968" s="347"/>
      <c r="B1968" s="347"/>
      <c r="C1968" s="347"/>
      <c r="D1968" s="348"/>
      <c r="E1968" s="348"/>
      <c r="F1968" s="348"/>
      <c r="G1968" s="361"/>
      <c r="H1968" s="359"/>
      <c r="I1968" s="352"/>
      <c r="J1968" s="353"/>
      <c r="K1968" s="538"/>
      <c r="L1968" s="487"/>
      <c r="M1968" s="487"/>
      <c r="N1968" s="354"/>
      <c r="O1968" s="354"/>
      <c r="P1968" s="354"/>
      <c r="Q1968" s="354"/>
      <c r="R1968" s="354"/>
      <c r="S1968" s="354"/>
      <c r="T1968" s="354"/>
      <c r="U1968" s="354"/>
      <c r="V1968" s="354"/>
      <c r="W1968" s="354"/>
      <c r="X1968" s="354"/>
      <c r="Y1968" s="354"/>
      <c r="Z1968" s="353"/>
      <c r="AA1968" s="352"/>
      <c r="AB1968" s="726"/>
    </row>
    <row r="1969" spans="1:28" ht="16.5" customHeight="1">
      <c r="A1969" s="347"/>
      <c r="B1969" s="347"/>
      <c r="C1969" s="347"/>
      <c r="D1969" s="348"/>
      <c r="E1969" s="348"/>
      <c r="F1969" s="348"/>
      <c r="G1969" s="361"/>
      <c r="H1969" s="359"/>
      <c r="I1969" s="352"/>
      <c r="J1969" s="353"/>
      <c r="K1969" s="538"/>
      <c r="L1969" s="487"/>
      <c r="M1969" s="487"/>
      <c r="N1969" s="354"/>
      <c r="O1969" s="354"/>
      <c r="P1969" s="354"/>
      <c r="Q1969" s="354"/>
      <c r="R1969" s="354"/>
      <c r="S1969" s="354"/>
      <c r="T1969" s="354"/>
      <c r="U1969" s="354"/>
      <c r="V1969" s="354"/>
      <c r="W1969" s="354"/>
      <c r="X1969" s="354"/>
      <c r="Y1969" s="354"/>
      <c r="Z1969" s="353"/>
      <c r="AA1969" s="352"/>
      <c r="AB1969" s="726"/>
    </row>
    <row r="1970" spans="1:28" ht="16.5" customHeight="1">
      <c r="A1970" s="347"/>
      <c r="B1970" s="347"/>
      <c r="C1970" s="347"/>
      <c r="D1970" s="348"/>
      <c r="E1970" s="348"/>
      <c r="F1970" s="348"/>
      <c r="G1970" s="361"/>
      <c r="H1970" s="359"/>
      <c r="I1970" s="352"/>
      <c r="J1970" s="353"/>
      <c r="K1970" s="538"/>
      <c r="L1970" s="487"/>
      <c r="M1970" s="487"/>
      <c r="N1970" s="354"/>
      <c r="O1970" s="354"/>
      <c r="P1970" s="354"/>
      <c r="Q1970" s="354"/>
      <c r="R1970" s="354"/>
      <c r="S1970" s="354"/>
      <c r="T1970" s="354"/>
      <c r="U1970" s="354"/>
      <c r="V1970" s="354"/>
      <c r="W1970" s="354"/>
      <c r="X1970" s="354"/>
      <c r="Y1970" s="354"/>
      <c r="Z1970" s="353"/>
      <c r="AA1970" s="352"/>
      <c r="AB1970" s="726"/>
    </row>
    <row r="1971" spans="1:28" ht="16.5" customHeight="1">
      <c r="A1971" s="347"/>
      <c r="B1971" s="347"/>
      <c r="C1971" s="347"/>
      <c r="D1971" s="348"/>
      <c r="E1971" s="348"/>
      <c r="F1971" s="348"/>
      <c r="G1971" s="361"/>
      <c r="H1971" s="359"/>
      <c r="I1971" s="352"/>
      <c r="J1971" s="353"/>
      <c r="K1971" s="538"/>
      <c r="L1971" s="487"/>
      <c r="M1971" s="487"/>
      <c r="N1971" s="354"/>
      <c r="O1971" s="354"/>
      <c r="P1971" s="354"/>
      <c r="Q1971" s="354"/>
      <c r="R1971" s="354"/>
      <c r="S1971" s="354"/>
      <c r="T1971" s="354"/>
      <c r="U1971" s="354"/>
      <c r="V1971" s="354"/>
      <c r="W1971" s="354"/>
      <c r="X1971" s="354"/>
      <c r="Y1971" s="354"/>
      <c r="Z1971" s="353"/>
      <c r="AA1971" s="352"/>
      <c r="AB1971" s="726"/>
    </row>
    <row r="1972" spans="1:28" ht="16.5" customHeight="1">
      <c r="A1972" s="347"/>
      <c r="B1972" s="347"/>
      <c r="C1972" s="347"/>
      <c r="D1972" s="348"/>
      <c r="E1972" s="348"/>
      <c r="F1972" s="348"/>
      <c r="G1972" s="361"/>
      <c r="H1972" s="359"/>
      <c r="I1972" s="352"/>
      <c r="J1972" s="353"/>
      <c r="K1972" s="538"/>
      <c r="L1972" s="487"/>
      <c r="M1972" s="487"/>
      <c r="N1972" s="354"/>
      <c r="O1972" s="354"/>
      <c r="P1972" s="354"/>
      <c r="Q1972" s="354"/>
      <c r="R1972" s="354"/>
      <c r="S1972" s="354"/>
      <c r="T1972" s="354"/>
      <c r="U1972" s="354"/>
      <c r="V1972" s="354"/>
      <c r="W1972" s="354"/>
      <c r="X1972" s="354"/>
      <c r="Y1972" s="354"/>
      <c r="Z1972" s="353"/>
      <c r="AA1972" s="352"/>
      <c r="AB1972" s="726"/>
    </row>
    <row r="1973" spans="1:28" ht="16.5" customHeight="1">
      <c r="A1973" s="347"/>
      <c r="B1973" s="347"/>
      <c r="C1973" s="347"/>
      <c r="D1973" s="348"/>
      <c r="E1973" s="348"/>
      <c r="F1973" s="348"/>
      <c r="G1973" s="361"/>
      <c r="H1973" s="359"/>
      <c r="I1973" s="352"/>
      <c r="J1973" s="353"/>
      <c r="K1973" s="538"/>
      <c r="L1973" s="487"/>
      <c r="M1973" s="487"/>
      <c r="N1973" s="354"/>
      <c r="O1973" s="354"/>
      <c r="P1973" s="354"/>
      <c r="Q1973" s="354"/>
      <c r="R1973" s="354"/>
      <c r="S1973" s="354"/>
      <c r="T1973" s="354"/>
      <c r="U1973" s="354"/>
      <c r="V1973" s="354"/>
      <c r="W1973" s="354"/>
      <c r="X1973" s="354"/>
      <c r="Y1973" s="354"/>
      <c r="Z1973" s="353"/>
      <c r="AA1973" s="352"/>
      <c r="AB1973" s="726"/>
    </row>
    <row r="1974" spans="1:28" ht="16.5" customHeight="1">
      <c r="A1974" s="347"/>
      <c r="B1974" s="347"/>
      <c r="C1974" s="347"/>
      <c r="D1974" s="348"/>
      <c r="E1974" s="348"/>
      <c r="F1974" s="348"/>
      <c r="G1974" s="361"/>
      <c r="H1974" s="359"/>
      <c r="I1974" s="352"/>
      <c r="J1974" s="353"/>
      <c r="K1974" s="538"/>
      <c r="L1974" s="487"/>
      <c r="M1974" s="487"/>
      <c r="N1974" s="354"/>
      <c r="O1974" s="354"/>
      <c r="P1974" s="354"/>
      <c r="Q1974" s="354"/>
      <c r="R1974" s="354"/>
      <c r="S1974" s="354"/>
      <c r="T1974" s="354"/>
      <c r="U1974" s="354"/>
      <c r="V1974" s="354"/>
      <c r="W1974" s="354"/>
      <c r="X1974" s="354"/>
      <c r="Y1974" s="354"/>
      <c r="Z1974" s="353"/>
      <c r="AA1974" s="352"/>
      <c r="AB1974" s="726"/>
    </row>
    <row r="1975" spans="1:28" ht="16.5" customHeight="1">
      <c r="A1975" s="347"/>
      <c r="B1975" s="347"/>
      <c r="C1975" s="347"/>
      <c r="D1975" s="348"/>
      <c r="E1975" s="348"/>
      <c r="F1975" s="348"/>
      <c r="G1975" s="361"/>
      <c r="H1975" s="359"/>
      <c r="I1975" s="352"/>
      <c r="J1975" s="353"/>
      <c r="K1975" s="538"/>
      <c r="L1975" s="487"/>
      <c r="M1975" s="487"/>
      <c r="N1975" s="354"/>
      <c r="O1975" s="354"/>
      <c r="P1975" s="354"/>
      <c r="Q1975" s="354"/>
      <c r="R1975" s="354"/>
      <c r="S1975" s="354"/>
      <c r="T1975" s="354"/>
      <c r="U1975" s="354"/>
      <c r="V1975" s="354"/>
      <c r="W1975" s="354"/>
      <c r="X1975" s="354"/>
      <c r="Y1975" s="354"/>
      <c r="Z1975" s="353"/>
      <c r="AA1975" s="352"/>
      <c r="AB1975" s="726"/>
    </row>
    <row r="1976" spans="1:28" ht="16.5" customHeight="1">
      <c r="A1976" s="347"/>
      <c r="B1976" s="347"/>
      <c r="C1976" s="347"/>
      <c r="D1976" s="348"/>
      <c r="E1976" s="348"/>
      <c r="F1976" s="348"/>
      <c r="G1976" s="361"/>
      <c r="H1976" s="359"/>
      <c r="I1976" s="352"/>
      <c r="J1976" s="353"/>
      <c r="K1976" s="538"/>
      <c r="L1976" s="487"/>
      <c r="M1976" s="487"/>
      <c r="N1976" s="354"/>
      <c r="O1976" s="354"/>
      <c r="P1976" s="354"/>
      <c r="Q1976" s="354"/>
      <c r="R1976" s="354"/>
      <c r="S1976" s="354"/>
      <c r="T1976" s="354"/>
      <c r="U1976" s="354"/>
      <c r="V1976" s="354"/>
      <c r="W1976" s="354"/>
      <c r="X1976" s="354"/>
      <c r="Y1976" s="354"/>
      <c r="Z1976" s="353"/>
      <c r="AA1976" s="352"/>
      <c r="AB1976" s="726"/>
    </row>
    <row r="1977" spans="1:28" ht="16.5" customHeight="1">
      <c r="A1977" s="347"/>
      <c r="B1977" s="347"/>
      <c r="C1977" s="347"/>
      <c r="D1977" s="348"/>
      <c r="E1977" s="348"/>
      <c r="F1977" s="348"/>
      <c r="G1977" s="361"/>
      <c r="H1977" s="359"/>
      <c r="I1977" s="352"/>
      <c r="J1977" s="353"/>
      <c r="K1977" s="538"/>
      <c r="L1977" s="487"/>
      <c r="M1977" s="487"/>
      <c r="N1977" s="354"/>
      <c r="O1977" s="354"/>
      <c r="P1977" s="354"/>
      <c r="Q1977" s="354"/>
      <c r="R1977" s="354"/>
      <c r="S1977" s="354"/>
      <c r="T1977" s="354"/>
      <c r="U1977" s="354"/>
      <c r="V1977" s="354"/>
      <c r="W1977" s="354"/>
      <c r="X1977" s="354"/>
      <c r="Y1977" s="354"/>
      <c r="Z1977" s="353"/>
      <c r="AA1977" s="352"/>
      <c r="AB1977" s="726"/>
    </row>
    <row r="1978" spans="1:28" ht="16.5" customHeight="1">
      <c r="A1978" s="347"/>
      <c r="B1978" s="347"/>
      <c r="C1978" s="347"/>
      <c r="D1978" s="348"/>
      <c r="E1978" s="348"/>
      <c r="F1978" s="348"/>
      <c r="G1978" s="361"/>
      <c r="H1978" s="359"/>
      <c r="I1978" s="352"/>
      <c r="J1978" s="353"/>
      <c r="K1978" s="538"/>
      <c r="L1978" s="487"/>
      <c r="M1978" s="487"/>
      <c r="N1978" s="354"/>
      <c r="O1978" s="354"/>
      <c r="P1978" s="354"/>
      <c r="Q1978" s="354"/>
      <c r="R1978" s="354"/>
      <c r="S1978" s="354"/>
      <c r="T1978" s="354"/>
      <c r="U1978" s="354"/>
      <c r="V1978" s="354"/>
      <c r="W1978" s="354"/>
      <c r="X1978" s="354"/>
      <c r="Y1978" s="354"/>
      <c r="Z1978" s="353"/>
      <c r="AA1978" s="352"/>
      <c r="AB1978" s="726"/>
    </row>
    <row r="1979" spans="1:28" ht="16.5" customHeight="1">
      <c r="A1979" s="347"/>
      <c r="B1979" s="347"/>
      <c r="C1979" s="347"/>
      <c r="D1979" s="348"/>
      <c r="E1979" s="348"/>
      <c r="F1979" s="348"/>
      <c r="G1979" s="361"/>
      <c r="H1979" s="359"/>
      <c r="I1979" s="352"/>
      <c r="J1979" s="353"/>
      <c r="K1979" s="538"/>
      <c r="L1979" s="487"/>
      <c r="M1979" s="487"/>
      <c r="N1979" s="354"/>
      <c r="O1979" s="354"/>
      <c r="P1979" s="354"/>
      <c r="Q1979" s="354"/>
      <c r="R1979" s="354"/>
      <c r="S1979" s="354"/>
      <c r="T1979" s="354"/>
      <c r="U1979" s="354"/>
      <c r="V1979" s="354"/>
      <c r="W1979" s="354"/>
      <c r="X1979" s="354"/>
      <c r="Y1979" s="354"/>
      <c r="Z1979" s="353"/>
      <c r="AA1979" s="352"/>
      <c r="AB1979" s="726"/>
    </row>
    <row r="1980" spans="1:28" ht="16.5" customHeight="1">
      <c r="A1980" s="347"/>
      <c r="B1980" s="347"/>
      <c r="C1980" s="347"/>
      <c r="D1980" s="348"/>
      <c r="E1980" s="348"/>
      <c r="F1980" s="348"/>
      <c r="G1980" s="361"/>
      <c r="H1980" s="359"/>
      <c r="I1980" s="352"/>
      <c r="J1980" s="353"/>
      <c r="K1980" s="538"/>
      <c r="L1980" s="487"/>
      <c r="M1980" s="487"/>
      <c r="N1980" s="354"/>
      <c r="O1980" s="354"/>
      <c r="P1980" s="354"/>
      <c r="Q1980" s="354"/>
      <c r="R1980" s="354"/>
      <c r="S1980" s="354"/>
      <c r="T1980" s="354"/>
      <c r="U1980" s="354"/>
      <c r="V1980" s="354"/>
      <c r="W1980" s="354"/>
      <c r="X1980" s="354"/>
      <c r="Y1980" s="354"/>
      <c r="Z1980" s="353"/>
      <c r="AA1980" s="352"/>
      <c r="AB1980" s="726"/>
    </row>
    <row r="1981" spans="1:28" ht="16.5" customHeight="1">
      <c r="A1981" s="347"/>
      <c r="B1981" s="347"/>
      <c r="C1981" s="347"/>
      <c r="D1981" s="348"/>
      <c r="E1981" s="348"/>
      <c r="F1981" s="348"/>
      <c r="G1981" s="361"/>
      <c r="H1981" s="359"/>
      <c r="I1981" s="352"/>
      <c r="J1981" s="353"/>
      <c r="K1981" s="538"/>
      <c r="L1981" s="487"/>
      <c r="M1981" s="487"/>
      <c r="N1981" s="354"/>
      <c r="O1981" s="354"/>
      <c r="P1981" s="354"/>
      <c r="Q1981" s="354"/>
      <c r="R1981" s="354"/>
      <c r="S1981" s="354"/>
      <c r="T1981" s="354"/>
      <c r="U1981" s="354"/>
      <c r="V1981" s="354"/>
      <c r="W1981" s="354"/>
      <c r="X1981" s="354"/>
      <c r="Y1981" s="354"/>
      <c r="Z1981" s="353"/>
      <c r="AA1981" s="352"/>
      <c r="AB1981" s="726"/>
    </row>
    <row r="1982" spans="1:28" ht="16.5" customHeight="1">
      <c r="A1982" s="347"/>
      <c r="B1982" s="347"/>
      <c r="C1982" s="347"/>
      <c r="D1982" s="348"/>
      <c r="E1982" s="348"/>
      <c r="F1982" s="348"/>
      <c r="G1982" s="361"/>
      <c r="H1982" s="359"/>
      <c r="I1982" s="352"/>
      <c r="J1982" s="353"/>
      <c r="K1982" s="538"/>
      <c r="L1982" s="487"/>
      <c r="M1982" s="487"/>
      <c r="N1982" s="354"/>
      <c r="O1982" s="354"/>
      <c r="P1982" s="354"/>
      <c r="Q1982" s="354"/>
      <c r="R1982" s="354"/>
      <c r="S1982" s="354"/>
      <c r="T1982" s="354"/>
      <c r="U1982" s="354"/>
      <c r="V1982" s="354"/>
      <c r="W1982" s="354"/>
      <c r="X1982" s="354"/>
      <c r="Y1982" s="354"/>
      <c r="Z1982" s="353"/>
      <c r="AA1982" s="352"/>
      <c r="AB1982" s="726"/>
    </row>
    <row r="1983" spans="1:28" ht="16.5" customHeight="1">
      <c r="A1983" s="347"/>
      <c r="B1983" s="347"/>
      <c r="C1983" s="347"/>
      <c r="D1983" s="348"/>
      <c r="E1983" s="348"/>
      <c r="F1983" s="348"/>
      <c r="G1983" s="361"/>
      <c r="H1983" s="359"/>
      <c r="I1983" s="352"/>
      <c r="J1983" s="353"/>
      <c r="K1983" s="538"/>
      <c r="L1983" s="487"/>
      <c r="M1983" s="487"/>
      <c r="N1983" s="354"/>
      <c r="O1983" s="354"/>
      <c r="P1983" s="354"/>
      <c r="Q1983" s="354"/>
      <c r="R1983" s="354"/>
      <c r="S1983" s="354"/>
      <c r="T1983" s="354"/>
      <c r="U1983" s="354"/>
      <c r="V1983" s="354"/>
      <c r="W1983" s="354"/>
      <c r="X1983" s="354"/>
      <c r="Y1983" s="354"/>
      <c r="Z1983" s="353"/>
      <c r="AA1983" s="352"/>
      <c r="AB1983" s="726"/>
    </row>
    <row r="1984" spans="1:28" ht="16.5" customHeight="1">
      <c r="A1984" s="347"/>
      <c r="B1984" s="347"/>
      <c r="C1984" s="347"/>
      <c r="D1984" s="348"/>
      <c r="E1984" s="348"/>
      <c r="F1984" s="348"/>
      <c r="G1984" s="361"/>
      <c r="H1984" s="359"/>
      <c r="I1984" s="352"/>
      <c r="J1984" s="353"/>
      <c r="K1984" s="538"/>
      <c r="L1984" s="487"/>
      <c r="M1984" s="487"/>
      <c r="N1984" s="354"/>
      <c r="O1984" s="354"/>
      <c r="P1984" s="354"/>
      <c r="Q1984" s="354"/>
      <c r="R1984" s="354"/>
      <c r="S1984" s="354"/>
      <c r="T1984" s="354"/>
      <c r="U1984" s="354"/>
      <c r="V1984" s="354"/>
      <c r="W1984" s="354"/>
      <c r="X1984" s="354"/>
      <c r="Y1984" s="354"/>
      <c r="Z1984" s="353"/>
      <c r="AA1984" s="352"/>
      <c r="AB1984" s="726"/>
    </row>
    <row r="1985" spans="1:28" ht="16.5" customHeight="1">
      <c r="A1985" s="347"/>
      <c r="B1985" s="347"/>
      <c r="C1985" s="347"/>
      <c r="D1985" s="348"/>
      <c r="E1985" s="348"/>
      <c r="F1985" s="348"/>
      <c r="G1985" s="361"/>
      <c r="H1985" s="359"/>
      <c r="I1985" s="352"/>
      <c r="J1985" s="353"/>
      <c r="K1985" s="538"/>
      <c r="L1985" s="487"/>
      <c r="M1985" s="487"/>
      <c r="N1985" s="354"/>
      <c r="O1985" s="354"/>
      <c r="P1985" s="354"/>
      <c r="Q1985" s="354"/>
      <c r="R1985" s="354"/>
      <c r="S1985" s="354"/>
      <c r="T1985" s="354"/>
      <c r="U1985" s="354"/>
      <c r="V1985" s="354"/>
      <c r="W1985" s="354"/>
      <c r="X1985" s="354"/>
      <c r="Y1985" s="354"/>
      <c r="Z1985" s="353"/>
      <c r="AA1985" s="352"/>
      <c r="AB1985" s="726"/>
    </row>
    <row r="1986" spans="1:28" ht="16.5" customHeight="1">
      <c r="A1986" s="347"/>
      <c r="B1986" s="347"/>
      <c r="C1986" s="347"/>
      <c r="D1986" s="348"/>
      <c r="E1986" s="348"/>
      <c r="F1986" s="348"/>
      <c r="G1986" s="361"/>
      <c r="H1986" s="359"/>
      <c r="I1986" s="352"/>
      <c r="J1986" s="353"/>
      <c r="K1986" s="538"/>
      <c r="L1986" s="487"/>
      <c r="M1986" s="487"/>
      <c r="N1986" s="354"/>
      <c r="O1986" s="354"/>
      <c r="P1986" s="354"/>
      <c r="Q1986" s="354"/>
      <c r="R1986" s="354"/>
      <c r="S1986" s="354"/>
      <c r="T1986" s="354"/>
      <c r="U1986" s="354"/>
      <c r="V1986" s="354"/>
      <c r="W1986" s="354"/>
      <c r="X1986" s="354"/>
      <c r="Y1986" s="354"/>
      <c r="Z1986" s="353"/>
      <c r="AA1986" s="352"/>
      <c r="AB1986" s="726"/>
    </row>
    <row r="1987" spans="1:28" ht="16.5" customHeight="1">
      <c r="A1987" s="347"/>
      <c r="B1987" s="347"/>
      <c r="C1987" s="347"/>
      <c r="D1987" s="348"/>
      <c r="E1987" s="348"/>
      <c r="F1987" s="348"/>
      <c r="G1987" s="361"/>
      <c r="H1987" s="359"/>
      <c r="I1987" s="352"/>
      <c r="J1987" s="353"/>
      <c r="K1987" s="538"/>
      <c r="L1987" s="487"/>
      <c r="M1987" s="487"/>
      <c r="N1987" s="354"/>
      <c r="O1987" s="354"/>
      <c r="P1987" s="354"/>
      <c r="Q1987" s="354"/>
      <c r="R1987" s="354"/>
      <c r="S1987" s="354"/>
      <c r="T1987" s="354"/>
      <c r="U1987" s="354"/>
      <c r="V1987" s="354"/>
      <c r="W1987" s="354"/>
      <c r="X1987" s="354"/>
      <c r="Y1987" s="354"/>
      <c r="Z1987" s="353"/>
      <c r="AA1987" s="352"/>
      <c r="AB1987" s="726"/>
    </row>
    <row r="1988" spans="1:28" ht="16.5" customHeight="1">
      <c r="A1988" s="347"/>
      <c r="B1988" s="347"/>
      <c r="C1988" s="347"/>
      <c r="D1988" s="348"/>
      <c r="E1988" s="348"/>
      <c r="F1988" s="348"/>
      <c r="G1988" s="361"/>
      <c r="H1988" s="359"/>
      <c r="I1988" s="352"/>
      <c r="J1988" s="353"/>
      <c r="K1988" s="538"/>
      <c r="L1988" s="487"/>
      <c r="M1988" s="487"/>
      <c r="N1988" s="354"/>
      <c r="O1988" s="354"/>
      <c r="P1988" s="354"/>
      <c r="Q1988" s="354"/>
      <c r="R1988" s="354"/>
      <c r="S1988" s="354"/>
      <c r="T1988" s="354"/>
      <c r="U1988" s="354"/>
      <c r="V1988" s="354"/>
      <c r="W1988" s="354"/>
      <c r="X1988" s="354"/>
      <c r="Y1988" s="354"/>
      <c r="Z1988" s="353"/>
      <c r="AA1988" s="352"/>
      <c r="AB1988" s="726"/>
    </row>
    <row r="1989" spans="1:28" ht="16.5" customHeight="1">
      <c r="A1989" s="347"/>
      <c r="B1989" s="347"/>
      <c r="C1989" s="347"/>
      <c r="D1989" s="348"/>
      <c r="E1989" s="348"/>
      <c r="F1989" s="348"/>
      <c r="G1989" s="361"/>
      <c r="H1989" s="359"/>
      <c r="I1989" s="352"/>
      <c r="J1989" s="353"/>
      <c r="K1989" s="538"/>
      <c r="L1989" s="487"/>
      <c r="M1989" s="487"/>
      <c r="N1989" s="354"/>
      <c r="O1989" s="354"/>
      <c r="P1989" s="354"/>
      <c r="Q1989" s="354"/>
      <c r="R1989" s="354"/>
      <c r="S1989" s="354"/>
      <c r="T1989" s="354"/>
      <c r="U1989" s="354"/>
      <c r="V1989" s="354"/>
      <c r="W1989" s="354"/>
      <c r="X1989" s="354"/>
      <c r="Y1989" s="354"/>
      <c r="Z1989" s="353"/>
      <c r="AA1989" s="352"/>
      <c r="AB1989" s="726"/>
    </row>
    <row r="1990" spans="1:28" ht="16.5" customHeight="1">
      <c r="A1990" s="347"/>
      <c r="B1990" s="347"/>
      <c r="C1990" s="347"/>
      <c r="D1990" s="361"/>
      <c r="E1990" s="361"/>
      <c r="F1990" s="361"/>
      <c r="G1990" s="361"/>
      <c r="H1990" s="359"/>
      <c r="I1990" s="352"/>
      <c r="J1990" s="353"/>
      <c r="K1990" s="538"/>
      <c r="L1990" s="487"/>
      <c r="M1990" s="487"/>
      <c r="N1990" s="354"/>
      <c r="O1990" s="354"/>
      <c r="P1990" s="354"/>
      <c r="Q1990" s="354"/>
      <c r="R1990" s="354"/>
      <c r="S1990" s="354"/>
      <c r="T1990" s="354"/>
      <c r="U1990" s="354"/>
      <c r="V1990" s="354"/>
      <c r="W1990" s="354"/>
      <c r="X1990" s="354"/>
      <c r="Y1990" s="354"/>
      <c r="Z1990" s="353"/>
      <c r="AA1990" s="352"/>
      <c r="AB1990" s="726"/>
    </row>
    <row r="1991" spans="1:28" ht="16.5" customHeight="1">
      <c r="A1991" s="347"/>
      <c r="B1991" s="347"/>
      <c r="C1991" s="347"/>
      <c r="D1991" s="348"/>
      <c r="E1991" s="348"/>
      <c r="F1991" s="348"/>
      <c r="G1991" s="361"/>
      <c r="H1991" s="359"/>
      <c r="I1991" s="352"/>
      <c r="J1991" s="353"/>
      <c r="K1991" s="538"/>
      <c r="L1991" s="487"/>
      <c r="M1991" s="487"/>
      <c r="N1991" s="354"/>
      <c r="O1991" s="354"/>
      <c r="P1991" s="354"/>
      <c r="Q1991" s="354"/>
      <c r="R1991" s="354"/>
      <c r="S1991" s="354"/>
      <c r="T1991" s="354"/>
      <c r="U1991" s="354"/>
      <c r="V1991" s="354"/>
      <c r="W1991" s="354"/>
      <c r="X1991" s="354"/>
      <c r="Y1991" s="354"/>
      <c r="Z1991" s="353"/>
      <c r="AA1991" s="352"/>
      <c r="AB1991" s="726"/>
    </row>
    <row r="1992" spans="1:28" ht="16.5" customHeight="1">
      <c r="A1992" s="347"/>
      <c r="B1992" s="347"/>
      <c r="C1992" s="347"/>
      <c r="D1992" s="348"/>
      <c r="E1992" s="348"/>
      <c r="F1992" s="348"/>
      <c r="G1992" s="361"/>
      <c r="H1992" s="359"/>
      <c r="I1992" s="352"/>
      <c r="J1992" s="353"/>
      <c r="K1992" s="538"/>
      <c r="L1992" s="487"/>
      <c r="M1992" s="487"/>
      <c r="N1992" s="354"/>
      <c r="O1992" s="354"/>
      <c r="P1992" s="354"/>
      <c r="Q1992" s="354"/>
      <c r="R1992" s="354"/>
      <c r="S1992" s="354"/>
      <c r="T1992" s="354"/>
      <c r="U1992" s="354"/>
      <c r="V1992" s="354"/>
      <c r="W1992" s="354"/>
      <c r="X1992" s="354"/>
      <c r="Y1992" s="354"/>
      <c r="Z1992" s="353"/>
      <c r="AA1992" s="352"/>
      <c r="AB1992" s="726"/>
    </row>
    <row r="1993" spans="1:28" ht="16.5" customHeight="1">
      <c r="A1993" s="347"/>
      <c r="B1993" s="347"/>
      <c r="C1993" s="347"/>
      <c r="D1993" s="348"/>
      <c r="E1993" s="348"/>
      <c r="F1993" s="348"/>
      <c r="G1993" s="361"/>
      <c r="H1993" s="359"/>
      <c r="I1993" s="352"/>
      <c r="J1993" s="353"/>
      <c r="K1993" s="538"/>
      <c r="L1993" s="487"/>
      <c r="M1993" s="487"/>
      <c r="N1993" s="354"/>
      <c r="O1993" s="354"/>
      <c r="P1993" s="354"/>
      <c r="Q1993" s="354"/>
      <c r="R1993" s="354"/>
      <c r="S1993" s="354"/>
      <c r="T1993" s="354"/>
      <c r="U1993" s="354"/>
      <c r="V1993" s="354"/>
      <c r="W1993" s="354"/>
      <c r="X1993" s="354"/>
      <c r="Y1993" s="354"/>
      <c r="Z1993" s="353"/>
      <c r="AA1993" s="352"/>
      <c r="AB1993" s="726"/>
    </row>
    <row r="1994" spans="1:28" ht="16.5" customHeight="1">
      <c r="A1994" s="347"/>
      <c r="B1994" s="347"/>
      <c r="C1994" s="347"/>
      <c r="D1994" s="348"/>
      <c r="E1994" s="348"/>
      <c r="F1994" s="348"/>
      <c r="G1994" s="361"/>
      <c r="H1994" s="359"/>
      <c r="I1994" s="352"/>
      <c r="J1994" s="353"/>
      <c r="K1994" s="538"/>
      <c r="L1994" s="487"/>
      <c r="M1994" s="487"/>
      <c r="N1994" s="354"/>
      <c r="O1994" s="354"/>
      <c r="P1994" s="354"/>
      <c r="Q1994" s="354"/>
      <c r="R1994" s="354"/>
      <c r="S1994" s="354"/>
      <c r="T1994" s="354"/>
      <c r="U1994" s="354"/>
      <c r="V1994" s="354"/>
      <c r="W1994" s="354"/>
      <c r="X1994" s="354"/>
      <c r="Y1994" s="354"/>
      <c r="Z1994" s="353"/>
      <c r="AA1994" s="352"/>
      <c r="AB1994" s="726"/>
    </row>
    <row r="1995" spans="1:28" ht="16.5" customHeight="1">
      <c r="A1995" s="347"/>
      <c r="B1995" s="347"/>
      <c r="C1995" s="347"/>
      <c r="D1995" s="348"/>
      <c r="E1995" s="348"/>
      <c r="F1995" s="348"/>
      <c r="G1995" s="361"/>
      <c r="H1995" s="359"/>
      <c r="I1995" s="352"/>
      <c r="J1995" s="353"/>
      <c r="K1995" s="538"/>
      <c r="L1995" s="487"/>
      <c r="M1995" s="487"/>
      <c r="N1995" s="354"/>
      <c r="O1995" s="354"/>
      <c r="P1995" s="354"/>
      <c r="Q1995" s="354"/>
      <c r="R1995" s="354"/>
      <c r="S1995" s="354"/>
      <c r="T1995" s="354"/>
      <c r="U1995" s="354"/>
      <c r="V1995" s="354"/>
      <c r="W1995" s="354"/>
      <c r="X1995" s="354"/>
      <c r="Y1995" s="354"/>
      <c r="Z1995" s="353"/>
      <c r="AA1995" s="352"/>
      <c r="AB1995" s="726"/>
    </row>
    <row r="1996" spans="1:28" ht="16.5" customHeight="1">
      <c r="A1996" s="347"/>
      <c r="B1996" s="347"/>
      <c r="C1996" s="347"/>
      <c r="D1996" s="348"/>
      <c r="E1996" s="348"/>
      <c r="F1996" s="348"/>
      <c r="G1996" s="361"/>
      <c r="H1996" s="359"/>
      <c r="I1996" s="352"/>
      <c r="J1996" s="353"/>
      <c r="K1996" s="538"/>
      <c r="L1996" s="487"/>
      <c r="M1996" s="487"/>
      <c r="N1996" s="354"/>
      <c r="O1996" s="354"/>
      <c r="P1996" s="354"/>
      <c r="Q1996" s="354"/>
      <c r="R1996" s="354"/>
      <c r="S1996" s="354"/>
      <c r="T1996" s="354"/>
      <c r="U1996" s="354"/>
      <c r="V1996" s="354"/>
      <c r="W1996" s="354"/>
      <c r="X1996" s="354"/>
      <c r="Y1996" s="354"/>
      <c r="Z1996" s="353"/>
      <c r="AA1996" s="352"/>
      <c r="AB1996" s="726"/>
    </row>
    <row r="1997" spans="1:28" ht="16.5" customHeight="1">
      <c r="A1997" s="347"/>
      <c r="B1997" s="347"/>
      <c r="C1997" s="347"/>
      <c r="D1997" s="348"/>
      <c r="E1997" s="348"/>
      <c r="F1997" s="348"/>
      <c r="G1997" s="361"/>
      <c r="H1997" s="359"/>
      <c r="I1997" s="352"/>
      <c r="J1997" s="353"/>
      <c r="K1997" s="538"/>
      <c r="L1997" s="487"/>
      <c r="M1997" s="487"/>
      <c r="N1997" s="354"/>
      <c r="O1997" s="354"/>
      <c r="P1997" s="354"/>
      <c r="Q1997" s="354"/>
      <c r="R1997" s="354"/>
      <c r="S1997" s="354"/>
      <c r="T1997" s="354"/>
      <c r="U1997" s="354"/>
      <c r="V1997" s="354"/>
      <c r="W1997" s="354"/>
      <c r="X1997" s="354"/>
      <c r="Y1997" s="354"/>
      <c r="Z1997" s="353"/>
      <c r="AA1997" s="352"/>
      <c r="AB1997" s="726"/>
    </row>
    <row r="1998" spans="1:28" ht="16.5" customHeight="1">
      <c r="A1998" s="347"/>
      <c r="B1998" s="347"/>
      <c r="C1998" s="347"/>
      <c r="D1998" s="348"/>
      <c r="E1998" s="348"/>
      <c r="F1998" s="348"/>
      <c r="G1998" s="361"/>
      <c r="H1998" s="359"/>
      <c r="I1998" s="352"/>
      <c r="J1998" s="353"/>
      <c r="K1998" s="538"/>
      <c r="L1998" s="487"/>
      <c r="M1998" s="487"/>
      <c r="N1998" s="354"/>
      <c r="O1998" s="354"/>
      <c r="P1998" s="354"/>
      <c r="Q1998" s="354"/>
      <c r="R1998" s="354"/>
      <c r="S1998" s="354"/>
      <c r="T1998" s="354"/>
      <c r="U1998" s="354"/>
      <c r="V1998" s="354"/>
      <c r="W1998" s="354"/>
      <c r="X1998" s="354"/>
      <c r="Y1998" s="354"/>
      <c r="Z1998" s="353"/>
      <c r="AA1998" s="352"/>
      <c r="AB1998" s="726"/>
    </row>
    <row r="1999" spans="1:28" ht="16.5" customHeight="1">
      <c r="A1999" s="347"/>
      <c r="B1999" s="347"/>
      <c r="C1999" s="347"/>
      <c r="D1999" s="348"/>
      <c r="E1999" s="348"/>
      <c r="F1999" s="348"/>
      <c r="G1999" s="361"/>
      <c r="H1999" s="359"/>
      <c r="I1999" s="352"/>
      <c r="J1999" s="353"/>
      <c r="K1999" s="538"/>
      <c r="L1999" s="487"/>
      <c r="M1999" s="487"/>
      <c r="N1999" s="354"/>
      <c r="O1999" s="354"/>
      <c r="P1999" s="354"/>
      <c r="Q1999" s="354"/>
      <c r="R1999" s="354"/>
      <c r="S1999" s="354"/>
      <c r="T1999" s="354"/>
      <c r="U1999" s="354"/>
      <c r="V1999" s="354"/>
      <c r="W1999" s="354"/>
      <c r="X1999" s="354"/>
      <c r="Y1999" s="354"/>
      <c r="Z1999" s="353"/>
      <c r="AA1999" s="352"/>
      <c r="AB1999" s="726"/>
    </row>
    <row r="2000" spans="1:28" ht="16.5" customHeight="1">
      <c r="A2000" s="347"/>
      <c r="B2000" s="347"/>
      <c r="C2000" s="347"/>
      <c r="D2000" s="348"/>
      <c r="E2000" s="348"/>
      <c r="F2000" s="348"/>
      <c r="G2000" s="361"/>
      <c r="H2000" s="359"/>
      <c r="I2000" s="352"/>
      <c r="J2000" s="353"/>
      <c r="K2000" s="538"/>
      <c r="L2000" s="487"/>
      <c r="M2000" s="487"/>
      <c r="N2000" s="354"/>
      <c r="O2000" s="354"/>
      <c r="P2000" s="354"/>
      <c r="Q2000" s="354"/>
      <c r="R2000" s="354"/>
      <c r="S2000" s="354"/>
      <c r="T2000" s="354"/>
      <c r="U2000" s="354"/>
      <c r="V2000" s="354"/>
      <c r="W2000" s="354"/>
      <c r="X2000" s="354"/>
      <c r="Y2000" s="354"/>
      <c r="Z2000" s="353"/>
      <c r="AA2000" s="352"/>
      <c r="AB2000" s="726"/>
    </row>
    <row r="2001" spans="1:28" ht="16.5" customHeight="1">
      <c r="A2001" s="347"/>
      <c r="B2001" s="347"/>
      <c r="C2001" s="347"/>
      <c r="D2001" s="348"/>
      <c r="E2001" s="348"/>
      <c r="F2001" s="348"/>
      <c r="G2001" s="361"/>
      <c r="H2001" s="359"/>
      <c r="I2001" s="352"/>
      <c r="J2001" s="353"/>
      <c r="K2001" s="538"/>
      <c r="L2001" s="487"/>
      <c r="M2001" s="487"/>
      <c r="N2001" s="354"/>
      <c r="O2001" s="354"/>
      <c r="P2001" s="354"/>
      <c r="Q2001" s="354"/>
      <c r="R2001" s="354"/>
      <c r="S2001" s="354"/>
      <c r="T2001" s="354"/>
      <c r="U2001" s="354"/>
      <c r="V2001" s="354"/>
      <c r="W2001" s="354"/>
      <c r="X2001" s="354"/>
      <c r="Y2001" s="354"/>
      <c r="Z2001" s="353"/>
      <c r="AA2001" s="352"/>
      <c r="AB2001" s="726"/>
    </row>
    <row r="2002" spans="1:28" ht="16.5" customHeight="1">
      <c r="A2002" s="347"/>
      <c r="B2002" s="347"/>
      <c r="C2002" s="347"/>
      <c r="D2002" s="348"/>
      <c r="E2002" s="348"/>
      <c r="F2002" s="348"/>
      <c r="G2002" s="361"/>
      <c r="H2002" s="359"/>
      <c r="I2002" s="352"/>
      <c r="J2002" s="353"/>
      <c r="K2002" s="538"/>
      <c r="L2002" s="487"/>
      <c r="M2002" s="487"/>
      <c r="N2002" s="354"/>
      <c r="O2002" s="354"/>
      <c r="P2002" s="354"/>
      <c r="Q2002" s="354"/>
      <c r="R2002" s="354"/>
      <c r="S2002" s="354"/>
      <c r="T2002" s="354"/>
      <c r="U2002" s="354"/>
      <c r="V2002" s="354"/>
      <c r="W2002" s="354"/>
      <c r="X2002" s="354"/>
      <c r="Y2002" s="354"/>
      <c r="Z2002" s="353"/>
      <c r="AA2002" s="352"/>
      <c r="AB2002" s="726"/>
    </row>
    <row r="2003" spans="1:28" ht="16.5" customHeight="1">
      <c r="A2003" s="347"/>
      <c r="B2003" s="347"/>
      <c r="C2003" s="347"/>
      <c r="D2003" s="348"/>
      <c r="E2003" s="348"/>
      <c r="F2003" s="348"/>
      <c r="G2003" s="361"/>
      <c r="H2003" s="359"/>
      <c r="I2003" s="352"/>
      <c r="J2003" s="353"/>
      <c r="K2003" s="538"/>
      <c r="L2003" s="487"/>
      <c r="M2003" s="487"/>
      <c r="N2003" s="354"/>
      <c r="O2003" s="354"/>
      <c r="P2003" s="354"/>
      <c r="Q2003" s="354"/>
      <c r="R2003" s="354"/>
      <c r="S2003" s="354"/>
      <c r="T2003" s="354"/>
      <c r="U2003" s="354"/>
      <c r="V2003" s="354"/>
      <c r="W2003" s="354"/>
      <c r="X2003" s="354"/>
      <c r="Y2003" s="354"/>
      <c r="Z2003" s="353"/>
      <c r="AA2003" s="352"/>
      <c r="AB2003" s="726"/>
    </row>
    <row r="2004" spans="1:28" ht="16.5" customHeight="1">
      <c r="A2004" s="347"/>
      <c r="B2004" s="347"/>
      <c r="C2004" s="347"/>
      <c r="D2004" s="348"/>
      <c r="E2004" s="348"/>
      <c r="F2004" s="348"/>
      <c r="G2004" s="361"/>
      <c r="H2004" s="359"/>
      <c r="I2004" s="352"/>
      <c r="J2004" s="353"/>
      <c r="K2004" s="538"/>
      <c r="L2004" s="487"/>
      <c r="M2004" s="487"/>
      <c r="N2004" s="354"/>
      <c r="O2004" s="354"/>
      <c r="P2004" s="354"/>
      <c r="Q2004" s="354"/>
      <c r="R2004" s="354"/>
      <c r="S2004" s="354"/>
      <c r="T2004" s="354"/>
      <c r="U2004" s="354"/>
      <c r="V2004" s="354"/>
      <c r="W2004" s="354"/>
      <c r="X2004" s="354"/>
      <c r="Y2004" s="354"/>
      <c r="Z2004" s="353"/>
      <c r="AA2004" s="352"/>
      <c r="AB2004" s="726"/>
    </row>
    <row r="2005" spans="1:28" ht="16.5" customHeight="1">
      <c r="A2005" s="347"/>
      <c r="B2005" s="347"/>
      <c r="C2005" s="347"/>
      <c r="D2005" s="348"/>
      <c r="E2005" s="348"/>
      <c r="F2005" s="348"/>
      <c r="G2005" s="361"/>
      <c r="H2005" s="359"/>
      <c r="I2005" s="352"/>
      <c r="J2005" s="353"/>
      <c r="K2005" s="538"/>
      <c r="L2005" s="487"/>
      <c r="M2005" s="487"/>
      <c r="N2005" s="354"/>
      <c r="O2005" s="354"/>
      <c r="P2005" s="354"/>
      <c r="Q2005" s="354"/>
      <c r="R2005" s="354"/>
      <c r="S2005" s="354"/>
      <c r="T2005" s="354"/>
      <c r="U2005" s="354"/>
      <c r="V2005" s="354"/>
      <c r="W2005" s="354"/>
      <c r="X2005" s="354"/>
      <c r="Y2005" s="354"/>
      <c r="Z2005" s="353"/>
      <c r="AA2005" s="352"/>
      <c r="AB2005" s="726"/>
    </row>
    <row r="2006" spans="1:28" ht="16.5" customHeight="1">
      <c r="A2006" s="347"/>
      <c r="B2006" s="347"/>
      <c r="C2006" s="347"/>
      <c r="D2006" s="348"/>
      <c r="E2006" s="348"/>
      <c r="F2006" s="348"/>
      <c r="G2006" s="361"/>
      <c r="H2006" s="359"/>
      <c r="I2006" s="352"/>
      <c r="J2006" s="353"/>
      <c r="K2006" s="538"/>
      <c r="L2006" s="487"/>
      <c r="M2006" s="487"/>
      <c r="N2006" s="354"/>
      <c r="O2006" s="354"/>
      <c r="P2006" s="354"/>
      <c r="Q2006" s="354"/>
      <c r="R2006" s="354"/>
      <c r="S2006" s="354"/>
      <c r="T2006" s="354"/>
      <c r="U2006" s="354"/>
      <c r="V2006" s="354"/>
      <c r="W2006" s="354"/>
      <c r="X2006" s="354"/>
      <c r="Y2006" s="354"/>
      <c r="Z2006" s="353"/>
      <c r="AA2006" s="352"/>
      <c r="AB2006" s="726"/>
    </row>
    <row r="2007" spans="1:28" ht="16.5" customHeight="1">
      <c r="A2007" s="347"/>
      <c r="B2007" s="347"/>
      <c r="C2007" s="347"/>
      <c r="D2007" s="348"/>
      <c r="E2007" s="348"/>
      <c r="F2007" s="348"/>
      <c r="G2007" s="361"/>
      <c r="H2007" s="359"/>
      <c r="I2007" s="352"/>
      <c r="J2007" s="353"/>
      <c r="K2007" s="538"/>
      <c r="L2007" s="487"/>
      <c r="M2007" s="487"/>
      <c r="N2007" s="354"/>
      <c r="O2007" s="354"/>
      <c r="P2007" s="354"/>
      <c r="Q2007" s="354"/>
      <c r="R2007" s="354"/>
      <c r="S2007" s="354"/>
      <c r="T2007" s="354"/>
      <c r="U2007" s="354"/>
      <c r="V2007" s="354"/>
      <c r="W2007" s="354"/>
      <c r="X2007" s="354"/>
      <c r="Y2007" s="354"/>
      <c r="Z2007" s="353"/>
      <c r="AA2007" s="352"/>
      <c r="AB2007" s="726"/>
    </row>
    <row r="2008" spans="1:28" ht="16.5" customHeight="1">
      <c r="A2008" s="347"/>
      <c r="B2008" s="347"/>
      <c r="C2008" s="347"/>
      <c r="D2008" s="361"/>
      <c r="E2008" s="361"/>
      <c r="F2008" s="361"/>
      <c r="G2008" s="361"/>
      <c r="H2008" s="359"/>
      <c r="I2008" s="352"/>
      <c r="J2008" s="353"/>
      <c r="K2008" s="538"/>
      <c r="L2008" s="487"/>
      <c r="M2008" s="487"/>
      <c r="N2008" s="354"/>
      <c r="O2008" s="354"/>
      <c r="P2008" s="354"/>
      <c r="Q2008" s="354"/>
      <c r="R2008" s="354"/>
      <c r="S2008" s="354"/>
      <c r="T2008" s="354"/>
      <c r="U2008" s="354"/>
      <c r="V2008" s="354"/>
      <c r="W2008" s="354"/>
      <c r="X2008" s="354"/>
      <c r="Y2008" s="354"/>
      <c r="Z2008" s="353"/>
      <c r="AA2008" s="352"/>
      <c r="AB2008" s="726"/>
    </row>
    <row r="2009" spans="1:28" ht="16.5" customHeight="1">
      <c r="A2009" s="347"/>
      <c r="B2009" s="347"/>
      <c r="C2009" s="347"/>
      <c r="D2009" s="348"/>
      <c r="E2009" s="348"/>
      <c r="F2009" s="348"/>
      <c r="G2009" s="361"/>
      <c r="H2009" s="359"/>
      <c r="I2009" s="352"/>
      <c r="J2009" s="353"/>
      <c r="K2009" s="538"/>
      <c r="L2009" s="487"/>
      <c r="M2009" s="487"/>
      <c r="N2009" s="354"/>
      <c r="O2009" s="354"/>
      <c r="P2009" s="354"/>
      <c r="Q2009" s="354"/>
      <c r="R2009" s="354"/>
      <c r="S2009" s="354"/>
      <c r="T2009" s="354"/>
      <c r="U2009" s="354"/>
      <c r="V2009" s="354"/>
      <c r="W2009" s="354"/>
      <c r="X2009" s="354"/>
      <c r="Y2009" s="354"/>
      <c r="Z2009" s="353"/>
      <c r="AA2009" s="352"/>
      <c r="AB2009" s="726"/>
    </row>
    <row r="2010" spans="1:28" ht="16.5" customHeight="1">
      <c r="A2010" s="347"/>
      <c r="B2010" s="347"/>
      <c r="C2010" s="347"/>
      <c r="D2010" s="347"/>
      <c r="E2010" s="347"/>
      <c r="F2010" s="347"/>
      <c r="G2010" s="348"/>
      <c r="H2010" s="359"/>
      <c r="I2010" s="352"/>
      <c r="J2010" s="353"/>
      <c r="K2010" s="539"/>
      <c r="L2010" s="487"/>
      <c r="M2010" s="487"/>
      <c r="N2010" s="354"/>
      <c r="O2010" s="354"/>
      <c r="P2010" s="354"/>
      <c r="Q2010" s="354"/>
      <c r="R2010" s="354"/>
      <c r="S2010" s="354"/>
      <c r="T2010" s="354"/>
      <c r="U2010" s="354"/>
      <c r="V2010" s="354"/>
      <c r="W2010" s="354"/>
      <c r="X2010" s="353"/>
      <c r="Y2010" s="354"/>
      <c r="Z2010" s="353"/>
      <c r="AA2010" s="352"/>
      <c r="AB2010" s="726"/>
    </row>
    <row r="2011" spans="1:28" ht="16.5" customHeight="1">
      <c r="A2011" s="347"/>
      <c r="B2011" s="347"/>
      <c r="C2011" s="347"/>
      <c r="D2011" s="348"/>
      <c r="E2011" s="348"/>
      <c r="F2011" s="348"/>
      <c r="G2011" s="348"/>
      <c r="H2011" s="359"/>
      <c r="I2011" s="352"/>
      <c r="J2011" s="353"/>
      <c r="K2011" s="539"/>
      <c r="L2011" s="487"/>
      <c r="M2011" s="487"/>
      <c r="N2011" s="354"/>
      <c r="O2011" s="487"/>
      <c r="P2011" s="354"/>
      <c r="Q2011" s="354"/>
      <c r="R2011" s="354"/>
      <c r="S2011" s="354"/>
      <c r="T2011" s="354"/>
      <c r="U2011" s="354"/>
      <c r="V2011" s="354"/>
      <c r="W2011" s="354"/>
      <c r="X2011" s="353"/>
      <c r="Y2011" s="354"/>
      <c r="Z2011" s="353"/>
      <c r="AA2011" s="352"/>
      <c r="AB2011" s="726"/>
    </row>
    <row r="2012" spans="1:28" ht="16.5" customHeight="1">
      <c r="AB2012" s="725"/>
    </row>
    <row r="2013" spans="1:28" ht="16.5" customHeight="1">
      <c r="AB2013" s="725"/>
    </row>
    <row r="2014" spans="1:28" ht="16.5" customHeight="1">
      <c r="AB2014" s="725"/>
    </row>
    <row r="2015" spans="1:28" ht="16.5" customHeight="1">
      <c r="AB2015" s="725"/>
    </row>
    <row r="2016" spans="1:28" ht="16.5" customHeight="1">
      <c r="AB2016" s="725"/>
    </row>
    <row r="2017" spans="28:28" ht="16.5" customHeight="1">
      <c r="AB2017" s="725"/>
    </row>
    <row r="2018" spans="28:28" ht="16.5" customHeight="1">
      <c r="AB2018" s="725"/>
    </row>
    <row r="2019" spans="28:28" ht="16.5" customHeight="1">
      <c r="AB2019" s="725"/>
    </row>
    <row r="2020" spans="28:28" ht="16.5" customHeight="1">
      <c r="AB2020" s="725"/>
    </row>
    <row r="2021" spans="28:28" ht="16.5" customHeight="1">
      <c r="AB2021" s="725"/>
    </row>
    <row r="2022" spans="28:28" ht="16.5" customHeight="1">
      <c r="AB2022" s="725"/>
    </row>
    <row r="2023" spans="28:28" ht="16.5" customHeight="1">
      <c r="AB2023" s="725"/>
    </row>
    <row r="2024" spans="28:28" ht="16.5" customHeight="1">
      <c r="AB2024" s="725"/>
    </row>
    <row r="2025" spans="28:28" ht="16.5" customHeight="1">
      <c r="AB2025" s="725"/>
    </row>
    <row r="2026" spans="28:28" ht="16.5" customHeight="1">
      <c r="AB2026" s="725"/>
    </row>
    <row r="2027" spans="28:28" ht="16.5" customHeight="1">
      <c r="AB2027" s="725"/>
    </row>
    <row r="2028" spans="28:28" ht="16.5" customHeight="1">
      <c r="AB2028" s="725"/>
    </row>
    <row r="2029" spans="28:28" ht="16.5" customHeight="1">
      <c r="AB2029" s="725"/>
    </row>
    <row r="2030" spans="28:28" ht="16.5" customHeight="1">
      <c r="AB2030" s="725"/>
    </row>
    <row r="2031" spans="28:28" ht="16.5" customHeight="1">
      <c r="AB2031" s="725"/>
    </row>
    <row r="2032" spans="28:28" ht="16.5" customHeight="1">
      <c r="AB2032" s="725"/>
    </row>
    <row r="2033" spans="28:28" ht="16.5" customHeight="1">
      <c r="AB2033" s="725"/>
    </row>
    <row r="2034" spans="28:28" ht="16.5" customHeight="1">
      <c r="AB2034" s="725"/>
    </row>
    <row r="2035" spans="28:28" ht="16.5" customHeight="1">
      <c r="AB2035" s="725"/>
    </row>
    <row r="2036" spans="28:28" ht="16.5" customHeight="1">
      <c r="AB2036" s="725"/>
    </row>
    <row r="2037" spans="28:28" ht="16.5" customHeight="1">
      <c r="AB2037" s="725"/>
    </row>
    <row r="2038" spans="28:28" ht="16.5" customHeight="1">
      <c r="AB2038" s="725"/>
    </row>
    <row r="2039" spans="28:28" ht="16.5" customHeight="1">
      <c r="AB2039" s="725"/>
    </row>
    <row r="2040" spans="28:28" ht="16.5" customHeight="1">
      <c r="AB2040" s="725"/>
    </row>
    <row r="2041" spans="28:28" ht="16.5" customHeight="1">
      <c r="AB2041" s="725"/>
    </row>
    <row r="2042" spans="28:28" ht="16.5" customHeight="1">
      <c r="AB2042" s="725"/>
    </row>
    <row r="2043" spans="28:28" ht="16.5" customHeight="1">
      <c r="AB2043" s="725"/>
    </row>
    <row r="2044" spans="28:28" ht="16.5" customHeight="1">
      <c r="AB2044" s="725"/>
    </row>
    <row r="2045" spans="28:28" ht="16.5" customHeight="1">
      <c r="AB2045" s="725"/>
    </row>
    <row r="2046" spans="28:28" ht="16.5" customHeight="1">
      <c r="AB2046" s="725"/>
    </row>
    <row r="2047" spans="28:28" ht="16.5" customHeight="1">
      <c r="AB2047" s="725"/>
    </row>
    <row r="2048" spans="28:28" ht="16.5" customHeight="1">
      <c r="AB2048" s="725"/>
    </row>
    <row r="2049" spans="28:28" ht="16.5" customHeight="1">
      <c r="AB2049" s="725"/>
    </row>
    <row r="2050" spans="28:28" ht="16.5" customHeight="1">
      <c r="AB2050" s="725"/>
    </row>
    <row r="2051" spans="28:28" ht="16.5" customHeight="1">
      <c r="AB2051" s="725"/>
    </row>
    <row r="2052" spans="28:28" ht="16.5" customHeight="1">
      <c r="AB2052" s="725"/>
    </row>
    <row r="2053" spans="28:28" ht="16.5" customHeight="1">
      <c r="AB2053" s="725"/>
    </row>
    <row r="2054" spans="28:28" ht="16.5" customHeight="1">
      <c r="AB2054" s="725"/>
    </row>
    <row r="2055" spans="28:28" ht="16.5" customHeight="1">
      <c r="AB2055" s="725"/>
    </row>
    <row r="2056" spans="28:28" ht="16.5" customHeight="1">
      <c r="AB2056" s="725"/>
    </row>
    <row r="2057" spans="28:28" ht="16.5" customHeight="1">
      <c r="AB2057" s="725"/>
    </row>
    <row r="2058" spans="28:28" ht="16.5" customHeight="1">
      <c r="AB2058" s="725"/>
    </row>
    <row r="2059" spans="28:28" ht="16.5" customHeight="1">
      <c r="AB2059" s="725"/>
    </row>
    <row r="2060" spans="28:28" ht="16.5" customHeight="1">
      <c r="AB2060" s="725"/>
    </row>
    <row r="2061" spans="28:28" ht="16.5" customHeight="1">
      <c r="AB2061" s="725"/>
    </row>
    <row r="2062" spans="28:28" ht="16.5" customHeight="1">
      <c r="AB2062" s="725"/>
    </row>
    <row r="2063" spans="28:28" ht="16.5" customHeight="1">
      <c r="AB2063" s="725"/>
    </row>
    <row r="2064" spans="28:28" ht="16.5" customHeight="1">
      <c r="AB2064" s="725"/>
    </row>
    <row r="2065" spans="28:28" ht="16.5" customHeight="1">
      <c r="AB2065" s="725"/>
    </row>
    <row r="2066" spans="28:28" ht="16.5" customHeight="1">
      <c r="AB2066" s="725"/>
    </row>
    <row r="2067" spans="28:28" ht="16.5" customHeight="1">
      <c r="AB2067" s="725"/>
    </row>
    <row r="2068" spans="28:28" ht="16.5" customHeight="1">
      <c r="AB2068" s="725"/>
    </row>
    <row r="2069" spans="28:28" ht="16.5" customHeight="1">
      <c r="AB2069" s="725"/>
    </row>
    <row r="2070" spans="28:28" ht="16.5" customHeight="1">
      <c r="AB2070" s="725"/>
    </row>
    <row r="2071" spans="28:28" ht="16.5" customHeight="1">
      <c r="AB2071" s="725"/>
    </row>
    <row r="2072" spans="28:28" ht="16.5" customHeight="1">
      <c r="AB2072" s="725"/>
    </row>
    <row r="2073" spans="28:28" ht="16.5" customHeight="1">
      <c r="AB2073" s="725"/>
    </row>
    <row r="2074" spans="28:28" ht="16.5" customHeight="1">
      <c r="AB2074" s="725"/>
    </row>
    <row r="2075" spans="28:28" ht="16.5" customHeight="1">
      <c r="AB2075" s="725"/>
    </row>
    <row r="2076" spans="28:28" ht="16.5" customHeight="1">
      <c r="AB2076" s="725"/>
    </row>
    <row r="2077" spans="28:28" ht="16.5" customHeight="1">
      <c r="AB2077" s="725"/>
    </row>
    <row r="2078" spans="28:28" ht="16.5" customHeight="1">
      <c r="AB2078" s="725"/>
    </row>
    <row r="2079" spans="28:28" ht="16.5" customHeight="1">
      <c r="AB2079" s="725"/>
    </row>
    <row r="2080" spans="28:28" ht="16.5" customHeight="1">
      <c r="AB2080" s="725"/>
    </row>
    <row r="2081" spans="28:28" ht="16.5" customHeight="1">
      <c r="AB2081" s="725"/>
    </row>
    <row r="2082" spans="28:28" ht="16.5" customHeight="1">
      <c r="AB2082" s="725"/>
    </row>
    <row r="2083" spans="28:28" ht="16.5" customHeight="1">
      <c r="AB2083" s="725"/>
    </row>
    <row r="2084" spans="28:28" ht="16.5" customHeight="1">
      <c r="AB2084" s="725"/>
    </row>
    <row r="2085" spans="28:28" ht="16.5" customHeight="1">
      <c r="AB2085" s="725"/>
    </row>
    <row r="2086" spans="28:28" ht="16.5" customHeight="1">
      <c r="AB2086" s="725"/>
    </row>
    <row r="2087" spans="28:28" ht="16.5" customHeight="1">
      <c r="AB2087" s="725"/>
    </row>
    <row r="2088" spans="28:28" ht="16.5" customHeight="1">
      <c r="AB2088" s="725"/>
    </row>
    <row r="2089" spans="28:28" ht="16.5" customHeight="1">
      <c r="AB2089" s="725"/>
    </row>
    <row r="2090" spans="28:28" ht="16.5" customHeight="1">
      <c r="AB2090" s="725"/>
    </row>
    <row r="2091" spans="28:28" ht="16.5" customHeight="1">
      <c r="AB2091" s="725"/>
    </row>
    <row r="2092" spans="28:28" ht="16.5" customHeight="1">
      <c r="AB2092" s="725"/>
    </row>
    <row r="2093" spans="28:28" ht="16.5" customHeight="1">
      <c r="AB2093" s="725"/>
    </row>
    <row r="2094" spans="28:28" ht="16.5" customHeight="1">
      <c r="AB2094" s="725"/>
    </row>
    <row r="2095" spans="28:28" ht="16.5" customHeight="1">
      <c r="AB2095" s="725"/>
    </row>
    <row r="2096" spans="28:28" ht="16.5" customHeight="1">
      <c r="AB2096" s="725"/>
    </row>
    <row r="2097" spans="28:28" ht="16.5" customHeight="1">
      <c r="AB2097" s="725"/>
    </row>
    <row r="2098" spans="28:28" ht="16.5" customHeight="1">
      <c r="AB2098" s="725"/>
    </row>
    <row r="2099" spans="28:28" ht="16.5" customHeight="1">
      <c r="AB2099" s="725"/>
    </row>
    <row r="2100" spans="28:28" ht="16.5" customHeight="1">
      <c r="AB2100" s="725"/>
    </row>
    <row r="2101" spans="28:28" ht="16.5" customHeight="1">
      <c r="AB2101" s="725"/>
    </row>
    <row r="2102" spans="28:28" ht="16.5" customHeight="1">
      <c r="AB2102" s="725"/>
    </row>
    <row r="2103" spans="28:28" ht="16.5" customHeight="1">
      <c r="AB2103" s="725"/>
    </row>
    <row r="2104" spans="28:28" ht="16.5" customHeight="1">
      <c r="AB2104" s="725"/>
    </row>
    <row r="2105" spans="28:28" ht="16.5" customHeight="1">
      <c r="AB2105" s="725"/>
    </row>
    <row r="2106" spans="28:28" ht="16.5" customHeight="1">
      <c r="AB2106" s="725"/>
    </row>
    <row r="2107" spans="28:28" ht="16.5" customHeight="1">
      <c r="AB2107" s="725"/>
    </row>
    <row r="2108" spans="28:28" ht="16.5" customHeight="1">
      <c r="AB2108" s="725"/>
    </row>
    <row r="2109" spans="28:28" ht="16.5" customHeight="1">
      <c r="AB2109" s="725"/>
    </row>
    <row r="2110" spans="28:28" ht="16.5" customHeight="1">
      <c r="AB2110" s="725"/>
    </row>
    <row r="2111" spans="28:28" ht="16.5" customHeight="1">
      <c r="AB2111" s="725"/>
    </row>
    <row r="2112" spans="28:28" ht="16.5" customHeight="1">
      <c r="AB2112" s="725"/>
    </row>
    <row r="2113" spans="28:28" ht="16.5" customHeight="1">
      <c r="AB2113" s="725"/>
    </row>
    <row r="2114" spans="28:28" ht="16.5" customHeight="1">
      <c r="AB2114" s="725"/>
    </row>
    <row r="2115" spans="28:28" ht="16.5" customHeight="1">
      <c r="AB2115" s="725"/>
    </row>
    <row r="2116" spans="28:28" ht="16.5" customHeight="1">
      <c r="AB2116" s="725"/>
    </row>
    <row r="2117" spans="28:28" ht="16.5" customHeight="1">
      <c r="AB2117" s="725"/>
    </row>
    <row r="2118" spans="28:28" ht="16.5" customHeight="1">
      <c r="AB2118" s="725"/>
    </row>
    <row r="2119" spans="28:28" ht="16.5" customHeight="1">
      <c r="AB2119" s="725"/>
    </row>
    <row r="2120" spans="28:28" ht="16.5" customHeight="1">
      <c r="AB2120" s="725"/>
    </row>
    <row r="2121" spans="28:28" ht="16.5" customHeight="1">
      <c r="AB2121" s="725"/>
    </row>
    <row r="2122" spans="28:28" ht="16.5" customHeight="1">
      <c r="AB2122" s="725"/>
    </row>
    <row r="2123" spans="28:28" ht="16.5" customHeight="1">
      <c r="AB2123" s="725"/>
    </row>
    <row r="2124" spans="28:28" ht="16.5" customHeight="1">
      <c r="AB2124" s="725"/>
    </row>
    <row r="2125" spans="28:28" ht="16.5" customHeight="1">
      <c r="AB2125" s="725"/>
    </row>
    <row r="2126" spans="28:28" ht="16.5" customHeight="1">
      <c r="AB2126" s="725"/>
    </row>
    <row r="2127" spans="28:28" ht="16.5" customHeight="1">
      <c r="AB2127" s="725"/>
    </row>
    <row r="2128" spans="28:28" ht="16.5" customHeight="1">
      <c r="AB2128" s="725"/>
    </row>
    <row r="2129" spans="28:28" ht="16.5" customHeight="1">
      <c r="AB2129" s="725"/>
    </row>
    <row r="2130" spans="28:28" ht="16.5" customHeight="1">
      <c r="AB2130" s="725"/>
    </row>
    <row r="2131" spans="28:28" ht="16.5" customHeight="1">
      <c r="AB2131" s="725"/>
    </row>
    <row r="2132" spans="28:28" ht="16.5" customHeight="1">
      <c r="AB2132" s="725"/>
    </row>
    <row r="2133" spans="28:28" ht="16.5" customHeight="1">
      <c r="AB2133" s="725"/>
    </row>
    <row r="2134" spans="28:28" ht="16.5" customHeight="1">
      <c r="AB2134" s="725"/>
    </row>
    <row r="2135" spans="28:28" ht="16.5" customHeight="1">
      <c r="AB2135" s="725"/>
    </row>
    <row r="2136" spans="28:28" ht="16.5" customHeight="1">
      <c r="AB2136" s="725"/>
    </row>
    <row r="2137" spans="28:28" ht="16.5" customHeight="1">
      <c r="AB2137" s="725"/>
    </row>
    <row r="2138" spans="28:28" ht="16.5" customHeight="1">
      <c r="AB2138" s="725"/>
    </row>
    <row r="2139" spans="28:28" ht="16.5" customHeight="1">
      <c r="AB2139" s="725"/>
    </row>
    <row r="2140" spans="28:28" ht="16.5" customHeight="1">
      <c r="AB2140" s="725"/>
    </row>
    <row r="2141" spans="28:28" ht="16.5" customHeight="1">
      <c r="AB2141" s="725"/>
    </row>
    <row r="2142" spans="28:28" ht="16.5" customHeight="1">
      <c r="AB2142" s="725"/>
    </row>
    <row r="2143" spans="28:28" ht="16.5" customHeight="1">
      <c r="AB2143" s="725"/>
    </row>
    <row r="2144" spans="28:28" ht="16.5" customHeight="1">
      <c r="AB2144" s="725"/>
    </row>
    <row r="2145" spans="28:28" ht="16.5" customHeight="1">
      <c r="AB2145" s="725"/>
    </row>
    <row r="2146" spans="28:28" ht="16.5" customHeight="1">
      <c r="AB2146" s="725"/>
    </row>
    <row r="2147" spans="28:28" ht="16.5" customHeight="1">
      <c r="AB2147" s="725"/>
    </row>
    <row r="2148" spans="28:28" ht="16.5" customHeight="1">
      <c r="AB2148" s="725"/>
    </row>
    <row r="2149" spans="28:28" ht="16.5" customHeight="1">
      <c r="AB2149" s="725"/>
    </row>
    <row r="2150" spans="28:28" ht="16.5" customHeight="1">
      <c r="AB2150" s="725"/>
    </row>
    <row r="2151" spans="28:28" ht="16.5" customHeight="1">
      <c r="AB2151" s="725"/>
    </row>
    <row r="2152" spans="28:28" ht="16.5" customHeight="1">
      <c r="AB2152" s="725"/>
    </row>
    <row r="2153" spans="28:28" ht="16.5" customHeight="1">
      <c r="AB2153" s="725"/>
    </row>
    <row r="2154" spans="28:28" ht="16.5" customHeight="1">
      <c r="AB2154" s="725"/>
    </row>
    <row r="2155" spans="28:28" ht="16.5" customHeight="1">
      <c r="AB2155" s="725"/>
    </row>
    <row r="2156" spans="28:28" ht="16.5" customHeight="1">
      <c r="AB2156" s="725"/>
    </row>
    <row r="2157" spans="28:28" ht="16.5" customHeight="1">
      <c r="AB2157" s="725"/>
    </row>
    <row r="2158" spans="28:28" ht="16.5" customHeight="1">
      <c r="AB2158" s="725"/>
    </row>
    <row r="2159" spans="28:28" ht="16.5" customHeight="1">
      <c r="AB2159" s="725"/>
    </row>
    <row r="2160" spans="28:28" ht="16.5" customHeight="1">
      <c r="AB2160" s="725"/>
    </row>
    <row r="2161" spans="28:28" ht="16.5" customHeight="1">
      <c r="AB2161" s="725"/>
    </row>
    <row r="2162" spans="28:28" ht="16.5" customHeight="1">
      <c r="AB2162" s="725"/>
    </row>
    <row r="2163" spans="28:28" ht="16.5" customHeight="1">
      <c r="AB2163" s="725"/>
    </row>
    <row r="2164" spans="28:28" ht="16.5" customHeight="1">
      <c r="AB2164" s="725"/>
    </row>
    <row r="2165" spans="28:28" ht="16.5" customHeight="1">
      <c r="AB2165" s="725"/>
    </row>
    <row r="2166" spans="28:28" ht="16.5" customHeight="1">
      <c r="AB2166" s="725"/>
    </row>
    <row r="2167" spans="28:28" ht="16.5" customHeight="1">
      <c r="AB2167" s="725"/>
    </row>
    <row r="2168" spans="28:28" ht="16.5" customHeight="1">
      <c r="AB2168" s="725"/>
    </row>
    <row r="2169" spans="28:28" ht="16.5" customHeight="1">
      <c r="AB2169" s="725"/>
    </row>
    <row r="2170" spans="28:28" ht="16.5" customHeight="1">
      <c r="AB2170" s="725"/>
    </row>
    <row r="2171" spans="28:28" ht="16.5" customHeight="1">
      <c r="AB2171" s="725"/>
    </row>
    <row r="2172" spans="28:28" ht="16.5" customHeight="1">
      <c r="AB2172" s="725"/>
    </row>
    <row r="2173" spans="28:28" ht="16.5" customHeight="1">
      <c r="AB2173" s="725"/>
    </row>
    <row r="2174" spans="28:28" ht="16.5" customHeight="1">
      <c r="AB2174" s="725"/>
    </row>
    <row r="2175" spans="28:28" ht="16.5" customHeight="1">
      <c r="AB2175" s="725"/>
    </row>
    <row r="2176" spans="28:28" ht="16.5" customHeight="1">
      <c r="AB2176" s="725"/>
    </row>
    <row r="2177" spans="28:28" ht="16.5" customHeight="1">
      <c r="AB2177" s="725"/>
    </row>
    <row r="2178" spans="28:28" ht="16.5" customHeight="1">
      <c r="AB2178" s="725"/>
    </row>
    <row r="2179" spans="28:28" ht="16.5" customHeight="1">
      <c r="AB2179" s="725"/>
    </row>
    <row r="2180" spans="28:28" ht="16.5" customHeight="1">
      <c r="AB2180" s="725"/>
    </row>
    <row r="2181" spans="28:28" ht="16.5" customHeight="1">
      <c r="AB2181" s="725"/>
    </row>
    <row r="2182" spans="28:28" ht="16.5" customHeight="1">
      <c r="AB2182" s="725"/>
    </row>
    <row r="2183" spans="28:28" ht="16.5" customHeight="1">
      <c r="AB2183" s="725"/>
    </row>
    <row r="2184" spans="28:28" ht="16.5" customHeight="1">
      <c r="AB2184" s="725"/>
    </row>
    <row r="2185" spans="28:28" ht="16.5" customHeight="1">
      <c r="AB2185" s="725"/>
    </row>
    <row r="2186" spans="28:28" ht="16.5" customHeight="1">
      <c r="AB2186" s="725"/>
    </row>
    <row r="2187" spans="28:28" ht="16.5" customHeight="1">
      <c r="AB2187" s="725"/>
    </row>
    <row r="2188" spans="28:28" ht="16.5" customHeight="1">
      <c r="AB2188" s="725"/>
    </row>
    <row r="2189" spans="28:28" ht="16.5" customHeight="1">
      <c r="AB2189" s="725"/>
    </row>
    <row r="2190" spans="28:28" ht="16.5" customHeight="1">
      <c r="AB2190" s="725"/>
    </row>
    <row r="2191" spans="28:28" ht="16.5" customHeight="1">
      <c r="AB2191" s="725"/>
    </row>
    <row r="2192" spans="28:28" ht="16.5" customHeight="1">
      <c r="AB2192" s="725"/>
    </row>
    <row r="2193" spans="28:28" ht="16.5" customHeight="1">
      <c r="AB2193" s="725"/>
    </row>
    <row r="2194" spans="28:28" ht="16.5" customHeight="1">
      <c r="AB2194" s="725"/>
    </row>
    <row r="2195" spans="28:28" ht="16.5" customHeight="1">
      <c r="AB2195" s="725"/>
    </row>
    <row r="2196" spans="28:28" ht="16.5" customHeight="1">
      <c r="AB2196" s="725"/>
    </row>
    <row r="2197" spans="28:28" ht="16.5" customHeight="1">
      <c r="AB2197" s="725"/>
    </row>
    <row r="2198" spans="28:28" ht="16.5" customHeight="1">
      <c r="AB2198" s="725"/>
    </row>
    <row r="2199" spans="28:28" ht="16.5" customHeight="1">
      <c r="AB2199" s="725"/>
    </row>
    <row r="2200" spans="28:28" ht="16.5" customHeight="1">
      <c r="AB2200" s="725"/>
    </row>
    <row r="2201" spans="28:28" ht="16.5" customHeight="1">
      <c r="AB2201" s="725"/>
    </row>
    <row r="2202" spans="28:28" ht="16.5" customHeight="1">
      <c r="AB2202" s="725"/>
    </row>
    <row r="2203" spans="28:28" ht="16.5" customHeight="1">
      <c r="AB2203" s="725"/>
    </row>
    <row r="2204" spans="28:28" ht="16.5" customHeight="1">
      <c r="AB2204" s="725"/>
    </row>
    <row r="2205" spans="28:28" ht="16.5" customHeight="1">
      <c r="AB2205" s="725"/>
    </row>
    <row r="2206" spans="28:28" ht="16.5" customHeight="1">
      <c r="AB2206" s="725"/>
    </row>
    <row r="2207" spans="28:28" ht="16.5" customHeight="1">
      <c r="AB2207" s="725"/>
    </row>
    <row r="2208" spans="28:28" ht="16.5" customHeight="1">
      <c r="AB2208" s="725"/>
    </row>
    <row r="2209" spans="28:28" ht="16.5" customHeight="1">
      <c r="AB2209" s="725"/>
    </row>
    <row r="2210" spans="28:28" ht="16.5" customHeight="1">
      <c r="AB2210" s="725"/>
    </row>
    <row r="2211" spans="28:28" ht="16.5" customHeight="1">
      <c r="AB2211" s="725"/>
    </row>
    <row r="2212" spans="28:28" ht="16.5" customHeight="1">
      <c r="AB2212" s="725"/>
    </row>
    <row r="2213" spans="28:28" ht="16.5" customHeight="1">
      <c r="AB2213" s="725"/>
    </row>
    <row r="2214" spans="28:28" ht="16.5" customHeight="1">
      <c r="AB2214" s="725"/>
    </row>
    <row r="2215" spans="28:28" ht="16.5" customHeight="1">
      <c r="AB2215" s="725"/>
    </row>
    <row r="2216" spans="28:28" ht="16.5" customHeight="1">
      <c r="AB2216" s="725"/>
    </row>
    <row r="2217" spans="28:28" ht="16.5" customHeight="1">
      <c r="AB2217" s="725"/>
    </row>
    <row r="2218" spans="28:28" ht="16.5" customHeight="1">
      <c r="AB2218" s="725"/>
    </row>
    <row r="2219" spans="28:28" ht="16.5" customHeight="1">
      <c r="AB2219" s="725"/>
    </row>
    <row r="2220" spans="28:28" ht="16.5" customHeight="1">
      <c r="AB2220" s="725"/>
    </row>
    <row r="2221" spans="28:28" ht="16.5" customHeight="1">
      <c r="AB2221" s="725"/>
    </row>
    <row r="2222" spans="28:28" ht="16.5" customHeight="1">
      <c r="AB2222" s="725"/>
    </row>
    <row r="2223" spans="28:28" ht="16.5" customHeight="1">
      <c r="AB2223" s="725"/>
    </row>
    <row r="2224" spans="28:28" ht="16.5" customHeight="1">
      <c r="AB2224" s="725"/>
    </row>
    <row r="2225" spans="28:28" ht="16.5" customHeight="1">
      <c r="AB2225" s="725"/>
    </row>
    <row r="2226" spans="28:28" ht="16.5" customHeight="1">
      <c r="AB2226" s="725"/>
    </row>
    <row r="2227" spans="28:28" ht="16.5" customHeight="1">
      <c r="AB2227" s="725"/>
    </row>
    <row r="2228" spans="28:28" ht="16.5" customHeight="1">
      <c r="AB2228" s="725"/>
    </row>
    <row r="2229" spans="28:28" ht="16.5" customHeight="1">
      <c r="AB2229" s="725"/>
    </row>
    <row r="2230" spans="28:28" ht="16.5" customHeight="1">
      <c r="AB2230" s="725"/>
    </row>
    <row r="2231" spans="28:28" ht="16.5" customHeight="1">
      <c r="AB2231" s="725"/>
    </row>
    <row r="2232" spans="28:28" ht="16.5" customHeight="1">
      <c r="AB2232" s="725"/>
    </row>
    <row r="2233" spans="28:28" ht="16.5" customHeight="1">
      <c r="AB2233" s="725"/>
    </row>
    <row r="2234" spans="28:28" ht="16.5" customHeight="1">
      <c r="AB2234" s="725"/>
    </row>
    <row r="2235" spans="28:28" ht="16.5" customHeight="1">
      <c r="AB2235" s="725"/>
    </row>
    <row r="2236" spans="28:28" ht="16.5" customHeight="1">
      <c r="AB2236" s="725"/>
    </row>
    <row r="2237" spans="28:28" ht="16.5" customHeight="1">
      <c r="AB2237" s="725"/>
    </row>
    <row r="2238" spans="28:28" ht="16.5" customHeight="1">
      <c r="AB2238" s="725"/>
    </row>
    <row r="2239" spans="28:28" ht="16.5" customHeight="1">
      <c r="AB2239" s="725"/>
    </row>
    <row r="2240" spans="28:28" ht="16.5" customHeight="1">
      <c r="AB2240" s="725"/>
    </row>
    <row r="2241" spans="28:28" ht="16.5" customHeight="1">
      <c r="AB2241" s="725"/>
    </row>
    <row r="2242" spans="28:28" ht="16.5" customHeight="1">
      <c r="AB2242" s="725"/>
    </row>
    <row r="2243" spans="28:28" ht="16.5" customHeight="1">
      <c r="AB2243" s="725"/>
    </row>
    <row r="2244" spans="28:28" ht="16.5" customHeight="1">
      <c r="AB2244" s="725"/>
    </row>
    <row r="2245" spans="28:28" ht="16.5" customHeight="1">
      <c r="AB2245" s="725"/>
    </row>
    <row r="2246" spans="28:28" ht="16.5" customHeight="1">
      <c r="AB2246" s="725"/>
    </row>
    <row r="2247" spans="28:28" ht="16.5" customHeight="1">
      <c r="AB2247" s="725"/>
    </row>
    <row r="2248" spans="28:28" ht="16.5" customHeight="1">
      <c r="AB2248" s="725"/>
    </row>
    <row r="2249" spans="28:28" ht="16.5" customHeight="1">
      <c r="AB2249" s="725"/>
    </row>
    <row r="2250" spans="28:28" ht="16.5" customHeight="1">
      <c r="AB2250" s="725"/>
    </row>
    <row r="2251" spans="28:28" ht="16.5" customHeight="1">
      <c r="AB2251" s="725"/>
    </row>
    <row r="2252" spans="28:28" ht="16.5" customHeight="1">
      <c r="AB2252" s="725"/>
    </row>
    <row r="2253" spans="28:28" ht="16.5" customHeight="1">
      <c r="AB2253" s="725"/>
    </row>
    <row r="2254" spans="28:28" ht="16.5" customHeight="1">
      <c r="AB2254" s="725"/>
    </row>
    <row r="2255" spans="28:28" ht="16.5" customHeight="1">
      <c r="AB2255" s="725"/>
    </row>
    <row r="2256" spans="28:28" ht="16.5" customHeight="1">
      <c r="AB2256" s="725"/>
    </row>
    <row r="2257" spans="28:28" ht="16.5" customHeight="1">
      <c r="AB2257" s="725"/>
    </row>
    <row r="2258" spans="28:28" ht="16.5" customHeight="1">
      <c r="AB2258" s="725"/>
    </row>
    <row r="2259" spans="28:28" ht="16.5" customHeight="1">
      <c r="AB2259" s="725"/>
    </row>
    <row r="2260" spans="28:28" ht="16.5" customHeight="1">
      <c r="AB2260" s="725"/>
    </row>
    <row r="2261" spans="28:28" ht="16.5" customHeight="1">
      <c r="AB2261" s="725"/>
    </row>
    <row r="2262" spans="28:28" ht="16.5" customHeight="1">
      <c r="AB2262" s="725"/>
    </row>
    <row r="2263" spans="28:28" ht="16.5" customHeight="1">
      <c r="AB2263" s="725"/>
    </row>
    <row r="2264" spans="28:28" ht="16.5" customHeight="1">
      <c r="AB2264" s="725"/>
    </row>
    <row r="2265" spans="28:28" ht="16.5" customHeight="1">
      <c r="AB2265" s="725"/>
    </row>
    <row r="2266" spans="28:28" ht="16.5" customHeight="1">
      <c r="AB2266" s="725"/>
    </row>
    <row r="2267" spans="28:28" ht="16.5" customHeight="1">
      <c r="AB2267" s="725"/>
    </row>
    <row r="2268" spans="28:28" ht="16.5" customHeight="1">
      <c r="AB2268" s="725"/>
    </row>
    <row r="2269" spans="28:28" ht="16.5" customHeight="1">
      <c r="AB2269" s="725"/>
    </row>
    <row r="2270" spans="28:28" ht="16.5" customHeight="1">
      <c r="AB2270" s="725"/>
    </row>
    <row r="2271" spans="28:28" ht="16.5" customHeight="1">
      <c r="AB2271" s="725"/>
    </row>
    <row r="2272" spans="28:28" ht="16.5" customHeight="1">
      <c r="AB2272" s="725"/>
    </row>
    <row r="2273" spans="28:28" ht="16.5" customHeight="1">
      <c r="AB2273" s="725"/>
    </row>
    <row r="2274" spans="28:28" ht="16.5" customHeight="1">
      <c r="AB2274" s="725"/>
    </row>
    <row r="2275" spans="28:28" ht="16.5" customHeight="1">
      <c r="AB2275" s="725"/>
    </row>
    <row r="2276" spans="28:28" ht="16.5" customHeight="1">
      <c r="AB2276" s="725"/>
    </row>
    <row r="2277" spans="28:28" ht="16.5" customHeight="1">
      <c r="AB2277" s="725"/>
    </row>
    <row r="2278" spans="28:28" ht="16.5" customHeight="1">
      <c r="AB2278" s="725"/>
    </row>
    <row r="2279" spans="28:28" ht="16.5" customHeight="1">
      <c r="AB2279" s="725"/>
    </row>
    <row r="2280" spans="28:28" ht="16.5" customHeight="1">
      <c r="AB2280" s="725"/>
    </row>
    <row r="2281" spans="28:28" ht="16.5" customHeight="1">
      <c r="AB2281" s="725"/>
    </row>
    <row r="2282" spans="28:28" ht="16.5" customHeight="1">
      <c r="AB2282" s="725"/>
    </row>
    <row r="2283" spans="28:28" ht="16.5" customHeight="1">
      <c r="AB2283" s="725"/>
    </row>
    <row r="2284" spans="28:28" ht="16.5" customHeight="1">
      <c r="AB2284" s="725"/>
    </row>
    <row r="2285" spans="28:28" ht="16.5" customHeight="1">
      <c r="AB2285" s="725"/>
    </row>
    <row r="2286" spans="28:28" ht="16.5" customHeight="1">
      <c r="AB2286" s="725"/>
    </row>
    <row r="2287" spans="28:28" ht="16.5" customHeight="1">
      <c r="AB2287" s="725"/>
    </row>
    <row r="2288" spans="28:28" ht="16.5" customHeight="1">
      <c r="AB2288" s="725"/>
    </row>
    <row r="2289" spans="28:28" ht="16.5" customHeight="1">
      <c r="AB2289" s="725"/>
    </row>
    <row r="2290" spans="28:28" ht="16.5" customHeight="1">
      <c r="AB2290" s="725"/>
    </row>
    <row r="2291" spans="28:28" ht="16.5" customHeight="1">
      <c r="AB2291" s="725"/>
    </row>
    <row r="2292" spans="28:28" ht="16.5" customHeight="1">
      <c r="AB2292" s="725"/>
    </row>
    <row r="2293" spans="28:28" ht="16.5" customHeight="1">
      <c r="AB2293" s="725"/>
    </row>
    <row r="2294" spans="28:28" ht="16.5" customHeight="1">
      <c r="AB2294" s="725"/>
    </row>
    <row r="2295" spans="28:28" ht="16.5" customHeight="1">
      <c r="AB2295" s="725"/>
    </row>
    <row r="2296" spans="28:28" ht="16.5" customHeight="1">
      <c r="AB2296" s="725"/>
    </row>
    <row r="2297" spans="28:28" ht="16.5" customHeight="1">
      <c r="AB2297" s="725"/>
    </row>
    <row r="2298" spans="28:28" ht="16.5" customHeight="1">
      <c r="AB2298" s="725"/>
    </row>
    <row r="2299" spans="28:28" ht="16.5" customHeight="1">
      <c r="AB2299" s="725"/>
    </row>
    <row r="2300" spans="28:28" ht="16.5" customHeight="1">
      <c r="AB2300" s="725"/>
    </row>
    <row r="2301" spans="28:28" ht="16.5" customHeight="1">
      <c r="AB2301" s="725"/>
    </row>
    <row r="2302" spans="28:28" ht="16.5" customHeight="1">
      <c r="AB2302" s="725"/>
    </row>
    <row r="2303" spans="28:28" ht="16.5" customHeight="1">
      <c r="AB2303" s="725"/>
    </row>
    <row r="2304" spans="28:28" ht="16.5" customHeight="1">
      <c r="AB2304" s="725"/>
    </row>
    <row r="2305" spans="28:28" ht="16.5" customHeight="1">
      <c r="AB2305" s="725"/>
    </row>
    <row r="2306" spans="28:28" ht="16.5" customHeight="1">
      <c r="AB2306" s="725"/>
    </row>
    <row r="2307" spans="28:28" ht="16.5" customHeight="1">
      <c r="AB2307" s="725"/>
    </row>
    <row r="2308" spans="28:28" ht="16.5" customHeight="1">
      <c r="AB2308" s="725"/>
    </row>
    <row r="2309" spans="28:28" ht="16.5" customHeight="1">
      <c r="AB2309" s="725"/>
    </row>
    <row r="2310" spans="28:28" ht="16.5" customHeight="1">
      <c r="AB2310" s="725"/>
    </row>
    <row r="2311" spans="28:28" ht="16.5" customHeight="1">
      <c r="AB2311" s="725"/>
    </row>
    <row r="2312" spans="28:28" ht="16.5" customHeight="1">
      <c r="AB2312" s="725"/>
    </row>
    <row r="2313" spans="28:28" ht="16.5" customHeight="1">
      <c r="AB2313" s="725"/>
    </row>
    <row r="2314" spans="28:28" ht="16.5" customHeight="1">
      <c r="AB2314" s="725"/>
    </row>
    <row r="2315" spans="28:28" ht="16.5" customHeight="1">
      <c r="AB2315" s="725"/>
    </row>
    <row r="2316" spans="28:28" ht="16.5" customHeight="1">
      <c r="AB2316" s="725"/>
    </row>
    <row r="2317" spans="28:28" ht="16.5" customHeight="1">
      <c r="AB2317" s="725"/>
    </row>
    <row r="2318" spans="28:28" ht="16.5" customHeight="1">
      <c r="AB2318" s="725"/>
    </row>
    <row r="2319" spans="28:28" ht="16.5" customHeight="1">
      <c r="AB2319" s="725"/>
    </row>
    <row r="2320" spans="28:28" ht="16.5" customHeight="1">
      <c r="AB2320" s="725"/>
    </row>
    <row r="2321" spans="28:28" ht="16.5" customHeight="1">
      <c r="AB2321" s="725"/>
    </row>
    <row r="2322" spans="28:28" ht="16.5" customHeight="1">
      <c r="AB2322" s="725"/>
    </row>
    <row r="2323" spans="28:28" ht="16.5" customHeight="1">
      <c r="AB2323" s="725"/>
    </row>
    <row r="2324" spans="28:28" ht="16.5" customHeight="1">
      <c r="AB2324" s="725"/>
    </row>
    <row r="2325" spans="28:28" ht="16.5" customHeight="1">
      <c r="AB2325" s="725"/>
    </row>
    <row r="2326" spans="28:28" ht="16.5" customHeight="1">
      <c r="AB2326" s="725"/>
    </row>
    <row r="2327" spans="28:28" ht="16.5" customHeight="1">
      <c r="AB2327" s="725"/>
    </row>
    <row r="2328" spans="28:28" ht="16.5" customHeight="1">
      <c r="AB2328" s="725"/>
    </row>
    <row r="2329" spans="28:28" ht="16.5" customHeight="1">
      <c r="AB2329" s="725"/>
    </row>
    <row r="2330" spans="28:28" ht="16.5" customHeight="1">
      <c r="AB2330" s="725"/>
    </row>
    <row r="2331" spans="28:28" ht="16.5" customHeight="1">
      <c r="AB2331" s="725"/>
    </row>
    <row r="2332" spans="28:28" ht="16.5" customHeight="1">
      <c r="AB2332" s="725"/>
    </row>
    <row r="2333" spans="28:28" ht="16.5" customHeight="1">
      <c r="AB2333" s="725"/>
    </row>
    <row r="2334" spans="28:28" ht="16.5" customHeight="1">
      <c r="AB2334" s="725"/>
    </row>
    <row r="2335" spans="28:28" ht="16.5" customHeight="1">
      <c r="AB2335" s="725"/>
    </row>
    <row r="2336" spans="28:28" ht="16.5" customHeight="1">
      <c r="AB2336" s="725"/>
    </row>
    <row r="2337" spans="28:28" ht="16.5" customHeight="1">
      <c r="AB2337" s="725"/>
    </row>
    <row r="2338" spans="28:28" ht="16.5" customHeight="1">
      <c r="AB2338" s="725"/>
    </row>
    <row r="2339" spans="28:28" ht="16.5" customHeight="1">
      <c r="AB2339" s="725"/>
    </row>
    <row r="2340" spans="28:28" ht="16.5" customHeight="1">
      <c r="AB2340" s="725"/>
    </row>
    <row r="2341" spans="28:28" ht="16.5" customHeight="1">
      <c r="AB2341" s="725"/>
    </row>
    <row r="2342" spans="28:28" ht="16.5" customHeight="1">
      <c r="AB2342" s="725"/>
    </row>
    <row r="2343" spans="28:28" ht="16.5" customHeight="1">
      <c r="AB2343" s="725"/>
    </row>
    <row r="2344" spans="28:28" ht="16.5" customHeight="1">
      <c r="AB2344" s="725"/>
    </row>
    <row r="2345" spans="28:28" ht="16.5" customHeight="1">
      <c r="AB2345" s="725"/>
    </row>
    <row r="2346" spans="28:28" ht="16.5" customHeight="1">
      <c r="AB2346" s="725"/>
    </row>
    <row r="2347" spans="28:28" ht="16.5" customHeight="1">
      <c r="AB2347" s="725"/>
    </row>
    <row r="2348" spans="28:28" ht="16.5" customHeight="1">
      <c r="AB2348" s="725"/>
    </row>
    <row r="2349" spans="28:28" ht="16.5" customHeight="1">
      <c r="AB2349" s="725"/>
    </row>
    <row r="2350" spans="28:28" ht="16.5" customHeight="1">
      <c r="AB2350" s="725"/>
    </row>
    <row r="2351" spans="28:28" ht="16.5" customHeight="1">
      <c r="AB2351" s="725"/>
    </row>
    <row r="2352" spans="28:28" ht="16.5" customHeight="1">
      <c r="AB2352" s="725"/>
    </row>
    <row r="2353" spans="28:28" ht="16.5" customHeight="1">
      <c r="AB2353" s="725"/>
    </row>
    <row r="2354" spans="28:28" ht="16.5" customHeight="1">
      <c r="AB2354" s="725"/>
    </row>
    <row r="2355" spans="28:28" ht="16.5" customHeight="1">
      <c r="AB2355" s="725"/>
    </row>
    <row r="2356" spans="28:28" ht="16.5" customHeight="1">
      <c r="AB2356" s="725"/>
    </row>
    <row r="2357" spans="28:28" ht="16.5" customHeight="1">
      <c r="AB2357" s="725"/>
    </row>
    <row r="2358" spans="28:28" ht="16.5" customHeight="1">
      <c r="AB2358" s="725"/>
    </row>
    <row r="2359" spans="28:28" ht="16.5" customHeight="1">
      <c r="AB2359" s="725"/>
    </row>
    <row r="2360" spans="28:28" ht="16.5" customHeight="1">
      <c r="AB2360" s="725"/>
    </row>
    <row r="2361" spans="28:28" ht="16.5" customHeight="1">
      <c r="AB2361" s="725"/>
    </row>
    <row r="2362" spans="28:28" ht="16.5" customHeight="1">
      <c r="AB2362" s="725"/>
    </row>
    <row r="2363" spans="28:28" ht="16.5" customHeight="1">
      <c r="AB2363" s="725"/>
    </row>
    <row r="2364" spans="28:28" ht="16.5" customHeight="1">
      <c r="AB2364" s="725"/>
    </row>
    <row r="2365" spans="28:28" ht="16.5" customHeight="1">
      <c r="AB2365" s="725"/>
    </row>
    <row r="2366" spans="28:28" ht="16.5" customHeight="1">
      <c r="AB2366" s="725"/>
    </row>
    <row r="2367" spans="28:28" ht="16.5" customHeight="1">
      <c r="AB2367" s="725"/>
    </row>
    <row r="2368" spans="28:28" ht="16.5" customHeight="1">
      <c r="AB2368" s="725"/>
    </row>
    <row r="2369" spans="28:28" ht="16.5" customHeight="1">
      <c r="AB2369" s="725"/>
    </row>
    <row r="2370" spans="28:28" ht="16.5" customHeight="1">
      <c r="AB2370" s="725"/>
    </row>
    <row r="2371" spans="28:28" ht="16.5" customHeight="1">
      <c r="AB2371" s="725"/>
    </row>
    <row r="2372" spans="28:28" ht="16.5" customHeight="1">
      <c r="AB2372" s="725"/>
    </row>
    <row r="2373" spans="28:28" ht="16.5" customHeight="1">
      <c r="AB2373" s="725"/>
    </row>
    <row r="2374" spans="28:28" ht="16.5" customHeight="1">
      <c r="AB2374" s="725"/>
    </row>
    <row r="2375" spans="28:28" ht="16.5" customHeight="1">
      <c r="AB2375" s="725"/>
    </row>
    <row r="2376" spans="28:28" ht="16.5" customHeight="1">
      <c r="AB2376" s="725"/>
    </row>
    <row r="2377" spans="28:28" ht="16.5" customHeight="1">
      <c r="AB2377" s="725"/>
    </row>
    <row r="2378" spans="28:28" ht="16.5" customHeight="1">
      <c r="AB2378" s="725"/>
    </row>
    <row r="2379" spans="28:28" ht="16.5" customHeight="1">
      <c r="AB2379" s="725"/>
    </row>
    <row r="2380" spans="28:28" ht="16.5" customHeight="1">
      <c r="AB2380" s="725"/>
    </row>
    <row r="2381" spans="28:28" ht="16.5" customHeight="1">
      <c r="AB2381" s="725"/>
    </row>
    <row r="2382" spans="28:28" ht="16.5" customHeight="1">
      <c r="AB2382" s="725"/>
    </row>
    <row r="2383" spans="28:28" ht="16.5" customHeight="1">
      <c r="AB2383" s="725"/>
    </row>
    <row r="2384" spans="28:28" ht="16.5" customHeight="1">
      <c r="AB2384" s="725"/>
    </row>
    <row r="2385" spans="28:28" ht="16.5" customHeight="1">
      <c r="AB2385" s="725"/>
    </row>
    <row r="2386" spans="28:28" ht="16.5" customHeight="1">
      <c r="AB2386" s="725"/>
    </row>
    <row r="2387" spans="28:28" ht="16.5" customHeight="1">
      <c r="AB2387" s="725"/>
    </row>
    <row r="2388" spans="28:28" ht="16.5" customHeight="1">
      <c r="AB2388" s="725"/>
    </row>
    <row r="2389" spans="28:28" ht="16.5" customHeight="1">
      <c r="AB2389" s="725"/>
    </row>
    <row r="2390" spans="28:28" ht="16.5" customHeight="1">
      <c r="AB2390" s="725"/>
    </row>
    <row r="2391" spans="28:28" ht="16.5" customHeight="1">
      <c r="AB2391" s="725"/>
    </row>
    <row r="2392" spans="28:28" ht="16.5" customHeight="1">
      <c r="AB2392" s="725"/>
    </row>
    <row r="2393" spans="28:28" ht="16.5" customHeight="1">
      <c r="AB2393" s="725"/>
    </row>
    <row r="2394" spans="28:28" ht="16.5" customHeight="1">
      <c r="AB2394" s="725"/>
    </row>
    <row r="2395" spans="28:28" ht="16.5" customHeight="1">
      <c r="AB2395" s="725"/>
    </row>
    <row r="2396" spans="28:28" ht="16.5" customHeight="1">
      <c r="AB2396" s="725"/>
    </row>
    <row r="2397" spans="28:28" ht="16.5" customHeight="1">
      <c r="AB2397" s="725"/>
    </row>
    <row r="2398" spans="28:28" ht="16.5" customHeight="1">
      <c r="AB2398" s="725"/>
    </row>
    <row r="2399" spans="28:28" ht="16.5" customHeight="1">
      <c r="AB2399" s="725"/>
    </row>
    <row r="2400" spans="28:28" ht="16.5" customHeight="1">
      <c r="AB2400" s="725"/>
    </row>
    <row r="2401" spans="28:28" ht="16.5" customHeight="1">
      <c r="AB2401" s="725"/>
    </row>
    <row r="2402" spans="28:28" ht="16.5" customHeight="1">
      <c r="AB2402" s="725"/>
    </row>
    <row r="2403" spans="28:28" ht="16.5" customHeight="1">
      <c r="AB2403" s="725"/>
    </row>
    <row r="2404" spans="28:28" ht="16.5" customHeight="1">
      <c r="AB2404" s="725"/>
    </row>
    <row r="2405" spans="28:28" ht="16.5" customHeight="1">
      <c r="AB2405" s="725"/>
    </row>
    <row r="2406" spans="28:28" ht="16.5" customHeight="1">
      <c r="AB2406" s="725"/>
    </row>
    <row r="2407" spans="28:28" ht="16.5" customHeight="1">
      <c r="AB2407" s="725"/>
    </row>
    <row r="2408" spans="28:28" ht="16.5" customHeight="1">
      <c r="AB2408" s="725"/>
    </row>
    <row r="2409" spans="28:28" ht="16.5" customHeight="1">
      <c r="AB2409" s="725"/>
    </row>
    <row r="2410" spans="28:28" ht="16.5" customHeight="1">
      <c r="AB2410" s="725"/>
    </row>
    <row r="2411" spans="28:28" ht="16.5" customHeight="1">
      <c r="AB2411" s="725"/>
    </row>
    <row r="2412" spans="28:28" ht="16.5" customHeight="1">
      <c r="AB2412" s="725"/>
    </row>
    <row r="2413" spans="28:28" ht="16.5" customHeight="1">
      <c r="AB2413" s="725"/>
    </row>
    <row r="2414" spans="28:28" ht="16.5" customHeight="1">
      <c r="AB2414" s="725"/>
    </row>
    <row r="2415" spans="28:28" ht="16.5" customHeight="1">
      <c r="AB2415" s="725"/>
    </row>
    <row r="2416" spans="28:28" ht="16.5" customHeight="1">
      <c r="AB2416" s="725"/>
    </row>
    <row r="2417" spans="28:28" ht="16.5" customHeight="1">
      <c r="AB2417" s="725"/>
    </row>
    <row r="2418" spans="28:28" ht="16.5" customHeight="1">
      <c r="AB2418" s="725"/>
    </row>
    <row r="2419" spans="28:28" ht="16.5" customHeight="1">
      <c r="AB2419" s="725"/>
    </row>
    <row r="2420" spans="28:28" ht="16.5" customHeight="1">
      <c r="AB2420" s="725"/>
    </row>
    <row r="2421" spans="28:28" ht="16.5" customHeight="1">
      <c r="AB2421" s="725"/>
    </row>
    <row r="2422" spans="28:28" ht="16.5" customHeight="1">
      <c r="AB2422" s="725"/>
    </row>
    <row r="2423" spans="28:28" ht="16.5" customHeight="1">
      <c r="AB2423" s="725"/>
    </row>
    <row r="2424" spans="28:28" ht="16.5" customHeight="1">
      <c r="AB2424" s="725"/>
    </row>
    <row r="2425" spans="28:28" ht="16.5" customHeight="1">
      <c r="AB2425" s="725"/>
    </row>
    <row r="2426" spans="28:28" ht="16.5" customHeight="1">
      <c r="AB2426" s="725"/>
    </row>
    <row r="2427" spans="28:28" ht="16.5" customHeight="1">
      <c r="AB2427" s="725"/>
    </row>
    <row r="2428" spans="28:28" ht="16.5" customHeight="1">
      <c r="AB2428" s="725"/>
    </row>
    <row r="2429" spans="28:28" ht="16.5" customHeight="1">
      <c r="AB2429" s="725"/>
    </row>
    <row r="2430" spans="28:28" ht="16.5" customHeight="1">
      <c r="AB2430" s="725"/>
    </row>
    <row r="2431" spans="28:28" ht="16.5" customHeight="1">
      <c r="AB2431" s="725"/>
    </row>
    <row r="2432" spans="28:28" ht="16.5" customHeight="1">
      <c r="AB2432" s="725"/>
    </row>
    <row r="2433" spans="28:28" ht="16.5" customHeight="1">
      <c r="AB2433" s="725"/>
    </row>
    <row r="2434" spans="28:28" ht="16.5" customHeight="1">
      <c r="AB2434" s="725"/>
    </row>
    <row r="2435" spans="28:28" ht="16.5" customHeight="1">
      <c r="AB2435" s="725"/>
    </row>
    <row r="2436" spans="28:28" ht="16.5" customHeight="1">
      <c r="AB2436" s="725"/>
    </row>
    <row r="2437" spans="28:28" ht="16.5" customHeight="1">
      <c r="AB2437" s="725"/>
    </row>
    <row r="2438" spans="28:28" ht="16.5" customHeight="1">
      <c r="AB2438" s="725"/>
    </row>
    <row r="2439" spans="28:28" ht="16.5" customHeight="1">
      <c r="AB2439" s="725"/>
    </row>
    <row r="2440" spans="28:28" ht="16.5" customHeight="1">
      <c r="AB2440" s="725"/>
    </row>
    <row r="2441" spans="28:28" ht="16.5" customHeight="1">
      <c r="AB2441" s="725"/>
    </row>
    <row r="2442" spans="28:28" ht="16.5" customHeight="1">
      <c r="AB2442" s="725"/>
    </row>
    <row r="2443" spans="28:28" ht="16.5" customHeight="1">
      <c r="AB2443" s="725"/>
    </row>
    <row r="2444" spans="28:28" ht="16.5" customHeight="1">
      <c r="AB2444" s="725"/>
    </row>
    <row r="2445" spans="28:28" ht="16.5" customHeight="1">
      <c r="AB2445" s="725"/>
    </row>
    <row r="2446" spans="28:28" ht="16.5" customHeight="1">
      <c r="AB2446" s="725"/>
    </row>
    <row r="2447" spans="28:28" ht="16.5" customHeight="1">
      <c r="AB2447" s="725"/>
    </row>
    <row r="2448" spans="28:28" ht="16.5" customHeight="1">
      <c r="AB2448" s="725"/>
    </row>
    <row r="2449" spans="28:28" ht="16.5" customHeight="1">
      <c r="AB2449" s="725"/>
    </row>
    <row r="2450" spans="28:28" ht="16.5" customHeight="1">
      <c r="AB2450" s="725"/>
    </row>
    <row r="2451" spans="28:28" ht="16.5" customHeight="1">
      <c r="AB2451" s="725"/>
    </row>
    <row r="2452" spans="28:28" ht="16.5" customHeight="1">
      <c r="AB2452" s="725"/>
    </row>
    <row r="2453" spans="28:28" ht="16.5" customHeight="1">
      <c r="AB2453" s="725"/>
    </row>
    <row r="2454" spans="28:28" ht="16.5" customHeight="1">
      <c r="AB2454" s="725"/>
    </row>
    <row r="2455" spans="28:28" ht="16.5" customHeight="1">
      <c r="AB2455" s="725"/>
    </row>
    <row r="2456" spans="28:28" ht="16.5" customHeight="1">
      <c r="AB2456" s="725"/>
    </row>
    <row r="2457" spans="28:28" ht="16.5" customHeight="1">
      <c r="AB2457" s="725"/>
    </row>
    <row r="2458" spans="28:28" ht="16.5" customHeight="1">
      <c r="AB2458" s="725"/>
    </row>
    <row r="2459" spans="28:28" ht="16.5" customHeight="1">
      <c r="AB2459" s="725"/>
    </row>
    <row r="2460" spans="28:28" ht="16.5" customHeight="1">
      <c r="AB2460" s="725"/>
    </row>
    <row r="2461" spans="28:28" ht="16.5" customHeight="1">
      <c r="AB2461" s="725"/>
    </row>
    <row r="2462" spans="28:28" ht="16.5" customHeight="1">
      <c r="AB2462" s="725"/>
    </row>
    <row r="2463" spans="28:28" ht="16.5" customHeight="1">
      <c r="AB2463" s="725"/>
    </row>
    <row r="2464" spans="28:28" ht="16.5" customHeight="1">
      <c r="AB2464" s="725"/>
    </row>
    <row r="2465" spans="28:28" ht="16.5" customHeight="1">
      <c r="AB2465" s="725"/>
    </row>
    <row r="2466" spans="28:28" ht="16.5" customHeight="1">
      <c r="AB2466" s="725"/>
    </row>
    <row r="2467" spans="28:28" ht="16.5" customHeight="1">
      <c r="AB2467" s="725"/>
    </row>
    <row r="2468" spans="28:28" ht="16.5" customHeight="1">
      <c r="AB2468" s="725"/>
    </row>
    <row r="2469" spans="28:28" ht="16.5" customHeight="1">
      <c r="AB2469" s="725"/>
    </row>
    <row r="2470" spans="28:28" ht="16.5" customHeight="1">
      <c r="AB2470" s="725"/>
    </row>
    <row r="2471" spans="28:28" ht="16.5" customHeight="1">
      <c r="AB2471" s="725"/>
    </row>
    <row r="2472" spans="28:28" ht="16.5" customHeight="1">
      <c r="AB2472" s="725"/>
    </row>
    <row r="2473" spans="28:28" ht="16.5" customHeight="1">
      <c r="AB2473" s="725"/>
    </row>
    <row r="2474" spans="28:28" ht="16.5" customHeight="1">
      <c r="AB2474" s="725"/>
    </row>
    <row r="2475" spans="28:28" ht="16.5" customHeight="1">
      <c r="AB2475" s="725"/>
    </row>
    <row r="2476" spans="28:28" ht="16.5" customHeight="1">
      <c r="AB2476" s="725"/>
    </row>
    <row r="2477" spans="28:28" ht="16.5" customHeight="1">
      <c r="AB2477" s="725"/>
    </row>
    <row r="2478" spans="28:28" ht="16.5" customHeight="1">
      <c r="AB2478" s="725"/>
    </row>
    <row r="2479" spans="28:28" ht="16.5" customHeight="1">
      <c r="AB2479" s="725"/>
    </row>
    <row r="2480" spans="28:28" ht="16.5" customHeight="1">
      <c r="AB2480" s="725"/>
    </row>
    <row r="2481" spans="28:28" ht="16.5" customHeight="1">
      <c r="AB2481" s="725"/>
    </row>
    <row r="2482" spans="28:28" ht="16.5" customHeight="1">
      <c r="AB2482" s="725"/>
    </row>
    <row r="2483" spans="28:28" ht="16.5" customHeight="1">
      <c r="AB2483" s="725"/>
    </row>
    <row r="2484" spans="28:28" ht="16.5" customHeight="1">
      <c r="AB2484" s="725"/>
    </row>
    <row r="2485" spans="28:28" ht="16.5" customHeight="1">
      <c r="AB2485" s="725"/>
    </row>
    <row r="2486" spans="28:28" ht="16.5" customHeight="1">
      <c r="AB2486" s="725"/>
    </row>
    <row r="2487" spans="28:28" ht="16.5" customHeight="1">
      <c r="AB2487" s="725"/>
    </row>
    <row r="2488" spans="28:28" ht="16.5" customHeight="1">
      <c r="AB2488" s="725"/>
    </row>
    <row r="2489" spans="28:28" ht="16.5" customHeight="1">
      <c r="AB2489" s="725"/>
    </row>
    <row r="2490" spans="28:28" ht="16.5" customHeight="1">
      <c r="AB2490" s="725"/>
    </row>
    <row r="2491" spans="28:28" ht="16.5" customHeight="1">
      <c r="AB2491" s="725"/>
    </row>
    <row r="2492" spans="28:28" ht="16.5" customHeight="1">
      <c r="AB2492" s="725"/>
    </row>
    <row r="2493" spans="28:28" ht="16.5" customHeight="1">
      <c r="AB2493" s="725"/>
    </row>
    <row r="2494" spans="28:28" ht="16.5" customHeight="1">
      <c r="AB2494" s="725"/>
    </row>
    <row r="2495" spans="28:28" ht="16.5" customHeight="1">
      <c r="AB2495" s="725"/>
    </row>
    <row r="2496" spans="28:28" ht="16.5" customHeight="1">
      <c r="AB2496" s="725"/>
    </row>
    <row r="2497" spans="28:28" ht="16.5" customHeight="1">
      <c r="AB2497" s="725"/>
    </row>
    <row r="2498" spans="28:28" ht="16.5" customHeight="1">
      <c r="AB2498" s="725"/>
    </row>
    <row r="2499" spans="28:28" ht="16.5" customHeight="1">
      <c r="AB2499" s="725"/>
    </row>
    <row r="2500" spans="28:28" ht="16.5" customHeight="1">
      <c r="AB2500" s="725"/>
    </row>
    <row r="2501" spans="28:28" ht="16.5" customHeight="1">
      <c r="AB2501" s="725"/>
    </row>
    <row r="2502" spans="28:28" ht="16.5" customHeight="1">
      <c r="AB2502" s="725"/>
    </row>
    <row r="2503" spans="28:28" ht="16.5" customHeight="1">
      <c r="AB2503" s="725"/>
    </row>
    <row r="2504" spans="28:28" ht="16.5" customHeight="1">
      <c r="AB2504" s="725"/>
    </row>
    <row r="2505" spans="28:28" ht="16.5" customHeight="1">
      <c r="AB2505" s="725"/>
    </row>
    <row r="2506" spans="28:28" ht="16.5" customHeight="1">
      <c r="AB2506" s="725"/>
    </row>
    <row r="2507" spans="28:28" ht="16.5" customHeight="1">
      <c r="AB2507" s="725"/>
    </row>
    <row r="2508" spans="28:28" ht="16.5" customHeight="1">
      <c r="AB2508" s="725"/>
    </row>
    <row r="2509" spans="28:28" ht="16.5" customHeight="1">
      <c r="AB2509" s="725"/>
    </row>
    <row r="2510" spans="28:28" ht="16.5" customHeight="1">
      <c r="AB2510" s="725"/>
    </row>
    <row r="2511" spans="28:28" ht="16.5" customHeight="1">
      <c r="AB2511" s="725"/>
    </row>
    <row r="2512" spans="28:28" ht="16.5" customHeight="1">
      <c r="AB2512" s="725"/>
    </row>
    <row r="2513" spans="28:28" ht="16.5" customHeight="1">
      <c r="AB2513" s="725"/>
    </row>
    <row r="2514" spans="28:28" ht="16.5" customHeight="1">
      <c r="AB2514" s="725"/>
    </row>
    <row r="2515" spans="28:28" ht="16.5" customHeight="1">
      <c r="AB2515" s="725"/>
    </row>
    <row r="2516" spans="28:28" ht="16.5" customHeight="1">
      <c r="AB2516" s="725"/>
    </row>
    <row r="2517" spans="28:28" ht="16.5" customHeight="1">
      <c r="AB2517" s="725"/>
    </row>
    <row r="2518" spans="28:28" ht="16.5" customHeight="1">
      <c r="AB2518" s="725"/>
    </row>
    <row r="2519" spans="28:28" ht="16.5" customHeight="1">
      <c r="AB2519" s="725"/>
    </row>
    <row r="2520" spans="28:28" ht="16.5" customHeight="1">
      <c r="AB2520" s="725"/>
    </row>
    <row r="2521" spans="28:28" ht="16.5" customHeight="1">
      <c r="AB2521" s="725"/>
    </row>
    <row r="2522" spans="28:28" ht="16.5" customHeight="1">
      <c r="AB2522" s="725"/>
    </row>
    <row r="2523" spans="28:28" ht="16.5" customHeight="1">
      <c r="AB2523" s="725"/>
    </row>
    <row r="2524" spans="28:28" ht="16.5" customHeight="1">
      <c r="AB2524" s="725"/>
    </row>
    <row r="2525" spans="28:28" ht="16.5" customHeight="1">
      <c r="AB2525" s="725"/>
    </row>
    <row r="2526" spans="28:28" ht="16.5" customHeight="1">
      <c r="AB2526" s="725"/>
    </row>
    <row r="2527" spans="28:28" ht="16.5" customHeight="1">
      <c r="AB2527" s="725"/>
    </row>
    <row r="2528" spans="28:28" ht="16.5" customHeight="1">
      <c r="AB2528" s="725"/>
    </row>
    <row r="2529" spans="28:28" ht="16.5" customHeight="1">
      <c r="AB2529" s="725"/>
    </row>
    <row r="2530" spans="28:28" ht="16.5" customHeight="1">
      <c r="AB2530" s="725"/>
    </row>
    <row r="2531" spans="28:28" ht="16.5" customHeight="1">
      <c r="AB2531" s="725"/>
    </row>
    <row r="2532" spans="28:28" ht="16.5" customHeight="1">
      <c r="AB2532" s="725"/>
    </row>
    <row r="2533" spans="28:28" ht="16.5" customHeight="1">
      <c r="AB2533" s="725"/>
    </row>
    <row r="2534" spans="28:28" ht="16.5" customHeight="1">
      <c r="AB2534" s="725"/>
    </row>
    <row r="2535" spans="28:28" ht="16.5" customHeight="1">
      <c r="AB2535" s="725"/>
    </row>
    <row r="2536" spans="28:28" ht="16.5" customHeight="1">
      <c r="AB2536" s="725"/>
    </row>
    <row r="2537" spans="28:28" ht="16.5" customHeight="1">
      <c r="AB2537" s="725"/>
    </row>
    <row r="2538" spans="28:28" ht="16.5" customHeight="1">
      <c r="AB2538" s="725"/>
    </row>
    <row r="2539" spans="28:28" ht="16.5" customHeight="1">
      <c r="AB2539" s="725"/>
    </row>
    <row r="2540" spans="28:28" ht="16.5" customHeight="1">
      <c r="AB2540" s="725"/>
    </row>
    <row r="2541" spans="28:28" ht="16.5" customHeight="1">
      <c r="AB2541" s="725"/>
    </row>
    <row r="2542" spans="28:28" ht="16.5" customHeight="1">
      <c r="AB2542" s="725"/>
    </row>
    <row r="2543" spans="28:28" ht="16.5" customHeight="1">
      <c r="AB2543" s="725"/>
    </row>
    <row r="2544" spans="28:28" ht="16.5" customHeight="1">
      <c r="AB2544" s="725"/>
    </row>
    <row r="2545" spans="28:28" ht="16.5" customHeight="1">
      <c r="AB2545" s="725"/>
    </row>
    <row r="2546" spans="28:28" ht="16.5" customHeight="1">
      <c r="AB2546" s="725"/>
    </row>
    <row r="2547" spans="28:28" ht="16.5" customHeight="1">
      <c r="AB2547" s="725"/>
    </row>
    <row r="2548" spans="28:28" ht="16.5" customHeight="1">
      <c r="AB2548" s="725"/>
    </row>
    <row r="2549" spans="28:28" ht="16.5" customHeight="1">
      <c r="AB2549" s="725"/>
    </row>
    <row r="2550" spans="28:28" ht="16.5" customHeight="1">
      <c r="AB2550" s="725"/>
    </row>
    <row r="2551" spans="28:28" ht="16.5" customHeight="1">
      <c r="AB2551" s="725"/>
    </row>
    <row r="2552" spans="28:28" ht="16.5" customHeight="1">
      <c r="AB2552" s="725"/>
    </row>
    <row r="2553" spans="28:28" ht="16.5" customHeight="1">
      <c r="AB2553" s="725"/>
    </row>
    <row r="2554" spans="28:28" ht="16.5" customHeight="1">
      <c r="AB2554" s="725"/>
    </row>
    <row r="2555" spans="28:28" ht="16.5" customHeight="1">
      <c r="AB2555" s="725"/>
    </row>
    <row r="2556" spans="28:28" ht="16.5" customHeight="1">
      <c r="AB2556" s="725"/>
    </row>
    <row r="2557" spans="28:28" ht="16.5" customHeight="1">
      <c r="AB2557" s="725"/>
    </row>
    <row r="2558" spans="28:28" ht="16.5" customHeight="1">
      <c r="AB2558" s="725"/>
    </row>
    <row r="2559" spans="28:28" ht="16.5" customHeight="1">
      <c r="AB2559" s="725"/>
    </row>
    <row r="2560" spans="28:28" ht="16.5" customHeight="1">
      <c r="AB2560" s="725"/>
    </row>
    <row r="2561" spans="28:28" ht="16.5" customHeight="1">
      <c r="AB2561" s="725"/>
    </row>
    <row r="2562" spans="28:28" ht="16.5" customHeight="1">
      <c r="AB2562" s="725"/>
    </row>
    <row r="2563" spans="28:28" ht="16.5" customHeight="1">
      <c r="AB2563" s="725"/>
    </row>
    <row r="2564" spans="28:28" ht="16.5" customHeight="1">
      <c r="AB2564" s="725"/>
    </row>
    <row r="2565" spans="28:28" ht="16.5" customHeight="1">
      <c r="AB2565" s="725"/>
    </row>
    <row r="2566" spans="28:28" ht="16.5" customHeight="1">
      <c r="AB2566" s="725"/>
    </row>
    <row r="2567" spans="28:28" ht="16.5" customHeight="1">
      <c r="AB2567" s="725"/>
    </row>
    <row r="2568" spans="28:28" ht="16.5" customHeight="1">
      <c r="AB2568" s="725"/>
    </row>
    <row r="2569" spans="28:28" ht="16.5" customHeight="1">
      <c r="AB2569" s="725"/>
    </row>
    <row r="2570" spans="28:28" ht="16.5" customHeight="1">
      <c r="AB2570" s="725"/>
    </row>
    <row r="2571" spans="28:28" ht="16.5" customHeight="1">
      <c r="AB2571" s="725"/>
    </row>
    <row r="2572" spans="28:28" ht="16.5" customHeight="1">
      <c r="AB2572" s="725"/>
    </row>
    <row r="2573" spans="28:28" ht="16.5" customHeight="1">
      <c r="AB2573" s="725"/>
    </row>
    <row r="2574" spans="28:28" ht="16.5" customHeight="1">
      <c r="AB2574" s="725"/>
    </row>
    <row r="2575" spans="28:28" ht="16.5" customHeight="1">
      <c r="AB2575" s="725"/>
    </row>
    <row r="2576" spans="28:28" ht="16.5" customHeight="1">
      <c r="AB2576" s="725"/>
    </row>
    <row r="2577" spans="28:28" ht="16.5" customHeight="1">
      <c r="AB2577" s="725"/>
    </row>
    <row r="2578" spans="28:28" ht="16.5" customHeight="1">
      <c r="AB2578" s="725"/>
    </row>
    <row r="2579" spans="28:28" ht="16.5" customHeight="1">
      <c r="AB2579" s="725"/>
    </row>
    <row r="2580" spans="28:28" ht="16.5" customHeight="1">
      <c r="AB2580" s="725"/>
    </row>
    <row r="2581" spans="28:28" ht="16.5" customHeight="1">
      <c r="AB2581" s="725"/>
    </row>
    <row r="2582" spans="28:28" ht="16.5" customHeight="1">
      <c r="AB2582" s="725"/>
    </row>
    <row r="2583" spans="28:28" ht="16.5" customHeight="1">
      <c r="AB2583" s="725"/>
    </row>
    <row r="2584" spans="28:28" ht="16.5" customHeight="1">
      <c r="AB2584" s="725"/>
    </row>
    <row r="2585" spans="28:28" ht="16.5" customHeight="1">
      <c r="AB2585" s="725"/>
    </row>
    <row r="2586" spans="28:28" ht="16.5" customHeight="1">
      <c r="AB2586" s="725"/>
    </row>
    <row r="2587" spans="28:28" ht="16.5" customHeight="1">
      <c r="AB2587" s="725"/>
    </row>
    <row r="2588" spans="28:28" ht="16.5" customHeight="1">
      <c r="AB2588" s="725"/>
    </row>
    <row r="2589" spans="28:28" ht="16.5" customHeight="1">
      <c r="AB2589" s="725"/>
    </row>
    <row r="2590" spans="28:28" ht="16.5" customHeight="1">
      <c r="AB2590" s="725"/>
    </row>
    <row r="2591" spans="28:28" ht="16.5" customHeight="1">
      <c r="AB2591" s="725"/>
    </row>
    <row r="2592" spans="28:28" ht="16.5" customHeight="1">
      <c r="AB2592" s="725"/>
    </row>
    <row r="2593" spans="28:28" ht="16.5" customHeight="1">
      <c r="AB2593" s="725"/>
    </row>
    <row r="2594" spans="28:28" ht="16.5" customHeight="1">
      <c r="AB2594" s="725"/>
    </row>
    <row r="2595" spans="28:28" ht="16.5" customHeight="1">
      <c r="AB2595" s="725"/>
    </row>
    <row r="2596" spans="28:28" ht="16.5" customHeight="1">
      <c r="AB2596" s="725"/>
    </row>
    <row r="2597" spans="28:28" ht="16.5" customHeight="1">
      <c r="AB2597" s="725"/>
    </row>
    <row r="2598" spans="28:28" ht="16.5" customHeight="1">
      <c r="AB2598" s="725"/>
    </row>
    <row r="2599" spans="28:28" ht="16.5" customHeight="1">
      <c r="AB2599" s="725"/>
    </row>
    <row r="2600" spans="28:28" ht="16.5" customHeight="1">
      <c r="AB2600" s="725"/>
    </row>
    <row r="2601" spans="28:28" ht="16.5" customHeight="1">
      <c r="AB2601" s="725"/>
    </row>
    <row r="2602" spans="28:28" ht="16.5" customHeight="1">
      <c r="AB2602" s="725"/>
    </row>
    <row r="2603" spans="28:28" ht="16.5" customHeight="1">
      <c r="AB2603" s="725"/>
    </row>
    <row r="2604" spans="28:28" ht="16.5" customHeight="1">
      <c r="AB2604" s="725"/>
    </row>
    <row r="2605" spans="28:28" ht="16.5" customHeight="1">
      <c r="AB2605" s="725"/>
    </row>
    <row r="2606" spans="28:28" ht="16.5" customHeight="1">
      <c r="AB2606" s="725"/>
    </row>
    <row r="2607" spans="28:28" ht="16.5" customHeight="1">
      <c r="AB2607" s="725"/>
    </row>
    <row r="2608" spans="28:28" ht="16.5" customHeight="1">
      <c r="AB2608" s="725"/>
    </row>
    <row r="2609" spans="28:28" ht="16.5" customHeight="1">
      <c r="AB2609" s="725"/>
    </row>
    <row r="2610" spans="28:28" ht="16.5" customHeight="1">
      <c r="AB2610" s="725"/>
    </row>
    <row r="2611" spans="28:28" ht="16.5" customHeight="1">
      <c r="AB2611" s="725"/>
    </row>
    <row r="2612" spans="28:28" ht="16.5" customHeight="1">
      <c r="AB2612" s="725"/>
    </row>
    <row r="2613" spans="28:28" ht="16.5" customHeight="1">
      <c r="AB2613" s="725"/>
    </row>
    <row r="2614" spans="28:28" ht="16.5" customHeight="1">
      <c r="AB2614" s="725"/>
    </row>
    <row r="2615" spans="28:28" ht="16.5" customHeight="1">
      <c r="AB2615" s="725"/>
    </row>
    <row r="2616" spans="28:28" ht="16.5" customHeight="1">
      <c r="AB2616" s="725"/>
    </row>
    <row r="2617" spans="28:28" ht="16.5" customHeight="1">
      <c r="AB2617" s="725"/>
    </row>
    <row r="2618" spans="28:28" ht="16.5" customHeight="1">
      <c r="AB2618" s="725"/>
    </row>
    <row r="2619" spans="28:28" ht="16.5" customHeight="1">
      <c r="AB2619" s="725"/>
    </row>
    <row r="2620" spans="28:28" ht="16.5" customHeight="1">
      <c r="AB2620" s="725"/>
    </row>
    <row r="2621" spans="28:28" ht="16.5" customHeight="1">
      <c r="AB2621" s="725"/>
    </row>
    <row r="2622" spans="28:28" ht="16.5" customHeight="1">
      <c r="AB2622" s="725"/>
    </row>
    <row r="2623" spans="28:28" ht="16.5" customHeight="1">
      <c r="AB2623" s="725"/>
    </row>
    <row r="2624" spans="28:28" ht="16.5" customHeight="1">
      <c r="AB2624" s="725"/>
    </row>
    <row r="2625" spans="28:28" ht="16.5" customHeight="1">
      <c r="AB2625" s="725"/>
    </row>
    <row r="2626" spans="28:28" ht="16.5" customHeight="1">
      <c r="AB2626" s="725"/>
    </row>
    <row r="2627" spans="28:28" ht="16.5" customHeight="1">
      <c r="AB2627" s="725"/>
    </row>
    <row r="2628" spans="28:28" ht="16.5" customHeight="1">
      <c r="AB2628" s="725"/>
    </row>
    <row r="2629" spans="28:28" ht="16.5" customHeight="1">
      <c r="AB2629" s="725"/>
    </row>
    <row r="2630" spans="28:28" ht="16.5" customHeight="1">
      <c r="AB2630" s="725"/>
    </row>
    <row r="2631" spans="28:28" ht="16.5" customHeight="1">
      <c r="AB2631" s="725"/>
    </row>
    <row r="2632" spans="28:28" ht="16.5" customHeight="1">
      <c r="AB2632" s="725"/>
    </row>
    <row r="2633" spans="28:28" ht="16.5" customHeight="1">
      <c r="AB2633" s="725"/>
    </row>
    <row r="2634" spans="28:28" ht="16.5" customHeight="1">
      <c r="AB2634" s="725"/>
    </row>
    <row r="2635" spans="28:28" ht="16.5" customHeight="1">
      <c r="AB2635" s="725"/>
    </row>
    <row r="2636" spans="28:28" ht="16.5" customHeight="1">
      <c r="AB2636" s="725"/>
    </row>
    <row r="2637" spans="28:28" ht="16.5" customHeight="1">
      <c r="AB2637" s="725"/>
    </row>
    <row r="2638" spans="28:28" ht="16.5" customHeight="1">
      <c r="AB2638" s="725"/>
    </row>
    <row r="2639" spans="28:28" ht="16.5" customHeight="1">
      <c r="AB2639" s="725"/>
    </row>
    <row r="2640" spans="28:28" ht="16.5" customHeight="1">
      <c r="AB2640" s="725"/>
    </row>
    <row r="2641" spans="28:28" ht="16.5" customHeight="1">
      <c r="AB2641" s="725"/>
    </row>
    <row r="2642" spans="28:28" ht="16.5" customHeight="1">
      <c r="AB2642" s="725"/>
    </row>
    <row r="2643" spans="28:28" ht="16.5" customHeight="1">
      <c r="AB2643" s="725"/>
    </row>
    <row r="2644" spans="28:28" ht="16.5" customHeight="1">
      <c r="AB2644" s="725"/>
    </row>
    <row r="2645" spans="28:28" ht="16.5" customHeight="1">
      <c r="AB2645" s="725"/>
    </row>
    <row r="2646" spans="28:28" ht="16.5" customHeight="1">
      <c r="AB2646" s="725"/>
    </row>
    <row r="2647" spans="28:28" ht="16.5" customHeight="1">
      <c r="AB2647" s="725"/>
    </row>
    <row r="2648" spans="28:28" ht="16.5" customHeight="1">
      <c r="AB2648" s="725"/>
    </row>
    <row r="2649" spans="28:28" ht="16.5" customHeight="1">
      <c r="AB2649" s="725"/>
    </row>
    <row r="2650" spans="28:28" ht="16.5" customHeight="1">
      <c r="AB2650" s="725"/>
    </row>
    <row r="2651" spans="28:28" ht="16.5" customHeight="1">
      <c r="AB2651" s="725"/>
    </row>
    <row r="2652" spans="28:28" ht="16.5" customHeight="1">
      <c r="AB2652" s="725"/>
    </row>
    <row r="2653" spans="28:28" ht="16.5" customHeight="1">
      <c r="AB2653" s="725"/>
    </row>
    <row r="2654" spans="28:28" ht="16.5" customHeight="1">
      <c r="AB2654" s="725"/>
    </row>
    <row r="2655" spans="28:28" ht="16.5" customHeight="1">
      <c r="AB2655" s="725"/>
    </row>
    <row r="2656" spans="28:28" ht="16.5" customHeight="1">
      <c r="AB2656" s="725"/>
    </row>
    <row r="2657" spans="28:28" ht="16.5" customHeight="1">
      <c r="AB2657" s="725"/>
    </row>
    <row r="2658" spans="28:28" ht="16.5" customHeight="1">
      <c r="AB2658" s="725"/>
    </row>
    <row r="2659" spans="28:28" ht="16.5" customHeight="1">
      <c r="AB2659" s="725"/>
    </row>
    <row r="2660" spans="28:28" ht="16.5" customHeight="1">
      <c r="AB2660" s="725"/>
    </row>
    <row r="2661" spans="28:28" ht="16.5" customHeight="1">
      <c r="AB2661" s="725"/>
    </row>
    <row r="2662" spans="28:28" ht="16.5" customHeight="1">
      <c r="AB2662" s="725"/>
    </row>
    <row r="2663" spans="28:28" ht="16.5" customHeight="1">
      <c r="AB2663" s="725"/>
    </row>
    <row r="2664" spans="28:28" ht="16.5" customHeight="1">
      <c r="AB2664" s="725"/>
    </row>
    <row r="2665" spans="28:28" ht="16.5" customHeight="1">
      <c r="AB2665" s="725"/>
    </row>
    <row r="2666" spans="28:28" ht="16.5" customHeight="1">
      <c r="AB2666" s="725"/>
    </row>
    <row r="2667" spans="28:28" ht="16.5" customHeight="1">
      <c r="AB2667" s="725"/>
    </row>
    <row r="2668" spans="28:28" ht="16.5" customHeight="1">
      <c r="AB2668" s="725"/>
    </row>
    <row r="2669" spans="28:28" ht="16.5" customHeight="1">
      <c r="AB2669" s="725"/>
    </row>
    <row r="2670" spans="28:28" ht="16.5" customHeight="1">
      <c r="AB2670" s="725"/>
    </row>
    <row r="2671" spans="28:28" ht="16.5" customHeight="1">
      <c r="AB2671" s="725"/>
    </row>
    <row r="2672" spans="28:28" ht="16.5" customHeight="1">
      <c r="AB2672" s="725"/>
    </row>
    <row r="2673" spans="28:28" ht="16.5" customHeight="1">
      <c r="AB2673" s="725"/>
    </row>
    <row r="2674" spans="28:28" ht="16.5" customHeight="1">
      <c r="AB2674" s="725"/>
    </row>
    <row r="2675" spans="28:28" ht="16.5" customHeight="1">
      <c r="AB2675" s="725"/>
    </row>
    <row r="2676" spans="28:28" ht="16.5" customHeight="1">
      <c r="AB2676" s="725"/>
    </row>
    <row r="2677" spans="28:28" ht="16.5" customHeight="1">
      <c r="AB2677" s="725"/>
    </row>
    <row r="2678" spans="28:28" ht="16.5" customHeight="1">
      <c r="AB2678" s="725"/>
    </row>
    <row r="2679" spans="28:28" ht="16.5" customHeight="1">
      <c r="AB2679" s="725"/>
    </row>
    <row r="2680" spans="28:28" ht="16.5" customHeight="1">
      <c r="AB2680" s="725"/>
    </row>
    <row r="2681" spans="28:28" ht="16.5" customHeight="1">
      <c r="AB2681" s="725"/>
    </row>
    <row r="2682" spans="28:28" ht="16.5" customHeight="1">
      <c r="AB2682" s="725"/>
    </row>
    <row r="2683" spans="28:28" ht="16.5" customHeight="1">
      <c r="AB2683" s="725"/>
    </row>
    <row r="2684" spans="28:28" ht="16.5" customHeight="1">
      <c r="AB2684" s="725"/>
    </row>
    <row r="2685" spans="28:28" ht="16.5" customHeight="1">
      <c r="AB2685" s="725"/>
    </row>
    <row r="2686" spans="28:28" ht="16.5" customHeight="1">
      <c r="AB2686" s="725"/>
    </row>
    <row r="2687" spans="28:28" ht="16.5" customHeight="1">
      <c r="AB2687" s="725"/>
    </row>
    <row r="2688" spans="28:28" ht="16.5" customHeight="1">
      <c r="AB2688" s="725"/>
    </row>
    <row r="2689" spans="28:28" ht="16.5" customHeight="1">
      <c r="AB2689" s="725"/>
    </row>
    <row r="2690" spans="28:28" ht="16.5" customHeight="1">
      <c r="AB2690" s="725"/>
    </row>
    <row r="2691" spans="28:28" ht="16.5" customHeight="1">
      <c r="AB2691" s="725"/>
    </row>
    <row r="2692" spans="28:28" ht="16.5" customHeight="1">
      <c r="AB2692" s="725"/>
    </row>
    <row r="2693" spans="28:28" ht="16.5" customHeight="1">
      <c r="AB2693" s="725"/>
    </row>
    <row r="2694" spans="28:28" ht="16.5" customHeight="1">
      <c r="AB2694" s="725"/>
    </row>
    <row r="2695" spans="28:28" ht="16.5" customHeight="1">
      <c r="AB2695" s="725"/>
    </row>
    <row r="2696" spans="28:28" ht="16.5" customHeight="1">
      <c r="AB2696" s="725"/>
    </row>
    <row r="2697" spans="28:28" ht="16.5" customHeight="1">
      <c r="AB2697" s="725"/>
    </row>
    <row r="2698" spans="28:28" ht="16.5" customHeight="1">
      <c r="AB2698" s="725"/>
    </row>
    <row r="2699" spans="28:28" ht="16.5" customHeight="1">
      <c r="AB2699" s="725"/>
    </row>
    <row r="2700" spans="28:28" ht="16.5" customHeight="1">
      <c r="AB2700" s="725"/>
    </row>
    <row r="2701" spans="28:28" ht="16.5" customHeight="1">
      <c r="AB2701" s="725"/>
    </row>
    <row r="2702" spans="28:28" ht="16.5" customHeight="1">
      <c r="AB2702" s="725"/>
    </row>
    <row r="2703" spans="28:28" ht="16.5" customHeight="1">
      <c r="AB2703" s="725"/>
    </row>
    <row r="2704" spans="28:28" ht="16.5" customHeight="1">
      <c r="AB2704" s="725"/>
    </row>
    <row r="2705" spans="28:28" ht="16.5" customHeight="1">
      <c r="AB2705" s="725"/>
    </row>
    <row r="2706" spans="28:28" ht="16.5" customHeight="1">
      <c r="AB2706" s="725"/>
    </row>
    <row r="2707" spans="28:28" ht="16.5" customHeight="1">
      <c r="AB2707" s="725"/>
    </row>
    <row r="2708" spans="28:28" ht="16.5" customHeight="1">
      <c r="AB2708" s="725"/>
    </row>
    <row r="2709" spans="28:28" ht="16.5" customHeight="1">
      <c r="AB2709" s="725"/>
    </row>
    <row r="2710" spans="28:28" ht="16.5" customHeight="1">
      <c r="AB2710" s="725"/>
    </row>
    <row r="2711" spans="28:28" ht="16.5" customHeight="1">
      <c r="AB2711" s="725"/>
    </row>
    <row r="2712" spans="28:28" ht="16.5" customHeight="1">
      <c r="AB2712" s="725"/>
    </row>
    <row r="2713" spans="28:28" ht="16.5" customHeight="1">
      <c r="AB2713" s="725"/>
    </row>
    <row r="2714" spans="28:28" ht="16.5" customHeight="1">
      <c r="AB2714" s="725"/>
    </row>
    <row r="2715" spans="28:28" ht="16.5" customHeight="1">
      <c r="AB2715" s="725"/>
    </row>
    <row r="2716" spans="28:28" ht="16.5" customHeight="1">
      <c r="AB2716" s="725"/>
    </row>
    <row r="2717" spans="28:28" ht="16.5" customHeight="1">
      <c r="AB2717" s="725"/>
    </row>
    <row r="2718" spans="28:28" ht="16.5" customHeight="1">
      <c r="AB2718" s="725"/>
    </row>
    <row r="2719" spans="28:28" ht="16.5" customHeight="1">
      <c r="AB2719" s="725"/>
    </row>
    <row r="2720" spans="28:28" ht="16.5" customHeight="1">
      <c r="AB2720" s="725"/>
    </row>
    <row r="2721" spans="28:28" ht="16.5" customHeight="1">
      <c r="AB2721" s="725"/>
    </row>
    <row r="2722" spans="28:28" ht="16.5" customHeight="1">
      <c r="AB2722" s="725"/>
    </row>
    <row r="2723" spans="28:28" ht="16.5" customHeight="1">
      <c r="AB2723" s="725"/>
    </row>
    <row r="2724" spans="28:28" ht="16.5" customHeight="1">
      <c r="AB2724" s="725"/>
    </row>
    <row r="2725" spans="28:28" ht="16.5" customHeight="1">
      <c r="AB2725" s="725"/>
    </row>
    <row r="2726" spans="28:28" ht="16.5" customHeight="1">
      <c r="AB2726" s="725"/>
    </row>
    <row r="2727" spans="28:28" ht="16.5" customHeight="1">
      <c r="AB2727" s="725"/>
    </row>
    <row r="2728" spans="28:28" ht="16.5" customHeight="1">
      <c r="AB2728" s="725"/>
    </row>
    <row r="2729" spans="28:28" ht="16.5" customHeight="1">
      <c r="AB2729" s="725"/>
    </row>
    <row r="2730" spans="28:28" ht="16.5" customHeight="1">
      <c r="AB2730" s="725"/>
    </row>
    <row r="2731" spans="28:28" ht="16.5" customHeight="1">
      <c r="AB2731" s="725"/>
    </row>
    <row r="2732" spans="28:28" ht="16.5" customHeight="1">
      <c r="AB2732" s="725"/>
    </row>
    <row r="2733" spans="28:28" ht="16.5" customHeight="1">
      <c r="AB2733" s="725"/>
    </row>
    <row r="2734" spans="28:28" ht="16.5" customHeight="1">
      <c r="AB2734" s="725"/>
    </row>
    <row r="2735" spans="28:28" ht="16.5" customHeight="1">
      <c r="AB2735" s="725"/>
    </row>
    <row r="2736" spans="28:28" ht="16.5" customHeight="1">
      <c r="AB2736" s="725"/>
    </row>
    <row r="2737" spans="28:28" ht="16.5" customHeight="1">
      <c r="AB2737" s="725"/>
    </row>
    <row r="2738" spans="28:28" ht="16.5" customHeight="1">
      <c r="AB2738" s="725"/>
    </row>
    <row r="2739" spans="28:28" ht="16.5" customHeight="1">
      <c r="AB2739" s="725"/>
    </row>
    <row r="2740" spans="28:28" ht="16.5" customHeight="1">
      <c r="AB2740" s="725"/>
    </row>
    <row r="2741" spans="28:28" ht="16.5" customHeight="1">
      <c r="AB2741" s="725"/>
    </row>
    <row r="2742" spans="28:28" ht="16.5" customHeight="1">
      <c r="AB2742" s="725"/>
    </row>
    <row r="2743" spans="28:28" ht="16.5" customHeight="1">
      <c r="AB2743" s="725"/>
    </row>
    <row r="2744" spans="28:28" ht="16.5" customHeight="1">
      <c r="AB2744" s="725"/>
    </row>
    <row r="2745" spans="28:28" ht="16.5" customHeight="1">
      <c r="AB2745" s="725"/>
    </row>
    <row r="2746" spans="28:28" ht="16.5" customHeight="1">
      <c r="AB2746" s="725"/>
    </row>
    <row r="2747" spans="28:28" ht="16.5" customHeight="1">
      <c r="AB2747" s="725"/>
    </row>
    <row r="2748" spans="28:28" ht="16.5" customHeight="1">
      <c r="AB2748" s="725"/>
    </row>
    <row r="2749" spans="28:28" ht="16.5" customHeight="1">
      <c r="AB2749" s="725"/>
    </row>
    <row r="2750" spans="28:28" ht="16.5" customHeight="1">
      <c r="AB2750" s="725"/>
    </row>
    <row r="2751" spans="28:28" ht="16.5" customHeight="1">
      <c r="AB2751" s="725"/>
    </row>
    <row r="2752" spans="28:28" ht="16.5" customHeight="1">
      <c r="AB2752" s="725"/>
    </row>
    <row r="2753" spans="28:28" ht="16.5" customHeight="1">
      <c r="AB2753" s="725"/>
    </row>
    <row r="2754" spans="28:28" ht="16.5" customHeight="1">
      <c r="AB2754" s="725"/>
    </row>
    <row r="2755" spans="28:28" ht="16.5" customHeight="1">
      <c r="AB2755" s="725"/>
    </row>
    <row r="2756" spans="28:28" ht="16.5" customHeight="1">
      <c r="AB2756" s="725"/>
    </row>
    <row r="2757" spans="28:28" ht="16.5" customHeight="1">
      <c r="AB2757" s="725"/>
    </row>
    <row r="2758" spans="28:28" ht="16.5" customHeight="1">
      <c r="AB2758" s="725"/>
    </row>
    <row r="2759" spans="28:28" ht="16.5" customHeight="1">
      <c r="AB2759" s="725"/>
    </row>
    <row r="2760" spans="28:28" ht="16.5" customHeight="1">
      <c r="AB2760" s="725"/>
    </row>
    <row r="2761" spans="28:28" ht="16.5" customHeight="1">
      <c r="AB2761" s="725"/>
    </row>
    <row r="2762" spans="28:28" ht="16.5" customHeight="1">
      <c r="AB2762" s="725"/>
    </row>
    <row r="2763" spans="28:28" ht="16.5" customHeight="1">
      <c r="AB2763" s="725"/>
    </row>
    <row r="2764" spans="28:28" ht="16.5" customHeight="1">
      <c r="AB2764" s="725"/>
    </row>
    <row r="2765" spans="28:28" ht="16.5" customHeight="1">
      <c r="AB2765" s="725"/>
    </row>
    <row r="2766" spans="28:28" ht="16.5" customHeight="1">
      <c r="AB2766" s="725"/>
    </row>
    <row r="2767" spans="28:28" ht="16.5" customHeight="1">
      <c r="AB2767" s="725"/>
    </row>
    <row r="2768" spans="28:28" ht="16.5" customHeight="1">
      <c r="AB2768" s="725"/>
    </row>
    <row r="2769" spans="28:28" ht="16.5" customHeight="1">
      <c r="AB2769" s="725"/>
    </row>
    <row r="2770" spans="28:28" ht="16.5" customHeight="1">
      <c r="AB2770" s="725"/>
    </row>
    <row r="2771" spans="28:28" ht="16.5" customHeight="1">
      <c r="AB2771" s="725"/>
    </row>
    <row r="2772" spans="28:28" ht="16.5" customHeight="1">
      <c r="AB2772" s="725"/>
    </row>
    <row r="2773" spans="28:28" ht="16.5" customHeight="1">
      <c r="AB2773" s="725"/>
    </row>
    <row r="2774" spans="28:28" ht="16.5" customHeight="1">
      <c r="AB2774" s="725"/>
    </row>
    <row r="2775" spans="28:28" ht="16.5" customHeight="1">
      <c r="AB2775" s="725"/>
    </row>
    <row r="2776" spans="28:28" ht="16.5" customHeight="1">
      <c r="AB2776" s="725"/>
    </row>
    <row r="2777" spans="28:28" ht="16.5" customHeight="1">
      <c r="AB2777" s="725"/>
    </row>
    <row r="2778" spans="28:28" ht="16.5" customHeight="1">
      <c r="AB2778" s="725"/>
    </row>
    <row r="2779" spans="28:28" ht="16.5" customHeight="1">
      <c r="AB2779" s="725"/>
    </row>
    <row r="2780" spans="28:28" ht="16.5" customHeight="1">
      <c r="AB2780" s="725"/>
    </row>
    <row r="2781" spans="28:28" ht="16.5" customHeight="1">
      <c r="AB2781" s="725"/>
    </row>
    <row r="2782" spans="28:28" ht="16.5" customHeight="1">
      <c r="AB2782" s="725"/>
    </row>
    <row r="2783" spans="28:28" ht="16.5" customHeight="1">
      <c r="AB2783" s="725"/>
    </row>
    <row r="2784" spans="28:28" ht="16.5" customHeight="1">
      <c r="AB2784" s="725"/>
    </row>
    <row r="2785" spans="28:28" ht="16.5" customHeight="1">
      <c r="AB2785" s="725"/>
    </row>
    <row r="2786" spans="28:28" ht="16.5" customHeight="1">
      <c r="AB2786" s="725"/>
    </row>
    <row r="2787" spans="28:28" ht="16.5" customHeight="1">
      <c r="AB2787" s="725"/>
    </row>
    <row r="2788" spans="28:28" ht="16.5" customHeight="1">
      <c r="AB2788" s="725"/>
    </row>
    <row r="2789" spans="28:28" ht="16.5" customHeight="1">
      <c r="AB2789" s="725"/>
    </row>
    <row r="2790" spans="28:28" ht="16.5" customHeight="1">
      <c r="AB2790" s="725"/>
    </row>
    <row r="2791" spans="28:28" ht="16.5" customHeight="1">
      <c r="AB2791" s="725"/>
    </row>
    <row r="2792" spans="28:28" ht="16.5" customHeight="1">
      <c r="AB2792" s="725"/>
    </row>
    <row r="2793" spans="28:28" ht="16.5" customHeight="1">
      <c r="AB2793" s="725"/>
    </row>
    <row r="2794" spans="28:28" ht="16.5" customHeight="1">
      <c r="AB2794" s="725"/>
    </row>
    <row r="2795" spans="28:28" ht="16.5" customHeight="1">
      <c r="AB2795" s="725"/>
    </row>
    <row r="2796" spans="28:28" ht="16.5" customHeight="1">
      <c r="AB2796" s="725"/>
    </row>
    <row r="2797" spans="28:28" ht="16.5" customHeight="1">
      <c r="AB2797" s="725"/>
    </row>
    <row r="2798" spans="28:28" ht="16.5" customHeight="1">
      <c r="AB2798" s="725"/>
    </row>
    <row r="2799" spans="28:28" ht="16.5" customHeight="1">
      <c r="AB2799" s="725"/>
    </row>
    <row r="2800" spans="28:28" ht="16.5" customHeight="1">
      <c r="AB2800" s="725"/>
    </row>
    <row r="2801" spans="28:28" ht="16.5" customHeight="1">
      <c r="AB2801" s="725"/>
    </row>
    <row r="2802" spans="28:28" ht="16.5" customHeight="1">
      <c r="AB2802" s="725"/>
    </row>
    <row r="2803" spans="28:28" ht="16.5" customHeight="1">
      <c r="AB2803" s="725"/>
    </row>
    <row r="2804" spans="28:28" ht="16.5" customHeight="1">
      <c r="AB2804" s="725"/>
    </row>
    <row r="2805" spans="28:28" ht="16.5" customHeight="1">
      <c r="AB2805" s="725"/>
    </row>
    <row r="2806" spans="28:28" ht="16.5" customHeight="1">
      <c r="AB2806" s="725"/>
    </row>
    <row r="2807" spans="28:28" ht="16.5" customHeight="1">
      <c r="AB2807" s="725"/>
    </row>
    <row r="2808" spans="28:28" ht="16.5" customHeight="1">
      <c r="AB2808" s="725"/>
    </row>
    <row r="2809" spans="28:28" ht="16.5" customHeight="1">
      <c r="AB2809" s="725"/>
    </row>
    <row r="2810" spans="28:28" ht="16.5" customHeight="1">
      <c r="AB2810" s="725"/>
    </row>
    <row r="2811" spans="28:28" ht="16.5" customHeight="1">
      <c r="AB2811" s="725"/>
    </row>
    <row r="2812" spans="28:28" ht="16.5" customHeight="1">
      <c r="AB2812" s="725"/>
    </row>
    <row r="2813" spans="28:28" ht="16.5" customHeight="1">
      <c r="AB2813" s="725"/>
    </row>
    <row r="2814" spans="28:28" ht="16.5" customHeight="1">
      <c r="AB2814" s="725"/>
    </row>
    <row r="2815" spans="28:28" ht="16.5" customHeight="1">
      <c r="AB2815" s="725"/>
    </row>
    <row r="2816" spans="28:28" ht="16.5" customHeight="1">
      <c r="AB2816" s="725"/>
    </row>
    <row r="2817" spans="28:28" ht="16.5" customHeight="1">
      <c r="AB2817" s="725"/>
    </row>
    <row r="2818" spans="28:28" ht="16.5" customHeight="1">
      <c r="AB2818" s="725"/>
    </row>
    <row r="2819" spans="28:28" ht="16.5" customHeight="1">
      <c r="AB2819" s="725"/>
    </row>
    <row r="2820" spans="28:28" ht="16.5" customHeight="1">
      <c r="AB2820" s="725"/>
    </row>
    <row r="2821" spans="28:28" ht="16.5" customHeight="1">
      <c r="AB2821" s="725"/>
    </row>
    <row r="2822" spans="28:28" ht="16.5" customHeight="1">
      <c r="AB2822" s="725"/>
    </row>
    <row r="2823" spans="28:28" ht="16.5" customHeight="1">
      <c r="AB2823" s="725"/>
    </row>
    <row r="2824" spans="28:28" ht="16.5" customHeight="1">
      <c r="AB2824" s="725"/>
    </row>
    <row r="2825" spans="28:28" ht="16.5" customHeight="1">
      <c r="AB2825" s="725"/>
    </row>
    <row r="2826" spans="28:28" ht="16.5" customHeight="1">
      <c r="AB2826" s="725"/>
    </row>
    <row r="2827" spans="28:28" ht="16.5" customHeight="1">
      <c r="AB2827" s="725"/>
    </row>
    <row r="2828" spans="28:28" ht="16.5" customHeight="1">
      <c r="AB2828" s="725"/>
    </row>
    <row r="2829" spans="28:28" ht="16.5" customHeight="1">
      <c r="AB2829" s="725"/>
    </row>
    <row r="2830" spans="28:28" ht="16.5" customHeight="1">
      <c r="AB2830" s="725"/>
    </row>
    <row r="2831" spans="28:28" ht="16.5" customHeight="1">
      <c r="AB2831" s="725"/>
    </row>
    <row r="2832" spans="28:28" ht="16.5" customHeight="1">
      <c r="AB2832" s="725"/>
    </row>
    <row r="2833" spans="28:28" ht="16.5" customHeight="1">
      <c r="AB2833" s="725"/>
    </row>
    <row r="2834" spans="28:28" ht="16.5" customHeight="1">
      <c r="AB2834" s="725"/>
    </row>
    <row r="2835" spans="28:28" ht="16.5" customHeight="1">
      <c r="AB2835" s="725"/>
    </row>
    <row r="2836" spans="28:28" ht="16.5" customHeight="1">
      <c r="AB2836" s="725"/>
    </row>
    <row r="2837" spans="28:28" ht="16.5" customHeight="1">
      <c r="AB2837" s="725"/>
    </row>
    <row r="2838" spans="28:28" ht="16.5" customHeight="1">
      <c r="AB2838" s="725"/>
    </row>
    <row r="2839" spans="28:28" ht="16.5" customHeight="1">
      <c r="AB2839" s="725"/>
    </row>
    <row r="2840" spans="28:28" ht="16.5" customHeight="1">
      <c r="AB2840" s="725"/>
    </row>
    <row r="2841" spans="28:28" ht="16.5" customHeight="1">
      <c r="AB2841" s="725"/>
    </row>
    <row r="2842" spans="28:28" ht="16.5" customHeight="1">
      <c r="AB2842" s="725"/>
    </row>
    <row r="2843" spans="28:28" ht="16.5" customHeight="1">
      <c r="AB2843" s="725"/>
    </row>
    <row r="2844" spans="28:28" ht="16.5" customHeight="1">
      <c r="AB2844" s="725"/>
    </row>
    <row r="2845" spans="28:28" ht="16.5" customHeight="1">
      <c r="AB2845" s="725"/>
    </row>
    <row r="2846" spans="28:28" ht="16.5" customHeight="1">
      <c r="AB2846" s="725"/>
    </row>
    <row r="2847" spans="28:28" ht="16.5" customHeight="1">
      <c r="AB2847" s="725"/>
    </row>
    <row r="2848" spans="28:28" ht="16.5" customHeight="1">
      <c r="AB2848" s="725"/>
    </row>
    <row r="2849" spans="28:28" ht="16.5" customHeight="1">
      <c r="AB2849" s="725"/>
    </row>
    <row r="2850" spans="28:28" ht="16.5" customHeight="1">
      <c r="AB2850" s="725"/>
    </row>
    <row r="2851" spans="28:28" ht="16.5" customHeight="1">
      <c r="AB2851" s="725"/>
    </row>
    <row r="2852" spans="28:28" ht="16.5" customHeight="1">
      <c r="AB2852" s="725"/>
    </row>
    <row r="2853" spans="28:28" ht="16.5" customHeight="1">
      <c r="AB2853" s="725"/>
    </row>
    <row r="2854" spans="28:28" ht="16.5" customHeight="1">
      <c r="AB2854" s="725"/>
    </row>
    <row r="2855" spans="28:28" ht="16.5" customHeight="1">
      <c r="AB2855" s="725"/>
    </row>
    <row r="2856" spans="28:28" ht="16.5" customHeight="1">
      <c r="AB2856" s="725"/>
    </row>
    <row r="2857" spans="28:28" ht="16.5" customHeight="1">
      <c r="AB2857" s="725"/>
    </row>
    <row r="2858" spans="28:28" ht="16.5" customHeight="1">
      <c r="AB2858" s="725"/>
    </row>
    <row r="2859" spans="28:28" ht="16.5" customHeight="1">
      <c r="AB2859" s="725"/>
    </row>
    <row r="2860" spans="28:28" ht="16.5" customHeight="1">
      <c r="AB2860" s="725"/>
    </row>
    <row r="2861" spans="28:28" ht="16.5" customHeight="1">
      <c r="AB2861" s="725"/>
    </row>
    <row r="2862" spans="28:28" ht="16.5" customHeight="1">
      <c r="AB2862" s="725"/>
    </row>
    <row r="2863" spans="28:28" ht="16.5" customHeight="1">
      <c r="AB2863" s="725"/>
    </row>
    <row r="2864" spans="28:28" ht="16.5" customHeight="1">
      <c r="AB2864" s="725"/>
    </row>
    <row r="2865" spans="28:28" ht="16.5" customHeight="1">
      <c r="AB2865" s="725"/>
    </row>
    <row r="2866" spans="28:28" ht="16.5" customHeight="1">
      <c r="AB2866" s="725"/>
    </row>
    <row r="2867" spans="28:28" ht="16.5" customHeight="1">
      <c r="AB2867" s="725"/>
    </row>
    <row r="2868" spans="28:28" ht="16.5" customHeight="1">
      <c r="AB2868" s="725"/>
    </row>
    <row r="2869" spans="28:28" ht="16.5" customHeight="1">
      <c r="AB2869" s="725"/>
    </row>
    <row r="2870" spans="28:28" ht="16.5" customHeight="1">
      <c r="AB2870" s="725"/>
    </row>
    <row r="2871" spans="28:28" ht="16.5" customHeight="1">
      <c r="AB2871" s="725"/>
    </row>
    <row r="2872" spans="28:28" ht="16.5" customHeight="1">
      <c r="AB2872" s="725"/>
    </row>
    <row r="2873" spans="28:28" ht="16.5" customHeight="1">
      <c r="AB2873" s="725"/>
    </row>
    <row r="2874" spans="28:28" ht="16.5" customHeight="1">
      <c r="AB2874" s="725"/>
    </row>
    <row r="2875" spans="28:28" ht="16.5" customHeight="1">
      <c r="AB2875" s="725"/>
    </row>
    <row r="2876" spans="28:28" ht="16.5" customHeight="1">
      <c r="AB2876" s="725"/>
    </row>
    <row r="2877" spans="28:28" ht="16.5" customHeight="1">
      <c r="AB2877" s="725"/>
    </row>
    <row r="2878" spans="28:28" ht="16.5" customHeight="1">
      <c r="AB2878" s="725"/>
    </row>
    <row r="2879" spans="28:28" ht="16.5" customHeight="1">
      <c r="AB2879" s="725"/>
    </row>
    <row r="2880" spans="28:28" ht="16.5" customHeight="1">
      <c r="AB2880" s="725"/>
    </row>
    <row r="2881" spans="28:28" ht="16.5" customHeight="1">
      <c r="AB2881" s="725"/>
    </row>
    <row r="2882" spans="28:28" ht="16.5" customHeight="1">
      <c r="AB2882" s="725"/>
    </row>
    <row r="2883" spans="28:28" ht="16.5" customHeight="1">
      <c r="AB2883" s="725"/>
    </row>
    <row r="2884" spans="28:28" ht="16.5" customHeight="1">
      <c r="AB2884" s="725"/>
    </row>
    <row r="2885" spans="28:28" ht="16.5" customHeight="1">
      <c r="AB2885" s="725"/>
    </row>
    <row r="2886" spans="28:28" ht="16.5" customHeight="1">
      <c r="AB2886" s="725"/>
    </row>
    <row r="2887" spans="28:28" ht="16.5" customHeight="1">
      <c r="AB2887" s="725"/>
    </row>
    <row r="2888" spans="28:28" ht="16.5" customHeight="1">
      <c r="AB2888" s="725"/>
    </row>
    <row r="2889" spans="28:28" ht="16.5" customHeight="1">
      <c r="AB2889" s="725"/>
    </row>
    <row r="2890" spans="28:28" ht="16.5" customHeight="1">
      <c r="AB2890" s="725"/>
    </row>
    <row r="2891" spans="28:28" ht="16.5" customHeight="1">
      <c r="AB2891" s="725"/>
    </row>
    <row r="2892" spans="28:28" ht="16.5" customHeight="1">
      <c r="AB2892" s="725"/>
    </row>
    <row r="2893" spans="28:28" ht="16.5" customHeight="1">
      <c r="AB2893" s="725"/>
    </row>
    <row r="2894" spans="28:28" ht="16.5" customHeight="1">
      <c r="AB2894" s="725"/>
    </row>
    <row r="2895" spans="28:28" ht="16.5" customHeight="1">
      <c r="AB2895" s="725"/>
    </row>
    <row r="2896" spans="28:28" ht="16.5" customHeight="1">
      <c r="AB2896" s="725"/>
    </row>
    <row r="2897" spans="28:28" ht="16.5" customHeight="1">
      <c r="AB2897" s="725"/>
    </row>
    <row r="2898" spans="28:28" ht="16.5" customHeight="1">
      <c r="AB2898" s="725"/>
    </row>
    <row r="2899" spans="28:28" ht="16.5" customHeight="1">
      <c r="AB2899" s="725"/>
    </row>
    <row r="2900" spans="28:28" ht="16.5" customHeight="1">
      <c r="AB2900" s="725"/>
    </row>
    <row r="2901" spans="28:28" ht="16.5" customHeight="1">
      <c r="AB2901" s="725"/>
    </row>
    <row r="2902" spans="28:28" ht="16.5" customHeight="1">
      <c r="AB2902" s="725"/>
    </row>
    <row r="2903" spans="28:28" ht="16.5" customHeight="1">
      <c r="AB2903" s="725"/>
    </row>
    <row r="2904" spans="28:28" ht="16.5" customHeight="1">
      <c r="AB2904" s="725"/>
    </row>
    <row r="2905" spans="28:28" ht="16.5" customHeight="1">
      <c r="AB2905" s="725"/>
    </row>
    <row r="2906" spans="28:28" ht="16.5" customHeight="1">
      <c r="AB2906" s="725"/>
    </row>
    <row r="2907" spans="28:28" ht="16.5" customHeight="1">
      <c r="AB2907" s="725"/>
    </row>
    <row r="2908" spans="28:28" ht="16.5" customHeight="1">
      <c r="AB2908" s="725"/>
    </row>
    <row r="2909" spans="28:28" ht="16.5" customHeight="1">
      <c r="AB2909" s="725"/>
    </row>
    <row r="2910" spans="28:28" ht="16.5" customHeight="1">
      <c r="AB2910" s="725"/>
    </row>
    <row r="2911" spans="28:28" ht="16.5" customHeight="1">
      <c r="AB2911" s="725"/>
    </row>
    <row r="2912" spans="28:28" ht="16.5" customHeight="1">
      <c r="AB2912" s="725"/>
    </row>
    <row r="2913" spans="28:28" ht="16.5" customHeight="1">
      <c r="AB2913" s="725"/>
    </row>
    <row r="2914" spans="28:28" ht="16.5" customHeight="1">
      <c r="AB2914" s="725"/>
    </row>
    <row r="2915" spans="28:28" ht="16.5" customHeight="1">
      <c r="AB2915" s="725"/>
    </row>
    <row r="2916" spans="28:28" ht="16.5" customHeight="1">
      <c r="AB2916" s="725"/>
    </row>
    <row r="2917" spans="28:28" ht="16.5" customHeight="1">
      <c r="AB2917" s="725"/>
    </row>
    <row r="2918" spans="28:28" ht="16.5" customHeight="1">
      <c r="AB2918" s="725"/>
    </row>
    <row r="2919" spans="28:28" ht="16.5" customHeight="1">
      <c r="AB2919" s="725"/>
    </row>
    <row r="2920" spans="28:28" ht="16.5" customHeight="1">
      <c r="AB2920" s="725"/>
    </row>
    <row r="2921" spans="28:28" ht="16.5" customHeight="1">
      <c r="AB2921" s="725"/>
    </row>
    <row r="2922" spans="28:28" ht="16.5" customHeight="1">
      <c r="AB2922" s="725"/>
    </row>
    <row r="2923" spans="28:28" ht="16.5" customHeight="1">
      <c r="AB2923" s="725"/>
    </row>
    <row r="2924" spans="28:28" ht="16.5" customHeight="1">
      <c r="AB2924" s="725"/>
    </row>
    <row r="2925" spans="28:28" ht="16.5" customHeight="1">
      <c r="AB2925" s="725"/>
    </row>
    <row r="2926" spans="28:28" ht="16.5" customHeight="1">
      <c r="AB2926" s="725"/>
    </row>
    <row r="2927" spans="28:28" ht="16.5" customHeight="1">
      <c r="AB2927" s="725"/>
    </row>
    <row r="2928" spans="28:28" ht="16.5" customHeight="1">
      <c r="AB2928" s="725"/>
    </row>
    <row r="2929" spans="28:28" ht="16.5" customHeight="1">
      <c r="AB2929" s="725"/>
    </row>
    <row r="2930" spans="28:28" ht="16.5" customHeight="1">
      <c r="AB2930" s="725"/>
    </row>
    <row r="2931" spans="28:28" ht="16.5" customHeight="1">
      <c r="AB2931" s="725"/>
    </row>
    <row r="2932" spans="28:28" ht="16.5" customHeight="1">
      <c r="AB2932" s="725"/>
    </row>
    <row r="2933" spans="28:28" ht="16.5" customHeight="1">
      <c r="AB2933" s="725"/>
    </row>
    <row r="2934" spans="28:28" ht="16.5" customHeight="1">
      <c r="AB2934" s="725"/>
    </row>
    <row r="2935" spans="28:28" ht="16.5" customHeight="1">
      <c r="AB2935" s="725"/>
    </row>
    <row r="2936" spans="28:28" ht="16.5" customHeight="1">
      <c r="AB2936" s="725"/>
    </row>
    <row r="2937" spans="28:28" ht="16.5" customHeight="1">
      <c r="AB2937" s="725"/>
    </row>
    <row r="2938" spans="28:28" ht="16.5" customHeight="1">
      <c r="AB2938" s="725"/>
    </row>
    <row r="2939" spans="28:28" ht="16.5" customHeight="1">
      <c r="AB2939" s="725"/>
    </row>
    <row r="2940" spans="28:28" ht="16.5" customHeight="1">
      <c r="AB2940" s="725"/>
    </row>
    <row r="2941" spans="28:28" ht="16.5" customHeight="1">
      <c r="AB2941" s="725"/>
    </row>
    <row r="2942" spans="28:28" ht="16.5" customHeight="1">
      <c r="AB2942" s="725"/>
    </row>
    <row r="2943" spans="28:28" ht="16.5" customHeight="1">
      <c r="AB2943" s="725"/>
    </row>
    <row r="2944" spans="28:28" ht="16.5" customHeight="1">
      <c r="AB2944" s="725"/>
    </row>
    <row r="2945" spans="28:28" ht="16.5" customHeight="1">
      <c r="AB2945" s="725"/>
    </row>
    <row r="2946" spans="28:28" ht="16.5" customHeight="1">
      <c r="AB2946" s="725"/>
    </row>
    <row r="2947" spans="28:28" ht="16.5" customHeight="1">
      <c r="AB2947" s="725"/>
    </row>
    <row r="2948" spans="28:28" ht="16.5" customHeight="1">
      <c r="AB2948" s="725"/>
    </row>
    <row r="2949" spans="28:28" ht="16.5" customHeight="1">
      <c r="AB2949" s="725"/>
    </row>
    <row r="2950" spans="28:28" ht="16.5" customHeight="1">
      <c r="AB2950" s="725"/>
    </row>
    <row r="2951" spans="28:28" ht="16.5" customHeight="1">
      <c r="AB2951" s="725"/>
    </row>
    <row r="2952" spans="28:28" ht="16.5" customHeight="1">
      <c r="AB2952" s="725"/>
    </row>
    <row r="2953" spans="28:28" ht="16.5" customHeight="1">
      <c r="AB2953" s="725"/>
    </row>
    <row r="2954" spans="28:28" ht="16.5" customHeight="1">
      <c r="AB2954" s="725"/>
    </row>
    <row r="2955" spans="28:28" ht="16.5" customHeight="1">
      <c r="AB2955" s="725"/>
    </row>
    <row r="2956" spans="28:28" ht="16.5" customHeight="1">
      <c r="AB2956" s="725"/>
    </row>
    <row r="2957" spans="28:28" ht="16.5" customHeight="1">
      <c r="AB2957" s="725"/>
    </row>
    <row r="2958" spans="28:28" ht="16.5" customHeight="1">
      <c r="AB2958" s="725"/>
    </row>
    <row r="2959" spans="28:28" ht="16.5" customHeight="1">
      <c r="AB2959" s="725"/>
    </row>
    <row r="2960" spans="28:28" ht="16.5" customHeight="1">
      <c r="AB2960" s="725"/>
    </row>
    <row r="2961" spans="28:28" ht="16.5" customHeight="1">
      <c r="AB2961" s="725"/>
    </row>
    <row r="2962" spans="28:28" ht="16.5" customHeight="1">
      <c r="AB2962" s="725"/>
    </row>
    <row r="2963" spans="28:28" ht="16.5" customHeight="1">
      <c r="AB2963" s="725"/>
    </row>
    <row r="2964" spans="28:28" ht="16.5" customHeight="1">
      <c r="AB2964" s="725"/>
    </row>
    <row r="2965" spans="28:28" ht="16.5" customHeight="1">
      <c r="AB2965" s="725"/>
    </row>
    <row r="2966" spans="28:28" ht="16.5" customHeight="1">
      <c r="AB2966" s="725"/>
    </row>
    <row r="2967" spans="28:28" ht="16.5" customHeight="1">
      <c r="AB2967" s="725"/>
    </row>
    <row r="2968" spans="28:28" ht="16.5" customHeight="1">
      <c r="AB2968" s="725"/>
    </row>
    <row r="2969" spans="28:28" ht="16.5" customHeight="1">
      <c r="AB2969" s="725"/>
    </row>
    <row r="2970" spans="28:28" ht="16.5" customHeight="1">
      <c r="AB2970" s="725"/>
    </row>
    <row r="2971" spans="28:28" ht="16.5" customHeight="1">
      <c r="AB2971" s="725"/>
    </row>
    <row r="2972" spans="28:28" ht="16.5" customHeight="1">
      <c r="AB2972" s="725"/>
    </row>
    <row r="2973" spans="28:28" ht="16.5" customHeight="1">
      <c r="AB2973" s="725"/>
    </row>
    <row r="2974" spans="28:28" ht="16.5" customHeight="1">
      <c r="AB2974" s="725"/>
    </row>
    <row r="2975" spans="28:28" ht="16.5" customHeight="1">
      <c r="AB2975" s="725"/>
    </row>
    <row r="2976" spans="28:28" ht="16.5" customHeight="1">
      <c r="AB2976" s="725"/>
    </row>
    <row r="2977" spans="28:28" ht="16.5" customHeight="1">
      <c r="AB2977" s="725"/>
    </row>
    <row r="2978" spans="28:28" ht="16.5" customHeight="1">
      <c r="AB2978" s="725"/>
    </row>
    <row r="2979" spans="28:28" ht="16.5" customHeight="1">
      <c r="AB2979" s="725"/>
    </row>
    <row r="2980" spans="28:28" ht="16.5" customHeight="1">
      <c r="AB2980" s="725"/>
    </row>
    <row r="2981" spans="28:28" ht="16.5" customHeight="1">
      <c r="AB2981" s="725"/>
    </row>
    <row r="2982" spans="28:28" ht="16.5" customHeight="1">
      <c r="AB2982" s="725"/>
    </row>
    <row r="2983" spans="28:28" ht="16.5" customHeight="1">
      <c r="AB2983" s="725"/>
    </row>
    <row r="2984" spans="28:28" ht="16.5" customHeight="1">
      <c r="AB2984" s="725"/>
    </row>
    <row r="2985" spans="28:28" ht="16.5" customHeight="1">
      <c r="AB2985" s="725"/>
    </row>
    <row r="2986" spans="28:28" ht="16.5" customHeight="1">
      <c r="AB2986" s="725"/>
    </row>
    <row r="2987" spans="28:28" ht="16.5" customHeight="1">
      <c r="AB2987" s="725"/>
    </row>
    <row r="2988" spans="28:28" ht="16.5" customHeight="1">
      <c r="AB2988" s="725"/>
    </row>
    <row r="2989" spans="28:28" ht="16.5" customHeight="1">
      <c r="AB2989" s="725"/>
    </row>
    <row r="2990" spans="28:28" ht="16.5" customHeight="1">
      <c r="AB2990" s="725"/>
    </row>
    <row r="2991" spans="28:28" ht="16.5" customHeight="1">
      <c r="AB2991" s="725"/>
    </row>
    <row r="2992" spans="28:28" ht="16.5" customHeight="1">
      <c r="AB2992" s="725"/>
    </row>
    <row r="2993" spans="28:28" ht="16.5" customHeight="1">
      <c r="AB2993" s="725"/>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6FD082-1303-4028-8271-FD1439A1756A}">
  <sheetPr>
    <pageSetUpPr autoPageBreaks="0"/>
  </sheetPr>
  <dimension ref="A1:V61"/>
  <sheetViews>
    <sheetView showGridLines="0" workbookViewId="0">
      <pane ySplit="1" topLeftCell="A28" activePane="bottomLeft" state="frozen"/>
      <selection pane="bottomLeft" activeCell="B28" sqref="B28"/>
      <selection activeCell="X1" sqref="X1"/>
    </sheetView>
  </sheetViews>
  <sheetFormatPr defaultRowHeight="14.45"/>
  <cols>
    <col min="1" max="1" width="17" style="563" bestFit="1" customWidth="1"/>
    <col min="2" max="2" width="18.7109375" bestFit="1" customWidth="1"/>
    <col min="3" max="3" width="6.5703125" style="109" bestFit="1" customWidth="1"/>
    <col min="4" max="4" width="8.28515625" style="109" bestFit="1" customWidth="1"/>
    <col min="5" max="5" width="12" style="109" bestFit="1" customWidth="1"/>
    <col min="6" max="6" width="10.7109375" style="109" bestFit="1" customWidth="1"/>
    <col min="7" max="8" width="15.42578125" customWidth="1"/>
    <col min="9" max="9" width="12.140625" customWidth="1"/>
    <col min="10" max="10" width="14" customWidth="1"/>
    <col min="11" max="11" width="62.42578125" bestFit="1" customWidth="1"/>
    <col min="12" max="12" width="28.42578125" customWidth="1"/>
    <col min="13" max="13" width="24.5703125" customWidth="1"/>
    <col min="14" max="14" width="35.5703125" bestFit="1" customWidth="1"/>
    <col min="15" max="15" width="45.42578125" bestFit="1" customWidth="1"/>
    <col min="16" max="16" width="41" bestFit="1" customWidth="1"/>
    <col min="17" max="17" width="55.85546875" bestFit="1" customWidth="1"/>
    <col min="18" max="18" width="60.7109375" bestFit="1" customWidth="1"/>
    <col min="19" max="19" width="100.42578125" customWidth="1"/>
    <col min="20" max="20" width="35.140625" bestFit="1" customWidth="1"/>
    <col min="21" max="21" width="47.140625" bestFit="1" customWidth="1"/>
    <col min="22" max="22" width="107.85546875" customWidth="1"/>
  </cols>
  <sheetData>
    <row r="1" spans="1:22" s="774" customFormat="1">
      <c r="A1" s="773" t="s">
        <v>6798</v>
      </c>
      <c r="B1" s="774" t="s">
        <v>6799</v>
      </c>
      <c r="C1" s="775" t="s">
        <v>6800</v>
      </c>
      <c r="D1" s="775" t="s">
        <v>6801</v>
      </c>
      <c r="E1" s="775" t="s">
        <v>2028</v>
      </c>
      <c r="F1" s="775" t="s">
        <v>6802</v>
      </c>
      <c r="G1" s="774" t="s">
        <v>6803</v>
      </c>
      <c r="H1" s="774" t="s">
        <v>6804</v>
      </c>
      <c r="I1" s="774" t="s">
        <v>6805</v>
      </c>
      <c r="J1" s="774" t="s">
        <v>6806</v>
      </c>
      <c r="K1" s="774" t="s">
        <v>6807</v>
      </c>
      <c r="L1" s="774" t="s">
        <v>6808</v>
      </c>
      <c r="M1" s="774" t="s">
        <v>6809</v>
      </c>
      <c r="N1" s="774" t="s">
        <v>6810</v>
      </c>
      <c r="O1" s="774" t="s">
        <v>6811</v>
      </c>
      <c r="P1" s="774" t="s">
        <v>6812</v>
      </c>
      <c r="Q1" s="774" t="s">
        <v>6813</v>
      </c>
      <c r="R1" s="774" t="s">
        <v>6814</v>
      </c>
      <c r="S1" s="774" t="s">
        <v>6815</v>
      </c>
      <c r="T1" s="774" t="s">
        <v>6816</v>
      </c>
      <c r="U1" s="774" t="s">
        <v>6817</v>
      </c>
      <c r="V1" s="774" t="s">
        <v>6818</v>
      </c>
    </row>
    <row r="2" spans="1:22">
      <c r="A2" s="563">
        <v>1</v>
      </c>
      <c r="B2" t="s">
        <v>6819</v>
      </c>
      <c r="C2" s="884" t="s">
        <v>67</v>
      </c>
      <c r="D2" s="109" t="s">
        <v>117</v>
      </c>
      <c r="E2" s="730">
        <v>500000</v>
      </c>
      <c r="F2" s="731">
        <v>44329</v>
      </c>
      <c r="G2" t="s">
        <v>238</v>
      </c>
      <c r="H2" s="130" t="s">
        <v>6820</v>
      </c>
      <c r="I2" s="130" t="s">
        <v>6821</v>
      </c>
      <c r="K2" s="780" t="s">
        <v>6822</v>
      </c>
      <c r="L2" s="781" t="s">
        <v>6823</v>
      </c>
      <c r="M2" s="782" t="s">
        <v>6824</v>
      </c>
      <c r="N2">
        <v>5</v>
      </c>
      <c r="O2" s="130">
        <v>3</v>
      </c>
      <c r="P2">
        <v>5</v>
      </c>
      <c r="Q2" s="130">
        <v>4</v>
      </c>
      <c r="R2" s="130">
        <v>3</v>
      </c>
      <c r="S2" s="788" t="s">
        <v>6825</v>
      </c>
      <c r="T2" t="s">
        <v>6826</v>
      </c>
      <c r="U2" s="130" t="s">
        <v>6827</v>
      </c>
      <c r="V2" s="791" t="s">
        <v>6828</v>
      </c>
    </row>
    <row r="3" spans="1:22" s="772" customFormat="1">
      <c r="A3" s="768" t="s">
        <v>6829</v>
      </c>
      <c r="B3" s="769"/>
      <c r="C3" s="770"/>
      <c r="D3" s="770"/>
      <c r="E3" s="770"/>
      <c r="F3" s="771"/>
      <c r="H3" s="776"/>
      <c r="I3" s="776"/>
      <c r="K3" s="789"/>
      <c r="L3" s="783"/>
      <c r="M3" s="784"/>
      <c r="O3" s="776"/>
      <c r="Q3" s="776"/>
      <c r="S3" s="789"/>
      <c r="U3" s="776"/>
      <c r="V3" s="792"/>
    </row>
    <row r="4" spans="1:22">
      <c r="A4" s="563">
        <v>2</v>
      </c>
      <c r="B4" t="s">
        <v>6830</v>
      </c>
      <c r="F4" s="729"/>
      <c r="H4" s="130"/>
      <c r="I4" s="130"/>
      <c r="K4" s="788"/>
      <c r="L4" s="781"/>
      <c r="M4" s="782"/>
      <c r="O4" s="130"/>
      <c r="Q4" s="130"/>
      <c r="S4" s="788"/>
      <c r="U4" s="130"/>
      <c r="V4" s="791"/>
    </row>
    <row r="5" spans="1:22">
      <c r="A5" s="563">
        <v>3</v>
      </c>
      <c r="B5" t="s">
        <v>6831</v>
      </c>
      <c r="F5" s="729"/>
      <c r="H5" s="130"/>
      <c r="I5" s="130"/>
      <c r="K5" s="788"/>
      <c r="L5" s="781"/>
      <c r="M5" s="782"/>
      <c r="O5" s="130"/>
      <c r="Q5" s="130"/>
      <c r="S5" s="788"/>
      <c r="U5" s="130"/>
      <c r="V5" s="791"/>
    </row>
    <row r="6" spans="1:22">
      <c r="A6" s="563">
        <v>4</v>
      </c>
      <c r="B6" t="s">
        <v>6832</v>
      </c>
      <c r="C6" s="109" t="s">
        <v>67</v>
      </c>
      <c r="D6" s="109" t="s">
        <v>215</v>
      </c>
      <c r="E6" s="730">
        <v>500000</v>
      </c>
      <c r="F6" s="731">
        <v>43556</v>
      </c>
      <c r="H6" s="130"/>
      <c r="I6" s="130"/>
      <c r="K6" s="788"/>
      <c r="L6" s="781"/>
      <c r="M6" s="782"/>
      <c r="O6" s="130"/>
      <c r="Q6" s="130"/>
      <c r="S6" s="788"/>
      <c r="U6" s="130"/>
      <c r="V6" s="791"/>
    </row>
    <row r="7" spans="1:22" s="772" customFormat="1">
      <c r="A7" s="768" t="s">
        <v>6833</v>
      </c>
      <c r="B7" s="769"/>
      <c r="C7" s="770"/>
      <c r="D7" s="770"/>
      <c r="E7" s="770"/>
      <c r="F7" s="771"/>
      <c r="H7" s="776"/>
      <c r="I7" s="776"/>
      <c r="K7" s="789"/>
      <c r="L7" s="783"/>
      <c r="M7" s="784"/>
      <c r="O7" s="776"/>
      <c r="Q7" s="776"/>
      <c r="S7" s="789"/>
      <c r="U7" s="776"/>
      <c r="V7" s="792"/>
    </row>
    <row r="8" spans="1:22">
      <c r="A8" s="563">
        <v>5</v>
      </c>
      <c r="B8" t="s">
        <v>6834</v>
      </c>
      <c r="C8" s="109" t="s">
        <v>73</v>
      </c>
      <c r="F8" s="729"/>
      <c r="G8" t="s">
        <v>238</v>
      </c>
      <c r="H8" s="130" t="s">
        <v>6835</v>
      </c>
      <c r="I8" s="130" t="s">
        <v>6821</v>
      </c>
      <c r="J8" t="s">
        <v>6821</v>
      </c>
      <c r="K8" s="788" t="s">
        <v>6822</v>
      </c>
      <c r="L8" s="781" t="s">
        <v>6823</v>
      </c>
      <c r="M8" s="782" t="s">
        <v>6836</v>
      </c>
      <c r="N8">
        <v>5</v>
      </c>
      <c r="O8" s="130">
        <v>4</v>
      </c>
      <c r="P8">
        <v>4</v>
      </c>
      <c r="Q8" s="130">
        <v>4</v>
      </c>
      <c r="R8" s="130">
        <v>5</v>
      </c>
      <c r="S8" s="788" t="s">
        <v>6825</v>
      </c>
      <c r="T8" t="s">
        <v>6826</v>
      </c>
      <c r="U8" s="130" t="s">
        <v>6837</v>
      </c>
      <c r="V8" s="791" t="s">
        <v>6838</v>
      </c>
    </row>
    <row r="9" spans="1:22" s="772" customFormat="1">
      <c r="A9" s="768" t="s">
        <v>6839</v>
      </c>
      <c r="B9" s="769"/>
      <c r="C9" s="770"/>
      <c r="D9" s="770"/>
      <c r="E9" s="770"/>
      <c r="F9" s="771"/>
      <c r="H9" s="776"/>
      <c r="I9" s="776"/>
      <c r="K9" s="789"/>
      <c r="L9" s="783"/>
      <c r="M9" s="784"/>
      <c r="O9" s="776"/>
      <c r="Q9" s="776"/>
      <c r="S9" s="789"/>
      <c r="U9" s="776"/>
      <c r="V9" s="792"/>
    </row>
    <row r="10" spans="1:22">
      <c r="A10" s="563">
        <v>6</v>
      </c>
      <c r="B10" t="s">
        <v>6840</v>
      </c>
      <c r="C10" s="109" t="s">
        <v>67</v>
      </c>
      <c r="D10" s="109" t="s">
        <v>215</v>
      </c>
      <c r="E10" s="730">
        <v>51000</v>
      </c>
      <c r="F10" s="731">
        <v>42829</v>
      </c>
      <c r="H10" s="130"/>
      <c r="I10" s="130"/>
      <c r="K10" s="788"/>
      <c r="L10" s="781"/>
      <c r="M10" s="782"/>
      <c r="O10" s="130"/>
      <c r="Q10" s="130"/>
      <c r="S10" s="788"/>
      <c r="U10" s="130"/>
      <c r="V10" s="791"/>
    </row>
    <row r="11" spans="1:22" s="772" customFormat="1">
      <c r="A11" s="768" t="s">
        <v>6841</v>
      </c>
      <c r="B11" s="769"/>
      <c r="C11" s="770"/>
      <c r="D11" s="770"/>
      <c r="E11" s="770"/>
      <c r="F11" s="771"/>
      <c r="H11" s="776"/>
      <c r="I11" s="776"/>
      <c r="K11" s="789"/>
      <c r="L11" s="783"/>
      <c r="M11" s="784"/>
      <c r="O11" s="776"/>
      <c r="Q11" s="776"/>
      <c r="S11" s="789"/>
      <c r="U11" s="776"/>
      <c r="V11" s="792"/>
    </row>
    <row r="12" spans="1:22">
      <c r="A12" s="563">
        <v>7</v>
      </c>
      <c r="B12" t="s">
        <v>6842</v>
      </c>
      <c r="C12" s="109" t="s">
        <v>73</v>
      </c>
      <c r="F12" s="729"/>
      <c r="G12" t="s">
        <v>238</v>
      </c>
      <c r="H12" s="130" t="s">
        <v>6835</v>
      </c>
      <c r="I12" s="130" t="s">
        <v>6821</v>
      </c>
      <c r="J12" t="s">
        <v>6821</v>
      </c>
      <c r="K12" s="788" t="s">
        <v>5287</v>
      </c>
      <c r="L12" s="781" t="s">
        <v>6823</v>
      </c>
      <c r="M12" s="782" t="s">
        <v>6836</v>
      </c>
      <c r="N12">
        <v>5</v>
      </c>
      <c r="O12" s="130">
        <v>5</v>
      </c>
      <c r="P12">
        <v>5</v>
      </c>
      <c r="Q12" s="130">
        <v>5</v>
      </c>
      <c r="R12" s="130">
        <v>5</v>
      </c>
      <c r="S12" s="788" t="s">
        <v>6843</v>
      </c>
      <c r="T12" t="s">
        <v>6844</v>
      </c>
      <c r="U12" s="130" t="s">
        <v>6845</v>
      </c>
      <c r="V12" s="791" t="s">
        <v>6846</v>
      </c>
    </row>
    <row r="13" spans="1:22">
      <c r="A13" s="563">
        <v>8</v>
      </c>
      <c r="B13" t="s">
        <v>6847</v>
      </c>
      <c r="C13" s="109" t="s">
        <v>67</v>
      </c>
      <c r="D13" s="109" t="s">
        <v>215</v>
      </c>
      <c r="F13" s="731">
        <v>43789</v>
      </c>
      <c r="H13" s="130"/>
      <c r="I13" s="130"/>
      <c r="K13" s="788"/>
      <c r="L13" s="781"/>
      <c r="M13" s="782"/>
      <c r="O13" s="130"/>
      <c r="Q13" s="130"/>
      <c r="S13" s="788"/>
      <c r="U13" s="130"/>
      <c r="V13" s="791"/>
    </row>
    <row r="14" spans="1:22">
      <c r="A14" s="563">
        <v>9</v>
      </c>
      <c r="B14" t="s">
        <v>6848</v>
      </c>
      <c r="C14" s="109" t="s">
        <v>72</v>
      </c>
      <c r="F14" s="731">
        <v>44609</v>
      </c>
      <c r="G14" t="s">
        <v>238</v>
      </c>
      <c r="H14" s="130" t="s">
        <v>6849</v>
      </c>
      <c r="I14" s="130" t="s">
        <v>6821</v>
      </c>
      <c r="J14" t="s">
        <v>6820</v>
      </c>
      <c r="K14" s="788" t="s">
        <v>6850</v>
      </c>
      <c r="L14" s="781" t="s">
        <v>6823</v>
      </c>
      <c r="M14" s="782" t="s">
        <v>6851</v>
      </c>
      <c r="N14">
        <v>5</v>
      </c>
      <c r="O14" s="130">
        <v>3</v>
      </c>
      <c r="P14">
        <v>4</v>
      </c>
      <c r="Q14" s="130">
        <v>4</v>
      </c>
      <c r="R14" s="130">
        <v>5</v>
      </c>
      <c r="S14" s="788" t="s">
        <v>6825</v>
      </c>
      <c r="T14" t="s">
        <v>6852</v>
      </c>
      <c r="U14" s="130" t="s">
        <v>6853</v>
      </c>
      <c r="V14" s="791" t="s">
        <v>6854</v>
      </c>
    </row>
    <row r="15" spans="1:22">
      <c r="B15" t="s">
        <v>6855</v>
      </c>
      <c r="F15" s="729"/>
      <c r="H15" s="130"/>
      <c r="I15" s="130"/>
      <c r="K15" s="788"/>
      <c r="L15" s="781"/>
      <c r="M15" s="782"/>
      <c r="O15" s="130"/>
      <c r="Q15" s="130"/>
      <c r="S15" s="788"/>
      <c r="U15" s="130"/>
      <c r="V15" s="791"/>
    </row>
    <row r="16" spans="1:22">
      <c r="A16" s="563">
        <v>10</v>
      </c>
      <c r="B16" t="s">
        <v>6856</v>
      </c>
      <c r="F16" s="729"/>
      <c r="H16" s="130"/>
      <c r="I16" s="130"/>
      <c r="K16" s="788"/>
      <c r="L16" s="781"/>
      <c r="M16" s="782"/>
      <c r="O16" s="130"/>
      <c r="Q16" s="130"/>
      <c r="S16" s="788"/>
      <c r="U16" s="130"/>
      <c r="V16" s="791"/>
    </row>
    <row r="17" spans="1:22">
      <c r="A17" s="563">
        <v>11</v>
      </c>
      <c r="B17" t="s">
        <v>6857</v>
      </c>
      <c r="C17" s="884" t="s">
        <v>67</v>
      </c>
      <c r="D17" s="109" t="s">
        <v>215</v>
      </c>
      <c r="E17" s="730">
        <v>300000</v>
      </c>
      <c r="F17" s="731">
        <v>44321</v>
      </c>
      <c r="H17" s="130"/>
      <c r="I17" s="130"/>
      <c r="K17" s="788"/>
      <c r="L17" s="781"/>
      <c r="M17" s="782"/>
      <c r="O17" s="130"/>
      <c r="Q17" s="130"/>
      <c r="S17" s="788"/>
      <c r="U17" s="130"/>
      <c r="V17" s="791"/>
    </row>
    <row r="18" spans="1:22">
      <c r="A18" s="563">
        <v>12</v>
      </c>
      <c r="B18" t="s">
        <v>6858</v>
      </c>
      <c r="F18" s="729"/>
      <c r="H18" s="130"/>
      <c r="I18" s="130"/>
      <c r="K18" s="788"/>
      <c r="L18" s="781"/>
      <c r="M18" s="782"/>
      <c r="O18" s="130"/>
      <c r="Q18" s="130"/>
      <c r="S18" s="788"/>
      <c r="U18" s="130"/>
      <c r="V18" s="791"/>
    </row>
    <row r="19" spans="1:22">
      <c r="A19" s="563">
        <v>13</v>
      </c>
      <c r="B19" t="s">
        <v>6859</v>
      </c>
      <c r="E19" s="730"/>
      <c r="F19" s="729"/>
      <c r="H19" s="130"/>
      <c r="I19" s="130"/>
      <c r="K19" s="788"/>
      <c r="L19" s="781"/>
      <c r="M19" s="782"/>
      <c r="O19" s="130"/>
      <c r="Q19" s="130"/>
      <c r="S19" s="788"/>
      <c r="U19" s="130"/>
      <c r="V19" s="791"/>
    </row>
    <row r="20" spans="1:22">
      <c r="A20" s="563">
        <v>14</v>
      </c>
      <c r="B20" t="s">
        <v>6860</v>
      </c>
      <c r="C20" s="109" t="s">
        <v>73</v>
      </c>
      <c r="F20" s="729"/>
      <c r="G20" t="s">
        <v>238</v>
      </c>
      <c r="H20" s="130" t="s">
        <v>6835</v>
      </c>
      <c r="I20" s="130" t="s">
        <v>6821</v>
      </c>
      <c r="J20" t="s">
        <v>6821</v>
      </c>
      <c r="K20" s="788" t="s">
        <v>6861</v>
      </c>
      <c r="L20" s="781" t="s">
        <v>6851</v>
      </c>
      <c r="M20" s="782" t="s">
        <v>6836</v>
      </c>
      <c r="N20">
        <v>4</v>
      </c>
      <c r="O20" s="130">
        <v>2</v>
      </c>
      <c r="P20">
        <v>3</v>
      </c>
      <c r="Q20" s="130">
        <v>5</v>
      </c>
      <c r="R20" s="130">
        <v>4</v>
      </c>
      <c r="S20" s="788" t="s">
        <v>6825</v>
      </c>
      <c r="T20" t="s">
        <v>6852</v>
      </c>
      <c r="U20" s="130" t="s">
        <v>6862</v>
      </c>
      <c r="V20" s="791" t="s">
        <v>6863</v>
      </c>
    </row>
    <row r="21" spans="1:22">
      <c r="A21" s="563">
        <v>15</v>
      </c>
      <c r="B21" t="s">
        <v>6864</v>
      </c>
      <c r="F21" s="729"/>
      <c r="H21" s="130"/>
      <c r="I21" s="130"/>
      <c r="K21" s="788"/>
      <c r="L21" s="781"/>
      <c r="M21" s="782"/>
      <c r="O21" s="130"/>
      <c r="Q21" s="130"/>
      <c r="S21" s="788"/>
      <c r="U21" s="130"/>
      <c r="V21" s="791"/>
    </row>
    <row r="22" spans="1:22">
      <c r="A22" s="563">
        <v>16</v>
      </c>
      <c r="B22" t="s">
        <v>6865</v>
      </c>
      <c r="F22" s="729"/>
      <c r="H22" s="130"/>
      <c r="I22" s="130"/>
      <c r="K22" s="788"/>
      <c r="L22" s="781"/>
      <c r="M22" s="782"/>
      <c r="O22" s="130"/>
      <c r="Q22" s="130"/>
      <c r="S22" s="788"/>
      <c r="U22" s="130"/>
      <c r="V22" s="791"/>
    </row>
    <row r="23" spans="1:22">
      <c r="A23" s="563">
        <v>17</v>
      </c>
      <c r="B23" t="s">
        <v>6866</v>
      </c>
      <c r="C23" s="109" t="s">
        <v>67</v>
      </c>
      <c r="D23" s="109" t="s">
        <v>117</v>
      </c>
      <c r="E23" s="109" t="s">
        <v>6867</v>
      </c>
      <c r="F23" s="731">
        <v>37854</v>
      </c>
      <c r="G23" t="s">
        <v>238</v>
      </c>
      <c r="H23" s="130" t="s">
        <v>6820</v>
      </c>
      <c r="I23" s="130" t="s">
        <v>6821</v>
      </c>
      <c r="J23" t="s">
        <v>6821</v>
      </c>
      <c r="K23" s="788" t="s">
        <v>6822</v>
      </c>
      <c r="L23" s="781" t="s">
        <v>6823</v>
      </c>
      <c r="M23" s="782" t="s">
        <v>6836</v>
      </c>
      <c r="N23">
        <v>4</v>
      </c>
      <c r="O23" s="130">
        <v>5</v>
      </c>
      <c r="P23">
        <v>5</v>
      </c>
      <c r="Q23" s="130">
        <v>5</v>
      </c>
      <c r="R23" s="130">
        <v>5</v>
      </c>
      <c r="S23" s="788" t="s">
        <v>6868</v>
      </c>
      <c r="T23" t="s">
        <v>6826</v>
      </c>
      <c r="U23" s="130" t="s">
        <v>6869</v>
      </c>
      <c r="V23" s="791" t="s">
        <v>6870</v>
      </c>
    </row>
    <row r="24" spans="1:22">
      <c r="A24" s="563">
        <v>18</v>
      </c>
      <c r="B24" t="s">
        <v>6871</v>
      </c>
      <c r="C24" s="109" t="s">
        <v>73</v>
      </c>
      <c r="F24" s="729"/>
      <c r="G24" t="s">
        <v>238</v>
      </c>
      <c r="H24" s="130" t="s">
        <v>6835</v>
      </c>
      <c r="I24" s="130" t="s">
        <v>6821</v>
      </c>
      <c r="J24" t="s">
        <v>6821</v>
      </c>
      <c r="K24" s="790" t="s">
        <v>6872</v>
      </c>
      <c r="L24" s="781" t="s">
        <v>6823</v>
      </c>
      <c r="M24" s="782" t="s">
        <v>6836</v>
      </c>
      <c r="N24">
        <v>4</v>
      </c>
      <c r="O24" s="130">
        <v>4</v>
      </c>
      <c r="P24">
        <v>5</v>
      </c>
      <c r="Q24" s="130">
        <v>5</v>
      </c>
      <c r="R24" s="130">
        <v>5</v>
      </c>
      <c r="S24" s="788" t="s">
        <v>6825</v>
      </c>
      <c r="T24" t="s">
        <v>6826</v>
      </c>
      <c r="U24" s="130" t="s">
        <v>6873</v>
      </c>
      <c r="V24" s="791" t="s">
        <v>6874</v>
      </c>
    </row>
    <row r="25" spans="1:22">
      <c r="A25" s="563">
        <v>19</v>
      </c>
      <c r="B25" t="s">
        <v>6875</v>
      </c>
      <c r="C25" s="109" t="s">
        <v>67</v>
      </c>
      <c r="D25" s="109" t="s">
        <v>215</v>
      </c>
      <c r="F25" s="731">
        <v>43494</v>
      </c>
      <c r="H25" s="130"/>
      <c r="I25" s="130"/>
      <c r="K25" s="788"/>
      <c r="L25" s="781"/>
      <c r="M25" s="782"/>
      <c r="O25" s="130"/>
      <c r="Q25" s="130"/>
      <c r="S25" s="788"/>
      <c r="U25" s="130"/>
      <c r="V25" s="791"/>
    </row>
    <row r="26" spans="1:22">
      <c r="A26" s="563">
        <v>20</v>
      </c>
      <c r="B26" t="s">
        <v>6876</v>
      </c>
      <c r="F26" s="731"/>
      <c r="H26" s="130"/>
      <c r="I26" s="130"/>
      <c r="K26" s="788"/>
      <c r="L26" s="781"/>
      <c r="M26" s="782"/>
      <c r="O26" s="130"/>
      <c r="Q26" s="130"/>
      <c r="S26" s="788"/>
      <c r="U26" s="130"/>
      <c r="V26" s="791"/>
    </row>
    <row r="27" spans="1:22">
      <c r="A27" s="563">
        <v>21</v>
      </c>
      <c r="B27" t="s">
        <v>6877</v>
      </c>
      <c r="C27" s="109" t="s">
        <v>67</v>
      </c>
      <c r="D27" s="109" t="s">
        <v>215</v>
      </c>
      <c r="E27" s="730">
        <v>25000</v>
      </c>
      <c r="F27" s="731">
        <v>44048</v>
      </c>
      <c r="G27" t="s">
        <v>238</v>
      </c>
      <c r="H27" s="130" t="s">
        <v>6820</v>
      </c>
      <c r="I27" s="130" t="s">
        <v>6821</v>
      </c>
      <c r="J27" t="s">
        <v>6821</v>
      </c>
      <c r="K27" s="788" t="s">
        <v>6822</v>
      </c>
      <c r="L27" s="781" t="s">
        <v>6851</v>
      </c>
      <c r="M27" s="782" t="s">
        <v>6836</v>
      </c>
      <c r="N27">
        <v>5</v>
      </c>
      <c r="O27" s="130">
        <v>2</v>
      </c>
      <c r="P27">
        <v>3</v>
      </c>
      <c r="Q27" s="130">
        <v>4</v>
      </c>
      <c r="R27" s="130">
        <v>5</v>
      </c>
      <c r="S27" s="788" t="s">
        <v>6825</v>
      </c>
      <c r="T27" t="s">
        <v>6844</v>
      </c>
      <c r="U27" s="130" t="s">
        <v>5287</v>
      </c>
      <c r="V27" s="791" t="s">
        <v>6878</v>
      </c>
    </row>
    <row r="28" spans="1:22">
      <c r="A28" s="563">
        <v>22</v>
      </c>
      <c r="B28" t="s">
        <v>6879</v>
      </c>
      <c r="F28" s="729"/>
      <c r="H28" s="130"/>
      <c r="I28" s="130"/>
      <c r="K28" s="788"/>
      <c r="L28" s="781"/>
      <c r="M28" s="782"/>
      <c r="O28" s="130"/>
      <c r="Q28" s="130"/>
      <c r="S28" s="788"/>
      <c r="U28" s="130"/>
      <c r="V28" s="791"/>
    </row>
    <row r="29" spans="1:22">
      <c r="A29" s="563">
        <v>23</v>
      </c>
      <c r="B29" t="s">
        <v>6880</v>
      </c>
      <c r="F29" s="729"/>
      <c r="H29" s="130"/>
      <c r="I29" s="130"/>
      <c r="K29" s="788"/>
      <c r="L29" s="781"/>
      <c r="M29" s="782"/>
      <c r="O29" s="130"/>
      <c r="Q29" s="130"/>
      <c r="S29" s="788"/>
      <c r="U29" s="130"/>
      <c r="V29" s="791"/>
    </row>
    <row r="30" spans="1:22">
      <c r="B30" t="s">
        <v>6881</v>
      </c>
      <c r="F30" s="729"/>
      <c r="H30" s="130"/>
      <c r="I30" s="130"/>
      <c r="K30" s="788"/>
      <c r="L30" s="781"/>
      <c r="M30" s="782"/>
      <c r="O30" s="130"/>
      <c r="Q30" s="130"/>
      <c r="S30" s="788"/>
      <c r="U30" s="130"/>
      <c r="V30" s="791"/>
    </row>
    <row r="31" spans="1:22">
      <c r="A31" s="894">
        <v>24</v>
      </c>
      <c r="B31" s="733" t="s">
        <v>6882</v>
      </c>
      <c r="C31" s="733" t="s">
        <v>6883</v>
      </c>
      <c r="D31" s="734"/>
      <c r="E31" s="734"/>
      <c r="F31" s="735"/>
      <c r="H31" s="130"/>
      <c r="I31" s="130"/>
      <c r="K31" s="788"/>
      <c r="L31" s="781"/>
      <c r="M31" s="782"/>
      <c r="O31" s="130"/>
      <c r="Q31" s="130"/>
      <c r="S31" s="788"/>
      <c r="U31" s="130"/>
      <c r="V31" s="791"/>
    </row>
    <row r="32" spans="1:22">
      <c r="A32" s="563">
        <v>25</v>
      </c>
      <c r="B32" t="s">
        <v>6884</v>
      </c>
      <c r="C32"/>
      <c r="F32" s="729"/>
      <c r="H32" s="130"/>
      <c r="I32" s="130"/>
      <c r="K32" s="788"/>
      <c r="L32" s="781"/>
      <c r="M32" s="782"/>
      <c r="O32" s="130"/>
      <c r="Q32" s="130"/>
      <c r="S32" s="788"/>
      <c r="U32" s="130"/>
      <c r="V32" s="791"/>
    </row>
    <row r="33" spans="1:22">
      <c r="B33" t="s">
        <v>6885</v>
      </c>
      <c r="C33"/>
      <c r="F33" s="729"/>
      <c r="H33" s="130"/>
      <c r="I33" s="130"/>
      <c r="K33" s="788"/>
      <c r="L33" s="781"/>
      <c r="M33" s="782"/>
      <c r="O33" s="130"/>
      <c r="Q33" s="130"/>
      <c r="S33" s="788"/>
      <c r="U33" s="130"/>
      <c r="V33" s="791"/>
    </row>
    <row r="34" spans="1:22">
      <c r="A34" s="563">
        <v>26</v>
      </c>
      <c r="B34" t="s">
        <v>6886</v>
      </c>
      <c r="C34"/>
      <c r="F34" s="729"/>
      <c r="H34" s="130"/>
      <c r="I34" s="130"/>
      <c r="K34" s="788"/>
      <c r="L34" s="781"/>
      <c r="M34" s="782"/>
      <c r="O34" s="130"/>
      <c r="Q34" s="130"/>
      <c r="S34" s="788"/>
      <c r="U34" s="130"/>
      <c r="V34" s="791"/>
    </row>
    <row r="35" spans="1:22">
      <c r="A35" s="563">
        <v>27</v>
      </c>
      <c r="B35" t="s">
        <v>6887</v>
      </c>
      <c r="F35" s="729"/>
      <c r="H35" s="130"/>
      <c r="I35" s="130"/>
      <c r="K35" s="788"/>
      <c r="L35" s="781"/>
      <c r="M35" s="782"/>
      <c r="O35" s="130"/>
      <c r="Q35" s="130"/>
      <c r="S35" s="788"/>
      <c r="U35" s="130"/>
      <c r="V35" s="791"/>
    </row>
    <row r="36" spans="1:22">
      <c r="A36" s="563">
        <v>28</v>
      </c>
      <c r="B36" t="s">
        <v>6888</v>
      </c>
      <c r="F36" s="729"/>
      <c r="H36" s="130"/>
      <c r="I36" s="130"/>
      <c r="K36" s="788"/>
      <c r="L36" s="781"/>
      <c r="M36" s="782"/>
      <c r="O36" s="130"/>
      <c r="Q36" s="130"/>
      <c r="S36" s="788"/>
      <c r="U36" s="130"/>
      <c r="V36" s="791"/>
    </row>
    <row r="37" spans="1:22">
      <c r="A37" s="563">
        <v>29</v>
      </c>
      <c r="B37" t="s">
        <v>6889</v>
      </c>
      <c r="C37" s="109" t="s">
        <v>67</v>
      </c>
      <c r="D37" s="109" t="s">
        <v>215</v>
      </c>
      <c r="E37" s="730">
        <v>1250000</v>
      </c>
      <c r="F37" s="731">
        <v>43536</v>
      </c>
      <c r="H37" s="130"/>
      <c r="I37" s="130"/>
      <c r="K37" s="788"/>
      <c r="L37" s="781"/>
      <c r="M37" s="782"/>
      <c r="O37" s="130"/>
      <c r="Q37" s="130"/>
      <c r="S37" s="788"/>
      <c r="U37" s="130"/>
      <c r="V37" s="791"/>
    </row>
    <row r="38" spans="1:22" s="772" customFormat="1">
      <c r="A38" s="768" t="s">
        <v>6890</v>
      </c>
      <c r="B38" s="769"/>
      <c r="C38" s="770"/>
      <c r="D38" s="770"/>
      <c r="E38" s="770"/>
      <c r="F38" s="771"/>
      <c r="H38" s="776"/>
      <c r="I38" s="776"/>
      <c r="K38" s="789"/>
      <c r="L38" s="783"/>
      <c r="M38" s="784"/>
      <c r="O38" s="776"/>
      <c r="Q38" s="776"/>
      <c r="S38" s="789"/>
      <c r="U38" s="776"/>
      <c r="V38" s="792"/>
    </row>
    <row r="39" spans="1:22">
      <c r="A39" s="563">
        <v>30</v>
      </c>
      <c r="B39" t="s">
        <v>6891</v>
      </c>
      <c r="F39" s="729"/>
      <c r="H39" s="130"/>
      <c r="I39" s="130"/>
      <c r="K39" s="788"/>
      <c r="L39" s="781"/>
      <c r="M39" s="782"/>
      <c r="O39" s="130"/>
      <c r="Q39" s="130"/>
      <c r="S39" s="788"/>
      <c r="U39" s="130"/>
      <c r="V39" s="791"/>
    </row>
    <row r="40" spans="1:22">
      <c r="A40" s="563">
        <v>31</v>
      </c>
      <c r="B40" t="s">
        <v>6892</v>
      </c>
      <c r="C40" s="109" t="s">
        <v>67</v>
      </c>
      <c r="D40" s="109" t="s">
        <v>215</v>
      </c>
      <c r="E40" s="730">
        <v>15000000</v>
      </c>
      <c r="F40" s="731">
        <v>39539</v>
      </c>
      <c r="H40" s="130"/>
      <c r="I40" s="130"/>
      <c r="K40" s="788"/>
      <c r="L40" s="781"/>
      <c r="M40" s="782"/>
      <c r="O40" s="130"/>
      <c r="Q40" s="130"/>
      <c r="S40" s="788"/>
      <c r="U40" s="130"/>
      <c r="V40" s="791"/>
    </row>
    <row r="41" spans="1:22">
      <c r="A41" s="563">
        <v>32</v>
      </c>
      <c r="B41" t="s">
        <v>6893</v>
      </c>
      <c r="C41" s="109" t="s">
        <v>73</v>
      </c>
      <c r="F41" s="729"/>
      <c r="G41" t="s">
        <v>238</v>
      </c>
      <c r="H41" s="130" t="s">
        <v>6835</v>
      </c>
      <c r="I41" s="130" t="s">
        <v>6821</v>
      </c>
      <c r="J41" t="s">
        <v>6821</v>
      </c>
      <c r="K41" s="788" t="s">
        <v>6822</v>
      </c>
      <c r="L41" s="781" t="s">
        <v>6894</v>
      </c>
      <c r="M41" s="782" t="s">
        <v>6836</v>
      </c>
      <c r="N41">
        <v>5</v>
      </c>
      <c r="O41" s="130">
        <v>4</v>
      </c>
      <c r="P41">
        <v>4</v>
      </c>
      <c r="Q41" s="130">
        <v>5</v>
      </c>
      <c r="R41" s="130">
        <v>4</v>
      </c>
      <c r="S41" s="788" t="s">
        <v>6825</v>
      </c>
      <c r="T41" t="s">
        <v>6826</v>
      </c>
      <c r="U41" s="130" t="s">
        <v>5287</v>
      </c>
      <c r="V41" s="791" t="s">
        <v>6895</v>
      </c>
    </row>
    <row r="42" spans="1:22">
      <c r="A42" s="563">
        <v>33</v>
      </c>
      <c r="B42" t="s">
        <v>6896</v>
      </c>
      <c r="C42" s="109" t="s">
        <v>67</v>
      </c>
      <c r="D42" s="109" t="s">
        <v>215</v>
      </c>
      <c r="F42" s="731">
        <v>37439</v>
      </c>
      <c r="G42" s="728"/>
      <c r="H42" s="777"/>
      <c r="I42" s="777"/>
      <c r="K42" s="788"/>
      <c r="L42" s="785"/>
      <c r="M42" s="782"/>
      <c r="O42" s="130"/>
      <c r="Q42" s="130"/>
      <c r="S42" s="788"/>
      <c r="U42" s="130"/>
      <c r="V42" s="791"/>
    </row>
    <row r="43" spans="1:22">
      <c r="A43" s="563">
        <v>34</v>
      </c>
      <c r="B43" t="s">
        <v>6897</v>
      </c>
      <c r="F43" s="729"/>
      <c r="G43" s="728"/>
      <c r="H43" s="777"/>
      <c r="I43" s="777"/>
      <c r="K43" s="788"/>
      <c r="L43" s="785"/>
      <c r="M43" s="782"/>
      <c r="O43" s="130"/>
      <c r="Q43" s="130"/>
      <c r="S43" s="788"/>
      <c r="U43" s="130"/>
      <c r="V43" s="791"/>
    </row>
    <row r="44" spans="1:22">
      <c r="A44" s="732">
        <v>35</v>
      </c>
      <c r="B44" s="733" t="s">
        <v>6898</v>
      </c>
      <c r="C44" s="733" t="s">
        <v>6899</v>
      </c>
      <c r="D44" s="734"/>
      <c r="E44" s="734"/>
      <c r="F44" s="735"/>
      <c r="H44" s="130"/>
      <c r="I44" s="130"/>
      <c r="K44" s="788"/>
      <c r="L44" s="781"/>
      <c r="M44" s="782"/>
      <c r="O44" s="130"/>
      <c r="Q44" s="130"/>
      <c r="S44" s="788"/>
      <c r="U44" s="130"/>
      <c r="V44" s="791"/>
    </row>
    <row r="45" spans="1:22">
      <c r="A45" s="732">
        <v>36</v>
      </c>
      <c r="B45" s="733" t="s">
        <v>6900</v>
      </c>
      <c r="C45" s="733" t="s">
        <v>6883</v>
      </c>
      <c r="D45" s="734"/>
      <c r="E45" s="734"/>
      <c r="F45" s="735"/>
      <c r="H45" s="130"/>
      <c r="I45" s="130"/>
      <c r="K45" s="788"/>
      <c r="L45" s="781"/>
      <c r="M45" s="782"/>
      <c r="O45" s="130"/>
      <c r="Q45" s="130"/>
      <c r="S45" s="788"/>
      <c r="U45" s="130"/>
      <c r="V45" s="791"/>
    </row>
    <row r="46" spans="1:22">
      <c r="A46" s="885">
        <v>37</v>
      </c>
      <c r="B46" s="886" t="s">
        <v>6901</v>
      </c>
      <c r="C46" s="886"/>
      <c r="D46" s="884"/>
      <c r="E46" s="884"/>
      <c r="F46" s="887"/>
      <c r="H46" s="130"/>
      <c r="I46" s="130"/>
      <c r="K46" s="788"/>
      <c r="L46" s="781"/>
      <c r="M46" s="782"/>
      <c r="O46" s="130"/>
      <c r="Q46" s="130"/>
      <c r="S46" s="788"/>
      <c r="U46" s="130"/>
      <c r="V46" s="791"/>
    </row>
    <row r="47" spans="1:22" s="767" customFormat="1">
      <c r="A47" s="794">
        <v>38</v>
      </c>
      <c r="B47" s="767" t="s">
        <v>6902</v>
      </c>
      <c r="C47" s="795" t="s">
        <v>67</v>
      </c>
      <c r="D47" s="795" t="s">
        <v>215</v>
      </c>
      <c r="E47" s="796">
        <v>100000</v>
      </c>
      <c r="F47" s="797">
        <v>38832</v>
      </c>
      <c r="G47" s="778" t="s">
        <v>238</v>
      </c>
      <c r="H47" s="779" t="s">
        <v>6820</v>
      </c>
      <c r="I47" s="779" t="s">
        <v>6821</v>
      </c>
      <c r="J47" s="767" t="s">
        <v>6821</v>
      </c>
      <c r="K47" s="780" t="s">
        <v>6822</v>
      </c>
      <c r="L47" s="786" t="s">
        <v>6851</v>
      </c>
      <c r="M47" s="787" t="s">
        <v>6836</v>
      </c>
      <c r="O47" s="779"/>
      <c r="Q47" s="779"/>
      <c r="S47" s="780" t="s">
        <v>6903</v>
      </c>
      <c r="T47" s="767" t="s">
        <v>6826</v>
      </c>
      <c r="U47" s="779" t="s">
        <v>6904</v>
      </c>
      <c r="V47" s="793" t="s">
        <v>6905</v>
      </c>
    </row>
    <row r="48" spans="1:22" s="772" customFormat="1">
      <c r="A48" s="768" t="s">
        <v>6906</v>
      </c>
      <c r="B48" s="769"/>
      <c r="C48" s="770"/>
      <c r="D48" s="770"/>
      <c r="E48" s="770"/>
      <c r="F48" s="771"/>
      <c r="H48" s="776"/>
      <c r="I48" s="776"/>
      <c r="K48" s="789"/>
      <c r="L48" s="783"/>
      <c r="M48" s="784"/>
      <c r="O48" s="776"/>
      <c r="Q48" s="776"/>
      <c r="S48" s="789"/>
      <c r="U48" s="776"/>
      <c r="V48" s="792"/>
    </row>
    <row r="49" spans="2:22">
      <c r="B49" t="s">
        <v>6907</v>
      </c>
      <c r="F49" s="729"/>
      <c r="H49" s="130"/>
      <c r="I49" s="130"/>
      <c r="K49" s="788"/>
      <c r="L49" s="781"/>
      <c r="M49" s="782"/>
      <c r="O49" s="130"/>
      <c r="Q49" s="130"/>
      <c r="S49" s="788"/>
      <c r="U49" s="130"/>
      <c r="V49" s="791"/>
    </row>
    <row r="50" spans="2:22">
      <c r="E50"/>
      <c r="F50" s="883"/>
    </row>
    <row r="51" spans="2:22">
      <c r="E51"/>
      <c r="F51" s="883"/>
    </row>
    <row r="52" spans="2:22">
      <c r="E52"/>
      <c r="F52" s="883"/>
    </row>
    <row r="53" spans="2:22">
      <c r="E53"/>
      <c r="F53" s="883"/>
    </row>
    <row r="54" spans="2:22">
      <c r="E54"/>
      <c r="F54" s="883"/>
    </row>
    <row r="55" spans="2:22">
      <c r="E55"/>
      <c r="F55" s="883"/>
    </row>
    <row r="56" spans="2:22">
      <c r="E56"/>
      <c r="F56" s="883"/>
    </row>
    <row r="57" spans="2:22">
      <c r="E57"/>
      <c r="F57" s="883"/>
    </row>
    <row r="58" spans="2:22">
      <c r="E58"/>
      <c r="F58" s="883"/>
    </row>
    <row r="59" spans="2:22">
      <c r="E59"/>
      <c r="F59" s="883"/>
    </row>
    <row r="60" spans="2:22">
      <c r="E60"/>
      <c r="F60" s="883"/>
    </row>
    <row r="61" spans="2:22">
      <c r="E61"/>
      <c r="F61" s="883"/>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417AE2-7A44-455F-B884-5F6D596D8605}">
  <sheetPr>
    <pageSetUpPr autoPageBreaks="0"/>
  </sheetPr>
  <dimension ref="A1:M27"/>
  <sheetViews>
    <sheetView showGridLines="0" topLeftCell="B1" zoomScaleNormal="100" workbookViewId="0">
      <selection activeCell="B2" sqref="A2:XFD6"/>
    </sheetView>
  </sheetViews>
  <sheetFormatPr defaultRowHeight="14.45"/>
  <cols>
    <col min="2" max="13" width="18.28515625" customWidth="1"/>
  </cols>
  <sheetData>
    <row r="1" spans="1:13" ht="30" customHeight="1" thickBot="1">
      <c r="B1" s="369" t="s">
        <v>6908</v>
      </c>
      <c r="C1" s="256" t="s">
        <v>6909</v>
      </c>
      <c r="D1" s="369" t="s">
        <v>6910</v>
      </c>
      <c r="E1" s="369" t="s">
        <v>6911</v>
      </c>
      <c r="F1" s="369" t="s">
        <v>6912</v>
      </c>
      <c r="G1" s="369" t="s">
        <v>6913</v>
      </c>
      <c r="H1" s="369" t="s">
        <v>6914</v>
      </c>
      <c r="I1" s="369" t="s">
        <v>6915</v>
      </c>
      <c r="J1" s="369" t="s">
        <v>6916</v>
      </c>
      <c r="K1" s="369" t="s">
        <v>6917</v>
      </c>
      <c r="L1" s="369" t="s">
        <v>6918</v>
      </c>
      <c r="M1" s="369" t="s">
        <v>6919</v>
      </c>
    </row>
    <row r="2" spans="1:13" ht="45" customHeight="1">
      <c r="A2" s="420" t="s">
        <v>6920</v>
      </c>
      <c r="B2" s="395" t="s">
        <v>6921</v>
      </c>
      <c r="C2" s="377" t="s">
        <v>6922</v>
      </c>
      <c r="D2" s="372"/>
      <c r="E2" s="413" t="s">
        <v>6923</v>
      </c>
      <c r="F2" s="374" t="s">
        <v>6924</v>
      </c>
      <c r="G2" s="375"/>
      <c r="H2" s="370"/>
      <c r="I2" s="371" t="s">
        <v>6925</v>
      </c>
      <c r="J2" s="372" t="s">
        <v>6926</v>
      </c>
      <c r="K2" s="373"/>
      <c r="L2" s="374" t="s">
        <v>6927</v>
      </c>
      <c r="M2" s="375"/>
    </row>
    <row r="3" spans="1:13" ht="45" customHeight="1">
      <c r="A3" s="420" t="s">
        <v>6928</v>
      </c>
      <c r="B3" s="376" t="s">
        <v>5956</v>
      </c>
      <c r="C3" s="396" t="s">
        <v>6929</v>
      </c>
      <c r="D3" s="378" t="s">
        <v>6930</v>
      </c>
      <c r="E3" s="379"/>
      <c r="F3" s="380"/>
      <c r="G3" s="381" t="s">
        <v>6931</v>
      </c>
      <c r="H3" s="376" t="s">
        <v>6925</v>
      </c>
      <c r="I3" s="377"/>
      <c r="J3" s="378"/>
      <c r="K3" s="379" t="s">
        <v>6932</v>
      </c>
      <c r="L3" s="380"/>
      <c r="M3" s="381" t="s">
        <v>3510</v>
      </c>
    </row>
    <row r="4" spans="1:13" ht="45" customHeight="1">
      <c r="A4" s="420" t="s">
        <v>6933</v>
      </c>
      <c r="B4" s="382"/>
      <c r="C4" s="377" t="s">
        <v>3082</v>
      </c>
      <c r="D4" s="397" t="s">
        <v>6934</v>
      </c>
      <c r="E4" s="385" t="s">
        <v>5956</v>
      </c>
      <c r="F4" s="386"/>
      <c r="G4" s="414" t="s">
        <v>6935</v>
      </c>
      <c r="H4" s="382"/>
      <c r="I4" s="383" t="s">
        <v>6936</v>
      </c>
      <c r="J4" s="384" t="s">
        <v>6937</v>
      </c>
      <c r="K4" s="385"/>
      <c r="L4" s="416" t="s">
        <v>6938</v>
      </c>
      <c r="M4" s="387"/>
    </row>
    <row r="5" spans="1:13" ht="45" customHeight="1">
      <c r="A5" s="420" t="s">
        <v>6939</v>
      </c>
      <c r="B5" s="376" t="s">
        <v>6940</v>
      </c>
      <c r="C5" s="417" t="s">
        <v>6941</v>
      </c>
      <c r="D5" s="378"/>
      <c r="E5" s="379"/>
      <c r="F5" s="416" t="s">
        <v>6942</v>
      </c>
      <c r="G5" s="381" t="s">
        <v>6943</v>
      </c>
      <c r="H5" s="376" t="s">
        <v>6926</v>
      </c>
      <c r="I5" s="377"/>
      <c r="J5" s="378"/>
      <c r="K5" s="379" t="s">
        <v>6944</v>
      </c>
      <c r="L5" s="380"/>
      <c r="M5" s="381" t="s">
        <v>6945</v>
      </c>
    </row>
    <row r="6" spans="1:13" ht="45" customHeight="1" thickBot="1">
      <c r="A6" s="420" t="s">
        <v>6946</v>
      </c>
      <c r="B6" s="394" t="s">
        <v>6947</v>
      </c>
      <c r="C6" s="383" t="s">
        <v>33</v>
      </c>
      <c r="D6" s="390" t="s">
        <v>33</v>
      </c>
      <c r="E6" s="391" t="s">
        <v>6948</v>
      </c>
      <c r="F6" s="392" t="s">
        <v>33</v>
      </c>
      <c r="G6" s="415" t="s">
        <v>6949</v>
      </c>
      <c r="H6" s="388"/>
      <c r="I6" s="389" t="s">
        <v>33</v>
      </c>
      <c r="J6" s="390" t="s">
        <v>33</v>
      </c>
      <c r="K6" s="391"/>
      <c r="L6" s="392" t="s">
        <v>33</v>
      </c>
      <c r="M6" s="393" t="s">
        <v>33</v>
      </c>
    </row>
    <row r="7" spans="1:13" s="398" customFormat="1" ht="15" thickBot="1">
      <c r="B7" s="418">
        <v>43600</v>
      </c>
      <c r="C7" s="424">
        <f>SUM(C8:C26)</f>
        <v>38635</v>
      </c>
      <c r="D7" s="419" t="s">
        <v>6950</v>
      </c>
      <c r="E7" s="418">
        <v>43675</v>
      </c>
      <c r="F7" s="424">
        <f>SUM(F8:F27)</f>
        <v>21340</v>
      </c>
      <c r="G7" s="419" t="s">
        <v>6950</v>
      </c>
      <c r="H7" s="400">
        <v>43735</v>
      </c>
      <c r="I7" s="424">
        <f>SUM(I8:I26)</f>
        <v>24015</v>
      </c>
      <c r="J7" s="400" t="s">
        <v>6950</v>
      </c>
      <c r="K7" s="418">
        <v>43492</v>
      </c>
      <c r="L7" s="424">
        <f>SUM(L8:L26)</f>
        <v>17761</v>
      </c>
      <c r="M7" s="419" t="s">
        <v>6950</v>
      </c>
    </row>
    <row r="8" spans="1:13">
      <c r="B8" s="404" t="s">
        <v>2094</v>
      </c>
      <c r="C8" s="421">
        <v>3011</v>
      </c>
      <c r="D8" s="410">
        <f ca="1">SUMIF(STATES!A:A,B8,STATES!J:J)</f>
        <v>143</v>
      </c>
      <c r="E8" s="401" t="s">
        <v>2052</v>
      </c>
      <c r="F8" s="425">
        <v>2683</v>
      </c>
      <c r="G8" s="407">
        <f ca="1">SUMIF(STATES!A:A,E8,STATES!J:J)</f>
        <v>105</v>
      </c>
      <c r="H8" s="404" t="s">
        <v>2089</v>
      </c>
      <c r="I8" s="421">
        <v>2574</v>
      </c>
      <c r="J8" s="410">
        <f ca="1">SUMIF(STATES!A:A,"AZ",STATES!J:J)</f>
        <v>128</v>
      </c>
      <c r="K8" s="401" t="s">
        <v>2203</v>
      </c>
      <c r="L8" s="428">
        <v>780</v>
      </c>
      <c r="M8" s="407">
        <f ca="1">SUMIF(STATES!A:A,"AL",STATES!J:J)</f>
        <v>25</v>
      </c>
    </row>
    <row r="9" spans="1:13">
      <c r="B9" s="405" t="s">
        <v>2240</v>
      </c>
      <c r="C9" s="422">
        <v>1702</v>
      </c>
      <c r="D9" s="411">
        <f ca="1">SUMIF(STATES!A:A,B9,STATES!J:J)</f>
        <v>49</v>
      </c>
      <c r="E9" s="402" t="s">
        <v>2465</v>
      </c>
      <c r="F9" s="426">
        <v>722</v>
      </c>
      <c r="G9" s="408">
        <f ca="1">SUMIF(STATES!A:A,E9,STATES!J:J)</f>
        <v>41</v>
      </c>
      <c r="H9" s="405" t="s">
        <v>2081</v>
      </c>
      <c r="I9" s="422">
        <v>13511</v>
      </c>
      <c r="J9" s="411">
        <f ca="1">SUMIF(STATES!A:A,"CA",STATES!J:J)</f>
        <v>401</v>
      </c>
      <c r="K9" s="402" t="s">
        <v>4637</v>
      </c>
      <c r="L9" s="426">
        <v>462</v>
      </c>
      <c r="M9" s="408">
        <f ca="1">SUMIF(STATES!A:A,"AR",STATES!J:J)</f>
        <v>20</v>
      </c>
    </row>
    <row r="10" spans="1:13">
      <c r="B10" s="405" t="s">
        <v>2162</v>
      </c>
      <c r="C10" s="422">
        <v>1133</v>
      </c>
      <c r="D10" s="411">
        <f ca="1">SUMIF(STATES!A:A,B10,STATES!J:J)</f>
        <v>77</v>
      </c>
      <c r="E10" s="402" t="s">
        <v>2059</v>
      </c>
      <c r="F10" s="426">
        <v>4193</v>
      </c>
      <c r="G10" s="408">
        <f ca="1">SUMIF(STATES!A:A,E10,STATES!J:J)</f>
        <v>197</v>
      </c>
      <c r="H10" s="405" t="s">
        <v>2046</v>
      </c>
      <c r="I10" s="422">
        <v>5763</v>
      </c>
      <c r="J10" s="411">
        <f ca="1">SUMIF(STATES!A:A,"FL",STATES!J:J)</f>
        <v>213</v>
      </c>
      <c r="K10" s="402" t="s">
        <v>2318</v>
      </c>
      <c r="L10" s="426">
        <v>286</v>
      </c>
      <c r="M10" s="408">
        <f ca="1">SUMIF(STATES!A:A,"DC",STATES!J:J)</f>
        <v>11</v>
      </c>
    </row>
    <row r="11" spans="1:13">
      <c r="B11" s="405" t="s">
        <v>2290</v>
      </c>
      <c r="C11" s="422">
        <v>389</v>
      </c>
      <c r="D11" s="411">
        <f ca="1">SUMIF(STATES!A:A,B11,STATES!J:J)</f>
        <v>24</v>
      </c>
      <c r="E11" s="402" t="s">
        <v>2484</v>
      </c>
      <c r="F11" s="426">
        <v>582</v>
      </c>
      <c r="G11" s="408">
        <f ca="1">SUMIF(STATES!A:A,E11,STATES!J:J)</f>
        <v>26</v>
      </c>
      <c r="H11" s="405" t="s">
        <v>2066</v>
      </c>
      <c r="I11" s="422">
        <v>499</v>
      </c>
      <c r="J11" s="411">
        <f ca="1">SUMIF(STATES!A:A,"HI",STATES!J:J)</f>
        <v>11</v>
      </c>
      <c r="K11" s="402" t="s">
        <v>2219</v>
      </c>
      <c r="L11" s="426">
        <v>405</v>
      </c>
      <c r="M11" s="408">
        <f ca="1">SUMIF(STATES!A:A,K11,STATES!J:J)</f>
        <v>12</v>
      </c>
    </row>
    <row r="12" spans="1:13">
      <c r="B12" s="405" t="s">
        <v>2313</v>
      </c>
      <c r="C12" s="422">
        <v>5103</v>
      </c>
      <c r="D12" s="411">
        <f ca="1">SUMIF(STATES!A:A,B12,STATES!J:J)</f>
        <v>196</v>
      </c>
      <c r="E12" s="402" t="s">
        <v>2299</v>
      </c>
      <c r="F12" s="426">
        <v>1864</v>
      </c>
      <c r="G12" s="408">
        <f ca="1">SUMIF(STATES!A:A,E12,STATES!J:J)</f>
        <v>110</v>
      </c>
      <c r="H12" s="405" t="s">
        <v>2201</v>
      </c>
      <c r="I12" s="422">
        <v>994</v>
      </c>
      <c r="J12" s="411">
        <f ca="1">SUMIF(STATES!A:A,"NM",STATES!J:J)</f>
        <v>60</v>
      </c>
      <c r="K12" s="402" t="s">
        <v>2395</v>
      </c>
      <c r="L12" s="426">
        <v>1951</v>
      </c>
      <c r="M12" s="408">
        <f ca="1">SUMIF(STATES!A:A,K12,STATES!J:J)</f>
        <v>61</v>
      </c>
    </row>
    <row r="13" spans="1:13">
      <c r="B13" s="405" t="s">
        <v>2144</v>
      </c>
      <c r="C13" s="422">
        <v>1863</v>
      </c>
      <c r="D13" s="411">
        <f ca="1">SUMIF(STATES!A:A,B13,STATES!J:J)</f>
        <v>79</v>
      </c>
      <c r="E13" s="402" t="s">
        <v>2206</v>
      </c>
      <c r="F13" s="426">
        <v>361</v>
      </c>
      <c r="G13" s="408">
        <f ca="1">SUMIF(STATES!A:A,E13,STATES!J:J)</f>
        <v>15</v>
      </c>
      <c r="H13" s="405" t="s">
        <v>2526</v>
      </c>
      <c r="I13" s="422">
        <v>672</v>
      </c>
      <c r="J13" s="411">
        <f ca="1">SUMIF(STATES!A:A,"NV",STATES!J:J)</f>
        <v>36</v>
      </c>
      <c r="K13" s="402" t="s">
        <v>2139</v>
      </c>
      <c r="L13" s="426">
        <v>943</v>
      </c>
      <c r="M13" s="408">
        <f ca="1">SUMIF(STATES!A:A,K13,STATES!J:J)</f>
        <v>40</v>
      </c>
    </row>
    <row r="14" spans="1:13">
      <c r="B14" s="405" t="s">
        <v>2363</v>
      </c>
      <c r="C14" s="422">
        <v>637</v>
      </c>
      <c r="D14" s="411">
        <f ca="1">SUMIF(STATES!A:A,B14,STATES!J:J)</f>
        <v>22</v>
      </c>
      <c r="E14" s="402" t="s">
        <v>2446</v>
      </c>
      <c r="F14" s="426">
        <v>1149</v>
      </c>
      <c r="G14" s="408">
        <f ca="1">SUMIF(STATES!A:A,E14,STATES!J:J)</f>
        <v>58</v>
      </c>
      <c r="H14" s="405" t="s">
        <v>6951</v>
      </c>
      <c r="I14" s="422">
        <v>2</v>
      </c>
      <c r="J14" s="411">
        <f ca="1">SUMIF(STATES!A:A,"PR",STATES!J:J)</f>
        <v>1</v>
      </c>
      <c r="K14" s="402" t="s">
        <v>2675</v>
      </c>
      <c r="L14" s="426">
        <v>878</v>
      </c>
      <c r="M14" s="408">
        <f ca="1">SUMIF(STATES!A:A,K14,STATES!J:J)</f>
        <v>30</v>
      </c>
    </row>
    <row r="15" spans="1:13">
      <c r="B15" s="405" t="s">
        <v>2072</v>
      </c>
      <c r="C15" s="422">
        <v>3734</v>
      </c>
      <c r="D15" s="411">
        <f ca="1">SUMIF(STATES!A:A,B15,STATES!J:J)</f>
        <v>175</v>
      </c>
      <c r="E15" s="402" t="s">
        <v>2413</v>
      </c>
      <c r="F15" s="426">
        <v>1669</v>
      </c>
      <c r="G15" s="408">
        <f ca="1">SUMIF(STATES!A:A,E15,STATES!J:J)</f>
        <v>79</v>
      </c>
      <c r="H15" s="405"/>
      <c r="I15" s="422"/>
      <c r="J15" s="411"/>
      <c r="K15" s="402" t="s">
        <v>4512</v>
      </c>
      <c r="L15" s="426">
        <v>538</v>
      </c>
      <c r="M15" s="408">
        <f ca="1">SUMIF(STATES!A:A,K15,STATES!J:J)</f>
        <v>21</v>
      </c>
    </row>
    <row r="16" spans="1:13">
      <c r="B16" s="405" t="s">
        <v>2185</v>
      </c>
      <c r="C16" s="422">
        <v>2251</v>
      </c>
      <c r="D16" s="411">
        <f ca="1">SUMIF(STATES!A:A,B16,STATES!J:J)</f>
        <v>139</v>
      </c>
      <c r="E16" s="402" t="s">
        <v>2174</v>
      </c>
      <c r="F16" s="426">
        <v>4102</v>
      </c>
      <c r="G16" s="408">
        <f ca="1">SUMIF(STATES!A:A,E16,STATES!J:J)</f>
        <v>216</v>
      </c>
      <c r="H16" s="405"/>
      <c r="I16" s="422"/>
      <c r="J16" s="411"/>
      <c r="K16" s="402" t="s">
        <v>65</v>
      </c>
      <c r="L16" s="426">
        <v>2937</v>
      </c>
      <c r="M16" s="408">
        <f ca="1">SUMIF(STATES!A:A,K16,STATES!J:J)</f>
        <v>99</v>
      </c>
    </row>
    <row r="17" spans="2:13">
      <c r="B17" s="405" t="s">
        <v>2077</v>
      </c>
      <c r="C17" s="422">
        <v>434</v>
      </c>
      <c r="D17" s="411">
        <f ca="1">SUMIF(STATES!A:A,B17,STATES!J:J)</f>
        <v>27</v>
      </c>
      <c r="E17" s="402" t="s">
        <v>2255</v>
      </c>
      <c r="F17" s="426">
        <v>357</v>
      </c>
      <c r="G17" s="408">
        <f ca="1">SUMIF(STATES!A:A,E17,STATES!J:J)</f>
        <v>25</v>
      </c>
      <c r="H17" s="405"/>
      <c r="I17" s="422"/>
      <c r="J17" s="411"/>
      <c r="K17" s="402" t="s">
        <v>2064</v>
      </c>
      <c r="L17" s="426">
        <v>1900</v>
      </c>
      <c r="M17" s="408">
        <f ca="1">SUMIF(STATES!A:A,K17,STATES!J:J)</f>
        <v>87</v>
      </c>
    </row>
    <row r="18" spans="2:13">
      <c r="B18" s="405" t="s">
        <v>6952</v>
      </c>
      <c r="C18" s="422">
        <v>115</v>
      </c>
      <c r="D18" s="411">
        <f ca="1">SUMIF(STATES!A:A,B18,STATES!J:J)</f>
        <v>2</v>
      </c>
      <c r="E18" s="402" t="s">
        <v>2055</v>
      </c>
      <c r="F18" s="426">
        <v>3357</v>
      </c>
      <c r="G18" s="408">
        <f ca="1">SUMIF(STATES!A:A,E18,STATES!J:J)</f>
        <v>215</v>
      </c>
      <c r="H18" s="405"/>
      <c r="I18" s="422"/>
      <c r="J18" s="411"/>
      <c r="K18" s="402" t="s">
        <v>2428</v>
      </c>
      <c r="L18" s="426">
        <v>280</v>
      </c>
      <c r="M18" s="408">
        <f ca="1">SUMIF(STATES!A:A,K18,STATES!J:J)</f>
        <v>7</v>
      </c>
    </row>
    <row r="19" spans="2:13">
      <c r="B19" s="405" t="s">
        <v>2118</v>
      </c>
      <c r="C19" s="422">
        <v>463</v>
      </c>
      <c r="D19" s="411">
        <f ca="1">SUMIF(STATES!A:A,B19,STATES!J:J)</f>
        <v>22</v>
      </c>
      <c r="E19" s="402" t="s">
        <v>2266</v>
      </c>
      <c r="F19" s="426">
        <v>301</v>
      </c>
      <c r="G19" s="408">
        <f ca="1">SUMIF(STATES!A:A,E19,STATES!J:J)</f>
        <v>24</v>
      </c>
      <c r="H19" s="405"/>
      <c r="I19" s="422"/>
      <c r="J19" s="411"/>
      <c r="K19" s="402" t="s">
        <v>2176</v>
      </c>
      <c r="L19" s="426">
        <v>2867</v>
      </c>
      <c r="M19" s="408">
        <f ca="1">SUMIF(STATES!A:A,K19,STATES!J:J)</f>
        <v>130</v>
      </c>
    </row>
    <row r="20" spans="2:13">
      <c r="B20" s="405" t="s">
        <v>2129</v>
      </c>
      <c r="C20" s="422">
        <v>3117</v>
      </c>
      <c r="D20" s="411">
        <f ca="1">SUMIF(STATES!A:A,B20,STATES!J:J)</f>
        <v>75</v>
      </c>
      <c r="E20" s="402"/>
      <c r="F20" s="426"/>
      <c r="G20" s="408"/>
      <c r="H20" s="405"/>
      <c r="I20" s="422"/>
      <c r="J20" s="411"/>
      <c r="K20" s="402" t="s">
        <v>2069</v>
      </c>
      <c r="L20" s="426">
        <v>3534</v>
      </c>
      <c r="M20" s="408">
        <f ca="1">SUMIF(STATES!A:A,K20,STATES!J:J)</f>
        <v>171</v>
      </c>
    </row>
    <row r="21" spans="2:13">
      <c r="B21" s="405" t="s">
        <v>2112</v>
      </c>
      <c r="C21" s="422">
        <v>5803</v>
      </c>
      <c r="D21" s="411">
        <f ca="1">SUMIF(STATES!A:A,B21,STATES!J:J)</f>
        <v>172</v>
      </c>
      <c r="E21" s="402"/>
      <c r="F21" s="426"/>
      <c r="G21" s="408"/>
      <c r="H21" s="405"/>
      <c r="I21" s="422"/>
      <c r="J21" s="411"/>
      <c r="K21" s="402"/>
      <c r="L21" s="426"/>
      <c r="M21" s="408"/>
    </row>
    <row r="22" spans="2:13">
      <c r="B22" s="405" t="s">
        <v>2106</v>
      </c>
      <c r="C22" s="422">
        <v>5244</v>
      </c>
      <c r="D22" s="411">
        <f ca="1">SUMIF(STATES!A:A,B22,STATES!J:J)</f>
        <v>164</v>
      </c>
      <c r="E22" s="402"/>
      <c r="F22" s="426"/>
      <c r="G22" s="408"/>
      <c r="H22" s="405"/>
      <c r="I22" s="422"/>
      <c r="J22" s="411"/>
      <c r="K22" s="402"/>
      <c r="L22" s="426"/>
      <c r="M22" s="408"/>
    </row>
    <row r="23" spans="2:13">
      <c r="B23" s="405" t="s">
        <v>2419</v>
      </c>
      <c r="C23" s="422">
        <v>175</v>
      </c>
      <c r="D23" s="411">
        <f ca="1">SUMIF(STATES!A:A,B23,STATES!J:J)</f>
        <v>11</v>
      </c>
      <c r="E23" s="402"/>
      <c r="F23" s="426"/>
      <c r="G23" s="408"/>
      <c r="H23" s="405"/>
      <c r="I23" s="422"/>
      <c r="J23" s="411"/>
      <c r="K23" s="402"/>
      <c r="L23" s="426"/>
      <c r="M23" s="408"/>
    </row>
    <row r="24" spans="2:13">
      <c r="B24" s="405" t="s">
        <v>2638</v>
      </c>
      <c r="C24" s="422">
        <v>690</v>
      </c>
      <c r="D24" s="411">
        <f ca="1">SUMIF(STATES!A:A,B24,STATES!J:J)</f>
        <v>35</v>
      </c>
      <c r="E24" s="402"/>
      <c r="F24" s="426"/>
      <c r="G24" s="408"/>
      <c r="H24" s="405"/>
      <c r="I24" s="422"/>
      <c r="J24" s="411"/>
      <c r="K24" s="402"/>
      <c r="L24" s="426"/>
      <c r="M24" s="408"/>
    </row>
    <row r="25" spans="2:13">
      <c r="B25" s="405" t="s">
        <v>2274</v>
      </c>
      <c r="C25" s="422">
        <v>2619</v>
      </c>
      <c r="D25" s="411">
        <f ca="1">SUMIF(STATES!A:A,B25,STATES!J:J)</f>
        <v>169</v>
      </c>
      <c r="E25" s="402"/>
      <c r="F25" s="426"/>
      <c r="G25" s="408"/>
      <c r="H25" s="405"/>
      <c r="I25" s="422"/>
      <c r="J25" s="411"/>
      <c r="K25" s="402"/>
      <c r="L25" s="426"/>
      <c r="M25" s="408"/>
    </row>
    <row r="26" spans="2:13" ht="15" thickBot="1">
      <c r="B26" s="406" t="s">
        <v>2972</v>
      </c>
      <c r="C26" s="423">
        <v>152</v>
      </c>
      <c r="D26" s="412">
        <f ca="1">SUMIF(STATES!A:A,B26,STATES!J:J)</f>
        <v>14</v>
      </c>
      <c r="E26" s="403"/>
      <c r="F26" s="427"/>
      <c r="G26" s="409"/>
      <c r="H26" s="406"/>
      <c r="I26" s="423"/>
      <c r="J26" s="412"/>
      <c r="K26" s="403"/>
      <c r="L26" s="427"/>
      <c r="M26" s="409"/>
    </row>
    <row r="27" spans="2:13">
      <c r="F27" s="399"/>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2C331-E688-4C8A-9E4F-5BCCC43F963D}">
  <sheetPr>
    <pageSetUpPr autoPageBreaks="0"/>
  </sheetPr>
  <dimension ref="A1:BP6090"/>
  <sheetViews>
    <sheetView zoomScale="70" zoomScaleNormal="70" workbookViewId="0">
      <selection sqref="A1:XFD1048576"/>
    </sheetView>
  </sheetViews>
  <sheetFormatPr defaultRowHeight="14.45"/>
  <cols>
    <col min="1" max="1" width="15" bestFit="1" customWidth="1"/>
    <col min="2" max="2" width="10.140625" bestFit="1" customWidth="1"/>
    <col min="3" max="3" width="25.42578125" bestFit="1" customWidth="1"/>
    <col min="4" max="4" width="13.85546875" bestFit="1" customWidth="1"/>
    <col min="5" max="5" width="19.7109375" bestFit="1" customWidth="1"/>
    <col min="6" max="6" width="13.7109375" bestFit="1" customWidth="1"/>
    <col min="7" max="7" width="19.5703125" bestFit="1" customWidth="1"/>
    <col min="8" max="8" width="13.5703125" bestFit="1" customWidth="1"/>
    <col min="9" max="9" width="19.42578125" bestFit="1" customWidth="1"/>
    <col min="10" max="10" width="15.28515625" bestFit="1" customWidth="1"/>
    <col min="11" max="11" width="21.140625" bestFit="1" customWidth="1"/>
    <col min="12" max="12" width="14.5703125" bestFit="1" customWidth="1"/>
    <col min="13" max="13" width="20.42578125" bestFit="1" customWidth="1"/>
    <col min="14" max="14" width="15.28515625" bestFit="1" customWidth="1"/>
    <col min="15" max="15" width="21.140625" bestFit="1" customWidth="1"/>
    <col min="16" max="16" width="22.85546875" bestFit="1" customWidth="1"/>
    <col min="17" max="17" width="25.28515625" bestFit="1" customWidth="1"/>
    <col min="18" max="18" width="12.140625" bestFit="1" customWidth="1"/>
    <col min="19" max="19" width="4.7109375" bestFit="1" customWidth="1"/>
    <col min="20" max="20" width="10.85546875" bestFit="1" customWidth="1"/>
    <col min="21" max="21" width="18.28515625" bestFit="1" customWidth="1"/>
    <col min="22" max="22" width="19.5703125" bestFit="1" customWidth="1"/>
    <col min="23" max="23" width="14.85546875" bestFit="1" customWidth="1"/>
    <col min="24" max="24" width="25.42578125" bestFit="1" customWidth="1"/>
    <col min="25" max="25" width="13.85546875" bestFit="1" customWidth="1"/>
    <col min="26" max="26" width="34.42578125" bestFit="1" customWidth="1"/>
    <col min="27" max="27" width="35.85546875" bestFit="1" customWidth="1"/>
    <col min="28" max="28" width="22.140625" bestFit="1" customWidth="1"/>
    <col min="29" max="29" width="24.28515625" bestFit="1" customWidth="1"/>
    <col min="30" max="30" width="27.7109375" bestFit="1" customWidth="1"/>
    <col min="31" max="31" width="23.28515625" bestFit="1" customWidth="1"/>
    <col min="32" max="32" width="51.140625" bestFit="1" customWidth="1"/>
    <col min="33" max="33" width="30.140625" bestFit="1" customWidth="1"/>
    <col min="34" max="34" width="29.42578125" bestFit="1" customWidth="1"/>
    <col min="35" max="35" width="35.7109375" bestFit="1" customWidth="1"/>
    <col min="36" max="36" width="45.85546875" bestFit="1" customWidth="1"/>
    <col min="37" max="37" width="30.42578125" bestFit="1" customWidth="1"/>
    <col min="38" max="38" width="35.140625" bestFit="1" customWidth="1"/>
    <col min="39" max="39" width="23.85546875" bestFit="1" customWidth="1"/>
    <col min="40" max="40" width="7.140625" bestFit="1" customWidth="1"/>
    <col min="41" max="41" width="11.5703125" bestFit="1" customWidth="1"/>
    <col min="42" max="42" width="9.7109375" bestFit="1" customWidth="1"/>
    <col min="43" max="43" width="40.28515625" bestFit="1" customWidth="1"/>
    <col min="44" max="44" width="38.5703125" bestFit="1" customWidth="1"/>
    <col min="45" max="45" width="21.140625" bestFit="1" customWidth="1"/>
    <col min="46" max="46" width="11.42578125" bestFit="1" customWidth="1"/>
    <col min="47" max="47" width="22.7109375" bestFit="1" customWidth="1"/>
    <col min="48" max="48" width="15.140625" bestFit="1" customWidth="1"/>
    <col min="49" max="49" width="11.42578125" bestFit="1" customWidth="1"/>
    <col min="50" max="50" width="33.42578125" bestFit="1" customWidth="1"/>
    <col min="51" max="51" width="14.7109375" bestFit="1" customWidth="1"/>
    <col min="52" max="52" width="11.42578125" bestFit="1" customWidth="1"/>
    <col min="53" max="53" width="27.85546875" bestFit="1" customWidth="1"/>
    <col min="54" max="54" width="14.28515625" bestFit="1" customWidth="1"/>
    <col min="55" max="55" width="5.7109375" bestFit="1" customWidth="1"/>
    <col min="56" max="56" width="16.28515625" bestFit="1" customWidth="1"/>
    <col min="57" max="57" width="23.7109375" bestFit="1" customWidth="1"/>
    <col min="58" max="58" width="21.85546875" bestFit="1" customWidth="1"/>
    <col min="59" max="59" width="24.140625" bestFit="1" customWidth="1"/>
    <col min="60" max="60" width="26.28515625" bestFit="1" customWidth="1"/>
    <col min="61" max="61" width="18.7109375" bestFit="1" customWidth="1"/>
    <col min="62" max="62" width="15.140625" bestFit="1" customWidth="1"/>
    <col min="63" max="63" width="20.28515625" bestFit="1" customWidth="1"/>
    <col min="64" max="64" width="14.5703125" bestFit="1" customWidth="1"/>
    <col min="65" max="65" width="7" bestFit="1" customWidth="1"/>
    <col min="66" max="66" width="15.5703125" bestFit="1" customWidth="1"/>
    <col min="67" max="67" width="10.28515625" bestFit="1" customWidth="1"/>
    <col min="68" max="68" width="16.42578125" bestFit="1" customWidth="1"/>
  </cols>
  <sheetData>
    <row r="1" spans="1:68">
      <c r="A1" t="s">
        <v>6953</v>
      </c>
      <c r="B1" t="s">
        <v>6954</v>
      </c>
      <c r="C1" t="s">
        <v>6955</v>
      </c>
      <c r="D1" t="s">
        <v>6956</v>
      </c>
      <c r="E1" t="s">
        <v>6957</v>
      </c>
      <c r="F1" t="s">
        <v>6958</v>
      </c>
      <c r="G1" t="s">
        <v>6959</v>
      </c>
      <c r="H1" t="s">
        <v>6960</v>
      </c>
      <c r="I1" t="s">
        <v>6961</v>
      </c>
      <c r="J1" t="s">
        <v>6962</v>
      </c>
      <c r="K1" t="s">
        <v>6963</v>
      </c>
      <c r="L1" t="s">
        <v>6964</v>
      </c>
      <c r="M1" t="s">
        <v>6965</v>
      </c>
      <c r="N1" t="s">
        <v>6966</v>
      </c>
      <c r="O1" t="s">
        <v>6967</v>
      </c>
      <c r="P1" t="s">
        <v>6968</v>
      </c>
      <c r="Q1" t="s">
        <v>6969</v>
      </c>
      <c r="R1" t="s">
        <v>6970</v>
      </c>
      <c r="S1" t="s">
        <v>6971</v>
      </c>
      <c r="T1" t="s">
        <v>6972</v>
      </c>
      <c r="U1" t="s">
        <v>6973</v>
      </c>
      <c r="V1" t="s">
        <v>6974</v>
      </c>
      <c r="W1" t="s">
        <v>6975</v>
      </c>
      <c r="X1" t="s">
        <v>6976</v>
      </c>
      <c r="Y1" t="s">
        <v>6977</v>
      </c>
      <c r="Z1" t="s">
        <v>6978</v>
      </c>
      <c r="AA1" t="s">
        <v>6979</v>
      </c>
      <c r="AB1" t="s">
        <v>6980</v>
      </c>
      <c r="AC1" t="s">
        <v>6981</v>
      </c>
      <c r="AD1" t="s">
        <v>6982</v>
      </c>
      <c r="AE1" t="s">
        <v>6983</v>
      </c>
      <c r="AF1" t="s">
        <v>6984</v>
      </c>
      <c r="AG1" t="s">
        <v>6985</v>
      </c>
      <c r="AH1" t="s">
        <v>6986</v>
      </c>
      <c r="AI1" t="s">
        <v>6987</v>
      </c>
      <c r="AJ1" t="s">
        <v>6988</v>
      </c>
      <c r="AK1" t="s">
        <v>6989</v>
      </c>
      <c r="AL1" t="s">
        <v>6990</v>
      </c>
      <c r="AM1" t="s">
        <v>5273</v>
      </c>
      <c r="AN1" t="s">
        <v>5274</v>
      </c>
      <c r="AO1" t="s">
        <v>6991</v>
      </c>
      <c r="AP1" t="s">
        <v>6992</v>
      </c>
      <c r="AQ1" t="s">
        <v>6993</v>
      </c>
      <c r="AR1" t="s">
        <v>6994</v>
      </c>
      <c r="AS1" t="s">
        <v>6995</v>
      </c>
      <c r="AT1" t="s">
        <v>6996</v>
      </c>
      <c r="AU1" t="s">
        <v>6997</v>
      </c>
      <c r="AV1" t="s">
        <v>6998</v>
      </c>
      <c r="AW1" t="s">
        <v>6999</v>
      </c>
      <c r="AX1" t="s">
        <v>7000</v>
      </c>
      <c r="AY1" t="s">
        <v>7001</v>
      </c>
      <c r="AZ1" t="s">
        <v>7002</v>
      </c>
      <c r="BA1" t="s">
        <v>7003</v>
      </c>
      <c r="BB1" t="s">
        <v>7004</v>
      </c>
      <c r="BC1" t="s">
        <v>7005</v>
      </c>
      <c r="BD1" t="s">
        <v>7006</v>
      </c>
      <c r="BE1" t="s">
        <v>7007</v>
      </c>
      <c r="BF1" t="s">
        <v>7008</v>
      </c>
      <c r="BG1" t="s">
        <v>7009</v>
      </c>
      <c r="BH1" t="s">
        <v>7010</v>
      </c>
      <c r="BI1" t="s">
        <v>7011</v>
      </c>
      <c r="BJ1" t="s">
        <v>7012</v>
      </c>
      <c r="BK1" t="s">
        <v>7013</v>
      </c>
      <c r="BL1" t="s">
        <v>7014</v>
      </c>
      <c r="BM1" t="s">
        <v>7015</v>
      </c>
      <c r="BN1" t="s">
        <v>7016</v>
      </c>
      <c r="BO1" t="s">
        <v>5276</v>
      </c>
      <c r="BP1" t="s">
        <v>7017</v>
      </c>
    </row>
    <row r="2" spans="1:68">
      <c r="A2">
        <v>6296</v>
      </c>
      <c r="B2">
        <v>6296</v>
      </c>
      <c r="C2" t="s">
        <v>7018</v>
      </c>
      <c r="D2" t="s">
        <v>595</v>
      </c>
      <c r="E2" s="184">
        <v>43745</v>
      </c>
      <c r="P2" t="s">
        <v>7019</v>
      </c>
      <c r="Q2" t="s">
        <v>7020</v>
      </c>
      <c r="R2" s="184">
        <v>14691</v>
      </c>
      <c r="S2">
        <v>84</v>
      </c>
      <c r="V2" t="s">
        <v>4083</v>
      </c>
      <c r="W2" t="s">
        <v>2963</v>
      </c>
      <c r="X2" t="s">
        <v>2962</v>
      </c>
      <c r="AF2" t="s">
        <v>7021</v>
      </c>
      <c r="AG2" t="s">
        <v>4083</v>
      </c>
      <c r="AI2" t="s">
        <v>7022</v>
      </c>
      <c r="AM2" t="s">
        <v>4084</v>
      </c>
      <c r="AN2" t="s">
        <v>2052</v>
      </c>
      <c r="AO2" t="s">
        <v>7023</v>
      </c>
      <c r="AP2" t="s">
        <v>7024</v>
      </c>
      <c r="AQ2" t="s">
        <v>7025</v>
      </c>
      <c r="AR2" t="s">
        <v>7026</v>
      </c>
      <c r="AT2" s="184">
        <v>30504</v>
      </c>
      <c r="AU2" t="s">
        <v>7027</v>
      </c>
      <c r="AV2">
        <v>18</v>
      </c>
      <c r="AW2" s="184">
        <v>44810</v>
      </c>
      <c r="AX2" t="s">
        <v>7028</v>
      </c>
      <c r="AY2">
        <v>60</v>
      </c>
      <c r="AZ2" s="184">
        <v>44810</v>
      </c>
      <c r="BA2" t="s">
        <v>7028</v>
      </c>
      <c r="BB2">
        <v>60</v>
      </c>
      <c r="BC2">
        <v>89</v>
      </c>
      <c r="BD2">
        <v>2303.4</v>
      </c>
      <c r="BE2">
        <v>1984</v>
      </c>
      <c r="BF2">
        <v>98</v>
      </c>
      <c r="BG2">
        <v>3</v>
      </c>
      <c r="BH2">
        <v>160</v>
      </c>
      <c r="BI2">
        <v>37</v>
      </c>
      <c r="BJ2">
        <v>42</v>
      </c>
      <c r="BK2">
        <v>14</v>
      </c>
    </row>
    <row r="3" spans="1:68">
      <c r="A3">
        <v>6510</v>
      </c>
      <c r="B3">
        <v>6510</v>
      </c>
      <c r="C3" t="s">
        <v>7018</v>
      </c>
      <c r="N3" t="s">
        <v>595</v>
      </c>
      <c r="O3" s="184">
        <v>38883</v>
      </c>
      <c r="P3" t="s">
        <v>7029</v>
      </c>
      <c r="Q3" t="s">
        <v>7030</v>
      </c>
      <c r="R3" s="184">
        <v>14420</v>
      </c>
      <c r="S3">
        <v>84</v>
      </c>
      <c r="U3" t="s">
        <v>7031</v>
      </c>
      <c r="V3" t="s">
        <v>2724</v>
      </c>
      <c r="W3" t="s">
        <v>4382</v>
      </c>
      <c r="X3" t="s">
        <v>5563</v>
      </c>
      <c r="Z3">
        <v>100006233</v>
      </c>
      <c r="AA3" t="s">
        <v>7032</v>
      </c>
      <c r="AB3" t="s">
        <v>5562</v>
      </c>
      <c r="AC3" t="s">
        <v>4013</v>
      </c>
      <c r="AD3" t="s">
        <v>5563</v>
      </c>
      <c r="AF3" t="s">
        <v>7033</v>
      </c>
      <c r="AG3" t="s">
        <v>7034</v>
      </c>
      <c r="AI3" t="s">
        <v>7035</v>
      </c>
      <c r="AM3" t="s">
        <v>7036</v>
      </c>
      <c r="AN3" t="s">
        <v>2201</v>
      </c>
      <c r="AO3" t="s">
        <v>7037</v>
      </c>
      <c r="AP3" t="s">
        <v>7024</v>
      </c>
      <c r="AQ3" t="s">
        <v>7038</v>
      </c>
      <c r="AR3" t="s">
        <v>7039</v>
      </c>
      <c r="AT3" s="184">
        <v>31000</v>
      </c>
      <c r="AU3" t="s">
        <v>7040</v>
      </c>
      <c r="AV3">
        <v>18</v>
      </c>
      <c r="AW3" s="184">
        <v>44568</v>
      </c>
      <c r="AX3" t="s">
        <v>7041</v>
      </c>
      <c r="AY3">
        <v>1000</v>
      </c>
      <c r="AZ3" s="184">
        <v>42079</v>
      </c>
      <c r="BA3" t="s">
        <v>7042</v>
      </c>
      <c r="BB3">
        <v>20000</v>
      </c>
      <c r="BC3">
        <v>88</v>
      </c>
      <c r="BD3">
        <v>40879</v>
      </c>
      <c r="BE3">
        <v>1985</v>
      </c>
      <c r="BF3">
        <v>53</v>
      </c>
      <c r="BI3">
        <v>36</v>
      </c>
      <c r="BJ3">
        <v>41</v>
      </c>
      <c r="BK3">
        <v>23</v>
      </c>
      <c r="BM3" t="s">
        <v>595</v>
      </c>
    </row>
    <row r="4" spans="1:68">
      <c r="A4">
        <v>100006233</v>
      </c>
      <c r="B4">
        <v>6510</v>
      </c>
      <c r="C4" t="s">
        <v>7018</v>
      </c>
      <c r="E4" s="184"/>
      <c r="N4" t="s">
        <v>595</v>
      </c>
      <c r="O4" s="184">
        <v>38883</v>
      </c>
      <c r="P4" t="s">
        <v>7029</v>
      </c>
      <c r="Q4" t="s">
        <v>7030</v>
      </c>
      <c r="R4" s="184">
        <v>12849</v>
      </c>
      <c r="S4">
        <v>89</v>
      </c>
      <c r="U4" t="s">
        <v>7032</v>
      </c>
      <c r="V4" t="s">
        <v>5562</v>
      </c>
      <c r="W4" t="s">
        <v>4013</v>
      </c>
      <c r="X4" t="s">
        <v>5563</v>
      </c>
      <c r="Z4">
        <v>6510</v>
      </c>
      <c r="AA4" t="s">
        <v>7031</v>
      </c>
      <c r="AB4" t="s">
        <v>2724</v>
      </c>
      <c r="AC4" t="s">
        <v>4382</v>
      </c>
      <c r="AD4" t="s">
        <v>5563</v>
      </c>
      <c r="AF4" t="s">
        <v>7033</v>
      </c>
      <c r="AG4" t="s">
        <v>7034</v>
      </c>
      <c r="AI4" t="s">
        <v>7035</v>
      </c>
      <c r="AM4" t="s">
        <v>7036</v>
      </c>
      <c r="AN4" t="s">
        <v>2201</v>
      </c>
      <c r="AO4" t="s">
        <v>7037</v>
      </c>
      <c r="AP4" t="s">
        <v>7024</v>
      </c>
      <c r="AQ4" t="s">
        <v>7043</v>
      </c>
      <c r="AT4" s="184">
        <v>44844</v>
      </c>
      <c r="AU4" t="s">
        <v>7044</v>
      </c>
      <c r="AV4">
        <v>20000</v>
      </c>
      <c r="AW4" s="184">
        <v>44844</v>
      </c>
      <c r="AX4" t="s">
        <v>7044</v>
      </c>
      <c r="AY4">
        <v>20000</v>
      </c>
      <c r="AZ4" s="184">
        <v>44844</v>
      </c>
      <c r="BA4" t="s">
        <v>7044</v>
      </c>
      <c r="BB4">
        <v>20000</v>
      </c>
      <c r="BC4">
        <v>34</v>
      </c>
      <c r="BD4">
        <v>20000</v>
      </c>
      <c r="BE4">
        <v>2023</v>
      </c>
      <c r="BF4">
        <v>1</v>
      </c>
      <c r="BG4">
        <v>1</v>
      </c>
      <c r="BH4">
        <v>20000</v>
      </c>
      <c r="BI4">
        <v>1</v>
      </c>
      <c r="BJ4">
        <v>3</v>
      </c>
      <c r="BK4">
        <v>1</v>
      </c>
    </row>
    <row r="5" spans="1:68">
      <c r="A5">
        <v>7898</v>
      </c>
      <c r="B5">
        <v>7898</v>
      </c>
      <c r="C5" t="s">
        <v>7018</v>
      </c>
      <c r="N5" t="s">
        <v>595</v>
      </c>
      <c r="O5" s="184">
        <v>35653</v>
      </c>
      <c r="P5" t="s">
        <v>7045</v>
      </c>
      <c r="Q5" t="s">
        <v>7020</v>
      </c>
      <c r="R5" s="184">
        <v>11722</v>
      </c>
      <c r="S5">
        <v>92</v>
      </c>
      <c r="U5" t="s">
        <v>7031</v>
      </c>
      <c r="V5" t="s">
        <v>5690</v>
      </c>
      <c r="W5" t="s">
        <v>7046</v>
      </c>
      <c r="X5" t="s">
        <v>3061</v>
      </c>
      <c r="Y5" t="s">
        <v>7047</v>
      </c>
      <c r="AF5" t="s">
        <v>7048</v>
      </c>
      <c r="AG5" t="s">
        <v>5690</v>
      </c>
      <c r="AI5" t="s">
        <v>7049</v>
      </c>
      <c r="AM5" t="s">
        <v>3627</v>
      </c>
      <c r="AN5" t="s">
        <v>2052</v>
      </c>
      <c r="AO5" t="s">
        <v>7050</v>
      </c>
      <c r="AP5" t="s">
        <v>7024</v>
      </c>
      <c r="AQ5" t="s">
        <v>7051</v>
      </c>
      <c r="AT5" s="184">
        <v>30698</v>
      </c>
      <c r="AU5" t="s">
        <v>7052</v>
      </c>
      <c r="AV5">
        <v>50</v>
      </c>
      <c r="AW5" s="184">
        <v>45211</v>
      </c>
      <c r="AX5" t="s">
        <v>7053</v>
      </c>
      <c r="AY5">
        <v>25</v>
      </c>
      <c r="AZ5" s="184">
        <v>35653</v>
      </c>
      <c r="BA5" t="s">
        <v>7054</v>
      </c>
      <c r="BB5">
        <v>18544.310000000001</v>
      </c>
      <c r="BC5">
        <v>96</v>
      </c>
      <c r="BD5">
        <v>24294.31</v>
      </c>
      <c r="BE5">
        <v>1984</v>
      </c>
      <c r="BF5">
        <v>93</v>
      </c>
      <c r="BG5">
        <v>2</v>
      </c>
      <c r="BH5">
        <v>90</v>
      </c>
      <c r="BI5">
        <v>39</v>
      </c>
      <c r="BJ5">
        <v>41</v>
      </c>
      <c r="BK5">
        <v>35</v>
      </c>
    </row>
    <row r="6" spans="1:68">
      <c r="A6">
        <v>12914</v>
      </c>
      <c r="B6">
        <v>12914</v>
      </c>
      <c r="C6" t="s">
        <v>7018</v>
      </c>
      <c r="H6" t="s">
        <v>595</v>
      </c>
      <c r="I6" s="184">
        <v>44949</v>
      </c>
      <c r="O6" s="184"/>
      <c r="P6" t="s">
        <v>7045</v>
      </c>
      <c r="Q6" t="s">
        <v>7020</v>
      </c>
      <c r="R6" s="184">
        <v>12905</v>
      </c>
      <c r="S6">
        <v>89</v>
      </c>
      <c r="V6" t="s">
        <v>2665</v>
      </c>
      <c r="X6" t="s">
        <v>7055</v>
      </c>
      <c r="Z6">
        <v>100006263</v>
      </c>
      <c r="AB6" t="s">
        <v>2586</v>
      </c>
      <c r="AD6" t="s">
        <v>7056</v>
      </c>
      <c r="AF6" t="s">
        <v>7057</v>
      </c>
      <c r="AG6" t="s">
        <v>7058</v>
      </c>
      <c r="AI6" t="s">
        <v>7059</v>
      </c>
      <c r="AM6" t="s">
        <v>3060</v>
      </c>
      <c r="AN6" t="s">
        <v>2255</v>
      </c>
      <c r="AO6" t="s">
        <v>7060</v>
      </c>
      <c r="AP6" t="s">
        <v>7024</v>
      </c>
      <c r="AQ6" t="s">
        <v>7061</v>
      </c>
      <c r="AR6" t="s">
        <v>7062</v>
      </c>
      <c r="AT6" s="184">
        <v>30573</v>
      </c>
      <c r="AU6" t="s">
        <v>7063</v>
      </c>
      <c r="AV6">
        <v>25</v>
      </c>
      <c r="AW6" s="184">
        <v>45110</v>
      </c>
      <c r="AX6" t="s">
        <v>7064</v>
      </c>
      <c r="AY6">
        <v>118</v>
      </c>
      <c r="AZ6" s="184">
        <v>45110</v>
      </c>
      <c r="BA6" t="s">
        <v>7064</v>
      </c>
      <c r="BB6">
        <v>118</v>
      </c>
      <c r="BC6">
        <v>70</v>
      </c>
      <c r="BD6">
        <v>2198</v>
      </c>
      <c r="BE6">
        <v>1984</v>
      </c>
      <c r="BF6">
        <v>42</v>
      </c>
      <c r="BG6">
        <v>2</v>
      </c>
      <c r="BH6">
        <v>218</v>
      </c>
      <c r="BI6">
        <v>29</v>
      </c>
      <c r="BJ6">
        <v>42</v>
      </c>
      <c r="BK6">
        <v>10</v>
      </c>
      <c r="BN6" t="s">
        <v>595</v>
      </c>
    </row>
    <row r="7" spans="1:68">
      <c r="A7">
        <v>100006263</v>
      </c>
      <c r="B7">
        <v>12914</v>
      </c>
      <c r="C7" t="s">
        <v>7018</v>
      </c>
      <c r="H7" t="s">
        <v>595</v>
      </c>
      <c r="I7" s="184">
        <v>44949</v>
      </c>
      <c r="O7" s="184"/>
      <c r="P7" t="s">
        <v>7045</v>
      </c>
      <c r="Q7" t="s">
        <v>7020</v>
      </c>
      <c r="R7" s="184">
        <v>12905</v>
      </c>
      <c r="S7">
        <v>89</v>
      </c>
      <c r="V7" t="s">
        <v>2586</v>
      </c>
      <c r="X7" t="s">
        <v>7056</v>
      </c>
      <c r="Z7">
        <v>12914</v>
      </c>
      <c r="AB7" t="s">
        <v>2665</v>
      </c>
      <c r="AD7" t="s">
        <v>7055</v>
      </c>
      <c r="AF7" t="s">
        <v>7057</v>
      </c>
      <c r="AG7" t="s">
        <v>7058</v>
      </c>
      <c r="AI7" t="s">
        <v>7059</v>
      </c>
      <c r="AM7" t="s">
        <v>3060</v>
      </c>
      <c r="AN7" t="s">
        <v>2255</v>
      </c>
      <c r="AO7" t="s">
        <v>7060</v>
      </c>
      <c r="AP7" t="s">
        <v>7024</v>
      </c>
      <c r="AQ7" t="s">
        <v>7065</v>
      </c>
      <c r="AR7" t="s">
        <v>7066</v>
      </c>
      <c r="AT7" s="184"/>
      <c r="AW7" s="184"/>
      <c r="AZ7" s="184"/>
    </row>
    <row r="8" spans="1:68">
      <c r="A8">
        <v>13169</v>
      </c>
      <c r="B8">
        <v>13169</v>
      </c>
      <c r="C8" t="s">
        <v>7018</v>
      </c>
      <c r="G8" s="184"/>
      <c r="I8" s="184"/>
      <c r="N8" t="s">
        <v>595</v>
      </c>
      <c r="O8" s="184">
        <v>40906</v>
      </c>
      <c r="P8" t="s">
        <v>7045</v>
      </c>
      <c r="Q8" t="s">
        <v>7020</v>
      </c>
      <c r="R8" s="184">
        <v>14172</v>
      </c>
      <c r="S8">
        <v>85</v>
      </c>
      <c r="V8" t="s">
        <v>2511</v>
      </c>
      <c r="W8" t="s">
        <v>7046</v>
      </c>
      <c r="X8" t="s">
        <v>2628</v>
      </c>
      <c r="Z8">
        <v>100006265</v>
      </c>
      <c r="AB8" t="s">
        <v>2541</v>
      </c>
      <c r="AC8" t="s">
        <v>7067</v>
      </c>
      <c r="AD8" t="s">
        <v>5461</v>
      </c>
      <c r="AF8" t="s">
        <v>7068</v>
      </c>
      <c r="AG8" t="s">
        <v>7069</v>
      </c>
      <c r="AI8" t="s">
        <v>7070</v>
      </c>
      <c r="AJ8" t="s">
        <v>7071</v>
      </c>
      <c r="AM8" t="s">
        <v>7072</v>
      </c>
      <c r="AN8" t="s">
        <v>2052</v>
      </c>
      <c r="AO8">
        <v>1960</v>
      </c>
      <c r="AP8" t="s">
        <v>7024</v>
      </c>
      <c r="AT8" s="184">
        <v>30795</v>
      </c>
      <c r="AU8" t="s">
        <v>7073</v>
      </c>
      <c r="AV8">
        <v>50</v>
      </c>
      <c r="AW8" s="184">
        <v>45168</v>
      </c>
      <c r="AX8" t="s">
        <v>7074</v>
      </c>
      <c r="AY8">
        <v>200</v>
      </c>
      <c r="AZ8" s="184">
        <v>40906</v>
      </c>
      <c r="BA8" t="s">
        <v>7075</v>
      </c>
      <c r="BB8">
        <v>40308</v>
      </c>
      <c r="BC8">
        <v>52</v>
      </c>
      <c r="BD8">
        <v>76788</v>
      </c>
      <c r="BE8">
        <v>1984</v>
      </c>
      <c r="BF8">
        <v>30</v>
      </c>
      <c r="BG8">
        <v>3</v>
      </c>
      <c r="BH8">
        <v>700</v>
      </c>
      <c r="BI8">
        <v>21</v>
      </c>
      <c r="BJ8">
        <v>41</v>
      </c>
      <c r="BK8">
        <v>10</v>
      </c>
    </row>
    <row r="9" spans="1:68">
      <c r="A9">
        <v>100006265</v>
      </c>
      <c r="B9">
        <v>13169</v>
      </c>
      <c r="C9" t="s">
        <v>7018</v>
      </c>
      <c r="I9" s="184"/>
      <c r="K9" s="184"/>
      <c r="N9" t="s">
        <v>595</v>
      </c>
      <c r="O9" s="184">
        <v>40906</v>
      </c>
      <c r="P9" t="s">
        <v>7045</v>
      </c>
      <c r="Q9" t="s">
        <v>7020</v>
      </c>
      <c r="R9" s="184">
        <v>16937</v>
      </c>
      <c r="S9">
        <v>78</v>
      </c>
      <c r="V9" t="s">
        <v>2541</v>
      </c>
      <c r="W9" t="s">
        <v>7067</v>
      </c>
      <c r="X9" t="s">
        <v>5461</v>
      </c>
      <c r="Z9">
        <v>13169</v>
      </c>
      <c r="AB9" t="s">
        <v>2511</v>
      </c>
      <c r="AC9" t="s">
        <v>7046</v>
      </c>
      <c r="AD9" t="s">
        <v>2628</v>
      </c>
      <c r="AF9" t="s">
        <v>7068</v>
      </c>
      <c r="AG9" t="s">
        <v>7069</v>
      </c>
      <c r="AI9" t="s">
        <v>7070</v>
      </c>
      <c r="AJ9" t="s">
        <v>7071</v>
      </c>
      <c r="AM9" t="s">
        <v>7072</v>
      </c>
      <c r="AN9" t="s">
        <v>2052</v>
      </c>
      <c r="AO9">
        <v>1960</v>
      </c>
      <c r="AP9" t="s">
        <v>7024</v>
      </c>
      <c r="AT9" s="184"/>
      <c r="AW9" s="184"/>
      <c r="AZ9" s="184"/>
      <c r="BP9" s="184"/>
    </row>
    <row r="10" spans="1:68">
      <c r="A10">
        <v>22301</v>
      </c>
      <c r="B10">
        <v>22301</v>
      </c>
      <c r="C10" t="s">
        <v>7018</v>
      </c>
      <c r="F10" t="s">
        <v>595</v>
      </c>
      <c r="G10" s="184">
        <v>43731</v>
      </c>
      <c r="O10" s="184"/>
      <c r="P10" t="s">
        <v>7045</v>
      </c>
      <c r="Q10" t="s">
        <v>7020</v>
      </c>
      <c r="R10" s="184">
        <v>17168</v>
      </c>
      <c r="S10">
        <v>77</v>
      </c>
      <c r="U10" t="s">
        <v>7076</v>
      </c>
      <c r="V10" t="s">
        <v>3317</v>
      </c>
      <c r="W10" t="s">
        <v>4139</v>
      </c>
      <c r="X10" t="s">
        <v>3852</v>
      </c>
      <c r="AF10" t="s">
        <v>7077</v>
      </c>
      <c r="AG10" t="s">
        <v>3317</v>
      </c>
      <c r="AI10" t="s">
        <v>7078</v>
      </c>
      <c r="AM10" t="s">
        <v>3853</v>
      </c>
      <c r="AN10" t="s">
        <v>2465</v>
      </c>
      <c r="AO10" t="s">
        <v>7079</v>
      </c>
      <c r="AP10" t="s">
        <v>7024</v>
      </c>
      <c r="AQ10" t="s">
        <v>7080</v>
      </c>
      <c r="AT10" s="184">
        <v>33053</v>
      </c>
      <c r="AU10" t="s">
        <v>7081</v>
      </c>
      <c r="AV10">
        <v>50</v>
      </c>
      <c r="AW10" s="184">
        <v>44972</v>
      </c>
      <c r="AX10" t="s">
        <v>7082</v>
      </c>
      <c r="AY10">
        <v>300</v>
      </c>
      <c r="AZ10" s="184">
        <v>40256</v>
      </c>
      <c r="BA10" t="s">
        <v>7083</v>
      </c>
      <c r="BB10">
        <v>1500</v>
      </c>
      <c r="BC10">
        <v>60</v>
      </c>
      <c r="BD10">
        <v>9575</v>
      </c>
      <c r="BE10">
        <v>1990</v>
      </c>
      <c r="BF10">
        <v>33</v>
      </c>
      <c r="BG10">
        <v>1</v>
      </c>
      <c r="BH10">
        <v>300</v>
      </c>
      <c r="BI10">
        <v>21</v>
      </c>
      <c r="BJ10">
        <v>35</v>
      </c>
      <c r="BK10">
        <v>7</v>
      </c>
    </row>
    <row r="11" spans="1:68">
      <c r="A11">
        <v>23614</v>
      </c>
      <c r="B11">
        <v>23614</v>
      </c>
      <c r="C11" t="s">
        <v>7018</v>
      </c>
      <c r="J11" t="s">
        <v>595</v>
      </c>
      <c r="K11" s="184">
        <v>44403</v>
      </c>
      <c r="O11" s="184"/>
      <c r="P11" t="s">
        <v>7084</v>
      </c>
      <c r="Q11" t="s">
        <v>7020</v>
      </c>
      <c r="R11" s="184">
        <v>10331</v>
      </c>
      <c r="S11">
        <v>96</v>
      </c>
      <c r="V11" t="s">
        <v>2523</v>
      </c>
      <c r="W11" t="s">
        <v>7085</v>
      </c>
      <c r="X11" t="s">
        <v>7086</v>
      </c>
      <c r="AF11" t="s">
        <v>7087</v>
      </c>
      <c r="AG11" t="s">
        <v>2523</v>
      </c>
      <c r="AI11" t="s">
        <v>7088</v>
      </c>
      <c r="AM11" t="s">
        <v>7089</v>
      </c>
      <c r="AN11" t="s">
        <v>2465</v>
      </c>
      <c r="AO11" t="s">
        <v>7090</v>
      </c>
      <c r="AP11" t="s">
        <v>7024</v>
      </c>
      <c r="AT11" s="184">
        <v>30504</v>
      </c>
      <c r="AU11" t="s">
        <v>7091</v>
      </c>
      <c r="AV11">
        <v>18</v>
      </c>
      <c r="AW11" s="184">
        <v>45321</v>
      </c>
      <c r="AX11" t="s">
        <v>7092</v>
      </c>
      <c r="AY11">
        <v>205.81</v>
      </c>
      <c r="AZ11" s="184">
        <v>44585</v>
      </c>
      <c r="BA11" t="s">
        <v>7093</v>
      </c>
      <c r="BB11">
        <v>475000</v>
      </c>
      <c r="BC11">
        <v>93</v>
      </c>
      <c r="BD11">
        <v>492291.36</v>
      </c>
      <c r="BE11">
        <v>1984</v>
      </c>
      <c r="BF11">
        <v>41</v>
      </c>
      <c r="BG11">
        <v>3</v>
      </c>
      <c r="BH11">
        <v>15905.22</v>
      </c>
      <c r="BI11">
        <v>39</v>
      </c>
      <c r="BJ11">
        <v>42</v>
      </c>
      <c r="BK11">
        <v>34</v>
      </c>
      <c r="BL11" t="s">
        <v>595</v>
      </c>
      <c r="BM11" t="s">
        <v>595</v>
      </c>
      <c r="BO11" t="s">
        <v>595</v>
      </c>
      <c r="BP11" s="184">
        <v>44231</v>
      </c>
    </row>
    <row r="12" spans="1:68">
      <c r="A12">
        <v>25726</v>
      </c>
      <c r="B12">
        <v>25726</v>
      </c>
      <c r="C12" t="s">
        <v>7018</v>
      </c>
      <c r="E12" s="184"/>
      <c r="G12" s="184"/>
      <c r="N12" t="s">
        <v>595</v>
      </c>
      <c r="O12" s="184">
        <v>42517</v>
      </c>
      <c r="P12" t="s">
        <v>7045</v>
      </c>
      <c r="Q12" t="s">
        <v>7020</v>
      </c>
      <c r="R12" s="184">
        <v>10438</v>
      </c>
      <c r="S12">
        <v>95</v>
      </c>
      <c r="U12" t="s">
        <v>7094</v>
      </c>
      <c r="V12" t="s">
        <v>5609</v>
      </c>
      <c r="W12" t="s">
        <v>5006</v>
      </c>
      <c r="X12" t="s">
        <v>5610</v>
      </c>
      <c r="AF12" t="s">
        <v>7095</v>
      </c>
      <c r="AG12" t="s">
        <v>5609</v>
      </c>
      <c r="AI12" t="s">
        <v>7096</v>
      </c>
      <c r="AM12" t="s">
        <v>5611</v>
      </c>
      <c r="AN12" t="s">
        <v>2363</v>
      </c>
      <c r="AO12" t="s">
        <v>7097</v>
      </c>
      <c r="AP12" t="s">
        <v>7024</v>
      </c>
      <c r="AT12" s="184">
        <v>30494</v>
      </c>
      <c r="AU12" t="s">
        <v>7098</v>
      </c>
      <c r="AV12">
        <v>18</v>
      </c>
      <c r="AW12" s="184">
        <v>44201</v>
      </c>
      <c r="AX12" t="s">
        <v>7099</v>
      </c>
      <c r="AY12">
        <v>25</v>
      </c>
      <c r="AZ12" s="184">
        <v>42517</v>
      </c>
      <c r="BA12" t="s">
        <v>7100</v>
      </c>
      <c r="BB12">
        <v>30000</v>
      </c>
      <c r="BC12">
        <v>67</v>
      </c>
      <c r="BD12">
        <v>30806.95</v>
      </c>
      <c r="BE12">
        <v>1983</v>
      </c>
      <c r="BF12">
        <v>46</v>
      </c>
      <c r="BI12">
        <v>28</v>
      </c>
      <c r="BJ12">
        <v>42</v>
      </c>
      <c r="BK12">
        <v>9</v>
      </c>
      <c r="BO12" t="s">
        <v>595</v>
      </c>
      <c r="BP12" s="184">
        <v>44888</v>
      </c>
    </row>
    <row r="13" spans="1:68">
      <c r="A13">
        <v>27870</v>
      </c>
      <c r="B13">
        <v>27870</v>
      </c>
      <c r="C13" t="s">
        <v>7018</v>
      </c>
      <c r="E13" s="184"/>
      <c r="K13" s="184"/>
      <c r="N13" t="s">
        <v>595</v>
      </c>
      <c r="O13" s="184">
        <v>43578</v>
      </c>
      <c r="P13" t="s">
        <v>7045</v>
      </c>
      <c r="Q13" t="s">
        <v>7020</v>
      </c>
      <c r="R13" s="184">
        <v>13218</v>
      </c>
      <c r="S13">
        <v>88</v>
      </c>
      <c r="U13" t="s">
        <v>7031</v>
      </c>
      <c r="V13" t="s">
        <v>2558</v>
      </c>
      <c r="X13" t="s">
        <v>2559</v>
      </c>
      <c r="AF13" t="s">
        <v>6505</v>
      </c>
      <c r="AG13" t="s">
        <v>2558</v>
      </c>
      <c r="AI13" t="s">
        <v>7101</v>
      </c>
      <c r="AM13" t="s">
        <v>2560</v>
      </c>
      <c r="AN13" t="s">
        <v>2363</v>
      </c>
      <c r="AO13" t="s">
        <v>7102</v>
      </c>
      <c r="AP13" t="s">
        <v>7024</v>
      </c>
      <c r="AQ13" t="s">
        <v>7103</v>
      </c>
      <c r="AT13" s="184">
        <v>31218</v>
      </c>
      <c r="AU13" t="s">
        <v>7104</v>
      </c>
      <c r="AV13">
        <v>18</v>
      </c>
      <c r="AW13" s="184">
        <v>45195</v>
      </c>
      <c r="AX13" t="s">
        <v>7105</v>
      </c>
      <c r="AY13">
        <v>15</v>
      </c>
      <c r="AZ13" s="184">
        <v>44133</v>
      </c>
      <c r="BA13" t="s">
        <v>7106</v>
      </c>
      <c r="BB13">
        <v>60</v>
      </c>
      <c r="BC13">
        <v>70</v>
      </c>
      <c r="BD13">
        <v>904.5</v>
      </c>
      <c r="BE13">
        <v>1985</v>
      </c>
      <c r="BF13">
        <v>53</v>
      </c>
      <c r="BG13">
        <v>2</v>
      </c>
      <c r="BH13">
        <v>30</v>
      </c>
      <c r="BI13">
        <v>28</v>
      </c>
      <c r="BJ13">
        <v>40</v>
      </c>
      <c r="BK13">
        <v>9</v>
      </c>
      <c r="BP13" s="184"/>
    </row>
    <row r="14" spans="1:68">
      <c r="A14">
        <v>29546</v>
      </c>
      <c r="B14">
        <v>29546</v>
      </c>
      <c r="C14" t="s">
        <v>7018</v>
      </c>
      <c r="D14" t="s">
        <v>595</v>
      </c>
      <c r="E14" s="184">
        <v>43866</v>
      </c>
      <c r="O14" s="184"/>
      <c r="P14" t="s">
        <v>7045</v>
      </c>
      <c r="Q14" t="s">
        <v>7020</v>
      </c>
      <c r="R14" s="184">
        <v>26846</v>
      </c>
      <c r="S14">
        <v>50</v>
      </c>
      <c r="V14" t="s">
        <v>3908</v>
      </c>
      <c r="W14" t="s">
        <v>7107</v>
      </c>
      <c r="X14" t="s">
        <v>2898</v>
      </c>
      <c r="AF14" t="s">
        <v>7108</v>
      </c>
      <c r="AG14" t="s">
        <v>3908</v>
      </c>
      <c r="AI14" t="s">
        <v>7109</v>
      </c>
      <c r="AM14" t="s">
        <v>4738</v>
      </c>
      <c r="AN14" t="s">
        <v>2255</v>
      </c>
      <c r="AO14" t="s">
        <v>7110</v>
      </c>
      <c r="AP14" t="s">
        <v>7024</v>
      </c>
      <c r="AQ14" t="s">
        <v>7111</v>
      </c>
      <c r="AT14" s="184">
        <v>31583</v>
      </c>
      <c r="AU14" t="s">
        <v>7073</v>
      </c>
      <c r="AV14">
        <v>25</v>
      </c>
      <c r="AW14" s="184">
        <v>45420</v>
      </c>
      <c r="AX14" t="s">
        <v>7112</v>
      </c>
      <c r="AY14">
        <v>10</v>
      </c>
      <c r="AZ14" s="184">
        <v>42563</v>
      </c>
      <c r="BA14" t="s">
        <v>7113</v>
      </c>
      <c r="BB14">
        <v>87</v>
      </c>
      <c r="BC14">
        <v>90</v>
      </c>
      <c r="BD14">
        <v>1649</v>
      </c>
      <c r="BE14">
        <v>1986</v>
      </c>
      <c r="BF14">
        <v>54</v>
      </c>
      <c r="BG14">
        <v>10</v>
      </c>
      <c r="BH14">
        <v>140</v>
      </c>
      <c r="BI14">
        <v>35</v>
      </c>
      <c r="BJ14">
        <v>39</v>
      </c>
      <c r="BK14">
        <v>27</v>
      </c>
      <c r="BP14" s="184"/>
    </row>
    <row r="15" spans="1:68">
      <c r="A15">
        <v>32623</v>
      </c>
      <c r="B15">
        <v>32623</v>
      </c>
      <c r="C15" t="s">
        <v>7018</v>
      </c>
      <c r="D15" t="s">
        <v>595</v>
      </c>
      <c r="E15" s="184">
        <v>43642</v>
      </c>
      <c r="O15" s="184"/>
      <c r="P15" t="s">
        <v>7045</v>
      </c>
      <c r="Q15" t="s">
        <v>7020</v>
      </c>
      <c r="R15" s="184">
        <v>17479</v>
      </c>
      <c r="S15">
        <v>76</v>
      </c>
      <c r="U15" t="s">
        <v>7076</v>
      </c>
      <c r="V15" t="s">
        <v>3072</v>
      </c>
      <c r="W15" t="s">
        <v>4139</v>
      </c>
      <c r="X15" t="s">
        <v>3073</v>
      </c>
      <c r="AF15" t="s">
        <v>7114</v>
      </c>
      <c r="AG15" t="s">
        <v>3072</v>
      </c>
      <c r="AI15" t="s">
        <v>7115</v>
      </c>
      <c r="AM15" t="s">
        <v>3074</v>
      </c>
      <c r="AN15" t="s">
        <v>2240</v>
      </c>
      <c r="AO15" t="s">
        <v>7116</v>
      </c>
      <c r="AP15" t="s">
        <v>7024</v>
      </c>
      <c r="AQ15" t="s">
        <v>7117</v>
      </c>
      <c r="AR15" t="s">
        <v>7118</v>
      </c>
      <c r="AT15" s="184">
        <v>30539</v>
      </c>
      <c r="AU15" t="s">
        <v>7119</v>
      </c>
      <c r="AV15">
        <v>10</v>
      </c>
      <c r="AW15" s="184">
        <v>45279</v>
      </c>
      <c r="AX15" t="s">
        <v>7120</v>
      </c>
      <c r="AY15">
        <v>15</v>
      </c>
      <c r="AZ15" s="184">
        <v>34988</v>
      </c>
      <c r="BA15" t="s">
        <v>7121</v>
      </c>
      <c r="BB15">
        <v>60</v>
      </c>
      <c r="BC15">
        <v>43</v>
      </c>
      <c r="BD15">
        <v>324</v>
      </c>
      <c r="BE15">
        <v>1984</v>
      </c>
      <c r="BF15">
        <v>20</v>
      </c>
      <c r="BG15">
        <v>1</v>
      </c>
      <c r="BH15">
        <v>15</v>
      </c>
      <c r="BI15">
        <v>18</v>
      </c>
      <c r="BJ15">
        <v>42</v>
      </c>
      <c r="BK15">
        <v>13</v>
      </c>
    </row>
    <row r="16" spans="1:68">
      <c r="A16">
        <v>35873</v>
      </c>
      <c r="B16">
        <v>35873</v>
      </c>
      <c r="C16" t="s">
        <v>7018</v>
      </c>
      <c r="D16" t="s">
        <v>595</v>
      </c>
      <c r="E16" s="184">
        <v>43970</v>
      </c>
      <c r="P16" t="s">
        <v>7045</v>
      </c>
      <c r="Q16" t="s">
        <v>7020</v>
      </c>
      <c r="R16" s="184">
        <v>19329</v>
      </c>
      <c r="S16">
        <v>71</v>
      </c>
      <c r="U16" t="s">
        <v>7031</v>
      </c>
      <c r="V16" t="s">
        <v>2724</v>
      </c>
      <c r="W16" t="s">
        <v>7046</v>
      </c>
      <c r="X16" t="s">
        <v>2657</v>
      </c>
      <c r="AF16" t="s">
        <v>7122</v>
      </c>
      <c r="AG16" t="s">
        <v>2724</v>
      </c>
      <c r="AI16" t="s">
        <v>7123</v>
      </c>
      <c r="AM16" t="s">
        <v>7124</v>
      </c>
      <c r="AN16" t="s">
        <v>2240</v>
      </c>
      <c r="AO16" t="s">
        <v>7125</v>
      </c>
      <c r="AP16" t="s">
        <v>7024</v>
      </c>
      <c r="AQ16" t="s">
        <v>7126</v>
      </c>
      <c r="AR16" t="s">
        <v>7127</v>
      </c>
      <c r="AT16" s="184">
        <v>30816</v>
      </c>
      <c r="AU16" t="s">
        <v>7073</v>
      </c>
      <c r="AV16">
        <v>18</v>
      </c>
      <c r="AW16" s="184">
        <v>45092</v>
      </c>
      <c r="AX16" t="s">
        <v>7128</v>
      </c>
      <c r="AY16">
        <v>150</v>
      </c>
      <c r="AZ16" s="184">
        <v>43549</v>
      </c>
      <c r="BA16" t="s">
        <v>7129</v>
      </c>
      <c r="BB16">
        <v>300</v>
      </c>
      <c r="BC16">
        <v>93</v>
      </c>
      <c r="BD16">
        <v>5647.5</v>
      </c>
      <c r="BE16">
        <v>1984</v>
      </c>
      <c r="BF16">
        <v>85</v>
      </c>
      <c r="BG16">
        <v>3</v>
      </c>
      <c r="BH16">
        <v>350</v>
      </c>
      <c r="BI16">
        <v>38</v>
      </c>
      <c r="BJ16">
        <v>41</v>
      </c>
      <c r="BK16">
        <v>22</v>
      </c>
    </row>
    <row r="17" spans="1:68">
      <c r="A17">
        <v>38281</v>
      </c>
      <c r="B17">
        <v>38281</v>
      </c>
      <c r="C17" t="s">
        <v>7018</v>
      </c>
      <c r="E17" s="184"/>
      <c r="J17" t="s">
        <v>595</v>
      </c>
      <c r="K17" s="184"/>
      <c r="P17" t="s">
        <v>7029</v>
      </c>
      <c r="Q17" t="s">
        <v>7020</v>
      </c>
      <c r="R17" s="184">
        <v>11049</v>
      </c>
      <c r="S17">
        <v>94</v>
      </c>
      <c r="U17" t="s">
        <v>7130</v>
      </c>
      <c r="V17" t="s">
        <v>5898</v>
      </c>
      <c r="X17" t="s">
        <v>5899</v>
      </c>
      <c r="Z17">
        <v>100006384</v>
      </c>
      <c r="AA17" t="s">
        <v>7032</v>
      </c>
      <c r="AB17" t="s">
        <v>3336</v>
      </c>
      <c r="AC17" t="s">
        <v>7046</v>
      </c>
      <c r="AD17" t="s">
        <v>5899</v>
      </c>
      <c r="AF17" t="s">
        <v>7131</v>
      </c>
      <c r="AG17" t="s">
        <v>5898</v>
      </c>
      <c r="AI17" t="s">
        <v>7132</v>
      </c>
      <c r="AJ17" t="s">
        <v>7133</v>
      </c>
      <c r="AM17" t="s">
        <v>3253</v>
      </c>
      <c r="AN17" t="s">
        <v>2240</v>
      </c>
      <c r="AO17" t="s">
        <v>7134</v>
      </c>
      <c r="AP17" t="s">
        <v>7024</v>
      </c>
      <c r="AQ17" t="s">
        <v>7135</v>
      </c>
      <c r="AR17" t="s">
        <v>7136</v>
      </c>
      <c r="AT17" s="184">
        <v>30929</v>
      </c>
      <c r="AU17" t="s">
        <v>7073</v>
      </c>
      <c r="AV17">
        <v>25</v>
      </c>
      <c r="AW17" s="184">
        <v>44289</v>
      </c>
      <c r="AX17" t="s">
        <v>7137</v>
      </c>
      <c r="AY17">
        <v>25</v>
      </c>
      <c r="AZ17" s="184">
        <v>39162</v>
      </c>
      <c r="BA17" t="s">
        <v>7138</v>
      </c>
      <c r="BB17">
        <v>2945</v>
      </c>
      <c r="BC17">
        <v>64</v>
      </c>
      <c r="BD17">
        <v>16220</v>
      </c>
      <c r="BE17">
        <v>1985</v>
      </c>
      <c r="BF17">
        <v>41</v>
      </c>
      <c r="BI17">
        <v>26</v>
      </c>
      <c r="BJ17">
        <v>41</v>
      </c>
      <c r="BK17">
        <v>7</v>
      </c>
    </row>
    <row r="18" spans="1:68">
      <c r="A18">
        <v>41962</v>
      </c>
      <c r="B18">
        <v>41962</v>
      </c>
      <c r="C18" t="s">
        <v>7018</v>
      </c>
      <c r="E18" s="184"/>
      <c r="J18" t="s">
        <v>595</v>
      </c>
      <c r="P18" t="s">
        <v>7029</v>
      </c>
      <c r="Q18" t="s">
        <v>7020</v>
      </c>
      <c r="R18" s="184">
        <v>11360</v>
      </c>
      <c r="S18">
        <v>93</v>
      </c>
      <c r="U18" t="s">
        <v>7076</v>
      </c>
      <c r="V18" t="s">
        <v>2958</v>
      </c>
      <c r="W18" t="s">
        <v>7139</v>
      </c>
      <c r="X18" t="s">
        <v>7140</v>
      </c>
      <c r="AF18" t="s">
        <v>7141</v>
      </c>
      <c r="AG18" t="s">
        <v>2958</v>
      </c>
      <c r="AI18" t="s">
        <v>7142</v>
      </c>
      <c r="AM18" t="s">
        <v>5665</v>
      </c>
      <c r="AN18" t="s">
        <v>2240</v>
      </c>
      <c r="AO18" t="s">
        <v>7143</v>
      </c>
      <c r="AP18" t="s">
        <v>7024</v>
      </c>
      <c r="AQ18" t="s">
        <v>7144</v>
      </c>
      <c r="AT18" s="184">
        <v>30797</v>
      </c>
      <c r="AU18" t="s">
        <v>7073</v>
      </c>
      <c r="AV18">
        <v>25</v>
      </c>
      <c r="AW18" s="184">
        <v>43390</v>
      </c>
      <c r="AX18" t="s">
        <v>7145</v>
      </c>
      <c r="AY18">
        <v>1000</v>
      </c>
      <c r="AZ18" s="184">
        <v>43390</v>
      </c>
      <c r="BA18" t="s">
        <v>7145</v>
      </c>
      <c r="BB18">
        <v>1000</v>
      </c>
      <c r="BC18">
        <v>83</v>
      </c>
      <c r="BD18">
        <v>21900</v>
      </c>
      <c r="BE18">
        <v>1984</v>
      </c>
      <c r="BF18">
        <v>94</v>
      </c>
      <c r="BI18">
        <v>34</v>
      </c>
      <c r="BJ18">
        <v>41</v>
      </c>
      <c r="BK18">
        <v>32</v>
      </c>
      <c r="BN18" t="s">
        <v>595</v>
      </c>
    </row>
    <row r="19" spans="1:68">
      <c r="A19">
        <v>47241</v>
      </c>
      <c r="B19">
        <v>47241</v>
      </c>
      <c r="C19" t="s">
        <v>7018</v>
      </c>
      <c r="J19" t="s">
        <v>595</v>
      </c>
      <c r="K19" s="184">
        <v>37439</v>
      </c>
      <c r="P19" t="s">
        <v>7045</v>
      </c>
      <c r="Q19" t="s">
        <v>7030</v>
      </c>
      <c r="R19" s="184">
        <v>17746</v>
      </c>
      <c r="S19">
        <v>75</v>
      </c>
      <c r="U19" t="s">
        <v>7076</v>
      </c>
      <c r="V19" t="s">
        <v>2903</v>
      </c>
      <c r="W19" t="s">
        <v>4152</v>
      </c>
      <c r="X19" t="s">
        <v>7146</v>
      </c>
      <c r="AF19" t="s">
        <v>6278</v>
      </c>
      <c r="AG19" t="s">
        <v>2903</v>
      </c>
      <c r="AI19" t="s">
        <v>7147</v>
      </c>
      <c r="AM19" t="s">
        <v>2873</v>
      </c>
      <c r="AN19" t="s">
        <v>2094</v>
      </c>
      <c r="AO19" t="s">
        <v>7148</v>
      </c>
      <c r="AP19" t="s">
        <v>7024</v>
      </c>
      <c r="AQ19" t="s">
        <v>7149</v>
      </c>
      <c r="AR19" t="s">
        <v>7150</v>
      </c>
      <c r="AT19" s="184">
        <v>31133</v>
      </c>
      <c r="AU19" t="s">
        <v>7151</v>
      </c>
      <c r="AV19">
        <v>18</v>
      </c>
      <c r="AW19" s="184">
        <v>45288</v>
      </c>
      <c r="AX19" t="s">
        <v>7152</v>
      </c>
      <c r="AY19">
        <v>35</v>
      </c>
      <c r="AZ19" s="184">
        <v>35199</v>
      </c>
      <c r="BA19" t="s">
        <v>7153</v>
      </c>
      <c r="BB19">
        <v>60</v>
      </c>
      <c r="BC19">
        <v>90</v>
      </c>
      <c r="BD19">
        <v>2001</v>
      </c>
      <c r="BE19">
        <v>1985</v>
      </c>
      <c r="BF19">
        <v>60</v>
      </c>
      <c r="BG19">
        <v>2</v>
      </c>
      <c r="BH19">
        <v>60</v>
      </c>
      <c r="BI19">
        <v>36</v>
      </c>
      <c r="BJ19">
        <v>40</v>
      </c>
      <c r="BK19">
        <v>14</v>
      </c>
    </row>
    <row r="20" spans="1:68">
      <c r="A20">
        <v>47514</v>
      </c>
      <c r="B20">
        <v>47514</v>
      </c>
      <c r="C20" t="s">
        <v>7018</v>
      </c>
      <c r="D20" t="s">
        <v>595</v>
      </c>
      <c r="E20" s="184">
        <v>43970</v>
      </c>
      <c r="K20" s="184"/>
      <c r="P20" t="s">
        <v>7045</v>
      </c>
      <c r="Q20" t="s">
        <v>7020</v>
      </c>
      <c r="R20" s="184">
        <v>12453</v>
      </c>
      <c r="S20">
        <v>90</v>
      </c>
      <c r="V20" t="s">
        <v>2697</v>
      </c>
      <c r="W20" t="s">
        <v>4139</v>
      </c>
      <c r="X20" t="s">
        <v>4691</v>
      </c>
      <c r="AF20" t="s">
        <v>7154</v>
      </c>
      <c r="AG20" t="s">
        <v>2697</v>
      </c>
      <c r="AI20" t="s">
        <v>7155</v>
      </c>
      <c r="AM20" t="s">
        <v>2608</v>
      </c>
      <c r="AN20" t="s">
        <v>2363</v>
      </c>
      <c r="AO20" t="s">
        <v>7156</v>
      </c>
      <c r="AP20" t="s">
        <v>7024</v>
      </c>
      <c r="AQ20" t="s">
        <v>7157</v>
      </c>
      <c r="AT20" s="184">
        <v>30526</v>
      </c>
      <c r="AU20" t="s">
        <v>7158</v>
      </c>
      <c r="AV20">
        <v>25</v>
      </c>
      <c r="AW20" s="184">
        <v>45117</v>
      </c>
      <c r="AX20" t="s">
        <v>7159</v>
      </c>
      <c r="AY20">
        <v>100</v>
      </c>
      <c r="AZ20" s="184">
        <v>45117</v>
      </c>
      <c r="BA20" t="s">
        <v>7159</v>
      </c>
      <c r="BB20">
        <v>100</v>
      </c>
      <c r="BC20">
        <v>93</v>
      </c>
      <c r="BD20">
        <v>4390</v>
      </c>
      <c r="BE20">
        <v>1984</v>
      </c>
      <c r="BF20">
        <v>101</v>
      </c>
      <c r="BG20">
        <v>3</v>
      </c>
      <c r="BH20">
        <v>300</v>
      </c>
      <c r="BI20">
        <v>39</v>
      </c>
      <c r="BJ20">
        <v>42</v>
      </c>
      <c r="BK20">
        <v>26</v>
      </c>
    </row>
    <row r="21" spans="1:68">
      <c r="A21">
        <v>53728</v>
      </c>
      <c r="B21">
        <v>53728</v>
      </c>
      <c r="C21" t="s">
        <v>7018</v>
      </c>
      <c r="J21" t="s">
        <v>595</v>
      </c>
      <c r="K21" s="184">
        <v>44608</v>
      </c>
      <c r="O21" s="184"/>
      <c r="P21" t="s">
        <v>7045</v>
      </c>
      <c r="Q21" t="s">
        <v>7160</v>
      </c>
      <c r="R21" s="184">
        <v>21459</v>
      </c>
      <c r="S21">
        <v>65</v>
      </c>
      <c r="U21" t="s">
        <v>7076</v>
      </c>
      <c r="V21" t="s">
        <v>3435</v>
      </c>
      <c r="W21" t="s">
        <v>7067</v>
      </c>
      <c r="X21" t="s">
        <v>7161</v>
      </c>
      <c r="AF21" t="s">
        <v>7162</v>
      </c>
      <c r="AG21" t="s">
        <v>3435</v>
      </c>
      <c r="AI21" t="s">
        <v>7163</v>
      </c>
      <c r="AM21" t="s">
        <v>4634</v>
      </c>
      <c r="AN21" t="s">
        <v>2176</v>
      </c>
      <c r="AO21" t="s">
        <v>7164</v>
      </c>
      <c r="AP21" t="s">
        <v>7024</v>
      </c>
      <c r="AQ21" t="s">
        <v>7165</v>
      </c>
      <c r="AR21" t="s">
        <v>7166</v>
      </c>
      <c r="AT21" s="184">
        <v>43532</v>
      </c>
      <c r="AU21" t="s">
        <v>7167</v>
      </c>
      <c r="AV21">
        <v>100</v>
      </c>
      <c r="AW21" s="184">
        <v>45362</v>
      </c>
      <c r="AX21" t="s">
        <v>7168</v>
      </c>
      <c r="AY21">
        <v>105</v>
      </c>
      <c r="AZ21" s="184">
        <v>45362</v>
      </c>
      <c r="BA21" t="s">
        <v>7168</v>
      </c>
      <c r="BB21">
        <v>105</v>
      </c>
      <c r="BC21">
        <v>100</v>
      </c>
      <c r="BD21">
        <v>1005</v>
      </c>
      <c r="BE21">
        <v>2019</v>
      </c>
      <c r="BF21">
        <v>10</v>
      </c>
      <c r="BG21">
        <v>4</v>
      </c>
      <c r="BH21">
        <v>405</v>
      </c>
      <c r="BI21">
        <v>6</v>
      </c>
      <c r="BJ21">
        <v>6</v>
      </c>
      <c r="BK21">
        <v>6</v>
      </c>
    </row>
    <row r="22" spans="1:68">
      <c r="A22">
        <v>55814</v>
      </c>
      <c r="B22">
        <v>55814</v>
      </c>
      <c r="C22" t="s">
        <v>7018</v>
      </c>
      <c r="E22" s="184"/>
      <c r="J22" t="s">
        <v>595</v>
      </c>
      <c r="K22" s="184">
        <v>37552</v>
      </c>
      <c r="P22" t="s">
        <v>7045</v>
      </c>
      <c r="Q22" t="s">
        <v>7020</v>
      </c>
      <c r="R22" s="184">
        <v>12785</v>
      </c>
      <c r="S22">
        <v>89</v>
      </c>
      <c r="U22" t="s">
        <v>7076</v>
      </c>
      <c r="V22" t="s">
        <v>3223</v>
      </c>
      <c r="W22" t="s">
        <v>7169</v>
      </c>
      <c r="X22" t="s">
        <v>4555</v>
      </c>
      <c r="AF22" t="s">
        <v>6076</v>
      </c>
      <c r="AG22" t="s">
        <v>3223</v>
      </c>
      <c r="AI22" t="s">
        <v>7170</v>
      </c>
      <c r="AM22" t="s">
        <v>7171</v>
      </c>
      <c r="AN22" t="s">
        <v>2129</v>
      </c>
      <c r="AO22" t="s">
        <v>7172</v>
      </c>
      <c r="AP22" t="s">
        <v>7024</v>
      </c>
      <c r="AT22" s="184">
        <v>30715</v>
      </c>
      <c r="AU22" t="s">
        <v>7173</v>
      </c>
      <c r="AV22">
        <v>25</v>
      </c>
      <c r="AW22" s="184">
        <v>37746</v>
      </c>
      <c r="AX22" t="s">
        <v>7174</v>
      </c>
      <c r="AY22">
        <v>75</v>
      </c>
      <c r="AZ22" s="184">
        <v>37648</v>
      </c>
      <c r="BA22" t="s">
        <v>7174</v>
      </c>
      <c r="BB22">
        <v>4000</v>
      </c>
      <c r="BC22">
        <v>42</v>
      </c>
      <c r="BD22">
        <v>7527</v>
      </c>
      <c r="BE22">
        <v>1984</v>
      </c>
      <c r="BF22">
        <v>52</v>
      </c>
      <c r="BI22">
        <v>17</v>
      </c>
      <c r="BJ22">
        <v>41</v>
      </c>
      <c r="BK22">
        <v>10</v>
      </c>
      <c r="BM22" t="s">
        <v>595</v>
      </c>
    </row>
    <row r="23" spans="1:68">
      <c r="A23">
        <v>61655</v>
      </c>
      <c r="B23">
        <v>61655</v>
      </c>
      <c r="C23" t="s">
        <v>7018</v>
      </c>
      <c r="E23" s="184"/>
      <c r="K23" s="184"/>
      <c r="N23" t="s">
        <v>595</v>
      </c>
      <c r="O23" s="184">
        <v>37427</v>
      </c>
      <c r="P23" t="s">
        <v>7045</v>
      </c>
      <c r="Q23" t="s">
        <v>7020</v>
      </c>
      <c r="R23" s="184">
        <v>9610</v>
      </c>
      <c r="S23">
        <v>98</v>
      </c>
      <c r="U23" t="s">
        <v>7094</v>
      </c>
      <c r="V23" t="s">
        <v>2593</v>
      </c>
      <c r="W23" t="s">
        <v>4382</v>
      </c>
      <c r="X23" t="s">
        <v>3389</v>
      </c>
      <c r="AF23" t="s">
        <v>7175</v>
      </c>
      <c r="AG23" t="s">
        <v>2593</v>
      </c>
      <c r="AI23" t="s">
        <v>7176</v>
      </c>
      <c r="AJ23" t="s">
        <v>7177</v>
      </c>
      <c r="AM23" t="s">
        <v>2662</v>
      </c>
      <c r="AN23" t="s">
        <v>2129</v>
      </c>
      <c r="AO23" t="s">
        <v>7178</v>
      </c>
      <c r="AP23" t="s">
        <v>7024</v>
      </c>
      <c r="AT23" s="184">
        <v>30622</v>
      </c>
      <c r="AU23" t="s">
        <v>7073</v>
      </c>
      <c r="AV23">
        <v>100</v>
      </c>
      <c r="AW23" s="184">
        <v>42332</v>
      </c>
      <c r="AX23" t="s">
        <v>7179</v>
      </c>
      <c r="AY23">
        <v>2016</v>
      </c>
      <c r="AZ23" s="184">
        <v>37587</v>
      </c>
      <c r="BA23" t="s">
        <v>7180</v>
      </c>
      <c r="BB23">
        <v>49762.41</v>
      </c>
      <c r="BC23">
        <v>77</v>
      </c>
      <c r="BD23">
        <v>158324.31</v>
      </c>
      <c r="BE23">
        <v>1984</v>
      </c>
      <c r="BF23">
        <v>79</v>
      </c>
      <c r="BI23">
        <v>32</v>
      </c>
      <c r="BJ23">
        <v>42</v>
      </c>
      <c r="BK23">
        <v>30</v>
      </c>
    </row>
    <row r="24" spans="1:68">
      <c r="A24">
        <v>61937</v>
      </c>
      <c r="B24">
        <v>61937</v>
      </c>
      <c r="C24" t="s">
        <v>7018</v>
      </c>
      <c r="J24" t="s">
        <v>595</v>
      </c>
      <c r="K24" s="184">
        <v>43483</v>
      </c>
      <c r="P24" t="s">
        <v>7045</v>
      </c>
      <c r="Q24" t="s">
        <v>7020</v>
      </c>
      <c r="R24" s="184">
        <v>11658</v>
      </c>
      <c r="S24">
        <v>92</v>
      </c>
      <c r="U24" t="s">
        <v>7076</v>
      </c>
      <c r="V24" t="s">
        <v>2660</v>
      </c>
      <c r="X24" t="s">
        <v>2661</v>
      </c>
      <c r="AF24" t="s">
        <v>6149</v>
      </c>
      <c r="AG24" t="s">
        <v>2660</v>
      </c>
      <c r="AI24" t="s">
        <v>7181</v>
      </c>
      <c r="AM24" t="s">
        <v>7182</v>
      </c>
      <c r="AN24" t="s">
        <v>2129</v>
      </c>
      <c r="AO24" t="s">
        <v>7183</v>
      </c>
      <c r="AP24" t="s">
        <v>7024</v>
      </c>
      <c r="AT24" s="184">
        <v>30515</v>
      </c>
      <c r="AU24" t="s">
        <v>7184</v>
      </c>
      <c r="AV24">
        <v>25</v>
      </c>
      <c r="AW24" s="184">
        <v>44720</v>
      </c>
      <c r="AX24" t="s">
        <v>7185</v>
      </c>
      <c r="AY24">
        <v>200</v>
      </c>
      <c r="AZ24" s="184">
        <v>31079</v>
      </c>
      <c r="BA24" t="s">
        <v>7186</v>
      </c>
      <c r="BB24">
        <v>500</v>
      </c>
      <c r="BC24">
        <v>79</v>
      </c>
      <c r="BD24">
        <v>4443</v>
      </c>
      <c r="BE24">
        <v>1984</v>
      </c>
      <c r="BF24">
        <v>46</v>
      </c>
      <c r="BG24">
        <v>1</v>
      </c>
      <c r="BH24">
        <v>200</v>
      </c>
      <c r="BI24">
        <v>33</v>
      </c>
      <c r="BJ24">
        <v>42</v>
      </c>
      <c r="BK24">
        <v>18</v>
      </c>
    </row>
    <row r="25" spans="1:68">
      <c r="A25">
        <v>68627</v>
      </c>
      <c r="B25">
        <v>68627</v>
      </c>
      <c r="C25" t="s">
        <v>7018</v>
      </c>
      <c r="D25" t="s">
        <v>595</v>
      </c>
      <c r="E25" s="184">
        <v>43696</v>
      </c>
      <c r="K25" s="184"/>
      <c r="O25" s="184"/>
      <c r="P25" t="s">
        <v>7045</v>
      </c>
      <c r="Q25" t="s">
        <v>7020</v>
      </c>
      <c r="R25" s="184">
        <v>10637</v>
      </c>
      <c r="S25">
        <v>95</v>
      </c>
      <c r="U25" t="s">
        <v>7076</v>
      </c>
      <c r="V25" t="s">
        <v>3745</v>
      </c>
      <c r="X25" t="s">
        <v>3746</v>
      </c>
      <c r="AF25" t="s">
        <v>7187</v>
      </c>
      <c r="AG25" t="s">
        <v>3745</v>
      </c>
      <c r="AI25" t="s">
        <v>7188</v>
      </c>
      <c r="AM25" t="s">
        <v>3747</v>
      </c>
      <c r="AN25" t="s">
        <v>2112</v>
      </c>
      <c r="AO25" t="s">
        <v>7189</v>
      </c>
      <c r="AP25" t="s">
        <v>7024</v>
      </c>
      <c r="AQ25" t="s">
        <v>7190</v>
      </c>
      <c r="AR25" t="s">
        <v>7191</v>
      </c>
      <c r="AT25" s="184">
        <v>30515</v>
      </c>
      <c r="AU25" t="s">
        <v>7192</v>
      </c>
      <c r="AV25">
        <v>20</v>
      </c>
      <c r="AW25" s="184">
        <v>45153</v>
      </c>
      <c r="AX25" t="s">
        <v>7193</v>
      </c>
      <c r="AY25">
        <v>100</v>
      </c>
      <c r="AZ25" s="184">
        <v>45153</v>
      </c>
      <c r="BA25" t="s">
        <v>7193</v>
      </c>
      <c r="BB25">
        <v>100</v>
      </c>
      <c r="BC25">
        <v>98</v>
      </c>
      <c r="BD25">
        <v>3233</v>
      </c>
      <c r="BE25">
        <v>1984</v>
      </c>
      <c r="BF25">
        <v>58</v>
      </c>
      <c r="BG25">
        <v>2</v>
      </c>
      <c r="BH25">
        <v>200</v>
      </c>
      <c r="BI25">
        <v>41</v>
      </c>
      <c r="BJ25">
        <v>42</v>
      </c>
      <c r="BK25">
        <v>41</v>
      </c>
    </row>
    <row r="26" spans="1:68">
      <c r="A26">
        <v>69476</v>
      </c>
      <c r="B26">
        <v>69476</v>
      </c>
      <c r="C26" t="s">
        <v>7018</v>
      </c>
      <c r="J26" t="s">
        <v>595</v>
      </c>
      <c r="K26" s="184">
        <v>37435</v>
      </c>
      <c r="P26" t="s">
        <v>7029</v>
      </c>
      <c r="Q26" t="s">
        <v>7194</v>
      </c>
      <c r="R26" s="184">
        <v>13724</v>
      </c>
      <c r="S26">
        <v>86</v>
      </c>
      <c r="U26" t="s">
        <v>7031</v>
      </c>
      <c r="V26" t="s">
        <v>3080</v>
      </c>
      <c r="W26" t="s">
        <v>7195</v>
      </c>
      <c r="X26" t="s">
        <v>5630</v>
      </c>
      <c r="Z26">
        <v>100006515</v>
      </c>
      <c r="AA26" t="s">
        <v>7130</v>
      </c>
      <c r="AB26" t="s">
        <v>5629</v>
      </c>
      <c r="AD26" t="s">
        <v>5630</v>
      </c>
      <c r="AF26" t="s">
        <v>7196</v>
      </c>
      <c r="AG26" t="s">
        <v>7197</v>
      </c>
      <c r="AI26" t="s">
        <v>7198</v>
      </c>
      <c r="AM26" t="s">
        <v>5631</v>
      </c>
      <c r="AN26" t="s">
        <v>2046</v>
      </c>
      <c r="AO26" t="s">
        <v>7199</v>
      </c>
      <c r="AP26" t="s">
        <v>7024</v>
      </c>
      <c r="AQ26" t="s">
        <v>7200</v>
      </c>
      <c r="AR26" t="s">
        <v>7201</v>
      </c>
      <c r="AT26" s="184">
        <v>31260</v>
      </c>
      <c r="AU26" t="s">
        <v>7202</v>
      </c>
      <c r="AV26">
        <v>339</v>
      </c>
      <c r="AW26" s="184">
        <v>45277</v>
      </c>
      <c r="AX26" t="s">
        <v>7203</v>
      </c>
      <c r="AY26">
        <v>105</v>
      </c>
      <c r="AZ26" s="184">
        <v>43542</v>
      </c>
      <c r="BA26" t="s">
        <v>7204</v>
      </c>
      <c r="BB26">
        <v>2500</v>
      </c>
      <c r="BC26">
        <v>88</v>
      </c>
      <c r="BD26">
        <v>33117</v>
      </c>
      <c r="BE26">
        <v>1986</v>
      </c>
      <c r="BF26">
        <v>62</v>
      </c>
      <c r="BG26">
        <v>4</v>
      </c>
      <c r="BH26">
        <v>3130</v>
      </c>
      <c r="BI26">
        <v>35</v>
      </c>
      <c r="BJ26">
        <v>40</v>
      </c>
      <c r="BK26">
        <v>18</v>
      </c>
    </row>
    <row r="27" spans="1:68">
      <c r="A27">
        <v>100006515</v>
      </c>
      <c r="B27">
        <v>69476</v>
      </c>
      <c r="C27" t="s">
        <v>7018</v>
      </c>
      <c r="E27" s="184"/>
      <c r="J27" t="s">
        <v>595</v>
      </c>
      <c r="K27" s="184">
        <v>43649</v>
      </c>
      <c r="P27" t="s">
        <v>7029</v>
      </c>
      <c r="Q27" t="s">
        <v>7194</v>
      </c>
      <c r="R27" s="184">
        <v>15738</v>
      </c>
      <c r="S27">
        <v>81</v>
      </c>
      <c r="U27" t="s">
        <v>7130</v>
      </c>
      <c r="V27" t="s">
        <v>5629</v>
      </c>
      <c r="X27" t="s">
        <v>5630</v>
      </c>
      <c r="Z27">
        <v>69476</v>
      </c>
      <c r="AA27" t="s">
        <v>7031</v>
      </c>
      <c r="AB27" t="s">
        <v>3080</v>
      </c>
      <c r="AC27" t="s">
        <v>7195</v>
      </c>
      <c r="AD27" t="s">
        <v>5630</v>
      </c>
      <c r="AF27" t="s">
        <v>7196</v>
      </c>
      <c r="AG27" t="s">
        <v>7197</v>
      </c>
      <c r="AI27" t="s">
        <v>7198</v>
      </c>
      <c r="AM27" t="s">
        <v>5631</v>
      </c>
      <c r="AN27" t="s">
        <v>2046</v>
      </c>
      <c r="AO27" t="s">
        <v>7199</v>
      </c>
      <c r="AP27" t="s">
        <v>7024</v>
      </c>
      <c r="AT27" s="184"/>
      <c r="AW27" s="184"/>
      <c r="AZ27" s="184"/>
    </row>
    <row r="28" spans="1:68">
      <c r="A28">
        <v>72173</v>
      </c>
      <c r="B28">
        <v>72173</v>
      </c>
      <c r="C28" t="s">
        <v>7018</v>
      </c>
      <c r="E28" s="184"/>
      <c r="J28" t="s">
        <v>595</v>
      </c>
      <c r="K28" s="184">
        <v>44235</v>
      </c>
      <c r="P28" t="s">
        <v>7045</v>
      </c>
      <c r="Q28" t="s">
        <v>7020</v>
      </c>
      <c r="R28" s="184">
        <v>19450</v>
      </c>
      <c r="S28">
        <v>71</v>
      </c>
      <c r="U28" t="s">
        <v>7031</v>
      </c>
      <c r="V28" t="s">
        <v>3689</v>
      </c>
      <c r="W28" t="s">
        <v>7107</v>
      </c>
      <c r="X28" t="s">
        <v>7205</v>
      </c>
      <c r="AF28" t="s">
        <v>7206</v>
      </c>
      <c r="AG28" t="s">
        <v>3689</v>
      </c>
      <c r="AI28" t="s">
        <v>7207</v>
      </c>
      <c r="AM28" t="s">
        <v>3004</v>
      </c>
      <c r="AN28" t="s">
        <v>2112</v>
      </c>
      <c r="AO28" t="s">
        <v>7208</v>
      </c>
      <c r="AP28" t="s">
        <v>7024</v>
      </c>
      <c r="AQ28" t="s">
        <v>7209</v>
      </c>
      <c r="AT28" s="184">
        <v>30512</v>
      </c>
      <c r="AU28" t="s">
        <v>7073</v>
      </c>
      <c r="AV28">
        <v>5</v>
      </c>
      <c r="AW28" s="184">
        <v>45282</v>
      </c>
      <c r="AX28" t="s">
        <v>7210</v>
      </c>
      <c r="AY28">
        <v>50</v>
      </c>
      <c r="AZ28" s="184">
        <v>36511</v>
      </c>
      <c r="BA28" t="s">
        <v>7211</v>
      </c>
      <c r="BB28">
        <v>150</v>
      </c>
      <c r="BC28">
        <v>70</v>
      </c>
      <c r="BD28">
        <v>1785</v>
      </c>
      <c r="BE28">
        <v>1984</v>
      </c>
      <c r="BF28">
        <v>41</v>
      </c>
      <c r="BG28">
        <v>2</v>
      </c>
      <c r="BH28">
        <v>100</v>
      </c>
      <c r="BI28">
        <v>29</v>
      </c>
      <c r="BJ28">
        <v>42</v>
      </c>
      <c r="BK28">
        <v>7</v>
      </c>
    </row>
    <row r="29" spans="1:68">
      <c r="A29">
        <v>73411</v>
      </c>
      <c r="B29">
        <v>73411</v>
      </c>
      <c r="C29" t="s">
        <v>7018</v>
      </c>
      <c r="D29" t="s">
        <v>595</v>
      </c>
      <c r="E29" s="184">
        <v>43642</v>
      </c>
      <c r="K29" s="184"/>
      <c r="P29" t="s">
        <v>7045</v>
      </c>
      <c r="Q29" t="s">
        <v>7020</v>
      </c>
      <c r="R29" s="184">
        <v>20462</v>
      </c>
      <c r="S29">
        <v>68</v>
      </c>
      <c r="U29" t="s">
        <v>7031</v>
      </c>
      <c r="V29" t="s">
        <v>3141</v>
      </c>
      <c r="W29" t="s">
        <v>2049</v>
      </c>
      <c r="X29" t="s">
        <v>3142</v>
      </c>
      <c r="AF29" t="s">
        <v>7212</v>
      </c>
      <c r="AG29" t="s">
        <v>3141</v>
      </c>
      <c r="AI29" t="s">
        <v>7213</v>
      </c>
      <c r="AM29" t="s">
        <v>3004</v>
      </c>
      <c r="AN29" t="s">
        <v>2112</v>
      </c>
      <c r="AO29" t="s">
        <v>7214</v>
      </c>
      <c r="AP29" t="s">
        <v>7024</v>
      </c>
      <c r="AQ29" t="s">
        <v>7215</v>
      </c>
      <c r="AR29" t="s">
        <v>7216</v>
      </c>
      <c r="AT29" s="184">
        <v>30712</v>
      </c>
      <c r="AU29" t="s">
        <v>7173</v>
      </c>
      <c r="AV29">
        <v>18</v>
      </c>
      <c r="AW29" s="184">
        <v>44972</v>
      </c>
      <c r="AX29" t="s">
        <v>7217</v>
      </c>
      <c r="AY29">
        <v>25</v>
      </c>
      <c r="AZ29" s="184">
        <v>33220</v>
      </c>
      <c r="BA29" t="s">
        <v>7218</v>
      </c>
      <c r="BB29">
        <v>60</v>
      </c>
      <c r="BC29">
        <v>88</v>
      </c>
      <c r="BD29">
        <v>1013</v>
      </c>
      <c r="BE29">
        <v>1984</v>
      </c>
      <c r="BF29">
        <v>41</v>
      </c>
      <c r="BG29">
        <v>3</v>
      </c>
      <c r="BH29">
        <v>75</v>
      </c>
      <c r="BI29">
        <v>36</v>
      </c>
      <c r="BJ29">
        <v>41</v>
      </c>
      <c r="BK29">
        <v>25</v>
      </c>
      <c r="BP29" s="184"/>
    </row>
    <row r="30" spans="1:68">
      <c r="A30">
        <v>90951</v>
      </c>
      <c r="B30">
        <v>90951</v>
      </c>
      <c r="C30" t="s">
        <v>7018</v>
      </c>
      <c r="D30" t="s">
        <v>595</v>
      </c>
      <c r="E30" s="184">
        <v>43642</v>
      </c>
      <c r="K30" s="184"/>
      <c r="P30" t="s">
        <v>7045</v>
      </c>
      <c r="Q30" t="s">
        <v>7020</v>
      </c>
      <c r="R30" s="184">
        <v>19085</v>
      </c>
      <c r="S30">
        <v>72</v>
      </c>
      <c r="U30" t="s">
        <v>7076</v>
      </c>
      <c r="V30" t="s">
        <v>3114</v>
      </c>
      <c r="X30" t="s">
        <v>3143</v>
      </c>
      <c r="AF30" t="s">
        <v>7219</v>
      </c>
      <c r="AG30" t="s">
        <v>3114</v>
      </c>
      <c r="AI30" t="s">
        <v>7220</v>
      </c>
      <c r="AM30" t="s">
        <v>3144</v>
      </c>
      <c r="AN30" t="s">
        <v>2112</v>
      </c>
      <c r="AO30" t="s">
        <v>7221</v>
      </c>
      <c r="AP30" t="s">
        <v>7024</v>
      </c>
      <c r="AT30" s="184">
        <v>30816</v>
      </c>
      <c r="AU30" t="s">
        <v>7073</v>
      </c>
      <c r="AV30">
        <v>25</v>
      </c>
      <c r="AW30" s="184">
        <v>44557</v>
      </c>
      <c r="AX30" t="s">
        <v>7222</v>
      </c>
      <c r="AY30">
        <v>50</v>
      </c>
      <c r="AZ30" s="184">
        <v>32209</v>
      </c>
      <c r="BA30" t="s">
        <v>7223</v>
      </c>
      <c r="BB30">
        <v>60</v>
      </c>
      <c r="BC30">
        <v>59</v>
      </c>
      <c r="BD30">
        <v>1130.4000000000001</v>
      </c>
      <c r="BE30">
        <v>1984</v>
      </c>
      <c r="BF30">
        <v>33</v>
      </c>
      <c r="BI30">
        <v>24</v>
      </c>
      <c r="BJ30">
        <v>41</v>
      </c>
      <c r="BK30">
        <v>11</v>
      </c>
      <c r="BP30" s="184"/>
    </row>
    <row r="31" spans="1:68">
      <c r="A31">
        <v>101386</v>
      </c>
      <c r="B31">
        <v>101386</v>
      </c>
      <c r="C31" t="s">
        <v>7018</v>
      </c>
      <c r="E31" s="184"/>
      <c r="I31" s="184"/>
      <c r="J31" t="s">
        <v>595</v>
      </c>
      <c r="K31" s="184">
        <v>38989</v>
      </c>
      <c r="P31" t="s">
        <v>7045</v>
      </c>
      <c r="Q31" t="s">
        <v>7020</v>
      </c>
      <c r="R31" s="184">
        <v>6985</v>
      </c>
      <c r="S31">
        <v>105</v>
      </c>
      <c r="U31" t="s">
        <v>7031</v>
      </c>
      <c r="V31" t="s">
        <v>4926</v>
      </c>
      <c r="X31" t="s">
        <v>7224</v>
      </c>
      <c r="Z31">
        <v>100375457</v>
      </c>
      <c r="AA31" t="s">
        <v>7130</v>
      </c>
      <c r="AB31" t="s">
        <v>7225</v>
      </c>
      <c r="AD31" t="s">
        <v>7224</v>
      </c>
      <c r="AF31" t="s">
        <v>6519</v>
      </c>
      <c r="AG31" t="s">
        <v>7226</v>
      </c>
      <c r="AI31" t="s">
        <v>7227</v>
      </c>
      <c r="AM31" t="s">
        <v>7228</v>
      </c>
      <c r="AN31" t="s">
        <v>2112</v>
      </c>
      <c r="AO31">
        <v>33484</v>
      </c>
      <c r="AP31" t="s">
        <v>7024</v>
      </c>
      <c r="AT31" s="184">
        <v>30854</v>
      </c>
      <c r="AU31" t="s">
        <v>7073</v>
      </c>
      <c r="AV31">
        <v>13</v>
      </c>
      <c r="AW31" s="184">
        <v>43777</v>
      </c>
      <c r="AX31" t="s">
        <v>7229</v>
      </c>
      <c r="AY31">
        <v>50</v>
      </c>
      <c r="AZ31" s="184">
        <v>39318</v>
      </c>
      <c r="BA31" t="s">
        <v>7230</v>
      </c>
      <c r="BB31">
        <v>60</v>
      </c>
      <c r="BC31">
        <v>42</v>
      </c>
      <c r="BD31">
        <v>714</v>
      </c>
      <c r="BE31">
        <v>1984</v>
      </c>
      <c r="BF31">
        <v>21</v>
      </c>
      <c r="BI31">
        <v>17</v>
      </c>
      <c r="BJ31">
        <v>41</v>
      </c>
      <c r="BK31">
        <v>7</v>
      </c>
      <c r="BO31" t="s">
        <v>595</v>
      </c>
      <c r="BP31" s="184">
        <v>43907</v>
      </c>
    </row>
    <row r="32" spans="1:68">
      <c r="A32">
        <v>100375457</v>
      </c>
      <c r="B32">
        <v>101386</v>
      </c>
      <c r="C32" t="s">
        <v>7018</v>
      </c>
      <c r="E32" s="184"/>
      <c r="I32" s="184"/>
      <c r="J32" t="s">
        <v>595</v>
      </c>
      <c r="K32" s="184">
        <v>43942</v>
      </c>
      <c r="O32" s="184"/>
      <c r="P32" t="s">
        <v>7045</v>
      </c>
      <c r="Q32" t="s">
        <v>7020</v>
      </c>
      <c r="R32" s="184"/>
      <c r="U32" t="s">
        <v>7130</v>
      </c>
      <c r="V32" t="s">
        <v>7225</v>
      </c>
      <c r="X32" t="s">
        <v>7224</v>
      </c>
      <c r="Z32">
        <v>101386</v>
      </c>
      <c r="AA32" t="s">
        <v>7031</v>
      </c>
      <c r="AB32" t="s">
        <v>4926</v>
      </c>
      <c r="AD32" t="s">
        <v>7224</v>
      </c>
      <c r="AF32" t="s">
        <v>6519</v>
      </c>
      <c r="AG32" t="s">
        <v>7226</v>
      </c>
      <c r="AI32" t="s">
        <v>7227</v>
      </c>
      <c r="AM32" t="s">
        <v>7228</v>
      </c>
      <c r="AN32" t="s">
        <v>2112</v>
      </c>
      <c r="AO32">
        <v>33484</v>
      </c>
      <c r="AP32" t="s">
        <v>7024</v>
      </c>
      <c r="AT32" s="184"/>
      <c r="AW32" s="184"/>
      <c r="AZ32" s="184"/>
      <c r="BO32" t="s">
        <v>595</v>
      </c>
      <c r="BP32" s="184">
        <v>42461</v>
      </c>
    </row>
    <row r="33" spans="1:68">
      <c r="A33">
        <v>103697</v>
      </c>
      <c r="B33">
        <v>103697</v>
      </c>
      <c r="C33" t="s">
        <v>7018</v>
      </c>
      <c r="D33" t="s">
        <v>595</v>
      </c>
      <c r="E33" s="184">
        <v>45125</v>
      </c>
      <c r="I33" s="184"/>
      <c r="K33" s="184"/>
      <c r="O33" s="184"/>
      <c r="P33" t="s">
        <v>7045</v>
      </c>
      <c r="Q33" t="s">
        <v>7020</v>
      </c>
      <c r="R33" s="184">
        <v>24009</v>
      </c>
      <c r="S33">
        <v>58</v>
      </c>
      <c r="U33" t="s">
        <v>7031</v>
      </c>
      <c r="V33" t="s">
        <v>2898</v>
      </c>
      <c r="W33" t="s">
        <v>2058</v>
      </c>
      <c r="X33" t="s">
        <v>7231</v>
      </c>
      <c r="AF33" t="s">
        <v>7232</v>
      </c>
      <c r="AG33" t="s">
        <v>2898</v>
      </c>
      <c r="AI33" t="s">
        <v>7233</v>
      </c>
      <c r="AM33" t="s">
        <v>4138</v>
      </c>
      <c r="AN33" t="s">
        <v>2112</v>
      </c>
      <c r="AO33" t="s">
        <v>7234</v>
      </c>
      <c r="AP33" t="s">
        <v>7024</v>
      </c>
      <c r="AT33" s="184">
        <v>31247</v>
      </c>
      <c r="AU33" t="s">
        <v>7073</v>
      </c>
      <c r="AV33">
        <v>18</v>
      </c>
      <c r="AW33" s="184">
        <v>45239</v>
      </c>
      <c r="AX33" t="s">
        <v>7235</v>
      </c>
      <c r="AY33">
        <v>25</v>
      </c>
      <c r="AZ33" s="184">
        <v>39121</v>
      </c>
      <c r="BA33" t="s">
        <v>7236</v>
      </c>
      <c r="BB33">
        <v>75</v>
      </c>
      <c r="BC33">
        <v>98</v>
      </c>
      <c r="BD33">
        <v>2726</v>
      </c>
      <c r="BE33">
        <v>1986</v>
      </c>
      <c r="BF33">
        <v>86</v>
      </c>
      <c r="BG33">
        <v>3</v>
      </c>
      <c r="BH33">
        <v>95</v>
      </c>
      <c r="BI33">
        <v>39</v>
      </c>
      <c r="BJ33">
        <v>40</v>
      </c>
      <c r="BK33">
        <v>39</v>
      </c>
      <c r="BP33" s="184"/>
    </row>
    <row r="34" spans="1:68">
      <c r="A34">
        <v>110189</v>
      </c>
      <c r="B34">
        <v>110189</v>
      </c>
      <c r="C34" t="s">
        <v>7018</v>
      </c>
      <c r="D34" t="s">
        <v>595</v>
      </c>
      <c r="E34" s="184">
        <v>44167</v>
      </c>
      <c r="H34" t="s">
        <v>595</v>
      </c>
      <c r="I34" s="184">
        <v>44167</v>
      </c>
      <c r="K34" s="184"/>
      <c r="O34" s="184"/>
      <c r="P34" t="s">
        <v>7045</v>
      </c>
      <c r="Q34" t="s">
        <v>7030</v>
      </c>
      <c r="R34" s="184">
        <v>19438</v>
      </c>
      <c r="S34">
        <v>71</v>
      </c>
      <c r="U34" t="s">
        <v>7237</v>
      </c>
      <c r="V34" t="s">
        <v>2724</v>
      </c>
      <c r="W34" t="s">
        <v>4152</v>
      </c>
      <c r="X34" t="s">
        <v>7238</v>
      </c>
      <c r="AF34" t="s">
        <v>7239</v>
      </c>
      <c r="AG34" t="s">
        <v>2724</v>
      </c>
      <c r="AI34" t="s">
        <v>7240</v>
      </c>
      <c r="AM34" t="s">
        <v>2865</v>
      </c>
      <c r="AN34" t="s">
        <v>2094</v>
      </c>
      <c r="AO34" t="s">
        <v>7241</v>
      </c>
      <c r="AP34" t="s">
        <v>7024</v>
      </c>
      <c r="AQ34" t="s">
        <v>7242</v>
      </c>
      <c r="AR34" t="s">
        <v>7243</v>
      </c>
      <c r="AT34" s="184">
        <v>30508</v>
      </c>
      <c r="AU34" t="s">
        <v>7244</v>
      </c>
      <c r="AV34">
        <v>18</v>
      </c>
      <c r="AW34" s="184">
        <v>45124</v>
      </c>
      <c r="AX34" t="s">
        <v>7245</v>
      </c>
      <c r="AY34">
        <v>60</v>
      </c>
      <c r="AZ34" s="184">
        <v>45124</v>
      </c>
      <c r="BA34" t="s">
        <v>7245</v>
      </c>
      <c r="BB34">
        <v>60</v>
      </c>
      <c r="BC34">
        <v>65</v>
      </c>
      <c r="BD34">
        <v>1296</v>
      </c>
      <c r="BE34">
        <v>1984</v>
      </c>
      <c r="BF34">
        <v>33</v>
      </c>
      <c r="BG34">
        <v>2</v>
      </c>
      <c r="BH34">
        <v>120</v>
      </c>
      <c r="BI34">
        <v>27</v>
      </c>
      <c r="BJ34">
        <v>42</v>
      </c>
      <c r="BK34">
        <v>10</v>
      </c>
      <c r="BP34" s="184"/>
    </row>
    <row r="35" spans="1:68">
      <c r="A35">
        <v>116301</v>
      </c>
      <c r="B35">
        <v>116301</v>
      </c>
      <c r="C35" t="s">
        <v>7018</v>
      </c>
      <c r="E35" s="184"/>
      <c r="H35" t="s">
        <v>595</v>
      </c>
      <c r="I35" s="184">
        <v>44026</v>
      </c>
      <c r="J35" t="s">
        <v>595</v>
      </c>
      <c r="K35" s="184">
        <v>43851</v>
      </c>
      <c r="N35" t="s">
        <v>595</v>
      </c>
      <c r="O35" s="184">
        <v>44520</v>
      </c>
      <c r="P35" t="s">
        <v>7045</v>
      </c>
      <c r="Q35" t="s">
        <v>7160</v>
      </c>
      <c r="R35" s="184">
        <v>16367</v>
      </c>
      <c r="S35">
        <v>79</v>
      </c>
      <c r="U35" t="s">
        <v>7032</v>
      </c>
      <c r="V35" t="s">
        <v>2898</v>
      </c>
      <c r="W35" t="s">
        <v>7246</v>
      </c>
      <c r="X35" t="s">
        <v>7247</v>
      </c>
      <c r="Z35">
        <v>100006723</v>
      </c>
      <c r="AA35" t="s">
        <v>7032</v>
      </c>
      <c r="AB35" t="s">
        <v>2825</v>
      </c>
      <c r="AC35" t="s">
        <v>7248</v>
      </c>
      <c r="AD35" t="s">
        <v>2826</v>
      </c>
      <c r="AF35" t="s">
        <v>7249</v>
      </c>
      <c r="AG35" t="s">
        <v>7250</v>
      </c>
      <c r="AI35" t="s">
        <v>7251</v>
      </c>
      <c r="AM35" t="s">
        <v>7252</v>
      </c>
      <c r="AN35" t="s">
        <v>2203</v>
      </c>
      <c r="AO35" t="s">
        <v>7253</v>
      </c>
      <c r="AP35" t="s">
        <v>7024</v>
      </c>
      <c r="AQ35" t="s">
        <v>7254</v>
      </c>
      <c r="AT35" s="184">
        <v>31047</v>
      </c>
      <c r="AU35" t="s">
        <v>7255</v>
      </c>
      <c r="AV35">
        <v>18</v>
      </c>
      <c r="AW35" s="184">
        <v>44494</v>
      </c>
      <c r="AX35" t="s">
        <v>7256</v>
      </c>
      <c r="AY35">
        <v>100</v>
      </c>
      <c r="AZ35" s="184">
        <v>38713</v>
      </c>
      <c r="BA35" t="s">
        <v>7257</v>
      </c>
      <c r="BB35">
        <v>150</v>
      </c>
      <c r="BC35">
        <v>74</v>
      </c>
      <c r="BD35">
        <v>3079.95</v>
      </c>
      <c r="BE35">
        <v>1985</v>
      </c>
      <c r="BF35">
        <v>41</v>
      </c>
      <c r="BI35">
        <v>30</v>
      </c>
      <c r="BJ35">
        <v>41</v>
      </c>
      <c r="BK35">
        <v>9</v>
      </c>
      <c r="BN35" t="s">
        <v>595</v>
      </c>
    </row>
    <row r="36" spans="1:68">
      <c r="A36">
        <v>100006723</v>
      </c>
      <c r="B36">
        <v>116301</v>
      </c>
      <c r="C36" t="s">
        <v>7018</v>
      </c>
      <c r="E36" s="184"/>
      <c r="H36" t="s">
        <v>595</v>
      </c>
      <c r="I36" s="184">
        <v>44026</v>
      </c>
      <c r="J36" t="s">
        <v>595</v>
      </c>
      <c r="K36" s="184">
        <v>43851</v>
      </c>
      <c r="N36" t="s">
        <v>595</v>
      </c>
      <c r="O36" s="184">
        <v>44520</v>
      </c>
      <c r="P36" t="s">
        <v>7045</v>
      </c>
      <c r="Q36" t="s">
        <v>7160</v>
      </c>
      <c r="R36" s="184">
        <v>15954</v>
      </c>
      <c r="S36">
        <v>80</v>
      </c>
      <c r="U36" t="s">
        <v>7032</v>
      </c>
      <c r="V36" t="s">
        <v>2825</v>
      </c>
      <c r="W36" t="s">
        <v>7248</v>
      </c>
      <c r="X36" t="s">
        <v>2826</v>
      </c>
      <c r="Z36">
        <v>116301</v>
      </c>
      <c r="AA36" t="s">
        <v>7032</v>
      </c>
      <c r="AB36" t="s">
        <v>2898</v>
      </c>
      <c r="AC36" t="s">
        <v>7246</v>
      </c>
      <c r="AD36" t="s">
        <v>7247</v>
      </c>
      <c r="AF36" t="s">
        <v>7249</v>
      </c>
      <c r="AG36" t="s">
        <v>7250</v>
      </c>
      <c r="AI36" t="s">
        <v>7251</v>
      </c>
      <c r="AM36" t="s">
        <v>7252</v>
      </c>
      <c r="AN36" t="s">
        <v>2203</v>
      </c>
      <c r="AO36" t="s">
        <v>7253</v>
      </c>
      <c r="AP36" t="s">
        <v>7024</v>
      </c>
      <c r="AQ36" t="s">
        <v>7258</v>
      </c>
      <c r="AR36" t="s">
        <v>7259</v>
      </c>
      <c r="AT36" s="184">
        <v>43816</v>
      </c>
      <c r="AU36" t="s">
        <v>7260</v>
      </c>
      <c r="AV36">
        <v>100</v>
      </c>
      <c r="AW36" s="184">
        <v>45282</v>
      </c>
      <c r="AX36" t="s">
        <v>7261</v>
      </c>
      <c r="AY36">
        <v>100</v>
      </c>
      <c r="AZ36" s="184">
        <v>45282</v>
      </c>
      <c r="BA36" t="s">
        <v>7261</v>
      </c>
      <c r="BB36">
        <v>100</v>
      </c>
      <c r="BC36">
        <v>50</v>
      </c>
      <c r="BD36">
        <v>300</v>
      </c>
      <c r="BE36">
        <v>2020</v>
      </c>
      <c r="BF36">
        <v>3</v>
      </c>
      <c r="BG36">
        <v>1</v>
      </c>
      <c r="BH36">
        <v>100</v>
      </c>
      <c r="BI36">
        <v>3</v>
      </c>
      <c r="BJ36">
        <v>6</v>
      </c>
      <c r="BK36">
        <v>2</v>
      </c>
    </row>
    <row r="37" spans="1:68">
      <c r="A37">
        <v>127209</v>
      </c>
      <c r="B37">
        <v>127209</v>
      </c>
      <c r="C37" t="s">
        <v>7018</v>
      </c>
      <c r="E37" s="184"/>
      <c r="I37" s="184"/>
      <c r="K37" s="184"/>
      <c r="N37" t="s">
        <v>595</v>
      </c>
      <c r="O37" s="184">
        <v>42629</v>
      </c>
      <c r="P37" t="s">
        <v>7045</v>
      </c>
      <c r="Q37" t="s">
        <v>7262</v>
      </c>
      <c r="R37" s="184">
        <v>17868</v>
      </c>
      <c r="S37">
        <v>75</v>
      </c>
      <c r="U37" t="s">
        <v>7130</v>
      </c>
      <c r="V37" t="s">
        <v>2602</v>
      </c>
      <c r="X37" t="s">
        <v>5490</v>
      </c>
      <c r="Z37">
        <v>100006772</v>
      </c>
      <c r="AA37" t="s">
        <v>7031</v>
      </c>
      <c r="AB37" t="s">
        <v>3103</v>
      </c>
      <c r="AD37" t="s">
        <v>5490</v>
      </c>
      <c r="AF37" t="s">
        <v>7263</v>
      </c>
      <c r="AG37" t="s">
        <v>7264</v>
      </c>
      <c r="AI37" t="s">
        <v>7265</v>
      </c>
      <c r="AM37" t="s">
        <v>5491</v>
      </c>
      <c r="AN37" t="s">
        <v>2106</v>
      </c>
      <c r="AO37" t="s">
        <v>7266</v>
      </c>
      <c r="AP37" t="s">
        <v>7024</v>
      </c>
      <c r="AT37" s="184">
        <v>30761</v>
      </c>
      <c r="AU37" t="s">
        <v>7073</v>
      </c>
      <c r="AV37">
        <v>18</v>
      </c>
      <c r="AW37" s="184">
        <v>42665</v>
      </c>
      <c r="AX37" t="s">
        <v>7267</v>
      </c>
      <c r="AY37">
        <v>52428.32</v>
      </c>
      <c r="AZ37" s="184">
        <v>42665</v>
      </c>
      <c r="BA37" t="s">
        <v>7267</v>
      </c>
      <c r="BB37">
        <v>52428.32</v>
      </c>
      <c r="BC37">
        <v>81</v>
      </c>
      <c r="BD37">
        <v>58169.32</v>
      </c>
      <c r="BE37">
        <v>1984</v>
      </c>
      <c r="BF37">
        <v>115</v>
      </c>
      <c r="BI37">
        <v>33</v>
      </c>
      <c r="BJ37">
        <v>41</v>
      </c>
      <c r="BK37">
        <v>33</v>
      </c>
    </row>
    <row r="38" spans="1:68">
      <c r="A38">
        <v>100006772</v>
      </c>
      <c r="B38">
        <v>127209</v>
      </c>
      <c r="C38" t="s">
        <v>7018</v>
      </c>
      <c r="I38" s="184"/>
      <c r="K38" s="184"/>
      <c r="N38" t="s">
        <v>595</v>
      </c>
      <c r="O38" s="184">
        <v>42629</v>
      </c>
      <c r="P38" t="s">
        <v>7045</v>
      </c>
      <c r="Q38" t="s">
        <v>7262</v>
      </c>
      <c r="R38" s="184">
        <v>18172</v>
      </c>
      <c r="S38">
        <v>74</v>
      </c>
      <c r="U38" t="s">
        <v>7031</v>
      </c>
      <c r="V38" t="s">
        <v>3103</v>
      </c>
      <c r="X38" t="s">
        <v>5490</v>
      </c>
      <c r="Z38">
        <v>127209</v>
      </c>
      <c r="AA38" t="s">
        <v>7130</v>
      </c>
      <c r="AB38" t="s">
        <v>2602</v>
      </c>
      <c r="AD38" t="s">
        <v>5490</v>
      </c>
      <c r="AF38" t="s">
        <v>7263</v>
      </c>
      <c r="AG38" t="s">
        <v>7264</v>
      </c>
      <c r="AI38" t="s">
        <v>7265</v>
      </c>
      <c r="AM38" t="s">
        <v>5491</v>
      </c>
      <c r="AN38" t="s">
        <v>2106</v>
      </c>
      <c r="AO38" t="s">
        <v>7266</v>
      </c>
      <c r="AP38" t="s">
        <v>7024</v>
      </c>
      <c r="AT38" s="184"/>
      <c r="AW38" s="184"/>
      <c r="AZ38" s="184"/>
    </row>
    <row r="39" spans="1:68">
      <c r="A39">
        <v>132332</v>
      </c>
      <c r="B39">
        <v>132332</v>
      </c>
      <c r="C39" t="s">
        <v>7018</v>
      </c>
      <c r="E39" s="184"/>
      <c r="I39" s="184"/>
      <c r="J39" t="s">
        <v>595</v>
      </c>
      <c r="K39" s="184">
        <v>43649</v>
      </c>
      <c r="O39" s="184"/>
      <c r="P39" t="s">
        <v>7045</v>
      </c>
      <c r="Q39" t="s">
        <v>7262</v>
      </c>
      <c r="R39" s="184">
        <v>18749</v>
      </c>
      <c r="S39">
        <v>73</v>
      </c>
      <c r="U39" t="s">
        <v>7031</v>
      </c>
      <c r="V39" t="s">
        <v>2821</v>
      </c>
      <c r="W39" t="s">
        <v>7268</v>
      </c>
      <c r="X39" t="s">
        <v>3458</v>
      </c>
      <c r="AF39" t="s">
        <v>6328</v>
      </c>
      <c r="AG39" t="s">
        <v>2821</v>
      </c>
      <c r="AI39" t="s">
        <v>7269</v>
      </c>
      <c r="AM39" t="s">
        <v>3459</v>
      </c>
      <c r="AN39" t="s">
        <v>2106</v>
      </c>
      <c r="AO39" t="s">
        <v>7270</v>
      </c>
      <c r="AP39" t="s">
        <v>7024</v>
      </c>
      <c r="AT39" s="184">
        <v>30652</v>
      </c>
      <c r="AU39" t="s">
        <v>7271</v>
      </c>
      <c r="AV39">
        <v>18</v>
      </c>
      <c r="AW39" s="184">
        <v>45302</v>
      </c>
      <c r="AX39" t="s">
        <v>7272</v>
      </c>
      <c r="AY39">
        <v>20</v>
      </c>
      <c r="AZ39" s="184">
        <v>41631</v>
      </c>
      <c r="BA39" t="s">
        <v>7273</v>
      </c>
      <c r="BB39">
        <v>45</v>
      </c>
      <c r="BC39">
        <v>93</v>
      </c>
      <c r="BD39">
        <v>1768</v>
      </c>
      <c r="BE39">
        <v>1984</v>
      </c>
      <c r="BF39">
        <v>77</v>
      </c>
      <c r="BG39">
        <v>4</v>
      </c>
      <c r="BH39">
        <v>110</v>
      </c>
      <c r="BI39">
        <v>39</v>
      </c>
      <c r="BJ39">
        <v>42</v>
      </c>
      <c r="BK39">
        <v>21</v>
      </c>
      <c r="BP39" s="184"/>
    </row>
    <row r="40" spans="1:68">
      <c r="A40">
        <v>135087</v>
      </c>
      <c r="B40">
        <v>135087</v>
      </c>
      <c r="C40" t="s">
        <v>7018</v>
      </c>
      <c r="D40" t="s">
        <v>595</v>
      </c>
      <c r="E40" s="184">
        <v>44070</v>
      </c>
      <c r="H40" t="s">
        <v>595</v>
      </c>
      <c r="I40" s="184">
        <v>44328</v>
      </c>
      <c r="K40" s="184"/>
      <c r="O40" s="184"/>
      <c r="P40" t="s">
        <v>7045</v>
      </c>
      <c r="Q40" t="s">
        <v>7262</v>
      </c>
      <c r="R40" s="184">
        <v>19624</v>
      </c>
      <c r="S40">
        <v>70</v>
      </c>
      <c r="U40" t="s">
        <v>7031</v>
      </c>
      <c r="V40" t="s">
        <v>4882</v>
      </c>
      <c r="W40" t="s">
        <v>3332</v>
      </c>
      <c r="X40" t="s">
        <v>4883</v>
      </c>
      <c r="AF40" t="s">
        <v>7274</v>
      </c>
      <c r="AG40" t="s">
        <v>4882</v>
      </c>
      <c r="AI40" t="s">
        <v>7275</v>
      </c>
      <c r="AM40" t="s">
        <v>4884</v>
      </c>
      <c r="AN40" t="s">
        <v>2106</v>
      </c>
      <c r="AO40" t="s">
        <v>7276</v>
      </c>
      <c r="AP40" t="s">
        <v>7024</v>
      </c>
      <c r="AT40" s="184">
        <v>30770</v>
      </c>
      <c r="AU40" t="s">
        <v>7073</v>
      </c>
      <c r="AV40">
        <v>18</v>
      </c>
      <c r="AW40" s="184">
        <v>41848</v>
      </c>
      <c r="AX40" t="s">
        <v>7277</v>
      </c>
      <c r="AY40">
        <v>25</v>
      </c>
      <c r="AZ40" s="184">
        <v>33333</v>
      </c>
      <c r="BA40" t="s">
        <v>7278</v>
      </c>
      <c r="BB40">
        <v>50</v>
      </c>
      <c r="BC40">
        <v>37</v>
      </c>
      <c r="BD40">
        <v>631</v>
      </c>
      <c r="BE40">
        <v>1984</v>
      </c>
      <c r="BF40">
        <v>20</v>
      </c>
      <c r="BI40">
        <v>15</v>
      </c>
      <c r="BJ40">
        <v>41</v>
      </c>
      <c r="BK40">
        <v>13</v>
      </c>
      <c r="BP40" s="184"/>
    </row>
    <row r="41" spans="1:68">
      <c r="A41">
        <v>136259</v>
      </c>
      <c r="B41">
        <v>136259</v>
      </c>
      <c r="C41" t="s">
        <v>7018</v>
      </c>
      <c r="J41" t="s">
        <v>595</v>
      </c>
      <c r="K41" s="184">
        <v>42440</v>
      </c>
      <c r="P41" t="s">
        <v>7045</v>
      </c>
      <c r="Q41" t="s">
        <v>7262</v>
      </c>
      <c r="R41" s="184">
        <v>10876</v>
      </c>
      <c r="S41">
        <v>94</v>
      </c>
      <c r="U41" t="s">
        <v>7031</v>
      </c>
      <c r="V41" t="s">
        <v>5556</v>
      </c>
      <c r="X41" t="s">
        <v>3645</v>
      </c>
      <c r="Z41">
        <v>100179212</v>
      </c>
      <c r="AA41" t="s">
        <v>7130</v>
      </c>
      <c r="AB41" t="s">
        <v>7279</v>
      </c>
      <c r="AD41" t="s">
        <v>3645</v>
      </c>
      <c r="AF41" t="s">
        <v>7280</v>
      </c>
      <c r="AG41" t="s">
        <v>7281</v>
      </c>
      <c r="AI41" t="s">
        <v>7282</v>
      </c>
      <c r="AM41" t="s">
        <v>7283</v>
      </c>
      <c r="AN41" t="s">
        <v>2106</v>
      </c>
      <c r="AO41" t="s">
        <v>7284</v>
      </c>
      <c r="AP41" t="s">
        <v>7024</v>
      </c>
      <c r="AQ41" t="s">
        <v>7285</v>
      </c>
      <c r="AR41" t="s">
        <v>7286</v>
      </c>
      <c r="AT41" s="184">
        <v>30743</v>
      </c>
      <c r="AU41" t="s">
        <v>7073</v>
      </c>
      <c r="AV41">
        <v>50</v>
      </c>
      <c r="AW41" s="184">
        <v>45384</v>
      </c>
      <c r="AX41" t="s">
        <v>7287</v>
      </c>
      <c r="AY41">
        <v>200</v>
      </c>
      <c r="AZ41" s="184">
        <v>40162</v>
      </c>
      <c r="BA41" t="s">
        <v>7288</v>
      </c>
      <c r="BB41">
        <v>3000</v>
      </c>
      <c r="BC41">
        <v>98</v>
      </c>
      <c r="BD41">
        <v>42715</v>
      </c>
      <c r="BE41">
        <v>1984</v>
      </c>
      <c r="BF41">
        <v>60</v>
      </c>
      <c r="BG41">
        <v>2</v>
      </c>
      <c r="BH41">
        <v>600</v>
      </c>
      <c r="BI41">
        <v>40</v>
      </c>
      <c r="BJ41">
        <v>41</v>
      </c>
      <c r="BK41">
        <v>34</v>
      </c>
      <c r="BP41" s="184"/>
    </row>
    <row r="42" spans="1:68">
      <c r="A42">
        <v>140483</v>
      </c>
      <c r="B42">
        <v>140483</v>
      </c>
      <c r="C42" t="s">
        <v>7018</v>
      </c>
      <c r="E42" s="184"/>
      <c r="I42" s="184"/>
      <c r="J42" t="s">
        <v>595</v>
      </c>
      <c r="K42" s="184">
        <v>44719</v>
      </c>
      <c r="P42" t="s">
        <v>7084</v>
      </c>
      <c r="Q42" t="s">
        <v>7262</v>
      </c>
      <c r="R42" s="184"/>
      <c r="U42" t="s">
        <v>7094</v>
      </c>
      <c r="V42" t="s">
        <v>3101</v>
      </c>
      <c r="W42" t="s">
        <v>3951</v>
      </c>
      <c r="X42" t="s">
        <v>7289</v>
      </c>
      <c r="Z42">
        <v>56000987</v>
      </c>
      <c r="AA42" t="s">
        <v>7076</v>
      </c>
      <c r="AB42" t="s">
        <v>7290</v>
      </c>
      <c r="AD42" t="s">
        <v>7291</v>
      </c>
      <c r="AF42" t="s">
        <v>7292</v>
      </c>
      <c r="AG42" t="s">
        <v>7293</v>
      </c>
      <c r="AI42" t="s">
        <v>7294</v>
      </c>
      <c r="AM42" t="s">
        <v>3352</v>
      </c>
      <c r="AN42" t="s">
        <v>2106</v>
      </c>
      <c r="AO42" t="s">
        <v>7295</v>
      </c>
      <c r="AP42" t="s">
        <v>7024</v>
      </c>
      <c r="AT42" s="184">
        <v>30832</v>
      </c>
      <c r="AU42" t="s">
        <v>7073</v>
      </c>
      <c r="AV42">
        <v>18</v>
      </c>
      <c r="AW42" s="184">
        <v>45201</v>
      </c>
      <c r="AX42" t="s">
        <v>7296</v>
      </c>
      <c r="AY42">
        <v>17191.53</v>
      </c>
      <c r="AZ42" s="184">
        <v>44718</v>
      </c>
      <c r="BA42" t="s">
        <v>7093</v>
      </c>
      <c r="BB42">
        <v>104255.32</v>
      </c>
      <c r="BC42">
        <v>37</v>
      </c>
      <c r="BD42">
        <v>122582.85</v>
      </c>
      <c r="BE42">
        <v>1984</v>
      </c>
      <c r="BF42">
        <v>19</v>
      </c>
      <c r="BG42">
        <v>2</v>
      </c>
      <c r="BH42">
        <v>121446.85</v>
      </c>
      <c r="BI42">
        <v>15</v>
      </c>
      <c r="BJ42">
        <v>41</v>
      </c>
      <c r="BK42">
        <v>5</v>
      </c>
      <c r="BO42" t="s">
        <v>595</v>
      </c>
      <c r="BP42" s="184">
        <v>39131</v>
      </c>
    </row>
    <row r="43" spans="1:68">
      <c r="A43">
        <v>56000987</v>
      </c>
      <c r="B43">
        <v>140483</v>
      </c>
      <c r="C43" t="s">
        <v>7018</v>
      </c>
      <c r="G43" s="184"/>
      <c r="J43" t="s">
        <v>595</v>
      </c>
      <c r="K43" s="184">
        <v>44719</v>
      </c>
      <c r="P43" t="s">
        <v>7084</v>
      </c>
      <c r="Q43" t="s">
        <v>7262</v>
      </c>
      <c r="R43" s="184"/>
      <c r="U43" t="s">
        <v>7076</v>
      </c>
      <c r="V43" t="s">
        <v>7290</v>
      </c>
      <c r="X43" t="s">
        <v>7291</v>
      </c>
      <c r="Z43">
        <v>140483</v>
      </c>
      <c r="AA43" t="s">
        <v>7094</v>
      </c>
      <c r="AB43" t="s">
        <v>3101</v>
      </c>
      <c r="AC43" t="s">
        <v>3951</v>
      </c>
      <c r="AD43" t="s">
        <v>7289</v>
      </c>
      <c r="AF43" t="s">
        <v>7292</v>
      </c>
      <c r="AG43" t="s">
        <v>7293</v>
      </c>
      <c r="AI43" t="s">
        <v>7294</v>
      </c>
      <c r="AM43" t="s">
        <v>3352</v>
      </c>
      <c r="AN43" t="s">
        <v>2106</v>
      </c>
      <c r="AO43" t="s">
        <v>7295</v>
      </c>
      <c r="AP43" t="s">
        <v>7024</v>
      </c>
      <c r="AT43" s="184">
        <v>40105</v>
      </c>
      <c r="AU43" t="s">
        <v>7297</v>
      </c>
      <c r="AV43">
        <v>100</v>
      </c>
      <c r="AW43" s="184">
        <v>44718</v>
      </c>
      <c r="AX43" t="s">
        <v>7093</v>
      </c>
      <c r="AY43">
        <v>104255.32</v>
      </c>
      <c r="AZ43" s="184">
        <v>44718</v>
      </c>
      <c r="BA43" t="s">
        <v>7093</v>
      </c>
      <c r="BB43">
        <v>104255.32</v>
      </c>
      <c r="BC43">
        <v>25</v>
      </c>
      <c r="BD43">
        <v>104505.32</v>
      </c>
      <c r="BE43">
        <v>2010</v>
      </c>
      <c r="BF43">
        <v>4</v>
      </c>
      <c r="BG43">
        <v>1</v>
      </c>
      <c r="BH43">
        <v>104255.32</v>
      </c>
      <c r="BI43">
        <v>4</v>
      </c>
      <c r="BJ43">
        <v>16</v>
      </c>
      <c r="BK43">
        <v>3</v>
      </c>
      <c r="BO43" t="s">
        <v>595</v>
      </c>
      <c r="BP43" s="184">
        <v>44342</v>
      </c>
    </row>
    <row r="44" spans="1:68">
      <c r="A44">
        <v>148312</v>
      </c>
      <c r="B44">
        <v>148312</v>
      </c>
      <c r="C44" t="s">
        <v>7018</v>
      </c>
      <c r="E44" s="184"/>
      <c r="J44" t="s">
        <v>595</v>
      </c>
      <c r="K44" s="184">
        <v>37434</v>
      </c>
      <c r="P44" t="s">
        <v>7029</v>
      </c>
      <c r="Q44" t="s">
        <v>7262</v>
      </c>
      <c r="R44" s="184">
        <v>16115</v>
      </c>
      <c r="S44">
        <v>80</v>
      </c>
      <c r="U44" t="s">
        <v>7031</v>
      </c>
      <c r="V44" t="s">
        <v>2851</v>
      </c>
      <c r="W44" t="s">
        <v>7046</v>
      </c>
      <c r="X44" t="s">
        <v>7298</v>
      </c>
      <c r="AF44" t="s">
        <v>6097</v>
      </c>
      <c r="AG44" t="s">
        <v>2851</v>
      </c>
      <c r="AI44" t="s">
        <v>7299</v>
      </c>
      <c r="AM44" t="s">
        <v>3352</v>
      </c>
      <c r="AN44" t="s">
        <v>2106</v>
      </c>
      <c r="AO44" t="s">
        <v>7300</v>
      </c>
      <c r="AP44" t="s">
        <v>7024</v>
      </c>
      <c r="AQ44" t="s">
        <v>7301</v>
      </c>
      <c r="AT44" s="184">
        <v>30789</v>
      </c>
      <c r="AU44" t="s">
        <v>7073</v>
      </c>
      <c r="AV44">
        <v>25</v>
      </c>
      <c r="AW44" s="184">
        <v>45341</v>
      </c>
      <c r="AX44" t="s">
        <v>7302</v>
      </c>
      <c r="AY44">
        <v>1000</v>
      </c>
      <c r="AZ44" s="184">
        <v>45341</v>
      </c>
      <c r="BA44" t="s">
        <v>7302</v>
      </c>
      <c r="BB44">
        <v>1000</v>
      </c>
      <c r="BC44">
        <v>74</v>
      </c>
      <c r="BD44">
        <v>8915</v>
      </c>
      <c r="BE44">
        <v>1984</v>
      </c>
      <c r="BF44">
        <v>40</v>
      </c>
      <c r="BG44">
        <v>2</v>
      </c>
      <c r="BH44">
        <v>1500</v>
      </c>
      <c r="BI44">
        <v>30</v>
      </c>
      <c r="BJ44">
        <v>41</v>
      </c>
      <c r="BK44">
        <v>12</v>
      </c>
      <c r="BP44" s="184"/>
    </row>
    <row r="45" spans="1:68">
      <c r="A45">
        <v>151738</v>
      </c>
      <c r="B45">
        <v>151738</v>
      </c>
      <c r="C45" t="s">
        <v>7018</v>
      </c>
      <c r="G45" s="184"/>
      <c r="J45" t="s">
        <v>595</v>
      </c>
      <c r="K45" s="184">
        <v>44321</v>
      </c>
      <c r="P45" t="s">
        <v>7045</v>
      </c>
      <c r="Q45" t="s">
        <v>7262</v>
      </c>
      <c r="R45" s="184">
        <v>8186</v>
      </c>
      <c r="S45">
        <v>101</v>
      </c>
      <c r="U45" t="s">
        <v>7076</v>
      </c>
      <c r="V45" t="s">
        <v>3095</v>
      </c>
      <c r="X45" t="s">
        <v>7303</v>
      </c>
      <c r="AF45" t="s">
        <v>7304</v>
      </c>
      <c r="AG45" t="s">
        <v>3095</v>
      </c>
      <c r="AI45" t="s">
        <v>7305</v>
      </c>
      <c r="AM45" t="s">
        <v>2679</v>
      </c>
      <c r="AN45" t="s">
        <v>2318</v>
      </c>
      <c r="AO45" t="s">
        <v>7306</v>
      </c>
      <c r="AP45" t="s">
        <v>7024</v>
      </c>
      <c r="AQ45" t="s">
        <v>7307</v>
      </c>
      <c r="AT45" s="184">
        <v>30628</v>
      </c>
      <c r="AU45" t="s">
        <v>7308</v>
      </c>
      <c r="AV45">
        <v>20</v>
      </c>
      <c r="AW45" s="184">
        <v>44326</v>
      </c>
      <c r="AX45" t="s">
        <v>7309</v>
      </c>
      <c r="AY45">
        <v>1500</v>
      </c>
      <c r="AZ45" s="184">
        <v>44326</v>
      </c>
      <c r="BA45" t="s">
        <v>7309</v>
      </c>
      <c r="BB45">
        <v>1500</v>
      </c>
      <c r="BC45">
        <v>89</v>
      </c>
      <c r="BD45">
        <v>2555</v>
      </c>
      <c r="BE45">
        <v>1984</v>
      </c>
      <c r="BF45">
        <v>38</v>
      </c>
      <c r="BI45">
        <v>37</v>
      </c>
      <c r="BJ45">
        <v>42</v>
      </c>
      <c r="BK45">
        <v>31</v>
      </c>
      <c r="BO45" t="s">
        <v>595</v>
      </c>
      <c r="BP45" s="184">
        <v>43952</v>
      </c>
    </row>
    <row r="46" spans="1:68">
      <c r="A46">
        <v>156471</v>
      </c>
      <c r="B46">
        <v>156471</v>
      </c>
      <c r="C46" t="s">
        <v>7018</v>
      </c>
      <c r="E46" s="184"/>
      <c r="F46" t="s">
        <v>595</v>
      </c>
      <c r="G46" s="184">
        <v>44065</v>
      </c>
      <c r="K46" s="184"/>
      <c r="P46" t="s">
        <v>7045</v>
      </c>
      <c r="Q46" t="s">
        <v>7020</v>
      </c>
      <c r="R46" s="184">
        <v>18097</v>
      </c>
      <c r="S46">
        <v>74</v>
      </c>
      <c r="U46" t="s">
        <v>7031</v>
      </c>
      <c r="V46" t="s">
        <v>4144</v>
      </c>
      <c r="W46" t="s">
        <v>4327</v>
      </c>
      <c r="X46" t="s">
        <v>7310</v>
      </c>
      <c r="AF46" t="s">
        <v>7311</v>
      </c>
      <c r="AG46" t="s">
        <v>4144</v>
      </c>
      <c r="AI46" t="s">
        <v>7312</v>
      </c>
      <c r="AM46" t="s">
        <v>5519</v>
      </c>
      <c r="AN46" t="s">
        <v>2052</v>
      </c>
      <c r="AO46" t="s">
        <v>7313</v>
      </c>
      <c r="AP46" t="s">
        <v>7024</v>
      </c>
      <c r="AQ46" t="s">
        <v>7314</v>
      </c>
      <c r="AR46" t="s">
        <v>7315</v>
      </c>
      <c r="AT46" s="184">
        <v>31068</v>
      </c>
      <c r="AU46" t="s">
        <v>7073</v>
      </c>
      <c r="AV46">
        <v>18</v>
      </c>
      <c r="AW46" s="184">
        <v>40469</v>
      </c>
      <c r="AX46" t="s">
        <v>7316</v>
      </c>
      <c r="AY46">
        <v>25</v>
      </c>
      <c r="AZ46" s="184">
        <v>34673</v>
      </c>
      <c r="BA46" t="s">
        <v>7317</v>
      </c>
      <c r="BB46">
        <v>100</v>
      </c>
      <c r="BC46">
        <v>48</v>
      </c>
      <c r="BD46">
        <v>1358</v>
      </c>
      <c r="BE46">
        <v>1985</v>
      </c>
      <c r="BF46">
        <v>69</v>
      </c>
      <c r="BI46">
        <v>19</v>
      </c>
      <c r="BJ46">
        <v>40</v>
      </c>
      <c r="BK46">
        <v>16</v>
      </c>
      <c r="BN46" t="s">
        <v>595</v>
      </c>
    </row>
    <row r="47" spans="1:68">
      <c r="A47">
        <v>158824</v>
      </c>
      <c r="B47">
        <v>158824</v>
      </c>
      <c r="C47" t="s">
        <v>7018</v>
      </c>
      <c r="D47" t="s">
        <v>595</v>
      </c>
      <c r="E47" s="184">
        <v>44520</v>
      </c>
      <c r="J47" t="s">
        <v>595</v>
      </c>
      <c r="K47" s="184"/>
      <c r="P47" t="s">
        <v>7045</v>
      </c>
      <c r="Q47" t="s">
        <v>7194</v>
      </c>
      <c r="R47" s="184">
        <v>16311</v>
      </c>
      <c r="S47">
        <v>79</v>
      </c>
      <c r="U47" t="s">
        <v>7031</v>
      </c>
      <c r="V47" t="s">
        <v>2851</v>
      </c>
      <c r="W47" t="s">
        <v>3830</v>
      </c>
      <c r="X47" t="s">
        <v>7318</v>
      </c>
      <c r="Z47">
        <v>100179226</v>
      </c>
      <c r="AA47" t="s">
        <v>7076</v>
      </c>
      <c r="AB47" t="s">
        <v>2903</v>
      </c>
      <c r="AC47" t="s">
        <v>7319</v>
      </c>
      <c r="AD47" t="s">
        <v>7318</v>
      </c>
      <c r="AF47" t="s">
        <v>6103</v>
      </c>
      <c r="AG47" t="s">
        <v>2851</v>
      </c>
      <c r="AI47" t="s">
        <v>7320</v>
      </c>
      <c r="AM47" t="s">
        <v>4351</v>
      </c>
      <c r="AN47" t="s">
        <v>2046</v>
      </c>
      <c r="AO47" t="s">
        <v>7321</v>
      </c>
      <c r="AP47" t="s">
        <v>7024</v>
      </c>
      <c r="AQ47" t="s">
        <v>7322</v>
      </c>
      <c r="AR47" t="s">
        <v>7323</v>
      </c>
      <c r="AT47" s="184">
        <v>30812</v>
      </c>
      <c r="AU47" t="s">
        <v>7324</v>
      </c>
      <c r="AV47">
        <v>25</v>
      </c>
      <c r="AW47" s="184">
        <v>43212</v>
      </c>
      <c r="AX47" t="s">
        <v>7325</v>
      </c>
      <c r="AY47">
        <v>50</v>
      </c>
      <c r="AZ47" s="184">
        <v>34493</v>
      </c>
      <c r="BA47" t="s">
        <v>7326</v>
      </c>
      <c r="BB47">
        <v>1500</v>
      </c>
      <c r="BC47">
        <v>37</v>
      </c>
      <c r="BD47">
        <v>5646.95</v>
      </c>
      <c r="BE47">
        <v>1984</v>
      </c>
      <c r="BF47">
        <v>26</v>
      </c>
      <c r="BI47">
        <v>15</v>
      </c>
      <c r="BJ47">
        <v>41</v>
      </c>
      <c r="BK47">
        <v>6</v>
      </c>
      <c r="BP47" s="184"/>
    </row>
    <row r="48" spans="1:68">
      <c r="A48">
        <v>158915</v>
      </c>
      <c r="B48">
        <v>158915</v>
      </c>
      <c r="C48" t="s">
        <v>7018</v>
      </c>
      <c r="E48" s="184"/>
      <c r="G48" s="184"/>
      <c r="J48" t="s">
        <v>595</v>
      </c>
      <c r="K48" s="184">
        <v>43490</v>
      </c>
      <c r="P48" t="s">
        <v>7084</v>
      </c>
      <c r="Q48" t="s">
        <v>7262</v>
      </c>
      <c r="R48" s="184">
        <v>15734</v>
      </c>
      <c r="S48">
        <v>81</v>
      </c>
      <c r="U48" t="s">
        <v>7130</v>
      </c>
      <c r="V48" t="s">
        <v>2669</v>
      </c>
      <c r="W48" t="s">
        <v>4139</v>
      </c>
      <c r="X48" t="s">
        <v>2670</v>
      </c>
      <c r="Y48" t="s">
        <v>7327</v>
      </c>
      <c r="Z48">
        <v>100179227</v>
      </c>
      <c r="AA48" t="s">
        <v>7032</v>
      </c>
      <c r="AB48" t="s">
        <v>5035</v>
      </c>
      <c r="AC48" t="s">
        <v>4816</v>
      </c>
      <c r="AD48" t="s">
        <v>2670</v>
      </c>
      <c r="AF48" t="s">
        <v>7328</v>
      </c>
      <c r="AG48" t="s">
        <v>2669</v>
      </c>
      <c r="AI48" t="s">
        <v>7329</v>
      </c>
      <c r="AM48" t="s">
        <v>2924</v>
      </c>
      <c r="AN48" t="s">
        <v>65</v>
      </c>
      <c r="AO48" t="s">
        <v>7330</v>
      </c>
      <c r="AP48" t="s">
        <v>7024</v>
      </c>
      <c r="AQ48" t="s">
        <v>7331</v>
      </c>
      <c r="AT48" s="184">
        <v>31049</v>
      </c>
      <c r="AU48" t="s">
        <v>7332</v>
      </c>
      <c r="AV48">
        <v>25</v>
      </c>
      <c r="AW48" s="184">
        <v>45382</v>
      </c>
      <c r="AX48" t="s">
        <v>7333</v>
      </c>
      <c r="AY48">
        <v>10000</v>
      </c>
      <c r="AZ48" s="184">
        <v>43627</v>
      </c>
      <c r="BA48" t="s">
        <v>7334</v>
      </c>
      <c r="BB48">
        <v>15000</v>
      </c>
      <c r="BC48">
        <v>100</v>
      </c>
      <c r="BD48">
        <v>516631.16</v>
      </c>
      <c r="BE48">
        <v>1985</v>
      </c>
      <c r="BF48">
        <v>153</v>
      </c>
      <c r="BG48">
        <v>10</v>
      </c>
      <c r="BH48">
        <v>42350</v>
      </c>
      <c r="BI48">
        <v>40</v>
      </c>
      <c r="BJ48">
        <v>40</v>
      </c>
      <c r="BK48">
        <v>40</v>
      </c>
    </row>
    <row r="49" spans="1:68">
      <c r="A49">
        <v>159897</v>
      </c>
      <c r="B49">
        <v>159897</v>
      </c>
      <c r="C49" t="s">
        <v>7018</v>
      </c>
      <c r="D49" t="s">
        <v>595</v>
      </c>
      <c r="E49" s="184">
        <v>44167</v>
      </c>
      <c r="K49" s="184"/>
      <c r="P49" t="s">
        <v>7045</v>
      </c>
      <c r="Q49" t="s">
        <v>7262</v>
      </c>
      <c r="R49" s="184">
        <v>15702</v>
      </c>
      <c r="S49">
        <v>81</v>
      </c>
      <c r="U49" t="s">
        <v>7031</v>
      </c>
      <c r="V49" t="s">
        <v>2739</v>
      </c>
      <c r="X49" t="s">
        <v>2977</v>
      </c>
      <c r="AF49" t="s">
        <v>7335</v>
      </c>
      <c r="AG49" t="s">
        <v>2739</v>
      </c>
      <c r="AI49" t="s">
        <v>7336</v>
      </c>
      <c r="AM49" t="s">
        <v>4686</v>
      </c>
      <c r="AN49" t="s">
        <v>65</v>
      </c>
      <c r="AO49" t="s">
        <v>7337</v>
      </c>
      <c r="AP49" t="s">
        <v>7024</v>
      </c>
      <c r="AQ49" t="s">
        <v>7338</v>
      </c>
      <c r="AT49" s="184">
        <v>30679</v>
      </c>
      <c r="AU49" t="s">
        <v>7073</v>
      </c>
      <c r="AV49">
        <v>18</v>
      </c>
      <c r="AW49" s="184">
        <v>45291</v>
      </c>
      <c r="AX49" t="s">
        <v>7339</v>
      </c>
      <c r="AY49">
        <v>95</v>
      </c>
      <c r="AZ49" s="184">
        <v>44547</v>
      </c>
      <c r="BA49" t="s">
        <v>7340</v>
      </c>
      <c r="BB49">
        <v>100</v>
      </c>
      <c r="BC49">
        <v>93</v>
      </c>
      <c r="BD49">
        <v>2179</v>
      </c>
      <c r="BE49">
        <v>1984</v>
      </c>
      <c r="BF49">
        <v>45</v>
      </c>
      <c r="BG49">
        <v>2</v>
      </c>
      <c r="BH49">
        <v>185</v>
      </c>
      <c r="BI49">
        <v>39</v>
      </c>
      <c r="BJ49">
        <v>42</v>
      </c>
      <c r="BK49">
        <v>15</v>
      </c>
      <c r="BP49" s="184"/>
    </row>
    <row r="50" spans="1:68">
      <c r="A50">
        <v>164921</v>
      </c>
      <c r="B50">
        <v>164921</v>
      </c>
      <c r="C50" t="s">
        <v>7018</v>
      </c>
      <c r="E50" s="184"/>
      <c r="J50" t="s">
        <v>595</v>
      </c>
      <c r="K50" s="184">
        <v>43607</v>
      </c>
      <c r="P50" t="s">
        <v>7029</v>
      </c>
      <c r="Q50" t="s">
        <v>7262</v>
      </c>
      <c r="R50" s="184">
        <v>10167</v>
      </c>
      <c r="S50">
        <v>96</v>
      </c>
      <c r="V50" t="s">
        <v>7341</v>
      </c>
      <c r="W50" t="s">
        <v>3053</v>
      </c>
      <c r="X50" t="s">
        <v>7342</v>
      </c>
      <c r="AF50" t="s">
        <v>6191</v>
      </c>
      <c r="AG50" t="s">
        <v>7343</v>
      </c>
      <c r="AI50" t="s">
        <v>7344</v>
      </c>
      <c r="AM50" t="s">
        <v>7345</v>
      </c>
      <c r="AN50" t="s">
        <v>65</v>
      </c>
      <c r="AO50" t="s">
        <v>7346</v>
      </c>
      <c r="AP50" t="s">
        <v>7024</v>
      </c>
      <c r="AT50" s="184">
        <v>30481</v>
      </c>
      <c r="AU50" t="s">
        <v>7347</v>
      </c>
      <c r="AV50">
        <v>18</v>
      </c>
      <c r="AW50" s="184">
        <v>43447</v>
      </c>
      <c r="AX50" t="s">
        <v>7348</v>
      </c>
      <c r="AY50">
        <v>2516.13</v>
      </c>
      <c r="AZ50" s="184">
        <v>43447</v>
      </c>
      <c r="BA50" t="s">
        <v>7348</v>
      </c>
      <c r="BB50">
        <v>2516.13</v>
      </c>
      <c r="BC50">
        <v>39</v>
      </c>
      <c r="BD50">
        <v>3024.13</v>
      </c>
      <c r="BE50">
        <v>1983</v>
      </c>
      <c r="BF50">
        <v>19</v>
      </c>
      <c r="BI50">
        <v>16</v>
      </c>
      <c r="BJ50">
        <v>42</v>
      </c>
      <c r="BK50">
        <v>12</v>
      </c>
      <c r="BO50" t="s">
        <v>595</v>
      </c>
      <c r="BP50" s="184">
        <v>43158</v>
      </c>
    </row>
    <row r="51" spans="1:68">
      <c r="A51">
        <v>170886</v>
      </c>
      <c r="B51">
        <v>170886</v>
      </c>
      <c r="C51" t="s">
        <v>7018</v>
      </c>
      <c r="D51" t="s">
        <v>595</v>
      </c>
      <c r="E51" s="184">
        <v>44118</v>
      </c>
      <c r="K51" s="184"/>
      <c r="P51" t="s">
        <v>7045</v>
      </c>
      <c r="Q51" t="s">
        <v>7262</v>
      </c>
      <c r="R51" s="184">
        <v>11655</v>
      </c>
      <c r="S51">
        <v>92</v>
      </c>
      <c r="U51" t="s">
        <v>7076</v>
      </c>
      <c r="V51" t="s">
        <v>3554</v>
      </c>
      <c r="X51" t="s">
        <v>7349</v>
      </c>
      <c r="AF51" t="s">
        <v>7350</v>
      </c>
      <c r="AG51" t="s">
        <v>3554</v>
      </c>
      <c r="AI51" t="s">
        <v>7351</v>
      </c>
      <c r="AM51" t="s">
        <v>7352</v>
      </c>
      <c r="AN51" t="s">
        <v>2069</v>
      </c>
      <c r="AO51" t="s">
        <v>7353</v>
      </c>
      <c r="AP51" t="s">
        <v>7024</v>
      </c>
      <c r="AT51" s="184">
        <v>31027</v>
      </c>
      <c r="AU51" t="s">
        <v>7073</v>
      </c>
      <c r="AV51">
        <v>18</v>
      </c>
      <c r="AW51" s="184">
        <v>44589</v>
      </c>
      <c r="AX51" t="s">
        <v>7354</v>
      </c>
      <c r="AY51">
        <v>50</v>
      </c>
      <c r="AZ51" s="184">
        <v>44589</v>
      </c>
      <c r="BA51" t="s">
        <v>7354</v>
      </c>
      <c r="BB51">
        <v>50</v>
      </c>
      <c r="BC51">
        <v>66</v>
      </c>
      <c r="BD51">
        <v>1508</v>
      </c>
      <c r="BE51">
        <v>1985</v>
      </c>
      <c r="BF51">
        <v>39</v>
      </c>
      <c r="BI51">
        <v>27</v>
      </c>
      <c r="BJ51">
        <v>41</v>
      </c>
      <c r="BK51">
        <v>14</v>
      </c>
    </row>
    <row r="52" spans="1:68">
      <c r="A52">
        <v>173161</v>
      </c>
      <c r="B52">
        <v>173161</v>
      </c>
      <c r="C52" t="s">
        <v>7018</v>
      </c>
      <c r="J52" t="s">
        <v>595</v>
      </c>
      <c r="K52" s="184">
        <v>37435</v>
      </c>
      <c r="P52" t="s">
        <v>7084</v>
      </c>
      <c r="Q52" t="s">
        <v>7262</v>
      </c>
      <c r="R52" s="184">
        <v>14714</v>
      </c>
      <c r="S52">
        <v>84</v>
      </c>
      <c r="U52" t="s">
        <v>7031</v>
      </c>
      <c r="V52" t="s">
        <v>2541</v>
      </c>
      <c r="W52" t="s">
        <v>7355</v>
      </c>
      <c r="X52" t="s">
        <v>5329</v>
      </c>
      <c r="Y52" t="s">
        <v>7047</v>
      </c>
      <c r="Z52">
        <v>100006969</v>
      </c>
      <c r="AA52" t="s">
        <v>7130</v>
      </c>
      <c r="AB52" t="s">
        <v>4608</v>
      </c>
      <c r="AC52" t="s">
        <v>7356</v>
      </c>
      <c r="AD52" t="s">
        <v>5329</v>
      </c>
      <c r="AF52" t="s">
        <v>7357</v>
      </c>
      <c r="AG52" t="s">
        <v>7358</v>
      </c>
      <c r="AI52" t="s">
        <v>7359</v>
      </c>
      <c r="AJ52" t="s">
        <v>7360</v>
      </c>
      <c r="AM52" t="s">
        <v>5330</v>
      </c>
      <c r="AN52" t="s">
        <v>2069</v>
      </c>
      <c r="AO52" t="s">
        <v>7361</v>
      </c>
      <c r="AP52" t="s">
        <v>7024</v>
      </c>
      <c r="AQ52" t="s">
        <v>7362</v>
      </c>
      <c r="AT52" s="184">
        <v>31049</v>
      </c>
      <c r="AU52" t="s">
        <v>7073</v>
      </c>
      <c r="AV52">
        <v>100</v>
      </c>
      <c r="AW52" s="184">
        <v>45390</v>
      </c>
      <c r="AX52" t="s">
        <v>7363</v>
      </c>
      <c r="AY52">
        <v>10000</v>
      </c>
      <c r="AZ52" s="184">
        <v>35955</v>
      </c>
      <c r="BA52" t="s">
        <v>7364</v>
      </c>
      <c r="BB52">
        <v>107500</v>
      </c>
      <c r="BC52">
        <v>98</v>
      </c>
      <c r="BD52">
        <v>657701.94999999995</v>
      </c>
      <c r="BE52">
        <v>1985</v>
      </c>
      <c r="BF52">
        <v>84</v>
      </c>
      <c r="BG52">
        <v>4</v>
      </c>
      <c r="BH52">
        <v>45000</v>
      </c>
      <c r="BI52">
        <v>39</v>
      </c>
      <c r="BJ52">
        <v>40</v>
      </c>
      <c r="BK52">
        <v>25</v>
      </c>
      <c r="BP52" s="184"/>
    </row>
    <row r="53" spans="1:68">
      <c r="A53">
        <v>100006969</v>
      </c>
      <c r="B53">
        <v>173161</v>
      </c>
      <c r="C53" t="s">
        <v>7018</v>
      </c>
      <c r="E53" s="184"/>
      <c r="J53" t="s">
        <v>595</v>
      </c>
      <c r="K53" s="184">
        <v>43654</v>
      </c>
      <c r="P53" t="s">
        <v>7084</v>
      </c>
      <c r="Q53" t="s">
        <v>7262</v>
      </c>
      <c r="R53" s="184">
        <v>14702</v>
      </c>
      <c r="S53">
        <v>84</v>
      </c>
      <c r="U53" t="s">
        <v>7130</v>
      </c>
      <c r="V53" t="s">
        <v>4608</v>
      </c>
      <c r="W53" t="s">
        <v>7356</v>
      </c>
      <c r="X53" t="s">
        <v>5329</v>
      </c>
      <c r="Z53">
        <v>173161</v>
      </c>
      <c r="AA53" t="s">
        <v>7031</v>
      </c>
      <c r="AB53" t="s">
        <v>2541</v>
      </c>
      <c r="AC53" t="s">
        <v>7355</v>
      </c>
      <c r="AD53" t="s">
        <v>5329</v>
      </c>
      <c r="AE53" t="s">
        <v>7047</v>
      </c>
      <c r="AF53" t="s">
        <v>7357</v>
      </c>
      <c r="AG53" t="s">
        <v>7358</v>
      </c>
      <c r="AI53" t="s">
        <v>7359</v>
      </c>
      <c r="AJ53" t="s">
        <v>7360</v>
      </c>
      <c r="AM53" t="s">
        <v>5330</v>
      </c>
      <c r="AN53" t="s">
        <v>2069</v>
      </c>
      <c r="AO53" t="s">
        <v>7361</v>
      </c>
      <c r="AP53" t="s">
        <v>7024</v>
      </c>
      <c r="AQ53" t="s">
        <v>7365</v>
      </c>
      <c r="AT53" s="184"/>
      <c r="AW53" s="184"/>
      <c r="AZ53" s="184"/>
    </row>
    <row r="54" spans="1:68">
      <c r="A54">
        <v>177329</v>
      </c>
      <c r="B54">
        <v>177329</v>
      </c>
      <c r="C54" t="s">
        <v>7018</v>
      </c>
      <c r="D54" t="s">
        <v>595</v>
      </c>
      <c r="E54" s="184">
        <v>43881</v>
      </c>
      <c r="K54" s="184"/>
      <c r="O54" s="184"/>
      <c r="P54" t="s">
        <v>7045</v>
      </c>
      <c r="Q54" t="s">
        <v>7262</v>
      </c>
      <c r="R54" s="184">
        <v>17514</v>
      </c>
      <c r="S54">
        <v>76</v>
      </c>
      <c r="U54" t="s">
        <v>7031</v>
      </c>
      <c r="V54" t="s">
        <v>2832</v>
      </c>
      <c r="W54" t="s">
        <v>3332</v>
      </c>
      <c r="X54" t="s">
        <v>7366</v>
      </c>
      <c r="AF54" t="s">
        <v>7367</v>
      </c>
      <c r="AG54" t="s">
        <v>2832</v>
      </c>
      <c r="AI54" t="s">
        <v>7368</v>
      </c>
      <c r="AM54" t="s">
        <v>2730</v>
      </c>
      <c r="AN54" t="s">
        <v>2069</v>
      </c>
      <c r="AO54" t="s">
        <v>7369</v>
      </c>
      <c r="AP54" t="s">
        <v>7024</v>
      </c>
      <c r="AQ54" t="s">
        <v>7370</v>
      </c>
      <c r="AR54" t="s">
        <v>7371</v>
      </c>
      <c r="AT54" s="184">
        <v>30764</v>
      </c>
      <c r="AU54" t="s">
        <v>7073</v>
      </c>
      <c r="AV54">
        <v>18</v>
      </c>
      <c r="AW54" s="184">
        <v>45327</v>
      </c>
      <c r="AX54" t="s">
        <v>7372</v>
      </c>
      <c r="AY54">
        <v>20</v>
      </c>
      <c r="AZ54" s="184">
        <v>43983</v>
      </c>
      <c r="BA54" t="s">
        <v>7373</v>
      </c>
      <c r="BB54">
        <v>60</v>
      </c>
      <c r="BC54">
        <v>74</v>
      </c>
      <c r="BD54">
        <v>976</v>
      </c>
      <c r="BE54">
        <v>1984</v>
      </c>
      <c r="BF54">
        <v>37</v>
      </c>
      <c r="BG54">
        <v>3</v>
      </c>
      <c r="BH54">
        <v>40</v>
      </c>
      <c r="BI54">
        <v>30</v>
      </c>
      <c r="BJ54">
        <v>41</v>
      </c>
      <c r="BK54">
        <v>10</v>
      </c>
      <c r="BP54" s="184"/>
    </row>
    <row r="55" spans="1:68">
      <c r="A55">
        <v>177964</v>
      </c>
      <c r="B55">
        <v>177964</v>
      </c>
      <c r="C55" t="s">
        <v>7018</v>
      </c>
      <c r="J55" t="s">
        <v>595</v>
      </c>
      <c r="K55" s="184">
        <v>40669</v>
      </c>
      <c r="P55" t="s">
        <v>7029</v>
      </c>
      <c r="Q55" t="s">
        <v>7374</v>
      </c>
      <c r="R55" s="184">
        <v>18427</v>
      </c>
      <c r="S55">
        <v>73</v>
      </c>
      <c r="U55" t="s">
        <v>7130</v>
      </c>
      <c r="V55" t="s">
        <v>5739</v>
      </c>
      <c r="W55" t="s">
        <v>7375</v>
      </c>
      <c r="X55" t="s">
        <v>3201</v>
      </c>
      <c r="Z55">
        <v>100006990</v>
      </c>
      <c r="AA55" t="s">
        <v>7031</v>
      </c>
      <c r="AB55" t="s">
        <v>2982</v>
      </c>
      <c r="AD55" t="s">
        <v>3201</v>
      </c>
      <c r="AF55" t="s">
        <v>7376</v>
      </c>
      <c r="AG55" t="s">
        <v>7377</v>
      </c>
      <c r="AI55" t="s">
        <v>7378</v>
      </c>
      <c r="AM55" t="s">
        <v>4551</v>
      </c>
      <c r="AN55" t="s">
        <v>2081</v>
      </c>
      <c r="AO55" t="s">
        <v>7379</v>
      </c>
      <c r="AP55" t="s">
        <v>7024</v>
      </c>
      <c r="AQ55" t="s">
        <v>7380</v>
      </c>
      <c r="AR55" t="s">
        <v>7381</v>
      </c>
      <c r="AT55" s="184">
        <v>30511</v>
      </c>
      <c r="AU55" t="s">
        <v>7073</v>
      </c>
      <c r="AV55">
        <v>50</v>
      </c>
      <c r="AW55" s="184">
        <v>45321</v>
      </c>
      <c r="AX55" t="s">
        <v>7382</v>
      </c>
      <c r="AY55">
        <v>2000</v>
      </c>
      <c r="AZ55" s="184">
        <v>45321</v>
      </c>
      <c r="BA55" t="s">
        <v>7382</v>
      </c>
      <c r="BB55">
        <v>2000</v>
      </c>
      <c r="BC55">
        <v>86</v>
      </c>
      <c r="BD55">
        <v>30887</v>
      </c>
      <c r="BE55">
        <v>1984</v>
      </c>
      <c r="BF55">
        <v>62</v>
      </c>
      <c r="BG55">
        <v>3</v>
      </c>
      <c r="BH55">
        <v>5000</v>
      </c>
      <c r="BI55">
        <v>36</v>
      </c>
      <c r="BJ55">
        <v>42</v>
      </c>
      <c r="BK55">
        <v>22</v>
      </c>
      <c r="BN55" t="s">
        <v>595</v>
      </c>
    </row>
    <row r="56" spans="1:68">
      <c r="A56">
        <v>100006990</v>
      </c>
      <c r="B56">
        <v>177964</v>
      </c>
      <c r="C56" t="s">
        <v>7018</v>
      </c>
      <c r="E56" s="184"/>
      <c r="J56" t="s">
        <v>595</v>
      </c>
      <c r="K56" s="184">
        <v>40669</v>
      </c>
      <c r="O56" s="184"/>
      <c r="P56" t="s">
        <v>7029</v>
      </c>
      <c r="Q56" t="s">
        <v>7374</v>
      </c>
      <c r="R56" s="184">
        <v>17454</v>
      </c>
      <c r="S56">
        <v>76</v>
      </c>
      <c r="U56" t="s">
        <v>7031</v>
      </c>
      <c r="V56" t="s">
        <v>2982</v>
      </c>
      <c r="X56" t="s">
        <v>3201</v>
      </c>
      <c r="Z56">
        <v>177964</v>
      </c>
      <c r="AA56" t="s">
        <v>7130</v>
      </c>
      <c r="AB56" t="s">
        <v>5739</v>
      </c>
      <c r="AC56" t="s">
        <v>7375</v>
      </c>
      <c r="AD56" t="s">
        <v>3201</v>
      </c>
      <c r="AF56" t="s">
        <v>7376</v>
      </c>
      <c r="AG56" t="s">
        <v>7377</v>
      </c>
      <c r="AI56" t="s">
        <v>7378</v>
      </c>
      <c r="AM56" t="s">
        <v>4551</v>
      </c>
      <c r="AN56" t="s">
        <v>2081</v>
      </c>
      <c r="AO56" t="s">
        <v>7379</v>
      </c>
      <c r="AP56" t="s">
        <v>7024</v>
      </c>
      <c r="AT56" s="184"/>
      <c r="AW56" s="184"/>
      <c r="AZ56" s="184"/>
      <c r="BP56" s="184"/>
    </row>
    <row r="57" spans="1:68">
      <c r="A57">
        <v>178103</v>
      </c>
      <c r="B57">
        <v>178103</v>
      </c>
      <c r="C57" t="s">
        <v>7018</v>
      </c>
      <c r="K57" s="184"/>
      <c r="N57" t="s">
        <v>595</v>
      </c>
      <c r="O57" s="184">
        <v>39436</v>
      </c>
      <c r="P57" t="s">
        <v>7045</v>
      </c>
      <c r="Q57" t="s">
        <v>7383</v>
      </c>
      <c r="R57" s="184">
        <v>10651</v>
      </c>
      <c r="S57">
        <v>95</v>
      </c>
      <c r="U57" t="s">
        <v>7031</v>
      </c>
      <c r="V57" t="s">
        <v>3825</v>
      </c>
      <c r="W57" t="s">
        <v>7384</v>
      </c>
      <c r="X57" t="s">
        <v>5775</v>
      </c>
      <c r="AF57" t="s">
        <v>7385</v>
      </c>
      <c r="AG57" t="s">
        <v>7386</v>
      </c>
      <c r="AI57" t="s">
        <v>7387</v>
      </c>
      <c r="AM57" t="s">
        <v>5776</v>
      </c>
      <c r="AN57" t="s">
        <v>2162</v>
      </c>
      <c r="AO57" t="s">
        <v>7388</v>
      </c>
      <c r="AP57" t="s">
        <v>7024</v>
      </c>
      <c r="AT57" s="184">
        <v>30468</v>
      </c>
      <c r="AU57" t="s">
        <v>7073</v>
      </c>
      <c r="AV57">
        <v>18</v>
      </c>
      <c r="AW57" s="184">
        <v>42843</v>
      </c>
      <c r="AX57" t="s">
        <v>7389</v>
      </c>
      <c r="AY57">
        <v>25</v>
      </c>
      <c r="AZ57" s="184">
        <v>41978</v>
      </c>
      <c r="BA57" t="s">
        <v>7042</v>
      </c>
      <c r="BB57">
        <v>10000</v>
      </c>
      <c r="BC57">
        <v>81</v>
      </c>
      <c r="BD57">
        <v>20951</v>
      </c>
      <c r="BE57">
        <v>1983</v>
      </c>
      <c r="BF57">
        <v>51</v>
      </c>
      <c r="BI57">
        <v>34</v>
      </c>
      <c r="BJ57">
        <v>42</v>
      </c>
      <c r="BK57">
        <v>28</v>
      </c>
      <c r="BO57" t="s">
        <v>595</v>
      </c>
      <c r="BP57" s="184">
        <v>43100</v>
      </c>
    </row>
    <row r="58" spans="1:68">
      <c r="A58">
        <v>188086</v>
      </c>
      <c r="B58">
        <v>188086</v>
      </c>
      <c r="C58" t="s">
        <v>7018</v>
      </c>
      <c r="J58" t="s">
        <v>595</v>
      </c>
      <c r="K58" s="184">
        <v>43571</v>
      </c>
      <c r="P58" t="s">
        <v>7029</v>
      </c>
      <c r="Q58" t="s">
        <v>7262</v>
      </c>
      <c r="R58" s="184">
        <v>16282</v>
      </c>
      <c r="S58">
        <v>79</v>
      </c>
      <c r="V58" t="s">
        <v>5732</v>
      </c>
      <c r="W58" t="s">
        <v>2049</v>
      </c>
      <c r="X58" t="s">
        <v>2814</v>
      </c>
      <c r="Z58">
        <v>100007037</v>
      </c>
      <c r="AB58" t="s">
        <v>5735</v>
      </c>
      <c r="AC58" t="s">
        <v>205</v>
      </c>
      <c r="AD58" t="s">
        <v>2814</v>
      </c>
      <c r="AF58" t="s">
        <v>7390</v>
      </c>
      <c r="AG58" t="s">
        <v>7391</v>
      </c>
      <c r="AI58" t="s">
        <v>7392</v>
      </c>
      <c r="AM58" t="s">
        <v>2815</v>
      </c>
      <c r="AN58" t="s">
        <v>2266</v>
      </c>
      <c r="AO58" t="s">
        <v>7393</v>
      </c>
      <c r="AP58" t="s">
        <v>7024</v>
      </c>
      <c r="AQ58" t="s">
        <v>7394</v>
      </c>
      <c r="AT58" s="184">
        <v>30697</v>
      </c>
      <c r="AU58" t="s">
        <v>7173</v>
      </c>
      <c r="AV58">
        <v>25</v>
      </c>
      <c r="AW58" s="184">
        <v>45288</v>
      </c>
      <c r="AX58" t="s">
        <v>7382</v>
      </c>
      <c r="AY58">
        <v>2000</v>
      </c>
      <c r="AZ58" s="184">
        <v>44018</v>
      </c>
      <c r="BA58" t="s">
        <v>7395</v>
      </c>
      <c r="BB58">
        <v>2250</v>
      </c>
      <c r="BC58">
        <v>69</v>
      </c>
      <c r="BD58">
        <v>33228</v>
      </c>
      <c r="BE58">
        <v>1984</v>
      </c>
      <c r="BF58">
        <v>40</v>
      </c>
      <c r="BG58">
        <v>3</v>
      </c>
      <c r="BH58">
        <v>4500</v>
      </c>
      <c r="BI58">
        <v>28</v>
      </c>
      <c r="BJ58">
        <v>41</v>
      </c>
      <c r="BK58">
        <v>13</v>
      </c>
    </row>
    <row r="59" spans="1:68">
      <c r="A59">
        <v>100007037</v>
      </c>
      <c r="B59">
        <v>188086</v>
      </c>
      <c r="C59" t="s">
        <v>7018</v>
      </c>
      <c r="J59" t="s">
        <v>595</v>
      </c>
      <c r="K59" s="184">
        <v>43571</v>
      </c>
      <c r="O59" s="184"/>
      <c r="P59" t="s">
        <v>7029</v>
      </c>
      <c r="Q59" t="s">
        <v>7262</v>
      </c>
      <c r="R59" s="184"/>
      <c r="V59" t="s">
        <v>5735</v>
      </c>
      <c r="W59" t="s">
        <v>205</v>
      </c>
      <c r="X59" t="s">
        <v>2814</v>
      </c>
      <c r="Z59">
        <v>188086</v>
      </c>
      <c r="AB59" t="s">
        <v>5732</v>
      </c>
      <c r="AC59" t="s">
        <v>2049</v>
      </c>
      <c r="AD59" t="s">
        <v>2814</v>
      </c>
      <c r="AF59" t="s">
        <v>7390</v>
      </c>
      <c r="AG59" t="s">
        <v>7391</v>
      </c>
      <c r="AI59" t="s">
        <v>7392</v>
      </c>
      <c r="AM59" t="s">
        <v>2815</v>
      </c>
      <c r="AN59" t="s">
        <v>2266</v>
      </c>
      <c r="AO59" t="s">
        <v>7393</v>
      </c>
      <c r="AP59" t="s">
        <v>7024</v>
      </c>
      <c r="AT59" s="184"/>
      <c r="AW59" s="184"/>
      <c r="AZ59" s="184"/>
      <c r="BP59" s="184"/>
    </row>
    <row r="60" spans="1:68">
      <c r="A60">
        <v>188490</v>
      </c>
      <c r="B60">
        <v>188490</v>
      </c>
      <c r="C60" t="s">
        <v>7018</v>
      </c>
      <c r="J60" t="s">
        <v>595</v>
      </c>
      <c r="K60" s="184">
        <v>44428</v>
      </c>
      <c r="P60" t="s">
        <v>7045</v>
      </c>
      <c r="Q60" t="s">
        <v>7262</v>
      </c>
      <c r="R60" s="184">
        <v>13881</v>
      </c>
      <c r="S60">
        <v>86</v>
      </c>
      <c r="U60" t="s">
        <v>7130</v>
      </c>
      <c r="V60" t="s">
        <v>4523</v>
      </c>
      <c r="W60" t="s">
        <v>7396</v>
      </c>
      <c r="X60" t="s">
        <v>7397</v>
      </c>
      <c r="Z60">
        <v>100799932</v>
      </c>
      <c r="AA60" t="s">
        <v>7031</v>
      </c>
      <c r="AB60" t="s">
        <v>4093</v>
      </c>
      <c r="AD60" t="s">
        <v>7397</v>
      </c>
      <c r="AF60" t="s">
        <v>7398</v>
      </c>
      <c r="AG60" t="s">
        <v>7399</v>
      </c>
      <c r="AI60" t="s">
        <v>7400</v>
      </c>
      <c r="AM60" t="s">
        <v>7401</v>
      </c>
      <c r="AN60" t="s">
        <v>2266</v>
      </c>
      <c r="AO60" t="s">
        <v>7402</v>
      </c>
      <c r="AP60" t="s">
        <v>7024</v>
      </c>
      <c r="AQ60" t="s">
        <v>7403</v>
      </c>
      <c r="AT60" s="184">
        <v>30742</v>
      </c>
      <c r="AU60" t="s">
        <v>7404</v>
      </c>
      <c r="AV60">
        <v>18</v>
      </c>
      <c r="AW60" s="184">
        <v>44943</v>
      </c>
      <c r="AX60" t="s">
        <v>7405</v>
      </c>
      <c r="AY60">
        <v>50</v>
      </c>
      <c r="AZ60" s="184">
        <v>43108</v>
      </c>
      <c r="BA60" t="s">
        <v>7406</v>
      </c>
      <c r="BB60">
        <v>100</v>
      </c>
      <c r="BC60">
        <v>83</v>
      </c>
      <c r="BD60">
        <v>1972</v>
      </c>
      <c r="BE60">
        <v>1984</v>
      </c>
      <c r="BF60">
        <v>58</v>
      </c>
      <c r="BG60">
        <v>1</v>
      </c>
      <c r="BH60">
        <v>50</v>
      </c>
      <c r="BI60">
        <v>34</v>
      </c>
      <c r="BJ60">
        <v>41</v>
      </c>
      <c r="BK60">
        <v>22</v>
      </c>
      <c r="BN60" t="s">
        <v>595</v>
      </c>
    </row>
    <row r="61" spans="1:68">
      <c r="A61">
        <v>100799932</v>
      </c>
      <c r="B61">
        <v>188490</v>
      </c>
      <c r="C61" t="s">
        <v>7018</v>
      </c>
      <c r="G61" s="184"/>
      <c r="J61" t="s">
        <v>595</v>
      </c>
      <c r="K61" s="184">
        <v>44592</v>
      </c>
      <c r="O61" s="184"/>
      <c r="P61" t="s">
        <v>7045</v>
      </c>
      <c r="Q61" t="s">
        <v>7262</v>
      </c>
      <c r="R61" s="184"/>
      <c r="U61" t="s">
        <v>7031</v>
      </c>
      <c r="V61" t="s">
        <v>4093</v>
      </c>
      <c r="X61" t="s">
        <v>7397</v>
      </c>
      <c r="Z61">
        <v>188490</v>
      </c>
      <c r="AA61" t="s">
        <v>7130</v>
      </c>
      <c r="AB61" t="s">
        <v>4523</v>
      </c>
      <c r="AC61" t="s">
        <v>7396</v>
      </c>
      <c r="AD61" t="s">
        <v>7397</v>
      </c>
      <c r="AF61" t="s">
        <v>7398</v>
      </c>
      <c r="AG61" t="s">
        <v>7399</v>
      </c>
      <c r="AI61" t="s">
        <v>7400</v>
      </c>
      <c r="AM61" t="s">
        <v>7401</v>
      </c>
      <c r="AN61" t="s">
        <v>2266</v>
      </c>
      <c r="AO61" t="s">
        <v>7402</v>
      </c>
      <c r="AP61" t="s">
        <v>7024</v>
      </c>
      <c r="AT61" s="184"/>
      <c r="AW61" s="184"/>
      <c r="AZ61" s="184"/>
    </row>
    <row r="62" spans="1:68">
      <c r="A62">
        <v>188839</v>
      </c>
      <c r="B62">
        <v>188839</v>
      </c>
      <c r="C62" t="s">
        <v>7018</v>
      </c>
      <c r="E62" s="184"/>
      <c r="K62" s="184"/>
      <c r="N62" t="s">
        <v>595</v>
      </c>
      <c r="O62" s="184">
        <v>40527</v>
      </c>
      <c r="P62" t="s">
        <v>7045</v>
      </c>
      <c r="Q62" t="s">
        <v>7030</v>
      </c>
      <c r="R62" s="184">
        <v>10301</v>
      </c>
      <c r="S62">
        <v>96</v>
      </c>
      <c r="U62" t="s">
        <v>7032</v>
      </c>
      <c r="V62" t="s">
        <v>3103</v>
      </c>
      <c r="W62" t="s">
        <v>7407</v>
      </c>
      <c r="X62" t="s">
        <v>7408</v>
      </c>
      <c r="AF62" t="s">
        <v>7409</v>
      </c>
      <c r="AG62" t="s">
        <v>3103</v>
      </c>
      <c r="AI62" t="s">
        <v>7410</v>
      </c>
      <c r="AM62" t="s">
        <v>2873</v>
      </c>
      <c r="AN62" t="s">
        <v>2094</v>
      </c>
      <c r="AO62" t="s">
        <v>7411</v>
      </c>
      <c r="AP62" t="s">
        <v>7024</v>
      </c>
      <c r="AQ62" t="s">
        <v>7412</v>
      </c>
      <c r="AT62" s="184">
        <v>30488</v>
      </c>
      <c r="AU62" t="s">
        <v>7413</v>
      </c>
      <c r="AV62">
        <v>170</v>
      </c>
      <c r="AW62" s="184">
        <v>45411</v>
      </c>
      <c r="AX62" t="s">
        <v>7414</v>
      </c>
      <c r="AY62">
        <v>35</v>
      </c>
      <c r="AZ62" s="184">
        <v>40527</v>
      </c>
      <c r="BA62" t="s">
        <v>7415</v>
      </c>
      <c r="BB62">
        <v>10000</v>
      </c>
      <c r="BC62">
        <v>89</v>
      </c>
      <c r="BD62">
        <v>19849.5</v>
      </c>
      <c r="BE62">
        <v>1983</v>
      </c>
      <c r="BF62">
        <v>143</v>
      </c>
      <c r="BG62">
        <v>24</v>
      </c>
      <c r="BH62">
        <v>840</v>
      </c>
      <c r="BI62">
        <v>37</v>
      </c>
      <c r="BJ62">
        <v>42</v>
      </c>
      <c r="BK62">
        <v>22</v>
      </c>
      <c r="BM62" t="s">
        <v>595</v>
      </c>
    </row>
    <row r="63" spans="1:68">
      <c r="A63">
        <v>192096</v>
      </c>
      <c r="B63">
        <v>192096</v>
      </c>
      <c r="C63" t="s">
        <v>7018</v>
      </c>
      <c r="G63" s="184"/>
      <c r="J63" t="s">
        <v>595</v>
      </c>
      <c r="K63" s="184">
        <v>44048</v>
      </c>
      <c r="P63" t="s">
        <v>7029</v>
      </c>
      <c r="Q63" t="s">
        <v>7160</v>
      </c>
      <c r="R63" s="184">
        <v>19238</v>
      </c>
      <c r="S63">
        <v>71</v>
      </c>
      <c r="U63" t="s">
        <v>7076</v>
      </c>
      <c r="V63" t="s">
        <v>2795</v>
      </c>
      <c r="W63" t="s">
        <v>3522</v>
      </c>
      <c r="X63" t="s">
        <v>7416</v>
      </c>
      <c r="Z63">
        <v>100554249</v>
      </c>
      <c r="AB63" t="s">
        <v>4587</v>
      </c>
      <c r="AD63" t="s">
        <v>5886</v>
      </c>
      <c r="AF63" t="s">
        <v>7417</v>
      </c>
      <c r="AG63" t="s">
        <v>2795</v>
      </c>
      <c r="AI63" t="s">
        <v>7418</v>
      </c>
      <c r="AM63" t="s">
        <v>5548</v>
      </c>
      <c r="AN63" t="s">
        <v>2176</v>
      </c>
      <c r="AO63" t="s">
        <v>7419</v>
      </c>
      <c r="AP63" t="s">
        <v>7024</v>
      </c>
      <c r="AQ63" t="s">
        <v>7420</v>
      </c>
      <c r="AT63" s="184">
        <v>30994</v>
      </c>
      <c r="AU63" t="s">
        <v>7421</v>
      </c>
      <c r="AV63">
        <v>18</v>
      </c>
      <c r="AW63" s="184">
        <v>45426</v>
      </c>
      <c r="AX63" t="s">
        <v>7422</v>
      </c>
      <c r="AY63">
        <v>10</v>
      </c>
      <c r="AZ63" s="184">
        <v>44543</v>
      </c>
      <c r="BA63" t="s">
        <v>7423</v>
      </c>
      <c r="BB63">
        <v>1000</v>
      </c>
      <c r="BC63">
        <v>88</v>
      </c>
      <c r="BD63">
        <v>3562</v>
      </c>
      <c r="BE63">
        <v>1985</v>
      </c>
      <c r="BF63">
        <v>121</v>
      </c>
      <c r="BG63">
        <v>24</v>
      </c>
      <c r="BH63">
        <v>240</v>
      </c>
      <c r="BI63">
        <v>36</v>
      </c>
      <c r="BJ63">
        <v>41</v>
      </c>
      <c r="BK63">
        <v>24</v>
      </c>
      <c r="BP63" s="184"/>
    </row>
    <row r="64" spans="1:68">
      <c r="A64">
        <v>197772</v>
      </c>
      <c r="B64">
        <v>197772</v>
      </c>
      <c r="C64" t="s">
        <v>7018</v>
      </c>
      <c r="E64" s="184"/>
      <c r="F64" t="s">
        <v>595</v>
      </c>
      <c r="G64" s="184">
        <v>43879</v>
      </c>
      <c r="K64" s="184"/>
      <c r="O64" s="184"/>
      <c r="P64" t="s">
        <v>7045</v>
      </c>
      <c r="Q64" t="s">
        <v>7160</v>
      </c>
      <c r="R64" s="184">
        <v>17996</v>
      </c>
      <c r="S64">
        <v>75</v>
      </c>
      <c r="U64" t="s">
        <v>7076</v>
      </c>
      <c r="V64" t="s">
        <v>3554</v>
      </c>
      <c r="W64" t="s">
        <v>7407</v>
      </c>
      <c r="X64" t="s">
        <v>7319</v>
      </c>
      <c r="AF64" t="s">
        <v>7424</v>
      </c>
      <c r="AG64" t="s">
        <v>3554</v>
      </c>
      <c r="AI64" t="s">
        <v>7425</v>
      </c>
      <c r="AM64" t="s">
        <v>7426</v>
      </c>
      <c r="AN64" t="s">
        <v>2176</v>
      </c>
      <c r="AO64">
        <v>28705</v>
      </c>
      <c r="AP64" t="s">
        <v>7024</v>
      </c>
      <c r="AQ64" t="s">
        <v>7427</v>
      </c>
      <c r="AT64" s="184">
        <v>30553</v>
      </c>
      <c r="AU64" t="s">
        <v>7428</v>
      </c>
      <c r="AV64">
        <v>5</v>
      </c>
      <c r="AW64" s="184">
        <v>45406</v>
      </c>
      <c r="AX64" t="s">
        <v>7429</v>
      </c>
      <c r="AY64">
        <v>25</v>
      </c>
      <c r="AZ64" s="184">
        <v>42474</v>
      </c>
      <c r="BA64" t="s">
        <v>7430</v>
      </c>
      <c r="BB64">
        <v>250</v>
      </c>
      <c r="BC64">
        <v>100</v>
      </c>
      <c r="BD64">
        <v>7900</v>
      </c>
      <c r="BE64">
        <v>1984</v>
      </c>
      <c r="BF64">
        <v>130</v>
      </c>
      <c r="BG64">
        <v>24</v>
      </c>
      <c r="BH64">
        <v>600</v>
      </c>
      <c r="BI64">
        <v>42</v>
      </c>
      <c r="BJ64">
        <v>42</v>
      </c>
      <c r="BK64">
        <v>42</v>
      </c>
    </row>
    <row r="65" spans="1:68">
      <c r="A65">
        <v>199794</v>
      </c>
      <c r="B65">
        <v>199794</v>
      </c>
      <c r="C65" t="s">
        <v>7018</v>
      </c>
      <c r="D65" t="s">
        <v>595</v>
      </c>
      <c r="E65" s="184">
        <v>43970</v>
      </c>
      <c r="K65" s="184"/>
      <c r="P65" t="s">
        <v>7045</v>
      </c>
      <c r="Q65" t="s">
        <v>7160</v>
      </c>
      <c r="R65" s="184">
        <v>17593</v>
      </c>
      <c r="S65">
        <v>76</v>
      </c>
      <c r="U65" t="s">
        <v>7031</v>
      </c>
      <c r="V65" t="s">
        <v>2863</v>
      </c>
      <c r="W65" t="s">
        <v>5006</v>
      </c>
      <c r="X65" t="s">
        <v>2578</v>
      </c>
      <c r="Y65" t="s">
        <v>7431</v>
      </c>
      <c r="AF65" t="s">
        <v>7432</v>
      </c>
      <c r="AG65" t="s">
        <v>2863</v>
      </c>
      <c r="AI65" t="s">
        <v>7433</v>
      </c>
      <c r="AM65" t="s">
        <v>7434</v>
      </c>
      <c r="AN65" t="s">
        <v>2446</v>
      </c>
      <c r="AO65" t="s">
        <v>7435</v>
      </c>
      <c r="AP65" t="s">
        <v>7024</v>
      </c>
      <c r="AQ65" t="s">
        <v>7436</v>
      </c>
      <c r="AR65" t="s">
        <v>7437</v>
      </c>
      <c r="AT65" s="184">
        <v>30935</v>
      </c>
      <c r="AU65" t="s">
        <v>7073</v>
      </c>
      <c r="AV65">
        <v>18</v>
      </c>
      <c r="AW65" s="184">
        <v>45343</v>
      </c>
      <c r="AX65" t="s">
        <v>7438</v>
      </c>
      <c r="AY65">
        <v>25</v>
      </c>
      <c r="AZ65" s="184">
        <v>40077</v>
      </c>
      <c r="BA65" t="s">
        <v>7439</v>
      </c>
      <c r="BB65">
        <v>60</v>
      </c>
      <c r="BC65">
        <v>100</v>
      </c>
      <c r="BD65">
        <v>1514</v>
      </c>
      <c r="BE65">
        <v>1985</v>
      </c>
      <c r="BF65">
        <v>84</v>
      </c>
      <c r="BG65">
        <v>4</v>
      </c>
      <c r="BH65">
        <v>70</v>
      </c>
      <c r="BI65">
        <v>41</v>
      </c>
      <c r="BJ65">
        <v>41</v>
      </c>
      <c r="BK65">
        <v>41</v>
      </c>
      <c r="BP65" s="184"/>
    </row>
    <row r="66" spans="1:68">
      <c r="A66">
        <v>207498</v>
      </c>
      <c r="B66">
        <v>207498</v>
      </c>
      <c r="C66" t="s">
        <v>7018</v>
      </c>
      <c r="G66" s="184"/>
      <c r="J66" t="s">
        <v>595</v>
      </c>
      <c r="K66" s="184">
        <v>37435</v>
      </c>
      <c r="P66" t="s">
        <v>7084</v>
      </c>
      <c r="Q66" t="s">
        <v>7030</v>
      </c>
      <c r="R66" s="184">
        <v>9960</v>
      </c>
      <c r="S66">
        <v>97</v>
      </c>
      <c r="U66" t="s">
        <v>7031</v>
      </c>
      <c r="V66" t="s">
        <v>2832</v>
      </c>
      <c r="X66" t="s">
        <v>5894</v>
      </c>
      <c r="Z66">
        <v>100177349</v>
      </c>
      <c r="AA66" t="s">
        <v>7130</v>
      </c>
      <c r="AB66" t="s">
        <v>5893</v>
      </c>
      <c r="AD66" t="s">
        <v>5894</v>
      </c>
      <c r="AF66" t="s">
        <v>7440</v>
      </c>
      <c r="AG66" t="s">
        <v>7441</v>
      </c>
      <c r="AI66" t="s">
        <v>7442</v>
      </c>
      <c r="AM66" t="s">
        <v>3161</v>
      </c>
      <c r="AN66" t="s">
        <v>2094</v>
      </c>
      <c r="AO66" t="s">
        <v>7443</v>
      </c>
      <c r="AP66" t="s">
        <v>7024</v>
      </c>
      <c r="AQ66" t="s">
        <v>7444</v>
      </c>
      <c r="AT66" s="184">
        <v>31866</v>
      </c>
      <c r="AU66" t="s">
        <v>7073</v>
      </c>
      <c r="AV66">
        <v>22</v>
      </c>
      <c r="AW66" s="184">
        <v>43328</v>
      </c>
      <c r="AX66" t="s">
        <v>7348</v>
      </c>
      <c r="AY66">
        <v>1354.15</v>
      </c>
      <c r="AZ66" s="184">
        <v>42983</v>
      </c>
      <c r="BA66" t="s">
        <v>7445</v>
      </c>
      <c r="BB66">
        <v>12853.41</v>
      </c>
      <c r="BC66">
        <v>64</v>
      </c>
      <c r="BD66">
        <v>15281.56</v>
      </c>
      <c r="BE66">
        <v>1987</v>
      </c>
      <c r="BF66">
        <v>32</v>
      </c>
      <c r="BI66">
        <v>24</v>
      </c>
      <c r="BJ66">
        <v>38</v>
      </c>
      <c r="BK66">
        <v>10</v>
      </c>
      <c r="BN66" t="s">
        <v>595</v>
      </c>
      <c r="BO66" t="s">
        <v>595</v>
      </c>
      <c r="BP66" s="184">
        <v>42835</v>
      </c>
    </row>
    <row r="67" spans="1:68">
      <c r="A67">
        <v>100177349</v>
      </c>
      <c r="B67">
        <v>207498</v>
      </c>
      <c r="C67" t="s">
        <v>7018</v>
      </c>
      <c r="E67" s="184"/>
      <c r="I67" s="184"/>
      <c r="J67" t="s">
        <v>595</v>
      </c>
      <c r="K67" s="184">
        <v>37435</v>
      </c>
      <c r="P67" t="s">
        <v>7084</v>
      </c>
      <c r="Q67" t="s">
        <v>7030</v>
      </c>
      <c r="R67" s="184">
        <v>9953</v>
      </c>
      <c r="S67">
        <v>97</v>
      </c>
      <c r="U67" t="s">
        <v>7130</v>
      </c>
      <c r="V67" t="s">
        <v>5893</v>
      </c>
      <c r="X67" t="s">
        <v>5894</v>
      </c>
      <c r="Z67">
        <v>207498</v>
      </c>
      <c r="AA67" t="s">
        <v>7031</v>
      </c>
      <c r="AB67" t="s">
        <v>2832</v>
      </c>
      <c r="AD67" t="s">
        <v>5894</v>
      </c>
      <c r="AF67" t="s">
        <v>7440</v>
      </c>
      <c r="AG67" t="s">
        <v>7441</v>
      </c>
      <c r="AI67" t="s">
        <v>7442</v>
      </c>
      <c r="AM67" t="s">
        <v>3161</v>
      </c>
      <c r="AN67" t="s">
        <v>2094</v>
      </c>
      <c r="AO67" t="s">
        <v>7443</v>
      </c>
      <c r="AP67" t="s">
        <v>7024</v>
      </c>
      <c r="AT67" s="184"/>
      <c r="AW67" s="184"/>
      <c r="AZ67" s="184"/>
      <c r="BO67" t="s">
        <v>595</v>
      </c>
    </row>
    <row r="68" spans="1:68">
      <c r="A68">
        <v>213363</v>
      </c>
      <c r="B68">
        <v>213363</v>
      </c>
      <c r="C68" t="s">
        <v>7018</v>
      </c>
      <c r="E68" s="184"/>
      <c r="J68" t="s">
        <v>595</v>
      </c>
      <c r="K68" s="184">
        <v>41876</v>
      </c>
      <c r="P68" t="s">
        <v>7045</v>
      </c>
      <c r="Q68" t="s">
        <v>7194</v>
      </c>
      <c r="R68" s="184">
        <v>18264</v>
      </c>
      <c r="S68">
        <v>74</v>
      </c>
      <c r="U68" t="s">
        <v>7031</v>
      </c>
      <c r="V68" t="s">
        <v>3103</v>
      </c>
      <c r="W68" t="s">
        <v>7248</v>
      </c>
      <c r="X68" t="s">
        <v>3024</v>
      </c>
      <c r="Z68">
        <v>100007145</v>
      </c>
      <c r="AA68" t="s">
        <v>7130</v>
      </c>
      <c r="AB68" t="s">
        <v>7446</v>
      </c>
      <c r="AC68" t="s">
        <v>2058</v>
      </c>
      <c r="AD68" t="s">
        <v>3024</v>
      </c>
      <c r="AF68" t="s">
        <v>7447</v>
      </c>
      <c r="AG68" t="s">
        <v>7448</v>
      </c>
      <c r="AI68" t="s">
        <v>7449</v>
      </c>
      <c r="AM68" t="s">
        <v>7450</v>
      </c>
      <c r="AN68" t="s">
        <v>2046</v>
      </c>
      <c r="AO68" t="s">
        <v>7451</v>
      </c>
      <c r="AP68" t="s">
        <v>7024</v>
      </c>
      <c r="AT68" s="184">
        <v>30655</v>
      </c>
      <c r="AU68" t="s">
        <v>7173</v>
      </c>
      <c r="AV68">
        <v>18</v>
      </c>
      <c r="AW68" s="184">
        <v>45110</v>
      </c>
      <c r="AX68" t="s">
        <v>7452</v>
      </c>
      <c r="AY68">
        <v>300</v>
      </c>
      <c r="AZ68" s="184">
        <v>44637</v>
      </c>
      <c r="BA68" t="s">
        <v>7453</v>
      </c>
      <c r="BB68">
        <v>345</v>
      </c>
      <c r="BC68">
        <v>77</v>
      </c>
      <c r="BD68">
        <v>3055</v>
      </c>
      <c r="BE68">
        <v>1984</v>
      </c>
      <c r="BF68">
        <v>41</v>
      </c>
      <c r="BG68">
        <v>1</v>
      </c>
      <c r="BH68">
        <v>300</v>
      </c>
      <c r="BI68">
        <v>32</v>
      </c>
      <c r="BJ68">
        <v>42</v>
      </c>
      <c r="BK68">
        <v>13</v>
      </c>
      <c r="BP68" s="184"/>
    </row>
    <row r="69" spans="1:68">
      <c r="A69">
        <v>100007145</v>
      </c>
      <c r="B69">
        <v>213363</v>
      </c>
      <c r="C69" t="s">
        <v>7018</v>
      </c>
      <c r="E69" s="184"/>
      <c r="G69" s="184"/>
      <c r="I69" s="184"/>
      <c r="J69" t="s">
        <v>595</v>
      </c>
      <c r="K69" s="184">
        <v>41876</v>
      </c>
      <c r="P69" t="s">
        <v>7045</v>
      </c>
      <c r="Q69" t="s">
        <v>7194</v>
      </c>
      <c r="R69" s="184">
        <v>18688</v>
      </c>
      <c r="S69">
        <v>73</v>
      </c>
      <c r="U69" t="s">
        <v>7130</v>
      </c>
      <c r="V69" t="s">
        <v>7446</v>
      </c>
      <c r="W69" t="s">
        <v>2058</v>
      </c>
      <c r="X69" t="s">
        <v>3024</v>
      </c>
      <c r="Z69">
        <v>213363</v>
      </c>
      <c r="AA69" t="s">
        <v>7031</v>
      </c>
      <c r="AB69" t="s">
        <v>3103</v>
      </c>
      <c r="AC69" t="s">
        <v>7248</v>
      </c>
      <c r="AD69" t="s">
        <v>3024</v>
      </c>
      <c r="AF69" t="s">
        <v>7447</v>
      </c>
      <c r="AG69" t="s">
        <v>7448</v>
      </c>
      <c r="AI69" t="s">
        <v>7449</v>
      </c>
      <c r="AM69" t="s">
        <v>7450</v>
      </c>
      <c r="AN69" t="s">
        <v>2046</v>
      </c>
      <c r="AO69" t="s">
        <v>7451</v>
      </c>
      <c r="AP69" t="s">
        <v>7024</v>
      </c>
      <c r="AT69" s="184"/>
      <c r="AW69" s="184"/>
      <c r="AZ69" s="184"/>
    </row>
    <row r="70" spans="1:68">
      <c r="A70">
        <v>215566</v>
      </c>
      <c r="B70">
        <v>215566</v>
      </c>
      <c r="C70" t="s">
        <v>7018</v>
      </c>
      <c r="D70" t="s">
        <v>595</v>
      </c>
      <c r="E70" s="184">
        <v>44104</v>
      </c>
      <c r="F70" t="s">
        <v>595</v>
      </c>
      <c r="G70" s="184">
        <v>45399</v>
      </c>
      <c r="H70" t="s">
        <v>595</v>
      </c>
      <c r="I70" s="184">
        <v>44109</v>
      </c>
      <c r="K70" s="184"/>
      <c r="P70" t="s">
        <v>7045</v>
      </c>
      <c r="Q70" t="s">
        <v>7454</v>
      </c>
      <c r="R70" s="184">
        <v>20455</v>
      </c>
      <c r="S70">
        <v>68</v>
      </c>
      <c r="U70" t="s">
        <v>7032</v>
      </c>
      <c r="V70" t="s">
        <v>4997</v>
      </c>
      <c r="W70" t="s">
        <v>4210</v>
      </c>
      <c r="X70" t="s">
        <v>4998</v>
      </c>
      <c r="AF70" t="s">
        <v>7455</v>
      </c>
      <c r="AG70" t="s">
        <v>4997</v>
      </c>
      <c r="AI70" t="s">
        <v>7456</v>
      </c>
      <c r="AM70" t="s">
        <v>3780</v>
      </c>
      <c r="AN70" t="s">
        <v>2055</v>
      </c>
      <c r="AO70" t="s">
        <v>7457</v>
      </c>
      <c r="AP70" t="s">
        <v>7024</v>
      </c>
      <c r="AQ70" t="s">
        <v>7458</v>
      </c>
      <c r="AR70" t="s">
        <v>7459</v>
      </c>
      <c r="AT70" s="184">
        <v>31110</v>
      </c>
      <c r="AU70" t="s">
        <v>7460</v>
      </c>
      <c r="AV70">
        <v>18</v>
      </c>
      <c r="AW70" s="184">
        <v>45426</v>
      </c>
      <c r="AX70" t="s">
        <v>7422</v>
      </c>
      <c r="AY70">
        <v>10</v>
      </c>
      <c r="AZ70" s="184">
        <v>40484</v>
      </c>
      <c r="BA70" t="s">
        <v>7461</v>
      </c>
      <c r="BB70">
        <v>60</v>
      </c>
      <c r="BC70">
        <v>58</v>
      </c>
      <c r="BD70">
        <v>885</v>
      </c>
      <c r="BE70">
        <v>1985</v>
      </c>
      <c r="BF70">
        <v>79</v>
      </c>
      <c r="BG70">
        <v>9</v>
      </c>
      <c r="BH70">
        <v>120</v>
      </c>
      <c r="BI70">
        <v>23</v>
      </c>
      <c r="BJ70">
        <v>40</v>
      </c>
      <c r="BK70">
        <v>5</v>
      </c>
    </row>
    <row r="71" spans="1:68">
      <c r="A71">
        <v>221929</v>
      </c>
      <c r="B71">
        <v>221929</v>
      </c>
      <c r="C71" t="s">
        <v>7018</v>
      </c>
      <c r="D71" t="s">
        <v>595</v>
      </c>
      <c r="E71" s="184">
        <v>43970</v>
      </c>
      <c r="G71" s="184"/>
      <c r="K71" s="184"/>
      <c r="P71" t="s">
        <v>7045</v>
      </c>
      <c r="Q71" t="s">
        <v>7194</v>
      </c>
      <c r="R71" s="184">
        <v>14093</v>
      </c>
      <c r="S71">
        <v>85</v>
      </c>
      <c r="U71" t="s">
        <v>7032</v>
      </c>
      <c r="V71" t="s">
        <v>7462</v>
      </c>
      <c r="W71" t="s">
        <v>4210</v>
      </c>
      <c r="X71" t="s">
        <v>7463</v>
      </c>
      <c r="AF71" t="s">
        <v>7464</v>
      </c>
      <c r="AG71" t="s">
        <v>7462</v>
      </c>
      <c r="AI71" t="s">
        <v>7465</v>
      </c>
      <c r="AM71" t="s">
        <v>7466</v>
      </c>
      <c r="AN71" t="s">
        <v>2046</v>
      </c>
      <c r="AO71" t="s">
        <v>7467</v>
      </c>
      <c r="AP71" t="s">
        <v>7024</v>
      </c>
      <c r="AQ71" t="s">
        <v>7468</v>
      </c>
      <c r="AT71" s="184">
        <v>30515</v>
      </c>
      <c r="AU71" t="s">
        <v>7073</v>
      </c>
      <c r="AV71">
        <v>25</v>
      </c>
      <c r="AW71" s="184">
        <v>45295</v>
      </c>
      <c r="AX71" t="s">
        <v>7339</v>
      </c>
      <c r="AY71">
        <v>100</v>
      </c>
      <c r="AZ71" s="184">
        <v>45295</v>
      </c>
      <c r="BA71" t="s">
        <v>7339</v>
      </c>
      <c r="BB71">
        <v>100</v>
      </c>
      <c r="BC71">
        <v>89</v>
      </c>
      <c r="BD71">
        <v>2505</v>
      </c>
      <c r="BE71">
        <v>1984</v>
      </c>
      <c r="BF71">
        <v>56</v>
      </c>
      <c r="BG71">
        <v>2</v>
      </c>
      <c r="BH71">
        <v>200</v>
      </c>
      <c r="BI71">
        <v>37</v>
      </c>
      <c r="BJ71">
        <v>42</v>
      </c>
      <c r="BK71">
        <v>12</v>
      </c>
    </row>
    <row r="72" spans="1:68">
      <c r="A72">
        <v>224600</v>
      </c>
      <c r="B72">
        <v>224600</v>
      </c>
      <c r="C72" t="s">
        <v>7018</v>
      </c>
      <c r="E72" s="184"/>
      <c r="F72" t="s">
        <v>595</v>
      </c>
      <c r="G72" s="184">
        <v>43691</v>
      </c>
      <c r="I72" s="184"/>
      <c r="K72" s="184"/>
      <c r="P72" t="s">
        <v>7045</v>
      </c>
      <c r="Q72" t="s">
        <v>7194</v>
      </c>
      <c r="R72" s="184">
        <v>20424</v>
      </c>
      <c r="S72">
        <v>68</v>
      </c>
      <c r="U72" t="s">
        <v>7031</v>
      </c>
      <c r="V72" t="s">
        <v>3080</v>
      </c>
      <c r="W72" t="s">
        <v>7469</v>
      </c>
      <c r="X72" t="s">
        <v>7470</v>
      </c>
      <c r="AF72" t="s">
        <v>7471</v>
      </c>
      <c r="AG72" t="s">
        <v>3080</v>
      </c>
      <c r="AI72" t="s">
        <v>7472</v>
      </c>
      <c r="AM72" t="s">
        <v>7473</v>
      </c>
      <c r="AN72" t="s">
        <v>2046</v>
      </c>
      <c r="AO72" t="s">
        <v>7474</v>
      </c>
      <c r="AP72" t="s">
        <v>7024</v>
      </c>
      <c r="AT72" s="184">
        <v>31152</v>
      </c>
      <c r="AU72" t="s">
        <v>7073</v>
      </c>
      <c r="AV72">
        <v>18</v>
      </c>
      <c r="AW72" s="184">
        <v>31477</v>
      </c>
      <c r="AX72" t="s">
        <v>7073</v>
      </c>
      <c r="AY72">
        <v>18</v>
      </c>
      <c r="AZ72" s="184">
        <v>31477</v>
      </c>
      <c r="BA72" t="s">
        <v>7073</v>
      </c>
      <c r="BB72">
        <v>18</v>
      </c>
      <c r="BC72">
        <v>5</v>
      </c>
      <c r="BD72">
        <v>36</v>
      </c>
      <c r="BE72">
        <v>1985</v>
      </c>
      <c r="BF72">
        <v>2</v>
      </c>
      <c r="BI72">
        <v>2</v>
      </c>
      <c r="BJ72">
        <v>40</v>
      </c>
      <c r="BK72">
        <v>2</v>
      </c>
    </row>
    <row r="73" spans="1:68">
      <c r="A73">
        <v>232553</v>
      </c>
      <c r="B73">
        <v>232553</v>
      </c>
      <c r="C73" t="s">
        <v>7018</v>
      </c>
      <c r="E73" s="184"/>
      <c r="J73" t="s">
        <v>595</v>
      </c>
      <c r="K73" s="184">
        <v>44049</v>
      </c>
      <c r="P73" t="s">
        <v>7029</v>
      </c>
      <c r="Q73" t="s">
        <v>7160</v>
      </c>
      <c r="R73" s="184">
        <v>22408</v>
      </c>
      <c r="S73">
        <v>63</v>
      </c>
      <c r="V73" t="s">
        <v>4587</v>
      </c>
      <c r="X73" t="s">
        <v>3733</v>
      </c>
      <c r="Z73">
        <v>100331364</v>
      </c>
      <c r="AB73" t="s">
        <v>2577</v>
      </c>
      <c r="AD73" t="s">
        <v>3733</v>
      </c>
      <c r="AF73" t="s">
        <v>7475</v>
      </c>
      <c r="AG73" t="s">
        <v>4587</v>
      </c>
      <c r="AI73" t="s">
        <v>7476</v>
      </c>
      <c r="AM73" t="s">
        <v>2802</v>
      </c>
      <c r="AN73" t="s">
        <v>2176</v>
      </c>
      <c r="AO73">
        <v>28801</v>
      </c>
      <c r="AP73" t="s">
        <v>7024</v>
      </c>
      <c r="AQ73" t="s">
        <v>7477</v>
      </c>
      <c r="AR73" t="s">
        <v>7478</v>
      </c>
      <c r="AT73" s="184">
        <v>30498</v>
      </c>
      <c r="AU73" t="s">
        <v>7479</v>
      </c>
      <c r="AV73">
        <v>18</v>
      </c>
      <c r="AW73" s="184">
        <v>45011</v>
      </c>
      <c r="AX73" t="s">
        <v>7480</v>
      </c>
      <c r="AY73">
        <v>2500</v>
      </c>
      <c r="AZ73" s="184">
        <v>45011</v>
      </c>
      <c r="BA73" t="s">
        <v>7480</v>
      </c>
      <c r="BB73">
        <v>2500</v>
      </c>
      <c r="BC73">
        <v>98</v>
      </c>
      <c r="BD73">
        <v>20106</v>
      </c>
      <c r="BE73">
        <v>1984</v>
      </c>
      <c r="BF73">
        <v>59</v>
      </c>
      <c r="BG73">
        <v>1</v>
      </c>
      <c r="BH73">
        <v>2500</v>
      </c>
      <c r="BI73">
        <v>41</v>
      </c>
      <c r="BJ73">
        <v>42</v>
      </c>
      <c r="BK73">
        <v>41</v>
      </c>
    </row>
    <row r="74" spans="1:68">
      <c r="A74">
        <v>234013</v>
      </c>
      <c r="B74">
        <v>234013</v>
      </c>
      <c r="C74" t="s">
        <v>7018</v>
      </c>
      <c r="E74" s="184"/>
      <c r="G74" s="184"/>
      <c r="J74" t="s">
        <v>595</v>
      </c>
      <c r="K74" s="184">
        <v>43607</v>
      </c>
      <c r="P74" t="s">
        <v>7045</v>
      </c>
      <c r="Q74" t="s">
        <v>7194</v>
      </c>
      <c r="R74" s="184">
        <v>24716</v>
      </c>
      <c r="S74">
        <v>56</v>
      </c>
      <c r="V74" t="s">
        <v>2558</v>
      </c>
      <c r="W74" t="s">
        <v>3226</v>
      </c>
      <c r="X74" t="s">
        <v>2836</v>
      </c>
      <c r="AF74" t="s">
        <v>6329</v>
      </c>
      <c r="AG74" t="s">
        <v>2558</v>
      </c>
      <c r="AI74" t="s">
        <v>7481</v>
      </c>
      <c r="AM74" t="s">
        <v>2837</v>
      </c>
      <c r="AN74" t="s">
        <v>2046</v>
      </c>
      <c r="AO74" t="s">
        <v>7482</v>
      </c>
      <c r="AP74" t="s">
        <v>7024</v>
      </c>
      <c r="AQ74" t="s">
        <v>7483</v>
      </c>
      <c r="AR74" t="s">
        <v>7484</v>
      </c>
      <c r="AT74" s="184">
        <v>30551</v>
      </c>
      <c r="AU74" t="s">
        <v>7485</v>
      </c>
      <c r="AV74">
        <v>18</v>
      </c>
      <c r="AW74" s="184">
        <v>45370</v>
      </c>
      <c r="AX74" t="s">
        <v>7486</v>
      </c>
      <c r="AY74">
        <v>100</v>
      </c>
      <c r="AZ74" s="184">
        <v>45370</v>
      </c>
      <c r="BA74" t="s">
        <v>7486</v>
      </c>
      <c r="BB74">
        <v>100</v>
      </c>
      <c r="BC74">
        <v>89</v>
      </c>
      <c r="BD74">
        <v>2207</v>
      </c>
      <c r="BE74">
        <v>1984</v>
      </c>
      <c r="BF74">
        <v>45</v>
      </c>
      <c r="BG74">
        <v>4</v>
      </c>
      <c r="BH74">
        <v>400</v>
      </c>
      <c r="BI74">
        <v>37</v>
      </c>
      <c r="BJ74">
        <v>42</v>
      </c>
      <c r="BK74">
        <v>25</v>
      </c>
    </row>
    <row r="75" spans="1:68">
      <c r="A75">
        <v>240085</v>
      </c>
      <c r="B75">
        <v>240085</v>
      </c>
      <c r="C75" t="s">
        <v>7018</v>
      </c>
      <c r="J75" t="s">
        <v>595</v>
      </c>
      <c r="K75" s="184">
        <v>44073</v>
      </c>
      <c r="O75" s="184"/>
      <c r="P75" t="s">
        <v>7029</v>
      </c>
      <c r="Q75" t="s">
        <v>7030</v>
      </c>
      <c r="R75" s="184">
        <v>16331</v>
      </c>
      <c r="S75">
        <v>79</v>
      </c>
      <c r="U75" t="s">
        <v>7032</v>
      </c>
      <c r="V75" t="s">
        <v>2863</v>
      </c>
      <c r="W75" t="s">
        <v>4083</v>
      </c>
      <c r="X75" t="s">
        <v>2864</v>
      </c>
      <c r="Z75">
        <v>100007260</v>
      </c>
      <c r="AB75" t="s">
        <v>7487</v>
      </c>
      <c r="AC75" t="s">
        <v>2049</v>
      </c>
      <c r="AD75" t="s">
        <v>2864</v>
      </c>
      <c r="AF75" t="s">
        <v>7488</v>
      </c>
      <c r="AG75" t="s">
        <v>7489</v>
      </c>
      <c r="AI75" t="s">
        <v>7490</v>
      </c>
      <c r="AM75" t="s">
        <v>2865</v>
      </c>
      <c r="AN75" t="s">
        <v>2094</v>
      </c>
      <c r="AO75" t="s">
        <v>7491</v>
      </c>
      <c r="AP75" t="s">
        <v>7024</v>
      </c>
      <c r="AQ75" t="s">
        <v>7492</v>
      </c>
      <c r="AT75" s="184">
        <v>30764</v>
      </c>
      <c r="AU75" t="s">
        <v>7073</v>
      </c>
      <c r="AV75">
        <v>13</v>
      </c>
      <c r="AW75" s="184">
        <v>45246</v>
      </c>
      <c r="AX75" t="s">
        <v>7382</v>
      </c>
      <c r="AY75">
        <v>1500</v>
      </c>
      <c r="AZ75" s="184">
        <v>43355</v>
      </c>
      <c r="BA75" t="s">
        <v>7493</v>
      </c>
      <c r="BB75">
        <v>2019</v>
      </c>
      <c r="BC75">
        <v>59</v>
      </c>
      <c r="BD75">
        <v>17032</v>
      </c>
      <c r="BE75">
        <v>1984</v>
      </c>
      <c r="BF75">
        <v>34</v>
      </c>
      <c r="BG75">
        <v>2</v>
      </c>
      <c r="BH75">
        <v>3000</v>
      </c>
      <c r="BI75">
        <v>24</v>
      </c>
      <c r="BJ75">
        <v>41</v>
      </c>
      <c r="BK75">
        <v>8</v>
      </c>
      <c r="BN75" t="s">
        <v>595</v>
      </c>
    </row>
    <row r="76" spans="1:68">
      <c r="A76">
        <v>100007260</v>
      </c>
      <c r="B76">
        <v>240085</v>
      </c>
      <c r="C76" t="s">
        <v>7018</v>
      </c>
      <c r="E76" s="184"/>
      <c r="J76" t="s">
        <v>595</v>
      </c>
      <c r="K76" s="184">
        <v>44073</v>
      </c>
      <c r="P76" t="s">
        <v>7029</v>
      </c>
      <c r="Q76" t="s">
        <v>7030</v>
      </c>
      <c r="R76" s="184">
        <v>17168</v>
      </c>
      <c r="S76">
        <v>77</v>
      </c>
      <c r="V76" t="s">
        <v>7487</v>
      </c>
      <c r="W76" t="s">
        <v>2049</v>
      </c>
      <c r="X76" t="s">
        <v>2864</v>
      </c>
      <c r="Z76">
        <v>240085</v>
      </c>
      <c r="AA76" t="s">
        <v>7032</v>
      </c>
      <c r="AB76" t="s">
        <v>2863</v>
      </c>
      <c r="AC76" t="s">
        <v>4083</v>
      </c>
      <c r="AD76" t="s">
        <v>2864</v>
      </c>
      <c r="AF76" t="s">
        <v>7488</v>
      </c>
      <c r="AG76" t="s">
        <v>7489</v>
      </c>
      <c r="AI76" t="s">
        <v>7490</v>
      </c>
      <c r="AM76" t="s">
        <v>2865</v>
      </c>
      <c r="AN76" t="s">
        <v>2094</v>
      </c>
      <c r="AO76" t="s">
        <v>7491</v>
      </c>
      <c r="AP76" t="s">
        <v>7024</v>
      </c>
      <c r="AT76" s="184"/>
      <c r="AW76" s="184"/>
      <c r="AZ76" s="184"/>
    </row>
    <row r="77" spans="1:68">
      <c r="A77">
        <v>255083</v>
      </c>
      <c r="B77">
        <v>255083</v>
      </c>
      <c r="C77" t="s">
        <v>7018</v>
      </c>
      <c r="D77" t="s">
        <v>595</v>
      </c>
      <c r="E77" s="184">
        <v>44104</v>
      </c>
      <c r="K77" s="184"/>
      <c r="O77" s="184"/>
      <c r="P77" t="s">
        <v>7045</v>
      </c>
      <c r="Q77" t="s">
        <v>7494</v>
      </c>
      <c r="R77" s="184">
        <v>11013</v>
      </c>
      <c r="S77">
        <v>94</v>
      </c>
      <c r="U77" t="s">
        <v>7031</v>
      </c>
      <c r="V77" t="s">
        <v>7495</v>
      </c>
      <c r="W77" t="s">
        <v>3830</v>
      </c>
      <c r="X77" t="s">
        <v>7496</v>
      </c>
      <c r="AF77" t="s">
        <v>7497</v>
      </c>
      <c r="AG77" t="s">
        <v>7495</v>
      </c>
      <c r="AI77" t="s">
        <v>7498</v>
      </c>
      <c r="AM77" t="s">
        <v>3974</v>
      </c>
      <c r="AN77" t="s">
        <v>2174</v>
      </c>
      <c r="AO77" t="s">
        <v>7499</v>
      </c>
      <c r="AP77" t="s">
        <v>7024</v>
      </c>
      <c r="AQ77" t="s">
        <v>7500</v>
      </c>
      <c r="AT77" s="184">
        <v>30643</v>
      </c>
      <c r="AU77" t="s">
        <v>7173</v>
      </c>
      <c r="AV77">
        <v>18</v>
      </c>
      <c r="AW77" s="184">
        <v>38765</v>
      </c>
      <c r="AX77" t="s">
        <v>7501</v>
      </c>
      <c r="AY77">
        <v>25</v>
      </c>
      <c r="AZ77" s="184">
        <v>33519</v>
      </c>
      <c r="BA77" t="s">
        <v>7502</v>
      </c>
      <c r="BB77">
        <v>35</v>
      </c>
      <c r="BC77">
        <v>46</v>
      </c>
      <c r="BD77">
        <v>529</v>
      </c>
      <c r="BE77">
        <v>1984</v>
      </c>
      <c r="BF77">
        <v>21</v>
      </c>
      <c r="BI77">
        <v>19</v>
      </c>
      <c r="BJ77">
        <v>42</v>
      </c>
      <c r="BK77">
        <v>13</v>
      </c>
    </row>
    <row r="78" spans="1:68">
      <c r="A78">
        <v>257105</v>
      </c>
      <c r="B78">
        <v>257105</v>
      </c>
      <c r="C78" t="s">
        <v>7018</v>
      </c>
      <c r="J78" t="s">
        <v>595</v>
      </c>
      <c r="K78" s="184">
        <v>44509</v>
      </c>
      <c r="N78" t="s">
        <v>595</v>
      </c>
      <c r="O78" s="184">
        <v>39066</v>
      </c>
      <c r="P78" t="s">
        <v>7084</v>
      </c>
      <c r="Q78" t="s">
        <v>7383</v>
      </c>
      <c r="R78" s="184">
        <v>11635</v>
      </c>
      <c r="S78">
        <v>92</v>
      </c>
      <c r="U78" t="s">
        <v>7076</v>
      </c>
      <c r="V78" t="s">
        <v>2958</v>
      </c>
      <c r="X78" t="s">
        <v>4472</v>
      </c>
      <c r="Z78">
        <v>100179264</v>
      </c>
      <c r="AB78" t="s">
        <v>3103</v>
      </c>
      <c r="AD78" t="s">
        <v>3994</v>
      </c>
      <c r="AF78" t="s">
        <v>7503</v>
      </c>
      <c r="AG78" t="s">
        <v>2958</v>
      </c>
      <c r="AI78" t="s">
        <v>7504</v>
      </c>
      <c r="AM78" t="s">
        <v>2737</v>
      </c>
      <c r="AN78" t="s">
        <v>2059</v>
      </c>
      <c r="AO78" t="s">
        <v>7505</v>
      </c>
      <c r="AP78" t="s">
        <v>7024</v>
      </c>
      <c r="AT78" s="184">
        <v>30763</v>
      </c>
      <c r="AU78" t="s">
        <v>7073</v>
      </c>
      <c r="AV78">
        <v>25</v>
      </c>
      <c r="AW78" s="184">
        <v>44896</v>
      </c>
      <c r="AX78" t="s">
        <v>7506</v>
      </c>
      <c r="AY78">
        <v>40000</v>
      </c>
      <c r="AZ78" s="184">
        <v>44896</v>
      </c>
      <c r="BA78" t="s">
        <v>7506</v>
      </c>
      <c r="BB78">
        <v>40000</v>
      </c>
      <c r="BC78">
        <v>86</v>
      </c>
      <c r="BD78">
        <v>472868.81</v>
      </c>
      <c r="BE78">
        <v>1984</v>
      </c>
      <c r="BF78">
        <v>53</v>
      </c>
      <c r="BG78">
        <v>1</v>
      </c>
      <c r="BH78">
        <v>40000</v>
      </c>
      <c r="BI78">
        <v>35</v>
      </c>
      <c r="BJ78">
        <v>41</v>
      </c>
      <c r="BK78">
        <v>22</v>
      </c>
    </row>
    <row r="79" spans="1:68">
      <c r="A79">
        <v>100179264</v>
      </c>
      <c r="B79">
        <v>257105</v>
      </c>
      <c r="C79" t="s">
        <v>7018</v>
      </c>
      <c r="E79" s="184"/>
      <c r="J79" t="s">
        <v>595</v>
      </c>
      <c r="K79" s="184">
        <v>44509</v>
      </c>
      <c r="P79" t="s">
        <v>7084</v>
      </c>
      <c r="Q79" t="s">
        <v>7383</v>
      </c>
      <c r="R79" s="184"/>
      <c r="V79" t="s">
        <v>3103</v>
      </c>
      <c r="X79" t="s">
        <v>3994</v>
      </c>
      <c r="Z79">
        <v>257105</v>
      </c>
      <c r="AA79" t="s">
        <v>7076</v>
      </c>
      <c r="AB79" t="s">
        <v>2958</v>
      </c>
      <c r="AD79" t="s">
        <v>4472</v>
      </c>
      <c r="AF79" t="s">
        <v>7503</v>
      </c>
      <c r="AG79" t="s">
        <v>2958</v>
      </c>
      <c r="AI79" t="s">
        <v>7504</v>
      </c>
      <c r="AM79" t="s">
        <v>2737</v>
      </c>
      <c r="AN79" t="s">
        <v>2059</v>
      </c>
      <c r="AO79" t="s">
        <v>7505</v>
      </c>
      <c r="AP79" t="s">
        <v>7024</v>
      </c>
      <c r="AT79" s="184"/>
      <c r="AW79" s="184"/>
      <c r="AZ79" s="184"/>
      <c r="BO79" t="s">
        <v>595</v>
      </c>
    </row>
    <row r="80" spans="1:68">
      <c r="A80">
        <v>265298</v>
      </c>
      <c r="B80">
        <v>265298</v>
      </c>
      <c r="C80" t="s">
        <v>7018</v>
      </c>
      <c r="J80" t="s">
        <v>595</v>
      </c>
      <c r="K80" s="184">
        <v>37409</v>
      </c>
      <c r="O80" s="184"/>
      <c r="P80" t="s">
        <v>7045</v>
      </c>
      <c r="Q80" t="s">
        <v>7020</v>
      </c>
      <c r="R80" s="184">
        <v>20821</v>
      </c>
      <c r="S80">
        <v>67</v>
      </c>
      <c r="U80" t="s">
        <v>7031</v>
      </c>
      <c r="V80" t="s">
        <v>3299</v>
      </c>
      <c r="X80" t="s">
        <v>7507</v>
      </c>
      <c r="Z80">
        <v>100007381</v>
      </c>
      <c r="AA80" t="s">
        <v>7076</v>
      </c>
      <c r="AB80" t="s">
        <v>3101</v>
      </c>
      <c r="AD80" t="s">
        <v>5586</v>
      </c>
      <c r="AF80" t="s">
        <v>7508</v>
      </c>
      <c r="AG80" t="s">
        <v>7509</v>
      </c>
      <c r="AI80" t="s">
        <v>7510</v>
      </c>
      <c r="AM80" t="s">
        <v>7511</v>
      </c>
      <c r="AN80" t="s">
        <v>2129</v>
      </c>
      <c r="AO80" t="s">
        <v>7512</v>
      </c>
      <c r="AP80" t="s">
        <v>7024</v>
      </c>
      <c r="AQ80" t="s">
        <v>7513</v>
      </c>
      <c r="AR80" t="s">
        <v>7514</v>
      </c>
      <c r="AT80" s="184">
        <v>30707</v>
      </c>
      <c r="AU80" t="s">
        <v>7073</v>
      </c>
      <c r="AV80">
        <v>13</v>
      </c>
      <c r="AW80" s="184">
        <v>45271</v>
      </c>
      <c r="AX80" t="s">
        <v>7515</v>
      </c>
      <c r="AY80">
        <v>50</v>
      </c>
      <c r="AZ80" s="184">
        <v>40158</v>
      </c>
      <c r="BA80" t="s">
        <v>7516</v>
      </c>
      <c r="BB80">
        <v>65</v>
      </c>
      <c r="BC80">
        <v>71</v>
      </c>
      <c r="BD80">
        <v>1263</v>
      </c>
      <c r="BE80">
        <v>1984</v>
      </c>
      <c r="BF80">
        <v>32</v>
      </c>
      <c r="BG80">
        <v>2</v>
      </c>
      <c r="BH80">
        <v>100</v>
      </c>
      <c r="BI80">
        <v>29</v>
      </c>
      <c r="BJ80">
        <v>41</v>
      </c>
      <c r="BK80">
        <v>16</v>
      </c>
    </row>
    <row r="81" spans="1:68">
      <c r="A81">
        <v>100007381</v>
      </c>
      <c r="B81">
        <v>265298</v>
      </c>
      <c r="C81" t="s">
        <v>7018</v>
      </c>
      <c r="J81" t="s">
        <v>595</v>
      </c>
      <c r="K81" s="184">
        <v>37409</v>
      </c>
      <c r="O81" s="184"/>
      <c r="P81" t="s">
        <v>7045</v>
      </c>
      <c r="Q81" t="s">
        <v>7020</v>
      </c>
      <c r="R81" s="184">
        <v>21398</v>
      </c>
      <c r="S81">
        <v>65</v>
      </c>
      <c r="U81" t="s">
        <v>7076</v>
      </c>
      <c r="V81" t="s">
        <v>3101</v>
      </c>
      <c r="X81" t="s">
        <v>5586</v>
      </c>
      <c r="Z81">
        <v>265298</v>
      </c>
      <c r="AA81" t="s">
        <v>7031</v>
      </c>
      <c r="AB81" t="s">
        <v>3299</v>
      </c>
      <c r="AD81" t="s">
        <v>7507</v>
      </c>
      <c r="AF81" t="s">
        <v>7508</v>
      </c>
      <c r="AG81" t="s">
        <v>7509</v>
      </c>
      <c r="AI81" t="s">
        <v>7510</v>
      </c>
      <c r="AM81" t="s">
        <v>7511</v>
      </c>
      <c r="AN81" t="s">
        <v>2129</v>
      </c>
      <c r="AO81" t="s">
        <v>7512</v>
      </c>
      <c r="AP81" t="s">
        <v>7024</v>
      </c>
      <c r="AT81" s="184"/>
      <c r="AW81" s="184"/>
      <c r="AZ81" s="184"/>
      <c r="BP81" s="184"/>
    </row>
    <row r="82" spans="1:68">
      <c r="A82">
        <v>267344</v>
      </c>
      <c r="B82">
        <v>267344</v>
      </c>
      <c r="C82" t="s">
        <v>7018</v>
      </c>
      <c r="E82" s="184"/>
      <c r="J82" t="s">
        <v>595</v>
      </c>
      <c r="K82" s="184">
        <v>44104</v>
      </c>
      <c r="P82" t="s">
        <v>7045</v>
      </c>
      <c r="Q82" t="s">
        <v>7383</v>
      </c>
      <c r="R82" s="184">
        <v>14671</v>
      </c>
      <c r="S82">
        <v>84</v>
      </c>
      <c r="V82" t="s">
        <v>2602</v>
      </c>
      <c r="X82" t="s">
        <v>7517</v>
      </c>
      <c r="Z82">
        <v>100462758</v>
      </c>
      <c r="AB82" t="s">
        <v>3103</v>
      </c>
      <c r="AD82" t="s">
        <v>7517</v>
      </c>
      <c r="AF82" t="s">
        <v>7518</v>
      </c>
      <c r="AG82" t="s">
        <v>7264</v>
      </c>
      <c r="AI82" t="s">
        <v>7519</v>
      </c>
      <c r="AM82" t="s">
        <v>7520</v>
      </c>
      <c r="AN82" t="s">
        <v>2059</v>
      </c>
      <c r="AO82" t="s">
        <v>7521</v>
      </c>
      <c r="AP82" t="s">
        <v>7024</v>
      </c>
      <c r="AQ82" t="s">
        <v>7522</v>
      </c>
      <c r="AR82" t="s">
        <v>7523</v>
      </c>
      <c r="AT82" s="184">
        <v>30804</v>
      </c>
      <c r="AU82" t="s">
        <v>7073</v>
      </c>
      <c r="AV82">
        <v>25</v>
      </c>
      <c r="AW82" s="184">
        <v>45411</v>
      </c>
      <c r="AX82" t="s">
        <v>7524</v>
      </c>
      <c r="AY82">
        <v>50</v>
      </c>
      <c r="AZ82" s="184">
        <v>32527</v>
      </c>
      <c r="BA82" t="s">
        <v>7073</v>
      </c>
      <c r="BB82">
        <v>87</v>
      </c>
      <c r="BC82">
        <v>100</v>
      </c>
      <c r="BD82">
        <v>4250</v>
      </c>
      <c r="BE82">
        <v>1984</v>
      </c>
      <c r="BF82">
        <v>130</v>
      </c>
      <c r="BG82">
        <v>2</v>
      </c>
      <c r="BH82">
        <v>100</v>
      </c>
      <c r="BI82">
        <v>41</v>
      </c>
      <c r="BJ82">
        <v>41</v>
      </c>
      <c r="BK82">
        <v>41</v>
      </c>
    </row>
    <row r="83" spans="1:68">
      <c r="A83">
        <v>100462758</v>
      </c>
      <c r="B83">
        <v>267344</v>
      </c>
      <c r="C83" t="s">
        <v>7018</v>
      </c>
      <c r="E83" s="184"/>
      <c r="J83" t="s">
        <v>595</v>
      </c>
      <c r="K83" s="184">
        <v>44104</v>
      </c>
      <c r="O83" s="184"/>
      <c r="P83" t="s">
        <v>7045</v>
      </c>
      <c r="Q83" t="s">
        <v>7383</v>
      </c>
      <c r="R83" s="184">
        <v>13799</v>
      </c>
      <c r="S83">
        <v>86</v>
      </c>
      <c r="V83" t="s">
        <v>3103</v>
      </c>
      <c r="X83" t="s">
        <v>7517</v>
      </c>
      <c r="Z83">
        <v>267344</v>
      </c>
      <c r="AB83" t="s">
        <v>2602</v>
      </c>
      <c r="AD83" t="s">
        <v>7517</v>
      </c>
      <c r="AF83" t="s">
        <v>7518</v>
      </c>
      <c r="AG83" t="s">
        <v>7264</v>
      </c>
      <c r="AI83" t="s">
        <v>7519</v>
      </c>
      <c r="AM83" t="s">
        <v>7520</v>
      </c>
      <c r="AN83" t="s">
        <v>2059</v>
      </c>
      <c r="AO83" t="s">
        <v>7521</v>
      </c>
      <c r="AP83" t="s">
        <v>7024</v>
      </c>
      <c r="AT83" s="184"/>
      <c r="AW83" s="184"/>
      <c r="AZ83" s="184"/>
      <c r="BP83" s="184"/>
    </row>
    <row r="84" spans="1:68">
      <c r="A84">
        <v>267765</v>
      </c>
      <c r="B84">
        <v>267765</v>
      </c>
      <c r="C84" t="s">
        <v>7018</v>
      </c>
      <c r="E84" s="184"/>
      <c r="K84" s="184"/>
      <c r="N84" t="s">
        <v>595</v>
      </c>
      <c r="O84" s="184">
        <v>36756</v>
      </c>
      <c r="P84" t="s">
        <v>7045</v>
      </c>
      <c r="Q84" t="s">
        <v>7262</v>
      </c>
      <c r="R84" s="184">
        <v>10258</v>
      </c>
      <c r="S84">
        <v>96</v>
      </c>
      <c r="U84" t="s">
        <v>7032</v>
      </c>
      <c r="V84" t="s">
        <v>2597</v>
      </c>
      <c r="W84" t="s">
        <v>4139</v>
      </c>
      <c r="X84" t="s">
        <v>7525</v>
      </c>
      <c r="AF84" t="s">
        <v>6046</v>
      </c>
      <c r="AG84" t="s">
        <v>7526</v>
      </c>
      <c r="AI84" t="s">
        <v>7527</v>
      </c>
      <c r="AM84" t="s">
        <v>7528</v>
      </c>
      <c r="AN84" t="s">
        <v>2069</v>
      </c>
      <c r="AO84" t="s">
        <v>7529</v>
      </c>
      <c r="AP84" t="s">
        <v>7024</v>
      </c>
      <c r="AT84" s="184">
        <v>36756</v>
      </c>
      <c r="AU84" t="s">
        <v>7530</v>
      </c>
      <c r="AV84">
        <v>10000</v>
      </c>
      <c r="AW84" s="184">
        <v>36756</v>
      </c>
      <c r="AX84" t="s">
        <v>7530</v>
      </c>
      <c r="AY84">
        <v>10000</v>
      </c>
      <c r="AZ84" s="184">
        <v>36756</v>
      </c>
      <c r="BA84" t="s">
        <v>7530</v>
      </c>
      <c r="BB84">
        <v>10000</v>
      </c>
      <c r="BC84">
        <v>4</v>
      </c>
      <c r="BD84">
        <v>10000</v>
      </c>
      <c r="BE84">
        <v>2001</v>
      </c>
      <c r="BF84">
        <v>1</v>
      </c>
      <c r="BI84">
        <v>1</v>
      </c>
      <c r="BJ84">
        <v>25</v>
      </c>
      <c r="BK84">
        <v>1</v>
      </c>
      <c r="BO84" t="s">
        <v>595</v>
      </c>
      <c r="BP84" s="184">
        <v>42818</v>
      </c>
    </row>
    <row r="85" spans="1:68">
      <c r="A85">
        <v>271783</v>
      </c>
      <c r="B85">
        <v>271783</v>
      </c>
      <c r="C85" t="s">
        <v>7018</v>
      </c>
      <c r="D85" t="s">
        <v>595</v>
      </c>
      <c r="E85" s="184">
        <v>44104</v>
      </c>
      <c r="K85" s="184"/>
      <c r="P85" t="s">
        <v>7045</v>
      </c>
      <c r="Q85" t="s">
        <v>7383</v>
      </c>
      <c r="R85" s="184">
        <v>16146</v>
      </c>
      <c r="S85">
        <v>80</v>
      </c>
      <c r="V85" t="s">
        <v>3043</v>
      </c>
      <c r="W85" t="s">
        <v>7107</v>
      </c>
      <c r="X85" t="s">
        <v>7531</v>
      </c>
      <c r="AF85" t="s">
        <v>7532</v>
      </c>
      <c r="AG85" t="s">
        <v>3043</v>
      </c>
      <c r="AI85" t="s">
        <v>7533</v>
      </c>
      <c r="AM85" t="s">
        <v>4104</v>
      </c>
      <c r="AN85" t="s">
        <v>2059</v>
      </c>
      <c r="AO85" t="s">
        <v>7534</v>
      </c>
      <c r="AP85" t="s">
        <v>7024</v>
      </c>
      <c r="AQ85" t="s">
        <v>7535</v>
      </c>
      <c r="AT85" s="184">
        <v>30726</v>
      </c>
      <c r="AU85" t="s">
        <v>7073</v>
      </c>
      <c r="AV85">
        <v>18</v>
      </c>
      <c r="AW85" s="184">
        <v>45411</v>
      </c>
      <c r="AX85" t="s">
        <v>7536</v>
      </c>
      <c r="AY85">
        <v>250</v>
      </c>
      <c r="AZ85" s="184">
        <v>35040</v>
      </c>
      <c r="BA85" t="s">
        <v>7537</v>
      </c>
      <c r="BB85">
        <v>500</v>
      </c>
      <c r="BC85">
        <v>93</v>
      </c>
      <c r="BD85">
        <v>9934</v>
      </c>
      <c r="BE85">
        <v>1984</v>
      </c>
      <c r="BF85">
        <v>74</v>
      </c>
      <c r="BG85">
        <v>3</v>
      </c>
      <c r="BH85">
        <v>750</v>
      </c>
      <c r="BI85">
        <v>38</v>
      </c>
      <c r="BJ85">
        <v>41</v>
      </c>
      <c r="BK85">
        <v>34</v>
      </c>
    </row>
    <row r="86" spans="1:68">
      <c r="A86">
        <v>274050</v>
      </c>
      <c r="B86">
        <v>274050</v>
      </c>
      <c r="C86" t="s">
        <v>7018</v>
      </c>
      <c r="D86" t="s">
        <v>595</v>
      </c>
      <c r="E86" s="184">
        <v>44104</v>
      </c>
      <c r="O86" s="184"/>
      <c r="P86" t="s">
        <v>7045</v>
      </c>
      <c r="Q86" t="s">
        <v>7383</v>
      </c>
      <c r="R86" s="184">
        <v>20279</v>
      </c>
      <c r="S86">
        <v>68</v>
      </c>
      <c r="V86" t="s">
        <v>3011</v>
      </c>
      <c r="W86" t="s">
        <v>7538</v>
      </c>
      <c r="X86" t="s">
        <v>7539</v>
      </c>
      <c r="Z86">
        <v>100007422</v>
      </c>
      <c r="AB86" t="s">
        <v>3311</v>
      </c>
      <c r="AD86" t="s">
        <v>7539</v>
      </c>
      <c r="AF86" t="s">
        <v>7540</v>
      </c>
      <c r="AG86" t="s">
        <v>7541</v>
      </c>
      <c r="AI86" t="s">
        <v>7542</v>
      </c>
      <c r="AM86" t="s">
        <v>3815</v>
      </c>
      <c r="AN86" t="s">
        <v>2059</v>
      </c>
      <c r="AO86" t="s">
        <v>7543</v>
      </c>
      <c r="AP86" t="s">
        <v>7024</v>
      </c>
      <c r="AQ86" t="s">
        <v>7544</v>
      </c>
      <c r="AT86" s="184">
        <v>30488</v>
      </c>
      <c r="AU86" t="s">
        <v>7545</v>
      </c>
      <c r="AV86">
        <v>18</v>
      </c>
      <c r="AW86" s="184">
        <v>35149</v>
      </c>
      <c r="AX86" t="s">
        <v>7546</v>
      </c>
      <c r="AY86">
        <v>35</v>
      </c>
      <c r="AZ86" s="184">
        <v>35149</v>
      </c>
      <c r="BA86" t="s">
        <v>7546</v>
      </c>
      <c r="BB86">
        <v>35</v>
      </c>
      <c r="BC86">
        <v>27</v>
      </c>
      <c r="BD86">
        <v>457</v>
      </c>
      <c r="BE86">
        <v>1983</v>
      </c>
      <c r="BF86">
        <v>15</v>
      </c>
      <c r="BI86">
        <v>11</v>
      </c>
      <c r="BJ86">
        <v>42</v>
      </c>
      <c r="BK86">
        <v>5</v>
      </c>
      <c r="BP86" s="184"/>
    </row>
    <row r="87" spans="1:68">
      <c r="A87">
        <v>100007422</v>
      </c>
      <c r="B87">
        <v>274050</v>
      </c>
      <c r="C87" t="s">
        <v>7018</v>
      </c>
      <c r="D87" t="s">
        <v>595</v>
      </c>
      <c r="E87" s="184">
        <v>44104</v>
      </c>
      <c r="K87" s="184"/>
      <c r="P87" t="s">
        <v>7045</v>
      </c>
      <c r="Q87" t="s">
        <v>7383</v>
      </c>
      <c r="R87" s="184"/>
      <c r="V87" t="s">
        <v>3311</v>
      </c>
      <c r="X87" t="s">
        <v>7539</v>
      </c>
      <c r="Z87">
        <v>274050</v>
      </c>
      <c r="AB87" t="s">
        <v>3011</v>
      </c>
      <c r="AC87" t="s">
        <v>7538</v>
      </c>
      <c r="AD87" t="s">
        <v>7539</v>
      </c>
      <c r="AF87" t="s">
        <v>7540</v>
      </c>
      <c r="AG87" t="s">
        <v>7541</v>
      </c>
      <c r="AI87" t="s">
        <v>7542</v>
      </c>
      <c r="AM87" t="s">
        <v>3815</v>
      </c>
      <c r="AN87" t="s">
        <v>2059</v>
      </c>
      <c r="AO87" t="s">
        <v>7543</v>
      </c>
      <c r="AP87" t="s">
        <v>7024</v>
      </c>
      <c r="AT87" s="184"/>
      <c r="AW87" s="184"/>
      <c r="AZ87" s="184"/>
    </row>
    <row r="88" spans="1:68">
      <c r="A88">
        <v>274183</v>
      </c>
      <c r="B88">
        <v>274183</v>
      </c>
      <c r="C88" t="s">
        <v>7018</v>
      </c>
      <c r="E88" s="184"/>
      <c r="J88" t="s">
        <v>595</v>
      </c>
      <c r="K88" s="184">
        <v>45294</v>
      </c>
      <c r="P88" t="s">
        <v>7084</v>
      </c>
      <c r="Q88" t="s">
        <v>7383</v>
      </c>
      <c r="R88" s="184">
        <v>10525</v>
      </c>
      <c r="S88">
        <v>95</v>
      </c>
      <c r="U88" t="s">
        <v>7130</v>
      </c>
      <c r="V88" t="s">
        <v>2586</v>
      </c>
      <c r="X88" t="s">
        <v>7547</v>
      </c>
      <c r="AF88" t="s">
        <v>7548</v>
      </c>
      <c r="AG88" t="s">
        <v>2586</v>
      </c>
      <c r="AI88" t="s">
        <v>7549</v>
      </c>
      <c r="AM88" t="s">
        <v>7550</v>
      </c>
      <c r="AN88" t="s">
        <v>2059</v>
      </c>
      <c r="AO88" t="s">
        <v>7551</v>
      </c>
      <c r="AP88" t="s">
        <v>7024</v>
      </c>
      <c r="AQ88" t="s">
        <v>7552</v>
      </c>
      <c r="AT88" s="184">
        <v>30641</v>
      </c>
      <c r="AU88" t="s">
        <v>7073</v>
      </c>
      <c r="AV88">
        <v>18</v>
      </c>
      <c r="AW88" s="184">
        <v>45362</v>
      </c>
      <c r="AX88" t="s">
        <v>7296</v>
      </c>
      <c r="AY88">
        <v>88709.17</v>
      </c>
      <c r="AZ88" s="184">
        <v>45362</v>
      </c>
      <c r="BA88" t="s">
        <v>7296</v>
      </c>
      <c r="BB88">
        <v>88709.17</v>
      </c>
      <c r="BC88">
        <v>86</v>
      </c>
      <c r="BD88">
        <v>173292.17</v>
      </c>
      <c r="BE88">
        <v>1984</v>
      </c>
      <c r="BF88">
        <v>41</v>
      </c>
      <c r="BG88">
        <v>2</v>
      </c>
      <c r="BH88">
        <v>172359.17</v>
      </c>
      <c r="BI88">
        <v>36</v>
      </c>
      <c r="BJ88">
        <v>42</v>
      </c>
      <c r="BK88">
        <v>22</v>
      </c>
      <c r="BO88" t="s">
        <v>595</v>
      </c>
    </row>
    <row r="89" spans="1:68">
      <c r="A89">
        <v>274555</v>
      </c>
      <c r="B89">
        <v>274555</v>
      </c>
      <c r="C89" t="s">
        <v>7018</v>
      </c>
      <c r="E89" s="184"/>
      <c r="J89" t="s">
        <v>595</v>
      </c>
      <c r="K89" s="184">
        <v>43851</v>
      </c>
      <c r="O89" s="184"/>
      <c r="P89" t="s">
        <v>7029</v>
      </c>
      <c r="Q89" t="s">
        <v>7383</v>
      </c>
      <c r="R89" s="184">
        <v>14848</v>
      </c>
      <c r="S89">
        <v>83</v>
      </c>
      <c r="U89" t="s">
        <v>7076</v>
      </c>
      <c r="V89" t="s">
        <v>3306</v>
      </c>
      <c r="W89" t="s">
        <v>4327</v>
      </c>
      <c r="X89" t="s">
        <v>7553</v>
      </c>
      <c r="Z89">
        <v>100566228</v>
      </c>
      <c r="AA89" t="s">
        <v>7076</v>
      </c>
      <c r="AB89" t="s">
        <v>2586</v>
      </c>
      <c r="AC89" t="s">
        <v>2593</v>
      </c>
      <c r="AD89" t="s">
        <v>7553</v>
      </c>
      <c r="AF89" t="s">
        <v>7554</v>
      </c>
      <c r="AG89" t="s">
        <v>7555</v>
      </c>
      <c r="AI89" t="s">
        <v>7556</v>
      </c>
      <c r="AM89" t="s">
        <v>3815</v>
      </c>
      <c r="AN89" t="s">
        <v>2059</v>
      </c>
      <c r="AO89" t="s">
        <v>7557</v>
      </c>
      <c r="AP89" t="s">
        <v>7024</v>
      </c>
      <c r="AT89" s="184">
        <v>30487</v>
      </c>
      <c r="AU89" t="s">
        <v>7073</v>
      </c>
      <c r="AV89">
        <v>18</v>
      </c>
      <c r="AW89" s="184">
        <v>45300</v>
      </c>
      <c r="AX89" t="s">
        <v>7558</v>
      </c>
      <c r="AY89">
        <v>1000</v>
      </c>
      <c r="AZ89" s="184">
        <v>41585</v>
      </c>
      <c r="BA89" t="s">
        <v>7559</v>
      </c>
      <c r="BB89">
        <v>1452.99</v>
      </c>
      <c r="BC89">
        <v>86</v>
      </c>
      <c r="BD89">
        <v>14579.99</v>
      </c>
      <c r="BE89">
        <v>1983</v>
      </c>
      <c r="BF89">
        <v>63</v>
      </c>
      <c r="BG89">
        <v>2</v>
      </c>
      <c r="BH89">
        <v>2000</v>
      </c>
      <c r="BI89">
        <v>36</v>
      </c>
      <c r="BJ89">
        <v>42</v>
      </c>
      <c r="BK89">
        <v>17</v>
      </c>
    </row>
    <row r="90" spans="1:68">
      <c r="A90">
        <v>275313</v>
      </c>
      <c r="B90">
        <v>275313</v>
      </c>
      <c r="C90" t="s">
        <v>7018</v>
      </c>
      <c r="D90" t="s">
        <v>595</v>
      </c>
      <c r="E90" s="184">
        <v>44168</v>
      </c>
      <c r="K90" s="184"/>
      <c r="O90" s="184"/>
      <c r="P90" t="s">
        <v>7029</v>
      </c>
      <c r="Q90" t="s">
        <v>7383</v>
      </c>
      <c r="R90" s="184">
        <v>8492</v>
      </c>
      <c r="S90">
        <v>101</v>
      </c>
      <c r="V90" t="s">
        <v>5568</v>
      </c>
      <c r="W90" t="s">
        <v>7560</v>
      </c>
      <c r="X90" t="s">
        <v>7561</v>
      </c>
      <c r="AF90" t="s">
        <v>7562</v>
      </c>
      <c r="AG90" t="s">
        <v>5568</v>
      </c>
      <c r="AI90" t="s">
        <v>7563</v>
      </c>
      <c r="AM90" t="s">
        <v>3415</v>
      </c>
      <c r="AN90" t="s">
        <v>2059</v>
      </c>
      <c r="AO90" t="s">
        <v>7564</v>
      </c>
      <c r="AP90" t="s">
        <v>7024</v>
      </c>
      <c r="AQ90" t="s">
        <v>7565</v>
      </c>
      <c r="AT90" s="184">
        <v>31734</v>
      </c>
      <c r="AU90" t="s">
        <v>7073</v>
      </c>
      <c r="AV90">
        <v>25</v>
      </c>
      <c r="AW90" s="184">
        <v>44124</v>
      </c>
      <c r="AX90" t="s">
        <v>7566</v>
      </c>
      <c r="AY90">
        <v>1000</v>
      </c>
      <c r="AZ90" s="184">
        <v>39470</v>
      </c>
      <c r="BA90" t="s">
        <v>7567</v>
      </c>
      <c r="BB90">
        <v>1500</v>
      </c>
      <c r="BC90">
        <v>77</v>
      </c>
      <c r="BD90">
        <v>18980</v>
      </c>
      <c r="BE90">
        <v>1987</v>
      </c>
      <c r="BF90">
        <v>89</v>
      </c>
      <c r="BI90">
        <v>30</v>
      </c>
      <c r="BJ90">
        <v>39</v>
      </c>
      <c r="BK90">
        <v>28</v>
      </c>
      <c r="BP90" s="184"/>
    </row>
    <row r="91" spans="1:68">
      <c r="A91">
        <v>276048</v>
      </c>
      <c r="B91">
        <v>276048</v>
      </c>
      <c r="C91" t="s">
        <v>7018</v>
      </c>
      <c r="E91" s="184"/>
      <c r="J91" t="s">
        <v>595</v>
      </c>
      <c r="K91" s="184">
        <v>37435</v>
      </c>
      <c r="O91" s="184"/>
      <c r="P91" t="s">
        <v>7045</v>
      </c>
      <c r="Q91" t="s">
        <v>7383</v>
      </c>
      <c r="R91" s="184">
        <v>15918</v>
      </c>
      <c r="S91">
        <v>80</v>
      </c>
      <c r="U91" t="s">
        <v>7076</v>
      </c>
      <c r="V91" t="s">
        <v>3801</v>
      </c>
      <c r="W91" t="s">
        <v>3223</v>
      </c>
      <c r="X91" t="s">
        <v>7568</v>
      </c>
      <c r="AF91" t="s">
        <v>6158</v>
      </c>
      <c r="AG91" t="s">
        <v>3801</v>
      </c>
      <c r="AI91" t="s">
        <v>7569</v>
      </c>
      <c r="AM91" t="s">
        <v>4104</v>
      </c>
      <c r="AN91" t="s">
        <v>2059</v>
      </c>
      <c r="AO91" t="s">
        <v>7570</v>
      </c>
      <c r="AP91" t="s">
        <v>7024</v>
      </c>
      <c r="AT91" s="184">
        <v>30656</v>
      </c>
      <c r="AU91" t="s">
        <v>7073</v>
      </c>
      <c r="AV91">
        <v>1000</v>
      </c>
      <c r="AW91" s="184">
        <v>37295</v>
      </c>
      <c r="AX91" t="s">
        <v>7571</v>
      </c>
      <c r="AY91">
        <v>25</v>
      </c>
      <c r="AZ91" s="184">
        <v>30656</v>
      </c>
      <c r="BA91" t="s">
        <v>7073</v>
      </c>
      <c r="BB91">
        <v>1000</v>
      </c>
      <c r="BC91">
        <v>41</v>
      </c>
      <c r="BD91">
        <v>3695</v>
      </c>
      <c r="BE91">
        <v>1984</v>
      </c>
      <c r="BF91">
        <v>40</v>
      </c>
      <c r="BI91">
        <v>17</v>
      </c>
      <c r="BJ91">
        <v>42</v>
      </c>
      <c r="BK91">
        <v>7</v>
      </c>
      <c r="BP91" s="184"/>
    </row>
    <row r="92" spans="1:68">
      <c r="A92">
        <v>276220</v>
      </c>
      <c r="B92">
        <v>276220</v>
      </c>
      <c r="C92" t="s">
        <v>7018</v>
      </c>
      <c r="J92" t="s">
        <v>595</v>
      </c>
      <c r="K92" s="184">
        <v>43970</v>
      </c>
      <c r="M92" s="184"/>
      <c r="O92" s="184"/>
      <c r="P92" t="s">
        <v>7045</v>
      </c>
      <c r="Q92" t="s">
        <v>7383</v>
      </c>
      <c r="R92" s="184">
        <v>16956</v>
      </c>
      <c r="S92">
        <v>77</v>
      </c>
      <c r="U92" t="s">
        <v>7031</v>
      </c>
      <c r="V92" t="s">
        <v>3820</v>
      </c>
      <c r="W92" t="s">
        <v>3332</v>
      </c>
      <c r="X92" t="s">
        <v>7572</v>
      </c>
      <c r="AF92" t="s">
        <v>6370</v>
      </c>
      <c r="AG92" t="s">
        <v>3820</v>
      </c>
      <c r="AI92" t="s">
        <v>7573</v>
      </c>
      <c r="AM92" t="s">
        <v>7574</v>
      </c>
      <c r="AN92" t="s">
        <v>2059</v>
      </c>
      <c r="AO92" t="s">
        <v>7575</v>
      </c>
      <c r="AP92" t="s">
        <v>7024</v>
      </c>
      <c r="AQ92" t="s">
        <v>7576</v>
      </c>
      <c r="AT92" s="184">
        <v>30468</v>
      </c>
      <c r="AU92" t="s">
        <v>7577</v>
      </c>
      <c r="AV92">
        <v>18</v>
      </c>
      <c r="AW92" s="184">
        <v>45317</v>
      </c>
      <c r="AX92" t="s">
        <v>7578</v>
      </c>
      <c r="AY92">
        <v>35</v>
      </c>
      <c r="AZ92" s="184">
        <v>32540</v>
      </c>
      <c r="BA92" t="s">
        <v>7579</v>
      </c>
      <c r="BB92">
        <v>100</v>
      </c>
      <c r="BC92">
        <v>84</v>
      </c>
      <c r="BD92">
        <v>1473</v>
      </c>
      <c r="BE92">
        <v>1983</v>
      </c>
      <c r="BF92">
        <v>57</v>
      </c>
      <c r="BG92">
        <v>2</v>
      </c>
      <c r="BH92">
        <v>70</v>
      </c>
      <c r="BI92">
        <v>35</v>
      </c>
      <c r="BJ92">
        <v>42</v>
      </c>
      <c r="BK92">
        <v>11</v>
      </c>
      <c r="BP92" s="184"/>
    </row>
    <row r="93" spans="1:68">
      <c r="A93">
        <v>276998</v>
      </c>
      <c r="B93">
        <v>276998</v>
      </c>
      <c r="C93" t="s">
        <v>7018</v>
      </c>
      <c r="K93" s="184"/>
      <c r="N93" t="s">
        <v>595</v>
      </c>
      <c r="O93" s="184">
        <v>37431</v>
      </c>
      <c r="P93" t="s">
        <v>7045</v>
      </c>
      <c r="Q93" t="s">
        <v>7383</v>
      </c>
      <c r="R93" s="184"/>
      <c r="U93" t="s">
        <v>7031</v>
      </c>
      <c r="V93" t="s">
        <v>7580</v>
      </c>
      <c r="X93" t="s">
        <v>5511</v>
      </c>
      <c r="Z93">
        <v>100177356</v>
      </c>
      <c r="AA93" t="s">
        <v>7031</v>
      </c>
      <c r="AB93" t="s">
        <v>3663</v>
      </c>
      <c r="AC93" t="s">
        <v>4327</v>
      </c>
      <c r="AD93" t="s">
        <v>5511</v>
      </c>
      <c r="AF93" t="s">
        <v>7581</v>
      </c>
      <c r="AG93" t="s">
        <v>7582</v>
      </c>
      <c r="AI93" t="s">
        <v>7583</v>
      </c>
      <c r="AM93" t="s">
        <v>5512</v>
      </c>
      <c r="AN93" t="s">
        <v>2059</v>
      </c>
      <c r="AO93" t="s">
        <v>7584</v>
      </c>
      <c r="AP93" t="s">
        <v>7024</v>
      </c>
      <c r="AQ93" t="s">
        <v>7585</v>
      </c>
      <c r="AT93" s="184">
        <v>30579</v>
      </c>
      <c r="AU93" t="s">
        <v>7586</v>
      </c>
      <c r="AV93">
        <v>10</v>
      </c>
      <c r="AW93" s="184">
        <v>40003</v>
      </c>
      <c r="AX93" t="s">
        <v>7587</v>
      </c>
      <c r="AY93">
        <v>25</v>
      </c>
      <c r="AZ93" s="184">
        <v>37433</v>
      </c>
      <c r="BA93" t="s">
        <v>7530</v>
      </c>
      <c r="BB93">
        <v>49308</v>
      </c>
      <c r="BC93">
        <v>60</v>
      </c>
      <c r="BD93">
        <v>50634</v>
      </c>
      <c r="BE93">
        <v>1984</v>
      </c>
      <c r="BF93">
        <v>48</v>
      </c>
      <c r="BI93">
        <v>25</v>
      </c>
      <c r="BJ93">
        <v>42</v>
      </c>
      <c r="BK93">
        <v>10</v>
      </c>
      <c r="BN93" t="s">
        <v>595</v>
      </c>
      <c r="BO93" t="s">
        <v>595</v>
      </c>
      <c r="BP93" s="184"/>
    </row>
    <row r="94" spans="1:68">
      <c r="A94">
        <v>100177356</v>
      </c>
      <c r="B94">
        <v>276998</v>
      </c>
      <c r="C94" t="s">
        <v>7018</v>
      </c>
      <c r="K94" s="184"/>
      <c r="M94" s="184"/>
      <c r="N94" t="s">
        <v>595</v>
      </c>
      <c r="O94" s="184">
        <v>36943</v>
      </c>
      <c r="P94" t="s">
        <v>7045</v>
      </c>
      <c r="Q94" t="s">
        <v>7383</v>
      </c>
      <c r="R94" s="184">
        <v>6553</v>
      </c>
      <c r="S94">
        <v>106</v>
      </c>
      <c r="U94" t="s">
        <v>7031</v>
      </c>
      <c r="V94" t="s">
        <v>3663</v>
      </c>
      <c r="W94" t="s">
        <v>4327</v>
      </c>
      <c r="X94" t="s">
        <v>5511</v>
      </c>
      <c r="Z94">
        <v>276998</v>
      </c>
      <c r="AA94" t="s">
        <v>7031</v>
      </c>
      <c r="AB94" t="s">
        <v>7580</v>
      </c>
      <c r="AD94" t="s">
        <v>5511</v>
      </c>
      <c r="AF94" t="s">
        <v>7581</v>
      </c>
      <c r="AG94" t="s">
        <v>7582</v>
      </c>
      <c r="AI94" t="s">
        <v>7583</v>
      </c>
      <c r="AM94" t="s">
        <v>5512</v>
      </c>
      <c r="AN94" t="s">
        <v>2059</v>
      </c>
      <c r="AO94" t="s">
        <v>7584</v>
      </c>
      <c r="AP94" t="s">
        <v>7024</v>
      </c>
      <c r="AT94" s="184"/>
      <c r="AW94" s="184"/>
      <c r="AZ94" s="184"/>
      <c r="BO94" t="s">
        <v>595</v>
      </c>
      <c r="BP94" s="184">
        <v>40805</v>
      </c>
    </row>
    <row r="95" spans="1:68">
      <c r="A95">
        <v>100177357</v>
      </c>
      <c r="B95">
        <v>276998</v>
      </c>
      <c r="C95" t="s">
        <v>7018</v>
      </c>
      <c r="E95" s="184"/>
      <c r="K95" s="184"/>
      <c r="M95" s="184"/>
      <c r="N95" t="s">
        <v>595</v>
      </c>
      <c r="O95" s="184">
        <v>36943</v>
      </c>
      <c r="P95" t="s">
        <v>7045</v>
      </c>
      <c r="Q95" t="s">
        <v>7383</v>
      </c>
      <c r="R95" s="184">
        <v>8694</v>
      </c>
      <c r="S95">
        <v>100</v>
      </c>
      <c r="U95" t="s">
        <v>7130</v>
      </c>
      <c r="V95" t="s">
        <v>3453</v>
      </c>
      <c r="W95" t="s">
        <v>7588</v>
      </c>
      <c r="X95" t="s">
        <v>5511</v>
      </c>
      <c r="Z95">
        <v>276998</v>
      </c>
      <c r="AA95" t="s">
        <v>7031</v>
      </c>
      <c r="AB95" t="s">
        <v>7580</v>
      </c>
      <c r="AD95" t="s">
        <v>5511</v>
      </c>
      <c r="AF95" t="s">
        <v>7581</v>
      </c>
      <c r="AG95" t="s">
        <v>7582</v>
      </c>
      <c r="AI95" t="s">
        <v>7583</v>
      </c>
      <c r="AM95" t="s">
        <v>5512</v>
      </c>
      <c r="AN95" t="s">
        <v>2059</v>
      </c>
      <c r="AO95" t="s">
        <v>7584</v>
      </c>
      <c r="AP95" t="s">
        <v>7024</v>
      </c>
      <c r="AT95" s="184"/>
      <c r="AW95" s="184"/>
      <c r="AZ95" s="184"/>
      <c r="BO95" t="s">
        <v>595</v>
      </c>
      <c r="BP95" s="184">
        <v>41023</v>
      </c>
    </row>
    <row r="96" spans="1:68">
      <c r="A96">
        <v>278895</v>
      </c>
      <c r="B96">
        <v>278895</v>
      </c>
      <c r="C96" t="s">
        <v>7018</v>
      </c>
      <c r="K96" s="184"/>
      <c r="L96" t="s">
        <v>595</v>
      </c>
      <c r="M96" s="184">
        <v>43923</v>
      </c>
      <c r="O96" s="184"/>
      <c r="P96" t="s">
        <v>7029</v>
      </c>
      <c r="Q96" t="s">
        <v>7383</v>
      </c>
      <c r="R96" s="184">
        <v>12337</v>
      </c>
      <c r="S96">
        <v>90</v>
      </c>
      <c r="V96" t="s">
        <v>7589</v>
      </c>
      <c r="W96" t="s">
        <v>3830</v>
      </c>
      <c r="X96" t="s">
        <v>7590</v>
      </c>
      <c r="AF96" t="s">
        <v>7591</v>
      </c>
      <c r="AG96" t="s">
        <v>7589</v>
      </c>
      <c r="AI96" t="s">
        <v>7592</v>
      </c>
      <c r="AM96" t="s">
        <v>5463</v>
      </c>
      <c r="AN96" t="s">
        <v>2059</v>
      </c>
      <c r="AO96" t="s">
        <v>7593</v>
      </c>
      <c r="AP96" t="s">
        <v>7024</v>
      </c>
      <c r="AQ96" t="s">
        <v>7594</v>
      </c>
      <c r="AR96" t="s">
        <v>7595</v>
      </c>
      <c r="AT96" s="184">
        <v>30580</v>
      </c>
      <c r="AU96" t="s">
        <v>7073</v>
      </c>
      <c r="AV96">
        <v>75</v>
      </c>
      <c r="AW96" s="184">
        <v>45219</v>
      </c>
      <c r="AX96" t="s">
        <v>7596</v>
      </c>
      <c r="AY96">
        <v>500</v>
      </c>
      <c r="AZ96" s="184">
        <v>44712</v>
      </c>
      <c r="BA96" t="s">
        <v>7597</v>
      </c>
      <c r="BB96">
        <v>1000</v>
      </c>
      <c r="BC96">
        <v>81</v>
      </c>
      <c r="BD96">
        <v>8115</v>
      </c>
      <c r="BE96">
        <v>1984</v>
      </c>
      <c r="BF96">
        <v>44</v>
      </c>
      <c r="BG96">
        <v>3</v>
      </c>
      <c r="BH96">
        <v>2000</v>
      </c>
      <c r="BI96">
        <v>34</v>
      </c>
      <c r="BJ96">
        <v>42</v>
      </c>
      <c r="BK96">
        <v>15</v>
      </c>
      <c r="BN96" t="s">
        <v>595</v>
      </c>
      <c r="BP96" s="184"/>
    </row>
    <row r="97" spans="1:68">
      <c r="A97">
        <v>280099</v>
      </c>
      <c r="B97">
        <v>280099</v>
      </c>
      <c r="C97" t="s">
        <v>7018</v>
      </c>
      <c r="E97" s="184"/>
      <c r="G97" s="184"/>
      <c r="J97" t="s">
        <v>595</v>
      </c>
      <c r="K97" s="184">
        <v>38054</v>
      </c>
      <c r="M97" s="184"/>
      <c r="P97" t="s">
        <v>7045</v>
      </c>
      <c r="Q97" t="s">
        <v>7030</v>
      </c>
      <c r="R97" s="184">
        <v>19845</v>
      </c>
      <c r="S97">
        <v>70</v>
      </c>
      <c r="V97" t="s">
        <v>3095</v>
      </c>
      <c r="W97" t="s">
        <v>7355</v>
      </c>
      <c r="X97" t="s">
        <v>7598</v>
      </c>
      <c r="Z97">
        <v>100179277</v>
      </c>
      <c r="AB97" t="s">
        <v>4840</v>
      </c>
      <c r="AC97" t="s">
        <v>3332</v>
      </c>
      <c r="AD97" t="s">
        <v>7598</v>
      </c>
      <c r="AF97" t="s">
        <v>6565</v>
      </c>
      <c r="AG97" t="s">
        <v>3095</v>
      </c>
      <c r="AI97" t="s">
        <v>7599</v>
      </c>
      <c r="AM97" t="s">
        <v>7600</v>
      </c>
      <c r="AN97" t="s">
        <v>2089</v>
      </c>
      <c r="AO97">
        <v>85248</v>
      </c>
      <c r="AP97" t="s">
        <v>7024</v>
      </c>
      <c r="AT97" s="184">
        <v>31070</v>
      </c>
      <c r="AU97" t="s">
        <v>7073</v>
      </c>
      <c r="AV97">
        <v>18</v>
      </c>
      <c r="AW97" s="184">
        <v>42593</v>
      </c>
      <c r="AX97" t="s">
        <v>7601</v>
      </c>
      <c r="AY97">
        <v>60</v>
      </c>
      <c r="AZ97" s="184">
        <v>38274</v>
      </c>
      <c r="BA97" t="s">
        <v>7602</v>
      </c>
      <c r="BB97">
        <v>87</v>
      </c>
      <c r="BC97">
        <v>28</v>
      </c>
      <c r="BD97">
        <v>600</v>
      </c>
      <c r="BE97">
        <v>1985</v>
      </c>
      <c r="BF97">
        <v>12</v>
      </c>
      <c r="BI97">
        <v>11</v>
      </c>
      <c r="BJ97">
        <v>40</v>
      </c>
      <c r="BK97">
        <v>2</v>
      </c>
    </row>
    <row r="98" spans="1:68">
      <c r="A98">
        <v>100179277</v>
      </c>
      <c r="B98">
        <v>280099</v>
      </c>
      <c r="C98" t="s">
        <v>7018</v>
      </c>
      <c r="E98" s="184"/>
      <c r="J98" t="s">
        <v>595</v>
      </c>
      <c r="K98" s="184">
        <v>38054</v>
      </c>
      <c r="O98" s="184"/>
      <c r="P98" t="s">
        <v>7045</v>
      </c>
      <c r="Q98" t="s">
        <v>7030</v>
      </c>
      <c r="R98" s="184"/>
      <c r="V98" t="s">
        <v>4840</v>
      </c>
      <c r="W98" t="s">
        <v>3332</v>
      </c>
      <c r="X98" t="s">
        <v>7598</v>
      </c>
      <c r="Z98">
        <v>280099</v>
      </c>
      <c r="AB98" t="s">
        <v>3095</v>
      </c>
      <c r="AC98" t="s">
        <v>7355</v>
      </c>
      <c r="AD98" t="s">
        <v>7598</v>
      </c>
      <c r="AF98" t="s">
        <v>6565</v>
      </c>
      <c r="AG98" t="s">
        <v>3095</v>
      </c>
      <c r="AI98" t="s">
        <v>7599</v>
      </c>
      <c r="AM98" t="s">
        <v>7600</v>
      </c>
      <c r="AN98" t="s">
        <v>2089</v>
      </c>
      <c r="AO98">
        <v>85248</v>
      </c>
      <c r="AP98" t="s">
        <v>7024</v>
      </c>
      <c r="AT98" s="184"/>
      <c r="AW98" s="184"/>
      <c r="AZ98" s="184"/>
      <c r="BO98" t="s">
        <v>595</v>
      </c>
      <c r="BP98" s="184"/>
    </row>
    <row r="99" spans="1:68">
      <c r="A99">
        <v>286153</v>
      </c>
      <c r="B99">
        <v>286153</v>
      </c>
      <c r="C99" t="s">
        <v>7018</v>
      </c>
      <c r="D99" t="s">
        <v>595</v>
      </c>
      <c r="E99" s="184">
        <v>43642</v>
      </c>
      <c r="G99" s="184"/>
      <c r="K99" s="184"/>
      <c r="O99" s="184"/>
      <c r="P99" t="s">
        <v>7045</v>
      </c>
      <c r="Q99" t="s">
        <v>7383</v>
      </c>
      <c r="R99" s="184">
        <v>19337</v>
      </c>
      <c r="S99">
        <v>71</v>
      </c>
      <c r="U99" t="s">
        <v>7032</v>
      </c>
      <c r="V99" t="s">
        <v>2697</v>
      </c>
      <c r="W99" t="s">
        <v>7085</v>
      </c>
      <c r="X99" t="s">
        <v>3145</v>
      </c>
      <c r="AF99" t="s">
        <v>7603</v>
      </c>
      <c r="AG99" t="s">
        <v>2697</v>
      </c>
      <c r="AI99" t="s">
        <v>7604</v>
      </c>
      <c r="AM99" t="s">
        <v>3146</v>
      </c>
      <c r="AN99" t="s">
        <v>2144</v>
      </c>
      <c r="AO99" t="s">
        <v>7605</v>
      </c>
      <c r="AP99" t="s">
        <v>7024</v>
      </c>
      <c r="AQ99" t="s">
        <v>7606</v>
      </c>
      <c r="AT99" s="184">
        <v>30512</v>
      </c>
      <c r="AU99" t="s">
        <v>7607</v>
      </c>
      <c r="AV99">
        <v>25</v>
      </c>
      <c r="AW99" s="184">
        <v>44298</v>
      </c>
      <c r="AX99" t="s">
        <v>7099</v>
      </c>
      <c r="AY99">
        <v>100</v>
      </c>
      <c r="AZ99" s="184">
        <v>43425</v>
      </c>
      <c r="BA99" t="s">
        <v>7608</v>
      </c>
      <c r="BB99">
        <v>1000</v>
      </c>
      <c r="BC99">
        <v>65</v>
      </c>
      <c r="BD99">
        <v>3315</v>
      </c>
      <c r="BE99">
        <v>1984</v>
      </c>
      <c r="BF99">
        <v>34</v>
      </c>
      <c r="BI99">
        <v>27</v>
      </c>
      <c r="BJ99">
        <v>42</v>
      </c>
      <c r="BK99">
        <v>8</v>
      </c>
      <c r="BP99" s="184"/>
    </row>
    <row r="100" spans="1:68">
      <c r="A100">
        <v>288639</v>
      </c>
      <c r="B100">
        <v>288639</v>
      </c>
      <c r="C100" t="s">
        <v>7018</v>
      </c>
      <c r="E100" s="184"/>
      <c r="G100" s="184"/>
      <c r="K100" s="184"/>
      <c r="N100" t="s">
        <v>595</v>
      </c>
      <c r="O100" s="184">
        <v>37595</v>
      </c>
      <c r="P100" t="s">
        <v>7045</v>
      </c>
      <c r="Q100" t="s">
        <v>7383</v>
      </c>
      <c r="R100" s="184">
        <v>7945</v>
      </c>
      <c r="S100">
        <v>102</v>
      </c>
      <c r="V100" t="s">
        <v>2705</v>
      </c>
      <c r="X100" t="s">
        <v>5933</v>
      </c>
      <c r="Z100">
        <v>100177358</v>
      </c>
      <c r="AB100" t="s">
        <v>2832</v>
      </c>
      <c r="AD100" t="s">
        <v>5933</v>
      </c>
      <c r="AF100" t="s">
        <v>7609</v>
      </c>
      <c r="AG100" t="s">
        <v>7609</v>
      </c>
      <c r="AI100" t="s">
        <v>7610</v>
      </c>
      <c r="AM100" t="s">
        <v>4965</v>
      </c>
      <c r="AN100" t="s">
        <v>2144</v>
      </c>
      <c r="AO100" t="s">
        <v>7611</v>
      </c>
      <c r="AP100" t="s">
        <v>7024</v>
      </c>
      <c r="AT100" s="184">
        <v>30840</v>
      </c>
      <c r="AU100" t="s">
        <v>7073</v>
      </c>
      <c r="AV100">
        <v>13</v>
      </c>
      <c r="AW100" s="184">
        <v>41472</v>
      </c>
      <c r="AX100" t="s">
        <v>7612</v>
      </c>
      <c r="AY100">
        <v>50</v>
      </c>
      <c r="AZ100" s="184">
        <v>37595</v>
      </c>
      <c r="BA100" t="s">
        <v>7180</v>
      </c>
      <c r="BB100">
        <v>10000</v>
      </c>
      <c r="BC100">
        <v>71</v>
      </c>
      <c r="BD100">
        <v>13250</v>
      </c>
      <c r="BE100">
        <v>1984</v>
      </c>
      <c r="BF100">
        <v>41</v>
      </c>
      <c r="BI100">
        <v>29</v>
      </c>
      <c r="BJ100">
        <v>41</v>
      </c>
      <c r="BK100">
        <v>23</v>
      </c>
      <c r="BO100" t="s">
        <v>595</v>
      </c>
      <c r="BP100" s="184">
        <v>41841</v>
      </c>
    </row>
    <row r="101" spans="1:68">
      <c r="A101">
        <v>295717</v>
      </c>
      <c r="B101">
        <v>295717</v>
      </c>
      <c r="C101" t="s">
        <v>7018</v>
      </c>
      <c r="D101" t="s">
        <v>595</v>
      </c>
      <c r="E101" s="184">
        <v>43892</v>
      </c>
      <c r="F101" t="s">
        <v>595</v>
      </c>
      <c r="G101" s="184">
        <v>44649</v>
      </c>
      <c r="K101" s="184"/>
      <c r="O101" s="184"/>
      <c r="P101" t="s">
        <v>7045</v>
      </c>
      <c r="Q101" t="s">
        <v>7160</v>
      </c>
      <c r="R101" s="184">
        <v>17108</v>
      </c>
      <c r="S101">
        <v>77</v>
      </c>
      <c r="U101" t="s">
        <v>7032</v>
      </c>
      <c r="V101" t="s">
        <v>2982</v>
      </c>
      <c r="X101" t="s">
        <v>7613</v>
      </c>
      <c r="AF101" t="s">
        <v>7614</v>
      </c>
      <c r="AG101" t="s">
        <v>2982</v>
      </c>
      <c r="AI101" t="s">
        <v>7615</v>
      </c>
      <c r="AM101" t="s">
        <v>4515</v>
      </c>
      <c r="AN101" t="s">
        <v>2395</v>
      </c>
      <c r="AO101" t="s">
        <v>7616</v>
      </c>
      <c r="AP101" t="s">
        <v>7024</v>
      </c>
      <c r="AQ101" t="s">
        <v>7617</v>
      </c>
      <c r="AT101" s="184">
        <v>30490</v>
      </c>
      <c r="AU101" t="s">
        <v>7618</v>
      </c>
      <c r="AV101">
        <v>18</v>
      </c>
      <c r="AW101" s="184">
        <v>45064</v>
      </c>
      <c r="AX101" t="s">
        <v>7619</v>
      </c>
      <c r="AY101">
        <v>105</v>
      </c>
      <c r="AZ101" s="184">
        <v>45064</v>
      </c>
      <c r="BA101" t="s">
        <v>7619</v>
      </c>
      <c r="BB101">
        <v>105</v>
      </c>
      <c r="BC101">
        <v>74</v>
      </c>
      <c r="BD101">
        <v>1484</v>
      </c>
      <c r="BE101">
        <v>1983</v>
      </c>
      <c r="BF101">
        <v>40</v>
      </c>
      <c r="BG101">
        <v>2</v>
      </c>
      <c r="BH101">
        <v>180</v>
      </c>
      <c r="BI101">
        <v>31</v>
      </c>
      <c r="BJ101">
        <v>42</v>
      </c>
      <c r="BK101">
        <v>15</v>
      </c>
      <c r="BP101" s="184"/>
    </row>
    <row r="102" spans="1:68">
      <c r="A102">
        <v>299255</v>
      </c>
      <c r="B102">
        <v>299255</v>
      </c>
      <c r="C102" t="s">
        <v>7018</v>
      </c>
      <c r="E102" s="184"/>
      <c r="G102" s="184"/>
      <c r="J102" t="s">
        <v>595</v>
      </c>
      <c r="K102" s="184">
        <v>37187</v>
      </c>
      <c r="P102" t="s">
        <v>7084</v>
      </c>
      <c r="Q102" t="s">
        <v>7383</v>
      </c>
      <c r="R102" s="184">
        <v>15707</v>
      </c>
      <c r="S102">
        <v>81</v>
      </c>
      <c r="U102" t="s">
        <v>7032</v>
      </c>
      <c r="V102" t="s">
        <v>3011</v>
      </c>
      <c r="W102" t="s">
        <v>3830</v>
      </c>
      <c r="X102" t="s">
        <v>7620</v>
      </c>
      <c r="AF102" t="s">
        <v>6075</v>
      </c>
      <c r="AG102" t="s">
        <v>3011</v>
      </c>
      <c r="AI102" t="s">
        <v>7621</v>
      </c>
      <c r="AM102" t="s">
        <v>3234</v>
      </c>
      <c r="AN102" t="s">
        <v>2072</v>
      </c>
      <c r="AO102" t="s">
        <v>7622</v>
      </c>
      <c r="AP102" t="s">
        <v>7024</v>
      </c>
      <c r="AT102" s="184">
        <v>30468</v>
      </c>
      <c r="AU102" t="s">
        <v>7073</v>
      </c>
      <c r="AV102">
        <v>18</v>
      </c>
      <c r="AW102" s="184">
        <v>44571</v>
      </c>
      <c r="AX102" t="s">
        <v>7093</v>
      </c>
      <c r="AY102">
        <v>364346.86</v>
      </c>
      <c r="AZ102" s="184">
        <v>44571</v>
      </c>
      <c r="BA102" t="s">
        <v>7093</v>
      </c>
      <c r="BB102">
        <v>364346.86</v>
      </c>
      <c r="BC102">
        <v>55</v>
      </c>
      <c r="BD102">
        <v>372032.86</v>
      </c>
      <c r="BE102">
        <v>1983</v>
      </c>
      <c r="BF102">
        <v>26</v>
      </c>
      <c r="BI102">
        <v>23</v>
      </c>
      <c r="BJ102">
        <v>42</v>
      </c>
      <c r="BK102">
        <v>10</v>
      </c>
      <c r="BM102" t="s">
        <v>595</v>
      </c>
      <c r="BO102" t="s">
        <v>595</v>
      </c>
    </row>
    <row r="103" spans="1:68">
      <c r="A103">
        <v>305011</v>
      </c>
      <c r="B103">
        <v>305011</v>
      </c>
      <c r="C103" t="s">
        <v>7018</v>
      </c>
      <c r="D103" t="s">
        <v>595</v>
      </c>
      <c r="E103" s="184">
        <v>43620</v>
      </c>
      <c r="K103" s="184"/>
      <c r="P103" t="s">
        <v>7045</v>
      </c>
      <c r="Q103" t="s">
        <v>7383</v>
      </c>
      <c r="R103" s="184">
        <v>18963</v>
      </c>
      <c r="S103">
        <v>72</v>
      </c>
      <c r="U103" t="s">
        <v>7076</v>
      </c>
      <c r="V103" t="s">
        <v>2903</v>
      </c>
      <c r="W103" t="s">
        <v>3332</v>
      </c>
      <c r="X103" t="s">
        <v>2904</v>
      </c>
      <c r="AF103" t="s">
        <v>7623</v>
      </c>
      <c r="AG103" t="s">
        <v>2903</v>
      </c>
      <c r="AI103" t="s">
        <v>7624</v>
      </c>
      <c r="AM103" t="s">
        <v>2905</v>
      </c>
      <c r="AN103" t="s">
        <v>2072</v>
      </c>
      <c r="AO103" t="s">
        <v>7625</v>
      </c>
      <c r="AP103" t="s">
        <v>7024</v>
      </c>
      <c r="AQ103" t="s">
        <v>7626</v>
      </c>
      <c r="AT103" s="184">
        <v>30693</v>
      </c>
      <c r="AU103" t="s">
        <v>7073</v>
      </c>
      <c r="AV103">
        <v>25</v>
      </c>
      <c r="AW103" s="184">
        <v>45412</v>
      </c>
      <c r="AX103" t="s">
        <v>7429</v>
      </c>
      <c r="AY103">
        <v>10</v>
      </c>
      <c r="AZ103" s="184">
        <v>31411</v>
      </c>
      <c r="BA103" t="s">
        <v>7627</v>
      </c>
      <c r="BB103">
        <v>150</v>
      </c>
      <c r="BC103">
        <v>79</v>
      </c>
      <c r="BD103">
        <v>1780</v>
      </c>
      <c r="BE103">
        <v>1984</v>
      </c>
      <c r="BF103">
        <v>107</v>
      </c>
      <c r="BG103">
        <v>24</v>
      </c>
      <c r="BH103">
        <v>240</v>
      </c>
      <c r="BI103">
        <v>32</v>
      </c>
      <c r="BJ103">
        <v>41</v>
      </c>
      <c r="BK103">
        <v>28</v>
      </c>
    </row>
    <row r="104" spans="1:68">
      <c r="A104">
        <v>308833</v>
      </c>
      <c r="B104">
        <v>308833</v>
      </c>
      <c r="C104" t="s">
        <v>7018</v>
      </c>
      <c r="D104" t="s">
        <v>595</v>
      </c>
      <c r="E104" s="184">
        <v>43642</v>
      </c>
      <c r="P104" t="s">
        <v>7045</v>
      </c>
      <c r="Q104" t="s">
        <v>7383</v>
      </c>
      <c r="R104" s="184">
        <v>19998</v>
      </c>
      <c r="S104">
        <v>69</v>
      </c>
      <c r="U104" t="s">
        <v>7130</v>
      </c>
      <c r="V104" t="s">
        <v>3147</v>
      </c>
      <c r="W104" t="s">
        <v>4139</v>
      </c>
      <c r="X104" t="s">
        <v>3076</v>
      </c>
      <c r="Z104">
        <v>100007597</v>
      </c>
      <c r="AF104" t="s">
        <v>7628</v>
      </c>
      <c r="AG104" t="s">
        <v>7629</v>
      </c>
      <c r="AI104" t="s">
        <v>7630</v>
      </c>
      <c r="AM104" t="s">
        <v>3077</v>
      </c>
      <c r="AN104" t="s">
        <v>2072</v>
      </c>
      <c r="AO104" t="s">
        <v>7631</v>
      </c>
      <c r="AP104" t="s">
        <v>7024</v>
      </c>
      <c r="AQ104" t="s">
        <v>7632</v>
      </c>
      <c r="AR104" t="s">
        <v>7633</v>
      </c>
      <c r="AT104" s="184">
        <v>30498</v>
      </c>
      <c r="AU104" t="s">
        <v>7634</v>
      </c>
      <c r="AV104">
        <v>25</v>
      </c>
      <c r="AW104" s="184">
        <v>45131</v>
      </c>
      <c r="AX104" t="s">
        <v>7635</v>
      </c>
      <c r="AY104">
        <v>100</v>
      </c>
      <c r="AZ104" s="184">
        <v>41452</v>
      </c>
      <c r="BA104" t="s">
        <v>7636</v>
      </c>
      <c r="BB104">
        <v>150</v>
      </c>
      <c r="BC104">
        <v>98</v>
      </c>
      <c r="BD104">
        <v>6213</v>
      </c>
      <c r="BE104">
        <v>1984</v>
      </c>
      <c r="BF104">
        <v>108</v>
      </c>
      <c r="BG104">
        <v>2</v>
      </c>
      <c r="BH104">
        <v>200</v>
      </c>
      <c r="BI104">
        <v>41</v>
      </c>
      <c r="BJ104">
        <v>42</v>
      </c>
      <c r="BK104">
        <v>41</v>
      </c>
      <c r="BN104" t="s">
        <v>595</v>
      </c>
    </row>
    <row r="105" spans="1:68">
      <c r="A105">
        <v>100007597</v>
      </c>
      <c r="B105">
        <v>308833</v>
      </c>
      <c r="C105" t="s">
        <v>7018</v>
      </c>
      <c r="D105" t="s">
        <v>595</v>
      </c>
      <c r="E105" s="184">
        <v>43642</v>
      </c>
      <c r="P105" t="s">
        <v>7045</v>
      </c>
      <c r="Q105" t="s">
        <v>7383</v>
      </c>
      <c r="R105" s="184">
        <v>19572</v>
      </c>
      <c r="S105">
        <v>70</v>
      </c>
      <c r="Z105">
        <v>308833</v>
      </c>
      <c r="AA105" t="s">
        <v>7130</v>
      </c>
      <c r="AB105" t="s">
        <v>3147</v>
      </c>
      <c r="AC105" t="s">
        <v>4139</v>
      </c>
      <c r="AD105" t="s">
        <v>3076</v>
      </c>
      <c r="AF105" t="s">
        <v>7628</v>
      </c>
      <c r="AG105" t="s">
        <v>7629</v>
      </c>
      <c r="AI105" t="s">
        <v>7630</v>
      </c>
      <c r="AM105" t="s">
        <v>3077</v>
      </c>
      <c r="AN105" t="s">
        <v>2072</v>
      </c>
      <c r="AO105" t="s">
        <v>7631</v>
      </c>
      <c r="AP105" t="s">
        <v>7024</v>
      </c>
      <c r="AT105" s="184"/>
      <c r="AW105" s="184"/>
      <c r="AZ105" s="184"/>
    </row>
    <row r="106" spans="1:68">
      <c r="A106">
        <v>308924</v>
      </c>
      <c r="B106">
        <v>308924</v>
      </c>
      <c r="C106" t="s">
        <v>7018</v>
      </c>
      <c r="D106" t="s">
        <v>595</v>
      </c>
      <c r="E106" s="184">
        <v>43647</v>
      </c>
      <c r="K106" s="184"/>
      <c r="P106" t="s">
        <v>7029</v>
      </c>
      <c r="Q106" t="s">
        <v>7383</v>
      </c>
      <c r="R106" s="184">
        <v>17899</v>
      </c>
      <c r="S106">
        <v>75</v>
      </c>
      <c r="V106" t="s">
        <v>2586</v>
      </c>
      <c r="W106" t="s">
        <v>4139</v>
      </c>
      <c r="X106" t="s">
        <v>3120</v>
      </c>
      <c r="AF106" t="s">
        <v>7637</v>
      </c>
      <c r="AG106" t="s">
        <v>2586</v>
      </c>
      <c r="AI106" t="s">
        <v>7638</v>
      </c>
      <c r="AM106" t="s">
        <v>3319</v>
      </c>
      <c r="AN106" t="s">
        <v>2072</v>
      </c>
      <c r="AO106" t="s">
        <v>7639</v>
      </c>
      <c r="AP106" t="s">
        <v>7024</v>
      </c>
      <c r="AT106" s="184">
        <v>30643</v>
      </c>
      <c r="AU106" t="s">
        <v>7640</v>
      </c>
      <c r="AV106">
        <v>18.5</v>
      </c>
      <c r="AW106" s="184">
        <v>43762</v>
      </c>
      <c r="AX106" t="s">
        <v>7641</v>
      </c>
      <c r="AY106">
        <v>150</v>
      </c>
      <c r="AZ106" s="184">
        <v>41162</v>
      </c>
      <c r="BA106" t="s">
        <v>7642</v>
      </c>
      <c r="BB106">
        <v>175</v>
      </c>
      <c r="BC106">
        <v>86</v>
      </c>
      <c r="BD106">
        <v>3119.5</v>
      </c>
      <c r="BE106">
        <v>1984</v>
      </c>
      <c r="BF106">
        <v>45</v>
      </c>
      <c r="BI106">
        <v>36</v>
      </c>
      <c r="BJ106">
        <v>42</v>
      </c>
      <c r="BK106">
        <v>21</v>
      </c>
    </row>
    <row r="107" spans="1:68">
      <c r="A107">
        <v>309260</v>
      </c>
      <c r="B107">
        <v>309260</v>
      </c>
      <c r="C107" t="s">
        <v>7018</v>
      </c>
      <c r="D107" t="s">
        <v>595</v>
      </c>
      <c r="E107" s="184">
        <v>43642</v>
      </c>
      <c r="K107" s="184"/>
      <c r="P107" t="s">
        <v>7045</v>
      </c>
      <c r="Q107" t="s">
        <v>7383</v>
      </c>
      <c r="R107" s="184">
        <v>20424</v>
      </c>
      <c r="S107">
        <v>68</v>
      </c>
      <c r="V107" t="s">
        <v>3148</v>
      </c>
      <c r="X107" t="s">
        <v>3149</v>
      </c>
      <c r="Z107">
        <v>100007604</v>
      </c>
      <c r="AB107" t="s">
        <v>2739</v>
      </c>
      <c r="AD107" t="s">
        <v>3149</v>
      </c>
      <c r="AF107" t="s">
        <v>7643</v>
      </c>
      <c r="AG107" t="s">
        <v>7644</v>
      </c>
      <c r="AI107" t="s">
        <v>7645</v>
      </c>
      <c r="AM107" t="s">
        <v>5112</v>
      </c>
      <c r="AN107" t="s">
        <v>2313</v>
      </c>
      <c r="AO107" t="s">
        <v>7646</v>
      </c>
      <c r="AP107" t="s">
        <v>7024</v>
      </c>
      <c r="AQ107" t="s">
        <v>7647</v>
      </c>
      <c r="AT107" s="184">
        <v>30832</v>
      </c>
      <c r="AU107" t="s">
        <v>7073</v>
      </c>
      <c r="AV107">
        <v>25</v>
      </c>
      <c r="AW107" s="184">
        <v>45378</v>
      </c>
      <c r="AX107" t="s">
        <v>7648</v>
      </c>
      <c r="AY107">
        <v>25</v>
      </c>
      <c r="AZ107" s="184">
        <v>38681</v>
      </c>
      <c r="BA107" t="s">
        <v>7649</v>
      </c>
      <c r="BB107">
        <v>40</v>
      </c>
      <c r="BC107">
        <v>96</v>
      </c>
      <c r="BD107">
        <v>5657</v>
      </c>
      <c r="BE107">
        <v>1984</v>
      </c>
      <c r="BF107">
        <v>263</v>
      </c>
      <c r="BG107">
        <v>24</v>
      </c>
      <c r="BH107">
        <v>600</v>
      </c>
      <c r="BI107">
        <v>39</v>
      </c>
      <c r="BJ107">
        <v>41</v>
      </c>
      <c r="BK107">
        <v>26</v>
      </c>
      <c r="BP107" s="184"/>
    </row>
    <row r="108" spans="1:68">
      <c r="A108">
        <v>100007604</v>
      </c>
      <c r="B108">
        <v>309260</v>
      </c>
      <c r="C108" t="s">
        <v>7018</v>
      </c>
      <c r="D108" t="s">
        <v>595</v>
      </c>
      <c r="E108" s="184">
        <v>43642</v>
      </c>
      <c r="K108" s="184"/>
      <c r="P108" t="s">
        <v>7045</v>
      </c>
      <c r="Q108" t="s">
        <v>7383</v>
      </c>
      <c r="R108" s="184">
        <v>20149</v>
      </c>
      <c r="S108">
        <v>69</v>
      </c>
      <c r="V108" t="s">
        <v>2739</v>
      </c>
      <c r="X108" t="s">
        <v>3149</v>
      </c>
      <c r="Z108">
        <v>309260</v>
      </c>
      <c r="AB108" t="s">
        <v>3148</v>
      </c>
      <c r="AD108" t="s">
        <v>3149</v>
      </c>
      <c r="AF108" t="s">
        <v>7643</v>
      </c>
      <c r="AG108" t="s">
        <v>7644</v>
      </c>
      <c r="AI108" t="s">
        <v>7645</v>
      </c>
      <c r="AM108" t="s">
        <v>5112</v>
      </c>
      <c r="AN108" t="s">
        <v>2313</v>
      </c>
      <c r="AO108" t="s">
        <v>7646</v>
      </c>
      <c r="AP108" t="s">
        <v>7024</v>
      </c>
      <c r="AT108" s="184"/>
      <c r="AW108" s="184"/>
      <c r="AZ108" s="184"/>
    </row>
    <row r="109" spans="1:68">
      <c r="A109">
        <v>315192</v>
      </c>
      <c r="B109">
        <v>315192</v>
      </c>
      <c r="C109" t="s">
        <v>7018</v>
      </c>
      <c r="E109" s="184"/>
      <c r="J109" t="s">
        <v>595</v>
      </c>
      <c r="K109" s="184">
        <v>37434</v>
      </c>
      <c r="P109" t="s">
        <v>7045</v>
      </c>
      <c r="Q109" t="s">
        <v>7383</v>
      </c>
      <c r="R109" s="184"/>
      <c r="U109" t="s">
        <v>7130</v>
      </c>
      <c r="V109" t="s">
        <v>2863</v>
      </c>
      <c r="X109" t="s">
        <v>5432</v>
      </c>
      <c r="Z109">
        <v>100179288</v>
      </c>
      <c r="AA109" t="s">
        <v>7032</v>
      </c>
      <c r="AB109" t="s">
        <v>2863</v>
      </c>
      <c r="AD109" t="s">
        <v>5432</v>
      </c>
      <c r="AF109" t="s">
        <v>7650</v>
      </c>
      <c r="AG109" t="s">
        <v>2863</v>
      </c>
      <c r="AI109" t="s">
        <v>7651</v>
      </c>
      <c r="AM109" t="s">
        <v>3225</v>
      </c>
      <c r="AN109" t="s">
        <v>2162</v>
      </c>
      <c r="AO109" t="s">
        <v>7652</v>
      </c>
      <c r="AP109" t="s">
        <v>7024</v>
      </c>
      <c r="AT109" s="184">
        <v>30610</v>
      </c>
      <c r="AU109" t="s">
        <v>7073</v>
      </c>
      <c r="AV109">
        <v>100</v>
      </c>
      <c r="AW109" s="184">
        <v>35453</v>
      </c>
      <c r="AX109" t="s">
        <v>7653</v>
      </c>
      <c r="AY109">
        <v>10114.73</v>
      </c>
      <c r="AZ109" s="184">
        <v>35453</v>
      </c>
      <c r="BA109" t="s">
        <v>7653</v>
      </c>
      <c r="BB109">
        <v>10114.73</v>
      </c>
      <c r="BC109">
        <v>34</v>
      </c>
      <c r="BD109">
        <v>101755.73</v>
      </c>
      <c r="BE109">
        <v>1984</v>
      </c>
      <c r="BF109">
        <v>20</v>
      </c>
      <c r="BI109">
        <v>14</v>
      </c>
      <c r="BJ109">
        <v>42</v>
      </c>
      <c r="BK109">
        <v>7</v>
      </c>
      <c r="BP109" s="184"/>
    </row>
    <row r="110" spans="1:68">
      <c r="A110">
        <v>100179288</v>
      </c>
      <c r="B110">
        <v>315192</v>
      </c>
      <c r="C110" t="s">
        <v>7018</v>
      </c>
      <c r="E110" s="184"/>
      <c r="J110" t="s">
        <v>595</v>
      </c>
      <c r="K110" s="184">
        <v>37434</v>
      </c>
      <c r="P110" t="s">
        <v>7045</v>
      </c>
      <c r="Q110" t="s">
        <v>7383</v>
      </c>
      <c r="R110" s="184">
        <v>10997</v>
      </c>
      <c r="S110">
        <v>94</v>
      </c>
      <c r="U110" t="s">
        <v>7032</v>
      </c>
      <c r="V110" t="s">
        <v>2863</v>
      </c>
      <c r="X110" t="s">
        <v>5432</v>
      </c>
      <c r="Z110">
        <v>315192</v>
      </c>
      <c r="AA110" t="s">
        <v>7130</v>
      </c>
      <c r="AB110" t="s">
        <v>2863</v>
      </c>
      <c r="AD110" t="s">
        <v>5432</v>
      </c>
      <c r="AF110" t="s">
        <v>7650</v>
      </c>
      <c r="AG110" t="s">
        <v>2863</v>
      </c>
      <c r="AI110" t="s">
        <v>7651</v>
      </c>
      <c r="AM110" t="s">
        <v>3225</v>
      </c>
      <c r="AN110" t="s">
        <v>2162</v>
      </c>
      <c r="AO110" t="s">
        <v>7652</v>
      </c>
      <c r="AP110" t="s">
        <v>7024</v>
      </c>
      <c r="AT110" s="184"/>
      <c r="AW110" s="184"/>
      <c r="AZ110" s="184"/>
      <c r="BO110" t="s">
        <v>595</v>
      </c>
      <c r="BP110" s="184">
        <v>36434</v>
      </c>
    </row>
    <row r="111" spans="1:68">
      <c r="A111">
        <v>315788</v>
      </c>
      <c r="B111">
        <v>315788</v>
      </c>
      <c r="C111" t="s">
        <v>7018</v>
      </c>
      <c r="D111" t="s">
        <v>595</v>
      </c>
      <c r="E111" s="184">
        <v>43970</v>
      </c>
      <c r="I111" s="184"/>
      <c r="K111" s="184"/>
      <c r="P111" t="s">
        <v>7045</v>
      </c>
      <c r="Q111" t="s">
        <v>7383</v>
      </c>
      <c r="R111" s="184">
        <v>16873</v>
      </c>
      <c r="S111">
        <v>78</v>
      </c>
      <c r="U111" t="s">
        <v>7076</v>
      </c>
      <c r="V111" t="s">
        <v>2671</v>
      </c>
      <c r="X111" t="s">
        <v>7654</v>
      </c>
      <c r="AF111" t="s">
        <v>7655</v>
      </c>
      <c r="AG111" t="s">
        <v>2671</v>
      </c>
      <c r="AI111" t="s">
        <v>7656</v>
      </c>
      <c r="AM111" t="s">
        <v>7657</v>
      </c>
      <c r="AN111" t="s">
        <v>2162</v>
      </c>
      <c r="AO111" t="s">
        <v>7658</v>
      </c>
      <c r="AP111" t="s">
        <v>7024</v>
      </c>
      <c r="AT111" s="184">
        <v>30757</v>
      </c>
      <c r="AU111" t="s">
        <v>7073</v>
      </c>
      <c r="AV111">
        <v>25</v>
      </c>
      <c r="AW111" s="184">
        <v>45299</v>
      </c>
      <c r="AX111" t="s">
        <v>7092</v>
      </c>
      <c r="AY111">
        <v>100</v>
      </c>
      <c r="AZ111" s="184">
        <v>45299</v>
      </c>
      <c r="BA111" t="s">
        <v>7092</v>
      </c>
      <c r="BB111">
        <v>100</v>
      </c>
      <c r="BC111">
        <v>98</v>
      </c>
      <c r="BD111">
        <v>2148.4</v>
      </c>
      <c r="BE111">
        <v>1984</v>
      </c>
      <c r="BF111">
        <v>56</v>
      </c>
      <c r="BG111">
        <v>3</v>
      </c>
      <c r="BH111">
        <v>180</v>
      </c>
      <c r="BI111">
        <v>40</v>
      </c>
      <c r="BJ111">
        <v>41</v>
      </c>
      <c r="BK111">
        <v>39</v>
      </c>
      <c r="BM111" t="s">
        <v>595</v>
      </c>
      <c r="BP111" s="184"/>
    </row>
    <row r="112" spans="1:68">
      <c r="A112">
        <v>319665</v>
      </c>
      <c r="B112">
        <v>319665</v>
      </c>
      <c r="C112" t="s">
        <v>7018</v>
      </c>
      <c r="D112" t="s">
        <v>595</v>
      </c>
      <c r="E112" s="184">
        <v>43607</v>
      </c>
      <c r="K112" s="184"/>
      <c r="P112" t="s">
        <v>7045</v>
      </c>
      <c r="Q112" t="s">
        <v>7383</v>
      </c>
      <c r="R112" s="184">
        <v>18172</v>
      </c>
      <c r="S112">
        <v>74</v>
      </c>
      <c r="U112" t="s">
        <v>7031</v>
      </c>
      <c r="V112" t="s">
        <v>2867</v>
      </c>
      <c r="X112" t="s">
        <v>2868</v>
      </c>
      <c r="AF112" t="s">
        <v>7659</v>
      </c>
      <c r="AG112" t="s">
        <v>2867</v>
      </c>
      <c r="AI112" t="s">
        <v>7660</v>
      </c>
      <c r="AM112" t="s">
        <v>2869</v>
      </c>
      <c r="AN112" t="s">
        <v>2274</v>
      </c>
      <c r="AO112" t="s">
        <v>7661</v>
      </c>
      <c r="AP112" t="s">
        <v>7024</v>
      </c>
      <c r="AQ112" t="s">
        <v>7662</v>
      </c>
      <c r="AR112" t="s">
        <v>7663</v>
      </c>
      <c r="AT112" s="184">
        <v>30525</v>
      </c>
      <c r="AU112" t="s">
        <v>7664</v>
      </c>
      <c r="AV112">
        <v>18</v>
      </c>
      <c r="AW112" s="184">
        <v>45131</v>
      </c>
      <c r="AX112" t="s">
        <v>7665</v>
      </c>
      <c r="AY112">
        <v>35</v>
      </c>
      <c r="AZ112" s="184">
        <v>38503</v>
      </c>
      <c r="BA112" t="s">
        <v>7666</v>
      </c>
      <c r="BB112">
        <v>87</v>
      </c>
      <c r="BC112">
        <v>96</v>
      </c>
      <c r="BD112">
        <v>2416</v>
      </c>
      <c r="BE112">
        <v>1984</v>
      </c>
      <c r="BF112">
        <v>121</v>
      </c>
      <c r="BG112">
        <v>7</v>
      </c>
      <c r="BH112">
        <v>140</v>
      </c>
      <c r="BI112">
        <v>40</v>
      </c>
      <c r="BJ112">
        <v>42</v>
      </c>
      <c r="BK112">
        <v>24</v>
      </c>
      <c r="BN112" t="s">
        <v>595</v>
      </c>
    </row>
    <row r="113" spans="1:68">
      <c r="A113">
        <v>326389</v>
      </c>
      <c r="B113">
        <v>326389</v>
      </c>
      <c r="C113" t="s">
        <v>7018</v>
      </c>
      <c r="E113" s="184"/>
      <c r="I113" s="184"/>
      <c r="J113" t="s">
        <v>595</v>
      </c>
      <c r="K113" s="184">
        <v>37203</v>
      </c>
      <c r="P113" t="s">
        <v>7045</v>
      </c>
      <c r="Q113" t="s">
        <v>7383</v>
      </c>
      <c r="R113" s="184">
        <v>15964</v>
      </c>
      <c r="S113">
        <v>80</v>
      </c>
      <c r="U113" t="s">
        <v>7667</v>
      </c>
      <c r="V113" t="s">
        <v>3229</v>
      </c>
      <c r="X113" t="s">
        <v>5697</v>
      </c>
      <c r="AF113" t="s">
        <v>7668</v>
      </c>
      <c r="AG113" t="s">
        <v>3229</v>
      </c>
      <c r="AI113" t="s">
        <v>7669</v>
      </c>
      <c r="AM113" t="s">
        <v>7670</v>
      </c>
      <c r="AN113" t="s">
        <v>2274</v>
      </c>
      <c r="AO113" t="s">
        <v>7671</v>
      </c>
      <c r="AP113" t="s">
        <v>7024</v>
      </c>
      <c r="AT113" s="184">
        <v>30684</v>
      </c>
      <c r="AU113" t="s">
        <v>7672</v>
      </c>
      <c r="AV113">
        <v>6645.97</v>
      </c>
      <c r="AW113" s="184">
        <v>32127</v>
      </c>
      <c r="AX113" t="s">
        <v>7673</v>
      </c>
      <c r="AY113">
        <v>3000</v>
      </c>
      <c r="AZ113" s="184">
        <v>31043</v>
      </c>
      <c r="BA113" t="s">
        <v>7674</v>
      </c>
      <c r="BB113">
        <v>10076.57</v>
      </c>
      <c r="BC113">
        <v>10</v>
      </c>
      <c r="BD113">
        <v>23723.17</v>
      </c>
      <c r="BE113">
        <v>1984</v>
      </c>
      <c r="BF113">
        <v>7</v>
      </c>
      <c r="BI113">
        <v>4</v>
      </c>
      <c r="BJ113">
        <v>41</v>
      </c>
      <c r="BK113">
        <v>4</v>
      </c>
    </row>
    <row r="114" spans="1:68">
      <c r="A114">
        <v>331652</v>
      </c>
      <c r="B114">
        <v>331652</v>
      </c>
      <c r="C114" t="s">
        <v>7018</v>
      </c>
      <c r="E114" s="184"/>
      <c r="H114" t="s">
        <v>595</v>
      </c>
      <c r="I114" s="184">
        <v>44073</v>
      </c>
      <c r="J114" t="s">
        <v>595</v>
      </c>
      <c r="K114" s="184">
        <v>44073</v>
      </c>
      <c r="P114" t="s">
        <v>7045</v>
      </c>
      <c r="Q114" t="s">
        <v>7383</v>
      </c>
      <c r="R114" s="184">
        <v>18192</v>
      </c>
      <c r="S114">
        <v>74</v>
      </c>
      <c r="V114" t="s">
        <v>3246</v>
      </c>
      <c r="W114" t="s">
        <v>4327</v>
      </c>
      <c r="X114" t="s">
        <v>3539</v>
      </c>
      <c r="AF114" t="s">
        <v>7675</v>
      </c>
      <c r="AG114" t="s">
        <v>3246</v>
      </c>
      <c r="AI114" t="s">
        <v>7676</v>
      </c>
      <c r="AM114" t="s">
        <v>4148</v>
      </c>
      <c r="AN114" t="s">
        <v>2274</v>
      </c>
      <c r="AO114" t="s">
        <v>7677</v>
      </c>
      <c r="AP114" t="s">
        <v>7024</v>
      </c>
      <c r="AQ114" t="s">
        <v>7678</v>
      </c>
      <c r="AT114" s="184">
        <v>30512</v>
      </c>
      <c r="AU114" t="s">
        <v>7073</v>
      </c>
      <c r="AV114">
        <v>10</v>
      </c>
      <c r="AW114" s="184">
        <v>45092</v>
      </c>
      <c r="AX114" t="s">
        <v>7159</v>
      </c>
      <c r="AY114">
        <v>100</v>
      </c>
      <c r="AZ114" s="184">
        <v>45092</v>
      </c>
      <c r="BA114" t="s">
        <v>7159</v>
      </c>
      <c r="BB114">
        <v>100</v>
      </c>
      <c r="BC114">
        <v>96</v>
      </c>
      <c r="BD114">
        <v>3298.4</v>
      </c>
      <c r="BE114">
        <v>1984</v>
      </c>
      <c r="BF114">
        <v>84</v>
      </c>
      <c r="BG114">
        <v>2</v>
      </c>
      <c r="BH114">
        <v>200</v>
      </c>
      <c r="BI114">
        <v>40</v>
      </c>
      <c r="BJ114">
        <v>42</v>
      </c>
      <c r="BK114">
        <v>30</v>
      </c>
    </row>
    <row r="115" spans="1:68">
      <c r="A115">
        <v>333047</v>
      </c>
      <c r="B115">
        <v>333047</v>
      </c>
      <c r="C115" t="s">
        <v>7018</v>
      </c>
      <c r="D115" t="s">
        <v>595</v>
      </c>
      <c r="E115" s="184">
        <v>44073</v>
      </c>
      <c r="I115" s="184"/>
      <c r="K115" s="184"/>
      <c r="P115" t="s">
        <v>7045</v>
      </c>
      <c r="Q115" t="s">
        <v>7383</v>
      </c>
      <c r="R115" s="184">
        <v>20796</v>
      </c>
      <c r="S115">
        <v>67</v>
      </c>
      <c r="V115" t="s">
        <v>2832</v>
      </c>
      <c r="W115" t="s">
        <v>7246</v>
      </c>
      <c r="X115" t="s">
        <v>7679</v>
      </c>
      <c r="AF115" t="s">
        <v>7680</v>
      </c>
      <c r="AG115" t="s">
        <v>2832</v>
      </c>
      <c r="AI115" t="s">
        <v>7681</v>
      </c>
      <c r="AM115" t="s">
        <v>3357</v>
      </c>
      <c r="AN115" t="s">
        <v>2185</v>
      </c>
      <c r="AO115" t="s">
        <v>7682</v>
      </c>
      <c r="AP115" t="s">
        <v>7024</v>
      </c>
      <c r="AQ115" t="s">
        <v>7683</v>
      </c>
      <c r="AT115" s="184">
        <v>30719</v>
      </c>
      <c r="AU115" t="s">
        <v>7073</v>
      </c>
      <c r="AV115">
        <v>18</v>
      </c>
      <c r="AW115" s="184">
        <v>45225</v>
      </c>
      <c r="AX115" t="s">
        <v>7684</v>
      </c>
      <c r="AY115">
        <v>60</v>
      </c>
      <c r="AZ115" s="184">
        <v>42300</v>
      </c>
      <c r="BA115" t="s">
        <v>7685</v>
      </c>
      <c r="BB115">
        <v>100</v>
      </c>
      <c r="BC115">
        <v>74</v>
      </c>
      <c r="BD115">
        <v>2332</v>
      </c>
      <c r="BE115">
        <v>1984</v>
      </c>
      <c r="BF115">
        <v>51</v>
      </c>
      <c r="BG115">
        <v>2</v>
      </c>
      <c r="BH115">
        <v>110</v>
      </c>
      <c r="BI115">
        <v>30</v>
      </c>
      <c r="BJ115">
        <v>41</v>
      </c>
      <c r="BK115">
        <v>19</v>
      </c>
    </row>
    <row r="116" spans="1:68">
      <c r="A116">
        <v>333351</v>
      </c>
      <c r="B116">
        <v>333351</v>
      </c>
      <c r="C116" t="s">
        <v>7018</v>
      </c>
      <c r="E116" s="184"/>
      <c r="J116" t="s">
        <v>595</v>
      </c>
      <c r="K116" s="184">
        <v>41544</v>
      </c>
      <c r="O116" s="184"/>
      <c r="P116" t="s">
        <v>7686</v>
      </c>
      <c r="Q116" t="s">
        <v>7383</v>
      </c>
      <c r="R116" s="184">
        <v>20424</v>
      </c>
      <c r="S116">
        <v>68</v>
      </c>
      <c r="U116" t="s">
        <v>7031</v>
      </c>
      <c r="V116" t="s">
        <v>2665</v>
      </c>
      <c r="W116" t="s">
        <v>3332</v>
      </c>
      <c r="X116" t="s">
        <v>5367</v>
      </c>
      <c r="Z116">
        <v>100007726</v>
      </c>
      <c r="AA116" t="s">
        <v>7130</v>
      </c>
      <c r="AB116" t="s">
        <v>3468</v>
      </c>
      <c r="AD116" t="s">
        <v>5367</v>
      </c>
      <c r="AF116" t="s">
        <v>7687</v>
      </c>
      <c r="AG116" t="s">
        <v>7688</v>
      </c>
      <c r="AI116" t="s">
        <v>7689</v>
      </c>
      <c r="AM116" t="s">
        <v>3357</v>
      </c>
      <c r="AN116" t="s">
        <v>2185</v>
      </c>
      <c r="AO116" t="s">
        <v>7690</v>
      </c>
      <c r="AP116" t="s">
        <v>7024</v>
      </c>
      <c r="AQ116" t="s">
        <v>7691</v>
      </c>
      <c r="AR116" t="s">
        <v>7692</v>
      </c>
      <c r="AT116" s="184">
        <v>30582</v>
      </c>
      <c r="AU116" t="s">
        <v>7586</v>
      </c>
      <c r="AV116">
        <v>50</v>
      </c>
      <c r="AW116" s="184">
        <v>45181</v>
      </c>
      <c r="AX116" t="s">
        <v>7693</v>
      </c>
      <c r="AY116">
        <v>2500</v>
      </c>
      <c r="AZ116" s="184">
        <v>42422</v>
      </c>
      <c r="BA116" t="s">
        <v>7694</v>
      </c>
      <c r="BB116">
        <v>16586.88</v>
      </c>
      <c r="BC116">
        <v>98</v>
      </c>
      <c r="BD116">
        <v>300406.39</v>
      </c>
      <c r="BE116">
        <v>1984</v>
      </c>
      <c r="BF116">
        <v>64</v>
      </c>
      <c r="BG116">
        <v>4</v>
      </c>
      <c r="BH116">
        <v>17000</v>
      </c>
      <c r="BI116">
        <v>41</v>
      </c>
      <c r="BJ116">
        <v>42</v>
      </c>
      <c r="BK116">
        <v>41</v>
      </c>
      <c r="BN116" t="s">
        <v>595</v>
      </c>
    </row>
    <row r="117" spans="1:68">
      <c r="A117">
        <v>100007726</v>
      </c>
      <c r="B117">
        <v>333351</v>
      </c>
      <c r="C117" t="s">
        <v>7018</v>
      </c>
      <c r="E117" s="184"/>
      <c r="J117" t="s">
        <v>595</v>
      </c>
      <c r="K117" s="184">
        <v>41544</v>
      </c>
      <c r="P117" t="s">
        <v>7686</v>
      </c>
      <c r="Q117" t="s">
        <v>7383</v>
      </c>
      <c r="R117" s="184">
        <v>20637</v>
      </c>
      <c r="S117">
        <v>67</v>
      </c>
      <c r="U117" t="s">
        <v>7130</v>
      </c>
      <c r="V117" t="s">
        <v>3468</v>
      </c>
      <c r="X117" t="s">
        <v>5367</v>
      </c>
      <c r="Z117">
        <v>333351</v>
      </c>
      <c r="AA117" t="s">
        <v>7031</v>
      </c>
      <c r="AB117" t="s">
        <v>2665</v>
      </c>
      <c r="AC117" t="s">
        <v>3332</v>
      </c>
      <c r="AD117" t="s">
        <v>5367</v>
      </c>
      <c r="AF117" t="s">
        <v>7687</v>
      </c>
      <c r="AG117" t="s">
        <v>7688</v>
      </c>
      <c r="AI117" t="s">
        <v>7689</v>
      </c>
      <c r="AM117" t="s">
        <v>3357</v>
      </c>
      <c r="AN117" t="s">
        <v>2185</v>
      </c>
      <c r="AO117" t="s">
        <v>7690</v>
      </c>
      <c r="AP117" t="s">
        <v>7024</v>
      </c>
      <c r="AT117" s="184"/>
      <c r="AW117" s="184"/>
      <c r="AZ117" s="184"/>
    </row>
    <row r="118" spans="1:68">
      <c r="A118">
        <v>333385</v>
      </c>
      <c r="B118">
        <v>333385</v>
      </c>
      <c r="C118" t="s">
        <v>7018</v>
      </c>
      <c r="D118" t="s">
        <v>595</v>
      </c>
      <c r="E118" s="184">
        <v>43851</v>
      </c>
      <c r="K118" s="184"/>
      <c r="O118" s="184"/>
      <c r="P118" t="s">
        <v>7045</v>
      </c>
      <c r="Q118" t="s">
        <v>7383</v>
      </c>
      <c r="R118" s="184">
        <v>11193</v>
      </c>
      <c r="S118">
        <v>93</v>
      </c>
      <c r="U118" t="s">
        <v>7031</v>
      </c>
      <c r="V118" t="s">
        <v>3141</v>
      </c>
      <c r="W118" t="s">
        <v>7695</v>
      </c>
      <c r="X118" t="s">
        <v>4521</v>
      </c>
      <c r="AF118" t="s">
        <v>7696</v>
      </c>
      <c r="AG118" t="s">
        <v>3141</v>
      </c>
      <c r="AI118" t="s">
        <v>7697</v>
      </c>
      <c r="AM118" t="s">
        <v>3357</v>
      </c>
      <c r="AN118" t="s">
        <v>2185</v>
      </c>
      <c r="AO118" t="s">
        <v>7698</v>
      </c>
      <c r="AP118" t="s">
        <v>7024</v>
      </c>
      <c r="AQ118" t="s">
        <v>7699</v>
      </c>
      <c r="AR118" t="s">
        <v>7700</v>
      </c>
      <c r="AT118" s="184">
        <v>30571</v>
      </c>
      <c r="AU118" t="s">
        <v>7073</v>
      </c>
      <c r="AV118">
        <v>18</v>
      </c>
      <c r="AW118" s="184">
        <v>45098</v>
      </c>
      <c r="AX118" t="s">
        <v>7701</v>
      </c>
      <c r="AY118">
        <v>50</v>
      </c>
      <c r="AZ118" s="184">
        <v>32245</v>
      </c>
      <c r="BA118" t="s">
        <v>7702</v>
      </c>
      <c r="BB118">
        <v>250</v>
      </c>
      <c r="BC118">
        <v>89</v>
      </c>
      <c r="BD118">
        <v>1989</v>
      </c>
      <c r="BE118">
        <v>1984</v>
      </c>
      <c r="BF118">
        <v>54</v>
      </c>
      <c r="BG118">
        <v>2</v>
      </c>
      <c r="BH118">
        <v>100</v>
      </c>
      <c r="BI118">
        <v>37</v>
      </c>
      <c r="BJ118">
        <v>42</v>
      </c>
      <c r="BK118">
        <v>25</v>
      </c>
    </row>
    <row r="119" spans="1:68">
      <c r="A119">
        <v>334110</v>
      </c>
      <c r="B119">
        <v>334110</v>
      </c>
      <c r="C119" t="s">
        <v>7018</v>
      </c>
      <c r="E119" s="184"/>
      <c r="I119" s="184"/>
      <c r="K119" s="184"/>
      <c r="N119" t="s">
        <v>595</v>
      </c>
      <c r="O119" s="184">
        <v>41548</v>
      </c>
      <c r="P119" t="s">
        <v>7045</v>
      </c>
      <c r="Q119" t="s">
        <v>7383</v>
      </c>
      <c r="R119" s="184">
        <v>15686</v>
      </c>
      <c r="S119">
        <v>81</v>
      </c>
      <c r="U119" t="s">
        <v>7031</v>
      </c>
      <c r="V119" t="s">
        <v>2821</v>
      </c>
      <c r="W119" t="s">
        <v>7085</v>
      </c>
      <c r="X119" t="s">
        <v>5813</v>
      </c>
      <c r="AF119" t="s">
        <v>7703</v>
      </c>
      <c r="AG119" t="s">
        <v>2821</v>
      </c>
      <c r="AI119" t="s">
        <v>7704</v>
      </c>
      <c r="AM119" t="s">
        <v>2830</v>
      </c>
      <c r="AN119" t="s">
        <v>2185</v>
      </c>
      <c r="AO119" t="s">
        <v>7705</v>
      </c>
      <c r="AP119" t="s">
        <v>7024</v>
      </c>
      <c r="AT119" s="184">
        <v>30648</v>
      </c>
      <c r="AU119" t="s">
        <v>7173</v>
      </c>
      <c r="AV119">
        <v>25</v>
      </c>
      <c r="AW119" s="184">
        <v>44292</v>
      </c>
      <c r="AX119" t="s">
        <v>7706</v>
      </c>
      <c r="AY119">
        <v>500</v>
      </c>
      <c r="AZ119" s="184">
        <v>41548</v>
      </c>
      <c r="BA119" t="s">
        <v>7707</v>
      </c>
      <c r="BB119">
        <v>15000</v>
      </c>
      <c r="BC119">
        <v>77</v>
      </c>
      <c r="BD119">
        <v>19435</v>
      </c>
      <c r="BE119">
        <v>1984</v>
      </c>
      <c r="BF119">
        <v>43</v>
      </c>
      <c r="BI119">
        <v>32</v>
      </c>
      <c r="BJ119">
        <v>42</v>
      </c>
      <c r="BK119">
        <v>14</v>
      </c>
    </row>
    <row r="120" spans="1:68">
      <c r="A120">
        <v>334292</v>
      </c>
      <c r="B120">
        <v>334292</v>
      </c>
      <c r="C120" t="s">
        <v>7018</v>
      </c>
      <c r="E120" s="184"/>
      <c r="H120" t="s">
        <v>595</v>
      </c>
      <c r="I120" s="184">
        <v>44867</v>
      </c>
      <c r="K120" s="184"/>
      <c r="N120" t="s">
        <v>595</v>
      </c>
      <c r="O120" s="184">
        <v>45012</v>
      </c>
      <c r="P120" t="s">
        <v>7045</v>
      </c>
      <c r="Q120" t="s">
        <v>7383</v>
      </c>
      <c r="R120" s="184">
        <v>22688</v>
      </c>
      <c r="S120">
        <v>62</v>
      </c>
      <c r="U120" t="s">
        <v>7076</v>
      </c>
      <c r="V120" t="s">
        <v>2903</v>
      </c>
      <c r="X120" t="s">
        <v>7708</v>
      </c>
      <c r="AF120" t="s">
        <v>7709</v>
      </c>
      <c r="AG120" t="s">
        <v>2903</v>
      </c>
      <c r="AI120" t="s">
        <v>7710</v>
      </c>
      <c r="AM120" t="s">
        <v>2520</v>
      </c>
      <c r="AN120" t="s">
        <v>2072</v>
      </c>
      <c r="AO120" t="s">
        <v>7711</v>
      </c>
      <c r="AP120" t="s">
        <v>7024</v>
      </c>
      <c r="AQ120" t="s">
        <v>7712</v>
      </c>
      <c r="AT120" s="184">
        <v>43536</v>
      </c>
      <c r="AU120" t="s">
        <v>7713</v>
      </c>
      <c r="AV120">
        <v>50</v>
      </c>
      <c r="AW120" s="184">
        <v>44270</v>
      </c>
      <c r="AX120" t="s">
        <v>7714</v>
      </c>
      <c r="AY120">
        <v>50</v>
      </c>
      <c r="AZ120" s="184">
        <v>44270</v>
      </c>
      <c r="BA120" t="s">
        <v>7714</v>
      </c>
      <c r="BB120">
        <v>50</v>
      </c>
      <c r="BC120">
        <v>50</v>
      </c>
      <c r="BD120">
        <v>170</v>
      </c>
      <c r="BE120">
        <v>2019</v>
      </c>
      <c r="BF120">
        <v>4</v>
      </c>
      <c r="BI120">
        <v>3</v>
      </c>
      <c r="BJ120">
        <v>6</v>
      </c>
      <c r="BK120">
        <v>3</v>
      </c>
      <c r="BP120" s="184"/>
    </row>
    <row r="121" spans="1:68">
      <c r="A121">
        <v>335133</v>
      </c>
      <c r="B121">
        <v>335133</v>
      </c>
      <c r="C121" t="s">
        <v>7018</v>
      </c>
      <c r="E121" s="184"/>
      <c r="I121" s="184"/>
      <c r="J121" t="s">
        <v>595</v>
      </c>
      <c r="K121" s="184">
        <v>44795</v>
      </c>
      <c r="O121" s="184"/>
      <c r="P121" t="s">
        <v>7084</v>
      </c>
      <c r="Q121" t="s">
        <v>7383</v>
      </c>
      <c r="R121" s="184">
        <v>4204</v>
      </c>
      <c r="S121">
        <v>112</v>
      </c>
      <c r="U121" t="s">
        <v>7076</v>
      </c>
      <c r="V121" t="s">
        <v>7715</v>
      </c>
      <c r="W121" t="s">
        <v>4327</v>
      </c>
      <c r="X121" t="s">
        <v>7716</v>
      </c>
      <c r="AF121" t="s">
        <v>7717</v>
      </c>
      <c r="AG121" t="s">
        <v>7715</v>
      </c>
      <c r="AI121" t="s">
        <v>7718</v>
      </c>
      <c r="AM121" t="s">
        <v>2830</v>
      </c>
      <c r="AN121" t="s">
        <v>2185</v>
      </c>
      <c r="AO121" t="s">
        <v>7719</v>
      </c>
      <c r="AP121" t="s">
        <v>7024</v>
      </c>
      <c r="AT121" s="184">
        <v>30533</v>
      </c>
      <c r="AU121" t="s">
        <v>7720</v>
      </c>
      <c r="AV121">
        <v>20</v>
      </c>
      <c r="AW121" s="184">
        <v>44887</v>
      </c>
      <c r="AX121" t="s">
        <v>7721</v>
      </c>
      <c r="AY121">
        <v>74419.37</v>
      </c>
      <c r="AZ121" s="184">
        <v>44887</v>
      </c>
      <c r="BA121" t="s">
        <v>7721</v>
      </c>
      <c r="BB121">
        <v>74419.37</v>
      </c>
      <c r="BC121">
        <v>48</v>
      </c>
      <c r="BD121">
        <v>77225.37</v>
      </c>
      <c r="BE121">
        <v>1984</v>
      </c>
      <c r="BF121">
        <v>67</v>
      </c>
      <c r="BG121">
        <v>1</v>
      </c>
      <c r="BH121">
        <v>74419.37</v>
      </c>
      <c r="BI121">
        <v>20</v>
      </c>
      <c r="BJ121">
        <v>42</v>
      </c>
      <c r="BK121">
        <v>19</v>
      </c>
      <c r="BO121" t="s">
        <v>595</v>
      </c>
      <c r="BP121" s="184">
        <v>38555</v>
      </c>
    </row>
    <row r="122" spans="1:68">
      <c r="A122">
        <v>335752</v>
      </c>
      <c r="B122">
        <v>335752</v>
      </c>
      <c r="C122" t="s">
        <v>7018</v>
      </c>
      <c r="J122" t="s">
        <v>595</v>
      </c>
      <c r="K122" s="184"/>
      <c r="P122" t="s">
        <v>7084</v>
      </c>
      <c r="Q122" t="s">
        <v>7383</v>
      </c>
      <c r="R122" s="184"/>
      <c r="U122" t="s">
        <v>7031</v>
      </c>
      <c r="V122" t="s">
        <v>2963</v>
      </c>
      <c r="W122" t="s">
        <v>2863</v>
      </c>
      <c r="X122" t="s">
        <v>2597</v>
      </c>
      <c r="Z122">
        <v>100007743</v>
      </c>
      <c r="AA122" t="s">
        <v>7130</v>
      </c>
      <c r="AB122" t="s">
        <v>3593</v>
      </c>
      <c r="AC122" t="s">
        <v>2316</v>
      </c>
      <c r="AD122" t="s">
        <v>2597</v>
      </c>
      <c r="AF122" t="s">
        <v>7722</v>
      </c>
      <c r="AG122" t="s">
        <v>7723</v>
      </c>
      <c r="AI122" t="s">
        <v>7724</v>
      </c>
      <c r="AJ122" t="s">
        <v>7725</v>
      </c>
      <c r="AM122" t="s">
        <v>2830</v>
      </c>
      <c r="AN122" t="s">
        <v>2185</v>
      </c>
      <c r="AO122" t="s">
        <v>7726</v>
      </c>
      <c r="AP122" t="s">
        <v>7024</v>
      </c>
      <c r="AQ122" t="s">
        <v>7727</v>
      </c>
      <c r="AR122" t="s">
        <v>7728</v>
      </c>
      <c r="AT122" s="184">
        <v>35080</v>
      </c>
      <c r="AU122" t="s">
        <v>7729</v>
      </c>
      <c r="AV122">
        <v>25</v>
      </c>
      <c r="AW122" s="184">
        <v>45362</v>
      </c>
      <c r="AX122" t="s">
        <v>7730</v>
      </c>
      <c r="AY122">
        <v>35000</v>
      </c>
      <c r="AZ122" s="184">
        <v>45049</v>
      </c>
      <c r="BA122" t="s">
        <v>7731</v>
      </c>
      <c r="BB122">
        <v>100000</v>
      </c>
      <c r="BC122">
        <v>100</v>
      </c>
      <c r="BD122">
        <v>3609808.08</v>
      </c>
      <c r="BE122">
        <v>1996</v>
      </c>
      <c r="BF122">
        <v>385</v>
      </c>
      <c r="BG122">
        <v>12</v>
      </c>
      <c r="BH122">
        <v>321000</v>
      </c>
      <c r="BI122">
        <v>29</v>
      </c>
      <c r="BJ122">
        <v>29</v>
      </c>
      <c r="BK122">
        <v>29</v>
      </c>
      <c r="BN122" t="s">
        <v>595</v>
      </c>
      <c r="BP122" s="184"/>
    </row>
    <row r="123" spans="1:68">
      <c r="A123">
        <v>100007743</v>
      </c>
      <c r="B123">
        <v>335752</v>
      </c>
      <c r="C123" t="s">
        <v>7018</v>
      </c>
      <c r="E123" s="184"/>
      <c r="G123" s="184"/>
      <c r="J123" t="s">
        <v>595</v>
      </c>
      <c r="K123" s="184">
        <v>43654</v>
      </c>
      <c r="P123" t="s">
        <v>7084</v>
      </c>
      <c r="Q123" t="s">
        <v>7383</v>
      </c>
      <c r="R123" s="184"/>
      <c r="U123" t="s">
        <v>7130</v>
      </c>
      <c r="V123" t="s">
        <v>3593</v>
      </c>
      <c r="W123" t="s">
        <v>2316</v>
      </c>
      <c r="X123" t="s">
        <v>2597</v>
      </c>
      <c r="Z123">
        <v>335752</v>
      </c>
      <c r="AA123" t="s">
        <v>7031</v>
      </c>
      <c r="AB123" t="s">
        <v>2963</v>
      </c>
      <c r="AC123" t="s">
        <v>2863</v>
      </c>
      <c r="AD123" t="s">
        <v>2597</v>
      </c>
      <c r="AF123" t="s">
        <v>7722</v>
      </c>
      <c r="AG123" t="s">
        <v>7723</v>
      </c>
      <c r="AI123" t="s">
        <v>7724</v>
      </c>
      <c r="AJ123" t="s">
        <v>7725</v>
      </c>
      <c r="AM123" t="s">
        <v>2830</v>
      </c>
      <c r="AN123" t="s">
        <v>2185</v>
      </c>
      <c r="AO123" t="s">
        <v>7726</v>
      </c>
      <c r="AP123" t="s">
        <v>7024</v>
      </c>
      <c r="AT123" s="184"/>
      <c r="AW123" s="184"/>
      <c r="AZ123" s="184"/>
    </row>
    <row r="124" spans="1:68">
      <c r="A124">
        <v>336123</v>
      </c>
      <c r="B124">
        <v>336123</v>
      </c>
      <c r="C124" t="s">
        <v>7018</v>
      </c>
      <c r="E124" s="184"/>
      <c r="J124" t="s">
        <v>595</v>
      </c>
      <c r="K124" s="184">
        <v>41544</v>
      </c>
      <c r="P124" t="s">
        <v>7045</v>
      </c>
      <c r="Q124" t="s">
        <v>7383</v>
      </c>
      <c r="R124" s="184">
        <v>13551</v>
      </c>
      <c r="S124">
        <v>87</v>
      </c>
      <c r="U124" t="s">
        <v>7032</v>
      </c>
      <c r="V124" t="s">
        <v>2541</v>
      </c>
      <c r="W124" t="s">
        <v>3226</v>
      </c>
      <c r="X124" t="s">
        <v>7732</v>
      </c>
      <c r="AF124" t="s">
        <v>6051</v>
      </c>
      <c r="AG124" t="s">
        <v>2541</v>
      </c>
      <c r="AI124" t="s">
        <v>7733</v>
      </c>
      <c r="AM124" t="s">
        <v>2830</v>
      </c>
      <c r="AN124" t="s">
        <v>2185</v>
      </c>
      <c r="AO124" t="s">
        <v>7734</v>
      </c>
      <c r="AP124" t="s">
        <v>7024</v>
      </c>
      <c r="AT124" s="184">
        <v>30498</v>
      </c>
      <c r="AU124" t="s">
        <v>7184</v>
      </c>
      <c r="AV124">
        <v>50</v>
      </c>
      <c r="AW124" s="184">
        <v>45322</v>
      </c>
      <c r="AX124" t="s">
        <v>7092</v>
      </c>
      <c r="AY124">
        <v>250</v>
      </c>
      <c r="AZ124" s="184">
        <v>36066</v>
      </c>
      <c r="BA124" t="s">
        <v>7735</v>
      </c>
      <c r="BB124">
        <v>500</v>
      </c>
      <c r="BC124">
        <v>96</v>
      </c>
      <c r="BD124">
        <v>10715</v>
      </c>
      <c r="BE124">
        <v>1984</v>
      </c>
      <c r="BF124">
        <v>65</v>
      </c>
      <c r="BG124">
        <v>2</v>
      </c>
      <c r="BH124">
        <v>500</v>
      </c>
      <c r="BI124">
        <v>40</v>
      </c>
      <c r="BJ124">
        <v>42</v>
      </c>
      <c r="BK124">
        <v>19</v>
      </c>
    </row>
    <row r="125" spans="1:68">
      <c r="A125">
        <v>336461</v>
      </c>
      <c r="B125">
        <v>336461</v>
      </c>
      <c r="C125" t="s">
        <v>7018</v>
      </c>
      <c r="D125" t="s">
        <v>595</v>
      </c>
      <c r="E125" s="184">
        <v>44040</v>
      </c>
      <c r="K125" s="184"/>
      <c r="P125" t="s">
        <v>7045</v>
      </c>
      <c r="Q125" t="s">
        <v>7383</v>
      </c>
      <c r="R125" s="184">
        <v>19360</v>
      </c>
      <c r="S125">
        <v>71</v>
      </c>
      <c r="T125" t="s">
        <v>2786</v>
      </c>
      <c r="V125" t="s">
        <v>2863</v>
      </c>
      <c r="X125" t="s">
        <v>7736</v>
      </c>
      <c r="Z125">
        <v>100007751</v>
      </c>
      <c r="AB125" t="s">
        <v>3386</v>
      </c>
      <c r="AD125" t="s">
        <v>7736</v>
      </c>
      <c r="AF125" t="s">
        <v>7737</v>
      </c>
      <c r="AG125" t="s">
        <v>7738</v>
      </c>
      <c r="AI125" t="s">
        <v>7739</v>
      </c>
      <c r="AM125" t="s">
        <v>7740</v>
      </c>
      <c r="AN125" t="s">
        <v>2185</v>
      </c>
      <c r="AO125">
        <v>55956</v>
      </c>
      <c r="AP125" t="s">
        <v>7024</v>
      </c>
      <c r="AQ125" t="s">
        <v>7741</v>
      </c>
      <c r="AT125" s="184">
        <v>30573</v>
      </c>
      <c r="AU125" t="s">
        <v>7073</v>
      </c>
      <c r="AV125">
        <v>25</v>
      </c>
      <c r="AW125" s="184">
        <v>45287</v>
      </c>
      <c r="AX125" t="s">
        <v>7742</v>
      </c>
      <c r="AY125">
        <v>200</v>
      </c>
      <c r="AZ125" s="184">
        <v>45287</v>
      </c>
      <c r="BA125" t="s">
        <v>7742</v>
      </c>
      <c r="BB125">
        <v>200</v>
      </c>
      <c r="BC125">
        <v>86</v>
      </c>
      <c r="BD125">
        <v>3935</v>
      </c>
      <c r="BE125">
        <v>1984</v>
      </c>
      <c r="BF125">
        <v>54</v>
      </c>
      <c r="BG125">
        <v>2</v>
      </c>
      <c r="BH125">
        <v>400</v>
      </c>
      <c r="BI125">
        <v>36</v>
      </c>
      <c r="BJ125">
        <v>42</v>
      </c>
      <c r="BK125">
        <v>17</v>
      </c>
    </row>
    <row r="126" spans="1:68">
      <c r="A126">
        <v>100007751</v>
      </c>
      <c r="B126">
        <v>336461</v>
      </c>
      <c r="C126" t="s">
        <v>7018</v>
      </c>
      <c r="D126" t="s">
        <v>595</v>
      </c>
      <c r="E126" s="184">
        <v>44040</v>
      </c>
      <c r="G126" s="184"/>
      <c r="K126" s="184"/>
      <c r="O126" s="184"/>
      <c r="P126" t="s">
        <v>7045</v>
      </c>
      <c r="Q126" t="s">
        <v>7383</v>
      </c>
      <c r="R126" s="184">
        <v>19937</v>
      </c>
      <c r="S126">
        <v>69</v>
      </c>
      <c r="V126" t="s">
        <v>3386</v>
      </c>
      <c r="X126" t="s">
        <v>7736</v>
      </c>
      <c r="Z126">
        <v>336461</v>
      </c>
      <c r="AB126" t="s">
        <v>2863</v>
      </c>
      <c r="AD126" t="s">
        <v>7736</v>
      </c>
      <c r="AF126" t="s">
        <v>7737</v>
      </c>
      <c r="AG126" t="s">
        <v>7738</v>
      </c>
      <c r="AI126" t="s">
        <v>7739</v>
      </c>
      <c r="AM126" t="s">
        <v>7740</v>
      </c>
      <c r="AN126" t="s">
        <v>2185</v>
      </c>
      <c r="AO126">
        <v>55956</v>
      </c>
      <c r="AP126" t="s">
        <v>7024</v>
      </c>
      <c r="AT126" s="184"/>
      <c r="AW126" s="184"/>
      <c r="AZ126" s="184"/>
    </row>
    <row r="127" spans="1:68">
      <c r="A127">
        <v>336743</v>
      </c>
      <c r="B127">
        <v>336743</v>
      </c>
      <c r="C127" t="s">
        <v>7018</v>
      </c>
      <c r="E127" s="184"/>
      <c r="G127" s="184"/>
      <c r="J127" t="s">
        <v>595</v>
      </c>
      <c r="K127" s="184">
        <v>43579</v>
      </c>
      <c r="O127" s="184"/>
      <c r="P127" t="s">
        <v>7686</v>
      </c>
      <c r="Q127" t="s">
        <v>7383</v>
      </c>
      <c r="R127" s="184">
        <v>12322</v>
      </c>
      <c r="S127">
        <v>90</v>
      </c>
      <c r="U127" t="s">
        <v>7031</v>
      </c>
      <c r="V127" t="s">
        <v>2828</v>
      </c>
      <c r="W127" t="s">
        <v>7743</v>
      </c>
      <c r="X127" t="s">
        <v>2829</v>
      </c>
      <c r="AF127" t="s">
        <v>7744</v>
      </c>
      <c r="AG127" t="s">
        <v>2828</v>
      </c>
      <c r="AI127" t="s">
        <v>7745</v>
      </c>
      <c r="AM127" t="s">
        <v>2830</v>
      </c>
      <c r="AN127" t="s">
        <v>2185</v>
      </c>
      <c r="AO127" t="s">
        <v>7746</v>
      </c>
      <c r="AP127" t="s">
        <v>7024</v>
      </c>
      <c r="AQ127" t="s">
        <v>7747</v>
      </c>
      <c r="AR127" t="s">
        <v>7748</v>
      </c>
      <c r="AT127" s="184">
        <v>30715</v>
      </c>
      <c r="AU127" t="s">
        <v>7073</v>
      </c>
      <c r="AV127">
        <v>25</v>
      </c>
      <c r="AW127" s="184">
        <v>45404</v>
      </c>
      <c r="AX127" t="s">
        <v>7749</v>
      </c>
      <c r="AY127">
        <v>5000</v>
      </c>
      <c r="AZ127" s="184">
        <v>45404</v>
      </c>
      <c r="BA127" t="s">
        <v>7749</v>
      </c>
      <c r="BB127">
        <v>5000</v>
      </c>
      <c r="BC127">
        <v>96</v>
      </c>
      <c r="BD127">
        <v>10550</v>
      </c>
      <c r="BE127">
        <v>1984</v>
      </c>
      <c r="BF127">
        <v>79</v>
      </c>
      <c r="BG127">
        <v>6</v>
      </c>
      <c r="BH127">
        <v>5505</v>
      </c>
      <c r="BI127">
        <v>39</v>
      </c>
      <c r="BJ127">
        <v>41</v>
      </c>
      <c r="BK127">
        <v>21</v>
      </c>
      <c r="BM127" t="s">
        <v>595</v>
      </c>
      <c r="BP127" s="184"/>
    </row>
    <row r="128" spans="1:68">
      <c r="A128">
        <v>339291</v>
      </c>
      <c r="B128">
        <v>339291</v>
      </c>
      <c r="C128" t="s">
        <v>7018</v>
      </c>
      <c r="F128" t="s">
        <v>595</v>
      </c>
      <c r="G128" s="184">
        <v>43647</v>
      </c>
      <c r="K128" s="184"/>
      <c r="P128" t="s">
        <v>7029</v>
      </c>
      <c r="Q128" t="s">
        <v>7383</v>
      </c>
      <c r="R128" s="184">
        <v>17868</v>
      </c>
      <c r="S128">
        <v>75</v>
      </c>
      <c r="U128" t="s">
        <v>7031</v>
      </c>
      <c r="V128" t="s">
        <v>3393</v>
      </c>
      <c r="X128" t="s">
        <v>3394</v>
      </c>
      <c r="AF128" t="s">
        <v>7750</v>
      </c>
      <c r="AG128" t="s">
        <v>3393</v>
      </c>
      <c r="AI128" t="s">
        <v>7751</v>
      </c>
      <c r="AM128" t="s">
        <v>3060</v>
      </c>
      <c r="AN128" t="s">
        <v>2185</v>
      </c>
      <c r="AO128" t="s">
        <v>7752</v>
      </c>
      <c r="AP128" t="s">
        <v>7024</v>
      </c>
      <c r="AT128" s="184">
        <v>30681</v>
      </c>
      <c r="AU128" t="s">
        <v>7173</v>
      </c>
      <c r="AV128">
        <v>18</v>
      </c>
      <c r="AW128" s="184">
        <v>45342</v>
      </c>
      <c r="AX128" t="s">
        <v>7753</v>
      </c>
      <c r="AY128">
        <v>500</v>
      </c>
      <c r="AZ128" s="184">
        <v>45342</v>
      </c>
      <c r="BA128" t="s">
        <v>7753</v>
      </c>
      <c r="BB128">
        <v>500</v>
      </c>
      <c r="BC128">
        <v>86</v>
      </c>
      <c r="BD128">
        <v>4360</v>
      </c>
      <c r="BE128">
        <v>1984</v>
      </c>
      <c r="BF128">
        <v>47</v>
      </c>
      <c r="BG128">
        <v>2</v>
      </c>
      <c r="BH128">
        <v>1000</v>
      </c>
      <c r="BI128">
        <v>36</v>
      </c>
      <c r="BJ128">
        <v>42</v>
      </c>
      <c r="BK128">
        <v>19</v>
      </c>
    </row>
    <row r="129" spans="1:68">
      <c r="A129">
        <v>339556</v>
      </c>
      <c r="B129">
        <v>339556</v>
      </c>
      <c r="C129" t="s">
        <v>7018</v>
      </c>
      <c r="G129" s="184"/>
      <c r="J129" t="s">
        <v>595</v>
      </c>
      <c r="K129" s="184">
        <v>37721</v>
      </c>
      <c r="O129" s="184"/>
      <c r="P129" t="s">
        <v>7045</v>
      </c>
      <c r="Q129" t="s">
        <v>7383</v>
      </c>
      <c r="R129" s="184">
        <v>11464</v>
      </c>
      <c r="S129">
        <v>92</v>
      </c>
      <c r="U129" t="s">
        <v>7031</v>
      </c>
      <c r="V129" t="s">
        <v>2511</v>
      </c>
      <c r="W129" t="s">
        <v>4152</v>
      </c>
      <c r="X129" t="s">
        <v>5675</v>
      </c>
      <c r="Y129" t="s">
        <v>7431</v>
      </c>
      <c r="Z129">
        <v>100007765</v>
      </c>
      <c r="AA129" t="s">
        <v>7130</v>
      </c>
      <c r="AB129" t="s">
        <v>2845</v>
      </c>
      <c r="AD129" t="s">
        <v>5675</v>
      </c>
      <c r="AF129" t="s">
        <v>7754</v>
      </c>
      <c r="AG129" t="s">
        <v>7755</v>
      </c>
      <c r="AI129" t="s">
        <v>7756</v>
      </c>
      <c r="AM129" t="s">
        <v>3060</v>
      </c>
      <c r="AN129" t="s">
        <v>2185</v>
      </c>
      <c r="AO129" t="s">
        <v>7757</v>
      </c>
      <c r="AP129" t="s">
        <v>7024</v>
      </c>
      <c r="AQ129" t="s">
        <v>7758</v>
      </c>
      <c r="AT129" s="184">
        <v>30511</v>
      </c>
      <c r="AU129" t="s">
        <v>7073</v>
      </c>
      <c r="AV129">
        <v>50</v>
      </c>
      <c r="AW129" s="184">
        <v>44097</v>
      </c>
      <c r="AX129" t="s">
        <v>7759</v>
      </c>
      <c r="AY129">
        <v>100</v>
      </c>
      <c r="AZ129" s="184">
        <v>37811</v>
      </c>
      <c r="BA129" t="s">
        <v>7760</v>
      </c>
      <c r="BB129">
        <v>22656.880000000001</v>
      </c>
      <c r="BC129">
        <v>74</v>
      </c>
      <c r="BD129">
        <v>25397.88</v>
      </c>
      <c r="BE129">
        <v>1984</v>
      </c>
      <c r="BF129">
        <v>37</v>
      </c>
      <c r="BI129">
        <v>31</v>
      </c>
      <c r="BJ129">
        <v>42</v>
      </c>
      <c r="BK129">
        <v>14</v>
      </c>
    </row>
    <row r="130" spans="1:68">
      <c r="A130">
        <v>100007765</v>
      </c>
      <c r="B130">
        <v>339556</v>
      </c>
      <c r="C130" t="s">
        <v>7018</v>
      </c>
      <c r="J130" t="s">
        <v>595</v>
      </c>
      <c r="K130" s="184">
        <v>37721</v>
      </c>
      <c r="O130" s="184"/>
      <c r="P130" t="s">
        <v>7045</v>
      </c>
      <c r="Q130" t="s">
        <v>7383</v>
      </c>
      <c r="R130" s="184">
        <v>12644</v>
      </c>
      <c r="S130">
        <v>89</v>
      </c>
      <c r="U130" t="s">
        <v>7130</v>
      </c>
      <c r="V130" t="s">
        <v>2845</v>
      </c>
      <c r="X130" t="s">
        <v>5675</v>
      </c>
      <c r="Z130">
        <v>339556</v>
      </c>
      <c r="AA130" t="s">
        <v>7031</v>
      </c>
      <c r="AB130" t="s">
        <v>2511</v>
      </c>
      <c r="AC130" t="s">
        <v>4152</v>
      </c>
      <c r="AD130" t="s">
        <v>5675</v>
      </c>
      <c r="AE130" t="s">
        <v>7431</v>
      </c>
      <c r="AF130" t="s">
        <v>7754</v>
      </c>
      <c r="AG130" t="s">
        <v>7755</v>
      </c>
      <c r="AI130" t="s">
        <v>7756</v>
      </c>
      <c r="AM130" t="s">
        <v>3060</v>
      </c>
      <c r="AN130" t="s">
        <v>2185</v>
      </c>
      <c r="AO130" t="s">
        <v>7757</v>
      </c>
      <c r="AP130" t="s">
        <v>7024</v>
      </c>
      <c r="AT130" s="184"/>
      <c r="AW130" s="184"/>
      <c r="AZ130" s="184"/>
      <c r="BP130" s="184"/>
    </row>
    <row r="131" spans="1:68">
      <c r="A131">
        <v>339648</v>
      </c>
      <c r="B131">
        <v>339648</v>
      </c>
      <c r="C131" t="s">
        <v>7018</v>
      </c>
      <c r="K131" s="184"/>
      <c r="N131" t="s">
        <v>595</v>
      </c>
      <c r="O131" s="184">
        <v>43546</v>
      </c>
      <c r="P131" t="s">
        <v>7045</v>
      </c>
      <c r="Q131" t="s">
        <v>7160</v>
      </c>
      <c r="R131" s="184">
        <v>15554</v>
      </c>
      <c r="S131">
        <v>81</v>
      </c>
      <c r="U131" t="s">
        <v>7032</v>
      </c>
      <c r="V131" t="s">
        <v>2863</v>
      </c>
      <c r="W131" t="s">
        <v>7107</v>
      </c>
      <c r="X131" t="s">
        <v>2530</v>
      </c>
      <c r="AF131" t="s">
        <v>6668</v>
      </c>
      <c r="AG131" t="s">
        <v>2863</v>
      </c>
      <c r="AI131" t="s">
        <v>7761</v>
      </c>
      <c r="AM131" t="s">
        <v>2737</v>
      </c>
      <c r="AN131" t="s">
        <v>2428</v>
      </c>
      <c r="AO131" t="s">
        <v>7762</v>
      </c>
      <c r="AP131" t="s">
        <v>7024</v>
      </c>
      <c r="AQ131" t="s">
        <v>7763</v>
      </c>
      <c r="AR131" t="s">
        <v>7764</v>
      </c>
      <c r="AT131" s="184">
        <v>42944</v>
      </c>
      <c r="AU131" t="s">
        <v>7765</v>
      </c>
      <c r="AV131">
        <v>50</v>
      </c>
      <c r="AW131" s="184">
        <v>45257</v>
      </c>
      <c r="AX131" t="s">
        <v>7766</v>
      </c>
      <c r="AY131">
        <v>50</v>
      </c>
      <c r="AZ131" s="184">
        <v>45257</v>
      </c>
      <c r="BA131" t="s">
        <v>7766</v>
      </c>
      <c r="BB131">
        <v>50</v>
      </c>
      <c r="BC131">
        <v>88</v>
      </c>
      <c r="BD131">
        <v>400</v>
      </c>
      <c r="BE131">
        <v>2018</v>
      </c>
      <c r="BF131">
        <v>8</v>
      </c>
      <c r="BG131">
        <v>2</v>
      </c>
      <c r="BH131">
        <v>100</v>
      </c>
      <c r="BI131">
        <v>7</v>
      </c>
      <c r="BJ131">
        <v>8</v>
      </c>
      <c r="BK131">
        <v>7</v>
      </c>
      <c r="BP131" s="184"/>
    </row>
    <row r="132" spans="1:68">
      <c r="A132">
        <v>340141</v>
      </c>
      <c r="B132">
        <v>340141</v>
      </c>
      <c r="C132" t="s">
        <v>7018</v>
      </c>
      <c r="K132" s="184"/>
      <c r="N132" t="s">
        <v>595</v>
      </c>
      <c r="O132" s="184">
        <v>39471</v>
      </c>
      <c r="P132" t="s">
        <v>7045</v>
      </c>
      <c r="Q132" t="s">
        <v>7383</v>
      </c>
      <c r="R132" s="184">
        <v>6730</v>
      </c>
      <c r="S132">
        <v>105</v>
      </c>
      <c r="V132" t="s">
        <v>3249</v>
      </c>
      <c r="X132" t="s">
        <v>7767</v>
      </c>
      <c r="AF132" t="s">
        <v>6592</v>
      </c>
      <c r="AG132" t="s">
        <v>6592</v>
      </c>
      <c r="AI132" t="s">
        <v>7768</v>
      </c>
      <c r="AM132" t="s">
        <v>7769</v>
      </c>
      <c r="AN132" t="s">
        <v>2185</v>
      </c>
      <c r="AO132" t="s">
        <v>7770</v>
      </c>
      <c r="AP132" t="s">
        <v>7024</v>
      </c>
      <c r="AT132" s="184">
        <v>30679</v>
      </c>
      <c r="AU132" t="s">
        <v>7771</v>
      </c>
      <c r="AV132">
        <v>25</v>
      </c>
      <c r="AW132" s="184">
        <v>39402</v>
      </c>
      <c r="AX132" t="s">
        <v>7772</v>
      </c>
      <c r="AY132">
        <v>50</v>
      </c>
      <c r="AZ132" s="184">
        <v>36983</v>
      </c>
      <c r="BA132" t="s">
        <v>7773</v>
      </c>
      <c r="BB132">
        <v>60</v>
      </c>
      <c r="BC132">
        <v>39</v>
      </c>
      <c r="BD132">
        <v>505</v>
      </c>
      <c r="BE132">
        <v>1984</v>
      </c>
      <c r="BF132">
        <v>20</v>
      </c>
      <c r="BI132">
        <v>16</v>
      </c>
      <c r="BJ132">
        <v>42</v>
      </c>
      <c r="BK132">
        <v>8</v>
      </c>
      <c r="BO132" t="s">
        <v>595</v>
      </c>
      <c r="BP132" s="184">
        <v>40491</v>
      </c>
    </row>
    <row r="133" spans="1:68">
      <c r="A133">
        <v>344747</v>
      </c>
      <c r="B133">
        <v>344747</v>
      </c>
      <c r="C133" t="s">
        <v>7018</v>
      </c>
      <c r="J133" t="s">
        <v>595</v>
      </c>
      <c r="K133" s="184"/>
      <c r="O133" s="184"/>
      <c r="P133" t="s">
        <v>7045</v>
      </c>
      <c r="Q133" t="s">
        <v>7774</v>
      </c>
      <c r="R133" s="184">
        <v>15034</v>
      </c>
      <c r="S133">
        <v>83</v>
      </c>
      <c r="U133" t="s">
        <v>7031</v>
      </c>
      <c r="V133" t="s">
        <v>4282</v>
      </c>
      <c r="W133" t="s">
        <v>4152</v>
      </c>
      <c r="X133" t="s">
        <v>2962</v>
      </c>
      <c r="AF133" t="s">
        <v>6497</v>
      </c>
      <c r="AG133" t="s">
        <v>4282</v>
      </c>
      <c r="AI133" t="s">
        <v>7775</v>
      </c>
      <c r="AM133" t="s">
        <v>7776</v>
      </c>
      <c r="AN133" t="s">
        <v>6952</v>
      </c>
      <c r="AO133" t="s">
        <v>7777</v>
      </c>
      <c r="AP133" t="s">
        <v>7024</v>
      </c>
      <c r="AT133" s="184">
        <v>30568</v>
      </c>
      <c r="AU133" t="s">
        <v>7073</v>
      </c>
      <c r="AV133">
        <v>18</v>
      </c>
      <c r="AW133" s="184">
        <v>45209</v>
      </c>
      <c r="AX133" t="s">
        <v>7778</v>
      </c>
      <c r="AY133">
        <v>20</v>
      </c>
      <c r="AZ133" s="184">
        <v>42278</v>
      </c>
      <c r="BA133" t="s">
        <v>7779</v>
      </c>
      <c r="BB133">
        <v>60</v>
      </c>
      <c r="BC133">
        <v>58</v>
      </c>
      <c r="BD133">
        <v>891</v>
      </c>
      <c r="BE133">
        <v>1984</v>
      </c>
      <c r="BF133">
        <v>35</v>
      </c>
      <c r="BG133">
        <v>1</v>
      </c>
      <c r="BH133">
        <v>20</v>
      </c>
      <c r="BI133">
        <v>24</v>
      </c>
      <c r="BJ133">
        <v>42</v>
      </c>
      <c r="BK133">
        <v>6</v>
      </c>
      <c r="BP133" s="184"/>
    </row>
    <row r="134" spans="1:68">
      <c r="A134">
        <v>350710</v>
      </c>
      <c r="B134">
        <v>350710</v>
      </c>
      <c r="C134" t="s">
        <v>7018</v>
      </c>
      <c r="G134" s="184"/>
      <c r="J134" t="s">
        <v>595</v>
      </c>
      <c r="K134" s="184"/>
      <c r="P134" t="s">
        <v>7029</v>
      </c>
      <c r="Q134" t="s">
        <v>7383</v>
      </c>
      <c r="R134" s="184">
        <v>19207</v>
      </c>
      <c r="S134">
        <v>71</v>
      </c>
      <c r="U134" t="s">
        <v>7031</v>
      </c>
      <c r="V134" t="s">
        <v>2551</v>
      </c>
      <c r="W134" t="s">
        <v>4089</v>
      </c>
      <c r="X134" t="s">
        <v>2771</v>
      </c>
      <c r="Z134">
        <v>100007818</v>
      </c>
      <c r="AA134" t="s">
        <v>7130</v>
      </c>
      <c r="AB134" t="s">
        <v>3147</v>
      </c>
      <c r="AC134" t="s">
        <v>7407</v>
      </c>
      <c r="AD134" t="s">
        <v>2771</v>
      </c>
      <c r="AF134" t="s">
        <v>7780</v>
      </c>
      <c r="AG134" t="s">
        <v>7781</v>
      </c>
      <c r="AI134" t="s">
        <v>7782</v>
      </c>
      <c r="AM134" t="s">
        <v>4793</v>
      </c>
      <c r="AN134" t="s">
        <v>2313</v>
      </c>
      <c r="AO134" t="s">
        <v>7783</v>
      </c>
      <c r="AP134" t="s">
        <v>7024</v>
      </c>
      <c r="AQ134" t="s">
        <v>7784</v>
      </c>
      <c r="AR134" t="s">
        <v>7785</v>
      </c>
      <c r="AT134" s="184">
        <v>30546</v>
      </c>
      <c r="AU134" t="s">
        <v>7073</v>
      </c>
      <c r="AV134">
        <v>50</v>
      </c>
      <c r="AW134" s="184">
        <v>44880</v>
      </c>
      <c r="AX134" t="s">
        <v>7786</v>
      </c>
      <c r="AY134">
        <v>2500</v>
      </c>
      <c r="AZ134" s="184">
        <v>44880</v>
      </c>
      <c r="BA134" t="s">
        <v>7786</v>
      </c>
      <c r="BB134">
        <v>2500</v>
      </c>
      <c r="BC134">
        <v>89</v>
      </c>
      <c r="BD134">
        <v>42170</v>
      </c>
      <c r="BE134">
        <v>1984</v>
      </c>
      <c r="BF134">
        <v>60</v>
      </c>
      <c r="BG134">
        <v>1</v>
      </c>
      <c r="BH134">
        <v>2500</v>
      </c>
      <c r="BI134">
        <v>37</v>
      </c>
      <c r="BJ134">
        <v>42</v>
      </c>
      <c r="BK134">
        <v>25</v>
      </c>
      <c r="BP134" s="184"/>
    </row>
    <row r="135" spans="1:68">
      <c r="A135">
        <v>100007818</v>
      </c>
      <c r="B135">
        <v>350710</v>
      </c>
      <c r="C135" t="s">
        <v>7018</v>
      </c>
      <c r="J135" t="s">
        <v>595</v>
      </c>
      <c r="K135" s="184">
        <v>43649</v>
      </c>
      <c r="P135" t="s">
        <v>7029</v>
      </c>
      <c r="Q135" t="s">
        <v>7383</v>
      </c>
      <c r="R135" s="184">
        <v>21002</v>
      </c>
      <c r="S135">
        <v>66</v>
      </c>
      <c r="U135" t="s">
        <v>7130</v>
      </c>
      <c r="V135" t="s">
        <v>3147</v>
      </c>
      <c r="W135" t="s">
        <v>7407</v>
      </c>
      <c r="X135" t="s">
        <v>2771</v>
      </c>
      <c r="Z135">
        <v>350710</v>
      </c>
      <c r="AA135" t="s">
        <v>7031</v>
      </c>
      <c r="AB135" t="s">
        <v>2551</v>
      </c>
      <c r="AC135" t="s">
        <v>4089</v>
      </c>
      <c r="AD135" t="s">
        <v>2771</v>
      </c>
      <c r="AF135" t="s">
        <v>7780</v>
      </c>
      <c r="AG135" t="s">
        <v>7781</v>
      </c>
      <c r="AI135" t="s">
        <v>7782</v>
      </c>
      <c r="AM135" t="s">
        <v>4793</v>
      </c>
      <c r="AN135" t="s">
        <v>2313</v>
      </c>
      <c r="AO135" t="s">
        <v>7783</v>
      </c>
      <c r="AP135" t="s">
        <v>7024</v>
      </c>
      <c r="AQ135" t="s">
        <v>7787</v>
      </c>
      <c r="AT135" s="184"/>
      <c r="AW135" s="184"/>
      <c r="AZ135" s="184"/>
      <c r="BP135" s="184"/>
    </row>
    <row r="136" spans="1:68">
      <c r="A136">
        <v>351247</v>
      </c>
      <c r="B136">
        <v>351247</v>
      </c>
      <c r="C136" t="s">
        <v>7018</v>
      </c>
      <c r="J136" t="s">
        <v>595</v>
      </c>
      <c r="K136" s="184">
        <v>37854</v>
      </c>
      <c r="P136" t="s">
        <v>7084</v>
      </c>
      <c r="Q136" t="s">
        <v>7383</v>
      </c>
      <c r="R136" s="184">
        <v>8039</v>
      </c>
      <c r="S136">
        <v>102</v>
      </c>
      <c r="U136" t="s">
        <v>7130</v>
      </c>
      <c r="V136" t="s">
        <v>3444</v>
      </c>
      <c r="W136" t="s">
        <v>7107</v>
      </c>
      <c r="X136" t="s">
        <v>2936</v>
      </c>
      <c r="AF136" t="s">
        <v>7788</v>
      </c>
      <c r="AG136" t="s">
        <v>7789</v>
      </c>
      <c r="AI136" t="s">
        <v>7790</v>
      </c>
      <c r="AJ136" t="s">
        <v>7791</v>
      </c>
      <c r="AM136" t="s">
        <v>5363</v>
      </c>
      <c r="AN136" t="s">
        <v>2313</v>
      </c>
      <c r="AO136" t="s">
        <v>7792</v>
      </c>
      <c r="AP136" t="s">
        <v>7024</v>
      </c>
      <c r="AQ136" t="s">
        <v>7793</v>
      </c>
      <c r="AR136" t="s">
        <v>7794</v>
      </c>
      <c r="AT136" s="184">
        <v>33589</v>
      </c>
      <c r="AU136" t="s">
        <v>7795</v>
      </c>
      <c r="AV136">
        <v>15</v>
      </c>
      <c r="AW136" s="184">
        <v>43644</v>
      </c>
      <c r="AX136" t="s">
        <v>7796</v>
      </c>
      <c r="AY136">
        <v>10</v>
      </c>
      <c r="AZ136" s="184">
        <v>40095</v>
      </c>
      <c r="BA136" t="s">
        <v>7797</v>
      </c>
      <c r="BB136">
        <v>15000</v>
      </c>
      <c r="BC136">
        <v>83</v>
      </c>
      <c r="BD136">
        <v>276887.67999999999</v>
      </c>
      <c r="BE136">
        <v>1992</v>
      </c>
      <c r="BF136">
        <v>180</v>
      </c>
      <c r="BI136">
        <v>28</v>
      </c>
      <c r="BJ136">
        <v>34</v>
      </c>
      <c r="BK136">
        <v>26</v>
      </c>
      <c r="BO136" t="s">
        <v>595</v>
      </c>
      <c r="BP136" s="184">
        <v>43492</v>
      </c>
    </row>
    <row r="137" spans="1:68">
      <c r="A137">
        <v>352211</v>
      </c>
      <c r="B137">
        <v>352211</v>
      </c>
      <c r="C137" t="s">
        <v>7018</v>
      </c>
      <c r="E137" s="184"/>
      <c r="G137" s="184"/>
      <c r="J137" t="s">
        <v>595</v>
      </c>
      <c r="K137" s="184">
        <v>43691</v>
      </c>
      <c r="P137" t="s">
        <v>7029</v>
      </c>
      <c r="Q137" t="s">
        <v>7383</v>
      </c>
      <c r="R137" s="184">
        <v>9957</v>
      </c>
      <c r="S137">
        <v>97</v>
      </c>
      <c r="V137" t="s">
        <v>2697</v>
      </c>
      <c r="X137" t="s">
        <v>7798</v>
      </c>
      <c r="Z137">
        <v>100179303</v>
      </c>
      <c r="AB137" t="s">
        <v>7799</v>
      </c>
      <c r="AD137" t="s">
        <v>7798</v>
      </c>
      <c r="AF137" t="s">
        <v>6069</v>
      </c>
      <c r="AG137" t="s">
        <v>6069</v>
      </c>
      <c r="AI137" t="s">
        <v>7800</v>
      </c>
      <c r="AM137" t="s">
        <v>7801</v>
      </c>
      <c r="AN137" t="s">
        <v>2313</v>
      </c>
      <c r="AO137" t="s">
        <v>7802</v>
      </c>
      <c r="AP137" t="s">
        <v>7024</v>
      </c>
      <c r="AT137" s="184">
        <v>31392</v>
      </c>
      <c r="AU137" t="s">
        <v>7803</v>
      </c>
      <c r="AV137">
        <v>25</v>
      </c>
      <c r="AW137" s="184">
        <v>43515</v>
      </c>
      <c r="AX137" t="s">
        <v>7348</v>
      </c>
      <c r="AY137">
        <v>4257.38</v>
      </c>
      <c r="AZ137" s="184">
        <v>43515</v>
      </c>
      <c r="BA137" t="s">
        <v>7348</v>
      </c>
      <c r="BB137">
        <v>4257.38</v>
      </c>
      <c r="BC137">
        <v>68</v>
      </c>
      <c r="BD137">
        <v>8009.38</v>
      </c>
      <c r="BE137">
        <v>1986</v>
      </c>
      <c r="BF137">
        <v>83</v>
      </c>
      <c r="BI137">
        <v>27</v>
      </c>
      <c r="BJ137">
        <v>40</v>
      </c>
      <c r="BK137">
        <v>24</v>
      </c>
      <c r="BO137" t="s">
        <v>595</v>
      </c>
      <c r="BP137" s="184">
        <v>40589</v>
      </c>
    </row>
    <row r="138" spans="1:68">
      <c r="A138">
        <v>100179303</v>
      </c>
      <c r="B138">
        <v>352211</v>
      </c>
      <c r="C138" t="s">
        <v>7018</v>
      </c>
      <c r="E138" s="184"/>
      <c r="G138" s="184"/>
      <c r="J138" t="s">
        <v>595</v>
      </c>
      <c r="K138" s="184">
        <v>43691</v>
      </c>
      <c r="P138" t="s">
        <v>7029</v>
      </c>
      <c r="Q138" t="s">
        <v>7383</v>
      </c>
      <c r="R138" s="184"/>
      <c r="V138" t="s">
        <v>7799</v>
      </c>
      <c r="X138" t="s">
        <v>7798</v>
      </c>
      <c r="Z138">
        <v>352211</v>
      </c>
      <c r="AB138" t="s">
        <v>2697</v>
      </c>
      <c r="AD138" t="s">
        <v>7798</v>
      </c>
      <c r="AF138" t="s">
        <v>6069</v>
      </c>
      <c r="AG138" t="s">
        <v>6069</v>
      </c>
      <c r="AI138" t="s">
        <v>7800</v>
      </c>
      <c r="AM138" t="s">
        <v>7801</v>
      </c>
      <c r="AN138" t="s">
        <v>2313</v>
      </c>
      <c r="AO138" t="s">
        <v>7802</v>
      </c>
      <c r="AP138" t="s">
        <v>7024</v>
      </c>
      <c r="AT138" s="184"/>
      <c r="AW138" s="184"/>
      <c r="AZ138" s="184"/>
      <c r="BO138" t="s">
        <v>595</v>
      </c>
      <c r="BP138" s="184"/>
    </row>
    <row r="139" spans="1:68">
      <c r="A139">
        <v>353904</v>
      </c>
      <c r="B139">
        <v>353904</v>
      </c>
      <c r="C139" t="s">
        <v>7018</v>
      </c>
      <c r="F139" t="s">
        <v>595</v>
      </c>
      <c r="G139" s="184">
        <v>43647</v>
      </c>
      <c r="K139" s="184"/>
      <c r="P139" t="s">
        <v>7045</v>
      </c>
      <c r="Q139" t="s">
        <v>7383</v>
      </c>
      <c r="R139" s="184">
        <v>19694</v>
      </c>
      <c r="S139">
        <v>70</v>
      </c>
      <c r="V139" t="s">
        <v>3101</v>
      </c>
      <c r="W139" t="s">
        <v>3332</v>
      </c>
      <c r="X139" t="s">
        <v>3395</v>
      </c>
      <c r="AF139" t="s">
        <v>7804</v>
      </c>
      <c r="AG139" t="s">
        <v>3101</v>
      </c>
      <c r="AI139" t="s">
        <v>7805</v>
      </c>
      <c r="AM139" t="s">
        <v>3301</v>
      </c>
      <c r="AN139" t="s">
        <v>2313</v>
      </c>
      <c r="AO139" t="s">
        <v>7806</v>
      </c>
      <c r="AP139" t="s">
        <v>7024</v>
      </c>
      <c r="AT139" s="184">
        <v>30606</v>
      </c>
      <c r="AU139" t="s">
        <v>7073</v>
      </c>
      <c r="AV139">
        <v>18</v>
      </c>
      <c r="AW139" s="184">
        <v>45251</v>
      </c>
      <c r="AX139" t="s">
        <v>7807</v>
      </c>
      <c r="AY139">
        <v>200</v>
      </c>
      <c r="AZ139" s="184">
        <v>45251</v>
      </c>
      <c r="BA139" t="s">
        <v>7807</v>
      </c>
      <c r="BB139">
        <v>200</v>
      </c>
      <c r="BC139">
        <v>43</v>
      </c>
      <c r="BD139">
        <v>1578</v>
      </c>
      <c r="BE139">
        <v>1984</v>
      </c>
      <c r="BF139">
        <v>22</v>
      </c>
      <c r="BG139">
        <v>2</v>
      </c>
      <c r="BH139">
        <v>400</v>
      </c>
      <c r="BI139">
        <v>18</v>
      </c>
      <c r="BJ139">
        <v>42</v>
      </c>
      <c r="BK139">
        <v>17</v>
      </c>
    </row>
    <row r="140" spans="1:68">
      <c r="A140">
        <v>356048</v>
      </c>
      <c r="B140">
        <v>356048</v>
      </c>
      <c r="C140" t="s">
        <v>7018</v>
      </c>
      <c r="E140" s="184"/>
      <c r="G140" s="184"/>
      <c r="J140" t="s">
        <v>595</v>
      </c>
      <c r="K140" s="184">
        <v>43654</v>
      </c>
      <c r="P140" t="s">
        <v>7029</v>
      </c>
      <c r="Q140" t="s">
        <v>7030</v>
      </c>
      <c r="R140" s="184">
        <v>19238</v>
      </c>
      <c r="S140">
        <v>71</v>
      </c>
      <c r="U140" t="s">
        <v>7076</v>
      </c>
      <c r="V140" t="s">
        <v>3670</v>
      </c>
      <c r="W140" t="s">
        <v>4327</v>
      </c>
      <c r="X140" t="s">
        <v>3614</v>
      </c>
      <c r="Z140">
        <v>100007842</v>
      </c>
      <c r="AA140" t="s">
        <v>7031</v>
      </c>
      <c r="AB140" t="s">
        <v>3080</v>
      </c>
      <c r="AD140" t="s">
        <v>5594</v>
      </c>
      <c r="AF140" t="s">
        <v>7808</v>
      </c>
      <c r="AG140" t="s">
        <v>7809</v>
      </c>
      <c r="AI140" t="s">
        <v>7810</v>
      </c>
      <c r="AM140" t="s">
        <v>3615</v>
      </c>
      <c r="AN140" t="s">
        <v>2094</v>
      </c>
      <c r="AO140" t="s">
        <v>7811</v>
      </c>
      <c r="AP140" t="s">
        <v>7024</v>
      </c>
      <c r="AQ140" t="s">
        <v>7812</v>
      </c>
      <c r="AT140" s="184">
        <v>31154</v>
      </c>
      <c r="AU140" t="s">
        <v>7813</v>
      </c>
      <c r="AV140">
        <v>18</v>
      </c>
      <c r="AW140" s="184">
        <v>45034</v>
      </c>
      <c r="AX140" t="s">
        <v>7814</v>
      </c>
      <c r="AY140">
        <v>2000</v>
      </c>
      <c r="AZ140" s="184">
        <v>45034</v>
      </c>
      <c r="BA140" t="s">
        <v>7814</v>
      </c>
      <c r="BB140">
        <v>2000</v>
      </c>
      <c r="BC140">
        <v>90</v>
      </c>
      <c r="BD140">
        <v>39886</v>
      </c>
      <c r="BE140">
        <v>1985</v>
      </c>
      <c r="BF140">
        <v>246</v>
      </c>
      <c r="BG140">
        <v>2</v>
      </c>
      <c r="BH140">
        <v>4000</v>
      </c>
      <c r="BI140">
        <v>36</v>
      </c>
      <c r="BJ140">
        <v>40</v>
      </c>
      <c r="BK140">
        <v>22</v>
      </c>
    </row>
    <row r="141" spans="1:68">
      <c r="A141">
        <v>100007842</v>
      </c>
      <c r="B141">
        <v>356048</v>
      </c>
      <c r="C141" t="s">
        <v>7018</v>
      </c>
      <c r="E141" s="184"/>
      <c r="J141" t="s">
        <v>595</v>
      </c>
      <c r="K141" s="184">
        <v>43654</v>
      </c>
      <c r="P141" t="s">
        <v>7029</v>
      </c>
      <c r="Q141" t="s">
        <v>7030</v>
      </c>
      <c r="R141" s="184">
        <v>16249</v>
      </c>
      <c r="S141">
        <v>79</v>
      </c>
      <c r="U141" t="s">
        <v>7031</v>
      </c>
      <c r="V141" t="s">
        <v>3080</v>
      </c>
      <c r="X141" t="s">
        <v>5594</v>
      </c>
      <c r="Z141">
        <v>356048</v>
      </c>
      <c r="AA141" t="s">
        <v>7076</v>
      </c>
      <c r="AB141" t="s">
        <v>3670</v>
      </c>
      <c r="AC141" t="s">
        <v>4327</v>
      </c>
      <c r="AD141" t="s">
        <v>3614</v>
      </c>
      <c r="AF141" t="s">
        <v>7808</v>
      </c>
      <c r="AG141" t="s">
        <v>7809</v>
      </c>
      <c r="AI141" t="s">
        <v>7810</v>
      </c>
      <c r="AM141" t="s">
        <v>3615</v>
      </c>
      <c r="AN141" t="s">
        <v>2094</v>
      </c>
      <c r="AO141" t="s">
        <v>7811</v>
      </c>
      <c r="AP141" t="s">
        <v>7024</v>
      </c>
      <c r="AQ141" t="s">
        <v>7815</v>
      </c>
      <c r="AR141" t="s">
        <v>7816</v>
      </c>
      <c r="AT141" s="184"/>
      <c r="AW141" s="184"/>
      <c r="AZ141" s="184"/>
    </row>
    <row r="142" spans="1:68">
      <c r="A142">
        <v>357202</v>
      </c>
      <c r="B142">
        <v>357202</v>
      </c>
      <c r="C142" t="s">
        <v>7018</v>
      </c>
      <c r="D142" t="s">
        <v>595</v>
      </c>
      <c r="E142" s="184">
        <v>43642</v>
      </c>
      <c r="K142" s="184"/>
      <c r="P142" t="s">
        <v>7045</v>
      </c>
      <c r="Q142" t="s">
        <v>7030</v>
      </c>
      <c r="R142" s="184">
        <v>20747</v>
      </c>
      <c r="S142">
        <v>67</v>
      </c>
      <c r="U142" t="s">
        <v>7130</v>
      </c>
      <c r="V142" t="s">
        <v>2733</v>
      </c>
      <c r="W142" t="s">
        <v>3332</v>
      </c>
      <c r="X142" t="s">
        <v>2904</v>
      </c>
      <c r="AF142" t="s">
        <v>7817</v>
      </c>
      <c r="AG142" t="s">
        <v>2733</v>
      </c>
      <c r="AI142" t="s">
        <v>7818</v>
      </c>
      <c r="AM142" t="s">
        <v>2984</v>
      </c>
      <c r="AN142" t="s">
        <v>2094</v>
      </c>
      <c r="AO142" t="s">
        <v>7819</v>
      </c>
      <c r="AP142" t="s">
        <v>7024</v>
      </c>
      <c r="AQ142" t="s">
        <v>7820</v>
      </c>
      <c r="AT142" s="184">
        <v>30763</v>
      </c>
      <c r="AU142" t="s">
        <v>7073</v>
      </c>
      <c r="AV142">
        <v>18</v>
      </c>
      <c r="AW142" s="184">
        <v>45201</v>
      </c>
      <c r="AX142" t="s">
        <v>7821</v>
      </c>
      <c r="AY142">
        <v>25</v>
      </c>
      <c r="AZ142" s="184">
        <v>39709</v>
      </c>
      <c r="BA142" t="s">
        <v>7822</v>
      </c>
      <c r="BB142">
        <v>35</v>
      </c>
      <c r="BC142">
        <v>98</v>
      </c>
      <c r="BD142">
        <v>1863</v>
      </c>
      <c r="BE142">
        <v>1984</v>
      </c>
      <c r="BF142">
        <v>95</v>
      </c>
      <c r="BG142">
        <v>7</v>
      </c>
      <c r="BH142">
        <v>150</v>
      </c>
      <c r="BI142">
        <v>40</v>
      </c>
      <c r="BJ142">
        <v>41</v>
      </c>
      <c r="BK142">
        <v>40</v>
      </c>
      <c r="BN142" t="s">
        <v>595</v>
      </c>
    </row>
    <row r="143" spans="1:68">
      <c r="A143">
        <v>357640</v>
      </c>
      <c r="B143">
        <v>357640</v>
      </c>
      <c r="C143" t="s">
        <v>7018</v>
      </c>
      <c r="D143" t="s">
        <v>595</v>
      </c>
      <c r="E143" s="184">
        <v>44070</v>
      </c>
      <c r="J143" t="s">
        <v>595</v>
      </c>
      <c r="K143" s="184">
        <v>44649</v>
      </c>
      <c r="P143" t="s">
        <v>7019</v>
      </c>
      <c r="Q143" t="s">
        <v>7383</v>
      </c>
      <c r="R143" s="184">
        <v>20561</v>
      </c>
      <c r="S143">
        <v>68</v>
      </c>
      <c r="V143" t="s">
        <v>7823</v>
      </c>
      <c r="W143" t="s">
        <v>7824</v>
      </c>
      <c r="X143" t="s">
        <v>7825</v>
      </c>
      <c r="Z143">
        <v>101143381</v>
      </c>
      <c r="AB143" t="s">
        <v>3692</v>
      </c>
      <c r="AD143" t="s">
        <v>7825</v>
      </c>
      <c r="AF143" t="s">
        <v>7826</v>
      </c>
      <c r="AG143" t="s">
        <v>7827</v>
      </c>
      <c r="AI143" t="s">
        <v>7828</v>
      </c>
      <c r="AM143" t="s">
        <v>2934</v>
      </c>
      <c r="AN143" t="s">
        <v>2313</v>
      </c>
      <c r="AO143" t="s">
        <v>7829</v>
      </c>
      <c r="AP143" t="s">
        <v>7024</v>
      </c>
      <c r="AQ143" t="s">
        <v>7830</v>
      </c>
      <c r="AR143" t="s">
        <v>7831</v>
      </c>
      <c r="AT143" s="184">
        <v>30550</v>
      </c>
      <c r="AU143" t="s">
        <v>7485</v>
      </c>
      <c r="AV143">
        <v>18</v>
      </c>
      <c r="AW143" s="184">
        <v>44986</v>
      </c>
      <c r="AX143" t="s">
        <v>7832</v>
      </c>
      <c r="AY143">
        <v>60</v>
      </c>
      <c r="AZ143" s="184">
        <v>44986</v>
      </c>
      <c r="BA143" t="s">
        <v>7832</v>
      </c>
      <c r="BB143">
        <v>60</v>
      </c>
      <c r="BC143">
        <v>74</v>
      </c>
      <c r="BD143">
        <v>1053</v>
      </c>
      <c r="BE143">
        <v>1984</v>
      </c>
      <c r="BF143">
        <v>35</v>
      </c>
      <c r="BG143">
        <v>1</v>
      </c>
      <c r="BH143">
        <v>60</v>
      </c>
      <c r="BI143">
        <v>31</v>
      </c>
      <c r="BJ143">
        <v>42</v>
      </c>
      <c r="BK143">
        <v>22</v>
      </c>
    </row>
    <row r="144" spans="1:68">
      <c r="A144">
        <v>357848</v>
      </c>
      <c r="B144">
        <v>357848</v>
      </c>
      <c r="C144" t="s">
        <v>7018</v>
      </c>
      <c r="E144" s="184"/>
      <c r="J144" t="s">
        <v>595</v>
      </c>
      <c r="K144" s="184">
        <v>41816</v>
      </c>
      <c r="P144" t="s">
        <v>7045</v>
      </c>
      <c r="Q144" t="s">
        <v>7020</v>
      </c>
      <c r="R144" s="184">
        <v>18938</v>
      </c>
      <c r="S144">
        <v>72</v>
      </c>
      <c r="V144" t="s">
        <v>2918</v>
      </c>
      <c r="W144" t="s">
        <v>5006</v>
      </c>
      <c r="X144" t="s">
        <v>2919</v>
      </c>
      <c r="AF144" t="s">
        <v>6139</v>
      </c>
      <c r="AG144" t="s">
        <v>2918</v>
      </c>
      <c r="AI144" t="s">
        <v>7833</v>
      </c>
      <c r="AM144" t="s">
        <v>2920</v>
      </c>
      <c r="AN144" t="s">
        <v>2129</v>
      </c>
      <c r="AO144" t="s">
        <v>7834</v>
      </c>
      <c r="AP144" t="s">
        <v>7024</v>
      </c>
      <c r="AQ144" t="s">
        <v>7835</v>
      </c>
      <c r="AT144" s="184">
        <v>30805</v>
      </c>
      <c r="AU144" t="s">
        <v>7324</v>
      </c>
      <c r="AV144">
        <v>25</v>
      </c>
      <c r="AW144" s="184">
        <v>45412</v>
      </c>
      <c r="AX144" t="s">
        <v>7429</v>
      </c>
      <c r="AY144">
        <v>20</v>
      </c>
      <c r="AZ144" s="184">
        <v>44458</v>
      </c>
      <c r="BA144" t="s">
        <v>7714</v>
      </c>
      <c r="BB144">
        <v>400</v>
      </c>
      <c r="BC144">
        <v>83</v>
      </c>
      <c r="BD144">
        <v>5731.5</v>
      </c>
      <c r="BE144">
        <v>1984</v>
      </c>
      <c r="BF144">
        <v>56</v>
      </c>
      <c r="BG144">
        <v>12</v>
      </c>
      <c r="BH144">
        <v>717.5</v>
      </c>
      <c r="BI144">
        <v>34</v>
      </c>
      <c r="BJ144">
        <v>41</v>
      </c>
      <c r="BK144">
        <v>8</v>
      </c>
    </row>
    <row r="145" spans="1:68">
      <c r="A145">
        <v>359000</v>
      </c>
      <c r="B145">
        <v>359000</v>
      </c>
      <c r="C145" t="s">
        <v>7018</v>
      </c>
      <c r="D145" t="s">
        <v>595</v>
      </c>
      <c r="E145" s="184">
        <v>44168</v>
      </c>
      <c r="K145" s="184"/>
      <c r="P145" t="s">
        <v>7029</v>
      </c>
      <c r="Q145" t="s">
        <v>7030</v>
      </c>
      <c r="R145" s="184">
        <v>15662</v>
      </c>
      <c r="S145">
        <v>81</v>
      </c>
      <c r="U145" t="s">
        <v>7130</v>
      </c>
      <c r="V145" t="s">
        <v>3554</v>
      </c>
      <c r="W145" t="s">
        <v>7836</v>
      </c>
      <c r="X145" t="s">
        <v>3887</v>
      </c>
      <c r="Z145">
        <v>100007860</v>
      </c>
      <c r="AA145" t="s">
        <v>7031</v>
      </c>
      <c r="AB145" t="s">
        <v>4093</v>
      </c>
      <c r="AC145" t="s">
        <v>3830</v>
      </c>
      <c r="AD145" t="s">
        <v>3887</v>
      </c>
      <c r="AF145" t="s">
        <v>7837</v>
      </c>
      <c r="AG145" t="s">
        <v>7838</v>
      </c>
      <c r="AI145" t="s">
        <v>7839</v>
      </c>
      <c r="AM145" t="s">
        <v>7840</v>
      </c>
      <c r="AN145" t="s">
        <v>2089</v>
      </c>
      <c r="AO145" t="s">
        <v>7841</v>
      </c>
      <c r="AP145" t="s">
        <v>7024</v>
      </c>
      <c r="AQ145" t="s">
        <v>7842</v>
      </c>
      <c r="AR145" t="s">
        <v>7843</v>
      </c>
      <c r="AT145" s="184">
        <v>30606</v>
      </c>
      <c r="AU145" t="s">
        <v>7586</v>
      </c>
      <c r="AV145">
        <v>50</v>
      </c>
      <c r="AW145" s="184">
        <v>44992</v>
      </c>
      <c r="AX145" t="s">
        <v>7844</v>
      </c>
      <c r="AY145">
        <v>1000</v>
      </c>
      <c r="AZ145" s="184">
        <v>40518</v>
      </c>
      <c r="BA145" t="s">
        <v>7845</v>
      </c>
      <c r="BB145">
        <v>2500</v>
      </c>
      <c r="BC145">
        <v>77</v>
      </c>
      <c r="BD145">
        <v>29800</v>
      </c>
      <c r="BE145">
        <v>1984</v>
      </c>
      <c r="BF145">
        <v>40</v>
      </c>
      <c r="BG145">
        <v>1</v>
      </c>
      <c r="BH145">
        <v>1000</v>
      </c>
      <c r="BI145">
        <v>32</v>
      </c>
      <c r="BJ145">
        <v>42</v>
      </c>
      <c r="BK145">
        <v>10</v>
      </c>
      <c r="BP145" s="184"/>
    </row>
    <row r="146" spans="1:68">
      <c r="A146">
        <v>100007860</v>
      </c>
      <c r="B146">
        <v>359000</v>
      </c>
      <c r="C146" t="s">
        <v>7018</v>
      </c>
      <c r="D146" t="s">
        <v>595</v>
      </c>
      <c r="E146" s="184">
        <v>44168</v>
      </c>
      <c r="K146" s="184"/>
      <c r="P146" t="s">
        <v>7029</v>
      </c>
      <c r="Q146" t="s">
        <v>7030</v>
      </c>
      <c r="R146" s="184">
        <v>15754</v>
      </c>
      <c r="S146">
        <v>81</v>
      </c>
      <c r="U146" t="s">
        <v>7031</v>
      </c>
      <c r="V146" t="s">
        <v>4093</v>
      </c>
      <c r="W146" t="s">
        <v>3830</v>
      </c>
      <c r="X146" t="s">
        <v>3887</v>
      </c>
      <c r="Z146">
        <v>359000</v>
      </c>
      <c r="AA146" t="s">
        <v>7130</v>
      </c>
      <c r="AB146" t="s">
        <v>3554</v>
      </c>
      <c r="AC146" t="s">
        <v>7836</v>
      </c>
      <c r="AD146" t="s">
        <v>3887</v>
      </c>
      <c r="AF146" t="s">
        <v>7837</v>
      </c>
      <c r="AG146" t="s">
        <v>7838</v>
      </c>
      <c r="AI146" t="s">
        <v>7839</v>
      </c>
      <c r="AM146" t="s">
        <v>7840</v>
      </c>
      <c r="AN146" t="s">
        <v>2089</v>
      </c>
      <c r="AO146" t="s">
        <v>7841</v>
      </c>
      <c r="AP146" t="s">
        <v>7024</v>
      </c>
      <c r="AQ146" t="s">
        <v>7843</v>
      </c>
      <c r="AT146" s="184"/>
      <c r="AW146" s="184"/>
      <c r="AZ146" s="184"/>
    </row>
    <row r="147" spans="1:68">
      <c r="A147">
        <v>359265</v>
      </c>
      <c r="B147">
        <v>359265</v>
      </c>
      <c r="C147" t="s">
        <v>7018</v>
      </c>
      <c r="D147" t="s">
        <v>595</v>
      </c>
      <c r="E147" s="184">
        <v>43642</v>
      </c>
      <c r="K147" s="184"/>
      <c r="P147" t="s">
        <v>7045</v>
      </c>
      <c r="Q147" t="s">
        <v>7383</v>
      </c>
      <c r="R147" s="184">
        <v>16639</v>
      </c>
      <c r="S147">
        <v>78</v>
      </c>
      <c r="V147" t="s">
        <v>2733</v>
      </c>
      <c r="X147" t="s">
        <v>3152</v>
      </c>
      <c r="Z147">
        <v>100007863</v>
      </c>
      <c r="AB147" t="s">
        <v>2982</v>
      </c>
      <c r="AD147" t="s">
        <v>3152</v>
      </c>
      <c r="AF147" t="s">
        <v>7846</v>
      </c>
      <c r="AG147" t="s">
        <v>7847</v>
      </c>
      <c r="AI147" t="s">
        <v>7848</v>
      </c>
      <c r="AM147" t="s">
        <v>3153</v>
      </c>
      <c r="AN147" t="s">
        <v>2313</v>
      </c>
      <c r="AO147" t="s">
        <v>7849</v>
      </c>
      <c r="AP147" t="s">
        <v>7024</v>
      </c>
      <c r="AT147" s="184">
        <v>31506</v>
      </c>
      <c r="AU147" t="s">
        <v>7073</v>
      </c>
      <c r="AV147">
        <v>18</v>
      </c>
      <c r="AW147" s="184">
        <v>45299</v>
      </c>
      <c r="AX147" t="s">
        <v>7092</v>
      </c>
      <c r="AY147">
        <v>50</v>
      </c>
      <c r="AZ147" s="184">
        <v>37480</v>
      </c>
      <c r="BA147" t="s">
        <v>7850</v>
      </c>
      <c r="BB147">
        <v>87</v>
      </c>
      <c r="BC147">
        <v>88</v>
      </c>
      <c r="BD147">
        <v>1451</v>
      </c>
      <c r="BE147">
        <v>1986</v>
      </c>
      <c r="BF147">
        <v>37</v>
      </c>
      <c r="BG147">
        <v>2</v>
      </c>
      <c r="BH147">
        <v>100</v>
      </c>
      <c r="BI147">
        <v>34</v>
      </c>
      <c r="BJ147">
        <v>39</v>
      </c>
      <c r="BK147">
        <v>16</v>
      </c>
      <c r="BP147" s="184"/>
    </row>
    <row r="148" spans="1:68">
      <c r="A148">
        <v>100007863</v>
      </c>
      <c r="B148">
        <v>359265</v>
      </c>
      <c r="C148" t="s">
        <v>7018</v>
      </c>
      <c r="D148" t="s">
        <v>595</v>
      </c>
      <c r="E148" s="184">
        <v>43642</v>
      </c>
      <c r="K148" s="184"/>
      <c r="P148" t="s">
        <v>7045</v>
      </c>
      <c r="Q148" t="s">
        <v>7383</v>
      </c>
      <c r="R148" s="184">
        <v>14578</v>
      </c>
      <c r="S148">
        <v>84</v>
      </c>
      <c r="V148" t="s">
        <v>2982</v>
      </c>
      <c r="X148" t="s">
        <v>3152</v>
      </c>
      <c r="Z148">
        <v>359265</v>
      </c>
      <c r="AB148" t="s">
        <v>2733</v>
      </c>
      <c r="AD148" t="s">
        <v>3152</v>
      </c>
      <c r="AF148" t="s">
        <v>7846</v>
      </c>
      <c r="AG148" t="s">
        <v>7847</v>
      </c>
      <c r="AI148" t="s">
        <v>7848</v>
      </c>
      <c r="AM148" t="s">
        <v>3153</v>
      </c>
      <c r="AN148" t="s">
        <v>2313</v>
      </c>
      <c r="AO148" t="s">
        <v>7849</v>
      </c>
      <c r="AP148" t="s">
        <v>7024</v>
      </c>
      <c r="AT148" s="184">
        <v>44567</v>
      </c>
      <c r="AU148" t="s">
        <v>7851</v>
      </c>
      <c r="AV148">
        <v>50</v>
      </c>
      <c r="AW148" s="184">
        <v>44567</v>
      </c>
      <c r="AX148" t="s">
        <v>7851</v>
      </c>
      <c r="AY148">
        <v>50</v>
      </c>
      <c r="AZ148" s="184">
        <v>44567</v>
      </c>
      <c r="BA148" t="s">
        <v>7851</v>
      </c>
      <c r="BB148">
        <v>50</v>
      </c>
      <c r="BC148">
        <v>34</v>
      </c>
      <c r="BD148">
        <v>50</v>
      </c>
      <c r="BE148">
        <v>2022</v>
      </c>
      <c r="BF148">
        <v>1</v>
      </c>
      <c r="BI148">
        <v>1</v>
      </c>
      <c r="BJ148">
        <v>3</v>
      </c>
      <c r="BK148">
        <v>1</v>
      </c>
      <c r="BP148" s="184"/>
    </row>
    <row r="149" spans="1:68">
      <c r="A149">
        <v>363705</v>
      </c>
      <c r="B149">
        <v>363705</v>
      </c>
      <c r="C149" t="s">
        <v>7018</v>
      </c>
      <c r="E149" s="184"/>
      <c r="J149" t="s">
        <v>595</v>
      </c>
      <c r="K149" s="184">
        <v>37435</v>
      </c>
      <c r="P149" t="s">
        <v>7019</v>
      </c>
      <c r="Q149" t="s">
        <v>7383</v>
      </c>
      <c r="R149" s="184">
        <v>13328</v>
      </c>
      <c r="S149">
        <v>87</v>
      </c>
      <c r="U149" t="s">
        <v>7031</v>
      </c>
      <c r="V149" t="s">
        <v>3783</v>
      </c>
      <c r="W149" t="s">
        <v>4152</v>
      </c>
      <c r="X149" t="s">
        <v>5576</v>
      </c>
      <c r="Z149">
        <v>100179309</v>
      </c>
      <c r="AA149" t="s">
        <v>7130</v>
      </c>
      <c r="AB149" t="s">
        <v>3002</v>
      </c>
      <c r="AC149" t="s">
        <v>3951</v>
      </c>
      <c r="AD149" t="s">
        <v>5576</v>
      </c>
      <c r="AF149" t="s">
        <v>7852</v>
      </c>
      <c r="AG149" t="s">
        <v>3783</v>
      </c>
      <c r="AI149" t="s">
        <v>7853</v>
      </c>
      <c r="AM149" t="s">
        <v>5577</v>
      </c>
      <c r="AN149" t="s">
        <v>2072</v>
      </c>
      <c r="AO149" t="s">
        <v>7854</v>
      </c>
      <c r="AP149" t="s">
        <v>7024</v>
      </c>
      <c r="AQ149" t="s">
        <v>7855</v>
      </c>
      <c r="AT149" s="184">
        <v>30624</v>
      </c>
      <c r="AU149" t="s">
        <v>7073</v>
      </c>
      <c r="AV149">
        <v>25</v>
      </c>
      <c r="AW149" s="184">
        <v>45320</v>
      </c>
      <c r="AX149" t="s">
        <v>7856</v>
      </c>
      <c r="AY149">
        <v>60</v>
      </c>
      <c r="AZ149" s="184">
        <v>39461</v>
      </c>
      <c r="BA149" t="s">
        <v>7857</v>
      </c>
      <c r="BB149">
        <v>10000</v>
      </c>
      <c r="BC149">
        <v>84</v>
      </c>
      <c r="BD149">
        <v>34982</v>
      </c>
      <c r="BE149">
        <v>1984</v>
      </c>
      <c r="BF149">
        <v>53</v>
      </c>
      <c r="BG149">
        <v>2</v>
      </c>
      <c r="BH149">
        <v>85</v>
      </c>
      <c r="BI149">
        <v>35</v>
      </c>
      <c r="BJ149">
        <v>42</v>
      </c>
      <c r="BK149">
        <v>18</v>
      </c>
      <c r="BP149" s="184"/>
    </row>
    <row r="150" spans="1:68">
      <c r="A150">
        <v>100179309</v>
      </c>
      <c r="B150">
        <v>363705</v>
      </c>
      <c r="C150" t="s">
        <v>7018</v>
      </c>
      <c r="E150" s="184"/>
      <c r="J150" t="s">
        <v>595</v>
      </c>
      <c r="K150" s="184">
        <v>37435</v>
      </c>
      <c r="P150" t="s">
        <v>7019</v>
      </c>
      <c r="Q150" t="s">
        <v>7383</v>
      </c>
      <c r="R150" s="184"/>
      <c r="U150" t="s">
        <v>7130</v>
      </c>
      <c r="V150" t="s">
        <v>3002</v>
      </c>
      <c r="W150" t="s">
        <v>3951</v>
      </c>
      <c r="X150" t="s">
        <v>5576</v>
      </c>
      <c r="Z150">
        <v>363705</v>
      </c>
      <c r="AA150" t="s">
        <v>7031</v>
      </c>
      <c r="AB150" t="s">
        <v>3783</v>
      </c>
      <c r="AC150" t="s">
        <v>4152</v>
      </c>
      <c r="AD150" t="s">
        <v>5576</v>
      </c>
      <c r="AF150" t="s">
        <v>7852</v>
      </c>
      <c r="AG150" t="s">
        <v>3783</v>
      </c>
      <c r="AI150" t="s">
        <v>7853</v>
      </c>
      <c r="AM150" t="s">
        <v>5577</v>
      </c>
      <c r="AN150" t="s">
        <v>2072</v>
      </c>
      <c r="AO150" t="s">
        <v>7854</v>
      </c>
      <c r="AP150" t="s">
        <v>7024</v>
      </c>
      <c r="AT150" s="184"/>
      <c r="AW150" s="184"/>
      <c r="AZ150" s="184"/>
      <c r="BO150" t="s">
        <v>595</v>
      </c>
      <c r="BP150" s="184">
        <v>38735</v>
      </c>
    </row>
    <row r="151" spans="1:68">
      <c r="A151">
        <v>363721</v>
      </c>
      <c r="B151">
        <v>363721</v>
      </c>
      <c r="C151" t="s">
        <v>7018</v>
      </c>
      <c r="E151" s="184"/>
      <c r="J151" t="s">
        <v>595</v>
      </c>
      <c r="K151" s="184">
        <v>44328</v>
      </c>
      <c r="P151" t="s">
        <v>7029</v>
      </c>
      <c r="Q151" t="s">
        <v>7383</v>
      </c>
      <c r="R151" s="184">
        <v>11608</v>
      </c>
      <c r="S151">
        <v>92</v>
      </c>
      <c r="U151" t="s">
        <v>7031</v>
      </c>
      <c r="V151" t="s">
        <v>3689</v>
      </c>
      <c r="W151" t="s">
        <v>2049</v>
      </c>
      <c r="X151" t="s">
        <v>3277</v>
      </c>
      <c r="Z151">
        <v>100007884</v>
      </c>
      <c r="AA151" t="s">
        <v>7130</v>
      </c>
      <c r="AB151" t="s">
        <v>7858</v>
      </c>
      <c r="AD151" t="s">
        <v>3277</v>
      </c>
      <c r="AF151" t="s">
        <v>7859</v>
      </c>
      <c r="AG151" t="s">
        <v>3689</v>
      </c>
      <c r="AI151" t="s">
        <v>7860</v>
      </c>
      <c r="AJ151" t="s">
        <v>7861</v>
      </c>
      <c r="AM151" t="s">
        <v>7862</v>
      </c>
      <c r="AN151" t="s">
        <v>2313</v>
      </c>
      <c r="AO151" t="s">
        <v>7863</v>
      </c>
      <c r="AP151" t="s">
        <v>7024</v>
      </c>
      <c r="AQ151" t="s">
        <v>7864</v>
      </c>
      <c r="AR151" t="s">
        <v>7865</v>
      </c>
      <c r="AT151" s="184">
        <v>31223</v>
      </c>
      <c r="AU151" t="s">
        <v>7866</v>
      </c>
      <c r="AV151">
        <v>18</v>
      </c>
      <c r="AW151" s="184">
        <v>45209</v>
      </c>
      <c r="AX151" t="s">
        <v>7749</v>
      </c>
      <c r="AY151">
        <v>3500</v>
      </c>
      <c r="AZ151" s="184">
        <v>44662</v>
      </c>
      <c r="BA151" t="s">
        <v>7867</v>
      </c>
      <c r="BB151">
        <v>5000</v>
      </c>
      <c r="BC151">
        <v>98</v>
      </c>
      <c r="BD151">
        <v>97100.67</v>
      </c>
      <c r="BE151">
        <v>1985</v>
      </c>
      <c r="BF151">
        <v>65</v>
      </c>
      <c r="BG151">
        <v>1</v>
      </c>
      <c r="BH151">
        <v>3500</v>
      </c>
      <c r="BI151">
        <v>39</v>
      </c>
      <c r="BJ151">
        <v>40</v>
      </c>
      <c r="BK151">
        <v>39</v>
      </c>
      <c r="BP151" s="184"/>
    </row>
    <row r="152" spans="1:68">
      <c r="A152">
        <v>100007884</v>
      </c>
      <c r="B152">
        <v>363721</v>
      </c>
      <c r="C152" t="s">
        <v>7018</v>
      </c>
      <c r="E152" s="184"/>
      <c r="J152" t="s">
        <v>595</v>
      </c>
      <c r="K152" s="184">
        <v>44328</v>
      </c>
      <c r="P152" t="s">
        <v>7029</v>
      </c>
      <c r="Q152" t="s">
        <v>7383</v>
      </c>
      <c r="R152" s="184">
        <v>13327</v>
      </c>
      <c r="S152">
        <v>87</v>
      </c>
      <c r="U152" t="s">
        <v>7130</v>
      </c>
      <c r="V152" t="s">
        <v>7858</v>
      </c>
      <c r="X152" t="s">
        <v>3277</v>
      </c>
      <c r="Z152">
        <v>363721</v>
      </c>
      <c r="AA152" t="s">
        <v>7031</v>
      </c>
      <c r="AB152" t="s">
        <v>3689</v>
      </c>
      <c r="AC152" t="s">
        <v>2049</v>
      </c>
      <c r="AD152" t="s">
        <v>3277</v>
      </c>
      <c r="AF152" t="s">
        <v>7859</v>
      </c>
      <c r="AG152" t="s">
        <v>3689</v>
      </c>
      <c r="AI152" t="s">
        <v>7860</v>
      </c>
      <c r="AJ152" t="s">
        <v>7861</v>
      </c>
      <c r="AM152" t="s">
        <v>7862</v>
      </c>
      <c r="AN152" t="s">
        <v>2313</v>
      </c>
      <c r="AO152" t="s">
        <v>7863</v>
      </c>
      <c r="AP152" t="s">
        <v>7024</v>
      </c>
      <c r="AT152" s="184"/>
      <c r="AW152" s="184"/>
      <c r="AZ152" s="184"/>
      <c r="BO152" t="s">
        <v>595</v>
      </c>
      <c r="BP152" s="184">
        <v>44730</v>
      </c>
    </row>
    <row r="153" spans="1:68">
      <c r="A153">
        <v>366518</v>
      </c>
      <c r="B153">
        <v>366518</v>
      </c>
      <c r="C153" t="s">
        <v>7018</v>
      </c>
      <c r="E153" s="184"/>
      <c r="J153" t="s">
        <v>595</v>
      </c>
      <c r="K153" s="184">
        <v>40886</v>
      </c>
      <c r="O153" s="184"/>
      <c r="P153" t="s">
        <v>7084</v>
      </c>
      <c r="Q153" t="s">
        <v>7383</v>
      </c>
      <c r="R153" s="184">
        <v>10389</v>
      </c>
      <c r="S153">
        <v>95</v>
      </c>
      <c r="U153" t="s">
        <v>7076</v>
      </c>
      <c r="V153" t="s">
        <v>3000</v>
      </c>
      <c r="W153" t="s">
        <v>3830</v>
      </c>
      <c r="X153" t="s">
        <v>7868</v>
      </c>
      <c r="AF153" t="s">
        <v>6392</v>
      </c>
      <c r="AG153" t="s">
        <v>3000</v>
      </c>
      <c r="AI153" t="s">
        <v>7869</v>
      </c>
      <c r="AM153" t="s">
        <v>3082</v>
      </c>
      <c r="AN153" t="s">
        <v>2313</v>
      </c>
      <c r="AO153" t="s">
        <v>7870</v>
      </c>
      <c r="AP153" t="s">
        <v>7024</v>
      </c>
      <c r="AT153" s="184">
        <v>30680</v>
      </c>
      <c r="AU153" t="s">
        <v>7771</v>
      </c>
      <c r="AV153">
        <v>5</v>
      </c>
      <c r="AW153" s="184">
        <v>45334</v>
      </c>
      <c r="AX153" t="s">
        <v>7296</v>
      </c>
      <c r="AY153">
        <v>16542.990000000002</v>
      </c>
      <c r="AZ153" s="184">
        <v>45334</v>
      </c>
      <c r="BA153" t="s">
        <v>7296</v>
      </c>
      <c r="BB153">
        <v>16542.990000000002</v>
      </c>
      <c r="BC153">
        <v>70</v>
      </c>
      <c r="BD153">
        <v>17749.990000000002</v>
      </c>
      <c r="BE153">
        <v>1984</v>
      </c>
      <c r="BF153">
        <v>62</v>
      </c>
      <c r="BG153">
        <v>1</v>
      </c>
      <c r="BH153">
        <v>16542.990000000002</v>
      </c>
      <c r="BI153">
        <v>29</v>
      </c>
      <c r="BJ153">
        <v>42</v>
      </c>
      <c r="BK153">
        <v>13</v>
      </c>
      <c r="BM153" t="s">
        <v>595</v>
      </c>
      <c r="BO153" t="s">
        <v>595</v>
      </c>
      <c r="BP153" s="184">
        <v>44800</v>
      </c>
    </row>
    <row r="154" spans="1:68">
      <c r="A154">
        <v>367003</v>
      </c>
      <c r="B154">
        <v>367003</v>
      </c>
      <c r="C154" t="s">
        <v>7018</v>
      </c>
      <c r="E154" s="184"/>
      <c r="J154" t="s">
        <v>595</v>
      </c>
      <c r="K154" s="184">
        <v>45315</v>
      </c>
      <c r="P154" t="s">
        <v>7045</v>
      </c>
      <c r="Q154" t="s">
        <v>7383</v>
      </c>
      <c r="R154" s="184">
        <v>13394</v>
      </c>
      <c r="S154">
        <v>87</v>
      </c>
      <c r="U154" t="s">
        <v>7032</v>
      </c>
      <c r="V154" t="s">
        <v>7871</v>
      </c>
      <c r="W154" t="s">
        <v>4013</v>
      </c>
      <c r="X154" t="s">
        <v>7872</v>
      </c>
      <c r="AF154" t="s">
        <v>7873</v>
      </c>
      <c r="AG154" t="s">
        <v>7871</v>
      </c>
      <c r="AI154" t="s">
        <v>7874</v>
      </c>
      <c r="AM154" t="s">
        <v>7875</v>
      </c>
      <c r="AN154" t="s">
        <v>2313</v>
      </c>
      <c r="AO154" t="s">
        <v>7876</v>
      </c>
      <c r="AP154" t="s">
        <v>7024</v>
      </c>
      <c r="AT154" s="184">
        <v>30795</v>
      </c>
      <c r="AU154" t="s">
        <v>7073</v>
      </c>
      <c r="AV154">
        <v>50</v>
      </c>
      <c r="AW154" s="184">
        <v>43728</v>
      </c>
      <c r="AX154" t="s">
        <v>7877</v>
      </c>
      <c r="AY154">
        <v>25</v>
      </c>
      <c r="AZ154" s="184">
        <v>40799</v>
      </c>
      <c r="BA154" t="s">
        <v>7878</v>
      </c>
      <c r="BB154">
        <v>100</v>
      </c>
      <c r="BC154">
        <v>69</v>
      </c>
      <c r="BD154">
        <v>1975</v>
      </c>
      <c r="BE154">
        <v>1984</v>
      </c>
      <c r="BF154">
        <v>34</v>
      </c>
      <c r="BI154">
        <v>28</v>
      </c>
      <c r="BJ154">
        <v>41</v>
      </c>
      <c r="BK154">
        <v>23</v>
      </c>
      <c r="BO154" t="s">
        <v>595</v>
      </c>
      <c r="BP154" s="184">
        <v>45168</v>
      </c>
    </row>
    <row r="155" spans="1:68">
      <c r="A155">
        <v>367094</v>
      </c>
      <c r="B155">
        <v>367094</v>
      </c>
      <c r="C155" t="s">
        <v>7018</v>
      </c>
      <c r="D155" t="s">
        <v>595</v>
      </c>
      <c r="E155" s="184">
        <v>43851</v>
      </c>
      <c r="K155" s="184"/>
      <c r="P155" t="s">
        <v>7029</v>
      </c>
      <c r="Q155" t="s">
        <v>7030</v>
      </c>
      <c r="R155" s="184">
        <v>12384</v>
      </c>
      <c r="S155">
        <v>90</v>
      </c>
      <c r="U155" t="s">
        <v>7076</v>
      </c>
      <c r="V155" t="s">
        <v>3043</v>
      </c>
      <c r="W155" t="s">
        <v>3332</v>
      </c>
      <c r="X155" t="s">
        <v>4522</v>
      </c>
      <c r="AF155" t="s">
        <v>7879</v>
      </c>
      <c r="AG155" t="s">
        <v>3043</v>
      </c>
      <c r="AI155" t="s">
        <v>7880</v>
      </c>
      <c r="AM155" t="s">
        <v>4462</v>
      </c>
      <c r="AN155" t="s">
        <v>2201</v>
      </c>
      <c r="AO155" t="s">
        <v>7881</v>
      </c>
      <c r="AP155" t="s">
        <v>7024</v>
      </c>
      <c r="AQ155" t="s">
        <v>7882</v>
      </c>
      <c r="AT155" s="184">
        <v>30999</v>
      </c>
      <c r="AU155" t="s">
        <v>7883</v>
      </c>
      <c r="AV155">
        <v>32</v>
      </c>
      <c r="AW155" s="184">
        <v>43892</v>
      </c>
      <c r="AX155" t="s">
        <v>7884</v>
      </c>
      <c r="AY155">
        <v>250</v>
      </c>
      <c r="AZ155" s="184">
        <v>43892</v>
      </c>
      <c r="BA155" t="s">
        <v>7884</v>
      </c>
      <c r="BB155">
        <v>250</v>
      </c>
      <c r="BC155">
        <v>91</v>
      </c>
      <c r="BD155">
        <v>12155</v>
      </c>
      <c r="BE155">
        <v>1985</v>
      </c>
      <c r="BF155">
        <v>102</v>
      </c>
      <c r="BI155">
        <v>37</v>
      </c>
      <c r="BJ155">
        <v>41</v>
      </c>
      <c r="BK155">
        <v>37</v>
      </c>
    </row>
    <row r="156" spans="1:68">
      <c r="A156">
        <v>370221</v>
      </c>
      <c r="B156">
        <v>370221</v>
      </c>
      <c r="C156" t="s">
        <v>7018</v>
      </c>
      <c r="D156" t="s">
        <v>595</v>
      </c>
      <c r="E156" s="184">
        <v>43640</v>
      </c>
      <c r="O156" s="184"/>
      <c r="P156" t="s">
        <v>7029</v>
      </c>
      <c r="Q156" t="s">
        <v>7383</v>
      </c>
      <c r="R156" s="184">
        <v>18507</v>
      </c>
      <c r="S156">
        <v>73</v>
      </c>
      <c r="V156" t="s">
        <v>2966</v>
      </c>
      <c r="W156" t="s">
        <v>5006</v>
      </c>
      <c r="X156" t="s">
        <v>2964</v>
      </c>
      <c r="AF156" t="s">
        <v>7885</v>
      </c>
      <c r="AG156" t="s">
        <v>2966</v>
      </c>
      <c r="AI156" t="s">
        <v>7886</v>
      </c>
      <c r="AM156" t="s">
        <v>2888</v>
      </c>
      <c r="AN156" t="s">
        <v>2274</v>
      </c>
      <c r="AO156" t="s">
        <v>7887</v>
      </c>
      <c r="AP156" t="s">
        <v>7024</v>
      </c>
      <c r="AQ156" t="s">
        <v>7888</v>
      </c>
      <c r="AR156" t="s">
        <v>7889</v>
      </c>
      <c r="AT156" s="184">
        <v>30767</v>
      </c>
      <c r="AU156" t="s">
        <v>7073</v>
      </c>
      <c r="AV156">
        <v>18</v>
      </c>
      <c r="AW156" s="184">
        <v>45411</v>
      </c>
      <c r="AX156" t="s">
        <v>7414</v>
      </c>
      <c r="AY156">
        <v>30</v>
      </c>
      <c r="AZ156" s="184">
        <v>45041</v>
      </c>
      <c r="BA156" t="s">
        <v>7890</v>
      </c>
      <c r="BB156">
        <v>500</v>
      </c>
      <c r="BC156">
        <v>91</v>
      </c>
      <c r="BD156">
        <v>9410</v>
      </c>
      <c r="BE156">
        <v>1984</v>
      </c>
      <c r="BF156">
        <v>192</v>
      </c>
      <c r="BG156">
        <v>27</v>
      </c>
      <c r="BH156">
        <v>1670</v>
      </c>
      <c r="BI156">
        <v>37</v>
      </c>
      <c r="BJ156">
        <v>41</v>
      </c>
      <c r="BK156">
        <v>18</v>
      </c>
      <c r="BN156" t="s">
        <v>595</v>
      </c>
    </row>
    <row r="157" spans="1:68">
      <c r="A157">
        <v>371740</v>
      </c>
      <c r="B157">
        <v>371740</v>
      </c>
      <c r="C157" t="s">
        <v>7018</v>
      </c>
      <c r="D157" t="s">
        <v>595</v>
      </c>
      <c r="E157" s="184">
        <v>44073</v>
      </c>
      <c r="K157" s="184"/>
      <c r="O157" s="184"/>
      <c r="P157" t="s">
        <v>7045</v>
      </c>
      <c r="Q157" t="s">
        <v>7383</v>
      </c>
      <c r="R157" s="184">
        <v>16015</v>
      </c>
      <c r="S157">
        <v>80</v>
      </c>
      <c r="U157" t="s">
        <v>7130</v>
      </c>
      <c r="V157" t="s">
        <v>4330</v>
      </c>
      <c r="W157" t="s">
        <v>7355</v>
      </c>
      <c r="X157" t="s">
        <v>7891</v>
      </c>
      <c r="AF157" t="s">
        <v>7892</v>
      </c>
      <c r="AG157" t="s">
        <v>4330</v>
      </c>
      <c r="AI157" t="s">
        <v>7893</v>
      </c>
      <c r="AM157" t="s">
        <v>7894</v>
      </c>
      <c r="AN157" t="s">
        <v>2313</v>
      </c>
      <c r="AO157" t="s">
        <v>7895</v>
      </c>
      <c r="AP157" t="s">
        <v>7024</v>
      </c>
      <c r="AQ157" t="s">
        <v>7896</v>
      </c>
      <c r="AT157" s="184">
        <v>30586</v>
      </c>
      <c r="AU157" t="s">
        <v>7073</v>
      </c>
      <c r="AV157">
        <v>18</v>
      </c>
      <c r="AW157" s="184">
        <v>44623</v>
      </c>
      <c r="AX157" t="s">
        <v>7897</v>
      </c>
      <c r="AY157">
        <v>100</v>
      </c>
      <c r="AZ157" s="184">
        <v>44623</v>
      </c>
      <c r="BA157" t="s">
        <v>7897</v>
      </c>
      <c r="BB157">
        <v>100</v>
      </c>
      <c r="BC157">
        <v>70</v>
      </c>
      <c r="BD157">
        <v>2152</v>
      </c>
      <c r="BE157">
        <v>1984</v>
      </c>
      <c r="BF157">
        <v>64</v>
      </c>
      <c r="BI157">
        <v>29</v>
      </c>
      <c r="BJ157">
        <v>42</v>
      </c>
      <c r="BK157">
        <v>12</v>
      </c>
    </row>
    <row r="158" spans="1:68">
      <c r="A158">
        <v>373324</v>
      </c>
      <c r="B158">
        <v>373324</v>
      </c>
      <c r="C158" t="s">
        <v>7018</v>
      </c>
      <c r="D158" t="s">
        <v>595</v>
      </c>
      <c r="E158" s="184">
        <v>44073</v>
      </c>
      <c r="K158" s="184"/>
      <c r="O158" s="184"/>
      <c r="P158" t="s">
        <v>7045</v>
      </c>
      <c r="Q158" t="s">
        <v>7383</v>
      </c>
      <c r="R158" s="184">
        <v>18233</v>
      </c>
      <c r="S158">
        <v>74</v>
      </c>
      <c r="U158" t="s">
        <v>7031</v>
      </c>
      <c r="V158" t="s">
        <v>3474</v>
      </c>
      <c r="W158" t="s">
        <v>3332</v>
      </c>
      <c r="X158" t="s">
        <v>7231</v>
      </c>
      <c r="AF158" t="s">
        <v>7898</v>
      </c>
      <c r="AG158" t="s">
        <v>3474</v>
      </c>
      <c r="AI158" t="s">
        <v>7899</v>
      </c>
      <c r="AM158" t="s">
        <v>7900</v>
      </c>
      <c r="AN158" t="s">
        <v>2313</v>
      </c>
      <c r="AO158" t="s">
        <v>7901</v>
      </c>
      <c r="AP158" t="s">
        <v>7024</v>
      </c>
      <c r="AQ158" t="s">
        <v>7902</v>
      </c>
      <c r="AR158" t="s">
        <v>7903</v>
      </c>
      <c r="AT158" s="184">
        <v>30762</v>
      </c>
      <c r="AU158" t="s">
        <v>7073</v>
      </c>
      <c r="AV158">
        <v>25</v>
      </c>
      <c r="AW158" s="184">
        <v>45300</v>
      </c>
      <c r="AX158" t="s">
        <v>7168</v>
      </c>
      <c r="AY158">
        <v>105</v>
      </c>
      <c r="AZ158" s="184">
        <v>45300</v>
      </c>
      <c r="BA158" t="s">
        <v>7168</v>
      </c>
      <c r="BB158">
        <v>105</v>
      </c>
      <c r="BC158">
        <v>98</v>
      </c>
      <c r="BD158">
        <v>2010</v>
      </c>
      <c r="BE158">
        <v>1984</v>
      </c>
      <c r="BF158">
        <v>49</v>
      </c>
      <c r="BG158">
        <v>2</v>
      </c>
      <c r="BH158">
        <v>205</v>
      </c>
      <c r="BI158">
        <v>40</v>
      </c>
      <c r="BJ158">
        <v>41</v>
      </c>
      <c r="BK158">
        <v>21</v>
      </c>
    </row>
    <row r="159" spans="1:68">
      <c r="A159">
        <v>377721</v>
      </c>
      <c r="B159">
        <v>377721</v>
      </c>
      <c r="C159" t="s">
        <v>7018</v>
      </c>
      <c r="K159" s="184"/>
      <c r="N159" t="s">
        <v>595</v>
      </c>
      <c r="O159" s="184">
        <v>41617</v>
      </c>
      <c r="P159" t="s">
        <v>7029</v>
      </c>
      <c r="Q159" t="s">
        <v>7383</v>
      </c>
      <c r="R159" s="184">
        <v>17097</v>
      </c>
      <c r="S159">
        <v>77</v>
      </c>
      <c r="U159" t="s">
        <v>7076</v>
      </c>
      <c r="V159" t="s">
        <v>4210</v>
      </c>
      <c r="X159" t="s">
        <v>5818</v>
      </c>
      <c r="AF159" t="s">
        <v>7904</v>
      </c>
      <c r="AG159" t="s">
        <v>4210</v>
      </c>
      <c r="AI159" t="s">
        <v>7905</v>
      </c>
      <c r="AM159" t="s">
        <v>7906</v>
      </c>
      <c r="AN159" t="s">
        <v>2313</v>
      </c>
      <c r="AO159" t="s">
        <v>7907</v>
      </c>
      <c r="AP159" t="s">
        <v>7024</v>
      </c>
      <c r="AQ159" t="s">
        <v>7908</v>
      </c>
      <c r="AT159" s="184">
        <v>30596</v>
      </c>
      <c r="AU159" t="s">
        <v>7073</v>
      </c>
      <c r="AV159">
        <v>25</v>
      </c>
      <c r="AW159" s="184">
        <v>45322</v>
      </c>
      <c r="AX159" t="s">
        <v>7382</v>
      </c>
      <c r="AY159">
        <v>2000</v>
      </c>
      <c r="AZ159" s="184">
        <v>41620</v>
      </c>
      <c r="BA159" t="s">
        <v>7707</v>
      </c>
      <c r="BB159">
        <v>10000</v>
      </c>
      <c r="BC159">
        <v>93</v>
      </c>
      <c r="BD159">
        <v>24024.5</v>
      </c>
      <c r="BE159">
        <v>1984</v>
      </c>
      <c r="BF159">
        <v>52</v>
      </c>
      <c r="BG159">
        <v>2</v>
      </c>
      <c r="BH159">
        <v>4000</v>
      </c>
      <c r="BI159">
        <v>39</v>
      </c>
      <c r="BJ159">
        <v>42</v>
      </c>
      <c r="BK159">
        <v>21</v>
      </c>
    </row>
    <row r="160" spans="1:68">
      <c r="A160">
        <v>381244</v>
      </c>
      <c r="B160">
        <v>381244</v>
      </c>
      <c r="C160" t="s">
        <v>7018</v>
      </c>
      <c r="E160" s="184"/>
      <c r="J160" t="s">
        <v>595</v>
      </c>
      <c r="K160" s="184">
        <v>43970</v>
      </c>
      <c r="O160" s="184"/>
      <c r="P160" t="s">
        <v>7045</v>
      </c>
      <c r="Q160" t="s">
        <v>7383</v>
      </c>
      <c r="R160" s="184">
        <v>10701</v>
      </c>
      <c r="S160">
        <v>95</v>
      </c>
      <c r="U160" t="s">
        <v>7031</v>
      </c>
      <c r="V160" t="s">
        <v>7909</v>
      </c>
      <c r="W160" t="s">
        <v>3332</v>
      </c>
      <c r="X160" t="s">
        <v>4230</v>
      </c>
      <c r="AF160" t="s">
        <v>6109</v>
      </c>
      <c r="AG160" t="s">
        <v>7909</v>
      </c>
      <c r="AI160" t="s">
        <v>7910</v>
      </c>
      <c r="AM160" t="s">
        <v>4497</v>
      </c>
      <c r="AN160" t="s">
        <v>2313</v>
      </c>
      <c r="AO160" t="s">
        <v>7911</v>
      </c>
      <c r="AP160" t="s">
        <v>7024</v>
      </c>
      <c r="AQ160" t="s">
        <v>7912</v>
      </c>
      <c r="AR160" t="s">
        <v>7913</v>
      </c>
      <c r="AT160" s="184">
        <v>30579</v>
      </c>
      <c r="AU160" t="s">
        <v>7586</v>
      </c>
      <c r="AV160">
        <v>25</v>
      </c>
      <c r="AW160" s="184">
        <v>42818</v>
      </c>
      <c r="AX160" t="s">
        <v>7914</v>
      </c>
      <c r="AY160">
        <v>50</v>
      </c>
      <c r="AZ160" s="184">
        <v>31825</v>
      </c>
      <c r="BA160" t="s">
        <v>7915</v>
      </c>
      <c r="BB160">
        <v>100</v>
      </c>
      <c r="BC160">
        <v>84</v>
      </c>
      <c r="BD160">
        <v>5475</v>
      </c>
      <c r="BE160">
        <v>1984</v>
      </c>
      <c r="BF160">
        <v>111</v>
      </c>
      <c r="BI160">
        <v>35</v>
      </c>
      <c r="BJ160">
        <v>42</v>
      </c>
      <c r="BK160">
        <v>35</v>
      </c>
      <c r="BN160" t="s">
        <v>595</v>
      </c>
    </row>
    <row r="161" spans="1:68">
      <c r="A161">
        <v>384453</v>
      </c>
      <c r="B161">
        <v>384453</v>
      </c>
      <c r="C161" t="s">
        <v>7018</v>
      </c>
      <c r="E161" s="184"/>
      <c r="J161" t="s">
        <v>595</v>
      </c>
      <c r="K161" s="184">
        <v>41087</v>
      </c>
      <c r="O161" s="184"/>
      <c r="P161" t="s">
        <v>7045</v>
      </c>
      <c r="Q161" t="s">
        <v>7383</v>
      </c>
      <c r="R161" s="184">
        <v>13141</v>
      </c>
      <c r="S161">
        <v>88</v>
      </c>
      <c r="V161" t="s">
        <v>2586</v>
      </c>
      <c r="W161" t="s">
        <v>3444</v>
      </c>
      <c r="X161" t="s">
        <v>7916</v>
      </c>
      <c r="AF161" t="s">
        <v>6477</v>
      </c>
      <c r="AG161" t="s">
        <v>2586</v>
      </c>
      <c r="AI161" t="s">
        <v>7917</v>
      </c>
      <c r="AM161" t="s">
        <v>2703</v>
      </c>
      <c r="AN161" t="s">
        <v>2064</v>
      </c>
      <c r="AO161" t="s">
        <v>7918</v>
      </c>
      <c r="AP161" t="s">
        <v>7024</v>
      </c>
      <c r="AQ161" t="s">
        <v>7919</v>
      </c>
      <c r="AR161" t="s">
        <v>7920</v>
      </c>
      <c r="AT161" s="184">
        <v>30519</v>
      </c>
      <c r="AU161" t="s">
        <v>7921</v>
      </c>
      <c r="AV161">
        <v>18</v>
      </c>
      <c r="AW161" s="184">
        <v>45003</v>
      </c>
      <c r="AX161" t="s">
        <v>7922</v>
      </c>
      <c r="AY161">
        <v>105</v>
      </c>
      <c r="AZ161" s="184">
        <v>43545</v>
      </c>
      <c r="BA161" t="s">
        <v>7923</v>
      </c>
      <c r="BB161">
        <v>150</v>
      </c>
      <c r="BC161">
        <v>53</v>
      </c>
      <c r="BD161">
        <v>999.05</v>
      </c>
      <c r="BE161">
        <v>1984</v>
      </c>
      <c r="BF161">
        <v>27</v>
      </c>
      <c r="BG161">
        <v>2</v>
      </c>
      <c r="BH161">
        <v>141.05000000000001</v>
      </c>
      <c r="BI161">
        <v>22</v>
      </c>
      <c r="BJ161">
        <v>42</v>
      </c>
      <c r="BK161">
        <v>9</v>
      </c>
      <c r="BM161" t="s">
        <v>595</v>
      </c>
    </row>
    <row r="162" spans="1:68">
      <c r="A162">
        <v>386094</v>
      </c>
      <c r="B162">
        <v>386094</v>
      </c>
      <c r="C162" t="s">
        <v>7018</v>
      </c>
      <c r="E162" s="184"/>
      <c r="K162" s="184"/>
      <c r="N162" t="s">
        <v>595</v>
      </c>
      <c r="O162" s="184">
        <v>36123</v>
      </c>
      <c r="P162" t="s">
        <v>7029</v>
      </c>
      <c r="Q162" t="s">
        <v>7383</v>
      </c>
      <c r="R162" s="184">
        <v>10084</v>
      </c>
      <c r="S162">
        <v>96</v>
      </c>
      <c r="U162" t="s">
        <v>7076</v>
      </c>
      <c r="V162" t="s">
        <v>5667</v>
      </c>
      <c r="W162" t="s">
        <v>3332</v>
      </c>
      <c r="X162" t="s">
        <v>5755</v>
      </c>
      <c r="AF162" t="s">
        <v>7924</v>
      </c>
      <c r="AG162" t="s">
        <v>5667</v>
      </c>
      <c r="AI162" t="s">
        <v>7925</v>
      </c>
      <c r="AM162" t="s">
        <v>2703</v>
      </c>
      <c r="AN162" t="s">
        <v>2064</v>
      </c>
      <c r="AO162" t="s">
        <v>7926</v>
      </c>
      <c r="AP162" t="s">
        <v>7024</v>
      </c>
      <c r="AQ162" t="s">
        <v>7927</v>
      </c>
      <c r="AT162" s="184">
        <v>30578</v>
      </c>
      <c r="AU162" t="s">
        <v>7073</v>
      </c>
      <c r="AV162">
        <v>18</v>
      </c>
      <c r="AW162" s="184">
        <v>43509</v>
      </c>
      <c r="AX162" t="s">
        <v>7928</v>
      </c>
      <c r="AY162">
        <v>1000</v>
      </c>
      <c r="AZ162" s="184">
        <v>36123</v>
      </c>
      <c r="BA162" t="s">
        <v>7929</v>
      </c>
      <c r="BB162">
        <v>15000</v>
      </c>
      <c r="BC162">
        <v>84</v>
      </c>
      <c r="BD162">
        <v>21302</v>
      </c>
      <c r="BE162">
        <v>1984</v>
      </c>
      <c r="BF162">
        <v>72</v>
      </c>
      <c r="BI162">
        <v>35</v>
      </c>
      <c r="BJ162">
        <v>42</v>
      </c>
      <c r="BK162">
        <v>14</v>
      </c>
      <c r="BN162" t="s">
        <v>595</v>
      </c>
    </row>
    <row r="163" spans="1:68">
      <c r="A163">
        <v>389213</v>
      </c>
      <c r="B163">
        <v>389213</v>
      </c>
      <c r="C163" t="s">
        <v>7018</v>
      </c>
      <c r="D163" t="s">
        <v>595</v>
      </c>
      <c r="E163" s="184">
        <v>43647</v>
      </c>
      <c r="K163" s="184"/>
      <c r="O163" s="184"/>
      <c r="P163" t="s">
        <v>7045</v>
      </c>
      <c r="Q163" t="s">
        <v>7030</v>
      </c>
      <c r="R163" s="184">
        <v>21002</v>
      </c>
      <c r="S163">
        <v>66</v>
      </c>
      <c r="V163" t="s">
        <v>3480</v>
      </c>
      <c r="X163" t="s">
        <v>3481</v>
      </c>
      <c r="Z163">
        <v>100008006</v>
      </c>
      <c r="AA163" t="s">
        <v>7031</v>
      </c>
      <c r="AB163" t="s">
        <v>3730</v>
      </c>
      <c r="AD163" t="s">
        <v>4184</v>
      </c>
      <c r="AF163" t="s">
        <v>7930</v>
      </c>
      <c r="AG163" t="s">
        <v>7931</v>
      </c>
      <c r="AI163" t="s">
        <v>7932</v>
      </c>
      <c r="AM163" t="s">
        <v>3482</v>
      </c>
      <c r="AN163" t="s">
        <v>2094</v>
      </c>
      <c r="AO163" t="s">
        <v>7933</v>
      </c>
      <c r="AP163" t="s">
        <v>7024</v>
      </c>
      <c r="AQ163" t="s">
        <v>7934</v>
      </c>
      <c r="AR163" t="s">
        <v>7935</v>
      </c>
      <c r="AT163" s="184">
        <v>30698</v>
      </c>
      <c r="AU163" t="s">
        <v>7936</v>
      </c>
      <c r="AV163">
        <v>18</v>
      </c>
      <c r="AW163" s="184">
        <v>45061</v>
      </c>
      <c r="AX163" t="s">
        <v>7937</v>
      </c>
      <c r="AY163">
        <v>50</v>
      </c>
      <c r="AZ163" s="184">
        <v>42870</v>
      </c>
      <c r="BA163" t="s">
        <v>7938</v>
      </c>
      <c r="BB163">
        <v>60</v>
      </c>
      <c r="BC163">
        <v>81</v>
      </c>
      <c r="BD163">
        <v>968</v>
      </c>
      <c r="BE163">
        <v>1984</v>
      </c>
      <c r="BF163">
        <v>34</v>
      </c>
      <c r="BG163">
        <v>2</v>
      </c>
      <c r="BH163">
        <v>100</v>
      </c>
      <c r="BI163">
        <v>33</v>
      </c>
      <c r="BJ163">
        <v>41</v>
      </c>
      <c r="BK163">
        <v>13</v>
      </c>
      <c r="BN163" t="s">
        <v>595</v>
      </c>
      <c r="BP163" s="184"/>
    </row>
    <row r="164" spans="1:68">
      <c r="A164">
        <v>100008006</v>
      </c>
      <c r="B164">
        <v>389213</v>
      </c>
      <c r="C164" t="s">
        <v>7018</v>
      </c>
      <c r="D164" t="s">
        <v>595</v>
      </c>
      <c r="E164" s="184">
        <v>43647</v>
      </c>
      <c r="K164" s="184"/>
      <c r="P164" t="s">
        <v>7045</v>
      </c>
      <c r="Q164" t="s">
        <v>7030</v>
      </c>
      <c r="R164" s="184">
        <v>21033</v>
      </c>
      <c r="S164">
        <v>66</v>
      </c>
      <c r="U164" t="s">
        <v>7031</v>
      </c>
      <c r="V164" t="s">
        <v>3730</v>
      </c>
      <c r="X164" t="s">
        <v>4184</v>
      </c>
      <c r="Z164">
        <v>389213</v>
      </c>
      <c r="AB164" t="s">
        <v>3480</v>
      </c>
      <c r="AD164" t="s">
        <v>3481</v>
      </c>
      <c r="AF164" t="s">
        <v>7930</v>
      </c>
      <c r="AG164" t="s">
        <v>7931</v>
      </c>
      <c r="AI164" t="s">
        <v>7932</v>
      </c>
      <c r="AM164" t="s">
        <v>3482</v>
      </c>
      <c r="AN164" t="s">
        <v>2094</v>
      </c>
      <c r="AO164" t="s">
        <v>7933</v>
      </c>
      <c r="AP164" t="s">
        <v>7024</v>
      </c>
      <c r="AQ164" t="s">
        <v>7939</v>
      </c>
      <c r="AT164" s="184">
        <v>43833</v>
      </c>
      <c r="AU164" t="s">
        <v>7940</v>
      </c>
      <c r="AV164">
        <v>100</v>
      </c>
      <c r="AW164" s="184">
        <v>43833</v>
      </c>
      <c r="AX164" t="s">
        <v>7940</v>
      </c>
      <c r="AY164">
        <v>100</v>
      </c>
      <c r="AZ164" s="184">
        <v>43833</v>
      </c>
      <c r="BA164" t="s">
        <v>7940</v>
      </c>
      <c r="BB164">
        <v>100</v>
      </c>
      <c r="BC164">
        <v>20</v>
      </c>
      <c r="BD164">
        <v>100</v>
      </c>
      <c r="BE164">
        <v>2020</v>
      </c>
      <c r="BF164">
        <v>1</v>
      </c>
      <c r="BI164">
        <v>1</v>
      </c>
      <c r="BJ164">
        <v>5</v>
      </c>
      <c r="BK164">
        <v>1</v>
      </c>
    </row>
    <row r="165" spans="1:68">
      <c r="A165">
        <v>389601</v>
      </c>
      <c r="B165">
        <v>389601</v>
      </c>
      <c r="C165" t="s">
        <v>7018</v>
      </c>
      <c r="E165" s="184"/>
      <c r="J165" t="s">
        <v>595</v>
      </c>
      <c r="K165" s="184">
        <v>37438</v>
      </c>
      <c r="P165" t="s">
        <v>7045</v>
      </c>
      <c r="Q165" t="s">
        <v>7383</v>
      </c>
      <c r="R165" s="184">
        <v>23316</v>
      </c>
      <c r="S165">
        <v>60</v>
      </c>
      <c r="U165" t="s">
        <v>7031</v>
      </c>
      <c r="V165" t="s">
        <v>5410</v>
      </c>
      <c r="W165" t="s">
        <v>7384</v>
      </c>
      <c r="X165" t="s">
        <v>5487</v>
      </c>
      <c r="Y165" t="s">
        <v>7941</v>
      </c>
      <c r="Z165">
        <v>100008008</v>
      </c>
      <c r="AA165" t="s">
        <v>7130</v>
      </c>
      <c r="AB165" t="s">
        <v>2602</v>
      </c>
      <c r="AC165" t="s">
        <v>2316</v>
      </c>
      <c r="AD165" t="s">
        <v>5487</v>
      </c>
      <c r="AF165" t="s">
        <v>7942</v>
      </c>
      <c r="AG165" t="s">
        <v>7943</v>
      </c>
      <c r="AI165" t="s">
        <v>7944</v>
      </c>
      <c r="AJ165" t="s">
        <v>7945</v>
      </c>
      <c r="AM165" t="s">
        <v>5049</v>
      </c>
      <c r="AN165" t="s">
        <v>2064</v>
      </c>
      <c r="AO165" t="s">
        <v>7946</v>
      </c>
      <c r="AP165" t="s">
        <v>7024</v>
      </c>
      <c r="AQ165" t="s">
        <v>7947</v>
      </c>
      <c r="AT165" s="184">
        <v>33981</v>
      </c>
      <c r="AU165" t="s">
        <v>7948</v>
      </c>
      <c r="AV165">
        <v>25</v>
      </c>
      <c r="AW165" s="184">
        <v>39618</v>
      </c>
      <c r="AX165" t="s">
        <v>7949</v>
      </c>
      <c r="AY165">
        <v>25</v>
      </c>
      <c r="AZ165" s="184">
        <v>34479</v>
      </c>
      <c r="BA165" t="s">
        <v>7950</v>
      </c>
      <c r="BB165">
        <v>25000</v>
      </c>
      <c r="BC165">
        <v>50</v>
      </c>
      <c r="BD165">
        <v>59485</v>
      </c>
      <c r="BE165">
        <v>1993</v>
      </c>
      <c r="BF165">
        <v>168</v>
      </c>
      <c r="BI165">
        <v>16</v>
      </c>
      <c r="BJ165">
        <v>32</v>
      </c>
      <c r="BK165">
        <v>16</v>
      </c>
    </row>
    <row r="166" spans="1:68">
      <c r="A166">
        <v>100008008</v>
      </c>
      <c r="B166">
        <v>389601</v>
      </c>
      <c r="C166" t="s">
        <v>7018</v>
      </c>
      <c r="E166" s="184"/>
      <c r="J166" t="s">
        <v>595</v>
      </c>
      <c r="K166" s="184">
        <v>37438</v>
      </c>
      <c r="O166" s="184"/>
      <c r="P166" t="s">
        <v>7045</v>
      </c>
      <c r="Q166" t="s">
        <v>7383</v>
      </c>
      <c r="R166" s="184"/>
      <c r="U166" t="s">
        <v>7130</v>
      </c>
      <c r="V166" t="s">
        <v>2602</v>
      </c>
      <c r="W166" t="s">
        <v>2316</v>
      </c>
      <c r="X166" t="s">
        <v>5487</v>
      </c>
      <c r="Z166">
        <v>389601</v>
      </c>
      <c r="AA166" t="s">
        <v>7031</v>
      </c>
      <c r="AB166" t="s">
        <v>5410</v>
      </c>
      <c r="AC166" t="s">
        <v>7384</v>
      </c>
      <c r="AD166" t="s">
        <v>5487</v>
      </c>
      <c r="AE166" t="s">
        <v>7941</v>
      </c>
      <c r="AF166" t="s">
        <v>7942</v>
      </c>
      <c r="AG166" t="s">
        <v>7943</v>
      </c>
      <c r="AI166" t="s">
        <v>7944</v>
      </c>
      <c r="AJ166" t="s">
        <v>7945</v>
      </c>
      <c r="AM166" t="s">
        <v>5049</v>
      </c>
      <c r="AN166" t="s">
        <v>2064</v>
      </c>
      <c r="AO166" t="s">
        <v>7946</v>
      </c>
      <c r="AP166" t="s">
        <v>7024</v>
      </c>
      <c r="AT166" s="184"/>
      <c r="AW166" s="184"/>
      <c r="AZ166" s="184"/>
    </row>
    <row r="167" spans="1:68">
      <c r="A167">
        <v>394734</v>
      </c>
      <c r="B167">
        <v>394734</v>
      </c>
      <c r="C167" t="s">
        <v>7018</v>
      </c>
      <c r="D167" t="s">
        <v>595</v>
      </c>
      <c r="E167" s="184">
        <v>44944</v>
      </c>
      <c r="K167" s="184"/>
      <c r="O167" s="184"/>
      <c r="P167" t="s">
        <v>7045</v>
      </c>
      <c r="Q167" t="s">
        <v>7454</v>
      </c>
      <c r="R167" s="184">
        <v>18472</v>
      </c>
      <c r="S167">
        <v>73</v>
      </c>
      <c r="V167" t="s">
        <v>4542</v>
      </c>
      <c r="X167" t="s">
        <v>7951</v>
      </c>
      <c r="Z167">
        <v>100008025</v>
      </c>
      <c r="AB167" t="s">
        <v>7952</v>
      </c>
      <c r="AD167" t="s">
        <v>7951</v>
      </c>
      <c r="AF167" t="s">
        <v>7953</v>
      </c>
      <c r="AG167" t="s">
        <v>7954</v>
      </c>
      <c r="AI167" t="s">
        <v>7955</v>
      </c>
      <c r="AM167" t="s">
        <v>3811</v>
      </c>
      <c r="AN167" t="s">
        <v>2299</v>
      </c>
      <c r="AO167" t="s">
        <v>7956</v>
      </c>
      <c r="AP167" t="s">
        <v>7024</v>
      </c>
      <c r="AQ167" t="s">
        <v>7957</v>
      </c>
      <c r="AR167" t="s">
        <v>7958</v>
      </c>
      <c r="AT167" s="184">
        <v>30671</v>
      </c>
      <c r="AU167" t="s">
        <v>7173</v>
      </c>
      <c r="AV167">
        <v>18</v>
      </c>
      <c r="AW167" s="184">
        <v>43434</v>
      </c>
      <c r="AX167" t="s">
        <v>7959</v>
      </c>
      <c r="AY167">
        <v>150</v>
      </c>
      <c r="AZ167" s="184">
        <v>38834</v>
      </c>
      <c r="BA167" t="s">
        <v>7960</v>
      </c>
      <c r="BB167">
        <v>250</v>
      </c>
      <c r="BC167">
        <v>77</v>
      </c>
      <c r="BD167">
        <v>3730.9</v>
      </c>
      <c r="BE167">
        <v>1984</v>
      </c>
      <c r="BF167">
        <v>46</v>
      </c>
      <c r="BI167">
        <v>32</v>
      </c>
      <c r="BJ167">
        <v>42</v>
      </c>
      <c r="BK167">
        <v>14</v>
      </c>
      <c r="BP167" s="184"/>
    </row>
    <row r="168" spans="1:68">
      <c r="A168">
        <v>100008025</v>
      </c>
      <c r="B168">
        <v>394734</v>
      </c>
      <c r="C168" t="s">
        <v>7018</v>
      </c>
      <c r="D168" t="s">
        <v>595</v>
      </c>
      <c r="E168" s="184">
        <v>44944</v>
      </c>
      <c r="K168" s="184"/>
      <c r="O168" s="184"/>
      <c r="P168" t="s">
        <v>7045</v>
      </c>
      <c r="Q168" t="s">
        <v>7454</v>
      </c>
      <c r="R168" s="184">
        <v>26207</v>
      </c>
      <c r="S168">
        <v>52</v>
      </c>
      <c r="V168" t="s">
        <v>7952</v>
      </c>
      <c r="X168" t="s">
        <v>7951</v>
      </c>
      <c r="Z168">
        <v>394734</v>
      </c>
      <c r="AB168" t="s">
        <v>4542</v>
      </c>
      <c r="AD168" t="s">
        <v>7951</v>
      </c>
      <c r="AF168" t="s">
        <v>7953</v>
      </c>
      <c r="AG168" t="s">
        <v>7954</v>
      </c>
      <c r="AI168" t="s">
        <v>7955</v>
      </c>
      <c r="AM168" t="s">
        <v>3811</v>
      </c>
      <c r="AN168" t="s">
        <v>2299</v>
      </c>
      <c r="AO168" t="s">
        <v>7956</v>
      </c>
      <c r="AP168" t="s">
        <v>7024</v>
      </c>
      <c r="AQ168" t="s">
        <v>7957</v>
      </c>
      <c r="AT168" s="184">
        <v>44894</v>
      </c>
      <c r="AU168" t="s">
        <v>7961</v>
      </c>
      <c r="AV168">
        <v>100</v>
      </c>
      <c r="AW168" s="184">
        <v>45259</v>
      </c>
      <c r="AX168" t="s">
        <v>7962</v>
      </c>
      <c r="AY168">
        <v>100</v>
      </c>
      <c r="AZ168" s="184">
        <v>45259</v>
      </c>
      <c r="BA168" t="s">
        <v>7962</v>
      </c>
      <c r="BB168">
        <v>100</v>
      </c>
      <c r="BC168">
        <v>67</v>
      </c>
      <c r="BD168">
        <v>200</v>
      </c>
      <c r="BE168">
        <v>2023</v>
      </c>
      <c r="BF168">
        <v>2</v>
      </c>
      <c r="BG168">
        <v>2</v>
      </c>
      <c r="BH168">
        <v>200</v>
      </c>
      <c r="BI168">
        <v>2</v>
      </c>
      <c r="BJ168">
        <v>3</v>
      </c>
      <c r="BK168">
        <v>2</v>
      </c>
      <c r="BP168" s="184"/>
    </row>
    <row r="169" spans="1:68">
      <c r="A169">
        <v>395038</v>
      </c>
      <c r="B169">
        <v>395038</v>
      </c>
      <c r="C169" t="s">
        <v>7018</v>
      </c>
      <c r="E169" s="184"/>
      <c r="J169" t="s">
        <v>595</v>
      </c>
      <c r="K169" s="184">
        <v>45223</v>
      </c>
      <c r="O169" s="184"/>
      <c r="P169" t="s">
        <v>7045</v>
      </c>
      <c r="Q169" t="s">
        <v>7454</v>
      </c>
      <c r="R169" s="184">
        <v>14611</v>
      </c>
      <c r="S169">
        <v>84</v>
      </c>
      <c r="U169" t="s">
        <v>7076</v>
      </c>
      <c r="V169" t="s">
        <v>2718</v>
      </c>
      <c r="W169" t="s">
        <v>7963</v>
      </c>
      <c r="X169" t="s">
        <v>4631</v>
      </c>
      <c r="AF169" t="s">
        <v>7964</v>
      </c>
      <c r="AG169" t="s">
        <v>2718</v>
      </c>
      <c r="AI169" t="s">
        <v>7965</v>
      </c>
      <c r="AM169" t="s">
        <v>3977</v>
      </c>
      <c r="AN169" t="s">
        <v>2299</v>
      </c>
      <c r="AO169" t="s">
        <v>7966</v>
      </c>
      <c r="AP169" t="s">
        <v>7024</v>
      </c>
      <c r="AT169" s="184">
        <v>43538</v>
      </c>
      <c r="AU169" t="s">
        <v>7967</v>
      </c>
      <c r="AV169">
        <v>10</v>
      </c>
      <c r="AW169" s="184">
        <v>45272</v>
      </c>
      <c r="AX169" t="s">
        <v>7968</v>
      </c>
      <c r="AY169">
        <v>25</v>
      </c>
      <c r="AZ169" s="184">
        <v>45272</v>
      </c>
      <c r="BA169" t="s">
        <v>7968</v>
      </c>
      <c r="BB169">
        <v>25</v>
      </c>
      <c r="BC169">
        <v>84</v>
      </c>
      <c r="BD169">
        <v>110</v>
      </c>
      <c r="BE169">
        <v>2019</v>
      </c>
      <c r="BF169">
        <v>9</v>
      </c>
      <c r="BG169">
        <v>3</v>
      </c>
      <c r="BH169">
        <v>55</v>
      </c>
      <c r="BI169">
        <v>5</v>
      </c>
      <c r="BJ169">
        <v>6</v>
      </c>
      <c r="BK169">
        <v>5</v>
      </c>
      <c r="BP169" s="184"/>
    </row>
    <row r="170" spans="1:68">
      <c r="A170">
        <v>397414</v>
      </c>
      <c r="B170">
        <v>397414</v>
      </c>
      <c r="C170" t="s">
        <v>7018</v>
      </c>
      <c r="E170" s="184"/>
      <c r="J170" t="s">
        <v>595</v>
      </c>
      <c r="K170" s="184">
        <v>43970</v>
      </c>
      <c r="O170" s="184"/>
      <c r="P170" t="s">
        <v>7045</v>
      </c>
      <c r="Q170" t="s">
        <v>7383</v>
      </c>
      <c r="R170" s="184">
        <v>16659</v>
      </c>
      <c r="S170">
        <v>78</v>
      </c>
      <c r="U170" t="s">
        <v>7031</v>
      </c>
      <c r="V170" t="s">
        <v>3114</v>
      </c>
      <c r="X170" t="s">
        <v>3563</v>
      </c>
      <c r="AF170" t="s">
        <v>6071</v>
      </c>
      <c r="AG170" t="s">
        <v>3114</v>
      </c>
      <c r="AI170" t="s">
        <v>7969</v>
      </c>
      <c r="AM170" t="s">
        <v>4749</v>
      </c>
      <c r="AN170" t="s">
        <v>2118</v>
      </c>
      <c r="AO170" t="s">
        <v>7970</v>
      </c>
      <c r="AP170" t="s">
        <v>7024</v>
      </c>
      <c r="AT170" s="184">
        <v>30519</v>
      </c>
      <c r="AU170" t="s">
        <v>7971</v>
      </c>
      <c r="AV170">
        <v>25</v>
      </c>
      <c r="AW170" s="184">
        <v>45316</v>
      </c>
      <c r="AX170" t="s">
        <v>7972</v>
      </c>
      <c r="AY170">
        <v>100</v>
      </c>
      <c r="AZ170" s="184">
        <v>45316</v>
      </c>
      <c r="BA170" t="s">
        <v>7972</v>
      </c>
      <c r="BB170">
        <v>100</v>
      </c>
      <c r="BC170">
        <v>98</v>
      </c>
      <c r="BD170">
        <v>8223</v>
      </c>
      <c r="BE170">
        <v>1984</v>
      </c>
      <c r="BF170">
        <v>129</v>
      </c>
      <c r="BG170">
        <v>2</v>
      </c>
      <c r="BH170">
        <v>200</v>
      </c>
      <c r="BI170">
        <v>41</v>
      </c>
      <c r="BJ170">
        <v>42</v>
      </c>
      <c r="BK170">
        <v>39</v>
      </c>
      <c r="BP170" s="184"/>
    </row>
    <row r="171" spans="1:68">
      <c r="A171">
        <v>402016</v>
      </c>
      <c r="B171">
        <v>402016</v>
      </c>
      <c r="C171" t="s">
        <v>7018</v>
      </c>
      <c r="D171" t="s">
        <v>595</v>
      </c>
      <c r="E171" s="184">
        <v>43642</v>
      </c>
      <c r="K171" s="184"/>
      <c r="O171" s="184"/>
      <c r="P171" t="s">
        <v>7029</v>
      </c>
      <c r="Q171" t="s">
        <v>7383</v>
      </c>
      <c r="R171" s="184">
        <v>14801</v>
      </c>
      <c r="S171">
        <v>83</v>
      </c>
      <c r="V171" t="s">
        <v>3154</v>
      </c>
      <c r="X171" t="s">
        <v>3155</v>
      </c>
      <c r="AF171" t="s">
        <v>7973</v>
      </c>
      <c r="AG171" t="s">
        <v>3154</v>
      </c>
      <c r="AI171" t="s">
        <v>7974</v>
      </c>
      <c r="AM171" t="s">
        <v>3156</v>
      </c>
      <c r="AN171" t="s">
        <v>2118</v>
      </c>
      <c r="AO171" t="s">
        <v>7975</v>
      </c>
      <c r="AP171" t="s">
        <v>7024</v>
      </c>
      <c r="AT171" s="184">
        <v>30725</v>
      </c>
      <c r="AU171" t="s">
        <v>7073</v>
      </c>
      <c r="AV171">
        <v>18</v>
      </c>
      <c r="AW171" s="184">
        <v>45379</v>
      </c>
      <c r="AX171" t="s">
        <v>7976</v>
      </c>
      <c r="AY171">
        <v>3000</v>
      </c>
      <c r="AZ171" s="184">
        <v>45379</v>
      </c>
      <c r="BA171" t="s">
        <v>7976</v>
      </c>
      <c r="BB171">
        <v>3000</v>
      </c>
      <c r="BC171">
        <v>66</v>
      </c>
      <c r="BD171">
        <v>4460</v>
      </c>
      <c r="BE171">
        <v>1984</v>
      </c>
      <c r="BF171">
        <v>45</v>
      </c>
      <c r="BG171">
        <v>3</v>
      </c>
      <c r="BH171">
        <v>3190</v>
      </c>
      <c r="BI171">
        <v>27</v>
      </c>
      <c r="BJ171">
        <v>41</v>
      </c>
      <c r="BK171">
        <v>8</v>
      </c>
      <c r="BP171" s="184"/>
    </row>
    <row r="172" spans="1:68">
      <c r="A172">
        <v>402263</v>
      </c>
      <c r="B172">
        <v>402263</v>
      </c>
      <c r="C172" t="s">
        <v>7018</v>
      </c>
      <c r="K172" s="184"/>
      <c r="N172" t="s">
        <v>595</v>
      </c>
      <c r="O172" s="184">
        <v>37209</v>
      </c>
      <c r="P172" t="s">
        <v>7019</v>
      </c>
      <c r="Q172" t="s">
        <v>7383</v>
      </c>
      <c r="R172" s="184">
        <v>11595</v>
      </c>
      <c r="S172">
        <v>92</v>
      </c>
      <c r="U172" t="s">
        <v>7032</v>
      </c>
      <c r="V172" t="s">
        <v>2551</v>
      </c>
      <c r="W172" t="s">
        <v>4327</v>
      </c>
      <c r="X172" t="s">
        <v>5970</v>
      </c>
      <c r="AF172" t="s">
        <v>7977</v>
      </c>
      <c r="AG172" t="s">
        <v>7978</v>
      </c>
      <c r="AI172" t="s">
        <v>7979</v>
      </c>
      <c r="AM172" t="s">
        <v>3428</v>
      </c>
      <c r="AN172" t="s">
        <v>2118</v>
      </c>
      <c r="AO172" t="s">
        <v>7980</v>
      </c>
      <c r="AP172" t="s">
        <v>7024</v>
      </c>
      <c r="AQ172" t="s">
        <v>7981</v>
      </c>
      <c r="AR172" t="s">
        <v>7982</v>
      </c>
      <c r="AT172" s="184">
        <v>30712</v>
      </c>
      <c r="AU172" t="s">
        <v>7173</v>
      </c>
      <c r="AV172">
        <v>18</v>
      </c>
      <c r="AW172" s="184">
        <v>41474</v>
      </c>
      <c r="AX172" t="s">
        <v>7983</v>
      </c>
      <c r="AY172">
        <v>60</v>
      </c>
      <c r="AZ172" s="184">
        <v>37209</v>
      </c>
      <c r="BA172" t="s">
        <v>7984</v>
      </c>
      <c r="BB172">
        <v>10000</v>
      </c>
      <c r="BC172">
        <v>61</v>
      </c>
      <c r="BD172">
        <v>12490</v>
      </c>
      <c r="BE172">
        <v>1984</v>
      </c>
      <c r="BF172">
        <v>35</v>
      </c>
      <c r="BI172">
        <v>25</v>
      </c>
      <c r="BJ172">
        <v>41</v>
      </c>
      <c r="BK172">
        <v>13</v>
      </c>
      <c r="BN172" t="s">
        <v>595</v>
      </c>
      <c r="BO172" t="s">
        <v>595</v>
      </c>
      <c r="BP172" s="184">
        <v>42499</v>
      </c>
    </row>
    <row r="173" spans="1:68">
      <c r="A173">
        <v>416685</v>
      </c>
      <c r="B173">
        <v>416685</v>
      </c>
      <c r="C173" t="s">
        <v>7018</v>
      </c>
      <c r="E173" s="184"/>
      <c r="J173" t="s">
        <v>595</v>
      </c>
      <c r="K173" s="184">
        <v>40140</v>
      </c>
      <c r="O173" s="184"/>
      <c r="P173" t="s">
        <v>7045</v>
      </c>
      <c r="Q173" t="s">
        <v>7383</v>
      </c>
      <c r="R173" s="184">
        <v>21732</v>
      </c>
      <c r="S173">
        <v>64</v>
      </c>
      <c r="V173" t="s">
        <v>4325</v>
      </c>
      <c r="X173" t="s">
        <v>7985</v>
      </c>
      <c r="Z173">
        <v>100008098</v>
      </c>
      <c r="AB173" t="s">
        <v>7986</v>
      </c>
      <c r="AD173" t="s">
        <v>7987</v>
      </c>
      <c r="AF173" t="s">
        <v>6138</v>
      </c>
      <c r="AG173" t="s">
        <v>7988</v>
      </c>
      <c r="AI173" t="s">
        <v>7989</v>
      </c>
      <c r="AM173" t="s">
        <v>7990</v>
      </c>
      <c r="AN173" t="s">
        <v>2144</v>
      </c>
      <c r="AO173" t="s">
        <v>7991</v>
      </c>
      <c r="AP173" t="s">
        <v>7024</v>
      </c>
      <c r="AQ173" t="s">
        <v>7992</v>
      </c>
      <c r="AR173" t="s">
        <v>7993</v>
      </c>
      <c r="AT173" s="184">
        <v>30851</v>
      </c>
      <c r="AU173" t="s">
        <v>7073</v>
      </c>
      <c r="AV173">
        <v>18</v>
      </c>
      <c r="AW173" s="184">
        <v>45180</v>
      </c>
      <c r="AX173" t="s">
        <v>7994</v>
      </c>
      <c r="AY173">
        <v>150</v>
      </c>
      <c r="AZ173" s="184">
        <v>42367</v>
      </c>
      <c r="BA173" t="s">
        <v>7995</v>
      </c>
      <c r="BB173">
        <v>200</v>
      </c>
      <c r="BC173">
        <v>83</v>
      </c>
      <c r="BD173">
        <v>4700</v>
      </c>
      <c r="BE173">
        <v>1984</v>
      </c>
      <c r="BF173">
        <v>79</v>
      </c>
      <c r="BG173">
        <v>3</v>
      </c>
      <c r="BH173">
        <v>350</v>
      </c>
      <c r="BI173">
        <v>34</v>
      </c>
      <c r="BJ173">
        <v>41</v>
      </c>
      <c r="BK173">
        <v>23</v>
      </c>
      <c r="BP173" s="184"/>
    </row>
    <row r="174" spans="1:68">
      <c r="A174">
        <v>100008098</v>
      </c>
      <c r="B174">
        <v>416685</v>
      </c>
      <c r="C174" t="s">
        <v>7018</v>
      </c>
      <c r="E174" s="184"/>
      <c r="J174" t="s">
        <v>595</v>
      </c>
      <c r="K174" s="184">
        <v>43649</v>
      </c>
      <c r="O174" s="184"/>
      <c r="P174" t="s">
        <v>7045</v>
      </c>
      <c r="Q174" t="s">
        <v>7383</v>
      </c>
      <c r="R174" s="184">
        <v>20852</v>
      </c>
      <c r="S174">
        <v>67</v>
      </c>
      <c r="V174" t="s">
        <v>7986</v>
      </c>
      <c r="X174" t="s">
        <v>7987</v>
      </c>
      <c r="Z174">
        <v>416685</v>
      </c>
      <c r="AB174" t="s">
        <v>4325</v>
      </c>
      <c r="AD174" t="s">
        <v>7985</v>
      </c>
      <c r="AF174" t="s">
        <v>6138</v>
      </c>
      <c r="AG174" t="s">
        <v>7988</v>
      </c>
      <c r="AI174" t="s">
        <v>7989</v>
      </c>
      <c r="AM174" t="s">
        <v>7990</v>
      </c>
      <c r="AN174" t="s">
        <v>2144</v>
      </c>
      <c r="AO174" t="s">
        <v>7991</v>
      </c>
      <c r="AP174" t="s">
        <v>7024</v>
      </c>
      <c r="AQ174" t="s">
        <v>7996</v>
      </c>
      <c r="AT174" s="184"/>
      <c r="AW174" s="184"/>
      <c r="AZ174" s="184"/>
      <c r="BP174" s="184"/>
    </row>
    <row r="175" spans="1:68">
      <c r="A175">
        <v>441147</v>
      </c>
      <c r="B175">
        <v>441147</v>
      </c>
      <c r="C175" t="s">
        <v>7018</v>
      </c>
      <c r="E175" s="184"/>
      <c r="K175" s="184"/>
      <c r="N175" t="s">
        <v>595</v>
      </c>
      <c r="O175" s="184">
        <v>38523</v>
      </c>
      <c r="P175" t="s">
        <v>7029</v>
      </c>
      <c r="Q175" t="s">
        <v>7160</v>
      </c>
      <c r="R175" s="184">
        <v>10060</v>
      </c>
      <c r="S175">
        <v>96</v>
      </c>
      <c r="U175" t="s">
        <v>7031</v>
      </c>
      <c r="V175" t="s">
        <v>2863</v>
      </c>
      <c r="W175" t="s">
        <v>5006</v>
      </c>
      <c r="X175" t="s">
        <v>5498</v>
      </c>
      <c r="Z175">
        <v>100008175</v>
      </c>
      <c r="AA175" t="s">
        <v>7130</v>
      </c>
      <c r="AB175" t="s">
        <v>2938</v>
      </c>
      <c r="AD175" t="s">
        <v>5498</v>
      </c>
      <c r="AF175" t="s">
        <v>7997</v>
      </c>
      <c r="AG175" t="s">
        <v>2863</v>
      </c>
      <c r="AI175" t="s">
        <v>7998</v>
      </c>
      <c r="AJ175" t="s">
        <v>7999</v>
      </c>
      <c r="AM175" t="s">
        <v>3874</v>
      </c>
      <c r="AN175" t="s">
        <v>2413</v>
      </c>
      <c r="AO175">
        <v>37122</v>
      </c>
      <c r="AP175" t="s">
        <v>7024</v>
      </c>
      <c r="AT175" s="184">
        <v>30806</v>
      </c>
      <c r="AU175" t="s">
        <v>7324</v>
      </c>
      <c r="AV175">
        <v>40</v>
      </c>
      <c r="AW175" s="184">
        <v>43348</v>
      </c>
      <c r="AX175" t="s">
        <v>8000</v>
      </c>
      <c r="AY175">
        <v>2500</v>
      </c>
      <c r="AZ175" s="184">
        <v>38523</v>
      </c>
      <c r="BA175" t="s">
        <v>8001</v>
      </c>
      <c r="BB175">
        <v>13496</v>
      </c>
      <c r="BC175">
        <v>66</v>
      </c>
      <c r="BD175">
        <v>56122.63</v>
      </c>
      <c r="BE175">
        <v>1984</v>
      </c>
      <c r="BF175">
        <v>55</v>
      </c>
      <c r="BI175">
        <v>27</v>
      </c>
      <c r="BJ175">
        <v>41</v>
      </c>
      <c r="BK175">
        <v>10</v>
      </c>
      <c r="BO175" t="s">
        <v>595</v>
      </c>
      <c r="BP175" s="184"/>
    </row>
    <row r="176" spans="1:68">
      <c r="A176">
        <v>100008175</v>
      </c>
      <c r="B176">
        <v>441147</v>
      </c>
      <c r="C176" t="s">
        <v>7018</v>
      </c>
      <c r="E176" s="184"/>
      <c r="K176" s="184"/>
      <c r="N176" t="s">
        <v>595</v>
      </c>
      <c r="O176" s="184">
        <v>38523</v>
      </c>
      <c r="P176" t="s">
        <v>7029</v>
      </c>
      <c r="Q176" t="s">
        <v>7160</v>
      </c>
      <c r="R176" s="184">
        <v>10435</v>
      </c>
      <c r="S176">
        <v>95</v>
      </c>
      <c r="U176" t="s">
        <v>7130</v>
      </c>
      <c r="V176" t="s">
        <v>2938</v>
      </c>
      <c r="X176" t="s">
        <v>5498</v>
      </c>
      <c r="Z176">
        <v>441147</v>
      </c>
      <c r="AA176" t="s">
        <v>7031</v>
      </c>
      <c r="AB176" t="s">
        <v>2863</v>
      </c>
      <c r="AC176" t="s">
        <v>5006</v>
      </c>
      <c r="AD176" t="s">
        <v>5498</v>
      </c>
      <c r="AF176" t="s">
        <v>7997</v>
      </c>
      <c r="AG176" t="s">
        <v>2863</v>
      </c>
      <c r="AI176" t="s">
        <v>7998</v>
      </c>
      <c r="AJ176" t="s">
        <v>7999</v>
      </c>
      <c r="AM176" t="s">
        <v>3874</v>
      </c>
      <c r="AN176" t="s">
        <v>2413</v>
      </c>
      <c r="AO176">
        <v>37122</v>
      </c>
      <c r="AP176" t="s">
        <v>7024</v>
      </c>
      <c r="AT176" s="184"/>
      <c r="AW176" s="184"/>
      <c r="AZ176" s="184"/>
      <c r="BO176" t="s">
        <v>595</v>
      </c>
      <c r="BP176" s="184">
        <v>44673</v>
      </c>
    </row>
    <row r="177" spans="1:68">
      <c r="A177">
        <v>441956</v>
      </c>
      <c r="B177">
        <v>441956</v>
      </c>
      <c r="C177" t="s">
        <v>7018</v>
      </c>
      <c r="D177" t="s">
        <v>595</v>
      </c>
      <c r="E177" s="184">
        <v>44104</v>
      </c>
      <c r="K177" s="184"/>
      <c r="P177" t="s">
        <v>7045</v>
      </c>
      <c r="Q177" t="s">
        <v>7494</v>
      </c>
      <c r="R177" s="184">
        <v>13066</v>
      </c>
      <c r="S177">
        <v>88</v>
      </c>
      <c r="V177" t="s">
        <v>2918</v>
      </c>
      <c r="X177" t="s">
        <v>8002</v>
      </c>
      <c r="AF177" t="s">
        <v>8003</v>
      </c>
      <c r="AG177" t="s">
        <v>2918</v>
      </c>
      <c r="AI177" t="s">
        <v>8004</v>
      </c>
      <c r="AM177" t="s">
        <v>2582</v>
      </c>
      <c r="AN177" t="s">
        <v>2174</v>
      </c>
      <c r="AO177" t="s">
        <v>8005</v>
      </c>
      <c r="AP177" t="s">
        <v>7024</v>
      </c>
      <c r="AQ177" t="s">
        <v>8006</v>
      </c>
      <c r="AR177" t="s">
        <v>8007</v>
      </c>
      <c r="AT177" s="184">
        <v>30714</v>
      </c>
      <c r="AU177" t="s">
        <v>7073</v>
      </c>
      <c r="AV177">
        <v>25</v>
      </c>
      <c r="AW177" s="184">
        <v>45379</v>
      </c>
      <c r="AX177" t="s">
        <v>8008</v>
      </c>
      <c r="AY177">
        <v>35</v>
      </c>
      <c r="AZ177" s="184">
        <v>37629</v>
      </c>
      <c r="BA177" t="s">
        <v>8009</v>
      </c>
      <c r="BB177">
        <v>900</v>
      </c>
      <c r="BC177">
        <v>69</v>
      </c>
      <c r="BD177">
        <v>5075</v>
      </c>
      <c r="BE177">
        <v>1984</v>
      </c>
      <c r="BF177">
        <v>70</v>
      </c>
      <c r="BG177">
        <v>1</v>
      </c>
      <c r="BH177">
        <v>35</v>
      </c>
      <c r="BI177">
        <v>28</v>
      </c>
      <c r="BJ177">
        <v>41</v>
      </c>
      <c r="BK177">
        <v>11</v>
      </c>
    </row>
    <row r="178" spans="1:68">
      <c r="A178">
        <v>456392</v>
      </c>
      <c r="B178">
        <v>456392</v>
      </c>
      <c r="C178" t="s">
        <v>7018</v>
      </c>
      <c r="D178" t="s">
        <v>595</v>
      </c>
      <c r="E178" s="184">
        <v>44104</v>
      </c>
      <c r="G178" s="184"/>
      <c r="K178" s="184"/>
      <c r="P178" t="s">
        <v>7029</v>
      </c>
      <c r="Q178" t="s">
        <v>7494</v>
      </c>
      <c r="R178" s="184">
        <v>17467</v>
      </c>
      <c r="S178">
        <v>76</v>
      </c>
      <c r="U178" t="s">
        <v>7031</v>
      </c>
      <c r="V178" t="s">
        <v>2697</v>
      </c>
      <c r="W178" t="s">
        <v>7046</v>
      </c>
      <c r="X178" t="s">
        <v>4508</v>
      </c>
      <c r="AF178" t="s">
        <v>8010</v>
      </c>
      <c r="AG178" t="s">
        <v>2697</v>
      </c>
      <c r="AI178" t="s">
        <v>8011</v>
      </c>
      <c r="AM178" t="s">
        <v>3371</v>
      </c>
      <c r="AN178" t="s">
        <v>2174</v>
      </c>
      <c r="AO178" t="s">
        <v>8012</v>
      </c>
      <c r="AP178" t="s">
        <v>7024</v>
      </c>
      <c r="AQ178" t="s">
        <v>8013</v>
      </c>
      <c r="AT178" s="184">
        <v>31016</v>
      </c>
      <c r="AU178" t="s">
        <v>7073</v>
      </c>
      <c r="AV178">
        <v>18</v>
      </c>
      <c r="AW178" s="184">
        <v>45238</v>
      </c>
      <c r="AX178" t="s">
        <v>8014</v>
      </c>
      <c r="AY178">
        <v>1000</v>
      </c>
      <c r="AZ178" s="184">
        <v>45238</v>
      </c>
      <c r="BA178" t="s">
        <v>8014</v>
      </c>
      <c r="BB178">
        <v>1000</v>
      </c>
      <c r="BC178">
        <v>93</v>
      </c>
      <c r="BD178">
        <v>9304</v>
      </c>
      <c r="BE178">
        <v>1985</v>
      </c>
      <c r="BF178">
        <v>101</v>
      </c>
      <c r="BG178">
        <v>2</v>
      </c>
      <c r="BH178">
        <v>1050</v>
      </c>
      <c r="BI178">
        <v>38</v>
      </c>
      <c r="BJ178">
        <v>41</v>
      </c>
      <c r="BK178">
        <v>37</v>
      </c>
      <c r="BN178" t="s">
        <v>595</v>
      </c>
    </row>
    <row r="179" spans="1:68">
      <c r="A179">
        <v>463455</v>
      </c>
      <c r="B179">
        <v>463455</v>
      </c>
      <c r="C179" t="s">
        <v>7018</v>
      </c>
      <c r="E179" s="184"/>
      <c r="G179" s="184"/>
      <c r="J179" t="s">
        <v>595</v>
      </c>
      <c r="K179" s="184">
        <v>36273</v>
      </c>
      <c r="P179" t="s">
        <v>7029</v>
      </c>
      <c r="Q179" t="s">
        <v>7030</v>
      </c>
      <c r="R179" s="184">
        <v>13728</v>
      </c>
      <c r="S179">
        <v>86</v>
      </c>
      <c r="U179" t="s">
        <v>7031</v>
      </c>
      <c r="V179" t="s">
        <v>2871</v>
      </c>
      <c r="W179" t="s">
        <v>3689</v>
      </c>
      <c r="X179" t="s">
        <v>5704</v>
      </c>
      <c r="Z179">
        <v>100008251</v>
      </c>
      <c r="AA179" t="s">
        <v>7130</v>
      </c>
      <c r="AB179" t="s">
        <v>2580</v>
      </c>
      <c r="AC179" t="s">
        <v>2718</v>
      </c>
      <c r="AD179" t="s">
        <v>5704</v>
      </c>
      <c r="AF179" t="s">
        <v>8015</v>
      </c>
      <c r="AG179" t="s">
        <v>8016</v>
      </c>
      <c r="AI179" t="s">
        <v>8017</v>
      </c>
      <c r="AM179" t="s">
        <v>4420</v>
      </c>
      <c r="AN179" t="s">
        <v>2089</v>
      </c>
      <c r="AO179" t="s">
        <v>8018</v>
      </c>
      <c r="AP179" t="s">
        <v>7024</v>
      </c>
      <c r="AT179" s="184">
        <v>30587</v>
      </c>
      <c r="AU179" t="s">
        <v>7073</v>
      </c>
      <c r="AV179">
        <v>125</v>
      </c>
      <c r="AW179" s="184">
        <v>45069</v>
      </c>
      <c r="AX179" t="s">
        <v>8019</v>
      </c>
      <c r="AY179">
        <v>2000</v>
      </c>
      <c r="AZ179" s="184">
        <v>45069</v>
      </c>
      <c r="BA179" t="s">
        <v>8019</v>
      </c>
      <c r="BB179">
        <v>2000</v>
      </c>
      <c r="BC179">
        <v>98</v>
      </c>
      <c r="BD179">
        <v>30215</v>
      </c>
      <c r="BE179">
        <v>1984</v>
      </c>
      <c r="BF179">
        <v>85</v>
      </c>
      <c r="BG179">
        <v>2</v>
      </c>
      <c r="BH179">
        <v>4000</v>
      </c>
      <c r="BI179">
        <v>41</v>
      </c>
      <c r="BJ179">
        <v>42</v>
      </c>
      <c r="BK179">
        <v>41</v>
      </c>
    </row>
    <row r="180" spans="1:68">
      <c r="A180">
        <v>100008251</v>
      </c>
      <c r="B180">
        <v>463455</v>
      </c>
      <c r="C180" t="s">
        <v>7018</v>
      </c>
      <c r="E180" s="184"/>
      <c r="J180" t="s">
        <v>595</v>
      </c>
      <c r="K180" s="184">
        <v>43649</v>
      </c>
      <c r="P180" t="s">
        <v>7029</v>
      </c>
      <c r="Q180" t="s">
        <v>7030</v>
      </c>
      <c r="R180" s="184">
        <v>16011</v>
      </c>
      <c r="S180">
        <v>80</v>
      </c>
      <c r="U180" t="s">
        <v>7130</v>
      </c>
      <c r="V180" t="s">
        <v>2580</v>
      </c>
      <c r="W180" t="s">
        <v>2718</v>
      </c>
      <c r="X180" t="s">
        <v>5704</v>
      </c>
      <c r="Z180">
        <v>463455</v>
      </c>
      <c r="AA180" t="s">
        <v>7031</v>
      </c>
      <c r="AB180" t="s">
        <v>2871</v>
      </c>
      <c r="AC180" t="s">
        <v>3689</v>
      </c>
      <c r="AD180" t="s">
        <v>5704</v>
      </c>
      <c r="AF180" t="s">
        <v>8015</v>
      </c>
      <c r="AG180" t="s">
        <v>8016</v>
      </c>
      <c r="AI180" t="s">
        <v>8017</v>
      </c>
      <c r="AM180" t="s">
        <v>4420</v>
      </c>
      <c r="AN180" t="s">
        <v>2089</v>
      </c>
      <c r="AO180" t="s">
        <v>8018</v>
      </c>
      <c r="AP180" t="s">
        <v>7024</v>
      </c>
      <c r="AT180" s="184"/>
      <c r="AW180" s="184"/>
      <c r="AZ180" s="184"/>
    </row>
    <row r="181" spans="1:68">
      <c r="A181">
        <v>469643</v>
      </c>
      <c r="B181">
        <v>469643</v>
      </c>
      <c r="C181" t="s">
        <v>7018</v>
      </c>
      <c r="D181" t="s">
        <v>595</v>
      </c>
      <c r="E181" s="184">
        <v>43920</v>
      </c>
      <c r="K181" s="184"/>
      <c r="P181" t="s">
        <v>7045</v>
      </c>
      <c r="Q181" t="s">
        <v>7160</v>
      </c>
      <c r="R181" s="184">
        <v>19085</v>
      </c>
      <c r="S181">
        <v>72</v>
      </c>
      <c r="V181" t="s">
        <v>3869</v>
      </c>
      <c r="X181" t="s">
        <v>4333</v>
      </c>
      <c r="AF181" t="s">
        <v>8020</v>
      </c>
      <c r="AG181" t="s">
        <v>3869</v>
      </c>
      <c r="AI181" t="s">
        <v>8021</v>
      </c>
      <c r="AM181" t="s">
        <v>3734</v>
      </c>
      <c r="AN181" t="s">
        <v>2413</v>
      </c>
      <c r="AO181" t="s">
        <v>8022</v>
      </c>
      <c r="AP181" t="s">
        <v>7024</v>
      </c>
      <c r="AQ181" t="s">
        <v>8023</v>
      </c>
      <c r="AT181" s="184">
        <v>43542</v>
      </c>
      <c r="AU181" t="s">
        <v>8024</v>
      </c>
      <c r="AV181">
        <v>100</v>
      </c>
      <c r="AW181" s="184">
        <v>43918</v>
      </c>
      <c r="AX181" t="s">
        <v>8025</v>
      </c>
      <c r="AY181">
        <v>200</v>
      </c>
      <c r="AZ181" s="184">
        <v>43918</v>
      </c>
      <c r="BA181" t="s">
        <v>8025</v>
      </c>
      <c r="BB181">
        <v>200</v>
      </c>
      <c r="BC181">
        <v>34</v>
      </c>
      <c r="BD181">
        <v>300</v>
      </c>
      <c r="BE181">
        <v>2019</v>
      </c>
      <c r="BF181">
        <v>2</v>
      </c>
      <c r="BI181">
        <v>2</v>
      </c>
      <c r="BJ181">
        <v>6</v>
      </c>
      <c r="BK181">
        <v>2</v>
      </c>
    </row>
    <row r="182" spans="1:68">
      <c r="A182">
        <v>471409</v>
      </c>
      <c r="B182">
        <v>471409</v>
      </c>
      <c r="C182" t="s">
        <v>7018</v>
      </c>
      <c r="E182" s="184"/>
      <c r="J182" t="s">
        <v>595</v>
      </c>
      <c r="K182" s="184">
        <v>42521</v>
      </c>
      <c r="P182" t="s">
        <v>7045</v>
      </c>
      <c r="Q182" t="s">
        <v>7194</v>
      </c>
      <c r="R182" s="184">
        <v>19647</v>
      </c>
      <c r="S182">
        <v>70</v>
      </c>
      <c r="V182" t="s">
        <v>3103</v>
      </c>
      <c r="X182" t="s">
        <v>8026</v>
      </c>
      <c r="Z182">
        <v>100008300</v>
      </c>
      <c r="AB182" t="s">
        <v>7446</v>
      </c>
      <c r="AD182" t="s">
        <v>8026</v>
      </c>
      <c r="AF182" t="s">
        <v>6201</v>
      </c>
      <c r="AG182" t="s">
        <v>8027</v>
      </c>
      <c r="AI182" t="s">
        <v>8028</v>
      </c>
      <c r="AJ182" t="s">
        <v>8029</v>
      </c>
      <c r="AM182" t="s">
        <v>8030</v>
      </c>
      <c r="AN182" t="s">
        <v>2046</v>
      </c>
      <c r="AO182" t="s">
        <v>8031</v>
      </c>
      <c r="AP182" t="s">
        <v>7024</v>
      </c>
      <c r="AQ182" t="s">
        <v>8032</v>
      </c>
      <c r="AT182" s="184">
        <v>30519</v>
      </c>
      <c r="AU182" t="s">
        <v>8033</v>
      </c>
      <c r="AV182">
        <v>25</v>
      </c>
      <c r="AW182" s="184">
        <v>45322</v>
      </c>
      <c r="AX182" t="s">
        <v>8034</v>
      </c>
      <c r="AY182">
        <v>50</v>
      </c>
      <c r="AZ182" s="184">
        <v>41869</v>
      </c>
      <c r="BA182" t="s">
        <v>8035</v>
      </c>
      <c r="BB182">
        <v>100</v>
      </c>
      <c r="BC182">
        <v>89</v>
      </c>
      <c r="BD182">
        <v>3120</v>
      </c>
      <c r="BE182">
        <v>1984</v>
      </c>
      <c r="BF182">
        <v>66</v>
      </c>
      <c r="BG182">
        <v>2</v>
      </c>
      <c r="BH182">
        <v>100</v>
      </c>
      <c r="BI182">
        <v>37</v>
      </c>
      <c r="BJ182">
        <v>42</v>
      </c>
      <c r="BK182">
        <v>19</v>
      </c>
      <c r="BN182" t="s">
        <v>595</v>
      </c>
    </row>
    <row r="183" spans="1:68">
      <c r="A183">
        <v>100008300</v>
      </c>
      <c r="B183">
        <v>471409</v>
      </c>
      <c r="C183" t="s">
        <v>7018</v>
      </c>
      <c r="E183" s="184"/>
      <c r="G183" s="184"/>
      <c r="J183" t="s">
        <v>595</v>
      </c>
      <c r="K183" s="184">
        <v>42521</v>
      </c>
      <c r="O183" s="184"/>
      <c r="P183" t="s">
        <v>7045</v>
      </c>
      <c r="Q183" t="s">
        <v>7194</v>
      </c>
      <c r="R183" s="184">
        <v>18549</v>
      </c>
      <c r="S183">
        <v>73</v>
      </c>
      <c r="V183" t="s">
        <v>7446</v>
      </c>
      <c r="X183" t="s">
        <v>8026</v>
      </c>
      <c r="Z183">
        <v>471409</v>
      </c>
      <c r="AB183" t="s">
        <v>3103</v>
      </c>
      <c r="AD183" t="s">
        <v>8026</v>
      </c>
      <c r="AF183" t="s">
        <v>6201</v>
      </c>
      <c r="AG183" t="s">
        <v>8027</v>
      </c>
      <c r="AI183" t="s">
        <v>8028</v>
      </c>
      <c r="AJ183" t="s">
        <v>8029</v>
      </c>
      <c r="AM183" t="s">
        <v>8030</v>
      </c>
      <c r="AN183" t="s">
        <v>2046</v>
      </c>
      <c r="AO183" t="s">
        <v>8031</v>
      </c>
      <c r="AP183" t="s">
        <v>7024</v>
      </c>
      <c r="AT183" s="184"/>
      <c r="AW183" s="184"/>
      <c r="AZ183" s="184"/>
      <c r="BP183" s="184"/>
    </row>
    <row r="184" spans="1:68">
      <c r="A184">
        <v>472464</v>
      </c>
      <c r="B184">
        <v>472464</v>
      </c>
      <c r="C184" t="s">
        <v>7018</v>
      </c>
      <c r="E184" s="184"/>
      <c r="G184" s="184"/>
      <c r="J184" t="s">
        <v>595</v>
      </c>
      <c r="K184" s="184">
        <v>45243</v>
      </c>
      <c r="P184" t="s">
        <v>7084</v>
      </c>
      <c r="Q184" t="s">
        <v>7774</v>
      </c>
      <c r="R184" s="184">
        <v>13531</v>
      </c>
      <c r="S184">
        <v>87</v>
      </c>
      <c r="U184" t="s">
        <v>7076</v>
      </c>
      <c r="V184" t="s">
        <v>3510</v>
      </c>
      <c r="W184" t="s">
        <v>2049</v>
      </c>
      <c r="X184" t="s">
        <v>8036</v>
      </c>
      <c r="AF184" t="s">
        <v>8037</v>
      </c>
      <c r="AG184" t="s">
        <v>3510</v>
      </c>
      <c r="AI184" t="s">
        <v>8038</v>
      </c>
      <c r="AM184" t="s">
        <v>8039</v>
      </c>
      <c r="AN184" t="s">
        <v>2077</v>
      </c>
      <c r="AO184" t="s">
        <v>8040</v>
      </c>
      <c r="AP184" t="s">
        <v>7024</v>
      </c>
      <c r="AQ184" t="s">
        <v>8041</v>
      </c>
      <c r="AR184" t="s">
        <v>8042</v>
      </c>
      <c r="AT184" s="184">
        <v>30656</v>
      </c>
      <c r="AU184" t="s">
        <v>7073</v>
      </c>
      <c r="AV184">
        <v>50</v>
      </c>
      <c r="AW184" s="184">
        <v>45348</v>
      </c>
      <c r="AX184" t="s">
        <v>7296</v>
      </c>
      <c r="AY184">
        <v>55336.07</v>
      </c>
      <c r="AZ184" s="184">
        <v>45348</v>
      </c>
      <c r="BA184" t="s">
        <v>7296</v>
      </c>
      <c r="BB184">
        <v>55336.07</v>
      </c>
      <c r="BC184">
        <v>77</v>
      </c>
      <c r="BD184">
        <v>141987.07999999999</v>
      </c>
      <c r="BE184">
        <v>1984</v>
      </c>
      <c r="BF184">
        <v>40</v>
      </c>
      <c r="BG184">
        <v>2</v>
      </c>
      <c r="BH184">
        <v>109043.08</v>
      </c>
      <c r="BI184">
        <v>32</v>
      </c>
      <c r="BJ184">
        <v>42</v>
      </c>
      <c r="BK184">
        <v>24</v>
      </c>
      <c r="BO184" t="s">
        <v>595</v>
      </c>
      <c r="BP184" s="184">
        <v>45202</v>
      </c>
    </row>
    <row r="185" spans="1:68">
      <c r="A185">
        <v>473645</v>
      </c>
      <c r="B185">
        <v>473645</v>
      </c>
      <c r="C185" t="s">
        <v>7018</v>
      </c>
      <c r="E185" s="184"/>
      <c r="G185" s="184"/>
      <c r="J185" t="s">
        <v>595</v>
      </c>
      <c r="K185" s="184">
        <v>37435</v>
      </c>
      <c r="P185" t="s">
        <v>7045</v>
      </c>
      <c r="Q185" t="s">
        <v>7030</v>
      </c>
      <c r="R185" s="184">
        <v>18300</v>
      </c>
      <c r="S185">
        <v>74</v>
      </c>
      <c r="U185" t="s">
        <v>7031</v>
      </c>
      <c r="V185" t="s">
        <v>5905</v>
      </c>
      <c r="W185" t="s">
        <v>7356</v>
      </c>
      <c r="X185" t="s">
        <v>8043</v>
      </c>
      <c r="AF185" t="s">
        <v>6630</v>
      </c>
      <c r="AG185" t="s">
        <v>5905</v>
      </c>
      <c r="AI185" t="s">
        <v>8044</v>
      </c>
      <c r="AM185" t="s">
        <v>3010</v>
      </c>
      <c r="AN185" t="s">
        <v>2094</v>
      </c>
      <c r="AO185">
        <v>80226</v>
      </c>
      <c r="AP185" t="s">
        <v>7024</v>
      </c>
      <c r="AT185" s="184">
        <v>30704</v>
      </c>
      <c r="AU185" t="s">
        <v>7073</v>
      </c>
      <c r="AV185">
        <v>13</v>
      </c>
      <c r="AW185" s="184">
        <v>35747</v>
      </c>
      <c r="AX185" t="s">
        <v>8045</v>
      </c>
      <c r="AY185">
        <v>25</v>
      </c>
      <c r="AZ185" s="184">
        <v>35747</v>
      </c>
      <c r="BA185" t="s">
        <v>8045</v>
      </c>
      <c r="BB185">
        <v>25</v>
      </c>
      <c r="BC185">
        <v>32</v>
      </c>
      <c r="BD185">
        <v>326</v>
      </c>
      <c r="BE185">
        <v>1984</v>
      </c>
      <c r="BF185">
        <v>15</v>
      </c>
      <c r="BI185">
        <v>13</v>
      </c>
      <c r="BJ185">
        <v>41</v>
      </c>
      <c r="BK185">
        <v>7</v>
      </c>
      <c r="BP185" s="184"/>
    </row>
    <row r="186" spans="1:68">
      <c r="A186">
        <v>474445</v>
      </c>
      <c r="B186">
        <v>474445</v>
      </c>
      <c r="C186" t="s">
        <v>7018</v>
      </c>
      <c r="D186" t="s">
        <v>595</v>
      </c>
      <c r="E186" s="184">
        <v>43640</v>
      </c>
      <c r="G186" s="184"/>
      <c r="K186" s="184"/>
      <c r="P186" t="s">
        <v>7045</v>
      </c>
      <c r="Q186" t="s">
        <v>7030</v>
      </c>
      <c r="R186" s="184">
        <v>13150</v>
      </c>
      <c r="S186">
        <v>88</v>
      </c>
      <c r="U186" t="s">
        <v>8046</v>
      </c>
      <c r="V186" t="s">
        <v>2612</v>
      </c>
      <c r="X186" t="s">
        <v>2967</v>
      </c>
      <c r="AF186" t="s">
        <v>8047</v>
      </c>
      <c r="AG186" t="s">
        <v>2612</v>
      </c>
      <c r="AI186" t="s">
        <v>8048</v>
      </c>
      <c r="AM186" t="s">
        <v>2968</v>
      </c>
      <c r="AN186" t="s">
        <v>2094</v>
      </c>
      <c r="AO186" t="s">
        <v>8049</v>
      </c>
      <c r="AP186" t="s">
        <v>7024</v>
      </c>
      <c r="AQ186" t="s">
        <v>8050</v>
      </c>
      <c r="AT186" s="184">
        <v>30671</v>
      </c>
      <c r="AU186" t="s">
        <v>7073</v>
      </c>
      <c r="AV186">
        <v>13</v>
      </c>
      <c r="AW186" s="184">
        <v>45398</v>
      </c>
      <c r="AX186" t="s">
        <v>8051</v>
      </c>
      <c r="AY186">
        <v>100</v>
      </c>
      <c r="AZ186" s="184">
        <v>45398</v>
      </c>
      <c r="BA186" t="s">
        <v>8051</v>
      </c>
      <c r="BB186">
        <v>100</v>
      </c>
      <c r="BC186">
        <v>70</v>
      </c>
      <c r="BD186">
        <v>1256</v>
      </c>
      <c r="BE186">
        <v>1984</v>
      </c>
      <c r="BF186">
        <v>32</v>
      </c>
      <c r="BG186">
        <v>3</v>
      </c>
      <c r="BH186">
        <v>225</v>
      </c>
      <c r="BI186">
        <v>29</v>
      </c>
      <c r="BJ186">
        <v>42</v>
      </c>
      <c r="BK186">
        <v>9</v>
      </c>
    </row>
    <row r="187" spans="1:68">
      <c r="A187">
        <v>477653</v>
      </c>
      <c r="B187">
        <v>477653</v>
      </c>
      <c r="C187" t="s">
        <v>7018</v>
      </c>
      <c r="E187" s="184"/>
      <c r="F187" t="s">
        <v>595</v>
      </c>
      <c r="G187" s="184">
        <v>43647</v>
      </c>
      <c r="K187" s="184"/>
      <c r="P187" t="s">
        <v>7045</v>
      </c>
      <c r="Q187" t="s">
        <v>7030</v>
      </c>
      <c r="R187" s="184">
        <v>17462</v>
      </c>
      <c r="S187">
        <v>76</v>
      </c>
      <c r="V187" t="s">
        <v>3317</v>
      </c>
      <c r="X187" t="s">
        <v>3396</v>
      </c>
      <c r="Z187">
        <v>100008327</v>
      </c>
      <c r="AA187" t="s">
        <v>7031</v>
      </c>
      <c r="AB187" t="s">
        <v>3247</v>
      </c>
      <c r="AC187" t="s">
        <v>3522</v>
      </c>
      <c r="AD187" t="s">
        <v>3396</v>
      </c>
      <c r="AF187" t="s">
        <v>8052</v>
      </c>
      <c r="AG187" t="s">
        <v>8053</v>
      </c>
      <c r="AI187" t="s">
        <v>8054</v>
      </c>
      <c r="AM187" t="s">
        <v>3397</v>
      </c>
      <c r="AN187" t="s">
        <v>2094</v>
      </c>
      <c r="AO187" t="s">
        <v>8055</v>
      </c>
      <c r="AP187" t="s">
        <v>7024</v>
      </c>
      <c r="AQ187" t="s">
        <v>8056</v>
      </c>
      <c r="AT187" s="184">
        <v>30679</v>
      </c>
      <c r="AU187" t="s">
        <v>7771</v>
      </c>
      <c r="AV187">
        <v>10</v>
      </c>
      <c r="AW187" s="184">
        <v>44973</v>
      </c>
      <c r="AX187" t="s">
        <v>8057</v>
      </c>
      <c r="AY187">
        <v>200</v>
      </c>
      <c r="AZ187" s="184">
        <v>44973</v>
      </c>
      <c r="BA187" t="s">
        <v>8057</v>
      </c>
      <c r="BB187">
        <v>200</v>
      </c>
      <c r="BC187">
        <v>58</v>
      </c>
      <c r="BD187">
        <v>1516</v>
      </c>
      <c r="BE187">
        <v>1984</v>
      </c>
      <c r="BF187">
        <v>41</v>
      </c>
      <c r="BG187">
        <v>1</v>
      </c>
      <c r="BH187">
        <v>200</v>
      </c>
      <c r="BI187">
        <v>24</v>
      </c>
      <c r="BJ187">
        <v>42</v>
      </c>
      <c r="BK187">
        <v>8</v>
      </c>
      <c r="BN187" t="s">
        <v>595</v>
      </c>
      <c r="BP187" s="184"/>
    </row>
    <row r="188" spans="1:68">
      <c r="A188">
        <v>100008327</v>
      </c>
      <c r="B188">
        <v>477653</v>
      </c>
      <c r="C188" t="s">
        <v>7018</v>
      </c>
      <c r="E188" s="184"/>
      <c r="F188" t="s">
        <v>595</v>
      </c>
      <c r="G188" s="184">
        <v>43647</v>
      </c>
      <c r="K188" s="184"/>
      <c r="O188" s="184"/>
      <c r="P188" t="s">
        <v>7045</v>
      </c>
      <c r="Q188" t="s">
        <v>7030</v>
      </c>
      <c r="R188" s="184">
        <v>17168</v>
      </c>
      <c r="S188">
        <v>77</v>
      </c>
      <c r="U188" t="s">
        <v>7031</v>
      </c>
      <c r="V188" t="s">
        <v>3247</v>
      </c>
      <c r="W188" t="s">
        <v>3522</v>
      </c>
      <c r="X188" t="s">
        <v>3396</v>
      </c>
      <c r="Z188">
        <v>477653</v>
      </c>
      <c r="AB188" t="s">
        <v>3317</v>
      </c>
      <c r="AD188" t="s">
        <v>3396</v>
      </c>
      <c r="AF188" t="s">
        <v>8052</v>
      </c>
      <c r="AG188" t="s">
        <v>8053</v>
      </c>
      <c r="AI188" t="s">
        <v>8054</v>
      </c>
      <c r="AM188" t="s">
        <v>3397</v>
      </c>
      <c r="AN188" t="s">
        <v>2094</v>
      </c>
      <c r="AO188" t="s">
        <v>8055</v>
      </c>
      <c r="AP188" t="s">
        <v>7024</v>
      </c>
      <c r="AQ188" t="s">
        <v>8058</v>
      </c>
      <c r="AT188" s="184"/>
      <c r="AW188" s="184"/>
      <c r="AZ188" s="184"/>
    </row>
    <row r="189" spans="1:68">
      <c r="A189">
        <v>479600</v>
      </c>
      <c r="B189">
        <v>479600</v>
      </c>
      <c r="C189" t="s">
        <v>7018</v>
      </c>
      <c r="E189" s="184"/>
      <c r="G189" s="184"/>
      <c r="J189" t="s">
        <v>595</v>
      </c>
      <c r="K189" s="184">
        <v>43494</v>
      </c>
      <c r="O189" s="184"/>
      <c r="P189" t="s">
        <v>7084</v>
      </c>
      <c r="Q189" t="s">
        <v>7030</v>
      </c>
      <c r="R189" s="184">
        <v>16988</v>
      </c>
      <c r="S189">
        <v>77</v>
      </c>
      <c r="U189" t="s">
        <v>7031</v>
      </c>
      <c r="V189" t="s">
        <v>2541</v>
      </c>
      <c r="W189" t="s">
        <v>3951</v>
      </c>
      <c r="X189" t="s">
        <v>2636</v>
      </c>
      <c r="Z189">
        <v>100008336</v>
      </c>
      <c r="AA189" t="s">
        <v>7130</v>
      </c>
      <c r="AB189" t="s">
        <v>2733</v>
      </c>
      <c r="AC189" t="s">
        <v>7107</v>
      </c>
      <c r="AD189" t="s">
        <v>2636</v>
      </c>
      <c r="AF189" t="s">
        <v>8059</v>
      </c>
      <c r="AG189" t="s">
        <v>8060</v>
      </c>
      <c r="AI189" t="s">
        <v>8061</v>
      </c>
      <c r="AJ189" t="s">
        <v>8062</v>
      </c>
      <c r="AM189" t="s">
        <v>2637</v>
      </c>
      <c r="AN189" t="s">
        <v>2638</v>
      </c>
      <c r="AO189" t="s">
        <v>8063</v>
      </c>
      <c r="AP189" t="s">
        <v>7024</v>
      </c>
      <c r="AQ189" t="s">
        <v>8064</v>
      </c>
      <c r="AT189" s="184">
        <v>30596</v>
      </c>
      <c r="AU189" t="s">
        <v>7485</v>
      </c>
      <c r="AV189">
        <v>18</v>
      </c>
      <c r="AW189" s="184">
        <v>45291</v>
      </c>
      <c r="AX189" t="s">
        <v>8065</v>
      </c>
      <c r="AY189">
        <v>7500</v>
      </c>
      <c r="AZ189" s="184">
        <v>45291</v>
      </c>
      <c r="BA189" t="s">
        <v>8065</v>
      </c>
      <c r="BB189">
        <v>7500</v>
      </c>
      <c r="BC189">
        <v>81</v>
      </c>
      <c r="BD189">
        <v>131141</v>
      </c>
      <c r="BE189">
        <v>1984</v>
      </c>
      <c r="BF189">
        <v>58</v>
      </c>
      <c r="BG189">
        <v>6</v>
      </c>
      <c r="BH189">
        <v>25050</v>
      </c>
      <c r="BI189">
        <v>34</v>
      </c>
      <c r="BJ189">
        <v>42</v>
      </c>
      <c r="BK189">
        <v>22</v>
      </c>
      <c r="BP189" s="184"/>
    </row>
    <row r="190" spans="1:68">
      <c r="A190">
        <v>100008336</v>
      </c>
      <c r="B190">
        <v>479600</v>
      </c>
      <c r="C190" t="s">
        <v>7018</v>
      </c>
      <c r="E190" s="184"/>
      <c r="J190" t="s">
        <v>595</v>
      </c>
      <c r="K190" s="184">
        <v>43494</v>
      </c>
      <c r="O190" s="184"/>
      <c r="P190" t="s">
        <v>7084</v>
      </c>
      <c r="Q190" t="s">
        <v>7030</v>
      </c>
      <c r="R190" s="184">
        <v>16984</v>
      </c>
      <c r="S190">
        <v>77</v>
      </c>
      <c r="U190" t="s">
        <v>7130</v>
      </c>
      <c r="V190" t="s">
        <v>2733</v>
      </c>
      <c r="W190" t="s">
        <v>7107</v>
      </c>
      <c r="X190" t="s">
        <v>2636</v>
      </c>
      <c r="Z190">
        <v>479600</v>
      </c>
      <c r="AA190" t="s">
        <v>7031</v>
      </c>
      <c r="AB190" t="s">
        <v>2541</v>
      </c>
      <c r="AC190" t="s">
        <v>3951</v>
      </c>
      <c r="AD190" t="s">
        <v>2636</v>
      </c>
      <c r="AF190" t="s">
        <v>8059</v>
      </c>
      <c r="AG190" t="s">
        <v>8060</v>
      </c>
      <c r="AI190" t="s">
        <v>8061</v>
      </c>
      <c r="AJ190" t="s">
        <v>8062</v>
      </c>
      <c r="AM190" t="s">
        <v>2637</v>
      </c>
      <c r="AN190" t="s">
        <v>2638</v>
      </c>
      <c r="AO190" t="s">
        <v>8063</v>
      </c>
      <c r="AP190" t="s">
        <v>7024</v>
      </c>
      <c r="AT190" s="184"/>
      <c r="AW190" s="184"/>
      <c r="AZ190" s="184"/>
      <c r="BP190" s="184"/>
    </row>
    <row r="191" spans="1:68">
      <c r="A191">
        <v>479733</v>
      </c>
      <c r="B191">
        <v>479733</v>
      </c>
      <c r="C191" t="s">
        <v>7018</v>
      </c>
      <c r="E191" s="184"/>
      <c r="J191" t="s">
        <v>595</v>
      </c>
      <c r="K191" s="184">
        <v>44119</v>
      </c>
      <c r="O191" s="184"/>
      <c r="P191" t="s">
        <v>7045</v>
      </c>
      <c r="Q191" t="s">
        <v>7774</v>
      </c>
      <c r="R191" s="184">
        <v>12014</v>
      </c>
      <c r="S191">
        <v>91</v>
      </c>
      <c r="U191" t="s">
        <v>7031</v>
      </c>
      <c r="V191" t="s">
        <v>2889</v>
      </c>
      <c r="W191" t="s">
        <v>3332</v>
      </c>
      <c r="X191" t="s">
        <v>8066</v>
      </c>
      <c r="AF191" t="s">
        <v>8067</v>
      </c>
      <c r="AG191" t="s">
        <v>2889</v>
      </c>
      <c r="AI191" t="s">
        <v>8068</v>
      </c>
      <c r="AM191" t="s">
        <v>3690</v>
      </c>
      <c r="AN191" t="s">
        <v>2077</v>
      </c>
      <c r="AO191" t="s">
        <v>8069</v>
      </c>
      <c r="AP191" t="s">
        <v>7024</v>
      </c>
      <c r="AQ191" t="s">
        <v>8070</v>
      </c>
      <c r="AR191" t="s">
        <v>8071</v>
      </c>
      <c r="AT191" s="184">
        <v>30824</v>
      </c>
      <c r="AU191" t="s">
        <v>8072</v>
      </c>
      <c r="AV191">
        <v>18</v>
      </c>
      <c r="AW191" s="184">
        <v>45420</v>
      </c>
      <c r="AX191" t="s">
        <v>8073</v>
      </c>
      <c r="AY191">
        <v>21</v>
      </c>
      <c r="AZ191" s="184">
        <v>35956</v>
      </c>
      <c r="BA191" t="s">
        <v>8074</v>
      </c>
      <c r="BB191">
        <v>27</v>
      </c>
      <c r="BC191">
        <v>100</v>
      </c>
      <c r="BD191">
        <v>1661.6</v>
      </c>
      <c r="BE191">
        <v>1984</v>
      </c>
      <c r="BF191">
        <v>80</v>
      </c>
      <c r="BG191">
        <v>11</v>
      </c>
      <c r="BH191">
        <v>238.6</v>
      </c>
      <c r="BI191">
        <v>41</v>
      </c>
      <c r="BJ191">
        <v>41</v>
      </c>
      <c r="BK191">
        <v>41</v>
      </c>
      <c r="BP191" s="184"/>
    </row>
    <row r="192" spans="1:68">
      <c r="A192">
        <v>480053</v>
      </c>
      <c r="B192">
        <v>480053</v>
      </c>
      <c r="C192" t="s">
        <v>7018</v>
      </c>
      <c r="E192" s="184"/>
      <c r="G192" s="184"/>
      <c r="J192" t="s">
        <v>595</v>
      </c>
      <c r="K192" s="184">
        <v>44603</v>
      </c>
      <c r="N192" t="s">
        <v>595</v>
      </c>
      <c r="O192" s="184">
        <v>42284</v>
      </c>
      <c r="P192" t="s">
        <v>7029</v>
      </c>
      <c r="Q192" t="s">
        <v>7774</v>
      </c>
      <c r="R192" s="184">
        <v>18496</v>
      </c>
      <c r="S192">
        <v>73</v>
      </c>
      <c r="V192" t="s">
        <v>7375</v>
      </c>
      <c r="W192" t="s">
        <v>4013</v>
      </c>
      <c r="X192" t="s">
        <v>8075</v>
      </c>
      <c r="Z192">
        <v>100179336</v>
      </c>
      <c r="AA192" t="s">
        <v>7031</v>
      </c>
      <c r="AB192" t="s">
        <v>2851</v>
      </c>
      <c r="AC192" t="s">
        <v>7356</v>
      </c>
      <c r="AD192" t="s">
        <v>8075</v>
      </c>
      <c r="AE192" t="s">
        <v>7327</v>
      </c>
      <c r="AF192" t="s">
        <v>8076</v>
      </c>
      <c r="AG192" t="s">
        <v>5990</v>
      </c>
      <c r="AI192" t="s">
        <v>8077</v>
      </c>
      <c r="AM192" t="s">
        <v>8078</v>
      </c>
      <c r="AN192" t="s">
        <v>2972</v>
      </c>
      <c r="AO192" t="s">
        <v>8079</v>
      </c>
      <c r="AP192" t="s">
        <v>7024</v>
      </c>
      <c r="AQ192" t="s">
        <v>8080</v>
      </c>
      <c r="AR192" t="s">
        <v>8081</v>
      </c>
      <c r="AT192" s="184">
        <v>30887</v>
      </c>
      <c r="AU192" t="s">
        <v>7073</v>
      </c>
      <c r="AV192">
        <v>18</v>
      </c>
      <c r="AW192" s="184">
        <v>45344</v>
      </c>
      <c r="AX192" t="s">
        <v>7302</v>
      </c>
      <c r="AY192">
        <v>1000</v>
      </c>
      <c r="AZ192" s="184">
        <v>45344</v>
      </c>
      <c r="BA192" t="s">
        <v>7302</v>
      </c>
      <c r="BB192">
        <v>1000</v>
      </c>
      <c r="BC192">
        <v>74</v>
      </c>
      <c r="BD192">
        <v>10975.5</v>
      </c>
      <c r="BE192">
        <v>1985</v>
      </c>
      <c r="BF192">
        <v>58</v>
      </c>
      <c r="BG192">
        <v>5</v>
      </c>
      <c r="BH192">
        <v>3500</v>
      </c>
      <c r="BI192">
        <v>30</v>
      </c>
      <c r="BJ192">
        <v>41</v>
      </c>
      <c r="BK192">
        <v>7</v>
      </c>
      <c r="BN192" t="s">
        <v>595</v>
      </c>
      <c r="BP192" s="184"/>
    </row>
    <row r="193" spans="1:68">
      <c r="A193">
        <v>100179336</v>
      </c>
      <c r="B193">
        <v>480053</v>
      </c>
      <c r="C193" t="s">
        <v>7018</v>
      </c>
      <c r="E193" s="184"/>
      <c r="J193" t="s">
        <v>595</v>
      </c>
      <c r="K193" s="184">
        <v>44603</v>
      </c>
      <c r="O193" s="184"/>
      <c r="P193" t="s">
        <v>7029</v>
      </c>
      <c r="Q193" t="s">
        <v>7774</v>
      </c>
      <c r="R193" s="184">
        <v>12451</v>
      </c>
      <c r="S193">
        <v>90</v>
      </c>
      <c r="U193" t="s">
        <v>7031</v>
      </c>
      <c r="V193" t="s">
        <v>2851</v>
      </c>
      <c r="W193" t="s">
        <v>7356</v>
      </c>
      <c r="X193" t="s">
        <v>8075</v>
      </c>
      <c r="Y193" t="s">
        <v>7327</v>
      </c>
      <c r="Z193">
        <v>480053</v>
      </c>
      <c r="AB193" t="s">
        <v>7375</v>
      </c>
      <c r="AC193" t="s">
        <v>4013</v>
      </c>
      <c r="AD193" t="s">
        <v>8075</v>
      </c>
      <c r="AF193" t="s">
        <v>8076</v>
      </c>
      <c r="AG193" t="s">
        <v>5990</v>
      </c>
      <c r="AI193" t="s">
        <v>8077</v>
      </c>
      <c r="AM193" t="s">
        <v>8078</v>
      </c>
      <c r="AN193" t="s">
        <v>2972</v>
      </c>
      <c r="AO193" t="s">
        <v>8079</v>
      </c>
      <c r="AP193" t="s">
        <v>7024</v>
      </c>
      <c r="AT193" s="184"/>
      <c r="AW193" s="184"/>
      <c r="AZ193" s="184"/>
      <c r="BO193" t="s">
        <v>595</v>
      </c>
      <c r="BP193" s="184">
        <v>39004</v>
      </c>
    </row>
    <row r="194" spans="1:68">
      <c r="A194">
        <v>480475</v>
      </c>
      <c r="B194">
        <v>480475</v>
      </c>
      <c r="C194" t="s">
        <v>7018</v>
      </c>
      <c r="D194" t="s">
        <v>595</v>
      </c>
      <c r="E194" s="184">
        <v>44070</v>
      </c>
      <c r="K194" s="184"/>
      <c r="P194" t="s">
        <v>7045</v>
      </c>
      <c r="Q194" t="s">
        <v>7774</v>
      </c>
      <c r="R194" s="184">
        <v>12359</v>
      </c>
      <c r="S194">
        <v>90</v>
      </c>
      <c r="U194" t="s">
        <v>7031</v>
      </c>
      <c r="V194" t="s">
        <v>3689</v>
      </c>
      <c r="W194" t="s">
        <v>3226</v>
      </c>
      <c r="X194" t="s">
        <v>8082</v>
      </c>
      <c r="Z194">
        <v>100008340</v>
      </c>
      <c r="AA194" t="s">
        <v>7130</v>
      </c>
      <c r="AB194" t="s">
        <v>3304</v>
      </c>
      <c r="AD194" t="s">
        <v>8082</v>
      </c>
      <c r="AF194" t="s">
        <v>8083</v>
      </c>
      <c r="AG194" t="s">
        <v>8084</v>
      </c>
      <c r="AI194" t="s">
        <v>8085</v>
      </c>
      <c r="AM194" t="s">
        <v>8086</v>
      </c>
      <c r="AN194" t="s">
        <v>2972</v>
      </c>
      <c r="AO194" t="s">
        <v>8087</v>
      </c>
      <c r="AP194" t="s">
        <v>7024</v>
      </c>
      <c r="AQ194" t="s">
        <v>8088</v>
      </c>
      <c r="AR194" t="s">
        <v>8089</v>
      </c>
      <c r="AT194" s="184">
        <v>30620</v>
      </c>
      <c r="AU194" t="s">
        <v>7073</v>
      </c>
      <c r="AV194">
        <v>25</v>
      </c>
      <c r="AW194" s="184">
        <v>45155</v>
      </c>
      <c r="AX194" t="s">
        <v>7245</v>
      </c>
      <c r="AY194">
        <v>50</v>
      </c>
      <c r="AZ194" s="184">
        <v>43777</v>
      </c>
      <c r="BA194" t="s">
        <v>8090</v>
      </c>
      <c r="BB194">
        <v>100</v>
      </c>
      <c r="BC194">
        <v>86</v>
      </c>
      <c r="BD194">
        <v>2122</v>
      </c>
      <c r="BE194">
        <v>1984</v>
      </c>
      <c r="BF194">
        <v>66</v>
      </c>
      <c r="BG194">
        <v>2</v>
      </c>
      <c r="BH194">
        <v>100</v>
      </c>
      <c r="BI194">
        <v>36</v>
      </c>
      <c r="BJ194">
        <v>42</v>
      </c>
      <c r="BK194">
        <v>16</v>
      </c>
      <c r="BP194" s="184"/>
    </row>
    <row r="195" spans="1:68">
      <c r="A195">
        <v>100008340</v>
      </c>
      <c r="B195">
        <v>480475</v>
      </c>
      <c r="C195" t="s">
        <v>7018</v>
      </c>
      <c r="D195" t="s">
        <v>595</v>
      </c>
      <c r="E195" s="184">
        <v>44070</v>
      </c>
      <c r="K195" s="184"/>
      <c r="P195" t="s">
        <v>7045</v>
      </c>
      <c r="Q195" t="s">
        <v>7774</v>
      </c>
      <c r="R195" s="184">
        <v>15919</v>
      </c>
      <c r="S195">
        <v>80</v>
      </c>
      <c r="U195" t="s">
        <v>7130</v>
      </c>
      <c r="V195" t="s">
        <v>3304</v>
      </c>
      <c r="X195" t="s">
        <v>8082</v>
      </c>
      <c r="Z195">
        <v>480475</v>
      </c>
      <c r="AA195" t="s">
        <v>7031</v>
      </c>
      <c r="AB195" t="s">
        <v>3689</v>
      </c>
      <c r="AC195" t="s">
        <v>3226</v>
      </c>
      <c r="AD195" t="s">
        <v>8082</v>
      </c>
      <c r="AF195" t="s">
        <v>8083</v>
      </c>
      <c r="AG195" t="s">
        <v>8084</v>
      </c>
      <c r="AI195" t="s">
        <v>8085</v>
      </c>
      <c r="AM195" t="s">
        <v>8086</v>
      </c>
      <c r="AN195" t="s">
        <v>2972</v>
      </c>
      <c r="AO195" t="s">
        <v>8087</v>
      </c>
      <c r="AP195" t="s">
        <v>7024</v>
      </c>
      <c r="AQ195" t="s">
        <v>8091</v>
      </c>
      <c r="AR195" t="s">
        <v>8092</v>
      </c>
      <c r="AT195" s="184"/>
      <c r="AW195" s="184"/>
      <c r="AZ195" s="184"/>
      <c r="BP195" s="184"/>
    </row>
    <row r="196" spans="1:68">
      <c r="A196">
        <v>481556</v>
      </c>
      <c r="B196">
        <v>481556</v>
      </c>
      <c r="C196" t="s">
        <v>7018</v>
      </c>
      <c r="E196" s="184"/>
      <c r="G196" s="184"/>
      <c r="J196" t="s">
        <v>595</v>
      </c>
      <c r="K196" s="184">
        <v>37203</v>
      </c>
      <c r="P196" t="s">
        <v>7084</v>
      </c>
      <c r="Q196" t="s">
        <v>7774</v>
      </c>
      <c r="R196" s="184">
        <v>9259</v>
      </c>
      <c r="S196">
        <v>99</v>
      </c>
      <c r="U196" t="s">
        <v>7031</v>
      </c>
      <c r="V196" t="s">
        <v>4716</v>
      </c>
      <c r="X196" t="s">
        <v>5306</v>
      </c>
      <c r="AF196" t="s">
        <v>8093</v>
      </c>
      <c r="AG196" t="s">
        <v>4716</v>
      </c>
      <c r="AI196" t="s">
        <v>8094</v>
      </c>
      <c r="AJ196" t="s">
        <v>8095</v>
      </c>
      <c r="AM196" t="s">
        <v>3318</v>
      </c>
      <c r="AN196" t="s">
        <v>2972</v>
      </c>
      <c r="AO196" t="s">
        <v>8096</v>
      </c>
      <c r="AP196" t="s">
        <v>7024</v>
      </c>
      <c r="AT196" s="184">
        <v>30595</v>
      </c>
      <c r="AU196" t="s">
        <v>7308</v>
      </c>
      <c r="AV196">
        <v>500</v>
      </c>
      <c r="AW196" s="184">
        <v>45215</v>
      </c>
      <c r="AX196" t="s">
        <v>7296</v>
      </c>
      <c r="AY196">
        <v>21616.84</v>
      </c>
      <c r="AZ196" s="184">
        <v>44823</v>
      </c>
      <c r="BA196" t="s">
        <v>7721</v>
      </c>
      <c r="BB196">
        <v>200000</v>
      </c>
      <c r="BC196">
        <v>96</v>
      </c>
      <c r="BD196">
        <v>2001539.52</v>
      </c>
      <c r="BE196">
        <v>1984</v>
      </c>
      <c r="BF196">
        <v>49</v>
      </c>
      <c r="BG196">
        <v>3</v>
      </c>
      <c r="BH196">
        <v>255414.52</v>
      </c>
      <c r="BI196">
        <v>40</v>
      </c>
      <c r="BJ196">
        <v>42</v>
      </c>
      <c r="BK196">
        <v>39</v>
      </c>
      <c r="BO196" t="s">
        <v>595</v>
      </c>
      <c r="BP196" s="184">
        <v>44711</v>
      </c>
    </row>
    <row r="197" spans="1:68">
      <c r="A197">
        <v>483198</v>
      </c>
      <c r="B197">
        <v>483198</v>
      </c>
      <c r="C197" t="s">
        <v>7018</v>
      </c>
      <c r="D197" t="s">
        <v>595</v>
      </c>
      <c r="E197" s="184">
        <v>44104</v>
      </c>
      <c r="G197" s="184"/>
      <c r="K197" s="184"/>
      <c r="P197" t="s">
        <v>7045</v>
      </c>
      <c r="Q197" t="s">
        <v>7494</v>
      </c>
      <c r="R197" s="184">
        <v>18466</v>
      </c>
      <c r="S197">
        <v>73</v>
      </c>
      <c r="U197" t="s">
        <v>7031</v>
      </c>
      <c r="V197" t="s">
        <v>8097</v>
      </c>
      <c r="W197" t="s">
        <v>3134</v>
      </c>
      <c r="X197" t="s">
        <v>4363</v>
      </c>
      <c r="Z197">
        <v>100008360</v>
      </c>
      <c r="AB197" t="s">
        <v>2602</v>
      </c>
      <c r="AD197" t="s">
        <v>4363</v>
      </c>
      <c r="AF197" t="s">
        <v>8098</v>
      </c>
      <c r="AG197" t="s">
        <v>8099</v>
      </c>
      <c r="AI197" t="s">
        <v>8100</v>
      </c>
      <c r="AM197" t="s">
        <v>2582</v>
      </c>
      <c r="AN197" t="s">
        <v>2174</v>
      </c>
      <c r="AO197" t="s">
        <v>8101</v>
      </c>
      <c r="AP197" t="s">
        <v>7024</v>
      </c>
      <c r="AQ197" t="s">
        <v>8102</v>
      </c>
      <c r="AT197" s="184">
        <v>30953</v>
      </c>
      <c r="AU197" t="s">
        <v>8103</v>
      </c>
      <c r="AV197">
        <v>18</v>
      </c>
      <c r="AW197" s="184">
        <v>45188</v>
      </c>
      <c r="AX197" t="s">
        <v>8104</v>
      </c>
      <c r="AY197">
        <v>115</v>
      </c>
      <c r="AZ197" s="184">
        <v>45188</v>
      </c>
      <c r="BA197" t="s">
        <v>8104</v>
      </c>
      <c r="BB197">
        <v>115</v>
      </c>
      <c r="BC197">
        <v>91</v>
      </c>
      <c r="BD197">
        <v>3727.75</v>
      </c>
      <c r="BE197">
        <v>1985</v>
      </c>
      <c r="BF197">
        <v>77</v>
      </c>
      <c r="BG197">
        <v>4</v>
      </c>
      <c r="BH197">
        <v>460</v>
      </c>
      <c r="BI197">
        <v>37</v>
      </c>
      <c r="BJ197">
        <v>41</v>
      </c>
      <c r="BK197">
        <v>17</v>
      </c>
      <c r="BP197" s="184"/>
    </row>
    <row r="198" spans="1:68">
      <c r="A198">
        <v>100008360</v>
      </c>
      <c r="B198">
        <v>483198</v>
      </c>
      <c r="C198" t="s">
        <v>7018</v>
      </c>
      <c r="D198" t="s">
        <v>595</v>
      </c>
      <c r="E198" s="184">
        <v>44104</v>
      </c>
      <c r="G198" s="184"/>
      <c r="O198" s="184"/>
      <c r="P198" t="s">
        <v>7045</v>
      </c>
      <c r="Q198" t="s">
        <v>7494</v>
      </c>
      <c r="R198" s="184">
        <v>18356</v>
      </c>
      <c r="S198">
        <v>74</v>
      </c>
      <c r="V198" t="s">
        <v>2602</v>
      </c>
      <c r="X198" t="s">
        <v>4363</v>
      </c>
      <c r="Z198">
        <v>483198</v>
      </c>
      <c r="AA198" t="s">
        <v>7031</v>
      </c>
      <c r="AB198" t="s">
        <v>8097</v>
      </c>
      <c r="AC198" t="s">
        <v>3134</v>
      </c>
      <c r="AD198" t="s">
        <v>4363</v>
      </c>
      <c r="AF198" t="s">
        <v>8098</v>
      </c>
      <c r="AG198" t="s">
        <v>8099</v>
      </c>
      <c r="AI198" t="s">
        <v>8100</v>
      </c>
      <c r="AM198" t="s">
        <v>2582</v>
      </c>
      <c r="AN198" t="s">
        <v>2174</v>
      </c>
      <c r="AO198" t="s">
        <v>8101</v>
      </c>
      <c r="AP198" t="s">
        <v>7024</v>
      </c>
      <c r="AQ198" t="s">
        <v>8105</v>
      </c>
      <c r="AT198" s="184"/>
      <c r="AW198" s="184"/>
      <c r="AZ198" s="184"/>
      <c r="BP198" s="184"/>
    </row>
    <row r="199" spans="1:68">
      <c r="A199">
        <v>493361</v>
      </c>
      <c r="B199">
        <v>493361</v>
      </c>
      <c r="C199" t="s">
        <v>7018</v>
      </c>
      <c r="D199" t="s">
        <v>595</v>
      </c>
      <c r="E199" s="184">
        <v>43752</v>
      </c>
      <c r="G199" s="184"/>
      <c r="O199" s="184"/>
      <c r="P199" t="s">
        <v>7045</v>
      </c>
      <c r="Q199" t="s">
        <v>7030</v>
      </c>
      <c r="R199" s="184">
        <v>14690</v>
      </c>
      <c r="S199">
        <v>84</v>
      </c>
      <c r="U199" t="s">
        <v>7031</v>
      </c>
      <c r="V199" t="s">
        <v>4089</v>
      </c>
      <c r="W199" t="s">
        <v>2058</v>
      </c>
      <c r="X199" t="s">
        <v>4182</v>
      </c>
      <c r="AF199" t="s">
        <v>8106</v>
      </c>
      <c r="AG199" t="s">
        <v>4089</v>
      </c>
      <c r="AI199" t="s">
        <v>8107</v>
      </c>
      <c r="AM199" t="s">
        <v>4183</v>
      </c>
      <c r="AN199" t="s">
        <v>2089</v>
      </c>
      <c r="AO199" t="s">
        <v>8108</v>
      </c>
      <c r="AP199" t="s">
        <v>7024</v>
      </c>
      <c r="AQ199" t="s">
        <v>8109</v>
      </c>
      <c r="AR199" t="s">
        <v>8110</v>
      </c>
      <c r="AT199" s="184">
        <v>30511</v>
      </c>
      <c r="AU199" t="s">
        <v>8111</v>
      </c>
      <c r="AV199">
        <v>10</v>
      </c>
      <c r="AW199" s="184">
        <v>45317</v>
      </c>
      <c r="AX199" t="s">
        <v>8112</v>
      </c>
      <c r="AY199">
        <v>55</v>
      </c>
      <c r="AZ199" s="184">
        <v>39444</v>
      </c>
      <c r="BA199" t="s">
        <v>8113</v>
      </c>
      <c r="BB199">
        <v>100</v>
      </c>
      <c r="BC199">
        <v>86</v>
      </c>
      <c r="BD199">
        <v>2148.52</v>
      </c>
      <c r="BE199">
        <v>1984</v>
      </c>
      <c r="BF199">
        <v>63</v>
      </c>
      <c r="BG199">
        <v>2</v>
      </c>
      <c r="BH199">
        <v>98</v>
      </c>
      <c r="BI199">
        <v>36</v>
      </c>
      <c r="BJ199">
        <v>42</v>
      </c>
      <c r="BK199">
        <v>10</v>
      </c>
      <c r="BN199" t="s">
        <v>595</v>
      </c>
      <c r="BP199" s="184"/>
    </row>
    <row r="200" spans="1:68">
      <c r="A200">
        <v>496539</v>
      </c>
      <c r="B200">
        <v>496539</v>
      </c>
      <c r="C200" t="s">
        <v>7018</v>
      </c>
      <c r="D200" t="s">
        <v>595</v>
      </c>
      <c r="E200" s="184">
        <v>44167</v>
      </c>
      <c r="G200" s="184"/>
      <c r="K200" s="184"/>
      <c r="P200" t="s">
        <v>7045</v>
      </c>
      <c r="Q200" t="s">
        <v>7030</v>
      </c>
      <c r="R200" s="184">
        <v>19146</v>
      </c>
      <c r="S200">
        <v>71</v>
      </c>
      <c r="V200" t="s">
        <v>3527</v>
      </c>
      <c r="X200" t="s">
        <v>8114</v>
      </c>
      <c r="AF200" t="s">
        <v>8115</v>
      </c>
      <c r="AG200" t="s">
        <v>3527</v>
      </c>
      <c r="AI200" t="s">
        <v>8116</v>
      </c>
      <c r="AM200" t="s">
        <v>4344</v>
      </c>
      <c r="AN200" t="s">
        <v>2089</v>
      </c>
      <c r="AO200" t="s">
        <v>8117</v>
      </c>
      <c r="AP200" t="s">
        <v>7024</v>
      </c>
      <c r="AT200" s="184">
        <v>30498</v>
      </c>
      <c r="AU200" t="s">
        <v>8118</v>
      </c>
      <c r="AV200">
        <v>13</v>
      </c>
      <c r="AW200" s="184">
        <v>45306</v>
      </c>
      <c r="AX200" t="s">
        <v>8119</v>
      </c>
      <c r="AY200">
        <v>100</v>
      </c>
      <c r="AZ200" s="184">
        <v>45306</v>
      </c>
      <c r="BA200" t="s">
        <v>8119</v>
      </c>
      <c r="BB200">
        <v>100</v>
      </c>
      <c r="BC200">
        <v>81</v>
      </c>
      <c r="BD200">
        <v>1236</v>
      </c>
      <c r="BE200">
        <v>1984</v>
      </c>
      <c r="BF200">
        <v>52</v>
      </c>
      <c r="BG200">
        <v>4</v>
      </c>
      <c r="BH200">
        <v>300</v>
      </c>
      <c r="BI200">
        <v>34</v>
      </c>
      <c r="BJ200">
        <v>42</v>
      </c>
      <c r="BK200">
        <v>11</v>
      </c>
    </row>
    <row r="201" spans="1:68">
      <c r="A201">
        <v>499012</v>
      </c>
      <c r="B201">
        <v>499012</v>
      </c>
      <c r="C201" t="s">
        <v>7018</v>
      </c>
      <c r="E201" s="184"/>
      <c r="F201" t="s">
        <v>595</v>
      </c>
      <c r="G201" s="184">
        <v>44151</v>
      </c>
      <c r="K201" s="184"/>
      <c r="O201" s="184"/>
      <c r="P201" t="s">
        <v>7045</v>
      </c>
      <c r="Q201" t="s">
        <v>7374</v>
      </c>
      <c r="R201" s="184">
        <v>21941</v>
      </c>
      <c r="S201">
        <v>64</v>
      </c>
      <c r="U201" t="s">
        <v>7031</v>
      </c>
      <c r="V201" t="s">
        <v>2889</v>
      </c>
      <c r="W201" t="s">
        <v>3332</v>
      </c>
      <c r="X201" t="s">
        <v>3812</v>
      </c>
      <c r="AF201" t="s">
        <v>8120</v>
      </c>
      <c r="AG201" t="s">
        <v>2889</v>
      </c>
      <c r="AI201" t="s">
        <v>8121</v>
      </c>
      <c r="AM201" t="s">
        <v>3033</v>
      </c>
      <c r="AN201" t="s">
        <v>2081</v>
      </c>
      <c r="AO201" t="s">
        <v>8122</v>
      </c>
      <c r="AP201" t="s">
        <v>7024</v>
      </c>
      <c r="AQ201" t="s">
        <v>8123</v>
      </c>
      <c r="AR201" t="s">
        <v>8124</v>
      </c>
      <c r="AT201" s="184">
        <v>30494</v>
      </c>
      <c r="AU201" t="s">
        <v>7073</v>
      </c>
      <c r="AV201">
        <v>50</v>
      </c>
      <c r="AW201" s="184">
        <v>45420</v>
      </c>
      <c r="AX201" t="s">
        <v>8125</v>
      </c>
      <c r="AY201">
        <v>100</v>
      </c>
      <c r="AZ201" s="184">
        <v>36889</v>
      </c>
      <c r="BA201" t="s">
        <v>8126</v>
      </c>
      <c r="BB201">
        <v>500</v>
      </c>
      <c r="BC201">
        <v>86</v>
      </c>
      <c r="BD201">
        <v>6257</v>
      </c>
      <c r="BE201">
        <v>1983</v>
      </c>
      <c r="BF201">
        <v>73</v>
      </c>
      <c r="BG201">
        <v>2</v>
      </c>
      <c r="BH201">
        <v>350</v>
      </c>
      <c r="BI201">
        <v>36</v>
      </c>
      <c r="BJ201">
        <v>42</v>
      </c>
      <c r="BK201">
        <v>18</v>
      </c>
    </row>
    <row r="202" spans="1:68">
      <c r="A202">
        <v>499509</v>
      </c>
      <c r="B202">
        <v>499509</v>
      </c>
      <c r="C202" t="s">
        <v>7018</v>
      </c>
      <c r="D202" t="s">
        <v>595</v>
      </c>
      <c r="E202" s="184">
        <v>44236</v>
      </c>
      <c r="G202" s="184"/>
      <c r="K202" s="184"/>
      <c r="O202" s="184"/>
      <c r="P202" t="s">
        <v>7045</v>
      </c>
      <c r="Q202" t="s">
        <v>7030</v>
      </c>
      <c r="R202" s="184">
        <v>12540</v>
      </c>
      <c r="S202">
        <v>90</v>
      </c>
      <c r="U202" t="s">
        <v>7031</v>
      </c>
      <c r="V202" t="s">
        <v>8127</v>
      </c>
      <c r="W202" t="s">
        <v>7268</v>
      </c>
      <c r="X202" t="s">
        <v>8128</v>
      </c>
      <c r="AF202" t="s">
        <v>8129</v>
      </c>
      <c r="AG202" t="s">
        <v>8127</v>
      </c>
      <c r="AI202" t="s">
        <v>8130</v>
      </c>
      <c r="AM202" t="s">
        <v>4209</v>
      </c>
      <c r="AN202" t="s">
        <v>2201</v>
      </c>
      <c r="AO202" t="s">
        <v>8131</v>
      </c>
      <c r="AP202" t="s">
        <v>7024</v>
      </c>
      <c r="AT202" s="184">
        <v>30659</v>
      </c>
      <c r="AU202" t="s">
        <v>8132</v>
      </c>
      <c r="AV202">
        <v>15</v>
      </c>
      <c r="AW202" s="184">
        <v>45223</v>
      </c>
      <c r="AX202" t="s">
        <v>8133</v>
      </c>
      <c r="AY202">
        <v>35</v>
      </c>
      <c r="AZ202" s="184">
        <v>45019</v>
      </c>
      <c r="BA202" t="s">
        <v>8134</v>
      </c>
      <c r="BB202">
        <v>45</v>
      </c>
      <c r="BC202">
        <v>91</v>
      </c>
      <c r="BD202">
        <v>1277</v>
      </c>
      <c r="BE202">
        <v>1984</v>
      </c>
      <c r="BF202">
        <v>45</v>
      </c>
      <c r="BG202">
        <v>3</v>
      </c>
      <c r="BH202">
        <v>125</v>
      </c>
      <c r="BI202">
        <v>38</v>
      </c>
      <c r="BJ202">
        <v>42</v>
      </c>
      <c r="BK202">
        <v>21</v>
      </c>
      <c r="BP202" s="184"/>
    </row>
    <row r="203" spans="1:68">
      <c r="A203">
        <v>501718</v>
      </c>
      <c r="B203">
        <v>501718</v>
      </c>
      <c r="C203" t="s">
        <v>7018</v>
      </c>
      <c r="D203" t="s">
        <v>595</v>
      </c>
      <c r="E203" s="184">
        <v>43801</v>
      </c>
      <c r="G203" s="184"/>
      <c r="K203" s="184"/>
      <c r="O203" s="184"/>
      <c r="P203" t="s">
        <v>7045</v>
      </c>
      <c r="Q203" t="s">
        <v>7030</v>
      </c>
      <c r="R203" s="184">
        <v>13728</v>
      </c>
      <c r="S203">
        <v>86</v>
      </c>
      <c r="U203" t="s">
        <v>7031</v>
      </c>
      <c r="V203" t="s">
        <v>2975</v>
      </c>
      <c r="X203" t="s">
        <v>4321</v>
      </c>
      <c r="Z203">
        <v>100327546</v>
      </c>
      <c r="AA203" t="s">
        <v>7130</v>
      </c>
      <c r="AB203" t="s">
        <v>3223</v>
      </c>
      <c r="AD203" t="s">
        <v>4321</v>
      </c>
      <c r="AF203" t="s">
        <v>8135</v>
      </c>
      <c r="AG203" t="s">
        <v>8136</v>
      </c>
      <c r="AI203" t="s">
        <v>8137</v>
      </c>
      <c r="AM203" t="s">
        <v>4209</v>
      </c>
      <c r="AN203" t="s">
        <v>2201</v>
      </c>
      <c r="AO203" t="s">
        <v>8138</v>
      </c>
      <c r="AP203" t="s">
        <v>7024</v>
      </c>
      <c r="AT203" s="184">
        <v>30749</v>
      </c>
      <c r="AU203" t="s">
        <v>7586</v>
      </c>
      <c r="AV203">
        <v>10</v>
      </c>
      <c r="AW203" s="184">
        <v>42852</v>
      </c>
      <c r="AX203" t="s">
        <v>8139</v>
      </c>
      <c r="AY203">
        <v>50</v>
      </c>
      <c r="AZ203" s="184">
        <v>42852</v>
      </c>
      <c r="BA203" t="s">
        <v>8139</v>
      </c>
      <c r="BB203">
        <v>50</v>
      </c>
      <c r="BC203">
        <v>20</v>
      </c>
      <c r="BD203">
        <v>245</v>
      </c>
      <c r="BE203">
        <v>1984</v>
      </c>
      <c r="BF203">
        <v>9</v>
      </c>
      <c r="BI203">
        <v>8</v>
      </c>
      <c r="BJ203">
        <v>41</v>
      </c>
      <c r="BK203">
        <v>4</v>
      </c>
      <c r="BP203" s="184"/>
    </row>
    <row r="204" spans="1:68">
      <c r="A204">
        <v>514083</v>
      </c>
      <c r="B204">
        <v>514083</v>
      </c>
      <c r="C204" t="s">
        <v>7018</v>
      </c>
      <c r="E204" s="184"/>
      <c r="G204" s="184"/>
      <c r="J204" t="s">
        <v>595</v>
      </c>
      <c r="K204" s="184">
        <v>44774</v>
      </c>
      <c r="O204" s="184"/>
      <c r="P204" t="s">
        <v>7045</v>
      </c>
      <c r="Q204" t="s">
        <v>7374</v>
      </c>
      <c r="R204" s="184">
        <v>17360</v>
      </c>
      <c r="S204">
        <v>76</v>
      </c>
      <c r="U204" t="s">
        <v>7032</v>
      </c>
      <c r="V204" t="s">
        <v>3460</v>
      </c>
      <c r="W204" t="s">
        <v>8140</v>
      </c>
      <c r="X204" t="s">
        <v>8141</v>
      </c>
      <c r="AF204" t="s">
        <v>8142</v>
      </c>
      <c r="AG204" t="s">
        <v>3460</v>
      </c>
      <c r="AI204" t="s">
        <v>8143</v>
      </c>
      <c r="AM204" t="s">
        <v>4312</v>
      </c>
      <c r="AN204" t="s">
        <v>2081</v>
      </c>
      <c r="AO204" t="s">
        <v>8144</v>
      </c>
      <c r="AP204" t="s">
        <v>7024</v>
      </c>
      <c r="AQ204" t="s">
        <v>8145</v>
      </c>
      <c r="AT204" s="184">
        <v>30706</v>
      </c>
      <c r="AU204" t="s">
        <v>7073</v>
      </c>
      <c r="AV204">
        <v>13</v>
      </c>
      <c r="AW204" s="184">
        <v>31820</v>
      </c>
      <c r="AX204" t="s">
        <v>7073</v>
      </c>
      <c r="AY204">
        <v>450</v>
      </c>
      <c r="AZ204" s="184">
        <v>31820</v>
      </c>
      <c r="BA204" t="s">
        <v>7073</v>
      </c>
      <c r="BB204">
        <v>450</v>
      </c>
      <c r="BC204">
        <v>10</v>
      </c>
      <c r="BD204">
        <v>1026</v>
      </c>
      <c r="BE204">
        <v>1984</v>
      </c>
      <c r="BF204">
        <v>12</v>
      </c>
      <c r="BI204">
        <v>4</v>
      </c>
      <c r="BJ204">
        <v>41</v>
      </c>
      <c r="BK204">
        <v>4</v>
      </c>
      <c r="BM204" t="s">
        <v>595</v>
      </c>
      <c r="BP204" s="184"/>
    </row>
    <row r="205" spans="1:68">
      <c r="A205">
        <v>514778</v>
      </c>
      <c r="B205">
        <v>514778</v>
      </c>
      <c r="C205" t="s">
        <v>7018</v>
      </c>
      <c r="E205" s="184"/>
      <c r="G205" s="184"/>
      <c r="H205" t="s">
        <v>595</v>
      </c>
      <c r="I205" s="184">
        <v>45307</v>
      </c>
      <c r="K205" s="184"/>
      <c r="N205" t="s">
        <v>595</v>
      </c>
      <c r="O205" s="184">
        <v>45315</v>
      </c>
      <c r="P205" t="s">
        <v>7045</v>
      </c>
      <c r="Q205" t="s">
        <v>7374</v>
      </c>
      <c r="R205" s="184">
        <v>14372</v>
      </c>
      <c r="S205">
        <v>85</v>
      </c>
      <c r="U205" t="s">
        <v>7031</v>
      </c>
      <c r="V205" t="s">
        <v>3689</v>
      </c>
      <c r="W205" t="s">
        <v>8146</v>
      </c>
      <c r="X205" t="s">
        <v>5594</v>
      </c>
      <c r="Z205">
        <v>101305950</v>
      </c>
      <c r="AB205" t="s">
        <v>4646</v>
      </c>
      <c r="AC205" t="s">
        <v>7396</v>
      </c>
      <c r="AD205" t="s">
        <v>5594</v>
      </c>
      <c r="AF205" t="s">
        <v>8147</v>
      </c>
      <c r="AG205" t="s">
        <v>8148</v>
      </c>
      <c r="AI205" t="s">
        <v>8149</v>
      </c>
      <c r="AM205" t="s">
        <v>4268</v>
      </c>
      <c r="AN205" t="s">
        <v>2081</v>
      </c>
      <c r="AO205" t="s">
        <v>8150</v>
      </c>
      <c r="AP205" t="s">
        <v>7024</v>
      </c>
      <c r="AQ205" t="s">
        <v>8151</v>
      </c>
      <c r="AT205" s="184">
        <v>30656</v>
      </c>
      <c r="AU205" t="s">
        <v>7173</v>
      </c>
      <c r="AV205">
        <v>18</v>
      </c>
      <c r="AW205" s="184">
        <v>45315</v>
      </c>
      <c r="AX205" t="s">
        <v>8152</v>
      </c>
      <c r="AY205">
        <v>50000</v>
      </c>
      <c r="AZ205" s="184">
        <v>45315</v>
      </c>
      <c r="BA205" t="s">
        <v>8152</v>
      </c>
      <c r="BB205">
        <v>50000</v>
      </c>
      <c r="BC205">
        <v>84</v>
      </c>
      <c r="BD205">
        <v>51848</v>
      </c>
      <c r="BE205">
        <v>1984</v>
      </c>
      <c r="BF205">
        <v>51</v>
      </c>
      <c r="BG205">
        <v>2</v>
      </c>
      <c r="BH205">
        <v>50050</v>
      </c>
      <c r="BI205">
        <v>35</v>
      </c>
      <c r="BJ205">
        <v>42</v>
      </c>
      <c r="BK205">
        <v>13</v>
      </c>
      <c r="BN205" t="s">
        <v>595</v>
      </c>
      <c r="BP205" s="184"/>
    </row>
    <row r="206" spans="1:68">
      <c r="A206">
        <v>101305950</v>
      </c>
      <c r="B206">
        <v>514778</v>
      </c>
      <c r="C206" t="s">
        <v>7018</v>
      </c>
      <c r="E206" s="184"/>
      <c r="G206" s="184"/>
      <c r="I206" s="184"/>
      <c r="K206" s="184"/>
      <c r="N206" t="s">
        <v>595</v>
      </c>
      <c r="O206" s="184">
        <v>45315</v>
      </c>
      <c r="P206" t="s">
        <v>7045</v>
      </c>
      <c r="Q206" t="s">
        <v>7374</v>
      </c>
      <c r="R206" s="184">
        <v>14941</v>
      </c>
      <c r="S206">
        <v>83</v>
      </c>
      <c r="V206" t="s">
        <v>4646</v>
      </c>
      <c r="W206" t="s">
        <v>7396</v>
      </c>
      <c r="X206" t="s">
        <v>5594</v>
      </c>
      <c r="Z206">
        <v>514778</v>
      </c>
      <c r="AA206" t="s">
        <v>7031</v>
      </c>
      <c r="AB206" t="s">
        <v>3689</v>
      </c>
      <c r="AC206" t="s">
        <v>8146</v>
      </c>
      <c r="AD206" t="s">
        <v>5594</v>
      </c>
      <c r="AF206" t="s">
        <v>8147</v>
      </c>
      <c r="AG206" t="s">
        <v>8148</v>
      </c>
      <c r="AI206" t="s">
        <v>8149</v>
      </c>
      <c r="AM206" t="s">
        <v>4268</v>
      </c>
      <c r="AN206" t="s">
        <v>2081</v>
      </c>
      <c r="AO206" t="s">
        <v>8150</v>
      </c>
      <c r="AP206" t="s">
        <v>7024</v>
      </c>
      <c r="AQ206" t="s">
        <v>8153</v>
      </c>
      <c r="AT206" s="184"/>
      <c r="AW206" s="184"/>
      <c r="AZ206" s="184"/>
      <c r="BP206" s="184"/>
    </row>
    <row r="207" spans="1:68">
      <c r="A207">
        <v>514919</v>
      </c>
      <c r="B207">
        <v>514919</v>
      </c>
      <c r="C207" t="s">
        <v>7018</v>
      </c>
      <c r="E207" s="184"/>
      <c r="F207" t="s">
        <v>595</v>
      </c>
      <c r="G207" s="184">
        <v>43731</v>
      </c>
      <c r="K207" s="184"/>
      <c r="O207" s="184"/>
      <c r="P207" t="s">
        <v>7045</v>
      </c>
      <c r="Q207" t="s">
        <v>7454</v>
      </c>
      <c r="R207" s="184">
        <v>8402</v>
      </c>
      <c r="S207">
        <v>101</v>
      </c>
      <c r="U207" t="s">
        <v>7032</v>
      </c>
      <c r="V207" t="s">
        <v>3886</v>
      </c>
      <c r="X207" t="s">
        <v>3887</v>
      </c>
      <c r="Y207" t="s">
        <v>8154</v>
      </c>
      <c r="AF207" t="s">
        <v>8155</v>
      </c>
      <c r="AG207" t="s">
        <v>3886</v>
      </c>
      <c r="AI207" t="s">
        <v>8156</v>
      </c>
      <c r="AM207" t="s">
        <v>3855</v>
      </c>
      <c r="AN207" t="s">
        <v>2055</v>
      </c>
      <c r="AO207" t="s">
        <v>8157</v>
      </c>
      <c r="AP207" t="s">
        <v>7024</v>
      </c>
      <c r="AQ207" t="s">
        <v>8158</v>
      </c>
      <c r="AT207" s="184">
        <v>30712</v>
      </c>
      <c r="AU207" t="s">
        <v>7073</v>
      </c>
      <c r="AV207">
        <v>18</v>
      </c>
      <c r="AW207" s="184">
        <v>43927</v>
      </c>
      <c r="AX207" t="s">
        <v>8159</v>
      </c>
      <c r="AY207">
        <v>20</v>
      </c>
      <c r="AZ207" s="184">
        <v>43907</v>
      </c>
      <c r="BA207" t="s">
        <v>8160</v>
      </c>
      <c r="BB207">
        <v>130</v>
      </c>
      <c r="BC207">
        <v>59</v>
      </c>
      <c r="BD207">
        <v>1442</v>
      </c>
      <c r="BE207">
        <v>1984</v>
      </c>
      <c r="BF207">
        <v>34</v>
      </c>
      <c r="BI207">
        <v>24</v>
      </c>
      <c r="BJ207">
        <v>41</v>
      </c>
      <c r="BK207">
        <v>8</v>
      </c>
      <c r="BP207" s="184"/>
    </row>
    <row r="208" spans="1:68">
      <c r="A208">
        <v>516112</v>
      </c>
      <c r="B208">
        <v>516112</v>
      </c>
      <c r="C208" t="s">
        <v>7018</v>
      </c>
      <c r="D208" t="s">
        <v>595</v>
      </c>
      <c r="E208" s="184">
        <v>44236</v>
      </c>
      <c r="G208" s="184"/>
      <c r="K208" s="184"/>
      <c r="O208" s="184"/>
      <c r="P208" t="s">
        <v>7045</v>
      </c>
      <c r="Q208" t="s">
        <v>7374</v>
      </c>
      <c r="R208" s="184">
        <v>16836</v>
      </c>
      <c r="S208">
        <v>78</v>
      </c>
      <c r="U208" t="s">
        <v>7076</v>
      </c>
      <c r="V208" t="s">
        <v>2607</v>
      </c>
      <c r="W208" t="s">
        <v>7407</v>
      </c>
      <c r="X208" t="s">
        <v>8161</v>
      </c>
      <c r="AF208" t="s">
        <v>8162</v>
      </c>
      <c r="AG208" t="s">
        <v>2607</v>
      </c>
      <c r="AI208" t="s">
        <v>8163</v>
      </c>
      <c r="AM208" t="s">
        <v>4215</v>
      </c>
      <c r="AN208" t="s">
        <v>2081</v>
      </c>
      <c r="AO208" t="s">
        <v>8164</v>
      </c>
      <c r="AP208" t="s">
        <v>7024</v>
      </c>
      <c r="AQ208" t="s">
        <v>8165</v>
      </c>
      <c r="AT208" s="184">
        <v>30515</v>
      </c>
      <c r="AU208" t="s">
        <v>8166</v>
      </c>
      <c r="AV208">
        <v>18</v>
      </c>
      <c r="AW208" s="184">
        <v>42004</v>
      </c>
      <c r="AX208" t="s">
        <v>8167</v>
      </c>
      <c r="AY208">
        <v>150</v>
      </c>
      <c r="AZ208" s="184">
        <v>41247</v>
      </c>
      <c r="BA208" t="s">
        <v>8168</v>
      </c>
      <c r="BB208">
        <v>350</v>
      </c>
      <c r="BC208">
        <v>60</v>
      </c>
      <c r="BD208">
        <v>3784</v>
      </c>
      <c r="BE208">
        <v>1984</v>
      </c>
      <c r="BF208">
        <v>38</v>
      </c>
      <c r="BI208">
        <v>25</v>
      </c>
      <c r="BJ208">
        <v>42</v>
      </c>
      <c r="BK208">
        <v>18</v>
      </c>
      <c r="BP208" s="184"/>
    </row>
    <row r="209" spans="1:68">
      <c r="A209">
        <v>517367</v>
      </c>
      <c r="B209">
        <v>517367</v>
      </c>
      <c r="C209" t="s">
        <v>7018</v>
      </c>
      <c r="E209" s="184"/>
      <c r="K209" s="184"/>
      <c r="N209" t="s">
        <v>595</v>
      </c>
      <c r="O209" s="184">
        <v>36825</v>
      </c>
      <c r="P209" t="s">
        <v>7045</v>
      </c>
      <c r="Q209" t="s">
        <v>7374</v>
      </c>
      <c r="R209" s="184">
        <v>7451</v>
      </c>
      <c r="S209">
        <v>103</v>
      </c>
      <c r="U209" t="s">
        <v>7076</v>
      </c>
      <c r="V209" t="s">
        <v>3290</v>
      </c>
      <c r="W209" t="s">
        <v>3226</v>
      </c>
      <c r="X209" t="s">
        <v>2775</v>
      </c>
      <c r="Z209">
        <v>100008516</v>
      </c>
      <c r="AA209" t="s">
        <v>7076</v>
      </c>
      <c r="AB209" t="s">
        <v>5827</v>
      </c>
      <c r="AD209" t="s">
        <v>5311</v>
      </c>
      <c r="AF209" t="s">
        <v>8169</v>
      </c>
      <c r="AG209" t="s">
        <v>3290</v>
      </c>
      <c r="AI209" t="s">
        <v>8170</v>
      </c>
      <c r="AM209" t="s">
        <v>5828</v>
      </c>
      <c r="AN209" t="s">
        <v>2081</v>
      </c>
      <c r="AO209" t="s">
        <v>8171</v>
      </c>
      <c r="AP209" t="s">
        <v>7024</v>
      </c>
      <c r="AT209" s="184">
        <v>30655</v>
      </c>
      <c r="AU209" t="s">
        <v>7073</v>
      </c>
      <c r="AV209">
        <v>25</v>
      </c>
      <c r="AW209" s="184">
        <v>44487</v>
      </c>
      <c r="AX209" t="s">
        <v>8172</v>
      </c>
      <c r="AY209">
        <v>50</v>
      </c>
      <c r="AZ209" s="184">
        <v>36825</v>
      </c>
      <c r="BA209" t="s">
        <v>8173</v>
      </c>
      <c r="BB209">
        <v>15000</v>
      </c>
      <c r="BC209">
        <v>86</v>
      </c>
      <c r="BD209">
        <v>18055</v>
      </c>
      <c r="BE209">
        <v>1984</v>
      </c>
      <c r="BF209">
        <v>88</v>
      </c>
      <c r="BI209">
        <v>36</v>
      </c>
      <c r="BJ209">
        <v>42</v>
      </c>
      <c r="BK209">
        <v>18</v>
      </c>
      <c r="BO209" t="s">
        <v>595</v>
      </c>
      <c r="BP209" s="184">
        <v>44548</v>
      </c>
    </row>
    <row r="210" spans="1:68">
      <c r="A210">
        <v>100008516</v>
      </c>
      <c r="B210">
        <v>517367</v>
      </c>
      <c r="C210" t="s">
        <v>7018</v>
      </c>
      <c r="E210" s="184"/>
      <c r="K210" s="184"/>
      <c r="N210" t="s">
        <v>595</v>
      </c>
      <c r="O210" s="184">
        <v>36825</v>
      </c>
      <c r="P210" t="s">
        <v>7045</v>
      </c>
      <c r="Q210" t="s">
        <v>7374</v>
      </c>
      <c r="R210" s="184">
        <v>7801</v>
      </c>
      <c r="S210">
        <v>103</v>
      </c>
      <c r="U210" t="s">
        <v>7076</v>
      </c>
      <c r="V210" t="s">
        <v>5827</v>
      </c>
      <c r="X210" t="s">
        <v>5311</v>
      </c>
      <c r="Z210">
        <v>517367</v>
      </c>
      <c r="AA210" t="s">
        <v>7076</v>
      </c>
      <c r="AB210" t="s">
        <v>3290</v>
      </c>
      <c r="AC210" t="s">
        <v>3226</v>
      </c>
      <c r="AD210" t="s">
        <v>2775</v>
      </c>
      <c r="AF210" t="s">
        <v>8169</v>
      </c>
      <c r="AG210" t="s">
        <v>3290</v>
      </c>
      <c r="AI210" t="s">
        <v>8170</v>
      </c>
      <c r="AM210" t="s">
        <v>5828</v>
      </c>
      <c r="AN210" t="s">
        <v>2081</v>
      </c>
      <c r="AO210" t="s">
        <v>8171</v>
      </c>
      <c r="AP210" t="s">
        <v>7024</v>
      </c>
      <c r="AT210" s="184"/>
      <c r="AW210" s="184"/>
      <c r="AZ210" s="184"/>
      <c r="BO210" t="s">
        <v>595</v>
      </c>
      <c r="BP210" s="184">
        <v>37392</v>
      </c>
    </row>
    <row r="211" spans="1:68">
      <c r="A211">
        <v>517680</v>
      </c>
      <c r="B211">
        <v>517680</v>
      </c>
      <c r="C211" t="s">
        <v>7018</v>
      </c>
      <c r="D211" t="s">
        <v>595</v>
      </c>
      <c r="E211" s="184">
        <v>44313</v>
      </c>
      <c r="K211" s="184"/>
      <c r="O211" s="184"/>
      <c r="P211" t="s">
        <v>7045</v>
      </c>
      <c r="Q211" t="s">
        <v>7374</v>
      </c>
      <c r="R211" s="184">
        <v>14185</v>
      </c>
      <c r="S211">
        <v>85</v>
      </c>
      <c r="U211" t="s">
        <v>7031</v>
      </c>
      <c r="V211" t="s">
        <v>2918</v>
      </c>
      <c r="X211" t="s">
        <v>8174</v>
      </c>
      <c r="AF211" t="s">
        <v>8175</v>
      </c>
      <c r="AG211" t="s">
        <v>2918</v>
      </c>
      <c r="AI211" t="s">
        <v>8176</v>
      </c>
      <c r="AM211" t="s">
        <v>4312</v>
      </c>
      <c r="AN211" t="s">
        <v>2081</v>
      </c>
      <c r="AO211" t="s">
        <v>8177</v>
      </c>
      <c r="AP211" t="s">
        <v>7024</v>
      </c>
      <c r="AQ211" t="s">
        <v>8178</v>
      </c>
      <c r="AT211" s="184">
        <v>30718</v>
      </c>
      <c r="AU211" t="s">
        <v>7073</v>
      </c>
      <c r="AV211">
        <v>18</v>
      </c>
      <c r="AW211" s="184">
        <v>45152</v>
      </c>
      <c r="AX211" t="s">
        <v>8179</v>
      </c>
      <c r="AY211">
        <v>150</v>
      </c>
      <c r="AZ211" s="184">
        <v>45152</v>
      </c>
      <c r="BA211" t="s">
        <v>8179</v>
      </c>
      <c r="BB211">
        <v>150</v>
      </c>
      <c r="BC211">
        <v>98</v>
      </c>
      <c r="BD211">
        <v>2522</v>
      </c>
      <c r="BE211">
        <v>1984</v>
      </c>
      <c r="BF211">
        <v>42</v>
      </c>
      <c r="BG211">
        <v>2</v>
      </c>
      <c r="BH211">
        <v>300</v>
      </c>
      <c r="BI211">
        <v>40</v>
      </c>
      <c r="BJ211">
        <v>41</v>
      </c>
      <c r="BK211">
        <v>40</v>
      </c>
      <c r="BP211" s="184"/>
    </row>
    <row r="212" spans="1:68">
      <c r="A212">
        <v>519983</v>
      </c>
      <c r="B212">
        <v>519983</v>
      </c>
      <c r="C212" t="s">
        <v>7018</v>
      </c>
      <c r="E212" s="184"/>
      <c r="K212" s="184"/>
      <c r="N212" t="s">
        <v>595</v>
      </c>
      <c r="O212" s="184">
        <v>39870</v>
      </c>
      <c r="P212" t="s">
        <v>7045</v>
      </c>
      <c r="Q212" t="s">
        <v>7374</v>
      </c>
      <c r="R212" s="184">
        <v>9742</v>
      </c>
      <c r="S212">
        <v>97</v>
      </c>
      <c r="U212" t="s">
        <v>7031</v>
      </c>
      <c r="V212" t="s">
        <v>2541</v>
      </c>
      <c r="W212" t="s">
        <v>3226</v>
      </c>
      <c r="X212" t="s">
        <v>5503</v>
      </c>
      <c r="Z212">
        <v>100179347</v>
      </c>
      <c r="AA212" t="s">
        <v>7130</v>
      </c>
      <c r="AB212" t="s">
        <v>3431</v>
      </c>
      <c r="AD212" t="s">
        <v>5503</v>
      </c>
      <c r="AF212" t="s">
        <v>8180</v>
      </c>
      <c r="AG212" t="s">
        <v>2541</v>
      </c>
      <c r="AI212" t="s">
        <v>8181</v>
      </c>
      <c r="AJ212" t="s">
        <v>8182</v>
      </c>
      <c r="AM212" t="s">
        <v>4312</v>
      </c>
      <c r="AN212" t="s">
        <v>2081</v>
      </c>
      <c r="AO212" t="s">
        <v>8183</v>
      </c>
      <c r="AP212" t="s">
        <v>7024</v>
      </c>
      <c r="AQ212" t="s">
        <v>8184</v>
      </c>
      <c r="AT212" s="184">
        <v>30515</v>
      </c>
      <c r="AU212" t="s">
        <v>7073</v>
      </c>
      <c r="AV212">
        <v>50</v>
      </c>
      <c r="AW212" s="184">
        <v>45304</v>
      </c>
      <c r="AX212" t="s">
        <v>8185</v>
      </c>
      <c r="AY212">
        <v>300</v>
      </c>
      <c r="AZ212" s="184">
        <v>39870</v>
      </c>
      <c r="BA212" t="s">
        <v>8186</v>
      </c>
      <c r="BB212">
        <v>50000</v>
      </c>
      <c r="BC212">
        <v>74</v>
      </c>
      <c r="BD212">
        <v>53070</v>
      </c>
      <c r="BE212">
        <v>1984</v>
      </c>
      <c r="BF212">
        <v>38</v>
      </c>
      <c r="BG212">
        <v>2</v>
      </c>
      <c r="BH212">
        <v>600</v>
      </c>
      <c r="BI212">
        <v>31</v>
      </c>
      <c r="BJ212">
        <v>42</v>
      </c>
      <c r="BK212">
        <v>10</v>
      </c>
      <c r="BP212" s="184"/>
    </row>
    <row r="213" spans="1:68">
      <c r="A213">
        <v>100179347</v>
      </c>
      <c r="B213">
        <v>519983</v>
      </c>
      <c r="C213" t="s">
        <v>7018</v>
      </c>
      <c r="J213" t="s">
        <v>595</v>
      </c>
      <c r="K213" s="184">
        <v>43649</v>
      </c>
      <c r="N213" t="s">
        <v>595</v>
      </c>
      <c r="O213" s="184">
        <v>39870</v>
      </c>
      <c r="P213" t="s">
        <v>7045</v>
      </c>
      <c r="Q213" t="s">
        <v>7374</v>
      </c>
      <c r="R213" s="184">
        <v>9955</v>
      </c>
      <c r="S213">
        <v>97</v>
      </c>
      <c r="U213" t="s">
        <v>7130</v>
      </c>
      <c r="V213" t="s">
        <v>3431</v>
      </c>
      <c r="X213" t="s">
        <v>5503</v>
      </c>
      <c r="Z213">
        <v>519983</v>
      </c>
      <c r="AA213" t="s">
        <v>7031</v>
      </c>
      <c r="AB213" t="s">
        <v>2541</v>
      </c>
      <c r="AC213" t="s">
        <v>3226</v>
      </c>
      <c r="AD213" t="s">
        <v>5503</v>
      </c>
      <c r="AF213" t="s">
        <v>8180</v>
      </c>
      <c r="AG213" t="s">
        <v>2541</v>
      </c>
      <c r="AI213" t="s">
        <v>8181</v>
      </c>
      <c r="AJ213" t="s">
        <v>8182</v>
      </c>
      <c r="AM213" t="s">
        <v>4312</v>
      </c>
      <c r="AN213" t="s">
        <v>2081</v>
      </c>
      <c r="AO213" t="s">
        <v>8183</v>
      </c>
      <c r="AP213" t="s">
        <v>7024</v>
      </c>
      <c r="AT213" s="184"/>
      <c r="AW213" s="184"/>
      <c r="AZ213" s="184"/>
      <c r="BO213" t="s">
        <v>595</v>
      </c>
      <c r="BP213" s="184">
        <v>40781</v>
      </c>
    </row>
    <row r="214" spans="1:68">
      <c r="A214">
        <v>522896</v>
      </c>
      <c r="B214">
        <v>522896</v>
      </c>
      <c r="C214" t="s">
        <v>7018</v>
      </c>
      <c r="E214" s="184"/>
      <c r="K214" s="184"/>
      <c r="N214" t="s">
        <v>595</v>
      </c>
      <c r="O214" s="184">
        <v>37550</v>
      </c>
      <c r="P214" t="s">
        <v>7045</v>
      </c>
      <c r="Q214" t="s">
        <v>7374</v>
      </c>
      <c r="R214" s="184">
        <v>8526</v>
      </c>
      <c r="S214">
        <v>101</v>
      </c>
      <c r="U214" t="s">
        <v>7032</v>
      </c>
      <c r="V214" t="s">
        <v>2898</v>
      </c>
      <c r="W214" t="s">
        <v>4382</v>
      </c>
      <c r="X214" t="s">
        <v>5708</v>
      </c>
      <c r="AF214" t="s">
        <v>8187</v>
      </c>
      <c r="AG214" t="s">
        <v>8188</v>
      </c>
      <c r="AI214" t="s">
        <v>8189</v>
      </c>
      <c r="AM214" t="s">
        <v>5709</v>
      </c>
      <c r="AN214" t="s">
        <v>2081</v>
      </c>
      <c r="AO214">
        <v>92886</v>
      </c>
      <c r="AP214" t="s">
        <v>7024</v>
      </c>
      <c r="AT214" s="184">
        <v>30643</v>
      </c>
      <c r="AU214" t="s">
        <v>7073</v>
      </c>
      <c r="AV214">
        <v>25</v>
      </c>
      <c r="AW214" s="184">
        <v>40102</v>
      </c>
      <c r="AX214" t="s">
        <v>8190</v>
      </c>
      <c r="AY214">
        <v>30</v>
      </c>
      <c r="AZ214" s="184">
        <v>37481</v>
      </c>
      <c r="BA214" t="s">
        <v>7180</v>
      </c>
      <c r="BB214">
        <v>22000</v>
      </c>
      <c r="BC214">
        <v>48</v>
      </c>
      <c r="BD214">
        <v>22913</v>
      </c>
      <c r="BE214">
        <v>1984</v>
      </c>
      <c r="BF214">
        <v>27</v>
      </c>
      <c r="BI214">
        <v>20</v>
      </c>
      <c r="BJ214">
        <v>42</v>
      </c>
      <c r="BK214">
        <v>7</v>
      </c>
      <c r="BO214" t="s">
        <v>595</v>
      </c>
      <c r="BP214" s="184">
        <v>40188</v>
      </c>
    </row>
    <row r="215" spans="1:68">
      <c r="A215">
        <v>523720</v>
      </c>
      <c r="B215">
        <v>523720</v>
      </c>
      <c r="C215" t="s">
        <v>7018</v>
      </c>
      <c r="E215" s="184"/>
      <c r="J215" t="s">
        <v>595</v>
      </c>
      <c r="K215" s="184">
        <v>42960</v>
      </c>
      <c r="O215" s="184"/>
      <c r="P215" t="s">
        <v>7045</v>
      </c>
      <c r="Q215" t="s">
        <v>7374</v>
      </c>
      <c r="R215" s="184">
        <v>15140</v>
      </c>
      <c r="S215">
        <v>82</v>
      </c>
      <c r="V215" t="s">
        <v>3411</v>
      </c>
      <c r="X215" t="s">
        <v>8191</v>
      </c>
      <c r="AF215" t="s">
        <v>6473</v>
      </c>
      <c r="AG215" t="s">
        <v>3411</v>
      </c>
      <c r="AI215" t="s">
        <v>8192</v>
      </c>
      <c r="AM215" t="s">
        <v>8193</v>
      </c>
      <c r="AN215" t="s">
        <v>2081</v>
      </c>
      <c r="AO215" t="s">
        <v>8194</v>
      </c>
      <c r="AP215" t="s">
        <v>7024</v>
      </c>
      <c r="AQ215" t="s">
        <v>8195</v>
      </c>
      <c r="AT215" s="184">
        <v>30550</v>
      </c>
      <c r="AU215" t="s">
        <v>8196</v>
      </c>
      <c r="AV215">
        <v>18</v>
      </c>
      <c r="AW215" s="184">
        <v>45237</v>
      </c>
      <c r="AX215" t="s">
        <v>8197</v>
      </c>
      <c r="AY215">
        <v>25</v>
      </c>
      <c r="AZ215" s="184">
        <v>45237</v>
      </c>
      <c r="BA215" t="s">
        <v>8197</v>
      </c>
      <c r="BB215">
        <v>25</v>
      </c>
      <c r="BC215">
        <v>93</v>
      </c>
      <c r="BD215">
        <v>970</v>
      </c>
      <c r="BE215">
        <v>1984</v>
      </c>
      <c r="BF215">
        <v>40</v>
      </c>
      <c r="BG215">
        <v>3</v>
      </c>
      <c r="BH215">
        <v>75</v>
      </c>
      <c r="BI215">
        <v>39</v>
      </c>
      <c r="BJ215">
        <v>42</v>
      </c>
      <c r="BK215">
        <v>35</v>
      </c>
      <c r="BP215" s="184"/>
    </row>
    <row r="216" spans="1:68">
      <c r="A216">
        <v>539528</v>
      </c>
      <c r="B216">
        <v>539528</v>
      </c>
      <c r="C216" t="s">
        <v>7018</v>
      </c>
      <c r="E216" s="184"/>
      <c r="J216" t="s">
        <v>595</v>
      </c>
      <c r="K216" s="184">
        <v>39569</v>
      </c>
      <c r="O216" s="184"/>
      <c r="P216" t="s">
        <v>7045</v>
      </c>
      <c r="Q216" t="s">
        <v>7374</v>
      </c>
      <c r="R216" s="184">
        <v>12376</v>
      </c>
      <c r="S216">
        <v>90</v>
      </c>
      <c r="U216" t="s">
        <v>7031</v>
      </c>
      <c r="V216" t="s">
        <v>2558</v>
      </c>
      <c r="W216" t="s">
        <v>2316</v>
      </c>
      <c r="X216" t="s">
        <v>5625</v>
      </c>
      <c r="AF216" t="s">
        <v>8198</v>
      </c>
      <c r="AG216" t="s">
        <v>2558</v>
      </c>
      <c r="AI216" t="s">
        <v>8199</v>
      </c>
      <c r="AM216" t="s">
        <v>4312</v>
      </c>
      <c r="AN216" t="s">
        <v>2081</v>
      </c>
      <c r="AO216" t="s">
        <v>8200</v>
      </c>
      <c r="AP216" t="s">
        <v>7024</v>
      </c>
      <c r="AQ216" t="s">
        <v>8201</v>
      </c>
      <c r="AR216" t="s">
        <v>8202</v>
      </c>
      <c r="AT216" s="184">
        <v>30573</v>
      </c>
      <c r="AU216" t="s">
        <v>7073</v>
      </c>
      <c r="AV216">
        <v>50</v>
      </c>
      <c r="AW216" s="184">
        <v>42134</v>
      </c>
      <c r="AX216" t="s">
        <v>8203</v>
      </c>
      <c r="AY216">
        <v>218</v>
      </c>
      <c r="AZ216" s="184">
        <v>39820</v>
      </c>
      <c r="BA216" t="s">
        <v>8204</v>
      </c>
      <c r="BB216">
        <v>2338</v>
      </c>
      <c r="BC216">
        <v>74</v>
      </c>
      <c r="BD216">
        <v>29623</v>
      </c>
      <c r="BE216">
        <v>1984</v>
      </c>
      <c r="BF216">
        <v>87</v>
      </c>
      <c r="BI216">
        <v>31</v>
      </c>
      <c r="BJ216">
        <v>42</v>
      </c>
      <c r="BK216">
        <v>27</v>
      </c>
      <c r="BP216" s="184"/>
    </row>
    <row r="217" spans="1:68">
      <c r="A217">
        <v>541672</v>
      </c>
      <c r="B217">
        <v>541672</v>
      </c>
      <c r="C217" t="s">
        <v>7018</v>
      </c>
      <c r="E217" s="184"/>
      <c r="J217" t="s">
        <v>595</v>
      </c>
      <c r="K217" s="184">
        <v>37434</v>
      </c>
      <c r="O217" s="184"/>
      <c r="P217" t="s">
        <v>7045</v>
      </c>
      <c r="Q217" t="s">
        <v>7374</v>
      </c>
      <c r="R217" s="184">
        <v>18838</v>
      </c>
      <c r="S217">
        <v>72</v>
      </c>
      <c r="U217" t="s">
        <v>7031</v>
      </c>
      <c r="V217" t="s">
        <v>4144</v>
      </c>
      <c r="W217" t="s">
        <v>2963</v>
      </c>
      <c r="X217" t="s">
        <v>8205</v>
      </c>
      <c r="Z217">
        <v>100008642</v>
      </c>
      <c r="AA217" t="s">
        <v>7130</v>
      </c>
      <c r="AB217" t="s">
        <v>2733</v>
      </c>
      <c r="AC217" t="s">
        <v>4327</v>
      </c>
      <c r="AD217" t="s">
        <v>8205</v>
      </c>
      <c r="AF217" t="s">
        <v>6481</v>
      </c>
      <c r="AG217" t="s">
        <v>8206</v>
      </c>
      <c r="AI217" t="s">
        <v>8207</v>
      </c>
      <c r="AM217" t="s">
        <v>5882</v>
      </c>
      <c r="AN217" t="s">
        <v>2081</v>
      </c>
      <c r="AO217" t="s">
        <v>8208</v>
      </c>
      <c r="AP217" t="s">
        <v>7024</v>
      </c>
      <c r="AT217" s="184">
        <v>30743</v>
      </c>
      <c r="AU217" t="s">
        <v>7073</v>
      </c>
      <c r="AV217">
        <v>18</v>
      </c>
      <c r="AW217" s="184">
        <v>38631</v>
      </c>
      <c r="AX217" t="s">
        <v>8209</v>
      </c>
      <c r="AY217">
        <v>10</v>
      </c>
      <c r="AZ217" s="184">
        <v>34325</v>
      </c>
      <c r="BA217" t="s">
        <v>8210</v>
      </c>
      <c r="BB217">
        <v>50</v>
      </c>
      <c r="BC217">
        <v>49</v>
      </c>
      <c r="BD217">
        <v>848</v>
      </c>
      <c r="BE217">
        <v>1984</v>
      </c>
      <c r="BF217">
        <v>38</v>
      </c>
      <c r="BI217">
        <v>20</v>
      </c>
      <c r="BJ217">
        <v>41</v>
      </c>
      <c r="BK217">
        <v>14</v>
      </c>
    </row>
    <row r="218" spans="1:68">
      <c r="A218">
        <v>100008642</v>
      </c>
      <c r="B218">
        <v>541672</v>
      </c>
      <c r="C218" t="s">
        <v>7018</v>
      </c>
      <c r="E218" s="184"/>
      <c r="J218" t="s">
        <v>595</v>
      </c>
      <c r="K218" s="184">
        <v>37434</v>
      </c>
      <c r="O218" s="184"/>
      <c r="P218" t="s">
        <v>7045</v>
      </c>
      <c r="Q218" t="s">
        <v>7374</v>
      </c>
      <c r="R218" s="184">
        <v>18810</v>
      </c>
      <c r="S218">
        <v>72</v>
      </c>
      <c r="U218" t="s">
        <v>7130</v>
      </c>
      <c r="V218" t="s">
        <v>2733</v>
      </c>
      <c r="W218" t="s">
        <v>4327</v>
      </c>
      <c r="X218" t="s">
        <v>8205</v>
      </c>
      <c r="Z218">
        <v>541672</v>
      </c>
      <c r="AA218" t="s">
        <v>7031</v>
      </c>
      <c r="AB218" t="s">
        <v>4144</v>
      </c>
      <c r="AC218" t="s">
        <v>2963</v>
      </c>
      <c r="AD218" t="s">
        <v>8205</v>
      </c>
      <c r="AF218" t="s">
        <v>6481</v>
      </c>
      <c r="AG218" t="s">
        <v>8206</v>
      </c>
      <c r="AI218" t="s">
        <v>8207</v>
      </c>
      <c r="AM218" t="s">
        <v>5882</v>
      </c>
      <c r="AN218" t="s">
        <v>2081</v>
      </c>
      <c r="AO218" t="s">
        <v>8208</v>
      </c>
      <c r="AP218" t="s">
        <v>7024</v>
      </c>
      <c r="AT218" s="184"/>
      <c r="AW218" s="184"/>
      <c r="AZ218" s="184"/>
    </row>
    <row r="219" spans="1:68">
      <c r="A219">
        <v>542803</v>
      </c>
      <c r="B219">
        <v>542803</v>
      </c>
      <c r="C219" t="s">
        <v>7018</v>
      </c>
      <c r="E219" s="184"/>
      <c r="K219" s="184"/>
      <c r="N219" t="s">
        <v>595</v>
      </c>
      <c r="O219" s="184">
        <v>41761</v>
      </c>
      <c r="P219" t="s">
        <v>7019</v>
      </c>
      <c r="Q219" t="s">
        <v>7374</v>
      </c>
      <c r="R219" s="184">
        <v>17187</v>
      </c>
      <c r="S219">
        <v>77</v>
      </c>
      <c r="U219" t="s">
        <v>7031</v>
      </c>
      <c r="V219" t="s">
        <v>4378</v>
      </c>
      <c r="W219" t="s">
        <v>7046</v>
      </c>
      <c r="X219" t="s">
        <v>5438</v>
      </c>
      <c r="Y219" t="s">
        <v>7047</v>
      </c>
      <c r="AF219" t="s">
        <v>8211</v>
      </c>
      <c r="AG219" t="s">
        <v>4378</v>
      </c>
      <c r="AI219" t="s">
        <v>8212</v>
      </c>
      <c r="AM219" t="s">
        <v>5439</v>
      </c>
      <c r="AN219" t="s">
        <v>2081</v>
      </c>
      <c r="AO219" t="s">
        <v>8213</v>
      </c>
      <c r="AP219" t="s">
        <v>7024</v>
      </c>
      <c r="AQ219" t="s">
        <v>8214</v>
      </c>
      <c r="AR219" t="s">
        <v>8215</v>
      </c>
      <c r="AT219" s="184">
        <v>30790</v>
      </c>
      <c r="AU219" t="s">
        <v>8216</v>
      </c>
      <c r="AV219">
        <v>18</v>
      </c>
      <c r="AW219" s="184">
        <v>45272</v>
      </c>
      <c r="AX219" t="s">
        <v>8217</v>
      </c>
      <c r="AY219">
        <v>35</v>
      </c>
      <c r="AZ219" s="184">
        <v>41764</v>
      </c>
      <c r="BA219" t="s">
        <v>7707</v>
      </c>
      <c r="BB219">
        <v>100000</v>
      </c>
      <c r="BC219">
        <v>66</v>
      </c>
      <c r="BD219">
        <v>101073.97</v>
      </c>
      <c r="BE219">
        <v>1984</v>
      </c>
      <c r="BF219">
        <v>29</v>
      </c>
      <c r="BG219">
        <v>1</v>
      </c>
      <c r="BH219">
        <v>35</v>
      </c>
      <c r="BI219">
        <v>27</v>
      </c>
      <c r="BJ219">
        <v>41</v>
      </c>
      <c r="BK219">
        <v>7</v>
      </c>
    </row>
    <row r="220" spans="1:68">
      <c r="A220">
        <v>542860</v>
      </c>
      <c r="B220">
        <v>542860</v>
      </c>
      <c r="C220" t="s">
        <v>7018</v>
      </c>
      <c r="D220" t="s">
        <v>595</v>
      </c>
      <c r="E220" s="184">
        <v>43955</v>
      </c>
      <c r="G220" s="184"/>
      <c r="K220" s="184"/>
      <c r="O220" s="184"/>
      <c r="P220" t="s">
        <v>7045</v>
      </c>
      <c r="Q220" t="s">
        <v>7374</v>
      </c>
      <c r="R220" s="184">
        <v>13150</v>
      </c>
      <c r="S220">
        <v>88</v>
      </c>
      <c r="U220" t="s">
        <v>7032</v>
      </c>
      <c r="V220" t="s">
        <v>2871</v>
      </c>
      <c r="X220" t="s">
        <v>5732</v>
      </c>
      <c r="AF220" t="s">
        <v>8218</v>
      </c>
      <c r="AG220" t="s">
        <v>2871</v>
      </c>
      <c r="AI220" t="s">
        <v>8219</v>
      </c>
      <c r="AM220" t="s">
        <v>8220</v>
      </c>
      <c r="AN220" t="s">
        <v>2081</v>
      </c>
      <c r="AO220" t="s">
        <v>8221</v>
      </c>
      <c r="AP220" t="s">
        <v>7024</v>
      </c>
      <c r="AT220" s="184">
        <v>30523</v>
      </c>
      <c r="AU220" t="s">
        <v>7184</v>
      </c>
      <c r="AV220">
        <v>18</v>
      </c>
      <c r="AW220" s="184">
        <v>42010</v>
      </c>
      <c r="AX220" t="s">
        <v>8222</v>
      </c>
      <c r="AY220">
        <v>50</v>
      </c>
      <c r="AZ220" s="184">
        <v>42010</v>
      </c>
      <c r="BA220" t="s">
        <v>8222</v>
      </c>
      <c r="BB220">
        <v>50</v>
      </c>
      <c r="BC220">
        <v>62</v>
      </c>
      <c r="BD220">
        <v>1064</v>
      </c>
      <c r="BE220">
        <v>1984</v>
      </c>
      <c r="BF220">
        <v>36</v>
      </c>
      <c r="BI220">
        <v>26</v>
      </c>
      <c r="BJ220">
        <v>42</v>
      </c>
      <c r="BK220">
        <v>14</v>
      </c>
    </row>
    <row r="221" spans="1:68">
      <c r="A221">
        <v>545855</v>
      </c>
      <c r="B221">
        <v>545855</v>
      </c>
      <c r="C221" t="s">
        <v>7018</v>
      </c>
      <c r="E221" s="184"/>
      <c r="J221" t="s">
        <v>595</v>
      </c>
      <c r="K221" s="184">
        <v>37435</v>
      </c>
      <c r="O221" s="184"/>
      <c r="P221" t="s">
        <v>7045</v>
      </c>
      <c r="Q221" t="s">
        <v>7374</v>
      </c>
      <c r="R221" s="184">
        <v>9870</v>
      </c>
      <c r="S221">
        <v>97</v>
      </c>
      <c r="U221" t="s">
        <v>7031</v>
      </c>
      <c r="V221" t="s">
        <v>5414</v>
      </c>
      <c r="W221" t="s">
        <v>7268</v>
      </c>
      <c r="X221" t="s">
        <v>8223</v>
      </c>
      <c r="Y221" t="s">
        <v>7047</v>
      </c>
      <c r="Z221">
        <v>100008658</v>
      </c>
      <c r="AA221" t="s">
        <v>7130</v>
      </c>
      <c r="AB221" t="s">
        <v>2918</v>
      </c>
      <c r="AC221" t="s">
        <v>8224</v>
      </c>
      <c r="AD221" t="s">
        <v>8223</v>
      </c>
      <c r="AF221" t="s">
        <v>8225</v>
      </c>
      <c r="AG221" t="s">
        <v>8226</v>
      </c>
      <c r="AI221" t="s">
        <v>8227</v>
      </c>
      <c r="AM221" t="s">
        <v>8228</v>
      </c>
      <c r="AN221" t="s">
        <v>2081</v>
      </c>
      <c r="AO221" t="s">
        <v>8229</v>
      </c>
      <c r="AP221" t="s">
        <v>7024</v>
      </c>
      <c r="AT221" s="184">
        <v>30652</v>
      </c>
      <c r="AU221" t="s">
        <v>7073</v>
      </c>
      <c r="AV221">
        <v>25</v>
      </c>
      <c r="AW221" s="184">
        <v>44449</v>
      </c>
      <c r="AX221" t="s">
        <v>8230</v>
      </c>
      <c r="AY221">
        <v>100</v>
      </c>
      <c r="AZ221" s="184">
        <v>40863</v>
      </c>
      <c r="BA221" t="s">
        <v>8231</v>
      </c>
      <c r="BB221">
        <v>200</v>
      </c>
      <c r="BC221">
        <v>65</v>
      </c>
      <c r="BD221">
        <v>2692</v>
      </c>
      <c r="BE221">
        <v>1984</v>
      </c>
      <c r="BF221">
        <v>36</v>
      </c>
      <c r="BI221">
        <v>27</v>
      </c>
      <c r="BJ221">
        <v>42</v>
      </c>
      <c r="BK221">
        <v>15</v>
      </c>
      <c r="BP221" s="184"/>
    </row>
    <row r="222" spans="1:68">
      <c r="A222">
        <v>100008658</v>
      </c>
      <c r="B222">
        <v>545855</v>
      </c>
      <c r="C222" t="s">
        <v>7018</v>
      </c>
      <c r="E222" s="184"/>
      <c r="J222" t="s">
        <v>595</v>
      </c>
      <c r="K222" s="184">
        <v>37435</v>
      </c>
      <c r="O222" s="184"/>
      <c r="P222" t="s">
        <v>7045</v>
      </c>
      <c r="Q222" t="s">
        <v>7374</v>
      </c>
      <c r="R222" s="184"/>
      <c r="U222" t="s">
        <v>7130</v>
      </c>
      <c r="V222" t="s">
        <v>2918</v>
      </c>
      <c r="W222" t="s">
        <v>8224</v>
      </c>
      <c r="X222" t="s">
        <v>8223</v>
      </c>
      <c r="Z222">
        <v>545855</v>
      </c>
      <c r="AA222" t="s">
        <v>7031</v>
      </c>
      <c r="AB222" t="s">
        <v>5414</v>
      </c>
      <c r="AC222" t="s">
        <v>7268</v>
      </c>
      <c r="AD222" t="s">
        <v>8223</v>
      </c>
      <c r="AE222" t="s">
        <v>7047</v>
      </c>
      <c r="AF222" t="s">
        <v>8225</v>
      </c>
      <c r="AG222" t="s">
        <v>8226</v>
      </c>
      <c r="AI222" t="s">
        <v>8227</v>
      </c>
      <c r="AM222" t="s">
        <v>8228</v>
      </c>
      <c r="AN222" t="s">
        <v>2081</v>
      </c>
      <c r="AO222" t="s">
        <v>8229</v>
      </c>
      <c r="AP222" t="s">
        <v>7024</v>
      </c>
      <c r="AT222" s="184"/>
      <c r="AW222" s="184"/>
      <c r="AZ222" s="184"/>
      <c r="BP222" s="184"/>
    </row>
    <row r="223" spans="1:68">
      <c r="A223">
        <v>554303</v>
      </c>
      <c r="B223">
        <v>554303</v>
      </c>
      <c r="C223" t="s">
        <v>7018</v>
      </c>
      <c r="E223" s="184"/>
      <c r="I223" s="184"/>
      <c r="J223" t="s">
        <v>595</v>
      </c>
      <c r="K223" s="184">
        <v>37845</v>
      </c>
      <c r="O223" s="184"/>
      <c r="P223" t="s">
        <v>7045</v>
      </c>
      <c r="Q223" t="s">
        <v>7374</v>
      </c>
      <c r="R223" s="184">
        <v>19105</v>
      </c>
      <c r="S223">
        <v>72</v>
      </c>
      <c r="U223" t="s">
        <v>7130</v>
      </c>
      <c r="V223" t="s">
        <v>2903</v>
      </c>
      <c r="W223" t="s">
        <v>3226</v>
      </c>
      <c r="X223" t="s">
        <v>8232</v>
      </c>
      <c r="AF223" t="s">
        <v>6102</v>
      </c>
      <c r="AG223" t="s">
        <v>2903</v>
      </c>
      <c r="AI223" t="s">
        <v>8233</v>
      </c>
      <c r="AM223" t="s">
        <v>8234</v>
      </c>
      <c r="AN223" t="s">
        <v>2081</v>
      </c>
      <c r="AO223" t="s">
        <v>8235</v>
      </c>
      <c r="AP223" t="s">
        <v>7024</v>
      </c>
      <c r="AQ223" t="s">
        <v>8236</v>
      </c>
      <c r="AR223" t="s">
        <v>8237</v>
      </c>
      <c r="AT223" s="184">
        <v>30690</v>
      </c>
      <c r="AU223" t="s">
        <v>7073</v>
      </c>
      <c r="AV223">
        <v>50</v>
      </c>
      <c r="AW223" s="184">
        <v>45398</v>
      </c>
      <c r="AX223" t="s">
        <v>7429</v>
      </c>
      <c r="AY223">
        <v>35</v>
      </c>
      <c r="AZ223" s="184">
        <v>36088</v>
      </c>
      <c r="BA223" t="s">
        <v>8238</v>
      </c>
      <c r="BB223">
        <v>125</v>
      </c>
      <c r="BC223">
        <v>98</v>
      </c>
      <c r="BD223">
        <v>7455</v>
      </c>
      <c r="BE223">
        <v>1984</v>
      </c>
      <c r="BF223">
        <v>214</v>
      </c>
      <c r="BG223">
        <v>24</v>
      </c>
      <c r="BH223">
        <v>840</v>
      </c>
      <c r="BI223">
        <v>40</v>
      </c>
      <c r="BJ223">
        <v>41</v>
      </c>
      <c r="BK223">
        <v>24</v>
      </c>
      <c r="BP223" s="184"/>
    </row>
    <row r="224" spans="1:68">
      <c r="A224">
        <v>558239</v>
      </c>
      <c r="B224">
        <v>558239</v>
      </c>
      <c r="C224" t="s">
        <v>7018</v>
      </c>
      <c r="G224" s="184"/>
      <c r="I224" s="184"/>
      <c r="J224" t="s">
        <v>595</v>
      </c>
      <c r="K224" s="184">
        <v>37354</v>
      </c>
      <c r="O224" s="184"/>
      <c r="P224" t="s">
        <v>7029</v>
      </c>
      <c r="Q224" t="s">
        <v>7374</v>
      </c>
      <c r="R224" s="184">
        <v>13281</v>
      </c>
      <c r="S224">
        <v>88</v>
      </c>
      <c r="U224" t="s">
        <v>7130</v>
      </c>
      <c r="V224" t="s">
        <v>2742</v>
      </c>
      <c r="W224" t="s">
        <v>4152</v>
      </c>
      <c r="X224" t="s">
        <v>2869</v>
      </c>
      <c r="AF224" t="s">
        <v>8239</v>
      </c>
      <c r="AG224" t="s">
        <v>2742</v>
      </c>
      <c r="AI224" t="s">
        <v>8240</v>
      </c>
      <c r="AM224" t="s">
        <v>5817</v>
      </c>
      <c r="AN224" t="s">
        <v>2081</v>
      </c>
      <c r="AO224" t="s">
        <v>8241</v>
      </c>
      <c r="AP224" t="s">
        <v>7024</v>
      </c>
      <c r="AQ224" t="s">
        <v>8242</v>
      </c>
      <c r="AR224" t="s">
        <v>8243</v>
      </c>
      <c r="AT224" s="184">
        <v>31078</v>
      </c>
      <c r="AU224" t="s">
        <v>7073</v>
      </c>
      <c r="AV224">
        <v>25</v>
      </c>
      <c r="AW224" s="184">
        <v>43810</v>
      </c>
      <c r="AX224" t="s">
        <v>8244</v>
      </c>
      <c r="AY224">
        <v>1000</v>
      </c>
      <c r="AZ224" s="184">
        <v>43810</v>
      </c>
      <c r="BA224" t="s">
        <v>8244</v>
      </c>
      <c r="BB224">
        <v>1000</v>
      </c>
      <c r="BC224">
        <v>80</v>
      </c>
      <c r="BD224">
        <v>18570</v>
      </c>
      <c r="BE224">
        <v>1985</v>
      </c>
      <c r="BF224">
        <v>94</v>
      </c>
      <c r="BI224">
        <v>32</v>
      </c>
      <c r="BJ224">
        <v>40</v>
      </c>
      <c r="BK224">
        <v>28</v>
      </c>
      <c r="BM224" t="s">
        <v>595</v>
      </c>
      <c r="BN224" t="s">
        <v>595</v>
      </c>
      <c r="BP224" s="184"/>
    </row>
    <row r="225" spans="1:68">
      <c r="A225">
        <v>567503</v>
      </c>
      <c r="B225">
        <v>567503</v>
      </c>
      <c r="C225" t="s">
        <v>7018</v>
      </c>
      <c r="E225" s="184"/>
      <c r="G225" s="184"/>
      <c r="I225" s="184"/>
      <c r="J225" t="s">
        <v>595</v>
      </c>
      <c r="K225" s="184">
        <v>40945</v>
      </c>
      <c r="O225" s="184"/>
      <c r="P225" t="s">
        <v>7029</v>
      </c>
      <c r="Q225" t="s">
        <v>7030</v>
      </c>
      <c r="R225" s="184">
        <v>15607</v>
      </c>
      <c r="S225">
        <v>81</v>
      </c>
      <c r="U225" t="s">
        <v>7031</v>
      </c>
      <c r="V225" t="s">
        <v>3047</v>
      </c>
      <c r="W225" t="s">
        <v>3237</v>
      </c>
      <c r="X225" t="s">
        <v>5652</v>
      </c>
      <c r="AF225" t="s">
        <v>8245</v>
      </c>
      <c r="AG225" t="s">
        <v>3047</v>
      </c>
      <c r="AI225" t="s">
        <v>8246</v>
      </c>
      <c r="AM225" t="s">
        <v>2658</v>
      </c>
      <c r="AN225" t="s">
        <v>2089</v>
      </c>
      <c r="AO225" t="s">
        <v>8247</v>
      </c>
      <c r="AP225" t="s">
        <v>7024</v>
      </c>
      <c r="AQ225" t="s">
        <v>8248</v>
      </c>
      <c r="AT225" s="184">
        <v>30657</v>
      </c>
      <c r="AU225" t="s">
        <v>7073</v>
      </c>
      <c r="AV225">
        <v>18</v>
      </c>
      <c r="AW225" s="184">
        <v>45342</v>
      </c>
      <c r="AX225" t="s">
        <v>7092</v>
      </c>
      <c r="AY225">
        <v>250</v>
      </c>
      <c r="AZ225" s="184">
        <v>37834</v>
      </c>
      <c r="BA225" t="s">
        <v>8249</v>
      </c>
      <c r="BB225">
        <v>3150</v>
      </c>
      <c r="BC225">
        <v>100</v>
      </c>
      <c r="BD225">
        <v>33508</v>
      </c>
      <c r="BE225">
        <v>1984</v>
      </c>
      <c r="BF225">
        <v>130</v>
      </c>
      <c r="BG225">
        <v>7</v>
      </c>
      <c r="BH225">
        <v>1750</v>
      </c>
      <c r="BI225">
        <v>42</v>
      </c>
      <c r="BJ225">
        <v>42</v>
      </c>
      <c r="BK225">
        <v>42</v>
      </c>
      <c r="BP225" s="184"/>
    </row>
    <row r="226" spans="1:68">
      <c r="A226">
        <v>573667</v>
      </c>
      <c r="B226">
        <v>573667</v>
      </c>
      <c r="C226" t="s">
        <v>7018</v>
      </c>
      <c r="E226" s="184"/>
      <c r="G226" s="184"/>
      <c r="I226" s="184"/>
      <c r="J226" t="s">
        <v>595</v>
      </c>
      <c r="K226" s="184">
        <v>43801</v>
      </c>
      <c r="O226" s="184"/>
      <c r="P226" t="s">
        <v>7045</v>
      </c>
      <c r="Q226" t="s">
        <v>7374</v>
      </c>
      <c r="R226" s="184">
        <v>18295</v>
      </c>
      <c r="S226">
        <v>74</v>
      </c>
      <c r="V226" t="s">
        <v>4288</v>
      </c>
      <c r="X226" t="s">
        <v>4289</v>
      </c>
      <c r="AF226" t="s">
        <v>6499</v>
      </c>
      <c r="AG226" t="s">
        <v>4288</v>
      </c>
      <c r="AI226" t="s">
        <v>8250</v>
      </c>
      <c r="AM226" t="s">
        <v>2525</v>
      </c>
      <c r="AN226" t="s">
        <v>2526</v>
      </c>
      <c r="AO226" t="s">
        <v>8251</v>
      </c>
      <c r="AP226" t="s">
        <v>7024</v>
      </c>
      <c r="AT226" s="184">
        <v>30918</v>
      </c>
      <c r="AU226" t="s">
        <v>7073</v>
      </c>
      <c r="AV226">
        <v>18</v>
      </c>
      <c r="AW226" s="184">
        <v>45301</v>
      </c>
      <c r="AX226" t="s">
        <v>8252</v>
      </c>
      <c r="AY226">
        <v>20</v>
      </c>
      <c r="AZ226" s="184">
        <v>42374</v>
      </c>
      <c r="BA226" t="s">
        <v>8253</v>
      </c>
      <c r="BB226">
        <v>60</v>
      </c>
      <c r="BC226">
        <v>79</v>
      </c>
      <c r="BD226">
        <v>882</v>
      </c>
      <c r="BE226">
        <v>1985</v>
      </c>
      <c r="BF226">
        <v>32</v>
      </c>
      <c r="BG226">
        <v>2</v>
      </c>
      <c r="BH226">
        <v>40</v>
      </c>
      <c r="BI226">
        <v>32</v>
      </c>
      <c r="BJ226">
        <v>41</v>
      </c>
      <c r="BK226">
        <v>13</v>
      </c>
      <c r="BP226" s="184"/>
    </row>
    <row r="227" spans="1:68">
      <c r="A227">
        <v>581421</v>
      </c>
      <c r="B227">
        <v>581421</v>
      </c>
      <c r="C227" t="s">
        <v>7018</v>
      </c>
      <c r="E227" s="184"/>
      <c r="I227" s="184"/>
      <c r="K227" s="184"/>
      <c r="N227" t="s">
        <v>595</v>
      </c>
      <c r="O227" s="184">
        <v>39080</v>
      </c>
      <c r="P227" t="s">
        <v>7084</v>
      </c>
      <c r="Q227" t="s">
        <v>7374</v>
      </c>
      <c r="R227" s="184">
        <v>13294</v>
      </c>
      <c r="S227">
        <v>87</v>
      </c>
      <c r="U227" t="s">
        <v>7094</v>
      </c>
      <c r="V227" t="s">
        <v>3043</v>
      </c>
      <c r="W227" t="s">
        <v>4210</v>
      </c>
      <c r="X227" t="s">
        <v>5458</v>
      </c>
      <c r="AF227" t="s">
        <v>8254</v>
      </c>
      <c r="AG227" t="s">
        <v>8255</v>
      </c>
      <c r="AI227" t="s">
        <v>8256</v>
      </c>
      <c r="AM227" t="s">
        <v>4258</v>
      </c>
      <c r="AN227" t="s">
        <v>2081</v>
      </c>
      <c r="AO227">
        <v>94606</v>
      </c>
      <c r="AP227" t="s">
        <v>7024</v>
      </c>
      <c r="AT227" s="184">
        <v>31113</v>
      </c>
      <c r="AU227" t="s">
        <v>7151</v>
      </c>
      <c r="AV227">
        <v>18</v>
      </c>
      <c r="AW227" s="184">
        <v>44739</v>
      </c>
      <c r="AX227" t="s">
        <v>7093</v>
      </c>
      <c r="AY227">
        <v>50.19</v>
      </c>
      <c r="AZ227" s="184">
        <v>43774</v>
      </c>
      <c r="BA227" t="s">
        <v>8257</v>
      </c>
      <c r="BB227">
        <v>78686.02</v>
      </c>
      <c r="BC227">
        <v>90</v>
      </c>
      <c r="BD227">
        <v>106082.95</v>
      </c>
      <c r="BE227">
        <v>1985</v>
      </c>
      <c r="BF227">
        <v>57</v>
      </c>
      <c r="BG227">
        <v>2</v>
      </c>
      <c r="BH227">
        <v>2260.9299999999998</v>
      </c>
      <c r="BI227">
        <v>36</v>
      </c>
      <c r="BJ227">
        <v>40</v>
      </c>
      <c r="BK227">
        <v>31</v>
      </c>
      <c r="BO227" t="s">
        <v>595</v>
      </c>
      <c r="BP227" s="184">
        <v>43556</v>
      </c>
    </row>
    <row r="228" spans="1:68">
      <c r="A228">
        <v>584441</v>
      </c>
      <c r="B228">
        <v>584441</v>
      </c>
      <c r="C228" t="s">
        <v>7018</v>
      </c>
      <c r="E228" s="184"/>
      <c r="G228" s="184"/>
      <c r="H228" t="s">
        <v>595</v>
      </c>
      <c r="I228" s="184">
        <v>45127</v>
      </c>
      <c r="K228" s="184"/>
      <c r="N228" t="s">
        <v>595</v>
      </c>
      <c r="O228" s="184">
        <v>45383</v>
      </c>
      <c r="P228" t="s">
        <v>7029</v>
      </c>
      <c r="Q228" t="s">
        <v>7383</v>
      </c>
      <c r="R228" s="184">
        <v>19694</v>
      </c>
      <c r="S228">
        <v>70</v>
      </c>
      <c r="U228" t="s">
        <v>7031</v>
      </c>
      <c r="V228" t="s">
        <v>3889</v>
      </c>
      <c r="X228" t="s">
        <v>8258</v>
      </c>
      <c r="Z228">
        <v>100008847</v>
      </c>
      <c r="AA228" t="s">
        <v>7130</v>
      </c>
      <c r="AB228" t="s">
        <v>2742</v>
      </c>
      <c r="AD228" t="s">
        <v>8258</v>
      </c>
      <c r="AF228" t="s">
        <v>8259</v>
      </c>
      <c r="AG228" t="s">
        <v>8260</v>
      </c>
      <c r="AI228" t="s">
        <v>8261</v>
      </c>
      <c r="AM228" t="s">
        <v>3488</v>
      </c>
      <c r="AN228" t="s">
        <v>2072</v>
      </c>
      <c r="AO228" t="s">
        <v>8262</v>
      </c>
      <c r="AP228" t="s">
        <v>7024</v>
      </c>
      <c r="AQ228" t="s">
        <v>8263</v>
      </c>
      <c r="AR228" t="s">
        <v>8264</v>
      </c>
      <c r="AT228" s="184">
        <v>35096</v>
      </c>
      <c r="AU228" t="s">
        <v>8265</v>
      </c>
      <c r="AV228">
        <v>15</v>
      </c>
      <c r="AW228" s="184">
        <v>45162</v>
      </c>
      <c r="AX228" t="s">
        <v>8152</v>
      </c>
      <c r="AY228">
        <v>10000</v>
      </c>
      <c r="AZ228" s="184">
        <v>45162</v>
      </c>
      <c r="BA228" t="s">
        <v>8152</v>
      </c>
      <c r="BB228">
        <v>10000</v>
      </c>
      <c r="BC228">
        <v>45</v>
      </c>
      <c r="BD228">
        <v>16862</v>
      </c>
      <c r="BE228">
        <v>1996</v>
      </c>
      <c r="BF228">
        <v>15</v>
      </c>
      <c r="BG228">
        <v>2</v>
      </c>
      <c r="BH228">
        <v>12500</v>
      </c>
      <c r="BI228">
        <v>13</v>
      </c>
      <c r="BJ228">
        <v>29</v>
      </c>
      <c r="BK228">
        <v>9</v>
      </c>
      <c r="BN228" t="s">
        <v>595</v>
      </c>
      <c r="BP228" s="184"/>
    </row>
    <row r="229" spans="1:68">
      <c r="A229">
        <v>100008847</v>
      </c>
      <c r="B229">
        <v>584441</v>
      </c>
      <c r="C229" t="s">
        <v>7018</v>
      </c>
      <c r="E229" s="184"/>
      <c r="G229" s="184"/>
      <c r="H229" t="s">
        <v>595</v>
      </c>
      <c r="I229" s="184">
        <v>45127</v>
      </c>
      <c r="K229" s="184"/>
      <c r="N229" t="s">
        <v>595</v>
      </c>
      <c r="O229" s="184">
        <v>45383</v>
      </c>
      <c r="P229" t="s">
        <v>7029</v>
      </c>
      <c r="Q229" t="s">
        <v>7383</v>
      </c>
      <c r="R229" s="184">
        <v>19694</v>
      </c>
      <c r="S229">
        <v>70</v>
      </c>
      <c r="U229" t="s">
        <v>7130</v>
      </c>
      <c r="V229" t="s">
        <v>2742</v>
      </c>
      <c r="X229" t="s">
        <v>8258</v>
      </c>
      <c r="Z229">
        <v>584441</v>
      </c>
      <c r="AA229" t="s">
        <v>7031</v>
      </c>
      <c r="AB229" t="s">
        <v>3889</v>
      </c>
      <c r="AD229" t="s">
        <v>8258</v>
      </c>
      <c r="AF229" t="s">
        <v>8259</v>
      </c>
      <c r="AG229" t="s">
        <v>8260</v>
      </c>
      <c r="AI229" t="s">
        <v>8261</v>
      </c>
      <c r="AM229" t="s">
        <v>3488</v>
      </c>
      <c r="AN229" t="s">
        <v>2072</v>
      </c>
      <c r="AO229" t="s">
        <v>8262</v>
      </c>
      <c r="AP229" t="s">
        <v>7024</v>
      </c>
      <c r="AT229" s="184"/>
      <c r="AW229" s="184"/>
      <c r="AZ229" s="184"/>
    </row>
    <row r="230" spans="1:68">
      <c r="A230">
        <v>592568</v>
      </c>
      <c r="B230">
        <v>592568</v>
      </c>
      <c r="C230" t="s">
        <v>7018</v>
      </c>
      <c r="D230" t="s">
        <v>595</v>
      </c>
      <c r="E230" s="184">
        <v>43711</v>
      </c>
      <c r="G230" s="184"/>
      <c r="I230" s="184"/>
      <c r="K230" s="184"/>
      <c r="O230" s="184"/>
      <c r="P230" t="s">
        <v>7045</v>
      </c>
      <c r="Q230" t="s">
        <v>7454</v>
      </c>
      <c r="R230" s="184">
        <v>15273</v>
      </c>
      <c r="S230">
        <v>82</v>
      </c>
      <c r="U230" t="s">
        <v>7130</v>
      </c>
      <c r="V230" t="s">
        <v>3478</v>
      </c>
      <c r="W230" t="s">
        <v>2316</v>
      </c>
      <c r="X230" t="s">
        <v>3771</v>
      </c>
      <c r="AF230" t="s">
        <v>8266</v>
      </c>
      <c r="AG230" t="s">
        <v>3478</v>
      </c>
      <c r="AI230" t="s">
        <v>8267</v>
      </c>
      <c r="AM230" t="s">
        <v>3772</v>
      </c>
      <c r="AN230" t="s">
        <v>2299</v>
      </c>
      <c r="AO230" t="s">
        <v>8268</v>
      </c>
      <c r="AP230" t="s">
        <v>7024</v>
      </c>
      <c r="AQ230" t="s">
        <v>8269</v>
      </c>
      <c r="AR230" t="s">
        <v>8270</v>
      </c>
      <c r="AT230" s="184">
        <v>30767</v>
      </c>
      <c r="AU230" t="s">
        <v>7073</v>
      </c>
      <c r="AV230">
        <v>18</v>
      </c>
      <c r="AW230" s="184">
        <v>45408</v>
      </c>
      <c r="AX230" t="s">
        <v>8271</v>
      </c>
      <c r="AY230">
        <v>35</v>
      </c>
      <c r="AZ230" s="184">
        <v>34368</v>
      </c>
      <c r="BA230" t="s">
        <v>8272</v>
      </c>
      <c r="BB230">
        <v>87</v>
      </c>
      <c r="BC230">
        <v>61</v>
      </c>
      <c r="BD230">
        <v>1082</v>
      </c>
      <c r="BE230">
        <v>1984</v>
      </c>
      <c r="BF230">
        <v>40</v>
      </c>
      <c r="BG230">
        <v>3</v>
      </c>
      <c r="BH230">
        <v>90</v>
      </c>
      <c r="BI230">
        <v>25</v>
      </c>
      <c r="BJ230">
        <v>41</v>
      </c>
      <c r="BK230">
        <v>14</v>
      </c>
    </row>
    <row r="231" spans="1:68">
      <c r="A231">
        <v>593210</v>
      </c>
      <c r="B231">
        <v>593210</v>
      </c>
      <c r="C231" t="s">
        <v>7018</v>
      </c>
      <c r="E231" s="184"/>
      <c r="G231" s="184"/>
      <c r="J231" t="s">
        <v>595</v>
      </c>
      <c r="K231" s="184">
        <v>41957</v>
      </c>
      <c r="O231" s="184"/>
      <c r="P231" t="s">
        <v>7045</v>
      </c>
      <c r="Q231" t="s">
        <v>7374</v>
      </c>
      <c r="R231" s="184">
        <v>15556</v>
      </c>
      <c r="S231">
        <v>81</v>
      </c>
      <c r="U231" t="s">
        <v>7031</v>
      </c>
      <c r="V231" t="s">
        <v>8273</v>
      </c>
      <c r="X231" t="s">
        <v>8274</v>
      </c>
      <c r="AF231" t="s">
        <v>6427</v>
      </c>
      <c r="AG231" t="s">
        <v>8273</v>
      </c>
      <c r="AI231" t="s">
        <v>8275</v>
      </c>
      <c r="AM231" t="s">
        <v>8276</v>
      </c>
      <c r="AN231" t="s">
        <v>2081</v>
      </c>
      <c r="AO231" t="s">
        <v>8277</v>
      </c>
      <c r="AP231" t="s">
        <v>7024</v>
      </c>
      <c r="AQ231" t="s">
        <v>8278</v>
      </c>
      <c r="AT231" s="184">
        <v>30935</v>
      </c>
      <c r="AU231" t="s">
        <v>7073</v>
      </c>
      <c r="AV231">
        <v>18</v>
      </c>
      <c r="AW231" s="184">
        <v>43872</v>
      </c>
      <c r="AX231" t="s">
        <v>8279</v>
      </c>
      <c r="AY231">
        <v>25</v>
      </c>
      <c r="AZ231" s="184">
        <v>40602</v>
      </c>
      <c r="BA231" t="s">
        <v>8280</v>
      </c>
      <c r="BB231">
        <v>87</v>
      </c>
      <c r="BC231">
        <v>66</v>
      </c>
      <c r="BD231">
        <v>1073</v>
      </c>
      <c r="BE231">
        <v>1985</v>
      </c>
      <c r="BF231">
        <v>32</v>
      </c>
      <c r="BI231">
        <v>27</v>
      </c>
      <c r="BJ231">
        <v>41</v>
      </c>
      <c r="BK231">
        <v>7</v>
      </c>
    </row>
    <row r="232" spans="1:68">
      <c r="A232">
        <v>604264</v>
      </c>
      <c r="B232">
        <v>604264</v>
      </c>
      <c r="C232" t="s">
        <v>7018</v>
      </c>
      <c r="D232" t="s">
        <v>595</v>
      </c>
      <c r="E232" s="184">
        <v>45196</v>
      </c>
      <c r="G232" s="184"/>
      <c r="K232" s="184"/>
      <c r="O232" s="184"/>
      <c r="P232" t="s">
        <v>7045</v>
      </c>
      <c r="Q232" t="s">
        <v>7374</v>
      </c>
      <c r="R232" s="184">
        <v>17046</v>
      </c>
      <c r="S232">
        <v>77</v>
      </c>
      <c r="U232" t="s">
        <v>7031</v>
      </c>
      <c r="V232" t="s">
        <v>2511</v>
      </c>
      <c r="X232" t="s">
        <v>8281</v>
      </c>
      <c r="AF232" t="s">
        <v>8282</v>
      </c>
      <c r="AG232" t="s">
        <v>2511</v>
      </c>
      <c r="AI232" t="s">
        <v>8283</v>
      </c>
      <c r="AM232" t="s">
        <v>8284</v>
      </c>
      <c r="AN232" t="s">
        <v>2066</v>
      </c>
      <c r="AO232" t="s">
        <v>8285</v>
      </c>
      <c r="AP232" t="s">
        <v>7024</v>
      </c>
      <c r="AQ232" t="s">
        <v>8286</v>
      </c>
      <c r="AT232" s="184">
        <v>30529</v>
      </c>
      <c r="AU232" t="s">
        <v>7634</v>
      </c>
      <c r="AV232">
        <v>18</v>
      </c>
      <c r="AW232" s="184">
        <v>45376</v>
      </c>
      <c r="AX232" t="s">
        <v>8287</v>
      </c>
      <c r="AY232">
        <v>20</v>
      </c>
      <c r="AZ232" s="184">
        <v>42219</v>
      </c>
      <c r="BA232" t="s">
        <v>8288</v>
      </c>
      <c r="BB232">
        <v>100</v>
      </c>
      <c r="BC232">
        <v>53</v>
      </c>
      <c r="BD232">
        <v>1362</v>
      </c>
      <c r="BE232">
        <v>1984</v>
      </c>
      <c r="BF232">
        <v>32</v>
      </c>
      <c r="BG232">
        <v>7</v>
      </c>
      <c r="BH232">
        <v>245</v>
      </c>
      <c r="BI232">
        <v>22</v>
      </c>
      <c r="BJ232">
        <v>42</v>
      </c>
      <c r="BK232">
        <v>16</v>
      </c>
    </row>
    <row r="233" spans="1:68">
      <c r="A233">
        <v>605519</v>
      </c>
      <c r="B233">
        <v>605519</v>
      </c>
      <c r="C233" t="s">
        <v>7018</v>
      </c>
      <c r="E233" s="184"/>
      <c r="G233" s="184"/>
      <c r="K233" s="184"/>
      <c r="N233" t="s">
        <v>595</v>
      </c>
      <c r="O233" s="184">
        <v>38377</v>
      </c>
      <c r="P233" t="s">
        <v>7045</v>
      </c>
      <c r="Q233" t="s">
        <v>7194</v>
      </c>
      <c r="R233" s="184">
        <v>12518</v>
      </c>
      <c r="S233">
        <v>90</v>
      </c>
      <c r="U233" t="s">
        <v>7076</v>
      </c>
      <c r="V233" t="s">
        <v>3011</v>
      </c>
      <c r="W233" t="s">
        <v>3226</v>
      </c>
      <c r="X233" t="s">
        <v>8289</v>
      </c>
      <c r="AF233" t="s">
        <v>6017</v>
      </c>
      <c r="AG233" t="s">
        <v>3011</v>
      </c>
      <c r="AI233" t="s">
        <v>8290</v>
      </c>
      <c r="AJ233" t="s">
        <v>8291</v>
      </c>
      <c r="AM233" t="s">
        <v>4405</v>
      </c>
      <c r="AN233" t="s">
        <v>2046</v>
      </c>
      <c r="AO233" t="s">
        <v>8292</v>
      </c>
      <c r="AP233" t="s">
        <v>7024</v>
      </c>
      <c r="AT233" s="184">
        <v>30622</v>
      </c>
      <c r="AU233" t="s">
        <v>7073</v>
      </c>
      <c r="AV233">
        <v>18</v>
      </c>
      <c r="AW233" s="184">
        <v>38845</v>
      </c>
      <c r="AX233" t="s">
        <v>8293</v>
      </c>
      <c r="AY233">
        <v>25</v>
      </c>
      <c r="AZ233" s="184">
        <v>38377</v>
      </c>
      <c r="BA233" t="s">
        <v>8001</v>
      </c>
      <c r="BB233">
        <v>10000</v>
      </c>
      <c r="BC233">
        <v>39</v>
      </c>
      <c r="BD233">
        <v>10541</v>
      </c>
      <c r="BE233">
        <v>1984</v>
      </c>
      <c r="BF233">
        <v>30</v>
      </c>
      <c r="BI233">
        <v>16</v>
      </c>
      <c r="BJ233">
        <v>42</v>
      </c>
      <c r="BK233">
        <v>14</v>
      </c>
      <c r="BM233" t="s">
        <v>595</v>
      </c>
      <c r="BP233" s="184"/>
    </row>
    <row r="234" spans="1:68">
      <c r="A234">
        <v>606749</v>
      </c>
      <c r="B234">
        <v>606749</v>
      </c>
      <c r="C234" t="s">
        <v>7018</v>
      </c>
      <c r="E234" s="184"/>
      <c r="F234" t="s">
        <v>595</v>
      </c>
      <c r="G234" s="184">
        <v>43731</v>
      </c>
      <c r="J234" t="s">
        <v>595</v>
      </c>
      <c r="K234" s="184">
        <v>45372</v>
      </c>
      <c r="O234" s="184"/>
      <c r="P234" t="s">
        <v>7045</v>
      </c>
      <c r="Q234" t="s">
        <v>7454</v>
      </c>
      <c r="R234" s="184">
        <v>15012</v>
      </c>
      <c r="S234">
        <v>83</v>
      </c>
      <c r="U234" t="s">
        <v>7032</v>
      </c>
      <c r="V234" t="s">
        <v>4236</v>
      </c>
      <c r="W234" t="s">
        <v>3740</v>
      </c>
      <c r="X234" t="s">
        <v>2657</v>
      </c>
      <c r="AF234" t="s">
        <v>8294</v>
      </c>
      <c r="AG234" t="s">
        <v>4236</v>
      </c>
      <c r="AI234" t="s">
        <v>8295</v>
      </c>
      <c r="AM234" t="s">
        <v>2608</v>
      </c>
      <c r="AN234" t="s">
        <v>2299</v>
      </c>
      <c r="AO234" t="s">
        <v>8296</v>
      </c>
      <c r="AP234" t="s">
        <v>7024</v>
      </c>
      <c r="AQ234" t="s">
        <v>8297</v>
      </c>
      <c r="AR234" t="s">
        <v>8298</v>
      </c>
      <c r="AT234" s="184">
        <v>30733</v>
      </c>
      <c r="AU234" t="s">
        <v>7073</v>
      </c>
      <c r="AV234">
        <v>18</v>
      </c>
      <c r="AW234" s="184">
        <v>45110</v>
      </c>
      <c r="AX234" t="s">
        <v>8299</v>
      </c>
      <c r="AY234">
        <v>100</v>
      </c>
      <c r="AZ234" s="184">
        <v>40900</v>
      </c>
      <c r="BA234" t="s">
        <v>8300</v>
      </c>
      <c r="BB234">
        <v>1000</v>
      </c>
      <c r="BC234">
        <v>69</v>
      </c>
      <c r="BD234">
        <v>6937</v>
      </c>
      <c r="BE234">
        <v>1984</v>
      </c>
      <c r="BF234">
        <v>46</v>
      </c>
      <c r="BG234">
        <v>2</v>
      </c>
      <c r="BH234">
        <v>150</v>
      </c>
      <c r="BI234">
        <v>28</v>
      </c>
      <c r="BJ234">
        <v>41</v>
      </c>
      <c r="BK234">
        <v>7</v>
      </c>
      <c r="BN234" t="s">
        <v>595</v>
      </c>
    </row>
    <row r="235" spans="1:68">
      <c r="A235">
        <v>607911</v>
      </c>
      <c r="B235">
        <v>607911</v>
      </c>
      <c r="C235" t="s">
        <v>7018</v>
      </c>
      <c r="D235" t="s">
        <v>595</v>
      </c>
      <c r="E235" s="184">
        <v>44167</v>
      </c>
      <c r="G235" s="184"/>
      <c r="K235" s="184"/>
      <c r="P235" t="s">
        <v>7045</v>
      </c>
      <c r="Q235" t="s">
        <v>7454</v>
      </c>
      <c r="R235" s="184">
        <v>15521</v>
      </c>
      <c r="S235">
        <v>81</v>
      </c>
      <c r="U235" t="s">
        <v>7031</v>
      </c>
      <c r="V235" t="s">
        <v>3080</v>
      </c>
      <c r="W235" t="s">
        <v>4139</v>
      </c>
      <c r="X235" t="s">
        <v>8301</v>
      </c>
      <c r="AF235" t="s">
        <v>8302</v>
      </c>
      <c r="AG235" t="s">
        <v>3080</v>
      </c>
      <c r="AI235" t="s">
        <v>8303</v>
      </c>
      <c r="AM235" t="s">
        <v>2608</v>
      </c>
      <c r="AN235" t="s">
        <v>2299</v>
      </c>
      <c r="AO235" t="s">
        <v>8304</v>
      </c>
      <c r="AP235" t="s">
        <v>7024</v>
      </c>
      <c r="AQ235" t="s">
        <v>8305</v>
      </c>
      <c r="AT235" s="184">
        <v>30540</v>
      </c>
      <c r="AU235" t="s">
        <v>8306</v>
      </c>
      <c r="AV235">
        <v>18</v>
      </c>
      <c r="AW235" s="184">
        <v>36920</v>
      </c>
      <c r="AX235" t="s">
        <v>8307</v>
      </c>
      <c r="AY235">
        <v>25</v>
      </c>
      <c r="AZ235" s="184">
        <v>36920</v>
      </c>
      <c r="BA235" t="s">
        <v>8307</v>
      </c>
      <c r="BB235">
        <v>25</v>
      </c>
      <c r="BC235">
        <v>39</v>
      </c>
      <c r="BD235">
        <v>420</v>
      </c>
      <c r="BE235">
        <v>1984</v>
      </c>
      <c r="BF235">
        <v>18</v>
      </c>
      <c r="BI235">
        <v>16</v>
      </c>
      <c r="BJ235">
        <v>42</v>
      </c>
      <c r="BK235">
        <v>7</v>
      </c>
    </row>
    <row r="236" spans="1:68">
      <c r="A236">
        <v>609099</v>
      </c>
      <c r="B236">
        <v>609099</v>
      </c>
      <c r="C236" t="s">
        <v>7018</v>
      </c>
      <c r="E236" s="184"/>
      <c r="G236" s="184"/>
      <c r="J236" t="s">
        <v>595</v>
      </c>
      <c r="K236" s="184">
        <v>37438</v>
      </c>
      <c r="P236" t="s">
        <v>7045</v>
      </c>
      <c r="Q236" t="s">
        <v>7454</v>
      </c>
      <c r="R236" s="184">
        <v>18818</v>
      </c>
      <c r="S236">
        <v>72</v>
      </c>
      <c r="U236" t="s">
        <v>7031</v>
      </c>
      <c r="V236" t="s">
        <v>2871</v>
      </c>
      <c r="W236" t="s">
        <v>3522</v>
      </c>
      <c r="X236" t="s">
        <v>8308</v>
      </c>
      <c r="AF236" t="s">
        <v>6221</v>
      </c>
      <c r="AG236" t="s">
        <v>2871</v>
      </c>
      <c r="AI236" t="s">
        <v>8309</v>
      </c>
      <c r="AM236" t="s">
        <v>3909</v>
      </c>
      <c r="AN236" t="s">
        <v>2299</v>
      </c>
      <c r="AO236" t="s">
        <v>8310</v>
      </c>
      <c r="AP236" t="s">
        <v>7024</v>
      </c>
      <c r="AQ236" t="s">
        <v>8311</v>
      </c>
      <c r="AR236" t="s">
        <v>8312</v>
      </c>
      <c r="AT236" s="184">
        <v>30677</v>
      </c>
      <c r="AU236" t="s">
        <v>7073</v>
      </c>
      <c r="AV236">
        <v>18</v>
      </c>
      <c r="AW236" s="184">
        <v>45302</v>
      </c>
      <c r="AX236" t="s">
        <v>8313</v>
      </c>
      <c r="AY236">
        <v>262.5</v>
      </c>
      <c r="AZ236" s="184">
        <v>45302</v>
      </c>
      <c r="BA236" t="s">
        <v>8313</v>
      </c>
      <c r="BB236">
        <v>262.5</v>
      </c>
      <c r="BC236">
        <v>100</v>
      </c>
      <c r="BD236">
        <v>3270.5</v>
      </c>
      <c r="BE236">
        <v>1984</v>
      </c>
      <c r="BF236">
        <v>54</v>
      </c>
      <c r="BG236">
        <v>2</v>
      </c>
      <c r="BH236">
        <v>412.5</v>
      </c>
      <c r="BI236">
        <v>42</v>
      </c>
      <c r="BJ236">
        <v>42</v>
      </c>
      <c r="BK236">
        <v>42</v>
      </c>
    </row>
    <row r="237" spans="1:68">
      <c r="A237">
        <v>609198</v>
      </c>
      <c r="B237">
        <v>609198</v>
      </c>
      <c r="C237" t="s">
        <v>7018</v>
      </c>
      <c r="D237" t="s">
        <v>595</v>
      </c>
      <c r="E237" s="184">
        <v>43857</v>
      </c>
      <c r="G237" s="184"/>
      <c r="K237" s="184"/>
      <c r="P237" t="s">
        <v>7045</v>
      </c>
      <c r="Q237" t="s">
        <v>7454</v>
      </c>
      <c r="R237" s="184">
        <v>14198</v>
      </c>
      <c r="S237">
        <v>85</v>
      </c>
      <c r="U237" t="s">
        <v>7031</v>
      </c>
      <c r="V237" t="s">
        <v>3103</v>
      </c>
      <c r="W237" t="s">
        <v>7396</v>
      </c>
      <c r="X237" t="s">
        <v>4377</v>
      </c>
      <c r="Y237" t="s">
        <v>7431</v>
      </c>
      <c r="AF237" t="s">
        <v>8314</v>
      </c>
      <c r="AG237" t="s">
        <v>3103</v>
      </c>
      <c r="AI237" t="s">
        <v>8315</v>
      </c>
      <c r="AM237" t="s">
        <v>2608</v>
      </c>
      <c r="AN237" t="s">
        <v>2299</v>
      </c>
      <c r="AO237" t="s">
        <v>8316</v>
      </c>
      <c r="AP237" t="s">
        <v>7024</v>
      </c>
      <c r="AT237" s="184">
        <v>30935</v>
      </c>
      <c r="AU237" t="s">
        <v>7324</v>
      </c>
      <c r="AV237">
        <v>10</v>
      </c>
      <c r="AW237" s="184">
        <v>45113</v>
      </c>
      <c r="AX237" t="s">
        <v>8317</v>
      </c>
      <c r="AY237">
        <v>50</v>
      </c>
      <c r="AZ237" s="184">
        <v>45029</v>
      </c>
      <c r="BA237" t="s">
        <v>8318</v>
      </c>
      <c r="BB237">
        <v>55</v>
      </c>
      <c r="BC237">
        <v>49</v>
      </c>
      <c r="BD237">
        <v>823</v>
      </c>
      <c r="BE237">
        <v>1985</v>
      </c>
      <c r="BF237">
        <v>34</v>
      </c>
      <c r="BG237">
        <v>3</v>
      </c>
      <c r="BH237">
        <v>140</v>
      </c>
      <c r="BI237">
        <v>20</v>
      </c>
      <c r="BJ237">
        <v>41</v>
      </c>
      <c r="BK237">
        <v>10</v>
      </c>
    </row>
    <row r="238" spans="1:68">
      <c r="A238">
        <v>611970</v>
      </c>
      <c r="B238">
        <v>611970</v>
      </c>
      <c r="C238" t="s">
        <v>7018</v>
      </c>
      <c r="E238" s="184"/>
      <c r="F238" t="s">
        <v>595</v>
      </c>
      <c r="G238" s="184">
        <v>43731</v>
      </c>
      <c r="K238" s="184"/>
      <c r="O238" s="184"/>
      <c r="P238" t="s">
        <v>7045</v>
      </c>
      <c r="Q238" t="s">
        <v>7454</v>
      </c>
      <c r="R238" s="184">
        <v>21003</v>
      </c>
      <c r="S238">
        <v>66</v>
      </c>
      <c r="U238" t="s">
        <v>7031</v>
      </c>
      <c r="V238" t="s">
        <v>2828</v>
      </c>
      <c r="W238" t="s">
        <v>4152</v>
      </c>
      <c r="X238" t="s">
        <v>3799</v>
      </c>
      <c r="Z238">
        <v>100008993</v>
      </c>
      <c r="AA238" t="s">
        <v>7130</v>
      </c>
      <c r="AB238" t="s">
        <v>3317</v>
      </c>
      <c r="AD238" t="s">
        <v>3799</v>
      </c>
      <c r="AF238" t="s">
        <v>8319</v>
      </c>
      <c r="AG238" t="s">
        <v>8320</v>
      </c>
      <c r="AI238" t="s">
        <v>8321</v>
      </c>
      <c r="AM238" t="s">
        <v>3739</v>
      </c>
      <c r="AN238" t="s">
        <v>2055</v>
      </c>
      <c r="AO238" t="s">
        <v>8322</v>
      </c>
      <c r="AP238" t="s">
        <v>7024</v>
      </c>
      <c r="AQ238" t="s">
        <v>8323</v>
      </c>
      <c r="AR238" t="s">
        <v>8324</v>
      </c>
      <c r="AT238" s="184">
        <v>30659</v>
      </c>
      <c r="AU238" t="s">
        <v>7073</v>
      </c>
      <c r="AV238">
        <v>18</v>
      </c>
      <c r="AW238" s="184">
        <v>45400</v>
      </c>
      <c r="AX238" t="s">
        <v>7429</v>
      </c>
      <c r="AY238">
        <v>10</v>
      </c>
      <c r="AZ238" s="184">
        <v>44174</v>
      </c>
      <c r="BA238" t="s">
        <v>8325</v>
      </c>
      <c r="BB238">
        <v>500</v>
      </c>
      <c r="BC238">
        <v>70</v>
      </c>
      <c r="BD238">
        <v>3396.97</v>
      </c>
      <c r="BE238">
        <v>1984</v>
      </c>
      <c r="BF238">
        <v>71</v>
      </c>
      <c r="BG238">
        <v>24</v>
      </c>
      <c r="BH238">
        <v>240</v>
      </c>
      <c r="BI238">
        <v>29</v>
      </c>
      <c r="BJ238">
        <v>42</v>
      </c>
      <c r="BK238">
        <v>6</v>
      </c>
      <c r="BP238" s="184"/>
    </row>
    <row r="239" spans="1:68">
      <c r="A239">
        <v>100008993</v>
      </c>
      <c r="B239">
        <v>611970</v>
      </c>
      <c r="C239" t="s">
        <v>7018</v>
      </c>
      <c r="E239" s="184"/>
      <c r="F239" t="s">
        <v>595</v>
      </c>
      <c r="G239" s="184">
        <v>43731</v>
      </c>
      <c r="K239" s="184"/>
      <c r="O239" s="184"/>
      <c r="P239" t="s">
        <v>7045</v>
      </c>
      <c r="Q239" t="s">
        <v>7454</v>
      </c>
      <c r="R239" s="184">
        <v>21350</v>
      </c>
      <c r="S239">
        <v>65</v>
      </c>
      <c r="U239" t="s">
        <v>7130</v>
      </c>
      <c r="V239" t="s">
        <v>3317</v>
      </c>
      <c r="X239" t="s">
        <v>3799</v>
      </c>
      <c r="Z239">
        <v>611970</v>
      </c>
      <c r="AA239" t="s">
        <v>7031</v>
      </c>
      <c r="AB239" t="s">
        <v>2828</v>
      </c>
      <c r="AC239" t="s">
        <v>4152</v>
      </c>
      <c r="AD239" t="s">
        <v>3799</v>
      </c>
      <c r="AF239" t="s">
        <v>8319</v>
      </c>
      <c r="AG239" t="s">
        <v>8320</v>
      </c>
      <c r="AI239" t="s">
        <v>8321</v>
      </c>
      <c r="AM239" t="s">
        <v>3739</v>
      </c>
      <c r="AN239" t="s">
        <v>2055</v>
      </c>
      <c r="AO239" t="s">
        <v>8322</v>
      </c>
      <c r="AP239" t="s">
        <v>7024</v>
      </c>
      <c r="AT239" s="184"/>
      <c r="AW239" s="184"/>
      <c r="AZ239" s="184"/>
      <c r="BP239" s="184"/>
    </row>
    <row r="240" spans="1:68">
      <c r="A240">
        <v>613257</v>
      </c>
      <c r="B240">
        <v>613257</v>
      </c>
      <c r="C240" t="s">
        <v>7018</v>
      </c>
      <c r="D240" t="s">
        <v>595</v>
      </c>
      <c r="E240" s="184">
        <v>43745</v>
      </c>
      <c r="G240" s="184"/>
      <c r="K240" s="184"/>
      <c r="O240" s="184"/>
      <c r="P240" t="s">
        <v>7045</v>
      </c>
      <c r="Q240" t="s">
        <v>7454</v>
      </c>
      <c r="R240" s="184">
        <v>16473</v>
      </c>
      <c r="S240">
        <v>79</v>
      </c>
      <c r="V240" t="s">
        <v>3235</v>
      </c>
      <c r="W240" t="s">
        <v>2049</v>
      </c>
      <c r="X240" t="s">
        <v>8326</v>
      </c>
      <c r="Z240">
        <v>100447252</v>
      </c>
      <c r="AB240" t="s">
        <v>2832</v>
      </c>
      <c r="AC240" t="s">
        <v>205</v>
      </c>
      <c r="AD240" t="s">
        <v>3479</v>
      </c>
      <c r="AF240" t="s">
        <v>8327</v>
      </c>
      <c r="AG240" t="s">
        <v>8328</v>
      </c>
      <c r="AI240" t="s">
        <v>8329</v>
      </c>
      <c r="AM240" t="s">
        <v>4085</v>
      </c>
      <c r="AN240" t="s">
        <v>2055</v>
      </c>
      <c r="AO240" t="s">
        <v>8330</v>
      </c>
      <c r="AP240" t="s">
        <v>7024</v>
      </c>
      <c r="AQ240" t="s">
        <v>8331</v>
      </c>
      <c r="AT240" s="184">
        <v>30613</v>
      </c>
      <c r="AU240" t="s">
        <v>7073</v>
      </c>
      <c r="AV240">
        <v>50</v>
      </c>
      <c r="AW240" s="184">
        <v>45037</v>
      </c>
      <c r="AX240" t="s">
        <v>8332</v>
      </c>
      <c r="AY240">
        <v>150</v>
      </c>
      <c r="AZ240" s="184">
        <v>43818</v>
      </c>
      <c r="BA240" t="s">
        <v>8333</v>
      </c>
      <c r="BB240">
        <v>300</v>
      </c>
      <c r="BC240">
        <v>86</v>
      </c>
      <c r="BD240">
        <v>6261</v>
      </c>
      <c r="BE240">
        <v>1984</v>
      </c>
      <c r="BF240">
        <v>53</v>
      </c>
      <c r="BG240">
        <v>2</v>
      </c>
      <c r="BH240">
        <v>250</v>
      </c>
      <c r="BI240">
        <v>36</v>
      </c>
      <c r="BJ240">
        <v>42</v>
      </c>
      <c r="BK240">
        <v>29</v>
      </c>
      <c r="BN240" t="s">
        <v>595</v>
      </c>
    </row>
    <row r="241" spans="1:68">
      <c r="A241">
        <v>614032</v>
      </c>
      <c r="B241">
        <v>614032</v>
      </c>
      <c r="C241" t="s">
        <v>7018</v>
      </c>
      <c r="D241" t="s">
        <v>595</v>
      </c>
      <c r="E241" s="184">
        <v>44168</v>
      </c>
      <c r="K241" s="184"/>
      <c r="O241" s="184"/>
      <c r="P241" t="s">
        <v>7045</v>
      </c>
      <c r="Q241" t="s">
        <v>7454</v>
      </c>
      <c r="R241" s="184">
        <v>10526</v>
      </c>
      <c r="S241">
        <v>95</v>
      </c>
      <c r="U241" t="s">
        <v>7076</v>
      </c>
      <c r="V241" t="s">
        <v>8334</v>
      </c>
      <c r="X241" t="s">
        <v>8335</v>
      </c>
      <c r="AF241" t="s">
        <v>8336</v>
      </c>
      <c r="AG241" t="s">
        <v>8334</v>
      </c>
      <c r="AI241" t="s">
        <v>8337</v>
      </c>
      <c r="AM241" t="s">
        <v>4002</v>
      </c>
      <c r="AN241" t="s">
        <v>2055</v>
      </c>
      <c r="AO241" t="s">
        <v>8338</v>
      </c>
      <c r="AP241" t="s">
        <v>7024</v>
      </c>
      <c r="AQ241" t="s">
        <v>8339</v>
      </c>
      <c r="AR241" t="s">
        <v>8340</v>
      </c>
      <c r="AT241" s="184">
        <v>31054</v>
      </c>
      <c r="AU241" t="s">
        <v>8341</v>
      </c>
      <c r="AV241">
        <v>18</v>
      </c>
      <c r="AW241" s="184">
        <v>45287</v>
      </c>
      <c r="AX241" t="s">
        <v>8342</v>
      </c>
      <c r="AY241">
        <v>25</v>
      </c>
      <c r="AZ241" s="184">
        <v>41594</v>
      </c>
      <c r="BA241" t="s">
        <v>8343</v>
      </c>
      <c r="BB241">
        <v>35</v>
      </c>
      <c r="BC241">
        <v>58</v>
      </c>
      <c r="BD241">
        <v>566.70000000000005</v>
      </c>
      <c r="BE241">
        <v>1985</v>
      </c>
      <c r="BF241">
        <v>28</v>
      </c>
      <c r="BG241">
        <v>1</v>
      </c>
      <c r="BH241">
        <v>25</v>
      </c>
      <c r="BI241">
        <v>23</v>
      </c>
      <c r="BJ241">
        <v>40</v>
      </c>
      <c r="BK241">
        <v>3</v>
      </c>
      <c r="BP241" s="184"/>
    </row>
    <row r="242" spans="1:68">
      <c r="A242">
        <v>615815</v>
      </c>
      <c r="B242">
        <v>615815</v>
      </c>
      <c r="C242" t="s">
        <v>7018</v>
      </c>
      <c r="D242" t="s">
        <v>595</v>
      </c>
      <c r="E242" s="184">
        <v>44104</v>
      </c>
      <c r="K242" s="184"/>
      <c r="O242" s="184"/>
      <c r="P242" t="s">
        <v>7045</v>
      </c>
      <c r="Q242" t="s">
        <v>7454</v>
      </c>
      <c r="R242" s="184">
        <v>10774</v>
      </c>
      <c r="S242">
        <v>94</v>
      </c>
      <c r="V242" t="s">
        <v>3740</v>
      </c>
      <c r="W242" t="s">
        <v>5006</v>
      </c>
      <c r="X242" t="s">
        <v>8344</v>
      </c>
      <c r="Z242">
        <v>36711844</v>
      </c>
      <c r="AB242" t="s">
        <v>2795</v>
      </c>
      <c r="AC242" t="s">
        <v>2316</v>
      </c>
      <c r="AD242" t="s">
        <v>8344</v>
      </c>
      <c r="AF242" t="s">
        <v>8345</v>
      </c>
      <c r="AG242" t="s">
        <v>8346</v>
      </c>
      <c r="AI242" t="s">
        <v>8347</v>
      </c>
      <c r="AM242" t="s">
        <v>3855</v>
      </c>
      <c r="AN242" t="s">
        <v>2055</v>
      </c>
      <c r="AO242" t="s">
        <v>8348</v>
      </c>
      <c r="AP242" t="s">
        <v>7024</v>
      </c>
      <c r="AQ242" t="s">
        <v>8349</v>
      </c>
      <c r="AR242" t="s">
        <v>8350</v>
      </c>
      <c r="AT242" s="184">
        <v>30804</v>
      </c>
      <c r="AU242" t="s">
        <v>7073</v>
      </c>
      <c r="AV242">
        <v>18</v>
      </c>
      <c r="AW242" s="184">
        <v>44452</v>
      </c>
      <c r="AX242" t="s">
        <v>8351</v>
      </c>
      <c r="AY242">
        <v>35</v>
      </c>
      <c r="AZ242" s="184">
        <v>43586</v>
      </c>
      <c r="BA242" t="s">
        <v>8352</v>
      </c>
      <c r="BB242">
        <v>100</v>
      </c>
      <c r="BC242">
        <v>71</v>
      </c>
      <c r="BD242">
        <v>1165</v>
      </c>
      <c r="BE242">
        <v>1984</v>
      </c>
      <c r="BF242">
        <v>50</v>
      </c>
      <c r="BI242">
        <v>29</v>
      </c>
      <c r="BJ242">
        <v>41</v>
      </c>
      <c r="BK242">
        <v>10</v>
      </c>
      <c r="BN242" t="s">
        <v>595</v>
      </c>
      <c r="BP242" s="184"/>
    </row>
    <row r="243" spans="1:68">
      <c r="A243">
        <v>617837</v>
      </c>
      <c r="B243">
        <v>617837</v>
      </c>
      <c r="C243" t="s">
        <v>7018</v>
      </c>
      <c r="E243" s="184"/>
      <c r="G243" s="184"/>
      <c r="J243" t="s">
        <v>595</v>
      </c>
      <c r="K243" s="184">
        <v>37561</v>
      </c>
      <c r="O243" s="184"/>
      <c r="P243" t="s">
        <v>7045</v>
      </c>
      <c r="Q243" t="s">
        <v>7454</v>
      </c>
      <c r="R243" s="184"/>
      <c r="U243" t="s">
        <v>7031</v>
      </c>
      <c r="V243" t="s">
        <v>4382</v>
      </c>
      <c r="W243" t="s">
        <v>5364</v>
      </c>
      <c r="X243" t="s">
        <v>5591</v>
      </c>
      <c r="AF243" t="s">
        <v>6314</v>
      </c>
      <c r="AG243" t="s">
        <v>8353</v>
      </c>
      <c r="AI243" t="s">
        <v>8354</v>
      </c>
      <c r="AM243" t="s">
        <v>3855</v>
      </c>
      <c r="AN243" t="s">
        <v>2055</v>
      </c>
      <c r="AO243" t="s">
        <v>8355</v>
      </c>
      <c r="AP243" t="s">
        <v>7024</v>
      </c>
      <c r="AT243" s="184">
        <v>30680</v>
      </c>
      <c r="AU243" t="s">
        <v>8356</v>
      </c>
      <c r="AV243">
        <v>250</v>
      </c>
      <c r="AW243" s="184">
        <v>38055</v>
      </c>
      <c r="AX243" t="s">
        <v>8357</v>
      </c>
      <c r="AY243">
        <v>100</v>
      </c>
      <c r="AZ243" s="184">
        <v>30680</v>
      </c>
      <c r="BA243" t="s">
        <v>8356</v>
      </c>
      <c r="BB243">
        <v>250</v>
      </c>
      <c r="BC243">
        <v>31</v>
      </c>
      <c r="BD243">
        <v>1600</v>
      </c>
      <c r="BE243">
        <v>1984</v>
      </c>
      <c r="BF243">
        <v>15</v>
      </c>
      <c r="BI243">
        <v>13</v>
      </c>
      <c r="BJ243">
        <v>42</v>
      </c>
      <c r="BK243">
        <v>4</v>
      </c>
      <c r="BO243" t="s">
        <v>595</v>
      </c>
      <c r="BP243" s="184"/>
    </row>
    <row r="244" spans="1:68">
      <c r="A244">
        <v>618199</v>
      </c>
      <c r="B244">
        <v>618199</v>
      </c>
      <c r="C244" t="s">
        <v>7018</v>
      </c>
      <c r="D244" t="s">
        <v>595</v>
      </c>
      <c r="E244" s="184">
        <v>44104</v>
      </c>
      <c r="G244" s="184"/>
      <c r="K244" s="184"/>
      <c r="O244" s="184"/>
      <c r="P244" t="s">
        <v>7045</v>
      </c>
      <c r="Q244" t="s">
        <v>7454</v>
      </c>
      <c r="R244" s="184">
        <v>19960</v>
      </c>
      <c r="S244">
        <v>69</v>
      </c>
      <c r="U244" t="s">
        <v>7031</v>
      </c>
      <c r="V244" t="s">
        <v>4144</v>
      </c>
      <c r="W244" t="s">
        <v>3226</v>
      </c>
      <c r="X244" t="s">
        <v>8358</v>
      </c>
      <c r="AF244" t="s">
        <v>8359</v>
      </c>
      <c r="AG244" t="s">
        <v>4144</v>
      </c>
      <c r="AI244" t="s">
        <v>8360</v>
      </c>
      <c r="AM244" t="s">
        <v>4107</v>
      </c>
      <c r="AN244" t="s">
        <v>2055</v>
      </c>
      <c r="AO244" t="s">
        <v>8361</v>
      </c>
      <c r="AP244" t="s">
        <v>7024</v>
      </c>
      <c r="AT244" s="184">
        <v>30580</v>
      </c>
      <c r="AU244" t="s">
        <v>7586</v>
      </c>
      <c r="AV244">
        <v>25</v>
      </c>
      <c r="AW244" s="184">
        <v>33956</v>
      </c>
      <c r="AX244" t="s">
        <v>8362</v>
      </c>
      <c r="AY244">
        <v>40</v>
      </c>
      <c r="AZ244" s="184">
        <v>33956</v>
      </c>
      <c r="BA244" t="s">
        <v>8362</v>
      </c>
      <c r="BB244">
        <v>40</v>
      </c>
      <c r="BC244">
        <v>24</v>
      </c>
      <c r="BD244">
        <v>395</v>
      </c>
      <c r="BE244">
        <v>1984</v>
      </c>
      <c r="BF244">
        <v>13</v>
      </c>
      <c r="BI244">
        <v>10</v>
      </c>
      <c r="BJ244">
        <v>42</v>
      </c>
      <c r="BK244">
        <v>10</v>
      </c>
      <c r="BP244" s="184"/>
    </row>
    <row r="245" spans="1:68">
      <c r="A245">
        <v>620856</v>
      </c>
      <c r="B245">
        <v>620856</v>
      </c>
      <c r="C245" t="s">
        <v>7018</v>
      </c>
      <c r="D245" t="s">
        <v>595</v>
      </c>
      <c r="E245" s="184">
        <v>44104</v>
      </c>
      <c r="K245" s="184"/>
      <c r="O245" s="184"/>
      <c r="P245" t="s">
        <v>7045</v>
      </c>
      <c r="Q245" t="s">
        <v>7454</v>
      </c>
      <c r="R245" s="184">
        <v>19146</v>
      </c>
      <c r="S245">
        <v>71</v>
      </c>
      <c r="V245" t="s">
        <v>8363</v>
      </c>
      <c r="W245" t="s">
        <v>7695</v>
      </c>
      <c r="X245" t="s">
        <v>8364</v>
      </c>
      <c r="Z245">
        <v>100009054</v>
      </c>
      <c r="AB245" t="s">
        <v>3235</v>
      </c>
      <c r="AD245" t="s">
        <v>5414</v>
      </c>
      <c r="AF245" t="s">
        <v>8365</v>
      </c>
      <c r="AG245" t="s">
        <v>8366</v>
      </c>
      <c r="AI245" t="s">
        <v>8367</v>
      </c>
      <c r="AM245" t="s">
        <v>8368</v>
      </c>
      <c r="AN245" t="s">
        <v>2055</v>
      </c>
      <c r="AO245" t="s">
        <v>8369</v>
      </c>
      <c r="AP245" t="s">
        <v>7024</v>
      </c>
      <c r="AT245" s="184">
        <v>30712</v>
      </c>
      <c r="AU245" t="s">
        <v>7073</v>
      </c>
      <c r="AV245">
        <v>18</v>
      </c>
      <c r="AW245" s="184">
        <v>45002</v>
      </c>
      <c r="AX245" t="s">
        <v>8370</v>
      </c>
      <c r="AY245">
        <v>50</v>
      </c>
      <c r="AZ245" s="184">
        <v>44277</v>
      </c>
      <c r="BA245" t="s">
        <v>8371</v>
      </c>
      <c r="BB245">
        <v>100</v>
      </c>
      <c r="BC245">
        <v>66</v>
      </c>
      <c r="BD245">
        <v>1723</v>
      </c>
      <c r="BE245">
        <v>1984</v>
      </c>
      <c r="BF245">
        <v>34</v>
      </c>
      <c r="BG245">
        <v>1</v>
      </c>
      <c r="BH245">
        <v>50</v>
      </c>
      <c r="BI245">
        <v>27</v>
      </c>
      <c r="BJ245">
        <v>41</v>
      </c>
      <c r="BK245">
        <v>11</v>
      </c>
      <c r="BP245" s="184"/>
    </row>
    <row r="246" spans="1:68">
      <c r="A246">
        <v>100009054</v>
      </c>
      <c r="B246">
        <v>620856</v>
      </c>
      <c r="C246" t="s">
        <v>7018</v>
      </c>
      <c r="D246" t="s">
        <v>595</v>
      </c>
      <c r="E246" s="184">
        <v>44104</v>
      </c>
      <c r="K246" s="184"/>
      <c r="O246" s="184"/>
      <c r="P246" t="s">
        <v>7045</v>
      </c>
      <c r="Q246" t="s">
        <v>7454</v>
      </c>
      <c r="R246" s="184">
        <v>19146</v>
      </c>
      <c r="S246">
        <v>71</v>
      </c>
      <c r="V246" t="s">
        <v>3235</v>
      </c>
      <c r="X246" t="s">
        <v>5414</v>
      </c>
      <c r="Z246">
        <v>620856</v>
      </c>
      <c r="AB246" t="s">
        <v>8363</v>
      </c>
      <c r="AC246" t="s">
        <v>7695</v>
      </c>
      <c r="AD246" t="s">
        <v>8364</v>
      </c>
      <c r="AF246" t="s">
        <v>8365</v>
      </c>
      <c r="AG246" t="s">
        <v>8366</v>
      </c>
      <c r="AI246" t="s">
        <v>8367</v>
      </c>
      <c r="AM246" t="s">
        <v>8368</v>
      </c>
      <c r="AN246" t="s">
        <v>2055</v>
      </c>
      <c r="AO246" t="s">
        <v>8369</v>
      </c>
      <c r="AP246" t="s">
        <v>7024</v>
      </c>
      <c r="AT246" s="184"/>
      <c r="AW246" s="184"/>
      <c r="AZ246" s="184"/>
      <c r="BP246" s="184"/>
    </row>
    <row r="247" spans="1:68">
      <c r="A247">
        <v>621805</v>
      </c>
      <c r="B247">
        <v>621805</v>
      </c>
      <c r="C247" t="s">
        <v>7018</v>
      </c>
      <c r="E247" s="184"/>
      <c r="G247" s="184"/>
      <c r="K247" s="184"/>
      <c r="N247" t="s">
        <v>595</v>
      </c>
      <c r="O247" s="184">
        <v>37431</v>
      </c>
      <c r="P247" t="s">
        <v>7045</v>
      </c>
      <c r="Q247" t="s">
        <v>7454</v>
      </c>
      <c r="R247" s="184"/>
      <c r="U247" t="s">
        <v>7130</v>
      </c>
      <c r="V247" t="s">
        <v>5913</v>
      </c>
      <c r="W247" t="s">
        <v>7046</v>
      </c>
      <c r="X247" t="s">
        <v>5911</v>
      </c>
      <c r="Z247">
        <v>100179379</v>
      </c>
      <c r="AA247" t="s">
        <v>7031</v>
      </c>
      <c r="AB247" t="s">
        <v>3373</v>
      </c>
      <c r="AC247" t="s">
        <v>7356</v>
      </c>
      <c r="AD247" t="s">
        <v>5911</v>
      </c>
      <c r="AE247" t="s">
        <v>7431</v>
      </c>
      <c r="AF247" t="s">
        <v>8372</v>
      </c>
      <c r="AG247" t="s">
        <v>8373</v>
      </c>
      <c r="AI247" t="s">
        <v>8374</v>
      </c>
      <c r="AM247" t="s">
        <v>5912</v>
      </c>
      <c r="AN247" t="s">
        <v>2055</v>
      </c>
      <c r="AO247">
        <v>99036</v>
      </c>
      <c r="AP247" t="s">
        <v>7024</v>
      </c>
      <c r="AT247" s="184">
        <v>30529</v>
      </c>
      <c r="AU247" t="s">
        <v>8375</v>
      </c>
      <c r="AV247">
        <v>15</v>
      </c>
      <c r="AW247" s="184">
        <v>39654</v>
      </c>
      <c r="AX247" t="s">
        <v>8376</v>
      </c>
      <c r="AY247">
        <v>50</v>
      </c>
      <c r="AZ247" s="184">
        <v>35985</v>
      </c>
      <c r="BA247" t="s">
        <v>7929</v>
      </c>
      <c r="BB247">
        <v>11234</v>
      </c>
      <c r="BC247">
        <v>58</v>
      </c>
      <c r="BD247">
        <v>14479</v>
      </c>
      <c r="BE247">
        <v>1984</v>
      </c>
      <c r="BF247">
        <v>77</v>
      </c>
      <c r="BI247">
        <v>24</v>
      </c>
      <c r="BJ247">
        <v>42</v>
      </c>
      <c r="BK247">
        <v>18</v>
      </c>
      <c r="BO247" t="s">
        <v>595</v>
      </c>
      <c r="BP247" s="184">
        <v>40052</v>
      </c>
    </row>
    <row r="248" spans="1:68">
      <c r="A248">
        <v>100179379</v>
      </c>
      <c r="B248">
        <v>621805</v>
      </c>
      <c r="C248" t="s">
        <v>7018</v>
      </c>
      <c r="G248" s="184"/>
      <c r="K248" s="184"/>
      <c r="N248" t="s">
        <v>595</v>
      </c>
      <c r="O248" s="184">
        <v>37431</v>
      </c>
      <c r="P248" t="s">
        <v>7045</v>
      </c>
      <c r="Q248" t="s">
        <v>7454</v>
      </c>
      <c r="R248" s="184"/>
      <c r="U248" t="s">
        <v>7031</v>
      </c>
      <c r="V248" t="s">
        <v>3373</v>
      </c>
      <c r="W248" t="s">
        <v>7356</v>
      </c>
      <c r="X248" t="s">
        <v>5911</v>
      </c>
      <c r="Y248" t="s">
        <v>7431</v>
      </c>
      <c r="Z248">
        <v>621805</v>
      </c>
      <c r="AA248" t="s">
        <v>7130</v>
      </c>
      <c r="AB248" t="s">
        <v>5913</v>
      </c>
      <c r="AC248" t="s">
        <v>7046</v>
      </c>
      <c r="AD248" t="s">
        <v>5911</v>
      </c>
      <c r="AF248" t="s">
        <v>8372</v>
      </c>
      <c r="AG248" t="s">
        <v>8373</v>
      </c>
      <c r="AI248" t="s">
        <v>8374</v>
      </c>
      <c r="AM248" t="s">
        <v>5912</v>
      </c>
      <c r="AN248" t="s">
        <v>2055</v>
      </c>
      <c r="AO248">
        <v>99036</v>
      </c>
      <c r="AP248" t="s">
        <v>7024</v>
      </c>
      <c r="AT248" s="184"/>
      <c r="AW248" s="184"/>
      <c r="AZ248" s="184"/>
      <c r="BO248" t="s">
        <v>595</v>
      </c>
      <c r="BP248" s="184"/>
    </row>
    <row r="249" spans="1:68">
      <c r="A249">
        <v>624247</v>
      </c>
      <c r="B249">
        <v>624247</v>
      </c>
      <c r="C249" t="s">
        <v>7018</v>
      </c>
      <c r="G249" s="184"/>
      <c r="I249" s="184"/>
      <c r="J249" t="s">
        <v>595</v>
      </c>
      <c r="K249" s="184">
        <v>37436</v>
      </c>
      <c r="O249" s="184"/>
      <c r="P249" t="s">
        <v>7045</v>
      </c>
      <c r="Q249" t="s">
        <v>7454</v>
      </c>
      <c r="R249" s="184">
        <v>19906</v>
      </c>
      <c r="S249">
        <v>69</v>
      </c>
      <c r="U249" t="s">
        <v>7031</v>
      </c>
      <c r="V249" t="s">
        <v>4613</v>
      </c>
      <c r="X249" t="s">
        <v>8377</v>
      </c>
      <c r="AF249" t="s">
        <v>6225</v>
      </c>
      <c r="AG249" t="s">
        <v>4613</v>
      </c>
      <c r="AI249" t="s">
        <v>8378</v>
      </c>
      <c r="AM249" t="s">
        <v>8379</v>
      </c>
      <c r="AN249" t="s">
        <v>2055</v>
      </c>
      <c r="AO249" t="s">
        <v>8380</v>
      </c>
      <c r="AP249" t="s">
        <v>7024</v>
      </c>
      <c r="AQ249" t="s">
        <v>8381</v>
      </c>
      <c r="AR249" t="s">
        <v>8382</v>
      </c>
      <c r="AT249" s="184">
        <v>30761</v>
      </c>
      <c r="AU249" t="s">
        <v>7073</v>
      </c>
      <c r="AV249">
        <v>18</v>
      </c>
      <c r="AW249" s="184">
        <v>45189</v>
      </c>
      <c r="AX249" t="s">
        <v>8383</v>
      </c>
      <c r="AY249">
        <v>50</v>
      </c>
      <c r="AZ249" s="184">
        <v>45131</v>
      </c>
      <c r="BA249" t="s">
        <v>8384</v>
      </c>
      <c r="BB249">
        <v>100</v>
      </c>
      <c r="BC249">
        <v>96</v>
      </c>
      <c r="BD249">
        <v>3244</v>
      </c>
      <c r="BE249">
        <v>1984</v>
      </c>
      <c r="BF249">
        <v>78</v>
      </c>
      <c r="BG249">
        <v>6</v>
      </c>
      <c r="BH249">
        <v>440</v>
      </c>
      <c r="BI249">
        <v>39</v>
      </c>
      <c r="BJ249">
        <v>41</v>
      </c>
      <c r="BK249">
        <v>36</v>
      </c>
      <c r="BP249" s="184"/>
    </row>
    <row r="250" spans="1:68">
      <c r="A250">
        <v>626697</v>
      </c>
      <c r="B250">
        <v>626697</v>
      </c>
      <c r="C250" t="s">
        <v>7018</v>
      </c>
      <c r="E250" s="184"/>
      <c r="G250" s="184"/>
      <c r="J250" t="s">
        <v>595</v>
      </c>
      <c r="K250" s="184">
        <v>43248</v>
      </c>
      <c r="O250" s="184"/>
      <c r="P250" t="s">
        <v>7045</v>
      </c>
      <c r="Q250" t="s">
        <v>8385</v>
      </c>
      <c r="R250" s="184">
        <v>17227</v>
      </c>
      <c r="S250">
        <v>77</v>
      </c>
      <c r="V250" t="s">
        <v>3961</v>
      </c>
      <c r="W250" t="s">
        <v>4139</v>
      </c>
      <c r="X250" t="s">
        <v>8386</v>
      </c>
      <c r="AF250" t="s">
        <v>6261</v>
      </c>
      <c r="AG250" t="s">
        <v>3961</v>
      </c>
      <c r="AI250" t="s">
        <v>8387</v>
      </c>
      <c r="AM250" t="s">
        <v>5680</v>
      </c>
      <c r="AN250" t="s">
        <v>2181</v>
      </c>
      <c r="AO250" t="s">
        <v>8388</v>
      </c>
      <c r="AP250" t="s">
        <v>7024</v>
      </c>
      <c r="AQ250" t="s">
        <v>8389</v>
      </c>
      <c r="AT250" s="184">
        <v>30616</v>
      </c>
      <c r="AU250" t="s">
        <v>7073</v>
      </c>
      <c r="AV250">
        <v>25</v>
      </c>
      <c r="AW250" s="184">
        <v>45265</v>
      </c>
      <c r="AX250" t="s">
        <v>8390</v>
      </c>
      <c r="AY250">
        <v>50</v>
      </c>
      <c r="AZ250" s="184">
        <v>44756</v>
      </c>
      <c r="BA250" t="s">
        <v>8391</v>
      </c>
      <c r="BB250">
        <v>100</v>
      </c>
      <c r="BC250">
        <v>89</v>
      </c>
      <c r="BD250">
        <v>2397</v>
      </c>
      <c r="BE250">
        <v>1984</v>
      </c>
      <c r="BF250">
        <v>45</v>
      </c>
      <c r="BG250">
        <v>2</v>
      </c>
      <c r="BH250">
        <v>150</v>
      </c>
      <c r="BI250">
        <v>37</v>
      </c>
      <c r="BJ250">
        <v>42</v>
      </c>
      <c r="BK250">
        <v>20</v>
      </c>
      <c r="BN250" t="s">
        <v>595</v>
      </c>
      <c r="BP250" s="184"/>
    </row>
    <row r="251" spans="1:68">
      <c r="A251">
        <v>626713</v>
      </c>
      <c r="B251">
        <v>626713</v>
      </c>
      <c r="C251" t="s">
        <v>7018</v>
      </c>
      <c r="G251" s="184"/>
      <c r="J251" t="s">
        <v>595</v>
      </c>
      <c r="K251" s="184">
        <v>39377</v>
      </c>
      <c r="O251" s="184"/>
      <c r="P251" t="s">
        <v>7029</v>
      </c>
      <c r="Q251" t="s">
        <v>7383</v>
      </c>
      <c r="R251" s="184">
        <v>14337</v>
      </c>
      <c r="S251">
        <v>85</v>
      </c>
      <c r="U251" t="s">
        <v>7130</v>
      </c>
      <c r="V251" t="s">
        <v>2586</v>
      </c>
      <c r="W251" t="s">
        <v>7396</v>
      </c>
      <c r="X251" t="s">
        <v>8392</v>
      </c>
      <c r="Z251">
        <v>100009078</v>
      </c>
      <c r="AA251" t="s">
        <v>7031</v>
      </c>
      <c r="AB251" t="s">
        <v>3206</v>
      </c>
      <c r="AC251" t="s">
        <v>4139</v>
      </c>
      <c r="AD251" t="s">
        <v>8392</v>
      </c>
      <c r="AF251" t="s">
        <v>8393</v>
      </c>
      <c r="AG251" t="s">
        <v>8394</v>
      </c>
      <c r="AI251" t="s">
        <v>8395</v>
      </c>
      <c r="AM251" t="s">
        <v>4965</v>
      </c>
      <c r="AN251" t="s">
        <v>2144</v>
      </c>
      <c r="AO251" t="s">
        <v>8396</v>
      </c>
      <c r="AP251" t="s">
        <v>7024</v>
      </c>
      <c r="AQ251" t="s">
        <v>8397</v>
      </c>
      <c r="AT251" s="184">
        <v>30508</v>
      </c>
      <c r="AU251" t="s">
        <v>8398</v>
      </c>
      <c r="AV251">
        <v>50</v>
      </c>
      <c r="AW251" s="184">
        <v>43473</v>
      </c>
      <c r="AX251" t="s">
        <v>8399</v>
      </c>
      <c r="AY251">
        <v>2000</v>
      </c>
      <c r="AZ251" s="184">
        <v>43473</v>
      </c>
      <c r="BA251" t="s">
        <v>8399</v>
      </c>
      <c r="BB251">
        <v>2000</v>
      </c>
      <c r="BC251">
        <v>86</v>
      </c>
      <c r="BD251">
        <v>20877.75</v>
      </c>
      <c r="BE251">
        <v>1984</v>
      </c>
      <c r="BF251">
        <v>98</v>
      </c>
      <c r="BI251">
        <v>36</v>
      </c>
      <c r="BJ251">
        <v>42</v>
      </c>
      <c r="BK251">
        <v>35</v>
      </c>
      <c r="BN251" t="s">
        <v>595</v>
      </c>
      <c r="BP251" s="184"/>
    </row>
    <row r="252" spans="1:68">
      <c r="A252">
        <v>100009078</v>
      </c>
      <c r="B252">
        <v>626713</v>
      </c>
      <c r="C252" t="s">
        <v>7018</v>
      </c>
      <c r="G252" s="184"/>
      <c r="J252" t="s">
        <v>595</v>
      </c>
      <c r="K252" s="184">
        <v>39377</v>
      </c>
      <c r="O252" s="184"/>
      <c r="P252" t="s">
        <v>7029</v>
      </c>
      <c r="Q252" t="s">
        <v>7383</v>
      </c>
      <c r="R252" s="184">
        <v>11383</v>
      </c>
      <c r="S252">
        <v>93</v>
      </c>
      <c r="U252" t="s">
        <v>7031</v>
      </c>
      <c r="V252" t="s">
        <v>3206</v>
      </c>
      <c r="W252" t="s">
        <v>4139</v>
      </c>
      <c r="X252" t="s">
        <v>8392</v>
      </c>
      <c r="Z252">
        <v>626713</v>
      </c>
      <c r="AA252" t="s">
        <v>7130</v>
      </c>
      <c r="AB252" t="s">
        <v>2586</v>
      </c>
      <c r="AC252" t="s">
        <v>7396</v>
      </c>
      <c r="AD252" t="s">
        <v>8392</v>
      </c>
      <c r="AF252" t="s">
        <v>8393</v>
      </c>
      <c r="AG252" t="s">
        <v>8394</v>
      </c>
      <c r="AI252" t="s">
        <v>8395</v>
      </c>
      <c r="AM252" t="s">
        <v>4965</v>
      </c>
      <c r="AN252" t="s">
        <v>2144</v>
      </c>
      <c r="AO252" t="s">
        <v>8396</v>
      </c>
      <c r="AP252" t="s">
        <v>7024</v>
      </c>
      <c r="AQ252" t="s">
        <v>8400</v>
      </c>
      <c r="AT252" s="184"/>
      <c r="AW252" s="184"/>
      <c r="AZ252" s="184"/>
      <c r="BP252" s="184"/>
    </row>
    <row r="253" spans="1:68">
      <c r="A253">
        <v>627141</v>
      </c>
      <c r="B253">
        <v>627141</v>
      </c>
      <c r="C253" t="s">
        <v>7018</v>
      </c>
      <c r="G253" s="184"/>
      <c r="K253" s="184"/>
      <c r="N253" t="s">
        <v>595</v>
      </c>
      <c r="O253" s="184">
        <v>38561</v>
      </c>
      <c r="P253" t="s">
        <v>7019</v>
      </c>
      <c r="Q253" t="s">
        <v>8385</v>
      </c>
      <c r="R253" s="184">
        <v>7813</v>
      </c>
      <c r="S253">
        <v>102</v>
      </c>
      <c r="U253" t="s">
        <v>7032</v>
      </c>
      <c r="V253" t="s">
        <v>3000</v>
      </c>
      <c r="W253" t="s">
        <v>4382</v>
      </c>
      <c r="X253" t="s">
        <v>3862</v>
      </c>
      <c r="AF253" t="s">
        <v>8401</v>
      </c>
      <c r="AG253" t="s">
        <v>8402</v>
      </c>
      <c r="AI253" t="s">
        <v>8403</v>
      </c>
      <c r="AM253" t="s">
        <v>5680</v>
      </c>
      <c r="AN253" t="s">
        <v>2181</v>
      </c>
      <c r="AO253">
        <v>99712</v>
      </c>
      <c r="AP253" t="s">
        <v>7024</v>
      </c>
      <c r="AQ253" t="s">
        <v>8404</v>
      </c>
      <c r="AT253" s="184">
        <v>30769</v>
      </c>
      <c r="AU253" t="s">
        <v>7073</v>
      </c>
      <c r="AV253">
        <v>18</v>
      </c>
      <c r="AW253" s="184">
        <v>40210</v>
      </c>
      <c r="AX253" t="s">
        <v>8405</v>
      </c>
      <c r="AY253">
        <v>40</v>
      </c>
      <c r="AZ253" s="184">
        <v>38561</v>
      </c>
      <c r="BA253" t="s">
        <v>8406</v>
      </c>
      <c r="BB253">
        <v>20839</v>
      </c>
      <c r="BC253">
        <v>66</v>
      </c>
      <c r="BD253">
        <v>24800</v>
      </c>
      <c r="BE253">
        <v>1984</v>
      </c>
      <c r="BF253">
        <v>68</v>
      </c>
      <c r="BI253">
        <v>27</v>
      </c>
      <c r="BJ253">
        <v>41</v>
      </c>
      <c r="BK253">
        <v>27</v>
      </c>
      <c r="BO253" t="s">
        <v>595</v>
      </c>
      <c r="BP253" s="184">
        <v>42312</v>
      </c>
    </row>
    <row r="254" spans="1:68">
      <c r="A254">
        <v>636233</v>
      </c>
      <c r="B254">
        <v>636233</v>
      </c>
      <c r="C254" t="s">
        <v>7018</v>
      </c>
      <c r="G254" s="184"/>
      <c r="I254" s="184"/>
      <c r="J254" t="s">
        <v>595</v>
      </c>
      <c r="K254" s="184">
        <v>43789</v>
      </c>
      <c r="O254" s="184"/>
      <c r="P254" t="s">
        <v>7084</v>
      </c>
      <c r="Q254" t="s">
        <v>7383</v>
      </c>
      <c r="R254" s="184">
        <v>19782</v>
      </c>
      <c r="S254">
        <v>70</v>
      </c>
      <c r="U254" t="s">
        <v>7076</v>
      </c>
      <c r="V254" t="s">
        <v>3545</v>
      </c>
      <c r="X254" t="s">
        <v>5308</v>
      </c>
      <c r="Z254">
        <v>100009124</v>
      </c>
      <c r="AA254" t="s">
        <v>7031</v>
      </c>
      <c r="AB254" t="s">
        <v>5309</v>
      </c>
      <c r="AC254" t="s">
        <v>4152</v>
      </c>
      <c r="AD254" t="s">
        <v>4472</v>
      </c>
      <c r="AF254" t="s">
        <v>8407</v>
      </c>
      <c r="AG254" t="s">
        <v>8408</v>
      </c>
      <c r="AI254" t="s">
        <v>8409</v>
      </c>
      <c r="AM254" t="s">
        <v>8410</v>
      </c>
      <c r="AN254" t="s">
        <v>2185</v>
      </c>
      <c r="AO254" t="s">
        <v>8411</v>
      </c>
      <c r="AP254" t="s">
        <v>7024</v>
      </c>
      <c r="AQ254" t="s">
        <v>8412</v>
      </c>
      <c r="AR254" t="s">
        <v>8413</v>
      </c>
      <c r="AT254" s="184">
        <v>31309</v>
      </c>
      <c r="AU254" t="s">
        <v>8414</v>
      </c>
      <c r="AV254">
        <v>100</v>
      </c>
      <c r="AW254" s="184">
        <v>45382</v>
      </c>
      <c r="AX254" t="s">
        <v>8415</v>
      </c>
      <c r="AY254">
        <v>100000</v>
      </c>
      <c r="AZ254" s="184">
        <v>45013</v>
      </c>
      <c r="BA254" t="s">
        <v>8416</v>
      </c>
      <c r="BB254">
        <v>300000</v>
      </c>
      <c r="BC254">
        <v>83</v>
      </c>
      <c r="BD254">
        <v>2683357.73</v>
      </c>
      <c r="BE254">
        <v>1986</v>
      </c>
      <c r="BF254">
        <v>82</v>
      </c>
      <c r="BG254">
        <v>11</v>
      </c>
      <c r="BH254">
        <v>818500</v>
      </c>
      <c r="BI254">
        <v>33</v>
      </c>
      <c r="BJ254">
        <v>40</v>
      </c>
      <c r="BK254">
        <v>13</v>
      </c>
      <c r="BP254" s="184"/>
    </row>
    <row r="255" spans="1:68">
      <c r="A255">
        <v>100009124</v>
      </c>
      <c r="B255">
        <v>636233</v>
      </c>
      <c r="C255" t="s">
        <v>7018</v>
      </c>
      <c r="E255" s="184"/>
      <c r="G255" s="184"/>
      <c r="I255" s="184"/>
      <c r="J255" t="s">
        <v>595</v>
      </c>
      <c r="K255" s="184">
        <v>43789</v>
      </c>
      <c r="P255" t="s">
        <v>7084</v>
      </c>
      <c r="Q255" t="s">
        <v>7383</v>
      </c>
      <c r="R255" s="184">
        <v>19837</v>
      </c>
      <c r="S255">
        <v>70</v>
      </c>
      <c r="T255" t="s">
        <v>3393</v>
      </c>
      <c r="U255" t="s">
        <v>7031</v>
      </c>
      <c r="V255" t="s">
        <v>5309</v>
      </c>
      <c r="W255" t="s">
        <v>4152</v>
      </c>
      <c r="X255" t="s">
        <v>4472</v>
      </c>
      <c r="Z255">
        <v>636233</v>
      </c>
      <c r="AA255" t="s">
        <v>7076</v>
      </c>
      <c r="AB255" t="s">
        <v>3545</v>
      </c>
      <c r="AD255" t="s">
        <v>5308</v>
      </c>
      <c r="AF255" t="s">
        <v>8407</v>
      </c>
      <c r="AG255" t="s">
        <v>8408</v>
      </c>
      <c r="AI255" t="s">
        <v>8409</v>
      </c>
      <c r="AM255" t="s">
        <v>8410</v>
      </c>
      <c r="AN255" t="s">
        <v>2185</v>
      </c>
      <c r="AO255" t="s">
        <v>8411</v>
      </c>
      <c r="AP255" t="s">
        <v>7024</v>
      </c>
      <c r="AQ255" t="s">
        <v>8417</v>
      </c>
      <c r="AT255" s="184"/>
      <c r="AW255" s="184"/>
      <c r="AZ255" s="184"/>
      <c r="BP255" s="184"/>
    </row>
    <row r="256" spans="1:68">
      <c r="A256">
        <v>639096</v>
      </c>
      <c r="B256">
        <v>639096</v>
      </c>
      <c r="C256" t="s">
        <v>7018</v>
      </c>
      <c r="E256" s="184"/>
      <c r="G256" s="184"/>
      <c r="J256" t="s">
        <v>595</v>
      </c>
      <c r="K256" s="184">
        <v>43731</v>
      </c>
      <c r="O256" s="184"/>
      <c r="P256" t="s">
        <v>7045</v>
      </c>
      <c r="Q256" t="s">
        <v>7160</v>
      </c>
      <c r="R256" s="184">
        <v>16270</v>
      </c>
      <c r="S256">
        <v>79</v>
      </c>
      <c r="U256" t="s">
        <v>7076</v>
      </c>
      <c r="V256" t="s">
        <v>3470</v>
      </c>
      <c r="W256" t="s">
        <v>5006</v>
      </c>
      <c r="X256" t="s">
        <v>3808</v>
      </c>
      <c r="AF256" t="s">
        <v>6661</v>
      </c>
      <c r="AG256" t="s">
        <v>3470</v>
      </c>
      <c r="AI256" t="s">
        <v>8418</v>
      </c>
      <c r="AM256" t="s">
        <v>3809</v>
      </c>
      <c r="AN256" t="s">
        <v>2413</v>
      </c>
      <c r="AO256" t="s">
        <v>8419</v>
      </c>
      <c r="AP256" t="s">
        <v>7024</v>
      </c>
      <c r="AQ256" t="s">
        <v>8420</v>
      </c>
      <c r="AR256" t="s">
        <v>8421</v>
      </c>
      <c r="AT256" s="184">
        <v>31337</v>
      </c>
      <c r="AU256" t="s">
        <v>8422</v>
      </c>
      <c r="AV256">
        <v>5</v>
      </c>
      <c r="AW256" s="184">
        <v>45097</v>
      </c>
      <c r="AX256" t="s">
        <v>8423</v>
      </c>
      <c r="AY256">
        <v>25</v>
      </c>
      <c r="AZ256" s="184">
        <v>45097</v>
      </c>
      <c r="BA256" t="s">
        <v>8423</v>
      </c>
      <c r="BB256">
        <v>25</v>
      </c>
      <c r="BC256">
        <v>55</v>
      </c>
      <c r="BD256">
        <v>295</v>
      </c>
      <c r="BE256">
        <v>1986</v>
      </c>
      <c r="BF256">
        <v>25</v>
      </c>
      <c r="BG256">
        <v>1</v>
      </c>
      <c r="BH256">
        <v>25</v>
      </c>
      <c r="BI256">
        <v>22</v>
      </c>
      <c r="BJ256">
        <v>40</v>
      </c>
      <c r="BK256">
        <v>14</v>
      </c>
      <c r="BP256" s="184"/>
    </row>
    <row r="257" spans="1:68">
      <c r="A257">
        <v>647552</v>
      </c>
      <c r="B257">
        <v>647552</v>
      </c>
      <c r="C257" t="s">
        <v>7018</v>
      </c>
      <c r="F257" t="s">
        <v>595</v>
      </c>
      <c r="G257" s="184">
        <v>43731</v>
      </c>
      <c r="I257" s="184"/>
      <c r="K257" s="184"/>
      <c r="O257" s="184"/>
      <c r="P257" t="s">
        <v>7019</v>
      </c>
      <c r="Q257" t="s">
        <v>7454</v>
      </c>
      <c r="R257" s="184">
        <v>18507</v>
      </c>
      <c r="S257">
        <v>73</v>
      </c>
      <c r="V257" t="s">
        <v>3889</v>
      </c>
      <c r="W257" t="s">
        <v>3332</v>
      </c>
      <c r="X257" t="s">
        <v>3890</v>
      </c>
      <c r="Z257">
        <v>100009157</v>
      </c>
      <c r="AB257" t="s">
        <v>4599</v>
      </c>
      <c r="AC257" t="s">
        <v>3226</v>
      </c>
      <c r="AD257" t="s">
        <v>3890</v>
      </c>
      <c r="AF257" t="s">
        <v>8424</v>
      </c>
      <c r="AG257" t="s">
        <v>8425</v>
      </c>
      <c r="AI257" t="s">
        <v>8426</v>
      </c>
      <c r="AM257" t="s">
        <v>3891</v>
      </c>
      <c r="AN257" t="s">
        <v>2055</v>
      </c>
      <c r="AO257" t="s">
        <v>8427</v>
      </c>
      <c r="AP257" t="s">
        <v>7024</v>
      </c>
      <c r="AQ257" t="s">
        <v>8428</v>
      </c>
      <c r="AR257" t="s">
        <v>8429</v>
      </c>
      <c r="AT257" s="184">
        <v>31341</v>
      </c>
      <c r="AU257" t="s">
        <v>8430</v>
      </c>
      <c r="AV257">
        <v>18</v>
      </c>
      <c r="AW257" s="184">
        <v>45140</v>
      </c>
      <c r="AX257" t="s">
        <v>8431</v>
      </c>
      <c r="AY257">
        <v>10</v>
      </c>
      <c r="AZ257" s="184">
        <v>44284</v>
      </c>
      <c r="BA257" t="s">
        <v>8432</v>
      </c>
      <c r="BB257">
        <v>87</v>
      </c>
      <c r="BC257">
        <v>88</v>
      </c>
      <c r="BD257">
        <v>1124</v>
      </c>
      <c r="BE257">
        <v>1986</v>
      </c>
      <c r="BF257">
        <v>60</v>
      </c>
      <c r="BG257">
        <v>2</v>
      </c>
      <c r="BH257">
        <v>20</v>
      </c>
      <c r="BI257">
        <v>35</v>
      </c>
      <c r="BJ257">
        <v>40</v>
      </c>
      <c r="BK257">
        <v>10</v>
      </c>
      <c r="BP257" s="184"/>
    </row>
    <row r="258" spans="1:68">
      <c r="A258">
        <v>100009157</v>
      </c>
      <c r="B258">
        <v>647552</v>
      </c>
      <c r="C258" t="s">
        <v>7018</v>
      </c>
      <c r="E258" s="184"/>
      <c r="F258" t="s">
        <v>595</v>
      </c>
      <c r="G258" s="184">
        <v>43731</v>
      </c>
      <c r="I258" s="184"/>
      <c r="K258" s="184"/>
      <c r="O258" s="184"/>
      <c r="P258" t="s">
        <v>7019</v>
      </c>
      <c r="Q258" t="s">
        <v>7454</v>
      </c>
      <c r="R258" s="184">
        <v>18507</v>
      </c>
      <c r="S258">
        <v>73</v>
      </c>
      <c r="V258" t="s">
        <v>4599</v>
      </c>
      <c r="W258" t="s">
        <v>3226</v>
      </c>
      <c r="X258" t="s">
        <v>3890</v>
      </c>
      <c r="Z258">
        <v>647552</v>
      </c>
      <c r="AB258" t="s">
        <v>3889</v>
      </c>
      <c r="AC258" t="s">
        <v>3332</v>
      </c>
      <c r="AD258" t="s">
        <v>3890</v>
      </c>
      <c r="AF258" t="s">
        <v>8424</v>
      </c>
      <c r="AG258" t="s">
        <v>8425</v>
      </c>
      <c r="AI258" t="s">
        <v>8426</v>
      </c>
      <c r="AM258" t="s">
        <v>3891</v>
      </c>
      <c r="AN258" t="s">
        <v>2055</v>
      </c>
      <c r="AO258" t="s">
        <v>8427</v>
      </c>
      <c r="AP258" t="s">
        <v>7024</v>
      </c>
      <c r="AT258" s="184"/>
      <c r="AW258" s="184"/>
      <c r="AZ258" s="184"/>
      <c r="BP258" s="184"/>
    </row>
    <row r="259" spans="1:68">
      <c r="A259">
        <v>650374</v>
      </c>
      <c r="B259">
        <v>650374</v>
      </c>
      <c r="C259" t="s">
        <v>7018</v>
      </c>
      <c r="E259" s="184"/>
      <c r="G259" s="184"/>
      <c r="I259" s="184"/>
      <c r="J259" t="s">
        <v>595</v>
      </c>
      <c r="K259" s="184">
        <v>39721</v>
      </c>
      <c r="O259" s="184"/>
      <c r="P259" t="s">
        <v>7084</v>
      </c>
      <c r="Q259" t="s">
        <v>7383</v>
      </c>
      <c r="R259" s="184">
        <v>11685</v>
      </c>
      <c r="S259">
        <v>92</v>
      </c>
      <c r="U259" t="s">
        <v>7031</v>
      </c>
      <c r="V259" t="s">
        <v>5602</v>
      </c>
      <c r="W259" t="s">
        <v>3830</v>
      </c>
      <c r="X259" t="s">
        <v>5601</v>
      </c>
      <c r="Z259">
        <v>100179386</v>
      </c>
      <c r="AA259" t="s">
        <v>7130</v>
      </c>
      <c r="AB259" t="s">
        <v>5600</v>
      </c>
      <c r="AC259" t="s">
        <v>7695</v>
      </c>
      <c r="AD259" t="s">
        <v>5601</v>
      </c>
      <c r="AF259" t="s">
        <v>8433</v>
      </c>
      <c r="AG259" t="s">
        <v>8434</v>
      </c>
      <c r="AI259" t="s">
        <v>8435</v>
      </c>
      <c r="AM259" t="s">
        <v>2703</v>
      </c>
      <c r="AN259" t="s">
        <v>2064</v>
      </c>
      <c r="AO259" t="s">
        <v>8436</v>
      </c>
      <c r="AP259" t="s">
        <v>7024</v>
      </c>
      <c r="AQ259" t="s">
        <v>8437</v>
      </c>
      <c r="AT259" s="184">
        <v>31324</v>
      </c>
      <c r="AU259" t="s">
        <v>8438</v>
      </c>
      <c r="AV259">
        <v>18</v>
      </c>
      <c r="AW259" s="184">
        <v>43465</v>
      </c>
      <c r="AX259" t="s">
        <v>7348</v>
      </c>
      <c r="AY259">
        <v>28196.46</v>
      </c>
      <c r="AZ259" s="184">
        <v>43465</v>
      </c>
      <c r="BA259" t="s">
        <v>7348</v>
      </c>
      <c r="BB259">
        <v>28196.46</v>
      </c>
      <c r="BC259">
        <v>85</v>
      </c>
      <c r="BD259">
        <v>31650.46</v>
      </c>
      <c r="BE259">
        <v>1986</v>
      </c>
      <c r="BF259">
        <v>53</v>
      </c>
      <c r="BI259">
        <v>34</v>
      </c>
      <c r="BJ259">
        <v>40</v>
      </c>
      <c r="BK259">
        <v>34</v>
      </c>
      <c r="BN259" t="s">
        <v>595</v>
      </c>
      <c r="BO259" t="s">
        <v>595</v>
      </c>
      <c r="BP259" s="184">
        <v>43136</v>
      </c>
    </row>
    <row r="260" spans="1:68">
      <c r="A260">
        <v>100179386</v>
      </c>
      <c r="B260">
        <v>650374</v>
      </c>
      <c r="C260" t="s">
        <v>7018</v>
      </c>
      <c r="E260" s="184"/>
      <c r="G260" s="184"/>
      <c r="I260" s="184"/>
      <c r="J260" t="s">
        <v>595</v>
      </c>
      <c r="K260" s="184">
        <v>39721</v>
      </c>
      <c r="O260" s="184"/>
      <c r="P260" t="s">
        <v>7084</v>
      </c>
      <c r="Q260" t="s">
        <v>7383</v>
      </c>
      <c r="R260" s="184"/>
      <c r="U260" t="s">
        <v>7130</v>
      </c>
      <c r="V260" t="s">
        <v>5600</v>
      </c>
      <c r="W260" t="s">
        <v>7695</v>
      </c>
      <c r="X260" t="s">
        <v>5601</v>
      </c>
      <c r="Z260">
        <v>650374</v>
      </c>
      <c r="AA260" t="s">
        <v>7031</v>
      </c>
      <c r="AB260" t="s">
        <v>5602</v>
      </c>
      <c r="AC260" t="s">
        <v>3830</v>
      </c>
      <c r="AD260" t="s">
        <v>5601</v>
      </c>
      <c r="AF260" t="s">
        <v>8433</v>
      </c>
      <c r="AG260" t="s">
        <v>8434</v>
      </c>
      <c r="AI260" t="s">
        <v>8435</v>
      </c>
      <c r="AM260" t="s">
        <v>2703</v>
      </c>
      <c r="AN260" t="s">
        <v>2064</v>
      </c>
      <c r="AO260" t="s">
        <v>8436</v>
      </c>
      <c r="AP260" t="s">
        <v>7024</v>
      </c>
      <c r="AT260" s="184"/>
      <c r="AW260" s="184"/>
      <c r="AZ260" s="184"/>
      <c r="BO260" t="s">
        <v>595</v>
      </c>
      <c r="BP260" s="184">
        <v>42825</v>
      </c>
    </row>
    <row r="261" spans="1:68">
      <c r="A261">
        <v>650697</v>
      </c>
      <c r="B261">
        <v>650697</v>
      </c>
      <c r="C261" t="s">
        <v>7018</v>
      </c>
      <c r="E261" s="184"/>
      <c r="F261" t="s">
        <v>595</v>
      </c>
      <c r="G261" s="184">
        <v>43731</v>
      </c>
      <c r="I261" s="184"/>
      <c r="K261" s="184"/>
      <c r="O261" s="184"/>
      <c r="P261" t="s">
        <v>7045</v>
      </c>
      <c r="Q261" t="s">
        <v>7020</v>
      </c>
      <c r="R261" s="184">
        <v>19201</v>
      </c>
      <c r="S261">
        <v>71</v>
      </c>
      <c r="U261" t="s">
        <v>7076</v>
      </c>
      <c r="V261" t="s">
        <v>3317</v>
      </c>
      <c r="W261" t="s">
        <v>5006</v>
      </c>
      <c r="X261" t="s">
        <v>3892</v>
      </c>
      <c r="AF261" t="s">
        <v>8439</v>
      </c>
      <c r="AG261" t="s">
        <v>3317</v>
      </c>
      <c r="AI261" t="s">
        <v>8440</v>
      </c>
      <c r="AM261" t="s">
        <v>3893</v>
      </c>
      <c r="AN261" t="s">
        <v>2465</v>
      </c>
      <c r="AO261" t="s">
        <v>8441</v>
      </c>
      <c r="AP261" t="s">
        <v>7024</v>
      </c>
      <c r="AQ261" t="s">
        <v>8442</v>
      </c>
      <c r="AT261" s="184">
        <v>31327</v>
      </c>
      <c r="AU261" t="s">
        <v>8443</v>
      </c>
      <c r="AV261">
        <v>18</v>
      </c>
      <c r="AW261" s="184">
        <v>45309</v>
      </c>
      <c r="AX261" t="s">
        <v>7832</v>
      </c>
      <c r="AY261">
        <v>25</v>
      </c>
      <c r="AZ261" s="184">
        <v>43214</v>
      </c>
      <c r="BA261" t="s">
        <v>8444</v>
      </c>
      <c r="BB261">
        <v>60</v>
      </c>
      <c r="BC261">
        <v>43</v>
      </c>
      <c r="BD261">
        <v>658</v>
      </c>
      <c r="BE261">
        <v>1986</v>
      </c>
      <c r="BF261">
        <v>21</v>
      </c>
      <c r="BG261">
        <v>2</v>
      </c>
      <c r="BH261">
        <v>50</v>
      </c>
      <c r="BI261">
        <v>17</v>
      </c>
      <c r="BJ261">
        <v>40</v>
      </c>
      <c r="BK261">
        <v>2</v>
      </c>
      <c r="BP261" s="184"/>
    </row>
    <row r="262" spans="1:68">
      <c r="A262">
        <v>654137</v>
      </c>
      <c r="B262">
        <v>654137</v>
      </c>
      <c r="C262" t="s">
        <v>7018</v>
      </c>
      <c r="E262" s="184"/>
      <c r="G262" s="184"/>
      <c r="I262" s="184"/>
      <c r="K262" s="184"/>
      <c r="N262" t="s">
        <v>595</v>
      </c>
      <c r="O262" s="184">
        <v>40612</v>
      </c>
      <c r="P262" t="s">
        <v>7029</v>
      </c>
      <c r="Q262" t="s">
        <v>7374</v>
      </c>
      <c r="R262" s="184">
        <v>13310</v>
      </c>
      <c r="S262">
        <v>87</v>
      </c>
      <c r="U262" t="s">
        <v>7130</v>
      </c>
      <c r="V262" t="s">
        <v>2985</v>
      </c>
      <c r="W262" t="s">
        <v>7046</v>
      </c>
      <c r="X262" t="s">
        <v>5695</v>
      </c>
      <c r="AF262" t="s">
        <v>8445</v>
      </c>
      <c r="AG262" t="s">
        <v>2985</v>
      </c>
      <c r="AI262" t="s">
        <v>8446</v>
      </c>
      <c r="AJ262" t="s">
        <v>8447</v>
      </c>
      <c r="AM262" t="s">
        <v>5696</v>
      </c>
      <c r="AN262" t="s">
        <v>2081</v>
      </c>
      <c r="AO262" t="s">
        <v>8448</v>
      </c>
      <c r="AP262" t="s">
        <v>7024</v>
      </c>
      <c r="AT262" s="184">
        <v>31343</v>
      </c>
      <c r="AU262" t="s">
        <v>8449</v>
      </c>
      <c r="AV262">
        <v>25</v>
      </c>
      <c r="AW262" s="184">
        <v>43377</v>
      </c>
      <c r="AX262" t="s">
        <v>8450</v>
      </c>
      <c r="AY262">
        <v>25</v>
      </c>
      <c r="AZ262" s="184">
        <v>40612</v>
      </c>
      <c r="BA262" t="s">
        <v>7415</v>
      </c>
      <c r="BB262">
        <v>10000</v>
      </c>
      <c r="BC262">
        <v>85</v>
      </c>
      <c r="BD262">
        <v>23848</v>
      </c>
      <c r="BE262">
        <v>1986</v>
      </c>
      <c r="BF262">
        <v>77</v>
      </c>
      <c r="BI262">
        <v>34</v>
      </c>
      <c r="BJ262">
        <v>40</v>
      </c>
      <c r="BK262">
        <v>34</v>
      </c>
    </row>
    <row r="263" spans="1:68">
      <c r="A263">
        <v>665810</v>
      </c>
      <c r="B263">
        <v>665810</v>
      </c>
      <c r="C263" t="s">
        <v>7018</v>
      </c>
      <c r="E263" s="184"/>
      <c r="G263" s="184"/>
      <c r="H263" t="s">
        <v>595</v>
      </c>
      <c r="I263" s="184">
        <v>44214</v>
      </c>
      <c r="K263" s="184"/>
      <c r="O263" s="184"/>
      <c r="P263" t="s">
        <v>7029</v>
      </c>
      <c r="Q263" t="s">
        <v>7374</v>
      </c>
      <c r="R263" s="184"/>
      <c r="V263" t="s">
        <v>5078</v>
      </c>
      <c r="X263" t="s">
        <v>5079</v>
      </c>
      <c r="Z263">
        <v>100585253</v>
      </c>
      <c r="AB263" t="s">
        <v>8451</v>
      </c>
      <c r="AD263" t="s">
        <v>5079</v>
      </c>
      <c r="AF263" t="s">
        <v>8452</v>
      </c>
      <c r="AG263" t="s">
        <v>8453</v>
      </c>
      <c r="AI263" t="s">
        <v>8454</v>
      </c>
      <c r="AM263" t="s">
        <v>5080</v>
      </c>
      <c r="AN263" t="s">
        <v>2081</v>
      </c>
      <c r="AO263" t="s">
        <v>8455</v>
      </c>
      <c r="AP263" t="s">
        <v>7024</v>
      </c>
      <c r="AT263" s="184">
        <v>43455</v>
      </c>
      <c r="AU263" t="s">
        <v>8456</v>
      </c>
      <c r="AV263">
        <v>500</v>
      </c>
      <c r="AW263" s="184">
        <v>43455</v>
      </c>
      <c r="AX263" t="s">
        <v>8456</v>
      </c>
      <c r="AY263">
        <v>500</v>
      </c>
      <c r="AZ263" s="184">
        <v>43455</v>
      </c>
      <c r="BA263" t="s">
        <v>8456</v>
      </c>
      <c r="BB263">
        <v>500</v>
      </c>
      <c r="BC263">
        <v>15</v>
      </c>
      <c r="BD263">
        <v>1000</v>
      </c>
      <c r="BE263">
        <v>2019</v>
      </c>
      <c r="BF263">
        <v>2</v>
      </c>
      <c r="BI263">
        <v>1</v>
      </c>
      <c r="BJ263">
        <v>7</v>
      </c>
      <c r="BK263">
        <v>1</v>
      </c>
    </row>
    <row r="264" spans="1:68">
      <c r="A264">
        <v>667089</v>
      </c>
      <c r="B264">
        <v>667089</v>
      </c>
      <c r="C264" t="s">
        <v>7018</v>
      </c>
      <c r="D264" t="s">
        <v>595</v>
      </c>
      <c r="E264" s="184">
        <v>43857</v>
      </c>
      <c r="F264" t="s">
        <v>595</v>
      </c>
      <c r="G264" s="184">
        <v>44649</v>
      </c>
      <c r="I264" s="184"/>
      <c r="K264" s="184"/>
      <c r="P264" t="s">
        <v>7019</v>
      </c>
      <c r="Q264" t="s">
        <v>7020</v>
      </c>
      <c r="R264" s="184">
        <v>21702</v>
      </c>
      <c r="S264">
        <v>64</v>
      </c>
      <c r="U264" t="s">
        <v>7076</v>
      </c>
      <c r="V264" t="s">
        <v>3444</v>
      </c>
      <c r="W264" t="s">
        <v>7246</v>
      </c>
      <c r="X264" t="s">
        <v>8457</v>
      </c>
      <c r="AF264" t="s">
        <v>8458</v>
      </c>
      <c r="AG264" t="s">
        <v>3444</v>
      </c>
      <c r="AI264" t="s">
        <v>8459</v>
      </c>
      <c r="AM264" t="s">
        <v>4534</v>
      </c>
      <c r="AN264" t="s">
        <v>2052</v>
      </c>
      <c r="AO264" t="s">
        <v>8460</v>
      </c>
      <c r="AP264" t="s">
        <v>7024</v>
      </c>
      <c r="AQ264" t="s">
        <v>8461</v>
      </c>
      <c r="AT264" s="184">
        <v>31330</v>
      </c>
      <c r="AU264" t="s">
        <v>8430</v>
      </c>
      <c r="AV264">
        <v>18</v>
      </c>
      <c r="AW264" s="184">
        <v>45425</v>
      </c>
      <c r="AX264" t="s">
        <v>8462</v>
      </c>
      <c r="AY264">
        <v>5.25</v>
      </c>
      <c r="AZ264" s="184">
        <v>45061</v>
      </c>
      <c r="BA264" t="s">
        <v>7665</v>
      </c>
      <c r="BB264">
        <v>60</v>
      </c>
      <c r="BC264">
        <v>93</v>
      </c>
      <c r="BD264">
        <v>1225.25</v>
      </c>
      <c r="BE264">
        <v>1986</v>
      </c>
      <c r="BF264">
        <v>196</v>
      </c>
      <c r="BG264">
        <v>21</v>
      </c>
      <c r="BH264">
        <v>171.25</v>
      </c>
      <c r="BI264">
        <v>37</v>
      </c>
      <c r="BJ264">
        <v>40</v>
      </c>
      <c r="BK264">
        <v>12</v>
      </c>
    </row>
    <row r="265" spans="1:68">
      <c r="A265">
        <v>674614</v>
      </c>
      <c r="B265">
        <v>674614</v>
      </c>
      <c r="C265" t="s">
        <v>7018</v>
      </c>
      <c r="E265" s="184"/>
      <c r="G265" s="184"/>
      <c r="I265" s="184"/>
      <c r="J265" t="s">
        <v>595</v>
      </c>
      <c r="K265" s="184">
        <v>43678</v>
      </c>
      <c r="P265" t="s">
        <v>7029</v>
      </c>
      <c r="Q265" t="s">
        <v>7774</v>
      </c>
      <c r="R265" s="184">
        <v>16589</v>
      </c>
      <c r="S265">
        <v>78</v>
      </c>
      <c r="U265" t="s">
        <v>7031</v>
      </c>
      <c r="V265" t="s">
        <v>3689</v>
      </c>
      <c r="W265" t="s">
        <v>2871</v>
      </c>
      <c r="X265" t="s">
        <v>3145</v>
      </c>
      <c r="Z265">
        <v>100179387</v>
      </c>
      <c r="AA265" t="s">
        <v>7130</v>
      </c>
      <c r="AB265" t="s">
        <v>3545</v>
      </c>
      <c r="AC265" t="s">
        <v>8463</v>
      </c>
      <c r="AD265" t="s">
        <v>3145</v>
      </c>
      <c r="AF265" t="s">
        <v>8464</v>
      </c>
      <c r="AG265" t="s">
        <v>3689</v>
      </c>
      <c r="AI265" t="s">
        <v>8465</v>
      </c>
      <c r="AM265" t="s">
        <v>3690</v>
      </c>
      <c r="AN265" t="s">
        <v>2077</v>
      </c>
      <c r="AO265" t="s">
        <v>8466</v>
      </c>
      <c r="AP265" t="s">
        <v>7024</v>
      </c>
      <c r="AQ265" t="s">
        <v>8467</v>
      </c>
      <c r="AT265" s="184">
        <v>31356</v>
      </c>
      <c r="AU265" t="s">
        <v>8468</v>
      </c>
      <c r="AV265">
        <v>18</v>
      </c>
      <c r="AW265" s="184">
        <v>45330</v>
      </c>
      <c r="AX265" t="s">
        <v>7749</v>
      </c>
      <c r="AY265">
        <v>1000</v>
      </c>
      <c r="AZ265" s="184">
        <v>43825</v>
      </c>
      <c r="BA265" t="s">
        <v>8469</v>
      </c>
      <c r="BB265">
        <v>25000</v>
      </c>
      <c r="BC265">
        <v>93</v>
      </c>
      <c r="BD265">
        <v>46782</v>
      </c>
      <c r="BE265">
        <v>1986</v>
      </c>
      <c r="BF265">
        <v>51</v>
      </c>
      <c r="BG265">
        <v>3</v>
      </c>
      <c r="BH265">
        <v>3000</v>
      </c>
      <c r="BI265">
        <v>37</v>
      </c>
      <c r="BJ265">
        <v>40</v>
      </c>
      <c r="BK265">
        <v>30</v>
      </c>
      <c r="BN265" t="s">
        <v>595</v>
      </c>
    </row>
    <row r="266" spans="1:68">
      <c r="A266">
        <v>674671</v>
      </c>
      <c r="B266">
        <v>674671</v>
      </c>
      <c r="C266" t="s">
        <v>7018</v>
      </c>
      <c r="E266" s="184"/>
      <c r="G266" s="184"/>
      <c r="I266" s="184"/>
      <c r="J266" t="s">
        <v>595</v>
      </c>
      <c r="K266" s="184">
        <v>43051</v>
      </c>
      <c r="P266" t="s">
        <v>7045</v>
      </c>
      <c r="Q266" t="s">
        <v>7020</v>
      </c>
      <c r="R266" s="184">
        <v>17624</v>
      </c>
      <c r="S266">
        <v>76</v>
      </c>
      <c r="U266" t="s">
        <v>7031</v>
      </c>
      <c r="V266" t="s">
        <v>8470</v>
      </c>
      <c r="W266" t="s">
        <v>7107</v>
      </c>
      <c r="X266" t="s">
        <v>3422</v>
      </c>
      <c r="AF266" t="s">
        <v>6193</v>
      </c>
      <c r="AG266" t="s">
        <v>8470</v>
      </c>
      <c r="AI266" t="s">
        <v>8471</v>
      </c>
      <c r="AM266" t="s">
        <v>8472</v>
      </c>
      <c r="AN266" t="s">
        <v>2129</v>
      </c>
      <c r="AO266" t="s">
        <v>8473</v>
      </c>
      <c r="AP266" t="s">
        <v>7024</v>
      </c>
      <c r="AQ266" t="s">
        <v>8474</v>
      </c>
      <c r="AR266" t="s">
        <v>8475</v>
      </c>
      <c r="AT266" s="184">
        <v>31356</v>
      </c>
      <c r="AU266" t="s">
        <v>8476</v>
      </c>
      <c r="AV266">
        <v>18</v>
      </c>
      <c r="AW266" s="184">
        <v>45351</v>
      </c>
      <c r="AX266" t="s">
        <v>8477</v>
      </c>
      <c r="AY266">
        <v>200</v>
      </c>
      <c r="AZ266" s="184">
        <v>41492</v>
      </c>
      <c r="BA266" t="s">
        <v>8478</v>
      </c>
      <c r="BB266">
        <v>250</v>
      </c>
      <c r="BC266">
        <v>70</v>
      </c>
      <c r="BD266">
        <v>3613</v>
      </c>
      <c r="BE266">
        <v>1986</v>
      </c>
      <c r="BF266">
        <v>36</v>
      </c>
      <c r="BG266">
        <v>3</v>
      </c>
      <c r="BH266">
        <v>400</v>
      </c>
      <c r="BI266">
        <v>28</v>
      </c>
      <c r="BJ266">
        <v>40</v>
      </c>
      <c r="BK266">
        <v>10</v>
      </c>
    </row>
    <row r="267" spans="1:68">
      <c r="A267">
        <v>680520</v>
      </c>
      <c r="B267">
        <v>680520</v>
      </c>
      <c r="C267" t="s">
        <v>7018</v>
      </c>
      <c r="E267" s="184"/>
      <c r="F267" t="s">
        <v>595</v>
      </c>
      <c r="G267" s="184">
        <v>43647</v>
      </c>
      <c r="I267" s="184"/>
      <c r="K267" s="184"/>
      <c r="P267" t="s">
        <v>7045</v>
      </c>
      <c r="Q267" t="s">
        <v>7020</v>
      </c>
      <c r="R267" s="184">
        <v>26785</v>
      </c>
      <c r="S267">
        <v>51</v>
      </c>
      <c r="U267" t="s">
        <v>7076</v>
      </c>
      <c r="V267" t="s">
        <v>3398</v>
      </c>
      <c r="X267" t="s">
        <v>3399</v>
      </c>
      <c r="AF267" t="s">
        <v>8479</v>
      </c>
      <c r="AG267" t="s">
        <v>3398</v>
      </c>
      <c r="AI267" t="s">
        <v>8480</v>
      </c>
      <c r="AM267" t="s">
        <v>2860</v>
      </c>
      <c r="AN267" t="s">
        <v>2112</v>
      </c>
      <c r="AO267" t="s">
        <v>8481</v>
      </c>
      <c r="AP267" t="s">
        <v>7024</v>
      </c>
      <c r="AT267" s="184">
        <v>31359</v>
      </c>
      <c r="AU267" t="s">
        <v>8482</v>
      </c>
      <c r="AV267">
        <v>18</v>
      </c>
      <c r="AW267" s="184">
        <v>45408</v>
      </c>
      <c r="AX267" t="s">
        <v>8483</v>
      </c>
      <c r="AY267">
        <v>50</v>
      </c>
      <c r="AZ267" s="184">
        <v>40533</v>
      </c>
      <c r="BA267" t="s">
        <v>8484</v>
      </c>
      <c r="BB267">
        <v>100</v>
      </c>
      <c r="BC267">
        <v>93</v>
      </c>
      <c r="BD267">
        <v>7927</v>
      </c>
      <c r="BE267">
        <v>1986</v>
      </c>
      <c r="BF267">
        <v>194</v>
      </c>
      <c r="BG267">
        <v>25</v>
      </c>
      <c r="BH267">
        <v>1250</v>
      </c>
      <c r="BI267">
        <v>37</v>
      </c>
      <c r="BJ267">
        <v>40</v>
      </c>
      <c r="BK267">
        <v>21</v>
      </c>
      <c r="BP267" s="184"/>
    </row>
    <row r="268" spans="1:68">
      <c r="A268">
        <v>682963</v>
      </c>
      <c r="B268">
        <v>682963</v>
      </c>
      <c r="C268" t="s">
        <v>7018</v>
      </c>
      <c r="E268" s="184"/>
      <c r="G268" s="184"/>
      <c r="I268" s="184"/>
      <c r="J268" t="s">
        <v>595</v>
      </c>
      <c r="K268" s="184">
        <v>43864</v>
      </c>
      <c r="P268" t="s">
        <v>7045</v>
      </c>
      <c r="Q268" t="s">
        <v>7383</v>
      </c>
      <c r="R268" s="184">
        <v>13792</v>
      </c>
      <c r="S268">
        <v>86</v>
      </c>
      <c r="U268" t="s">
        <v>7076</v>
      </c>
      <c r="V268" t="s">
        <v>3072</v>
      </c>
      <c r="W268" t="s">
        <v>7588</v>
      </c>
      <c r="X268" t="s">
        <v>4658</v>
      </c>
      <c r="AF268" t="s">
        <v>6189</v>
      </c>
      <c r="AG268" t="s">
        <v>3072</v>
      </c>
      <c r="AI268" t="s">
        <v>8485</v>
      </c>
      <c r="AM268" t="s">
        <v>2703</v>
      </c>
      <c r="AN268" t="s">
        <v>2064</v>
      </c>
      <c r="AO268" t="s">
        <v>8486</v>
      </c>
      <c r="AP268" t="s">
        <v>7024</v>
      </c>
      <c r="AQ268" t="s">
        <v>8487</v>
      </c>
      <c r="AR268" t="s">
        <v>8488</v>
      </c>
      <c r="AT268" s="184">
        <v>31429</v>
      </c>
      <c r="AU268" t="s">
        <v>8489</v>
      </c>
      <c r="AV268">
        <v>18</v>
      </c>
      <c r="AW268" s="184">
        <v>45377</v>
      </c>
      <c r="AX268" t="s">
        <v>8490</v>
      </c>
      <c r="AY268">
        <v>150</v>
      </c>
      <c r="AZ268" s="184">
        <v>45377</v>
      </c>
      <c r="BA268" t="s">
        <v>8490</v>
      </c>
      <c r="BB268">
        <v>150</v>
      </c>
      <c r="BC268">
        <v>95</v>
      </c>
      <c r="BD268">
        <v>3728</v>
      </c>
      <c r="BE268">
        <v>1986</v>
      </c>
      <c r="BF268">
        <v>68</v>
      </c>
      <c r="BG268">
        <v>2</v>
      </c>
      <c r="BH268">
        <v>300</v>
      </c>
      <c r="BI268">
        <v>37</v>
      </c>
      <c r="BJ268">
        <v>39</v>
      </c>
      <c r="BK268">
        <v>29</v>
      </c>
      <c r="BN268" t="s">
        <v>595</v>
      </c>
      <c r="BP268" s="184"/>
    </row>
    <row r="269" spans="1:68">
      <c r="A269">
        <v>685107</v>
      </c>
      <c r="B269">
        <v>685107</v>
      </c>
      <c r="C269" t="s">
        <v>7018</v>
      </c>
      <c r="E269" s="184"/>
      <c r="F269" t="s">
        <v>595</v>
      </c>
      <c r="G269" s="184">
        <v>43647</v>
      </c>
      <c r="I269" s="184"/>
      <c r="K269" s="184"/>
      <c r="P269" t="s">
        <v>7045</v>
      </c>
      <c r="Q269" t="s">
        <v>7262</v>
      </c>
      <c r="R269" s="184">
        <v>18963</v>
      </c>
      <c r="S269">
        <v>72</v>
      </c>
      <c r="V269" t="s">
        <v>2541</v>
      </c>
      <c r="X269" t="s">
        <v>3078</v>
      </c>
      <c r="Z269">
        <v>100009310</v>
      </c>
      <c r="AA269" t="s">
        <v>7130</v>
      </c>
      <c r="AB269" t="s">
        <v>3419</v>
      </c>
      <c r="AD269" t="s">
        <v>3078</v>
      </c>
      <c r="AF269" t="s">
        <v>8491</v>
      </c>
      <c r="AG269" t="s">
        <v>8492</v>
      </c>
      <c r="AI269" t="s">
        <v>8493</v>
      </c>
      <c r="AM269" t="s">
        <v>3079</v>
      </c>
      <c r="AN269" t="s">
        <v>2106</v>
      </c>
      <c r="AO269" t="s">
        <v>8494</v>
      </c>
      <c r="AP269" t="s">
        <v>7024</v>
      </c>
      <c r="AT269" s="184">
        <v>31427</v>
      </c>
      <c r="AU269" t="s">
        <v>8495</v>
      </c>
      <c r="AV269">
        <v>18</v>
      </c>
      <c r="AW269" s="184">
        <v>45392</v>
      </c>
      <c r="AX269" t="s">
        <v>8496</v>
      </c>
      <c r="AY269">
        <v>100</v>
      </c>
      <c r="AZ269" s="184">
        <v>45392</v>
      </c>
      <c r="BA269" t="s">
        <v>8496</v>
      </c>
      <c r="BB269">
        <v>100</v>
      </c>
      <c r="BC269">
        <v>34</v>
      </c>
      <c r="BD269">
        <v>1016</v>
      </c>
      <c r="BE269">
        <v>1986</v>
      </c>
      <c r="BF269">
        <v>24</v>
      </c>
      <c r="BG269">
        <v>3</v>
      </c>
      <c r="BH269">
        <v>300</v>
      </c>
      <c r="BI269">
        <v>13</v>
      </c>
      <c r="BJ269">
        <v>39</v>
      </c>
      <c r="BK269">
        <v>9</v>
      </c>
      <c r="BP269" s="184"/>
    </row>
    <row r="270" spans="1:68">
      <c r="A270">
        <v>100009310</v>
      </c>
      <c r="B270">
        <v>685107</v>
      </c>
      <c r="C270" t="s">
        <v>7018</v>
      </c>
      <c r="E270" s="184"/>
      <c r="F270" t="s">
        <v>595</v>
      </c>
      <c r="G270" s="184">
        <v>43647</v>
      </c>
      <c r="I270" s="184"/>
      <c r="K270" s="184"/>
      <c r="P270" t="s">
        <v>7045</v>
      </c>
      <c r="Q270" t="s">
        <v>7262</v>
      </c>
      <c r="R270" s="184">
        <v>18963</v>
      </c>
      <c r="S270">
        <v>72</v>
      </c>
      <c r="U270" t="s">
        <v>7130</v>
      </c>
      <c r="V270" t="s">
        <v>3419</v>
      </c>
      <c r="X270" t="s">
        <v>3078</v>
      </c>
      <c r="Z270">
        <v>685107</v>
      </c>
      <c r="AB270" t="s">
        <v>2541</v>
      </c>
      <c r="AD270" t="s">
        <v>3078</v>
      </c>
      <c r="AF270" t="s">
        <v>8491</v>
      </c>
      <c r="AG270" t="s">
        <v>8492</v>
      </c>
      <c r="AI270" t="s">
        <v>8493</v>
      </c>
      <c r="AM270" t="s">
        <v>3079</v>
      </c>
      <c r="AN270" t="s">
        <v>2106</v>
      </c>
      <c r="AO270" t="s">
        <v>8494</v>
      </c>
      <c r="AP270" t="s">
        <v>7024</v>
      </c>
      <c r="AT270" s="184"/>
      <c r="AW270" s="184"/>
      <c r="AZ270" s="184"/>
      <c r="BP270" s="184"/>
    </row>
    <row r="271" spans="1:68">
      <c r="A271">
        <v>689471</v>
      </c>
      <c r="B271">
        <v>689471</v>
      </c>
      <c r="C271" t="s">
        <v>7018</v>
      </c>
      <c r="D271" t="s">
        <v>595</v>
      </c>
      <c r="E271" s="184">
        <v>45174</v>
      </c>
      <c r="G271" s="184"/>
      <c r="I271" s="184"/>
      <c r="K271" s="184"/>
      <c r="P271" t="s">
        <v>7029</v>
      </c>
      <c r="Q271" t="s">
        <v>7494</v>
      </c>
      <c r="R271" s="184">
        <v>19784</v>
      </c>
      <c r="S271">
        <v>70</v>
      </c>
      <c r="U271" t="s">
        <v>7031</v>
      </c>
      <c r="V271" t="s">
        <v>3250</v>
      </c>
      <c r="W271" t="s">
        <v>7067</v>
      </c>
      <c r="X271" t="s">
        <v>7397</v>
      </c>
      <c r="Z271">
        <v>100179390</v>
      </c>
      <c r="AA271" t="s">
        <v>7076</v>
      </c>
      <c r="AB271" t="s">
        <v>4300</v>
      </c>
      <c r="AC271" t="s">
        <v>8224</v>
      </c>
      <c r="AD271" t="s">
        <v>7397</v>
      </c>
      <c r="AF271" t="s">
        <v>8497</v>
      </c>
      <c r="AG271" t="s">
        <v>3250</v>
      </c>
      <c r="AI271" t="s">
        <v>8498</v>
      </c>
      <c r="AM271" t="s">
        <v>3770</v>
      </c>
      <c r="AN271" t="s">
        <v>2174</v>
      </c>
      <c r="AO271" t="s">
        <v>8499</v>
      </c>
      <c r="AP271" t="s">
        <v>7024</v>
      </c>
      <c r="AQ271" t="s">
        <v>8500</v>
      </c>
      <c r="AR271" t="s">
        <v>8501</v>
      </c>
      <c r="AT271" s="184">
        <v>31369</v>
      </c>
      <c r="AU271" t="s">
        <v>8443</v>
      </c>
      <c r="AV271">
        <v>18</v>
      </c>
      <c r="AW271" s="184">
        <v>45365</v>
      </c>
      <c r="AX271" t="s">
        <v>8502</v>
      </c>
      <c r="AY271">
        <v>1000</v>
      </c>
      <c r="AZ271" s="184">
        <v>45365</v>
      </c>
      <c r="BA271" t="s">
        <v>8502</v>
      </c>
      <c r="BB271">
        <v>1000</v>
      </c>
      <c r="BC271">
        <v>95</v>
      </c>
      <c r="BD271">
        <v>11736</v>
      </c>
      <c r="BE271">
        <v>1986</v>
      </c>
      <c r="BF271">
        <v>45</v>
      </c>
      <c r="BG271">
        <v>2</v>
      </c>
      <c r="BH271">
        <v>2000</v>
      </c>
      <c r="BI271">
        <v>38</v>
      </c>
      <c r="BJ271">
        <v>40</v>
      </c>
      <c r="BK271">
        <v>29</v>
      </c>
      <c r="BP271" s="184"/>
    </row>
    <row r="272" spans="1:68">
      <c r="A272">
        <v>100179390</v>
      </c>
      <c r="B272">
        <v>689471</v>
      </c>
      <c r="C272" t="s">
        <v>7018</v>
      </c>
      <c r="D272" t="s">
        <v>595</v>
      </c>
      <c r="E272" s="184">
        <v>45174</v>
      </c>
      <c r="G272" s="184"/>
      <c r="I272" s="184"/>
      <c r="K272" s="184"/>
      <c r="P272" t="s">
        <v>7029</v>
      </c>
      <c r="Q272" t="s">
        <v>7494</v>
      </c>
      <c r="R272" s="184">
        <v>20637</v>
      </c>
      <c r="S272">
        <v>67</v>
      </c>
      <c r="U272" t="s">
        <v>7076</v>
      </c>
      <c r="V272" t="s">
        <v>4300</v>
      </c>
      <c r="W272" t="s">
        <v>8224</v>
      </c>
      <c r="X272" t="s">
        <v>7397</v>
      </c>
      <c r="Z272">
        <v>689471</v>
      </c>
      <c r="AA272" t="s">
        <v>7031</v>
      </c>
      <c r="AB272" t="s">
        <v>3250</v>
      </c>
      <c r="AC272" t="s">
        <v>7067</v>
      </c>
      <c r="AD272" t="s">
        <v>7397</v>
      </c>
      <c r="AF272" t="s">
        <v>8497</v>
      </c>
      <c r="AG272" t="s">
        <v>3250</v>
      </c>
      <c r="AI272" t="s">
        <v>8498</v>
      </c>
      <c r="AM272" t="s">
        <v>3770</v>
      </c>
      <c r="AN272" t="s">
        <v>2174</v>
      </c>
      <c r="AO272" t="s">
        <v>8499</v>
      </c>
      <c r="AP272" t="s">
        <v>7024</v>
      </c>
      <c r="AT272" s="184"/>
      <c r="AW272" s="184"/>
      <c r="AZ272" s="184"/>
      <c r="BO272" t="s">
        <v>595</v>
      </c>
      <c r="BP272" s="184">
        <v>41490</v>
      </c>
    </row>
    <row r="273" spans="1:68">
      <c r="A273">
        <v>694604</v>
      </c>
      <c r="B273">
        <v>694604</v>
      </c>
      <c r="C273" t="s">
        <v>7018</v>
      </c>
      <c r="E273" s="184"/>
      <c r="G273" s="184"/>
      <c r="I273" s="184"/>
      <c r="J273" t="s">
        <v>595</v>
      </c>
      <c r="K273" s="184">
        <v>43857</v>
      </c>
      <c r="P273" t="s">
        <v>7045</v>
      </c>
      <c r="Q273" t="s">
        <v>7020</v>
      </c>
      <c r="R273" s="184">
        <v>15931</v>
      </c>
      <c r="S273">
        <v>80</v>
      </c>
      <c r="U273" t="s">
        <v>7032</v>
      </c>
      <c r="V273" t="s">
        <v>5057</v>
      </c>
      <c r="W273" t="s">
        <v>4013</v>
      </c>
      <c r="X273" t="s">
        <v>8503</v>
      </c>
      <c r="AF273" t="s">
        <v>8504</v>
      </c>
      <c r="AG273" t="s">
        <v>5057</v>
      </c>
      <c r="AI273" t="s">
        <v>8505</v>
      </c>
      <c r="AM273" t="s">
        <v>2722</v>
      </c>
      <c r="AN273" t="s">
        <v>2112</v>
      </c>
      <c r="AO273" t="s">
        <v>8506</v>
      </c>
      <c r="AP273" t="s">
        <v>7024</v>
      </c>
      <c r="AQ273" t="s">
        <v>8507</v>
      </c>
      <c r="AR273" t="s">
        <v>8508</v>
      </c>
      <c r="AT273" s="184">
        <v>31376</v>
      </c>
      <c r="AU273" t="s">
        <v>7332</v>
      </c>
      <c r="AV273">
        <v>25</v>
      </c>
      <c r="AW273" s="184">
        <v>45412</v>
      </c>
      <c r="AX273" t="s">
        <v>7429</v>
      </c>
      <c r="AY273">
        <v>40</v>
      </c>
      <c r="AZ273" s="184">
        <v>41499</v>
      </c>
      <c r="BA273" t="s">
        <v>8509</v>
      </c>
      <c r="BB273">
        <v>100</v>
      </c>
      <c r="BC273">
        <v>93</v>
      </c>
      <c r="BD273">
        <v>6235</v>
      </c>
      <c r="BE273">
        <v>1986</v>
      </c>
      <c r="BF273">
        <v>198</v>
      </c>
      <c r="BG273">
        <v>24</v>
      </c>
      <c r="BH273">
        <v>960</v>
      </c>
      <c r="BI273">
        <v>37</v>
      </c>
      <c r="BJ273">
        <v>40</v>
      </c>
      <c r="BK273">
        <v>20</v>
      </c>
      <c r="BN273" t="s">
        <v>595</v>
      </c>
      <c r="BP273" s="184"/>
    </row>
    <row r="274" spans="1:68">
      <c r="A274">
        <v>695692</v>
      </c>
      <c r="B274">
        <v>695692</v>
      </c>
      <c r="C274" t="s">
        <v>7018</v>
      </c>
      <c r="E274" s="184"/>
      <c r="G274" s="184"/>
      <c r="I274" s="184"/>
      <c r="J274" t="s">
        <v>595</v>
      </c>
      <c r="K274" s="184">
        <v>39435</v>
      </c>
      <c r="O274" s="184"/>
      <c r="P274" t="s">
        <v>7045</v>
      </c>
      <c r="Q274" t="s">
        <v>7262</v>
      </c>
      <c r="R274" s="184">
        <v>17989</v>
      </c>
      <c r="S274">
        <v>75</v>
      </c>
      <c r="U274" t="s">
        <v>7032</v>
      </c>
      <c r="V274" t="s">
        <v>2614</v>
      </c>
      <c r="W274" t="s">
        <v>7695</v>
      </c>
      <c r="X274" t="s">
        <v>2999</v>
      </c>
      <c r="Z274">
        <v>100009347</v>
      </c>
      <c r="AA274" t="s">
        <v>7130</v>
      </c>
      <c r="AB274" t="s">
        <v>3230</v>
      </c>
      <c r="AD274" t="s">
        <v>2999</v>
      </c>
      <c r="AF274" t="s">
        <v>6166</v>
      </c>
      <c r="AG274" t="s">
        <v>8510</v>
      </c>
      <c r="AI274" t="s">
        <v>8511</v>
      </c>
      <c r="AM274" t="s">
        <v>8512</v>
      </c>
      <c r="AN274" t="s">
        <v>65</v>
      </c>
      <c r="AO274" t="s">
        <v>8513</v>
      </c>
      <c r="AP274" t="s">
        <v>7024</v>
      </c>
      <c r="AQ274" t="s">
        <v>8514</v>
      </c>
      <c r="AT274" s="184">
        <v>31378</v>
      </c>
      <c r="AU274" t="s">
        <v>8515</v>
      </c>
      <c r="AV274">
        <v>18</v>
      </c>
      <c r="AW274" s="184">
        <v>45414</v>
      </c>
      <c r="AX274" t="s">
        <v>8516</v>
      </c>
      <c r="AY274">
        <v>300</v>
      </c>
      <c r="AZ274" s="184">
        <v>45414</v>
      </c>
      <c r="BA274" t="s">
        <v>8516</v>
      </c>
      <c r="BB274">
        <v>300</v>
      </c>
      <c r="BC274">
        <v>93</v>
      </c>
      <c r="BD274">
        <v>4117</v>
      </c>
      <c r="BE274">
        <v>1986</v>
      </c>
      <c r="BF274">
        <v>52</v>
      </c>
      <c r="BG274">
        <v>2</v>
      </c>
      <c r="BH274">
        <v>400</v>
      </c>
      <c r="BI274">
        <v>37</v>
      </c>
      <c r="BJ274">
        <v>40</v>
      </c>
      <c r="BK274">
        <v>24</v>
      </c>
      <c r="BP274" s="184"/>
    </row>
    <row r="275" spans="1:68">
      <c r="A275">
        <v>100009347</v>
      </c>
      <c r="B275">
        <v>695692</v>
      </c>
      <c r="C275" t="s">
        <v>7018</v>
      </c>
      <c r="E275" s="184"/>
      <c r="G275" s="184"/>
      <c r="I275" s="184"/>
      <c r="J275" t="s">
        <v>595</v>
      </c>
      <c r="K275" s="184">
        <v>39435</v>
      </c>
      <c r="P275" t="s">
        <v>7045</v>
      </c>
      <c r="Q275" t="s">
        <v>7262</v>
      </c>
      <c r="R275" s="184">
        <v>17134</v>
      </c>
      <c r="S275">
        <v>77</v>
      </c>
      <c r="U275" t="s">
        <v>7130</v>
      </c>
      <c r="V275" t="s">
        <v>3230</v>
      </c>
      <c r="X275" t="s">
        <v>2999</v>
      </c>
      <c r="Z275">
        <v>695692</v>
      </c>
      <c r="AA275" t="s">
        <v>7032</v>
      </c>
      <c r="AB275" t="s">
        <v>2614</v>
      </c>
      <c r="AC275" t="s">
        <v>7695</v>
      </c>
      <c r="AD275" t="s">
        <v>2999</v>
      </c>
      <c r="AF275" t="s">
        <v>6166</v>
      </c>
      <c r="AG275" t="s">
        <v>8510</v>
      </c>
      <c r="AI275" t="s">
        <v>8511</v>
      </c>
      <c r="AM275" t="s">
        <v>8512</v>
      </c>
      <c r="AN275" t="s">
        <v>65</v>
      </c>
      <c r="AO275" t="s">
        <v>8513</v>
      </c>
      <c r="AP275" t="s">
        <v>7024</v>
      </c>
      <c r="AT275" s="184"/>
      <c r="AW275" s="184"/>
      <c r="AZ275" s="184"/>
      <c r="BP275" s="184"/>
    </row>
    <row r="276" spans="1:68">
      <c r="A276">
        <v>696237</v>
      </c>
      <c r="B276">
        <v>696237</v>
      </c>
      <c r="C276" t="s">
        <v>7018</v>
      </c>
      <c r="E276" s="184"/>
      <c r="F276" t="s">
        <v>595</v>
      </c>
      <c r="G276" s="184">
        <v>43881</v>
      </c>
      <c r="I276" s="184"/>
      <c r="K276" s="184"/>
      <c r="P276" t="s">
        <v>7045</v>
      </c>
      <c r="Q276" t="s">
        <v>7262</v>
      </c>
      <c r="R276" s="184">
        <v>8402</v>
      </c>
      <c r="S276">
        <v>101</v>
      </c>
      <c r="U276" t="s">
        <v>7130</v>
      </c>
      <c r="V276" t="s">
        <v>4363</v>
      </c>
      <c r="X276" t="s">
        <v>2570</v>
      </c>
      <c r="AF276" t="s">
        <v>8517</v>
      </c>
      <c r="AG276" t="s">
        <v>4363</v>
      </c>
      <c r="AI276" t="s">
        <v>8518</v>
      </c>
      <c r="AM276" t="s">
        <v>4126</v>
      </c>
      <c r="AN276" t="s">
        <v>2069</v>
      </c>
      <c r="AO276">
        <v>22603</v>
      </c>
      <c r="AP276" t="s">
        <v>7024</v>
      </c>
      <c r="AT276" s="184">
        <v>31378</v>
      </c>
      <c r="AU276" t="s">
        <v>8443</v>
      </c>
      <c r="AV276">
        <v>18</v>
      </c>
      <c r="AW276" s="184">
        <v>44253</v>
      </c>
      <c r="AX276" t="s">
        <v>8519</v>
      </c>
      <c r="AY276">
        <v>10</v>
      </c>
      <c r="AZ276" s="184">
        <v>36108</v>
      </c>
      <c r="BA276" t="s">
        <v>8520</v>
      </c>
      <c r="BB276">
        <v>54</v>
      </c>
      <c r="BC276">
        <v>85</v>
      </c>
      <c r="BD276">
        <v>2284</v>
      </c>
      <c r="BE276">
        <v>1986</v>
      </c>
      <c r="BF276">
        <v>136</v>
      </c>
      <c r="BI276">
        <v>34</v>
      </c>
      <c r="BJ276">
        <v>40</v>
      </c>
      <c r="BK276">
        <v>13</v>
      </c>
      <c r="BO276" t="s">
        <v>595</v>
      </c>
      <c r="BP276" s="184"/>
    </row>
    <row r="277" spans="1:68">
      <c r="A277">
        <v>699421</v>
      </c>
      <c r="B277">
        <v>699421</v>
      </c>
      <c r="C277" t="s">
        <v>7018</v>
      </c>
      <c r="D277" t="s">
        <v>595</v>
      </c>
      <c r="E277" s="184">
        <v>44179</v>
      </c>
      <c r="G277" s="184"/>
      <c r="I277" s="184"/>
      <c r="K277" s="184"/>
      <c r="P277" t="s">
        <v>7045</v>
      </c>
      <c r="Q277" t="s">
        <v>7160</v>
      </c>
      <c r="R277" s="184">
        <v>20586</v>
      </c>
      <c r="S277">
        <v>68</v>
      </c>
      <c r="V277" t="s">
        <v>2651</v>
      </c>
      <c r="X277" t="s">
        <v>8521</v>
      </c>
      <c r="AF277" t="s">
        <v>8522</v>
      </c>
      <c r="AG277" t="s">
        <v>2651</v>
      </c>
      <c r="AI277" t="s">
        <v>8523</v>
      </c>
      <c r="AM277" t="s">
        <v>4028</v>
      </c>
      <c r="AN277" t="s">
        <v>2446</v>
      </c>
      <c r="AO277" t="s">
        <v>8524</v>
      </c>
      <c r="AP277" t="s">
        <v>7024</v>
      </c>
      <c r="AQ277" t="s">
        <v>8525</v>
      </c>
      <c r="AT277" s="184">
        <v>44173</v>
      </c>
      <c r="AU277" t="s">
        <v>8526</v>
      </c>
      <c r="AV277">
        <v>25</v>
      </c>
      <c r="AW277" s="184">
        <v>44173</v>
      </c>
      <c r="AX277" t="s">
        <v>8526</v>
      </c>
      <c r="AY277">
        <v>25</v>
      </c>
      <c r="AZ277" s="184">
        <v>44173</v>
      </c>
      <c r="BA277" t="s">
        <v>8526</v>
      </c>
      <c r="BB277">
        <v>25</v>
      </c>
      <c r="BC277">
        <v>20</v>
      </c>
      <c r="BD277">
        <v>25</v>
      </c>
      <c r="BE277">
        <v>2021</v>
      </c>
      <c r="BF277">
        <v>1</v>
      </c>
      <c r="BI277">
        <v>1</v>
      </c>
      <c r="BJ277">
        <v>5</v>
      </c>
      <c r="BK277">
        <v>1</v>
      </c>
    </row>
    <row r="278" spans="1:68">
      <c r="A278">
        <v>704627</v>
      </c>
      <c r="B278">
        <v>704627</v>
      </c>
      <c r="C278" t="s">
        <v>7018</v>
      </c>
      <c r="D278" t="s">
        <v>595</v>
      </c>
      <c r="E278" s="184">
        <v>44104</v>
      </c>
      <c r="G278" s="184"/>
      <c r="I278" s="184"/>
      <c r="K278" s="184"/>
      <c r="M278" s="184"/>
      <c r="P278" t="s">
        <v>7045</v>
      </c>
      <c r="Q278" t="s">
        <v>7020</v>
      </c>
      <c r="R278" s="184">
        <v>19422</v>
      </c>
      <c r="S278">
        <v>71</v>
      </c>
      <c r="U278" t="s">
        <v>7076</v>
      </c>
      <c r="V278" t="s">
        <v>2958</v>
      </c>
      <c r="W278" t="s">
        <v>7695</v>
      </c>
      <c r="X278" t="s">
        <v>8527</v>
      </c>
      <c r="AF278" t="s">
        <v>8528</v>
      </c>
      <c r="AG278" t="s">
        <v>2958</v>
      </c>
      <c r="AI278" t="s">
        <v>8529</v>
      </c>
      <c r="AM278" t="s">
        <v>8530</v>
      </c>
      <c r="AN278" t="s">
        <v>2465</v>
      </c>
      <c r="AO278" t="s">
        <v>8531</v>
      </c>
      <c r="AP278" t="s">
        <v>7024</v>
      </c>
      <c r="AT278" s="184">
        <v>33639</v>
      </c>
      <c r="AU278" t="s">
        <v>8532</v>
      </c>
      <c r="AV278">
        <v>15</v>
      </c>
      <c r="AW278" s="184">
        <v>45008</v>
      </c>
      <c r="AX278" t="s">
        <v>8533</v>
      </c>
      <c r="AY278">
        <v>35</v>
      </c>
      <c r="AZ278" s="184">
        <v>44243</v>
      </c>
      <c r="BA278" t="s">
        <v>8534</v>
      </c>
      <c r="BB278">
        <v>40</v>
      </c>
      <c r="BC278">
        <v>85</v>
      </c>
      <c r="BD278">
        <v>1365</v>
      </c>
      <c r="BE278">
        <v>1992</v>
      </c>
      <c r="BF278">
        <v>64</v>
      </c>
      <c r="BG278">
        <v>1</v>
      </c>
      <c r="BH278">
        <v>35</v>
      </c>
      <c r="BI278">
        <v>28</v>
      </c>
      <c r="BJ278">
        <v>33</v>
      </c>
      <c r="BK278">
        <v>9</v>
      </c>
      <c r="BP278" s="184"/>
    </row>
    <row r="279" spans="1:68">
      <c r="A279">
        <v>706622</v>
      </c>
      <c r="B279">
        <v>706622</v>
      </c>
      <c r="C279" t="s">
        <v>7018</v>
      </c>
      <c r="D279" t="s">
        <v>595</v>
      </c>
      <c r="E279" s="184">
        <v>45195</v>
      </c>
      <c r="I279" s="184"/>
      <c r="K279" s="184"/>
      <c r="M279" s="184"/>
      <c r="O279" s="184"/>
      <c r="P279" t="s">
        <v>7045</v>
      </c>
      <c r="Q279" t="s">
        <v>7494</v>
      </c>
      <c r="R279" s="184">
        <v>20607</v>
      </c>
      <c r="S279">
        <v>67</v>
      </c>
      <c r="V279" t="s">
        <v>2665</v>
      </c>
      <c r="X279" t="s">
        <v>8535</v>
      </c>
      <c r="Z279">
        <v>100009371</v>
      </c>
      <c r="AB279" t="s">
        <v>4210</v>
      </c>
      <c r="AD279" t="s">
        <v>8535</v>
      </c>
      <c r="AF279" t="s">
        <v>8536</v>
      </c>
      <c r="AG279" t="s">
        <v>8537</v>
      </c>
      <c r="AI279" t="s">
        <v>8538</v>
      </c>
      <c r="AM279" t="s">
        <v>8539</v>
      </c>
      <c r="AN279" t="s">
        <v>2174</v>
      </c>
      <c r="AO279" t="s">
        <v>8540</v>
      </c>
      <c r="AP279" t="s">
        <v>7024</v>
      </c>
      <c r="AQ279" t="s">
        <v>8541</v>
      </c>
      <c r="AT279" s="184">
        <v>43565</v>
      </c>
      <c r="AU279" t="s">
        <v>8542</v>
      </c>
      <c r="AV279">
        <v>50</v>
      </c>
      <c r="AW279" s="184">
        <v>44706</v>
      </c>
      <c r="AX279" t="s">
        <v>8543</v>
      </c>
      <c r="AY279">
        <v>25</v>
      </c>
      <c r="AZ279" s="184">
        <v>44292</v>
      </c>
      <c r="BA279" t="s">
        <v>8544</v>
      </c>
      <c r="BB279">
        <v>50</v>
      </c>
      <c r="BC279">
        <v>67</v>
      </c>
      <c r="BD279">
        <v>260</v>
      </c>
      <c r="BE279">
        <v>2019</v>
      </c>
      <c r="BF279">
        <v>6</v>
      </c>
      <c r="BG279">
        <v>1</v>
      </c>
      <c r="BH279">
        <v>25</v>
      </c>
      <c r="BI279">
        <v>4</v>
      </c>
      <c r="BJ279">
        <v>6</v>
      </c>
      <c r="BK279">
        <v>4</v>
      </c>
      <c r="BP279" s="184"/>
    </row>
    <row r="280" spans="1:68">
      <c r="A280">
        <v>100009371</v>
      </c>
      <c r="B280">
        <v>706622</v>
      </c>
      <c r="C280" t="s">
        <v>7018</v>
      </c>
      <c r="D280" t="s">
        <v>595</v>
      </c>
      <c r="E280" s="184">
        <v>45195</v>
      </c>
      <c r="G280" s="184"/>
      <c r="I280" s="184"/>
      <c r="K280" s="184"/>
      <c r="O280" s="184"/>
      <c r="P280" t="s">
        <v>7045</v>
      </c>
      <c r="Q280" t="s">
        <v>7494</v>
      </c>
      <c r="R280" s="184">
        <v>20607</v>
      </c>
      <c r="S280">
        <v>67</v>
      </c>
      <c r="V280" t="s">
        <v>4210</v>
      </c>
      <c r="X280" t="s">
        <v>8535</v>
      </c>
      <c r="Z280">
        <v>706622</v>
      </c>
      <c r="AB280" t="s">
        <v>2665</v>
      </c>
      <c r="AD280" t="s">
        <v>8535</v>
      </c>
      <c r="AF280" t="s">
        <v>8536</v>
      </c>
      <c r="AG280" t="s">
        <v>8537</v>
      </c>
      <c r="AI280" t="s">
        <v>8538</v>
      </c>
      <c r="AM280" t="s">
        <v>8539</v>
      </c>
      <c r="AN280" t="s">
        <v>2174</v>
      </c>
      <c r="AO280" t="s">
        <v>8540</v>
      </c>
      <c r="AP280" t="s">
        <v>7024</v>
      </c>
      <c r="AT280" s="184"/>
      <c r="AW280" s="184"/>
      <c r="AZ280" s="184"/>
      <c r="BP280" s="184"/>
    </row>
    <row r="281" spans="1:68">
      <c r="A281">
        <v>100365893</v>
      </c>
      <c r="B281">
        <v>708644</v>
      </c>
      <c r="C281" t="s">
        <v>7018</v>
      </c>
      <c r="E281" s="184"/>
      <c r="G281" s="184"/>
      <c r="H281" t="s">
        <v>595</v>
      </c>
      <c r="I281" s="184">
        <v>43923</v>
      </c>
      <c r="K281" s="184"/>
      <c r="O281" s="184"/>
      <c r="P281" t="s">
        <v>7019</v>
      </c>
      <c r="Q281" t="s">
        <v>7383</v>
      </c>
      <c r="R281" s="184">
        <v>19948</v>
      </c>
      <c r="S281">
        <v>69</v>
      </c>
      <c r="V281" t="s">
        <v>2536</v>
      </c>
      <c r="X281" t="s">
        <v>4805</v>
      </c>
      <c r="Z281">
        <v>708644</v>
      </c>
      <c r="AB281" t="s">
        <v>3381</v>
      </c>
      <c r="AC281" t="s">
        <v>3431</v>
      </c>
      <c r="AD281" t="s">
        <v>4805</v>
      </c>
      <c r="AF281" t="s">
        <v>8545</v>
      </c>
      <c r="AG281" t="s">
        <v>8546</v>
      </c>
      <c r="AI281" t="s">
        <v>8547</v>
      </c>
      <c r="AM281" t="s">
        <v>3169</v>
      </c>
      <c r="AN281" t="s">
        <v>2274</v>
      </c>
      <c r="AO281" t="s">
        <v>8548</v>
      </c>
      <c r="AP281" t="s">
        <v>7024</v>
      </c>
      <c r="AQ281" t="s">
        <v>8549</v>
      </c>
      <c r="AT281" s="184"/>
      <c r="AW281" s="184"/>
      <c r="AZ281" s="184"/>
      <c r="BP281" s="184"/>
    </row>
    <row r="282" spans="1:68">
      <c r="A282">
        <v>711242</v>
      </c>
      <c r="B282">
        <v>711242</v>
      </c>
      <c r="C282" t="s">
        <v>7018</v>
      </c>
      <c r="E282" s="184"/>
      <c r="G282" s="184"/>
      <c r="I282" s="184"/>
      <c r="J282" t="s">
        <v>595</v>
      </c>
      <c r="K282" s="184">
        <v>43570</v>
      </c>
      <c r="M282" s="184"/>
      <c r="P282" t="s">
        <v>8550</v>
      </c>
      <c r="Q282" t="s">
        <v>7160</v>
      </c>
      <c r="R282" s="184"/>
      <c r="V282" t="s">
        <v>2800</v>
      </c>
      <c r="X282" t="s">
        <v>2801</v>
      </c>
      <c r="AF282" t="s">
        <v>6770</v>
      </c>
      <c r="AG282" t="s">
        <v>2800</v>
      </c>
      <c r="AI282" t="s">
        <v>8551</v>
      </c>
      <c r="AM282" t="s">
        <v>2802</v>
      </c>
      <c r="AN282" t="s">
        <v>2176</v>
      </c>
      <c r="AO282" t="s">
        <v>8552</v>
      </c>
      <c r="AP282" t="s">
        <v>7024</v>
      </c>
      <c r="AQ282" t="s">
        <v>8553</v>
      </c>
      <c r="AT282" s="184"/>
      <c r="AW282" s="184"/>
      <c r="AZ282" s="184"/>
      <c r="BP282" s="184"/>
    </row>
    <row r="283" spans="1:68">
      <c r="A283">
        <v>722850</v>
      </c>
      <c r="B283">
        <v>722850</v>
      </c>
      <c r="C283" t="s">
        <v>7018</v>
      </c>
      <c r="E283" s="184"/>
      <c r="G283" s="184"/>
      <c r="H283" t="s">
        <v>595</v>
      </c>
      <c r="I283" s="184">
        <v>44392</v>
      </c>
      <c r="K283" s="184"/>
      <c r="M283" s="184"/>
      <c r="O283" s="184"/>
      <c r="P283" t="s">
        <v>8550</v>
      </c>
      <c r="Q283" t="s">
        <v>7160</v>
      </c>
      <c r="R283" s="184"/>
      <c r="U283" t="s">
        <v>7032</v>
      </c>
      <c r="V283" t="s">
        <v>5102</v>
      </c>
      <c r="X283" t="s">
        <v>5103</v>
      </c>
      <c r="AF283" t="s">
        <v>8554</v>
      </c>
      <c r="AG283" t="s">
        <v>5102</v>
      </c>
      <c r="AI283" t="s">
        <v>8555</v>
      </c>
      <c r="AM283" t="s">
        <v>5104</v>
      </c>
      <c r="AN283" t="s">
        <v>2176</v>
      </c>
      <c r="AO283" t="s">
        <v>8556</v>
      </c>
      <c r="AP283" t="s">
        <v>7024</v>
      </c>
      <c r="AQ283" t="s">
        <v>8557</v>
      </c>
      <c r="AT283" s="184"/>
      <c r="AW283" s="184"/>
      <c r="AZ283" s="184"/>
      <c r="BP283" s="184"/>
    </row>
    <row r="284" spans="1:68">
      <c r="A284">
        <v>732198</v>
      </c>
      <c r="B284">
        <v>732198</v>
      </c>
      <c r="C284" t="s">
        <v>7018</v>
      </c>
      <c r="D284" t="s">
        <v>595</v>
      </c>
      <c r="E284" s="184">
        <v>45119</v>
      </c>
      <c r="G284" s="184"/>
      <c r="I284" s="184"/>
      <c r="K284" s="184"/>
      <c r="M284" s="184"/>
      <c r="O284" s="184"/>
      <c r="P284" t="s">
        <v>7045</v>
      </c>
      <c r="Q284" t="s">
        <v>7160</v>
      </c>
      <c r="R284" s="184">
        <v>19815</v>
      </c>
      <c r="S284">
        <v>70</v>
      </c>
      <c r="V284" t="s">
        <v>8558</v>
      </c>
      <c r="X284" t="s">
        <v>8559</v>
      </c>
      <c r="AF284" t="s">
        <v>8560</v>
      </c>
      <c r="AG284" t="s">
        <v>8558</v>
      </c>
      <c r="AI284" t="s">
        <v>8561</v>
      </c>
      <c r="AM284" t="s">
        <v>8562</v>
      </c>
      <c r="AN284" t="s">
        <v>2446</v>
      </c>
      <c r="AO284" t="s">
        <v>8563</v>
      </c>
      <c r="AP284" t="s">
        <v>7024</v>
      </c>
      <c r="AQ284" t="s">
        <v>8564</v>
      </c>
      <c r="AT284" s="184">
        <v>43573</v>
      </c>
      <c r="AU284" t="s">
        <v>8565</v>
      </c>
      <c r="AV284">
        <v>100</v>
      </c>
      <c r="AW284" s="184">
        <v>45065</v>
      </c>
      <c r="AX284" t="s">
        <v>8566</v>
      </c>
      <c r="AY284">
        <v>50</v>
      </c>
      <c r="AZ284" s="184">
        <v>44930</v>
      </c>
      <c r="BA284" t="s">
        <v>8567</v>
      </c>
      <c r="BB284">
        <v>100</v>
      </c>
      <c r="BC284">
        <v>50</v>
      </c>
      <c r="BD284">
        <v>350</v>
      </c>
      <c r="BE284">
        <v>2019</v>
      </c>
      <c r="BF284">
        <v>4</v>
      </c>
      <c r="BG284">
        <v>2</v>
      </c>
      <c r="BH284">
        <v>150</v>
      </c>
      <c r="BI284">
        <v>3</v>
      </c>
      <c r="BJ284">
        <v>6</v>
      </c>
      <c r="BK284">
        <v>1</v>
      </c>
      <c r="BP284" s="184"/>
    </row>
    <row r="285" spans="1:68">
      <c r="A285">
        <v>737718</v>
      </c>
      <c r="B285">
        <v>737718</v>
      </c>
      <c r="C285" t="s">
        <v>7018</v>
      </c>
      <c r="E285" s="184"/>
      <c r="F285" t="s">
        <v>595</v>
      </c>
      <c r="G285" s="184">
        <v>45167</v>
      </c>
      <c r="I285" s="184"/>
      <c r="K285" s="184"/>
      <c r="M285" s="184"/>
      <c r="O285" s="184"/>
      <c r="P285" t="s">
        <v>7045</v>
      </c>
      <c r="Q285" t="s">
        <v>7194</v>
      </c>
      <c r="R285" s="184">
        <v>23012</v>
      </c>
      <c r="S285">
        <v>61</v>
      </c>
      <c r="U285" t="s">
        <v>7076</v>
      </c>
      <c r="V285" t="s">
        <v>3748</v>
      </c>
      <c r="W285" t="s">
        <v>7407</v>
      </c>
      <c r="X285" t="s">
        <v>8568</v>
      </c>
      <c r="AF285" t="s">
        <v>8569</v>
      </c>
      <c r="AG285" t="s">
        <v>3748</v>
      </c>
      <c r="AI285" t="s">
        <v>8570</v>
      </c>
      <c r="AM285" t="s">
        <v>8571</v>
      </c>
      <c r="AN285" t="s">
        <v>4512</v>
      </c>
      <c r="AO285" t="s">
        <v>8572</v>
      </c>
      <c r="AP285" t="s">
        <v>7024</v>
      </c>
      <c r="AQ285" t="s">
        <v>8573</v>
      </c>
      <c r="AT285" s="184">
        <v>43574</v>
      </c>
      <c r="AU285" t="s">
        <v>8574</v>
      </c>
      <c r="AV285">
        <v>50</v>
      </c>
      <c r="AW285" s="184">
        <v>45354</v>
      </c>
      <c r="AX285" t="s">
        <v>7832</v>
      </c>
      <c r="AY285">
        <v>100</v>
      </c>
      <c r="AZ285" s="184">
        <v>45354</v>
      </c>
      <c r="BA285" t="s">
        <v>7832</v>
      </c>
      <c r="BB285">
        <v>100</v>
      </c>
      <c r="BC285">
        <v>100</v>
      </c>
      <c r="BD285">
        <v>575</v>
      </c>
      <c r="BE285">
        <v>2019</v>
      </c>
      <c r="BF285">
        <v>9</v>
      </c>
      <c r="BG285">
        <v>2</v>
      </c>
      <c r="BH285">
        <v>150</v>
      </c>
      <c r="BI285">
        <v>6</v>
      </c>
      <c r="BJ285">
        <v>6</v>
      </c>
      <c r="BK285">
        <v>6</v>
      </c>
      <c r="BP285" s="184"/>
    </row>
    <row r="286" spans="1:68">
      <c r="A286">
        <v>743013</v>
      </c>
      <c r="B286">
        <v>743013</v>
      </c>
      <c r="C286" t="s">
        <v>7018</v>
      </c>
      <c r="E286" s="184"/>
      <c r="G286" s="184"/>
      <c r="H286" t="s">
        <v>595</v>
      </c>
      <c r="I286" s="184">
        <v>43829</v>
      </c>
      <c r="K286" s="184"/>
      <c r="M286" s="184"/>
      <c r="P286" t="s">
        <v>7045</v>
      </c>
      <c r="Q286" t="s">
        <v>7374</v>
      </c>
      <c r="R286" s="184">
        <v>26528</v>
      </c>
      <c r="S286">
        <v>51</v>
      </c>
      <c r="V286" t="s">
        <v>4022</v>
      </c>
      <c r="X286" t="s">
        <v>4491</v>
      </c>
      <c r="AF286" t="s">
        <v>8575</v>
      </c>
      <c r="AG286" t="s">
        <v>4022</v>
      </c>
      <c r="AI286" t="s">
        <v>8576</v>
      </c>
      <c r="AM286" t="s">
        <v>4492</v>
      </c>
      <c r="AN286" t="s">
        <v>2081</v>
      </c>
      <c r="AO286" t="s">
        <v>8577</v>
      </c>
      <c r="AP286" t="s">
        <v>7024</v>
      </c>
      <c r="AQ286" t="s">
        <v>8578</v>
      </c>
      <c r="AT286" s="184">
        <v>43578</v>
      </c>
      <c r="AU286" t="s">
        <v>8579</v>
      </c>
      <c r="AV286">
        <v>100</v>
      </c>
      <c r="AW286" s="184">
        <v>43578</v>
      </c>
      <c r="AX286" t="s">
        <v>8579</v>
      </c>
      <c r="AY286">
        <v>100</v>
      </c>
      <c r="AZ286" s="184">
        <v>43578</v>
      </c>
      <c r="BA286" t="s">
        <v>8579</v>
      </c>
      <c r="BB286">
        <v>100</v>
      </c>
      <c r="BC286">
        <v>17</v>
      </c>
      <c r="BD286">
        <v>100</v>
      </c>
      <c r="BE286">
        <v>2019</v>
      </c>
      <c r="BF286">
        <v>1</v>
      </c>
      <c r="BI286">
        <v>1</v>
      </c>
      <c r="BJ286">
        <v>6</v>
      </c>
      <c r="BK286">
        <v>1</v>
      </c>
      <c r="BP286" s="184"/>
    </row>
    <row r="287" spans="1:68">
      <c r="A287">
        <v>751214</v>
      </c>
      <c r="B287">
        <v>751214</v>
      </c>
      <c r="C287" t="s">
        <v>7018</v>
      </c>
      <c r="D287" t="s">
        <v>595</v>
      </c>
      <c r="E287" s="184">
        <v>44073</v>
      </c>
      <c r="H287" t="s">
        <v>595</v>
      </c>
      <c r="I287" s="184">
        <v>44073</v>
      </c>
      <c r="K287" s="184"/>
      <c r="M287" s="184"/>
      <c r="O287" s="184"/>
      <c r="P287" t="s">
        <v>7045</v>
      </c>
      <c r="Q287" t="s">
        <v>7454</v>
      </c>
      <c r="R287" s="184">
        <v>18675</v>
      </c>
      <c r="S287">
        <v>73</v>
      </c>
      <c r="U287" t="s">
        <v>7031</v>
      </c>
      <c r="V287" t="s">
        <v>3922</v>
      </c>
      <c r="W287" t="s">
        <v>7356</v>
      </c>
      <c r="X287" t="s">
        <v>4944</v>
      </c>
      <c r="Z287">
        <v>63801906</v>
      </c>
      <c r="AA287" t="s">
        <v>7130</v>
      </c>
      <c r="AB287" t="s">
        <v>4943</v>
      </c>
      <c r="AD287" t="s">
        <v>4944</v>
      </c>
      <c r="AF287" t="s">
        <v>8580</v>
      </c>
      <c r="AG287" t="s">
        <v>8581</v>
      </c>
      <c r="AI287" t="s">
        <v>8582</v>
      </c>
      <c r="AM287" t="s">
        <v>4138</v>
      </c>
      <c r="AN287" t="s">
        <v>2299</v>
      </c>
      <c r="AO287" t="s">
        <v>8583</v>
      </c>
      <c r="AP287" t="s">
        <v>7024</v>
      </c>
      <c r="AQ287" t="s">
        <v>8584</v>
      </c>
      <c r="AR287" t="s">
        <v>8585</v>
      </c>
      <c r="AT287" s="184">
        <v>43582</v>
      </c>
      <c r="AU287" t="s">
        <v>8586</v>
      </c>
      <c r="AV287">
        <v>25</v>
      </c>
      <c r="AW287" s="184">
        <v>45385</v>
      </c>
      <c r="AX287" t="s">
        <v>8008</v>
      </c>
      <c r="AY287">
        <v>25</v>
      </c>
      <c r="AZ287" s="184">
        <v>45385</v>
      </c>
      <c r="BA287" t="s">
        <v>8008</v>
      </c>
      <c r="BB287">
        <v>25</v>
      </c>
      <c r="BC287">
        <v>100</v>
      </c>
      <c r="BD287">
        <v>150</v>
      </c>
      <c r="BE287">
        <v>2019</v>
      </c>
      <c r="BF287">
        <v>6</v>
      </c>
      <c r="BG287">
        <v>2</v>
      </c>
      <c r="BH287">
        <v>50</v>
      </c>
      <c r="BI287">
        <v>6</v>
      </c>
      <c r="BJ287">
        <v>6</v>
      </c>
      <c r="BK287">
        <v>6</v>
      </c>
      <c r="BP287" s="184"/>
    </row>
    <row r="288" spans="1:68">
      <c r="A288">
        <v>63801906</v>
      </c>
      <c r="B288">
        <v>751214</v>
      </c>
      <c r="C288" t="s">
        <v>7018</v>
      </c>
      <c r="D288" t="s">
        <v>595</v>
      </c>
      <c r="E288" s="184">
        <v>44073</v>
      </c>
      <c r="H288" t="s">
        <v>595</v>
      </c>
      <c r="I288" s="184">
        <v>44073</v>
      </c>
      <c r="K288" s="184"/>
      <c r="M288" s="184"/>
      <c r="P288" t="s">
        <v>7045</v>
      </c>
      <c r="Q288" t="s">
        <v>7454</v>
      </c>
      <c r="R288" s="184">
        <v>18833</v>
      </c>
      <c r="S288">
        <v>72</v>
      </c>
      <c r="U288" t="s">
        <v>7130</v>
      </c>
      <c r="V288" t="s">
        <v>4943</v>
      </c>
      <c r="X288" t="s">
        <v>4944</v>
      </c>
      <c r="Z288">
        <v>751214</v>
      </c>
      <c r="AA288" t="s">
        <v>7031</v>
      </c>
      <c r="AB288" t="s">
        <v>3922</v>
      </c>
      <c r="AC288" t="s">
        <v>7356</v>
      </c>
      <c r="AD288" t="s">
        <v>4944</v>
      </c>
      <c r="AF288" t="s">
        <v>8580</v>
      </c>
      <c r="AG288" t="s">
        <v>8581</v>
      </c>
      <c r="AI288" t="s">
        <v>8582</v>
      </c>
      <c r="AM288" t="s">
        <v>4138</v>
      </c>
      <c r="AN288" t="s">
        <v>2299</v>
      </c>
      <c r="AO288" t="s">
        <v>8583</v>
      </c>
      <c r="AP288" t="s">
        <v>7024</v>
      </c>
      <c r="AQ288" t="s">
        <v>8584</v>
      </c>
      <c r="AR288" t="s">
        <v>8587</v>
      </c>
      <c r="AT288" s="184">
        <v>40494</v>
      </c>
      <c r="AU288" t="s">
        <v>8588</v>
      </c>
      <c r="AV288">
        <v>25</v>
      </c>
      <c r="AW288" s="184">
        <v>43642</v>
      </c>
      <c r="AX288" t="s">
        <v>8589</v>
      </c>
      <c r="AY288">
        <v>25</v>
      </c>
      <c r="AZ288" s="184">
        <v>41856</v>
      </c>
      <c r="BA288" t="s">
        <v>8035</v>
      </c>
      <c r="BB288">
        <v>35</v>
      </c>
      <c r="BC288">
        <v>67</v>
      </c>
      <c r="BD288">
        <v>295</v>
      </c>
      <c r="BE288">
        <v>2011</v>
      </c>
      <c r="BF288">
        <v>11</v>
      </c>
      <c r="BI288">
        <v>10</v>
      </c>
      <c r="BJ288">
        <v>15</v>
      </c>
      <c r="BK288">
        <v>10</v>
      </c>
      <c r="BP288" s="184"/>
    </row>
    <row r="289" spans="1:68">
      <c r="A289">
        <v>787663</v>
      </c>
      <c r="B289">
        <v>787663</v>
      </c>
      <c r="C289" t="s">
        <v>7018</v>
      </c>
      <c r="E289" s="184"/>
      <c r="I289" s="184"/>
      <c r="J289" t="s">
        <v>595</v>
      </c>
      <c r="K289" s="184">
        <v>39638</v>
      </c>
      <c r="M289" s="184"/>
      <c r="O289" s="184"/>
      <c r="P289" t="s">
        <v>7045</v>
      </c>
      <c r="Q289" t="s">
        <v>7383</v>
      </c>
      <c r="R289" s="184"/>
      <c r="U289" t="s">
        <v>7031</v>
      </c>
      <c r="V289" t="s">
        <v>2992</v>
      </c>
      <c r="X289" t="s">
        <v>8590</v>
      </c>
      <c r="AF289" t="s">
        <v>6724</v>
      </c>
      <c r="AG289" t="s">
        <v>8591</v>
      </c>
      <c r="AI289" t="s">
        <v>8592</v>
      </c>
      <c r="AM289" t="s">
        <v>8593</v>
      </c>
      <c r="AN289" t="s">
        <v>2313</v>
      </c>
      <c r="AO289" t="s">
        <v>8594</v>
      </c>
      <c r="AP289" t="s">
        <v>7024</v>
      </c>
      <c r="AT289" s="184">
        <v>31384</v>
      </c>
      <c r="AU289" t="s">
        <v>8595</v>
      </c>
      <c r="AV289">
        <v>18</v>
      </c>
      <c r="AW289" s="184">
        <v>32114</v>
      </c>
      <c r="AX289" t="s">
        <v>8596</v>
      </c>
      <c r="AY289">
        <v>22</v>
      </c>
      <c r="AZ289" s="184">
        <v>32114</v>
      </c>
      <c r="BA289" t="s">
        <v>8596</v>
      </c>
      <c r="BB289">
        <v>22</v>
      </c>
      <c r="BC289">
        <v>5</v>
      </c>
      <c r="BD289">
        <v>40</v>
      </c>
      <c r="BE289">
        <v>1986</v>
      </c>
      <c r="BF289">
        <v>2</v>
      </c>
      <c r="BI289">
        <v>2</v>
      </c>
      <c r="BJ289">
        <v>40</v>
      </c>
      <c r="BK289">
        <v>1</v>
      </c>
      <c r="BO289" t="s">
        <v>595</v>
      </c>
      <c r="BP289" s="184">
        <v>36404</v>
      </c>
    </row>
    <row r="290" spans="1:68">
      <c r="A290">
        <v>802066</v>
      </c>
      <c r="B290">
        <v>802066</v>
      </c>
      <c r="C290" t="s">
        <v>7018</v>
      </c>
      <c r="E290" s="184"/>
      <c r="I290" s="184"/>
      <c r="J290" t="s">
        <v>595</v>
      </c>
      <c r="K290" s="184">
        <v>37438</v>
      </c>
      <c r="M290" s="184"/>
      <c r="O290" s="184"/>
      <c r="P290" t="s">
        <v>7045</v>
      </c>
      <c r="Q290" t="s">
        <v>7262</v>
      </c>
      <c r="R290" s="184">
        <v>8798</v>
      </c>
      <c r="S290">
        <v>100</v>
      </c>
      <c r="U290" t="s">
        <v>7076</v>
      </c>
      <c r="V290" t="s">
        <v>2593</v>
      </c>
      <c r="W290" t="s">
        <v>7356</v>
      </c>
      <c r="X290" t="s">
        <v>2898</v>
      </c>
      <c r="AF290" t="s">
        <v>6305</v>
      </c>
      <c r="AG290" t="s">
        <v>8597</v>
      </c>
      <c r="AI290" t="s">
        <v>8598</v>
      </c>
      <c r="AM290" t="s">
        <v>8599</v>
      </c>
      <c r="AN290" t="s">
        <v>2106</v>
      </c>
      <c r="AO290" t="s">
        <v>8600</v>
      </c>
      <c r="AP290" t="s">
        <v>7024</v>
      </c>
      <c r="AT290" s="184">
        <v>31393</v>
      </c>
      <c r="AU290" t="s">
        <v>7255</v>
      </c>
      <c r="AV290">
        <v>10</v>
      </c>
      <c r="AW290" s="184">
        <v>38572</v>
      </c>
      <c r="AX290" t="s">
        <v>8601</v>
      </c>
      <c r="AY290">
        <v>100</v>
      </c>
      <c r="AZ290" s="184">
        <v>35905</v>
      </c>
      <c r="BA290" t="s">
        <v>8602</v>
      </c>
      <c r="BB290">
        <v>150</v>
      </c>
      <c r="BC290">
        <v>48</v>
      </c>
      <c r="BD290">
        <v>1715</v>
      </c>
      <c r="BE290">
        <v>1986</v>
      </c>
      <c r="BF290">
        <v>25</v>
      </c>
      <c r="BI290">
        <v>19</v>
      </c>
      <c r="BJ290">
        <v>40</v>
      </c>
      <c r="BK290">
        <v>16</v>
      </c>
      <c r="BO290" t="s">
        <v>595</v>
      </c>
      <c r="BP290" s="184"/>
    </row>
    <row r="291" spans="1:68">
      <c r="A291">
        <v>806232</v>
      </c>
      <c r="B291">
        <v>806232</v>
      </c>
      <c r="C291" t="s">
        <v>7018</v>
      </c>
      <c r="D291" t="s">
        <v>595</v>
      </c>
      <c r="E291" s="184">
        <v>44104</v>
      </c>
      <c r="K291" s="184"/>
      <c r="M291" s="184"/>
      <c r="O291" s="184"/>
      <c r="P291" t="s">
        <v>7045</v>
      </c>
      <c r="Q291" t="s">
        <v>7454</v>
      </c>
      <c r="R291" s="184">
        <v>14055</v>
      </c>
      <c r="S291">
        <v>85</v>
      </c>
      <c r="V291" t="s">
        <v>3317</v>
      </c>
      <c r="W291" t="s">
        <v>5006</v>
      </c>
      <c r="X291" t="s">
        <v>8603</v>
      </c>
      <c r="AF291" t="s">
        <v>8604</v>
      </c>
      <c r="AG291" t="s">
        <v>3317</v>
      </c>
      <c r="AI291" t="s">
        <v>8605</v>
      </c>
      <c r="AM291" t="s">
        <v>4076</v>
      </c>
      <c r="AN291" t="s">
        <v>2055</v>
      </c>
      <c r="AO291" t="s">
        <v>8606</v>
      </c>
      <c r="AP291" t="s">
        <v>7024</v>
      </c>
      <c r="AQ291" t="s">
        <v>8607</v>
      </c>
      <c r="AR291" t="s">
        <v>8608</v>
      </c>
      <c r="AT291" s="184">
        <v>31401</v>
      </c>
      <c r="AU291" t="s">
        <v>8609</v>
      </c>
      <c r="AV291">
        <v>18</v>
      </c>
      <c r="AW291" s="184">
        <v>45390</v>
      </c>
      <c r="AX291" t="s">
        <v>8610</v>
      </c>
      <c r="AY291">
        <v>100</v>
      </c>
      <c r="AZ291" s="184">
        <v>45390</v>
      </c>
      <c r="BA291" t="s">
        <v>8610</v>
      </c>
      <c r="BB291">
        <v>100</v>
      </c>
      <c r="BC291">
        <v>80</v>
      </c>
      <c r="BD291">
        <v>1871</v>
      </c>
      <c r="BE291">
        <v>1986</v>
      </c>
      <c r="BF291">
        <v>40</v>
      </c>
      <c r="BG291">
        <v>2</v>
      </c>
      <c r="BH291">
        <v>150</v>
      </c>
      <c r="BI291">
        <v>32</v>
      </c>
      <c r="BJ291">
        <v>40</v>
      </c>
      <c r="BK291">
        <v>13</v>
      </c>
      <c r="BP291" s="184"/>
    </row>
    <row r="292" spans="1:68">
      <c r="A292">
        <v>808097</v>
      </c>
      <c r="B292">
        <v>808097</v>
      </c>
      <c r="C292" t="s">
        <v>7018</v>
      </c>
      <c r="E292" s="184"/>
      <c r="I292" s="184"/>
      <c r="J292" t="s">
        <v>595</v>
      </c>
      <c r="K292" s="184">
        <v>41414</v>
      </c>
      <c r="M292" s="184"/>
      <c r="O292" s="184"/>
      <c r="P292" t="s">
        <v>7045</v>
      </c>
      <c r="Q292" t="s">
        <v>7262</v>
      </c>
      <c r="R292" s="184">
        <v>17431</v>
      </c>
      <c r="S292">
        <v>76</v>
      </c>
      <c r="U292" t="s">
        <v>7076</v>
      </c>
      <c r="V292" t="s">
        <v>2903</v>
      </c>
      <c r="W292" t="s">
        <v>2049</v>
      </c>
      <c r="X292" t="s">
        <v>4071</v>
      </c>
      <c r="Z292">
        <v>100009633</v>
      </c>
      <c r="AA292" t="s">
        <v>7031</v>
      </c>
      <c r="AB292" t="s">
        <v>3360</v>
      </c>
      <c r="AD292" t="s">
        <v>3794</v>
      </c>
      <c r="AF292" t="s">
        <v>6151</v>
      </c>
      <c r="AG292" t="s">
        <v>8611</v>
      </c>
      <c r="AI292" t="s">
        <v>8612</v>
      </c>
      <c r="AM292" t="s">
        <v>8613</v>
      </c>
      <c r="AN292" t="s">
        <v>2106</v>
      </c>
      <c r="AO292" t="s">
        <v>8614</v>
      </c>
      <c r="AP292" t="s">
        <v>7024</v>
      </c>
      <c r="AQ292" t="s">
        <v>8615</v>
      </c>
      <c r="AR292" t="s">
        <v>8616</v>
      </c>
      <c r="AT292" s="184">
        <v>31405</v>
      </c>
      <c r="AU292" t="s">
        <v>8617</v>
      </c>
      <c r="AV292">
        <v>18</v>
      </c>
      <c r="AW292" s="184">
        <v>45419</v>
      </c>
      <c r="AX292" t="s">
        <v>7422</v>
      </c>
      <c r="AY292">
        <v>20</v>
      </c>
      <c r="AZ292" s="184">
        <v>38691</v>
      </c>
      <c r="BA292" t="s">
        <v>8618</v>
      </c>
      <c r="BB292">
        <v>100</v>
      </c>
      <c r="BC292">
        <v>95</v>
      </c>
      <c r="BD292">
        <v>4735</v>
      </c>
      <c r="BE292">
        <v>1986</v>
      </c>
      <c r="BF292">
        <v>190</v>
      </c>
      <c r="BG292">
        <v>22</v>
      </c>
      <c r="BH292">
        <v>440</v>
      </c>
      <c r="BI292">
        <v>38</v>
      </c>
      <c r="BJ292">
        <v>40</v>
      </c>
      <c r="BK292">
        <v>23</v>
      </c>
      <c r="BP292" s="184"/>
    </row>
    <row r="293" spans="1:68">
      <c r="A293">
        <v>100009633</v>
      </c>
      <c r="B293">
        <v>808097</v>
      </c>
      <c r="C293" t="s">
        <v>7018</v>
      </c>
      <c r="E293" s="184"/>
      <c r="I293" s="184"/>
      <c r="J293" t="s">
        <v>595</v>
      </c>
      <c r="K293" s="184">
        <v>43691</v>
      </c>
      <c r="M293" s="184"/>
      <c r="O293" s="184"/>
      <c r="P293" t="s">
        <v>7045</v>
      </c>
      <c r="Q293" t="s">
        <v>7262</v>
      </c>
      <c r="R293" s="184">
        <v>17624</v>
      </c>
      <c r="S293">
        <v>76</v>
      </c>
      <c r="U293" t="s">
        <v>7031</v>
      </c>
      <c r="V293" t="s">
        <v>3360</v>
      </c>
      <c r="X293" t="s">
        <v>3794</v>
      </c>
      <c r="Z293">
        <v>808097</v>
      </c>
      <c r="AA293" t="s">
        <v>7076</v>
      </c>
      <c r="AB293" t="s">
        <v>2903</v>
      </c>
      <c r="AC293" t="s">
        <v>2049</v>
      </c>
      <c r="AD293" t="s">
        <v>4071</v>
      </c>
      <c r="AF293" t="s">
        <v>6151</v>
      </c>
      <c r="AG293" t="s">
        <v>8611</v>
      </c>
      <c r="AI293" t="s">
        <v>8612</v>
      </c>
      <c r="AM293" t="s">
        <v>8613</v>
      </c>
      <c r="AN293" t="s">
        <v>2106</v>
      </c>
      <c r="AO293" t="s">
        <v>8614</v>
      </c>
      <c r="AP293" t="s">
        <v>7024</v>
      </c>
      <c r="AT293" s="184"/>
      <c r="AW293" s="184"/>
      <c r="AZ293" s="184"/>
      <c r="BP293" s="184"/>
    </row>
    <row r="294" spans="1:68">
      <c r="A294">
        <v>808444</v>
      </c>
      <c r="B294">
        <v>808444</v>
      </c>
      <c r="C294" t="s">
        <v>7018</v>
      </c>
      <c r="E294" s="184"/>
      <c r="I294" s="184"/>
      <c r="K294" s="184"/>
      <c r="M294" s="184"/>
      <c r="N294" t="s">
        <v>595</v>
      </c>
      <c r="O294" s="184">
        <v>36115</v>
      </c>
      <c r="P294" t="s">
        <v>7045</v>
      </c>
      <c r="Q294" t="s">
        <v>7383</v>
      </c>
      <c r="R294" s="184">
        <v>6690</v>
      </c>
      <c r="S294">
        <v>106</v>
      </c>
      <c r="U294" t="s">
        <v>7032</v>
      </c>
      <c r="V294" t="s">
        <v>8619</v>
      </c>
      <c r="W294" t="s">
        <v>3184</v>
      </c>
      <c r="X294" t="s">
        <v>8620</v>
      </c>
      <c r="Z294">
        <v>100179400</v>
      </c>
      <c r="AA294" t="s">
        <v>7032</v>
      </c>
      <c r="AB294" t="s">
        <v>8619</v>
      </c>
      <c r="AC294" t="s">
        <v>3184</v>
      </c>
      <c r="AD294" t="s">
        <v>8620</v>
      </c>
      <c r="AI294" t="s">
        <v>8621</v>
      </c>
      <c r="AJ294" t="s">
        <v>8622</v>
      </c>
      <c r="AM294" t="s">
        <v>5049</v>
      </c>
      <c r="AN294" t="s">
        <v>2064</v>
      </c>
      <c r="AO294">
        <v>64112</v>
      </c>
      <c r="AP294" t="s">
        <v>7024</v>
      </c>
      <c r="AT294" s="184">
        <v>31407</v>
      </c>
      <c r="AU294" t="s">
        <v>8623</v>
      </c>
      <c r="AV294">
        <v>18</v>
      </c>
      <c r="AW294" s="184">
        <v>36115</v>
      </c>
      <c r="AX294" t="s">
        <v>7929</v>
      </c>
      <c r="AY294">
        <v>50000</v>
      </c>
      <c r="AZ294" s="184">
        <v>36115</v>
      </c>
      <c r="BA294" t="s">
        <v>7929</v>
      </c>
      <c r="BB294">
        <v>50000</v>
      </c>
      <c r="BC294">
        <v>10</v>
      </c>
      <c r="BD294">
        <v>51259</v>
      </c>
      <c r="BE294">
        <v>1986</v>
      </c>
      <c r="BF294">
        <v>14</v>
      </c>
      <c r="BI294">
        <v>4</v>
      </c>
      <c r="BJ294">
        <v>40</v>
      </c>
      <c r="BK294">
        <v>1</v>
      </c>
      <c r="BO294" t="s">
        <v>595</v>
      </c>
      <c r="BP294" s="184">
        <v>42813</v>
      </c>
    </row>
    <row r="295" spans="1:68">
      <c r="A295">
        <v>816462</v>
      </c>
      <c r="B295">
        <v>816462</v>
      </c>
      <c r="C295" t="s">
        <v>7018</v>
      </c>
      <c r="E295" s="184"/>
      <c r="I295" s="184"/>
      <c r="J295" t="s">
        <v>595</v>
      </c>
      <c r="K295" s="184">
        <v>38489</v>
      </c>
      <c r="M295" s="184"/>
      <c r="O295" s="184"/>
      <c r="P295" t="s">
        <v>7029</v>
      </c>
      <c r="Q295" t="s">
        <v>7160</v>
      </c>
      <c r="R295" s="184">
        <v>8578</v>
      </c>
      <c r="S295">
        <v>100</v>
      </c>
      <c r="U295" t="s">
        <v>7130</v>
      </c>
      <c r="V295" t="s">
        <v>3288</v>
      </c>
      <c r="W295" t="s">
        <v>3522</v>
      </c>
      <c r="X295" t="s">
        <v>5614</v>
      </c>
      <c r="Z295">
        <v>100179407</v>
      </c>
      <c r="AB295" t="s">
        <v>5613</v>
      </c>
      <c r="AD295" t="s">
        <v>5614</v>
      </c>
      <c r="AF295" t="s">
        <v>8624</v>
      </c>
      <c r="AG295" t="s">
        <v>3288</v>
      </c>
      <c r="AI295" t="s">
        <v>8625</v>
      </c>
      <c r="AJ295" t="s">
        <v>8626</v>
      </c>
      <c r="AM295" t="s">
        <v>5615</v>
      </c>
      <c r="AN295" t="s">
        <v>2395</v>
      </c>
      <c r="AO295" t="s">
        <v>8627</v>
      </c>
      <c r="AP295" t="s">
        <v>7024</v>
      </c>
      <c r="AQ295" t="s">
        <v>8628</v>
      </c>
      <c r="AR295" t="s">
        <v>8629</v>
      </c>
      <c r="AT295" s="184">
        <v>31419</v>
      </c>
      <c r="AU295" t="s">
        <v>8630</v>
      </c>
      <c r="AV295">
        <v>15</v>
      </c>
      <c r="AW295" s="184">
        <v>45057</v>
      </c>
      <c r="AX295" t="s">
        <v>8019</v>
      </c>
      <c r="AY295">
        <v>1000</v>
      </c>
      <c r="AZ295" s="184">
        <v>35136</v>
      </c>
      <c r="BA295" t="s">
        <v>8631</v>
      </c>
      <c r="BB295">
        <v>1500</v>
      </c>
      <c r="BC295">
        <v>90</v>
      </c>
      <c r="BD295">
        <v>33528.5</v>
      </c>
      <c r="BE295">
        <v>1986</v>
      </c>
      <c r="BF295">
        <v>59</v>
      </c>
      <c r="BG295">
        <v>2</v>
      </c>
      <c r="BH295">
        <v>2000</v>
      </c>
      <c r="BI295">
        <v>35</v>
      </c>
      <c r="BJ295">
        <v>39</v>
      </c>
      <c r="BK295">
        <v>18</v>
      </c>
      <c r="BP295" s="184"/>
    </row>
    <row r="296" spans="1:68">
      <c r="A296">
        <v>100179407</v>
      </c>
      <c r="B296">
        <v>816462</v>
      </c>
      <c r="C296" t="s">
        <v>7018</v>
      </c>
      <c r="E296" s="184"/>
      <c r="I296" s="184"/>
      <c r="J296" t="s">
        <v>595</v>
      </c>
      <c r="K296" s="184">
        <v>38489</v>
      </c>
      <c r="M296" s="184"/>
      <c r="P296" t="s">
        <v>7029</v>
      </c>
      <c r="Q296" t="s">
        <v>7160</v>
      </c>
      <c r="R296" s="184">
        <v>8376</v>
      </c>
      <c r="S296">
        <v>101</v>
      </c>
      <c r="V296" t="s">
        <v>5613</v>
      </c>
      <c r="X296" t="s">
        <v>5614</v>
      </c>
      <c r="Z296">
        <v>816462</v>
      </c>
      <c r="AA296" t="s">
        <v>7130</v>
      </c>
      <c r="AB296" t="s">
        <v>3288</v>
      </c>
      <c r="AC296" t="s">
        <v>3522</v>
      </c>
      <c r="AD296" t="s">
        <v>5614</v>
      </c>
      <c r="AF296" t="s">
        <v>8624</v>
      </c>
      <c r="AG296" t="s">
        <v>3288</v>
      </c>
      <c r="AI296" t="s">
        <v>8625</v>
      </c>
      <c r="AJ296" t="s">
        <v>8626</v>
      </c>
      <c r="AM296" t="s">
        <v>5615</v>
      </c>
      <c r="AN296" t="s">
        <v>2395</v>
      </c>
      <c r="AO296" t="s">
        <v>8627</v>
      </c>
      <c r="AP296" t="s">
        <v>7024</v>
      </c>
      <c r="AT296" s="184"/>
      <c r="AW296" s="184"/>
      <c r="AZ296" s="184"/>
      <c r="BO296" t="s">
        <v>595</v>
      </c>
      <c r="BP296" s="184">
        <v>40081</v>
      </c>
    </row>
    <row r="297" spans="1:68">
      <c r="A297">
        <v>817569</v>
      </c>
      <c r="B297">
        <v>817569</v>
      </c>
      <c r="C297" t="s">
        <v>7018</v>
      </c>
      <c r="E297" s="184"/>
      <c r="H297" t="s">
        <v>595</v>
      </c>
      <c r="I297" s="184">
        <v>44461</v>
      </c>
      <c r="J297" t="s">
        <v>595</v>
      </c>
      <c r="K297" s="184">
        <v>38933</v>
      </c>
      <c r="M297" s="184"/>
      <c r="O297" s="184"/>
      <c r="P297" t="s">
        <v>7045</v>
      </c>
      <c r="Q297" t="s">
        <v>7030</v>
      </c>
      <c r="R297" s="184">
        <v>17533</v>
      </c>
      <c r="S297">
        <v>76</v>
      </c>
      <c r="U297" t="s">
        <v>7076</v>
      </c>
      <c r="V297" t="s">
        <v>7349</v>
      </c>
      <c r="X297" t="s">
        <v>8632</v>
      </c>
      <c r="AF297" t="s">
        <v>6605</v>
      </c>
      <c r="AG297" t="s">
        <v>7349</v>
      </c>
      <c r="AI297" t="s">
        <v>8633</v>
      </c>
      <c r="AM297" t="s">
        <v>4209</v>
      </c>
      <c r="AN297" t="s">
        <v>2201</v>
      </c>
      <c r="AO297" t="s">
        <v>8634</v>
      </c>
      <c r="AP297" t="s">
        <v>7024</v>
      </c>
      <c r="AQ297" t="s">
        <v>8635</v>
      </c>
      <c r="AT297" s="184">
        <v>31420</v>
      </c>
      <c r="AU297" t="s">
        <v>8636</v>
      </c>
      <c r="AV297">
        <v>18</v>
      </c>
      <c r="AW297" s="184">
        <v>45099</v>
      </c>
      <c r="AX297" t="s">
        <v>8637</v>
      </c>
      <c r="AY297">
        <v>40</v>
      </c>
      <c r="AZ297" s="184">
        <v>44355</v>
      </c>
      <c r="BA297" t="s">
        <v>8638</v>
      </c>
      <c r="BB297">
        <v>50</v>
      </c>
      <c r="BC297">
        <v>36</v>
      </c>
      <c r="BD297">
        <v>527.5</v>
      </c>
      <c r="BE297">
        <v>1986</v>
      </c>
      <c r="BF297">
        <v>19</v>
      </c>
      <c r="BG297">
        <v>1</v>
      </c>
      <c r="BH297">
        <v>40</v>
      </c>
      <c r="BI297">
        <v>14</v>
      </c>
      <c r="BJ297">
        <v>39</v>
      </c>
      <c r="BK297">
        <v>7</v>
      </c>
      <c r="BP297" s="184"/>
    </row>
    <row r="298" spans="1:68">
      <c r="A298">
        <v>817585</v>
      </c>
      <c r="B298">
        <v>817585</v>
      </c>
      <c r="C298" t="s">
        <v>7018</v>
      </c>
      <c r="E298" s="184"/>
      <c r="I298" s="184"/>
      <c r="K298" s="184"/>
      <c r="L298" t="s">
        <v>595</v>
      </c>
      <c r="M298" s="184">
        <v>44490</v>
      </c>
      <c r="P298" t="s">
        <v>7686</v>
      </c>
      <c r="Q298" t="s">
        <v>7383</v>
      </c>
      <c r="R298" s="184">
        <v>15732</v>
      </c>
      <c r="S298">
        <v>81</v>
      </c>
      <c r="V298" t="s">
        <v>2511</v>
      </c>
      <c r="W298" t="s">
        <v>7356</v>
      </c>
      <c r="X298" t="s">
        <v>8639</v>
      </c>
      <c r="Z298">
        <v>100763942</v>
      </c>
      <c r="AB298" t="s">
        <v>2593</v>
      </c>
      <c r="AC298" t="s">
        <v>4152</v>
      </c>
      <c r="AD298" t="s">
        <v>8639</v>
      </c>
      <c r="AF298" t="s">
        <v>8640</v>
      </c>
      <c r="AG298" t="s">
        <v>8641</v>
      </c>
      <c r="AI298" t="s">
        <v>8642</v>
      </c>
      <c r="AM298" t="s">
        <v>8643</v>
      </c>
      <c r="AN298" t="s">
        <v>2313</v>
      </c>
      <c r="AO298" t="s">
        <v>8644</v>
      </c>
      <c r="AP298" t="s">
        <v>7024</v>
      </c>
      <c r="AQ298" t="s">
        <v>8645</v>
      </c>
      <c r="AT298" s="184">
        <v>31420</v>
      </c>
      <c r="AU298" t="s">
        <v>8636</v>
      </c>
      <c r="AV298">
        <v>18</v>
      </c>
      <c r="AW298" s="184">
        <v>45243</v>
      </c>
      <c r="AX298" t="s">
        <v>7749</v>
      </c>
      <c r="AY298">
        <v>5000</v>
      </c>
      <c r="AZ298" s="184">
        <v>45243</v>
      </c>
      <c r="BA298" t="s">
        <v>7749</v>
      </c>
      <c r="BB298">
        <v>5000</v>
      </c>
      <c r="BC298">
        <v>88</v>
      </c>
      <c r="BD298">
        <v>16100</v>
      </c>
      <c r="BE298">
        <v>1986</v>
      </c>
      <c r="BF298">
        <v>37</v>
      </c>
      <c r="BG298">
        <v>2</v>
      </c>
      <c r="BH298">
        <v>10000</v>
      </c>
      <c r="BI298">
        <v>34</v>
      </c>
      <c r="BJ298">
        <v>39</v>
      </c>
      <c r="BK298">
        <v>17</v>
      </c>
      <c r="BN298" t="s">
        <v>595</v>
      </c>
      <c r="BP298" s="184"/>
    </row>
    <row r="299" spans="1:68">
      <c r="A299">
        <v>100763942</v>
      </c>
      <c r="B299">
        <v>817585</v>
      </c>
      <c r="C299" t="s">
        <v>7018</v>
      </c>
      <c r="E299" s="184"/>
      <c r="G299" s="184"/>
      <c r="K299" s="184"/>
      <c r="L299" t="s">
        <v>595</v>
      </c>
      <c r="M299" s="184">
        <v>44490</v>
      </c>
      <c r="P299" t="s">
        <v>7686</v>
      </c>
      <c r="Q299" t="s">
        <v>7383</v>
      </c>
      <c r="R299" s="184">
        <v>16632</v>
      </c>
      <c r="S299">
        <v>78</v>
      </c>
      <c r="V299" t="s">
        <v>2593</v>
      </c>
      <c r="W299" t="s">
        <v>4152</v>
      </c>
      <c r="X299" t="s">
        <v>8639</v>
      </c>
      <c r="Z299">
        <v>817585</v>
      </c>
      <c r="AB299" t="s">
        <v>2511</v>
      </c>
      <c r="AC299" t="s">
        <v>7356</v>
      </c>
      <c r="AD299" t="s">
        <v>8639</v>
      </c>
      <c r="AF299" t="s">
        <v>8640</v>
      </c>
      <c r="AG299" t="s">
        <v>8641</v>
      </c>
      <c r="AI299" t="s">
        <v>8642</v>
      </c>
      <c r="AM299" t="s">
        <v>8643</v>
      </c>
      <c r="AN299" t="s">
        <v>2313</v>
      </c>
      <c r="AO299" t="s">
        <v>8644</v>
      </c>
      <c r="AP299" t="s">
        <v>7024</v>
      </c>
      <c r="AT299" s="184"/>
      <c r="AW299" s="184"/>
      <c r="AZ299" s="184"/>
      <c r="BP299" s="184"/>
    </row>
    <row r="300" spans="1:68">
      <c r="A300">
        <v>866459</v>
      </c>
      <c r="B300">
        <v>866459</v>
      </c>
      <c r="C300" t="s">
        <v>7018</v>
      </c>
      <c r="E300" s="184"/>
      <c r="J300" t="s">
        <v>595</v>
      </c>
      <c r="K300" s="184">
        <v>44167</v>
      </c>
      <c r="M300" s="184"/>
      <c r="O300" s="184"/>
      <c r="P300" t="s">
        <v>7029</v>
      </c>
      <c r="Q300" t="s">
        <v>7454</v>
      </c>
      <c r="R300" s="184">
        <v>17253</v>
      </c>
      <c r="S300">
        <v>77</v>
      </c>
      <c r="U300" t="s">
        <v>7032</v>
      </c>
      <c r="V300" t="s">
        <v>3179</v>
      </c>
      <c r="X300" t="s">
        <v>5944</v>
      </c>
      <c r="Z300">
        <v>100009896</v>
      </c>
      <c r="AA300" t="s">
        <v>7031</v>
      </c>
      <c r="AB300" t="s">
        <v>3103</v>
      </c>
      <c r="AD300" t="s">
        <v>5944</v>
      </c>
      <c r="AF300" t="s">
        <v>8646</v>
      </c>
      <c r="AG300" t="s">
        <v>8647</v>
      </c>
      <c r="AI300" t="s">
        <v>8648</v>
      </c>
      <c r="AM300" t="s">
        <v>2730</v>
      </c>
      <c r="AN300" t="s">
        <v>2055</v>
      </c>
      <c r="AO300" t="s">
        <v>8649</v>
      </c>
      <c r="AP300" t="s">
        <v>7024</v>
      </c>
      <c r="AQ300" t="s">
        <v>8650</v>
      </c>
      <c r="AR300" t="s">
        <v>8651</v>
      </c>
      <c r="AT300" s="184">
        <v>31509</v>
      </c>
      <c r="AU300" t="s">
        <v>8652</v>
      </c>
      <c r="AV300">
        <v>22</v>
      </c>
      <c r="AW300" s="184">
        <v>45190</v>
      </c>
      <c r="AX300" t="s">
        <v>8299</v>
      </c>
      <c r="AY300">
        <v>500</v>
      </c>
      <c r="AZ300" s="184">
        <v>45190</v>
      </c>
      <c r="BA300" t="s">
        <v>8299</v>
      </c>
      <c r="BB300">
        <v>500</v>
      </c>
      <c r="BC300">
        <v>36</v>
      </c>
      <c r="BD300">
        <v>3872</v>
      </c>
      <c r="BE300">
        <v>1986</v>
      </c>
      <c r="BF300">
        <v>21</v>
      </c>
      <c r="BG300">
        <v>2</v>
      </c>
      <c r="BH300">
        <v>1000</v>
      </c>
      <c r="BI300">
        <v>14</v>
      </c>
      <c r="BJ300">
        <v>39</v>
      </c>
      <c r="BK300">
        <v>6</v>
      </c>
      <c r="BP300" s="184"/>
    </row>
    <row r="301" spans="1:68">
      <c r="A301">
        <v>100009896</v>
      </c>
      <c r="B301">
        <v>866459</v>
      </c>
      <c r="C301" t="s">
        <v>7018</v>
      </c>
      <c r="E301" s="184"/>
      <c r="J301" t="s">
        <v>595</v>
      </c>
      <c r="K301" s="184">
        <v>44167</v>
      </c>
      <c r="M301" s="184"/>
      <c r="O301" s="184"/>
      <c r="P301" t="s">
        <v>7029</v>
      </c>
      <c r="Q301" t="s">
        <v>7454</v>
      </c>
      <c r="R301" s="184">
        <v>17195</v>
      </c>
      <c r="S301">
        <v>77</v>
      </c>
      <c r="U301" t="s">
        <v>7031</v>
      </c>
      <c r="V301" t="s">
        <v>3103</v>
      </c>
      <c r="X301" t="s">
        <v>5944</v>
      </c>
      <c r="Z301">
        <v>866459</v>
      </c>
      <c r="AA301" t="s">
        <v>7032</v>
      </c>
      <c r="AB301" t="s">
        <v>3179</v>
      </c>
      <c r="AD301" t="s">
        <v>5944</v>
      </c>
      <c r="AF301" t="s">
        <v>8646</v>
      </c>
      <c r="AG301" t="s">
        <v>8647</v>
      </c>
      <c r="AI301" t="s">
        <v>8648</v>
      </c>
      <c r="AM301" t="s">
        <v>2730</v>
      </c>
      <c r="AN301" t="s">
        <v>2055</v>
      </c>
      <c r="AO301" t="s">
        <v>8649</v>
      </c>
      <c r="AP301" t="s">
        <v>7024</v>
      </c>
      <c r="AT301" s="184"/>
      <c r="AW301" s="184"/>
      <c r="AZ301" s="184"/>
      <c r="BP301" s="184"/>
    </row>
    <row r="302" spans="1:68">
      <c r="A302">
        <v>866921</v>
      </c>
      <c r="B302">
        <v>866921</v>
      </c>
      <c r="C302" t="s">
        <v>7018</v>
      </c>
      <c r="E302" s="184"/>
      <c r="K302" s="184"/>
      <c r="L302" t="s">
        <v>595</v>
      </c>
      <c r="M302" s="184">
        <v>43923</v>
      </c>
      <c r="O302" s="184"/>
      <c r="P302" t="s">
        <v>7045</v>
      </c>
      <c r="Q302" t="s">
        <v>7030</v>
      </c>
      <c r="R302" s="184">
        <v>17564</v>
      </c>
      <c r="S302">
        <v>76</v>
      </c>
      <c r="V302" t="s">
        <v>8653</v>
      </c>
      <c r="X302" t="s">
        <v>8654</v>
      </c>
      <c r="Z302">
        <v>100009902</v>
      </c>
      <c r="AB302" t="s">
        <v>2898</v>
      </c>
      <c r="AD302" t="s">
        <v>8654</v>
      </c>
      <c r="AF302" t="s">
        <v>8655</v>
      </c>
      <c r="AG302" t="s">
        <v>8656</v>
      </c>
      <c r="AI302" t="s">
        <v>8657</v>
      </c>
      <c r="AM302" t="s">
        <v>3240</v>
      </c>
      <c r="AN302" t="s">
        <v>2094</v>
      </c>
      <c r="AO302" t="s">
        <v>8658</v>
      </c>
      <c r="AP302" t="s">
        <v>7024</v>
      </c>
      <c r="AT302" s="184">
        <v>31511</v>
      </c>
      <c r="AU302" t="s">
        <v>8659</v>
      </c>
      <c r="AV302">
        <v>22</v>
      </c>
      <c r="AW302" s="184">
        <v>45271</v>
      </c>
      <c r="AX302" t="s">
        <v>7742</v>
      </c>
      <c r="AY302">
        <v>300</v>
      </c>
      <c r="AZ302" s="184">
        <v>45271</v>
      </c>
      <c r="BA302" t="s">
        <v>7742</v>
      </c>
      <c r="BB302">
        <v>300</v>
      </c>
      <c r="BC302">
        <v>77</v>
      </c>
      <c r="BD302">
        <v>2271.4</v>
      </c>
      <c r="BE302">
        <v>1986</v>
      </c>
      <c r="BF302">
        <v>60</v>
      </c>
      <c r="BG302">
        <v>2</v>
      </c>
      <c r="BH302">
        <v>600</v>
      </c>
      <c r="BI302">
        <v>30</v>
      </c>
      <c r="BJ302">
        <v>39</v>
      </c>
      <c r="BK302">
        <v>11</v>
      </c>
      <c r="BP302" s="184"/>
    </row>
    <row r="303" spans="1:68">
      <c r="A303">
        <v>874420</v>
      </c>
      <c r="B303">
        <v>874420</v>
      </c>
      <c r="C303" t="s">
        <v>7018</v>
      </c>
      <c r="E303" s="184"/>
      <c r="G303" s="184"/>
      <c r="J303" t="s">
        <v>595</v>
      </c>
      <c r="K303" s="184">
        <v>41711</v>
      </c>
      <c r="M303" s="184"/>
      <c r="O303" s="184"/>
      <c r="P303" t="s">
        <v>7045</v>
      </c>
      <c r="Q303" t="s">
        <v>7020</v>
      </c>
      <c r="R303" s="184">
        <v>15766</v>
      </c>
      <c r="S303">
        <v>81</v>
      </c>
      <c r="U303" t="s">
        <v>7076</v>
      </c>
      <c r="V303" t="s">
        <v>5446</v>
      </c>
      <c r="W303" t="s">
        <v>3332</v>
      </c>
      <c r="X303" t="s">
        <v>8660</v>
      </c>
      <c r="AF303" t="s">
        <v>6611</v>
      </c>
      <c r="AG303" t="s">
        <v>5446</v>
      </c>
      <c r="AI303" t="s">
        <v>8661</v>
      </c>
      <c r="AM303" t="s">
        <v>3004</v>
      </c>
      <c r="AN303" t="s">
        <v>2112</v>
      </c>
      <c r="AO303" t="s">
        <v>8662</v>
      </c>
      <c r="AP303" t="s">
        <v>7024</v>
      </c>
      <c r="AQ303" t="s">
        <v>8663</v>
      </c>
      <c r="AT303" s="184">
        <v>31533</v>
      </c>
      <c r="AU303" t="s">
        <v>8664</v>
      </c>
      <c r="AV303">
        <v>28</v>
      </c>
      <c r="AW303" s="184">
        <v>45212</v>
      </c>
      <c r="AX303" t="s">
        <v>8665</v>
      </c>
      <c r="AY303">
        <v>50</v>
      </c>
      <c r="AZ303" s="184">
        <v>42788</v>
      </c>
      <c r="BA303" t="s">
        <v>8666</v>
      </c>
      <c r="BB303">
        <v>60</v>
      </c>
      <c r="BC303">
        <v>26</v>
      </c>
      <c r="BD303">
        <v>485</v>
      </c>
      <c r="BE303">
        <v>1986</v>
      </c>
      <c r="BF303">
        <v>13</v>
      </c>
      <c r="BG303">
        <v>1</v>
      </c>
      <c r="BH303">
        <v>50</v>
      </c>
      <c r="BI303">
        <v>10</v>
      </c>
      <c r="BJ303">
        <v>39</v>
      </c>
      <c r="BK303">
        <v>2</v>
      </c>
      <c r="BP303" s="184"/>
    </row>
    <row r="304" spans="1:68">
      <c r="A304">
        <v>880237</v>
      </c>
      <c r="B304">
        <v>880237</v>
      </c>
      <c r="C304" t="s">
        <v>7018</v>
      </c>
      <c r="E304" s="184"/>
      <c r="G304" s="184"/>
      <c r="J304" t="s">
        <v>595</v>
      </c>
      <c r="K304" s="184">
        <v>41575</v>
      </c>
      <c r="O304" s="184"/>
      <c r="P304" t="s">
        <v>7045</v>
      </c>
      <c r="Q304" t="s">
        <v>7020</v>
      </c>
      <c r="R304" s="184">
        <v>22494</v>
      </c>
      <c r="S304">
        <v>62</v>
      </c>
      <c r="U304" t="s">
        <v>7076</v>
      </c>
      <c r="V304" t="s">
        <v>4059</v>
      </c>
      <c r="X304" t="s">
        <v>3145</v>
      </c>
      <c r="AF304" t="s">
        <v>6527</v>
      </c>
      <c r="AG304" t="s">
        <v>4059</v>
      </c>
      <c r="AI304" t="s">
        <v>8667</v>
      </c>
      <c r="AM304" t="s">
        <v>8668</v>
      </c>
      <c r="AN304" t="s">
        <v>2052</v>
      </c>
      <c r="AO304" t="s">
        <v>8669</v>
      </c>
      <c r="AP304" t="s">
        <v>7024</v>
      </c>
      <c r="AQ304" t="s">
        <v>8670</v>
      </c>
      <c r="AT304" s="184">
        <v>31539</v>
      </c>
      <c r="AU304" t="s">
        <v>8671</v>
      </c>
      <c r="AV304">
        <v>22</v>
      </c>
      <c r="AW304" s="184">
        <v>45260</v>
      </c>
      <c r="AX304" t="s">
        <v>7515</v>
      </c>
      <c r="AY304">
        <v>25</v>
      </c>
      <c r="AZ304" s="184">
        <v>44800</v>
      </c>
      <c r="BA304" t="s">
        <v>7832</v>
      </c>
      <c r="BB304">
        <v>60</v>
      </c>
      <c r="BC304">
        <v>54</v>
      </c>
      <c r="BD304">
        <v>804</v>
      </c>
      <c r="BE304">
        <v>1986</v>
      </c>
      <c r="BF304">
        <v>23</v>
      </c>
      <c r="BG304">
        <v>2</v>
      </c>
      <c r="BH304">
        <v>85</v>
      </c>
      <c r="BI304">
        <v>21</v>
      </c>
      <c r="BJ304">
        <v>39</v>
      </c>
      <c r="BK304">
        <v>5</v>
      </c>
      <c r="BP304" s="184"/>
    </row>
    <row r="305" spans="1:68">
      <c r="A305">
        <v>883165</v>
      </c>
      <c r="B305">
        <v>883165</v>
      </c>
      <c r="C305" t="s">
        <v>7018</v>
      </c>
      <c r="E305" s="184"/>
      <c r="G305" s="184"/>
      <c r="J305" t="s">
        <v>595</v>
      </c>
      <c r="K305" s="184">
        <v>41704</v>
      </c>
      <c r="O305" s="184"/>
      <c r="P305" t="s">
        <v>7045</v>
      </c>
      <c r="Q305" t="s">
        <v>7030</v>
      </c>
      <c r="R305" s="184">
        <v>17281</v>
      </c>
      <c r="S305">
        <v>77</v>
      </c>
      <c r="U305" t="s">
        <v>7032</v>
      </c>
      <c r="V305" t="s">
        <v>2614</v>
      </c>
      <c r="W305" t="s">
        <v>4013</v>
      </c>
      <c r="X305" t="s">
        <v>8672</v>
      </c>
      <c r="Z305">
        <v>100009974</v>
      </c>
      <c r="AA305" t="s">
        <v>7076</v>
      </c>
      <c r="AB305" t="s">
        <v>3288</v>
      </c>
      <c r="AC305" t="s">
        <v>7246</v>
      </c>
      <c r="AD305" t="s">
        <v>2977</v>
      </c>
      <c r="AF305" t="s">
        <v>6426</v>
      </c>
      <c r="AG305" t="s">
        <v>8673</v>
      </c>
      <c r="AI305" t="s">
        <v>8674</v>
      </c>
      <c r="AM305" t="s">
        <v>2564</v>
      </c>
      <c r="AN305" t="s">
        <v>2089</v>
      </c>
      <c r="AO305" t="s">
        <v>8675</v>
      </c>
      <c r="AP305" t="s">
        <v>7024</v>
      </c>
      <c r="AQ305" t="s">
        <v>8676</v>
      </c>
      <c r="AR305" t="s">
        <v>8677</v>
      </c>
      <c r="AT305" s="184">
        <v>31541</v>
      </c>
      <c r="AU305" t="s">
        <v>8664</v>
      </c>
      <c r="AV305">
        <v>22</v>
      </c>
      <c r="AW305" s="184">
        <v>44627</v>
      </c>
      <c r="AX305" t="s">
        <v>8678</v>
      </c>
      <c r="AY305">
        <v>50</v>
      </c>
      <c r="AZ305" s="184">
        <v>36595</v>
      </c>
      <c r="BA305" t="s">
        <v>8679</v>
      </c>
      <c r="BB305">
        <v>60</v>
      </c>
      <c r="BC305">
        <v>75</v>
      </c>
      <c r="BD305">
        <v>1177</v>
      </c>
      <c r="BE305">
        <v>1986</v>
      </c>
      <c r="BF305">
        <v>31</v>
      </c>
      <c r="BI305">
        <v>29</v>
      </c>
      <c r="BJ305">
        <v>39</v>
      </c>
      <c r="BK305">
        <v>20</v>
      </c>
      <c r="BP305" s="184"/>
    </row>
    <row r="306" spans="1:68">
      <c r="A306">
        <v>100009974</v>
      </c>
      <c r="B306">
        <v>883165</v>
      </c>
      <c r="C306" t="s">
        <v>7018</v>
      </c>
      <c r="E306" s="184"/>
      <c r="J306" t="s">
        <v>595</v>
      </c>
      <c r="K306" s="184">
        <v>43691</v>
      </c>
      <c r="O306" s="184"/>
      <c r="P306" t="s">
        <v>7045</v>
      </c>
      <c r="Q306" t="s">
        <v>7030</v>
      </c>
      <c r="R306" s="184">
        <v>14918</v>
      </c>
      <c r="S306">
        <v>83</v>
      </c>
      <c r="U306" t="s">
        <v>7076</v>
      </c>
      <c r="V306" t="s">
        <v>3288</v>
      </c>
      <c r="W306" t="s">
        <v>7246</v>
      </c>
      <c r="X306" t="s">
        <v>2977</v>
      </c>
      <c r="Z306">
        <v>883165</v>
      </c>
      <c r="AA306" t="s">
        <v>7032</v>
      </c>
      <c r="AB306" t="s">
        <v>2614</v>
      </c>
      <c r="AC306" t="s">
        <v>4013</v>
      </c>
      <c r="AD306" t="s">
        <v>8672</v>
      </c>
      <c r="AF306" t="s">
        <v>6426</v>
      </c>
      <c r="AG306" t="s">
        <v>8673</v>
      </c>
      <c r="AI306" t="s">
        <v>8674</v>
      </c>
      <c r="AM306" t="s">
        <v>2564</v>
      </c>
      <c r="AN306" t="s">
        <v>2089</v>
      </c>
      <c r="AO306" t="s">
        <v>8675</v>
      </c>
      <c r="AP306" t="s">
        <v>7024</v>
      </c>
      <c r="AQ306" t="s">
        <v>8680</v>
      </c>
      <c r="AT306" s="184"/>
      <c r="AW306" s="184"/>
      <c r="AZ306" s="184"/>
      <c r="BP306" s="184"/>
    </row>
    <row r="307" spans="1:68">
      <c r="A307">
        <v>885632</v>
      </c>
      <c r="B307">
        <v>885632</v>
      </c>
      <c r="C307" t="s">
        <v>7018</v>
      </c>
      <c r="D307" t="s">
        <v>595</v>
      </c>
      <c r="E307" s="184">
        <v>45195</v>
      </c>
      <c r="G307" s="184"/>
      <c r="K307" s="184"/>
      <c r="O307" s="184"/>
      <c r="P307" t="s">
        <v>7019</v>
      </c>
      <c r="Q307" t="s">
        <v>7030</v>
      </c>
      <c r="R307" s="184">
        <v>22190</v>
      </c>
      <c r="S307">
        <v>63</v>
      </c>
      <c r="U307" t="s">
        <v>7076</v>
      </c>
      <c r="V307" t="s">
        <v>7446</v>
      </c>
      <c r="X307" t="s">
        <v>4136</v>
      </c>
      <c r="AF307" t="s">
        <v>8681</v>
      </c>
      <c r="AG307" t="s">
        <v>7446</v>
      </c>
      <c r="AI307" t="s">
        <v>8682</v>
      </c>
      <c r="AM307" t="s">
        <v>4209</v>
      </c>
      <c r="AN307" t="s">
        <v>2201</v>
      </c>
      <c r="AO307" t="s">
        <v>8683</v>
      </c>
      <c r="AP307" t="s">
        <v>7024</v>
      </c>
      <c r="AQ307" t="s">
        <v>8684</v>
      </c>
      <c r="AT307" s="184">
        <v>31541</v>
      </c>
      <c r="AU307" t="s">
        <v>8685</v>
      </c>
      <c r="AV307">
        <v>22</v>
      </c>
      <c r="AW307" s="184">
        <v>44825</v>
      </c>
      <c r="AX307" t="s">
        <v>7832</v>
      </c>
      <c r="AY307">
        <v>60</v>
      </c>
      <c r="AZ307" s="184">
        <v>44825</v>
      </c>
      <c r="BA307" t="s">
        <v>7832</v>
      </c>
      <c r="BB307">
        <v>60</v>
      </c>
      <c r="BC307">
        <v>49</v>
      </c>
      <c r="BD307">
        <v>824</v>
      </c>
      <c r="BE307">
        <v>1986</v>
      </c>
      <c r="BF307">
        <v>22</v>
      </c>
      <c r="BG307">
        <v>1</v>
      </c>
      <c r="BH307">
        <v>60</v>
      </c>
      <c r="BI307">
        <v>19</v>
      </c>
      <c r="BJ307">
        <v>39</v>
      </c>
      <c r="BK307">
        <v>5</v>
      </c>
      <c r="BP307" s="184"/>
    </row>
    <row r="308" spans="1:68">
      <c r="A308">
        <v>886432</v>
      </c>
      <c r="B308">
        <v>886432</v>
      </c>
      <c r="C308" t="s">
        <v>7018</v>
      </c>
      <c r="D308" t="s">
        <v>595</v>
      </c>
      <c r="E308" s="184">
        <v>43640</v>
      </c>
      <c r="G308" s="184"/>
      <c r="K308" s="184"/>
      <c r="O308" s="184"/>
      <c r="P308" t="s">
        <v>7019</v>
      </c>
      <c r="Q308" t="s">
        <v>7774</v>
      </c>
      <c r="R308" s="184">
        <v>12175</v>
      </c>
      <c r="S308">
        <v>91</v>
      </c>
      <c r="U308" t="s">
        <v>7076</v>
      </c>
      <c r="V308" t="s">
        <v>2969</v>
      </c>
      <c r="W308" t="s">
        <v>3332</v>
      </c>
      <c r="X308" t="s">
        <v>2970</v>
      </c>
      <c r="AF308" t="s">
        <v>8686</v>
      </c>
      <c r="AG308" t="s">
        <v>2969</v>
      </c>
      <c r="AI308" t="s">
        <v>8687</v>
      </c>
      <c r="AM308" t="s">
        <v>2971</v>
      </c>
      <c r="AN308" t="s">
        <v>2972</v>
      </c>
      <c r="AO308" t="s">
        <v>8688</v>
      </c>
      <c r="AP308" t="s">
        <v>7024</v>
      </c>
      <c r="AQ308" t="s">
        <v>8689</v>
      </c>
      <c r="AR308" t="s">
        <v>8690</v>
      </c>
      <c r="AT308" s="184">
        <v>31544</v>
      </c>
      <c r="AU308" t="s">
        <v>8671</v>
      </c>
      <c r="AV308">
        <v>22</v>
      </c>
      <c r="AW308" s="184">
        <v>44449</v>
      </c>
      <c r="AX308" t="s">
        <v>8351</v>
      </c>
      <c r="AY308">
        <v>60</v>
      </c>
      <c r="AZ308" s="184">
        <v>44449</v>
      </c>
      <c r="BA308" t="s">
        <v>8351</v>
      </c>
      <c r="BB308">
        <v>60</v>
      </c>
      <c r="BC308">
        <v>88</v>
      </c>
      <c r="BD308">
        <v>1093</v>
      </c>
      <c r="BE308">
        <v>1986</v>
      </c>
      <c r="BF308">
        <v>48</v>
      </c>
      <c r="BI308">
        <v>34</v>
      </c>
      <c r="BJ308">
        <v>39</v>
      </c>
      <c r="BK308">
        <v>23</v>
      </c>
      <c r="BP308" s="184"/>
    </row>
    <row r="309" spans="1:68">
      <c r="A309">
        <v>889626</v>
      </c>
      <c r="B309">
        <v>889626</v>
      </c>
      <c r="C309" t="s">
        <v>7018</v>
      </c>
      <c r="E309" s="184"/>
      <c r="G309" s="184"/>
      <c r="J309" t="s">
        <v>595</v>
      </c>
      <c r="K309" s="184">
        <v>43892</v>
      </c>
      <c r="O309" s="184"/>
      <c r="P309" t="s">
        <v>7084</v>
      </c>
      <c r="Q309" t="s">
        <v>7374</v>
      </c>
      <c r="R309" s="184">
        <v>15725</v>
      </c>
      <c r="S309">
        <v>81</v>
      </c>
      <c r="U309" t="s">
        <v>7076</v>
      </c>
      <c r="V309" t="s">
        <v>3468</v>
      </c>
      <c r="W309" t="s">
        <v>4327</v>
      </c>
      <c r="X309" t="s">
        <v>8691</v>
      </c>
      <c r="AF309" t="s">
        <v>6637</v>
      </c>
      <c r="AG309" t="s">
        <v>3468</v>
      </c>
      <c r="AI309" t="s">
        <v>8692</v>
      </c>
      <c r="AM309" t="s">
        <v>8693</v>
      </c>
      <c r="AN309" t="s">
        <v>2081</v>
      </c>
      <c r="AO309" t="s">
        <v>8694</v>
      </c>
      <c r="AP309" t="s">
        <v>7024</v>
      </c>
      <c r="AT309" s="184">
        <v>31544</v>
      </c>
      <c r="AU309" t="s">
        <v>8695</v>
      </c>
      <c r="AV309">
        <v>22</v>
      </c>
      <c r="AW309" s="184">
        <v>45166</v>
      </c>
      <c r="AX309" t="s">
        <v>7296</v>
      </c>
      <c r="AY309">
        <v>13334</v>
      </c>
      <c r="AZ309" s="184">
        <v>45166</v>
      </c>
      <c r="BA309" t="s">
        <v>7296</v>
      </c>
      <c r="BB309">
        <v>13334</v>
      </c>
      <c r="BC309">
        <v>24</v>
      </c>
      <c r="BD309">
        <v>45639</v>
      </c>
      <c r="BE309">
        <v>1986</v>
      </c>
      <c r="BF309">
        <v>16</v>
      </c>
      <c r="BG309">
        <v>1</v>
      </c>
      <c r="BH309">
        <v>13334</v>
      </c>
      <c r="BI309">
        <v>9</v>
      </c>
      <c r="BJ309">
        <v>39</v>
      </c>
      <c r="BK309">
        <v>5</v>
      </c>
      <c r="BO309" t="s">
        <v>595</v>
      </c>
      <c r="BP309" s="184">
        <v>36454</v>
      </c>
    </row>
    <row r="310" spans="1:68">
      <c r="A310">
        <v>913707</v>
      </c>
      <c r="B310">
        <v>913707</v>
      </c>
      <c r="C310" t="s">
        <v>7018</v>
      </c>
      <c r="D310" t="s">
        <v>595</v>
      </c>
      <c r="E310" s="184">
        <v>44073</v>
      </c>
      <c r="K310" s="184"/>
      <c r="O310" s="184"/>
      <c r="P310" t="s">
        <v>7045</v>
      </c>
      <c r="Q310" t="s">
        <v>7262</v>
      </c>
      <c r="R310" s="184">
        <v>11455</v>
      </c>
      <c r="S310">
        <v>93</v>
      </c>
      <c r="U310" t="s">
        <v>7130</v>
      </c>
      <c r="V310" t="s">
        <v>3901</v>
      </c>
      <c r="X310" t="s">
        <v>8696</v>
      </c>
      <c r="AF310" t="s">
        <v>8697</v>
      </c>
      <c r="AG310" t="s">
        <v>3901</v>
      </c>
      <c r="AI310" t="s">
        <v>8698</v>
      </c>
      <c r="AM310" t="s">
        <v>4104</v>
      </c>
      <c r="AN310" t="s">
        <v>2106</v>
      </c>
      <c r="AO310" t="s">
        <v>8699</v>
      </c>
      <c r="AP310" t="s">
        <v>7024</v>
      </c>
      <c r="AT310" s="184">
        <v>31583</v>
      </c>
      <c r="AU310" t="s">
        <v>8700</v>
      </c>
      <c r="AV310">
        <v>22</v>
      </c>
      <c r="AW310" s="184">
        <v>45397</v>
      </c>
      <c r="AX310" t="s">
        <v>7296</v>
      </c>
      <c r="AY310">
        <v>600</v>
      </c>
      <c r="AZ310" s="184">
        <v>45397</v>
      </c>
      <c r="BA310" t="s">
        <v>7296</v>
      </c>
      <c r="BB310">
        <v>600</v>
      </c>
      <c r="BC310">
        <v>70</v>
      </c>
      <c r="BD310">
        <v>1764</v>
      </c>
      <c r="BE310">
        <v>1986</v>
      </c>
      <c r="BF310">
        <v>28</v>
      </c>
      <c r="BG310">
        <v>1</v>
      </c>
      <c r="BH310">
        <v>600</v>
      </c>
      <c r="BI310">
        <v>27</v>
      </c>
      <c r="BJ310">
        <v>39</v>
      </c>
      <c r="BK310">
        <v>10</v>
      </c>
      <c r="BL310" t="s">
        <v>595</v>
      </c>
      <c r="BN310" t="s">
        <v>595</v>
      </c>
      <c r="BO310" t="s">
        <v>595</v>
      </c>
      <c r="BP310" s="184">
        <v>44982</v>
      </c>
    </row>
    <row r="311" spans="1:68">
      <c r="A311">
        <v>916981</v>
      </c>
      <c r="B311">
        <v>916981</v>
      </c>
      <c r="C311" t="s">
        <v>7018</v>
      </c>
      <c r="D311" t="s">
        <v>595</v>
      </c>
      <c r="E311" s="184">
        <v>44073</v>
      </c>
      <c r="G311" s="184"/>
      <c r="K311" s="184"/>
      <c r="O311" s="184"/>
      <c r="P311" t="s">
        <v>7045</v>
      </c>
      <c r="Q311" t="s">
        <v>7454</v>
      </c>
      <c r="R311" s="184">
        <v>15316</v>
      </c>
      <c r="S311">
        <v>82</v>
      </c>
      <c r="U311" t="s">
        <v>7130</v>
      </c>
      <c r="V311" t="s">
        <v>8701</v>
      </c>
      <c r="X311" t="s">
        <v>3170</v>
      </c>
      <c r="Z311">
        <v>100467751</v>
      </c>
      <c r="AB311" t="s">
        <v>3603</v>
      </c>
      <c r="AD311" t="s">
        <v>3170</v>
      </c>
      <c r="AF311" t="s">
        <v>8702</v>
      </c>
      <c r="AG311" t="s">
        <v>8703</v>
      </c>
      <c r="AI311" t="s">
        <v>8704</v>
      </c>
      <c r="AM311" t="s">
        <v>8705</v>
      </c>
      <c r="AN311" t="s">
        <v>2299</v>
      </c>
      <c r="AO311" t="s">
        <v>8706</v>
      </c>
      <c r="AP311" t="s">
        <v>7024</v>
      </c>
      <c r="AT311" s="184">
        <v>31586</v>
      </c>
      <c r="AU311" t="s">
        <v>8707</v>
      </c>
      <c r="AV311">
        <v>22</v>
      </c>
      <c r="AW311" s="184">
        <v>39129</v>
      </c>
      <c r="AX311" t="s">
        <v>8708</v>
      </c>
      <c r="AY311">
        <v>25</v>
      </c>
      <c r="AZ311" s="184">
        <v>38842</v>
      </c>
      <c r="BA311" t="s">
        <v>8709</v>
      </c>
      <c r="BB311">
        <v>100</v>
      </c>
      <c r="BC311">
        <v>31</v>
      </c>
      <c r="BD311">
        <v>914.85</v>
      </c>
      <c r="BE311">
        <v>1986</v>
      </c>
      <c r="BF311">
        <v>26</v>
      </c>
      <c r="BI311">
        <v>12</v>
      </c>
      <c r="BJ311">
        <v>39</v>
      </c>
      <c r="BK311">
        <v>3</v>
      </c>
      <c r="BP311" s="184"/>
    </row>
    <row r="312" spans="1:68">
      <c r="A312">
        <v>100467751</v>
      </c>
      <c r="B312">
        <v>916981</v>
      </c>
      <c r="C312" t="s">
        <v>7018</v>
      </c>
      <c r="D312" t="s">
        <v>595</v>
      </c>
      <c r="E312" s="184">
        <v>44073</v>
      </c>
      <c r="K312" s="184"/>
      <c r="O312" s="184"/>
      <c r="P312" t="s">
        <v>7045</v>
      </c>
      <c r="Q312" t="s">
        <v>7454</v>
      </c>
      <c r="R312" s="184"/>
      <c r="V312" t="s">
        <v>3603</v>
      </c>
      <c r="X312" t="s">
        <v>3170</v>
      </c>
      <c r="Z312">
        <v>916981</v>
      </c>
      <c r="AA312" t="s">
        <v>7130</v>
      </c>
      <c r="AB312" t="s">
        <v>8701</v>
      </c>
      <c r="AD312" t="s">
        <v>3170</v>
      </c>
      <c r="AF312" t="s">
        <v>8702</v>
      </c>
      <c r="AG312" t="s">
        <v>8703</v>
      </c>
      <c r="AI312" t="s">
        <v>8704</v>
      </c>
      <c r="AM312" t="s">
        <v>8705</v>
      </c>
      <c r="AN312" t="s">
        <v>2299</v>
      </c>
      <c r="AO312" t="s">
        <v>8706</v>
      </c>
      <c r="AP312" t="s">
        <v>7024</v>
      </c>
      <c r="AT312" s="184"/>
      <c r="AW312" s="184"/>
      <c r="AZ312" s="184"/>
      <c r="BP312" s="184"/>
    </row>
    <row r="313" spans="1:68">
      <c r="A313">
        <v>921502</v>
      </c>
      <c r="B313">
        <v>921502</v>
      </c>
      <c r="C313" t="s">
        <v>7018</v>
      </c>
      <c r="D313" t="s">
        <v>595</v>
      </c>
      <c r="E313" s="184">
        <v>43640</v>
      </c>
      <c r="K313" s="184"/>
      <c r="O313" s="184"/>
      <c r="P313" t="s">
        <v>7045</v>
      </c>
      <c r="Q313" t="s">
        <v>7383</v>
      </c>
      <c r="R313" s="184">
        <v>16147</v>
      </c>
      <c r="S313">
        <v>80</v>
      </c>
      <c r="U313" t="s">
        <v>7076</v>
      </c>
      <c r="V313" t="s">
        <v>2733</v>
      </c>
      <c r="W313" t="s">
        <v>4382</v>
      </c>
      <c r="X313" t="s">
        <v>2973</v>
      </c>
      <c r="AF313" t="s">
        <v>8710</v>
      </c>
      <c r="AG313" t="s">
        <v>2733</v>
      </c>
      <c r="AI313" t="s">
        <v>8711</v>
      </c>
      <c r="AM313" t="s">
        <v>2974</v>
      </c>
      <c r="AN313" t="s">
        <v>2072</v>
      </c>
      <c r="AO313" t="s">
        <v>8712</v>
      </c>
      <c r="AP313" t="s">
        <v>7024</v>
      </c>
      <c r="AQ313" t="s">
        <v>8713</v>
      </c>
      <c r="AT313" s="184">
        <v>31589</v>
      </c>
      <c r="AU313" t="s">
        <v>8707</v>
      </c>
      <c r="AV313">
        <v>22</v>
      </c>
      <c r="AW313" s="184">
        <v>45372</v>
      </c>
      <c r="AX313" t="s">
        <v>8714</v>
      </c>
      <c r="AY313">
        <v>30</v>
      </c>
      <c r="AZ313" s="184">
        <v>45051</v>
      </c>
      <c r="BA313" t="s">
        <v>8715</v>
      </c>
      <c r="BB313">
        <v>75</v>
      </c>
      <c r="BC313">
        <v>100</v>
      </c>
      <c r="BD313">
        <v>5747</v>
      </c>
      <c r="BE313">
        <v>1986</v>
      </c>
      <c r="BF313">
        <v>160</v>
      </c>
      <c r="BG313">
        <v>13</v>
      </c>
      <c r="BH313">
        <v>610</v>
      </c>
      <c r="BI313">
        <v>39</v>
      </c>
      <c r="BJ313">
        <v>39</v>
      </c>
      <c r="BK313">
        <v>39</v>
      </c>
      <c r="BP313" s="184"/>
    </row>
    <row r="314" spans="1:68">
      <c r="A314">
        <v>921841</v>
      </c>
      <c r="B314">
        <v>921841</v>
      </c>
      <c r="C314" t="s">
        <v>7018</v>
      </c>
      <c r="D314" t="s">
        <v>595</v>
      </c>
      <c r="E314" s="184">
        <v>44167</v>
      </c>
      <c r="G314" s="184"/>
      <c r="K314" s="184"/>
      <c r="O314" s="184"/>
      <c r="P314" t="s">
        <v>7045</v>
      </c>
      <c r="Q314" t="s">
        <v>7030</v>
      </c>
      <c r="R314" s="184">
        <v>11475</v>
      </c>
      <c r="S314">
        <v>92</v>
      </c>
      <c r="V314" t="s">
        <v>2541</v>
      </c>
      <c r="W314" t="s">
        <v>7695</v>
      </c>
      <c r="X314" t="s">
        <v>8716</v>
      </c>
      <c r="AF314" t="s">
        <v>8717</v>
      </c>
      <c r="AG314" t="s">
        <v>2541</v>
      </c>
      <c r="AI314" t="s">
        <v>8718</v>
      </c>
      <c r="AM314" t="s">
        <v>8719</v>
      </c>
      <c r="AN314" t="s">
        <v>2638</v>
      </c>
      <c r="AO314" t="s">
        <v>8720</v>
      </c>
      <c r="AP314" t="s">
        <v>7024</v>
      </c>
      <c r="AT314" s="184">
        <v>31589</v>
      </c>
      <c r="AU314" t="s">
        <v>8671</v>
      </c>
      <c r="AV314">
        <v>22</v>
      </c>
      <c r="AW314" s="184">
        <v>42038</v>
      </c>
      <c r="AX314" t="s">
        <v>8721</v>
      </c>
      <c r="AY314">
        <v>15</v>
      </c>
      <c r="AZ314" s="184">
        <v>35976</v>
      </c>
      <c r="BA314" t="s">
        <v>8722</v>
      </c>
      <c r="BB314">
        <v>35</v>
      </c>
      <c r="BC314">
        <v>39</v>
      </c>
      <c r="BD314">
        <v>544</v>
      </c>
      <c r="BE314">
        <v>1986</v>
      </c>
      <c r="BF314">
        <v>19</v>
      </c>
      <c r="BI314">
        <v>15</v>
      </c>
      <c r="BJ314">
        <v>39</v>
      </c>
      <c r="BK314">
        <v>11</v>
      </c>
      <c r="BP314" s="184"/>
    </row>
    <row r="315" spans="1:68">
      <c r="A315">
        <v>922591</v>
      </c>
      <c r="B315">
        <v>922591</v>
      </c>
      <c r="C315" t="s">
        <v>7018</v>
      </c>
      <c r="E315" s="184"/>
      <c r="G315" s="184"/>
      <c r="J315" t="s">
        <v>595</v>
      </c>
      <c r="K315" s="184">
        <v>41197</v>
      </c>
      <c r="O315" s="184"/>
      <c r="P315" t="s">
        <v>7045</v>
      </c>
      <c r="Q315" t="s">
        <v>7383</v>
      </c>
      <c r="R315" s="184">
        <v>18080</v>
      </c>
      <c r="S315">
        <v>74</v>
      </c>
      <c r="U315" t="s">
        <v>7076</v>
      </c>
      <c r="V315" t="s">
        <v>3131</v>
      </c>
      <c r="X315" t="s">
        <v>2962</v>
      </c>
      <c r="AF315" t="s">
        <v>6438</v>
      </c>
      <c r="AG315" t="s">
        <v>3131</v>
      </c>
      <c r="AI315" t="s">
        <v>8723</v>
      </c>
      <c r="AM315" t="s">
        <v>2888</v>
      </c>
      <c r="AN315" t="s">
        <v>2274</v>
      </c>
      <c r="AO315" t="s">
        <v>8724</v>
      </c>
      <c r="AP315" t="s">
        <v>7024</v>
      </c>
      <c r="AT315" s="184">
        <v>31590</v>
      </c>
      <c r="AU315" t="s">
        <v>8725</v>
      </c>
      <c r="AV315">
        <v>22</v>
      </c>
      <c r="AW315" s="184">
        <v>44886</v>
      </c>
      <c r="AX315" t="s">
        <v>8726</v>
      </c>
      <c r="AY315">
        <v>25</v>
      </c>
      <c r="AZ315" s="184">
        <v>43364</v>
      </c>
      <c r="BA315" t="s">
        <v>8727</v>
      </c>
      <c r="BB315">
        <v>87</v>
      </c>
      <c r="BC315">
        <v>80</v>
      </c>
      <c r="BD315">
        <v>1038</v>
      </c>
      <c r="BE315">
        <v>1986</v>
      </c>
      <c r="BF315">
        <v>34</v>
      </c>
      <c r="BG315">
        <v>1</v>
      </c>
      <c r="BH315">
        <v>25</v>
      </c>
      <c r="BI315">
        <v>31</v>
      </c>
      <c r="BJ315">
        <v>39</v>
      </c>
      <c r="BK315">
        <v>19</v>
      </c>
      <c r="BP315" s="184"/>
    </row>
    <row r="316" spans="1:68">
      <c r="A316">
        <v>925651</v>
      </c>
      <c r="B316">
        <v>925651</v>
      </c>
      <c r="C316" t="s">
        <v>7018</v>
      </c>
      <c r="E316" s="184"/>
      <c r="G316" s="184"/>
      <c r="J316" t="s">
        <v>595</v>
      </c>
      <c r="K316" s="184">
        <v>42521</v>
      </c>
      <c r="O316" s="184"/>
      <c r="P316" t="s">
        <v>7045</v>
      </c>
      <c r="Q316" t="s">
        <v>7262</v>
      </c>
      <c r="R316" s="184">
        <v>16442</v>
      </c>
      <c r="S316">
        <v>79</v>
      </c>
      <c r="U316" t="s">
        <v>7076</v>
      </c>
      <c r="V316" t="s">
        <v>8728</v>
      </c>
      <c r="W316" t="s">
        <v>7560</v>
      </c>
      <c r="X316" t="s">
        <v>8729</v>
      </c>
      <c r="AF316" t="s">
        <v>6215</v>
      </c>
      <c r="AG316" t="s">
        <v>8728</v>
      </c>
      <c r="AI316" t="s">
        <v>8730</v>
      </c>
      <c r="AM316" t="s">
        <v>3205</v>
      </c>
      <c r="AN316" t="s">
        <v>2106</v>
      </c>
      <c r="AO316" t="s">
        <v>8731</v>
      </c>
      <c r="AP316" t="s">
        <v>7024</v>
      </c>
      <c r="AQ316" t="s">
        <v>8732</v>
      </c>
      <c r="AR316" t="s">
        <v>8733</v>
      </c>
      <c r="AT316" s="184">
        <v>31593</v>
      </c>
      <c r="AU316" t="s">
        <v>8734</v>
      </c>
      <c r="AV316">
        <v>22</v>
      </c>
      <c r="AW316" s="184">
        <v>44833</v>
      </c>
      <c r="AX316" t="s">
        <v>8735</v>
      </c>
      <c r="AY316">
        <v>15</v>
      </c>
      <c r="AZ316" s="184">
        <v>43168</v>
      </c>
      <c r="BA316" t="s">
        <v>7765</v>
      </c>
      <c r="BB316">
        <v>150</v>
      </c>
      <c r="BC316">
        <v>93</v>
      </c>
      <c r="BD316">
        <v>3046</v>
      </c>
      <c r="BE316">
        <v>1986</v>
      </c>
      <c r="BF316">
        <v>133</v>
      </c>
      <c r="BG316">
        <v>5</v>
      </c>
      <c r="BH316">
        <v>75</v>
      </c>
      <c r="BI316">
        <v>36</v>
      </c>
      <c r="BJ316">
        <v>39</v>
      </c>
      <c r="BK316">
        <v>23</v>
      </c>
      <c r="BP316" s="184"/>
    </row>
    <row r="317" spans="1:68">
      <c r="A317">
        <v>931089</v>
      </c>
      <c r="B317">
        <v>931089</v>
      </c>
      <c r="C317" t="s">
        <v>7018</v>
      </c>
      <c r="E317" s="184"/>
      <c r="G317" s="184"/>
      <c r="K317" s="184"/>
      <c r="N317" t="s">
        <v>595</v>
      </c>
      <c r="O317" s="184">
        <v>36854</v>
      </c>
      <c r="P317" t="s">
        <v>7019</v>
      </c>
      <c r="Q317" t="s">
        <v>7262</v>
      </c>
      <c r="R317" s="184">
        <v>8730</v>
      </c>
      <c r="S317">
        <v>100</v>
      </c>
      <c r="U317" t="s">
        <v>7076</v>
      </c>
      <c r="V317" t="s">
        <v>3122</v>
      </c>
      <c r="W317" t="s">
        <v>5006</v>
      </c>
      <c r="X317" t="s">
        <v>5743</v>
      </c>
      <c r="AF317" t="s">
        <v>8736</v>
      </c>
      <c r="AG317" t="s">
        <v>8737</v>
      </c>
      <c r="AI317" t="s">
        <v>8738</v>
      </c>
      <c r="AM317" t="s">
        <v>3362</v>
      </c>
      <c r="AN317" t="s">
        <v>2106</v>
      </c>
      <c r="AO317" t="s">
        <v>8739</v>
      </c>
      <c r="AP317" t="s">
        <v>7024</v>
      </c>
      <c r="AQ317" t="s">
        <v>8740</v>
      </c>
      <c r="AT317" s="184">
        <v>31600</v>
      </c>
      <c r="AU317" t="s">
        <v>8725</v>
      </c>
      <c r="AV317">
        <v>22</v>
      </c>
      <c r="AW317" s="184">
        <v>39153</v>
      </c>
      <c r="AX317" t="s">
        <v>8741</v>
      </c>
      <c r="AY317">
        <v>100</v>
      </c>
      <c r="AZ317" s="184">
        <v>36854</v>
      </c>
      <c r="BA317" t="s">
        <v>8173</v>
      </c>
      <c r="BB317">
        <v>15000</v>
      </c>
      <c r="BC317">
        <v>54</v>
      </c>
      <c r="BD317">
        <v>21734</v>
      </c>
      <c r="BE317">
        <v>1987</v>
      </c>
      <c r="BF317">
        <v>66</v>
      </c>
      <c r="BI317">
        <v>21</v>
      </c>
      <c r="BJ317">
        <v>39</v>
      </c>
      <c r="BK317">
        <v>15</v>
      </c>
      <c r="BO317" t="s">
        <v>595</v>
      </c>
      <c r="BP317" s="184">
        <v>40601</v>
      </c>
    </row>
    <row r="318" spans="1:68">
      <c r="A318">
        <v>936112</v>
      </c>
      <c r="B318">
        <v>936112</v>
      </c>
      <c r="C318" t="s">
        <v>7018</v>
      </c>
      <c r="D318" t="s">
        <v>595</v>
      </c>
      <c r="E318" s="184">
        <v>43642</v>
      </c>
      <c r="G318" s="184"/>
      <c r="K318" s="184"/>
      <c r="O318" s="184"/>
      <c r="P318" t="s">
        <v>7045</v>
      </c>
      <c r="Q318" t="s">
        <v>7262</v>
      </c>
      <c r="R318" s="184">
        <v>12589</v>
      </c>
      <c r="S318">
        <v>89</v>
      </c>
      <c r="U318" t="s">
        <v>7130</v>
      </c>
      <c r="V318" t="s">
        <v>2580</v>
      </c>
      <c r="W318" t="s">
        <v>7355</v>
      </c>
      <c r="X318" t="s">
        <v>3157</v>
      </c>
      <c r="AF318" t="s">
        <v>8742</v>
      </c>
      <c r="AG318" t="s">
        <v>2580</v>
      </c>
      <c r="AI318" t="s">
        <v>8743</v>
      </c>
      <c r="AM318" t="s">
        <v>3158</v>
      </c>
      <c r="AN318" t="s">
        <v>2106</v>
      </c>
      <c r="AO318" t="s">
        <v>8744</v>
      </c>
      <c r="AP318" t="s">
        <v>7024</v>
      </c>
      <c r="AQ318" t="s">
        <v>8745</v>
      </c>
      <c r="AT318" s="184">
        <v>31607</v>
      </c>
      <c r="AU318" t="s">
        <v>8746</v>
      </c>
      <c r="AV318">
        <v>22</v>
      </c>
      <c r="AW318" s="184">
        <v>44644</v>
      </c>
      <c r="AX318" t="s">
        <v>8747</v>
      </c>
      <c r="AY318">
        <v>25</v>
      </c>
      <c r="AZ318" s="184">
        <v>44644</v>
      </c>
      <c r="BA318" t="s">
        <v>8747</v>
      </c>
      <c r="BB318">
        <v>25</v>
      </c>
      <c r="BC318">
        <v>59</v>
      </c>
      <c r="BD318">
        <v>836</v>
      </c>
      <c r="BE318">
        <v>1987</v>
      </c>
      <c r="BF318">
        <v>43</v>
      </c>
      <c r="BI318">
        <v>23</v>
      </c>
      <c r="BJ318">
        <v>39</v>
      </c>
      <c r="BK318">
        <v>6</v>
      </c>
      <c r="BP318" s="184"/>
    </row>
    <row r="319" spans="1:68">
      <c r="A319">
        <v>942326</v>
      </c>
      <c r="B319">
        <v>942326</v>
      </c>
      <c r="C319" t="s">
        <v>7018</v>
      </c>
      <c r="E319" s="184"/>
      <c r="F319" t="s">
        <v>595</v>
      </c>
      <c r="G319" s="184">
        <v>43864</v>
      </c>
      <c r="K319" s="184"/>
      <c r="O319" s="184"/>
      <c r="P319" t="s">
        <v>7045</v>
      </c>
      <c r="Q319" t="s">
        <v>7262</v>
      </c>
      <c r="R319" s="184">
        <v>15342</v>
      </c>
      <c r="S319">
        <v>82</v>
      </c>
      <c r="U319" t="s">
        <v>7032</v>
      </c>
      <c r="V319" t="s">
        <v>2733</v>
      </c>
      <c r="X319" t="s">
        <v>4663</v>
      </c>
      <c r="Y319" t="s">
        <v>8154</v>
      </c>
      <c r="AF319" t="s">
        <v>8748</v>
      </c>
      <c r="AG319" t="s">
        <v>2733</v>
      </c>
      <c r="AI319" t="s">
        <v>8749</v>
      </c>
      <c r="AM319" t="s">
        <v>2730</v>
      </c>
      <c r="AN319" t="s">
        <v>2069</v>
      </c>
      <c r="AO319" t="s">
        <v>8750</v>
      </c>
      <c r="AP319" t="s">
        <v>7024</v>
      </c>
      <c r="AQ319" t="s">
        <v>8751</v>
      </c>
      <c r="AT319" s="184">
        <v>31621</v>
      </c>
      <c r="AU319" t="s">
        <v>8752</v>
      </c>
      <c r="AV319">
        <v>22</v>
      </c>
      <c r="AW319" s="184">
        <v>45278</v>
      </c>
      <c r="AX319" t="s">
        <v>8753</v>
      </c>
      <c r="AY319">
        <v>25</v>
      </c>
      <c r="AZ319" s="184">
        <v>39231</v>
      </c>
      <c r="BA319" t="s">
        <v>8741</v>
      </c>
      <c r="BB319">
        <v>60</v>
      </c>
      <c r="BC319">
        <v>93</v>
      </c>
      <c r="BD319">
        <v>1321</v>
      </c>
      <c r="BE319">
        <v>1987</v>
      </c>
      <c r="BF319">
        <v>63</v>
      </c>
      <c r="BG319">
        <v>2</v>
      </c>
      <c r="BH319">
        <v>45</v>
      </c>
      <c r="BI319">
        <v>36</v>
      </c>
      <c r="BJ319">
        <v>39</v>
      </c>
      <c r="BK319">
        <v>22</v>
      </c>
      <c r="BP319" s="184"/>
    </row>
    <row r="320" spans="1:68">
      <c r="A320">
        <v>943365</v>
      </c>
      <c r="B320">
        <v>943365</v>
      </c>
      <c r="C320" t="s">
        <v>7018</v>
      </c>
      <c r="E320" s="184"/>
      <c r="G320" s="184"/>
      <c r="K320" s="184"/>
      <c r="N320" t="s">
        <v>595</v>
      </c>
      <c r="O320" s="184">
        <v>42248</v>
      </c>
      <c r="P320" t="s">
        <v>7045</v>
      </c>
      <c r="Q320" t="s">
        <v>7262</v>
      </c>
      <c r="R320" s="184">
        <v>10878</v>
      </c>
      <c r="S320">
        <v>94</v>
      </c>
      <c r="U320" t="s">
        <v>7031</v>
      </c>
      <c r="V320" t="s">
        <v>8754</v>
      </c>
      <c r="W320" t="s">
        <v>7375</v>
      </c>
      <c r="X320" t="s">
        <v>8755</v>
      </c>
      <c r="Y320" t="s">
        <v>7047</v>
      </c>
      <c r="AF320" t="s">
        <v>5995</v>
      </c>
      <c r="AG320" t="s">
        <v>8754</v>
      </c>
      <c r="AI320" t="s">
        <v>8756</v>
      </c>
      <c r="AM320" t="s">
        <v>8757</v>
      </c>
      <c r="AN320" t="s">
        <v>2106</v>
      </c>
      <c r="AO320" t="s">
        <v>8758</v>
      </c>
      <c r="AP320" t="s">
        <v>7024</v>
      </c>
      <c r="AQ320" t="s">
        <v>8759</v>
      </c>
      <c r="AT320" s="184">
        <v>31622</v>
      </c>
      <c r="AU320" t="s">
        <v>8760</v>
      </c>
      <c r="AV320">
        <v>22</v>
      </c>
      <c r="AW320" s="184">
        <v>43777</v>
      </c>
      <c r="AX320" t="s">
        <v>8761</v>
      </c>
      <c r="AY320">
        <v>25</v>
      </c>
      <c r="AZ320" s="184">
        <v>42248</v>
      </c>
      <c r="BA320" t="s">
        <v>7100</v>
      </c>
      <c r="BB320">
        <v>10000</v>
      </c>
      <c r="BC320">
        <v>83</v>
      </c>
      <c r="BD320">
        <v>11618</v>
      </c>
      <c r="BE320">
        <v>1987</v>
      </c>
      <c r="BF320">
        <v>50</v>
      </c>
      <c r="BI320">
        <v>32</v>
      </c>
      <c r="BJ320">
        <v>39</v>
      </c>
      <c r="BK320">
        <v>20</v>
      </c>
      <c r="BN320" t="s">
        <v>595</v>
      </c>
      <c r="BO320" t="s">
        <v>595</v>
      </c>
      <c r="BP320" s="184">
        <v>43850</v>
      </c>
    </row>
    <row r="321" spans="1:68">
      <c r="A321">
        <v>946426</v>
      </c>
      <c r="B321">
        <v>946426</v>
      </c>
      <c r="C321" t="s">
        <v>7018</v>
      </c>
      <c r="E321" s="184"/>
      <c r="J321" t="s">
        <v>595</v>
      </c>
      <c r="K321" s="184">
        <v>40886</v>
      </c>
      <c r="O321" s="184"/>
      <c r="P321" t="s">
        <v>7029</v>
      </c>
      <c r="Q321" t="s">
        <v>7030</v>
      </c>
      <c r="R321" s="184">
        <v>16525</v>
      </c>
      <c r="S321">
        <v>79</v>
      </c>
      <c r="U321" t="s">
        <v>7031</v>
      </c>
      <c r="V321" t="s">
        <v>2832</v>
      </c>
      <c r="W321" t="s">
        <v>3332</v>
      </c>
      <c r="X321" t="s">
        <v>8762</v>
      </c>
      <c r="AF321" t="s">
        <v>6141</v>
      </c>
      <c r="AG321" t="s">
        <v>2832</v>
      </c>
      <c r="AI321" t="s">
        <v>8763</v>
      </c>
      <c r="AM321" t="s">
        <v>2658</v>
      </c>
      <c r="AN321" t="s">
        <v>2089</v>
      </c>
      <c r="AO321" t="s">
        <v>8764</v>
      </c>
      <c r="AP321" t="s">
        <v>7024</v>
      </c>
      <c r="AQ321" t="s">
        <v>8765</v>
      </c>
      <c r="AT321" s="184">
        <v>31635</v>
      </c>
      <c r="AU321" t="s">
        <v>8766</v>
      </c>
      <c r="AV321">
        <v>18</v>
      </c>
      <c r="AW321" s="184">
        <v>45190</v>
      </c>
      <c r="AX321" t="s">
        <v>8767</v>
      </c>
      <c r="AY321">
        <v>500</v>
      </c>
      <c r="AZ321" s="184">
        <v>45190</v>
      </c>
      <c r="BA321" t="s">
        <v>8767</v>
      </c>
      <c r="BB321">
        <v>500</v>
      </c>
      <c r="BC321">
        <v>83</v>
      </c>
      <c r="BD321">
        <v>6337</v>
      </c>
      <c r="BE321">
        <v>1987</v>
      </c>
      <c r="BF321">
        <v>36</v>
      </c>
      <c r="BG321">
        <v>4</v>
      </c>
      <c r="BH321">
        <v>1200</v>
      </c>
      <c r="BI321">
        <v>32</v>
      </c>
      <c r="BJ321">
        <v>39</v>
      </c>
      <c r="BK321">
        <v>21</v>
      </c>
      <c r="BP321" s="184"/>
    </row>
    <row r="322" spans="1:68">
      <c r="A322">
        <v>953190</v>
      </c>
      <c r="B322">
        <v>953190</v>
      </c>
      <c r="C322" t="s">
        <v>7018</v>
      </c>
      <c r="D322" t="s">
        <v>595</v>
      </c>
      <c r="E322" s="184">
        <v>45195</v>
      </c>
      <c r="K322" s="184"/>
      <c r="O322" s="184"/>
      <c r="P322" t="s">
        <v>7045</v>
      </c>
      <c r="Q322" t="s">
        <v>7494</v>
      </c>
      <c r="R322" s="184">
        <v>16132</v>
      </c>
      <c r="S322">
        <v>80</v>
      </c>
      <c r="V322" t="s">
        <v>2697</v>
      </c>
      <c r="X322" t="s">
        <v>8768</v>
      </c>
      <c r="Z322">
        <v>100010282</v>
      </c>
      <c r="AB322" t="s">
        <v>3098</v>
      </c>
      <c r="AD322" t="s">
        <v>8768</v>
      </c>
      <c r="AF322" t="s">
        <v>8769</v>
      </c>
      <c r="AG322" t="s">
        <v>8770</v>
      </c>
      <c r="AI322" t="s">
        <v>8771</v>
      </c>
      <c r="AM322" t="s">
        <v>8772</v>
      </c>
      <c r="AN322" t="s">
        <v>2174</v>
      </c>
      <c r="AO322" t="s">
        <v>8773</v>
      </c>
      <c r="AP322" t="s">
        <v>7024</v>
      </c>
      <c r="AT322" s="184">
        <v>31665</v>
      </c>
      <c r="AU322" t="s">
        <v>8774</v>
      </c>
      <c r="AV322">
        <v>22</v>
      </c>
      <c r="AW322" s="184">
        <v>42443</v>
      </c>
      <c r="AX322" t="s">
        <v>8775</v>
      </c>
      <c r="AY322">
        <v>20</v>
      </c>
      <c r="AZ322" s="184">
        <v>32412</v>
      </c>
      <c r="BA322" t="s">
        <v>7073</v>
      </c>
      <c r="BB322">
        <v>30</v>
      </c>
      <c r="BC322">
        <v>31</v>
      </c>
      <c r="BD322">
        <v>542</v>
      </c>
      <c r="BE322">
        <v>1987</v>
      </c>
      <c r="BF322">
        <v>25</v>
      </c>
      <c r="BI322">
        <v>12</v>
      </c>
      <c r="BJ322">
        <v>39</v>
      </c>
      <c r="BK322">
        <v>9</v>
      </c>
      <c r="BP322" s="184"/>
    </row>
    <row r="323" spans="1:68">
      <c r="A323">
        <v>100010282</v>
      </c>
      <c r="B323">
        <v>953190</v>
      </c>
      <c r="C323" t="s">
        <v>7018</v>
      </c>
      <c r="D323" t="s">
        <v>595</v>
      </c>
      <c r="E323" s="184">
        <v>45195</v>
      </c>
      <c r="K323" s="184"/>
      <c r="O323" s="184"/>
      <c r="P323" t="s">
        <v>7045</v>
      </c>
      <c r="Q323" t="s">
        <v>7494</v>
      </c>
      <c r="R323" s="184">
        <v>16132</v>
      </c>
      <c r="S323">
        <v>80</v>
      </c>
      <c r="V323" t="s">
        <v>3098</v>
      </c>
      <c r="X323" t="s">
        <v>8768</v>
      </c>
      <c r="Z323">
        <v>953190</v>
      </c>
      <c r="AB323" t="s">
        <v>2697</v>
      </c>
      <c r="AD323" t="s">
        <v>8768</v>
      </c>
      <c r="AF323" t="s">
        <v>8769</v>
      </c>
      <c r="AG323" t="s">
        <v>8770</v>
      </c>
      <c r="AI323" t="s">
        <v>8771</v>
      </c>
      <c r="AM323" t="s">
        <v>8772</v>
      </c>
      <c r="AN323" t="s">
        <v>2174</v>
      </c>
      <c r="AO323" t="s">
        <v>8773</v>
      </c>
      <c r="AP323" t="s">
        <v>7024</v>
      </c>
      <c r="AT323" s="184"/>
      <c r="AW323" s="184"/>
      <c r="AZ323" s="184"/>
      <c r="BP323" s="184"/>
    </row>
    <row r="324" spans="1:68">
      <c r="A324">
        <v>958256</v>
      </c>
      <c r="B324">
        <v>958256</v>
      </c>
      <c r="C324" t="s">
        <v>7018</v>
      </c>
      <c r="D324" t="s">
        <v>595</v>
      </c>
      <c r="E324" s="184">
        <v>45146</v>
      </c>
      <c r="G324" s="184"/>
      <c r="K324" s="184"/>
      <c r="O324" s="184"/>
      <c r="P324" t="s">
        <v>7029</v>
      </c>
      <c r="Q324" t="s">
        <v>7160</v>
      </c>
      <c r="R324" s="184">
        <v>16407</v>
      </c>
      <c r="S324">
        <v>79</v>
      </c>
      <c r="U324" t="s">
        <v>7130</v>
      </c>
      <c r="V324" t="s">
        <v>3444</v>
      </c>
      <c r="W324" t="s">
        <v>8776</v>
      </c>
      <c r="X324" t="s">
        <v>8777</v>
      </c>
      <c r="AF324" t="s">
        <v>8778</v>
      </c>
      <c r="AG324" t="s">
        <v>3444</v>
      </c>
      <c r="AI324" t="s">
        <v>8779</v>
      </c>
      <c r="AM324" t="s">
        <v>4670</v>
      </c>
      <c r="AN324" t="s">
        <v>2203</v>
      </c>
      <c r="AO324" t="s">
        <v>8780</v>
      </c>
      <c r="AP324" t="s">
        <v>7024</v>
      </c>
      <c r="AQ324" t="s">
        <v>8781</v>
      </c>
      <c r="AR324" t="s">
        <v>8782</v>
      </c>
      <c r="AT324" s="184">
        <v>31671</v>
      </c>
      <c r="AU324" t="s">
        <v>8783</v>
      </c>
      <c r="AV324">
        <v>22</v>
      </c>
      <c r="AW324" s="184">
        <v>45345</v>
      </c>
      <c r="AX324" t="s">
        <v>7302</v>
      </c>
      <c r="AY324">
        <v>1000</v>
      </c>
      <c r="AZ324" s="184">
        <v>37893</v>
      </c>
      <c r="BA324" t="s">
        <v>8784</v>
      </c>
      <c r="BB324">
        <v>1995</v>
      </c>
      <c r="BC324">
        <v>88</v>
      </c>
      <c r="BD324">
        <v>28649</v>
      </c>
      <c r="BE324">
        <v>1987</v>
      </c>
      <c r="BF324">
        <v>56</v>
      </c>
      <c r="BG324">
        <v>2</v>
      </c>
      <c r="BH324">
        <v>2000</v>
      </c>
      <c r="BI324">
        <v>34</v>
      </c>
      <c r="BJ324">
        <v>39</v>
      </c>
      <c r="BK324">
        <v>16</v>
      </c>
      <c r="BN324" t="s">
        <v>595</v>
      </c>
      <c r="BP324" s="184"/>
    </row>
    <row r="325" spans="1:68">
      <c r="A325">
        <v>964353</v>
      </c>
      <c r="B325">
        <v>964353</v>
      </c>
      <c r="C325" t="s">
        <v>7018</v>
      </c>
      <c r="E325" s="184"/>
      <c r="K325" s="184"/>
      <c r="M325" s="184"/>
      <c r="N325" t="s">
        <v>595</v>
      </c>
      <c r="O325" s="184">
        <v>37243</v>
      </c>
      <c r="P325" t="s">
        <v>7045</v>
      </c>
      <c r="Q325" t="s">
        <v>7374</v>
      </c>
      <c r="R325" s="184">
        <v>7153</v>
      </c>
      <c r="S325">
        <v>104</v>
      </c>
      <c r="U325" t="s">
        <v>7031</v>
      </c>
      <c r="V325" t="s">
        <v>2739</v>
      </c>
      <c r="W325" t="s">
        <v>3226</v>
      </c>
      <c r="X325" t="s">
        <v>2912</v>
      </c>
      <c r="Z325">
        <v>100177423</v>
      </c>
      <c r="AA325" t="s">
        <v>7130</v>
      </c>
      <c r="AB325" t="s">
        <v>3095</v>
      </c>
      <c r="AC325" t="s">
        <v>3951</v>
      </c>
      <c r="AD325" t="s">
        <v>2912</v>
      </c>
      <c r="AF325" t="s">
        <v>8785</v>
      </c>
      <c r="AG325" t="s">
        <v>8786</v>
      </c>
      <c r="AI325" t="s">
        <v>8787</v>
      </c>
      <c r="AM325" t="s">
        <v>5882</v>
      </c>
      <c r="AN325" t="s">
        <v>2081</v>
      </c>
      <c r="AO325" t="s">
        <v>8788</v>
      </c>
      <c r="AP325" t="s">
        <v>7024</v>
      </c>
      <c r="AT325" s="184">
        <v>31678</v>
      </c>
      <c r="AU325" t="s">
        <v>8789</v>
      </c>
      <c r="AV325">
        <v>22</v>
      </c>
      <c r="AW325" s="184">
        <v>39639</v>
      </c>
      <c r="AX325" t="s">
        <v>8790</v>
      </c>
      <c r="AY325">
        <v>35</v>
      </c>
      <c r="AZ325" s="184">
        <v>37243</v>
      </c>
      <c r="BA325" t="s">
        <v>7984</v>
      </c>
      <c r="BB325">
        <v>14984.7</v>
      </c>
      <c r="BC325">
        <v>47</v>
      </c>
      <c r="BD325">
        <v>15983.7</v>
      </c>
      <c r="BE325">
        <v>1987</v>
      </c>
      <c r="BF325">
        <v>31</v>
      </c>
      <c r="BI325">
        <v>18</v>
      </c>
      <c r="BJ325">
        <v>39</v>
      </c>
      <c r="BK325">
        <v>9</v>
      </c>
      <c r="BM325" t="s">
        <v>595</v>
      </c>
      <c r="BO325" t="s">
        <v>595</v>
      </c>
      <c r="BP325" s="184">
        <v>40418</v>
      </c>
    </row>
    <row r="326" spans="1:68">
      <c r="A326">
        <v>100177423</v>
      </c>
      <c r="B326">
        <v>964353</v>
      </c>
      <c r="C326" t="s">
        <v>7018</v>
      </c>
      <c r="E326" s="184"/>
      <c r="K326" s="184"/>
      <c r="M326" s="184"/>
      <c r="N326" t="s">
        <v>595</v>
      </c>
      <c r="O326" s="184">
        <v>37243</v>
      </c>
      <c r="P326" t="s">
        <v>7045</v>
      </c>
      <c r="Q326" t="s">
        <v>7374</v>
      </c>
      <c r="R326" s="184">
        <v>5214</v>
      </c>
      <c r="S326">
        <v>110</v>
      </c>
      <c r="U326" t="s">
        <v>7130</v>
      </c>
      <c r="V326" t="s">
        <v>3095</v>
      </c>
      <c r="W326" t="s">
        <v>3951</v>
      </c>
      <c r="X326" t="s">
        <v>2912</v>
      </c>
      <c r="Z326">
        <v>964353</v>
      </c>
      <c r="AA326" t="s">
        <v>7031</v>
      </c>
      <c r="AB326" t="s">
        <v>2739</v>
      </c>
      <c r="AC326" t="s">
        <v>3226</v>
      </c>
      <c r="AD326" t="s">
        <v>2912</v>
      </c>
      <c r="AF326" t="s">
        <v>8785</v>
      </c>
      <c r="AG326" t="s">
        <v>8786</v>
      </c>
      <c r="AI326" t="s">
        <v>8787</v>
      </c>
      <c r="AM326" t="s">
        <v>5882</v>
      </c>
      <c r="AN326" t="s">
        <v>2081</v>
      </c>
      <c r="AO326" t="s">
        <v>8788</v>
      </c>
      <c r="AP326" t="s">
        <v>7024</v>
      </c>
      <c r="AT326" s="184"/>
      <c r="AW326" s="184"/>
      <c r="AZ326" s="184"/>
      <c r="BO326" t="s">
        <v>595</v>
      </c>
      <c r="BP326" s="184">
        <v>40842</v>
      </c>
    </row>
    <row r="327" spans="1:68">
      <c r="A327">
        <v>978312</v>
      </c>
      <c r="B327">
        <v>978312</v>
      </c>
      <c r="C327" t="s">
        <v>7018</v>
      </c>
      <c r="E327" s="184"/>
      <c r="J327" t="s">
        <v>595</v>
      </c>
      <c r="K327" s="184">
        <v>44073</v>
      </c>
      <c r="O327" s="184"/>
      <c r="P327" t="s">
        <v>7045</v>
      </c>
      <c r="Q327" t="s">
        <v>7374</v>
      </c>
      <c r="R327" s="184">
        <v>18019</v>
      </c>
      <c r="S327">
        <v>75</v>
      </c>
      <c r="U327" t="s">
        <v>7031</v>
      </c>
      <c r="V327" t="s">
        <v>3588</v>
      </c>
      <c r="W327" t="s">
        <v>4152</v>
      </c>
      <c r="X327" t="s">
        <v>4909</v>
      </c>
      <c r="AF327" t="s">
        <v>8791</v>
      </c>
      <c r="AG327" t="s">
        <v>3588</v>
      </c>
      <c r="AI327" t="s">
        <v>8792</v>
      </c>
      <c r="AM327" t="s">
        <v>4910</v>
      </c>
      <c r="AN327" t="s">
        <v>2081</v>
      </c>
      <c r="AO327" t="s">
        <v>8793</v>
      </c>
      <c r="AP327" t="s">
        <v>7024</v>
      </c>
      <c r="AQ327" t="s">
        <v>8794</v>
      </c>
      <c r="AR327" t="s">
        <v>8795</v>
      </c>
      <c r="AT327" s="184">
        <v>31702</v>
      </c>
      <c r="AU327" t="s">
        <v>8796</v>
      </c>
      <c r="AV327">
        <v>22</v>
      </c>
      <c r="AW327" s="184">
        <v>45316</v>
      </c>
      <c r="AX327" t="s">
        <v>8797</v>
      </c>
      <c r="AY327">
        <v>100</v>
      </c>
      <c r="AZ327" s="184">
        <v>45316</v>
      </c>
      <c r="BA327" t="s">
        <v>8797</v>
      </c>
      <c r="BB327">
        <v>100</v>
      </c>
      <c r="BC327">
        <v>98</v>
      </c>
      <c r="BD327">
        <v>2484</v>
      </c>
      <c r="BE327">
        <v>1987</v>
      </c>
      <c r="BF327">
        <v>41</v>
      </c>
      <c r="BG327">
        <v>2</v>
      </c>
      <c r="BH327">
        <v>200</v>
      </c>
      <c r="BI327">
        <v>38</v>
      </c>
      <c r="BJ327">
        <v>39</v>
      </c>
      <c r="BK327">
        <v>25</v>
      </c>
      <c r="BP327" s="184"/>
    </row>
    <row r="328" spans="1:68">
      <c r="A328">
        <v>983510</v>
      </c>
      <c r="B328">
        <v>983510</v>
      </c>
      <c r="C328" t="s">
        <v>7018</v>
      </c>
      <c r="E328" s="184"/>
      <c r="G328" s="184"/>
      <c r="J328" t="s">
        <v>595</v>
      </c>
      <c r="K328" s="184">
        <v>44073</v>
      </c>
      <c r="O328" s="184"/>
      <c r="P328" t="s">
        <v>7045</v>
      </c>
      <c r="Q328" t="s">
        <v>7262</v>
      </c>
      <c r="R328" s="184">
        <v>17958</v>
      </c>
      <c r="S328">
        <v>75</v>
      </c>
      <c r="V328" t="s">
        <v>8798</v>
      </c>
      <c r="W328" t="s">
        <v>2058</v>
      </c>
      <c r="X328" t="s">
        <v>8799</v>
      </c>
      <c r="AF328" t="s">
        <v>8800</v>
      </c>
      <c r="AG328" t="s">
        <v>8798</v>
      </c>
      <c r="AI328" t="s">
        <v>8801</v>
      </c>
      <c r="AM328" t="s">
        <v>8802</v>
      </c>
      <c r="AN328" t="s">
        <v>2106</v>
      </c>
      <c r="AO328" t="s">
        <v>8803</v>
      </c>
      <c r="AP328" t="s">
        <v>7024</v>
      </c>
      <c r="AQ328" t="s">
        <v>8804</v>
      </c>
      <c r="AT328" s="184">
        <v>31728</v>
      </c>
      <c r="AU328" t="s">
        <v>8783</v>
      </c>
      <c r="AV328">
        <v>22</v>
      </c>
      <c r="AW328" s="184">
        <v>45195</v>
      </c>
      <c r="AX328" t="s">
        <v>8805</v>
      </c>
      <c r="AY328">
        <v>375</v>
      </c>
      <c r="AZ328" s="184">
        <v>43425</v>
      </c>
      <c r="BA328" t="s">
        <v>8806</v>
      </c>
      <c r="BB328">
        <v>500</v>
      </c>
      <c r="BC328">
        <v>72</v>
      </c>
      <c r="BD328">
        <v>4731.8500000000004</v>
      </c>
      <c r="BE328">
        <v>1987</v>
      </c>
      <c r="BF328">
        <v>35</v>
      </c>
      <c r="BG328">
        <v>2</v>
      </c>
      <c r="BH328">
        <v>750</v>
      </c>
      <c r="BI328">
        <v>28</v>
      </c>
      <c r="BJ328">
        <v>39</v>
      </c>
      <c r="BK328">
        <v>14</v>
      </c>
      <c r="BP328" s="184"/>
    </row>
    <row r="329" spans="1:68">
      <c r="A329">
        <v>989152</v>
      </c>
      <c r="B329">
        <v>989152</v>
      </c>
      <c r="C329" t="s">
        <v>7018</v>
      </c>
      <c r="E329" s="184"/>
      <c r="G329" s="184"/>
      <c r="K329" s="184"/>
      <c r="M329" s="184"/>
      <c r="N329" t="s">
        <v>595</v>
      </c>
      <c r="O329" s="184">
        <v>39435</v>
      </c>
      <c r="P329" t="s">
        <v>7045</v>
      </c>
      <c r="Q329" t="s">
        <v>7262</v>
      </c>
      <c r="R329" s="184">
        <v>10282</v>
      </c>
      <c r="S329">
        <v>96</v>
      </c>
      <c r="U329" t="s">
        <v>7031</v>
      </c>
      <c r="V329" t="s">
        <v>2511</v>
      </c>
      <c r="W329" t="s">
        <v>8807</v>
      </c>
      <c r="X329" t="s">
        <v>2732</v>
      </c>
      <c r="AF329" t="s">
        <v>8808</v>
      </c>
      <c r="AG329" t="s">
        <v>2511</v>
      </c>
      <c r="AI329" t="s">
        <v>8809</v>
      </c>
      <c r="AM329" t="s">
        <v>2924</v>
      </c>
      <c r="AN329" t="s">
        <v>65</v>
      </c>
      <c r="AO329" t="s">
        <v>8810</v>
      </c>
      <c r="AP329" t="s">
        <v>7024</v>
      </c>
      <c r="AT329" s="184">
        <v>31742</v>
      </c>
      <c r="AU329" t="s">
        <v>8725</v>
      </c>
      <c r="AV329">
        <v>22</v>
      </c>
      <c r="AW329" s="184">
        <v>43853</v>
      </c>
      <c r="AX329" t="s">
        <v>8811</v>
      </c>
      <c r="AY329">
        <v>500</v>
      </c>
      <c r="AZ329" s="184">
        <v>39435</v>
      </c>
      <c r="BA329" t="s">
        <v>8812</v>
      </c>
      <c r="BB329">
        <v>15000</v>
      </c>
      <c r="BC329">
        <v>62</v>
      </c>
      <c r="BD329">
        <v>61280</v>
      </c>
      <c r="BE329">
        <v>1987</v>
      </c>
      <c r="BF329">
        <v>25</v>
      </c>
      <c r="BI329">
        <v>24</v>
      </c>
      <c r="BJ329">
        <v>39</v>
      </c>
      <c r="BK329">
        <v>8</v>
      </c>
      <c r="BM329" t="s">
        <v>595</v>
      </c>
      <c r="BP329" s="184"/>
    </row>
    <row r="330" spans="1:68">
      <c r="A330">
        <v>992115</v>
      </c>
      <c r="B330">
        <v>992115</v>
      </c>
      <c r="C330" t="s">
        <v>7018</v>
      </c>
      <c r="D330" t="s">
        <v>595</v>
      </c>
      <c r="E330" s="184">
        <v>43871</v>
      </c>
      <c r="G330" s="184"/>
      <c r="K330" s="184"/>
      <c r="M330" s="184"/>
      <c r="O330" s="184"/>
      <c r="P330" t="s">
        <v>7045</v>
      </c>
      <c r="Q330" t="s">
        <v>7030</v>
      </c>
      <c r="R330" s="184">
        <v>15895</v>
      </c>
      <c r="S330">
        <v>80</v>
      </c>
      <c r="V330" t="s">
        <v>3101</v>
      </c>
      <c r="W330" t="s">
        <v>4013</v>
      </c>
      <c r="X330" t="s">
        <v>3106</v>
      </c>
      <c r="Z330">
        <v>100010456</v>
      </c>
      <c r="AB330" t="s">
        <v>8813</v>
      </c>
      <c r="AC330" t="s">
        <v>4139</v>
      </c>
      <c r="AD330" t="s">
        <v>8814</v>
      </c>
      <c r="AF330" t="s">
        <v>8815</v>
      </c>
      <c r="AG330" t="s">
        <v>8816</v>
      </c>
      <c r="AI330" t="s">
        <v>8817</v>
      </c>
      <c r="AM330" t="s">
        <v>4757</v>
      </c>
      <c r="AN330" t="s">
        <v>2638</v>
      </c>
      <c r="AO330" t="s">
        <v>8818</v>
      </c>
      <c r="AP330" t="s">
        <v>7024</v>
      </c>
      <c r="AQ330" t="s">
        <v>8819</v>
      </c>
      <c r="AT330" s="184">
        <v>31741</v>
      </c>
      <c r="AU330" t="s">
        <v>8820</v>
      </c>
      <c r="AV330">
        <v>22</v>
      </c>
      <c r="AW330" s="184">
        <v>44018</v>
      </c>
      <c r="AX330" t="s">
        <v>8821</v>
      </c>
      <c r="AY330">
        <v>25</v>
      </c>
      <c r="AZ330" s="184">
        <v>33969</v>
      </c>
      <c r="BA330" t="s">
        <v>8822</v>
      </c>
      <c r="BB330">
        <v>60</v>
      </c>
      <c r="BC330">
        <v>65</v>
      </c>
      <c r="BD330">
        <v>967</v>
      </c>
      <c r="BE330">
        <v>1987</v>
      </c>
      <c r="BF330">
        <v>43</v>
      </c>
      <c r="BI330">
        <v>25</v>
      </c>
      <c r="BJ330">
        <v>39</v>
      </c>
      <c r="BK330">
        <v>10</v>
      </c>
      <c r="BP330" s="184"/>
    </row>
    <row r="331" spans="1:68">
      <c r="A331">
        <v>100010456</v>
      </c>
      <c r="B331">
        <v>992115</v>
      </c>
      <c r="C331" t="s">
        <v>7018</v>
      </c>
      <c r="D331" t="s">
        <v>595</v>
      </c>
      <c r="E331" s="184">
        <v>43871</v>
      </c>
      <c r="K331" s="184"/>
      <c r="M331" s="184"/>
      <c r="O331" s="184"/>
      <c r="P331" t="s">
        <v>7045</v>
      </c>
      <c r="Q331" t="s">
        <v>7030</v>
      </c>
      <c r="R331" s="184">
        <v>13730</v>
      </c>
      <c r="S331">
        <v>86</v>
      </c>
      <c r="V331" t="s">
        <v>8813</v>
      </c>
      <c r="W331" t="s">
        <v>4139</v>
      </c>
      <c r="X331" t="s">
        <v>8814</v>
      </c>
      <c r="Z331">
        <v>992115</v>
      </c>
      <c r="AB331" t="s">
        <v>3101</v>
      </c>
      <c r="AC331" t="s">
        <v>4013</v>
      </c>
      <c r="AD331" t="s">
        <v>3106</v>
      </c>
      <c r="AF331" t="s">
        <v>8815</v>
      </c>
      <c r="AG331" t="s">
        <v>8816</v>
      </c>
      <c r="AI331" t="s">
        <v>8817</v>
      </c>
      <c r="AM331" t="s">
        <v>4757</v>
      </c>
      <c r="AN331" t="s">
        <v>2638</v>
      </c>
      <c r="AO331" t="s">
        <v>8818</v>
      </c>
      <c r="AP331" t="s">
        <v>7024</v>
      </c>
      <c r="AT331" s="184"/>
      <c r="AW331" s="184"/>
      <c r="AZ331" s="184"/>
    </row>
    <row r="332" spans="1:68">
      <c r="A332">
        <v>994905</v>
      </c>
      <c r="B332">
        <v>994905</v>
      </c>
      <c r="C332" t="s">
        <v>7018</v>
      </c>
      <c r="D332" t="s">
        <v>595</v>
      </c>
      <c r="E332" s="184">
        <v>45391</v>
      </c>
      <c r="G332" s="184"/>
      <c r="K332" s="184"/>
      <c r="M332" s="184"/>
      <c r="O332" s="184"/>
      <c r="P332" t="s">
        <v>7045</v>
      </c>
      <c r="Q332" t="s">
        <v>7774</v>
      </c>
      <c r="R332" s="184">
        <v>17502</v>
      </c>
      <c r="S332">
        <v>76</v>
      </c>
      <c r="U332" t="s">
        <v>7031</v>
      </c>
      <c r="V332" t="s">
        <v>3206</v>
      </c>
      <c r="X332" t="s">
        <v>8823</v>
      </c>
      <c r="AF332" t="s">
        <v>8824</v>
      </c>
      <c r="AG332" t="s">
        <v>3206</v>
      </c>
      <c r="AI332" t="s">
        <v>8825</v>
      </c>
      <c r="AM332" t="s">
        <v>8826</v>
      </c>
      <c r="AN332" t="s">
        <v>2972</v>
      </c>
      <c r="AO332" t="s">
        <v>8827</v>
      </c>
      <c r="AP332" t="s">
        <v>7024</v>
      </c>
      <c r="AQ332" t="s">
        <v>8828</v>
      </c>
      <c r="AT332" s="184">
        <v>31747</v>
      </c>
      <c r="AU332" t="s">
        <v>8829</v>
      </c>
      <c r="AV332">
        <v>22</v>
      </c>
      <c r="AW332" s="184">
        <v>45296</v>
      </c>
      <c r="AX332" t="s">
        <v>7168</v>
      </c>
      <c r="AY332">
        <v>100</v>
      </c>
      <c r="AZ332" s="184">
        <v>45296</v>
      </c>
      <c r="BA332" t="s">
        <v>7168</v>
      </c>
      <c r="BB332">
        <v>100</v>
      </c>
      <c r="BC332">
        <v>67</v>
      </c>
      <c r="BD332">
        <v>1113</v>
      </c>
      <c r="BE332">
        <v>1987</v>
      </c>
      <c r="BF332">
        <v>30</v>
      </c>
      <c r="BG332">
        <v>2</v>
      </c>
      <c r="BH332">
        <v>150</v>
      </c>
      <c r="BI332">
        <v>26</v>
      </c>
      <c r="BJ332">
        <v>39</v>
      </c>
      <c r="BK332">
        <v>16</v>
      </c>
      <c r="BP332" s="184"/>
    </row>
    <row r="333" spans="1:68">
      <c r="A333">
        <v>1002609</v>
      </c>
      <c r="B333">
        <v>1002609</v>
      </c>
      <c r="C333" t="s">
        <v>7018</v>
      </c>
      <c r="D333" t="s">
        <v>595</v>
      </c>
      <c r="E333" s="184">
        <v>44104</v>
      </c>
      <c r="G333" s="184"/>
      <c r="K333" s="184"/>
      <c r="M333" s="184"/>
      <c r="O333" s="184"/>
      <c r="P333" t="s">
        <v>7045</v>
      </c>
      <c r="Q333" t="s">
        <v>7383</v>
      </c>
      <c r="R333" s="184">
        <v>18050</v>
      </c>
      <c r="S333">
        <v>74</v>
      </c>
      <c r="U333" t="s">
        <v>7130</v>
      </c>
      <c r="V333" t="s">
        <v>8830</v>
      </c>
      <c r="W333" t="s">
        <v>3830</v>
      </c>
      <c r="X333" t="s">
        <v>2851</v>
      </c>
      <c r="AF333" t="s">
        <v>8831</v>
      </c>
      <c r="AG333" t="s">
        <v>8830</v>
      </c>
      <c r="AI333" t="s">
        <v>8832</v>
      </c>
      <c r="AM333" t="s">
        <v>3761</v>
      </c>
      <c r="AN333" t="s">
        <v>2059</v>
      </c>
      <c r="AO333" t="s">
        <v>8833</v>
      </c>
      <c r="AP333" t="s">
        <v>7024</v>
      </c>
      <c r="AQ333" t="s">
        <v>8834</v>
      </c>
      <c r="AT333" s="184">
        <v>31747</v>
      </c>
      <c r="AU333" t="s">
        <v>8835</v>
      </c>
      <c r="AV333">
        <v>22</v>
      </c>
      <c r="AW333" s="184">
        <v>45258</v>
      </c>
      <c r="AX333" t="s">
        <v>8836</v>
      </c>
      <c r="AY333">
        <v>21</v>
      </c>
      <c r="AZ333" s="184">
        <v>42492</v>
      </c>
      <c r="BA333" t="s">
        <v>8837</v>
      </c>
      <c r="BB333">
        <v>35</v>
      </c>
      <c r="BC333">
        <v>62</v>
      </c>
      <c r="BD333">
        <v>970.27</v>
      </c>
      <c r="BE333">
        <v>1987</v>
      </c>
      <c r="BF333">
        <v>43</v>
      </c>
      <c r="BG333">
        <v>3</v>
      </c>
      <c r="BH333">
        <v>72.25</v>
      </c>
      <c r="BI333">
        <v>24</v>
      </c>
      <c r="BJ333">
        <v>39</v>
      </c>
      <c r="BK333">
        <v>12</v>
      </c>
    </row>
    <row r="334" spans="1:68">
      <c r="A334">
        <v>1003359</v>
      </c>
      <c r="B334">
        <v>1003359</v>
      </c>
      <c r="C334" t="s">
        <v>7018</v>
      </c>
      <c r="D334" t="s">
        <v>595</v>
      </c>
      <c r="E334" s="184">
        <v>44313</v>
      </c>
      <c r="G334" s="184"/>
      <c r="K334" s="184"/>
      <c r="M334" s="184"/>
      <c r="O334" s="184"/>
      <c r="P334" t="s">
        <v>7045</v>
      </c>
      <c r="Q334" t="s">
        <v>7020</v>
      </c>
      <c r="R334" s="184">
        <v>11816</v>
      </c>
      <c r="S334">
        <v>92</v>
      </c>
      <c r="U334" t="s">
        <v>7031</v>
      </c>
      <c r="V334" t="s">
        <v>2832</v>
      </c>
      <c r="W334" t="s">
        <v>3830</v>
      </c>
      <c r="X334" t="s">
        <v>8838</v>
      </c>
      <c r="Z334">
        <v>100010509</v>
      </c>
      <c r="AA334" t="s">
        <v>7130</v>
      </c>
      <c r="AB334" t="s">
        <v>3478</v>
      </c>
      <c r="AC334" t="s">
        <v>7067</v>
      </c>
      <c r="AD334" t="s">
        <v>8838</v>
      </c>
      <c r="AF334" t="s">
        <v>8839</v>
      </c>
      <c r="AG334" t="s">
        <v>8840</v>
      </c>
      <c r="AI334" t="s">
        <v>8841</v>
      </c>
      <c r="AM334" t="s">
        <v>8842</v>
      </c>
      <c r="AN334" t="s">
        <v>2052</v>
      </c>
      <c r="AO334" t="s">
        <v>8843</v>
      </c>
      <c r="AP334" t="s">
        <v>7024</v>
      </c>
      <c r="AQ334" t="s">
        <v>8844</v>
      </c>
      <c r="AT334" s="184">
        <v>31747</v>
      </c>
      <c r="AU334" t="s">
        <v>8845</v>
      </c>
      <c r="AV334">
        <v>22</v>
      </c>
      <c r="AW334" s="184">
        <v>45280</v>
      </c>
      <c r="AX334" t="s">
        <v>8846</v>
      </c>
      <c r="AY334">
        <v>25</v>
      </c>
      <c r="AZ334" s="184">
        <v>40779</v>
      </c>
      <c r="BA334" t="s">
        <v>8847</v>
      </c>
      <c r="BB334">
        <v>115</v>
      </c>
      <c r="BC334">
        <v>47</v>
      </c>
      <c r="BD334">
        <v>1139</v>
      </c>
      <c r="BE334">
        <v>1987</v>
      </c>
      <c r="BF334">
        <v>22</v>
      </c>
      <c r="BG334">
        <v>2</v>
      </c>
      <c r="BH334">
        <v>50</v>
      </c>
      <c r="BI334">
        <v>18</v>
      </c>
      <c r="BJ334">
        <v>39</v>
      </c>
      <c r="BK334">
        <v>11</v>
      </c>
    </row>
    <row r="335" spans="1:68">
      <c r="A335">
        <v>100010509</v>
      </c>
      <c r="B335">
        <v>1003359</v>
      </c>
      <c r="C335" t="s">
        <v>7018</v>
      </c>
      <c r="D335" t="s">
        <v>595</v>
      </c>
      <c r="E335" s="184">
        <v>44313</v>
      </c>
      <c r="G335" s="184"/>
      <c r="K335" s="184"/>
      <c r="M335" s="184"/>
      <c r="O335" s="184"/>
      <c r="P335" t="s">
        <v>7045</v>
      </c>
      <c r="Q335" t="s">
        <v>7020</v>
      </c>
      <c r="R335" s="184">
        <v>13657</v>
      </c>
      <c r="S335">
        <v>86</v>
      </c>
      <c r="U335" t="s">
        <v>7130</v>
      </c>
      <c r="V335" t="s">
        <v>3478</v>
      </c>
      <c r="W335" t="s">
        <v>7067</v>
      </c>
      <c r="X335" t="s">
        <v>8838</v>
      </c>
      <c r="Z335">
        <v>1003359</v>
      </c>
      <c r="AA335" t="s">
        <v>7031</v>
      </c>
      <c r="AB335" t="s">
        <v>2832</v>
      </c>
      <c r="AC335" t="s">
        <v>3830</v>
      </c>
      <c r="AD335" t="s">
        <v>8838</v>
      </c>
      <c r="AF335" t="s">
        <v>8839</v>
      </c>
      <c r="AG335" t="s">
        <v>8840</v>
      </c>
      <c r="AI335" t="s">
        <v>8841</v>
      </c>
      <c r="AM335" t="s">
        <v>8842</v>
      </c>
      <c r="AN335" t="s">
        <v>2052</v>
      </c>
      <c r="AO335" t="s">
        <v>8843</v>
      </c>
      <c r="AP335" t="s">
        <v>7024</v>
      </c>
      <c r="AT335" s="184"/>
      <c r="AW335" s="184"/>
      <c r="AZ335" s="184"/>
    </row>
    <row r="336" spans="1:68">
      <c r="A336">
        <v>1004845</v>
      </c>
      <c r="B336">
        <v>1004845</v>
      </c>
      <c r="C336" t="s">
        <v>7018</v>
      </c>
      <c r="E336" s="184"/>
      <c r="J336" t="s">
        <v>595</v>
      </c>
      <c r="K336" s="184">
        <v>39133</v>
      </c>
      <c r="M336" s="184"/>
      <c r="O336" s="184"/>
      <c r="P336" t="s">
        <v>7045</v>
      </c>
      <c r="Q336" t="s">
        <v>7194</v>
      </c>
      <c r="R336" s="184">
        <v>17011</v>
      </c>
      <c r="S336">
        <v>77</v>
      </c>
      <c r="V336" t="s">
        <v>2541</v>
      </c>
      <c r="W336" t="s">
        <v>7268</v>
      </c>
      <c r="X336" t="s">
        <v>8848</v>
      </c>
      <c r="AF336" t="s">
        <v>6121</v>
      </c>
      <c r="AG336" t="s">
        <v>2541</v>
      </c>
      <c r="AI336" t="s">
        <v>8849</v>
      </c>
      <c r="AM336" t="s">
        <v>8850</v>
      </c>
      <c r="AN336" t="s">
        <v>2046</v>
      </c>
      <c r="AO336" t="s">
        <v>8851</v>
      </c>
      <c r="AP336" t="s">
        <v>7024</v>
      </c>
      <c r="AT336" s="184">
        <v>31754</v>
      </c>
      <c r="AU336" t="s">
        <v>8852</v>
      </c>
      <c r="AV336">
        <v>22</v>
      </c>
      <c r="AW336" s="184">
        <v>45411</v>
      </c>
      <c r="AX336" t="s">
        <v>7414</v>
      </c>
      <c r="AY336">
        <v>20</v>
      </c>
      <c r="AZ336" s="184">
        <v>32447</v>
      </c>
      <c r="BA336" t="s">
        <v>7073</v>
      </c>
      <c r="BB336">
        <v>60</v>
      </c>
      <c r="BC336">
        <v>98</v>
      </c>
      <c r="BD336">
        <v>5773</v>
      </c>
      <c r="BE336">
        <v>1987</v>
      </c>
      <c r="BF336">
        <v>281</v>
      </c>
      <c r="BG336">
        <v>24</v>
      </c>
      <c r="BH336">
        <v>480</v>
      </c>
      <c r="BI336">
        <v>38</v>
      </c>
      <c r="BJ336">
        <v>39</v>
      </c>
      <c r="BK336">
        <v>21</v>
      </c>
    </row>
    <row r="337" spans="1:68">
      <c r="A337">
        <v>1019165</v>
      </c>
      <c r="B337">
        <v>1019165</v>
      </c>
      <c r="C337" t="s">
        <v>7018</v>
      </c>
      <c r="E337" s="184"/>
      <c r="G337" s="184"/>
      <c r="J337" t="s">
        <v>595</v>
      </c>
      <c r="K337" s="184">
        <v>44104</v>
      </c>
      <c r="M337" s="184"/>
      <c r="O337" s="184"/>
      <c r="P337" t="s">
        <v>7045</v>
      </c>
      <c r="Q337" t="s">
        <v>7383</v>
      </c>
      <c r="R337" s="184">
        <v>16960</v>
      </c>
      <c r="S337">
        <v>77</v>
      </c>
      <c r="V337" t="s">
        <v>3377</v>
      </c>
      <c r="X337" t="s">
        <v>8853</v>
      </c>
      <c r="Z337">
        <v>101039428</v>
      </c>
      <c r="AB337" t="s">
        <v>3317</v>
      </c>
      <c r="AD337" t="s">
        <v>8853</v>
      </c>
      <c r="AF337" t="s">
        <v>8854</v>
      </c>
      <c r="AG337" t="s">
        <v>8855</v>
      </c>
      <c r="AI337" t="s">
        <v>8856</v>
      </c>
      <c r="AM337" t="s">
        <v>3100</v>
      </c>
      <c r="AN337" t="s">
        <v>2059</v>
      </c>
      <c r="AO337" t="s">
        <v>8857</v>
      </c>
      <c r="AP337" t="s">
        <v>7024</v>
      </c>
      <c r="AQ337" t="s">
        <v>8858</v>
      </c>
      <c r="AT337" s="184">
        <v>31765</v>
      </c>
      <c r="AU337" t="s">
        <v>8852</v>
      </c>
      <c r="AV337">
        <v>22</v>
      </c>
      <c r="AW337" s="184">
        <v>45278</v>
      </c>
      <c r="AX337" t="s">
        <v>7596</v>
      </c>
      <c r="AY337">
        <v>150</v>
      </c>
      <c r="AZ337" s="184">
        <v>45278</v>
      </c>
      <c r="BA337" t="s">
        <v>7596</v>
      </c>
      <c r="BB337">
        <v>150</v>
      </c>
      <c r="BC337">
        <v>70</v>
      </c>
      <c r="BD337">
        <v>2689</v>
      </c>
      <c r="BE337">
        <v>1987</v>
      </c>
      <c r="BF337">
        <v>32</v>
      </c>
      <c r="BG337">
        <v>3</v>
      </c>
      <c r="BH337">
        <v>375</v>
      </c>
      <c r="BI337">
        <v>27</v>
      </c>
      <c r="BJ337">
        <v>39</v>
      </c>
      <c r="BK337">
        <v>18</v>
      </c>
      <c r="BP337" s="184"/>
    </row>
    <row r="338" spans="1:68">
      <c r="A338">
        <v>1021054</v>
      </c>
      <c r="B338">
        <v>1021054</v>
      </c>
      <c r="C338" t="s">
        <v>7018</v>
      </c>
      <c r="D338" t="s">
        <v>595</v>
      </c>
      <c r="E338" s="184">
        <v>44152</v>
      </c>
      <c r="K338" s="184"/>
      <c r="M338" s="184"/>
      <c r="O338" s="184"/>
      <c r="P338" t="s">
        <v>7045</v>
      </c>
      <c r="Q338" t="s">
        <v>7020</v>
      </c>
      <c r="R338" s="184">
        <v>8068</v>
      </c>
      <c r="S338">
        <v>102</v>
      </c>
      <c r="U338" t="s">
        <v>7130</v>
      </c>
      <c r="V338" t="s">
        <v>8859</v>
      </c>
      <c r="W338" t="s">
        <v>7396</v>
      </c>
      <c r="X338" t="s">
        <v>3318</v>
      </c>
      <c r="AF338" t="s">
        <v>8860</v>
      </c>
      <c r="AG338" t="s">
        <v>8859</v>
      </c>
      <c r="AI338" t="s">
        <v>8861</v>
      </c>
      <c r="AM338" t="s">
        <v>4954</v>
      </c>
      <c r="AN338" t="s">
        <v>2129</v>
      </c>
      <c r="AO338" t="s">
        <v>8862</v>
      </c>
      <c r="AP338" t="s">
        <v>7024</v>
      </c>
      <c r="AT338" s="184">
        <v>31768</v>
      </c>
      <c r="AU338" t="s">
        <v>8863</v>
      </c>
      <c r="AV338">
        <v>22</v>
      </c>
      <c r="AW338" s="184">
        <v>44522</v>
      </c>
      <c r="AX338" t="s">
        <v>8864</v>
      </c>
      <c r="AY338">
        <v>100</v>
      </c>
      <c r="AZ338" s="184">
        <v>42899</v>
      </c>
      <c r="BA338" t="s">
        <v>8865</v>
      </c>
      <c r="BB338">
        <v>500</v>
      </c>
      <c r="BC338">
        <v>83</v>
      </c>
      <c r="BD338">
        <v>9141</v>
      </c>
      <c r="BE338">
        <v>1987</v>
      </c>
      <c r="BF338">
        <v>41</v>
      </c>
      <c r="BI338">
        <v>32</v>
      </c>
      <c r="BJ338">
        <v>39</v>
      </c>
      <c r="BK338">
        <v>17</v>
      </c>
      <c r="BP338" s="184"/>
    </row>
    <row r="339" spans="1:68">
      <c r="A339">
        <v>1026483</v>
      </c>
      <c r="B339">
        <v>1026483</v>
      </c>
      <c r="C339" t="s">
        <v>7018</v>
      </c>
      <c r="D339" t="s">
        <v>595</v>
      </c>
      <c r="E339" s="184">
        <v>43801</v>
      </c>
      <c r="K339" s="184"/>
      <c r="M339" s="184"/>
      <c r="O339" s="184"/>
      <c r="P339" t="s">
        <v>7045</v>
      </c>
      <c r="Q339" t="s">
        <v>7194</v>
      </c>
      <c r="R339" s="184">
        <v>18586</v>
      </c>
      <c r="S339">
        <v>73</v>
      </c>
      <c r="U339" t="s">
        <v>7076</v>
      </c>
      <c r="V339" t="s">
        <v>3444</v>
      </c>
      <c r="W339" t="s">
        <v>7469</v>
      </c>
      <c r="X339" t="s">
        <v>3520</v>
      </c>
      <c r="AF339" t="s">
        <v>8866</v>
      </c>
      <c r="AG339" t="s">
        <v>3444</v>
      </c>
      <c r="AI339" t="s">
        <v>8867</v>
      </c>
      <c r="AM339" t="s">
        <v>4322</v>
      </c>
      <c r="AN339" t="s">
        <v>2046</v>
      </c>
      <c r="AO339" t="s">
        <v>8868</v>
      </c>
      <c r="AP339" t="s">
        <v>7024</v>
      </c>
      <c r="AQ339" t="s">
        <v>8869</v>
      </c>
      <c r="AR339" t="s">
        <v>8870</v>
      </c>
      <c r="AT339" s="184">
        <v>31776</v>
      </c>
      <c r="AU339" t="s">
        <v>7073</v>
      </c>
      <c r="AV339">
        <v>50</v>
      </c>
      <c r="AW339" s="184">
        <v>43803</v>
      </c>
      <c r="AX339" t="s">
        <v>8871</v>
      </c>
      <c r="AY339">
        <v>25</v>
      </c>
      <c r="AZ339" s="184">
        <v>32587</v>
      </c>
      <c r="BA339" t="s">
        <v>8872</v>
      </c>
      <c r="BB339">
        <v>150</v>
      </c>
      <c r="BC339">
        <v>75</v>
      </c>
      <c r="BD339">
        <v>1570</v>
      </c>
      <c r="BE339">
        <v>1987</v>
      </c>
      <c r="BF339">
        <v>35</v>
      </c>
      <c r="BI339">
        <v>29</v>
      </c>
      <c r="BJ339">
        <v>39</v>
      </c>
      <c r="BK339">
        <v>14</v>
      </c>
      <c r="BN339" t="s">
        <v>595</v>
      </c>
      <c r="BP339" s="184"/>
    </row>
    <row r="340" spans="1:68">
      <c r="A340">
        <v>1033075</v>
      </c>
      <c r="B340">
        <v>1033075</v>
      </c>
      <c r="C340" t="s">
        <v>7018</v>
      </c>
      <c r="E340" s="184"/>
      <c r="J340" t="s">
        <v>595</v>
      </c>
      <c r="K340" s="184">
        <v>42960</v>
      </c>
      <c r="O340" s="184"/>
      <c r="P340" t="s">
        <v>7045</v>
      </c>
      <c r="Q340" t="s">
        <v>7383</v>
      </c>
      <c r="R340" s="184">
        <v>12938</v>
      </c>
      <c r="S340">
        <v>88</v>
      </c>
      <c r="V340" t="s">
        <v>3000</v>
      </c>
      <c r="X340" t="s">
        <v>8873</v>
      </c>
      <c r="AF340" t="s">
        <v>6557</v>
      </c>
      <c r="AG340" t="s">
        <v>3000</v>
      </c>
      <c r="AI340" t="s">
        <v>8874</v>
      </c>
      <c r="AM340" t="s">
        <v>8875</v>
      </c>
      <c r="AN340" t="s">
        <v>2072</v>
      </c>
      <c r="AO340" t="s">
        <v>8876</v>
      </c>
      <c r="AP340" t="s">
        <v>7024</v>
      </c>
      <c r="AT340" s="184">
        <v>31789</v>
      </c>
      <c r="AU340" t="s">
        <v>8877</v>
      </c>
      <c r="AV340">
        <v>22</v>
      </c>
      <c r="AW340" s="184">
        <v>42937</v>
      </c>
      <c r="AX340" t="s">
        <v>8878</v>
      </c>
      <c r="AY340">
        <v>30</v>
      </c>
      <c r="AZ340" s="184">
        <v>42937</v>
      </c>
      <c r="BA340" t="s">
        <v>8878</v>
      </c>
      <c r="BB340">
        <v>30</v>
      </c>
      <c r="BC340">
        <v>53</v>
      </c>
      <c r="BD340">
        <v>622</v>
      </c>
      <c r="BE340">
        <v>1987</v>
      </c>
      <c r="BF340">
        <v>25</v>
      </c>
      <c r="BI340">
        <v>20</v>
      </c>
      <c r="BJ340">
        <v>38</v>
      </c>
      <c r="BK340">
        <v>7</v>
      </c>
      <c r="BP340" s="184"/>
    </row>
    <row r="341" spans="1:68">
      <c r="A341">
        <v>1034248</v>
      </c>
      <c r="B341">
        <v>1034248</v>
      </c>
      <c r="C341" t="s">
        <v>7018</v>
      </c>
      <c r="D341" t="s">
        <v>595</v>
      </c>
      <c r="E341" s="184">
        <v>43851</v>
      </c>
      <c r="K341" s="184"/>
      <c r="O341" s="184"/>
      <c r="P341" t="s">
        <v>7045</v>
      </c>
      <c r="Q341" t="s">
        <v>7454</v>
      </c>
      <c r="R341" s="184">
        <v>13247</v>
      </c>
      <c r="S341">
        <v>88</v>
      </c>
      <c r="U341" t="s">
        <v>7076</v>
      </c>
      <c r="V341" t="s">
        <v>4523</v>
      </c>
      <c r="W341" t="s">
        <v>2963</v>
      </c>
      <c r="X341" t="s">
        <v>3852</v>
      </c>
      <c r="AF341" t="s">
        <v>8879</v>
      </c>
      <c r="AG341" t="s">
        <v>4523</v>
      </c>
      <c r="AI341" t="s">
        <v>8880</v>
      </c>
      <c r="AM341" t="s">
        <v>4524</v>
      </c>
      <c r="AN341" t="s">
        <v>2299</v>
      </c>
      <c r="AO341" t="s">
        <v>8881</v>
      </c>
      <c r="AP341" t="s">
        <v>7024</v>
      </c>
      <c r="AQ341" t="s">
        <v>8882</v>
      </c>
      <c r="AR341" t="s">
        <v>8883</v>
      </c>
      <c r="AT341" s="184">
        <v>31792</v>
      </c>
      <c r="AU341" t="s">
        <v>8845</v>
      </c>
      <c r="AV341">
        <v>22</v>
      </c>
      <c r="AW341" s="184">
        <v>45072</v>
      </c>
      <c r="AX341" t="s">
        <v>8884</v>
      </c>
      <c r="AY341">
        <v>75</v>
      </c>
      <c r="AZ341" s="184">
        <v>43972</v>
      </c>
      <c r="BA341" t="s">
        <v>8885</v>
      </c>
      <c r="BB341">
        <v>100</v>
      </c>
      <c r="BC341">
        <v>66</v>
      </c>
      <c r="BD341">
        <v>1053</v>
      </c>
      <c r="BE341">
        <v>1987</v>
      </c>
      <c r="BF341">
        <v>41</v>
      </c>
      <c r="BG341">
        <v>2</v>
      </c>
      <c r="BH341">
        <v>100</v>
      </c>
      <c r="BI341">
        <v>25</v>
      </c>
      <c r="BJ341">
        <v>38</v>
      </c>
      <c r="BK341">
        <v>11</v>
      </c>
      <c r="BP341" s="184"/>
    </row>
    <row r="342" spans="1:68">
      <c r="A342">
        <v>1044601</v>
      </c>
      <c r="B342">
        <v>1044601</v>
      </c>
      <c r="C342" t="s">
        <v>7018</v>
      </c>
      <c r="E342" s="184"/>
      <c r="G342" s="184"/>
      <c r="K342" s="184"/>
      <c r="N342" t="s">
        <v>595</v>
      </c>
      <c r="O342" s="184">
        <v>36130</v>
      </c>
      <c r="P342" t="s">
        <v>7029</v>
      </c>
      <c r="Q342" t="s">
        <v>7262</v>
      </c>
      <c r="R342" s="184">
        <v>10579</v>
      </c>
      <c r="S342">
        <v>95</v>
      </c>
      <c r="V342" t="s">
        <v>2982</v>
      </c>
      <c r="X342" t="s">
        <v>4631</v>
      </c>
      <c r="Z342">
        <v>100010713</v>
      </c>
      <c r="AB342" t="s">
        <v>2733</v>
      </c>
      <c r="AC342" t="s">
        <v>3951</v>
      </c>
      <c r="AD342" t="s">
        <v>4631</v>
      </c>
      <c r="AF342" t="s">
        <v>8886</v>
      </c>
      <c r="AG342" t="s">
        <v>2982</v>
      </c>
      <c r="AI342" t="s">
        <v>8887</v>
      </c>
      <c r="AM342" t="s">
        <v>4657</v>
      </c>
      <c r="AN342" t="s">
        <v>2069</v>
      </c>
      <c r="AO342" t="s">
        <v>8888</v>
      </c>
      <c r="AP342" t="s">
        <v>7024</v>
      </c>
      <c r="AT342" s="184">
        <v>31832</v>
      </c>
      <c r="AU342" t="s">
        <v>8889</v>
      </c>
      <c r="AV342">
        <v>22</v>
      </c>
      <c r="AW342" s="184">
        <v>44769</v>
      </c>
      <c r="AX342" t="s">
        <v>8890</v>
      </c>
      <c r="AY342">
        <v>1000</v>
      </c>
      <c r="AZ342" s="184">
        <v>36130</v>
      </c>
      <c r="BA342" t="s">
        <v>7929</v>
      </c>
      <c r="BB342">
        <v>40437.5</v>
      </c>
      <c r="BC342">
        <v>79</v>
      </c>
      <c r="BD342">
        <v>54554.5</v>
      </c>
      <c r="BE342">
        <v>1987</v>
      </c>
      <c r="BF342">
        <v>43</v>
      </c>
      <c r="BG342">
        <v>1</v>
      </c>
      <c r="BH342">
        <v>1000</v>
      </c>
      <c r="BI342">
        <v>30</v>
      </c>
      <c r="BJ342">
        <v>38</v>
      </c>
      <c r="BK342">
        <v>16</v>
      </c>
      <c r="BP342" s="184"/>
    </row>
    <row r="343" spans="1:68">
      <c r="A343">
        <v>100010713</v>
      </c>
      <c r="B343">
        <v>1044601</v>
      </c>
      <c r="C343" t="s">
        <v>7018</v>
      </c>
      <c r="E343" s="184"/>
      <c r="G343" s="184"/>
      <c r="K343" s="184"/>
      <c r="M343" s="184"/>
      <c r="N343" t="s">
        <v>595</v>
      </c>
      <c r="O343" s="184">
        <v>36130</v>
      </c>
      <c r="P343" t="s">
        <v>7029</v>
      </c>
      <c r="Q343" t="s">
        <v>7262</v>
      </c>
      <c r="R343" s="184">
        <v>13825</v>
      </c>
      <c r="S343">
        <v>86</v>
      </c>
      <c r="V343" t="s">
        <v>2733</v>
      </c>
      <c r="W343" t="s">
        <v>3951</v>
      </c>
      <c r="X343" t="s">
        <v>4631</v>
      </c>
      <c r="Z343">
        <v>1044601</v>
      </c>
      <c r="AB343" t="s">
        <v>2982</v>
      </c>
      <c r="AD343" t="s">
        <v>4631</v>
      </c>
      <c r="AF343" t="s">
        <v>8886</v>
      </c>
      <c r="AG343" t="s">
        <v>2982</v>
      </c>
      <c r="AI343" t="s">
        <v>8887</v>
      </c>
      <c r="AM343" t="s">
        <v>4657</v>
      </c>
      <c r="AN343" t="s">
        <v>2069</v>
      </c>
      <c r="AO343" t="s">
        <v>8888</v>
      </c>
      <c r="AP343" t="s">
        <v>7024</v>
      </c>
      <c r="AT343" s="184"/>
      <c r="AW343" s="184"/>
      <c r="AZ343" s="184"/>
      <c r="BO343" t="s">
        <v>595</v>
      </c>
      <c r="BP343" s="184">
        <v>43392</v>
      </c>
    </row>
    <row r="344" spans="1:68">
      <c r="A344">
        <v>1055375</v>
      </c>
      <c r="B344">
        <v>1055375</v>
      </c>
      <c r="C344" t="s">
        <v>7018</v>
      </c>
      <c r="D344" t="s">
        <v>595</v>
      </c>
      <c r="E344" s="184">
        <v>43801</v>
      </c>
      <c r="G344" s="184"/>
      <c r="K344" s="184"/>
      <c r="M344" s="184"/>
      <c r="O344" s="184"/>
      <c r="P344" t="s">
        <v>7045</v>
      </c>
      <c r="Q344" t="s">
        <v>7374</v>
      </c>
      <c r="R344" s="184">
        <v>18598</v>
      </c>
      <c r="S344">
        <v>73</v>
      </c>
      <c r="U344" t="s">
        <v>7031</v>
      </c>
      <c r="V344" t="s">
        <v>2851</v>
      </c>
      <c r="X344" t="s">
        <v>4323</v>
      </c>
      <c r="AF344" t="s">
        <v>8891</v>
      </c>
      <c r="AG344" t="s">
        <v>2851</v>
      </c>
      <c r="AI344" t="s">
        <v>8892</v>
      </c>
      <c r="AM344" t="s">
        <v>4324</v>
      </c>
      <c r="AN344" t="s">
        <v>2081</v>
      </c>
      <c r="AO344" t="s">
        <v>8893</v>
      </c>
      <c r="AP344" t="s">
        <v>7024</v>
      </c>
      <c r="AQ344" t="s">
        <v>8894</v>
      </c>
      <c r="AT344" s="184">
        <v>31839</v>
      </c>
      <c r="AU344" t="s">
        <v>8895</v>
      </c>
      <c r="AV344">
        <v>22</v>
      </c>
      <c r="AW344" s="184">
        <v>45258</v>
      </c>
      <c r="AX344" t="s">
        <v>8896</v>
      </c>
      <c r="AY344">
        <v>100</v>
      </c>
      <c r="AZ344" s="184">
        <v>45258</v>
      </c>
      <c r="BA344" t="s">
        <v>8896</v>
      </c>
      <c r="BB344">
        <v>100</v>
      </c>
      <c r="BC344">
        <v>35</v>
      </c>
      <c r="BD344">
        <v>804</v>
      </c>
      <c r="BE344">
        <v>1987</v>
      </c>
      <c r="BF344">
        <v>16</v>
      </c>
      <c r="BG344">
        <v>3</v>
      </c>
      <c r="BH344">
        <v>185</v>
      </c>
      <c r="BI344">
        <v>13</v>
      </c>
      <c r="BJ344">
        <v>38</v>
      </c>
      <c r="BK344">
        <v>5</v>
      </c>
    </row>
    <row r="345" spans="1:68">
      <c r="A345">
        <v>1056365</v>
      </c>
      <c r="B345">
        <v>1056365</v>
      </c>
      <c r="C345" t="s">
        <v>7018</v>
      </c>
      <c r="D345" t="s">
        <v>595</v>
      </c>
      <c r="E345" s="184">
        <v>44070</v>
      </c>
      <c r="G345" s="184"/>
      <c r="K345" s="184"/>
      <c r="M345" s="184"/>
      <c r="O345" s="184"/>
      <c r="P345" t="s">
        <v>7045</v>
      </c>
      <c r="Q345" t="s">
        <v>7262</v>
      </c>
      <c r="R345" s="184">
        <v>17309</v>
      </c>
      <c r="S345">
        <v>76</v>
      </c>
      <c r="U345" t="s">
        <v>7130</v>
      </c>
      <c r="V345" t="s">
        <v>3444</v>
      </c>
      <c r="X345" t="s">
        <v>8897</v>
      </c>
      <c r="AF345" t="s">
        <v>8898</v>
      </c>
      <c r="AG345" t="s">
        <v>3444</v>
      </c>
      <c r="AI345" t="s">
        <v>8899</v>
      </c>
      <c r="AM345" t="s">
        <v>8900</v>
      </c>
      <c r="AN345" t="s">
        <v>2106</v>
      </c>
      <c r="AO345" t="s">
        <v>8901</v>
      </c>
      <c r="AP345" t="s">
        <v>7024</v>
      </c>
      <c r="AQ345" t="s">
        <v>8902</v>
      </c>
      <c r="AR345" t="s">
        <v>8903</v>
      </c>
      <c r="AT345" s="184">
        <v>31839</v>
      </c>
      <c r="AU345" t="s">
        <v>8904</v>
      </c>
      <c r="AV345">
        <v>22</v>
      </c>
      <c r="AW345" s="184">
        <v>45329</v>
      </c>
      <c r="AX345" t="s">
        <v>8905</v>
      </c>
      <c r="AY345">
        <v>100</v>
      </c>
      <c r="AZ345" s="184">
        <v>43375</v>
      </c>
      <c r="BA345" t="s">
        <v>7493</v>
      </c>
      <c r="BB345">
        <v>500</v>
      </c>
      <c r="BC345">
        <v>93</v>
      </c>
      <c r="BD345">
        <v>7734</v>
      </c>
      <c r="BE345">
        <v>1987</v>
      </c>
      <c r="BF345">
        <v>65</v>
      </c>
      <c r="BG345">
        <v>2</v>
      </c>
      <c r="BH345">
        <v>200</v>
      </c>
      <c r="BI345">
        <v>35</v>
      </c>
      <c r="BJ345">
        <v>38</v>
      </c>
      <c r="BK345">
        <v>19</v>
      </c>
    </row>
    <row r="346" spans="1:68">
      <c r="A346">
        <v>1064971</v>
      </c>
      <c r="B346">
        <v>1064971</v>
      </c>
      <c r="C346" t="s">
        <v>7018</v>
      </c>
      <c r="E346" s="184"/>
      <c r="G346" s="184"/>
      <c r="J346" t="s">
        <v>595</v>
      </c>
      <c r="K346" s="184">
        <v>39212</v>
      </c>
      <c r="M346" s="184"/>
      <c r="O346" s="184"/>
      <c r="P346" t="s">
        <v>7029</v>
      </c>
      <c r="Q346" t="s">
        <v>7262</v>
      </c>
      <c r="R346" s="184">
        <v>16230</v>
      </c>
      <c r="S346">
        <v>79</v>
      </c>
      <c r="U346" t="s">
        <v>7076</v>
      </c>
      <c r="V346" t="s">
        <v>3101</v>
      </c>
      <c r="W346" t="s">
        <v>4152</v>
      </c>
      <c r="X346" t="s">
        <v>2977</v>
      </c>
      <c r="AF346" t="s">
        <v>6055</v>
      </c>
      <c r="AG346" t="s">
        <v>3101</v>
      </c>
      <c r="AI346" t="s">
        <v>8906</v>
      </c>
      <c r="AM346" t="s">
        <v>8907</v>
      </c>
      <c r="AN346" t="s">
        <v>2106</v>
      </c>
      <c r="AO346" t="s">
        <v>8908</v>
      </c>
      <c r="AP346" t="s">
        <v>7024</v>
      </c>
      <c r="AQ346" t="s">
        <v>8909</v>
      </c>
      <c r="AT346" s="184">
        <v>31845</v>
      </c>
      <c r="AU346" t="s">
        <v>8910</v>
      </c>
      <c r="AV346">
        <v>22</v>
      </c>
      <c r="AW346" s="184">
        <v>43367</v>
      </c>
      <c r="AX346" t="s">
        <v>7493</v>
      </c>
      <c r="AY346">
        <v>4644.34</v>
      </c>
      <c r="AZ346" s="184">
        <v>43367</v>
      </c>
      <c r="BA346" t="s">
        <v>7493</v>
      </c>
      <c r="BB346">
        <v>4644.34</v>
      </c>
      <c r="BC346">
        <v>69</v>
      </c>
      <c r="BD346">
        <v>9423.34</v>
      </c>
      <c r="BE346">
        <v>1987</v>
      </c>
      <c r="BF346">
        <v>42</v>
      </c>
      <c r="BI346">
        <v>26</v>
      </c>
      <c r="BJ346">
        <v>38</v>
      </c>
      <c r="BK346">
        <v>11</v>
      </c>
      <c r="BN346" t="s">
        <v>595</v>
      </c>
    </row>
    <row r="347" spans="1:68">
      <c r="A347">
        <v>1069848</v>
      </c>
      <c r="B347">
        <v>1069848</v>
      </c>
      <c r="C347" t="s">
        <v>7018</v>
      </c>
      <c r="D347" t="s">
        <v>595</v>
      </c>
      <c r="E347" s="184">
        <v>44438</v>
      </c>
      <c r="G347" s="184"/>
      <c r="K347" s="184"/>
      <c r="M347" s="184"/>
      <c r="O347" s="184"/>
      <c r="P347" t="s">
        <v>7019</v>
      </c>
      <c r="Q347" t="s">
        <v>7194</v>
      </c>
      <c r="R347" s="184">
        <v>17330</v>
      </c>
      <c r="S347">
        <v>76</v>
      </c>
      <c r="V347" t="s">
        <v>2871</v>
      </c>
      <c r="X347" t="s">
        <v>8911</v>
      </c>
      <c r="AF347" t="s">
        <v>8912</v>
      </c>
      <c r="AG347" t="s">
        <v>2871</v>
      </c>
      <c r="AI347" t="s">
        <v>8913</v>
      </c>
      <c r="AM347" t="s">
        <v>4266</v>
      </c>
      <c r="AN347" t="s">
        <v>2046</v>
      </c>
      <c r="AO347" t="s">
        <v>8914</v>
      </c>
      <c r="AP347" t="s">
        <v>7024</v>
      </c>
      <c r="AT347" s="184">
        <v>31692</v>
      </c>
      <c r="AU347" t="s">
        <v>8796</v>
      </c>
      <c r="AV347">
        <v>22</v>
      </c>
      <c r="AW347" s="184">
        <v>44224</v>
      </c>
      <c r="AX347" t="s">
        <v>8915</v>
      </c>
      <c r="AY347">
        <v>60</v>
      </c>
      <c r="AZ347" s="184">
        <v>44224</v>
      </c>
      <c r="BA347" t="s">
        <v>8915</v>
      </c>
      <c r="BB347">
        <v>60</v>
      </c>
      <c r="BC347">
        <v>31</v>
      </c>
      <c r="BD347">
        <v>437</v>
      </c>
      <c r="BE347">
        <v>1987</v>
      </c>
      <c r="BF347">
        <v>14</v>
      </c>
      <c r="BI347">
        <v>12</v>
      </c>
      <c r="BJ347">
        <v>39</v>
      </c>
      <c r="BK347">
        <v>7</v>
      </c>
    </row>
    <row r="348" spans="1:68">
      <c r="A348">
        <v>1071471</v>
      </c>
      <c r="B348">
        <v>1071471</v>
      </c>
      <c r="C348" t="s">
        <v>7018</v>
      </c>
      <c r="E348" s="184"/>
      <c r="F348" t="s">
        <v>595</v>
      </c>
      <c r="G348" s="184">
        <v>43647</v>
      </c>
      <c r="K348" s="184"/>
      <c r="M348" s="184"/>
      <c r="O348" s="184"/>
      <c r="P348" t="s">
        <v>7045</v>
      </c>
      <c r="Q348" t="s">
        <v>7020</v>
      </c>
      <c r="R348" s="184">
        <v>11672</v>
      </c>
      <c r="S348">
        <v>92</v>
      </c>
      <c r="V348" t="s">
        <v>3400</v>
      </c>
      <c r="W348" t="s">
        <v>7695</v>
      </c>
      <c r="X348" t="s">
        <v>3401</v>
      </c>
      <c r="AF348" t="s">
        <v>8916</v>
      </c>
      <c r="AG348" t="s">
        <v>3400</v>
      </c>
      <c r="AI348" t="s">
        <v>8917</v>
      </c>
      <c r="AM348" t="s">
        <v>8918</v>
      </c>
      <c r="AN348" t="s">
        <v>2240</v>
      </c>
      <c r="AO348" t="s">
        <v>8919</v>
      </c>
      <c r="AP348" t="s">
        <v>7024</v>
      </c>
      <c r="AT348" s="184">
        <v>31852</v>
      </c>
      <c r="AU348" t="s">
        <v>8920</v>
      </c>
      <c r="AV348">
        <v>22</v>
      </c>
      <c r="AW348" s="184">
        <v>42300</v>
      </c>
      <c r="AX348" t="s">
        <v>8921</v>
      </c>
      <c r="AY348">
        <v>25</v>
      </c>
      <c r="AZ348" s="184">
        <v>35822</v>
      </c>
      <c r="BA348" t="s">
        <v>8922</v>
      </c>
      <c r="BB348">
        <v>200</v>
      </c>
      <c r="BC348">
        <v>58</v>
      </c>
      <c r="BD348">
        <v>2217</v>
      </c>
      <c r="BE348">
        <v>1987</v>
      </c>
      <c r="BF348">
        <v>33</v>
      </c>
      <c r="BI348">
        <v>22</v>
      </c>
      <c r="BJ348">
        <v>38</v>
      </c>
      <c r="BK348">
        <v>11</v>
      </c>
    </row>
    <row r="349" spans="1:68">
      <c r="A349">
        <v>1076793</v>
      </c>
      <c r="B349">
        <v>1076793</v>
      </c>
      <c r="C349" t="s">
        <v>7018</v>
      </c>
      <c r="E349" s="184"/>
      <c r="J349" t="s">
        <v>595</v>
      </c>
      <c r="K349" s="184">
        <v>41772</v>
      </c>
      <c r="L349" t="s">
        <v>595</v>
      </c>
      <c r="M349" s="184">
        <v>44246</v>
      </c>
      <c r="O349" s="184"/>
      <c r="P349" t="s">
        <v>7029</v>
      </c>
      <c r="Q349" t="s">
        <v>7160</v>
      </c>
      <c r="R349" s="184">
        <v>19664</v>
      </c>
      <c r="S349">
        <v>70</v>
      </c>
      <c r="U349" t="s">
        <v>7076</v>
      </c>
      <c r="V349" t="s">
        <v>5549</v>
      </c>
      <c r="W349" t="s">
        <v>4139</v>
      </c>
      <c r="X349" t="s">
        <v>5550</v>
      </c>
      <c r="Z349">
        <v>100010849</v>
      </c>
      <c r="AA349" t="s">
        <v>7031</v>
      </c>
      <c r="AB349" t="s">
        <v>5546</v>
      </c>
      <c r="AC349" t="s">
        <v>5546</v>
      </c>
      <c r="AD349" t="s">
        <v>5547</v>
      </c>
      <c r="AF349" t="s">
        <v>8923</v>
      </c>
      <c r="AG349" t="s">
        <v>8924</v>
      </c>
      <c r="AI349" t="s">
        <v>8925</v>
      </c>
      <c r="AM349" t="s">
        <v>5548</v>
      </c>
      <c r="AN349" t="s">
        <v>2176</v>
      </c>
      <c r="AO349" t="s">
        <v>8926</v>
      </c>
      <c r="AP349" t="s">
        <v>7024</v>
      </c>
      <c r="AQ349" t="s">
        <v>8927</v>
      </c>
      <c r="AR349" t="s">
        <v>8928</v>
      </c>
      <c r="AT349" s="184">
        <v>32234</v>
      </c>
      <c r="AU349" t="s">
        <v>7073</v>
      </c>
      <c r="AV349">
        <v>22</v>
      </c>
      <c r="AW349" s="184">
        <v>45407</v>
      </c>
      <c r="AX349" t="s">
        <v>7749</v>
      </c>
      <c r="AY349">
        <v>3048.84</v>
      </c>
      <c r="AZ349" s="184">
        <v>43146</v>
      </c>
      <c r="BA349" t="s">
        <v>8929</v>
      </c>
      <c r="BB349">
        <v>20000</v>
      </c>
      <c r="BC349">
        <v>87</v>
      </c>
      <c r="BD349">
        <v>53886.49</v>
      </c>
      <c r="BE349">
        <v>1988</v>
      </c>
      <c r="BF349">
        <v>49</v>
      </c>
      <c r="BG349">
        <v>2</v>
      </c>
      <c r="BH349">
        <v>6265.98</v>
      </c>
      <c r="BI349">
        <v>32</v>
      </c>
      <c r="BJ349">
        <v>37</v>
      </c>
      <c r="BK349">
        <v>11</v>
      </c>
    </row>
    <row r="350" spans="1:68">
      <c r="A350">
        <v>100010849</v>
      </c>
      <c r="B350">
        <v>1076793</v>
      </c>
      <c r="C350" t="s">
        <v>7018</v>
      </c>
      <c r="E350" s="184"/>
      <c r="K350" s="184"/>
      <c r="L350" t="s">
        <v>595</v>
      </c>
      <c r="M350" s="184">
        <v>44246</v>
      </c>
      <c r="N350" t="s">
        <v>595</v>
      </c>
      <c r="O350" s="184">
        <v>43146</v>
      </c>
      <c r="P350" t="s">
        <v>7029</v>
      </c>
      <c r="Q350" t="s">
        <v>7160</v>
      </c>
      <c r="R350" s="184">
        <v>18629</v>
      </c>
      <c r="S350">
        <v>73</v>
      </c>
      <c r="U350" t="s">
        <v>7031</v>
      </c>
      <c r="V350" t="s">
        <v>5546</v>
      </c>
      <c r="W350" t="s">
        <v>5546</v>
      </c>
      <c r="X350" t="s">
        <v>5547</v>
      </c>
      <c r="Z350">
        <v>1076793</v>
      </c>
      <c r="AA350" t="s">
        <v>7076</v>
      </c>
      <c r="AB350" t="s">
        <v>5549</v>
      </c>
      <c r="AC350" t="s">
        <v>4139</v>
      </c>
      <c r="AD350" t="s">
        <v>5550</v>
      </c>
      <c r="AF350" t="s">
        <v>8923</v>
      </c>
      <c r="AG350" t="s">
        <v>8924</v>
      </c>
      <c r="AI350" t="s">
        <v>8925</v>
      </c>
      <c r="AM350" t="s">
        <v>5548</v>
      </c>
      <c r="AN350" t="s">
        <v>2176</v>
      </c>
      <c r="AO350" t="s">
        <v>8926</v>
      </c>
      <c r="AP350" t="s">
        <v>7024</v>
      </c>
      <c r="AQ350" t="s">
        <v>8930</v>
      </c>
      <c r="AR350" t="s">
        <v>8931</v>
      </c>
      <c r="AT350" s="184"/>
      <c r="AW350" s="184"/>
      <c r="AZ350" s="184"/>
    </row>
    <row r="351" spans="1:68">
      <c r="A351">
        <v>1078971</v>
      </c>
      <c r="B351">
        <v>1078971</v>
      </c>
      <c r="C351" t="s">
        <v>7018</v>
      </c>
      <c r="E351" s="184"/>
      <c r="K351" s="184"/>
      <c r="M351" s="184"/>
      <c r="N351" t="s">
        <v>595</v>
      </c>
      <c r="O351" s="184">
        <v>43182</v>
      </c>
      <c r="P351" t="s">
        <v>7045</v>
      </c>
      <c r="Q351" t="s">
        <v>7020</v>
      </c>
      <c r="R351" s="184">
        <v>16949</v>
      </c>
      <c r="S351">
        <v>77</v>
      </c>
      <c r="U351" t="s">
        <v>7031</v>
      </c>
      <c r="V351" t="s">
        <v>2541</v>
      </c>
      <c r="W351" t="s">
        <v>7356</v>
      </c>
      <c r="X351" t="s">
        <v>2721</v>
      </c>
      <c r="Y351" t="s">
        <v>7047</v>
      </c>
      <c r="AF351" t="s">
        <v>8932</v>
      </c>
      <c r="AG351" t="s">
        <v>2541</v>
      </c>
      <c r="AI351" t="s">
        <v>8933</v>
      </c>
      <c r="AM351" t="s">
        <v>2722</v>
      </c>
      <c r="AN351" t="s">
        <v>2240</v>
      </c>
      <c r="AO351" t="s">
        <v>8934</v>
      </c>
      <c r="AP351" t="s">
        <v>7024</v>
      </c>
      <c r="AQ351" t="s">
        <v>8935</v>
      </c>
      <c r="AT351" s="184">
        <v>31859</v>
      </c>
      <c r="AU351" t="s">
        <v>8936</v>
      </c>
      <c r="AV351">
        <v>22</v>
      </c>
      <c r="AW351" s="184">
        <v>45398</v>
      </c>
      <c r="AX351" t="s">
        <v>8152</v>
      </c>
      <c r="AY351">
        <v>50000</v>
      </c>
      <c r="AZ351" s="184">
        <v>44244</v>
      </c>
      <c r="BA351" t="s">
        <v>8937</v>
      </c>
      <c r="BB351">
        <v>70000</v>
      </c>
      <c r="BC351">
        <v>100</v>
      </c>
      <c r="BD351">
        <v>330063</v>
      </c>
      <c r="BE351">
        <v>1987</v>
      </c>
      <c r="BF351">
        <v>41</v>
      </c>
      <c r="BG351">
        <v>2</v>
      </c>
      <c r="BH351">
        <v>110000</v>
      </c>
      <c r="BI351">
        <v>38</v>
      </c>
      <c r="BJ351">
        <v>38</v>
      </c>
      <c r="BK351">
        <v>38</v>
      </c>
    </row>
    <row r="352" spans="1:68">
      <c r="A352">
        <v>1082957</v>
      </c>
      <c r="B352">
        <v>1082957</v>
      </c>
      <c r="C352" t="s">
        <v>7018</v>
      </c>
      <c r="D352" t="s">
        <v>595</v>
      </c>
      <c r="E352" s="184">
        <v>44152</v>
      </c>
      <c r="K352" s="184"/>
      <c r="P352" t="s">
        <v>7045</v>
      </c>
      <c r="Q352" t="s">
        <v>7262</v>
      </c>
      <c r="R352" s="184">
        <v>13050</v>
      </c>
      <c r="S352">
        <v>88</v>
      </c>
      <c r="U352" t="s">
        <v>7076</v>
      </c>
      <c r="V352" t="s">
        <v>2848</v>
      </c>
      <c r="W352" t="s">
        <v>7246</v>
      </c>
      <c r="X352" t="s">
        <v>8938</v>
      </c>
      <c r="AF352" t="s">
        <v>8939</v>
      </c>
      <c r="AG352" t="s">
        <v>2848</v>
      </c>
      <c r="AI352" t="s">
        <v>8940</v>
      </c>
      <c r="AM352" t="s">
        <v>4814</v>
      </c>
      <c r="AN352" t="s">
        <v>65</v>
      </c>
      <c r="AO352" t="s">
        <v>8941</v>
      </c>
      <c r="AP352" t="s">
        <v>7024</v>
      </c>
      <c r="AQ352" t="s">
        <v>8942</v>
      </c>
      <c r="AR352" t="s">
        <v>8943</v>
      </c>
      <c r="AT352" s="184">
        <v>31868</v>
      </c>
      <c r="AU352" t="s">
        <v>8944</v>
      </c>
      <c r="AV352">
        <v>22</v>
      </c>
      <c r="AW352" s="184">
        <v>44994</v>
      </c>
      <c r="AX352" t="s">
        <v>8945</v>
      </c>
      <c r="AY352">
        <v>35</v>
      </c>
      <c r="AZ352" s="184">
        <v>44994</v>
      </c>
      <c r="BA352" t="s">
        <v>8945</v>
      </c>
      <c r="BB352">
        <v>35</v>
      </c>
      <c r="BC352">
        <v>77</v>
      </c>
      <c r="BD352">
        <v>829</v>
      </c>
      <c r="BE352">
        <v>1987</v>
      </c>
      <c r="BF352">
        <v>32</v>
      </c>
      <c r="BG352">
        <v>1</v>
      </c>
      <c r="BH352">
        <v>35</v>
      </c>
      <c r="BI352">
        <v>29</v>
      </c>
      <c r="BJ352">
        <v>38</v>
      </c>
      <c r="BK352">
        <v>11</v>
      </c>
      <c r="BN352" t="s">
        <v>595</v>
      </c>
    </row>
    <row r="353" spans="1:67">
      <c r="A353">
        <v>1104967</v>
      </c>
      <c r="B353">
        <v>1104967</v>
      </c>
      <c r="C353" t="s">
        <v>7018</v>
      </c>
      <c r="D353" t="s">
        <v>595</v>
      </c>
      <c r="E353" s="184">
        <v>43851</v>
      </c>
      <c r="K353" s="184"/>
      <c r="P353" t="s">
        <v>7045</v>
      </c>
      <c r="Q353" t="s">
        <v>7383</v>
      </c>
      <c r="R353" s="184">
        <v>15771</v>
      </c>
      <c r="S353">
        <v>81</v>
      </c>
      <c r="U353" t="s">
        <v>7130</v>
      </c>
      <c r="V353" t="s">
        <v>2985</v>
      </c>
      <c r="W353" t="s">
        <v>3226</v>
      </c>
      <c r="X353" t="s">
        <v>2962</v>
      </c>
      <c r="Z353">
        <v>100010980</v>
      </c>
      <c r="AA353" t="s">
        <v>7031</v>
      </c>
      <c r="AB353" t="s">
        <v>2898</v>
      </c>
      <c r="AC353" t="s">
        <v>5006</v>
      </c>
      <c r="AD353" t="s">
        <v>2962</v>
      </c>
      <c r="AF353" t="s">
        <v>8946</v>
      </c>
      <c r="AG353" t="s">
        <v>8947</v>
      </c>
      <c r="AI353" t="s">
        <v>8948</v>
      </c>
      <c r="AM353" t="s">
        <v>8949</v>
      </c>
      <c r="AN353" t="s">
        <v>2064</v>
      </c>
      <c r="AO353" t="s">
        <v>8950</v>
      </c>
      <c r="AP353" t="s">
        <v>7024</v>
      </c>
      <c r="AQ353" t="s">
        <v>8951</v>
      </c>
      <c r="AR353" t="s">
        <v>8952</v>
      </c>
      <c r="AT353" s="184">
        <v>31884</v>
      </c>
      <c r="AU353" t="s">
        <v>8953</v>
      </c>
      <c r="AV353">
        <v>22</v>
      </c>
      <c r="AW353" s="184">
        <v>45181</v>
      </c>
      <c r="AX353" t="s">
        <v>8954</v>
      </c>
      <c r="AY353">
        <v>100</v>
      </c>
      <c r="AZ353" s="184">
        <v>45181</v>
      </c>
      <c r="BA353" t="s">
        <v>8954</v>
      </c>
      <c r="BB353">
        <v>100</v>
      </c>
      <c r="BC353">
        <v>40</v>
      </c>
      <c r="BD353">
        <v>949</v>
      </c>
      <c r="BE353">
        <v>1987</v>
      </c>
      <c r="BF353">
        <v>16</v>
      </c>
      <c r="BG353">
        <v>2</v>
      </c>
      <c r="BH353">
        <v>200</v>
      </c>
      <c r="BI353">
        <v>15</v>
      </c>
      <c r="BJ353">
        <v>38</v>
      </c>
      <c r="BK353">
        <v>4</v>
      </c>
    </row>
    <row r="354" spans="1:67">
      <c r="A354">
        <v>100010980</v>
      </c>
      <c r="B354">
        <v>1104967</v>
      </c>
      <c r="C354" t="s">
        <v>7018</v>
      </c>
      <c r="D354" t="s">
        <v>595</v>
      </c>
      <c r="E354" s="184">
        <v>43851</v>
      </c>
      <c r="K354" s="184"/>
      <c r="M354" s="184"/>
      <c r="P354" t="s">
        <v>7045</v>
      </c>
      <c r="Q354" t="s">
        <v>7383</v>
      </c>
      <c r="R354" s="184">
        <v>15959</v>
      </c>
      <c r="S354">
        <v>80</v>
      </c>
      <c r="U354" t="s">
        <v>7031</v>
      </c>
      <c r="V354" t="s">
        <v>2898</v>
      </c>
      <c r="W354" t="s">
        <v>5006</v>
      </c>
      <c r="X354" t="s">
        <v>2962</v>
      </c>
      <c r="Z354">
        <v>1104967</v>
      </c>
      <c r="AA354" t="s">
        <v>7130</v>
      </c>
      <c r="AB354" t="s">
        <v>2985</v>
      </c>
      <c r="AC354" t="s">
        <v>3226</v>
      </c>
      <c r="AD354" t="s">
        <v>2962</v>
      </c>
      <c r="AF354" t="s">
        <v>8946</v>
      </c>
      <c r="AG354" t="s">
        <v>8947</v>
      </c>
      <c r="AI354" t="s">
        <v>8948</v>
      </c>
      <c r="AM354" t="s">
        <v>8949</v>
      </c>
      <c r="AN354" t="s">
        <v>2064</v>
      </c>
      <c r="AO354" t="s">
        <v>8950</v>
      </c>
      <c r="AP354" t="s">
        <v>7024</v>
      </c>
      <c r="AQ354" t="s">
        <v>8952</v>
      </c>
      <c r="AT354" s="184"/>
      <c r="AW354" s="184"/>
      <c r="AZ354" s="184"/>
    </row>
    <row r="355" spans="1:67">
      <c r="A355">
        <v>1108729</v>
      </c>
      <c r="B355">
        <v>1108729</v>
      </c>
      <c r="C355" t="s">
        <v>7018</v>
      </c>
      <c r="E355" s="184"/>
      <c r="J355" t="s">
        <v>595</v>
      </c>
      <c r="K355" s="184">
        <v>44167</v>
      </c>
      <c r="M355" s="184"/>
      <c r="P355" t="s">
        <v>7045</v>
      </c>
      <c r="Q355" t="s">
        <v>7374</v>
      </c>
      <c r="R355" s="184">
        <v>13042</v>
      </c>
      <c r="S355">
        <v>88</v>
      </c>
      <c r="V355" t="s">
        <v>3101</v>
      </c>
      <c r="W355" t="s">
        <v>2963</v>
      </c>
      <c r="X355" t="s">
        <v>2784</v>
      </c>
      <c r="AF355" t="s">
        <v>8955</v>
      </c>
      <c r="AG355" t="s">
        <v>3101</v>
      </c>
      <c r="AI355" t="s">
        <v>8956</v>
      </c>
      <c r="AM355" t="s">
        <v>3109</v>
      </c>
      <c r="AN355" t="s">
        <v>2081</v>
      </c>
      <c r="AO355" t="s">
        <v>8957</v>
      </c>
      <c r="AP355" t="s">
        <v>7024</v>
      </c>
      <c r="AQ355" t="s">
        <v>8958</v>
      </c>
      <c r="AT355" s="184">
        <v>31888</v>
      </c>
      <c r="AU355" t="s">
        <v>8959</v>
      </c>
      <c r="AV355">
        <v>22</v>
      </c>
      <c r="AW355" s="184">
        <v>45175</v>
      </c>
      <c r="AX355" t="s">
        <v>8960</v>
      </c>
      <c r="AY355">
        <v>100</v>
      </c>
      <c r="AZ355" s="184">
        <v>39534</v>
      </c>
      <c r="BA355" t="s">
        <v>8961</v>
      </c>
      <c r="BB355">
        <v>125</v>
      </c>
      <c r="BC355">
        <v>93</v>
      </c>
      <c r="BD355">
        <v>2112</v>
      </c>
      <c r="BE355">
        <v>1987</v>
      </c>
      <c r="BF355">
        <v>36</v>
      </c>
      <c r="BG355">
        <v>2</v>
      </c>
      <c r="BH355">
        <v>200</v>
      </c>
      <c r="BI355">
        <v>35</v>
      </c>
      <c r="BJ355">
        <v>38</v>
      </c>
      <c r="BK355">
        <v>24</v>
      </c>
    </row>
    <row r="356" spans="1:67">
      <c r="A356">
        <v>1109750</v>
      </c>
      <c r="B356">
        <v>1109750</v>
      </c>
      <c r="C356" t="s">
        <v>7018</v>
      </c>
      <c r="D356" t="s">
        <v>595</v>
      </c>
      <c r="E356" s="184">
        <v>44104</v>
      </c>
      <c r="K356" s="184"/>
      <c r="M356" s="184"/>
      <c r="P356" t="s">
        <v>7045</v>
      </c>
      <c r="Q356" t="s">
        <v>7494</v>
      </c>
      <c r="R356" s="184">
        <v>10049</v>
      </c>
      <c r="S356">
        <v>96</v>
      </c>
      <c r="U356" t="s">
        <v>7031</v>
      </c>
      <c r="V356" t="s">
        <v>3411</v>
      </c>
      <c r="X356" t="s">
        <v>8962</v>
      </c>
      <c r="AF356" t="s">
        <v>8963</v>
      </c>
      <c r="AG356" t="s">
        <v>3411</v>
      </c>
      <c r="AI356" t="s">
        <v>8964</v>
      </c>
      <c r="AM356" t="s">
        <v>8965</v>
      </c>
      <c r="AN356" t="s">
        <v>2174</v>
      </c>
      <c r="AO356" t="s">
        <v>8966</v>
      </c>
      <c r="AP356" t="s">
        <v>7024</v>
      </c>
      <c r="AQ356" t="s">
        <v>8967</v>
      </c>
      <c r="AT356" s="184">
        <v>31889</v>
      </c>
      <c r="AU356" t="s">
        <v>8968</v>
      </c>
      <c r="AV356">
        <v>22</v>
      </c>
      <c r="AW356" s="184">
        <v>44818</v>
      </c>
      <c r="AX356" t="s">
        <v>8969</v>
      </c>
      <c r="AY356">
        <v>50</v>
      </c>
      <c r="AZ356" s="184">
        <v>44818</v>
      </c>
      <c r="BA356" t="s">
        <v>8969</v>
      </c>
      <c r="BB356">
        <v>50</v>
      </c>
      <c r="BC356">
        <v>93</v>
      </c>
      <c r="BD356">
        <v>1549</v>
      </c>
      <c r="BE356">
        <v>1987</v>
      </c>
      <c r="BF356">
        <v>43</v>
      </c>
      <c r="BG356">
        <v>1</v>
      </c>
      <c r="BH356">
        <v>50</v>
      </c>
      <c r="BI356">
        <v>35</v>
      </c>
      <c r="BJ356">
        <v>38</v>
      </c>
      <c r="BK356">
        <v>19</v>
      </c>
    </row>
    <row r="357" spans="1:67">
      <c r="A357">
        <v>1115021</v>
      </c>
      <c r="B357">
        <v>1115021</v>
      </c>
      <c r="C357" t="s">
        <v>7018</v>
      </c>
      <c r="E357" s="184"/>
      <c r="G357" s="184"/>
      <c r="J357" t="s">
        <v>595</v>
      </c>
      <c r="K357" s="184">
        <v>43640</v>
      </c>
      <c r="M357" s="184"/>
      <c r="P357" t="s">
        <v>7045</v>
      </c>
      <c r="Q357" t="s">
        <v>7030</v>
      </c>
      <c r="R357" s="184">
        <v>18019</v>
      </c>
      <c r="S357">
        <v>75</v>
      </c>
      <c r="T357" t="s">
        <v>2887</v>
      </c>
      <c r="U357" t="s">
        <v>7076</v>
      </c>
      <c r="V357" t="s">
        <v>8970</v>
      </c>
      <c r="X357" t="s">
        <v>2964</v>
      </c>
      <c r="AF357" t="s">
        <v>8971</v>
      </c>
      <c r="AG357" t="s">
        <v>8972</v>
      </c>
      <c r="AI357" t="s">
        <v>8973</v>
      </c>
      <c r="AJ357" t="s">
        <v>8974</v>
      </c>
      <c r="AM357" t="s">
        <v>3240</v>
      </c>
      <c r="AN357" t="s">
        <v>2094</v>
      </c>
      <c r="AO357">
        <v>81506</v>
      </c>
      <c r="AP357" t="s">
        <v>7024</v>
      </c>
      <c r="AQ357" t="s">
        <v>8975</v>
      </c>
      <c r="AR357" t="s">
        <v>8976</v>
      </c>
      <c r="AT357" s="184">
        <v>31894</v>
      </c>
      <c r="AU357" t="s">
        <v>8968</v>
      </c>
      <c r="AV357">
        <v>25</v>
      </c>
      <c r="AW357" s="184">
        <v>45287</v>
      </c>
      <c r="AX357" t="s">
        <v>8977</v>
      </c>
      <c r="AY357">
        <v>150</v>
      </c>
      <c r="AZ357" s="184">
        <v>45287</v>
      </c>
      <c r="BA357" t="s">
        <v>8977</v>
      </c>
      <c r="BB357">
        <v>150</v>
      </c>
      <c r="BC357">
        <v>82</v>
      </c>
      <c r="BD357">
        <v>2960</v>
      </c>
      <c r="BE357">
        <v>1987</v>
      </c>
      <c r="BF357">
        <v>38</v>
      </c>
      <c r="BG357">
        <v>2</v>
      </c>
      <c r="BH357">
        <v>300</v>
      </c>
      <c r="BI357">
        <v>31</v>
      </c>
      <c r="BJ357">
        <v>38</v>
      </c>
      <c r="BK357">
        <v>11</v>
      </c>
    </row>
    <row r="358" spans="1:67">
      <c r="A358">
        <v>1123462</v>
      </c>
      <c r="B358">
        <v>1123462</v>
      </c>
      <c r="C358" t="s">
        <v>7018</v>
      </c>
      <c r="E358" s="184"/>
      <c r="J358" t="s">
        <v>595</v>
      </c>
      <c r="K358" s="184">
        <v>37165</v>
      </c>
      <c r="M358" s="184"/>
      <c r="P358" t="s">
        <v>7045</v>
      </c>
      <c r="Q358" t="s">
        <v>7383</v>
      </c>
      <c r="R358" s="184">
        <v>14427</v>
      </c>
      <c r="S358">
        <v>84</v>
      </c>
      <c r="U358" t="s">
        <v>7130</v>
      </c>
      <c r="V358" t="s">
        <v>8978</v>
      </c>
      <c r="W358" t="s">
        <v>2049</v>
      </c>
      <c r="X358" t="s">
        <v>8979</v>
      </c>
      <c r="AF358" t="s">
        <v>6074</v>
      </c>
      <c r="AG358" t="s">
        <v>8978</v>
      </c>
      <c r="AI358" t="s">
        <v>8980</v>
      </c>
      <c r="AM358" t="s">
        <v>8981</v>
      </c>
      <c r="AN358" t="s">
        <v>2064</v>
      </c>
      <c r="AO358" t="s">
        <v>8982</v>
      </c>
      <c r="AP358" t="s">
        <v>7024</v>
      </c>
      <c r="AQ358" t="s">
        <v>8983</v>
      </c>
      <c r="AT358" s="184">
        <v>31911</v>
      </c>
      <c r="AU358" t="s">
        <v>8984</v>
      </c>
      <c r="AV358">
        <v>22</v>
      </c>
      <c r="AW358" s="184">
        <v>45411</v>
      </c>
      <c r="AX358" t="s">
        <v>7414</v>
      </c>
      <c r="AY358">
        <v>35</v>
      </c>
      <c r="AZ358" s="184">
        <v>38344</v>
      </c>
      <c r="BA358" t="s">
        <v>8985</v>
      </c>
      <c r="BB358">
        <v>200</v>
      </c>
      <c r="BC358">
        <v>100</v>
      </c>
      <c r="BD358">
        <v>9412</v>
      </c>
      <c r="BE358">
        <v>1987</v>
      </c>
      <c r="BF358">
        <v>311</v>
      </c>
      <c r="BG358">
        <v>24</v>
      </c>
      <c r="BH358">
        <v>840</v>
      </c>
      <c r="BI358">
        <v>38</v>
      </c>
      <c r="BJ358">
        <v>38</v>
      </c>
      <c r="BK358">
        <v>38</v>
      </c>
    </row>
    <row r="359" spans="1:67">
      <c r="A359">
        <v>1125624</v>
      </c>
      <c r="B359">
        <v>1125624</v>
      </c>
      <c r="C359" t="s">
        <v>7018</v>
      </c>
      <c r="D359" t="s">
        <v>595</v>
      </c>
      <c r="E359" s="184">
        <v>44073</v>
      </c>
      <c r="K359" s="184"/>
      <c r="M359" s="184"/>
      <c r="P359" t="s">
        <v>7029</v>
      </c>
      <c r="Q359" t="s">
        <v>7020</v>
      </c>
      <c r="R359" s="184">
        <v>19695</v>
      </c>
      <c r="S359">
        <v>70</v>
      </c>
      <c r="U359" t="s">
        <v>7076</v>
      </c>
      <c r="V359" t="s">
        <v>3232</v>
      </c>
      <c r="W359" t="s">
        <v>3332</v>
      </c>
      <c r="X359" t="s">
        <v>8986</v>
      </c>
      <c r="AF359" t="s">
        <v>8987</v>
      </c>
      <c r="AG359" t="s">
        <v>3232</v>
      </c>
      <c r="AI359" t="s">
        <v>8988</v>
      </c>
      <c r="AM359" t="s">
        <v>8989</v>
      </c>
      <c r="AN359" t="s">
        <v>2129</v>
      </c>
      <c r="AO359" t="s">
        <v>8990</v>
      </c>
      <c r="AP359" t="s">
        <v>7024</v>
      </c>
      <c r="AQ359" t="s">
        <v>8991</v>
      </c>
      <c r="AT359" s="184">
        <v>31918</v>
      </c>
      <c r="AU359" t="s">
        <v>8936</v>
      </c>
      <c r="AV359">
        <v>100</v>
      </c>
      <c r="AW359" s="184">
        <v>45209</v>
      </c>
      <c r="AX359" t="s">
        <v>8992</v>
      </c>
      <c r="AY359">
        <v>500</v>
      </c>
      <c r="AZ359" s="184">
        <v>37266</v>
      </c>
      <c r="BA359" t="s">
        <v>8993</v>
      </c>
      <c r="BB359">
        <v>2000</v>
      </c>
      <c r="BC359">
        <v>35</v>
      </c>
      <c r="BD359">
        <v>11140</v>
      </c>
      <c r="BE359">
        <v>1987</v>
      </c>
      <c r="BF359">
        <v>17</v>
      </c>
      <c r="BG359">
        <v>2</v>
      </c>
      <c r="BH359">
        <v>1500</v>
      </c>
      <c r="BI359">
        <v>13</v>
      </c>
      <c r="BJ359">
        <v>38</v>
      </c>
      <c r="BK359">
        <v>4</v>
      </c>
    </row>
    <row r="360" spans="1:67">
      <c r="A360">
        <v>1130475</v>
      </c>
      <c r="B360">
        <v>1130475</v>
      </c>
      <c r="C360" t="s">
        <v>7018</v>
      </c>
      <c r="D360" t="s">
        <v>595</v>
      </c>
      <c r="E360" s="184">
        <v>44070</v>
      </c>
      <c r="K360" s="184"/>
      <c r="M360" s="184"/>
      <c r="P360" t="s">
        <v>7045</v>
      </c>
      <c r="Q360" t="s">
        <v>7020</v>
      </c>
      <c r="R360" s="184">
        <v>14322</v>
      </c>
      <c r="S360">
        <v>85</v>
      </c>
      <c r="U360" t="s">
        <v>7076</v>
      </c>
      <c r="V360" t="s">
        <v>3101</v>
      </c>
      <c r="X360" t="s">
        <v>8994</v>
      </c>
      <c r="AF360" t="s">
        <v>8995</v>
      </c>
      <c r="AG360" t="s">
        <v>3101</v>
      </c>
      <c r="AI360" t="s">
        <v>8996</v>
      </c>
      <c r="AM360" t="s">
        <v>8997</v>
      </c>
      <c r="AN360" t="s">
        <v>2240</v>
      </c>
      <c r="AO360" t="s">
        <v>8998</v>
      </c>
      <c r="AP360" t="s">
        <v>7024</v>
      </c>
      <c r="AQ360" t="s">
        <v>8999</v>
      </c>
      <c r="AT360" s="184">
        <v>31937</v>
      </c>
      <c r="AU360" t="s">
        <v>9000</v>
      </c>
      <c r="AV360">
        <v>22</v>
      </c>
      <c r="AW360" s="184">
        <v>45209</v>
      </c>
      <c r="AX360" t="s">
        <v>9001</v>
      </c>
      <c r="AY360">
        <v>40</v>
      </c>
      <c r="AZ360" s="184">
        <v>43648</v>
      </c>
      <c r="BA360" t="s">
        <v>9002</v>
      </c>
      <c r="BB360">
        <v>100</v>
      </c>
      <c r="BC360">
        <v>72</v>
      </c>
      <c r="BD360">
        <v>1063</v>
      </c>
      <c r="BE360">
        <v>1987</v>
      </c>
      <c r="BF360">
        <v>37</v>
      </c>
      <c r="BG360">
        <v>2</v>
      </c>
      <c r="BH360">
        <v>65</v>
      </c>
      <c r="BI360">
        <v>27</v>
      </c>
      <c r="BJ360">
        <v>38</v>
      </c>
      <c r="BK360">
        <v>11</v>
      </c>
    </row>
    <row r="361" spans="1:67">
      <c r="A361">
        <v>1132679</v>
      </c>
      <c r="B361">
        <v>1132679</v>
      </c>
      <c r="C361" t="s">
        <v>7018</v>
      </c>
      <c r="E361" s="184"/>
      <c r="G361" s="184"/>
      <c r="J361" t="s">
        <v>595</v>
      </c>
      <c r="K361" s="184">
        <v>38812</v>
      </c>
      <c r="M361" s="184"/>
      <c r="P361" t="s">
        <v>7045</v>
      </c>
      <c r="Q361" t="s">
        <v>7194</v>
      </c>
      <c r="R361" s="184">
        <v>14969</v>
      </c>
      <c r="S361">
        <v>83</v>
      </c>
      <c r="U361" t="s">
        <v>7076</v>
      </c>
      <c r="V361" t="s">
        <v>9003</v>
      </c>
      <c r="X361" t="s">
        <v>9004</v>
      </c>
      <c r="AF361" t="s">
        <v>6383</v>
      </c>
      <c r="AG361" t="s">
        <v>9003</v>
      </c>
      <c r="AI361" t="s">
        <v>9005</v>
      </c>
      <c r="AM361" t="s">
        <v>4187</v>
      </c>
      <c r="AN361" t="s">
        <v>2046</v>
      </c>
      <c r="AO361" t="s">
        <v>9006</v>
      </c>
      <c r="AP361" t="s">
        <v>7024</v>
      </c>
      <c r="AT361" s="184">
        <v>31937</v>
      </c>
      <c r="AU361" t="s">
        <v>9007</v>
      </c>
      <c r="AV361">
        <v>22</v>
      </c>
      <c r="AW361" s="184">
        <v>44970</v>
      </c>
      <c r="AX361" t="s">
        <v>9008</v>
      </c>
      <c r="AY361">
        <v>25</v>
      </c>
      <c r="AZ361" s="184">
        <v>43560</v>
      </c>
      <c r="BA361" t="s">
        <v>9009</v>
      </c>
      <c r="BB361">
        <v>100</v>
      </c>
      <c r="BC361">
        <v>79</v>
      </c>
      <c r="BD361">
        <v>1466</v>
      </c>
      <c r="BE361">
        <v>1987</v>
      </c>
      <c r="BF361">
        <v>60</v>
      </c>
      <c r="BG361">
        <v>3</v>
      </c>
      <c r="BH361">
        <v>75</v>
      </c>
      <c r="BI361">
        <v>30</v>
      </c>
      <c r="BJ361">
        <v>38</v>
      </c>
      <c r="BK361">
        <v>13</v>
      </c>
      <c r="BO361" t="s">
        <v>595</v>
      </c>
    </row>
    <row r="362" spans="1:67">
      <c r="A362">
        <v>1133347</v>
      </c>
      <c r="B362">
        <v>1133347</v>
      </c>
      <c r="C362" t="s">
        <v>7018</v>
      </c>
      <c r="D362" t="s">
        <v>595</v>
      </c>
      <c r="E362" s="184">
        <v>44123</v>
      </c>
      <c r="G362" s="184"/>
      <c r="K362" s="184"/>
      <c r="M362" s="184"/>
      <c r="P362" t="s">
        <v>7045</v>
      </c>
      <c r="Q362" t="s">
        <v>7020</v>
      </c>
      <c r="R362" s="184">
        <v>13976</v>
      </c>
      <c r="S362">
        <v>86</v>
      </c>
      <c r="V362" t="s">
        <v>9010</v>
      </c>
      <c r="W362" t="s">
        <v>3951</v>
      </c>
      <c r="X362" t="s">
        <v>9011</v>
      </c>
      <c r="AF362" t="s">
        <v>9012</v>
      </c>
      <c r="AG362" t="s">
        <v>9010</v>
      </c>
      <c r="AI362" t="s">
        <v>9013</v>
      </c>
      <c r="AM362" t="s">
        <v>9014</v>
      </c>
      <c r="AN362" t="s">
        <v>2255</v>
      </c>
      <c r="AO362" t="s">
        <v>9015</v>
      </c>
      <c r="AP362" t="s">
        <v>7024</v>
      </c>
      <c r="AQ362" t="s">
        <v>9016</v>
      </c>
      <c r="AT362" s="184">
        <v>31937</v>
      </c>
      <c r="AU362" t="s">
        <v>9017</v>
      </c>
      <c r="AV362">
        <v>22</v>
      </c>
      <c r="AW362" s="184">
        <v>45412</v>
      </c>
      <c r="AX362" t="s">
        <v>9018</v>
      </c>
      <c r="AY362">
        <v>35</v>
      </c>
      <c r="AZ362" s="184">
        <v>33571</v>
      </c>
      <c r="BA362" t="s">
        <v>9019</v>
      </c>
      <c r="BB362">
        <v>50</v>
      </c>
      <c r="BC362">
        <v>93</v>
      </c>
      <c r="BD362">
        <v>1254</v>
      </c>
      <c r="BE362">
        <v>1987</v>
      </c>
      <c r="BF362">
        <v>42</v>
      </c>
      <c r="BG362">
        <v>2</v>
      </c>
      <c r="BH362">
        <v>70</v>
      </c>
      <c r="BI362">
        <v>35</v>
      </c>
      <c r="BJ362">
        <v>38</v>
      </c>
      <c r="BK362">
        <v>16</v>
      </c>
    </row>
    <row r="363" spans="1:67">
      <c r="A363">
        <v>1171941</v>
      </c>
      <c r="B363">
        <v>1171941</v>
      </c>
      <c r="C363" t="s">
        <v>7018</v>
      </c>
      <c r="D363" t="s">
        <v>595</v>
      </c>
      <c r="E363" s="184">
        <v>43970</v>
      </c>
      <c r="K363" s="184"/>
      <c r="M363" s="184"/>
      <c r="P363" t="s">
        <v>7045</v>
      </c>
      <c r="Q363" t="s">
        <v>7374</v>
      </c>
      <c r="R363" s="184">
        <v>17644</v>
      </c>
      <c r="S363">
        <v>76</v>
      </c>
      <c r="V363" t="s">
        <v>2898</v>
      </c>
      <c r="W363" t="s">
        <v>7469</v>
      </c>
      <c r="X363" t="s">
        <v>9020</v>
      </c>
      <c r="Z363">
        <v>100011325</v>
      </c>
      <c r="AB363" t="s">
        <v>9021</v>
      </c>
      <c r="AC363" t="s">
        <v>7469</v>
      </c>
      <c r="AD363" t="s">
        <v>9020</v>
      </c>
      <c r="AF363" t="s">
        <v>9022</v>
      </c>
      <c r="AG363" t="s">
        <v>9023</v>
      </c>
      <c r="AI363" t="s">
        <v>9024</v>
      </c>
      <c r="AM363" t="s">
        <v>4709</v>
      </c>
      <c r="AN363" t="s">
        <v>2081</v>
      </c>
      <c r="AO363" t="s">
        <v>9025</v>
      </c>
      <c r="AP363" t="s">
        <v>7024</v>
      </c>
      <c r="AQ363" t="s">
        <v>9026</v>
      </c>
      <c r="AT363" s="184">
        <v>31978</v>
      </c>
      <c r="AU363" t="s">
        <v>9027</v>
      </c>
      <c r="AV363">
        <v>22</v>
      </c>
      <c r="AW363" s="184">
        <v>44560</v>
      </c>
      <c r="AX363" t="s">
        <v>9028</v>
      </c>
      <c r="AY363">
        <v>35</v>
      </c>
      <c r="AZ363" s="184">
        <v>34852</v>
      </c>
      <c r="BA363" t="s">
        <v>9029</v>
      </c>
      <c r="BB363">
        <v>50</v>
      </c>
      <c r="BC363">
        <v>93</v>
      </c>
      <c r="BD363">
        <v>1814</v>
      </c>
      <c r="BE363">
        <v>1988</v>
      </c>
      <c r="BF363">
        <v>72</v>
      </c>
      <c r="BI363">
        <v>35</v>
      </c>
      <c r="BJ363">
        <v>38</v>
      </c>
      <c r="BK363">
        <v>35</v>
      </c>
    </row>
    <row r="364" spans="1:67">
      <c r="A364">
        <v>100011325</v>
      </c>
      <c r="B364">
        <v>1171941</v>
      </c>
      <c r="C364" t="s">
        <v>7018</v>
      </c>
      <c r="D364" t="s">
        <v>595</v>
      </c>
      <c r="E364" s="184">
        <v>43970</v>
      </c>
      <c r="G364" s="184"/>
      <c r="K364" s="184"/>
      <c r="M364" s="184"/>
      <c r="P364" t="s">
        <v>7045</v>
      </c>
      <c r="Q364" t="s">
        <v>7374</v>
      </c>
      <c r="R364" s="184">
        <v>17654</v>
      </c>
      <c r="S364">
        <v>76</v>
      </c>
      <c r="V364" t="s">
        <v>9021</v>
      </c>
      <c r="W364" t="s">
        <v>7469</v>
      </c>
      <c r="X364" t="s">
        <v>9020</v>
      </c>
      <c r="Z364">
        <v>1171941</v>
      </c>
      <c r="AB364" t="s">
        <v>2898</v>
      </c>
      <c r="AC364" t="s">
        <v>7469</v>
      </c>
      <c r="AD364" t="s">
        <v>9020</v>
      </c>
      <c r="AF364" t="s">
        <v>9022</v>
      </c>
      <c r="AG364" t="s">
        <v>9023</v>
      </c>
      <c r="AI364" t="s">
        <v>9024</v>
      </c>
      <c r="AM364" t="s">
        <v>4709</v>
      </c>
      <c r="AN364" t="s">
        <v>2081</v>
      </c>
      <c r="AO364" t="s">
        <v>9025</v>
      </c>
      <c r="AP364" t="s">
        <v>7024</v>
      </c>
      <c r="AQ364" t="s">
        <v>9026</v>
      </c>
      <c r="AT364" s="184">
        <v>44895</v>
      </c>
      <c r="AU364" t="s">
        <v>9030</v>
      </c>
      <c r="AV364">
        <v>35</v>
      </c>
      <c r="AW364" s="184">
        <v>44895</v>
      </c>
      <c r="AX364" t="s">
        <v>9030</v>
      </c>
      <c r="AY364">
        <v>35</v>
      </c>
      <c r="AZ364" s="184">
        <v>44895</v>
      </c>
      <c r="BA364" t="s">
        <v>9030</v>
      </c>
      <c r="BB364">
        <v>35</v>
      </c>
      <c r="BC364">
        <v>34</v>
      </c>
      <c r="BD364">
        <v>35</v>
      </c>
      <c r="BE364">
        <v>2023</v>
      </c>
      <c r="BF364">
        <v>1</v>
      </c>
      <c r="BG364">
        <v>1</v>
      </c>
      <c r="BH364">
        <v>35</v>
      </c>
      <c r="BI364">
        <v>1</v>
      </c>
      <c r="BJ364">
        <v>3</v>
      </c>
      <c r="BK364">
        <v>1</v>
      </c>
    </row>
    <row r="365" spans="1:67">
      <c r="A365">
        <v>1173590</v>
      </c>
      <c r="B365">
        <v>1173590</v>
      </c>
      <c r="C365" t="s">
        <v>7018</v>
      </c>
      <c r="E365" s="184"/>
      <c r="J365" t="s">
        <v>595</v>
      </c>
      <c r="K365" s="184">
        <v>42160</v>
      </c>
      <c r="P365" t="s">
        <v>7029</v>
      </c>
      <c r="Q365" t="s">
        <v>7454</v>
      </c>
      <c r="R365" s="184">
        <v>20114</v>
      </c>
      <c r="S365">
        <v>69</v>
      </c>
      <c r="U365" t="s">
        <v>7076</v>
      </c>
      <c r="V365" t="s">
        <v>9031</v>
      </c>
      <c r="W365" t="s">
        <v>7836</v>
      </c>
      <c r="X365" t="s">
        <v>2977</v>
      </c>
      <c r="AF365" t="s">
        <v>6030</v>
      </c>
      <c r="AG365" t="s">
        <v>9031</v>
      </c>
      <c r="AI365" t="s">
        <v>9032</v>
      </c>
      <c r="AM365" t="s">
        <v>2608</v>
      </c>
      <c r="AN365" t="s">
        <v>2299</v>
      </c>
      <c r="AO365" t="s">
        <v>9033</v>
      </c>
      <c r="AP365" t="s">
        <v>7024</v>
      </c>
      <c r="AQ365" t="s">
        <v>9034</v>
      </c>
      <c r="AT365" s="184">
        <v>31992</v>
      </c>
      <c r="AU365" t="s">
        <v>9035</v>
      </c>
      <c r="AV365">
        <v>22</v>
      </c>
      <c r="AW365" s="184">
        <v>45174</v>
      </c>
      <c r="AX365" t="s">
        <v>9036</v>
      </c>
      <c r="AY365">
        <v>250</v>
      </c>
      <c r="AZ365" s="184">
        <v>45110</v>
      </c>
      <c r="BA365" t="s">
        <v>9037</v>
      </c>
      <c r="BB365">
        <v>1000</v>
      </c>
      <c r="BC365">
        <v>87</v>
      </c>
      <c r="BD365">
        <v>14537</v>
      </c>
      <c r="BE365">
        <v>1988</v>
      </c>
      <c r="BF365">
        <v>77</v>
      </c>
      <c r="BG365">
        <v>4</v>
      </c>
      <c r="BH365">
        <v>2500</v>
      </c>
      <c r="BI365">
        <v>33</v>
      </c>
      <c r="BJ365">
        <v>38</v>
      </c>
      <c r="BK365">
        <v>32</v>
      </c>
    </row>
    <row r="366" spans="1:67">
      <c r="A366">
        <v>1181486</v>
      </c>
      <c r="B366">
        <v>1181486</v>
      </c>
      <c r="C366" t="s">
        <v>7018</v>
      </c>
      <c r="D366" t="s">
        <v>595</v>
      </c>
      <c r="E366" s="184">
        <v>44313</v>
      </c>
      <c r="G366" s="184"/>
      <c r="K366" s="184"/>
      <c r="P366" t="s">
        <v>7045</v>
      </c>
      <c r="Q366" t="s">
        <v>7262</v>
      </c>
      <c r="R366" s="184">
        <v>12128</v>
      </c>
      <c r="S366">
        <v>91</v>
      </c>
      <c r="U366" t="s">
        <v>7130</v>
      </c>
      <c r="V366" t="s">
        <v>3468</v>
      </c>
      <c r="W366" t="s">
        <v>3332</v>
      </c>
      <c r="X366" t="s">
        <v>9038</v>
      </c>
      <c r="AF366" t="s">
        <v>9039</v>
      </c>
      <c r="AG366" t="s">
        <v>3468</v>
      </c>
      <c r="AI366" t="s">
        <v>9040</v>
      </c>
      <c r="AM366" t="s">
        <v>3054</v>
      </c>
      <c r="AN366" t="s">
        <v>65</v>
      </c>
      <c r="AO366" t="s">
        <v>9041</v>
      </c>
      <c r="AP366" t="s">
        <v>7024</v>
      </c>
      <c r="AT366" s="184">
        <v>32003</v>
      </c>
      <c r="AU366" t="s">
        <v>9042</v>
      </c>
      <c r="AV366">
        <v>22</v>
      </c>
      <c r="AW366" s="184">
        <v>39567</v>
      </c>
      <c r="AX366" t="s">
        <v>9043</v>
      </c>
      <c r="AY366">
        <v>10</v>
      </c>
      <c r="AZ366" s="184">
        <v>32142</v>
      </c>
      <c r="BA366" t="s">
        <v>7073</v>
      </c>
      <c r="BB366">
        <v>22</v>
      </c>
      <c r="BC366">
        <v>32</v>
      </c>
      <c r="BD366">
        <v>189</v>
      </c>
      <c r="BE366">
        <v>1988</v>
      </c>
      <c r="BF366">
        <v>15</v>
      </c>
      <c r="BI366">
        <v>12</v>
      </c>
      <c r="BJ366">
        <v>38</v>
      </c>
      <c r="BK366">
        <v>5</v>
      </c>
    </row>
    <row r="367" spans="1:67">
      <c r="A367">
        <v>1181528</v>
      </c>
      <c r="B367">
        <v>1181528</v>
      </c>
      <c r="C367" t="s">
        <v>7018</v>
      </c>
      <c r="D367" t="s">
        <v>595</v>
      </c>
      <c r="E367" s="184">
        <v>44208</v>
      </c>
      <c r="G367" s="184"/>
      <c r="K367" s="184"/>
      <c r="P367" t="s">
        <v>7045</v>
      </c>
      <c r="Q367" t="s">
        <v>7383</v>
      </c>
      <c r="R367" s="184">
        <v>16752</v>
      </c>
      <c r="S367">
        <v>78</v>
      </c>
      <c r="U367" t="s">
        <v>7130</v>
      </c>
      <c r="V367" t="s">
        <v>3101</v>
      </c>
      <c r="W367" t="s">
        <v>4382</v>
      </c>
      <c r="X367" t="s">
        <v>9044</v>
      </c>
      <c r="AF367" t="s">
        <v>9045</v>
      </c>
      <c r="AG367" t="s">
        <v>3101</v>
      </c>
      <c r="AI367" t="s">
        <v>9046</v>
      </c>
      <c r="AM367" t="s">
        <v>3525</v>
      </c>
      <c r="AN367" t="s">
        <v>2072</v>
      </c>
      <c r="AO367" t="s">
        <v>9047</v>
      </c>
      <c r="AP367" t="s">
        <v>7024</v>
      </c>
      <c r="AQ367" t="s">
        <v>9048</v>
      </c>
      <c r="AT367" s="184">
        <v>32003</v>
      </c>
      <c r="AU367" t="s">
        <v>9042</v>
      </c>
      <c r="AV367">
        <v>22</v>
      </c>
      <c r="AW367" s="184">
        <v>45065</v>
      </c>
      <c r="AX367" t="s">
        <v>9049</v>
      </c>
      <c r="AY367">
        <v>150</v>
      </c>
      <c r="AZ367" s="184">
        <v>44209</v>
      </c>
      <c r="BA367" t="s">
        <v>7099</v>
      </c>
      <c r="BB367">
        <v>500</v>
      </c>
      <c r="BC367">
        <v>77</v>
      </c>
      <c r="BD367">
        <v>3577</v>
      </c>
      <c r="BE367">
        <v>1988</v>
      </c>
      <c r="BF367">
        <v>43</v>
      </c>
      <c r="BG367">
        <v>3</v>
      </c>
      <c r="BH367">
        <v>300</v>
      </c>
      <c r="BI367">
        <v>29</v>
      </c>
      <c r="BJ367">
        <v>38</v>
      </c>
      <c r="BK367">
        <v>14</v>
      </c>
      <c r="BN367" t="s">
        <v>595</v>
      </c>
    </row>
    <row r="368" spans="1:67">
      <c r="A368">
        <v>1191469</v>
      </c>
      <c r="B368">
        <v>1191469</v>
      </c>
      <c r="C368" t="s">
        <v>7018</v>
      </c>
      <c r="E368" s="184"/>
      <c r="G368" s="184"/>
      <c r="J368" t="s">
        <v>595</v>
      </c>
      <c r="K368" s="184">
        <v>44073</v>
      </c>
      <c r="M368" s="184"/>
      <c r="P368" t="s">
        <v>7686</v>
      </c>
      <c r="Q368" t="s">
        <v>7030</v>
      </c>
      <c r="R368" s="184">
        <v>18074</v>
      </c>
      <c r="S368">
        <v>74</v>
      </c>
      <c r="U368" t="s">
        <v>7076</v>
      </c>
      <c r="V368" t="s">
        <v>3565</v>
      </c>
      <c r="X368" t="s">
        <v>9050</v>
      </c>
      <c r="AF368" t="s">
        <v>9051</v>
      </c>
      <c r="AG368" t="s">
        <v>3565</v>
      </c>
      <c r="AI368" t="s">
        <v>9052</v>
      </c>
      <c r="AM368" t="s">
        <v>9053</v>
      </c>
      <c r="AN368" t="s">
        <v>2094</v>
      </c>
      <c r="AO368" t="s">
        <v>9054</v>
      </c>
      <c r="AP368" t="s">
        <v>7024</v>
      </c>
      <c r="AQ368" t="s">
        <v>9055</v>
      </c>
      <c r="AT368" s="184">
        <v>32016</v>
      </c>
      <c r="AU368" t="s">
        <v>9056</v>
      </c>
      <c r="AV368">
        <v>22</v>
      </c>
      <c r="AW368" s="184">
        <v>45278</v>
      </c>
      <c r="AX368" t="s">
        <v>7749</v>
      </c>
      <c r="AY368">
        <v>3000</v>
      </c>
      <c r="AZ368" s="184">
        <v>44907</v>
      </c>
      <c r="BA368" t="s">
        <v>9057</v>
      </c>
      <c r="BB368">
        <v>5000</v>
      </c>
      <c r="BC368">
        <v>87</v>
      </c>
      <c r="BD368">
        <v>22462</v>
      </c>
      <c r="BE368">
        <v>1988</v>
      </c>
      <c r="BF368">
        <v>38</v>
      </c>
      <c r="BG368">
        <v>2</v>
      </c>
      <c r="BH368">
        <v>8000</v>
      </c>
      <c r="BI368">
        <v>33</v>
      </c>
      <c r="BJ368">
        <v>38</v>
      </c>
      <c r="BK368">
        <v>31</v>
      </c>
    </row>
    <row r="369" spans="1:68">
      <c r="A369">
        <v>1204767</v>
      </c>
      <c r="B369">
        <v>1204767</v>
      </c>
      <c r="C369" t="s">
        <v>7018</v>
      </c>
      <c r="D369" t="s">
        <v>595</v>
      </c>
      <c r="E369" s="184">
        <v>44046</v>
      </c>
      <c r="G369" s="184"/>
      <c r="K369" s="184"/>
      <c r="M369" s="184"/>
      <c r="P369" t="s">
        <v>7029</v>
      </c>
      <c r="Q369" t="s">
        <v>7262</v>
      </c>
      <c r="R369" s="184">
        <v>16104</v>
      </c>
      <c r="S369">
        <v>80</v>
      </c>
      <c r="U369" t="s">
        <v>7031</v>
      </c>
      <c r="V369" t="s">
        <v>4378</v>
      </c>
      <c r="X369" t="s">
        <v>9058</v>
      </c>
      <c r="Z369">
        <v>100011468</v>
      </c>
      <c r="AA369" t="s">
        <v>7130</v>
      </c>
      <c r="AB369" t="s">
        <v>9059</v>
      </c>
      <c r="AD369" t="s">
        <v>9058</v>
      </c>
      <c r="AF369" t="s">
        <v>9060</v>
      </c>
      <c r="AG369" t="s">
        <v>9061</v>
      </c>
      <c r="AI369" t="s">
        <v>9062</v>
      </c>
      <c r="AM369" t="s">
        <v>9063</v>
      </c>
      <c r="AN369" t="s">
        <v>2106</v>
      </c>
      <c r="AO369" t="s">
        <v>9064</v>
      </c>
      <c r="AP369" t="s">
        <v>7024</v>
      </c>
      <c r="AQ369" t="s">
        <v>9065</v>
      </c>
      <c r="AR369" t="s">
        <v>9066</v>
      </c>
      <c r="AT369" s="184">
        <v>32037</v>
      </c>
      <c r="AU369" t="s">
        <v>9042</v>
      </c>
      <c r="AV369">
        <v>22</v>
      </c>
      <c r="AW369" s="184">
        <v>45061</v>
      </c>
      <c r="AX369" t="s">
        <v>9057</v>
      </c>
      <c r="AY369">
        <v>1000</v>
      </c>
      <c r="AZ369" s="184">
        <v>39024</v>
      </c>
      <c r="BA369" t="s">
        <v>9067</v>
      </c>
      <c r="BB369">
        <v>4604</v>
      </c>
      <c r="BC369">
        <v>93</v>
      </c>
      <c r="BD369">
        <v>67650.44</v>
      </c>
      <c r="BE369">
        <v>1988</v>
      </c>
      <c r="BF369">
        <v>55</v>
      </c>
      <c r="BG369">
        <v>2</v>
      </c>
      <c r="BH369">
        <v>2000</v>
      </c>
      <c r="BI369">
        <v>35</v>
      </c>
      <c r="BJ369">
        <v>38</v>
      </c>
      <c r="BK369">
        <v>19</v>
      </c>
      <c r="BN369" t="s">
        <v>595</v>
      </c>
    </row>
    <row r="370" spans="1:68">
      <c r="A370">
        <v>100011468</v>
      </c>
      <c r="B370">
        <v>1204767</v>
      </c>
      <c r="C370" t="s">
        <v>7018</v>
      </c>
      <c r="D370" t="s">
        <v>595</v>
      </c>
      <c r="E370" s="184">
        <v>44046</v>
      </c>
      <c r="K370" s="184"/>
      <c r="M370" s="184"/>
      <c r="P370" t="s">
        <v>7029</v>
      </c>
      <c r="Q370" t="s">
        <v>7262</v>
      </c>
      <c r="R370" s="184">
        <v>17746</v>
      </c>
      <c r="S370">
        <v>75</v>
      </c>
      <c r="U370" t="s">
        <v>7130</v>
      </c>
      <c r="V370" t="s">
        <v>9059</v>
      </c>
      <c r="X370" t="s">
        <v>9058</v>
      </c>
      <c r="Z370">
        <v>1204767</v>
      </c>
      <c r="AA370" t="s">
        <v>7031</v>
      </c>
      <c r="AB370" t="s">
        <v>4378</v>
      </c>
      <c r="AD370" t="s">
        <v>9058</v>
      </c>
      <c r="AF370" t="s">
        <v>9060</v>
      </c>
      <c r="AG370" t="s">
        <v>9061</v>
      </c>
      <c r="AI370" t="s">
        <v>9062</v>
      </c>
      <c r="AM370" t="s">
        <v>9063</v>
      </c>
      <c r="AN370" t="s">
        <v>2106</v>
      </c>
      <c r="AO370" t="s">
        <v>9064</v>
      </c>
      <c r="AP370" t="s">
        <v>7024</v>
      </c>
      <c r="AT370" s="184"/>
      <c r="AW370" s="184"/>
      <c r="AZ370" s="184"/>
    </row>
    <row r="371" spans="1:68">
      <c r="A371">
        <v>1210269</v>
      </c>
      <c r="B371">
        <v>1210269</v>
      </c>
      <c r="C371" t="s">
        <v>7018</v>
      </c>
      <c r="E371" s="184"/>
      <c r="G371" s="184"/>
      <c r="J371" t="s">
        <v>595</v>
      </c>
      <c r="K371" s="184">
        <v>39125</v>
      </c>
      <c r="M371" s="184"/>
      <c r="P371" t="s">
        <v>7084</v>
      </c>
      <c r="Q371" t="s">
        <v>7160</v>
      </c>
      <c r="R371" s="184">
        <v>16546</v>
      </c>
      <c r="S371">
        <v>79</v>
      </c>
      <c r="U371" t="s">
        <v>7031</v>
      </c>
      <c r="V371" t="s">
        <v>2511</v>
      </c>
      <c r="W371" t="s">
        <v>7107</v>
      </c>
      <c r="X371" t="s">
        <v>5806</v>
      </c>
      <c r="AF371" t="s">
        <v>9068</v>
      </c>
      <c r="AG371" t="s">
        <v>2511</v>
      </c>
      <c r="AI371" t="s">
        <v>9069</v>
      </c>
      <c r="AM371" t="s">
        <v>5807</v>
      </c>
      <c r="AN371" t="s">
        <v>2176</v>
      </c>
      <c r="AO371" t="s">
        <v>9070</v>
      </c>
      <c r="AP371" t="s">
        <v>7024</v>
      </c>
      <c r="AT371" s="184">
        <v>32057</v>
      </c>
      <c r="AU371" t="s">
        <v>9071</v>
      </c>
      <c r="AV371">
        <v>22</v>
      </c>
      <c r="AW371" s="184">
        <v>45397</v>
      </c>
      <c r="AX371" t="s">
        <v>7296</v>
      </c>
      <c r="AY371">
        <v>137125.76999999999</v>
      </c>
      <c r="AZ371" s="184">
        <v>45397</v>
      </c>
      <c r="BA371" t="s">
        <v>7296</v>
      </c>
      <c r="BB371">
        <v>137125.76999999999</v>
      </c>
      <c r="BC371">
        <v>82</v>
      </c>
      <c r="BD371">
        <v>157036.87</v>
      </c>
      <c r="BE371">
        <v>1988</v>
      </c>
      <c r="BF371">
        <v>76</v>
      </c>
      <c r="BG371">
        <v>1</v>
      </c>
      <c r="BH371">
        <v>137125.76999999999</v>
      </c>
      <c r="BI371">
        <v>31</v>
      </c>
      <c r="BJ371">
        <v>38</v>
      </c>
      <c r="BK371">
        <v>30</v>
      </c>
      <c r="BO371" t="s">
        <v>595</v>
      </c>
      <c r="BP371" s="184">
        <v>45292</v>
      </c>
    </row>
    <row r="372" spans="1:68">
      <c r="A372">
        <v>1218064</v>
      </c>
      <c r="B372">
        <v>1218064</v>
      </c>
      <c r="C372" t="s">
        <v>7018</v>
      </c>
      <c r="D372" t="s">
        <v>595</v>
      </c>
      <c r="E372" s="184">
        <v>44073</v>
      </c>
      <c r="K372" s="184"/>
      <c r="M372" s="184"/>
      <c r="P372" t="s">
        <v>7045</v>
      </c>
      <c r="Q372" t="s">
        <v>7020</v>
      </c>
      <c r="R372" s="184">
        <v>17040</v>
      </c>
      <c r="S372">
        <v>77</v>
      </c>
      <c r="U372" t="s">
        <v>7076</v>
      </c>
      <c r="V372" t="s">
        <v>3550</v>
      </c>
      <c r="W372" t="s">
        <v>7290</v>
      </c>
      <c r="X372" t="s">
        <v>4122</v>
      </c>
      <c r="AF372" t="s">
        <v>9072</v>
      </c>
      <c r="AG372" t="s">
        <v>3550</v>
      </c>
      <c r="AI372" t="s">
        <v>9073</v>
      </c>
      <c r="AM372" t="s">
        <v>9074</v>
      </c>
      <c r="AN372" t="s">
        <v>2129</v>
      </c>
      <c r="AO372" t="s">
        <v>9075</v>
      </c>
      <c r="AP372" t="s">
        <v>7024</v>
      </c>
      <c r="AQ372" t="s">
        <v>9076</v>
      </c>
      <c r="AT372" s="184">
        <v>32065</v>
      </c>
      <c r="AU372" t="s">
        <v>8596</v>
      </c>
      <c r="AV372">
        <v>22</v>
      </c>
      <c r="AW372" s="184">
        <v>45212</v>
      </c>
      <c r="AX372" t="s">
        <v>7684</v>
      </c>
      <c r="AY372">
        <v>100</v>
      </c>
      <c r="AZ372" s="184">
        <v>45212</v>
      </c>
      <c r="BA372" t="s">
        <v>7684</v>
      </c>
      <c r="BB372">
        <v>100</v>
      </c>
      <c r="BC372">
        <v>87</v>
      </c>
      <c r="BD372">
        <v>2282</v>
      </c>
      <c r="BE372">
        <v>1988</v>
      </c>
      <c r="BF372">
        <v>63</v>
      </c>
      <c r="BG372">
        <v>5</v>
      </c>
      <c r="BH372">
        <v>300</v>
      </c>
      <c r="BI372">
        <v>33</v>
      </c>
      <c r="BJ372">
        <v>38</v>
      </c>
      <c r="BK372">
        <v>16</v>
      </c>
    </row>
    <row r="373" spans="1:68">
      <c r="A373">
        <v>1218452</v>
      </c>
      <c r="B373">
        <v>1218452</v>
      </c>
      <c r="C373" t="s">
        <v>7018</v>
      </c>
      <c r="D373" t="s">
        <v>595</v>
      </c>
      <c r="E373" s="184">
        <v>43642</v>
      </c>
      <c r="K373" s="184"/>
      <c r="M373" s="184"/>
      <c r="P373" t="s">
        <v>7019</v>
      </c>
      <c r="Q373" t="s">
        <v>7030</v>
      </c>
      <c r="R373" s="184">
        <v>19450</v>
      </c>
      <c r="S373">
        <v>71</v>
      </c>
      <c r="V373" t="s">
        <v>3159</v>
      </c>
      <c r="X373" t="s">
        <v>3160</v>
      </c>
      <c r="AF373" t="s">
        <v>9077</v>
      </c>
      <c r="AG373" t="s">
        <v>3159</v>
      </c>
      <c r="AI373" t="s">
        <v>9078</v>
      </c>
      <c r="AM373" t="s">
        <v>3161</v>
      </c>
      <c r="AN373" t="s">
        <v>2094</v>
      </c>
      <c r="AO373" t="s">
        <v>9079</v>
      </c>
      <c r="AP373" t="s">
        <v>7024</v>
      </c>
      <c r="AT373" s="184">
        <v>32065</v>
      </c>
      <c r="AU373" t="s">
        <v>9080</v>
      </c>
      <c r="AV373">
        <v>22</v>
      </c>
      <c r="AW373" s="184">
        <v>44658</v>
      </c>
      <c r="AX373" t="s">
        <v>9081</v>
      </c>
      <c r="AY373">
        <v>60</v>
      </c>
      <c r="AZ373" s="184">
        <v>41547</v>
      </c>
      <c r="BA373" t="s">
        <v>9082</v>
      </c>
      <c r="BB373">
        <v>65</v>
      </c>
      <c r="BC373">
        <v>58</v>
      </c>
      <c r="BD373">
        <v>817</v>
      </c>
      <c r="BE373">
        <v>1988</v>
      </c>
      <c r="BF373">
        <v>23</v>
      </c>
      <c r="BI373">
        <v>22</v>
      </c>
      <c r="BJ373">
        <v>38</v>
      </c>
      <c r="BK373">
        <v>8</v>
      </c>
    </row>
    <row r="374" spans="1:68">
      <c r="A374">
        <v>1221936</v>
      </c>
      <c r="B374">
        <v>1221936</v>
      </c>
      <c r="C374" t="s">
        <v>7018</v>
      </c>
      <c r="E374" s="184"/>
      <c r="K374" s="184"/>
      <c r="L374" t="s">
        <v>595</v>
      </c>
      <c r="M374" s="184">
        <v>44265</v>
      </c>
      <c r="P374" t="s">
        <v>7045</v>
      </c>
      <c r="Q374" t="s">
        <v>7030</v>
      </c>
      <c r="R374" s="184">
        <v>10197</v>
      </c>
      <c r="S374">
        <v>96</v>
      </c>
      <c r="V374" t="s">
        <v>5600</v>
      </c>
      <c r="X374" t="s">
        <v>9083</v>
      </c>
      <c r="Z374">
        <v>100011552</v>
      </c>
      <c r="AB374" t="s">
        <v>3371</v>
      </c>
      <c r="AD374" t="s">
        <v>9083</v>
      </c>
      <c r="AF374" t="s">
        <v>9084</v>
      </c>
      <c r="AG374" t="s">
        <v>9085</v>
      </c>
      <c r="AI374" t="s">
        <v>9086</v>
      </c>
      <c r="AM374" t="s">
        <v>2564</v>
      </c>
      <c r="AN374" t="s">
        <v>2089</v>
      </c>
      <c r="AO374" t="s">
        <v>9087</v>
      </c>
      <c r="AP374" t="s">
        <v>7024</v>
      </c>
      <c r="AT374" s="184">
        <v>32069</v>
      </c>
      <c r="AU374" t="s">
        <v>9088</v>
      </c>
      <c r="AV374">
        <v>22</v>
      </c>
      <c r="AW374" s="184">
        <v>45201</v>
      </c>
      <c r="AX374" t="s">
        <v>8299</v>
      </c>
      <c r="AY374">
        <v>100</v>
      </c>
      <c r="AZ374" s="184">
        <v>45201</v>
      </c>
      <c r="BA374" t="s">
        <v>8299</v>
      </c>
      <c r="BB374">
        <v>100</v>
      </c>
      <c r="BC374">
        <v>66</v>
      </c>
      <c r="BD374">
        <v>1381.85</v>
      </c>
      <c r="BE374">
        <v>1988</v>
      </c>
      <c r="BF374">
        <v>30</v>
      </c>
      <c r="BG374">
        <v>1</v>
      </c>
      <c r="BH374">
        <v>100</v>
      </c>
      <c r="BI374">
        <v>25</v>
      </c>
      <c r="BJ374">
        <v>38</v>
      </c>
      <c r="BK374">
        <v>8</v>
      </c>
    </row>
    <row r="375" spans="1:68">
      <c r="A375">
        <v>100011552</v>
      </c>
      <c r="B375">
        <v>1221936</v>
      </c>
      <c r="C375" t="s">
        <v>7018</v>
      </c>
      <c r="E375" s="184"/>
      <c r="K375" s="184"/>
      <c r="L375" t="s">
        <v>595</v>
      </c>
      <c r="M375" s="184">
        <v>44265</v>
      </c>
      <c r="P375" t="s">
        <v>7045</v>
      </c>
      <c r="Q375" t="s">
        <v>7030</v>
      </c>
      <c r="R375" s="184"/>
      <c r="V375" t="s">
        <v>3371</v>
      </c>
      <c r="X375" t="s">
        <v>9083</v>
      </c>
      <c r="Z375">
        <v>1221936</v>
      </c>
      <c r="AB375" t="s">
        <v>5600</v>
      </c>
      <c r="AD375" t="s">
        <v>9083</v>
      </c>
      <c r="AF375" t="s">
        <v>9084</v>
      </c>
      <c r="AG375" t="s">
        <v>9085</v>
      </c>
      <c r="AI375" t="s">
        <v>9086</v>
      </c>
      <c r="AM375" t="s">
        <v>2564</v>
      </c>
      <c r="AN375" t="s">
        <v>2089</v>
      </c>
      <c r="AO375" t="s">
        <v>9087</v>
      </c>
      <c r="AP375" t="s">
        <v>7024</v>
      </c>
      <c r="AT375" s="184"/>
      <c r="AW375" s="184"/>
      <c r="AZ375" s="184"/>
    </row>
    <row r="376" spans="1:68">
      <c r="A376">
        <v>1222355</v>
      </c>
      <c r="B376">
        <v>1222355</v>
      </c>
      <c r="C376" t="s">
        <v>7018</v>
      </c>
      <c r="D376" t="s">
        <v>595</v>
      </c>
      <c r="E376" s="184">
        <v>43614</v>
      </c>
      <c r="G376" s="184"/>
      <c r="I376" s="184"/>
      <c r="K376" s="184"/>
      <c r="O376" s="184"/>
      <c r="P376" t="s">
        <v>7045</v>
      </c>
      <c r="Q376" t="s">
        <v>7030</v>
      </c>
      <c r="R376" s="184">
        <v>21002</v>
      </c>
      <c r="S376">
        <v>66</v>
      </c>
      <c r="U376" t="s">
        <v>7031</v>
      </c>
      <c r="V376" t="s">
        <v>2871</v>
      </c>
      <c r="X376" t="s">
        <v>2872</v>
      </c>
      <c r="Z376">
        <v>100011556</v>
      </c>
      <c r="AA376" t="s">
        <v>7130</v>
      </c>
      <c r="AB376" t="s">
        <v>9089</v>
      </c>
      <c r="AD376" t="s">
        <v>2872</v>
      </c>
      <c r="AF376" t="s">
        <v>9090</v>
      </c>
      <c r="AG376" t="s">
        <v>9091</v>
      </c>
      <c r="AI376" t="s">
        <v>9092</v>
      </c>
      <c r="AM376" t="s">
        <v>2873</v>
      </c>
      <c r="AN376" t="s">
        <v>2094</v>
      </c>
      <c r="AO376" t="s">
        <v>9093</v>
      </c>
      <c r="AP376" t="s">
        <v>7024</v>
      </c>
      <c r="AQ376" t="s">
        <v>9094</v>
      </c>
      <c r="AR376" t="s">
        <v>9095</v>
      </c>
      <c r="AT376" s="184">
        <v>32069</v>
      </c>
      <c r="AU376" t="s">
        <v>9096</v>
      </c>
      <c r="AV376">
        <v>22</v>
      </c>
      <c r="AW376" s="184">
        <v>45280</v>
      </c>
      <c r="AX376" t="s">
        <v>9097</v>
      </c>
      <c r="AY376">
        <v>50</v>
      </c>
      <c r="AZ376" s="184">
        <v>45280</v>
      </c>
      <c r="BA376" t="s">
        <v>9097</v>
      </c>
      <c r="BB376">
        <v>50</v>
      </c>
      <c r="BC376">
        <v>95</v>
      </c>
      <c r="BD376">
        <v>1372</v>
      </c>
      <c r="BE376">
        <v>1988</v>
      </c>
      <c r="BF376">
        <v>37</v>
      </c>
      <c r="BG376">
        <v>2</v>
      </c>
      <c r="BH376">
        <v>100</v>
      </c>
      <c r="BI376">
        <v>36</v>
      </c>
      <c r="BJ376">
        <v>38</v>
      </c>
      <c r="BK376">
        <v>35</v>
      </c>
    </row>
    <row r="377" spans="1:68">
      <c r="A377">
        <v>100011556</v>
      </c>
      <c r="B377">
        <v>1222355</v>
      </c>
      <c r="C377" t="s">
        <v>7018</v>
      </c>
      <c r="D377" t="s">
        <v>595</v>
      </c>
      <c r="E377" s="184">
        <v>43614</v>
      </c>
      <c r="G377" s="184"/>
      <c r="I377" s="184"/>
      <c r="K377" s="184"/>
      <c r="O377" s="184"/>
      <c r="P377" t="s">
        <v>7045</v>
      </c>
      <c r="Q377" t="s">
        <v>7030</v>
      </c>
      <c r="R377" s="184">
        <v>22339</v>
      </c>
      <c r="S377">
        <v>63</v>
      </c>
      <c r="U377" t="s">
        <v>7130</v>
      </c>
      <c r="V377" t="s">
        <v>9089</v>
      </c>
      <c r="X377" t="s">
        <v>2872</v>
      </c>
      <c r="Z377">
        <v>1222355</v>
      </c>
      <c r="AA377" t="s">
        <v>7031</v>
      </c>
      <c r="AB377" t="s">
        <v>2871</v>
      </c>
      <c r="AD377" t="s">
        <v>2872</v>
      </c>
      <c r="AF377" t="s">
        <v>9090</v>
      </c>
      <c r="AG377" t="s">
        <v>9091</v>
      </c>
      <c r="AI377" t="s">
        <v>9092</v>
      </c>
      <c r="AM377" t="s">
        <v>2873</v>
      </c>
      <c r="AN377" t="s">
        <v>2094</v>
      </c>
      <c r="AO377" t="s">
        <v>9093</v>
      </c>
      <c r="AP377" t="s">
        <v>7024</v>
      </c>
      <c r="AQ377" t="s">
        <v>9098</v>
      </c>
      <c r="AT377" s="184"/>
      <c r="AW377" s="184"/>
      <c r="AZ377" s="184"/>
    </row>
    <row r="378" spans="1:68">
      <c r="A378">
        <v>1231968</v>
      </c>
      <c r="B378">
        <v>1231968</v>
      </c>
      <c r="C378" t="s">
        <v>7018</v>
      </c>
      <c r="D378" t="s">
        <v>595</v>
      </c>
      <c r="E378" s="184">
        <v>44104</v>
      </c>
      <c r="G378" s="184"/>
      <c r="K378" s="184"/>
      <c r="P378" t="s">
        <v>7029</v>
      </c>
      <c r="Q378" t="s">
        <v>7160</v>
      </c>
      <c r="R378" s="184">
        <v>16388</v>
      </c>
      <c r="S378">
        <v>79</v>
      </c>
      <c r="V378" t="s">
        <v>3317</v>
      </c>
      <c r="W378" t="s">
        <v>3332</v>
      </c>
      <c r="X378" t="s">
        <v>3038</v>
      </c>
      <c r="Z378">
        <v>100984118</v>
      </c>
      <c r="AB378" t="s">
        <v>2851</v>
      </c>
      <c r="AC378" t="s">
        <v>3226</v>
      </c>
      <c r="AD378" t="s">
        <v>3038</v>
      </c>
      <c r="AF378" t="s">
        <v>9099</v>
      </c>
      <c r="AG378" t="s">
        <v>9100</v>
      </c>
      <c r="AI378" t="s">
        <v>9101</v>
      </c>
      <c r="AM378" t="s">
        <v>9102</v>
      </c>
      <c r="AN378" t="s">
        <v>2446</v>
      </c>
      <c r="AO378" t="s">
        <v>9103</v>
      </c>
      <c r="AP378" t="s">
        <v>7024</v>
      </c>
      <c r="AQ378" t="s">
        <v>9104</v>
      </c>
      <c r="AT378" s="184">
        <v>32110</v>
      </c>
      <c r="AU378" t="s">
        <v>9105</v>
      </c>
      <c r="AV378">
        <v>22</v>
      </c>
      <c r="AW378" s="184">
        <v>44846</v>
      </c>
      <c r="AX378" t="s">
        <v>9106</v>
      </c>
      <c r="AY378">
        <v>1000</v>
      </c>
      <c r="AZ378" s="184">
        <v>44846</v>
      </c>
      <c r="BA378" t="s">
        <v>9106</v>
      </c>
      <c r="BB378">
        <v>1000</v>
      </c>
      <c r="BC378">
        <v>93</v>
      </c>
      <c r="BD378">
        <v>15242</v>
      </c>
      <c r="BE378">
        <v>1988</v>
      </c>
      <c r="BF378">
        <v>40</v>
      </c>
      <c r="BG378">
        <v>1</v>
      </c>
      <c r="BH378">
        <v>1000</v>
      </c>
      <c r="BI378">
        <v>35</v>
      </c>
      <c r="BJ378">
        <v>38</v>
      </c>
      <c r="BK378">
        <v>27</v>
      </c>
    </row>
    <row r="379" spans="1:68">
      <c r="A379">
        <v>1232602</v>
      </c>
      <c r="B379">
        <v>1232602</v>
      </c>
      <c r="C379" t="s">
        <v>7018</v>
      </c>
      <c r="E379" s="184"/>
      <c r="G379" s="184"/>
      <c r="J379" t="s">
        <v>595</v>
      </c>
      <c r="K379" s="184">
        <v>37203</v>
      </c>
      <c r="P379" t="s">
        <v>7029</v>
      </c>
      <c r="Q379" t="s">
        <v>7774</v>
      </c>
      <c r="R379" s="184">
        <v>19268</v>
      </c>
      <c r="S379">
        <v>71</v>
      </c>
      <c r="U379" t="s">
        <v>7031</v>
      </c>
      <c r="V379" t="s">
        <v>2863</v>
      </c>
      <c r="X379" t="s">
        <v>5359</v>
      </c>
      <c r="Z379">
        <v>100011624</v>
      </c>
      <c r="AA379" t="s">
        <v>7076</v>
      </c>
      <c r="AB379" t="s">
        <v>5361</v>
      </c>
      <c r="AD379" t="s">
        <v>2657</v>
      </c>
      <c r="AF379" t="s">
        <v>9107</v>
      </c>
      <c r="AG379" t="s">
        <v>9108</v>
      </c>
      <c r="AI379" t="s">
        <v>9109</v>
      </c>
      <c r="AM379" t="s">
        <v>3318</v>
      </c>
      <c r="AN379" t="s">
        <v>2972</v>
      </c>
      <c r="AO379" t="s">
        <v>9110</v>
      </c>
      <c r="AP379" t="s">
        <v>7024</v>
      </c>
      <c r="AQ379" t="s">
        <v>9111</v>
      </c>
      <c r="AR379" t="s">
        <v>9112</v>
      </c>
      <c r="AT379" s="184">
        <v>32083</v>
      </c>
      <c r="AU379" t="s">
        <v>9113</v>
      </c>
      <c r="AV379">
        <v>100</v>
      </c>
      <c r="AW379" s="184">
        <v>43844</v>
      </c>
      <c r="AX379" t="s">
        <v>9114</v>
      </c>
      <c r="AY379">
        <v>1000</v>
      </c>
      <c r="AZ379" s="184">
        <v>42478</v>
      </c>
      <c r="BA379" t="s">
        <v>9115</v>
      </c>
      <c r="BB379">
        <v>40000</v>
      </c>
      <c r="BC379">
        <v>77</v>
      </c>
      <c r="BD379">
        <v>278756.23</v>
      </c>
      <c r="BE379">
        <v>1988</v>
      </c>
      <c r="BF379">
        <v>63</v>
      </c>
      <c r="BI379">
        <v>29</v>
      </c>
      <c r="BJ379">
        <v>38</v>
      </c>
      <c r="BK379">
        <v>14</v>
      </c>
      <c r="BM379" t="s">
        <v>595</v>
      </c>
      <c r="BN379" t="s">
        <v>595</v>
      </c>
    </row>
    <row r="380" spans="1:68">
      <c r="A380">
        <v>100011624</v>
      </c>
      <c r="B380">
        <v>1232602</v>
      </c>
      <c r="C380" t="s">
        <v>7018</v>
      </c>
      <c r="E380" s="184"/>
      <c r="G380" s="184"/>
      <c r="I380" s="184"/>
      <c r="J380" t="s">
        <v>595</v>
      </c>
      <c r="K380" s="184">
        <v>37203</v>
      </c>
      <c r="O380" s="184"/>
      <c r="P380" t="s">
        <v>7029</v>
      </c>
      <c r="Q380" t="s">
        <v>7774</v>
      </c>
      <c r="R380" s="184">
        <v>19633</v>
      </c>
      <c r="S380">
        <v>70</v>
      </c>
      <c r="U380" t="s">
        <v>7076</v>
      </c>
      <c r="V380" t="s">
        <v>5361</v>
      </c>
      <c r="X380" t="s">
        <v>2657</v>
      </c>
      <c r="Z380">
        <v>1232602</v>
      </c>
      <c r="AA380" t="s">
        <v>7031</v>
      </c>
      <c r="AB380" t="s">
        <v>2863</v>
      </c>
      <c r="AD380" t="s">
        <v>5359</v>
      </c>
      <c r="AF380" t="s">
        <v>9107</v>
      </c>
      <c r="AG380" t="s">
        <v>9108</v>
      </c>
      <c r="AI380" t="s">
        <v>9109</v>
      </c>
      <c r="AM380" t="s">
        <v>3318</v>
      </c>
      <c r="AN380" t="s">
        <v>2972</v>
      </c>
      <c r="AO380" t="s">
        <v>9110</v>
      </c>
      <c r="AP380" t="s">
        <v>7024</v>
      </c>
      <c r="AQ380" t="s">
        <v>9116</v>
      </c>
      <c r="AT380" s="184"/>
      <c r="AW380" s="184"/>
      <c r="AZ380" s="184"/>
    </row>
    <row r="381" spans="1:68">
      <c r="A381">
        <v>1232990</v>
      </c>
      <c r="B381">
        <v>1232990</v>
      </c>
      <c r="C381" t="s">
        <v>7018</v>
      </c>
      <c r="D381" t="s">
        <v>595</v>
      </c>
      <c r="E381" s="184">
        <v>45125</v>
      </c>
      <c r="G381" s="184"/>
      <c r="I381" s="184"/>
      <c r="K381" s="184"/>
      <c r="O381" s="184"/>
      <c r="P381" t="s">
        <v>7029</v>
      </c>
      <c r="Q381" t="s">
        <v>7020</v>
      </c>
      <c r="R381" s="184">
        <v>14024</v>
      </c>
      <c r="S381">
        <v>85</v>
      </c>
      <c r="U381" t="s">
        <v>7130</v>
      </c>
      <c r="V381" t="s">
        <v>9117</v>
      </c>
      <c r="W381" t="s">
        <v>7246</v>
      </c>
      <c r="X381" t="s">
        <v>9118</v>
      </c>
      <c r="AF381" t="s">
        <v>9119</v>
      </c>
      <c r="AG381" t="s">
        <v>9117</v>
      </c>
      <c r="AI381" t="s">
        <v>9120</v>
      </c>
      <c r="AM381" t="s">
        <v>3219</v>
      </c>
      <c r="AN381" t="s">
        <v>2129</v>
      </c>
      <c r="AO381" t="s">
        <v>9121</v>
      </c>
      <c r="AP381" t="s">
        <v>7024</v>
      </c>
      <c r="AQ381" t="s">
        <v>9122</v>
      </c>
      <c r="AR381" t="s">
        <v>9123</v>
      </c>
      <c r="AT381" s="184">
        <v>32084</v>
      </c>
      <c r="AU381" t="s">
        <v>9124</v>
      </c>
      <c r="AV381">
        <v>22</v>
      </c>
      <c r="AW381" s="184">
        <v>45212</v>
      </c>
      <c r="AX381" t="s">
        <v>7168</v>
      </c>
      <c r="AY381">
        <v>4500</v>
      </c>
      <c r="AZ381" s="184">
        <v>39062</v>
      </c>
      <c r="BA381" t="s">
        <v>9125</v>
      </c>
      <c r="BB381">
        <v>4816</v>
      </c>
      <c r="BC381">
        <v>95</v>
      </c>
      <c r="BD381">
        <v>85066</v>
      </c>
      <c r="BE381">
        <v>1988</v>
      </c>
      <c r="BF381">
        <v>54</v>
      </c>
      <c r="BG381">
        <v>2</v>
      </c>
      <c r="BH381">
        <v>9000</v>
      </c>
      <c r="BI381">
        <v>36</v>
      </c>
      <c r="BJ381">
        <v>38</v>
      </c>
      <c r="BK381">
        <v>29</v>
      </c>
      <c r="BN381" t="s">
        <v>595</v>
      </c>
    </row>
    <row r="382" spans="1:68">
      <c r="A382">
        <v>1235753</v>
      </c>
      <c r="B382">
        <v>1235753</v>
      </c>
      <c r="C382" t="s">
        <v>7018</v>
      </c>
      <c r="E382" s="184"/>
      <c r="F382" t="s">
        <v>595</v>
      </c>
      <c r="G382" s="184">
        <v>43731</v>
      </c>
      <c r="I382" s="184"/>
      <c r="K382" s="184"/>
      <c r="O382" s="184"/>
      <c r="P382" t="s">
        <v>7029</v>
      </c>
      <c r="Q382" t="s">
        <v>7454</v>
      </c>
      <c r="R382" s="184">
        <v>15235</v>
      </c>
      <c r="S382">
        <v>82</v>
      </c>
      <c r="U382" t="s">
        <v>7076</v>
      </c>
      <c r="V382" t="s">
        <v>3468</v>
      </c>
      <c r="X382" t="s">
        <v>3854</v>
      </c>
      <c r="AF382" t="s">
        <v>9126</v>
      </c>
      <c r="AG382" t="s">
        <v>3468</v>
      </c>
      <c r="AI382" t="s">
        <v>9127</v>
      </c>
      <c r="AM382" t="s">
        <v>3855</v>
      </c>
      <c r="AN382" t="s">
        <v>2055</v>
      </c>
      <c r="AO382" t="s">
        <v>9128</v>
      </c>
      <c r="AP382" t="s">
        <v>7024</v>
      </c>
      <c r="AT382" s="184">
        <v>32083</v>
      </c>
      <c r="AU382" t="s">
        <v>9071</v>
      </c>
      <c r="AV382">
        <v>22</v>
      </c>
      <c r="AW382" s="184">
        <v>44908</v>
      </c>
      <c r="AX382" t="s">
        <v>9129</v>
      </c>
      <c r="AY382">
        <v>1000</v>
      </c>
      <c r="AZ382" s="184">
        <v>44908</v>
      </c>
      <c r="BA382" t="s">
        <v>9129</v>
      </c>
      <c r="BB382">
        <v>1000</v>
      </c>
      <c r="BC382">
        <v>48</v>
      </c>
      <c r="BD382">
        <v>2857</v>
      </c>
      <c r="BE382">
        <v>1988</v>
      </c>
      <c r="BF382">
        <v>19</v>
      </c>
      <c r="BG382">
        <v>1</v>
      </c>
      <c r="BH382">
        <v>1000</v>
      </c>
      <c r="BI382">
        <v>18</v>
      </c>
      <c r="BJ382">
        <v>38</v>
      </c>
      <c r="BK382">
        <v>10</v>
      </c>
    </row>
    <row r="383" spans="1:68">
      <c r="A383">
        <v>1237437</v>
      </c>
      <c r="B383">
        <v>1237437</v>
      </c>
      <c r="C383" t="s">
        <v>7018</v>
      </c>
      <c r="E383" s="184"/>
      <c r="I383" s="184"/>
      <c r="J383" t="s">
        <v>595</v>
      </c>
      <c r="K383" s="184">
        <v>39514</v>
      </c>
      <c r="O383" s="184"/>
      <c r="P383" t="s">
        <v>7045</v>
      </c>
      <c r="Q383" t="s">
        <v>7383</v>
      </c>
      <c r="R383" s="184">
        <v>13037</v>
      </c>
      <c r="S383">
        <v>88</v>
      </c>
      <c r="U383" t="s">
        <v>7032</v>
      </c>
      <c r="V383" t="s">
        <v>3460</v>
      </c>
      <c r="W383" t="s">
        <v>4152</v>
      </c>
      <c r="X383" t="s">
        <v>5886</v>
      </c>
      <c r="Z383">
        <v>100011648</v>
      </c>
      <c r="AA383" t="s">
        <v>7130</v>
      </c>
      <c r="AB383" t="s">
        <v>3220</v>
      </c>
      <c r="AD383" t="s">
        <v>5886</v>
      </c>
      <c r="AF383" t="s">
        <v>9130</v>
      </c>
      <c r="AG383" t="s">
        <v>9131</v>
      </c>
      <c r="AI383" t="s">
        <v>9132</v>
      </c>
      <c r="AM383" t="s">
        <v>5887</v>
      </c>
      <c r="AN383" t="s">
        <v>2313</v>
      </c>
      <c r="AO383" t="s">
        <v>9133</v>
      </c>
      <c r="AP383" t="s">
        <v>7024</v>
      </c>
      <c r="AQ383" t="s">
        <v>9134</v>
      </c>
      <c r="AR383" t="s">
        <v>9135</v>
      </c>
      <c r="AT383" s="184">
        <v>32094</v>
      </c>
      <c r="AU383" t="s">
        <v>9071</v>
      </c>
      <c r="AV383">
        <v>22</v>
      </c>
      <c r="AW383" s="184">
        <v>42114</v>
      </c>
      <c r="AX383" t="s">
        <v>9136</v>
      </c>
      <c r="AY383">
        <v>1000</v>
      </c>
      <c r="AZ383" s="184">
        <v>42114</v>
      </c>
      <c r="BA383" t="s">
        <v>9136</v>
      </c>
      <c r="BB383">
        <v>1000</v>
      </c>
      <c r="BC383">
        <v>64</v>
      </c>
      <c r="BD383">
        <v>15497</v>
      </c>
      <c r="BE383">
        <v>1988</v>
      </c>
      <c r="BF383">
        <v>30</v>
      </c>
      <c r="BI383">
        <v>24</v>
      </c>
      <c r="BJ383">
        <v>38</v>
      </c>
      <c r="BK383">
        <v>18</v>
      </c>
      <c r="BN383" t="s">
        <v>595</v>
      </c>
    </row>
    <row r="384" spans="1:68">
      <c r="A384">
        <v>100011648</v>
      </c>
      <c r="B384">
        <v>1237437</v>
      </c>
      <c r="C384" t="s">
        <v>7018</v>
      </c>
      <c r="E384" s="184"/>
      <c r="I384" s="184"/>
      <c r="J384" t="s">
        <v>595</v>
      </c>
      <c r="K384" s="184">
        <v>39514</v>
      </c>
      <c r="O384" s="184"/>
      <c r="P384" t="s">
        <v>7045</v>
      </c>
      <c r="Q384" t="s">
        <v>7383</v>
      </c>
      <c r="R384" s="184">
        <v>12844</v>
      </c>
      <c r="S384">
        <v>89</v>
      </c>
      <c r="U384" t="s">
        <v>7130</v>
      </c>
      <c r="V384" t="s">
        <v>3220</v>
      </c>
      <c r="X384" t="s">
        <v>5886</v>
      </c>
      <c r="Z384">
        <v>1237437</v>
      </c>
      <c r="AA384" t="s">
        <v>7032</v>
      </c>
      <c r="AB384" t="s">
        <v>3460</v>
      </c>
      <c r="AC384" t="s">
        <v>4152</v>
      </c>
      <c r="AD384" t="s">
        <v>5886</v>
      </c>
      <c r="AF384" t="s">
        <v>9130</v>
      </c>
      <c r="AG384" t="s">
        <v>9131</v>
      </c>
      <c r="AI384" t="s">
        <v>9132</v>
      </c>
      <c r="AM384" t="s">
        <v>5887</v>
      </c>
      <c r="AN384" t="s">
        <v>2313</v>
      </c>
      <c r="AO384" t="s">
        <v>9133</v>
      </c>
      <c r="AP384" t="s">
        <v>7024</v>
      </c>
      <c r="AQ384" t="s">
        <v>9137</v>
      </c>
      <c r="AT384" s="184"/>
      <c r="AW384" s="184"/>
      <c r="AZ384" s="184"/>
    </row>
    <row r="385" spans="1:68">
      <c r="A385">
        <v>1238518</v>
      </c>
      <c r="B385">
        <v>1238518</v>
      </c>
      <c r="C385" t="s">
        <v>7018</v>
      </c>
      <c r="D385" t="s">
        <v>595</v>
      </c>
      <c r="E385" s="184">
        <v>44104</v>
      </c>
      <c r="I385" s="184"/>
      <c r="K385" s="184"/>
      <c r="O385" s="184"/>
      <c r="P385" t="s">
        <v>7045</v>
      </c>
      <c r="Q385" t="s">
        <v>7020</v>
      </c>
      <c r="R385" s="184">
        <v>15766</v>
      </c>
      <c r="S385">
        <v>81</v>
      </c>
      <c r="U385" t="s">
        <v>7237</v>
      </c>
      <c r="V385" t="s">
        <v>5414</v>
      </c>
      <c r="W385" t="s">
        <v>2049</v>
      </c>
      <c r="X385" t="s">
        <v>9138</v>
      </c>
      <c r="AF385" t="s">
        <v>9139</v>
      </c>
      <c r="AG385" t="s">
        <v>5414</v>
      </c>
      <c r="AI385" t="s">
        <v>9140</v>
      </c>
      <c r="AM385" t="s">
        <v>3235</v>
      </c>
      <c r="AN385" t="s">
        <v>2052</v>
      </c>
      <c r="AO385" t="s">
        <v>9141</v>
      </c>
      <c r="AP385" t="s">
        <v>7024</v>
      </c>
      <c r="AQ385" t="s">
        <v>9142</v>
      </c>
      <c r="AR385" t="s">
        <v>9143</v>
      </c>
      <c r="AT385" s="184">
        <v>32099</v>
      </c>
      <c r="AU385" t="s">
        <v>9124</v>
      </c>
      <c r="AV385">
        <v>22</v>
      </c>
      <c r="AW385" s="184">
        <v>45408</v>
      </c>
      <c r="AX385" t="s">
        <v>8483</v>
      </c>
      <c r="AY385">
        <v>15</v>
      </c>
      <c r="AZ385" s="184">
        <v>44033</v>
      </c>
      <c r="BA385" t="s">
        <v>9144</v>
      </c>
      <c r="BB385">
        <v>60</v>
      </c>
      <c r="BC385">
        <v>100</v>
      </c>
      <c r="BD385">
        <v>3532</v>
      </c>
      <c r="BE385">
        <v>1988</v>
      </c>
      <c r="BF385">
        <v>276</v>
      </c>
      <c r="BG385">
        <v>25</v>
      </c>
      <c r="BH385">
        <v>270</v>
      </c>
      <c r="BI385">
        <v>38</v>
      </c>
      <c r="BJ385">
        <v>38</v>
      </c>
      <c r="BK385">
        <v>38</v>
      </c>
      <c r="BP385" s="184"/>
    </row>
    <row r="386" spans="1:68">
      <c r="A386">
        <v>1240647</v>
      </c>
      <c r="B386">
        <v>1240647</v>
      </c>
      <c r="C386" t="s">
        <v>7018</v>
      </c>
      <c r="D386" t="s">
        <v>595</v>
      </c>
      <c r="E386" s="184">
        <v>44313</v>
      </c>
      <c r="I386" s="184"/>
      <c r="K386" s="184"/>
      <c r="M386" s="184"/>
      <c r="O386" s="184"/>
      <c r="P386" t="s">
        <v>7045</v>
      </c>
      <c r="Q386" t="s">
        <v>7383</v>
      </c>
      <c r="R386" s="184">
        <v>20434</v>
      </c>
      <c r="S386">
        <v>68</v>
      </c>
      <c r="U386" t="s">
        <v>7076</v>
      </c>
      <c r="V386" t="s">
        <v>5772</v>
      </c>
      <c r="X386" t="s">
        <v>2977</v>
      </c>
      <c r="AF386" t="s">
        <v>9145</v>
      </c>
      <c r="AG386" t="s">
        <v>5772</v>
      </c>
      <c r="AI386" t="s">
        <v>9146</v>
      </c>
      <c r="AM386" t="s">
        <v>9147</v>
      </c>
      <c r="AN386" t="s">
        <v>2064</v>
      </c>
      <c r="AO386" t="s">
        <v>9148</v>
      </c>
      <c r="AP386" t="s">
        <v>7024</v>
      </c>
      <c r="AQ386" t="s">
        <v>9149</v>
      </c>
      <c r="AT386" s="184">
        <v>32097</v>
      </c>
      <c r="AU386" t="s">
        <v>9150</v>
      </c>
      <c r="AV386">
        <v>22</v>
      </c>
      <c r="AW386" s="184">
        <v>35268</v>
      </c>
      <c r="AX386" t="s">
        <v>9151</v>
      </c>
      <c r="AY386">
        <v>10</v>
      </c>
      <c r="AZ386" s="184">
        <v>34873</v>
      </c>
      <c r="BA386" t="s">
        <v>9152</v>
      </c>
      <c r="BB386">
        <v>40</v>
      </c>
      <c r="BC386">
        <v>24</v>
      </c>
      <c r="BD386">
        <v>272</v>
      </c>
      <c r="BE386">
        <v>1988</v>
      </c>
      <c r="BF386">
        <v>13</v>
      </c>
      <c r="BI386">
        <v>9</v>
      </c>
      <c r="BJ386">
        <v>38</v>
      </c>
      <c r="BK386">
        <v>8</v>
      </c>
    </row>
    <row r="387" spans="1:68">
      <c r="A387">
        <v>1255637</v>
      </c>
      <c r="B387">
        <v>1255637</v>
      </c>
      <c r="C387" t="s">
        <v>7018</v>
      </c>
      <c r="E387" s="184"/>
      <c r="I387" s="184"/>
      <c r="J387" t="s">
        <v>595</v>
      </c>
      <c r="K387" s="184">
        <v>40282</v>
      </c>
      <c r="M387" s="184"/>
      <c r="O387" s="184"/>
      <c r="P387" t="s">
        <v>7045</v>
      </c>
      <c r="Q387" t="s">
        <v>7262</v>
      </c>
      <c r="R387" s="184">
        <v>14195</v>
      </c>
      <c r="S387">
        <v>85</v>
      </c>
      <c r="U387" t="s">
        <v>7130</v>
      </c>
      <c r="V387" t="s">
        <v>3453</v>
      </c>
      <c r="X387" t="s">
        <v>5721</v>
      </c>
      <c r="Z387">
        <v>100011761</v>
      </c>
      <c r="AA387" t="s">
        <v>7031</v>
      </c>
      <c r="AB387" t="s">
        <v>2635</v>
      </c>
      <c r="AD387" t="s">
        <v>5721</v>
      </c>
      <c r="AF387" t="s">
        <v>9153</v>
      </c>
      <c r="AG387" t="s">
        <v>9154</v>
      </c>
      <c r="AI387" t="s">
        <v>9155</v>
      </c>
      <c r="AM387" t="s">
        <v>2679</v>
      </c>
      <c r="AN387" t="s">
        <v>2318</v>
      </c>
      <c r="AO387" t="s">
        <v>9156</v>
      </c>
      <c r="AP387" t="s">
        <v>7024</v>
      </c>
      <c r="AQ387" t="s">
        <v>9157</v>
      </c>
      <c r="AT387" s="184">
        <v>32142</v>
      </c>
      <c r="AU387" t="s">
        <v>9158</v>
      </c>
      <c r="AV387">
        <v>22</v>
      </c>
      <c r="AW387" s="184">
        <v>45275</v>
      </c>
      <c r="AX387" t="s">
        <v>9159</v>
      </c>
      <c r="AY387">
        <v>100</v>
      </c>
      <c r="AZ387" s="184">
        <v>42817</v>
      </c>
      <c r="BA387" t="s">
        <v>9160</v>
      </c>
      <c r="BB387">
        <v>2000</v>
      </c>
      <c r="BC387">
        <v>98</v>
      </c>
      <c r="BD387">
        <v>24547</v>
      </c>
      <c r="BE387">
        <v>1988</v>
      </c>
      <c r="BF387">
        <v>105</v>
      </c>
      <c r="BG387">
        <v>2</v>
      </c>
      <c r="BH387">
        <v>200</v>
      </c>
      <c r="BI387">
        <v>37</v>
      </c>
      <c r="BJ387">
        <v>38</v>
      </c>
      <c r="BK387">
        <v>37</v>
      </c>
    </row>
    <row r="388" spans="1:68">
      <c r="A388">
        <v>100011761</v>
      </c>
      <c r="B388">
        <v>1255637</v>
      </c>
      <c r="C388" t="s">
        <v>7018</v>
      </c>
      <c r="E388" s="184"/>
      <c r="I388" s="184"/>
      <c r="J388" t="s">
        <v>595</v>
      </c>
      <c r="K388" s="184">
        <v>40282</v>
      </c>
      <c r="O388" s="184"/>
      <c r="P388" t="s">
        <v>7045</v>
      </c>
      <c r="Q388" t="s">
        <v>7262</v>
      </c>
      <c r="R388" s="184">
        <v>11602</v>
      </c>
      <c r="S388">
        <v>92</v>
      </c>
      <c r="U388" t="s">
        <v>7031</v>
      </c>
      <c r="V388" t="s">
        <v>2635</v>
      </c>
      <c r="X388" t="s">
        <v>5721</v>
      </c>
      <c r="Z388">
        <v>1255637</v>
      </c>
      <c r="AA388" t="s">
        <v>7130</v>
      </c>
      <c r="AB388" t="s">
        <v>3453</v>
      </c>
      <c r="AD388" t="s">
        <v>5721</v>
      </c>
      <c r="AF388" t="s">
        <v>9153</v>
      </c>
      <c r="AG388" t="s">
        <v>9154</v>
      </c>
      <c r="AI388" t="s">
        <v>9155</v>
      </c>
      <c r="AM388" t="s">
        <v>2679</v>
      </c>
      <c r="AN388" t="s">
        <v>2318</v>
      </c>
      <c r="AO388" t="s">
        <v>9156</v>
      </c>
      <c r="AP388" t="s">
        <v>7024</v>
      </c>
      <c r="AT388" s="184"/>
      <c r="AW388" s="184"/>
      <c r="AZ388" s="184"/>
    </row>
    <row r="389" spans="1:68">
      <c r="A389">
        <v>1256718</v>
      </c>
      <c r="B389">
        <v>1256718</v>
      </c>
      <c r="C389" t="s">
        <v>7018</v>
      </c>
      <c r="D389" t="s">
        <v>595</v>
      </c>
      <c r="E389" s="184">
        <v>44104</v>
      </c>
      <c r="I389" s="184"/>
      <c r="K389" s="184"/>
      <c r="O389" s="184"/>
      <c r="P389" t="s">
        <v>7019</v>
      </c>
      <c r="Q389" t="s">
        <v>7454</v>
      </c>
      <c r="R389" s="184">
        <v>12404</v>
      </c>
      <c r="S389">
        <v>90</v>
      </c>
      <c r="V389" t="s">
        <v>3411</v>
      </c>
      <c r="X389" t="s">
        <v>5008</v>
      </c>
      <c r="Z389">
        <v>100011772</v>
      </c>
      <c r="AB389" t="s">
        <v>9161</v>
      </c>
      <c r="AD389" t="s">
        <v>5008</v>
      </c>
      <c r="AF389" t="s">
        <v>9162</v>
      </c>
      <c r="AG389" t="s">
        <v>9163</v>
      </c>
      <c r="AI389" t="s">
        <v>9164</v>
      </c>
      <c r="AM389" t="s">
        <v>4076</v>
      </c>
      <c r="AN389" t="s">
        <v>2055</v>
      </c>
      <c r="AO389" t="s">
        <v>9165</v>
      </c>
      <c r="AP389" t="s">
        <v>7024</v>
      </c>
      <c r="AT389" s="184">
        <v>32140</v>
      </c>
      <c r="AU389" t="s">
        <v>9166</v>
      </c>
      <c r="AV389">
        <v>22</v>
      </c>
      <c r="AW389" s="184">
        <v>44075</v>
      </c>
      <c r="AX389" t="s">
        <v>9167</v>
      </c>
      <c r="AY389">
        <v>60</v>
      </c>
      <c r="AZ389" s="184">
        <v>34340</v>
      </c>
      <c r="BA389" t="s">
        <v>9168</v>
      </c>
      <c r="BB389">
        <v>75</v>
      </c>
      <c r="BC389">
        <v>66</v>
      </c>
      <c r="BD389">
        <v>1114</v>
      </c>
      <c r="BE389">
        <v>1988</v>
      </c>
      <c r="BF389">
        <v>36</v>
      </c>
      <c r="BI389">
        <v>25</v>
      </c>
      <c r="BJ389">
        <v>38</v>
      </c>
      <c r="BK389">
        <v>9</v>
      </c>
      <c r="BP389" s="184"/>
    </row>
    <row r="390" spans="1:68">
      <c r="A390">
        <v>100011772</v>
      </c>
      <c r="B390">
        <v>1256718</v>
      </c>
      <c r="C390" t="s">
        <v>7018</v>
      </c>
      <c r="D390" t="s">
        <v>595</v>
      </c>
      <c r="E390" s="184">
        <v>44104</v>
      </c>
      <c r="I390" s="184"/>
      <c r="K390" s="184"/>
      <c r="M390" s="184"/>
      <c r="O390" s="184"/>
      <c r="P390" t="s">
        <v>7019</v>
      </c>
      <c r="Q390" t="s">
        <v>7454</v>
      </c>
      <c r="R390" s="184">
        <v>12423</v>
      </c>
      <c r="S390">
        <v>90</v>
      </c>
      <c r="V390" t="s">
        <v>9161</v>
      </c>
      <c r="X390" t="s">
        <v>5008</v>
      </c>
      <c r="Z390">
        <v>1256718</v>
      </c>
      <c r="AB390" t="s">
        <v>3411</v>
      </c>
      <c r="AD390" t="s">
        <v>5008</v>
      </c>
      <c r="AF390" t="s">
        <v>9162</v>
      </c>
      <c r="AG390" t="s">
        <v>9163</v>
      </c>
      <c r="AI390" t="s">
        <v>9164</v>
      </c>
      <c r="AM390" t="s">
        <v>4076</v>
      </c>
      <c r="AN390" t="s">
        <v>2055</v>
      </c>
      <c r="AO390" t="s">
        <v>9165</v>
      </c>
      <c r="AP390" t="s">
        <v>7024</v>
      </c>
      <c r="AT390" s="184"/>
      <c r="AW390" s="184"/>
      <c r="AZ390" s="184"/>
      <c r="BP390" s="184"/>
    </row>
    <row r="391" spans="1:68">
      <c r="A391">
        <v>1259910</v>
      </c>
      <c r="B391">
        <v>1259910</v>
      </c>
      <c r="C391" t="s">
        <v>7018</v>
      </c>
      <c r="D391" t="s">
        <v>595</v>
      </c>
      <c r="E391" s="184">
        <v>44313</v>
      </c>
      <c r="I391" s="184"/>
      <c r="K391" s="184"/>
      <c r="M391" s="184"/>
      <c r="O391" s="184"/>
      <c r="P391" t="s">
        <v>7045</v>
      </c>
      <c r="Q391" t="s">
        <v>7160</v>
      </c>
      <c r="R391" s="184">
        <v>16873</v>
      </c>
      <c r="S391">
        <v>78</v>
      </c>
      <c r="U391" t="s">
        <v>7076</v>
      </c>
      <c r="V391" t="s">
        <v>2742</v>
      </c>
      <c r="W391" t="s">
        <v>4152</v>
      </c>
      <c r="X391" t="s">
        <v>9169</v>
      </c>
      <c r="AF391" t="s">
        <v>9170</v>
      </c>
      <c r="AG391" t="s">
        <v>2742</v>
      </c>
      <c r="AI391" t="s">
        <v>9171</v>
      </c>
      <c r="AM391" t="s">
        <v>4670</v>
      </c>
      <c r="AN391" t="s">
        <v>2203</v>
      </c>
      <c r="AO391" t="s">
        <v>9172</v>
      </c>
      <c r="AP391" t="s">
        <v>7024</v>
      </c>
      <c r="AT391" s="184">
        <v>32142</v>
      </c>
      <c r="AU391" t="s">
        <v>9071</v>
      </c>
      <c r="AV391">
        <v>22</v>
      </c>
      <c r="AW391" s="184">
        <v>45065</v>
      </c>
      <c r="AX391" t="s">
        <v>7701</v>
      </c>
      <c r="AY391">
        <v>50</v>
      </c>
      <c r="AZ391" s="184">
        <v>45065</v>
      </c>
      <c r="BA391" t="s">
        <v>7701</v>
      </c>
      <c r="BB391">
        <v>50</v>
      </c>
      <c r="BC391">
        <v>95</v>
      </c>
      <c r="BD391">
        <v>2492</v>
      </c>
      <c r="BE391">
        <v>1988</v>
      </c>
      <c r="BF391">
        <v>84</v>
      </c>
      <c r="BG391">
        <v>2</v>
      </c>
      <c r="BH391">
        <v>100</v>
      </c>
      <c r="BI391">
        <v>36</v>
      </c>
      <c r="BJ391">
        <v>38</v>
      </c>
      <c r="BK391">
        <v>35</v>
      </c>
    </row>
    <row r="392" spans="1:68">
      <c r="A392">
        <v>1294750</v>
      </c>
      <c r="B392">
        <v>1294750</v>
      </c>
      <c r="C392" t="s">
        <v>7018</v>
      </c>
      <c r="D392" t="s">
        <v>595</v>
      </c>
      <c r="E392" s="184">
        <v>44073</v>
      </c>
      <c r="K392" s="184"/>
      <c r="M392" s="184"/>
      <c r="O392" s="184"/>
      <c r="P392" t="s">
        <v>7019</v>
      </c>
      <c r="Q392" t="s">
        <v>7030</v>
      </c>
      <c r="R392" s="184">
        <v>19633</v>
      </c>
      <c r="S392">
        <v>70</v>
      </c>
      <c r="V392" t="s">
        <v>2979</v>
      </c>
      <c r="X392" t="s">
        <v>9173</v>
      </c>
      <c r="Z392">
        <v>100011881</v>
      </c>
      <c r="AB392" t="s">
        <v>3131</v>
      </c>
      <c r="AD392" t="s">
        <v>9173</v>
      </c>
      <c r="AF392" t="s">
        <v>9174</v>
      </c>
      <c r="AG392" t="s">
        <v>9175</v>
      </c>
      <c r="AI392" t="s">
        <v>9176</v>
      </c>
      <c r="AM392" t="s">
        <v>9177</v>
      </c>
      <c r="AN392" t="s">
        <v>2094</v>
      </c>
      <c r="AO392" t="s">
        <v>9178</v>
      </c>
      <c r="AP392" t="s">
        <v>7024</v>
      </c>
      <c r="AQ392" t="s">
        <v>9179</v>
      </c>
      <c r="AR392" t="s">
        <v>9180</v>
      </c>
      <c r="AT392" s="184">
        <v>32190</v>
      </c>
      <c r="AU392" t="s">
        <v>9181</v>
      </c>
      <c r="AV392">
        <v>22</v>
      </c>
      <c r="AW392" s="184">
        <v>45155</v>
      </c>
      <c r="AX392" t="s">
        <v>9182</v>
      </c>
      <c r="AY392">
        <v>25</v>
      </c>
      <c r="AZ392" s="184">
        <v>44617</v>
      </c>
      <c r="BA392" t="s">
        <v>9183</v>
      </c>
      <c r="BB392">
        <v>87</v>
      </c>
      <c r="BC392">
        <v>68</v>
      </c>
      <c r="BD392">
        <v>1121</v>
      </c>
      <c r="BE392">
        <v>1988</v>
      </c>
      <c r="BF392">
        <v>36</v>
      </c>
      <c r="BG392">
        <v>2</v>
      </c>
      <c r="BH392">
        <v>50</v>
      </c>
      <c r="BI392">
        <v>25</v>
      </c>
      <c r="BJ392">
        <v>37</v>
      </c>
      <c r="BK392">
        <v>6</v>
      </c>
      <c r="BP392" s="184"/>
    </row>
    <row r="393" spans="1:68">
      <c r="A393">
        <v>100011881</v>
      </c>
      <c r="B393">
        <v>1294750</v>
      </c>
      <c r="C393" t="s">
        <v>7018</v>
      </c>
      <c r="D393" t="s">
        <v>595</v>
      </c>
      <c r="E393" s="184">
        <v>44073</v>
      </c>
      <c r="K393" s="184"/>
      <c r="M393" s="184"/>
      <c r="P393" t="s">
        <v>7019</v>
      </c>
      <c r="Q393" t="s">
        <v>7030</v>
      </c>
      <c r="R393" s="184">
        <v>19633</v>
      </c>
      <c r="S393">
        <v>70</v>
      </c>
      <c r="V393" t="s">
        <v>3131</v>
      </c>
      <c r="X393" t="s">
        <v>9173</v>
      </c>
      <c r="Z393">
        <v>1294750</v>
      </c>
      <c r="AB393" t="s">
        <v>2979</v>
      </c>
      <c r="AD393" t="s">
        <v>9173</v>
      </c>
      <c r="AF393" t="s">
        <v>9174</v>
      </c>
      <c r="AG393" t="s">
        <v>9175</v>
      </c>
      <c r="AI393" t="s">
        <v>9176</v>
      </c>
      <c r="AM393" t="s">
        <v>9177</v>
      </c>
      <c r="AN393" t="s">
        <v>2094</v>
      </c>
      <c r="AO393" t="s">
        <v>9178</v>
      </c>
      <c r="AP393" t="s">
        <v>7024</v>
      </c>
      <c r="AT393" s="184"/>
      <c r="AW393" s="184"/>
      <c r="AZ393" s="184"/>
    </row>
    <row r="394" spans="1:68">
      <c r="A394">
        <v>1296177</v>
      </c>
      <c r="B394">
        <v>1296177</v>
      </c>
      <c r="C394" t="s">
        <v>7018</v>
      </c>
      <c r="D394" t="s">
        <v>595</v>
      </c>
      <c r="E394" s="184">
        <v>44073</v>
      </c>
      <c r="K394" s="184"/>
      <c r="M394" s="184"/>
      <c r="O394" s="184"/>
      <c r="P394" t="s">
        <v>7045</v>
      </c>
      <c r="Q394" t="s">
        <v>7383</v>
      </c>
      <c r="R394" s="184">
        <v>18476</v>
      </c>
      <c r="S394">
        <v>73</v>
      </c>
      <c r="V394" t="s">
        <v>2871</v>
      </c>
      <c r="X394" t="s">
        <v>4548</v>
      </c>
      <c r="Z394">
        <v>100011889</v>
      </c>
      <c r="AB394" t="s">
        <v>3148</v>
      </c>
      <c r="AC394" t="s">
        <v>4152</v>
      </c>
      <c r="AD394" t="s">
        <v>9184</v>
      </c>
      <c r="AF394" t="s">
        <v>9185</v>
      </c>
      <c r="AG394" t="s">
        <v>9186</v>
      </c>
      <c r="AI394" t="s">
        <v>9187</v>
      </c>
      <c r="AM394" t="s">
        <v>2888</v>
      </c>
      <c r="AN394" t="s">
        <v>2274</v>
      </c>
      <c r="AO394" t="s">
        <v>9188</v>
      </c>
      <c r="AP394" t="s">
        <v>7024</v>
      </c>
      <c r="AQ394" t="s">
        <v>9189</v>
      </c>
      <c r="AR394" t="s">
        <v>9190</v>
      </c>
      <c r="AT394" s="184">
        <v>32191</v>
      </c>
      <c r="AU394" t="s">
        <v>9191</v>
      </c>
      <c r="AV394">
        <v>22</v>
      </c>
      <c r="AW394" s="184">
        <v>45320</v>
      </c>
      <c r="AX394" t="s">
        <v>9192</v>
      </c>
      <c r="AY394">
        <v>100</v>
      </c>
      <c r="AZ394" s="184">
        <v>45320</v>
      </c>
      <c r="BA394" t="s">
        <v>9192</v>
      </c>
      <c r="BB394">
        <v>100</v>
      </c>
      <c r="BC394">
        <v>98</v>
      </c>
      <c r="BD394">
        <v>2132</v>
      </c>
      <c r="BE394">
        <v>1988</v>
      </c>
      <c r="BF394">
        <v>54</v>
      </c>
      <c r="BG394">
        <v>2</v>
      </c>
      <c r="BH394">
        <v>200</v>
      </c>
      <c r="BI394">
        <v>36</v>
      </c>
      <c r="BJ394">
        <v>37</v>
      </c>
      <c r="BK394">
        <v>32</v>
      </c>
      <c r="BP394" s="184"/>
    </row>
    <row r="395" spans="1:68">
      <c r="A395">
        <v>100011889</v>
      </c>
      <c r="B395">
        <v>1296177</v>
      </c>
      <c r="C395" t="s">
        <v>7018</v>
      </c>
      <c r="D395" t="s">
        <v>595</v>
      </c>
      <c r="E395" s="184">
        <v>44073</v>
      </c>
      <c r="G395" s="184"/>
      <c r="I395" s="184"/>
      <c r="K395" s="184"/>
      <c r="M395" s="184"/>
      <c r="O395" s="184"/>
      <c r="P395" t="s">
        <v>7045</v>
      </c>
      <c r="Q395" t="s">
        <v>7383</v>
      </c>
      <c r="R395" s="184">
        <v>18476</v>
      </c>
      <c r="S395">
        <v>73</v>
      </c>
      <c r="V395" t="s">
        <v>3148</v>
      </c>
      <c r="W395" t="s">
        <v>4152</v>
      </c>
      <c r="X395" t="s">
        <v>9184</v>
      </c>
      <c r="Z395">
        <v>1296177</v>
      </c>
      <c r="AB395" t="s">
        <v>2871</v>
      </c>
      <c r="AD395" t="s">
        <v>4548</v>
      </c>
      <c r="AF395" t="s">
        <v>9185</v>
      </c>
      <c r="AG395" t="s">
        <v>9186</v>
      </c>
      <c r="AI395" t="s">
        <v>9187</v>
      </c>
      <c r="AM395" t="s">
        <v>2888</v>
      </c>
      <c r="AN395" t="s">
        <v>2274</v>
      </c>
      <c r="AO395" t="s">
        <v>9188</v>
      </c>
      <c r="AP395" t="s">
        <v>7024</v>
      </c>
      <c r="AT395" s="184"/>
      <c r="AW395" s="184"/>
      <c r="AZ395" s="184"/>
      <c r="BP395" s="184"/>
    </row>
    <row r="396" spans="1:68">
      <c r="A396">
        <v>1302348</v>
      </c>
      <c r="B396">
        <v>1302348</v>
      </c>
      <c r="C396" t="s">
        <v>7018</v>
      </c>
      <c r="D396" t="s">
        <v>595</v>
      </c>
      <c r="E396" s="184">
        <v>44073</v>
      </c>
      <c r="I396" s="184"/>
      <c r="K396" s="184"/>
      <c r="M396" s="184"/>
      <c r="O396" s="184"/>
      <c r="P396" t="s">
        <v>7045</v>
      </c>
      <c r="Q396" t="s">
        <v>7383</v>
      </c>
      <c r="R396" s="184">
        <v>14824</v>
      </c>
      <c r="S396">
        <v>83</v>
      </c>
      <c r="U396" t="s">
        <v>7032</v>
      </c>
      <c r="V396" t="s">
        <v>9193</v>
      </c>
      <c r="X396" t="s">
        <v>9194</v>
      </c>
      <c r="Z396">
        <v>100011917</v>
      </c>
      <c r="AA396" t="s">
        <v>7031</v>
      </c>
      <c r="AB396" t="s">
        <v>2551</v>
      </c>
      <c r="AD396" t="s">
        <v>9194</v>
      </c>
      <c r="AF396" t="s">
        <v>9195</v>
      </c>
      <c r="AG396" t="s">
        <v>9196</v>
      </c>
      <c r="AI396" t="s">
        <v>9197</v>
      </c>
      <c r="AM396" t="s">
        <v>9198</v>
      </c>
      <c r="AN396" t="s">
        <v>2274</v>
      </c>
      <c r="AO396" t="s">
        <v>9199</v>
      </c>
      <c r="AP396" t="s">
        <v>7024</v>
      </c>
      <c r="AQ396" t="s">
        <v>9200</v>
      </c>
      <c r="AT396" s="184">
        <v>32198</v>
      </c>
      <c r="AU396" t="s">
        <v>9201</v>
      </c>
      <c r="AV396">
        <v>22</v>
      </c>
      <c r="AW396" s="184">
        <v>45289</v>
      </c>
      <c r="AX396" t="s">
        <v>7092</v>
      </c>
      <c r="AY396">
        <v>300</v>
      </c>
      <c r="AZ396" s="184">
        <v>45289</v>
      </c>
      <c r="BA396" t="s">
        <v>7092</v>
      </c>
      <c r="BB396">
        <v>300</v>
      </c>
      <c r="BC396">
        <v>65</v>
      </c>
      <c r="BD396">
        <v>2171</v>
      </c>
      <c r="BE396">
        <v>1988</v>
      </c>
      <c r="BF396">
        <v>28</v>
      </c>
      <c r="BG396">
        <v>2</v>
      </c>
      <c r="BH396">
        <v>550</v>
      </c>
      <c r="BI396">
        <v>24</v>
      </c>
      <c r="BJ396">
        <v>37</v>
      </c>
      <c r="BK396">
        <v>4</v>
      </c>
      <c r="BP396" s="184"/>
    </row>
    <row r="397" spans="1:68">
      <c r="A397">
        <v>100011917</v>
      </c>
      <c r="B397">
        <v>1302348</v>
      </c>
      <c r="C397" t="s">
        <v>7018</v>
      </c>
      <c r="D397" t="s">
        <v>595</v>
      </c>
      <c r="E397" s="184">
        <v>44073</v>
      </c>
      <c r="I397" s="184"/>
      <c r="K397" s="184"/>
      <c r="M397" s="184"/>
      <c r="O397" s="184"/>
      <c r="P397" t="s">
        <v>7045</v>
      </c>
      <c r="Q397" t="s">
        <v>7383</v>
      </c>
      <c r="R397" s="184">
        <v>14052</v>
      </c>
      <c r="S397">
        <v>85</v>
      </c>
      <c r="U397" t="s">
        <v>7031</v>
      </c>
      <c r="V397" t="s">
        <v>2551</v>
      </c>
      <c r="X397" t="s">
        <v>9194</v>
      </c>
      <c r="Z397">
        <v>1302348</v>
      </c>
      <c r="AA397" t="s">
        <v>7032</v>
      </c>
      <c r="AB397" t="s">
        <v>9193</v>
      </c>
      <c r="AD397" t="s">
        <v>9194</v>
      </c>
      <c r="AF397" t="s">
        <v>9195</v>
      </c>
      <c r="AG397" t="s">
        <v>9196</v>
      </c>
      <c r="AI397" t="s">
        <v>9197</v>
      </c>
      <c r="AM397" t="s">
        <v>9198</v>
      </c>
      <c r="AN397" t="s">
        <v>2274</v>
      </c>
      <c r="AO397" t="s">
        <v>9199</v>
      </c>
      <c r="AP397" t="s">
        <v>7024</v>
      </c>
      <c r="AQ397" t="s">
        <v>9202</v>
      </c>
      <c r="AT397" s="184">
        <v>43921</v>
      </c>
      <c r="AU397" t="s">
        <v>9203</v>
      </c>
      <c r="AV397">
        <v>50</v>
      </c>
      <c r="AW397" s="184">
        <v>43921</v>
      </c>
      <c r="AX397" t="s">
        <v>9203</v>
      </c>
      <c r="AY397">
        <v>50</v>
      </c>
      <c r="AZ397" s="184">
        <v>43921</v>
      </c>
      <c r="BA397" t="s">
        <v>9203</v>
      </c>
      <c r="BB397">
        <v>50</v>
      </c>
      <c r="BC397">
        <v>20</v>
      </c>
      <c r="BD397">
        <v>50</v>
      </c>
      <c r="BE397">
        <v>2020</v>
      </c>
      <c r="BF397">
        <v>1</v>
      </c>
      <c r="BI397">
        <v>1</v>
      </c>
      <c r="BJ397">
        <v>5</v>
      </c>
      <c r="BK397">
        <v>1</v>
      </c>
      <c r="BP397" s="184"/>
    </row>
    <row r="398" spans="1:68">
      <c r="A398">
        <v>1303460</v>
      </c>
      <c r="B398">
        <v>1303460</v>
      </c>
      <c r="C398" t="s">
        <v>7018</v>
      </c>
      <c r="E398" s="184"/>
      <c r="I398" s="184"/>
      <c r="J398" t="s">
        <v>595</v>
      </c>
      <c r="K398" s="184">
        <v>37882</v>
      </c>
      <c r="M398" s="184"/>
      <c r="O398" s="184"/>
      <c r="P398" t="s">
        <v>7045</v>
      </c>
      <c r="Q398" t="s">
        <v>7030</v>
      </c>
      <c r="R398" s="184">
        <v>18233</v>
      </c>
      <c r="S398">
        <v>74</v>
      </c>
      <c r="U398" t="s">
        <v>7031</v>
      </c>
      <c r="V398" t="s">
        <v>2898</v>
      </c>
      <c r="W398" t="s">
        <v>7469</v>
      </c>
      <c r="X398" t="s">
        <v>9204</v>
      </c>
      <c r="Z398">
        <v>100011923</v>
      </c>
      <c r="AA398" t="s">
        <v>7130</v>
      </c>
      <c r="AB398" t="s">
        <v>3868</v>
      </c>
      <c r="AD398" t="s">
        <v>9204</v>
      </c>
      <c r="AF398" t="s">
        <v>9205</v>
      </c>
      <c r="AG398" t="s">
        <v>9206</v>
      </c>
      <c r="AI398" t="s">
        <v>9207</v>
      </c>
      <c r="AM398" t="s">
        <v>2873</v>
      </c>
      <c r="AN398" t="s">
        <v>2094</v>
      </c>
      <c r="AO398" t="s">
        <v>9208</v>
      </c>
      <c r="AP398" t="s">
        <v>7024</v>
      </c>
      <c r="AQ398" t="s">
        <v>9209</v>
      </c>
      <c r="AR398" t="s">
        <v>9210</v>
      </c>
      <c r="AT398" s="184">
        <v>32195</v>
      </c>
      <c r="AU398" t="s">
        <v>9211</v>
      </c>
      <c r="AV398">
        <v>22</v>
      </c>
      <c r="AW398" s="184">
        <v>45348</v>
      </c>
      <c r="AX398" t="s">
        <v>9212</v>
      </c>
      <c r="AY398">
        <v>30</v>
      </c>
      <c r="AZ398" s="184">
        <v>45334</v>
      </c>
      <c r="BA398" t="s">
        <v>9213</v>
      </c>
      <c r="BB398">
        <v>50</v>
      </c>
      <c r="BC398">
        <v>49</v>
      </c>
      <c r="BD398">
        <v>2307</v>
      </c>
      <c r="BE398">
        <v>1988</v>
      </c>
      <c r="BF398">
        <v>62</v>
      </c>
      <c r="BG398">
        <v>7</v>
      </c>
      <c r="BH398">
        <v>295</v>
      </c>
      <c r="BI398">
        <v>18</v>
      </c>
      <c r="BJ398">
        <v>37</v>
      </c>
      <c r="BK398">
        <v>17</v>
      </c>
    </row>
    <row r="399" spans="1:68">
      <c r="A399">
        <v>100011923</v>
      </c>
      <c r="B399">
        <v>1303460</v>
      </c>
      <c r="C399" t="s">
        <v>7018</v>
      </c>
      <c r="E399" s="184"/>
      <c r="G399" s="184"/>
      <c r="I399" s="184"/>
      <c r="J399" t="s">
        <v>595</v>
      </c>
      <c r="K399" s="184">
        <v>41535</v>
      </c>
      <c r="M399" s="184"/>
      <c r="O399" s="184"/>
      <c r="P399" t="s">
        <v>7045</v>
      </c>
      <c r="Q399" t="s">
        <v>7030</v>
      </c>
      <c r="R399" s="184">
        <v>19998</v>
      </c>
      <c r="S399">
        <v>69</v>
      </c>
      <c r="U399" t="s">
        <v>7130</v>
      </c>
      <c r="V399" t="s">
        <v>3868</v>
      </c>
      <c r="X399" t="s">
        <v>9204</v>
      </c>
      <c r="Z399">
        <v>1303460</v>
      </c>
      <c r="AA399" t="s">
        <v>7031</v>
      </c>
      <c r="AB399" t="s">
        <v>2898</v>
      </c>
      <c r="AC399" t="s">
        <v>7469</v>
      </c>
      <c r="AD399" t="s">
        <v>9204</v>
      </c>
      <c r="AF399" t="s">
        <v>9205</v>
      </c>
      <c r="AG399" t="s">
        <v>9206</v>
      </c>
      <c r="AI399" t="s">
        <v>9207</v>
      </c>
      <c r="AM399" t="s">
        <v>2873</v>
      </c>
      <c r="AN399" t="s">
        <v>2094</v>
      </c>
      <c r="AO399" t="s">
        <v>9208</v>
      </c>
      <c r="AP399" t="s">
        <v>7024</v>
      </c>
      <c r="AT399" s="184"/>
      <c r="AW399" s="184"/>
      <c r="AZ399" s="184"/>
      <c r="BP399" s="184"/>
    </row>
    <row r="400" spans="1:68">
      <c r="A400">
        <v>1308246</v>
      </c>
      <c r="B400">
        <v>1308246</v>
      </c>
      <c r="C400" t="s">
        <v>7018</v>
      </c>
      <c r="E400" s="184"/>
      <c r="G400" s="184"/>
      <c r="I400" s="184"/>
      <c r="J400" t="s">
        <v>595</v>
      </c>
      <c r="K400" s="184">
        <v>37435</v>
      </c>
      <c r="M400" s="184"/>
      <c r="O400" s="184"/>
      <c r="P400" t="s">
        <v>7029</v>
      </c>
      <c r="Q400" t="s">
        <v>7030</v>
      </c>
      <c r="R400" s="184">
        <v>16920</v>
      </c>
      <c r="S400">
        <v>78</v>
      </c>
      <c r="U400" t="s">
        <v>7076</v>
      </c>
      <c r="V400" t="s">
        <v>3785</v>
      </c>
      <c r="X400" t="s">
        <v>3786</v>
      </c>
      <c r="Z400">
        <v>100179489</v>
      </c>
      <c r="AB400" t="s">
        <v>3825</v>
      </c>
      <c r="AD400" t="s">
        <v>9214</v>
      </c>
      <c r="AF400" t="s">
        <v>6067</v>
      </c>
      <c r="AG400" t="s">
        <v>3785</v>
      </c>
      <c r="AI400" t="s">
        <v>9215</v>
      </c>
      <c r="AM400" t="s">
        <v>3787</v>
      </c>
      <c r="AN400" t="s">
        <v>2094</v>
      </c>
      <c r="AO400" t="s">
        <v>9216</v>
      </c>
      <c r="AP400" t="s">
        <v>7024</v>
      </c>
      <c r="AQ400" t="s">
        <v>9217</v>
      </c>
      <c r="AR400" t="s">
        <v>9218</v>
      </c>
      <c r="AT400" s="184">
        <v>32202</v>
      </c>
      <c r="AU400" t="s">
        <v>8936</v>
      </c>
      <c r="AV400">
        <v>50</v>
      </c>
      <c r="AW400" s="184">
        <v>43748</v>
      </c>
      <c r="AX400" t="s">
        <v>9219</v>
      </c>
      <c r="AY400">
        <v>1000</v>
      </c>
      <c r="AZ400" s="184">
        <v>41983</v>
      </c>
      <c r="BA400" t="s">
        <v>9220</v>
      </c>
      <c r="BB400">
        <v>1489.73</v>
      </c>
      <c r="BC400">
        <v>49</v>
      </c>
      <c r="BD400">
        <v>8189.73</v>
      </c>
      <c r="BE400">
        <v>1988</v>
      </c>
      <c r="BF400">
        <v>23</v>
      </c>
      <c r="BI400">
        <v>18</v>
      </c>
      <c r="BJ400">
        <v>37</v>
      </c>
      <c r="BK400">
        <v>9</v>
      </c>
      <c r="BN400" t="s">
        <v>595</v>
      </c>
    </row>
    <row r="401" spans="1:68">
      <c r="A401">
        <v>1319714</v>
      </c>
      <c r="B401">
        <v>1319714</v>
      </c>
      <c r="C401" t="s">
        <v>7018</v>
      </c>
      <c r="E401" s="184"/>
      <c r="H401" t="s">
        <v>595</v>
      </c>
      <c r="I401" s="184">
        <v>44316</v>
      </c>
      <c r="K401" s="184"/>
      <c r="M401" s="184"/>
      <c r="N401" t="s">
        <v>595</v>
      </c>
      <c r="O401" s="184">
        <v>44413</v>
      </c>
      <c r="P401" t="s">
        <v>7045</v>
      </c>
      <c r="Q401" t="s">
        <v>7454</v>
      </c>
      <c r="R401" s="184"/>
      <c r="V401" t="s">
        <v>2979</v>
      </c>
      <c r="W401" t="s">
        <v>7046</v>
      </c>
      <c r="X401" t="s">
        <v>5089</v>
      </c>
      <c r="Z401">
        <v>100642051</v>
      </c>
      <c r="AB401" t="s">
        <v>2903</v>
      </c>
      <c r="AC401" t="s">
        <v>4327</v>
      </c>
      <c r="AD401" t="s">
        <v>5089</v>
      </c>
      <c r="AF401" t="s">
        <v>9221</v>
      </c>
      <c r="AG401" t="s">
        <v>9222</v>
      </c>
      <c r="AI401" t="s">
        <v>9223</v>
      </c>
      <c r="AM401" t="s">
        <v>4085</v>
      </c>
      <c r="AN401" t="s">
        <v>2055</v>
      </c>
      <c r="AO401" t="s">
        <v>9224</v>
      </c>
      <c r="AP401" t="s">
        <v>7024</v>
      </c>
      <c r="AT401" s="184">
        <v>32210</v>
      </c>
      <c r="AU401" t="s">
        <v>9225</v>
      </c>
      <c r="AV401">
        <v>22</v>
      </c>
      <c r="AW401" s="184">
        <v>40193</v>
      </c>
      <c r="AX401" t="s">
        <v>9226</v>
      </c>
      <c r="AY401">
        <v>50</v>
      </c>
      <c r="AZ401" s="184">
        <v>32696</v>
      </c>
      <c r="BA401" t="s">
        <v>9227</v>
      </c>
      <c r="BB401">
        <v>1000</v>
      </c>
      <c r="BC401">
        <v>9</v>
      </c>
      <c r="BD401">
        <v>1072</v>
      </c>
      <c r="BE401">
        <v>1988</v>
      </c>
      <c r="BF401">
        <v>3</v>
      </c>
      <c r="BI401">
        <v>3</v>
      </c>
      <c r="BJ401">
        <v>37</v>
      </c>
      <c r="BK401">
        <v>2</v>
      </c>
    </row>
    <row r="402" spans="1:68">
      <c r="A402">
        <v>100642051</v>
      </c>
      <c r="B402">
        <v>1319714</v>
      </c>
      <c r="C402" t="s">
        <v>7018</v>
      </c>
      <c r="E402" s="184"/>
      <c r="G402" s="184"/>
      <c r="H402" t="s">
        <v>595</v>
      </c>
      <c r="I402" s="184">
        <v>44334</v>
      </c>
      <c r="K402" s="184"/>
      <c r="N402" t="s">
        <v>595</v>
      </c>
      <c r="O402" s="184">
        <v>44413</v>
      </c>
      <c r="P402" t="s">
        <v>7045</v>
      </c>
      <c r="Q402" t="s">
        <v>7454</v>
      </c>
      <c r="R402" s="184">
        <v>15719</v>
      </c>
      <c r="S402">
        <v>81</v>
      </c>
      <c r="V402" t="s">
        <v>2903</v>
      </c>
      <c r="W402" t="s">
        <v>4327</v>
      </c>
      <c r="X402" t="s">
        <v>5089</v>
      </c>
      <c r="Z402">
        <v>1319714</v>
      </c>
      <c r="AB402" t="s">
        <v>2979</v>
      </c>
      <c r="AC402" t="s">
        <v>7046</v>
      </c>
      <c r="AD402" t="s">
        <v>5089</v>
      </c>
      <c r="AF402" t="s">
        <v>9221</v>
      </c>
      <c r="AG402" t="s">
        <v>9222</v>
      </c>
      <c r="AI402" t="s">
        <v>9223</v>
      </c>
      <c r="AM402" t="s">
        <v>4085</v>
      </c>
      <c r="AN402" t="s">
        <v>2055</v>
      </c>
      <c r="AO402" t="s">
        <v>9224</v>
      </c>
      <c r="AP402" t="s">
        <v>7024</v>
      </c>
      <c r="AT402" s="184">
        <v>45394</v>
      </c>
      <c r="AU402" t="s">
        <v>9228</v>
      </c>
      <c r="AV402">
        <v>50</v>
      </c>
      <c r="AW402" s="184">
        <v>45394</v>
      </c>
      <c r="AX402" t="s">
        <v>9228</v>
      </c>
      <c r="AY402">
        <v>50</v>
      </c>
      <c r="AZ402" s="184">
        <v>45394</v>
      </c>
      <c r="BA402" t="s">
        <v>9228</v>
      </c>
      <c r="BB402">
        <v>50</v>
      </c>
      <c r="BC402">
        <v>100</v>
      </c>
      <c r="BD402">
        <v>50</v>
      </c>
      <c r="BE402">
        <v>2024</v>
      </c>
      <c r="BF402">
        <v>1</v>
      </c>
      <c r="BG402">
        <v>1</v>
      </c>
      <c r="BH402">
        <v>50</v>
      </c>
      <c r="BI402">
        <v>1</v>
      </c>
      <c r="BJ402">
        <v>1</v>
      </c>
      <c r="BK402">
        <v>1</v>
      </c>
    </row>
    <row r="403" spans="1:68">
      <c r="A403">
        <v>1332675</v>
      </c>
      <c r="B403">
        <v>1332675</v>
      </c>
      <c r="C403" t="s">
        <v>7018</v>
      </c>
      <c r="D403" t="s">
        <v>595</v>
      </c>
      <c r="E403" s="184">
        <v>44065</v>
      </c>
      <c r="I403" s="184"/>
      <c r="K403" s="184"/>
      <c r="P403" t="s">
        <v>7045</v>
      </c>
      <c r="Q403" t="s">
        <v>7494</v>
      </c>
      <c r="R403" s="184">
        <v>19998</v>
      </c>
      <c r="S403">
        <v>69</v>
      </c>
      <c r="V403" t="s">
        <v>4587</v>
      </c>
      <c r="W403" t="s">
        <v>7560</v>
      </c>
      <c r="X403" t="s">
        <v>9229</v>
      </c>
      <c r="Z403">
        <v>100012060</v>
      </c>
      <c r="AB403" t="s">
        <v>2989</v>
      </c>
      <c r="AC403" t="s">
        <v>7067</v>
      </c>
      <c r="AD403" t="s">
        <v>9229</v>
      </c>
      <c r="AF403" t="s">
        <v>9230</v>
      </c>
      <c r="AG403" t="s">
        <v>9231</v>
      </c>
      <c r="AI403" t="s">
        <v>9232</v>
      </c>
      <c r="AM403" t="s">
        <v>9233</v>
      </c>
      <c r="AN403" t="s">
        <v>2174</v>
      </c>
      <c r="AO403" t="s">
        <v>9234</v>
      </c>
      <c r="AP403" t="s">
        <v>7024</v>
      </c>
      <c r="AQ403" t="s">
        <v>9235</v>
      </c>
      <c r="AR403" t="s">
        <v>9236</v>
      </c>
      <c r="AT403" s="184">
        <v>32237</v>
      </c>
      <c r="AU403" t="s">
        <v>9237</v>
      </c>
      <c r="AV403">
        <v>22</v>
      </c>
      <c r="AW403" s="184">
        <v>43789</v>
      </c>
      <c r="AX403" t="s">
        <v>9238</v>
      </c>
      <c r="AY403">
        <v>25</v>
      </c>
      <c r="AZ403" s="184">
        <v>37771</v>
      </c>
      <c r="BA403" t="s">
        <v>9239</v>
      </c>
      <c r="BB403">
        <v>87</v>
      </c>
      <c r="BC403">
        <v>60</v>
      </c>
      <c r="BD403">
        <v>1052</v>
      </c>
      <c r="BE403">
        <v>1988</v>
      </c>
      <c r="BF403">
        <v>29</v>
      </c>
      <c r="BI403">
        <v>22</v>
      </c>
      <c r="BJ403">
        <v>37</v>
      </c>
      <c r="BK403">
        <v>6</v>
      </c>
      <c r="BL403" t="s">
        <v>595</v>
      </c>
      <c r="BM403" t="s">
        <v>595</v>
      </c>
      <c r="BN403" t="s">
        <v>595</v>
      </c>
    </row>
    <row r="404" spans="1:68">
      <c r="A404">
        <v>100012060</v>
      </c>
      <c r="B404">
        <v>1332675</v>
      </c>
      <c r="C404" t="s">
        <v>7018</v>
      </c>
      <c r="D404" t="s">
        <v>595</v>
      </c>
      <c r="E404" s="184">
        <v>44065</v>
      </c>
      <c r="G404" s="184"/>
      <c r="K404" s="184"/>
      <c r="O404" s="184"/>
      <c r="P404" t="s">
        <v>7045</v>
      </c>
      <c r="Q404" t="s">
        <v>7494</v>
      </c>
      <c r="R404" s="184">
        <v>20515</v>
      </c>
      <c r="S404">
        <v>68</v>
      </c>
      <c r="V404" t="s">
        <v>2989</v>
      </c>
      <c r="W404" t="s">
        <v>7067</v>
      </c>
      <c r="X404" t="s">
        <v>9229</v>
      </c>
      <c r="Z404">
        <v>1332675</v>
      </c>
      <c r="AB404" t="s">
        <v>4587</v>
      </c>
      <c r="AC404" t="s">
        <v>7560</v>
      </c>
      <c r="AD404" t="s">
        <v>9229</v>
      </c>
      <c r="AF404" t="s">
        <v>9230</v>
      </c>
      <c r="AG404" t="s">
        <v>9231</v>
      </c>
      <c r="AI404" t="s">
        <v>9232</v>
      </c>
      <c r="AM404" t="s">
        <v>9233</v>
      </c>
      <c r="AN404" t="s">
        <v>2174</v>
      </c>
      <c r="AO404" t="s">
        <v>9234</v>
      </c>
      <c r="AP404" t="s">
        <v>7024</v>
      </c>
      <c r="AT404" s="184"/>
      <c r="AW404" s="184"/>
      <c r="AZ404" s="184"/>
      <c r="BL404" t="s">
        <v>595</v>
      </c>
      <c r="BM404" t="s">
        <v>595</v>
      </c>
      <c r="BN404" t="s">
        <v>595</v>
      </c>
      <c r="BP404" s="184"/>
    </row>
    <row r="405" spans="1:68">
      <c r="A405">
        <v>1333202</v>
      </c>
      <c r="B405">
        <v>1333202</v>
      </c>
      <c r="C405" t="s">
        <v>7018</v>
      </c>
      <c r="E405" s="184"/>
      <c r="G405" s="184"/>
      <c r="I405" s="184"/>
      <c r="J405" t="s">
        <v>595</v>
      </c>
      <c r="K405" s="184">
        <v>44073</v>
      </c>
      <c r="M405" s="184"/>
      <c r="O405" s="184"/>
      <c r="P405" t="s">
        <v>7084</v>
      </c>
      <c r="Q405" t="s">
        <v>7262</v>
      </c>
      <c r="R405" s="184">
        <v>17564</v>
      </c>
      <c r="S405">
        <v>76</v>
      </c>
      <c r="U405" t="s">
        <v>7076</v>
      </c>
      <c r="V405" t="s">
        <v>3302</v>
      </c>
      <c r="W405" t="s">
        <v>4152</v>
      </c>
      <c r="X405" t="s">
        <v>8066</v>
      </c>
      <c r="AF405" t="s">
        <v>9240</v>
      </c>
      <c r="AG405" t="s">
        <v>3302</v>
      </c>
      <c r="AI405" t="s">
        <v>9241</v>
      </c>
      <c r="AM405" t="s">
        <v>4104</v>
      </c>
      <c r="AN405" t="s">
        <v>2106</v>
      </c>
      <c r="AO405" t="s">
        <v>9242</v>
      </c>
      <c r="AP405" t="s">
        <v>7024</v>
      </c>
      <c r="AQ405" t="s">
        <v>9243</v>
      </c>
      <c r="AT405" s="184">
        <v>32238</v>
      </c>
      <c r="AU405" t="s">
        <v>9244</v>
      </c>
      <c r="AV405">
        <v>22</v>
      </c>
      <c r="AW405" s="184">
        <v>45286</v>
      </c>
      <c r="AX405" t="s">
        <v>9245</v>
      </c>
      <c r="AY405">
        <v>20000</v>
      </c>
      <c r="AZ405" s="184">
        <v>45286</v>
      </c>
      <c r="BA405" t="s">
        <v>9245</v>
      </c>
      <c r="BB405">
        <v>20000</v>
      </c>
      <c r="BC405">
        <v>98</v>
      </c>
      <c r="BD405">
        <v>95654</v>
      </c>
      <c r="BE405">
        <v>1988</v>
      </c>
      <c r="BF405">
        <v>45</v>
      </c>
      <c r="BG405">
        <v>2</v>
      </c>
      <c r="BH405">
        <v>40000</v>
      </c>
      <c r="BI405">
        <v>36</v>
      </c>
      <c r="BJ405">
        <v>37</v>
      </c>
      <c r="BK405">
        <v>36</v>
      </c>
      <c r="BP405" s="184"/>
    </row>
    <row r="406" spans="1:68">
      <c r="A406">
        <v>1335710</v>
      </c>
      <c r="B406">
        <v>1335710</v>
      </c>
      <c r="C406" t="s">
        <v>7018</v>
      </c>
      <c r="E406" s="184"/>
      <c r="G406" s="184"/>
      <c r="J406" t="s">
        <v>595</v>
      </c>
      <c r="K406" s="184">
        <v>43711</v>
      </c>
      <c r="M406" s="184"/>
      <c r="O406" s="184"/>
      <c r="P406" t="s">
        <v>7029</v>
      </c>
      <c r="Q406" t="s">
        <v>7262</v>
      </c>
      <c r="R406" s="184">
        <v>16174</v>
      </c>
      <c r="S406">
        <v>80</v>
      </c>
      <c r="U406" t="s">
        <v>7076</v>
      </c>
      <c r="V406" t="s">
        <v>3773</v>
      </c>
      <c r="W406" t="s">
        <v>2308</v>
      </c>
      <c r="X406" t="s">
        <v>3774</v>
      </c>
      <c r="Z406">
        <v>100012074</v>
      </c>
      <c r="AA406" t="s">
        <v>7031</v>
      </c>
      <c r="AB406" t="s">
        <v>2541</v>
      </c>
      <c r="AC406" t="s">
        <v>7248</v>
      </c>
      <c r="AD406" t="s">
        <v>5604</v>
      </c>
      <c r="AF406" t="s">
        <v>9246</v>
      </c>
      <c r="AG406" t="s">
        <v>9247</v>
      </c>
      <c r="AI406" t="s">
        <v>9248</v>
      </c>
      <c r="AM406" t="s">
        <v>3775</v>
      </c>
      <c r="AN406" t="s">
        <v>65</v>
      </c>
      <c r="AO406" t="s">
        <v>9249</v>
      </c>
      <c r="AP406" t="s">
        <v>7024</v>
      </c>
      <c r="AQ406" t="s">
        <v>9250</v>
      </c>
      <c r="AR406" t="s">
        <v>9251</v>
      </c>
      <c r="AT406" s="184">
        <v>32246</v>
      </c>
      <c r="AU406" t="s">
        <v>9252</v>
      </c>
      <c r="AV406">
        <v>22</v>
      </c>
      <c r="AW406" s="184">
        <v>45209</v>
      </c>
      <c r="AX406" t="s">
        <v>7749</v>
      </c>
      <c r="AY406">
        <v>2000</v>
      </c>
      <c r="AZ406" s="184">
        <v>42037</v>
      </c>
      <c r="BA406" t="s">
        <v>9253</v>
      </c>
      <c r="BB406">
        <v>4869.9799999999996</v>
      </c>
      <c r="BC406">
        <v>95</v>
      </c>
      <c r="BD406">
        <v>39313.46</v>
      </c>
      <c r="BE406">
        <v>1988</v>
      </c>
      <c r="BF406">
        <v>60</v>
      </c>
      <c r="BG406">
        <v>2</v>
      </c>
      <c r="BH406">
        <v>4000</v>
      </c>
      <c r="BI406">
        <v>35</v>
      </c>
      <c r="BJ406">
        <v>37</v>
      </c>
      <c r="BK406">
        <v>18</v>
      </c>
      <c r="BP406" s="184"/>
    </row>
    <row r="407" spans="1:68">
      <c r="A407">
        <v>100012074</v>
      </c>
      <c r="B407">
        <v>1335710</v>
      </c>
      <c r="C407" t="s">
        <v>7018</v>
      </c>
      <c r="E407" s="184"/>
      <c r="G407" s="184"/>
      <c r="I407" s="184"/>
      <c r="J407" t="s">
        <v>595</v>
      </c>
      <c r="K407" s="184">
        <v>43711</v>
      </c>
      <c r="M407" s="184"/>
      <c r="O407" s="184"/>
      <c r="P407" t="s">
        <v>7029</v>
      </c>
      <c r="Q407" t="s">
        <v>7262</v>
      </c>
      <c r="R407" s="184">
        <v>14784</v>
      </c>
      <c r="S407">
        <v>83</v>
      </c>
      <c r="U407" t="s">
        <v>7031</v>
      </c>
      <c r="V407" t="s">
        <v>2541</v>
      </c>
      <c r="W407" t="s">
        <v>7248</v>
      </c>
      <c r="X407" t="s">
        <v>5604</v>
      </c>
      <c r="Z407">
        <v>1335710</v>
      </c>
      <c r="AA407" t="s">
        <v>7076</v>
      </c>
      <c r="AB407" t="s">
        <v>3773</v>
      </c>
      <c r="AC407" t="s">
        <v>2308</v>
      </c>
      <c r="AD407" t="s">
        <v>3774</v>
      </c>
      <c r="AF407" t="s">
        <v>9246</v>
      </c>
      <c r="AG407" t="s">
        <v>9247</v>
      </c>
      <c r="AI407" t="s">
        <v>9248</v>
      </c>
      <c r="AM407" t="s">
        <v>3775</v>
      </c>
      <c r="AN407" t="s">
        <v>65</v>
      </c>
      <c r="AO407" t="s">
        <v>9249</v>
      </c>
      <c r="AP407" t="s">
        <v>7024</v>
      </c>
      <c r="AT407" s="184"/>
      <c r="AW407" s="184"/>
      <c r="AZ407" s="184"/>
      <c r="BP407" s="184"/>
    </row>
    <row r="408" spans="1:68">
      <c r="A408">
        <v>1348507</v>
      </c>
      <c r="B408">
        <v>1348507</v>
      </c>
      <c r="C408" t="s">
        <v>7018</v>
      </c>
      <c r="E408" s="184"/>
      <c r="I408" s="184"/>
      <c r="J408" t="s">
        <v>595</v>
      </c>
      <c r="K408" s="184">
        <v>44070</v>
      </c>
      <c r="M408" s="184"/>
      <c r="O408" s="184"/>
      <c r="P408" t="s">
        <v>7045</v>
      </c>
      <c r="Q408" t="s">
        <v>7030</v>
      </c>
      <c r="R408" s="184">
        <v>21429</v>
      </c>
      <c r="S408">
        <v>65</v>
      </c>
      <c r="U408" t="s">
        <v>7076</v>
      </c>
      <c r="V408" t="s">
        <v>3232</v>
      </c>
      <c r="X408" t="s">
        <v>9254</v>
      </c>
      <c r="Z408">
        <v>100012140</v>
      </c>
      <c r="AB408" t="s">
        <v>2851</v>
      </c>
      <c r="AD408" t="s">
        <v>9255</v>
      </c>
      <c r="AF408" t="s">
        <v>9256</v>
      </c>
      <c r="AG408" t="s">
        <v>9257</v>
      </c>
      <c r="AI408" t="s">
        <v>9258</v>
      </c>
      <c r="AM408" t="s">
        <v>4135</v>
      </c>
      <c r="AN408" t="s">
        <v>2094</v>
      </c>
      <c r="AO408" t="s">
        <v>9259</v>
      </c>
      <c r="AP408" t="s">
        <v>7024</v>
      </c>
      <c r="AQ408" t="s">
        <v>9260</v>
      </c>
      <c r="AT408" s="184">
        <v>32259</v>
      </c>
      <c r="AU408" t="s">
        <v>9261</v>
      </c>
      <c r="AV408">
        <v>22</v>
      </c>
      <c r="AW408" s="184">
        <v>45071</v>
      </c>
      <c r="AX408" t="s">
        <v>9262</v>
      </c>
      <c r="AY408">
        <v>250</v>
      </c>
      <c r="AZ408" s="184">
        <v>45071</v>
      </c>
      <c r="BA408" t="s">
        <v>9262</v>
      </c>
      <c r="BB408">
        <v>250</v>
      </c>
      <c r="BC408">
        <v>92</v>
      </c>
      <c r="BD408">
        <v>1937</v>
      </c>
      <c r="BE408">
        <v>1988</v>
      </c>
      <c r="BF408">
        <v>42</v>
      </c>
      <c r="BG408">
        <v>3</v>
      </c>
      <c r="BH408">
        <v>750</v>
      </c>
      <c r="BI408">
        <v>34</v>
      </c>
      <c r="BJ408">
        <v>37</v>
      </c>
      <c r="BK408">
        <v>12</v>
      </c>
      <c r="BP408" s="184"/>
    </row>
    <row r="409" spans="1:68">
      <c r="A409">
        <v>100012140</v>
      </c>
      <c r="B409">
        <v>1348507</v>
      </c>
      <c r="C409" t="s">
        <v>7018</v>
      </c>
      <c r="E409" s="184"/>
      <c r="G409" s="184"/>
      <c r="I409" s="184"/>
      <c r="J409" t="s">
        <v>595</v>
      </c>
      <c r="K409" s="184">
        <v>44070</v>
      </c>
      <c r="M409" s="184"/>
      <c r="O409" s="184"/>
      <c r="P409" t="s">
        <v>7045</v>
      </c>
      <c r="Q409" t="s">
        <v>7030</v>
      </c>
      <c r="R409" s="184">
        <v>20637</v>
      </c>
      <c r="S409">
        <v>67</v>
      </c>
      <c r="V409" t="s">
        <v>2851</v>
      </c>
      <c r="X409" t="s">
        <v>9255</v>
      </c>
      <c r="Z409">
        <v>1348507</v>
      </c>
      <c r="AA409" t="s">
        <v>7076</v>
      </c>
      <c r="AB409" t="s">
        <v>3232</v>
      </c>
      <c r="AD409" t="s">
        <v>9254</v>
      </c>
      <c r="AF409" t="s">
        <v>9256</v>
      </c>
      <c r="AG409" t="s">
        <v>9257</v>
      </c>
      <c r="AI409" t="s">
        <v>9258</v>
      </c>
      <c r="AM409" t="s">
        <v>4135</v>
      </c>
      <c r="AN409" t="s">
        <v>2094</v>
      </c>
      <c r="AO409" t="s">
        <v>9259</v>
      </c>
      <c r="AP409" t="s">
        <v>7024</v>
      </c>
      <c r="AT409" s="184"/>
      <c r="AW409" s="184"/>
      <c r="AZ409" s="184"/>
      <c r="BP409" s="184"/>
    </row>
    <row r="410" spans="1:68">
      <c r="A410">
        <v>1356641</v>
      </c>
      <c r="B410">
        <v>1356641</v>
      </c>
      <c r="C410" t="s">
        <v>7018</v>
      </c>
      <c r="E410" s="184"/>
      <c r="G410" s="184"/>
      <c r="I410" s="184"/>
      <c r="K410" s="184"/>
      <c r="M410" s="184"/>
      <c r="N410" t="s">
        <v>595</v>
      </c>
      <c r="O410" s="184">
        <v>38352</v>
      </c>
      <c r="P410" t="s">
        <v>7045</v>
      </c>
      <c r="Q410" t="s">
        <v>7374</v>
      </c>
      <c r="R410" s="184">
        <v>16011</v>
      </c>
      <c r="S410">
        <v>80</v>
      </c>
      <c r="U410" t="s">
        <v>7076</v>
      </c>
      <c r="V410" t="s">
        <v>5400</v>
      </c>
      <c r="W410" t="s">
        <v>3226</v>
      </c>
      <c r="X410" t="s">
        <v>5642</v>
      </c>
      <c r="AF410" t="s">
        <v>9263</v>
      </c>
      <c r="AG410" t="s">
        <v>5400</v>
      </c>
      <c r="AI410" t="s">
        <v>9264</v>
      </c>
      <c r="AM410" t="s">
        <v>9265</v>
      </c>
      <c r="AN410" t="s">
        <v>2081</v>
      </c>
      <c r="AO410" t="s">
        <v>9266</v>
      </c>
      <c r="AP410" t="s">
        <v>7024</v>
      </c>
      <c r="AT410" s="184">
        <v>32268</v>
      </c>
      <c r="AU410" t="s">
        <v>9261</v>
      </c>
      <c r="AV410">
        <v>10</v>
      </c>
      <c r="AW410" s="184">
        <v>43818</v>
      </c>
      <c r="AX410" t="s">
        <v>9267</v>
      </c>
      <c r="AY410">
        <v>400</v>
      </c>
      <c r="AZ410" s="184">
        <v>39759</v>
      </c>
      <c r="BA410" t="s">
        <v>8186</v>
      </c>
      <c r="BB410">
        <v>10000</v>
      </c>
      <c r="BC410">
        <v>68</v>
      </c>
      <c r="BD410">
        <v>26985</v>
      </c>
      <c r="BE410">
        <v>1988</v>
      </c>
      <c r="BF410">
        <v>44</v>
      </c>
      <c r="BI410">
        <v>25</v>
      </c>
      <c r="BJ410">
        <v>37</v>
      </c>
      <c r="BK410">
        <v>19</v>
      </c>
      <c r="BO410" t="s">
        <v>595</v>
      </c>
      <c r="BP410" s="184">
        <v>44018</v>
      </c>
    </row>
    <row r="411" spans="1:68">
      <c r="A411">
        <v>1358761</v>
      </c>
      <c r="B411">
        <v>1358761</v>
      </c>
      <c r="C411" t="s">
        <v>7018</v>
      </c>
      <c r="E411" s="184"/>
      <c r="G411" s="184"/>
      <c r="K411" s="184"/>
      <c r="L411" t="s">
        <v>595</v>
      </c>
      <c r="M411" s="184">
        <v>44386</v>
      </c>
      <c r="O411" s="184"/>
      <c r="P411" t="s">
        <v>7045</v>
      </c>
      <c r="Q411" t="s">
        <v>7374</v>
      </c>
      <c r="R411" s="184">
        <v>17777</v>
      </c>
      <c r="S411">
        <v>75</v>
      </c>
      <c r="V411" t="s">
        <v>2851</v>
      </c>
      <c r="X411" t="s">
        <v>9268</v>
      </c>
      <c r="Z411">
        <v>100179497</v>
      </c>
      <c r="AB411" t="s">
        <v>2718</v>
      </c>
      <c r="AD411" t="s">
        <v>2706</v>
      </c>
      <c r="AF411" t="s">
        <v>9269</v>
      </c>
      <c r="AG411" t="s">
        <v>2851</v>
      </c>
      <c r="AI411" t="s">
        <v>9270</v>
      </c>
      <c r="AM411" t="s">
        <v>4738</v>
      </c>
      <c r="AN411" t="s">
        <v>2081</v>
      </c>
      <c r="AO411" t="s">
        <v>9271</v>
      </c>
      <c r="AP411" t="s">
        <v>7024</v>
      </c>
      <c r="AT411" s="184">
        <v>32275</v>
      </c>
      <c r="AU411" t="s">
        <v>9272</v>
      </c>
      <c r="AV411">
        <v>22</v>
      </c>
      <c r="AW411" s="184">
        <v>45112</v>
      </c>
      <c r="AX411" t="s">
        <v>7159</v>
      </c>
      <c r="AY411">
        <v>206</v>
      </c>
      <c r="AZ411" s="184">
        <v>45112</v>
      </c>
      <c r="BA411" t="s">
        <v>7159</v>
      </c>
      <c r="BB411">
        <v>206</v>
      </c>
      <c r="BC411">
        <v>98</v>
      </c>
      <c r="BD411">
        <v>2803</v>
      </c>
      <c r="BE411">
        <v>1988</v>
      </c>
      <c r="BF411">
        <v>52</v>
      </c>
      <c r="BG411">
        <v>2</v>
      </c>
      <c r="BH411">
        <v>406</v>
      </c>
      <c r="BI411">
        <v>36</v>
      </c>
      <c r="BJ411">
        <v>37</v>
      </c>
      <c r="BK411">
        <v>36</v>
      </c>
    </row>
    <row r="412" spans="1:68">
      <c r="A412">
        <v>100179497</v>
      </c>
      <c r="B412">
        <v>1358761</v>
      </c>
      <c r="C412" t="s">
        <v>7018</v>
      </c>
      <c r="E412" s="184"/>
      <c r="G412" s="184"/>
      <c r="I412" s="184"/>
      <c r="K412" s="184"/>
      <c r="L412" t="s">
        <v>595</v>
      </c>
      <c r="M412" s="184">
        <v>44386</v>
      </c>
      <c r="O412" s="184"/>
      <c r="P412" t="s">
        <v>7045</v>
      </c>
      <c r="Q412" t="s">
        <v>7374</v>
      </c>
      <c r="R412" s="184"/>
      <c r="V412" t="s">
        <v>2718</v>
      </c>
      <c r="X412" t="s">
        <v>2706</v>
      </c>
      <c r="Z412">
        <v>1358761</v>
      </c>
      <c r="AB412" t="s">
        <v>2851</v>
      </c>
      <c r="AD412" t="s">
        <v>9268</v>
      </c>
      <c r="AF412" t="s">
        <v>9269</v>
      </c>
      <c r="AG412" t="s">
        <v>2851</v>
      </c>
      <c r="AI412" t="s">
        <v>9270</v>
      </c>
      <c r="AM412" t="s">
        <v>4738</v>
      </c>
      <c r="AN412" t="s">
        <v>2081</v>
      </c>
      <c r="AO412" t="s">
        <v>9271</v>
      </c>
      <c r="AP412" t="s">
        <v>7024</v>
      </c>
      <c r="AQ412" t="s">
        <v>9273</v>
      </c>
      <c r="AT412" s="184"/>
      <c r="AW412" s="184"/>
      <c r="AZ412" s="184"/>
      <c r="BO412" t="s">
        <v>595</v>
      </c>
    </row>
    <row r="413" spans="1:68">
      <c r="A413">
        <v>1378231</v>
      </c>
      <c r="B413">
        <v>1378231</v>
      </c>
      <c r="C413" t="s">
        <v>7018</v>
      </c>
      <c r="D413" t="s">
        <v>595</v>
      </c>
      <c r="E413" s="184">
        <v>44167</v>
      </c>
      <c r="G413" s="184"/>
      <c r="K413" s="184"/>
      <c r="M413" s="184"/>
      <c r="P413" t="s">
        <v>7045</v>
      </c>
      <c r="Q413" t="s">
        <v>7374</v>
      </c>
      <c r="R413" s="184">
        <v>18872</v>
      </c>
      <c r="S413">
        <v>72</v>
      </c>
      <c r="U413" t="s">
        <v>7130</v>
      </c>
      <c r="V413" t="s">
        <v>2586</v>
      </c>
      <c r="W413" t="s">
        <v>2049</v>
      </c>
      <c r="X413" t="s">
        <v>9274</v>
      </c>
      <c r="AF413" t="s">
        <v>9275</v>
      </c>
      <c r="AG413" t="s">
        <v>2586</v>
      </c>
      <c r="AI413" t="s">
        <v>9276</v>
      </c>
      <c r="AM413" t="s">
        <v>4297</v>
      </c>
      <c r="AN413" t="s">
        <v>2526</v>
      </c>
      <c r="AO413" t="s">
        <v>9277</v>
      </c>
      <c r="AP413" t="s">
        <v>7024</v>
      </c>
      <c r="AQ413" t="s">
        <v>9278</v>
      </c>
      <c r="AT413" s="184">
        <v>32300</v>
      </c>
      <c r="AU413" t="s">
        <v>9279</v>
      </c>
      <c r="AV413">
        <v>22</v>
      </c>
      <c r="AW413" s="184">
        <v>45419</v>
      </c>
      <c r="AX413" t="s">
        <v>8516</v>
      </c>
      <c r="AY413">
        <v>100</v>
      </c>
      <c r="AZ413" s="184">
        <v>45419</v>
      </c>
      <c r="BA413" t="s">
        <v>8516</v>
      </c>
      <c r="BB413">
        <v>100</v>
      </c>
      <c r="BC413">
        <v>84</v>
      </c>
      <c r="BD413">
        <v>2349</v>
      </c>
      <c r="BE413">
        <v>1988</v>
      </c>
      <c r="BF413">
        <v>52</v>
      </c>
      <c r="BG413">
        <v>3</v>
      </c>
      <c r="BH413">
        <v>300</v>
      </c>
      <c r="BI413">
        <v>31</v>
      </c>
      <c r="BJ413">
        <v>37</v>
      </c>
      <c r="BK413">
        <v>11</v>
      </c>
    </row>
    <row r="414" spans="1:68">
      <c r="A414">
        <v>1390665</v>
      </c>
      <c r="B414">
        <v>1390665</v>
      </c>
      <c r="C414" t="s">
        <v>7018</v>
      </c>
      <c r="D414" t="s">
        <v>595</v>
      </c>
      <c r="E414" s="184">
        <v>44073</v>
      </c>
      <c r="G414" s="184"/>
      <c r="K414" s="184"/>
      <c r="O414" s="184"/>
      <c r="P414" t="s">
        <v>7029</v>
      </c>
      <c r="Q414" t="s">
        <v>7030</v>
      </c>
      <c r="R414" s="184">
        <v>18837</v>
      </c>
      <c r="S414">
        <v>72</v>
      </c>
      <c r="T414" t="s">
        <v>3393</v>
      </c>
      <c r="V414" t="s">
        <v>3632</v>
      </c>
      <c r="W414" t="s">
        <v>2889</v>
      </c>
      <c r="X414" t="s">
        <v>9280</v>
      </c>
      <c r="Z414">
        <v>100012344</v>
      </c>
      <c r="AB414" t="s">
        <v>3317</v>
      </c>
      <c r="AD414" t="s">
        <v>9280</v>
      </c>
      <c r="AF414" t="s">
        <v>9281</v>
      </c>
      <c r="AG414" t="s">
        <v>9282</v>
      </c>
      <c r="AI414" t="s">
        <v>9283</v>
      </c>
      <c r="AM414" t="s">
        <v>2637</v>
      </c>
      <c r="AN414" t="s">
        <v>2638</v>
      </c>
      <c r="AO414" t="s">
        <v>9284</v>
      </c>
      <c r="AP414" t="s">
        <v>7024</v>
      </c>
      <c r="AQ414" t="s">
        <v>9285</v>
      </c>
      <c r="AR414" t="s">
        <v>9286</v>
      </c>
      <c r="AT414" s="184">
        <v>32311</v>
      </c>
      <c r="AU414" t="s">
        <v>9287</v>
      </c>
      <c r="AV414">
        <v>22</v>
      </c>
      <c r="AW414" s="184">
        <v>45264</v>
      </c>
      <c r="AX414" t="s">
        <v>7558</v>
      </c>
      <c r="AY414">
        <v>1000</v>
      </c>
      <c r="AZ414" s="184">
        <v>45015</v>
      </c>
      <c r="BA414" t="s">
        <v>9288</v>
      </c>
      <c r="BB414">
        <v>2280</v>
      </c>
      <c r="BC414">
        <v>71</v>
      </c>
      <c r="BD414">
        <v>23367</v>
      </c>
      <c r="BE414">
        <v>1988</v>
      </c>
      <c r="BF414">
        <v>40</v>
      </c>
      <c r="BG414">
        <v>4</v>
      </c>
      <c r="BH414">
        <v>5865</v>
      </c>
      <c r="BI414">
        <v>26</v>
      </c>
      <c r="BJ414">
        <v>37</v>
      </c>
      <c r="BK414">
        <v>9</v>
      </c>
    </row>
    <row r="415" spans="1:68">
      <c r="A415">
        <v>100012344</v>
      </c>
      <c r="B415">
        <v>1390665</v>
      </c>
      <c r="C415" t="s">
        <v>7018</v>
      </c>
      <c r="D415" t="s">
        <v>595</v>
      </c>
      <c r="E415" s="184">
        <v>44073</v>
      </c>
      <c r="G415" s="184"/>
      <c r="K415" s="184"/>
      <c r="M415" s="184"/>
      <c r="O415" s="184"/>
      <c r="P415" t="s">
        <v>7029</v>
      </c>
      <c r="Q415" t="s">
        <v>7030</v>
      </c>
      <c r="R415" s="184">
        <v>21280</v>
      </c>
      <c r="S415">
        <v>66</v>
      </c>
      <c r="V415" t="s">
        <v>3317</v>
      </c>
      <c r="X415" t="s">
        <v>9280</v>
      </c>
      <c r="Z415">
        <v>1390665</v>
      </c>
      <c r="AB415" t="s">
        <v>3632</v>
      </c>
      <c r="AC415" t="s">
        <v>2889</v>
      </c>
      <c r="AD415" t="s">
        <v>9280</v>
      </c>
      <c r="AF415" t="s">
        <v>9281</v>
      </c>
      <c r="AG415" t="s">
        <v>9282</v>
      </c>
      <c r="AI415" t="s">
        <v>9283</v>
      </c>
      <c r="AM415" t="s">
        <v>2637</v>
      </c>
      <c r="AN415" t="s">
        <v>2638</v>
      </c>
      <c r="AO415" t="s">
        <v>9284</v>
      </c>
      <c r="AP415" t="s">
        <v>7024</v>
      </c>
      <c r="AQ415" t="s">
        <v>9289</v>
      </c>
      <c r="AT415" s="184"/>
      <c r="AW415" s="184"/>
      <c r="AZ415" s="184"/>
      <c r="BP415" s="184"/>
    </row>
    <row r="416" spans="1:68">
      <c r="A416">
        <v>1394808</v>
      </c>
      <c r="B416">
        <v>1394808</v>
      </c>
      <c r="C416" t="s">
        <v>7018</v>
      </c>
      <c r="E416" s="184"/>
      <c r="G416" s="184"/>
      <c r="J416" t="s">
        <v>595</v>
      </c>
      <c r="K416" s="184">
        <v>45344</v>
      </c>
      <c r="M416" s="184"/>
      <c r="O416" s="184"/>
      <c r="P416" t="s">
        <v>7084</v>
      </c>
      <c r="Q416" t="s">
        <v>7454</v>
      </c>
      <c r="R416" s="184">
        <v>19541</v>
      </c>
      <c r="S416">
        <v>70</v>
      </c>
      <c r="V416" t="s">
        <v>9290</v>
      </c>
      <c r="W416" t="s">
        <v>2049</v>
      </c>
      <c r="X416" t="s">
        <v>9291</v>
      </c>
      <c r="AF416" t="s">
        <v>9292</v>
      </c>
      <c r="AG416" t="s">
        <v>9290</v>
      </c>
      <c r="AI416" t="s">
        <v>9293</v>
      </c>
      <c r="AM416" t="s">
        <v>3914</v>
      </c>
      <c r="AN416" t="s">
        <v>2055</v>
      </c>
      <c r="AO416" t="s">
        <v>9294</v>
      </c>
      <c r="AP416" t="s">
        <v>7024</v>
      </c>
      <c r="AQ416" t="s">
        <v>9295</v>
      </c>
      <c r="AR416" t="s">
        <v>9296</v>
      </c>
      <c r="AT416" s="184">
        <v>32322</v>
      </c>
      <c r="AU416" t="s">
        <v>9297</v>
      </c>
      <c r="AV416">
        <v>22</v>
      </c>
      <c r="AW416" s="184">
        <v>45382</v>
      </c>
      <c r="AX416" t="s">
        <v>7296</v>
      </c>
      <c r="AY416">
        <v>29303.599999999999</v>
      </c>
      <c r="AZ416" s="184">
        <v>45382</v>
      </c>
      <c r="BA416" t="s">
        <v>7296</v>
      </c>
      <c r="BB416">
        <v>29303.599999999999</v>
      </c>
      <c r="BC416">
        <v>98</v>
      </c>
      <c r="BD416">
        <v>33555.599999999999</v>
      </c>
      <c r="BE416">
        <v>1988</v>
      </c>
      <c r="BF416">
        <v>71</v>
      </c>
      <c r="BG416">
        <v>4</v>
      </c>
      <c r="BH416">
        <v>29653.599999999999</v>
      </c>
      <c r="BI416">
        <v>36</v>
      </c>
      <c r="BJ416">
        <v>37</v>
      </c>
      <c r="BK416">
        <v>26</v>
      </c>
      <c r="BO416" t="s">
        <v>595</v>
      </c>
      <c r="BP416" s="184">
        <v>45246</v>
      </c>
    </row>
    <row r="417" spans="1:68">
      <c r="A417">
        <v>1394816</v>
      </c>
      <c r="B417">
        <v>1394816</v>
      </c>
      <c r="C417" t="s">
        <v>7018</v>
      </c>
      <c r="E417" s="184"/>
      <c r="G417" s="184"/>
      <c r="I417" s="184"/>
      <c r="J417" t="s">
        <v>595</v>
      </c>
      <c r="K417" s="184">
        <v>44118</v>
      </c>
      <c r="M417" s="184"/>
      <c r="O417" s="184"/>
      <c r="P417" t="s">
        <v>7045</v>
      </c>
      <c r="Q417" t="s">
        <v>7262</v>
      </c>
      <c r="R417" s="184">
        <v>15286</v>
      </c>
      <c r="S417">
        <v>82</v>
      </c>
      <c r="U417" t="s">
        <v>7076</v>
      </c>
      <c r="V417" t="s">
        <v>4582</v>
      </c>
      <c r="X417" t="s">
        <v>9298</v>
      </c>
      <c r="AF417" t="s">
        <v>9299</v>
      </c>
      <c r="AG417" t="s">
        <v>4582</v>
      </c>
      <c r="AI417" t="s">
        <v>9300</v>
      </c>
      <c r="AM417" t="s">
        <v>9301</v>
      </c>
      <c r="AN417" t="s">
        <v>65</v>
      </c>
      <c r="AO417" t="s">
        <v>9302</v>
      </c>
      <c r="AP417" t="s">
        <v>7024</v>
      </c>
      <c r="AQ417" t="s">
        <v>9303</v>
      </c>
      <c r="AT417" s="184">
        <v>32322</v>
      </c>
      <c r="AU417" t="s">
        <v>9304</v>
      </c>
      <c r="AV417">
        <v>22</v>
      </c>
      <c r="AW417" s="184">
        <v>45105</v>
      </c>
      <c r="AX417" t="s">
        <v>9305</v>
      </c>
      <c r="AY417">
        <v>50</v>
      </c>
      <c r="AZ417" s="184">
        <v>42901</v>
      </c>
      <c r="BA417" t="s">
        <v>9306</v>
      </c>
      <c r="BB417">
        <v>87</v>
      </c>
      <c r="BC417">
        <v>90</v>
      </c>
      <c r="BD417">
        <v>1944.5</v>
      </c>
      <c r="BE417">
        <v>1988</v>
      </c>
      <c r="BF417">
        <v>77</v>
      </c>
      <c r="BG417">
        <v>1</v>
      </c>
      <c r="BH417">
        <v>50</v>
      </c>
      <c r="BI417">
        <v>33</v>
      </c>
      <c r="BJ417">
        <v>37</v>
      </c>
      <c r="BK417">
        <v>25</v>
      </c>
    </row>
    <row r="418" spans="1:68">
      <c r="A418">
        <v>1396902</v>
      </c>
      <c r="B418">
        <v>1396902</v>
      </c>
      <c r="C418" t="s">
        <v>7018</v>
      </c>
      <c r="D418" t="s">
        <v>595</v>
      </c>
      <c r="E418" s="184">
        <v>44152</v>
      </c>
      <c r="G418" s="184"/>
      <c r="I418" s="184"/>
      <c r="K418" s="184"/>
      <c r="M418" s="184"/>
      <c r="O418" s="184"/>
      <c r="P418" t="s">
        <v>7045</v>
      </c>
      <c r="Q418" t="s">
        <v>7374</v>
      </c>
      <c r="R418" s="184">
        <v>15858</v>
      </c>
      <c r="S418">
        <v>80</v>
      </c>
      <c r="V418" t="s">
        <v>2586</v>
      </c>
      <c r="X418" t="s">
        <v>9307</v>
      </c>
      <c r="AF418" t="s">
        <v>9308</v>
      </c>
      <c r="AG418" t="s">
        <v>2586</v>
      </c>
      <c r="AI418" t="s">
        <v>9309</v>
      </c>
      <c r="AM418" t="s">
        <v>4443</v>
      </c>
      <c r="AN418" t="s">
        <v>2081</v>
      </c>
      <c r="AO418" t="s">
        <v>9310</v>
      </c>
      <c r="AP418" t="s">
        <v>7024</v>
      </c>
      <c r="AT418" s="184">
        <v>32325</v>
      </c>
      <c r="AU418" t="s">
        <v>9311</v>
      </c>
      <c r="AV418">
        <v>22</v>
      </c>
      <c r="AW418" s="184">
        <v>45413</v>
      </c>
      <c r="AX418" t="s">
        <v>9312</v>
      </c>
      <c r="AY418">
        <v>300</v>
      </c>
      <c r="AZ418" s="184">
        <v>45413</v>
      </c>
      <c r="BA418" t="s">
        <v>9312</v>
      </c>
      <c r="BB418">
        <v>300</v>
      </c>
      <c r="BC418">
        <v>90</v>
      </c>
      <c r="BD418">
        <v>4541</v>
      </c>
      <c r="BE418">
        <v>1989</v>
      </c>
      <c r="BF418">
        <v>53</v>
      </c>
      <c r="BG418">
        <v>7</v>
      </c>
      <c r="BH418">
        <v>1150</v>
      </c>
      <c r="BI418">
        <v>33</v>
      </c>
      <c r="BJ418">
        <v>37</v>
      </c>
      <c r="BK418">
        <v>20</v>
      </c>
    </row>
    <row r="419" spans="1:68">
      <c r="A419">
        <v>1409036</v>
      </c>
      <c r="B419">
        <v>1409036</v>
      </c>
      <c r="C419" t="s">
        <v>7018</v>
      </c>
      <c r="D419" t="s">
        <v>595</v>
      </c>
      <c r="E419" s="184">
        <v>44164</v>
      </c>
      <c r="G419" s="184"/>
      <c r="I419" s="184"/>
      <c r="K419" s="184"/>
      <c r="O419" s="184"/>
      <c r="P419" t="s">
        <v>7045</v>
      </c>
      <c r="Q419" t="s">
        <v>7160</v>
      </c>
      <c r="R419" s="184">
        <v>15811</v>
      </c>
      <c r="S419">
        <v>81</v>
      </c>
      <c r="U419" t="s">
        <v>7076</v>
      </c>
      <c r="V419" t="s">
        <v>9313</v>
      </c>
      <c r="W419" t="s">
        <v>9314</v>
      </c>
      <c r="X419" t="s">
        <v>9315</v>
      </c>
      <c r="AF419" t="s">
        <v>9316</v>
      </c>
      <c r="AG419" t="s">
        <v>9313</v>
      </c>
      <c r="AI419" t="s">
        <v>9317</v>
      </c>
      <c r="AM419" t="s">
        <v>9318</v>
      </c>
      <c r="AN419" t="s">
        <v>4637</v>
      </c>
      <c r="AO419" t="s">
        <v>9319</v>
      </c>
      <c r="AP419" t="s">
        <v>7024</v>
      </c>
      <c r="AQ419" t="s">
        <v>9320</v>
      </c>
      <c r="AT419" s="184">
        <v>32370</v>
      </c>
      <c r="AU419" t="s">
        <v>9321</v>
      </c>
      <c r="AV419">
        <v>19.95</v>
      </c>
      <c r="AW419" s="184">
        <v>45416</v>
      </c>
      <c r="AX419" t="s">
        <v>7422</v>
      </c>
      <c r="AY419">
        <v>15</v>
      </c>
      <c r="AZ419" s="184">
        <v>42065</v>
      </c>
      <c r="BA419" t="s">
        <v>9322</v>
      </c>
      <c r="BB419">
        <v>100</v>
      </c>
      <c r="BC419">
        <v>52</v>
      </c>
      <c r="BD419">
        <v>1729.95</v>
      </c>
      <c r="BE419">
        <v>1989</v>
      </c>
      <c r="BF419">
        <v>65</v>
      </c>
      <c r="BG419">
        <v>20</v>
      </c>
      <c r="BH419">
        <v>290</v>
      </c>
      <c r="BI419">
        <v>19</v>
      </c>
      <c r="BJ419">
        <v>37</v>
      </c>
      <c r="BK419">
        <v>14</v>
      </c>
    </row>
    <row r="420" spans="1:68">
      <c r="A420">
        <v>1522671</v>
      </c>
      <c r="B420">
        <v>1522671</v>
      </c>
      <c r="C420" t="s">
        <v>7018</v>
      </c>
      <c r="D420" t="s">
        <v>595</v>
      </c>
      <c r="E420" s="184">
        <v>43642</v>
      </c>
      <c r="G420" s="184"/>
      <c r="I420" s="184"/>
      <c r="K420" s="184"/>
      <c r="M420" s="184"/>
      <c r="O420" s="184"/>
      <c r="P420" t="s">
        <v>7045</v>
      </c>
      <c r="Q420" t="s">
        <v>7383</v>
      </c>
      <c r="R420" s="184">
        <v>12559</v>
      </c>
      <c r="S420">
        <v>89</v>
      </c>
      <c r="V420" t="s">
        <v>3162</v>
      </c>
      <c r="X420" t="s">
        <v>3163</v>
      </c>
      <c r="AF420" t="s">
        <v>9323</v>
      </c>
      <c r="AG420" t="s">
        <v>3162</v>
      </c>
      <c r="AI420" t="s">
        <v>9324</v>
      </c>
      <c r="AM420" t="s">
        <v>3164</v>
      </c>
      <c r="AN420" t="s">
        <v>2185</v>
      </c>
      <c r="AO420" t="s">
        <v>9325</v>
      </c>
      <c r="AP420" t="s">
        <v>7024</v>
      </c>
      <c r="AT420" s="184">
        <v>32371</v>
      </c>
      <c r="AU420" t="s">
        <v>9321</v>
      </c>
      <c r="AV420">
        <v>19.95</v>
      </c>
      <c r="AW420" s="184">
        <v>45397</v>
      </c>
      <c r="AX420" t="s">
        <v>9326</v>
      </c>
      <c r="AY420">
        <v>35</v>
      </c>
      <c r="AZ420" s="184">
        <v>36634</v>
      </c>
      <c r="BA420" t="s">
        <v>9327</v>
      </c>
      <c r="BB420">
        <v>60</v>
      </c>
      <c r="BC420">
        <v>44</v>
      </c>
      <c r="BD420">
        <v>642.95000000000005</v>
      </c>
      <c r="BE420">
        <v>1989</v>
      </c>
      <c r="BF420">
        <v>25</v>
      </c>
      <c r="BG420">
        <v>4</v>
      </c>
      <c r="BH420">
        <v>125</v>
      </c>
      <c r="BI420">
        <v>16</v>
      </c>
      <c r="BJ420">
        <v>37</v>
      </c>
      <c r="BK420">
        <v>4</v>
      </c>
    </row>
    <row r="421" spans="1:68">
      <c r="A421">
        <v>1647767</v>
      </c>
      <c r="B421">
        <v>1647767</v>
      </c>
      <c r="C421" t="s">
        <v>7018</v>
      </c>
      <c r="E421" s="184"/>
      <c r="F421" t="s">
        <v>595</v>
      </c>
      <c r="G421" s="184">
        <v>43731</v>
      </c>
      <c r="I421" s="184"/>
      <c r="K421" s="184"/>
      <c r="O421" s="184"/>
      <c r="P421" t="s">
        <v>7019</v>
      </c>
      <c r="Q421" t="s">
        <v>7454</v>
      </c>
      <c r="R421" s="184">
        <v>18773</v>
      </c>
      <c r="S421">
        <v>72</v>
      </c>
      <c r="U421" t="s">
        <v>7076</v>
      </c>
      <c r="V421" t="s">
        <v>3856</v>
      </c>
      <c r="W421" t="s">
        <v>3332</v>
      </c>
      <c r="X421" t="s">
        <v>3857</v>
      </c>
      <c r="AF421" t="s">
        <v>9328</v>
      </c>
      <c r="AG421" t="s">
        <v>3856</v>
      </c>
      <c r="AI421" t="s">
        <v>9329</v>
      </c>
      <c r="AM421" t="s">
        <v>3858</v>
      </c>
      <c r="AN421" t="s">
        <v>2055</v>
      </c>
      <c r="AO421" t="s">
        <v>9330</v>
      </c>
      <c r="AP421" t="s">
        <v>7024</v>
      </c>
      <c r="AQ421" t="s">
        <v>9331</v>
      </c>
      <c r="AR421" t="s">
        <v>9332</v>
      </c>
      <c r="AT421" s="184">
        <v>32371</v>
      </c>
      <c r="AU421" t="s">
        <v>9321</v>
      </c>
      <c r="AV421">
        <v>19.95</v>
      </c>
      <c r="AW421" s="184">
        <v>44390</v>
      </c>
      <c r="AX421" t="s">
        <v>9333</v>
      </c>
      <c r="AY421">
        <v>87</v>
      </c>
      <c r="AZ421" s="184">
        <v>44390</v>
      </c>
      <c r="BA421" t="s">
        <v>9333</v>
      </c>
      <c r="BB421">
        <v>87</v>
      </c>
      <c r="BC421">
        <v>44</v>
      </c>
      <c r="BD421">
        <v>504.95</v>
      </c>
      <c r="BE421">
        <v>1989</v>
      </c>
      <c r="BF421">
        <v>17</v>
      </c>
      <c r="BI421">
        <v>16</v>
      </c>
      <c r="BJ421">
        <v>37</v>
      </c>
      <c r="BK421">
        <v>6</v>
      </c>
    </row>
    <row r="422" spans="1:68">
      <c r="A422">
        <v>1695964</v>
      </c>
      <c r="B422">
        <v>1695964</v>
      </c>
      <c r="C422" t="s">
        <v>7018</v>
      </c>
      <c r="E422" s="184"/>
      <c r="J422" t="s">
        <v>595</v>
      </c>
      <c r="K422" s="184">
        <v>41197</v>
      </c>
      <c r="O422" s="184"/>
      <c r="P422" t="s">
        <v>7045</v>
      </c>
      <c r="Q422" t="s">
        <v>7374</v>
      </c>
      <c r="R422" s="184">
        <v>19419</v>
      </c>
      <c r="S422">
        <v>71</v>
      </c>
      <c r="U422" t="s">
        <v>7076</v>
      </c>
      <c r="V422" t="s">
        <v>3043</v>
      </c>
      <c r="W422" t="s">
        <v>3332</v>
      </c>
      <c r="X422" t="s">
        <v>9334</v>
      </c>
      <c r="AF422" t="s">
        <v>6475</v>
      </c>
      <c r="AG422" t="s">
        <v>3043</v>
      </c>
      <c r="AI422" t="s">
        <v>9335</v>
      </c>
      <c r="AM422" t="s">
        <v>9336</v>
      </c>
      <c r="AN422" t="s">
        <v>2081</v>
      </c>
      <c r="AO422" t="s">
        <v>9337</v>
      </c>
      <c r="AP422" t="s">
        <v>7024</v>
      </c>
      <c r="AQ422" t="s">
        <v>9338</v>
      </c>
      <c r="AR422" t="s">
        <v>9339</v>
      </c>
      <c r="AT422" s="184">
        <v>32337</v>
      </c>
      <c r="AU422" t="s">
        <v>9340</v>
      </c>
      <c r="AV422">
        <v>22</v>
      </c>
      <c r="AW422" s="184">
        <v>44956</v>
      </c>
      <c r="AX422" t="s">
        <v>9341</v>
      </c>
      <c r="AY422">
        <v>25</v>
      </c>
      <c r="AZ422" s="184">
        <v>40547</v>
      </c>
      <c r="BA422" t="s">
        <v>9342</v>
      </c>
      <c r="BB422">
        <v>50</v>
      </c>
      <c r="BC422">
        <v>82</v>
      </c>
      <c r="BD422">
        <v>987</v>
      </c>
      <c r="BE422">
        <v>1989</v>
      </c>
      <c r="BF422">
        <v>35</v>
      </c>
      <c r="BG422">
        <v>1</v>
      </c>
      <c r="BH422">
        <v>25</v>
      </c>
      <c r="BI422">
        <v>30</v>
      </c>
      <c r="BJ422">
        <v>37</v>
      </c>
      <c r="BK422">
        <v>16</v>
      </c>
    </row>
    <row r="423" spans="1:68">
      <c r="A423">
        <v>1704089</v>
      </c>
      <c r="B423">
        <v>1704089</v>
      </c>
      <c r="C423" t="s">
        <v>7018</v>
      </c>
      <c r="D423" t="s">
        <v>595</v>
      </c>
      <c r="E423" s="184">
        <v>43642</v>
      </c>
      <c r="I423" s="184"/>
      <c r="K423" s="184"/>
      <c r="O423" s="184"/>
      <c r="P423" t="s">
        <v>7045</v>
      </c>
      <c r="Q423" t="s">
        <v>7383</v>
      </c>
      <c r="R423" s="184">
        <v>11094</v>
      </c>
      <c r="S423">
        <v>93</v>
      </c>
      <c r="V423" t="s">
        <v>3165</v>
      </c>
      <c r="W423" t="s">
        <v>3226</v>
      </c>
      <c r="X423" t="s">
        <v>3166</v>
      </c>
      <c r="AF423" t="s">
        <v>9343</v>
      </c>
      <c r="AG423" t="s">
        <v>3165</v>
      </c>
      <c r="AI423" t="s">
        <v>9344</v>
      </c>
      <c r="AM423" t="s">
        <v>3167</v>
      </c>
      <c r="AN423" t="s">
        <v>2072</v>
      </c>
      <c r="AO423" t="s">
        <v>9345</v>
      </c>
      <c r="AP423" t="s">
        <v>7024</v>
      </c>
      <c r="AQ423" t="s">
        <v>9346</v>
      </c>
      <c r="AT423" s="184">
        <v>32356</v>
      </c>
      <c r="AU423" t="s">
        <v>9347</v>
      </c>
      <c r="AV423">
        <v>25</v>
      </c>
      <c r="AW423" s="184">
        <v>45197</v>
      </c>
      <c r="AX423" t="s">
        <v>8299</v>
      </c>
      <c r="AY423">
        <v>100</v>
      </c>
      <c r="AZ423" s="184">
        <v>44372</v>
      </c>
      <c r="BA423" t="s">
        <v>9348</v>
      </c>
      <c r="BB423">
        <v>500</v>
      </c>
      <c r="BC423">
        <v>95</v>
      </c>
      <c r="BD423">
        <v>5387</v>
      </c>
      <c r="BE423">
        <v>1989</v>
      </c>
      <c r="BF423">
        <v>46</v>
      </c>
      <c r="BG423">
        <v>1</v>
      </c>
      <c r="BH423">
        <v>100</v>
      </c>
      <c r="BI423">
        <v>35</v>
      </c>
      <c r="BJ423">
        <v>37</v>
      </c>
      <c r="BK423">
        <v>34</v>
      </c>
    </row>
    <row r="424" spans="1:68">
      <c r="A424">
        <v>100333120</v>
      </c>
      <c r="B424">
        <v>1739606</v>
      </c>
      <c r="C424" t="s">
        <v>7018</v>
      </c>
      <c r="E424" s="184"/>
      <c r="H424" t="s">
        <v>595</v>
      </c>
      <c r="I424" s="184">
        <v>43829</v>
      </c>
      <c r="K424" s="184"/>
      <c r="O424" s="184"/>
      <c r="P424" t="s">
        <v>7045</v>
      </c>
      <c r="Q424" t="s">
        <v>7020</v>
      </c>
      <c r="R424" s="184">
        <v>13532</v>
      </c>
      <c r="S424">
        <v>87</v>
      </c>
      <c r="V424" t="s">
        <v>2918</v>
      </c>
      <c r="W424" t="s">
        <v>7046</v>
      </c>
      <c r="X424" t="s">
        <v>4184</v>
      </c>
      <c r="Z424">
        <v>1739606</v>
      </c>
      <c r="AA424" t="s">
        <v>7031</v>
      </c>
      <c r="AB424" t="s">
        <v>3103</v>
      </c>
      <c r="AC424" t="s">
        <v>7046</v>
      </c>
      <c r="AD424" t="s">
        <v>4184</v>
      </c>
      <c r="AE424" t="s">
        <v>7431</v>
      </c>
      <c r="AF424" t="s">
        <v>9349</v>
      </c>
      <c r="AG424" t="s">
        <v>9350</v>
      </c>
      <c r="AI424" t="s">
        <v>9351</v>
      </c>
      <c r="AM424" t="s">
        <v>4489</v>
      </c>
      <c r="AN424" t="s">
        <v>2052</v>
      </c>
      <c r="AO424" t="s">
        <v>9352</v>
      </c>
      <c r="AP424" t="s">
        <v>7024</v>
      </c>
      <c r="AT424" s="184"/>
      <c r="AW424" s="184"/>
      <c r="AZ424" s="184"/>
    </row>
    <row r="425" spans="1:68">
      <c r="A425">
        <v>1758721</v>
      </c>
      <c r="B425">
        <v>1758721</v>
      </c>
      <c r="C425" t="s">
        <v>7018</v>
      </c>
      <c r="E425" s="184"/>
      <c r="G425" s="184"/>
      <c r="J425" t="s">
        <v>595</v>
      </c>
      <c r="K425" s="184">
        <v>44073</v>
      </c>
      <c r="M425" s="184"/>
      <c r="O425" s="184"/>
      <c r="P425" t="s">
        <v>7045</v>
      </c>
      <c r="Q425" t="s">
        <v>7383</v>
      </c>
      <c r="R425" s="184">
        <v>15554</v>
      </c>
      <c r="S425">
        <v>81</v>
      </c>
      <c r="U425" t="s">
        <v>7094</v>
      </c>
      <c r="V425" t="s">
        <v>2985</v>
      </c>
      <c r="X425" t="s">
        <v>9353</v>
      </c>
      <c r="AF425" t="s">
        <v>9354</v>
      </c>
      <c r="AG425" t="s">
        <v>2985</v>
      </c>
      <c r="AI425" t="s">
        <v>9355</v>
      </c>
      <c r="AM425" t="s">
        <v>2905</v>
      </c>
      <c r="AN425" t="s">
        <v>2072</v>
      </c>
      <c r="AO425" t="s">
        <v>9356</v>
      </c>
      <c r="AP425" t="s">
        <v>7024</v>
      </c>
      <c r="AQ425" t="s">
        <v>9357</v>
      </c>
      <c r="AT425" s="184">
        <v>32386</v>
      </c>
      <c r="AU425" t="s">
        <v>9358</v>
      </c>
      <c r="AV425">
        <v>25</v>
      </c>
      <c r="AW425" s="184">
        <v>45296</v>
      </c>
      <c r="AX425" t="s">
        <v>7339</v>
      </c>
      <c r="AY425">
        <v>100</v>
      </c>
      <c r="AZ425" s="184">
        <v>41255</v>
      </c>
      <c r="BA425" t="s">
        <v>9359</v>
      </c>
      <c r="BB425">
        <v>150</v>
      </c>
      <c r="BC425">
        <v>87</v>
      </c>
      <c r="BD425">
        <v>2939</v>
      </c>
      <c r="BE425">
        <v>1989</v>
      </c>
      <c r="BF425">
        <v>67</v>
      </c>
      <c r="BG425">
        <v>2</v>
      </c>
      <c r="BH425">
        <v>200</v>
      </c>
      <c r="BI425">
        <v>32</v>
      </c>
      <c r="BJ425">
        <v>37</v>
      </c>
      <c r="BK425">
        <v>20</v>
      </c>
      <c r="BP425" s="184"/>
    </row>
    <row r="426" spans="1:68">
      <c r="A426">
        <v>1761071</v>
      </c>
      <c r="B426">
        <v>1761071</v>
      </c>
      <c r="C426" t="s">
        <v>7018</v>
      </c>
      <c r="E426" s="184"/>
      <c r="G426" s="184"/>
      <c r="K426" s="184"/>
      <c r="M426" s="184"/>
      <c r="N426" t="s">
        <v>595</v>
      </c>
      <c r="O426" s="184">
        <v>39100</v>
      </c>
      <c r="P426" t="s">
        <v>7045</v>
      </c>
      <c r="Q426" t="s">
        <v>7020</v>
      </c>
      <c r="R426" s="184">
        <v>11581</v>
      </c>
      <c r="S426">
        <v>92</v>
      </c>
      <c r="U426" t="s">
        <v>7031</v>
      </c>
      <c r="V426" t="s">
        <v>3373</v>
      </c>
      <c r="W426" t="s">
        <v>205</v>
      </c>
      <c r="X426" t="s">
        <v>5958</v>
      </c>
      <c r="AF426" t="s">
        <v>9360</v>
      </c>
      <c r="AG426" t="s">
        <v>3373</v>
      </c>
      <c r="AI426" t="s">
        <v>9361</v>
      </c>
      <c r="AM426" t="s">
        <v>5959</v>
      </c>
      <c r="AN426" t="s">
        <v>2206</v>
      </c>
      <c r="AO426" t="s">
        <v>9362</v>
      </c>
      <c r="AP426" t="s">
        <v>7024</v>
      </c>
      <c r="AT426" s="184">
        <v>32406</v>
      </c>
      <c r="AU426" t="s">
        <v>9321</v>
      </c>
      <c r="AV426">
        <v>19.95</v>
      </c>
      <c r="AW426" s="184">
        <v>40008</v>
      </c>
      <c r="AX426" t="s">
        <v>9363</v>
      </c>
      <c r="AY426">
        <v>25</v>
      </c>
      <c r="AZ426" s="184">
        <v>39100</v>
      </c>
      <c r="BA426" t="s">
        <v>9364</v>
      </c>
      <c r="BB426">
        <v>12310</v>
      </c>
      <c r="BC426">
        <v>49</v>
      </c>
      <c r="BD426">
        <v>12884.85</v>
      </c>
      <c r="BE426">
        <v>1989</v>
      </c>
      <c r="BF426">
        <v>23</v>
      </c>
      <c r="BI426">
        <v>18</v>
      </c>
      <c r="BJ426">
        <v>37</v>
      </c>
      <c r="BK426">
        <v>7</v>
      </c>
    </row>
    <row r="427" spans="1:68">
      <c r="A427">
        <v>1764612</v>
      </c>
      <c r="B427">
        <v>1764612</v>
      </c>
      <c r="C427" t="s">
        <v>7018</v>
      </c>
      <c r="D427" t="s">
        <v>595</v>
      </c>
      <c r="E427" s="184">
        <v>43642</v>
      </c>
      <c r="G427" s="184"/>
      <c r="K427" s="184"/>
      <c r="M427" s="184"/>
      <c r="P427" t="s">
        <v>7045</v>
      </c>
      <c r="Q427" t="s">
        <v>7383</v>
      </c>
      <c r="R427" s="184">
        <v>17564</v>
      </c>
      <c r="S427">
        <v>76</v>
      </c>
      <c r="U427" t="s">
        <v>7031</v>
      </c>
      <c r="V427" t="s">
        <v>3080</v>
      </c>
      <c r="W427" t="s">
        <v>4327</v>
      </c>
      <c r="X427" t="s">
        <v>3081</v>
      </c>
      <c r="AF427" t="s">
        <v>9365</v>
      </c>
      <c r="AG427" t="s">
        <v>3080</v>
      </c>
      <c r="AI427" t="s">
        <v>9366</v>
      </c>
      <c r="AM427" t="s">
        <v>3082</v>
      </c>
      <c r="AN427" t="s">
        <v>2313</v>
      </c>
      <c r="AO427" t="s">
        <v>9367</v>
      </c>
      <c r="AP427" t="s">
        <v>7024</v>
      </c>
      <c r="AQ427" t="s">
        <v>9368</v>
      </c>
      <c r="AR427" t="s">
        <v>9369</v>
      </c>
      <c r="AT427" s="184">
        <v>32392</v>
      </c>
      <c r="AU427" t="s">
        <v>9358</v>
      </c>
      <c r="AV427">
        <v>25</v>
      </c>
      <c r="AW427" s="184">
        <v>44221</v>
      </c>
      <c r="AX427" t="s">
        <v>9370</v>
      </c>
      <c r="AY427">
        <v>25</v>
      </c>
      <c r="AZ427" s="184">
        <v>43297</v>
      </c>
      <c r="BA427" t="s">
        <v>9371</v>
      </c>
      <c r="BB427">
        <v>40</v>
      </c>
      <c r="BC427">
        <v>41</v>
      </c>
      <c r="BD427">
        <v>319</v>
      </c>
      <c r="BE427">
        <v>1989</v>
      </c>
      <c r="BF427">
        <v>15</v>
      </c>
      <c r="BI427">
        <v>15</v>
      </c>
      <c r="BJ427">
        <v>37</v>
      </c>
      <c r="BK427">
        <v>4</v>
      </c>
      <c r="BN427" t="s">
        <v>595</v>
      </c>
      <c r="BO427" t="s">
        <v>595</v>
      </c>
    </row>
    <row r="428" spans="1:68">
      <c r="A428">
        <v>1770767</v>
      </c>
      <c r="B428">
        <v>1770767</v>
      </c>
      <c r="C428" t="s">
        <v>7018</v>
      </c>
      <c r="D428" t="s">
        <v>595</v>
      </c>
      <c r="E428" s="184">
        <v>44104</v>
      </c>
      <c r="G428" s="184"/>
      <c r="K428" s="184"/>
      <c r="M428" s="184"/>
      <c r="P428" t="s">
        <v>7045</v>
      </c>
      <c r="Q428" t="s">
        <v>7383</v>
      </c>
      <c r="R428" s="184">
        <v>17930</v>
      </c>
      <c r="S428">
        <v>75</v>
      </c>
      <c r="V428" t="s">
        <v>2779</v>
      </c>
      <c r="W428" t="s">
        <v>3951</v>
      </c>
      <c r="X428" t="s">
        <v>9372</v>
      </c>
      <c r="Z428">
        <v>100013051</v>
      </c>
      <c r="AA428" t="s">
        <v>7031</v>
      </c>
      <c r="AB428" t="s">
        <v>3889</v>
      </c>
      <c r="AD428" t="s">
        <v>9372</v>
      </c>
      <c r="AF428" t="s">
        <v>9373</v>
      </c>
      <c r="AG428" t="s">
        <v>9374</v>
      </c>
      <c r="AI428" t="s">
        <v>9375</v>
      </c>
      <c r="AM428" t="s">
        <v>3815</v>
      </c>
      <c r="AN428" t="s">
        <v>2059</v>
      </c>
      <c r="AO428" t="s">
        <v>9376</v>
      </c>
      <c r="AP428" t="s">
        <v>7024</v>
      </c>
      <c r="AQ428" t="s">
        <v>9377</v>
      </c>
      <c r="AT428" s="184">
        <v>32401</v>
      </c>
      <c r="AU428" t="s">
        <v>9237</v>
      </c>
      <c r="AV428">
        <v>22</v>
      </c>
      <c r="AW428" s="184">
        <v>45291</v>
      </c>
      <c r="AX428" t="s">
        <v>9378</v>
      </c>
      <c r="AY428">
        <v>36.75</v>
      </c>
      <c r="AZ428" s="184">
        <v>45291</v>
      </c>
      <c r="BA428" t="s">
        <v>9378</v>
      </c>
      <c r="BB428">
        <v>36.75</v>
      </c>
      <c r="BC428">
        <v>92</v>
      </c>
      <c r="BD428">
        <v>1399.75</v>
      </c>
      <c r="BE428">
        <v>1989</v>
      </c>
      <c r="BF428">
        <v>54</v>
      </c>
      <c r="BG428">
        <v>2</v>
      </c>
      <c r="BH428">
        <v>71.75</v>
      </c>
      <c r="BI428">
        <v>34</v>
      </c>
      <c r="BJ428">
        <v>37</v>
      </c>
      <c r="BK428">
        <v>20</v>
      </c>
      <c r="BN428" t="s">
        <v>595</v>
      </c>
    </row>
    <row r="429" spans="1:68">
      <c r="A429">
        <v>100013051</v>
      </c>
      <c r="B429">
        <v>1770767</v>
      </c>
      <c r="C429" t="s">
        <v>7018</v>
      </c>
      <c r="D429" t="s">
        <v>595</v>
      </c>
      <c r="E429" s="184">
        <v>44104</v>
      </c>
      <c r="G429" s="184"/>
      <c r="K429" s="184"/>
      <c r="M429" s="184"/>
      <c r="O429" s="184"/>
      <c r="P429" t="s">
        <v>7045</v>
      </c>
      <c r="Q429" t="s">
        <v>7383</v>
      </c>
      <c r="R429" s="184">
        <v>18172</v>
      </c>
      <c r="S429">
        <v>74</v>
      </c>
      <c r="U429" t="s">
        <v>7031</v>
      </c>
      <c r="V429" t="s">
        <v>3889</v>
      </c>
      <c r="X429" t="s">
        <v>9372</v>
      </c>
      <c r="Z429">
        <v>1770767</v>
      </c>
      <c r="AB429" t="s">
        <v>2779</v>
      </c>
      <c r="AC429" t="s">
        <v>3951</v>
      </c>
      <c r="AD429" t="s">
        <v>9372</v>
      </c>
      <c r="AF429" t="s">
        <v>9373</v>
      </c>
      <c r="AG429" t="s">
        <v>9374</v>
      </c>
      <c r="AI429" t="s">
        <v>9375</v>
      </c>
      <c r="AM429" t="s">
        <v>3815</v>
      </c>
      <c r="AN429" t="s">
        <v>2059</v>
      </c>
      <c r="AO429" t="s">
        <v>9376</v>
      </c>
      <c r="AP429" t="s">
        <v>7024</v>
      </c>
      <c r="AT429" s="184"/>
      <c r="AW429" s="184"/>
      <c r="AZ429" s="184"/>
      <c r="BP429" s="184"/>
    </row>
    <row r="430" spans="1:68">
      <c r="A430">
        <v>1783570</v>
      </c>
      <c r="B430">
        <v>1783570</v>
      </c>
      <c r="C430" t="s">
        <v>7018</v>
      </c>
      <c r="D430" t="s">
        <v>595</v>
      </c>
      <c r="E430" s="184">
        <v>43642</v>
      </c>
      <c r="G430" s="184"/>
      <c r="K430" s="184"/>
      <c r="O430" s="184"/>
      <c r="P430" t="s">
        <v>7045</v>
      </c>
      <c r="Q430" t="s">
        <v>7020</v>
      </c>
      <c r="R430" s="184">
        <v>3744</v>
      </c>
      <c r="S430">
        <v>114</v>
      </c>
      <c r="U430" t="s">
        <v>7031</v>
      </c>
      <c r="V430" t="s">
        <v>2851</v>
      </c>
      <c r="X430" t="s">
        <v>3168</v>
      </c>
      <c r="AF430" t="s">
        <v>9379</v>
      </c>
      <c r="AG430" t="s">
        <v>2851</v>
      </c>
      <c r="AI430" t="s">
        <v>9380</v>
      </c>
      <c r="AM430" t="s">
        <v>5800</v>
      </c>
      <c r="AN430" t="s">
        <v>2240</v>
      </c>
      <c r="AO430" t="s">
        <v>9381</v>
      </c>
      <c r="AP430" t="s">
        <v>7024</v>
      </c>
      <c r="AT430" s="184">
        <v>32429</v>
      </c>
      <c r="AU430" t="s">
        <v>9382</v>
      </c>
      <c r="AV430">
        <v>25</v>
      </c>
      <c r="AW430" s="184">
        <v>42355</v>
      </c>
      <c r="AX430" t="s">
        <v>9383</v>
      </c>
      <c r="AY430">
        <v>10</v>
      </c>
      <c r="AZ430" s="184">
        <v>34029</v>
      </c>
      <c r="BA430" t="s">
        <v>9384</v>
      </c>
      <c r="BB430">
        <v>25</v>
      </c>
      <c r="BC430">
        <v>71</v>
      </c>
      <c r="BD430">
        <v>440</v>
      </c>
      <c r="BE430">
        <v>1989</v>
      </c>
      <c r="BF430">
        <v>28</v>
      </c>
      <c r="BI430">
        <v>26</v>
      </c>
      <c r="BJ430">
        <v>37</v>
      </c>
      <c r="BK430">
        <v>11</v>
      </c>
      <c r="BP430" s="184"/>
    </row>
    <row r="431" spans="1:68">
      <c r="A431">
        <v>1786474</v>
      </c>
      <c r="B431">
        <v>1786474</v>
      </c>
      <c r="C431" t="s">
        <v>7018</v>
      </c>
      <c r="D431" t="s">
        <v>595</v>
      </c>
      <c r="E431" s="184">
        <v>43970</v>
      </c>
      <c r="G431" s="184"/>
      <c r="K431" s="184"/>
      <c r="M431" s="184"/>
      <c r="O431" s="184"/>
      <c r="P431" t="s">
        <v>7045</v>
      </c>
      <c r="Q431" t="s">
        <v>7160</v>
      </c>
      <c r="R431" s="184">
        <v>15780</v>
      </c>
      <c r="S431">
        <v>81</v>
      </c>
      <c r="U431" t="s">
        <v>7032</v>
      </c>
      <c r="V431" t="s">
        <v>3783</v>
      </c>
      <c r="W431" t="s">
        <v>3951</v>
      </c>
      <c r="X431" t="s">
        <v>9385</v>
      </c>
      <c r="Z431">
        <v>101070752</v>
      </c>
      <c r="AB431" t="s">
        <v>7799</v>
      </c>
      <c r="AD431" t="s">
        <v>9385</v>
      </c>
      <c r="AF431" t="s">
        <v>9386</v>
      </c>
      <c r="AG431" t="s">
        <v>9387</v>
      </c>
      <c r="AI431" t="s">
        <v>9388</v>
      </c>
      <c r="AM431" t="s">
        <v>9389</v>
      </c>
      <c r="AN431" t="s">
        <v>2395</v>
      </c>
      <c r="AO431" t="s">
        <v>9390</v>
      </c>
      <c r="AP431" t="s">
        <v>7024</v>
      </c>
      <c r="AQ431" t="s">
        <v>9391</v>
      </c>
      <c r="AT431" s="184">
        <v>32434</v>
      </c>
      <c r="AU431" t="s">
        <v>9392</v>
      </c>
      <c r="AV431">
        <v>25</v>
      </c>
      <c r="AW431" s="184">
        <v>45138</v>
      </c>
      <c r="AX431" t="s">
        <v>9182</v>
      </c>
      <c r="AY431">
        <v>50</v>
      </c>
      <c r="AZ431" s="184">
        <v>42010</v>
      </c>
      <c r="BA431" t="s">
        <v>9393</v>
      </c>
      <c r="BB431">
        <v>249</v>
      </c>
      <c r="BC431">
        <v>84</v>
      </c>
      <c r="BD431">
        <v>4707</v>
      </c>
      <c r="BE431">
        <v>1989</v>
      </c>
      <c r="BF431">
        <v>50</v>
      </c>
      <c r="BG431">
        <v>2</v>
      </c>
      <c r="BH431">
        <v>125</v>
      </c>
      <c r="BI431">
        <v>31</v>
      </c>
      <c r="BJ431">
        <v>37</v>
      </c>
      <c r="BK431">
        <v>14</v>
      </c>
    </row>
    <row r="432" spans="1:68">
      <c r="A432">
        <v>1799436</v>
      </c>
      <c r="B432">
        <v>1799436</v>
      </c>
      <c r="C432" t="s">
        <v>7018</v>
      </c>
      <c r="E432" s="184"/>
      <c r="F432" t="s">
        <v>595</v>
      </c>
      <c r="G432" s="184">
        <v>43640</v>
      </c>
      <c r="K432" s="184"/>
      <c r="L432" t="s">
        <v>595</v>
      </c>
      <c r="M432" s="184">
        <v>44923</v>
      </c>
      <c r="O432" s="184"/>
      <c r="P432" t="s">
        <v>7084</v>
      </c>
      <c r="Q432" t="s">
        <v>7383</v>
      </c>
      <c r="R432" s="184">
        <v>14512</v>
      </c>
      <c r="S432">
        <v>84</v>
      </c>
      <c r="U432" t="s">
        <v>7031</v>
      </c>
      <c r="V432" t="s">
        <v>2992</v>
      </c>
      <c r="X432" t="s">
        <v>3020</v>
      </c>
      <c r="AF432" t="s">
        <v>9394</v>
      </c>
      <c r="AG432" t="s">
        <v>2992</v>
      </c>
      <c r="AI432" t="s">
        <v>9395</v>
      </c>
      <c r="AM432" t="s">
        <v>3021</v>
      </c>
      <c r="AN432" t="s">
        <v>2162</v>
      </c>
      <c r="AO432" t="s">
        <v>9396</v>
      </c>
      <c r="AP432" t="s">
        <v>7024</v>
      </c>
      <c r="AQ432" t="s">
        <v>9397</v>
      </c>
      <c r="AR432" t="s">
        <v>9398</v>
      </c>
      <c r="AT432" s="184">
        <v>32461</v>
      </c>
      <c r="AU432" t="s">
        <v>9399</v>
      </c>
      <c r="AV432">
        <v>25</v>
      </c>
      <c r="AW432" s="184">
        <v>45426</v>
      </c>
      <c r="AX432" t="s">
        <v>7422</v>
      </c>
      <c r="AY432">
        <v>20.16</v>
      </c>
      <c r="AZ432" s="184">
        <v>44922</v>
      </c>
      <c r="BA432" t="s">
        <v>7506</v>
      </c>
      <c r="BB432">
        <v>11443.26</v>
      </c>
      <c r="BC432">
        <v>73</v>
      </c>
      <c r="BD432">
        <v>14939.74</v>
      </c>
      <c r="BE432">
        <v>1989</v>
      </c>
      <c r="BF432">
        <v>160</v>
      </c>
      <c r="BG432">
        <v>26</v>
      </c>
      <c r="BH432">
        <v>11947.26</v>
      </c>
      <c r="BI432">
        <v>27</v>
      </c>
      <c r="BJ432">
        <v>37</v>
      </c>
      <c r="BK432">
        <v>14</v>
      </c>
      <c r="BP432" s="184"/>
    </row>
    <row r="433" spans="1:68">
      <c r="A433">
        <v>1799600</v>
      </c>
      <c r="B433">
        <v>1799600</v>
      </c>
      <c r="C433" t="s">
        <v>7018</v>
      </c>
      <c r="E433" s="184"/>
      <c r="F433" t="s">
        <v>595</v>
      </c>
      <c r="G433" s="184">
        <v>44167</v>
      </c>
      <c r="K433" s="184"/>
      <c r="O433" s="184"/>
      <c r="P433" t="s">
        <v>7045</v>
      </c>
      <c r="Q433" t="s">
        <v>7383</v>
      </c>
      <c r="R433" s="184">
        <v>18398</v>
      </c>
      <c r="S433">
        <v>74</v>
      </c>
      <c r="U433" t="s">
        <v>7076</v>
      </c>
      <c r="V433" t="s">
        <v>2600</v>
      </c>
      <c r="W433" t="s">
        <v>3830</v>
      </c>
      <c r="X433" t="s">
        <v>9400</v>
      </c>
      <c r="AF433" t="s">
        <v>9401</v>
      </c>
      <c r="AG433" t="s">
        <v>2600</v>
      </c>
      <c r="AI433" t="s">
        <v>9402</v>
      </c>
      <c r="AM433" t="s">
        <v>8981</v>
      </c>
      <c r="AN433" t="s">
        <v>2064</v>
      </c>
      <c r="AO433" t="s">
        <v>9403</v>
      </c>
      <c r="AP433" t="s">
        <v>7024</v>
      </c>
      <c r="AQ433" t="s">
        <v>9404</v>
      </c>
      <c r="AT433" s="184">
        <v>32461</v>
      </c>
      <c r="AU433" t="s">
        <v>9405</v>
      </c>
      <c r="AV433">
        <v>22</v>
      </c>
      <c r="AW433" s="184">
        <v>45286</v>
      </c>
      <c r="AX433" t="s">
        <v>9406</v>
      </c>
      <c r="AY433">
        <v>10</v>
      </c>
      <c r="AZ433" s="184">
        <v>34677</v>
      </c>
      <c r="BA433" t="s">
        <v>9407</v>
      </c>
      <c r="BB433">
        <v>30</v>
      </c>
      <c r="BC433">
        <v>82</v>
      </c>
      <c r="BD433">
        <v>822.16</v>
      </c>
      <c r="BE433">
        <v>1989</v>
      </c>
      <c r="BF433">
        <v>37</v>
      </c>
      <c r="BG433">
        <v>3</v>
      </c>
      <c r="BH433">
        <v>60</v>
      </c>
      <c r="BI433">
        <v>30</v>
      </c>
      <c r="BJ433">
        <v>37</v>
      </c>
      <c r="BK433">
        <v>13</v>
      </c>
    </row>
    <row r="434" spans="1:68">
      <c r="A434">
        <v>1803097</v>
      </c>
      <c r="B434">
        <v>1803097</v>
      </c>
      <c r="C434" t="s">
        <v>7018</v>
      </c>
      <c r="E434" s="184"/>
      <c r="J434" t="s">
        <v>595</v>
      </c>
      <c r="K434" s="184">
        <v>44353</v>
      </c>
      <c r="O434" s="184"/>
      <c r="P434" t="s">
        <v>7029</v>
      </c>
      <c r="Q434" t="s">
        <v>7374</v>
      </c>
      <c r="R434" s="184">
        <v>13032</v>
      </c>
      <c r="S434">
        <v>88</v>
      </c>
      <c r="U434" t="s">
        <v>7130</v>
      </c>
      <c r="V434" t="s">
        <v>3131</v>
      </c>
      <c r="W434" t="s">
        <v>9408</v>
      </c>
      <c r="X434" t="s">
        <v>3111</v>
      </c>
      <c r="AF434" t="s">
        <v>9409</v>
      </c>
      <c r="AG434" t="s">
        <v>3131</v>
      </c>
      <c r="AI434" t="s">
        <v>9410</v>
      </c>
      <c r="AM434" t="s">
        <v>9411</v>
      </c>
      <c r="AN434" t="s">
        <v>2081</v>
      </c>
      <c r="AO434" t="s">
        <v>9412</v>
      </c>
      <c r="AP434" t="s">
        <v>7024</v>
      </c>
      <c r="AQ434" t="s">
        <v>9413</v>
      </c>
      <c r="AT434" s="184">
        <v>32464</v>
      </c>
      <c r="AU434" t="s">
        <v>9414</v>
      </c>
      <c r="AV434">
        <v>25</v>
      </c>
      <c r="AW434" s="184">
        <v>44272</v>
      </c>
      <c r="AX434" t="s">
        <v>9415</v>
      </c>
      <c r="AY434">
        <v>100</v>
      </c>
      <c r="AZ434" s="184">
        <v>44243</v>
      </c>
      <c r="BA434" t="s">
        <v>9416</v>
      </c>
      <c r="BB434">
        <v>1000</v>
      </c>
      <c r="BC434">
        <v>76</v>
      </c>
      <c r="BD434">
        <v>8287</v>
      </c>
      <c r="BE434">
        <v>1989</v>
      </c>
      <c r="BF434">
        <v>70</v>
      </c>
      <c r="BI434">
        <v>28</v>
      </c>
      <c r="BJ434">
        <v>37</v>
      </c>
      <c r="BK434">
        <v>15</v>
      </c>
      <c r="BP434" s="184"/>
    </row>
    <row r="435" spans="1:68">
      <c r="A435">
        <v>1803402</v>
      </c>
      <c r="B435">
        <v>1803402</v>
      </c>
      <c r="C435" t="s">
        <v>7018</v>
      </c>
      <c r="E435" s="184"/>
      <c r="J435" t="s">
        <v>595</v>
      </c>
      <c r="K435" s="184">
        <v>39150</v>
      </c>
      <c r="O435" s="184"/>
      <c r="P435" t="s">
        <v>7045</v>
      </c>
      <c r="Q435" t="s">
        <v>7020</v>
      </c>
      <c r="R435" s="184">
        <v>20486</v>
      </c>
      <c r="S435">
        <v>68</v>
      </c>
      <c r="U435" t="s">
        <v>7094</v>
      </c>
      <c r="V435" t="s">
        <v>4523</v>
      </c>
      <c r="W435" t="s">
        <v>3226</v>
      </c>
      <c r="X435" t="s">
        <v>9417</v>
      </c>
      <c r="AF435" t="s">
        <v>6436</v>
      </c>
      <c r="AG435" t="s">
        <v>4523</v>
      </c>
      <c r="AI435" t="s">
        <v>9418</v>
      </c>
      <c r="AM435" t="s">
        <v>3262</v>
      </c>
      <c r="AN435" t="s">
        <v>2112</v>
      </c>
      <c r="AO435" t="s">
        <v>9419</v>
      </c>
      <c r="AP435" t="s">
        <v>7024</v>
      </c>
      <c r="AT435" s="184">
        <v>32464</v>
      </c>
      <c r="AU435" t="s">
        <v>9420</v>
      </c>
      <c r="AV435">
        <v>25</v>
      </c>
      <c r="AW435" s="184">
        <v>45383</v>
      </c>
      <c r="AX435" t="s">
        <v>9421</v>
      </c>
      <c r="AY435">
        <v>25</v>
      </c>
      <c r="AZ435" s="184">
        <v>45383</v>
      </c>
      <c r="BA435" t="s">
        <v>9421</v>
      </c>
      <c r="BB435">
        <v>25</v>
      </c>
      <c r="BC435">
        <v>92</v>
      </c>
      <c r="BD435">
        <v>1122</v>
      </c>
      <c r="BE435">
        <v>1989</v>
      </c>
      <c r="BF435">
        <v>70</v>
      </c>
      <c r="BG435">
        <v>3</v>
      </c>
      <c r="BH435">
        <v>75</v>
      </c>
      <c r="BI435">
        <v>34</v>
      </c>
      <c r="BJ435">
        <v>37</v>
      </c>
      <c r="BK435">
        <v>13</v>
      </c>
      <c r="BP435" s="184"/>
    </row>
    <row r="436" spans="1:68">
      <c r="A436">
        <v>1803816</v>
      </c>
      <c r="B436">
        <v>1803816</v>
      </c>
      <c r="C436" t="s">
        <v>7018</v>
      </c>
      <c r="E436" s="184"/>
      <c r="G436" s="184"/>
      <c r="K436" s="184"/>
      <c r="N436" t="s">
        <v>595</v>
      </c>
      <c r="O436" s="184">
        <v>41652</v>
      </c>
      <c r="P436" t="s">
        <v>7045</v>
      </c>
      <c r="Q436" t="s">
        <v>7383</v>
      </c>
      <c r="R436" s="184">
        <v>14374</v>
      </c>
      <c r="S436">
        <v>85</v>
      </c>
      <c r="U436" t="s">
        <v>7130</v>
      </c>
      <c r="V436" t="s">
        <v>2742</v>
      </c>
      <c r="X436" t="s">
        <v>2740</v>
      </c>
      <c r="Z436">
        <v>100013214</v>
      </c>
      <c r="AA436" t="s">
        <v>7031</v>
      </c>
      <c r="AB436" t="s">
        <v>2739</v>
      </c>
      <c r="AD436" t="s">
        <v>2740</v>
      </c>
      <c r="AF436" t="s">
        <v>9422</v>
      </c>
      <c r="AG436" t="s">
        <v>9423</v>
      </c>
      <c r="AI436" t="s">
        <v>9424</v>
      </c>
      <c r="AM436" t="s">
        <v>2741</v>
      </c>
      <c r="AN436" t="s">
        <v>2162</v>
      </c>
      <c r="AO436" t="s">
        <v>9425</v>
      </c>
      <c r="AP436" t="s">
        <v>7024</v>
      </c>
      <c r="AT436" s="184">
        <v>32468</v>
      </c>
      <c r="AU436" t="s">
        <v>9426</v>
      </c>
      <c r="AV436">
        <v>25</v>
      </c>
      <c r="AW436" s="184">
        <v>43543</v>
      </c>
      <c r="AX436" t="s">
        <v>9427</v>
      </c>
      <c r="AY436">
        <v>25000</v>
      </c>
      <c r="AZ436" s="184">
        <v>43543</v>
      </c>
      <c r="BA436" t="s">
        <v>9427</v>
      </c>
      <c r="BB436">
        <v>25000</v>
      </c>
      <c r="BC436">
        <v>87</v>
      </c>
      <c r="BD436">
        <v>105697</v>
      </c>
      <c r="BE436">
        <v>1989</v>
      </c>
      <c r="BF436">
        <v>51</v>
      </c>
      <c r="BI436">
        <v>32</v>
      </c>
      <c r="BJ436">
        <v>37</v>
      </c>
      <c r="BK436">
        <v>32</v>
      </c>
      <c r="BN436" t="s">
        <v>595</v>
      </c>
      <c r="BP436" s="184"/>
    </row>
    <row r="437" spans="1:68">
      <c r="A437">
        <v>100013214</v>
      </c>
      <c r="B437">
        <v>1803816</v>
      </c>
      <c r="C437" t="s">
        <v>7018</v>
      </c>
      <c r="E437" s="184"/>
      <c r="G437" s="184"/>
      <c r="K437" s="184"/>
      <c r="N437" t="s">
        <v>595</v>
      </c>
      <c r="O437" s="184">
        <v>41652</v>
      </c>
      <c r="P437" t="s">
        <v>7045</v>
      </c>
      <c r="Q437" t="s">
        <v>7383</v>
      </c>
      <c r="R437" s="184">
        <v>13675</v>
      </c>
      <c r="S437">
        <v>86</v>
      </c>
      <c r="U437" t="s">
        <v>7031</v>
      </c>
      <c r="V437" t="s">
        <v>2739</v>
      </c>
      <c r="X437" t="s">
        <v>2740</v>
      </c>
      <c r="Z437">
        <v>1803816</v>
      </c>
      <c r="AA437" t="s">
        <v>7130</v>
      </c>
      <c r="AB437" t="s">
        <v>2742</v>
      </c>
      <c r="AD437" t="s">
        <v>2740</v>
      </c>
      <c r="AF437" t="s">
        <v>9422</v>
      </c>
      <c r="AG437" t="s">
        <v>9423</v>
      </c>
      <c r="AI437" t="s">
        <v>9424</v>
      </c>
      <c r="AM437" t="s">
        <v>2741</v>
      </c>
      <c r="AN437" t="s">
        <v>2162</v>
      </c>
      <c r="AO437" t="s">
        <v>9425</v>
      </c>
      <c r="AP437" t="s">
        <v>7024</v>
      </c>
      <c r="AQ437" t="s">
        <v>9428</v>
      </c>
      <c r="AT437" s="184"/>
      <c r="AW437" s="184"/>
      <c r="AZ437" s="184"/>
      <c r="BP437" s="184"/>
    </row>
    <row r="438" spans="1:68">
      <c r="A438">
        <v>1805704</v>
      </c>
      <c r="B438">
        <v>1805704</v>
      </c>
      <c r="C438" t="s">
        <v>7018</v>
      </c>
      <c r="D438" t="s">
        <v>595</v>
      </c>
      <c r="E438" s="184">
        <v>45166</v>
      </c>
      <c r="I438" s="184"/>
      <c r="K438" s="184"/>
      <c r="P438" t="s">
        <v>7045</v>
      </c>
      <c r="Q438" t="s">
        <v>7383</v>
      </c>
      <c r="R438" s="184">
        <v>23108</v>
      </c>
      <c r="S438">
        <v>61</v>
      </c>
      <c r="U438" t="s">
        <v>7076</v>
      </c>
      <c r="V438" t="s">
        <v>2954</v>
      </c>
      <c r="W438" t="s">
        <v>3226</v>
      </c>
      <c r="X438" t="s">
        <v>9429</v>
      </c>
      <c r="AF438" t="s">
        <v>9430</v>
      </c>
      <c r="AG438" t="s">
        <v>2954</v>
      </c>
      <c r="AI438" t="s">
        <v>9431</v>
      </c>
      <c r="AM438" t="s">
        <v>9432</v>
      </c>
      <c r="AN438" t="s">
        <v>2313</v>
      </c>
      <c r="AO438" t="s">
        <v>9433</v>
      </c>
      <c r="AP438" t="s">
        <v>7024</v>
      </c>
      <c r="AQ438" t="s">
        <v>9434</v>
      </c>
      <c r="AR438" t="s">
        <v>9435</v>
      </c>
      <c r="AT438" s="184">
        <v>32469</v>
      </c>
      <c r="AU438" t="s">
        <v>9436</v>
      </c>
      <c r="AV438">
        <v>25</v>
      </c>
      <c r="AW438" s="184">
        <v>45407</v>
      </c>
      <c r="AX438" t="s">
        <v>9437</v>
      </c>
      <c r="AY438">
        <v>50</v>
      </c>
      <c r="AZ438" s="184">
        <v>33389</v>
      </c>
      <c r="BA438" t="s">
        <v>9438</v>
      </c>
      <c r="BB438">
        <v>60</v>
      </c>
      <c r="BC438">
        <v>92</v>
      </c>
      <c r="BD438">
        <v>1240</v>
      </c>
      <c r="BE438">
        <v>1989</v>
      </c>
      <c r="BF438">
        <v>34</v>
      </c>
      <c r="BG438">
        <v>2</v>
      </c>
      <c r="BH438">
        <v>100</v>
      </c>
      <c r="BI438">
        <v>34</v>
      </c>
      <c r="BJ438">
        <v>37</v>
      </c>
      <c r="BK438">
        <v>31</v>
      </c>
      <c r="BN438" t="s">
        <v>595</v>
      </c>
    </row>
    <row r="439" spans="1:68">
      <c r="A439">
        <v>1806744</v>
      </c>
      <c r="B439">
        <v>1806744</v>
      </c>
      <c r="C439" t="s">
        <v>7018</v>
      </c>
      <c r="D439" t="s">
        <v>595</v>
      </c>
      <c r="E439" s="184">
        <v>44073</v>
      </c>
      <c r="G439" s="184"/>
      <c r="J439" t="s">
        <v>595</v>
      </c>
      <c r="K439" s="184">
        <v>45377</v>
      </c>
      <c r="P439" t="s">
        <v>7045</v>
      </c>
      <c r="Q439" t="s">
        <v>7262</v>
      </c>
      <c r="R439" s="184">
        <v>16846</v>
      </c>
      <c r="S439">
        <v>78</v>
      </c>
      <c r="U439" t="s">
        <v>7031</v>
      </c>
      <c r="V439" t="s">
        <v>3035</v>
      </c>
      <c r="W439" t="s">
        <v>7248</v>
      </c>
      <c r="X439" t="s">
        <v>2864</v>
      </c>
      <c r="AF439" t="s">
        <v>9439</v>
      </c>
      <c r="AG439" t="s">
        <v>3035</v>
      </c>
      <c r="AI439" t="s">
        <v>9440</v>
      </c>
      <c r="AM439" t="s">
        <v>9441</v>
      </c>
      <c r="AN439" t="s">
        <v>2106</v>
      </c>
      <c r="AO439" t="s">
        <v>9442</v>
      </c>
      <c r="AP439" t="s">
        <v>7024</v>
      </c>
      <c r="AQ439" t="s">
        <v>9443</v>
      </c>
      <c r="AT439" s="184">
        <v>32470</v>
      </c>
      <c r="AU439" t="s">
        <v>9444</v>
      </c>
      <c r="AV439">
        <v>25</v>
      </c>
      <c r="AW439" s="184">
        <v>45315</v>
      </c>
      <c r="AX439" t="s">
        <v>9445</v>
      </c>
      <c r="AY439">
        <v>75</v>
      </c>
      <c r="AZ439" s="184">
        <v>45315</v>
      </c>
      <c r="BA439" t="s">
        <v>9445</v>
      </c>
      <c r="BB439">
        <v>75</v>
      </c>
      <c r="BC439">
        <v>71</v>
      </c>
      <c r="BD439">
        <v>1500</v>
      </c>
      <c r="BE439">
        <v>1989</v>
      </c>
      <c r="BF439">
        <v>30</v>
      </c>
      <c r="BG439">
        <v>2</v>
      </c>
      <c r="BH439">
        <v>150</v>
      </c>
      <c r="BI439">
        <v>26</v>
      </c>
      <c r="BJ439">
        <v>37</v>
      </c>
      <c r="BK439">
        <v>10</v>
      </c>
      <c r="BN439" t="s">
        <v>595</v>
      </c>
      <c r="BP439" s="184"/>
    </row>
    <row r="440" spans="1:68">
      <c r="A440">
        <v>1814300</v>
      </c>
      <c r="B440">
        <v>1814300</v>
      </c>
      <c r="C440" t="s">
        <v>7018</v>
      </c>
      <c r="E440" s="184"/>
      <c r="I440" s="184"/>
      <c r="J440" t="s">
        <v>595</v>
      </c>
      <c r="K440" s="184">
        <v>44104</v>
      </c>
      <c r="P440" t="s">
        <v>7045</v>
      </c>
      <c r="Q440" t="s">
        <v>7454</v>
      </c>
      <c r="R440" s="184">
        <v>15342</v>
      </c>
      <c r="S440">
        <v>82</v>
      </c>
      <c r="U440" t="s">
        <v>7031</v>
      </c>
      <c r="V440" t="s">
        <v>9446</v>
      </c>
      <c r="W440" t="s">
        <v>8146</v>
      </c>
      <c r="X440" t="s">
        <v>9447</v>
      </c>
      <c r="AF440" t="s">
        <v>9448</v>
      </c>
      <c r="AG440" t="s">
        <v>9446</v>
      </c>
      <c r="AI440" t="s">
        <v>9449</v>
      </c>
      <c r="AM440" t="s">
        <v>4076</v>
      </c>
      <c r="AN440" t="s">
        <v>2055</v>
      </c>
      <c r="AO440" t="s">
        <v>9450</v>
      </c>
      <c r="AP440" t="s">
        <v>7024</v>
      </c>
      <c r="AQ440" t="s">
        <v>9451</v>
      </c>
      <c r="AR440" t="s">
        <v>9452</v>
      </c>
      <c r="AT440" s="184">
        <v>32485</v>
      </c>
      <c r="AU440" t="s">
        <v>9453</v>
      </c>
      <c r="AV440">
        <v>25</v>
      </c>
      <c r="AW440" s="184">
        <v>45218</v>
      </c>
      <c r="AX440" t="s">
        <v>9454</v>
      </c>
      <c r="AY440">
        <v>100</v>
      </c>
      <c r="AZ440" s="184">
        <v>42297</v>
      </c>
      <c r="BA440" t="s">
        <v>7685</v>
      </c>
      <c r="BB440">
        <v>200</v>
      </c>
      <c r="BC440">
        <v>92</v>
      </c>
      <c r="BD440">
        <v>2855</v>
      </c>
      <c r="BE440">
        <v>1989</v>
      </c>
      <c r="BF440">
        <v>40</v>
      </c>
      <c r="BG440">
        <v>2</v>
      </c>
      <c r="BH440">
        <v>200</v>
      </c>
      <c r="BI440">
        <v>34</v>
      </c>
      <c r="BJ440">
        <v>37</v>
      </c>
      <c r="BK440">
        <v>22</v>
      </c>
    </row>
    <row r="441" spans="1:68">
      <c r="A441">
        <v>1814920</v>
      </c>
      <c r="B441">
        <v>1814920</v>
      </c>
      <c r="C441" t="s">
        <v>7018</v>
      </c>
      <c r="E441" s="184"/>
      <c r="G441" s="184"/>
      <c r="J441" t="s">
        <v>595</v>
      </c>
      <c r="K441" s="184">
        <v>38734</v>
      </c>
      <c r="P441" t="s">
        <v>7045</v>
      </c>
      <c r="Q441" t="s">
        <v>7030</v>
      </c>
      <c r="R441" s="184">
        <v>14439</v>
      </c>
      <c r="S441">
        <v>84</v>
      </c>
      <c r="U441" t="s">
        <v>7031</v>
      </c>
      <c r="V441" t="s">
        <v>3235</v>
      </c>
      <c r="W441" t="s">
        <v>8140</v>
      </c>
      <c r="X441" t="s">
        <v>2518</v>
      </c>
      <c r="AF441" t="s">
        <v>6161</v>
      </c>
      <c r="AG441" t="s">
        <v>3235</v>
      </c>
      <c r="AI441" t="s">
        <v>9455</v>
      </c>
      <c r="AM441" t="s">
        <v>9456</v>
      </c>
      <c r="AN441" t="s">
        <v>2089</v>
      </c>
      <c r="AO441" t="s">
        <v>9457</v>
      </c>
      <c r="AP441" t="s">
        <v>7024</v>
      </c>
      <c r="AQ441" t="s">
        <v>9458</v>
      </c>
      <c r="AR441" t="s">
        <v>9459</v>
      </c>
      <c r="AT441" s="184">
        <v>32486</v>
      </c>
      <c r="AU441" t="s">
        <v>9460</v>
      </c>
      <c r="AV441">
        <v>25</v>
      </c>
      <c r="AW441" s="184">
        <v>45118</v>
      </c>
      <c r="AX441" t="s">
        <v>9461</v>
      </c>
      <c r="AY441">
        <v>100</v>
      </c>
      <c r="AZ441" s="184">
        <v>40704</v>
      </c>
      <c r="BA441" t="s">
        <v>9462</v>
      </c>
      <c r="BB441">
        <v>125</v>
      </c>
      <c r="BC441">
        <v>87</v>
      </c>
      <c r="BD441">
        <v>4155</v>
      </c>
      <c r="BE441">
        <v>1989</v>
      </c>
      <c r="BF441">
        <v>55</v>
      </c>
      <c r="BG441">
        <v>2</v>
      </c>
      <c r="BH441">
        <v>200</v>
      </c>
      <c r="BI441">
        <v>32</v>
      </c>
      <c r="BJ441">
        <v>37</v>
      </c>
      <c r="BK441">
        <v>26</v>
      </c>
      <c r="BP441" s="184"/>
    </row>
    <row r="442" spans="1:68">
      <c r="A442">
        <v>1815307</v>
      </c>
      <c r="B442">
        <v>1815307</v>
      </c>
      <c r="C442" t="s">
        <v>7018</v>
      </c>
      <c r="D442" t="s">
        <v>595</v>
      </c>
      <c r="E442" s="184">
        <v>43971</v>
      </c>
      <c r="G442" s="184"/>
      <c r="I442" s="184"/>
      <c r="K442" s="184"/>
      <c r="P442" t="s">
        <v>7045</v>
      </c>
      <c r="Q442" t="s">
        <v>7374</v>
      </c>
      <c r="R442" s="184">
        <v>17533</v>
      </c>
      <c r="S442">
        <v>76</v>
      </c>
      <c r="V442" t="s">
        <v>3868</v>
      </c>
      <c r="X442" t="s">
        <v>9463</v>
      </c>
      <c r="AF442" t="s">
        <v>9464</v>
      </c>
      <c r="AG442" t="s">
        <v>3868</v>
      </c>
      <c r="AI442" t="s">
        <v>9465</v>
      </c>
      <c r="AM442" t="s">
        <v>5703</v>
      </c>
      <c r="AN442" t="s">
        <v>2081</v>
      </c>
      <c r="AO442" t="s">
        <v>9466</v>
      </c>
      <c r="AP442" t="s">
        <v>7024</v>
      </c>
      <c r="AT442" s="184">
        <v>32486</v>
      </c>
      <c r="AU442" t="s">
        <v>9467</v>
      </c>
      <c r="AV442">
        <v>25</v>
      </c>
      <c r="AW442" s="184">
        <v>42530</v>
      </c>
      <c r="AX442" t="s">
        <v>9468</v>
      </c>
      <c r="AY442">
        <v>25</v>
      </c>
      <c r="AZ442" s="184">
        <v>38139</v>
      </c>
      <c r="BA442" t="s">
        <v>9469</v>
      </c>
      <c r="BB442">
        <v>60</v>
      </c>
      <c r="BC442">
        <v>71</v>
      </c>
      <c r="BD442">
        <v>975</v>
      </c>
      <c r="BE442">
        <v>1989</v>
      </c>
      <c r="BF442">
        <v>38</v>
      </c>
      <c r="BI442">
        <v>26</v>
      </c>
      <c r="BJ442">
        <v>37</v>
      </c>
      <c r="BK442">
        <v>10</v>
      </c>
      <c r="BP442" s="184"/>
    </row>
    <row r="443" spans="1:68">
      <c r="A443">
        <v>1818012</v>
      </c>
      <c r="B443">
        <v>1818012</v>
      </c>
      <c r="C443" t="s">
        <v>7018</v>
      </c>
      <c r="D443" t="s">
        <v>595</v>
      </c>
      <c r="E443" s="184">
        <v>44104</v>
      </c>
      <c r="G443" s="184"/>
      <c r="I443" s="184"/>
      <c r="K443" s="184"/>
      <c r="P443" t="s">
        <v>7045</v>
      </c>
      <c r="Q443" t="s">
        <v>7454</v>
      </c>
      <c r="R443" s="184">
        <v>13033</v>
      </c>
      <c r="S443">
        <v>88</v>
      </c>
      <c r="V443" t="s">
        <v>9470</v>
      </c>
      <c r="X443" t="s">
        <v>9471</v>
      </c>
      <c r="AF443" t="s">
        <v>9472</v>
      </c>
      <c r="AG443" t="s">
        <v>9470</v>
      </c>
      <c r="AI443" t="s">
        <v>9473</v>
      </c>
      <c r="AM443" t="s">
        <v>9474</v>
      </c>
      <c r="AN443" t="s">
        <v>2055</v>
      </c>
      <c r="AO443" t="s">
        <v>9475</v>
      </c>
      <c r="AP443" t="s">
        <v>7024</v>
      </c>
      <c r="AT443" s="184">
        <v>32489</v>
      </c>
      <c r="AU443" t="s">
        <v>9444</v>
      </c>
      <c r="AV443">
        <v>25</v>
      </c>
      <c r="AW443" s="184">
        <v>44491</v>
      </c>
      <c r="AX443" t="s">
        <v>9476</v>
      </c>
      <c r="AY443">
        <v>25</v>
      </c>
      <c r="AZ443" s="184">
        <v>43626</v>
      </c>
      <c r="BA443" t="s">
        <v>9477</v>
      </c>
      <c r="BB443">
        <v>200</v>
      </c>
      <c r="BC443">
        <v>68</v>
      </c>
      <c r="BD443">
        <v>1060</v>
      </c>
      <c r="BE443">
        <v>1989</v>
      </c>
      <c r="BF443">
        <v>28</v>
      </c>
      <c r="BI443">
        <v>25</v>
      </c>
      <c r="BJ443">
        <v>37</v>
      </c>
      <c r="BK443">
        <v>10</v>
      </c>
      <c r="BP443" s="184"/>
    </row>
    <row r="444" spans="1:68">
      <c r="A444">
        <v>1819028</v>
      </c>
      <c r="B444">
        <v>1819028</v>
      </c>
      <c r="C444" t="s">
        <v>7018</v>
      </c>
      <c r="E444" s="184"/>
      <c r="G444" s="184"/>
      <c r="I444" s="184"/>
      <c r="J444" t="s">
        <v>595</v>
      </c>
      <c r="K444" s="184">
        <v>40886</v>
      </c>
      <c r="P444" t="s">
        <v>7029</v>
      </c>
      <c r="Q444" t="s">
        <v>7030</v>
      </c>
      <c r="R444" s="184">
        <v>19018</v>
      </c>
      <c r="S444">
        <v>72</v>
      </c>
      <c r="U444" t="s">
        <v>7031</v>
      </c>
      <c r="V444" t="s">
        <v>2511</v>
      </c>
      <c r="W444" t="s">
        <v>7085</v>
      </c>
      <c r="X444" t="s">
        <v>2716</v>
      </c>
      <c r="Z444">
        <v>100013311</v>
      </c>
      <c r="AA444" t="s">
        <v>7130</v>
      </c>
      <c r="AB444" t="s">
        <v>2718</v>
      </c>
      <c r="AC444" t="s">
        <v>7107</v>
      </c>
      <c r="AD444" t="s">
        <v>2716</v>
      </c>
      <c r="AF444" t="s">
        <v>9478</v>
      </c>
      <c r="AG444" t="s">
        <v>9479</v>
      </c>
      <c r="AI444" t="s">
        <v>9480</v>
      </c>
      <c r="AM444" t="s">
        <v>2717</v>
      </c>
      <c r="AN444" t="s">
        <v>2089</v>
      </c>
      <c r="AO444" t="s">
        <v>9481</v>
      </c>
      <c r="AP444" t="s">
        <v>7024</v>
      </c>
      <c r="AQ444" t="s">
        <v>9482</v>
      </c>
      <c r="AR444" t="s">
        <v>9483</v>
      </c>
      <c r="AT444" s="184">
        <v>32489</v>
      </c>
      <c r="AU444" t="s">
        <v>9484</v>
      </c>
      <c r="AV444">
        <v>25</v>
      </c>
      <c r="AW444" s="184">
        <v>45418</v>
      </c>
      <c r="AX444" t="s">
        <v>7749</v>
      </c>
      <c r="AY444">
        <v>500</v>
      </c>
      <c r="AZ444" s="184">
        <v>39461</v>
      </c>
      <c r="BA444" t="s">
        <v>9485</v>
      </c>
      <c r="BB444">
        <v>12500</v>
      </c>
      <c r="BC444">
        <v>87</v>
      </c>
      <c r="BD444">
        <v>62115</v>
      </c>
      <c r="BE444">
        <v>1989</v>
      </c>
      <c r="BF444">
        <v>164</v>
      </c>
      <c r="BG444">
        <v>5</v>
      </c>
      <c r="BH444">
        <v>1775</v>
      </c>
      <c r="BI444">
        <v>32</v>
      </c>
      <c r="BJ444">
        <v>37</v>
      </c>
      <c r="BK444">
        <v>23</v>
      </c>
      <c r="BM444" t="s">
        <v>595</v>
      </c>
      <c r="BP444" s="184"/>
    </row>
    <row r="445" spans="1:68">
      <c r="A445">
        <v>100013311</v>
      </c>
      <c r="B445">
        <v>1819028</v>
      </c>
      <c r="C445" t="s">
        <v>7018</v>
      </c>
      <c r="E445" s="184"/>
      <c r="I445" s="184"/>
      <c r="J445" t="s">
        <v>595</v>
      </c>
      <c r="K445" s="184">
        <v>43649</v>
      </c>
      <c r="O445" s="184"/>
      <c r="P445" t="s">
        <v>7029</v>
      </c>
      <c r="Q445" t="s">
        <v>7030</v>
      </c>
      <c r="R445" s="184">
        <v>19025</v>
      </c>
      <c r="S445">
        <v>72</v>
      </c>
      <c r="U445" t="s">
        <v>7130</v>
      </c>
      <c r="V445" t="s">
        <v>2718</v>
      </c>
      <c r="W445" t="s">
        <v>7107</v>
      </c>
      <c r="X445" t="s">
        <v>2716</v>
      </c>
      <c r="Z445">
        <v>1819028</v>
      </c>
      <c r="AA445" t="s">
        <v>7031</v>
      </c>
      <c r="AB445" t="s">
        <v>2511</v>
      </c>
      <c r="AC445" t="s">
        <v>7085</v>
      </c>
      <c r="AD445" t="s">
        <v>2716</v>
      </c>
      <c r="AF445" t="s">
        <v>9478</v>
      </c>
      <c r="AG445" t="s">
        <v>9479</v>
      </c>
      <c r="AI445" t="s">
        <v>9480</v>
      </c>
      <c r="AM445" t="s">
        <v>2717</v>
      </c>
      <c r="AN445" t="s">
        <v>2089</v>
      </c>
      <c r="AO445" t="s">
        <v>9481</v>
      </c>
      <c r="AP445" t="s">
        <v>7024</v>
      </c>
      <c r="AT445" s="184"/>
      <c r="AW445" s="184"/>
      <c r="AZ445" s="184"/>
    </row>
    <row r="446" spans="1:68">
      <c r="A446">
        <v>1838002</v>
      </c>
      <c r="B446">
        <v>1838002</v>
      </c>
      <c r="C446" t="s">
        <v>7018</v>
      </c>
      <c r="D446" t="s">
        <v>595</v>
      </c>
      <c r="E446" s="184">
        <v>44073</v>
      </c>
      <c r="G446" s="184"/>
      <c r="K446" s="184"/>
      <c r="M446" s="184"/>
      <c r="P446" t="s">
        <v>7045</v>
      </c>
      <c r="Q446" t="s">
        <v>7020</v>
      </c>
      <c r="R446" s="184">
        <v>18659</v>
      </c>
      <c r="S446">
        <v>73</v>
      </c>
      <c r="U446" t="s">
        <v>7130</v>
      </c>
      <c r="V446" t="s">
        <v>3223</v>
      </c>
      <c r="X446" t="s">
        <v>9486</v>
      </c>
      <c r="AF446" t="s">
        <v>9487</v>
      </c>
      <c r="AG446" t="s">
        <v>3223</v>
      </c>
      <c r="AI446" t="s">
        <v>9488</v>
      </c>
      <c r="AM446" t="s">
        <v>3105</v>
      </c>
      <c r="AN446" t="s">
        <v>2112</v>
      </c>
      <c r="AO446" t="s">
        <v>9489</v>
      </c>
      <c r="AP446" t="s">
        <v>7024</v>
      </c>
      <c r="AQ446" t="s">
        <v>9490</v>
      </c>
      <c r="AR446" t="s">
        <v>9491</v>
      </c>
      <c r="AT446" s="184">
        <v>32545</v>
      </c>
      <c r="AU446" t="s">
        <v>9492</v>
      </c>
      <c r="AV446">
        <v>25</v>
      </c>
      <c r="AW446" s="184">
        <v>44925</v>
      </c>
      <c r="AX446" t="s">
        <v>9493</v>
      </c>
      <c r="AY446">
        <v>50</v>
      </c>
      <c r="AZ446" s="184">
        <v>43802</v>
      </c>
      <c r="BA446" t="s">
        <v>9494</v>
      </c>
      <c r="BB446">
        <v>150</v>
      </c>
      <c r="BC446">
        <v>81</v>
      </c>
      <c r="BD446">
        <v>3862</v>
      </c>
      <c r="BE446">
        <v>1989</v>
      </c>
      <c r="BF446">
        <v>43</v>
      </c>
      <c r="BG446">
        <v>1</v>
      </c>
      <c r="BH446">
        <v>50</v>
      </c>
      <c r="BI446">
        <v>29</v>
      </c>
      <c r="BJ446">
        <v>36</v>
      </c>
      <c r="BK446">
        <v>24</v>
      </c>
      <c r="BP446" s="184"/>
    </row>
    <row r="447" spans="1:68">
      <c r="A447">
        <v>1859958</v>
      </c>
      <c r="B447">
        <v>1859958</v>
      </c>
      <c r="C447" t="s">
        <v>7018</v>
      </c>
      <c r="E447" s="184"/>
      <c r="G447" s="184"/>
      <c r="I447" s="184"/>
      <c r="J447" t="s">
        <v>595</v>
      </c>
      <c r="K447" s="184">
        <v>42432</v>
      </c>
      <c r="P447" t="s">
        <v>7045</v>
      </c>
      <c r="Q447" t="s">
        <v>7454</v>
      </c>
      <c r="R447" s="184">
        <v>17593</v>
      </c>
      <c r="S447">
        <v>76</v>
      </c>
      <c r="V447" t="s">
        <v>2602</v>
      </c>
      <c r="X447" t="s">
        <v>9495</v>
      </c>
      <c r="AF447" t="s">
        <v>6596</v>
      </c>
      <c r="AG447" t="s">
        <v>2602</v>
      </c>
      <c r="AI447" t="s">
        <v>9496</v>
      </c>
      <c r="AM447" t="s">
        <v>4026</v>
      </c>
      <c r="AN447" t="s">
        <v>2055</v>
      </c>
      <c r="AO447" t="s">
        <v>9497</v>
      </c>
      <c r="AP447" t="s">
        <v>7024</v>
      </c>
      <c r="AT447" s="184">
        <v>32498</v>
      </c>
      <c r="AU447" t="s">
        <v>9498</v>
      </c>
      <c r="AV447">
        <v>25</v>
      </c>
      <c r="AW447" s="184">
        <v>45166</v>
      </c>
      <c r="AX447" t="s">
        <v>9499</v>
      </c>
      <c r="AY447">
        <v>50</v>
      </c>
      <c r="AZ447" s="184">
        <v>44378</v>
      </c>
      <c r="BA447" t="s">
        <v>9500</v>
      </c>
      <c r="BB447">
        <v>87</v>
      </c>
      <c r="BC447">
        <v>33</v>
      </c>
      <c r="BD447">
        <v>652</v>
      </c>
      <c r="BE447">
        <v>1989</v>
      </c>
      <c r="BF447">
        <v>15</v>
      </c>
      <c r="BG447">
        <v>1</v>
      </c>
      <c r="BH447">
        <v>50</v>
      </c>
      <c r="BI447">
        <v>12</v>
      </c>
      <c r="BJ447">
        <v>37</v>
      </c>
      <c r="BK447">
        <v>8</v>
      </c>
      <c r="BP447" s="184"/>
    </row>
    <row r="448" spans="1:68">
      <c r="A448">
        <v>1860907</v>
      </c>
      <c r="B448">
        <v>1860907</v>
      </c>
      <c r="C448" t="s">
        <v>7018</v>
      </c>
      <c r="E448" s="184"/>
      <c r="G448" s="184"/>
      <c r="I448" s="184"/>
      <c r="J448" t="s">
        <v>595</v>
      </c>
      <c r="K448" s="184">
        <v>43691</v>
      </c>
      <c r="P448" t="s">
        <v>7084</v>
      </c>
      <c r="Q448" t="s">
        <v>7262</v>
      </c>
      <c r="R448" s="184">
        <v>10659</v>
      </c>
      <c r="S448">
        <v>95</v>
      </c>
      <c r="U448" t="s">
        <v>7076</v>
      </c>
      <c r="V448" t="s">
        <v>9501</v>
      </c>
      <c r="X448" t="s">
        <v>2964</v>
      </c>
      <c r="AF448" t="s">
        <v>5984</v>
      </c>
      <c r="AG448" t="s">
        <v>8972</v>
      </c>
      <c r="AI448" t="s">
        <v>9502</v>
      </c>
      <c r="AM448" t="s">
        <v>9503</v>
      </c>
      <c r="AN448" t="s">
        <v>2106</v>
      </c>
      <c r="AO448" t="s">
        <v>9504</v>
      </c>
      <c r="AP448" t="s">
        <v>7024</v>
      </c>
      <c r="AT448" s="184">
        <v>32506</v>
      </c>
      <c r="AU448" t="s">
        <v>9505</v>
      </c>
      <c r="AV448">
        <v>25</v>
      </c>
      <c r="AW448" s="184">
        <v>43497</v>
      </c>
      <c r="AX448" t="s">
        <v>7348</v>
      </c>
      <c r="AY448">
        <v>10000</v>
      </c>
      <c r="AZ448" s="184">
        <v>43497</v>
      </c>
      <c r="BA448" t="s">
        <v>7348</v>
      </c>
      <c r="BB448">
        <v>10000</v>
      </c>
      <c r="BC448">
        <v>76</v>
      </c>
      <c r="BD448">
        <v>12040</v>
      </c>
      <c r="BE448">
        <v>1989</v>
      </c>
      <c r="BF448">
        <v>43</v>
      </c>
      <c r="BI448">
        <v>28</v>
      </c>
      <c r="BJ448">
        <v>37</v>
      </c>
      <c r="BK448">
        <v>14</v>
      </c>
      <c r="BO448" t="s">
        <v>595</v>
      </c>
      <c r="BP448" s="184"/>
    </row>
    <row r="449" spans="1:68">
      <c r="A449">
        <v>1861079</v>
      </c>
      <c r="B449">
        <v>1861079</v>
      </c>
      <c r="C449" t="s">
        <v>7018</v>
      </c>
      <c r="D449" t="s">
        <v>595</v>
      </c>
      <c r="E449" s="184">
        <v>43647</v>
      </c>
      <c r="G449" s="184"/>
      <c r="I449" s="184"/>
      <c r="K449" s="184"/>
      <c r="O449" s="184"/>
      <c r="P449" t="s">
        <v>7045</v>
      </c>
      <c r="Q449" t="s">
        <v>7383</v>
      </c>
      <c r="R449" s="184">
        <v>17624</v>
      </c>
      <c r="S449">
        <v>76</v>
      </c>
      <c r="U449" t="s">
        <v>7237</v>
      </c>
      <c r="V449" t="s">
        <v>3137</v>
      </c>
      <c r="W449" t="s">
        <v>5006</v>
      </c>
      <c r="X449" t="s">
        <v>3483</v>
      </c>
      <c r="AF449" t="s">
        <v>9506</v>
      </c>
      <c r="AG449" t="s">
        <v>3137</v>
      </c>
      <c r="AI449" t="s">
        <v>9507</v>
      </c>
      <c r="AM449" t="s">
        <v>9508</v>
      </c>
      <c r="AN449" t="s">
        <v>2072</v>
      </c>
      <c r="AO449" t="s">
        <v>9509</v>
      </c>
      <c r="AP449" t="s">
        <v>7024</v>
      </c>
      <c r="AT449" s="184">
        <v>32507</v>
      </c>
      <c r="AU449" t="s">
        <v>7073</v>
      </c>
      <c r="AV449">
        <v>25</v>
      </c>
      <c r="AW449" s="184">
        <v>45328</v>
      </c>
      <c r="AX449" t="s">
        <v>9510</v>
      </c>
      <c r="AY449">
        <v>100</v>
      </c>
      <c r="AZ449" s="184">
        <v>43375</v>
      </c>
      <c r="BA449" t="s">
        <v>9511</v>
      </c>
      <c r="BB449">
        <v>115</v>
      </c>
      <c r="BC449">
        <v>100</v>
      </c>
      <c r="BD449">
        <v>7910</v>
      </c>
      <c r="BE449">
        <v>1989</v>
      </c>
      <c r="BF449">
        <v>124</v>
      </c>
      <c r="BG449">
        <v>4</v>
      </c>
      <c r="BH449">
        <v>400</v>
      </c>
      <c r="BI449">
        <v>37</v>
      </c>
      <c r="BJ449">
        <v>37</v>
      </c>
      <c r="BK449">
        <v>37</v>
      </c>
      <c r="BP449" s="184"/>
    </row>
    <row r="450" spans="1:68">
      <c r="A450">
        <v>1861657</v>
      </c>
      <c r="B450">
        <v>1861657</v>
      </c>
      <c r="C450" t="s">
        <v>7018</v>
      </c>
      <c r="D450" t="s">
        <v>595</v>
      </c>
      <c r="E450" s="184">
        <v>45141</v>
      </c>
      <c r="G450" s="184"/>
      <c r="I450" s="184"/>
      <c r="K450" s="184"/>
      <c r="M450" s="184"/>
      <c r="O450" s="184"/>
      <c r="P450" t="s">
        <v>7045</v>
      </c>
      <c r="Q450" t="s">
        <v>7383</v>
      </c>
      <c r="R450" s="184">
        <v>17018</v>
      </c>
      <c r="S450">
        <v>77</v>
      </c>
      <c r="U450" t="s">
        <v>7031</v>
      </c>
      <c r="V450" t="s">
        <v>3172</v>
      </c>
      <c r="W450" t="s">
        <v>4152</v>
      </c>
      <c r="X450" t="s">
        <v>9512</v>
      </c>
      <c r="AF450" t="s">
        <v>9513</v>
      </c>
      <c r="AG450" t="s">
        <v>3172</v>
      </c>
      <c r="AI450" t="s">
        <v>9514</v>
      </c>
      <c r="AM450" t="s">
        <v>9515</v>
      </c>
      <c r="AN450" t="s">
        <v>2313</v>
      </c>
      <c r="AO450" t="s">
        <v>9516</v>
      </c>
      <c r="AP450" t="s">
        <v>7024</v>
      </c>
      <c r="AQ450" t="s">
        <v>9517</v>
      </c>
      <c r="AT450" s="184">
        <v>32507</v>
      </c>
      <c r="AU450" t="s">
        <v>9518</v>
      </c>
      <c r="AV450">
        <v>5</v>
      </c>
      <c r="AW450" s="184">
        <v>44900</v>
      </c>
      <c r="AX450" t="s">
        <v>9519</v>
      </c>
      <c r="AY450">
        <v>5</v>
      </c>
      <c r="AZ450" s="184">
        <v>43815</v>
      </c>
      <c r="BA450" t="s">
        <v>9520</v>
      </c>
      <c r="BB450">
        <v>20</v>
      </c>
      <c r="BC450">
        <v>28</v>
      </c>
      <c r="BD450">
        <v>135</v>
      </c>
      <c r="BE450">
        <v>1989</v>
      </c>
      <c r="BF450">
        <v>11</v>
      </c>
      <c r="BG450">
        <v>1</v>
      </c>
      <c r="BH450">
        <v>5</v>
      </c>
      <c r="BI450">
        <v>10</v>
      </c>
      <c r="BJ450">
        <v>37</v>
      </c>
      <c r="BK450">
        <v>9</v>
      </c>
      <c r="BP450" s="184"/>
    </row>
    <row r="451" spans="1:68">
      <c r="A451">
        <v>1863455</v>
      </c>
      <c r="B451">
        <v>1863455</v>
      </c>
      <c r="C451" t="s">
        <v>7018</v>
      </c>
      <c r="E451" s="184"/>
      <c r="I451" s="184"/>
      <c r="J451" t="s">
        <v>595</v>
      </c>
      <c r="K451" s="184">
        <v>44699</v>
      </c>
      <c r="M451" s="184"/>
      <c r="P451" t="s">
        <v>7029</v>
      </c>
      <c r="Q451" t="s">
        <v>7383</v>
      </c>
      <c r="R451" s="184">
        <v>15669</v>
      </c>
      <c r="S451">
        <v>81</v>
      </c>
      <c r="U451" t="s">
        <v>7031</v>
      </c>
      <c r="V451" t="s">
        <v>3632</v>
      </c>
      <c r="X451" t="s">
        <v>9521</v>
      </c>
      <c r="Z451">
        <v>100013444</v>
      </c>
      <c r="AA451" t="s">
        <v>7076</v>
      </c>
      <c r="AB451" t="s">
        <v>9522</v>
      </c>
      <c r="AD451" t="s">
        <v>9523</v>
      </c>
      <c r="AF451" t="s">
        <v>9524</v>
      </c>
      <c r="AG451" t="s">
        <v>9525</v>
      </c>
      <c r="AI451" t="s">
        <v>9526</v>
      </c>
      <c r="AM451" t="s">
        <v>9527</v>
      </c>
      <c r="AN451" t="s">
        <v>2162</v>
      </c>
      <c r="AO451" t="s">
        <v>9528</v>
      </c>
      <c r="AP451" t="s">
        <v>7024</v>
      </c>
      <c r="AQ451" t="s">
        <v>9529</v>
      </c>
      <c r="AT451" s="184">
        <v>32511</v>
      </c>
      <c r="AU451" t="s">
        <v>9530</v>
      </c>
      <c r="AV451">
        <v>25</v>
      </c>
      <c r="AW451" s="184">
        <v>45289</v>
      </c>
      <c r="AX451" t="s">
        <v>7382</v>
      </c>
      <c r="AY451">
        <v>600</v>
      </c>
      <c r="AZ451" s="184">
        <v>44953</v>
      </c>
      <c r="BA451" t="s">
        <v>9531</v>
      </c>
      <c r="BB451">
        <v>2000</v>
      </c>
      <c r="BC451">
        <v>12</v>
      </c>
      <c r="BD451">
        <v>4640</v>
      </c>
      <c r="BE451">
        <v>1989</v>
      </c>
      <c r="BF451">
        <v>5</v>
      </c>
      <c r="BG451">
        <v>2</v>
      </c>
      <c r="BH451">
        <v>2600</v>
      </c>
      <c r="BI451">
        <v>4</v>
      </c>
      <c r="BJ451">
        <v>36</v>
      </c>
      <c r="BK451">
        <v>1</v>
      </c>
      <c r="BP451" s="184"/>
    </row>
    <row r="452" spans="1:68">
      <c r="A452">
        <v>100013444</v>
      </c>
      <c r="B452">
        <v>1863455</v>
      </c>
      <c r="C452" t="s">
        <v>7018</v>
      </c>
      <c r="E452" s="184"/>
      <c r="G452" s="184"/>
      <c r="I452" s="184"/>
      <c r="J452" t="s">
        <v>595</v>
      </c>
      <c r="K452" s="184">
        <v>44699</v>
      </c>
      <c r="O452" s="184"/>
      <c r="P452" t="s">
        <v>7029</v>
      </c>
      <c r="Q452" t="s">
        <v>7383</v>
      </c>
      <c r="R452" s="184">
        <v>20024</v>
      </c>
      <c r="S452">
        <v>69</v>
      </c>
      <c r="U452" t="s">
        <v>7076</v>
      </c>
      <c r="V452" t="s">
        <v>9522</v>
      </c>
      <c r="X452" t="s">
        <v>9523</v>
      </c>
      <c r="Z452">
        <v>1863455</v>
      </c>
      <c r="AA452" t="s">
        <v>7031</v>
      </c>
      <c r="AB452" t="s">
        <v>3632</v>
      </c>
      <c r="AD452" t="s">
        <v>9521</v>
      </c>
      <c r="AF452" t="s">
        <v>9524</v>
      </c>
      <c r="AG452" t="s">
        <v>9525</v>
      </c>
      <c r="AI452" t="s">
        <v>9526</v>
      </c>
      <c r="AM452" t="s">
        <v>9527</v>
      </c>
      <c r="AN452" t="s">
        <v>2162</v>
      </c>
      <c r="AO452" t="s">
        <v>9528</v>
      </c>
      <c r="AP452" t="s">
        <v>7024</v>
      </c>
      <c r="AT452" s="184"/>
      <c r="AW452" s="184"/>
      <c r="AZ452" s="184"/>
      <c r="BP452" s="184"/>
    </row>
    <row r="453" spans="1:68">
      <c r="A453">
        <v>1865187</v>
      </c>
      <c r="B453">
        <v>1865187</v>
      </c>
      <c r="C453" t="s">
        <v>7018</v>
      </c>
      <c r="E453" s="184"/>
      <c r="G453" s="184"/>
      <c r="J453" t="s">
        <v>595</v>
      </c>
      <c r="K453" s="184">
        <v>43580</v>
      </c>
      <c r="M453" s="184"/>
      <c r="O453" s="184"/>
      <c r="P453" t="s">
        <v>7084</v>
      </c>
      <c r="Q453" t="s">
        <v>7030</v>
      </c>
      <c r="R453" s="184">
        <v>18507</v>
      </c>
      <c r="S453">
        <v>73</v>
      </c>
      <c r="U453" t="s">
        <v>7076</v>
      </c>
      <c r="V453" t="s">
        <v>2580</v>
      </c>
      <c r="W453" t="s">
        <v>3226</v>
      </c>
      <c r="X453" t="s">
        <v>9532</v>
      </c>
      <c r="AF453" t="s">
        <v>9533</v>
      </c>
      <c r="AG453" t="s">
        <v>2580</v>
      </c>
      <c r="AI453" t="s">
        <v>9534</v>
      </c>
      <c r="AM453" t="s">
        <v>9535</v>
      </c>
      <c r="AN453" t="s">
        <v>2089</v>
      </c>
      <c r="AO453" t="s">
        <v>9536</v>
      </c>
      <c r="AP453" t="s">
        <v>7024</v>
      </c>
      <c r="AQ453" t="s">
        <v>9537</v>
      </c>
      <c r="AR453" t="s">
        <v>9538</v>
      </c>
      <c r="AT453" s="184">
        <v>32512</v>
      </c>
      <c r="AU453" t="s">
        <v>9539</v>
      </c>
      <c r="AV453">
        <v>22</v>
      </c>
      <c r="AW453" s="184">
        <v>44410</v>
      </c>
      <c r="AX453" t="s">
        <v>7093</v>
      </c>
      <c r="AY453">
        <v>55431.11</v>
      </c>
      <c r="AZ453" s="184">
        <v>44410</v>
      </c>
      <c r="BA453" t="s">
        <v>7093</v>
      </c>
      <c r="BB453">
        <v>55431.11</v>
      </c>
      <c r="BC453">
        <v>64</v>
      </c>
      <c r="BD453">
        <v>56073.11</v>
      </c>
      <c r="BE453">
        <v>1989</v>
      </c>
      <c r="BF453">
        <v>24</v>
      </c>
      <c r="BI453">
        <v>23</v>
      </c>
      <c r="BJ453">
        <v>36</v>
      </c>
      <c r="BK453">
        <v>12</v>
      </c>
      <c r="BN453" t="s">
        <v>595</v>
      </c>
      <c r="BO453" t="s">
        <v>595</v>
      </c>
      <c r="BP453" s="184">
        <v>43470</v>
      </c>
    </row>
    <row r="454" spans="1:68">
      <c r="A454">
        <v>1865492</v>
      </c>
      <c r="B454">
        <v>1865492</v>
      </c>
      <c r="C454" t="s">
        <v>7018</v>
      </c>
      <c r="D454" t="s">
        <v>595</v>
      </c>
      <c r="E454" s="184">
        <v>44073</v>
      </c>
      <c r="G454" s="184"/>
      <c r="I454" s="184"/>
      <c r="K454" s="184"/>
      <c r="O454" s="184"/>
      <c r="P454" t="s">
        <v>7019</v>
      </c>
      <c r="Q454" t="s">
        <v>7383</v>
      </c>
      <c r="R454" s="184">
        <v>16620</v>
      </c>
      <c r="S454">
        <v>78</v>
      </c>
      <c r="V454" t="s">
        <v>3411</v>
      </c>
      <c r="X454" t="s">
        <v>3980</v>
      </c>
      <c r="AF454" t="s">
        <v>9540</v>
      </c>
      <c r="AG454" t="s">
        <v>3411</v>
      </c>
      <c r="AI454" t="s">
        <v>9541</v>
      </c>
      <c r="AM454" t="s">
        <v>3488</v>
      </c>
      <c r="AN454" t="s">
        <v>2072</v>
      </c>
      <c r="AO454" t="s">
        <v>9542</v>
      </c>
      <c r="AP454" t="s">
        <v>7024</v>
      </c>
      <c r="AQ454" t="s">
        <v>9543</v>
      </c>
      <c r="AR454" t="s">
        <v>9544</v>
      </c>
      <c r="AT454" s="184">
        <v>32513</v>
      </c>
      <c r="AU454" t="s">
        <v>9530</v>
      </c>
      <c r="AV454">
        <v>25</v>
      </c>
      <c r="AW454" s="184">
        <v>45020</v>
      </c>
      <c r="AX454" t="s">
        <v>8179</v>
      </c>
      <c r="AY454">
        <v>60</v>
      </c>
      <c r="AZ454" s="184">
        <v>42173</v>
      </c>
      <c r="BA454" t="s">
        <v>9545</v>
      </c>
      <c r="BB454">
        <v>1000</v>
      </c>
      <c r="BC454">
        <v>59</v>
      </c>
      <c r="BD454">
        <v>2960</v>
      </c>
      <c r="BE454">
        <v>1989</v>
      </c>
      <c r="BF454">
        <v>29</v>
      </c>
      <c r="BG454">
        <v>1</v>
      </c>
      <c r="BH454">
        <v>60</v>
      </c>
      <c r="BI454">
        <v>21</v>
      </c>
      <c r="BJ454">
        <v>36</v>
      </c>
      <c r="BK454">
        <v>4</v>
      </c>
      <c r="BP454" s="184"/>
    </row>
    <row r="455" spans="1:68">
      <c r="A455">
        <v>1867316</v>
      </c>
      <c r="B455">
        <v>1867316</v>
      </c>
      <c r="C455" t="s">
        <v>7018</v>
      </c>
      <c r="D455" t="s">
        <v>595</v>
      </c>
      <c r="E455" s="184">
        <v>43801</v>
      </c>
      <c r="G455" s="184"/>
      <c r="I455" s="184"/>
      <c r="K455" s="184"/>
      <c r="M455" s="184"/>
      <c r="O455" s="184"/>
      <c r="P455" t="s">
        <v>7045</v>
      </c>
      <c r="Q455" t="s">
        <v>7374</v>
      </c>
      <c r="R455" s="184">
        <v>9498</v>
      </c>
      <c r="S455">
        <v>98</v>
      </c>
      <c r="U455" t="s">
        <v>7076</v>
      </c>
      <c r="V455" t="s">
        <v>4327</v>
      </c>
      <c r="W455" t="s">
        <v>5924</v>
      </c>
      <c r="X455" t="s">
        <v>4328</v>
      </c>
      <c r="AF455" t="s">
        <v>9546</v>
      </c>
      <c r="AG455" t="s">
        <v>9547</v>
      </c>
      <c r="AI455" t="s">
        <v>9548</v>
      </c>
      <c r="AM455" t="s">
        <v>4329</v>
      </c>
      <c r="AN455" t="s">
        <v>2066</v>
      </c>
      <c r="AO455" t="s">
        <v>9549</v>
      </c>
      <c r="AP455" t="s">
        <v>7024</v>
      </c>
      <c r="AQ455" t="s">
        <v>9550</v>
      </c>
      <c r="AT455" s="184">
        <v>32518</v>
      </c>
      <c r="AU455" t="s">
        <v>9551</v>
      </c>
      <c r="AV455">
        <v>25</v>
      </c>
      <c r="AW455" s="184">
        <v>44992</v>
      </c>
      <c r="AX455" t="s">
        <v>9552</v>
      </c>
      <c r="AY455">
        <v>100</v>
      </c>
      <c r="AZ455" s="184">
        <v>42782</v>
      </c>
      <c r="BA455" t="s">
        <v>9553</v>
      </c>
      <c r="BB455">
        <v>200</v>
      </c>
      <c r="BC455">
        <v>73</v>
      </c>
      <c r="BD455">
        <v>2579</v>
      </c>
      <c r="BE455">
        <v>1989</v>
      </c>
      <c r="BF455">
        <v>38</v>
      </c>
      <c r="BG455">
        <v>2</v>
      </c>
      <c r="BH455">
        <v>200</v>
      </c>
      <c r="BI455">
        <v>26</v>
      </c>
      <c r="BJ455">
        <v>36</v>
      </c>
      <c r="BK455">
        <v>11</v>
      </c>
      <c r="BN455" t="s">
        <v>595</v>
      </c>
      <c r="BP455" s="184"/>
    </row>
    <row r="456" spans="1:68">
      <c r="A456">
        <v>1868744</v>
      </c>
      <c r="B456">
        <v>1868744</v>
      </c>
      <c r="C456" t="s">
        <v>7018</v>
      </c>
      <c r="D456" t="s">
        <v>595</v>
      </c>
      <c r="E456" s="184">
        <v>44152</v>
      </c>
      <c r="G456" s="184"/>
      <c r="K456" s="184"/>
      <c r="M456" s="184"/>
      <c r="O456" s="184"/>
      <c r="P456" t="s">
        <v>7045</v>
      </c>
      <c r="Q456" t="s">
        <v>7383</v>
      </c>
      <c r="R456" s="184">
        <v>16087</v>
      </c>
      <c r="S456">
        <v>80</v>
      </c>
      <c r="V456" t="s">
        <v>7580</v>
      </c>
      <c r="X456" t="s">
        <v>3061</v>
      </c>
      <c r="AF456" t="s">
        <v>9554</v>
      </c>
      <c r="AG456" t="s">
        <v>7580</v>
      </c>
      <c r="AI456" t="s">
        <v>9555</v>
      </c>
      <c r="AM456" t="s">
        <v>9556</v>
      </c>
      <c r="AN456" t="s">
        <v>2274</v>
      </c>
      <c r="AO456" t="s">
        <v>9557</v>
      </c>
      <c r="AP456" t="s">
        <v>7024</v>
      </c>
      <c r="AQ456" t="s">
        <v>9558</v>
      </c>
      <c r="AT456" s="184">
        <v>32519</v>
      </c>
      <c r="AU456" t="s">
        <v>9453</v>
      </c>
      <c r="AV456">
        <v>25</v>
      </c>
      <c r="AW456" s="184">
        <v>45390</v>
      </c>
      <c r="AX456" t="s">
        <v>9559</v>
      </c>
      <c r="AY456">
        <v>100</v>
      </c>
      <c r="AZ456" s="184">
        <v>45188</v>
      </c>
      <c r="BA456" t="s">
        <v>9560</v>
      </c>
      <c r="BB456">
        <v>150</v>
      </c>
      <c r="BC456">
        <v>89</v>
      </c>
      <c r="BD456">
        <v>2437</v>
      </c>
      <c r="BE456">
        <v>1989</v>
      </c>
      <c r="BF456">
        <v>49</v>
      </c>
      <c r="BG456">
        <v>6</v>
      </c>
      <c r="BH456">
        <v>650</v>
      </c>
      <c r="BI456">
        <v>32</v>
      </c>
      <c r="BJ456">
        <v>36</v>
      </c>
      <c r="BK456">
        <v>18</v>
      </c>
      <c r="BP456" s="184"/>
    </row>
    <row r="457" spans="1:68">
      <c r="A457">
        <v>1869007</v>
      </c>
      <c r="B457">
        <v>1869007</v>
      </c>
      <c r="C457" t="s">
        <v>7018</v>
      </c>
      <c r="E457" s="184"/>
      <c r="G457" s="184"/>
      <c r="I457" s="184"/>
      <c r="J457" t="s">
        <v>595</v>
      </c>
      <c r="K457" s="184">
        <v>40309</v>
      </c>
      <c r="M457" s="184"/>
      <c r="O457" s="184"/>
      <c r="P457" t="s">
        <v>7045</v>
      </c>
      <c r="Q457" t="s">
        <v>7262</v>
      </c>
      <c r="R457" s="184">
        <v>13636</v>
      </c>
      <c r="S457">
        <v>87</v>
      </c>
      <c r="U457" t="s">
        <v>7076</v>
      </c>
      <c r="V457" t="s">
        <v>2733</v>
      </c>
      <c r="W457" t="s">
        <v>4152</v>
      </c>
      <c r="X457" t="s">
        <v>9561</v>
      </c>
      <c r="AF457" t="s">
        <v>6115</v>
      </c>
      <c r="AG457" t="s">
        <v>2733</v>
      </c>
      <c r="AI457" t="s">
        <v>9562</v>
      </c>
      <c r="AM457" t="s">
        <v>4686</v>
      </c>
      <c r="AN457" t="s">
        <v>65</v>
      </c>
      <c r="AO457" t="s">
        <v>9563</v>
      </c>
      <c r="AP457" t="s">
        <v>7024</v>
      </c>
      <c r="AQ457" t="s">
        <v>9564</v>
      </c>
      <c r="AR457" t="s">
        <v>9565</v>
      </c>
      <c r="AT457" s="184">
        <v>32519</v>
      </c>
      <c r="AU457" t="s">
        <v>9566</v>
      </c>
      <c r="AV457">
        <v>25</v>
      </c>
      <c r="AW457" s="184">
        <v>43843</v>
      </c>
      <c r="AX457" t="s">
        <v>9567</v>
      </c>
      <c r="AY457">
        <v>300</v>
      </c>
      <c r="AZ457" s="184">
        <v>39209</v>
      </c>
      <c r="BA457" t="s">
        <v>9568</v>
      </c>
      <c r="BB457">
        <v>500</v>
      </c>
      <c r="BC457">
        <v>70</v>
      </c>
      <c r="BD457">
        <v>5164</v>
      </c>
      <c r="BE457">
        <v>1989</v>
      </c>
      <c r="BF457">
        <v>59</v>
      </c>
      <c r="BI457">
        <v>25</v>
      </c>
      <c r="BJ457">
        <v>36</v>
      </c>
      <c r="BK457">
        <v>10</v>
      </c>
      <c r="BP457" s="184"/>
    </row>
    <row r="458" spans="1:68">
      <c r="A458">
        <v>1870336</v>
      </c>
      <c r="B458">
        <v>1870336</v>
      </c>
      <c r="C458" t="s">
        <v>7018</v>
      </c>
      <c r="D458" t="s">
        <v>595</v>
      </c>
      <c r="E458" s="184">
        <v>43970</v>
      </c>
      <c r="G458" s="184"/>
      <c r="K458" s="184"/>
      <c r="M458" s="184"/>
      <c r="O458" s="184"/>
      <c r="P458" t="s">
        <v>7045</v>
      </c>
      <c r="Q458" t="s">
        <v>7262</v>
      </c>
      <c r="R458" s="184">
        <v>21732</v>
      </c>
      <c r="S458">
        <v>64</v>
      </c>
      <c r="U458" t="s">
        <v>7031</v>
      </c>
      <c r="V458" t="s">
        <v>2697</v>
      </c>
      <c r="W458" t="s">
        <v>4676</v>
      </c>
      <c r="X458" t="s">
        <v>9569</v>
      </c>
      <c r="AF458" t="s">
        <v>9570</v>
      </c>
      <c r="AG458" t="s">
        <v>2697</v>
      </c>
      <c r="AI458" t="s">
        <v>9571</v>
      </c>
      <c r="AM458" t="s">
        <v>7900</v>
      </c>
      <c r="AN458" t="s">
        <v>2069</v>
      </c>
      <c r="AO458" t="s">
        <v>9572</v>
      </c>
      <c r="AP458" t="s">
        <v>7024</v>
      </c>
      <c r="AQ458" t="s">
        <v>9573</v>
      </c>
      <c r="AR458" t="s">
        <v>9574</v>
      </c>
      <c r="AT458" s="184">
        <v>32552</v>
      </c>
      <c r="AU458" t="s">
        <v>9575</v>
      </c>
      <c r="AV458">
        <v>25</v>
      </c>
      <c r="AW458" s="184">
        <v>45303</v>
      </c>
      <c r="AX458" t="s">
        <v>9576</v>
      </c>
      <c r="AY458">
        <v>100</v>
      </c>
      <c r="AZ458" s="184">
        <v>45303</v>
      </c>
      <c r="BA458" t="s">
        <v>9576</v>
      </c>
      <c r="BB458">
        <v>100</v>
      </c>
      <c r="BC458">
        <v>100</v>
      </c>
      <c r="BD458">
        <v>3200</v>
      </c>
      <c r="BE458">
        <v>1989</v>
      </c>
      <c r="BF458">
        <v>49</v>
      </c>
      <c r="BG458">
        <v>2</v>
      </c>
      <c r="BH458">
        <v>150</v>
      </c>
      <c r="BI458">
        <v>36</v>
      </c>
      <c r="BJ458">
        <v>36</v>
      </c>
      <c r="BK458">
        <v>36</v>
      </c>
      <c r="BP458" s="184"/>
    </row>
    <row r="459" spans="1:68">
      <c r="A459">
        <v>1885300</v>
      </c>
      <c r="B459">
        <v>1885300</v>
      </c>
      <c r="C459" t="s">
        <v>7018</v>
      </c>
      <c r="D459" t="s">
        <v>595</v>
      </c>
      <c r="E459" s="184">
        <v>45204</v>
      </c>
      <c r="G459" s="184"/>
      <c r="K459" s="184"/>
      <c r="O459" s="184"/>
      <c r="P459" t="s">
        <v>7019</v>
      </c>
      <c r="Q459" t="s">
        <v>7383</v>
      </c>
      <c r="R459" s="184">
        <v>22285</v>
      </c>
      <c r="S459">
        <v>63</v>
      </c>
      <c r="V459" t="s">
        <v>9577</v>
      </c>
      <c r="X459" t="s">
        <v>9578</v>
      </c>
      <c r="AF459" t="s">
        <v>9579</v>
      </c>
      <c r="AG459" t="s">
        <v>9577</v>
      </c>
      <c r="AI459" t="s">
        <v>9580</v>
      </c>
      <c r="AM459" t="s">
        <v>9581</v>
      </c>
      <c r="AN459" t="s">
        <v>2144</v>
      </c>
      <c r="AO459" t="s">
        <v>9582</v>
      </c>
      <c r="AP459" t="s">
        <v>7024</v>
      </c>
      <c r="AQ459" t="s">
        <v>9583</v>
      </c>
      <c r="AT459" s="184">
        <v>32539</v>
      </c>
      <c r="AU459" t="s">
        <v>9584</v>
      </c>
      <c r="AV459">
        <v>25</v>
      </c>
      <c r="AW459" s="184">
        <v>45329</v>
      </c>
      <c r="AX459" t="s">
        <v>9585</v>
      </c>
      <c r="AY459">
        <v>60</v>
      </c>
      <c r="AZ459" s="184">
        <v>45329</v>
      </c>
      <c r="BA459" t="s">
        <v>9585</v>
      </c>
      <c r="BB459">
        <v>60</v>
      </c>
      <c r="BC459">
        <v>23</v>
      </c>
      <c r="BD459">
        <v>254.97</v>
      </c>
      <c r="BE459">
        <v>1989</v>
      </c>
      <c r="BF459">
        <v>9</v>
      </c>
      <c r="BG459">
        <v>2</v>
      </c>
      <c r="BH459">
        <v>85</v>
      </c>
      <c r="BI459">
        <v>8</v>
      </c>
      <c r="BJ459">
        <v>36</v>
      </c>
      <c r="BK459">
        <v>3</v>
      </c>
      <c r="BP459" s="184"/>
    </row>
    <row r="460" spans="1:68">
      <c r="A460">
        <v>1885409</v>
      </c>
      <c r="B460">
        <v>1885409</v>
      </c>
      <c r="C460" t="s">
        <v>7018</v>
      </c>
      <c r="E460" s="184"/>
      <c r="G460" s="184"/>
      <c r="I460" s="184"/>
      <c r="J460" t="s">
        <v>595</v>
      </c>
      <c r="K460" s="184">
        <v>36713</v>
      </c>
      <c r="M460" s="184"/>
      <c r="O460" s="184"/>
      <c r="P460" t="s">
        <v>7084</v>
      </c>
      <c r="Q460" t="s">
        <v>7020</v>
      </c>
      <c r="R460" s="184">
        <v>18749</v>
      </c>
      <c r="S460">
        <v>73</v>
      </c>
      <c r="U460" t="s">
        <v>7076</v>
      </c>
      <c r="V460" t="s">
        <v>3220</v>
      </c>
      <c r="W460" t="s">
        <v>3235</v>
      </c>
      <c r="X460" t="s">
        <v>5385</v>
      </c>
      <c r="AF460" t="s">
        <v>9586</v>
      </c>
      <c r="AG460" t="s">
        <v>3220</v>
      </c>
      <c r="AI460" t="s">
        <v>9587</v>
      </c>
      <c r="AM460" t="s">
        <v>9588</v>
      </c>
      <c r="AN460" t="s">
        <v>2052</v>
      </c>
      <c r="AO460" t="s">
        <v>9589</v>
      </c>
      <c r="AP460" t="s">
        <v>7024</v>
      </c>
      <c r="AQ460" t="s">
        <v>9590</v>
      </c>
      <c r="AT460" s="184">
        <v>32539</v>
      </c>
      <c r="AU460" t="s">
        <v>9591</v>
      </c>
      <c r="AV460">
        <v>500</v>
      </c>
      <c r="AW460" s="184">
        <v>45362</v>
      </c>
      <c r="AX460" t="s">
        <v>9245</v>
      </c>
      <c r="AY460">
        <v>50000</v>
      </c>
      <c r="AZ460" s="184">
        <v>36462</v>
      </c>
      <c r="BA460" t="s">
        <v>9592</v>
      </c>
      <c r="BB460">
        <v>50297.77</v>
      </c>
      <c r="BC460">
        <v>98</v>
      </c>
      <c r="BD460">
        <v>364226.49</v>
      </c>
      <c r="BE460">
        <v>1989</v>
      </c>
      <c r="BF460">
        <v>44</v>
      </c>
      <c r="BG460">
        <v>2</v>
      </c>
      <c r="BH460">
        <v>100000</v>
      </c>
      <c r="BI460">
        <v>35</v>
      </c>
      <c r="BJ460">
        <v>36</v>
      </c>
      <c r="BK460">
        <v>19</v>
      </c>
      <c r="BP460" s="184"/>
    </row>
    <row r="461" spans="1:68">
      <c r="A461">
        <v>1886837</v>
      </c>
      <c r="B461">
        <v>1886837</v>
      </c>
      <c r="C461" t="s">
        <v>7018</v>
      </c>
      <c r="E461" s="184"/>
      <c r="F461" t="s">
        <v>595</v>
      </c>
      <c r="G461" s="184">
        <v>45174</v>
      </c>
      <c r="I461" s="184"/>
      <c r="K461" s="184"/>
      <c r="O461" s="184"/>
      <c r="P461" t="s">
        <v>7045</v>
      </c>
      <c r="Q461" t="s">
        <v>7374</v>
      </c>
      <c r="R461" s="184">
        <v>18476</v>
      </c>
      <c r="S461">
        <v>73</v>
      </c>
      <c r="U461" t="s">
        <v>7076</v>
      </c>
      <c r="V461" t="s">
        <v>2989</v>
      </c>
      <c r="W461" t="s">
        <v>7355</v>
      </c>
      <c r="X461" t="s">
        <v>9593</v>
      </c>
      <c r="AF461" t="s">
        <v>9594</v>
      </c>
      <c r="AG461" t="s">
        <v>2989</v>
      </c>
      <c r="AI461" t="s">
        <v>9595</v>
      </c>
      <c r="AM461" t="s">
        <v>9596</v>
      </c>
      <c r="AN461" t="s">
        <v>2081</v>
      </c>
      <c r="AO461" t="s">
        <v>9597</v>
      </c>
      <c r="AP461" t="s">
        <v>7024</v>
      </c>
      <c r="AQ461" t="s">
        <v>9598</v>
      </c>
      <c r="AR461" t="s">
        <v>9599</v>
      </c>
      <c r="AT461" s="184">
        <v>32542</v>
      </c>
      <c r="AU461" t="s">
        <v>9584</v>
      </c>
      <c r="AV461">
        <v>25</v>
      </c>
      <c r="AW461" s="184">
        <v>45225</v>
      </c>
      <c r="AX461" t="s">
        <v>9600</v>
      </c>
      <c r="AY461">
        <v>100</v>
      </c>
      <c r="AZ461" s="184">
        <v>45225</v>
      </c>
      <c r="BA461" t="s">
        <v>9600</v>
      </c>
      <c r="BB461">
        <v>100</v>
      </c>
      <c r="BC461">
        <v>28</v>
      </c>
      <c r="BD461">
        <v>545</v>
      </c>
      <c r="BE461">
        <v>1989</v>
      </c>
      <c r="BF461">
        <v>11</v>
      </c>
      <c r="BG461">
        <v>2</v>
      </c>
      <c r="BH461">
        <v>200</v>
      </c>
      <c r="BI461">
        <v>10</v>
      </c>
      <c r="BJ461">
        <v>36</v>
      </c>
      <c r="BK461">
        <v>6</v>
      </c>
      <c r="BP461" s="184"/>
    </row>
    <row r="462" spans="1:68">
      <c r="A462">
        <v>1888734</v>
      </c>
      <c r="B462">
        <v>1888734</v>
      </c>
      <c r="C462" t="s">
        <v>7018</v>
      </c>
      <c r="E462" s="184"/>
      <c r="F462" t="s">
        <v>595</v>
      </c>
      <c r="G462" s="184">
        <v>44104</v>
      </c>
      <c r="I462" s="184"/>
      <c r="K462" s="184"/>
      <c r="O462" s="184"/>
      <c r="P462" t="s">
        <v>7045</v>
      </c>
      <c r="Q462" t="s">
        <v>7383</v>
      </c>
      <c r="R462" s="184">
        <v>9979</v>
      </c>
      <c r="S462">
        <v>97</v>
      </c>
      <c r="V462" t="s">
        <v>3206</v>
      </c>
      <c r="X462" t="s">
        <v>3339</v>
      </c>
      <c r="AF462" t="s">
        <v>9601</v>
      </c>
      <c r="AG462" t="s">
        <v>3206</v>
      </c>
      <c r="AI462" t="s">
        <v>9602</v>
      </c>
      <c r="AM462" t="s">
        <v>4031</v>
      </c>
      <c r="AN462" t="s">
        <v>2059</v>
      </c>
      <c r="AO462" t="s">
        <v>9603</v>
      </c>
      <c r="AP462" t="s">
        <v>7024</v>
      </c>
      <c r="AQ462" t="s">
        <v>9604</v>
      </c>
      <c r="AT462" s="184">
        <v>32548</v>
      </c>
      <c r="AU462" t="s">
        <v>9605</v>
      </c>
      <c r="AV462">
        <v>25</v>
      </c>
      <c r="AW462" s="184">
        <v>39454</v>
      </c>
      <c r="AX462" t="s">
        <v>9606</v>
      </c>
      <c r="AY462">
        <v>25</v>
      </c>
      <c r="AZ462" s="184">
        <v>36495</v>
      </c>
      <c r="BA462" t="s">
        <v>9607</v>
      </c>
      <c r="BB462">
        <v>60</v>
      </c>
      <c r="BC462">
        <v>42</v>
      </c>
      <c r="BD462">
        <v>655</v>
      </c>
      <c r="BE462">
        <v>1989</v>
      </c>
      <c r="BF462">
        <v>21</v>
      </c>
      <c r="BI462">
        <v>15</v>
      </c>
      <c r="BJ462">
        <v>36</v>
      </c>
      <c r="BK462">
        <v>6</v>
      </c>
      <c r="BO462" t="s">
        <v>595</v>
      </c>
      <c r="BP462" s="184">
        <v>44687</v>
      </c>
    </row>
    <row r="463" spans="1:68">
      <c r="A463">
        <v>1889476</v>
      </c>
      <c r="B463">
        <v>1889476</v>
      </c>
      <c r="C463" t="s">
        <v>7018</v>
      </c>
      <c r="D463" t="s">
        <v>595</v>
      </c>
      <c r="E463" s="184">
        <v>43801</v>
      </c>
      <c r="G463" s="184"/>
      <c r="I463" s="184"/>
      <c r="K463" s="184"/>
      <c r="M463" s="184"/>
      <c r="O463" s="184"/>
      <c r="P463" t="s">
        <v>7019</v>
      </c>
      <c r="Q463" t="s">
        <v>7194</v>
      </c>
      <c r="R463" s="184">
        <v>16558</v>
      </c>
      <c r="S463">
        <v>79</v>
      </c>
      <c r="V463" t="s">
        <v>4330</v>
      </c>
      <c r="X463" t="s">
        <v>2962</v>
      </c>
      <c r="AF463" t="s">
        <v>9608</v>
      </c>
      <c r="AG463" t="s">
        <v>4330</v>
      </c>
      <c r="AI463" t="s">
        <v>9609</v>
      </c>
      <c r="AM463" t="s">
        <v>9610</v>
      </c>
      <c r="AN463" t="s">
        <v>2046</v>
      </c>
      <c r="AO463" t="s">
        <v>9611</v>
      </c>
      <c r="AP463" t="s">
        <v>7024</v>
      </c>
      <c r="AQ463" t="s">
        <v>9612</v>
      </c>
      <c r="AR463" t="s">
        <v>9613</v>
      </c>
      <c r="AT463" s="184">
        <v>32548</v>
      </c>
      <c r="AU463" t="s">
        <v>9614</v>
      </c>
      <c r="AV463">
        <v>25</v>
      </c>
      <c r="AW463" s="184">
        <v>45211</v>
      </c>
      <c r="AX463" t="s">
        <v>9615</v>
      </c>
      <c r="AY463">
        <v>60</v>
      </c>
      <c r="AZ463" s="184">
        <v>38054</v>
      </c>
      <c r="BA463" t="s">
        <v>9616</v>
      </c>
      <c r="BB463">
        <v>87</v>
      </c>
      <c r="BC463">
        <v>56</v>
      </c>
      <c r="BD463">
        <v>1101</v>
      </c>
      <c r="BE463">
        <v>1989</v>
      </c>
      <c r="BF463">
        <v>36</v>
      </c>
      <c r="BG463">
        <v>5</v>
      </c>
      <c r="BH463">
        <v>290</v>
      </c>
      <c r="BI463">
        <v>20</v>
      </c>
      <c r="BJ463">
        <v>36</v>
      </c>
      <c r="BK463">
        <v>5</v>
      </c>
      <c r="BP463" s="184"/>
    </row>
    <row r="464" spans="1:68">
      <c r="A464">
        <v>1890953</v>
      </c>
      <c r="B464">
        <v>1890953</v>
      </c>
      <c r="C464" t="s">
        <v>7018</v>
      </c>
      <c r="D464" t="s">
        <v>595</v>
      </c>
      <c r="E464" s="184">
        <v>44104</v>
      </c>
      <c r="I464" s="184"/>
      <c r="K464" s="184"/>
      <c r="P464" t="s">
        <v>7029</v>
      </c>
      <c r="Q464" t="s">
        <v>7262</v>
      </c>
      <c r="R464" s="184">
        <v>20180</v>
      </c>
      <c r="S464">
        <v>69</v>
      </c>
      <c r="U464" t="s">
        <v>7031</v>
      </c>
      <c r="V464" t="s">
        <v>3753</v>
      </c>
      <c r="X464" t="s">
        <v>9617</v>
      </c>
      <c r="Z464">
        <v>100013616</v>
      </c>
      <c r="AB464" t="s">
        <v>3444</v>
      </c>
      <c r="AD464" t="s">
        <v>9617</v>
      </c>
      <c r="AF464" t="s">
        <v>9618</v>
      </c>
      <c r="AG464" t="s">
        <v>9619</v>
      </c>
      <c r="AI464" t="s">
        <v>9620</v>
      </c>
      <c r="AM464" t="s">
        <v>9621</v>
      </c>
      <c r="AN464" t="s">
        <v>2266</v>
      </c>
      <c r="AO464" t="s">
        <v>9622</v>
      </c>
      <c r="AP464" t="s">
        <v>7024</v>
      </c>
      <c r="AQ464" t="s">
        <v>9623</v>
      </c>
      <c r="AT464" s="184">
        <v>32545</v>
      </c>
      <c r="AU464" t="s">
        <v>9584</v>
      </c>
      <c r="AV464">
        <v>25</v>
      </c>
      <c r="AW464" s="184">
        <v>45380</v>
      </c>
      <c r="AX464" t="s">
        <v>9624</v>
      </c>
      <c r="AY464">
        <v>525</v>
      </c>
      <c r="AZ464" s="184">
        <v>44275</v>
      </c>
      <c r="BA464" t="s">
        <v>9625</v>
      </c>
      <c r="BB464">
        <v>1000</v>
      </c>
      <c r="BC464">
        <v>78</v>
      </c>
      <c r="BD464">
        <v>11245</v>
      </c>
      <c r="BE464">
        <v>1989</v>
      </c>
      <c r="BF464">
        <v>52</v>
      </c>
      <c r="BG464">
        <v>3</v>
      </c>
      <c r="BH464">
        <v>1525</v>
      </c>
      <c r="BI464">
        <v>28</v>
      </c>
      <c r="BJ464">
        <v>36</v>
      </c>
      <c r="BK464">
        <v>12</v>
      </c>
      <c r="BP464" s="184"/>
    </row>
    <row r="465" spans="1:68">
      <c r="A465">
        <v>100013616</v>
      </c>
      <c r="B465">
        <v>1890953</v>
      </c>
      <c r="C465" t="s">
        <v>7018</v>
      </c>
      <c r="D465" t="s">
        <v>595</v>
      </c>
      <c r="E465" s="184">
        <v>44104</v>
      </c>
      <c r="G465" s="184"/>
      <c r="I465" s="184"/>
      <c r="K465" s="184"/>
      <c r="P465" t="s">
        <v>7029</v>
      </c>
      <c r="Q465" t="s">
        <v>7262</v>
      </c>
      <c r="R465" s="184">
        <v>20972</v>
      </c>
      <c r="S465">
        <v>66</v>
      </c>
      <c r="V465" t="s">
        <v>3444</v>
      </c>
      <c r="X465" t="s">
        <v>9617</v>
      </c>
      <c r="Z465">
        <v>1890953</v>
      </c>
      <c r="AA465" t="s">
        <v>7031</v>
      </c>
      <c r="AB465" t="s">
        <v>3753</v>
      </c>
      <c r="AD465" t="s">
        <v>9617</v>
      </c>
      <c r="AF465" t="s">
        <v>9618</v>
      </c>
      <c r="AG465" t="s">
        <v>9619</v>
      </c>
      <c r="AI465" t="s">
        <v>9620</v>
      </c>
      <c r="AM465" t="s">
        <v>9621</v>
      </c>
      <c r="AN465" t="s">
        <v>2266</v>
      </c>
      <c r="AO465" t="s">
        <v>9622</v>
      </c>
      <c r="AP465" t="s">
        <v>7024</v>
      </c>
      <c r="AT465" s="184"/>
      <c r="AW465" s="184"/>
      <c r="AZ465" s="184"/>
    </row>
    <row r="466" spans="1:68">
      <c r="A466">
        <v>1891670</v>
      </c>
      <c r="B466">
        <v>1891670</v>
      </c>
      <c r="C466" t="s">
        <v>7018</v>
      </c>
      <c r="D466" t="s">
        <v>595</v>
      </c>
      <c r="E466" s="184">
        <v>44104</v>
      </c>
      <c r="G466" s="184"/>
      <c r="I466" s="184"/>
      <c r="K466" s="184"/>
      <c r="O466" s="184"/>
      <c r="P466" t="s">
        <v>7045</v>
      </c>
      <c r="Q466" t="s">
        <v>7494</v>
      </c>
      <c r="R466" s="184">
        <v>14328</v>
      </c>
      <c r="S466">
        <v>85</v>
      </c>
      <c r="U466" t="s">
        <v>7031</v>
      </c>
      <c r="V466" t="s">
        <v>2551</v>
      </c>
      <c r="W466" t="s">
        <v>7588</v>
      </c>
      <c r="X466" t="s">
        <v>9626</v>
      </c>
      <c r="Y466" t="s">
        <v>7047</v>
      </c>
      <c r="AF466" t="s">
        <v>9627</v>
      </c>
      <c r="AG466" t="s">
        <v>2551</v>
      </c>
      <c r="AI466" t="s">
        <v>9628</v>
      </c>
      <c r="AM466" t="s">
        <v>3932</v>
      </c>
      <c r="AN466" t="s">
        <v>2174</v>
      </c>
      <c r="AO466" t="s">
        <v>9629</v>
      </c>
      <c r="AP466" t="s">
        <v>7024</v>
      </c>
      <c r="AQ466" t="s">
        <v>9630</v>
      </c>
      <c r="AT466" s="184">
        <v>32545</v>
      </c>
      <c r="AU466" t="s">
        <v>9631</v>
      </c>
      <c r="AV466">
        <v>25</v>
      </c>
      <c r="AW466" s="184">
        <v>45061</v>
      </c>
      <c r="AX466" t="s">
        <v>9632</v>
      </c>
      <c r="AY466">
        <v>20</v>
      </c>
      <c r="AZ466" s="184">
        <v>44130</v>
      </c>
      <c r="BA466" t="s">
        <v>9633</v>
      </c>
      <c r="BB466">
        <v>100</v>
      </c>
      <c r="BC466">
        <v>81</v>
      </c>
      <c r="BD466">
        <v>2182</v>
      </c>
      <c r="BE466">
        <v>1989</v>
      </c>
      <c r="BF466">
        <v>37</v>
      </c>
      <c r="BG466">
        <v>1</v>
      </c>
      <c r="BH466">
        <v>20</v>
      </c>
      <c r="BI466">
        <v>29</v>
      </c>
      <c r="BJ466">
        <v>36</v>
      </c>
      <c r="BK466">
        <v>11</v>
      </c>
      <c r="BP466" s="184"/>
    </row>
    <row r="467" spans="1:68">
      <c r="A467">
        <v>1896315</v>
      </c>
      <c r="B467">
        <v>1896315</v>
      </c>
      <c r="C467" t="s">
        <v>7018</v>
      </c>
      <c r="E467" s="184"/>
      <c r="G467" s="184"/>
      <c r="I467" s="184"/>
      <c r="J467" t="s">
        <v>595</v>
      </c>
      <c r="K467" s="184">
        <v>40141</v>
      </c>
      <c r="O467" s="184"/>
      <c r="P467" t="s">
        <v>7045</v>
      </c>
      <c r="Q467" t="s">
        <v>7494</v>
      </c>
      <c r="R467" s="184">
        <v>18062</v>
      </c>
      <c r="S467">
        <v>74</v>
      </c>
      <c r="U467" t="s">
        <v>7076</v>
      </c>
      <c r="V467" t="s">
        <v>5400</v>
      </c>
      <c r="X467" t="s">
        <v>9634</v>
      </c>
      <c r="AF467" t="s">
        <v>6125</v>
      </c>
      <c r="AG467" t="s">
        <v>5400</v>
      </c>
      <c r="AI467" t="s">
        <v>9635</v>
      </c>
      <c r="AM467" t="s">
        <v>4177</v>
      </c>
      <c r="AN467" t="s">
        <v>2174</v>
      </c>
      <c r="AO467" t="s">
        <v>9636</v>
      </c>
      <c r="AP467" t="s">
        <v>7024</v>
      </c>
      <c r="AQ467" t="s">
        <v>9637</v>
      </c>
      <c r="AT467" s="184">
        <v>32553</v>
      </c>
      <c r="AU467" t="s">
        <v>9638</v>
      </c>
      <c r="AV467">
        <v>25</v>
      </c>
      <c r="AW467" s="184">
        <v>42898</v>
      </c>
      <c r="AX467" t="s">
        <v>9639</v>
      </c>
      <c r="AY467">
        <v>150</v>
      </c>
      <c r="AZ467" s="184">
        <v>40301</v>
      </c>
      <c r="BA467" t="s">
        <v>9640</v>
      </c>
      <c r="BB467">
        <v>500</v>
      </c>
      <c r="BC467">
        <v>56</v>
      </c>
      <c r="BD467">
        <v>4629</v>
      </c>
      <c r="BE467">
        <v>1989</v>
      </c>
      <c r="BF467">
        <v>32</v>
      </c>
      <c r="BI467">
        <v>20</v>
      </c>
      <c r="BJ467">
        <v>36</v>
      </c>
      <c r="BK467">
        <v>9</v>
      </c>
    </row>
    <row r="468" spans="1:68">
      <c r="A468">
        <v>1925916</v>
      </c>
      <c r="B468">
        <v>1925916</v>
      </c>
      <c r="C468" t="s">
        <v>7018</v>
      </c>
      <c r="E468" s="184"/>
      <c r="G468" s="184"/>
      <c r="H468" t="s">
        <v>595</v>
      </c>
      <c r="I468" s="184">
        <v>44109</v>
      </c>
      <c r="K468" s="184"/>
      <c r="M468" s="184"/>
      <c r="O468" s="184"/>
      <c r="P468" t="s">
        <v>7019</v>
      </c>
      <c r="Q468" t="s">
        <v>7383</v>
      </c>
      <c r="R468" s="184">
        <v>12574</v>
      </c>
      <c r="S468">
        <v>89</v>
      </c>
      <c r="V468" t="s">
        <v>4372</v>
      </c>
      <c r="X468" t="s">
        <v>4980</v>
      </c>
      <c r="AF468" t="s">
        <v>9641</v>
      </c>
      <c r="AG468" t="s">
        <v>4372</v>
      </c>
      <c r="AI468" t="s">
        <v>9642</v>
      </c>
      <c r="AM468" t="s">
        <v>9643</v>
      </c>
      <c r="AN468" t="s">
        <v>2059</v>
      </c>
      <c r="AO468" t="s">
        <v>9644</v>
      </c>
      <c r="AP468" t="s">
        <v>7024</v>
      </c>
      <c r="AQ468" t="s">
        <v>9645</v>
      </c>
      <c r="AT468" s="184">
        <v>32569</v>
      </c>
      <c r="AU468" t="s">
        <v>9646</v>
      </c>
      <c r="AV468">
        <v>25</v>
      </c>
      <c r="AW468" s="184">
        <v>45040</v>
      </c>
      <c r="AX468" t="s">
        <v>9647</v>
      </c>
      <c r="AY468">
        <v>60</v>
      </c>
      <c r="AZ468" s="184">
        <v>45040</v>
      </c>
      <c r="BA468" t="s">
        <v>9647</v>
      </c>
      <c r="BB468">
        <v>60</v>
      </c>
      <c r="BC468">
        <v>48</v>
      </c>
      <c r="BD468">
        <v>565</v>
      </c>
      <c r="BE468">
        <v>1989</v>
      </c>
      <c r="BF468">
        <v>19</v>
      </c>
      <c r="BG468">
        <v>1</v>
      </c>
      <c r="BH468">
        <v>60</v>
      </c>
      <c r="BI468">
        <v>17</v>
      </c>
      <c r="BJ468">
        <v>36</v>
      </c>
      <c r="BK468">
        <v>7</v>
      </c>
    </row>
    <row r="469" spans="1:68">
      <c r="A469">
        <v>1993120</v>
      </c>
      <c r="B469">
        <v>1993120</v>
      </c>
      <c r="C469" t="s">
        <v>7018</v>
      </c>
      <c r="D469" t="s">
        <v>595</v>
      </c>
      <c r="E469" s="184">
        <v>43851</v>
      </c>
      <c r="G469" s="184"/>
      <c r="I469" s="184"/>
      <c r="K469" s="184"/>
      <c r="M469" s="184"/>
      <c r="O469" s="184"/>
      <c r="P469" t="s">
        <v>7045</v>
      </c>
      <c r="Q469" t="s">
        <v>7160</v>
      </c>
      <c r="R469" s="184">
        <v>20515</v>
      </c>
      <c r="S469">
        <v>68</v>
      </c>
      <c r="U469" t="s">
        <v>7031</v>
      </c>
      <c r="V469" t="s">
        <v>3632</v>
      </c>
      <c r="W469" t="s">
        <v>3951</v>
      </c>
      <c r="X469" t="s">
        <v>3862</v>
      </c>
      <c r="AF469" t="s">
        <v>9648</v>
      </c>
      <c r="AG469" t="s">
        <v>3632</v>
      </c>
      <c r="AI469" t="s">
        <v>9649</v>
      </c>
      <c r="AM469" t="s">
        <v>5618</v>
      </c>
      <c r="AN469" t="s">
        <v>2395</v>
      </c>
      <c r="AO469" t="s">
        <v>9650</v>
      </c>
      <c r="AP469" t="s">
        <v>7024</v>
      </c>
      <c r="AQ469" t="s">
        <v>9651</v>
      </c>
      <c r="AT469" s="184">
        <v>32580</v>
      </c>
      <c r="AU469" t="s">
        <v>9321</v>
      </c>
      <c r="AV469">
        <v>19.95</v>
      </c>
      <c r="AW469" s="184">
        <v>45291</v>
      </c>
      <c r="AX469" t="s">
        <v>9652</v>
      </c>
      <c r="AY469">
        <v>100</v>
      </c>
      <c r="AZ469" s="184">
        <v>44585</v>
      </c>
      <c r="BA469" t="s">
        <v>9653</v>
      </c>
      <c r="BB469">
        <v>150</v>
      </c>
      <c r="BC469">
        <v>89</v>
      </c>
      <c r="BD469">
        <v>3218.95</v>
      </c>
      <c r="BE469">
        <v>1989</v>
      </c>
      <c r="BF469">
        <v>43</v>
      </c>
      <c r="BG469">
        <v>1</v>
      </c>
      <c r="BH469">
        <v>100</v>
      </c>
      <c r="BI469">
        <v>32</v>
      </c>
      <c r="BJ469">
        <v>36</v>
      </c>
      <c r="BK469">
        <v>14</v>
      </c>
      <c r="BP469" s="184"/>
    </row>
    <row r="470" spans="1:68">
      <c r="A470">
        <v>2050748</v>
      </c>
      <c r="B470">
        <v>2050748</v>
      </c>
      <c r="C470" t="s">
        <v>7018</v>
      </c>
      <c r="E470" s="184"/>
      <c r="G470" s="184"/>
      <c r="H470" t="s">
        <v>595</v>
      </c>
      <c r="I470" s="184">
        <v>44167</v>
      </c>
      <c r="K470" s="184"/>
      <c r="M470" s="184"/>
      <c r="O470" s="184"/>
      <c r="P470" t="s">
        <v>7045</v>
      </c>
      <c r="Q470" t="s">
        <v>7383</v>
      </c>
      <c r="R470" s="184">
        <v>15553</v>
      </c>
      <c r="S470">
        <v>81</v>
      </c>
      <c r="V470" t="s">
        <v>2903</v>
      </c>
      <c r="X470" t="s">
        <v>9654</v>
      </c>
      <c r="AF470" t="s">
        <v>9655</v>
      </c>
      <c r="AG470" t="s">
        <v>2903</v>
      </c>
      <c r="AI470" t="s">
        <v>9656</v>
      </c>
      <c r="AM470" t="s">
        <v>3837</v>
      </c>
      <c r="AN470" t="s">
        <v>2064</v>
      </c>
      <c r="AO470" t="s">
        <v>9657</v>
      </c>
      <c r="AP470" t="s">
        <v>7024</v>
      </c>
      <c r="AQ470" t="s">
        <v>9658</v>
      </c>
      <c r="AT470" s="184">
        <v>32604</v>
      </c>
      <c r="AU470" t="s">
        <v>7332</v>
      </c>
      <c r="AV470">
        <v>22</v>
      </c>
      <c r="AW470" s="184">
        <v>45316</v>
      </c>
      <c r="AX470" t="s">
        <v>7972</v>
      </c>
      <c r="AY470">
        <v>100</v>
      </c>
      <c r="AZ470" s="184">
        <v>42080</v>
      </c>
      <c r="BA470" t="s">
        <v>9659</v>
      </c>
      <c r="BB470">
        <v>200</v>
      </c>
      <c r="BC470">
        <v>100</v>
      </c>
      <c r="BD470">
        <v>5587</v>
      </c>
      <c r="BE470">
        <v>1989</v>
      </c>
      <c r="BF470">
        <v>101</v>
      </c>
      <c r="BG470">
        <v>2</v>
      </c>
      <c r="BH470">
        <v>200</v>
      </c>
      <c r="BI470">
        <v>36</v>
      </c>
      <c r="BJ470">
        <v>36</v>
      </c>
      <c r="BK470">
        <v>36</v>
      </c>
      <c r="BP470" s="184"/>
    </row>
    <row r="471" spans="1:68">
      <c r="A471">
        <v>2113090</v>
      </c>
      <c r="B471">
        <v>2113090</v>
      </c>
      <c r="C471" t="s">
        <v>7018</v>
      </c>
      <c r="D471" t="s">
        <v>595</v>
      </c>
      <c r="E471" s="184">
        <v>44073</v>
      </c>
      <c r="G471" s="184"/>
      <c r="I471" s="184"/>
      <c r="K471" s="184"/>
      <c r="M471" s="184"/>
      <c r="O471" s="184"/>
      <c r="P471" t="s">
        <v>7045</v>
      </c>
      <c r="Q471" t="s">
        <v>7020</v>
      </c>
      <c r="R471" s="184">
        <v>19115</v>
      </c>
      <c r="S471">
        <v>72</v>
      </c>
      <c r="U471" t="s">
        <v>7031</v>
      </c>
      <c r="V471" t="s">
        <v>2982</v>
      </c>
      <c r="X471" t="s">
        <v>9660</v>
      </c>
      <c r="Z471">
        <v>100809300</v>
      </c>
      <c r="AB471" t="s">
        <v>9661</v>
      </c>
      <c r="AD471" t="s">
        <v>9660</v>
      </c>
      <c r="AF471" t="s">
        <v>9662</v>
      </c>
      <c r="AG471" t="s">
        <v>9663</v>
      </c>
      <c r="AI471" t="s">
        <v>9664</v>
      </c>
      <c r="AM471" t="s">
        <v>9665</v>
      </c>
      <c r="AN471" t="s">
        <v>2112</v>
      </c>
      <c r="AO471" t="s">
        <v>9666</v>
      </c>
      <c r="AP471" t="s">
        <v>7024</v>
      </c>
      <c r="AQ471" t="s">
        <v>9667</v>
      </c>
      <c r="AR471" t="s">
        <v>9668</v>
      </c>
      <c r="AT471" s="184">
        <v>32651</v>
      </c>
      <c r="AU471" t="s">
        <v>9669</v>
      </c>
      <c r="AV471">
        <v>25</v>
      </c>
      <c r="AW471" s="184">
        <v>45408</v>
      </c>
      <c r="AX471" t="s">
        <v>7429</v>
      </c>
      <c r="AY471">
        <v>10</v>
      </c>
      <c r="AZ471" s="184">
        <v>44593</v>
      </c>
      <c r="BA471" t="s">
        <v>9670</v>
      </c>
      <c r="BB471">
        <v>100</v>
      </c>
      <c r="BC471">
        <v>67</v>
      </c>
      <c r="BD471">
        <v>1450</v>
      </c>
      <c r="BE471">
        <v>1989</v>
      </c>
      <c r="BF471">
        <v>39</v>
      </c>
      <c r="BG471">
        <v>16</v>
      </c>
      <c r="BH471">
        <v>160</v>
      </c>
      <c r="BI471">
        <v>24</v>
      </c>
      <c r="BJ471">
        <v>36</v>
      </c>
      <c r="BK471">
        <v>15</v>
      </c>
      <c r="BP471" s="184"/>
    </row>
    <row r="472" spans="1:68">
      <c r="A472">
        <v>2122208</v>
      </c>
      <c r="B472">
        <v>2122208</v>
      </c>
      <c r="C472" t="s">
        <v>7018</v>
      </c>
      <c r="D472" t="s">
        <v>595</v>
      </c>
      <c r="E472" s="184">
        <v>44073</v>
      </c>
      <c r="G472" s="184"/>
      <c r="I472" s="184"/>
      <c r="K472" s="184"/>
      <c r="M472" s="184"/>
      <c r="O472" s="184"/>
      <c r="P472" t="s">
        <v>7045</v>
      </c>
      <c r="Q472" t="s">
        <v>7383</v>
      </c>
      <c r="R472" s="184">
        <v>16520</v>
      </c>
      <c r="S472">
        <v>79</v>
      </c>
      <c r="U472" t="s">
        <v>7076</v>
      </c>
      <c r="V472" t="s">
        <v>2609</v>
      </c>
      <c r="W472" t="s">
        <v>4139</v>
      </c>
      <c r="X472" t="s">
        <v>9671</v>
      </c>
      <c r="AF472" t="s">
        <v>9672</v>
      </c>
      <c r="AG472" t="s">
        <v>2609</v>
      </c>
      <c r="AI472" t="s">
        <v>9673</v>
      </c>
      <c r="AM472" t="s">
        <v>5575</v>
      </c>
      <c r="AN472" t="s">
        <v>2144</v>
      </c>
      <c r="AO472" t="s">
        <v>9674</v>
      </c>
      <c r="AP472" t="s">
        <v>7024</v>
      </c>
      <c r="AQ472" t="s">
        <v>9675</v>
      </c>
      <c r="AT472" s="184">
        <v>32675</v>
      </c>
      <c r="AU472" t="s">
        <v>9676</v>
      </c>
      <c r="AV472">
        <v>22</v>
      </c>
      <c r="AW472" s="184">
        <v>44588</v>
      </c>
      <c r="AX472" t="s">
        <v>9677</v>
      </c>
      <c r="AY472">
        <v>25</v>
      </c>
      <c r="AZ472" s="184">
        <v>40571</v>
      </c>
      <c r="BA472" t="s">
        <v>9678</v>
      </c>
      <c r="BB472">
        <v>60</v>
      </c>
      <c r="BC472">
        <v>53</v>
      </c>
      <c r="BD472">
        <v>617</v>
      </c>
      <c r="BE472">
        <v>1989</v>
      </c>
      <c r="BF472">
        <v>21</v>
      </c>
      <c r="BI472">
        <v>19</v>
      </c>
      <c r="BJ472">
        <v>36</v>
      </c>
      <c r="BK472">
        <v>7</v>
      </c>
      <c r="BP472" s="184"/>
    </row>
    <row r="473" spans="1:68">
      <c r="A473">
        <v>2132421</v>
      </c>
      <c r="B473">
        <v>2132421</v>
      </c>
      <c r="C473" t="s">
        <v>7018</v>
      </c>
      <c r="E473" s="184"/>
      <c r="F473" t="s">
        <v>595</v>
      </c>
      <c r="G473" s="184">
        <v>43657</v>
      </c>
      <c r="I473" s="184"/>
      <c r="J473" t="s">
        <v>595</v>
      </c>
      <c r="K473" s="184">
        <v>44649</v>
      </c>
      <c r="M473" s="184"/>
      <c r="O473" s="184"/>
      <c r="P473" t="s">
        <v>7045</v>
      </c>
      <c r="Q473" t="s">
        <v>7383</v>
      </c>
      <c r="R473" s="184">
        <v>17472</v>
      </c>
      <c r="S473">
        <v>76</v>
      </c>
      <c r="U473" t="s">
        <v>7094</v>
      </c>
      <c r="V473" t="s">
        <v>2733</v>
      </c>
      <c r="X473" t="s">
        <v>3630</v>
      </c>
      <c r="AF473" t="s">
        <v>9679</v>
      </c>
      <c r="AG473" t="s">
        <v>2733</v>
      </c>
      <c r="AI473" t="s">
        <v>9680</v>
      </c>
      <c r="AM473" t="s">
        <v>3631</v>
      </c>
      <c r="AN473" t="s">
        <v>2313</v>
      </c>
      <c r="AO473" t="s">
        <v>9681</v>
      </c>
      <c r="AP473" t="s">
        <v>7024</v>
      </c>
      <c r="AQ473" t="s">
        <v>9682</v>
      </c>
      <c r="AT473" s="184">
        <v>32756</v>
      </c>
      <c r="AU473" t="s">
        <v>9392</v>
      </c>
      <c r="AV473">
        <v>25</v>
      </c>
      <c r="AW473" s="184">
        <v>45194</v>
      </c>
      <c r="AX473" t="s">
        <v>7821</v>
      </c>
      <c r="AY473">
        <v>25</v>
      </c>
      <c r="AZ473" s="184">
        <v>45194</v>
      </c>
      <c r="BA473" t="s">
        <v>7821</v>
      </c>
      <c r="BB473">
        <v>25</v>
      </c>
      <c r="BC473">
        <v>89</v>
      </c>
      <c r="BD473">
        <v>1020</v>
      </c>
      <c r="BE473">
        <v>1990</v>
      </c>
      <c r="BF473">
        <v>53</v>
      </c>
      <c r="BG473">
        <v>2</v>
      </c>
      <c r="BH473">
        <v>50</v>
      </c>
      <c r="BI473">
        <v>32</v>
      </c>
      <c r="BJ473">
        <v>36</v>
      </c>
      <c r="BK473">
        <v>9</v>
      </c>
      <c r="BP473" s="184"/>
    </row>
    <row r="474" spans="1:68">
      <c r="A474">
        <v>2141265</v>
      </c>
      <c r="B474">
        <v>2141265</v>
      </c>
      <c r="C474" t="s">
        <v>7018</v>
      </c>
      <c r="E474" s="184"/>
      <c r="G474" s="184"/>
      <c r="I474" s="184"/>
      <c r="J474" t="s">
        <v>595</v>
      </c>
      <c r="K474" s="184">
        <v>39317</v>
      </c>
      <c r="O474" s="184"/>
      <c r="P474" t="s">
        <v>7045</v>
      </c>
      <c r="Q474" t="s">
        <v>7020</v>
      </c>
      <c r="R474" s="184">
        <v>19541</v>
      </c>
      <c r="S474">
        <v>70</v>
      </c>
      <c r="U474" t="s">
        <v>7031</v>
      </c>
      <c r="V474" t="s">
        <v>2551</v>
      </c>
      <c r="W474" t="s">
        <v>4382</v>
      </c>
      <c r="X474" t="s">
        <v>9683</v>
      </c>
      <c r="AF474" t="s">
        <v>6412</v>
      </c>
      <c r="AG474" t="s">
        <v>2551</v>
      </c>
      <c r="AI474" t="s">
        <v>9684</v>
      </c>
      <c r="AM474" t="s">
        <v>2730</v>
      </c>
      <c r="AN474" t="s">
        <v>2052</v>
      </c>
      <c r="AO474" t="s">
        <v>9685</v>
      </c>
      <c r="AP474" t="s">
        <v>7024</v>
      </c>
      <c r="AQ474" t="s">
        <v>9686</v>
      </c>
      <c r="AT474" s="184">
        <v>32779</v>
      </c>
      <c r="AU474" t="s">
        <v>9687</v>
      </c>
      <c r="AV474">
        <v>15</v>
      </c>
      <c r="AW474" s="184">
        <v>45314</v>
      </c>
      <c r="AX474" t="s">
        <v>7832</v>
      </c>
      <c r="AY474">
        <v>36.75</v>
      </c>
      <c r="AZ474" s="184">
        <v>45314</v>
      </c>
      <c r="BA474" t="s">
        <v>7832</v>
      </c>
      <c r="BB474">
        <v>36.75</v>
      </c>
      <c r="BC474">
        <v>95</v>
      </c>
      <c r="BD474">
        <v>1276.75</v>
      </c>
      <c r="BE474">
        <v>1990</v>
      </c>
      <c r="BF474">
        <v>44</v>
      </c>
      <c r="BG474">
        <v>2</v>
      </c>
      <c r="BH474">
        <v>71.75</v>
      </c>
      <c r="BI474">
        <v>34</v>
      </c>
      <c r="BJ474">
        <v>36</v>
      </c>
      <c r="BK474">
        <v>27</v>
      </c>
      <c r="BP474" s="184"/>
    </row>
    <row r="475" spans="1:68">
      <c r="A475">
        <v>2146454</v>
      </c>
      <c r="B475">
        <v>2146454</v>
      </c>
      <c r="C475" t="s">
        <v>7018</v>
      </c>
      <c r="E475" s="184"/>
      <c r="G475" s="184"/>
      <c r="K475" s="184"/>
      <c r="M475" s="184"/>
      <c r="N475" t="s">
        <v>595</v>
      </c>
      <c r="O475" s="184">
        <v>36893</v>
      </c>
      <c r="P475" t="s">
        <v>7045</v>
      </c>
      <c r="Q475" t="s">
        <v>7020</v>
      </c>
      <c r="R475" s="184">
        <v>10009</v>
      </c>
      <c r="S475">
        <v>96</v>
      </c>
      <c r="U475" t="s">
        <v>7076</v>
      </c>
      <c r="V475" t="s">
        <v>3468</v>
      </c>
      <c r="X475" t="s">
        <v>9688</v>
      </c>
      <c r="AF475" t="s">
        <v>6041</v>
      </c>
      <c r="AG475" t="s">
        <v>3468</v>
      </c>
      <c r="AI475" t="s">
        <v>9689</v>
      </c>
      <c r="AJ475" t="s">
        <v>9690</v>
      </c>
      <c r="AM475" t="s">
        <v>2860</v>
      </c>
      <c r="AN475" t="s">
        <v>2112</v>
      </c>
      <c r="AO475" t="s">
        <v>9691</v>
      </c>
      <c r="AP475" t="s">
        <v>7024</v>
      </c>
      <c r="AT475" s="184">
        <v>32783</v>
      </c>
      <c r="AU475" t="s">
        <v>9692</v>
      </c>
      <c r="AV475">
        <v>15</v>
      </c>
      <c r="AW475" s="184">
        <v>36893</v>
      </c>
      <c r="AX475" t="s">
        <v>8173</v>
      </c>
      <c r="AY475">
        <v>10000</v>
      </c>
      <c r="AZ475" s="184">
        <v>36893</v>
      </c>
      <c r="BA475" t="s">
        <v>8173</v>
      </c>
      <c r="BB475">
        <v>10000</v>
      </c>
      <c r="BC475">
        <v>12</v>
      </c>
      <c r="BD475">
        <v>10055</v>
      </c>
      <c r="BE475">
        <v>1990</v>
      </c>
      <c r="BF475">
        <v>6</v>
      </c>
      <c r="BI475">
        <v>4</v>
      </c>
      <c r="BJ475">
        <v>36</v>
      </c>
      <c r="BK475">
        <v>1</v>
      </c>
      <c r="BM475" t="s">
        <v>595</v>
      </c>
      <c r="BP475" s="184"/>
    </row>
    <row r="476" spans="1:68">
      <c r="A476">
        <v>2149169</v>
      </c>
      <c r="B476">
        <v>2149169</v>
      </c>
      <c r="C476" t="s">
        <v>7018</v>
      </c>
      <c r="E476" s="184"/>
      <c r="G476" s="184"/>
      <c r="I476" s="184"/>
      <c r="K476" s="184"/>
      <c r="L476" t="s">
        <v>595</v>
      </c>
      <c r="M476" s="184">
        <v>44564</v>
      </c>
      <c r="O476" s="184"/>
      <c r="P476" t="s">
        <v>7045</v>
      </c>
      <c r="Q476" t="s">
        <v>7383</v>
      </c>
      <c r="R476" s="184">
        <v>17136</v>
      </c>
      <c r="S476">
        <v>77</v>
      </c>
      <c r="U476" t="s">
        <v>7076</v>
      </c>
      <c r="V476" t="s">
        <v>5400</v>
      </c>
      <c r="W476" t="s">
        <v>3332</v>
      </c>
      <c r="X476" t="s">
        <v>9693</v>
      </c>
      <c r="AF476" t="s">
        <v>9694</v>
      </c>
      <c r="AG476" t="s">
        <v>5400</v>
      </c>
      <c r="AI476" t="s">
        <v>9695</v>
      </c>
      <c r="AM476" t="s">
        <v>4119</v>
      </c>
      <c r="AN476" t="s">
        <v>2313</v>
      </c>
      <c r="AO476" t="s">
        <v>9696</v>
      </c>
      <c r="AP476" t="s">
        <v>7024</v>
      </c>
      <c r="AQ476" t="s">
        <v>9697</v>
      </c>
      <c r="AR476" t="s">
        <v>9698</v>
      </c>
      <c r="AT476" s="184">
        <v>32783</v>
      </c>
      <c r="AU476" t="s">
        <v>9699</v>
      </c>
      <c r="AV476">
        <v>15</v>
      </c>
      <c r="AW476" s="184">
        <v>45420</v>
      </c>
      <c r="AX476" t="s">
        <v>9700</v>
      </c>
      <c r="AY476">
        <v>87</v>
      </c>
      <c r="AZ476" s="184">
        <v>45420</v>
      </c>
      <c r="BA476" t="s">
        <v>9700</v>
      </c>
      <c r="BB476">
        <v>87</v>
      </c>
      <c r="BC476">
        <v>67</v>
      </c>
      <c r="BD476">
        <v>947</v>
      </c>
      <c r="BE476">
        <v>1990</v>
      </c>
      <c r="BF476">
        <v>29</v>
      </c>
      <c r="BG476">
        <v>3</v>
      </c>
      <c r="BH476">
        <v>157</v>
      </c>
      <c r="BI476">
        <v>24</v>
      </c>
      <c r="BJ476">
        <v>36</v>
      </c>
      <c r="BK476">
        <v>7</v>
      </c>
      <c r="BP476" s="184"/>
    </row>
    <row r="477" spans="1:68">
      <c r="A477">
        <v>2166676</v>
      </c>
      <c r="B477">
        <v>2166676</v>
      </c>
      <c r="C477" t="s">
        <v>7018</v>
      </c>
      <c r="E477" s="184"/>
      <c r="G477" s="184"/>
      <c r="J477" t="s">
        <v>595</v>
      </c>
      <c r="K477" s="184">
        <v>44082</v>
      </c>
      <c r="O477" s="184"/>
      <c r="P477" t="s">
        <v>7045</v>
      </c>
      <c r="Q477" t="s">
        <v>7494</v>
      </c>
      <c r="R477" s="184">
        <v>10033</v>
      </c>
      <c r="S477">
        <v>96</v>
      </c>
      <c r="U477" t="s">
        <v>7076</v>
      </c>
      <c r="V477" t="s">
        <v>4826</v>
      </c>
      <c r="X477" t="s">
        <v>9701</v>
      </c>
      <c r="AF477" t="s">
        <v>9702</v>
      </c>
      <c r="AG477" t="s">
        <v>4826</v>
      </c>
      <c r="AI477" t="s">
        <v>9703</v>
      </c>
      <c r="AM477" t="s">
        <v>3425</v>
      </c>
      <c r="AN477" t="s">
        <v>2174</v>
      </c>
      <c r="AO477" t="s">
        <v>9704</v>
      </c>
      <c r="AP477" t="s">
        <v>7024</v>
      </c>
      <c r="AQ477" t="s">
        <v>9705</v>
      </c>
      <c r="AR477" t="s">
        <v>9706</v>
      </c>
      <c r="AT477" s="184">
        <v>32791</v>
      </c>
      <c r="AU477" t="s">
        <v>9707</v>
      </c>
      <c r="AV477">
        <v>15</v>
      </c>
      <c r="AW477" s="184">
        <v>44095</v>
      </c>
      <c r="AX477" t="s">
        <v>7309</v>
      </c>
      <c r="AY477">
        <v>1000</v>
      </c>
      <c r="AZ477" s="184">
        <v>44095</v>
      </c>
      <c r="BA477" t="s">
        <v>7309</v>
      </c>
      <c r="BB477">
        <v>1000</v>
      </c>
      <c r="BC477">
        <v>42</v>
      </c>
      <c r="BD477">
        <v>1515</v>
      </c>
      <c r="BE477">
        <v>1990</v>
      </c>
      <c r="BF477">
        <v>18</v>
      </c>
      <c r="BI477">
        <v>15</v>
      </c>
      <c r="BJ477">
        <v>36</v>
      </c>
      <c r="BK477">
        <v>3</v>
      </c>
      <c r="BO477" t="s">
        <v>595</v>
      </c>
      <c r="BP477" s="184">
        <v>43958</v>
      </c>
    </row>
    <row r="478" spans="1:68">
      <c r="A478">
        <v>2174019</v>
      </c>
      <c r="B478">
        <v>2174019</v>
      </c>
      <c r="C478" t="s">
        <v>7018</v>
      </c>
      <c r="D478" t="s">
        <v>595</v>
      </c>
      <c r="E478" s="184">
        <v>44313</v>
      </c>
      <c r="G478" s="184"/>
      <c r="K478" s="184"/>
      <c r="O478" s="184"/>
      <c r="P478" t="s">
        <v>7045</v>
      </c>
      <c r="Q478" t="s">
        <v>7374</v>
      </c>
      <c r="R478" s="184">
        <v>12702</v>
      </c>
      <c r="S478">
        <v>89</v>
      </c>
      <c r="U478" t="s">
        <v>7076</v>
      </c>
      <c r="V478" t="s">
        <v>9708</v>
      </c>
      <c r="X478" t="s">
        <v>9709</v>
      </c>
      <c r="AF478" t="s">
        <v>9710</v>
      </c>
      <c r="AG478" t="s">
        <v>9708</v>
      </c>
      <c r="AI478" t="s">
        <v>9711</v>
      </c>
      <c r="AJ478" t="s">
        <v>9712</v>
      </c>
      <c r="AM478" t="s">
        <v>3033</v>
      </c>
      <c r="AN478" t="s">
        <v>2081</v>
      </c>
      <c r="AO478" t="s">
        <v>9713</v>
      </c>
      <c r="AP478" t="s">
        <v>7024</v>
      </c>
      <c r="AT478" s="184">
        <v>32792</v>
      </c>
      <c r="AU478" t="s">
        <v>9714</v>
      </c>
      <c r="AV478">
        <v>15</v>
      </c>
      <c r="AW478" s="184">
        <v>44565</v>
      </c>
      <c r="AX478" t="s">
        <v>9715</v>
      </c>
      <c r="AY478">
        <v>25</v>
      </c>
      <c r="AZ478" s="184">
        <v>40910</v>
      </c>
      <c r="BA478" t="s">
        <v>9716</v>
      </c>
      <c r="BB478">
        <v>60</v>
      </c>
      <c r="BC478">
        <v>48</v>
      </c>
      <c r="BD478">
        <v>463</v>
      </c>
      <c r="BE478">
        <v>1990</v>
      </c>
      <c r="BF478">
        <v>21</v>
      </c>
      <c r="BI478">
        <v>17</v>
      </c>
      <c r="BJ478">
        <v>36</v>
      </c>
      <c r="BK478">
        <v>4</v>
      </c>
      <c r="BP478" s="184"/>
    </row>
    <row r="479" spans="1:68">
      <c r="A479">
        <v>100179570</v>
      </c>
      <c r="B479">
        <v>2182335</v>
      </c>
      <c r="C479" t="s">
        <v>7018</v>
      </c>
      <c r="E479" s="184"/>
      <c r="G479" s="184"/>
      <c r="I479" s="184"/>
      <c r="K479" s="184"/>
      <c r="N479" t="s">
        <v>595</v>
      </c>
      <c r="O479" s="184">
        <v>39619</v>
      </c>
      <c r="P479" t="s">
        <v>7045</v>
      </c>
      <c r="Q479" t="s">
        <v>7020</v>
      </c>
      <c r="R479" s="184">
        <v>8074</v>
      </c>
      <c r="S479">
        <v>102</v>
      </c>
      <c r="U479" t="s">
        <v>7130</v>
      </c>
      <c r="V479" t="s">
        <v>5466</v>
      </c>
      <c r="W479" t="s">
        <v>5006</v>
      </c>
      <c r="X479" t="s">
        <v>9717</v>
      </c>
      <c r="Z479">
        <v>2182335</v>
      </c>
      <c r="AB479" t="s">
        <v>2541</v>
      </c>
      <c r="AC479" t="s">
        <v>4139</v>
      </c>
      <c r="AD479" t="s">
        <v>9717</v>
      </c>
      <c r="AF479" t="s">
        <v>6096</v>
      </c>
      <c r="AG479" t="s">
        <v>2541</v>
      </c>
      <c r="AI479" t="s">
        <v>9718</v>
      </c>
      <c r="AM479" t="s">
        <v>3134</v>
      </c>
      <c r="AN479" t="s">
        <v>2129</v>
      </c>
      <c r="AO479" t="s">
        <v>9719</v>
      </c>
      <c r="AP479" t="s">
        <v>7024</v>
      </c>
      <c r="AT479" s="184"/>
      <c r="AW479" s="184"/>
      <c r="AZ479" s="184"/>
      <c r="BO479" t="s">
        <v>595</v>
      </c>
      <c r="BP479" s="184">
        <v>42484</v>
      </c>
    </row>
    <row r="480" spans="1:68">
      <c r="A480">
        <v>2185502</v>
      </c>
      <c r="B480">
        <v>2185502</v>
      </c>
      <c r="C480" t="s">
        <v>7018</v>
      </c>
      <c r="D480" t="s">
        <v>595</v>
      </c>
      <c r="E480" s="184">
        <v>43864</v>
      </c>
      <c r="G480" s="184"/>
      <c r="K480" s="184"/>
      <c r="O480" s="184"/>
      <c r="P480" t="s">
        <v>7045</v>
      </c>
      <c r="Q480" t="s">
        <v>7383</v>
      </c>
      <c r="R480" s="184">
        <v>16707</v>
      </c>
      <c r="S480">
        <v>78</v>
      </c>
      <c r="U480" t="s">
        <v>7031</v>
      </c>
      <c r="V480" t="s">
        <v>2832</v>
      </c>
      <c r="W480" t="s">
        <v>7560</v>
      </c>
      <c r="X480" t="s">
        <v>4712</v>
      </c>
      <c r="Z480">
        <v>100014284</v>
      </c>
      <c r="AA480" t="s">
        <v>7130</v>
      </c>
      <c r="AB480" t="s">
        <v>9708</v>
      </c>
      <c r="AD480" t="s">
        <v>4712</v>
      </c>
      <c r="AF480" t="s">
        <v>9720</v>
      </c>
      <c r="AG480" t="s">
        <v>9721</v>
      </c>
      <c r="AI480" t="s">
        <v>9722</v>
      </c>
      <c r="AM480" t="s">
        <v>9723</v>
      </c>
      <c r="AN480" t="s">
        <v>2313</v>
      </c>
      <c r="AO480" t="s">
        <v>9724</v>
      </c>
      <c r="AP480" t="s">
        <v>7024</v>
      </c>
      <c r="AQ480" t="s">
        <v>9725</v>
      </c>
      <c r="AT480" s="184">
        <v>32797</v>
      </c>
      <c r="AU480" t="s">
        <v>9726</v>
      </c>
      <c r="AV480">
        <v>15</v>
      </c>
      <c r="AW480" s="184">
        <v>45265</v>
      </c>
      <c r="AX480" t="s">
        <v>9727</v>
      </c>
      <c r="AY480">
        <v>50</v>
      </c>
      <c r="AZ480" s="184">
        <v>41255</v>
      </c>
      <c r="BA480" t="s">
        <v>9728</v>
      </c>
      <c r="BB480">
        <v>55</v>
      </c>
      <c r="BC480">
        <v>37</v>
      </c>
      <c r="BD480">
        <v>715</v>
      </c>
      <c r="BE480">
        <v>1990</v>
      </c>
      <c r="BF480">
        <v>19</v>
      </c>
      <c r="BG480">
        <v>2</v>
      </c>
      <c r="BH480">
        <v>75</v>
      </c>
      <c r="BI480">
        <v>13</v>
      </c>
      <c r="BJ480">
        <v>36</v>
      </c>
      <c r="BK480">
        <v>6</v>
      </c>
      <c r="BP480" s="184"/>
    </row>
    <row r="481" spans="1:68">
      <c r="A481">
        <v>100014284</v>
      </c>
      <c r="B481">
        <v>2185502</v>
      </c>
      <c r="C481" t="s">
        <v>7018</v>
      </c>
      <c r="D481" t="s">
        <v>595</v>
      </c>
      <c r="E481" s="184">
        <v>43864</v>
      </c>
      <c r="G481" s="184"/>
      <c r="K481" s="184"/>
      <c r="O481" s="184"/>
      <c r="P481" t="s">
        <v>7045</v>
      </c>
      <c r="Q481" t="s">
        <v>7383</v>
      </c>
      <c r="R481" s="184">
        <v>16681</v>
      </c>
      <c r="S481">
        <v>78</v>
      </c>
      <c r="U481" t="s">
        <v>7130</v>
      </c>
      <c r="V481" t="s">
        <v>9708</v>
      </c>
      <c r="X481" t="s">
        <v>4712</v>
      </c>
      <c r="Z481">
        <v>2185502</v>
      </c>
      <c r="AA481" t="s">
        <v>7031</v>
      </c>
      <c r="AB481" t="s">
        <v>2832</v>
      </c>
      <c r="AC481" t="s">
        <v>7560</v>
      </c>
      <c r="AD481" t="s">
        <v>4712</v>
      </c>
      <c r="AF481" t="s">
        <v>9720</v>
      </c>
      <c r="AG481" t="s">
        <v>9721</v>
      </c>
      <c r="AI481" t="s">
        <v>9722</v>
      </c>
      <c r="AM481" t="s">
        <v>9723</v>
      </c>
      <c r="AN481" t="s">
        <v>2313</v>
      </c>
      <c r="AO481" t="s">
        <v>9724</v>
      </c>
      <c r="AP481" t="s">
        <v>7024</v>
      </c>
      <c r="AQ481" t="s">
        <v>9729</v>
      </c>
      <c r="AR481" t="s">
        <v>9730</v>
      </c>
      <c r="AT481" s="184"/>
      <c r="AW481" s="184"/>
      <c r="AZ481" s="184"/>
    </row>
    <row r="482" spans="1:68">
      <c r="A482">
        <v>2187136</v>
      </c>
      <c r="B482">
        <v>2187136</v>
      </c>
      <c r="C482" t="s">
        <v>7018</v>
      </c>
      <c r="D482" t="s">
        <v>595</v>
      </c>
      <c r="E482" s="184">
        <v>43951</v>
      </c>
      <c r="G482" s="184"/>
      <c r="I482" s="184"/>
      <c r="K482" s="184"/>
      <c r="O482" s="184"/>
      <c r="P482" t="s">
        <v>7045</v>
      </c>
      <c r="Q482" t="s">
        <v>7383</v>
      </c>
      <c r="R482" s="184">
        <v>17715</v>
      </c>
      <c r="S482">
        <v>75</v>
      </c>
      <c r="U482" t="s">
        <v>7031</v>
      </c>
      <c r="V482" t="s">
        <v>2961</v>
      </c>
      <c r="X482" t="s">
        <v>9731</v>
      </c>
      <c r="AF482" t="s">
        <v>9732</v>
      </c>
      <c r="AG482" t="s">
        <v>2961</v>
      </c>
      <c r="AI482" t="s">
        <v>9733</v>
      </c>
      <c r="AM482" t="s">
        <v>9734</v>
      </c>
      <c r="AN482" t="s">
        <v>2072</v>
      </c>
      <c r="AO482" t="s">
        <v>9735</v>
      </c>
      <c r="AP482" t="s">
        <v>7024</v>
      </c>
      <c r="AT482" s="184">
        <v>32797</v>
      </c>
      <c r="AU482" t="s">
        <v>9736</v>
      </c>
      <c r="AV482">
        <v>15</v>
      </c>
      <c r="AW482" s="184">
        <v>43833</v>
      </c>
      <c r="AX482" t="s">
        <v>9737</v>
      </c>
      <c r="AY482">
        <v>25</v>
      </c>
      <c r="AZ482" s="184">
        <v>33144</v>
      </c>
      <c r="BA482" t="s">
        <v>9738</v>
      </c>
      <c r="BB482">
        <v>60</v>
      </c>
      <c r="BC482">
        <v>84</v>
      </c>
      <c r="BD482">
        <v>830</v>
      </c>
      <c r="BE482">
        <v>1990</v>
      </c>
      <c r="BF482">
        <v>33</v>
      </c>
      <c r="BI482">
        <v>30</v>
      </c>
      <c r="BJ482">
        <v>36</v>
      </c>
      <c r="BK482">
        <v>26</v>
      </c>
      <c r="BO482" t="s">
        <v>595</v>
      </c>
      <c r="BP482" s="184"/>
    </row>
    <row r="483" spans="1:68">
      <c r="A483">
        <v>2193209</v>
      </c>
      <c r="B483">
        <v>2193209</v>
      </c>
      <c r="C483" t="s">
        <v>7018</v>
      </c>
      <c r="E483" s="184"/>
      <c r="G483" s="184"/>
      <c r="J483" t="s">
        <v>595</v>
      </c>
      <c r="K483" s="184">
        <v>37714</v>
      </c>
      <c r="O483" s="184"/>
      <c r="P483" t="s">
        <v>7029</v>
      </c>
      <c r="Q483" t="s">
        <v>7374</v>
      </c>
      <c r="R483" s="184">
        <v>19511</v>
      </c>
      <c r="S483">
        <v>70</v>
      </c>
      <c r="U483" t="s">
        <v>7076</v>
      </c>
      <c r="V483" t="s">
        <v>2903</v>
      </c>
      <c r="W483" t="s">
        <v>3332</v>
      </c>
      <c r="X483" t="s">
        <v>2771</v>
      </c>
      <c r="AF483" t="s">
        <v>6269</v>
      </c>
      <c r="AG483" t="s">
        <v>2903</v>
      </c>
      <c r="AI483" t="s">
        <v>9739</v>
      </c>
      <c r="AM483" t="s">
        <v>4268</v>
      </c>
      <c r="AN483" t="s">
        <v>2081</v>
      </c>
      <c r="AO483" t="s">
        <v>9740</v>
      </c>
      <c r="AP483" t="s">
        <v>7024</v>
      </c>
      <c r="AQ483" t="s">
        <v>9741</v>
      </c>
      <c r="AT483" s="184">
        <v>32793</v>
      </c>
      <c r="AU483" t="s">
        <v>9742</v>
      </c>
      <c r="AV483">
        <v>15</v>
      </c>
      <c r="AW483" s="184">
        <v>45263</v>
      </c>
      <c r="AX483" t="s">
        <v>9159</v>
      </c>
      <c r="AY483">
        <v>525</v>
      </c>
      <c r="AZ483" s="184">
        <v>45263</v>
      </c>
      <c r="BA483" t="s">
        <v>9159</v>
      </c>
      <c r="BB483">
        <v>525</v>
      </c>
      <c r="BC483">
        <v>73</v>
      </c>
      <c r="BD483">
        <v>3922</v>
      </c>
      <c r="BE483">
        <v>1990</v>
      </c>
      <c r="BF483">
        <v>44</v>
      </c>
      <c r="BG483">
        <v>2</v>
      </c>
      <c r="BH483">
        <v>1025</v>
      </c>
      <c r="BI483">
        <v>26</v>
      </c>
      <c r="BJ483">
        <v>36</v>
      </c>
      <c r="BK483">
        <v>6</v>
      </c>
      <c r="BP483" s="184"/>
    </row>
    <row r="484" spans="1:68">
      <c r="A484">
        <v>2212041</v>
      </c>
      <c r="B484">
        <v>2212041</v>
      </c>
      <c r="C484" t="s">
        <v>7018</v>
      </c>
      <c r="E484" s="184"/>
      <c r="G484" s="184"/>
      <c r="I484" s="184"/>
      <c r="J484" t="s">
        <v>595</v>
      </c>
      <c r="K484" s="184">
        <v>37434</v>
      </c>
      <c r="O484" s="184"/>
      <c r="P484" t="s">
        <v>7045</v>
      </c>
      <c r="Q484" t="s">
        <v>7374</v>
      </c>
      <c r="R484" s="184">
        <v>10056</v>
      </c>
      <c r="S484">
        <v>96</v>
      </c>
      <c r="U484" t="s">
        <v>7076</v>
      </c>
      <c r="V484" t="s">
        <v>3444</v>
      </c>
      <c r="W484" t="s">
        <v>3226</v>
      </c>
      <c r="X484" t="s">
        <v>9743</v>
      </c>
      <c r="AF484" t="s">
        <v>6247</v>
      </c>
      <c r="AG484" t="s">
        <v>3444</v>
      </c>
      <c r="AI484" t="s">
        <v>9744</v>
      </c>
      <c r="AM484" t="s">
        <v>9745</v>
      </c>
      <c r="AN484" t="s">
        <v>2081</v>
      </c>
      <c r="AO484" t="s">
        <v>9746</v>
      </c>
      <c r="AP484" t="s">
        <v>7024</v>
      </c>
      <c r="AT484" s="184">
        <v>32811</v>
      </c>
      <c r="AU484" t="s">
        <v>9747</v>
      </c>
      <c r="AV484">
        <v>50</v>
      </c>
      <c r="AW484" s="184">
        <v>45369</v>
      </c>
      <c r="AX484" t="s">
        <v>9748</v>
      </c>
      <c r="AY484">
        <v>100</v>
      </c>
      <c r="AZ484" s="184">
        <v>41890</v>
      </c>
      <c r="BA484" t="s">
        <v>9749</v>
      </c>
      <c r="BB484">
        <v>150</v>
      </c>
      <c r="BC484">
        <v>87</v>
      </c>
      <c r="BD484">
        <v>2695</v>
      </c>
      <c r="BE484">
        <v>1990</v>
      </c>
      <c r="BF484">
        <v>35</v>
      </c>
      <c r="BG484">
        <v>3</v>
      </c>
      <c r="BH484">
        <v>300</v>
      </c>
      <c r="BI484">
        <v>31</v>
      </c>
      <c r="BJ484">
        <v>36</v>
      </c>
      <c r="BK484">
        <v>11</v>
      </c>
      <c r="BP484" s="184"/>
    </row>
    <row r="485" spans="1:68">
      <c r="A485">
        <v>2228351</v>
      </c>
      <c r="B485">
        <v>2228351</v>
      </c>
      <c r="C485" t="s">
        <v>7018</v>
      </c>
      <c r="D485" t="s">
        <v>595</v>
      </c>
      <c r="E485" s="184">
        <v>43970</v>
      </c>
      <c r="G485" s="184"/>
      <c r="I485" s="184"/>
      <c r="K485" s="184"/>
      <c r="O485" s="184"/>
      <c r="P485" t="s">
        <v>7045</v>
      </c>
      <c r="Q485" t="s">
        <v>7020</v>
      </c>
      <c r="R485" s="184">
        <v>22545</v>
      </c>
      <c r="S485">
        <v>62</v>
      </c>
      <c r="U485" t="s">
        <v>7076</v>
      </c>
      <c r="V485" t="s">
        <v>2586</v>
      </c>
      <c r="W485" t="s">
        <v>7356</v>
      </c>
      <c r="X485" t="s">
        <v>9750</v>
      </c>
      <c r="AF485" t="s">
        <v>9751</v>
      </c>
      <c r="AG485" t="s">
        <v>2586</v>
      </c>
      <c r="AI485" t="s">
        <v>9752</v>
      </c>
      <c r="AM485" t="s">
        <v>9753</v>
      </c>
      <c r="AN485" t="s">
        <v>2052</v>
      </c>
      <c r="AO485" t="s">
        <v>9754</v>
      </c>
      <c r="AP485" t="s">
        <v>7024</v>
      </c>
      <c r="AT485" s="184">
        <v>32836</v>
      </c>
      <c r="AU485" t="s">
        <v>9755</v>
      </c>
      <c r="AV485">
        <v>25</v>
      </c>
      <c r="AW485" s="184">
        <v>43803</v>
      </c>
      <c r="AX485" t="s">
        <v>9756</v>
      </c>
      <c r="AY485">
        <v>20</v>
      </c>
      <c r="AZ485" s="184">
        <v>34680</v>
      </c>
      <c r="BA485" t="s">
        <v>9757</v>
      </c>
      <c r="BB485">
        <v>52</v>
      </c>
      <c r="BC485">
        <v>87</v>
      </c>
      <c r="BD485">
        <v>2482</v>
      </c>
      <c r="BE485">
        <v>1990</v>
      </c>
      <c r="BF485">
        <v>140</v>
      </c>
      <c r="BI485">
        <v>31</v>
      </c>
      <c r="BJ485">
        <v>36</v>
      </c>
      <c r="BK485">
        <v>31</v>
      </c>
      <c r="BP485" s="184"/>
    </row>
    <row r="486" spans="1:68">
      <c r="A486">
        <v>2266898</v>
      </c>
      <c r="B486">
        <v>2266898</v>
      </c>
      <c r="C486" t="s">
        <v>7018</v>
      </c>
      <c r="D486" t="s">
        <v>595</v>
      </c>
      <c r="E486" s="184">
        <v>43970</v>
      </c>
      <c r="G486" s="184"/>
      <c r="I486" s="184"/>
      <c r="K486" s="184"/>
      <c r="O486" s="184"/>
      <c r="P486" t="s">
        <v>7045</v>
      </c>
      <c r="Q486" t="s">
        <v>7160</v>
      </c>
      <c r="R486" s="184">
        <v>12736</v>
      </c>
      <c r="S486">
        <v>89</v>
      </c>
      <c r="U486" t="s">
        <v>7130</v>
      </c>
      <c r="V486" t="s">
        <v>9758</v>
      </c>
      <c r="W486" t="s">
        <v>205</v>
      </c>
      <c r="X486" t="s">
        <v>3277</v>
      </c>
      <c r="AF486" t="s">
        <v>9759</v>
      </c>
      <c r="AG486" t="s">
        <v>9758</v>
      </c>
      <c r="AI486" t="s">
        <v>9760</v>
      </c>
      <c r="AM486" t="s">
        <v>2741</v>
      </c>
      <c r="AN486" t="s">
        <v>2176</v>
      </c>
      <c r="AO486" t="s">
        <v>9761</v>
      </c>
      <c r="AP486" t="s">
        <v>7024</v>
      </c>
      <c r="AT486" s="184">
        <v>32861</v>
      </c>
      <c r="AU486" t="s">
        <v>9762</v>
      </c>
      <c r="AV486">
        <v>25</v>
      </c>
      <c r="AW486" s="184">
        <v>45288</v>
      </c>
      <c r="AX486" t="s">
        <v>9763</v>
      </c>
      <c r="AY486">
        <v>25</v>
      </c>
      <c r="AZ486" s="184">
        <v>44400</v>
      </c>
      <c r="BA486" t="s">
        <v>9764</v>
      </c>
      <c r="BB486">
        <v>50</v>
      </c>
      <c r="BC486">
        <v>87</v>
      </c>
      <c r="BD486">
        <v>5077</v>
      </c>
      <c r="BE486">
        <v>1990</v>
      </c>
      <c r="BF486">
        <v>258</v>
      </c>
      <c r="BG486">
        <v>19</v>
      </c>
      <c r="BH486">
        <v>475</v>
      </c>
      <c r="BI486">
        <v>31</v>
      </c>
      <c r="BJ486">
        <v>36</v>
      </c>
      <c r="BK486">
        <v>22</v>
      </c>
    </row>
    <row r="487" spans="1:68">
      <c r="A487">
        <v>2269462</v>
      </c>
      <c r="B487">
        <v>2269462</v>
      </c>
      <c r="C487" t="s">
        <v>7018</v>
      </c>
      <c r="D487" t="s">
        <v>595</v>
      </c>
      <c r="E487" s="184">
        <v>44070</v>
      </c>
      <c r="G487" s="184"/>
      <c r="I487" s="184"/>
      <c r="K487" s="184"/>
      <c r="O487" s="184"/>
      <c r="P487" t="s">
        <v>7045</v>
      </c>
      <c r="Q487" t="s">
        <v>7383</v>
      </c>
      <c r="R487" s="184">
        <v>17501</v>
      </c>
      <c r="S487">
        <v>76</v>
      </c>
      <c r="U487" t="s">
        <v>7237</v>
      </c>
      <c r="V487" t="s">
        <v>9765</v>
      </c>
      <c r="W487" t="s">
        <v>7268</v>
      </c>
      <c r="X487" t="s">
        <v>9766</v>
      </c>
      <c r="AF487" t="s">
        <v>9767</v>
      </c>
      <c r="AG487" t="s">
        <v>9765</v>
      </c>
      <c r="AI487" t="s">
        <v>9768</v>
      </c>
      <c r="AM487" t="s">
        <v>9769</v>
      </c>
      <c r="AN487" t="s">
        <v>2313</v>
      </c>
      <c r="AO487" t="s">
        <v>9770</v>
      </c>
      <c r="AP487" t="s">
        <v>7024</v>
      </c>
      <c r="AQ487" t="s">
        <v>9771</v>
      </c>
      <c r="AR487" t="s">
        <v>9772</v>
      </c>
      <c r="AT487" s="184">
        <v>32749</v>
      </c>
      <c r="AU487" t="s">
        <v>9773</v>
      </c>
      <c r="AV487">
        <v>25</v>
      </c>
      <c r="AW487" s="184">
        <v>45246</v>
      </c>
      <c r="AX487" t="s">
        <v>9774</v>
      </c>
      <c r="AY487">
        <v>55</v>
      </c>
      <c r="AZ487" s="184">
        <v>35005</v>
      </c>
      <c r="BA487" t="s">
        <v>9775</v>
      </c>
      <c r="BB487">
        <v>100</v>
      </c>
      <c r="BC487">
        <v>78</v>
      </c>
      <c r="BD487">
        <v>1370</v>
      </c>
      <c r="BE487">
        <v>1990</v>
      </c>
      <c r="BF487">
        <v>38</v>
      </c>
      <c r="BG487">
        <v>2</v>
      </c>
      <c r="BH487">
        <v>90</v>
      </c>
      <c r="BI487">
        <v>28</v>
      </c>
      <c r="BJ487">
        <v>36</v>
      </c>
      <c r="BK487">
        <v>9</v>
      </c>
      <c r="BN487" t="s">
        <v>595</v>
      </c>
      <c r="BP487" s="184"/>
    </row>
    <row r="488" spans="1:68">
      <c r="A488">
        <v>2282622</v>
      </c>
      <c r="B488">
        <v>2282622</v>
      </c>
      <c r="C488" t="s">
        <v>7018</v>
      </c>
      <c r="E488" s="184"/>
      <c r="F488" t="s">
        <v>595</v>
      </c>
      <c r="G488" s="184">
        <v>43731</v>
      </c>
      <c r="I488" s="184"/>
      <c r="K488" s="184"/>
      <c r="O488" s="184"/>
      <c r="P488" t="s">
        <v>7019</v>
      </c>
      <c r="Q488" t="s">
        <v>7020</v>
      </c>
      <c r="R488" s="184">
        <v>13889</v>
      </c>
      <c r="S488">
        <v>86</v>
      </c>
      <c r="U488" t="s">
        <v>7130</v>
      </c>
      <c r="V488" t="s">
        <v>3101</v>
      </c>
      <c r="X488" t="s">
        <v>3894</v>
      </c>
      <c r="AF488" t="s">
        <v>9776</v>
      </c>
      <c r="AG488" t="s">
        <v>3101</v>
      </c>
      <c r="AI488" t="s">
        <v>9777</v>
      </c>
      <c r="AM488" t="s">
        <v>3079</v>
      </c>
      <c r="AN488" t="s">
        <v>2052</v>
      </c>
      <c r="AO488" t="s">
        <v>9778</v>
      </c>
      <c r="AP488" t="s">
        <v>7024</v>
      </c>
      <c r="AT488" s="184">
        <v>32881</v>
      </c>
      <c r="AU488" t="s">
        <v>9779</v>
      </c>
      <c r="AV488">
        <v>15</v>
      </c>
      <c r="AW488" s="184">
        <v>44606</v>
      </c>
      <c r="AX488" t="s">
        <v>9780</v>
      </c>
      <c r="AY488">
        <v>60</v>
      </c>
      <c r="AZ488" s="184">
        <v>44606</v>
      </c>
      <c r="BA488" t="s">
        <v>9780</v>
      </c>
      <c r="BB488">
        <v>60</v>
      </c>
      <c r="BC488">
        <v>40</v>
      </c>
      <c r="BD488">
        <v>475</v>
      </c>
      <c r="BE488">
        <v>1990</v>
      </c>
      <c r="BF488">
        <v>15</v>
      </c>
      <c r="BI488">
        <v>14</v>
      </c>
      <c r="BJ488">
        <v>35</v>
      </c>
      <c r="BK488">
        <v>4</v>
      </c>
      <c r="BP488" s="184"/>
    </row>
    <row r="489" spans="1:68">
      <c r="A489">
        <v>2282697</v>
      </c>
      <c r="B489">
        <v>2282697</v>
      </c>
      <c r="C489" t="s">
        <v>7018</v>
      </c>
      <c r="D489" t="s">
        <v>595</v>
      </c>
      <c r="E489" s="184">
        <v>44167</v>
      </c>
      <c r="G489" s="184"/>
      <c r="I489" s="184"/>
      <c r="K489" s="184"/>
      <c r="O489" s="184"/>
      <c r="P489" t="s">
        <v>7045</v>
      </c>
      <c r="Q489" t="s">
        <v>7383</v>
      </c>
      <c r="R489" s="184">
        <v>10228</v>
      </c>
      <c r="S489">
        <v>96</v>
      </c>
      <c r="U489" t="s">
        <v>7076</v>
      </c>
      <c r="V489" t="s">
        <v>9781</v>
      </c>
      <c r="X489" t="s">
        <v>5610</v>
      </c>
      <c r="AF489" t="s">
        <v>9782</v>
      </c>
      <c r="AG489" t="s">
        <v>9781</v>
      </c>
      <c r="AI489" t="s">
        <v>9783</v>
      </c>
      <c r="AM489" t="s">
        <v>9784</v>
      </c>
      <c r="AN489" t="s">
        <v>2139</v>
      </c>
      <c r="AO489" t="s">
        <v>9785</v>
      </c>
      <c r="AP489" t="s">
        <v>7024</v>
      </c>
      <c r="AT489" s="184">
        <v>32881</v>
      </c>
      <c r="AU489" t="s">
        <v>9779</v>
      </c>
      <c r="AV489">
        <v>15</v>
      </c>
      <c r="AW489" s="184">
        <v>36619</v>
      </c>
      <c r="AX489" t="s">
        <v>9786</v>
      </c>
      <c r="AY489">
        <v>10</v>
      </c>
      <c r="AZ489" s="184">
        <v>35585</v>
      </c>
      <c r="BA489" t="s">
        <v>9787</v>
      </c>
      <c r="BB489">
        <v>54</v>
      </c>
      <c r="BC489">
        <v>20</v>
      </c>
      <c r="BD489">
        <v>199</v>
      </c>
      <c r="BE489">
        <v>1990</v>
      </c>
      <c r="BF489">
        <v>10</v>
      </c>
      <c r="BI489">
        <v>7</v>
      </c>
      <c r="BJ489">
        <v>35</v>
      </c>
      <c r="BK489">
        <v>3</v>
      </c>
      <c r="BP489" s="184"/>
    </row>
    <row r="490" spans="1:68">
      <c r="A490">
        <v>2285484</v>
      </c>
      <c r="B490">
        <v>2285484</v>
      </c>
      <c r="C490" t="s">
        <v>7018</v>
      </c>
      <c r="E490" s="184"/>
      <c r="G490" s="184"/>
      <c r="I490" s="184"/>
      <c r="J490" t="s">
        <v>595</v>
      </c>
      <c r="K490" s="184">
        <v>43773</v>
      </c>
      <c r="O490" s="184"/>
      <c r="P490" t="s">
        <v>7045</v>
      </c>
      <c r="Q490" t="s">
        <v>7030</v>
      </c>
      <c r="R490" s="184">
        <v>17593</v>
      </c>
      <c r="S490">
        <v>76</v>
      </c>
      <c r="U490" t="s">
        <v>7076</v>
      </c>
      <c r="V490" t="s">
        <v>3220</v>
      </c>
      <c r="W490" t="s">
        <v>7560</v>
      </c>
      <c r="X490" t="s">
        <v>4226</v>
      </c>
      <c r="AF490" t="s">
        <v>6202</v>
      </c>
      <c r="AG490" t="s">
        <v>3220</v>
      </c>
      <c r="AI490" t="s">
        <v>9788</v>
      </c>
      <c r="AM490" t="s">
        <v>4227</v>
      </c>
      <c r="AN490" t="s">
        <v>2201</v>
      </c>
      <c r="AO490" t="s">
        <v>9789</v>
      </c>
      <c r="AP490" t="s">
        <v>7024</v>
      </c>
      <c r="AQ490" t="s">
        <v>9790</v>
      </c>
      <c r="AR490" t="s">
        <v>9791</v>
      </c>
      <c r="AT490" s="184">
        <v>32883</v>
      </c>
      <c r="AU490" t="s">
        <v>9779</v>
      </c>
      <c r="AV490">
        <v>15</v>
      </c>
      <c r="AW490" s="184">
        <v>44895</v>
      </c>
      <c r="AX490" t="s">
        <v>9792</v>
      </c>
      <c r="AY490">
        <v>100</v>
      </c>
      <c r="AZ490" s="184">
        <v>43761</v>
      </c>
      <c r="BA490" t="s">
        <v>9793</v>
      </c>
      <c r="BB490">
        <v>1000</v>
      </c>
      <c r="BC490">
        <v>58</v>
      </c>
      <c r="BD490">
        <v>2970</v>
      </c>
      <c r="BE490">
        <v>1990</v>
      </c>
      <c r="BF490">
        <v>28</v>
      </c>
      <c r="BG490">
        <v>1</v>
      </c>
      <c r="BH490">
        <v>100</v>
      </c>
      <c r="BI490">
        <v>20</v>
      </c>
      <c r="BJ490">
        <v>35</v>
      </c>
      <c r="BK490">
        <v>7</v>
      </c>
      <c r="BN490" t="s">
        <v>595</v>
      </c>
      <c r="BP490" s="184"/>
    </row>
    <row r="491" spans="1:68">
      <c r="A491">
        <v>2294981</v>
      </c>
      <c r="B491">
        <v>2294981</v>
      </c>
      <c r="C491" t="s">
        <v>7018</v>
      </c>
      <c r="D491" t="s">
        <v>595</v>
      </c>
      <c r="E491" s="184">
        <v>45120</v>
      </c>
      <c r="G491" s="184"/>
      <c r="I491" s="184"/>
      <c r="K491" s="184"/>
      <c r="O491" s="184"/>
      <c r="P491" t="s">
        <v>7045</v>
      </c>
      <c r="Q491" t="s">
        <v>7383</v>
      </c>
      <c r="R491" s="184">
        <v>17962</v>
      </c>
      <c r="S491">
        <v>75</v>
      </c>
      <c r="U491" t="s">
        <v>7031</v>
      </c>
      <c r="V491" t="s">
        <v>9794</v>
      </c>
      <c r="W491" t="s">
        <v>7407</v>
      </c>
      <c r="X491" t="s">
        <v>9795</v>
      </c>
      <c r="AF491" t="s">
        <v>9796</v>
      </c>
      <c r="AG491" t="s">
        <v>9794</v>
      </c>
      <c r="AI491" t="s">
        <v>9797</v>
      </c>
      <c r="AM491" t="s">
        <v>3245</v>
      </c>
      <c r="AN491" t="s">
        <v>2274</v>
      </c>
      <c r="AO491" t="s">
        <v>9798</v>
      </c>
      <c r="AP491" t="s">
        <v>7024</v>
      </c>
      <c r="AQ491" t="s">
        <v>9799</v>
      </c>
      <c r="AT491" s="184">
        <v>32883</v>
      </c>
      <c r="AU491" t="s">
        <v>9800</v>
      </c>
      <c r="AV491">
        <v>15</v>
      </c>
      <c r="AW491" s="184">
        <v>44138</v>
      </c>
      <c r="AX491" t="s">
        <v>9801</v>
      </c>
      <c r="AY491">
        <v>25</v>
      </c>
      <c r="AZ491" s="184">
        <v>44138</v>
      </c>
      <c r="BA491" t="s">
        <v>9801</v>
      </c>
      <c r="BB491">
        <v>25</v>
      </c>
      <c r="BC491">
        <v>20</v>
      </c>
      <c r="BD491">
        <v>145</v>
      </c>
      <c r="BE491">
        <v>1990</v>
      </c>
      <c r="BF491">
        <v>7</v>
      </c>
      <c r="BI491">
        <v>7</v>
      </c>
      <c r="BJ491">
        <v>35</v>
      </c>
      <c r="BK491">
        <v>4</v>
      </c>
      <c r="BP491" s="184"/>
    </row>
    <row r="492" spans="1:68">
      <c r="A492">
        <v>2302123</v>
      </c>
      <c r="B492">
        <v>2302123</v>
      </c>
      <c r="C492" t="s">
        <v>7018</v>
      </c>
      <c r="E492" s="184"/>
      <c r="G492" s="184"/>
      <c r="H492" t="s">
        <v>595</v>
      </c>
      <c r="I492" s="184">
        <v>44167</v>
      </c>
      <c r="K492" s="184"/>
      <c r="P492" t="s">
        <v>7045</v>
      </c>
      <c r="Q492" t="s">
        <v>7194</v>
      </c>
      <c r="R492" s="184">
        <v>22179</v>
      </c>
      <c r="S492">
        <v>63</v>
      </c>
      <c r="U492" t="s">
        <v>7094</v>
      </c>
      <c r="V492" t="s">
        <v>9802</v>
      </c>
      <c r="X492" t="s">
        <v>9803</v>
      </c>
      <c r="AF492" t="s">
        <v>9804</v>
      </c>
      <c r="AG492" t="s">
        <v>9802</v>
      </c>
      <c r="AI492" t="s">
        <v>9805</v>
      </c>
      <c r="AM492" t="s">
        <v>3035</v>
      </c>
      <c r="AN492" t="s">
        <v>2046</v>
      </c>
      <c r="AO492" t="s">
        <v>9806</v>
      </c>
      <c r="AP492" t="s">
        <v>7024</v>
      </c>
      <c r="AQ492" t="s">
        <v>9807</v>
      </c>
      <c r="AT492" s="184">
        <v>32884</v>
      </c>
      <c r="AU492" t="s">
        <v>9808</v>
      </c>
      <c r="AV492">
        <v>15</v>
      </c>
      <c r="AW492" s="184">
        <v>36620</v>
      </c>
      <c r="AX492" t="s">
        <v>9809</v>
      </c>
      <c r="AY492">
        <v>50</v>
      </c>
      <c r="AZ492" s="184">
        <v>35458</v>
      </c>
      <c r="BA492" t="s">
        <v>9810</v>
      </c>
      <c r="BB492">
        <v>100</v>
      </c>
      <c r="BC492">
        <v>23</v>
      </c>
      <c r="BD492">
        <v>475</v>
      </c>
      <c r="BE492">
        <v>1990</v>
      </c>
      <c r="BF492">
        <v>11</v>
      </c>
      <c r="BI492">
        <v>8</v>
      </c>
      <c r="BJ492">
        <v>35</v>
      </c>
      <c r="BK492">
        <v>4</v>
      </c>
    </row>
    <row r="493" spans="1:68">
      <c r="A493">
        <v>2317683</v>
      </c>
      <c r="B493">
        <v>2317683</v>
      </c>
      <c r="C493" t="s">
        <v>7018</v>
      </c>
      <c r="D493" t="s">
        <v>595</v>
      </c>
      <c r="E493" s="184">
        <v>44065</v>
      </c>
      <c r="G493" s="184"/>
      <c r="I493" s="184"/>
      <c r="K493" s="184"/>
      <c r="O493" s="184"/>
      <c r="P493" t="s">
        <v>7045</v>
      </c>
      <c r="Q493" t="s">
        <v>7020</v>
      </c>
      <c r="R493" s="184">
        <v>17838</v>
      </c>
      <c r="S493">
        <v>75</v>
      </c>
      <c r="U493" t="s">
        <v>7031</v>
      </c>
      <c r="V493" t="s">
        <v>3689</v>
      </c>
      <c r="W493" t="s">
        <v>4152</v>
      </c>
      <c r="X493" t="s">
        <v>9811</v>
      </c>
      <c r="AF493" t="s">
        <v>9812</v>
      </c>
      <c r="AG493" t="s">
        <v>3689</v>
      </c>
      <c r="AI493" t="s">
        <v>9813</v>
      </c>
      <c r="AM493" t="s">
        <v>9814</v>
      </c>
      <c r="AN493" t="s">
        <v>2465</v>
      </c>
      <c r="AO493" t="s">
        <v>9815</v>
      </c>
      <c r="AP493" t="s">
        <v>7024</v>
      </c>
      <c r="AQ493" t="s">
        <v>9816</v>
      </c>
      <c r="AT493" s="184">
        <v>32884</v>
      </c>
      <c r="AU493" t="s">
        <v>9817</v>
      </c>
      <c r="AV493">
        <v>15</v>
      </c>
      <c r="AW493" s="184">
        <v>45399</v>
      </c>
      <c r="AX493" t="s">
        <v>7429</v>
      </c>
      <c r="AY493">
        <v>10</v>
      </c>
      <c r="AZ493" s="184">
        <v>38726</v>
      </c>
      <c r="BA493" t="s">
        <v>9818</v>
      </c>
      <c r="BB493">
        <v>115</v>
      </c>
      <c r="BC493">
        <v>98</v>
      </c>
      <c r="BD493">
        <v>3679</v>
      </c>
      <c r="BE493">
        <v>1990</v>
      </c>
      <c r="BF493">
        <v>89</v>
      </c>
      <c r="BG493">
        <v>23</v>
      </c>
      <c r="BH493">
        <v>785</v>
      </c>
      <c r="BI493">
        <v>34</v>
      </c>
      <c r="BJ493">
        <v>35</v>
      </c>
      <c r="BK493">
        <v>20</v>
      </c>
      <c r="BP493" s="184"/>
    </row>
    <row r="494" spans="1:68">
      <c r="A494">
        <v>2324929</v>
      </c>
      <c r="B494">
        <v>2324929</v>
      </c>
      <c r="C494" t="s">
        <v>7018</v>
      </c>
      <c r="E494" s="184"/>
      <c r="G494" s="184"/>
      <c r="I494" s="184"/>
      <c r="J494" t="s">
        <v>595</v>
      </c>
      <c r="K494" s="184">
        <v>43641</v>
      </c>
      <c r="O494" s="184"/>
      <c r="P494" t="s">
        <v>7045</v>
      </c>
      <c r="Q494" t="s">
        <v>7030</v>
      </c>
      <c r="R494" s="184">
        <v>18841</v>
      </c>
      <c r="S494">
        <v>72</v>
      </c>
      <c r="V494" t="s">
        <v>3111</v>
      </c>
      <c r="X494" t="s">
        <v>3112</v>
      </c>
      <c r="Z494">
        <v>101039539</v>
      </c>
      <c r="AB494" t="s">
        <v>3584</v>
      </c>
      <c r="AD494" t="s">
        <v>3112</v>
      </c>
      <c r="AF494" t="s">
        <v>9819</v>
      </c>
      <c r="AG494" t="s">
        <v>9820</v>
      </c>
      <c r="AI494" t="s">
        <v>9821</v>
      </c>
      <c r="AM494" t="s">
        <v>3113</v>
      </c>
      <c r="AN494" t="s">
        <v>2094</v>
      </c>
      <c r="AO494" t="s">
        <v>9822</v>
      </c>
      <c r="AP494" t="s">
        <v>7024</v>
      </c>
      <c r="AQ494" t="s">
        <v>9823</v>
      </c>
      <c r="AR494" t="s">
        <v>9824</v>
      </c>
      <c r="AT494" s="184">
        <v>32884</v>
      </c>
      <c r="AU494" t="s">
        <v>9825</v>
      </c>
      <c r="AV494">
        <v>17</v>
      </c>
      <c r="AW494" s="184">
        <v>45249</v>
      </c>
      <c r="AX494" t="s">
        <v>7168</v>
      </c>
      <c r="AY494">
        <v>150</v>
      </c>
      <c r="AZ494" s="184">
        <v>45249</v>
      </c>
      <c r="BA494" t="s">
        <v>7168</v>
      </c>
      <c r="BB494">
        <v>150</v>
      </c>
      <c r="BC494">
        <v>83</v>
      </c>
      <c r="BD494">
        <v>2022</v>
      </c>
      <c r="BE494">
        <v>1990</v>
      </c>
      <c r="BF494">
        <v>32</v>
      </c>
      <c r="BG494">
        <v>2</v>
      </c>
      <c r="BH494">
        <v>300</v>
      </c>
      <c r="BI494">
        <v>29</v>
      </c>
      <c r="BJ494">
        <v>35</v>
      </c>
      <c r="BK494">
        <v>11</v>
      </c>
      <c r="BP494" s="184"/>
    </row>
    <row r="495" spans="1:68">
      <c r="A495">
        <v>2337053</v>
      </c>
      <c r="B495">
        <v>2337053</v>
      </c>
      <c r="C495" t="s">
        <v>7018</v>
      </c>
      <c r="D495" t="s">
        <v>595</v>
      </c>
      <c r="E495" s="184">
        <v>44104</v>
      </c>
      <c r="G495" s="184"/>
      <c r="I495" s="184"/>
      <c r="K495" s="184"/>
      <c r="O495" s="184"/>
      <c r="P495" t="s">
        <v>7045</v>
      </c>
      <c r="Q495" t="s">
        <v>7160</v>
      </c>
      <c r="R495" s="184">
        <v>10578</v>
      </c>
      <c r="S495">
        <v>95</v>
      </c>
      <c r="V495" t="s">
        <v>9826</v>
      </c>
      <c r="W495" t="s">
        <v>7248</v>
      </c>
      <c r="X495" t="s">
        <v>2657</v>
      </c>
      <c r="AF495" t="s">
        <v>9827</v>
      </c>
      <c r="AG495" t="s">
        <v>9826</v>
      </c>
      <c r="AI495" t="s">
        <v>9828</v>
      </c>
      <c r="AM495" t="s">
        <v>3960</v>
      </c>
      <c r="AN495" t="s">
        <v>2413</v>
      </c>
      <c r="AO495" t="s">
        <v>9829</v>
      </c>
      <c r="AP495" t="s">
        <v>7024</v>
      </c>
      <c r="AQ495" t="s">
        <v>9830</v>
      </c>
      <c r="AR495" t="s">
        <v>9831</v>
      </c>
      <c r="AT495" s="184">
        <v>32885</v>
      </c>
      <c r="AU495" t="s">
        <v>9832</v>
      </c>
      <c r="AV495">
        <v>15</v>
      </c>
      <c r="AW495" s="184">
        <v>43903</v>
      </c>
      <c r="AX495" t="s">
        <v>9833</v>
      </c>
      <c r="AY495">
        <v>50</v>
      </c>
      <c r="AZ495" s="184">
        <v>35444</v>
      </c>
      <c r="BA495" t="s">
        <v>9834</v>
      </c>
      <c r="BB495">
        <v>150</v>
      </c>
      <c r="BC495">
        <v>89</v>
      </c>
      <c r="BD495">
        <v>3025</v>
      </c>
      <c r="BE495">
        <v>1990</v>
      </c>
      <c r="BF495">
        <v>49</v>
      </c>
      <c r="BI495">
        <v>31</v>
      </c>
      <c r="BJ495">
        <v>35</v>
      </c>
      <c r="BK495">
        <v>31</v>
      </c>
      <c r="BP495" s="184"/>
    </row>
    <row r="496" spans="1:68">
      <c r="A496">
        <v>2350783</v>
      </c>
      <c r="B496">
        <v>2350783</v>
      </c>
      <c r="C496" t="s">
        <v>7018</v>
      </c>
      <c r="E496" s="184"/>
      <c r="G496" s="184"/>
      <c r="J496" t="s">
        <v>595</v>
      </c>
      <c r="K496" s="184">
        <v>43801</v>
      </c>
      <c r="O496" s="184"/>
      <c r="P496" t="s">
        <v>7045</v>
      </c>
      <c r="Q496" t="s">
        <v>7374</v>
      </c>
      <c r="R496" s="184">
        <v>17930</v>
      </c>
      <c r="S496">
        <v>75</v>
      </c>
      <c r="U496" t="s">
        <v>7031</v>
      </c>
      <c r="V496" t="s">
        <v>3981</v>
      </c>
      <c r="W496" t="s">
        <v>3226</v>
      </c>
      <c r="X496" t="s">
        <v>2512</v>
      </c>
      <c r="AF496" t="s">
        <v>6106</v>
      </c>
      <c r="AG496" t="s">
        <v>3981</v>
      </c>
      <c r="AI496" t="s">
        <v>9835</v>
      </c>
      <c r="AM496" t="s">
        <v>4290</v>
      </c>
      <c r="AN496" t="s">
        <v>2081</v>
      </c>
      <c r="AO496" t="s">
        <v>9836</v>
      </c>
      <c r="AP496" t="s">
        <v>7024</v>
      </c>
      <c r="AQ496" t="s">
        <v>9837</v>
      </c>
      <c r="AT496" s="184">
        <v>32889</v>
      </c>
      <c r="AU496" t="s">
        <v>9838</v>
      </c>
      <c r="AV496">
        <v>15</v>
      </c>
      <c r="AW496" s="184">
        <v>45418</v>
      </c>
      <c r="AX496" t="s">
        <v>7168</v>
      </c>
      <c r="AY496">
        <v>105</v>
      </c>
      <c r="AZ496" s="184">
        <v>42851</v>
      </c>
      <c r="BA496" t="s">
        <v>9839</v>
      </c>
      <c r="BB496">
        <v>500</v>
      </c>
      <c r="BC496">
        <v>83</v>
      </c>
      <c r="BD496">
        <v>6860</v>
      </c>
      <c r="BE496">
        <v>1990</v>
      </c>
      <c r="BF496">
        <v>66</v>
      </c>
      <c r="BG496">
        <v>5</v>
      </c>
      <c r="BH496">
        <v>705</v>
      </c>
      <c r="BI496">
        <v>29</v>
      </c>
      <c r="BJ496">
        <v>35</v>
      </c>
      <c r="BK496">
        <v>11</v>
      </c>
      <c r="BP496" s="184"/>
    </row>
    <row r="497" spans="1:68">
      <c r="A497">
        <v>2359354</v>
      </c>
      <c r="B497">
        <v>2359354</v>
      </c>
      <c r="C497" t="s">
        <v>7018</v>
      </c>
      <c r="E497" s="184"/>
      <c r="F497" t="s">
        <v>595</v>
      </c>
      <c r="G497" s="184">
        <v>43731</v>
      </c>
      <c r="I497" s="184"/>
      <c r="K497" s="184"/>
      <c r="O497" s="184"/>
      <c r="P497" t="s">
        <v>7019</v>
      </c>
      <c r="Q497" t="s">
        <v>7160</v>
      </c>
      <c r="R497" s="184">
        <v>30651</v>
      </c>
      <c r="S497">
        <v>40</v>
      </c>
      <c r="U497" t="s">
        <v>7031</v>
      </c>
      <c r="V497" t="s">
        <v>2871</v>
      </c>
      <c r="W497" t="s">
        <v>3332</v>
      </c>
      <c r="X497" t="s">
        <v>3895</v>
      </c>
      <c r="Y497" t="s">
        <v>7431</v>
      </c>
      <c r="AF497" t="s">
        <v>9840</v>
      </c>
      <c r="AG497" t="s">
        <v>2871</v>
      </c>
      <c r="AI497" t="s">
        <v>9841</v>
      </c>
      <c r="AM497" t="s">
        <v>2869</v>
      </c>
      <c r="AN497" t="s">
        <v>2413</v>
      </c>
      <c r="AO497" t="s">
        <v>9842</v>
      </c>
      <c r="AP497" t="s">
        <v>7024</v>
      </c>
      <c r="AQ497" t="s">
        <v>9843</v>
      </c>
      <c r="AR497" t="s">
        <v>9844</v>
      </c>
      <c r="AT497" s="184">
        <v>32889</v>
      </c>
      <c r="AU497" t="s">
        <v>9845</v>
      </c>
      <c r="AV497">
        <v>15</v>
      </c>
      <c r="AW497" s="184">
        <v>43839</v>
      </c>
      <c r="AX497" t="s">
        <v>9846</v>
      </c>
      <c r="AY497">
        <v>60</v>
      </c>
      <c r="AZ497" s="184">
        <v>43839</v>
      </c>
      <c r="BA497" t="s">
        <v>9846</v>
      </c>
      <c r="BB497">
        <v>60</v>
      </c>
      <c r="BC497">
        <v>58</v>
      </c>
      <c r="BD497">
        <v>575</v>
      </c>
      <c r="BE497">
        <v>1990</v>
      </c>
      <c r="BF497">
        <v>24</v>
      </c>
      <c r="BI497">
        <v>20</v>
      </c>
      <c r="BJ497">
        <v>35</v>
      </c>
      <c r="BK497">
        <v>6</v>
      </c>
      <c r="BP497" s="184"/>
    </row>
    <row r="498" spans="1:68">
      <c r="A498">
        <v>2371045</v>
      </c>
      <c r="B498">
        <v>2371045</v>
      </c>
      <c r="C498" t="s">
        <v>7018</v>
      </c>
      <c r="D498" t="s">
        <v>595</v>
      </c>
      <c r="E498" s="184">
        <v>44073</v>
      </c>
      <c r="I498" s="184"/>
      <c r="K498" s="184"/>
      <c r="O498" s="184"/>
      <c r="P498" t="s">
        <v>7045</v>
      </c>
      <c r="Q498" t="s">
        <v>7383</v>
      </c>
      <c r="R498" s="184">
        <v>20570</v>
      </c>
      <c r="S498">
        <v>68</v>
      </c>
      <c r="U498" t="s">
        <v>7076</v>
      </c>
      <c r="V498" t="s">
        <v>9847</v>
      </c>
      <c r="X498" t="s">
        <v>9848</v>
      </c>
      <c r="AF498" t="s">
        <v>9849</v>
      </c>
      <c r="AG498" t="s">
        <v>9847</v>
      </c>
      <c r="AI498" t="s">
        <v>9850</v>
      </c>
      <c r="AM498" t="s">
        <v>2653</v>
      </c>
      <c r="AN498" t="s">
        <v>2162</v>
      </c>
      <c r="AO498" t="s">
        <v>9851</v>
      </c>
      <c r="AP498" t="s">
        <v>7024</v>
      </c>
      <c r="AT498" s="184">
        <v>32889</v>
      </c>
      <c r="AU498" t="s">
        <v>9852</v>
      </c>
      <c r="AV498">
        <v>15</v>
      </c>
      <c r="AW498" s="184">
        <v>40828</v>
      </c>
      <c r="AX498" t="s">
        <v>9853</v>
      </c>
      <c r="AY498">
        <v>60</v>
      </c>
      <c r="AZ498" s="184">
        <v>40828</v>
      </c>
      <c r="BA498" t="s">
        <v>9853</v>
      </c>
      <c r="BB498">
        <v>60</v>
      </c>
      <c r="BC498">
        <v>60</v>
      </c>
      <c r="BD498">
        <v>625</v>
      </c>
      <c r="BE498">
        <v>1990</v>
      </c>
      <c r="BF498">
        <v>24</v>
      </c>
      <c r="BI498">
        <v>21</v>
      </c>
      <c r="BJ498">
        <v>35</v>
      </c>
      <c r="BK498">
        <v>11</v>
      </c>
      <c r="BP498" s="184"/>
    </row>
    <row r="499" spans="1:68">
      <c r="A499">
        <v>2398956</v>
      </c>
      <c r="B499">
        <v>2398956</v>
      </c>
      <c r="C499" t="s">
        <v>7018</v>
      </c>
      <c r="D499" t="s">
        <v>595</v>
      </c>
      <c r="E499" s="184">
        <v>44104</v>
      </c>
      <c r="I499" s="184"/>
      <c r="K499" s="184"/>
      <c r="O499" s="184"/>
      <c r="P499" t="s">
        <v>7045</v>
      </c>
      <c r="Q499" t="s">
        <v>7454</v>
      </c>
      <c r="R499" s="184">
        <v>11740</v>
      </c>
      <c r="S499">
        <v>92</v>
      </c>
      <c r="U499" t="s">
        <v>7031</v>
      </c>
      <c r="V499" t="s">
        <v>2615</v>
      </c>
      <c r="W499" t="s">
        <v>3226</v>
      </c>
      <c r="X499" t="s">
        <v>2772</v>
      </c>
      <c r="AF499" t="s">
        <v>9854</v>
      </c>
      <c r="AG499" t="s">
        <v>2615</v>
      </c>
      <c r="AI499" t="s">
        <v>9855</v>
      </c>
      <c r="AM499" t="s">
        <v>3010</v>
      </c>
      <c r="AN499" t="s">
        <v>2055</v>
      </c>
      <c r="AO499" t="s">
        <v>9856</v>
      </c>
      <c r="AP499" t="s">
        <v>7024</v>
      </c>
      <c r="AQ499" t="s">
        <v>9857</v>
      </c>
      <c r="AT499" s="184">
        <v>32890</v>
      </c>
      <c r="AU499" t="s">
        <v>9858</v>
      </c>
      <c r="AV499">
        <v>15</v>
      </c>
      <c r="AW499" s="184">
        <v>45124</v>
      </c>
      <c r="AX499" t="s">
        <v>9859</v>
      </c>
      <c r="AY499">
        <v>50</v>
      </c>
      <c r="AZ499" s="184">
        <v>45124</v>
      </c>
      <c r="BA499" t="s">
        <v>9859</v>
      </c>
      <c r="BB499">
        <v>50</v>
      </c>
      <c r="BC499">
        <v>92</v>
      </c>
      <c r="BD499">
        <v>1395</v>
      </c>
      <c r="BE499">
        <v>1990</v>
      </c>
      <c r="BF499">
        <v>38</v>
      </c>
      <c r="BG499">
        <v>2</v>
      </c>
      <c r="BH499">
        <v>100</v>
      </c>
      <c r="BI499">
        <v>32</v>
      </c>
      <c r="BJ499">
        <v>35</v>
      </c>
      <c r="BK499">
        <v>28</v>
      </c>
      <c r="BP499" s="184"/>
    </row>
    <row r="500" spans="1:68">
      <c r="A500">
        <v>2403400</v>
      </c>
      <c r="B500">
        <v>2403400</v>
      </c>
      <c r="C500" t="s">
        <v>7018</v>
      </c>
      <c r="E500" s="184"/>
      <c r="G500" s="184"/>
      <c r="I500" s="184"/>
      <c r="J500" t="s">
        <v>595</v>
      </c>
      <c r="K500" s="184">
        <v>38945</v>
      </c>
      <c r="O500" s="184"/>
      <c r="P500" t="s">
        <v>7045</v>
      </c>
      <c r="Q500" t="s">
        <v>7374</v>
      </c>
      <c r="R500" s="184"/>
      <c r="U500" t="s">
        <v>7130</v>
      </c>
      <c r="V500" t="s">
        <v>2547</v>
      </c>
      <c r="W500" t="s">
        <v>8224</v>
      </c>
      <c r="X500" t="s">
        <v>5940</v>
      </c>
      <c r="Z500">
        <v>100179609</v>
      </c>
      <c r="AA500" t="s">
        <v>7031</v>
      </c>
      <c r="AB500" t="s">
        <v>3373</v>
      </c>
      <c r="AC500" t="s">
        <v>4152</v>
      </c>
      <c r="AD500" t="s">
        <v>5940</v>
      </c>
      <c r="AF500" t="s">
        <v>9860</v>
      </c>
      <c r="AG500" t="s">
        <v>2547</v>
      </c>
      <c r="AI500" t="s">
        <v>9861</v>
      </c>
      <c r="AM500" t="s">
        <v>3109</v>
      </c>
      <c r="AN500" t="s">
        <v>2081</v>
      </c>
      <c r="AO500" t="s">
        <v>9862</v>
      </c>
      <c r="AP500" t="s">
        <v>7024</v>
      </c>
      <c r="AT500" s="184">
        <v>32890</v>
      </c>
      <c r="AU500" t="s">
        <v>9863</v>
      </c>
      <c r="AV500">
        <v>15</v>
      </c>
      <c r="AW500" s="184">
        <v>39630</v>
      </c>
      <c r="AX500" t="s">
        <v>9864</v>
      </c>
      <c r="AY500">
        <v>12937.5</v>
      </c>
      <c r="AZ500" s="184">
        <v>39630</v>
      </c>
      <c r="BA500" t="s">
        <v>9864</v>
      </c>
      <c r="BB500">
        <v>12937.5</v>
      </c>
      <c r="BC500">
        <v>23</v>
      </c>
      <c r="BD500">
        <v>13172.5</v>
      </c>
      <c r="BE500">
        <v>1990</v>
      </c>
      <c r="BF500">
        <v>13</v>
      </c>
      <c r="BI500">
        <v>8</v>
      </c>
      <c r="BJ500">
        <v>35</v>
      </c>
      <c r="BK500">
        <v>3</v>
      </c>
      <c r="BP500" s="184"/>
    </row>
    <row r="501" spans="1:68">
      <c r="A501">
        <v>100179609</v>
      </c>
      <c r="B501">
        <v>2403400</v>
      </c>
      <c r="C501" t="s">
        <v>7018</v>
      </c>
      <c r="E501" s="184"/>
      <c r="G501" s="184"/>
      <c r="J501" t="s">
        <v>595</v>
      </c>
      <c r="K501" s="184">
        <v>38945</v>
      </c>
      <c r="O501" s="184"/>
      <c r="P501" t="s">
        <v>7045</v>
      </c>
      <c r="Q501" t="s">
        <v>7374</v>
      </c>
      <c r="R501" s="184">
        <v>4750</v>
      </c>
      <c r="S501">
        <v>111</v>
      </c>
      <c r="U501" t="s">
        <v>7031</v>
      </c>
      <c r="V501" t="s">
        <v>3373</v>
      </c>
      <c r="W501" t="s">
        <v>4152</v>
      </c>
      <c r="X501" t="s">
        <v>5940</v>
      </c>
      <c r="Z501">
        <v>2403400</v>
      </c>
      <c r="AA501" t="s">
        <v>7130</v>
      </c>
      <c r="AB501" t="s">
        <v>2547</v>
      </c>
      <c r="AC501" t="s">
        <v>8224</v>
      </c>
      <c r="AD501" t="s">
        <v>5940</v>
      </c>
      <c r="AF501" t="s">
        <v>9860</v>
      </c>
      <c r="AG501" t="s">
        <v>2547</v>
      </c>
      <c r="AI501" t="s">
        <v>9861</v>
      </c>
      <c r="AM501" t="s">
        <v>3109</v>
      </c>
      <c r="AN501" t="s">
        <v>2081</v>
      </c>
      <c r="AO501" t="s">
        <v>9862</v>
      </c>
      <c r="AP501" t="s">
        <v>7024</v>
      </c>
      <c r="AT501" s="184"/>
      <c r="AW501" s="184"/>
      <c r="AZ501" s="184"/>
      <c r="BO501" t="s">
        <v>595</v>
      </c>
      <c r="BP501" s="184"/>
    </row>
    <row r="502" spans="1:68">
      <c r="A502">
        <v>2405439</v>
      </c>
      <c r="B502">
        <v>2405439</v>
      </c>
      <c r="C502" t="s">
        <v>7018</v>
      </c>
      <c r="D502" t="s">
        <v>595</v>
      </c>
      <c r="E502" s="184">
        <v>43864</v>
      </c>
      <c r="G502" s="184"/>
      <c r="I502" s="184"/>
      <c r="K502" s="184"/>
      <c r="O502" s="184"/>
      <c r="P502" t="s">
        <v>7045</v>
      </c>
      <c r="Q502" t="s">
        <v>7160</v>
      </c>
      <c r="R502" s="184">
        <v>14596</v>
      </c>
      <c r="S502">
        <v>84</v>
      </c>
      <c r="U502" t="s">
        <v>7130</v>
      </c>
      <c r="V502" t="s">
        <v>4673</v>
      </c>
      <c r="W502" t="s">
        <v>7743</v>
      </c>
      <c r="X502" t="s">
        <v>4674</v>
      </c>
      <c r="AF502" t="s">
        <v>9865</v>
      </c>
      <c r="AG502" t="s">
        <v>4673</v>
      </c>
      <c r="AI502" t="s">
        <v>9866</v>
      </c>
      <c r="AM502" t="s">
        <v>4675</v>
      </c>
      <c r="AN502" t="s">
        <v>2395</v>
      </c>
      <c r="AO502" t="s">
        <v>9867</v>
      </c>
      <c r="AP502" t="s">
        <v>7024</v>
      </c>
      <c r="AQ502" t="s">
        <v>9868</v>
      </c>
      <c r="AT502" s="184">
        <v>32890</v>
      </c>
      <c r="AU502" t="s">
        <v>9869</v>
      </c>
      <c r="AV502">
        <v>15</v>
      </c>
      <c r="AW502" s="184">
        <v>45357</v>
      </c>
      <c r="AX502" t="s">
        <v>9870</v>
      </c>
      <c r="AY502">
        <v>60</v>
      </c>
      <c r="AZ502" s="184">
        <v>35874</v>
      </c>
      <c r="BA502" t="s">
        <v>9871</v>
      </c>
      <c r="BB502">
        <v>75</v>
      </c>
      <c r="BC502">
        <v>78</v>
      </c>
      <c r="BD502">
        <v>1156</v>
      </c>
      <c r="BE502">
        <v>1990</v>
      </c>
      <c r="BF502">
        <v>37</v>
      </c>
      <c r="BG502">
        <v>3</v>
      </c>
      <c r="BH502">
        <v>100</v>
      </c>
      <c r="BI502">
        <v>27</v>
      </c>
      <c r="BJ502">
        <v>35</v>
      </c>
      <c r="BK502">
        <v>8</v>
      </c>
      <c r="BN502" t="s">
        <v>595</v>
      </c>
      <c r="BP502" s="184"/>
    </row>
    <row r="503" spans="1:68">
      <c r="A503">
        <v>2406692</v>
      </c>
      <c r="B503">
        <v>2406692</v>
      </c>
      <c r="C503" t="s">
        <v>7018</v>
      </c>
      <c r="E503" s="184"/>
      <c r="G503" s="184"/>
      <c r="K503" s="184"/>
      <c r="N503" t="s">
        <v>595</v>
      </c>
      <c r="O503" s="184">
        <v>39630</v>
      </c>
      <c r="P503" t="s">
        <v>7045</v>
      </c>
      <c r="Q503" t="s">
        <v>7374</v>
      </c>
      <c r="R503" s="184">
        <v>6495</v>
      </c>
      <c r="S503">
        <v>106</v>
      </c>
      <c r="U503" t="s">
        <v>7076</v>
      </c>
      <c r="V503" t="s">
        <v>3444</v>
      </c>
      <c r="W503" t="s">
        <v>4152</v>
      </c>
      <c r="X503" t="s">
        <v>3321</v>
      </c>
      <c r="AF503" t="s">
        <v>9872</v>
      </c>
      <c r="AG503" t="s">
        <v>9873</v>
      </c>
      <c r="AI503" t="s">
        <v>9874</v>
      </c>
      <c r="AM503" t="s">
        <v>5942</v>
      </c>
      <c r="AN503" t="s">
        <v>2081</v>
      </c>
      <c r="AO503" t="s">
        <v>9875</v>
      </c>
      <c r="AP503" t="s">
        <v>7024</v>
      </c>
      <c r="AT503" s="184">
        <v>32890</v>
      </c>
      <c r="AU503" t="s">
        <v>9876</v>
      </c>
      <c r="AV503">
        <v>17</v>
      </c>
      <c r="AW503" s="184">
        <v>39913</v>
      </c>
      <c r="AX503" t="s">
        <v>9877</v>
      </c>
      <c r="AY503">
        <v>565</v>
      </c>
      <c r="AZ503" s="184">
        <v>39599</v>
      </c>
      <c r="BA503" t="s">
        <v>9864</v>
      </c>
      <c r="BB503">
        <v>11573.2</v>
      </c>
      <c r="BC503">
        <v>55</v>
      </c>
      <c r="BD503">
        <v>13130.2</v>
      </c>
      <c r="BE503">
        <v>1990</v>
      </c>
      <c r="BF503">
        <v>29</v>
      </c>
      <c r="BI503">
        <v>19</v>
      </c>
      <c r="BJ503">
        <v>35</v>
      </c>
      <c r="BK503">
        <v>16</v>
      </c>
      <c r="BO503" t="s">
        <v>595</v>
      </c>
      <c r="BP503" s="184">
        <v>39796</v>
      </c>
    </row>
    <row r="504" spans="1:68">
      <c r="A504">
        <v>2407872</v>
      </c>
      <c r="B504">
        <v>2407872</v>
      </c>
      <c r="C504" t="s">
        <v>7018</v>
      </c>
      <c r="E504" s="184"/>
      <c r="G504" s="184"/>
      <c r="J504" t="s">
        <v>595</v>
      </c>
      <c r="K504" s="184">
        <v>41120</v>
      </c>
      <c r="O504" s="184"/>
      <c r="P504" t="s">
        <v>7045</v>
      </c>
      <c r="Q504" t="s">
        <v>7160</v>
      </c>
      <c r="R504" s="184">
        <v>21033</v>
      </c>
      <c r="S504">
        <v>66</v>
      </c>
      <c r="U504" t="s">
        <v>7076</v>
      </c>
      <c r="V504" t="s">
        <v>5623</v>
      </c>
      <c r="X504" t="s">
        <v>5624</v>
      </c>
      <c r="AF504" t="s">
        <v>9878</v>
      </c>
      <c r="AG504" t="s">
        <v>5623</v>
      </c>
      <c r="AI504" t="s">
        <v>9879</v>
      </c>
      <c r="AM504" t="s">
        <v>3576</v>
      </c>
      <c r="AN504" t="s">
        <v>2446</v>
      </c>
      <c r="AO504" t="s">
        <v>9880</v>
      </c>
      <c r="AP504" t="s">
        <v>7024</v>
      </c>
      <c r="AQ504" t="s">
        <v>9881</v>
      </c>
      <c r="AR504" t="s">
        <v>9882</v>
      </c>
      <c r="AT504" s="184">
        <v>32890</v>
      </c>
      <c r="AU504" t="s">
        <v>9883</v>
      </c>
      <c r="AV504">
        <v>15</v>
      </c>
      <c r="AW504" s="184">
        <v>45258</v>
      </c>
      <c r="AX504" t="s">
        <v>9884</v>
      </c>
      <c r="AY504">
        <v>100</v>
      </c>
      <c r="AZ504" s="184">
        <v>37669</v>
      </c>
      <c r="BA504" t="s">
        <v>9885</v>
      </c>
      <c r="BB504">
        <v>5090</v>
      </c>
      <c r="BC504">
        <v>92</v>
      </c>
      <c r="BD504">
        <v>30423.63</v>
      </c>
      <c r="BE504">
        <v>1990</v>
      </c>
      <c r="BF504">
        <v>46</v>
      </c>
      <c r="BG504">
        <v>2</v>
      </c>
      <c r="BH504">
        <v>350</v>
      </c>
      <c r="BI504">
        <v>32</v>
      </c>
      <c r="BJ504">
        <v>35</v>
      </c>
      <c r="BK504">
        <v>16</v>
      </c>
    </row>
    <row r="505" spans="1:68">
      <c r="A505">
        <v>2409571</v>
      </c>
      <c r="B505">
        <v>2409571</v>
      </c>
      <c r="C505" t="s">
        <v>7018</v>
      </c>
      <c r="E505" s="184"/>
      <c r="G505" s="184"/>
      <c r="I505" s="184"/>
      <c r="J505" t="s">
        <v>595</v>
      </c>
      <c r="K505" s="184">
        <v>38386</v>
      </c>
      <c r="O505" s="184"/>
      <c r="P505" t="s">
        <v>7045</v>
      </c>
      <c r="Q505" t="s">
        <v>7374</v>
      </c>
      <c r="R505" s="184">
        <v>13872</v>
      </c>
      <c r="S505">
        <v>86</v>
      </c>
      <c r="U505" t="s">
        <v>7076</v>
      </c>
      <c r="V505" t="s">
        <v>9886</v>
      </c>
      <c r="X505" t="s">
        <v>9887</v>
      </c>
      <c r="AF505" t="s">
        <v>6642</v>
      </c>
      <c r="AG505" t="s">
        <v>9886</v>
      </c>
      <c r="AI505" t="s">
        <v>9888</v>
      </c>
      <c r="AM505" t="s">
        <v>9889</v>
      </c>
      <c r="AN505" t="s">
        <v>2081</v>
      </c>
      <c r="AO505" t="s">
        <v>9890</v>
      </c>
      <c r="AP505" t="s">
        <v>7024</v>
      </c>
      <c r="AT505" s="184">
        <v>32890</v>
      </c>
      <c r="AU505" t="s">
        <v>9891</v>
      </c>
      <c r="AV505">
        <v>15</v>
      </c>
      <c r="AW505" s="184">
        <v>41176</v>
      </c>
      <c r="AX505" t="s">
        <v>9892</v>
      </c>
      <c r="AY505">
        <v>25</v>
      </c>
      <c r="AZ505" s="184">
        <v>39735</v>
      </c>
      <c r="BA505" t="s">
        <v>9893</v>
      </c>
      <c r="BB505">
        <v>60</v>
      </c>
      <c r="BC505">
        <v>26</v>
      </c>
      <c r="BD505">
        <v>298</v>
      </c>
      <c r="BE505">
        <v>1990</v>
      </c>
      <c r="BF505">
        <v>11</v>
      </c>
      <c r="BI505">
        <v>9</v>
      </c>
      <c r="BJ505">
        <v>35</v>
      </c>
      <c r="BK505">
        <v>2</v>
      </c>
    </row>
    <row r="506" spans="1:68">
      <c r="A506">
        <v>2422194</v>
      </c>
      <c r="B506">
        <v>2422194</v>
      </c>
      <c r="C506" t="s">
        <v>7018</v>
      </c>
      <c r="E506" s="184"/>
      <c r="G506" s="184"/>
      <c r="I506" s="184"/>
      <c r="K506" s="184"/>
      <c r="M506" s="184"/>
      <c r="N506" t="s">
        <v>595</v>
      </c>
      <c r="O506" s="184">
        <v>42889</v>
      </c>
      <c r="P506" t="s">
        <v>7045</v>
      </c>
      <c r="Q506" t="s">
        <v>7494</v>
      </c>
      <c r="R506" s="184">
        <v>13254</v>
      </c>
      <c r="S506">
        <v>88</v>
      </c>
      <c r="U506" t="s">
        <v>7130</v>
      </c>
      <c r="V506" t="s">
        <v>3901</v>
      </c>
      <c r="X506" t="s">
        <v>9894</v>
      </c>
      <c r="Z506">
        <v>100015099</v>
      </c>
      <c r="AA506" t="s">
        <v>7032</v>
      </c>
      <c r="AB506" t="s">
        <v>3496</v>
      </c>
      <c r="AD506" t="s">
        <v>9894</v>
      </c>
      <c r="AF506" t="s">
        <v>6009</v>
      </c>
      <c r="AG506" t="s">
        <v>9895</v>
      </c>
      <c r="AI506" t="s">
        <v>9896</v>
      </c>
      <c r="AM506" t="s">
        <v>3371</v>
      </c>
      <c r="AN506" t="s">
        <v>2174</v>
      </c>
      <c r="AO506" t="s">
        <v>9897</v>
      </c>
      <c r="AP506" t="s">
        <v>7024</v>
      </c>
      <c r="AT506" s="184">
        <v>32891</v>
      </c>
      <c r="AU506" t="s">
        <v>9852</v>
      </c>
      <c r="AV506">
        <v>15</v>
      </c>
      <c r="AW506" s="184">
        <v>42894</v>
      </c>
      <c r="AX506" t="s">
        <v>7267</v>
      </c>
      <c r="AY506">
        <v>10000</v>
      </c>
      <c r="AZ506" s="184">
        <v>42894</v>
      </c>
      <c r="BA506" t="s">
        <v>7267</v>
      </c>
      <c r="BB506">
        <v>10000</v>
      </c>
      <c r="BC506">
        <v>63</v>
      </c>
      <c r="BD506">
        <v>10815</v>
      </c>
      <c r="BE506">
        <v>1990</v>
      </c>
      <c r="BF506">
        <v>34</v>
      </c>
      <c r="BI506">
        <v>22</v>
      </c>
      <c r="BJ506">
        <v>35</v>
      </c>
      <c r="BK506">
        <v>8</v>
      </c>
      <c r="BP506" s="184"/>
    </row>
    <row r="507" spans="1:68">
      <c r="A507">
        <v>100015099</v>
      </c>
      <c r="B507">
        <v>2422194</v>
      </c>
      <c r="C507" t="s">
        <v>7018</v>
      </c>
      <c r="E507" s="184"/>
      <c r="G507" s="184"/>
      <c r="I507" s="184"/>
      <c r="K507" s="184"/>
      <c r="N507" t="s">
        <v>595</v>
      </c>
      <c r="O507" s="184">
        <v>42889</v>
      </c>
      <c r="P507" t="s">
        <v>7045</v>
      </c>
      <c r="Q507" t="s">
        <v>7494</v>
      </c>
      <c r="R507" s="184">
        <v>12110</v>
      </c>
      <c r="S507">
        <v>91</v>
      </c>
      <c r="U507" t="s">
        <v>7032</v>
      </c>
      <c r="V507" t="s">
        <v>3496</v>
      </c>
      <c r="X507" t="s">
        <v>9894</v>
      </c>
      <c r="Z507">
        <v>2422194</v>
      </c>
      <c r="AA507" t="s">
        <v>7130</v>
      </c>
      <c r="AB507" t="s">
        <v>3901</v>
      </c>
      <c r="AD507" t="s">
        <v>9894</v>
      </c>
      <c r="AF507" t="s">
        <v>6009</v>
      </c>
      <c r="AG507" t="s">
        <v>9895</v>
      </c>
      <c r="AI507" t="s">
        <v>9896</v>
      </c>
      <c r="AM507" t="s">
        <v>3371</v>
      </c>
      <c r="AN507" t="s">
        <v>2174</v>
      </c>
      <c r="AO507" t="s">
        <v>9897</v>
      </c>
      <c r="AP507" t="s">
        <v>7024</v>
      </c>
      <c r="AQ507" t="s">
        <v>9898</v>
      </c>
      <c r="AR507" t="s">
        <v>9899</v>
      </c>
      <c r="AT507" s="184"/>
      <c r="AW507" s="184"/>
      <c r="AZ507" s="184"/>
      <c r="BP507" s="184"/>
    </row>
    <row r="508" spans="1:68">
      <c r="A508">
        <v>2425072</v>
      </c>
      <c r="B508">
        <v>2425072</v>
      </c>
      <c r="C508" t="s">
        <v>7018</v>
      </c>
      <c r="E508" s="184"/>
      <c r="F508" t="s">
        <v>595</v>
      </c>
      <c r="G508" s="184">
        <v>43731</v>
      </c>
      <c r="I508" s="184"/>
      <c r="K508" s="184"/>
      <c r="O508" s="184"/>
      <c r="P508" t="s">
        <v>7045</v>
      </c>
      <c r="Q508" t="s">
        <v>7494</v>
      </c>
      <c r="R508" s="184">
        <v>17737</v>
      </c>
      <c r="S508">
        <v>75</v>
      </c>
      <c r="U508" t="s">
        <v>7031</v>
      </c>
      <c r="V508" t="s">
        <v>3896</v>
      </c>
      <c r="X508" t="s">
        <v>3897</v>
      </c>
      <c r="Z508">
        <v>100015107</v>
      </c>
      <c r="AA508" t="s">
        <v>7130</v>
      </c>
      <c r="AB508" t="s">
        <v>2733</v>
      </c>
      <c r="AD508" t="s">
        <v>3897</v>
      </c>
      <c r="AF508" t="s">
        <v>9900</v>
      </c>
      <c r="AG508" t="s">
        <v>9901</v>
      </c>
      <c r="AI508" t="s">
        <v>9902</v>
      </c>
      <c r="AM508" t="s">
        <v>2582</v>
      </c>
      <c r="AN508" t="s">
        <v>2174</v>
      </c>
      <c r="AO508" t="s">
        <v>9903</v>
      </c>
      <c r="AP508" t="s">
        <v>7024</v>
      </c>
      <c r="AQ508" t="s">
        <v>9904</v>
      </c>
      <c r="AR508" t="s">
        <v>9905</v>
      </c>
      <c r="AT508" s="184">
        <v>32891</v>
      </c>
      <c r="AU508" t="s">
        <v>9906</v>
      </c>
      <c r="AV508">
        <v>15</v>
      </c>
      <c r="AW508" s="184">
        <v>43125</v>
      </c>
      <c r="AX508" t="s">
        <v>9907</v>
      </c>
      <c r="AY508">
        <v>50</v>
      </c>
      <c r="AZ508" s="184">
        <v>40193</v>
      </c>
      <c r="BA508" t="s">
        <v>9908</v>
      </c>
      <c r="BB508">
        <v>100</v>
      </c>
      <c r="BC508">
        <v>38</v>
      </c>
      <c r="BD508">
        <v>660</v>
      </c>
      <c r="BE508">
        <v>1990</v>
      </c>
      <c r="BF508">
        <v>20</v>
      </c>
      <c r="BI508">
        <v>13</v>
      </c>
      <c r="BJ508">
        <v>35</v>
      </c>
      <c r="BK508">
        <v>4</v>
      </c>
      <c r="BN508" t="s">
        <v>595</v>
      </c>
      <c r="BP508" s="184"/>
    </row>
    <row r="509" spans="1:68">
      <c r="A509">
        <v>100015107</v>
      </c>
      <c r="B509">
        <v>2425072</v>
      </c>
      <c r="C509" t="s">
        <v>7018</v>
      </c>
      <c r="E509" s="184"/>
      <c r="F509" t="s">
        <v>595</v>
      </c>
      <c r="G509" s="184">
        <v>43731</v>
      </c>
      <c r="I509" s="184"/>
      <c r="K509" s="184"/>
      <c r="O509" s="184"/>
      <c r="P509" t="s">
        <v>7045</v>
      </c>
      <c r="Q509" t="s">
        <v>7494</v>
      </c>
      <c r="R509" s="184">
        <v>17885</v>
      </c>
      <c r="S509">
        <v>75</v>
      </c>
      <c r="U509" t="s">
        <v>7130</v>
      </c>
      <c r="V509" t="s">
        <v>2733</v>
      </c>
      <c r="X509" t="s">
        <v>3897</v>
      </c>
      <c r="Z509">
        <v>2425072</v>
      </c>
      <c r="AA509" t="s">
        <v>7031</v>
      </c>
      <c r="AB509" t="s">
        <v>3896</v>
      </c>
      <c r="AD509" t="s">
        <v>3897</v>
      </c>
      <c r="AF509" t="s">
        <v>9900</v>
      </c>
      <c r="AG509" t="s">
        <v>9901</v>
      </c>
      <c r="AI509" t="s">
        <v>9902</v>
      </c>
      <c r="AM509" t="s">
        <v>2582</v>
      </c>
      <c r="AN509" t="s">
        <v>2174</v>
      </c>
      <c r="AO509" t="s">
        <v>9903</v>
      </c>
      <c r="AP509" t="s">
        <v>7024</v>
      </c>
      <c r="AT509" s="184"/>
      <c r="AW509" s="184"/>
      <c r="AZ509" s="184"/>
      <c r="BP509" s="184"/>
    </row>
    <row r="510" spans="1:68">
      <c r="A510">
        <v>2425270</v>
      </c>
      <c r="B510">
        <v>2425270</v>
      </c>
      <c r="C510" t="s">
        <v>7018</v>
      </c>
      <c r="D510" t="s">
        <v>595</v>
      </c>
      <c r="E510" s="184">
        <v>43801</v>
      </c>
      <c r="G510" s="184"/>
      <c r="I510" s="184"/>
      <c r="K510" s="184"/>
      <c r="M510" s="184"/>
      <c r="O510" s="184"/>
      <c r="P510" t="s">
        <v>7045</v>
      </c>
      <c r="Q510" t="s">
        <v>7374</v>
      </c>
      <c r="R510" s="184">
        <v>12867</v>
      </c>
      <c r="S510">
        <v>89</v>
      </c>
      <c r="U510" t="s">
        <v>7031</v>
      </c>
      <c r="V510" t="s">
        <v>4332</v>
      </c>
      <c r="W510" t="s">
        <v>7268</v>
      </c>
      <c r="X510" t="s">
        <v>3321</v>
      </c>
      <c r="AF510" t="s">
        <v>9909</v>
      </c>
      <c r="AG510" t="s">
        <v>4332</v>
      </c>
      <c r="AI510" t="s">
        <v>9910</v>
      </c>
      <c r="AM510" t="s">
        <v>4312</v>
      </c>
      <c r="AN510" t="s">
        <v>2081</v>
      </c>
      <c r="AO510" t="s">
        <v>9911</v>
      </c>
      <c r="AP510" t="s">
        <v>7024</v>
      </c>
      <c r="AT510" s="184">
        <v>32891</v>
      </c>
      <c r="AU510" t="s">
        <v>9912</v>
      </c>
      <c r="AV510">
        <v>15</v>
      </c>
      <c r="AW510" s="184">
        <v>39372</v>
      </c>
      <c r="AX510" t="s">
        <v>9913</v>
      </c>
      <c r="AY510">
        <v>25</v>
      </c>
      <c r="AZ510" s="184">
        <v>38504</v>
      </c>
      <c r="BA510" t="s">
        <v>9914</v>
      </c>
      <c r="BB510">
        <v>35</v>
      </c>
      <c r="BC510">
        <v>46</v>
      </c>
      <c r="BD510">
        <v>459</v>
      </c>
      <c r="BE510">
        <v>1990</v>
      </c>
      <c r="BF510">
        <v>21</v>
      </c>
      <c r="BI510">
        <v>16</v>
      </c>
      <c r="BJ510">
        <v>35</v>
      </c>
      <c r="BK510">
        <v>9</v>
      </c>
      <c r="BP510" s="184"/>
    </row>
    <row r="511" spans="1:68">
      <c r="A511">
        <v>2439099</v>
      </c>
      <c r="B511">
        <v>2439099</v>
      </c>
      <c r="C511" t="s">
        <v>7018</v>
      </c>
      <c r="D511" t="s">
        <v>595</v>
      </c>
      <c r="E511" s="184">
        <v>44104</v>
      </c>
      <c r="G511" s="184"/>
      <c r="I511" s="184"/>
      <c r="K511" s="184"/>
      <c r="M511" s="184"/>
      <c r="O511" s="184"/>
      <c r="P511" t="s">
        <v>7045</v>
      </c>
      <c r="Q511" t="s">
        <v>7494</v>
      </c>
      <c r="R511" s="184">
        <v>12300</v>
      </c>
      <c r="S511">
        <v>90</v>
      </c>
      <c r="U511" t="s">
        <v>7031</v>
      </c>
      <c r="V511" t="s">
        <v>3246</v>
      </c>
      <c r="W511" t="s">
        <v>2963</v>
      </c>
      <c r="X511" t="s">
        <v>9915</v>
      </c>
      <c r="AF511" t="s">
        <v>9916</v>
      </c>
      <c r="AG511" t="s">
        <v>3246</v>
      </c>
      <c r="AI511" t="s">
        <v>9917</v>
      </c>
      <c r="AM511" t="s">
        <v>3694</v>
      </c>
      <c r="AN511" t="s">
        <v>2174</v>
      </c>
      <c r="AO511" t="s">
        <v>9918</v>
      </c>
      <c r="AP511" t="s">
        <v>7024</v>
      </c>
      <c r="AQ511" t="s">
        <v>9919</v>
      </c>
      <c r="AT511" s="184">
        <v>32892</v>
      </c>
      <c r="AU511" t="s">
        <v>9920</v>
      </c>
      <c r="AV511">
        <v>15</v>
      </c>
      <c r="AW511" s="184">
        <v>45301</v>
      </c>
      <c r="AX511" t="s">
        <v>9921</v>
      </c>
      <c r="AY511">
        <v>50</v>
      </c>
      <c r="AZ511" s="184">
        <v>42037</v>
      </c>
      <c r="BA511" t="s">
        <v>9922</v>
      </c>
      <c r="BB511">
        <v>100</v>
      </c>
      <c r="BC511">
        <v>60</v>
      </c>
      <c r="BD511">
        <v>947</v>
      </c>
      <c r="BE511">
        <v>1990</v>
      </c>
      <c r="BF511">
        <v>28</v>
      </c>
      <c r="BG511">
        <v>1</v>
      </c>
      <c r="BH511">
        <v>50</v>
      </c>
      <c r="BI511">
        <v>21</v>
      </c>
      <c r="BJ511">
        <v>35</v>
      </c>
      <c r="BK511">
        <v>6</v>
      </c>
      <c r="BP511" s="184"/>
    </row>
    <row r="512" spans="1:68">
      <c r="A512">
        <v>2448744</v>
      </c>
      <c r="B512">
        <v>2448744</v>
      </c>
      <c r="C512" t="s">
        <v>7018</v>
      </c>
      <c r="E512" s="184"/>
      <c r="G512" s="184"/>
      <c r="I512" s="184"/>
      <c r="J512" t="s">
        <v>595</v>
      </c>
      <c r="K512" s="184">
        <v>41921</v>
      </c>
      <c r="P512" t="s">
        <v>7029</v>
      </c>
      <c r="Q512" t="s">
        <v>7383</v>
      </c>
      <c r="R512" s="184">
        <v>17533</v>
      </c>
      <c r="S512">
        <v>76</v>
      </c>
      <c r="U512" t="s">
        <v>7076</v>
      </c>
      <c r="V512" t="s">
        <v>2995</v>
      </c>
      <c r="X512" t="s">
        <v>9923</v>
      </c>
      <c r="AF512" t="s">
        <v>6070</v>
      </c>
      <c r="AG512" t="s">
        <v>2995</v>
      </c>
      <c r="AI512" t="s">
        <v>9924</v>
      </c>
      <c r="AM512" t="s">
        <v>4497</v>
      </c>
      <c r="AN512" t="s">
        <v>2064</v>
      </c>
      <c r="AO512" t="s">
        <v>9925</v>
      </c>
      <c r="AP512" t="s">
        <v>7024</v>
      </c>
      <c r="AQ512" t="s">
        <v>9926</v>
      </c>
      <c r="AT512" s="184">
        <v>32892</v>
      </c>
      <c r="AU512" t="s">
        <v>9927</v>
      </c>
      <c r="AV512">
        <v>17</v>
      </c>
      <c r="AW512" s="184">
        <v>45278</v>
      </c>
      <c r="AX512" t="s">
        <v>8019</v>
      </c>
      <c r="AY512">
        <v>500</v>
      </c>
      <c r="AZ512" s="184">
        <v>44498</v>
      </c>
      <c r="BA512" t="s">
        <v>9928</v>
      </c>
      <c r="BB512">
        <v>1000</v>
      </c>
      <c r="BC512">
        <v>86</v>
      </c>
      <c r="BD512">
        <v>11301</v>
      </c>
      <c r="BE512">
        <v>1990</v>
      </c>
      <c r="BF512">
        <v>108</v>
      </c>
      <c r="BG512">
        <v>4</v>
      </c>
      <c r="BH512">
        <v>2000</v>
      </c>
      <c r="BI512">
        <v>30</v>
      </c>
      <c r="BJ512">
        <v>35</v>
      </c>
      <c r="BK512">
        <v>19</v>
      </c>
    </row>
    <row r="513" spans="1:68">
      <c r="A513">
        <v>2462547</v>
      </c>
      <c r="B513">
        <v>2462547</v>
      </c>
      <c r="C513" t="s">
        <v>7018</v>
      </c>
      <c r="D513" t="s">
        <v>595</v>
      </c>
      <c r="E513" s="184">
        <v>44070</v>
      </c>
      <c r="G513" s="184"/>
      <c r="H513" t="s">
        <v>595</v>
      </c>
      <c r="I513" s="184">
        <v>44070</v>
      </c>
      <c r="K513" s="184"/>
      <c r="M513" s="184"/>
      <c r="O513" s="184"/>
      <c r="P513" t="s">
        <v>7045</v>
      </c>
      <c r="Q513" t="s">
        <v>7383</v>
      </c>
      <c r="R513" s="184">
        <v>21497</v>
      </c>
      <c r="S513">
        <v>65</v>
      </c>
      <c r="U513" t="s">
        <v>7076</v>
      </c>
      <c r="V513" t="s">
        <v>2969</v>
      </c>
      <c r="W513" t="s">
        <v>3332</v>
      </c>
      <c r="X513" t="s">
        <v>4869</v>
      </c>
      <c r="AF513" t="s">
        <v>9929</v>
      </c>
      <c r="AG513" t="s">
        <v>2969</v>
      </c>
      <c r="AI513" t="s">
        <v>9930</v>
      </c>
      <c r="AM513" t="s">
        <v>4870</v>
      </c>
      <c r="AN513" t="s">
        <v>2185</v>
      </c>
      <c r="AO513" t="s">
        <v>9931</v>
      </c>
      <c r="AP513" t="s">
        <v>7024</v>
      </c>
      <c r="AQ513" t="s">
        <v>9932</v>
      </c>
      <c r="AT513" s="184">
        <v>32896</v>
      </c>
      <c r="AU513" t="s">
        <v>9933</v>
      </c>
      <c r="AV513">
        <v>15</v>
      </c>
      <c r="AW513" s="184">
        <v>40494</v>
      </c>
      <c r="AX513" t="s">
        <v>9934</v>
      </c>
      <c r="AY513">
        <v>25</v>
      </c>
      <c r="AZ513" s="184">
        <v>36220</v>
      </c>
      <c r="BA513" t="s">
        <v>9935</v>
      </c>
      <c r="BB513">
        <v>60</v>
      </c>
      <c r="BC513">
        <v>35</v>
      </c>
      <c r="BD513">
        <v>333</v>
      </c>
      <c r="BE513">
        <v>1990</v>
      </c>
      <c r="BF513">
        <v>14</v>
      </c>
      <c r="BI513">
        <v>12</v>
      </c>
      <c r="BJ513">
        <v>35</v>
      </c>
      <c r="BK513">
        <v>6</v>
      </c>
      <c r="BN513" t="s">
        <v>595</v>
      </c>
      <c r="BP513" s="184"/>
    </row>
    <row r="514" spans="1:68">
      <c r="A514">
        <v>2475432</v>
      </c>
      <c r="B514">
        <v>2475432</v>
      </c>
      <c r="C514" t="s">
        <v>7018</v>
      </c>
      <c r="E514" s="184"/>
      <c r="G514" s="184"/>
      <c r="I514" s="184"/>
      <c r="K514" s="184"/>
      <c r="N514" t="s">
        <v>595</v>
      </c>
      <c r="O514" s="184">
        <v>39601</v>
      </c>
      <c r="P514" t="s">
        <v>7019</v>
      </c>
      <c r="Q514" t="s">
        <v>7262</v>
      </c>
      <c r="R514" s="184">
        <v>8698</v>
      </c>
      <c r="S514">
        <v>100</v>
      </c>
      <c r="V514" t="s">
        <v>9936</v>
      </c>
      <c r="W514" t="s">
        <v>5891</v>
      </c>
      <c r="X514" t="s">
        <v>9937</v>
      </c>
      <c r="AF514" t="s">
        <v>6093</v>
      </c>
      <c r="AG514" t="s">
        <v>9938</v>
      </c>
      <c r="AI514" t="s">
        <v>9939</v>
      </c>
      <c r="AJ514" t="s">
        <v>9940</v>
      </c>
      <c r="AM514" t="s">
        <v>9941</v>
      </c>
      <c r="AN514" t="s">
        <v>2219</v>
      </c>
      <c r="AO514" t="s">
        <v>9942</v>
      </c>
      <c r="AP514" t="s">
        <v>7024</v>
      </c>
      <c r="AQ514" t="s">
        <v>9943</v>
      </c>
      <c r="AR514" t="s">
        <v>9944</v>
      </c>
      <c r="AT514" s="184">
        <v>32896</v>
      </c>
      <c r="AU514" t="s">
        <v>9945</v>
      </c>
      <c r="AV514">
        <v>15</v>
      </c>
      <c r="AW514" s="184">
        <v>40766</v>
      </c>
      <c r="AX514" t="s">
        <v>8847</v>
      </c>
      <c r="AY514">
        <v>50</v>
      </c>
      <c r="AZ514" s="184">
        <v>39601</v>
      </c>
      <c r="BA514" t="s">
        <v>8812</v>
      </c>
      <c r="BB514">
        <v>5704.26</v>
      </c>
      <c r="BC514">
        <v>43</v>
      </c>
      <c r="BD514">
        <v>6389.26</v>
      </c>
      <c r="BE514">
        <v>1990</v>
      </c>
      <c r="BF514">
        <v>20</v>
      </c>
      <c r="BI514">
        <v>15</v>
      </c>
      <c r="BJ514">
        <v>35</v>
      </c>
      <c r="BK514">
        <v>5</v>
      </c>
      <c r="BO514" t="s">
        <v>595</v>
      </c>
      <c r="BP514" s="184">
        <v>43450</v>
      </c>
    </row>
    <row r="515" spans="1:68">
      <c r="A515">
        <v>2478212</v>
      </c>
      <c r="B515">
        <v>2478212</v>
      </c>
      <c r="C515" t="s">
        <v>7018</v>
      </c>
      <c r="D515" t="s">
        <v>595</v>
      </c>
      <c r="E515" s="184">
        <v>43669</v>
      </c>
      <c r="G515" s="184"/>
      <c r="I515" s="184"/>
      <c r="K515" s="184"/>
      <c r="M515" s="184"/>
      <c r="O515" s="184"/>
      <c r="P515" t="s">
        <v>7045</v>
      </c>
      <c r="Q515" t="s">
        <v>7383</v>
      </c>
      <c r="R515" s="184">
        <v>10342</v>
      </c>
      <c r="S515">
        <v>96</v>
      </c>
      <c r="U515" t="s">
        <v>7031</v>
      </c>
      <c r="V515" t="s">
        <v>2851</v>
      </c>
      <c r="X515" t="s">
        <v>3656</v>
      </c>
      <c r="AF515" t="s">
        <v>9946</v>
      </c>
      <c r="AG515" t="s">
        <v>2851</v>
      </c>
      <c r="AI515" t="s">
        <v>9947</v>
      </c>
      <c r="AM515" t="s">
        <v>3657</v>
      </c>
      <c r="AN515" t="s">
        <v>2185</v>
      </c>
      <c r="AO515" t="s">
        <v>9948</v>
      </c>
      <c r="AP515" t="s">
        <v>7024</v>
      </c>
      <c r="AT515" s="184">
        <v>32896</v>
      </c>
      <c r="AU515" t="s">
        <v>9949</v>
      </c>
      <c r="AV515">
        <v>15</v>
      </c>
      <c r="AW515" s="184">
        <v>43930</v>
      </c>
      <c r="AX515" t="s">
        <v>9950</v>
      </c>
      <c r="AY515">
        <v>50</v>
      </c>
      <c r="AZ515" s="184">
        <v>43161</v>
      </c>
      <c r="BA515" t="s">
        <v>9951</v>
      </c>
      <c r="BB515">
        <v>200</v>
      </c>
      <c r="BC515">
        <v>69</v>
      </c>
      <c r="BD515">
        <v>4650</v>
      </c>
      <c r="BE515">
        <v>1990</v>
      </c>
      <c r="BF515">
        <v>50</v>
      </c>
      <c r="BI515">
        <v>24</v>
      </c>
      <c r="BJ515">
        <v>35</v>
      </c>
      <c r="BK515">
        <v>18</v>
      </c>
    </row>
    <row r="516" spans="1:68">
      <c r="A516">
        <v>2483352</v>
      </c>
      <c r="B516">
        <v>2483352</v>
      </c>
      <c r="C516" t="s">
        <v>7018</v>
      </c>
      <c r="D516" t="s">
        <v>595</v>
      </c>
      <c r="E516" s="184">
        <v>44104</v>
      </c>
      <c r="G516" s="184"/>
      <c r="I516" s="184"/>
      <c r="K516" s="184"/>
      <c r="O516" s="184"/>
      <c r="P516" t="s">
        <v>7045</v>
      </c>
      <c r="Q516" t="s">
        <v>7020</v>
      </c>
      <c r="R516" s="184">
        <v>15741</v>
      </c>
      <c r="S516">
        <v>81</v>
      </c>
      <c r="V516" t="s">
        <v>3510</v>
      </c>
      <c r="X516" t="s">
        <v>9952</v>
      </c>
      <c r="Z516">
        <v>100015358</v>
      </c>
      <c r="AB516" t="s">
        <v>4152</v>
      </c>
      <c r="AD516" t="s">
        <v>9953</v>
      </c>
      <c r="AF516" t="s">
        <v>9954</v>
      </c>
      <c r="AG516" t="s">
        <v>9955</v>
      </c>
      <c r="AI516" t="s">
        <v>9956</v>
      </c>
      <c r="AM516" t="s">
        <v>4990</v>
      </c>
      <c r="AN516" t="s">
        <v>2465</v>
      </c>
      <c r="AO516" t="s">
        <v>9957</v>
      </c>
      <c r="AP516" t="s">
        <v>7024</v>
      </c>
      <c r="AT516" s="184">
        <v>32897</v>
      </c>
      <c r="AU516" t="s">
        <v>9958</v>
      </c>
      <c r="AV516">
        <v>17</v>
      </c>
      <c r="AW516" s="184">
        <v>45090</v>
      </c>
      <c r="AX516" t="s">
        <v>9959</v>
      </c>
      <c r="AY516">
        <v>125</v>
      </c>
      <c r="AZ516" s="184">
        <v>45090</v>
      </c>
      <c r="BA516" t="s">
        <v>9959</v>
      </c>
      <c r="BB516">
        <v>125</v>
      </c>
      <c r="BC516">
        <v>75</v>
      </c>
      <c r="BD516">
        <v>1822</v>
      </c>
      <c r="BE516">
        <v>1990</v>
      </c>
      <c r="BF516">
        <v>28</v>
      </c>
      <c r="BG516">
        <v>2</v>
      </c>
      <c r="BH516">
        <v>250</v>
      </c>
      <c r="BI516">
        <v>26</v>
      </c>
      <c r="BJ516">
        <v>35</v>
      </c>
      <c r="BK516">
        <v>14</v>
      </c>
    </row>
    <row r="517" spans="1:68">
      <c r="A517">
        <v>100015358</v>
      </c>
      <c r="B517">
        <v>2483352</v>
      </c>
      <c r="C517" t="s">
        <v>7018</v>
      </c>
      <c r="D517" t="s">
        <v>595</v>
      </c>
      <c r="E517" s="184">
        <v>44104</v>
      </c>
      <c r="G517" s="184"/>
      <c r="I517" s="184"/>
      <c r="K517" s="184"/>
      <c r="M517" s="184"/>
      <c r="P517" t="s">
        <v>7045</v>
      </c>
      <c r="Q517" t="s">
        <v>7020</v>
      </c>
      <c r="R517" s="184">
        <v>15741</v>
      </c>
      <c r="S517">
        <v>81</v>
      </c>
      <c r="V517" t="s">
        <v>4152</v>
      </c>
      <c r="X517" t="s">
        <v>9953</v>
      </c>
      <c r="Z517">
        <v>2483352</v>
      </c>
      <c r="AB517" t="s">
        <v>3510</v>
      </c>
      <c r="AD517" t="s">
        <v>9952</v>
      </c>
      <c r="AF517" t="s">
        <v>9954</v>
      </c>
      <c r="AG517" t="s">
        <v>9955</v>
      </c>
      <c r="AI517" t="s">
        <v>9956</v>
      </c>
      <c r="AM517" t="s">
        <v>4990</v>
      </c>
      <c r="AN517" t="s">
        <v>2465</v>
      </c>
      <c r="AO517" t="s">
        <v>9957</v>
      </c>
      <c r="AP517" t="s">
        <v>7024</v>
      </c>
      <c r="AT517" s="184"/>
      <c r="AW517" s="184"/>
      <c r="AZ517" s="184"/>
    </row>
    <row r="518" spans="1:68">
      <c r="A518">
        <v>2486157</v>
      </c>
      <c r="B518">
        <v>2486157</v>
      </c>
      <c r="C518" t="s">
        <v>7018</v>
      </c>
      <c r="E518" s="184"/>
      <c r="G518" s="184"/>
      <c r="H518" t="s">
        <v>595</v>
      </c>
      <c r="I518" s="184">
        <v>44071</v>
      </c>
      <c r="K518" s="184"/>
      <c r="M518" s="184"/>
      <c r="O518" s="184"/>
      <c r="P518" t="s">
        <v>7045</v>
      </c>
      <c r="Q518" t="s">
        <v>7160</v>
      </c>
      <c r="R518" s="184">
        <v>20821</v>
      </c>
      <c r="S518">
        <v>67</v>
      </c>
      <c r="U518" t="s">
        <v>7031</v>
      </c>
      <c r="V518" t="s">
        <v>3080</v>
      </c>
      <c r="W518" t="s">
        <v>2963</v>
      </c>
      <c r="X518" t="s">
        <v>3653</v>
      </c>
      <c r="AF518" t="s">
        <v>9960</v>
      </c>
      <c r="AG518" t="s">
        <v>3080</v>
      </c>
      <c r="AI518" t="s">
        <v>9961</v>
      </c>
      <c r="AM518" t="s">
        <v>9962</v>
      </c>
      <c r="AN518" t="s">
        <v>2176</v>
      </c>
      <c r="AO518" t="s">
        <v>9963</v>
      </c>
      <c r="AP518" t="s">
        <v>7024</v>
      </c>
      <c r="AQ518" t="s">
        <v>9964</v>
      </c>
      <c r="AR518" t="s">
        <v>9965</v>
      </c>
      <c r="AT518" s="184">
        <v>32897</v>
      </c>
      <c r="AU518" t="s">
        <v>9966</v>
      </c>
      <c r="AV518">
        <v>15</v>
      </c>
      <c r="AW518" s="184">
        <v>37973</v>
      </c>
      <c r="AX518" t="s">
        <v>9967</v>
      </c>
      <c r="AY518">
        <v>25</v>
      </c>
      <c r="AZ518" s="184">
        <v>37973</v>
      </c>
      <c r="BA518" t="s">
        <v>9967</v>
      </c>
      <c r="BB518">
        <v>25</v>
      </c>
      <c r="BC518">
        <v>38</v>
      </c>
      <c r="BD518">
        <v>390</v>
      </c>
      <c r="BE518">
        <v>1990</v>
      </c>
      <c r="BF518">
        <v>16</v>
      </c>
      <c r="BI518">
        <v>13</v>
      </c>
      <c r="BJ518">
        <v>35</v>
      </c>
      <c r="BK518">
        <v>8</v>
      </c>
    </row>
    <row r="519" spans="1:68">
      <c r="A519">
        <v>2490860</v>
      </c>
      <c r="B519">
        <v>2490860</v>
      </c>
      <c r="C519" t="s">
        <v>7018</v>
      </c>
      <c r="E519" s="184"/>
      <c r="G519" s="184"/>
      <c r="I519" s="184"/>
      <c r="J519" t="s">
        <v>595</v>
      </c>
      <c r="K519" s="184">
        <v>41530</v>
      </c>
      <c r="M519" s="184"/>
      <c r="P519" t="s">
        <v>7045</v>
      </c>
      <c r="Q519" t="s">
        <v>7020</v>
      </c>
      <c r="R519" s="184">
        <v>7550</v>
      </c>
      <c r="S519">
        <v>103</v>
      </c>
      <c r="U519" t="s">
        <v>7031</v>
      </c>
      <c r="V519" t="s">
        <v>2898</v>
      </c>
      <c r="W519" t="s">
        <v>4327</v>
      </c>
      <c r="X519" t="s">
        <v>9968</v>
      </c>
      <c r="AF519" t="s">
        <v>6609</v>
      </c>
      <c r="AG519" t="s">
        <v>2898</v>
      </c>
      <c r="AI519" t="s">
        <v>9969</v>
      </c>
      <c r="AM519" t="s">
        <v>9970</v>
      </c>
      <c r="AN519" t="s">
        <v>2112</v>
      </c>
      <c r="AO519" t="s">
        <v>9971</v>
      </c>
      <c r="AP519" t="s">
        <v>7024</v>
      </c>
      <c r="AQ519" t="s">
        <v>9972</v>
      </c>
      <c r="AR519" t="s">
        <v>9973</v>
      </c>
      <c r="AT519" s="184">
        <v>32898</v>
      </c>
      <c r="AU519" t="s">
        <v>9891</v>
      </c>
      <c r="AV519">
        <v>15</v>
      </c>
      <c r="AW519" s="184">
        <v>43979</v>
      </c>
      <c r="AX519" t="s">
        <v>9974</v>
      </c>
      <c r="AY519">
        <v>10</v>
      </c>
      <c r="AZ519" s="184">
        <v>33437</v>
      </c>
      <c r="BA519" t="s">
        <v>9975</v>
      </c>
      <c r="BB519">
        <v>45</v>
      </c>
      <c r="BC519">
        <v>32</v>
      </c>
      <c r="BD519">
        <v>442</v>
      </c>
      <c r="BE519">
        <v>1990</v>
      </c>
      <c r="BF519">
        <v>24</v>
      </c>
      <c r="BI519">
        <v>11</v>
      </c>
      <c r="BJ519">
        <v>35</v>
      </c>
      <c r="BK519">
        <v>3</v>
      </c>
    </row>
    <row r="520" spans="1:68">
      <c r="A520">
        <v>2494763</v>
      </c>
      <c r="B520">
        <v>2494763</v>
      </c>
      <c r="C520" t="s">
        <v>7018</v>
      </c>
      <c r="D520" t="s">
        <v>595</v>
      </c>
      <c r="E520" s="184">
        <v>44104</v>
      </c>
      <c r="G520" s="184"/>
      <c r="K520" s="184"/>
      <c r="M520" s="184"/>
      <c r="O520" s="184"/>
      <c r="P520" t="s">
        <v>7045</v>
      </c>
      <c r="Q520" t="s">
        <v>7454</v>
      </c>
      <c r="R520" s="184">
        <v>10760</v>
      </c>
      <c r="S520">
        <v>94</v>
      </c>
      <c r="V520" t="s">
        <v>9976</v>
      </c>
      <c r="W520" t="s">
        <v>3332</v>
      </c>
      <c r="X520" t="s">
        <v>9977</v>
      </c>
      <c r="AF520" t="s">
        <v>9978</v>
      </c>
      <c r="AG520" t="s">
        <v>9976</v>
      </c>
      <c r="AI520" t="s">
        <v>9979</v>
      </c>
      <c r="AM520" t="s">
        <v>3855</v>
      </c>
      <c r="AN520" t="s">
        <v>2055</v>
      </c>
      <c r="AO520" t="s">
        <v>9980</v>
      </c>
      <c r="AP520" t="s">
        <v>7024</v>
      </c>
      <c r="AQ520" t="s">
        <v>9981</v>
      </c>
      <c r="AT520" s="184">
        <v>32898</v>
      </c>
      <c r="AU520" t="s">
        <v>9933</v>
      </c>
      <c r="AV520">
        <v>15</v>
      </c>
      <c r="AW520" s="184">
        <v>44277</v>
      </c>
      <c r="AX520" t="s">
        <v>9982</v>
      </c>
      <c r="AY520">
        <v>25</v>
      </c>
      <c r="AZ520" s="184">
        <v>36425</v>
      </c>
      <c r="BA520" t="s">
        <v>9983</v>
      </c>
      <c r="BB520">
        <v>40</v>
      </c>
      <c r="BC520">
        <v>89</v>
      </c>
      <c r="BD520">
        <v>815</v>
      </c>
      <c r="BE520">
        <v>1990</v>
      </c>
      <c r="BF520">
        <v>33</v>
      </c>
      <c r="BI520">
        <v>31</v>
      </c>
      <c r="BJ520">
        <v>35</v>
      </c>
      <c r="BK520">
        <v>20</v>
      </c>
    </row>
    <row r="521" spans="1:68">
      <c r="A521">
        <v>2495539</v>
      </c>
      <c r="B521">
        <v>2495539</v>
      </c>
      <c r="C521" t="s">
        <v>7018</v>
      </c>
      <c r="D521" t="s">
        <v>595</v>
      </c>
      <c r="E521" s="184">
        <v>43801</v>
      </c>
      <c r="G521" s="184"/>
      <c r="I521" s="184"/>
      <c r="K521" s="184"/>
      <c r="O521" s="184"/>
      <c r="P521" t="s">
        <v>7045</v>
      </c>
      <c r="Q521" t="s">
        <v>7194</v>
      </c>
      <c r="R521" s="184">
        <v>19302</v>
      </c>
      <c r="S521">
        <v>71</v>
      </c>
      <c r="U521" t="s">
        <v>7076</v>
      </c>
      <c r="V521" t="s">
        <v>3122</v>
      </c>
      <c r="X521" t="s">
        <v>4333</v>
      </c>
      <c r="AF521" t="s">
        <v>9984</v>
      </c>
      <c r="AG521" t="s">
        <v>3122</v>
      </c>
      <c r="AI521" t="s">
        <v>9985</v>
      </c>
      <c r="AM521" t="s">
        <v>4334</v>
      </c>
      <c r="AN521" t="s">
        <v>2046</v>
      </c>
      <c r="AO521" t="s">
        <v>9986</v>
      </c>
      <c r="AP521" t="s">
        <v>7024</v>
      </c>
      <c r="AQ521" t="s">
        <v>9987</v>
      </c>
      <c r="AT521" s="184">
        <v>32898</v>
      </c>
      <c r="AU521" t="s">
        <v>9966</v>
      </c>
      <c r="AV521">
        <v>15</v>
      </c>
      <c r="AW521" s="184">
        <v>43615</v>
      </c>
      <c r="AX521" t="s">
        <v>9988</v>
      </c>
      <c r="AY521">
        <v>25</v>
      </c>
      <c r="AZ521" s="184">
        <v>43615</v>
      </c>
      <c r="BA521" t="s">
        <v>9988</v>
      </c>
      <c r="BB521">
        <v>25</v>
      </c>
      <c r="BC521">
        <v>40</v>
      </c>
      <c r="BD521">
        <v>410</v>
      </c>
      <c r="BE521">
        <v>1990</v>
      </c>
      <c r="BF521">
        <v>21</v>
      </c>
      <c r="BI521">
        <v>14</v>
      </c>
      <c r="BJ521">
        <v>35</v>
      </c>
      <c r="BK521">
        <v>9</v>
      </c>
    </row>
    <row r="522" spans="1:68">
      <c r="A522">
        <v>2496602</v>
      </c>
      <c r="B522">
        <v>2496602</v>
      </c>
      <c r="C522" t="s">
        <v>7018</v>
      </c>
      <c r="E522" s="184"/>
      <c r="G522" s="184"/>
      <c r="J522" t="s">
        <v>595</v>
      </c>
      <c r="K522" s="184">
        <v>37434</v>
      </c>
      <c r="M522" s="184"/>
      <c r="O522" s="184"/>
      <c r="P522" t="s">
        <v>7045</v>
      </c>
      <c r="Q522" t="s">
        <v>7374</v>
      </c>
      <c r="R522" s="184">
        <v>13726</v>
      </c>
      <c r="S522">
        <v>86</v>
      </c>
      <c r="U522" t="s">
        <v>7031</v>
      </c>
      <c r="V522" t="s">
        <v>2511</v>
      </c>
      <c r="X522" t="s">
        <v>9989</v>
      </c>
      <c r="Z522">
        <v>100179627</v>
      </c>
      <c r="AA522" t="s">
        <v>7130</v>
      </c>
      <c r="AB522" t="s">
        <v>9990</v>
      </c>
      <c r="AD522" t="s">
        <v>9989</v>
      </c>
      <c r="AF522" t="s">
        <v>6645</v>
      </c>
      <c r="AG522" t="s">
        <v>2511</v>
      </c>
      <c r="AI522" t="s">
        <v>9991</v>
      </c>
      <c r="AM522" t="s">
        <v>4551</v>
      </c>
      <c r="AN522" t="s">
        <v>2081</v>
      </c>
      <c r="AO522" t="s">
        <v>9992</v>
      </c>
      <c r="AP522" t="s">
        <v>7024</v>
      </c>
      <c r="AT522" s="184">
        <v>32898</v>
      </c>
      <c r="AU522" t="s">
        <v>9993</v>
      </c>
      <c r="AV522">
        <v>15</v>
      </c>
      <c r="AW522" s="184">
        <v>38219</v>
      </c>
      <c r="AX522" t="s">
        <v>9994</v>
      </c>
      <c r="AY522">
        <v>10</v>
      </c>
      <c r="AZ522" s="184">
        <v>33280</v>
      </c>
      <c r="BA522" t="s">
        <v>9995</v>
      </c>
      <c r="BB522">
        <v>60</v>
      </c>
      <c r="BC522">
        <v>32</v>
      </c>
      <c r="BD522">
        <v>280</v>
      </c>
      <c r="BE522">
        <v>1990</v>
      </c>
      <c r="BF522">
        <v>15</v>
      </c>
      <c r="BI522">
        <v>11</v>
      </c>
      <c r="BJ522">
        <v>35</v>
      </c>
      <c r="BK522">
        <v>10</v>
      </c>
      <c r="BL522" t="s">
        <v>595</v>
      </c>
      <c r="BM522" t="s">
        <v>595</v>
      </c>
    </row>
    <row r="523" spans="1:68">
      <c r="A523">
        <v>100179627</v>
      </c>
      <c r="B523">
        <v>2496602</v>
      </c>
      <c r="C523" t="s">
        <v>7018</v>
      </c>
      <c r="E523" s="184"/>
      <c r="G523" s="184"/>
      <c r="J523" t="s">
        <v>595</v>
      </c>
      <c r="K523" s="184">
        <v>37434</v>
      </c>
      <c r="O523" s="184"/>
      <c r="P523" t="s">
        <v>7045</v>
      </c>
      <c r="Q523" t="s">
        <v>7374</v>
      </c>
      <c r="R523" s="184">
        <v>13881</v>
      </c>
      <c r="S523">
        <v>86</v>
      </c>
      <c r="U523" t="s">
        <v>7130</v>
      </c>
      <c r="V523" t="s">
        <v>9990</v>
      </c>
      <c r="X523" t="s">
        <v>9989</v>
      </c>
      <c r="Z523">
        <v>2496602</v>
      </c>
      <c r="AA523" t="s">
        <v>7031</v>
      </c>
      <c r="AB523" t="s">
        <v>2511</v>
      </c>
      <c r="AD523" t="s">
        <v>9989</v>
      </c>
      <c r="AF523" t="s">
        <v>6645</v>
      </c>
      <c r="AG523" t="s">
        <v>2511</v>
      </c>
      <c r="AI523" t="s">
        <v>9991</v>
      </c>
      <c r="AM523" t="s">
        <v>4551</v>
      </c>
      <c r="AN523" t="s">
        <v>2081</v>
      </c>
      <c r="AO523" t="s">
        <v>9992</v>
      </c>
      <c r="AP523" t="s">
        <v>7024</v>
      </c>
      <c r="AT523" s="184"/>
      <c r="AW523" s="184"/>
      <c r="AZ523" s="184"/>
      <c r="BO523" t="s">
        <v>595</v>
      </c>
    </row>
    <row r="524" spans="1:68">
      <c r="A524">
        <v>2510261</v>
      </c>
      <c r="B524">
        <v>2510261</v>
      </c>
      <c r="C524" t="s">
        <v>7018</v>
      </c>
      <c r="D524" t="s">
        <v>595</v>
      </c>
      <c r="E524" s="184">
        <v>43773</v>
      </c>
      <c r="G524" s="184"/>
      <c r="I524" s="184"/>
      <c r="K524" s="184"/>
      <c r="O524" s="184"/>
      <c r="P524" t="s">
        <v>7019</v>
      </c>
      <c r="Q524" t="s">
        <v>7374</v>
      </c>
      <c r="R524" s="184">
        <v>19299</v>
      </c>
      <c r="S524">
        <v>71</v>
      </c>
      <c r="U524" t="s">
        <v>7031</v>
      </c>
      <c r="V524" t="s">
        <v>2530</v>
      </c>
      <c r="X524" t="s">
        <v>4244</v>
      </c>
      <c r="AF524" t="s">
        <v>9996</v>
      </c>
      <c r="AG524" t="s">
        <v>2530</v>
      </c>
      <c r="AI524" t="s">
        <v>9997</v>
      </c>
      <c r="AM524" t="s">
        <v>4245</v>
      </c>
      <c r="AN524" t="s">
        <v>2081</v>
      </c>
      <c r="AO524" t="s">
        <v>9998</v>
      </c>
      <c r="AP524" t="s">
        <v>7024</v>
      </c>
      <c r="AQ524" t="s">
        <v>9999</v>
      </c>
      <c r="AR524" t="s">
        <v>10000</v>
      </c>
      <c r="AT524" s="184">
        <v>32902</v>
      </c>
      <c r="AU524" t="s">
        <v>10001</v>
      </c>
      <c r="AV524">
        <v>15</v>
      </c>
      <c r="AW524" s="184">
        <v>44530</v>
      </c>
      <c r="AX524" t="s">
        <v>10002</v>
      </c>
      <c r="AY524">
        <v>87</v>
      </c>
      <c r="AZ524" s="184">
        <v>44530</v>
      </c>
      <c r="BA524" t="s">
        <v>10002</v>
      </c>
      <c r="BB524">
        <v>87</v>
      </c>
      <c r="BC524">
        <v>40</v>
      </c>
      <c r="BD524">
        <v>824</v>
      </c>
      <c r="BE524">
        <v>1990</v>
      </c>
      <c r="BF524">
        <v>17</v>
      </c>
      <c r="BI524">
        <v>14</v>
      </c>
      <c r="BJ524">
        <v>35</v>
      </c>
      <c r="BK524">
        <v>2</v>
      </c>
    </row>
    <row r="525" spans="1:68">
      <c r="A525">
        <v>2512051</v>
      </c>
      <c r="B525">
        <v>2512051</v>
      </c>
      <c r="C525" t="s">
        <v>7018</v>
      </c>
      <c r="E525" s="184"/>
      <c r="G525" s="184"/>
      <c r="J525" t="s">
        <v>595</v>
      </c>
      <c r="K525" s="184">
        <v>41576</v>
      </c>
      <c r="M525" s="184"/>
      <c r="O525" s="184"/>
      <c r="P525" t="s">
        <v>7045</v>
      </c>
      <c r="Q525" t="s">
        <v>7454</v>
      </c>
      <c r="R525" s="184">
        <v>15779</v>
      </c>
      <c r="S525">
        <v>81</v>
      </c>
      <c r="V525" t="s">
        <v>10003</v>
      </c>
      <c r="W525" t="s">
        <v>4327</v>
      </c>
      <c r="X525" t="s">
        <v>10004</v>
      </c>
      <c r="AF525" t="s">
        <v>6675</v>
      </c>
      <c r="AG525" t="s">
        <v>10003</v>
      </c>
      <c r="AI525" t="s">
        <v>10005</v>
      </c>
      <c r="AM525" t="s">
        <v>8368</v>
      </c>
      <c r="AN525" t="s">
        <v>2055</v>
      </c>
      <c r="AO525" t="s">
        <v>10006</v>
      </c>
      <c r="AP525" t="s">
        <v>7024</v>
      </c>
      <c r="AT525" s="184">
        <v>32902</v>
      </c>
      <c r="AU525" t="s">
        <v>10007</v>
      </c>
      <c r="AV525">
        <v>15</v>
      </c>
      <c r="AW525" s="184">
        <v>41698</v>
      </c>
      <c r="AX525" t="s">
        <v>10008</v>
      </c>
      <c r="AY525">
        <v>25</v>
      </c>
      <c r="AZ525" s="184">
        <v>41698</v>
      </c>
      <c r="BA525" t="s">
        <v>10008</v>
      </c>
      <c r="BB525">
        <v>25</v>
      </c>
      <c r="BC525">
        <v>20</v>
      </c>
      <c r="BD525">
        <v>180</v>
      </c>
      <c r="BE525">
        <v>1990</v>
      </c>
      <c r="BF525">
        <v>8</v>
      </c>
      <c r="BI525">
        <v>7</v>
      </c>
      <c r="BJ525">
        <v>35</v>
      </c>
      <c r="BK525">
        <v>3</v>
      </c>
    </row>
    <row r="526" spans="1:68">
      <c r="A526">
        <v>2522282</v>
      </c>
      <c r="B526">
        <v>2522282</v>
      </c>
      <c r="C526" t="s">
        <v>7018</v>
      </c>
      <c r="D526" t="s">
        <v>595</v>
      </c>
      <c r="E526" s="184">
        <v>45117</v>
      </c>
      <c r="G526" s="184"/>
      <c r="K526" s="184"/>
      <c r="O526" s="184"/>
      <c r="P526" t="s">
        <v>7045</v>
      </c>
      <c r="Q526" t="s">
        <v>7020</v>
      </c>
      <c r="R526" s="184">
        <v>24838</v>
      </c>
      <c r="S526">
        <v>56</v>
      </c>
      <c r="U526" t="s">
        <v>7076</v>
      </c>
      <c r="V526" t="s">
        <v>4916</v>
      </c>
      <c r="W526" t="s">
        <v>3332</v>
      </c>
      <c r="X526" t="s">
        <v>3247</v>
      </c>
      <c r="AF526" t="s">
        <v>10009</v>
      </c>
      <c r="AG526" t="s">
        <v>4916</v>
      </c>
      <c r="AI526" t="s">
        <v>10010</v>
      </c>
      <c r="AM526" t="s">
        <v>3724</v>
      </c>
      <c r="AN526" t="s">
        <v>2112</v>
      </c>
      <c r="AO526" t="s">
        <v>10011</v>
      </c>
      <c r="AP526" t="s">
        <v>7024</v>
      </c>
      <c r="AT526" s="184">
        <v>32903</v>
      </c>
      <c r="AU526" t="s">
        <v>9869</v>
      </c>
      <c r="AV526">
        <v>15</v>
      </c>
      <c r="AW526" s="184">
        <v>45330</v>
      </c>
      <c r="AX526" t="s">
        <v>8133</v>
      </c>
      <c r="AY526">
        <v>70</v>
      </c>
      <c r="AZ526" s="184">
        <v>45330</v>
      </c>
      <c r="BA526" t="s">
        <v>8133</v>
      </c>
      <c r="BB526">
        <v>70</v>
      </c>
      <c r="BC526">
        <v>98</v>
      </c>
      <c r="BD526">
        <v>1259</v>
      </c>
      <c r="BE526">
        <v>1990</v>
      </c>
      <c r="BF526">
        <v>45</v>
      </c>
      <c r="BG526">
        <v>5</v>
      </c>
      <c r="BH526">
        <v>210</v>
      </c>
      <c r="BI526">
        <v>34</v>
      </c>
      <c r="BJ526">
        <v>35</v>
      </c>
      <c r="BK526">
        <v>33</v>
      </c>
    </row>
    <row r="527" spans="1:68">
      <c r="A527">
        <v>2532414</v>
      </c>
      <c r="B527">
        <v>2532414</v>
      </c>
      <c r="C527" t="s">
        <v>7018</v>
      </c>
      <c r="E527" s="184"/>
      <c r="G527" s="184"/>
      <c r="J527" t="s">
        <v>595</v>
      </c>
      <c r="K527" s="184">
        <v>43990</v>
      </c>
      <c r="O527" s="184"/>
      <c r="P527" t="s">
        <v>7045</v>
      </c>
      <c r="Q527" t="s">
        <v>7494</v>
      </c>
      <c r="R527" s="184">
        <v>21070</v>
      </c>
      <c r="S527">
        <v>66</v>
      </c>
      <c r="U527" t="s">
        <v>7076</v>
      </c>
      <c r="V527" t="s">
        <v>2580</v>
      </c>
      <c r="W527" t="s">
        <v>7407</v>
      </c>
      <c r="X527" t="s">
        <v>2581</v>
      </c>
      <c r="AF527" t="s">
        <v>10012</v>
      </c>
      <c r="AG527" t="s">
        <v>2580</v>
      </c>
      <c r="AI527" t="s">
        <v>10013</v>
      </c>
      <c r="AM527" t="s">
        <v>2582</v>
      </c>
      <c r="AN527" t="s">
        <v>2174</v>
      </c>
      <c r="AO527" t="s">
        <v>10014</v>
      </c>
      <c r="AP527" t="s">
        <v>7024</v>
      </c>
      <c r="AQ527" t="s">
        <v>10015</v>
      </c>
      <c r="AT527" s="184">
        <v>32905</v>
      </c>
      <c r="AU527" t="s">
        <v>10016</v>
      </c>
      <c r="AV527">
        <v>17</v>
      </c>
      <c r="AW527" s="184">
        <v>45407</v>
      </c>
      <c r="AX527" t="s">
        <v>7429</v>
      </c>
      <c r="AY527">
        <v>15</v>
      </c>
      <c r="AZ527" s="184">
        <v>36286</v>
      </c>
      <c r="BA527" t="s">
        <v>10017</v>
      </c>
      <c r="BB527">
        <v>100</v>
      </c>
      <c r="BC527">
        <v>89</v>
      </c>
      <c r="BD527">
        <v>2112</v>
      </c>
      <c r="BE527">
        <v>1990</v>
      </c>
      <c r="BF527">
        <v>106</v>
      </c>
      <c r="BG527">
        <v>23</v>
      </c>
      <c r="BH527">
        <v>320</v>
      </c>
      <c r="BI527">
        <v>31</v>
      </c>
      <c r="BJ527">
        <v>35</v>
      </c>
      <c r="BK527">
        <v>11</v>
      </c>
      <c r="BN527" t="s">
        <v>595</v>
      </c>
      <c r="BP527" s="184"/>
    </row>
    <row r="528" spans="1:68">
      <c r="A528">
        <v>2533768</v>
      </c>
      <c r="B528">
        <v>2533768</v>
      </c>
      <c r="C528" t="s">
        <v>7018</v>
      </c>
      <c r="E528" s="184"/>
      <c r="F528" t="s">
        <v>595</v>
      </c>
      <c r="G528" s="184">
        <v>43647</v>
      </c>
      <c r="K528" s="184"/>
      <c r="O528" s="184"/>
      <c r="P528" t="s">
        <v>7045</v>
      </c>
      <c r="Q528" t="s">
        <v>7383</v>
      </c>
      <c r="R528" s="184">
        <v>16509</v>
      </c>
      <c r="S528">
        <v>79</v>
      </c>
      <c r="V528" t="s">
        <v>3101</v>
      </c>
      <c r="W528" t="s">
        <v>7384</v>
      </c>
      <c r="X528" t="s">
        <v>3175</v>
      </c>
      <c r="Z528">
        <v>100015566</v>
      </c>
      <c r="AB528" t="s">
        <v>2832</v>
      </c>
      <c r="AC528" t="s">
        <v>2049</v>
      </c>
      <c r="AD528" t="s">
        <v>3175</v>
      </c>
      <c r="AF528" t="s">
        <v>10018</v>
      </c>
      <c r="AG528" t="s">
        <v>10019</v>
      </c>
      <c r="AI528" t="s">
        <v>10020</v>
      </c>
      <c r="AM528" t="s">
        <v>3121</v>
      </c>
      <c r="AN528" t="s">
        <v>2144</v>
      </c>
      <c r="AO528" t="s">
        <v>10021</v>
      </c>
      <c r="AP528" t="s">
        <v>7024</v>
      </c>
      <c r="AT528" s="184">
        <v>32905</v>
      </c>
      <c r="AU528" t="s">
        <v>9817</v>
      </c>
      <c r="AV528">
        <v>15</v>
      </c>
      <c r="AW528" s="184">
        <v>45230</v>
      </c>
      <c r="AX528" t="s">
        <v>10022</v>
      </c>
      <c r="AY528">
        <v>100</v>
      </c>
      <c r="AZ528" s="184">
        <v>45230</v>
      </c>
      <c r="BA528" t="s">
        <v>10022</v>
      </c>
      <c r="BB528">
        <v>100</v>
      </c>
      <c r="BC528">
        <v>98</v>
      </c>
      <c r="BD528">
        <v>6070</v>
      </c>
      <c r="BE528">
        <v>1990</v>
      </c>
      <c r="BF528">
        <v>194</v>
      </c>
      <c r="BG528">
        <v>1</v>
      </c>
      <c r="BH528">
        <v>100</v>
      </c>
      <c r="BI528">
        <v>34</v>
      </c>
      <c r="BJ528">
        <v>35</v>
      </c>
      <c r="BK528">
        <v>34</v>
      </c>
      <c r="BP528" s="184"/>
    </row>
    <row r="529" spans="1:68">
      <c r="A529">
        <v>100015566</v>
      </c>
      <c r="B529">
        <v>2533768</v>
      </c>
      <c r="C529" t="s">
        <v>7018</v>
      </c>
      <c r="E529" s="184"/>
      <c r="F529" t="s">
        <v>595</v>
      </c>
      <c r="G529" s="184">
        <v>43647</v>
      </c>
      <c r="I529" s="184"/>
      <c r="K529" s="184"/>
      <c r="O529" s="184"/>
      <c r="P529" t="s">
        <v>7045</v>
      </c>
      <c r="Q529" t="s">
        <v>7383</v>
      </c>
      <c r="R529" s="184">
        <v>17148</v>
      </c>
      <c r="S529">
        <v>77</v>
      </c>
      <c r="V529" t="s">
        <v>2832</v>
      </c>
      <c r="W529" t="s">
        <v>2049</v>
      </c>
      <c r="X529" t="s">
        <v>3175</v>
      </c>
      <c r="Z529">
        <v>2533768</v>
      </c>
      <c r="AB529" t="s">
        <v>3101</v>
      </c>
      <c r="AC529" t="s">
        <v>7384</v>
      </c>
      <c r="AD529" t="s">
        <v>3175</v>
      </c>
      <c r="AF529" t="s">
        <v>10018</v>
      </c>
      <c r="AG529" t="s">
        <v>10019</v>
      </c>
      <c r="AI529" t="s">
        <v>10020</v>
      </c>
      <c r="AM529" t="s">
        <v>3121</v>
      </c>
      <c r="AN529" t="s">
        <v>2144</v>
      </c>
      <c r="AO529" t="s">
        <v>10021</v>
      </c>
      <c r="AP529" t="s">
        <v>7024</v>
      </c>
      <c r="AQ529" t="s">
        <v>10023</v>
      </c>
      <c r="AR529" t="s">
        <v>10024</v>
      </c>
      <c r="AT529" s="184"/>
      <c r="AW529" s="184"/>
      <c r="AZ529" s="184"/>
      <c r="BP529" s="184"/>
    </row>
    <row r="530" spans="1:68">
      <c r="A530">
        <v>2535292</v>
      </c>
      <c r="B530">
        <v>2535292</v>
      </c>
      <c r="C530" t="s">
        <v>7018</v>
      </c>
      <c r="D530" t="s">
        <v>595</v>
      </c>
      <c r="E530" s="184">
        <v>43745</v>
      </c>
      <c r="I530" s="184"/>
      <c r="K530" s="184"/>
      <c r="M530" s="184"/>
      <c r="O530" s="184"/>
      <c r="P530" t="s">
        <v>7045</v>
      </c>
      <c r="Q530" t="s">
        <v>7454</v>
      </c>
      <c r="R530" s="184">
        <v>9634</v>
      </c>
      <c r="S530">
        <v>97</v>
      </c>
      <c r="U530" t="s">
        <v>7076</v>
      </c>
      <c r="V530" t="s">
        <v>4086</v>
      </c>
      <c r="W530" t="s">
        <v>5006</v>
      </c>
      <c r="X530" t="s">
        <v>4087</v>
      </c>
      <c r="AF530" t="s">
        <v>10025</v>
      </c>
      <c r="AG530" t="s">
        <v>4086</v>
      </c>
      <c r="AI530" t="s">
        <v>10026</v>
      </c>
      <c r="AM530" t="s">
        <v>3750</v>
      </c>
      <c r="AN530" t="s">
        <v>2055</v>
      </c>
      <c r="AO530" t="s">
        <v>10027</v>
      </c>
      <c r="AP530" t="s">
        <v>7024</v>
      </c>
      <c r="AQ530" t="s">
        <v>10028</v>
      </c>
      <c r="AT530" s="184">
        <v>32906</v>
      </c>
      <c r="AU530" t="s">
        <v>9838</v>
      </c>
      <c r="AV530">
        <v>15</v>
      </c>
      <c r="AW530" s="184">
        <v>43304</v>
      </c>
      <c r="AX530" t="s">
        <v>10029</v>
      </c>
      <c r="AY530">
        <v>10</v>
      </c>
      <c r="AZ530" s="184">
        <v>35416</v>
      </c>
      <c r="BA530" t="s">
        <v>10030</v>
      </c>
      <c r="BB530">
        <v>25</v>
      </c>
      <c r="BC530">
        <v>32</v>
      </c>
      <c r="BD530">
        <v>215</v>
      </c>
      <c r="BE530">
        <v>1990</v>
      </c>
      <c r="BF530">
        <v>14</v>
      </c>
      <c r="BI530">
        <v>11</v>
      </c>
      <c r="BJ530">
        <v>35</v>
      </c>
      <c r="BK530">
        <v>7</v>
      </c>
      <c r="BP530" s="184"/>
    </row>
    <row r="531" spans="1:68">
      <c r="A531">
        <v>2537710</v>
      </c>
      <c r="B531">
        <v>2537710</v>
      </c>
      <c r="C531" t="s">
        <v>7018</v>
      </c>
      <c r="D531" t="s">
        <v>595</v>
      </c>
      <c r="E531" s="184">
        <v>44046</v>
      </c>
      <c r="G531" s="184"/>
      <c r="I531" s="184"/>
      <c r="K531" s="184"/>
      <c r="M531" s="184"/>
      <c r="P531" t="s">
        <v>7019</v>
      </c>
      <c r="Q531" t="s">
        <v>7383</v>
      </c>
      <c r="R531" s="184">
        <v>21934</v>
      </c>
      <c r="S531">
        <v>64</v>
      </c>
      <c r="U531" t="s">
        <v>7076</v>
      </c>
      <c r="V531" t="s">
        <v>10031</v>
      </c>
      <c r="X531" t="s">
        <v>10032</v>
      </c>
      <c r="AF531" t="s">
        <v>10033</v>
      </c>
      <c r="AG531" t="s">
        <v>10031</v>
      </c>
      <c r="AI531" t="s">
        <v>10034</v>
      </c>
      <c r="AM531" t="s">
        <v>10035</v>
      </c>
      <c r="AN531" t="s">
        <v>2313</v>
      </c>
      <c r="AO531" t="s">
        <v>10036</v>
      </c>
      <c r="AP531" t="s">
        <v>7024</v>
      </c>
      <c r="AQ531" t="s">
        <v>10037</v>
      </c>
      <c r="AT531" s="184">
        <v>32906</v>
      </c>
      <c r="AU531" t="s">
        <v>9858</v>
      </c>
      <c r="AV531">
        <v>15</v>
      </c>
      <c r="AW531" s="184">
        <v>45376</v>
      </c>
      <c r="AX531" t="s">
        <v>9870</v>
      </c>
      <c r="AY531">
        <v>65</v>
      </c>
      <c r="AZ531" s="184">
        <v>45376</v>
      </c>
      <c r="BA531" t="s">
        <v>9870</v>
      </c>
      <c r="BB531">
        <v>65</v>
      </c>
      <c r="BC531">
        <v>78</v>
      </c>
      <c r="BD531">
        <v>1092</v>
      </c>
      <c r="BE531">
        <v>1990</v>
      </c>
      <c r="BF531">
        <v>40</v>
      </c>
      <c r="BG531">
        <v>3</v>
      </c>
      <c r="BH531">
        <v>85</v>
      </c>
      <c r="BI531">
        <v>27</v>
      </c>
      <c r="BJ531">
        <v>35</v>
      </c>
      <c r="BK531">
        <v>12</v>
      </c>
    </row>
    <row r="532" spans="1:68">
      <c r="A532">
        <v>2538601</v>
      </c>
      <c r="B532">
        <v>2538601</v>
      </c>
      <c r="C532" t="s">
        <v>7018</v>
      </c>
      <c r="E532" s="184"/>
      <c r="G532" s="184"/>
      <c r="I532" s="184"/>
      <c r="J532" t="s">
        <v>595</v>
      </c>
      <c r="K532" s="184">
        <v>43649</v>
      </c>
      <c r="M532" s="184"/>
      <c r="O532" s="184"/>
      <c r="P532" t="s">
        <v>7045</v>
      </c>
      <c r="Q532" t="s">
        <v>7020</v>
      </c>
      <c r="R532" s="184">
        <v>13971</v>
      </c>
      <c r="S532">
        <v>86</v>
      </c>
      <c r="U532" t="s">
        <v>7031</v>
      </c>
      <c r="V532" t="s">
        <v>3460</v>
      </c>
      <c r="X532" t="s">
        <v>3461</v>
      </c>
      <c r="AF532" t="s">
        <v>6540</v>
      </c>
      <c r="AG532" t="s">
        <v>3460</v>
      </c>
      <c r="AI532" t="s">
        <v>10038</v>
      </c>
      <c r="AM532" t="s">
        <v>3462</v>
      </c>
      <c r="AN532" t="s">
        <v>2112</v>
      </c>
      <c r="AO532" t="s">
        <v>10039</v>
      </c>
      <c r="AP532" t="s">
        <v>7024</v>
      </c>
      <c r="AT532" s="184">
        <v>32906</v>
      </c>
      <c r="AU532" t="s">
        <v>10040</v>
      </c>
      <c r="AV532">
        <v>15</v>
      </c>
      <c r="AW532" s="184">
        <v>45329</v>
      </c>
      <c r="AX532" t="s">
        <v>10041</v>
      </c>
      <c r="AY532">
        <v>25</v>
      </c>
      <c r="AZ532" s="184">
        <v>39101</v>
      </c>
      <c r="BA532" t="s">
        <v>10042</v>
      </c>
      <c r="BB532">
        <v>60</v>
      </c>
      <c r="BC532">
        <v>66</v>
      </c>
      <c r="BD532">
        <v>785</v>
      </c>
      <c r="BE532">
        <v>1990</v>
      </c>
      <c r="BF532">
        <v>27</v>
      </c>
      <c r="BG532">
        <v>3</v>
      </c>
      <c r="BH532">
        <v>75</v>
      </c>
      <c r="BI532">
        <v>23</v>
      </c>
      <c r="BJ532">
        <v>35</v>
      </c>
      <c r="BK532">
        <v>14</v>
      </c>
      <c r="BP532" s="184"/>
    </row>
    <row r="533" spans="1:68">
      <c r="A533">
        <v>2545309</v>
      </c>
      <c r="B533">
        <v>2545309</v>
      </c>
      <c r="C533" t="s">
        <v>7018</v>
      </c>
      <c r="D533" t="s">
        <v>595</v>
      </c>
      <c r="E533" s="184">
        <v>43647</v>
      </c>
      <c r="G533" s="184"/>
      <c r="I533" s="184"/>
      <c r="K533" s="184"/>
      <c r="M533" s="184"/>
      <c r="O533" s="184"/>
      <c r="P533" t="s">
        <v>7019</v>
      </c>
      <c r="Q533" t="s">
        <v>7262</v>
      </c>
      <c r="R533" s="184">
        <v>15017</v>
      </c>
      <c r="S533">
        <v>83</v>
      </c>
      <c r="V533" t="s">
        <v>3485</v>
      </c>
      <c r="X533" t="s">
        <v>3486</v>
      </c>
      <c r="AF533" t="s">
        <v>10043</v>
      </c>
      <c r="AG533" t="s">
        <v>3485</v>
      </c>
      <c r="AI533" t="s">
        <v>10044</v>
      </c>
      <c r="AM533" t="s">
        <v>3487</v>
      </c>
      <c r="AN533" t="s">
        <v>2106</v>
      </c>
      <c r="AO533" t="s">
        <v>10045</v>
      </c>
      <c r="AP533" t="s">
        <v>7024</v>
      </c>
      <c r="AT533" s="184">
        <v>32909</v>
      </c>
      <c r="AU533" t="s">
        <v>10046</v>
      </c>
      <c r="AV533">
        <v>15</v>
      </c>
      <c r="AW533" s="184">
        <v>43740</v>
      </c>
      <c r="AX533" t="s">
        <v>10047</v>
      </c>
      <c r="AY533">
        <v>60</v>
      </c>
      <c r="AZ533" s="184">
        <v>43740</v>
      </c>
      <c r="BA533" t="s">
        <v>10047</v>
      </c>
      <c r="BB533">
        <v>60</v>
      </c>
      <c r="BC533">
        <v>35</v>
      </c>
      <c r="BD533">
        <v>377.97</v>
      </c>
      <c r="BE533">
        <v>1990</v>
      </c>
      <c r="BF533">
        <v>14</v>
      </c>
      <c r="BI533">
        <v>12</v>
      </c>
      <c r="BJ533">
        <v>35</v>
      </c>
      <c r="BK533">
        <v>4</v>
      </c>
      <c r="BP533" s="184"/>
    </row>
    <row r="534" spans="1:68">
      <c r="A534">
        <v>2568533</v>
      </c>
      <c r="B534">
        <v>2568533</v>
      </c>
      <c r="C534" t="s">
        <v>7018</v>
      </c>
      <c r="D534" t="s">
        <v>595</v>
      </c>
      <c r="E534" s="184">
        <v>44167</v>
      </c>
      <c r="G534" s="184"/>
      <c r="I534" s="184"/>
      <c r="K534" s="184"/>
      <c r="M534" s="184"/>
      <c r="O534" s="184"/>
      <c r="P534" t="s">
        <v>7045</v>
      </c>
      <c r="Q534" t="s">
        <v>7160</v>
      </c>
      <c r="R534" s="184">
        <v>19299</v>
      </c>
      <c r="S534">
        <v>71</v>
      </c>
      <c r="U534" t="s">
        <v>7237</v>
      </c>
      <c r="V534" t="s">
        <v>3411</v>
      </c>
      <c r="X534" t="s">
        <v>2766</v>
      </c>
      <c r="AF534" t="s">
        <v>10048</v>
      </c>
      <c r="AG534" t="s">
        <v>3411</v>
      </c>
      <c r="AI534" t="s">
        <v>10049</v>
      </c>
      <c r="AM534" t="s">
        <v>5756</v>
      </c>
      <c r="AN534" t="s">
        <v>2675</v>
      </c>
      <c r="AO534" t="s">
        <v>10050</v>
      </c>
      <c r="AP534" t="s">
        <v>7024</v>
      </c>
      <c r="AQ534" t="s">
        <v>10051</v>
      </c>
      <c r="AT534" s="184">
        <v>32917</v>
      </c>
      <c r="AU534" t="s">
        <v>10052</v>
      </c>
      <c r="AV534">
        <v>15</v>
      </c>
      <c r="AW534" s="184">
        <v>45409</v>
      </c>
      <c r="AX534" t="s">
        <v>7429</v>
      </c>
      <c r="AY534">
        <v>17</v>
      </c>
      <c r="AZ534" s="184">
        <v>37960</v>
      </c>
      <c r="BA534" t="s">
        <v>10053</v>
      </c>
      <c r="BB534">
        <v>250</v>
      </c>
      <c r="BC534">
        <v>83</v>
      </c>
      <c r="BD534">
        <v>5555</v>
      </c>
      <c r="BE534">
        <v>1990</v>
      </c>
      <c r="BF534">
        <v>76</v>
      </c>
      <c r="BG534">
        <v>24</v>
      </c>
      <c r="BH534">
        <v>408</v>
      </c>
      <c r="BI534">
        <v>29</v>
      </c>
      <c r="BJ534">
        <v>35</v>
      </c>
      <c r="BK534">
        <v>8</v>
      </c>
      <c r="BP534" s="184"/>
    </row>
    <row r="535" spans="1:68">
      <c r="A535">
        <v>2595825</v>
      </c>
      <c r="B535">
        <v>2595825</v>
      </c>
      <c r="C535" t="s">
        <v>7018</v>
      </c>
      <c r="E535" s="184"/>
      <c r="G535" s="184"/>
      <c r="J535" t="s">
        <v>595</v>
      </c>
      <c r="K535" s="184">
        <v>39455</v>
      </c>
      <c r="M535" s="184"/>
      <c r="O535" s="184"/>
      <c r="P535" t="s">
        <v>7045</v>
      </c>
      <c r="Q535" t="s">
        <v>7160</v>
      </c>
      <c r="R535" s="184"/>
      <c r="U535" t="s">
        <v>7130</v>
      </c>
      <c r="V535" t="s">
        <v>3179</v>
      </c>
      <c r="W535" t="s">
        <v>7356</v>
      </c>
      <c r="X535" t="s">
        <v>10054</v>
      </c>
      <c r="AF535" t="s">
        <v>6367</v>
      </c>
      <c r="AG535" t="s">
        <v>3179</v>
      </c>
      <c r="AI535" t="s">
        <v>10055</v>
      </c>
      <c r="AM535" t="s">
        <v>10056</v>
      </c>
      <c r="AN535" t="s">
        <v>2176</v>
      </c>
      <c r="AO535" t="s">
        <v>10057</v>
      </c>
      <c r="AP535" t="s">
        <v>7024</v>
      </c>
      <c r="AT535" s="184">
        <v>32930</v>
      </c>
      <c r="AU535" t="s">
        <v>9869</v>
      </c>
      <c r="AV535">
        <v>15</v>
      </c>
      <c r="AW535" s="184">
        <v>41316</v>
      </c>
      <c r="AX535" t="s">
        <v>10058</v>
      </c>
      <c r="AY535">
        <v>25</v>
      </c>
      <c r="AZ535" s="184">
        <v>39444</v>
      </c>
      <c r="BA535" t="s">
        <v>8113</v>
      </c>
      <c r="BB535">
        <v>1000</v>
      </c>
      <c r="BC535">
        <v>26</v>
      </c>
      <c r="BD535">
        <v>1355</v>
      </c>
      <c r="BE535">
        <v>1990</v>
      </c>
      <c r="BF535">
        <v>13</v>
      </c>
      <c r="BI535">
        <v>9</v>
      </c>
      <c r="BJ535">
        <v>35</v>
      </c>
      <c r="BK535">
        <v>6</v>
      </c>
      <c r="BP535" s="184"/>
    </row>
    <row r="536" spans="1:68">
      <c r="A536">
        <v>2597169</v>
      </c>
      <c r="B536">
        <v>2597169</v>
      </c>
      <c r="C536" t="s">
        <v>7018</v>
      </c>
      <c r="D536" t="s">
        <v>595</v>
      </c>
      <c r="E536" s="184">
        <v>44104</v>
      </c>
      <c r="G536" s="184"/>
      <c r="I536" s="184"/>
      <c r="K536" s="184"/>
      <c r="O536" s="184"/>
      <c r="P536" t="s">
        <v>7045</v>
      </c>
      <c r="Q536" t="s">
        <v>7454</v>
      </c>
      <c r="R536" s="184">
        <v>13425</v>
      </c>
      <c r="S536">
        <v>87</v>
      </c>
      <c r="U536" t="s">
        <v>7031</v>
      </c>
      <c r="V536" t="s">
        <v>3103</v>
      </c>
      <c r="W536" t="s">
        <v>2963</v>
      </c>
      <c r="X536" t="s">
        <v>9671</v>
      </c>
      <c r="AF536" t="s">
        <v>10059</v>
      </c>
      <c r="AG536" t="s">
        <v>3103</v>
      </c>
      <c r="AI536" t="s">
        <v>10060</v>
      </c>
      <c r="AM536" t="s">
        <v>3900</v>
      </c>
      <c r="AN536" t="s">
        <v>2055</v>
      </c>
      <c r="AO536" t="s">
        <v>10061</v>
      </c>
      <c r="AP536" t="s">
        <v>7024</v>
      </c>
      <c r="AT536" s="184">
        <v>32930</v>
      </c>
      <c r="AU536" t="s">
        <v>10062</v>
      </c>
      <c r="AV536">
        <v>15</v>
      </c>
      <c r="AW536" s="184">
        <v>45315</v>
      </c>
      <c r="AX536" t="s">
        <v>10063</v>
      </c>
      <c r="AY536">
        <v>200</v>
      </c>
      <c r="AZ536" s="184">
        <v>45315</v>
      </c>
      <c r="BA536" t="s">
        <v>10063</v>
      </c>
      <c r="BB536">
        <v>200</v>
      </c>
      <c r="BC536">
        <v>86</v>
      </c>
      <c r="BD536">
        <v>3070</v>
      </c>
      <c r="BE536">
        <v>1990</v>
      </c>
      <c r="BF536">
        <v>34</v>
      </c>
      <c r="BG536">
        <v>2</v>
      </c>
      <c r="BH536">
        <v>400</v>
      </c>
      <c r="BI536">
        <v>30</v>
      </c>
      <c r="BJ536">
        <v>35</v>
      </c>
      <c r="BK536">
        <v>11</v>
      </c>
      <c r="BP536" s="184"/>
    </row>
    <row r="537" spans="1:68">
      <c r="A537">
        <v>2604577</v>
      </c>
      <c r="B537">
        <v>2604577</v>
      </c>
      <c r="C537" t="s">
        <v>7018</v>
      </c>
      <c r="E537" s="184"/>
      <c r="G537" s="184"/>
      <c r="H537" t="s">
        <v>595</v>
      </c>
      <c r="I537" s="184">
        <v>44109</v>
      </c>
      <c r="K537" s="184"/>
      <c r="M537" s="184"/>
      <c r="O537" s="184"/>
      <c r="P537" t="s">
        <v>7045</v>
      </c>
      <c r="Q537" t="s">
        <v>7160</v>
      </c>
      <c r="R537" s="184">
        <v>17070</v>
      </c>
      <c r="S537">
        <v>77</v>
      </c>
      <c r="U537" t="s">
        <v>7076</v>
      </c>
      <c r="V537" t="s">
        <v>4042</v>
      </c>
      <c r="W537" t="s">
        <v>3332</v>
      </c>
      <c r="X537" t="s">
        <v>4983</v>
      </c>
      <c r="AF537" t="s">
        <v>10064</v>
      </c>
      <c r="AG537" t="s">
        <v>4042</v>
      </c>
      <c r="AI537" t="s">
        <v>10065</v>
      </c>
      <c r="AM537" t="s">
        <v>4984</v>
      </c>
      <c r="AN537" t="s">
        <v>2413</v>
      </c>
      <c r="AO537" t="s">
        <v>10066</v>
      </c>
      <c r="AP537" t="s">
        <v>7024</v>
      </c>
      <c r="AQ537" t="s">
        <v>10067</v>
      </c>
      <c r="AR537" t="s">
        <v>10068</v>
      </c>
      <c r="AT537" s="184">
        <v>32932</v>
      </c>
      <c r="AU537" t="s">
        <v>10069</v>
      </c>
      <c r="AV537">
        <v>15</v>
      </c>
      <c r="AW537" s="184">
        <v>45338</v>
      </c>
      <c r="AX537" t="s">
        <v>10070</v>
      </c>
      <c r="AY537">
        <v>100</v>
      </c>
      <c r="AZ537" s="184">
        <v>43573</v>
      </c>
      <c r="BA537" t="s">
        <v>10071</v>
      </c>
      <c r="BB537">
        <v>200</v>
      </c>
      <c r="BC537">
        <v>98</v>
      </c>
      <c r="BD537">
        <v>7652</v>
      </c>
      <c r="BE537">
        <v>1990</v>
      </c>
      <c r="BF537">
        <v>99</v>
      </c>
      <c r="BG537">
        <v>7</v>
      </c>
      <c r="BH537">
        <v>675</v>
      </c>
      <c r="BI537">
        <v>34</v>
      </c>
      <c r="BJ537">
        <v>35</v>
      </c>
      <c r="BK537">
        <v>29</v>
      </c>
      <c r="BN537" t="s">
        <v>595</v>
      </c>
      <c r="BP537" s="184"/>
    </row>
    <row r="538" spans="1:68">
      <c r="A538">
        <v>2623726</v>
      </c>
      <c r="B538">
        <v>2623726</v>
      </c>
      <c r="C538" t="s">
        <v>7018</v>
      </c>
      <c r="E538" s="184"/>
      <c r="G538" s="184"/>
      <c r="K538" s="184"/>
      <c r="L538" t="s">
        <v>595</v>
      </c>
      <c r="M538" s="184">
        <v>44616</v>
      </c>
      <c r="O538" s="184"/>
      <c r="P538" t="s">
        <v>7045</v>
      </c>
      <c r="Q538" t="s">
        <v>7030</v>
      </c>
      <c r="R538" s="184">
        <v>16132</v>
      </c>
      <c r="S538">
        <v>80</v>
      </c>
      <c r="U538" t="s">
        <v>7076</v>
      </c>
      <c r="V538" t="s">
        <v>2586</v>
      </c>
      <c r="W538" t="s">
        <v>7396</v>
      </c>
      <c r="X538" t="s">
        <v>4309</v>
      </c>
      <c r="AF538" t="s">
        <v>10072</v>
      </c>
      <c r="AG538" t="s">
        <v>2586</v>
      </c>
      <c r="AI538" t="s">
        <v>10073</v>
      </c>
      <c r="AM538" t="s">
        <v>4420</v>
      </c>
      <c r="AN538" t="s">
        <v>2089</v>
      </c>
      <c r="AO538" t="s">
        <v>10074</v>
      </c>
      <c r="AP538" t="s">
        <v>7024</v>
      </c>
      <c r="AQ538" t="s">
        <v>10075</v>
      </c>
      <c r="AT538" s="184">
        <v>32933</v>
      </c>
      <c r="AU538" t="s">
        <v>10076</v>
      </c>
      <c r="AV538">
        <v>15</v>
      </c>
      <c r="AW538" s="184">
        <v>45392</v>
      </c>
      <c r="AX538" t="s">
        <v>10077</v>
      </c>
      <c r="AY538">
        <v>200</v>
      </c>
      <c r="AZ538" s="184">
        <v>45392</v>
      </c>
      <c r="BA538" t="s">
        <v>10077</v>
      </c>
      <c r="BB538">
        <v>200</v>
      </c>
      <c r="BC538">
        <v>100</v>
      </c>
      <c r="BD538">
        <v>1640</v>
      </c>
      <c r="BE538">
        <v>1990</v>
      </c>
      <c r="BF538">
        <v>36</v>
      </c>
      <c r="BG538">
        <v>2</v>
      </c>
      <c r="BH538">
        <v>400</v>
      </c>
      <c r="BI538">
        <v>35</v>
      </c>
      <c r="BJ538">
        <v>35</v>
      </c>
      <c r="BK538">
        <v>35</v>
      </c>
      <c r="BL538" t="s">
        <v>595</v>
      </c>
      <c r="BN538" t="s">
        <v>595</v>
      </c>
      <c r="BP538" s="184"/>
    </row>
    <row r="539" spans="1:68">
      <c r="A539">
        <v>2623833</v>
      </c>
      <c r="B539">
        <v>2623833</v>
      </c>
      <c r="C539" t="s">
        <v>7018</v>
      </c>
      <c r="D539" t="s">
        <v>595</v>
      </c>
      <c r="E539" s="184">
        <v>44168</v>
      </c>
      <c r="G539" s="184"/>
      <c r="K539" s="184"/>
      <c r="O539" s="184"/>
      <c r="P539" t="s">
        <v>7045</v>
      </c>
      <c r="Q539" t="s">
        <v>7374</v>
      </c>
      <c r="R539" s="184">
        <v>14986</v>
      </c>
      <c r="S539">
        <v>83</v>
      </c>
      <c r="V539" t="s">
        <v>3574</v>
      </c>
      <c r="X539" t="s">
        <v>10078</v>
      </c>
      <c r="AF539" t="s">
        <v>10079</v>
      </c>
      <c r="AG539" t="s">
        <v>3574</v>
      </c>
      <c r="AI539" t="s">
        <v>10080</v>
      </c>
      <c r="AM539" t="s">
        <v>4551</v>
      </c>
      <c r="AN539" t="s">
        <v>2081</v>
      </c>
      <c r="AO539" t="s">
        <v>10081</v>
      </c>
      <c r="AP539" t="s">
        <v>7024</v>
      </c>
      <c r="AQ539" t="s">
        <v>10082</v>
      </c>
      <c r="AR539" t="s">
        <v>10083</v>
      </c>
      <c r="AT539" s="184">
        <v>32933</v>
      </c>
      <c r="AU539" t="s">
        <v>9933</v>
      </c>
      <c r="AV539">
        <v>15</v>
      </c>
      <c r="AW539" s="184">
        <v>44713</v>
      </c>
      <c r="AX539" t="s">
        <v>10084</v>
      </c>
      <c r="AY539">
        <v>40</v>
      </c>
      <c r="AZ539" s="184">
        <v>44713</v>
      </c>
      <c r="BA539" t="s">
        <v>10084</v>
      </c>
      <c r="BB539">
        <v>40</v>
      </c>
      <c r="BC539">
        <v>95</v>
      </c>
      <c r="BD539">
        <v>2946</v>
      </c>
      <c r="BE539">
        <v>1990</v>
      </c>
      <c r="BF539">
        <v>123</v>
      </c>
      <c r="BG539">
        <v>1</v>
      </c>
      <c r="BH539">
        <v>40</v>
      </c>
      <c r="BI539">
        <v>33</v>
      </c>
      <c r="BJ539">
        <v>35</v>
      </c>
      <c r="BK539">
        <v>33</v>
      </c>
      <c r="BP539" s="184"/>
    </row>
    <row r="540" spans="1:68">
      <c r="A540">
        <v>2624187</v>
      </c>
      <c r="B540">
        <v>2624187</v>
      </c>
      <c r="C540" t="s">
        <v>7018</v>
      </c>
      <c r="E540" s="184"/>
      <c r="F540" t="s">
        <v>595</v>
      </c>
      <c r="G540" s="184">
        <v>44104</v>
      </c>
      <c r="K540" s="184"/>
      <c r="O540" s="184"/>
      <c r="P540" t="s">
        <v>7045</v>
      </c>
      <c r="Q540" t="s">
        <v>7454</v>
      </c>
      <c r="R540" s="184">
        <v>17420</v>
      </c>
      <c r="S540">
        <v>76</v>
      </c>
      <c r="U540" t="s">
        <v>7130</v>
      </c>
      <c r="V540" t="s">
        <v>2701</v>
      </c>
      <c r="X540" t="s">
        <v>10085</v>
      </c>
      <c r="Z540">
        <v>100015896</v>
      </c>
      <c r="AA540" t="s">
        <v>7031</v>
      </c>
      <c r="AB540" t="s">
        <v>2635</v>
      </c>
      <c r="AD540" t="s">
        <v>10085</v>
      </c>
      <c r="AF540" t="s">
        <v>10086</v>
      </c>
      <c r="AG540" t="s">
        <v>10087</v>
      </c>
      <c r="AI540" t="s">
        <v>10088</v>
      </c>
      <c r="AM540" t="s">
        <v>10089</v>
      </c>
      <c r="AN540" t="s">
        <v>2299</v>
      </c>
      <c r="AO540" t="s">
        <v>10090</v>
      </c>
      <c r="AP540" t="s">
        <v>7024</v>
      </c>
      <c r="AQ540" t="s">
        <v>10091</v>
      </c>
      <c r="AR540" t="s">
        <v>10092</v>
      </c>
      <c r="AT540" s="184">
        <v>32933</v>
      </c>
      <c r="AU540" t="s">
        <v>10062</v>
      </c>
      <c r="AV540">
        <v>15</v>
      </c>
      <c r="AW540" s="184">
        <v>45225</v>
      </c>
      <c r="AX540" t="s">
        <v>9001</v>
      </c>
      <c r="AY540">
        <v>50</v>
      </c>
      <c r="AZ540" s="184">
        <v>45225</v>
      </c>
      <c r="BA540" t="s">
        <v>9001</v>
      </c>
      <c r="BB540">
        <v>50</v>
      </c>
      <c r="BC540">
        <v>95</v>
      </c>
      <c r="BD540">
        <v>915</v>
      </c>
      <c r="BE540">
        <v>1990</v>
      </c>
      <c r="BF540">
        <v>35</v>
      </c>
      <c r="BG540">
        <v>1</v>
      </c>
      <c r="BH540">
        <v>50</v>
      </c>
      <c r="BI540">
        <v>33</v>
      </c>
      <c r="BJ540">
        <v>35</v>
      </c>
      <c r="BK540">
        <v>25</v>
      </c>
      <c r="BP540" s="184"/>
    </row>
    <row r="541" spans="1:68">
      <c r="A541">
        <v>100015896</v>
      </c>
      <c r="B541">
        <v>2624187</v>
      </c>
      <c r="C541" t="s">
        <v>7018</v>
      </c>
      <c r="E541" s="184"/>
      <c r="F541" t="s">
        <v>595</v>
      </c>
      <c r="G541" s="184">
        <v>44104</v>
      </c>
      <c r="K541" s="184"/>
      <c r="O541" s="184"/>
      <c r="P541" t="s">
        <v>7045</v>
      </c>
      <c r="Q541" t="s">
        <v>7454</v>
      </c>
      <c r="R541" s="184">
        <v>17420</v>
      </c>
      <c r="S541">
        <v>76</v>
      </c>
      <c r="U541" t="s">
        <v>7031</v>
      </c>
      <c r="V541" t="s">
        <v>2635</v>
      </c>
      <c r="X541" t="s">
        <v>10085</v>
      </c>
      <c r="Z541">
        <v>2624187</v>
      </c>
      <c r="AA541" t="s">
        <v>7130</v>
      </c>
      <c r="AB541" t="s">
        <v>2701</v>
      </c>
      <c r="AD541" t="s">
        <v>10085</v>
      </c>
      <c r="AF541" t="s">
        <v>10086</v>
      </c>
      <c r="AG541" t="s">
        <v>10087</v>
      </c>
      <c r="AI541" t="s">
        <v>10088</v>
      </c>
      <c r="AM541" t="s">
        <v>10089</v>
      </c>
      <c r="AN541" t="s">
        <v>2299</v>
      </c>
      <c r="AO541" t="s">
        <v>10090</v>
      </c>
      <c r="AP541" t="s">
        <v>7024</v>
      </c>
      <c r="AQ541" t="s">
        <v>10093</v>
      </c>
      <c r="AT541" s="184">
        <v>44021</v>
      </c>
      <c r="AU541" t="s">
        <v>10094</v>
      </c>
      <c r="AV541">
        <v>25</v>
      </c>
      <c r="AW541" s="184">
        <v>44021</v>
      </c>
      <c r="AX541" t="s">
        <v>10094</v>
      </c>
      <c r="AY541">
        <v>25</v>
      </c>
      <c r="AZ541" s="184">
        <v>44021</v>
      </c>
      <c r="BA541" t="s">
        <v>10094</v>
      </c>
      <c r="BB541">
        <v>25</v>
      </c>
      <c r="BC541">
        <v>20</v>
      </c>
      <c r="BD541">
        <v>25</v>
      </c>
      <c r="BE541">
        <v>2021</v>
      </c>
      <c r="BF541">
        <v>1</v>
      </c>
      <c r="BI541">
        <v>1</v>
      </c>
      <c r="BJ541">
        <v>5</v>
      </c>
      <c r="BK541">
        <v>1</v>
      </c>
      <c r="BP541" s="184"/>
    </row>
    <row r="542" spans="1:68">
      <c r="A542">
        <v>2669349</v>
      </c>
      <c r="B542">
        <v>2669349</v>
      </c>
      <c r="C542" t="s">
        <v>7018</v>
      </c>
      <c r="E542" s="184"/>
      <c r="F542" t="s">
        <v>595</v>
      </c>
      <c r="G542" s="184">
        <v>43801</v>
      </c>
      <c r="I542" s="184"/>
      <c r="K542" s="184"/>
      <c r="O542" s="184"/>
      <c r="P542" t="s">
        <v>7045</v>
      </c>
      <c r="Q542" t="s">
        <v>7374</v>
      </c>
      <c r="R542" s="184">
        <v>17473</v>
      </c>
      <c r="S542">
        <v>76</v>
      </c>
      <c r="U542" t="s">
        <v>7031</v>
      </c>
      <c r="V542" t="s">
        <v>3783</v>
      </c>
      <c r="X542" t="s">
        <v>4311</v>
      </c>
      <c r="AF542" t="s">
        <v>10095</v>
      </c>
      <c r="AG542" t="s">
        <v>3783</v>
      </c>
      <c r="AI542" t="s">
        <v>10096</v>
      </c>
      <c r="AM542" t="s">
        <v>4312</v>
      </c>
      <c r="AN542" t="s">
        <v>2081</v>
      </c>
      <c r="AO542" t="s">
        <v>10097</v>
      </c>
      <c r="AP542" t="s">
        <v>7024</v>
      </c>
      <c r="AT542" s="184">
        <v>32941</v>
      </c>
      <c r="AU542" t="s">
        <v>10098</v>
      </c>
      <c r="AV542">
        <v>15</v>
      </c>
      <c r="AW542" s="184">
        <v>45219</v>
      </c>
      <c r="AX542" t="s">
        <v>7807</v>
      </c>
      <c r="AY542">
        <v>100</v>
      </c>
      <c r="AZ542" s="184">
        <v>45219</v>
      </c>
      <c r="BA542" t="s">
        <v>7807</v>
      </c>
      <c r="BB542">
        <v>100</v>
      </c>
      <c r="BC542">
        <v>43</v>
      </c>
      <c r="BD542">
        <v>960</v>
      </c>
      <c r="BE542">
        <v>1990</v>
      </c>
      <c r="BF542">
        <v>26</v>
      </c>
      <c r="BG542">
        <v>4</v>
      </c>
      <c r="BH542">
        <v>300</v>
      </c>
      <c r="BI542">
        <v>15</v>
      </c>
      <c r="BJ542">
        <v>35</v>
      </c>
      <c r="BK542">
        <v>3</v>
      </c>
      <c r="BP542" s="184"/>
    </row>
    <row r="543" spans="1:68">
      <c r="A543">
        <v>2674059</v>
      </c>
      <c r="B543">
        <v>2674059</v>
      </c>
      <c r="C543" t="s">
        <v>7018</v>
      </c>
      <c r="E543" s="184"/>
      <c r="K543" s="184"/>
      <c r="M543" s="184"/>
      <c r="N543" t="s">
        <v>595</v>
      </c>
      <c r="O543" s="184">
        <v>37564</v>
      </c>
      <c r="P543" t="s">
        <v>7045</v>
      </c>
      <c r="Q543" t="s">
        <v>7262</v>
      </c>
      <c r="R543" s="184">
        <v>15808</v>
      </c>
      <c r="S543">
        <v>81</v>
      </c>
      <c r="U543" t="s">
        <v>7076</v>
      </c>
      <c r="V543" t="s">
        <v>5890</v>
      </c>
      <c r="W543" t="s">
        <v>7248</v>
      </c>
      <c r="X543" t="s">
        <v>5891</v>
      </c>
      <c r="AF543" t="s">
        <v>10099</v>
      </c>
      <c r="AG543" t="s">
        <v>5890</v>
      </c>
      <c r="AI543" t="s">
        <v>10100</v>
      </c>
      <c r="AM543" t="s">
        <v>4351</v>
      </c>
      <c r="AN543" t="s">
        <v>2069</v>
      </c>
      <c r="AO543" t="s">
        <v>10101</v>
      </c>
      <c r="AP543" t="s">
        <v>7024</v>
      </c>
      <c r="AT543" s="184">
        <v>32917</v>
      </c>
      <c r="AU543" t="s">
        <v>7119</v>
      </c>
      <c r="AV543">
        <v>15</v>
      </c>
      <c r="AW543" s="184">
        <v>38743</v>
      </c>
      <c r="AX543" t="s">
        <v>10102</v>
      </c>
      <c r="AY543">
        <v>30</v>
      </c>
      <c r="AZ543" s="184">
        <v>37565</v>
      </c>
      <c r="BA543" t="s">
        <v>7180</v>
      </c>
      <c r="BB543">
        <v>15000</v>
      </c>
      <c r="BC543">
        <v>43</v>
      </c>
      <c r="BD543">
        <v>15490</v>
      </c>
      <c r="BE543">
        <v>1990</v>
      </c>
      <c r="BF543">
        <v>20</v>
      </c>
      <c r="BI543">
        <v>15</v>
      </c>
      <c r="BJ543">
        <v>35</v>
      </c>
      <c r="BK543">
        <v>9</v>
      </c>
      <c r="BP543" s="184"/>
    </row>
    <row r="544" spans="1:68">
      <c r="A544">
        <v>2678779</v>
      </c>
      <c r="B544">
        <v>2678779</v>
      </c>
      <c r="C544" t="s">
        <v>7018</v>
      </c>
      <c r="D544" t="s">
        <v>595</v>
      </c>
      <c r="E544" s="184">
        <v>43642</v>
      </c>
      <c r="G544" s="184"/>
      <c r="K544" s="184"/>
      <c r="O544" s="184"/>
      <c r="P544" t="s">
        <v>7045</v>
      </c>
      <c r="Q544" t="s">
        <v>7383</v>
      </c>
      <c r="R544" s="184">
        <v>15876</v>
      </c>
      <c r="S544">
        <v>80</v>
      </c>
      <c r="U544" t="s">
        <v>7031</v>
      </c>
      <c r="V544" t="s">
        <v>2979</v>
      </c>
      <c r="W544" t="s">
        <v>3226</v>
      </c>
      <c r="X544" t="s">
        <v>3170</v>
      </c>
      <c r="AF544" t="s">
        <v>10103</v>
      </c>
      <c r="AG544" t="s">
        <v>2979</v>
      </c>
      <c r="AI544" t="s">
        <v>10104</v>
      </c>
      <c r="AM544" t="s">
        <v>3171</v>
      </c>
      <c r="AN544" t="s">
        <v>2185</v>
      </c>
      <c r="AO544" t="s">
        <v>10105</v>
      </c>
      <c r="AP544" t="s">
        <v>7024</v>
      </c>
      <c r="AT544" s="184">
        <v>32962</v>
      </c>
      <c r="AU544" t="s">
        <v>10106</v>
      </c>
      <c r="AV544">
        <v>19.95</v>
      </c>
      <c r="AW544" s="184">
        <v>45377</v>
      </c>
      <c r="AX544" t="s">
        <v>9421</v>
      </c>
      <c r="AY544">
        <v>35</v>
      </c>
      <c r="AZ544" s="184">
        <v>45040</v>
      </c>
      <c r="BA544" t="s">
        <v>10107</v>
      </c>
      <c r="BB544">
        <v>40</v>
      </c>
      <c r="BC544">
        <v>55</v>
      </c>
      <c r="BD544">
        <v>1159.95</v>
      </c>
      <c r="BE544">
        <v>1990</v>
      </c>
      <c r="BF544">
        <v>45</v>
      </c>
      <c r="BG544">
        <v>3</v>
      </c>
      <c r="BH544">
        <v>100</v>
      </c>
      <c r="BI544">
        <v>19</v>
      </c>
      <c r="BJ544">
        <v>35</v>
      </c>
      <c r="BK544">
        <v>15</v>
      </c>
      <c r="BP544" s="184"/>
    </row>
    <row r="545" spans="1:68">
      <c r="A545">
        <v>2681922</v>
      </c>
      <c r="B545">
        <v>2681922</v>
      </c>
      <c r="C545" t="s">
        <v>7018</v>
      </c>
      <c r="E545" s="184"/>
      <c r="I545" s="184"/>
      <c r="J545" t="s">
        <v>595</v>
      </c>
      <c r="K545" s="184">
        <v>40886</v>
      </c>
      <c r="O545" s="184"/>
      <c r="P545" t="s">
        <v>7045</v>
      </c>
      <c r="Q545" t="s">
        <v>7194</v>
      </c>
      <c r="R545" s="184">
        <v>12511</v>
      </c>
      <c r="S545">
        <v>90</v>
      </c>
      <c r="U545" t="s">
        <v>7031</v>
      </c>
      <c r="V545" t="s">
        <v>10108</v>
      </c>
      <c r="W545" t="s">
        <v>7407</v>
      </c>
      <c r="X545" t="s">
        <v>2657</v>
      </c>
      <c r="Z545">
        <v>100179654</v>
      </c>
      <c r="AB545" t="s">
        <v>10109</v>
      </c>
      <c r="AC545" t="s">
        <v>3226</v>
      </c>
      <c r="AD545" t="s">
        <v>2657</v>
      </c>
      <c r="AF545" t="s">
        <v>6490</v>
      </c>
      <c r="AG545" t="s">
        <v>10108</v>
      </c>
      <c r="AI545" t="s">
        <v>10110</v>
      </c>
      <c r="AM545" t="s">
        <v>2513</v>
      </c>
      <c r="AN545" t="s">
        <v>2046</v>
      </c>
      <c r="AO545" t="s">
        <v>10111</v>
      </c>
      <c r="AP545" t="s">
        <v>7024</v>
      </c>
      <c r="AQ545" t="s">
        <v>10112</v>
      </c>
      <c r="AT545" s="184">
        <v>32962</v>
      </c>
      <c r="AU545" t="s">
        <v>10106</v>
      </c>
      <c r="AV545">
        <v>19.95</v>
      </c>
      <c r="AW545" s="184">
        <v>43563</v>
      </c>
      <c r="AX545" t="s">
        <v>10113</v>
      </c>
      <c r="AY545">
        <v>20</v>
      </c>
      <c r="AZ545" s="184">
        <v>34712</v>
      </c>
      <c r="BA545" t="s">
        <v>10114</v>
      </c>
      <c r="BB545">
        <v>87</v>
      </c>
      <c r="BC545">
        <v>80</v>
      </c>
      <c r="BD545">
        <v>811.95</v>
      </c>
      <c r="BE545">
        <v>1990</v>
      </c>
      <c r="BF545">
        <v>34</v>
      </c>
      <c r="BI545">
        <v>28</v>
      </c>
      <c r="BJ545">
        <v>35</v>
      </c>
      <c r="BK545">
        <v>18</v>
      </c>
      <c r="BN545" t="s">
        <v>595</v>
      </c>
    </row>
    <row r="546" spans="1:68">
      <c r="A546">
        <v>100179654</v>
      </c>
      <c r="B546">
        <v>2681922</v>
      </c>
      <c r="C546" t="s">
        <v>7018</v>
      </c>
      <c r="E546" s="184"/>
      <c r="I546" s="184"/>
      <c r="J546" t="s">
        <v>595</v>
      </c>
      <c r="K546" s="184">
        <v>40886</v>
      </c>
      <c r="M546" s="184"/>
      <c r="O546" s="184"/>
      <c r="P546" t="s">
        <v>7045</v>
      </c>
      <c r="Q546" t="s">
        <v>7194</v>
      </c>
      <c r="R546" s="184"/>
      <c r="V546" t="s">
        <v>10109</v>
      </c>
      <c r="W546" t="s">
        <v>3226</v>
      </c>
      <c r="X546" t="s">
        <v>2657</v>
      </c>
      <c r="Z546">
        <v>2681922</v>
      </c>
      <c r="AA546" t="s">
        <v>7031</v>
      </c>
      <c r="AB546" t="s">
        <v>10108</v>
      </c>
      <c r="AC546" t="s">
        <v>7407</v>
      </c>
      <c r="AD546" t="s">
        <v>2657</v>
      </c>
      <c r="AF546" t="s">
        <v>6490</v>
      </c>
      <c r="AG546" t="s">
        <v>10108</v>
      </c>
      <c r="AI546" t="s">
        <v>10110</v>
      </c>
      <c r="AM546" t="s">
        <v>2513</v>
      </c>
      <c r="AN546" t="s">
        <v>2046</v>
      </c>
      <c r="AO546" t="s">
        <v>10111</v>
      </c>
      <c r="AP546" t="s">
        <v>7024</v>
      </c>
      <c r="AT546" s="184"/>
      <c r="AW546" s="184"/>
      <c r="AZ546" s="184"/>
      <c r="BO546" t="s">
        <v>595</v>
      </c>
      <c r="BP546" s="184"/>
    </row>
    <row r="547" spans="1:68">
      <c r="A547">
        <v>2747301</v>
      </c>
      <c r="B547">
        <v>2747301</v>
      </c>
      <c r="C547" t="s">
        <v>7018</v>
      </c>
      <c r="D547" t="s">
        <v>595</v>
      </c>
      <c r="E547" s="184">
        <v>44104</v>
      </c>
      <c r="G547" s="184"/>
      <c r="K547" s="184"/>
      <c r="M547" s="184"/>
      <c r="O547" s="184"/>
      <c r="P547" t="s">
        <v>7045</v>
      </c>
      <c r="Q547" t="s">
        <v>7494</v>
      </c>
      <c r="R547" s="184">
        <v>19419</v>
      </c>
      <c r="S547">
        <v>71</v>
      </c>
      <c r="V547" t="s">
        <v>2887</v>
      </c>
      <c r="W547" t="s">
        <v>7046</v>
      </c>
      <c r="X547" t="s">
        <v>4387</v>
      </c>
      <c r="AF547" t="s">
        <v>10115</v>
      </c>
      <c r="AG547" t="s">
        <v>2887</v>
      </c>
      <c r="AI547" t="s">
        <v>10116</v>
      </c>
      <c r="AM547" t="s">
        <v>3973</v>
      </c>
      <c r="AN547" t="s">
        <v>2174</v>
      </c>
      <c r="AO547" t="s">
        <v>10117</v>
      </c>
      <c r="AP547" t="s">
        <v>7024</v>
      </c>
      <c r="AQ547" t="s">
        <v>10118</v>
      </c>
      <c r="AR547" t="s">
        <v>10119</v>
      </c>
      <c r="AT547" s="184">
        <v>32962</v>
      </c>
      <c r="AU547" t="s">
        <v>10106</v>
      </c>
      <c r="AV547">
        <v>19.95</v>
      </c>
      <c r="AW547" s="184">
        <v>45211</v>
      </c>
      <c r="AX547" t="s">
        <v>10120</v>
      </c>
      <c r="AY547">
        <v>3</v>
      </c>
      <c r="AZ547" s="184">
        <v>38807</v>
      </c>
      <c r="BA547" t="s">
        <v>10121</v>
      </c>
      <c r="BB547">
        <v>100</v>
      </c>
      <c r="BC547">
        <v>60</v>
      </c>
      <c r="BD547">
        <v>977.85</v>
      </c>
      <c r="BE547">
        <v>1990</v>
      </c>
      <c r="BF547">
        <v>28</v>
      </c>
      <c r="BG547">
        <v>4</v>
      </c>
      <c r="BH547">
        <v>63</v>
      </c>
      <c r="BI547">
        <v>21</v>
      </c>
      <c r="BJ547">
        <v>35</v>
      </c>
      <c r="BK547">
        <v>5</v>
      </c>
      <c r="BP547" s="184"/>
    </row>
    <row r="548" spans="1:68">
      <c r="A548">
        <v>2756583</v>
      </c>
      <c r="B548">
        <v>2756583</v>
      </c>
      <c r="C548" t="s">
        <v>7018</v>
      </c>
      <c r="E548" s="184"/>
      <c r="I548" s="184"/>
      <c r="J548" t="s">
        <v>595</v>
      </c>
      <c r="K548" s="184">
        <v>44113</v>
      </c>
      <c r="O548" s="184"/>
      <c r="P548" t="s">
        <v>7045</v>
      </c>
      <c r="Q548" t="s">
        <v>7262</v>
      </c>
      <c r="R548" s="184">
        <v>19845</v>
      </c>
      <c r="S548">
        <v>70</v>
      </c>
      <c r="U548" t="s">
        <v>7076</v>
      </c>
      <c r="V548" t="s">
        <v>10122</v>
      </c>
      <c r="X548" t="s">
        <v>10123</v>
      </c>
      <c r="AF548" t="s">
        <v>10124</v>
      </c>
      <c r="AG548" t="s">
        <v>10122</v>
      </c>
      <c r="AI548" t="s">
        <v>10125</v>
      </c>
      <c r="AM548" t="s">
        <v>4672</v>
      </c>
      <c r="AN548" t="s">
        <v>2219</v>
      </c>
      <c r="AO548" t="s">
        <v>10126</v>
      </c>
      <c r="AP548" t="s">
        <v>7024</v>
      </c>
      <c r="AQ548" t="s">
        <v>10127</v>
      </c>
      <c r="AT548" s="184">
        <v>32954</v>
      </c>
      <c r="AU548" t="s">
        <v>9869</v>
      </c>
      <c r="AV548">
        <v>15</v>
      </c>
      <c r="AW548" s="184">
        <v>45082</v>
      </c>
      <c r="AX548" t="s">
        <v>10128</v>
      </c>
      <c r="AY548">
        <v>50</v>
      </c>
      <c r="AZ548" s="184">
        <v>40234</v>
      </c>
      <c r="BA548" t="s">
        <v>10129</v>
      </c>
      <c r="BB548">
        <v>100</v>
      </c>
      <c r="BC548">
        <v>92</v>
      </c>
      <c r="BD548">
        <v>2250</v>
      </c>
      <c r="BE548">
        <v>1990</v>
      </c>
      <c r="BF548">
        <v>60</v>
      </c>
      <c r="BG548">
        <v>1</v>
      </c>
      <c r="BH548">
        <v>50</v>
      </c>
      <c r="BI548">
        <v>32</v>
      </c>
      <c r="BJ548">
        <v>35</v>
      </c>
      <c r="BK548">
        <v>28</v>
      </c>
      <c r="BN548" t="s">
        <v>595</v>
      </c>
      <c r="BP548" s="184"/>
    </row>
    <row r="549" spans="1:68">
      <c r="A549">
        <v>2814309</v>
      </c>
      <c r="B549">
        <v>2814309</v>
      </c>
      <c r="C549" t="s">
        <v>7018</v>
      </c>
      <c r="E549" s="184"/>
      <c r="J549" t="s">
        <v>595</v>
      </c>
      <c r="K549" s="184">
        <v>43731</v>
      </c>
      <c r="M549" s="184"/>
      <c r="O549" s="184"/>
      <c r="P549" t="s">
        <v>7045</v>
      </c>
      <c r="Q549" t="s">
        <v>7454</v>
      </c>
      <c r="R549" s="184">
        <v>15231</v>
      </c>
      <c r="S549">
        <v>82</v>
      </c>
      <c r="V549" t="s">
        <v>4330</v>
      </c>
      <c r="W549" t="s">
        <v>3332</v>
      </c>
      <c r="X549" t="s">
        <v>3180</v>
      </c>
      <c r="AF549" t="s">
        <v>10130</v>
      </c>
      <c r="AG549" t="s">
        <v>4330</v>
      </c>
      <c r="AI549" t="s">
        <v>10131</v>
      </c>
      <c r="AM549" t="s">
        <v>3810</v>
      </c>
      <c r="AN549" t="s">
        <v>2055</v>
      </c>
      <c r="AO549" t="s">
        <v>10132</v>
      </c>
      <c r="AP549" t="s">
        <v>7024</v>
      </c>
      <c r="AT549" s="184">
        <v>32968</v>
      </c>
      <c r="AU549" t="s">
        <v>10106</v>
      </c>
      <c r="AV549">
        <v>19.95</v>
      </c>
      <c r="AW549" s="184">
        <v>45412</v>
      </c>
      <c r="AX549" t="s">
        <v>10133</v>
      </c>
      <c r="AY549">
        <v>12</v>
      </c>
      <c r="AZ549" s="184">
        <v>42111</v>
      </c>
      <c r="BA549" t="s">
        <v>10134</v>
      </c>
      <c r="BB549">
        <v>65</v>
      </c>
      <c r="BC549">
        <v>78</v>
      </c>
      <c r="BD549">
        <v>1969.95</v>
      </c>
      <c r="BE549">
        <v>1990</v>
      </c>
      <c r="BF549">
        <v>118</v>
      </c>
      <c r="BG549">
        <v>23</v>
      </c>
      <c r="BH549">
        <v>276</v>
      </c>
      <c r="BI549">
        <v>27</v>
      </c>
      <c r="BJ549">
        <v>35</v>
      </c>
      <c r="BK549">
        <v>11</v>
      </c>
      <c r="BP549" s="184"/>
    </row>
    <row r="550" spans="1:68">
      <c r="A550">
        <v>2816353</v>
      </c>
      <c r="B550">
        <v>2816353</v>
      </c>
      <c r="C550" t="s">
        <v>7018</v>
      </c>
      <c r="E550" s="184"/>
      <c r="G550" s="184"/>
      <c r="I550" s="184"/>
      <c r="J550" t="s">
        <v>595</v>
      </c>
      <c r="K550" s="184">
        <v>37433</v>
      </c>
      <c r="O550" s="184"/>
      <c r="P550" t="s">
        <v>7045</v>
      </c>
      <c r="Q550" t="s">
        <v>7383</v>
      </c>
      <c r="R550" s="184">
        <v>20729</v>
      </c>
      <c r="S550">
        <v>67</v>
      </c>
      <c r="U550" t="s">
        <v>7031</v>
      </c>
      <c r="V550" t="s">
        <v>4236</v>
      </c>
      <c r="W550" t="s">
        <v>7107</v>
      </c>
      <c r="X550" t="s">
        <v>5582</v>
      </c>
      <c r="AF550" t="s">
        <v>6181</v>
      </c>
      <c r="AG550" t="s">
        <v>4236</v>
      </c>
      <c r="AI550" t="s">
        <v>10135</v>
      </c>
      <c r="AM550" t="s">
        <v>5853</v>
      </c>
      <c r="AN550" t="s">
        <v>2162</v>
      </c>
      <c r="AO550" t="s">
        <v>10136</v>
      </c>
      <c r="AP550" t="s">
        <v>7024</v>
      </c>
      <c r="AQ550" t="s">
        <v>10137</v>
      </c>
      <c r="AT550" s="184">
        <v>32968</v>
      </c>
      <c r="AU550" t="s">
        <v>10106</v>
      </c>
      <c r="AV550">
        <v>19.95</v>
      </c>
      <c r="AW550" s="184">
        <v>45129</v>
      </c>
      <c r="AX550" t="s">
        <v>10138</v>
      </c>
      <c r="AY550">
        <v>150</v>
      </c>
      <c r="AZ550" s="184">
        <v>45129</v>
      </c>
      <c r="BA550" t="s">
        <v>10138</v>
      </c>
      <c r="BB550">
        <v>150</v>
      </c>
      <c r="BC550">
        <v>86</v>
      </c>
      <c r="BD550">
        <v>3559.95</v>
      </c>
      <c r="BE550">
        <v>1990</v>
      </c>
      <c r="BF550">
        <v>32</v>
      </c>
      <c r="BG550">
        <v>2</v>
      </c>
      <c r="BH550">
        <v>300</v>
      </c>
      <c r="BI550">
        <v>30</v>
      </c>
      <c r="BJ550">
        <v>35</v>
      </c>
      <c r="BK550">
        <v>11</v>
      </c>
      <c r="BP550" s="184"/>
    </row>
    <row r="551" spans="1:68">
      <c r="A551">
        <v>2873487</v>
      </c>
      <c r="B551">
        <v>2873487</v>
      </c>
      <c r="C551" t="s">
        <v>7018</v>
      </c>
      <c r="D551" t="s">
        <v>595</v>
      </c>
      <c r="E551" s="184">
        <v>44167</v>
      </c>
      <c r="G551" s="184"/>
      <c r="K551" s="184"/>
      <c r="M551" s="184"/>
      <c r="P551" t="s">
        <v>7045</v>
      </c>
      <c r="Q551" t="s">
        <v>7030</v>
      </c>
      <c r="R551" s="184">
        <v>15646</v>
      </c>
      <c r="S551">
        <v>81</v>
      </c>
      <c r="V551" t="s">
        <v>2697</v>
      </c>
      <c r="X551" t="s">
        <v>10139</v>
      </c>
      <c r="Z551">
        <v>100016301</v>
      </c>
      <c r="AB551" t="s">
        <v>3101</v>
      </c>
      <c r="AC551" t="s">
        <v>3830</v>
      </c>
      <c r="AD551" t="s">
        <v>10139</v>
      </c>
      <c r="AF551" t="s">
        <v>10140</v>
      </c>
      <c r="AG551" t="s">
        <v>2697</v>
      </c>
      <c r="AI551" t="s">
        <v>10141</v>
      </c>
      <c r="AM551" t="s">
        <v>4424</v>
      </c>
      <c r="AN551" t="s">
        <v>2089</v>
      </c>
      <c r="AO551" t="s">
        <v>10142</v>
      </c>
      <c r="AP551" t="s">
        <v>7024</v>
      </c>
      <c r="AQ551" t="s">
        <v>10143</v>
      </c>
      <c r="AR551" t="s">
        <v>10144</v>
      </c>
      <c r="AT551" s="184">
        <v>32895</v>
      </c>
      <c r="AU551" t="s">
        <v>9869</v>
      </c>
      <c r="AV551">
        <v>15</v>
      </c>
      <c r="AW551" s="184">
        <v>45393</v>
      </c>
      <c r="AX551" t="s">
        <v>10145</v>
      </c>
      <c r="AY551">
        <v>500</v>
      </c>
      <c r="AZ551" s="184">
        <v>45393</v>
      </c>
      <c r="BA551" t="s">
        <v>10145</v>
      </c>
      <c r="BB551">
        <v>500</v>
      </c>
      <c r="BC551">
        <v>78</v>
      </c>
      <c r="BD551">
        <v>2248</v>
      </c>
      <c r="BE551">
        <v>1990</v>
      </c>
      <c r="BF551">
        <v>31</v>
      </c>
      <c r="BG551">
        <v>1</v>
      </c>
      <c r="BH551">
        <v>500</v>
      </c>
      <c r="BI551">
        <v>27</v>
      </c>
      <c r="BJ551">
        <v>35</v>
      </c>
      <c r="BK551">
        <v>7</v>
      </c>
      <c r="BN551" t="s">
        <v>595</v>
      </c>
      <c r="BP551" s="184"/>
    </row>
    <row r="552" spans="1:68">
      <c r="A552">
        <v>100016301</v>
      </c>
      <c r="B552">
        <v>2873487</v>
      </c>
      <c r="C552" t="s">
        <v>7018</v>
      </c>
      <c r="D552" t="s">
        <v>595</v>
      </c>
      <c r="E552" s="184">
        <v>44167</v>
      </c>
      <c r="G552" s="184"/>
      <c r="I552" s="184"/>
      <c r="K552" s="184"/>
      <c r="O552" s="184"/>
      <c r="P552" t="s">
        <v>7045</v>
      </c>
      <c r="Q552" t="s">
        <v>7030</v>
      </c>
      <c r="R552" s="184">
        <v>15797</v>
      </c>
      <c r="S552">
        <v>81</v>
      </c>
      <c r="V552" t="s">
        <v>3101</v>
      </c>
      <c r="W552" t="s">
        <v>3830</v>
      </c>
      <c r="X552" t="s">
        <v>10139</v>
      </c>
      <c r="Z552">
        <v>2873487</v>
      </c>
      <c r="AB552" t="s">
        <v>2697</v>
      </c>
      <c r="AD552" t="s">
        <v>10139</v>
      </c>
      <c r="AF552" t="s">
        <v>10140</v>
      </c>
      <c r="AG552" t="s">
        <v>2697</v>
      </c>
      <c r="AI552" t="s">
        <v>10141</v>
      </c>
      <c r="AM552" t="s">
        <v>4424</v>
      </c>
      <c r="AN552" t="s">
        <v>2089</v>
      </c>
      <c r="AO552" t="s">
        <v>10142</v>
      </c>
      <c r="AP552" t="s">
        <v>7024</v>
      </c>
      <c r="AQ552" t="s">
        <v>10146</v>
      </c>
      <c r="AT552" s="184"/>
      <c r="AW552" s="184"/>
      <c r="AZ552" s="184"/>
      <c r="BO552" t="s">
        <v>595</v>
      </c>
      <c r="BP552" s="184"/>
    </row>
    <row r="553" spans="1:68">
      <c r="A553">
        <v>2910453</v>
      </c>
      <c r="B553">
        <v>2910453</v>
      </c>
      <c r="C553" t="s">
        <v>7018</v>
      </c>
      <c r="E553" s="184"/>
      <c r="G553" s="184"/>
      <c r="I553" s="184"/>
      <c r="K553" s="184"/>
      <c r="M553" s="184"/>
      <c r="N553" t="s">
        <v>595</v>
      </c>
      <c r="O553" s="184">
        <v>42384</v>
      </c>
      <c r="P553" t="s">
        <v>7029</v>
      </c>
      <c r="Q553" t="s">
        <v>7020</v>
      </c>
      <c r="R553" s="184">
        <v>11698</v>
      </c>
      <c r="S553">
        <v>92</v>
      </c>
      <c r="U553" t="s">
        <v>7076</v>
      </c>
      <c r="V553" t="s">
        <v>3468</v>
      </c>
      <c r="W553" t="s">
        <v>2049</v>
      </c>
      <c r="X553" t="s">
        <v>5907</v>
      </c>
      <c r="AF553" t="s">
        <v>10147</v>
      </c>
      <c r="AG553" t="s">
        <v>3468</v>
      </c>
      <c r="AI553" t="s">
        <v>10148</v>
      </c>
      <c r="AM553" t="s">
        <v>5908</v>
      </c>
      <c r="AN553" t="s">
        <v>2129</v>
      </c>
      <c r="AO553" t="s">
        <v>10149</v>
      </c>
      <c r="AP553" t="s">
        <v>7024</v>
      </c>
      <c r="AQ553" t="s">
        <v>10150</v>
      </c>
      <c r="AT553" s="184">
        <v>32972</v>
      </c>
      <c r="AU553" t="s">
        <v>10151</v>
      </c>
      <c r="AV553">
        <v>50</v>
      </c>
      <c r="AW553" s="184">
        <v>43738</v>
      </c>
      <c r="AX553" t="s">
        <v>9267</v>
      </c>
      <c r="AY553">
        <v>1000</v>
      </c>
      <c r="AZ553" s="184">
        <v>42384</v>
      </c>
      <c r="BA553" t="s">
        <v>7100</v>
      </c>
      <c r="BB553">
        <v>10000</v>
      </c>
      <c r="BC553">
        <v>80</v>
      </c>
      <c r="BD553">
        <v>14850</v>
      </c>
      <c r="BE553">
        <v>1990</v>
      </c>
      <c r="BF553">
        <v>38</v>
      </c>
      <c r="BI553">
        <v>28</v>
      </c>
      <c r="BJ553">
        <v>35</v>
      </c>
      <c r="BK553">
        <v>18</v>
      </c>
      <c r="BN553" t="s">
        <v>595</v>
      </c>
      <c r="BP553" s="184"/>
    </row>
    <row r="554" spans="1:68">
      <c r="A554">
        <v>2920833</v>
      </c>
      <c r="B554">
        <v>2920833</v>
      </c>
      <c r="C554" t="s">
        <v>7018</v>
      </c>
      <c r="D554" t="s">
        <v>595</v>
      </c>
      <c r="E554" s="184">
        <v>43642</v>
      </c>
      <c r="G554" s="184"/>
      <c r="I554" s="184"/>
      <c r="K554" s="184"/>
      <c r="M554" s="184"/>
      <c r="O554" s="184"/>
      <c r="P554" t="s">
        <v>7019</v>
      </c>
      <c r="Q554" t="s">
        <v>7454</v>
      </c>
      <c r="R554" s="184">
        <v>18994</v>
      </c>
      <c r="S554">
        <v>72</v>
      </c>
      <c r="U554" t="s">
        <v>7031</v>
      </c>
      <c r="V554" t="s">
        <v>3172</v>
      </c>
      <c r="X554" t="s">
        <v>3173</v>
      </c>
      <c r="Y554" t="s">
        <v>7047</v>
      </c>
      <c r="AF554" t="s">
        <v>10152</v>
      </c>
      <c r="AG554" t="s">
        <v>3172</v>
      </c>
      <c r="AI554" t="s">
        <v>10153</v>
      </c>
      <c r="AM554" t="s">
        <v>10154</v>
      </c>
      <c r="AN554" t="s">
        <v>2299</v>
      </c>
      <c r="AO554" t="s">
        <v>10155</v>
      </c>
      <c r="AP554" t="s">
        <v>7024</v>
      </c>
      <c r="AQ554" t="s">
        <v>10156</v>
      </c>
      <c r="AT554" s="184">
        <v>32973</v>
      </c>
      <c r="AU554" t="s">
        <v>10157</v>
      </c>
      <c r="AV554">
        <v>15</v>
      </c>
      <c r="AW554" s="184">
        <v>44609</v>
      </c>
      <c r="AX554" t="s">
        <v>8543</v>
      </c>
      <c r="AY554">
        <v>60</v>
      </c>
      <c r="AZ554" s="184">
        <v>44609</v>
      </c>
      <c r="BA554" t="s">
        <v>8543</v>
      </c>
      <c r="BB554">
        <v>60</v>
      </c>
      <c r="BC554">
        <v>46</v>
      </c>
      <c r="BD554">
        <v>730</v>
      </c>
      <c r="BE554">
        <v>1990</v>
      </c>
      <c r="BF554">
        <v>21</v>
      </c>
      <c r="BI554">
        <v>16</v>
      </c>
      <c r="BJ554">
        <v>35</v>
      </c>
      <c r="BK554">
        <v>4</v>
      </c>
      <c r="BP554" s="184"/>
    </row>
    <row r="555" spans="1:68">
      <c r="A555">
        <v>2929222</v>
      </c>
      <c r="B555">
        <v>2929222</v>
      </c>
      <c r="C555" t="s">
        <v>7018</v>
      </c>
      <c r="D555" t="s">
        <v>595</v>
      </c>
      <c r="E555" s="184">
        <v>45166</v>
      </c>
      <c r="G555" s="184"/>
      <c r="I555" s="184"/>
      <c r="K555" s="184"/>
      <c r="M555" s="184"/>
      <c r="O555" s="184"/>
      <c r="P555" t="s">
        <v>7045</v>
      </c>
      <c r="Q555" t="s">
        <v>7494</v>
      </c>
      <c r="R555" s="184">
        <v>24365</v>
      </c>
      <c r="S555">
        <v>57</v>
      </c>
      <c r="V555" t="s">
        <v>3246</v>
      </c>
      <c r="X555" t="s">
        <v>10158</v>
      </c>
      <c r="AF555" t="s">
        <v>10159</v>
      </c>
      <c r="AG555" t="s">
        <v>3246</v>
      </c>
      <c r="AI555" t="s">
        <v>10160</v>
      </c>
      <c r="AM555" t="s">
        <v>4006</v>
      </c>
      <c r="AN555" t="s">
        <v>2174</v>
      </c>
      <c r="AO555" t="s">
        <v>10161</v>
      </c>
      <c r="AP555" t="s">
        <v>7024</v>
      </c>
      <c r="AQ555" t="s">
        <v>10162</v>
      </c>
      <c r="AR555" t="s">
        <v>10163</v>
      </c>
      <c r="AT555" s="184">
        <v>32974</v>
      </c>
      <c r="AU555" t="s">
        <v>10164</v>
      </c>
      <c r="AV555">
        <v>15</v>
      </c>
      <c r="AW555" s="184">
        <v>45090</v>
      </c>
      <c r="AX555" t="s">
        <v>10165</v>
      </c>
      <c r="AY555">
        <v>35</v>
      </c>
      <c r="AZ555" s="184">
        <v>44663</v>
      </c>
      <c r="BA555" t="s">
        <v>10166</v>
      </c>
      <c r="BB555">
        <v>40</v>
      </c>
      <c r="BC555">
        <v>38</v>
      </c>
      <c r="BD555">
        <v>395</v>
      </c>
      <c r="BE555">
        <v>1990</v>
      </c>
      <c r="BF555">
        <v>16</v>
      </c>
      <c r="BG555">
        <v>1</v>
      </c>
      <c r="BH555">
        <v>35</v>
      </c>
      <c r="BI555">
        <v>13</v>
      </c>
      <c r="BJ555">
        <v>35</v>
      </c>
      <c r="BK555">
        <v>5</v>
      </c>
      <c r="BP555" s="184"/>
    </row>
    <row r="556" spans="1:68">
      <c r="A556">
        <v>2929941</v>
      </c>
      <c r="B556">
        <v>2929941</v>
      </c>
      <c r="C556" t="s">
        <v>7018</v>
      </c>
      <c r="E556" s="184"/>
      <c r="G556" s="184"/>
      <c r="J556" t="s">
        <v>595</v>
      </c>
      <c r="K556" s="184">
        <v>45098</v>
      </c>
      <c r="M556" s="184"/>
      <c r="O556" s="184"/>
      <c r="P556" t="s">
        <v>7045</v>
      </c>
      <c r="Q556" t="s">
        <v>7020</v>
      </c>
      <c r="R556" s="184">
        <v>9974</v>
      </c>
      <c r="S556">
        <v>97</v>
      </c>
      <c r="U556" t="s">
        <v>7076</v>
      </c>
      <c r="V556" t="s">
        <v>10167</v>
      </c>
      <c r="X556" t="s">
        <v>10168</v>
      </c>
      <c r="AF556" t="s">
        <v>10169</v>
      </c>
      <c r="AG556" t="s">
        <v>10167</v>
      </c>
      <c r="AI556" t="s">
        <v>10170</v>
      </c>
      <c r="AM556" t="s">
        <v>10171</v>
      </c>
      <c r="AN556" t="s">
        <v>2112</v>
      </c>
      <c r="AO556" t="s">
        <v>10172</v>
      </c>
      <c r="AP556" t="s">
        <v>7024</v>
      </c>
      <c r="AQ556" t="s">
        <v>10173</v>
      </c>
      <c r="AT556" s="184">
        <v>32974</v>
      </c>
      <c r="AU556" t="s">
        <v>10174</v>
      </c>
      <c r="AV556">
        <v>15</v>
      </c>
      <c r="AW556" s="184">
        <v>42473</v>
      </c>
      <c r="AX556" t="s">
        <v>10175</v>
      </c>
      <c r="AY556">
        <v>50</v>
      </c>
      <c r="AZ556" s="184">
        <v>42473</v>
      </c>
      <c r="BA556" t="s">
        <v>10175</v>
      </c>
      <c r="BB556">
        <v>50</v>
      </c>
      <c r="BC556">
        <v>60</v>
      </c>
      <c r="BD556">
        <v>808</v>
      </c>
      <c r="BE556">
        <v>1990</v>
      </c>
      <c r="BF556">
        <v>28</v>
      </c>
      <c r="BI556">
        <v>21</v>
      </c>
      <c r="BJ556">
        <v>35</v>
      </c>
      <c r="BK556">
        <v>10</v>
      </c>
      <c r="BO556" t="s">
        <v>595</v>
      </c>
      <c r="BP556" s="184">
        <v>44885</v>
      </c>
    </row>
    <row r="557" spans="1:68">
      <c r="A557">
        <v>2935385</v>
      </c>
      <c r="B557">
        <v>2935385</v>
      </c>
      <c r="C557" t="s">
        <v>7018</v>
      </c>
      <c r="D557" t="s">
        <v>595</v>
      </c>
      <c r="E557" s="184">
        <v>44168</v>
      </c>
      <c r="G557" s="184"/>
      <c r="K557" s="184"/>
      <c r="O557" s="184"/>
      <c r="P557" t="s">
        <v>7045</v>
      </c>
      <c r="Q557" t="s">
        <v>7194</v>
      </c>
      <c r="R557" s="184">
        <v>19268</v>
      </c>
      <c r="S557">
        <v>71</v>
      </c>
      <c r="V557" t="s">
        <v>3230</v>
      </c>
      <c r="W557" t="s">
        <v>3332</v>
      </c>
      <c r="X557" t="s">
        <v>10176</v>
      </c>
      <c r="AF557" t="s">
        <v>10177</v>
      </c>
      <c r="AG557" t="s">
        <v>3230</v>
      </c>
      <c r="AI557" t="s">
        <v>10178</v>
      </c>
      <c r="AM557" t="s">
        <v>10179</v>
      </c>
      <c r="AN557" t="s">
        <v>2046</v>
      </c>
      <c r="AO557" t="s">
        <v>10180</v>
      </c>
      <c r="AP557" t="s">
        <v>7024</v>
      </c>
      <c r="AQ557" t="s">
        <v>10181</v>
      </c>
      <c r="AR557" t="s">
        <v>10182</v>
      </c>
      <c r="AT557" s="184">
        <v>32975</v>
      </c>
      <c r="AU557" t="s">
        <v>10183</v>
      </c>
      <c r="AV557">
        <v>15</v>
      </c>
      <c r="AW557" s="184">
        <v>45317</v>
      </c>
      <c r="AX557" t="s">
        <v>7092</v>
      </c>
      <c r="AY557">
        <v>50</v>
      </c>
      <c r="AZ557" s="184">
        <v>44433</v>
      </c>
      <c r="BA557" t="s">
        <v>10184</v>
      </c>
      <c r="BB557">
        <v>100</v>
      </c>
      <c r="BC557">
        <v>49</v>
      </c>
      <c r="BD557">
        <v>1125</v>
      </c>
      <c r="BE557">
        <v>1990</v>
      </c>
      <c r="BF557">
        <v>25</v>
      </c>
      <c r="BG557">
        <v>2</v>
      </c>
      <c r="BH557">
        <v>100</v>
      </c>
      <c r="BI557">
        <v>17</v>
      </c>
      <c r="BJ557">
        <v>35</v>
      </c>
      <c r="BK557">
        <v>11</v>
      </c>
      <c r="BP557" s="184"/>
    </row>
    <row r="558" spans="1:68">
      <c r="A558">
        <v>2936763</v>
      </c>
      <c r="B558">
        <v>2936763</v>
      </c>
      <c r="C558" t="s">
        <v>7018</v>
      </c>
      <c r="D558" t="s">
        <v>595</v>
      </c>
      <c r="E558" s="184">
        <v>44167</v>
      </c>
      <c r="G558" s="184"/>
      <c r="I558" s="184"/>
      <c r="K558" s="184"/>
      <c r="O558" s="184"/>
      <c r="P558" t="s">
        <v>7045</v>
      </c>
      <c r="Q558" t="s">
        <v>7374</v>
      </c>
      <c r="R558" s="184">
        <v>11675</v>
      </c>
      <c r="S558">
        <v>92</v>
      </c>
      <c r="U558" t="s">
        <v>7130</v>
      </c>
      <c r="V558" t="s">
        <v>3162</v>
      </c>
      <c r="W558" t="s">
        <v>7107</v>
      </c>
      <c r="X558" t="s">
        <v>10185</v>
      </c>
      <c r="Z558">
        <v>100572134</v>
      </c>
      <c r="AB558" t="s">
        <v>2989</v>
      </c>
      <c r="AC558" t="s">
        <v>3249</v>
      </c>
      <c r="AD558" t="s">
        <v>10185</v>
      </c>
      <c r="AF558" t="s">
        <v>10186</v>
      </c>
      <c r="AG558" t="s">
        <v>10187</v>
      </c>
      <c r="AI558" t="s">
        <v>10188</v>
      </c>
      <c r="AM558" t="s">
        <v>10189</v>
      </c>
      <c r="AN558" t="s">
        <v>2081</v>
      </c>
      <c r="AO558" t="s">
        <v>10190</v>
      </c>
      <c r="AP558" t="s">
        <v>7024</v>
      </c>
      <c r="AQ558" t="s">
        <v>10191</v>
      </c>
      <c r="AT558" s="184">
        <v>32975</v>
      </c>
      <c r="AU558" t="s">
        <v>10192</v>
      </c>
      <c r="AV558">
        <v>15</v>
      </c>
      <c r="AW558" s="184">
        <v>44785</v>
      </c>
      <c r="AX558" t="s">
        <v>10193</v>
      </c>
      <c r="AY558">
        <v>35</v>
      </c>
      <c r="AZ558" s="184">
        <v>44785</v>
      </c>
      <c r="BA558" t="s">
        <v>10193</v>
      </c>
      <c r="BB558">
        <v>35</v>
      </c>
      <c r="BC558">
        <v>55</v>
      </c>
      <c r="BD558">
        <v>595</v>
      </c>
      <c r="BE558">
        <v>1990</v>
      </c>
      <c r="BF558">
        <v>32</v>
      </c>
      <c r="BG558">
        <v>1</v>
      </c>
      <c r="BH558">
        <v>35</v>
      </c>
      <c r="BI558">
        <v>19</v>
      </c>
      <c r="BJ558">
        <v>35</v>
      </c>
      <c r="BK558">
        <v>17</v>
      </c>
      <c r="BP558" s="184"/>
    </row>
    <row r="559" spans="1:68">
      <c r="A559">
        <v>100572134</v>
      </c>
      <c r="B559">
        <v>2936763</v>
      </c>
      <c r="C559" t="s">
        <v>7018</v>
      </c>
      <c r="D559" t="s">
        <v>595</v>
      </c>
      <c r="E559" s="184">
        <v>44167</v>
      </c>
      <c r="G559" s="184"/>
      <c r="K559" s="184"/>
      <c r="M559" s="184"/>
      <c r="O559" s="184"/>
      <c r="P559" t="s">
        <v>7045</v>
      </c>
      <c r="Q559" t="s">
        <v>7374</v>
      </c>
      <c r="R559" s="184">
        <v>13120</v>
      </c>
      <c r="S559">
        <v>88</v>
      </c>
      <c r="V559" t="s">
        <v>2989</v>
      </c>
      <c r="W559" t="s">
        <v>3249</v>
      </c>
      <c r="X559" t="s">
        <v>10185</v>
      </c>
      <c r="Z559">
        <v>2936763</v>
      </c>
      <c r="AA559" t="s">
        <v>7130</v>
      </c>
      <c r="AB559" t="s">
        <v>3162</v>
      </c>
      <c r="AC559" t="s">
        <v>7107</v>
      </c>
      <c r="AD559" t="s">
        <v>10185</v>
      </c>
      <c r="AF559" t="s">
        <v>10186</v>
      </c>
      <c r="AG559" t="s">
        <v>10187</v>
      </c>
      <c r="AI559" t="s">
        <v>10188</v>
      </c>
      <c r="AM559" t="s">
        <v>10189</v>
      </c>
      <c r="AN559" t="s">
        <v>2081</v>
      </c>
      <c r="AO559" t="s">
        <v>10190</v>
      </c>
      <c r="AP559" t="s">
        <v>7024</v>
      </c>
      <c r="AQ559" t="s">
        <v>10194</v>
      </c>
      <c r="AT559" s="184"/>
      <c r="AW559" s="184"/>
      <c r="AZ559" s="184"/>
      <c r="BP559" s="184"/>
    </row>
    <row r="560" spans="1:68">
      <c r="A560">
        <v>2937852</v>
      </c>
      <c r="B560">
        <v>2937852</v>
      </c>
      <c r="C560" t="s">
        <v>7018</v>
      </c>
      <c r="E560" s="184"/>
      <c r="F560" t="s">
        <v>595</v>
      </c>
      <c r="G560" s="184">
        <v>44104</v>
      </c>
      <c r="K560" s="184"/>
      <c r="O560" s="184"/>
      <c r="P560" t="s">
        <v>7045</v>
      </c>
      <c r="Q560" t="s">
        <v>7383</v>
      </c>
      <c r="R560" s="184">
        <v>14528</v>
      </c>
      <c r="S560">
        <v>84</v>
      </c>
      <c r="U560" t="s">
        <v>7031</v>
      </c>
      <c r="V560" t="s">
        <v>3246</v>
      </c>
      <c r="W560" t="s">
        <v>5006</v>
      </c>
      <c r="X560" t="s">
        <v>10195</v>
      </c>
      <c r="AF560" t="s">
        <v>10196</v>
      </c>
      <c r="AG560" t="s">
        <v>3246</v>
      </c>
      <c r="AI560" t="s">
        <v>10197</v>
      </c>
      <c r="AM560" t="s">
        <v>10198</v>
      </c>
      <c r="AN560" t="s">
        <v>2059</v>
      </c>
      <c r="AO560" t="s">
        <v>10199</v>
      </c>
      <c r="AP560" t="s">
        <v>7024</v>
      </c>
      <c r="AT560" s="184">
        <v>32975</v>
      </c>
      <c r="AU560" t="s">
        <v>10200</v>
      </c>
      <c r="AV560">
        <v>15</v>
      </c>
      <c r="AW560" s="184">
        <v>45407</v>
      </c>
      <c r="AX560" t="s">
        <v>10201</v>
      </c>
      <c r="AY560">
        <v>200</v>
      </c>
      <c r="AZ560" s="184">
        <v>45407</v>
      </c>
      <c r="BA560" t="s">
        <v>10201</v>
      </c>
      <c r="BB560">
        <v>200</v>
      </c>
      <c r="BC560">
        <v>98</v>
      </c>
      <c r="BD560">
        <v>2125</v>
      </c>
      <c r="BE560">
        <v>1990</v>
      </c>
      <c r="BF560">
        <v>40</v>
      </c>
      <c r="BG560">
        <v>4</v>
      </c>
      <c r="BH560">
        <v>800</v>
      </c>
      <c r="BI560">
        <v>34</v>
      </c>
      <c r="BJ560">
        <v>35</v>
      </c>
      <c r="BK560">
        <v>26</v>
      </c>
      <c r="BP560" s="184"/>
    </row>
    <row r="561" spans="1:68">
      <c r="A561">
        <v>2941078</v>
      </c>
      <c r="B561">
        <v>2941078</v>
      </c>
      <c r="C561" t="s">
        <v>7018</v>
      </c>
      <c r="E561" s="184"/>
      <c r="I561" s="184"/>
      <c r="J561" t="s">
        <v>595</v>
      </c>
      <c r="K561" s="184">
        <v>41400</v>
      </c>
      <c r="O561" s="184"/>
      <c r="P561" t="s">
        <v>7045</v>
      </c>
      <c r="Q561" t="s">
        <v>7262</v>
      </c>
      <c r="R561" s="184">
        <v>12784</v>
      </c>
      <c r="S561">
        <v>89</v>
      </c>
      <c r="U561" t="s">
        <v>7032</v>
      </c>
      <c r="V561" t="s">
        <v>2597</v>
      </c>
      <c r="W561" t="s">
        <v>4382</v>
      </c>
      <c r="X561" t="s">
        <v>10202</v>
      </c>
      <c r="AF561" t="s">
        <v>6227</v>
      </c>
      <c r="AG561" t="s">
        <v>2597</v>
      </c>
      <c r="AI561" t="s">
        <v>10203</v>
      </c>
      <c r="AM561" t="s">
        <v>10204</v>
      </c>
      <c r="AN561" t="s">
        <v>2069</v>
      </c>
      <c r="AO561" t="s">
        <v>10205</v>
      </c>
      <c r="AP561" t="s">
        <v>7024</v>
      </c>
      <c r="AQ561" t="s">
        <v>10206</v>
      </c>
      <c r="AR561" t="s">
        <v>10207</v>
      </c>
      <c r="AT561" s="184">
        <v>32975</v>
      </c>
      <c r="AU561" t="s">
        <v>10192</v>
      </c>
      <c r="AV561">
        <v>25</v>
      </c>
      <c r="AW561" s="184">
        <v>45264</v>
      </c>
      <c r="AX561" t="s">
        <v>10208</v>
      </c>
      <c r="AY561">
        <v>100</v>
      </c>
      <c r="AZ561" s="184">
        <v>45264</v>
      </c>
      <c r="BA561" t="s">
        <v>10208</v>
      </c>
      <c r="BB561">
        <v>100</v>
      </c>
      <c r="BC561">
        <v>72</v>
      </c>
      <c r="BD561">
        <v>2850</v>
      </c>
      <c r="BE561">
        <v>1990</v>
      </c>
      <c r="BF561">
        <v>39</v>
      </c>
      <c r="BG561">
        <v>2</v>
      </c>
      <c r="BH561">
        <v>200</v>
      </c>
      <c r="BI561">
        <v>25</v>
      </c>
      <c r="BJ561">
        <v>35</v>
      </c>
      <c r="BK561">
        <v>20</v>
      </c>
      <c r="BP561" s="184"/>
    </row>
    <row r="562" spans="1:68">
      <c r="A562">
        <v>2941201</v>
      </c>
      <c r="B562">
        <v>2941201</v>
      </c>
      <c r="C562" t="s">
        <v>7018</v>
      </c>
      <c r="E562" s="184"/>
      <c r="K562" s="184"/>
      <c r="M562" s="184"/>
      <c r="N562" t="s">
        <v>595</v>
      </c>
      <c r="O562" s="184">
        <v>38371</v>
      </c>
      <c r="P562" t="s">
        <v>7045</v>
      </c>
      <c r="Q562" t="s">
        <v>7262</v>
      </c>
      <c r="R562" s="184">
        <v>8953</v>
      </c>
      <c r="S562">
        <v>99</v>
      </c>
      <c r="U562" t="s">
        <v>7031</v>
      </c>
      <c r="V562" t="s">
        <v>3103</v>
      </c>
      <c r="W562" t="s">
        <v>3830</v>
      </c>
      <c r="X562" t="s">
        <v>2849</v>
      </c>
      <c r="Z562">
        <v>100179679</v>
      </c>
      <c r="AA562" t="s">
        <v>7130</v>
      </c>
      <c r="AB562" t="s">
        <v>2932</v>
      </c>
      <c r="AC562" t="s">
        <v>7407</v>
      </c>
      <c r="AD562" t="s">
        <v>2849</v>
      </c>
      <c r="AF562" t="s">
        <v>5986</v>
      </c>
      <c r="AG562" t="s">
        <v>10209</v>
      </c>
      <c r="AI562" t="s">
        <v>10210</v>
      </c>
      <c r="AM562" t="s">
        <v>10211</v>
      </c>
      <c r="AN562" t="s">
        <v>2069</v>
      </c>
      <c r="AO562" t="s">
        <v>10212</v>
      </c>
      <c r="AP562" t="s">
        <v>7024</v>
      </c>
      <c r="AT562" s="184">
        <v>32975</v>
      </c>
      <c r="AU562" t="s">
        <v>10213</v>
      </c>
      <c r="AV562">
        <v>50</v>
      </c>
      <c r="AW562" s="184">
        <v>40084</v>
      </c>
      <c r="AX562" t="s">
        <v>10214</v>
      </c>
      <c r="AY562">
        <v>100</v>
      </c>
      <c r="AZ562" s="184">
        <v>38371</v>
      </c>
      <c r="BA562" t="s">
        <v>8001</v>
      </c>
      <c r="BB562">
        <v>10000</v>
      </c>
      <c r="BC562">
        <v>52</v>
      </c>
      <c r="BD562">
        <v>11955</v>
      </c>
      <c r="BE562">
        <v>1990</v>
      </c>
      <c r="BF562">
        <v>35</v>
      </c>
      <c r="BI562">
        <v>18</v>
      </c>
      <c r="BJ562">
        <v>35</v>
      </c>
      <c r="BK562">
        <v>10</v>
      </c>
      <c r="BO562" t="s">
        <v>595</v>
      </c>
      <c r="BP562" s="184">
        <v>40347</v>
      </c>
    </row>
    <row r="563" spans="1:68">
      <c r="A563">
        <v>100179679</v>
      </c>
      <c r="B563">
        <v>2941201</v>
      </c>
      <c r="C563" t="s">
        <v>7018</v>
      </c>
      <c r="E563" s="184"/>
      <c r="G563" s="184"/>
      <c r="K563" s="184"/>
      <c r="N563" t="s">
        <v>595</v>
      </c>
      <c r="O563" s="184">
        <v>38371</v>
      </c>
      <c r="P563" t="s">
        <v>7045</v>
      </c>
      <c r="Q563" t="s">
        <v>7262</v>
      </c>
      <c r="R563" s="184">
        <v>9922</v>
      </c>
      <c r="S563">
        <v>97</v>
      </c>
      <c r="U563" t="s">
        <v>7130</v>
      </c>
      <c r="V563" t="s">
        <v>2932</v>
      </c>
      <c r="W563" t="s">
        <v>7407</v>
      </c>
      <c r="X563" t="s">
        <v>2849</v>
      </c>
      <c r="Z563">
        <v>2941201</v>
      </c>
      <c r="AA563" t="s">
        <v>7031</v>
      </c>
      <c r="AB563" t="s">
        <v>3103</v>
      </c>
      <c r="AC563" t="s">
        <v>3830</v>
      </c>
      <c r="AD563" t="s">
        <v>2849</v>
      </c>
      <c r="AF563" t="s">
        <v>5986</v>
      </c>
      <c r="AG563" t="s">
        <v>10209</v>
      </c>
      <c r="AI563" t="s">
        <v>10210</v>
      </c>
      <c r="AM563" t="s">
        <v>10211</v>
      </c>
      <c r="AN563" t="s">
        <v>2069</v>
      </c>
      <c r="AO563" t="s">
        <v>10212</v>
      </c>
      <c r="AP563" t="s">
        <v>7024</v>
      </c>
      <c r="AT563" s="184"/>
      <c r="AW563" s="184"/>
      <c r="AZ563" s="184"/>
      <c r="BO563" t="s">
        <v>595</v>
      </c>
      <c r="BP563" s="184">
        <v>40413</v>
      </c>
    </row>
    <row r="564" spans="1:68">
      <c r="A564">
        <v>2943413</v>
      </c>
      <c r="B564">
        <v>2943413</v>
      </c>
      <c r="C564" t="s">
        <v>7018</v>
      </c>
      <c r="E564" s="184"/>
      <c r="G564" s="184"/>
      <c r="J564" t="s">
        <v>595</v>
      </c>
      <c r="K564" s="184">
        <v>43607</v>
      </c>
      <c r="O564" s="184"/>
      <c r="P564" t="s">
        <v>7045</v>
      </c>
      <c r="Q564" t="s">
        <v>7020</v>
      </c>
      <c r="R564" s="184">
        <v>9796</v>
      </c>
      <c r="S564">
        <v>97</v>
      </c>
      <c r="U564" t="s">
        <v>7094</v>
      </c>
      <c r="V564" t="s">
        <v>2838</v>
      </c>
      <c r="X564" t="s">
        <v>2839</v>
      </c>
      <c r="AF564" t="s">
        <v>6324</v>
      </c>
      <c r="AG564" t="s">
        <v>2838</v>
      </c>
      <c r="AI564" t="s">
        <v>10215</v>
      </c>
      <c r="AM564" t="s">
        <v>2840</v>
      </c>
      <c r="AN564" t="s">
        <v>2112</v>
      </c>
      <c r="AO564" t="s">
        <v>10216</v>
      </c>
      <c r="AP564" t="s">
        <v>7024</v>
      </c>
      <c r="AT564" s="184">
        <v>32975</v>
      </c>
      <c r="AU564" t="s">
        <v>10217</v>
      </c>
      <c r="AV564">
        <v>15</v>
      </c>
      <c r="AW564" s="184">
        <v>44980</v>
      </c>
      <c r="AX564" t="s">
        <v>10218</v>
      </c>
      <c r="AY564">
        <v>600</v>
      </c>
      <c r="AZ564" s="184">
        <v>44980</v>
      </c>
      <c r="BA564" t="s">
        <v>10218</v>
      </c>
      <c r="BB564">
        <v>600</v>
      </c>
      <c r="BC564">
        <v>95</v>
      </c>
      <c r="BD564">
        <v>3280</v>
      </c>
      <c r="BE564">
        <v>1990</v>
      </c>
      <c r="BF564">
        <v>36</v>
      </c>
      <c r="BG564">
        <v>2</v>
      </c>
      <c r="BH564">
        <v>850</v>
      </c>
      <c r="BI564">
        <v>33</v>
      </c>
      <c r="BJ564">
        <v>35</v>
      </c>
      <c r="BK564">
        <v>24</v>
      </c>
      <c r="BP564" s="184"/>
    </row>
    <row r="565" spans="1:68">
      <c r="A565">
        <v>2945905</v>
      </c>
      <c r="B565">
        <v>2945905</v>
      </c>
      <c r="C565" t="s">
        <v>7018</v>
      </c>
      <c r="D565" t="s">
        <v>595</v>
      </c>
      <c r="E565" s="184">
        <v>43745</v>
      </c>
      <c r="K565" s="184"/>
      <c r="O565" s="184"/>
      <c r="P565" t="s">
        <v>7045</v>
      </c>
      <c r="Q565" t="s">
        <v>7454</v>
      </c>
      <c r="R565" s="184">
        <v>16558</v>
      </c>
      <c r="S565">
        <v>79</v>
      </c>
      <c r="V565" t="s">
        <v>2558</v>
      </c>
      <c r="X565" t="s">
        <v>4088</v>
      </c>
      <c r="AF565" t="s">
        <v>10219</v>
      </c>
      <c r="AG565" t="s">
        <v>2558</v>
      </c>
      <c r="AI565" t="s">
        <v>10220</v>
      </c>
      <c r="AM565" t="s">
        <v>4666</v>
      </c>
      <c r="AN565" t="s">
        <v>2055</v>
      </c>
      <c r="AO565" t="s">
        <v>10221</v>
      </c>
      <c r="AP565" t="s">
        <v>7024</v>
      </c>
      <c r="AT565" s="184">
        <v>32976</v>
      </c>
      <c r="AU565" t="s">
        <v>10222</v>
      </c>
      <c r="AV565">
        <v>15</v>
      </c>
      <c r="AW565" s="184">
        <v>45078</v>
      </c>
      <c r="AX565" t="s">
        <v>10223</v>
      </c>
      <c r="AY565">
        <v>25</v>
      </c>
      <c r="AZ565" s="184">
        <v>40274</v>
      </c>
      <c r="BA565" t="s">
        <v>10224</v>
      </c>
      <c r="BB565">
        <v>60</v>
      </c>
      <c r="BC565">
        <v>66</v>
      </c>
      <c r="BD565">
        <v>743</v>
      </c>
      <c r="BE565">
        <v>1990</v>
      </c>
      <c r="BF565">
        <v>29</v>
      </c>
      <c r="BG565">
        <v>2</v>
      </c>
      <c r="BH565">
        <v>50</v>
      </c>
      <c r="BI565">
        <v>23</v>
      </c>
      <c r="BJ565">
        <v>35</v>
      </c>
      <c r="BK565">
        <v>6</v>
      </c>
      <c r="BP565" s="184"/>
    </row>
    <row r="566" spans="1:68">
      <c r="A566">
        <v>2959468</v>
      </c>
      <c r="B566">
        <v>2959468</v>
      </c>
      <c r="C566" t="s">
        <v>7018</v>
      </c>
      <c r="E566" s="184"/>
      <c r="G566" s="184"/>
      <c r="I566" s="184"/>
      <c r="J566" t="s">
        <v>595</v>
      </c>
      <c r="K566" s="184">
        <v>41802</v>
      </c>
      <c r="O566" s="184"/>
      <c r="P566" t="s">
        <v>7045</v>
      </c>
      <c r="Q566" t="s">
        <v>7454</v>
      </c>
      <c r="R566" s="184">
        <v>15901</v>
      </c>
      <c r="S566">
        <v>80</v>
      </c>
      <c r="U566" t="s">
        <v>7031</v>
      </c>
      <c r="V566" t="s">
        <v>2828</v>
      </c>
      <c r="X566" t="s">
        <v>10225</v>
      </c>
      <c r="Z566">
        <v>100016540</v>
      </c>
      <c r="AA566" t="s">
        <v>7130</v>
      </c>
      <c r="AB566" t="s">
        <v>2733</v>
      </c>
      <c r="AC566" t="s">
        <v>7396</v>
      </c>
      <c r="AD566" t="s">
        <v>10225</v>
      </c>
      <c r="AF566" t="s">
        <v>10226</v>
      </c>
      <c r="AG566" t="s">
        <v>10227</v>
      </c>
      <c r="AI566" t="s">
        <v>10228</v>
      </c>
      <c r="AM566" t="s">
        <v>10229</v>
      </c>
      <c r="AN566" t="s">
        <v>2055</v>
      </c>
      <c r="AO566" t="s">
        <v>10230</v>
      </c>
      <c r="AP566" t="s">
        <v>7024</v>
      </c>
      <c r="AQ566" t="s">
        <v>10231</v>
      </c>
      <c r="AR566" t="s">
        <v>10232</v>
      </c>
      <c r="AT566" s="184">
        <v>32989</v>
      </c>
      <c r="AU566" t="s">
        <v>10106</v>
      </c>
      <c r="AV566">
        <v>19.95</v>
      </c>
      <c r="AW566" s="184">
        <v>43350</v>
      </c>
      <c r="AX566" t="s">
        <v>10233</v>
      </c>
      <c r="AY566">
        <v>100</v>
      </c>
      <c r="AZ566" s="184">
        <v>43024</v>
      </c>
      <c r="BA566" t="s">
        <v>10234</v>
      </c>
      <c r="BB566">
        <v>200</v>
      </c>
      <c r="BC566">
        <v>66</v>
      </c>
      <c r="BD566">
        <v>3829.95</v>
      </c>
      <c r="BE566">
        <v>1990</v>
      </c>
      <c r="BF566">
        <v>40</v>
      </c>
      <c r="BI566">
        <v>23</v>
      </c>
      <c r="BJ566">
        <v>35</v>
      </c>
      <c r="BK566">
        <v>18</v>
      </c>
      <c r="BL566" t="s">
        <v>595</v>
      </c>
      <c r="BN566" t="s">
        <v>595</v>
      </c>
      <c r="BP566" s="184"/>
    </row>
    <row r="567" spans="1:68">
      <c r="A567">
        <v>100016540</v>
      </c>
      <c r="B567">
        <v>2959468</v>
      </c>
      <c r="C567" t="s">
        <v>7018</v>
      </c>
      <c r="E567" s="184"/>
      <c r="G567" s="184"/>
      <c r="I567" s="184"/>
      <c r="J567" t="s">
        <v>595</v>
      </c>
      <c r="K567" s="184">
        <v>41802</v>
      </c>
      <c r="M567" s="184"/>
      <c r="P567" t="s">
        <v>7045</v>
      </c>
      <c r="Q567" t="s">
        <v>7454</v>
      </c>
      <c r="R567" s="184">
        <v>14710</v>
      </c>
      <c r="S567">
        <v>84</v>
      </c>
      <c r="U567" t="s">
        <v>7130</v>
      </c>
      <c r="V567" t="s">
        <v>2733</v>
      </c>
      <c r="W567" t="s">
        <v>7396</v>
      </c>
      <c r="X567" t="s">
        <v>10225</v>
      </c>
      <c r="Z567">
        <v>2959468</v>
      </c>
      <c r="AA567" t="s">
        <v>7031</v>
      </c>
      <c r="AB567" t="s">
        <v>2828</v>
      </c>
      <c r="AD567" t="s">
        <v>10225</v>
      </c>
      <c r="AF567" t="s">
        <v>10226</v>
      </c>
      <c r="AG567" t="s">
        <v>10227</v>
      </c>
      <c r="AI567" t="s">
        <v>10228</v>
      </c>
      <c r="AM567" t="s">
        <v>10229</v>
      </c>
      <c r="AN567" t="s">
        <v>2055</v>
      </c>
      <c r="AO567" t="s">
        <v>10230</v>
      </c>
      <c r="AP567" t="s">
        <v>7024</v>
      </c>
      <c r="AQ567" t="s">
        <v>10235</v>
      </c>
      <c r="AT567" s="184"/>
      <c r="AW567" s="184"/>
      <c r="AZ567" s="184"/>
      <c r="BL567" t="s">
        <v>595</v>
      </c>
      <c r="BP567" s="184"/>
    </row>
    <row r="568" spans="1:68">
      <c r="A568">
        <v>2960490</v>
      </c>
      <c r="B568">
        <v>2960490</v>
      </c>
      <c r="C568" t="s">
        <v>7018</v>
      </c>
      <c r="D568" t="s">
        <v>595</v>
      </c>
      <c r="E568" s="184">
        <v>43801</v>
      </c>
      <c r="G568" s="184"/>
      <c r="I568" s="184"/>
      <c r="K568" s="184"/>
      <c r="M568" s="184"/>
      <c r="O568" s="184"/>
      <c r="P568" t="s">
        <v>7045</v>
      </c>
      <c r="Q568" t="s">
        <v>7374</v>
      </c>
      <c r="R568" s="184">
        <v>14671</v>
      </c>
      <c r="S568">
        <v>84</v>
      </c>
      <c r="U568" t="s">
        <v>7130</v>
      </c>
      <c r="V568" t="s">
        <v>2609</v>
      </c>
      <c r="X568" t="s">
        <v>4335</v>
      </c>
      <c r="Z568">
        <v>100016541</v>
      </c>
      <c r="AA568" t="s">
        <v>7031</v>
      </c>
      <c r="AB568" t="s">
        <v>10236</v>
      </c>
      <c r="AC568" t="s">
        <v>3237</v>
      </c>
      <c r="AD568" t="s">
        <v>4335</v>
      </c>
      <c r="AF568" t="s">
        <v>10237</v>
      </c>
      <c r="AG568" t="s">
        <v>10238</v>
      </c>
      <c r="AI568" t="s">
        <v>10239</v>
      </c>
      <c r="AM568" t="s">
        <v>4336</v>
      </c>
      <c r="AN568" t="s">
        <v>2081</v>
      </c>
      <c r="AO568" t="s">
        <v>10240</v>
      </c>
      <c r="AP568" t="s">
        <v>7024</v>
      </c>
      <c r="AT568" s="184">
        <v>32989</v>
      </c>
      <c r="AU568" t="s">
        <v>10106</v>
      </c>
      <c r="AV568">
        <v>19.95</v>
      </c>
      <c r="AW568" s="184">
        <v>45349</v>
      </c>
      <c r="AX568" t="s">
        <v>9445</v>
      </c>
      <c r="AY568">
        <v>60</v>
      </c>
      <c r="AZ568" s="184">
        <v>45349</v>
      </c>
      <c r="BA568" t="s">
        <v>9445</v>
      </c>
      <c r="BB568">
        <v>60</v>
      </c>
      <c r="BC568">
        <v>63</v>
      </c>
      <c r="BD568">
        <v>1084.92</v>
      </c>
      <c r="BE568">
        <v>1990</v>
      </c>
      <c r="BF568">
        <v>36</v>
      </c>
      <c r="BG568">
        <v>1</v>
      </c>
      <c r="BH568">
        <v>60</v>
      </c>
      <c r="BI568">
        <v>22</v>
      </c>
      <c r="BJ568">
        <v>35</v>
      </c>
      <c r="BK568">
        <v>13</v>
      </c>
      <c r="BP568" s="184"/>
    </row>
    <row r="569" spans="1:68">
      <c r="A569">
        <v>100016541</v>
      </c>
      <c r="B569">
        <v>2960490</v>
      </c>
      <c r="C569" t="s">
        <v>7018</v>
      </c>
      <c r="D569" t="s">
        <v>595</v>
      </c>
      <c r="E569" s="184">
        <v>43801</v>
      </c>
      <c r="G569" s="184"/>
      <c r="I569" s="184"/>
      <c r="K569" s="184"/>
      <c r="M569" s="184"/>
      <c r="O569" s="184"/>
      <c r="P569" t="s">
        <v>7045</v>
      </c>
      <c r="Q569" t="s">
        <v>7374</v>
      </c>
      <c r="R569" s="184">
        <v>23783</v>
      </c>
      <c r="S569">
        <v>59</v>
      </c>
      <c r="U569" t="s">
        <v>7031</v>
      </c>
      <c r="V569" t="s">
        <v>10236</v>
      </c>
      <c r="W569" t="s">
        <v>3237</v>
      </c>
      <c r="X569" t="s">
        <v>4335</v>
      </c>
      <c r="Z569">
        <v>2960490</v>
      </c>
      <c r="AA569" t="s">
        <v>7130</v>
      </c>
      <c r="AB569" t="s">
        <v>2609</v>
      </c>
      <c r="AD569" t="s">
        <v>4335</v>
      </c>
      <c r="AF569" t="s">
        <v>10237</v>
      </c>
      <c r="AG569" t="s">
        <v>10238</v>
      </c>
      <c r="AI569" t="s">
        <v>10239</v>
      </c>
      <c r="AM569" t="s">
        <v>4336</v>
      </c>
      <c r="AN569" t="s">
        <v>2081</v>
      </c>
      <c r="AO569" t="s">
        <v>10240</v>
      </c>
      <c r="AP569" t="s">
        <v>7024</v>
      </c>
      <c r="AT569" s="184"/>
      <c r="AW569" s="184"/>
      <c r="AZ569" s="184"/>
      <c r="BP569" s="184"/>
    </row>
    <row r="570" spans="1:68">
      <c r="A570">
        <v>2969475</v>
      </c>
      <c r="B570">
        <v>2969475</v>
      </c>
      <c r="C570" t="s">
        <v>7018</v>
      </c>
      <c r="D570" t="s">
        <v>595</v>
      </c>
      <c r="E570" s="184">
        <v>43642</v>
      </c>
      <c r="G570" s="184"/>
      <c r="I570" s="184"/>
      <c r="K570" s="184"/>
      <c r="M570" s="184"/>
      <c r="O570" s="184"/>
      <c r="P570" t="s">
        <v>7029</v>
      </c>
      <c r="Q570" t="s">
        <v>7262</v>
      </c>
      <c r="R570" s="184">
        <v>15644</v>
      </c>
      <c r="S570">
        <v>81</v>
      </c>
      <c r="V570" t="s">
        <v>2511</v>
      </c>
      <c r="X570" t="s">
        <v>3040</v>
      </c>
      <c r="Z570">
        <v>100016557</v>
      </c>
      <c r="AB570" t="s">
        <v>3008</v>
      </c>
      <c r="AD570" t="s">
        <v>3040</v>
      </c>
      <c r="AF570" t="s">
        <v>10241</v>
      </c>
      <c r="AG570" t="s">
        <v>10242</v>
      </c>
      <c r="AI570" t="s">
        <v>10243</v>
      </c>
      <c r="AM570" t="s">
        <v>3041</v>
      </c>
      <c r="AN570" t="s">
        <v>2106</v>
      </c>
      <c r="AO570" t="s">
        <v>10244</v>
      </c>
      <c r="AP570" t="s">
        <v>7024</v>
      </c>
      <c r="AQ570" t="s">
        <v>10245</v>
      </c>
      <c r="AT570" s="184">
        <v>32979</v>
      </c>
      <c r="AU570" t="s">
        <v>10192</v>
      </c>
      <c r="AV570">
        <v>50</v>
      </c>
      <c r="AW570" s="184">
        <v>45306</v>
      </c>
      <c r="AX570" t="s">
        <v>7382</v>
      </c>
      <c r="AY570">
        <v>100</v>
      </c>
      <c r="AZ570" s="184">
        <v>44714</v>
      </c>
      <c r="BA570" t="s">
        <v>10246</v>
      </c>
      <c r="BB570">
        <v>1000</v>
      </c>
      <c r="BC570">
        <v>60</v>
      </c>
      <c r="BD570">
        <v>4355</v>
      </c>
      <c r="BE570">
        <v>1990</v>
      </c>
      <c r="BF570">
        <v>36</v>
      </c>
      <c r="BG570">
        <v>3</v>
      </c>
      <c r="BH570">
        <v>1200</v>
      </c>
      <c r="BI570">
        <v>21</v>
      </c>
      <c r="BJ570">
        <v>35</v>
      </c>
      <c r="BK570">
        <v>13</v>
      </c>
      <c r="BP570" s="184"/>
    </row>
    <row r="571" spans="1:68">
      <c r="A571">
        <v>100016557</v>
      </c>
      <c r="B571">
        <v>2969475</v>
      </c>
      <c r="C571" t="s">
        <v>7018</v>
      </c>
      <c r="D571" t="s">
        <v>595</v>
      </c>
      <c r="E571" s="184">
        <v>43642</v>
      </c>
      <c r="G571" s="184"/>
      <c r="I571" s="184"/>
      <c r="K571" s="184"/>
      <c r="M571" s="184"/>
      <c r="O571" s="184"/>
      <c r="P571" t="s">
        <v>7029</v>
      </c>
      <c r="Q571" t="s">
        <v>7262</v>
      </c>
      <c r="R571" s="184">
        <v>15392</v>
      </c>
      <c r="S571">
        <v>82</v>
      </c>
      <c r="V571" t="s">
        <v>3008</v>
      </c>
      <c r="X571" t="s">
        <v>3040</v>
      </c>
      <c r="Z571">
        <v>2969475</v>
      </c>
      <c r="AB571" t="s">
        <v>2511</v>
      </c>
      <c r="AD571" t="s">
        <v>3040</v>
      </c>
      <c r="AF571" t="s">
        <v>10241</v>
      </c>
      <c r="AG571" t="s">
        <v>10242</v>
      </c>
      <c r="AI571" t="s">
        <v>10243</v>
      </c>
      <c r="AM571" t="s">
        <v>3041</v>
      </c>
      <c r="AN571" t="s">
        <v>2106</v>
      </c>
      <c r="AO571" t="s">
        <v>10244</v>
      </c>
      <c r="AP571" t="s">
        <v>7024</v>
      </c>
      <c r="AQ571" t="s">
        <v>10245</v>
      </c>
      <c r="AT571" s="184"/>
      <c r="AW571" s="184"/>
      <c r="AZ571" s="184"/>
      <c r="BP571" s="184"/>
    </row>
    <row r="572" spans="1:68">
      <c r="A572">
        <v>2970028</v>
      </c>
      <c r="B572">
        <v>2970028</v>
      </c>
      <c r="C572" t="s">
        <v>7018</v>
      </c>
      <c r="E572" s="184"/>
      <c r="G572" s="184"/>
      <c r="J572" t="s">
        <v>595</v>
      </c>
      <c r="K572" s="184">
        <v>41535</v>
      </c>
      <c r="M572" s="184"/>
      <c r="O572" s="184"/>
      <c r="P572" t="s">
        <v>7045</v>
      </c>
      <c r="Q572" t="s">
        <v>7494</v>
      </c>
      <c r="R572" s="184">
        <v>6379</v>
      </c>
      <c r="S572">
        <v>106</v>
      </c>
      <c r="V572" t="s">
        <v>3226</v>
      </c>
      <c r="W572" t="s">
        <v>3332</v>
      </c>
      <c r="X572" t="s">
        <v>10247</v>
      </c>
      <c r="Z572">
        <v>100016559</v>
      </c>
      <c r="AA572" t="s">
        <v>7032</v>
      </c>
      <c r="AB572" t="s">
        <v>2961</v>
      </c>
      <c r="AC572" t="s">
        <v>205</v>
      </c>
      <c r="AD572" t="s">
        <v>10247</v>
      </c>
      <c r="AF572" t="s">
        <v>6142</v>
      </c>
      <c r="AG572" t="s">
        <v>10248</v>
      </c>
      <c r="AI572" t="s">
        <v>10249</v>
      </c>
      <c r="AM572" t="s">
        <v>2520</v>
      </c>
      <c r="AN572" t="s">
        <v>2174</v>
      </c>
      <c r="AO572" t="s">
        <v>10250</v>
      </c>
      <c r="AP572" t="s">
        <v>7024</v>
      </c>
      <c r="AQ572" t="s">
        <v>10251</v>
      </c>
      <c r="AT572" s="184">
        <v>32979</v>
      </c>
      <c r="AU572" t="s">
        <v>10252</v>
      </c>
      <c r="AV572">
        <v>50</v>
      </c>
      <c r="AW572" s="184">
        <v>44286</v>
      </c>
      <c r="AX572" t="s">
        <v>10253</v>
      </c>
      <c r="AY572">
        <v>5</v>
      </c>
      <c r="AZ572" s="184">
        <v>39013</v>
      </c>
      <c r="BA572" t="s">
        <v>10254</v>
      </c>
      <c r="BB572">
        <v>100</v>
      </c>
      <c r="BC572">
        <v>63</v>
      </c>
      <c r="BD572">
        <v>4235</v>
      </c>
      <c r="BE572">
        <v>1990</v>
      </c>
      <c r="BF572">
        <v>234</v>
      </c>
      <c r="BI572">
        <v>22</v>
      </c>
      <c r="BJ572">
        <v>35</v>
      </c>
      <c r="BK572">
        <v>20</v>
      </c>
      <c r="BP572" s="184"/>
    </row>
    <row r="573" spans="1:68">
      <c r="A573">
        <v>100016559</v>
      </c>
      <c r="B573">
        <v>2970028</v>
      </c>
      <c r="C573" t="s">
        <v>7018</v>
      </c>
      <c r="E573" s="184"/>
      <c r="G573" s="184"/>
      <c r="I573" s="184"/>
      <c r="J573" t="s">
        <v>595</v>
      </c>
      <c r="K573" s="184">
        <v>41535</v>
      </c>
      <c r="O573" s="184"/>
      <c r="P573" t="s">
        <v>7045</v>
      </c>
      <c r="Q573" t="s">
        <v>7494</v>
      </c>
      <c r="R573" s="184">
        <v>16651</v>
      </c>
      <c r="S573">
        <v>78</v>
      </c>
      <c r="U573" t="s">
        <v>7032</v>
      </c>
      <c r="V573" t="s">
        <v>2961</v>
      </c>
      <c r="W573" t="s">
        <v>205</v>
      </c>
      <c r="X573" t="s">
        <v>10247</v>
      </c>
      <c r="Z573">
        <v>2970028</v>
      </c>
      <c r="AB573" t="s">
        <v>3226</v>
      </c>
      <c r="AC573" t="s">
        <v>3332</v>
      </c>
      <c r="AD573" t="s">
        <v>10247</v>
      </c>
      <c r="AF573" t="s">
        <v>6142</v>
      </c>
      <c r="AG573" t="s">
        <v>10248</v>
      </c>
      <c r="AI573" t="s">
        <v>10249</v>
      </c>
      <c r="AM573" t="s">
        <v>2520</v>
      </c>
      <c r="AN573" t="s">
        <v>2174</v>
      </c>
      <c r="AO573" t="s">
        <v>10250</v>
      </c>
      <c r="AP573" t="s">
        <v>7024</v>
      </c>
      <c r="AT573" s="184"/>
      <c r="AW573" s="184"/>
      <c r="AZ573" s="184"/>
      <c r="BP573" s="184"/>
    </row>
    <row r="574" spans="1:68">
      <c r="A574">
        <v>2985471</v>
      </c>
      <c r="B574">
        <v>2985471</v>
      </c>
      <c r="C574" t="s">
        <v>7018</v>
      </c>
      <c r="D574" t="s">
        <v>595</v>
      </c>
      <c r="E574" s="184">
        <v>44073</v>
      </c>
      <c r="G574" s="184"/>
      <c r="H574" t="s">
        <v>595</v>
      </c>
      <c r="I574" s="184">
        <v>44073</v>
      </c>
      <c r="K574" s="184"/>
      <c r="M574" s="184"/>
      <c r="O574" s="184"/>
      <c r="P574" t="s">
        <v>7045</v>
      </c>
      <c r="Q574" t="s">
        <v>7020</v>
      </c>
      <c r="R574" s="184">
        <v>19845</v>
      </c>
      <c r="S574">
        <v>70</v>
      </c>
      <c r="U574" t="s">
        <v>7031</v>
      </c>
      <c r="V574" t="s">
        <v>3632</v>
      </c>
      <c r="W574" t="s">
        <v>4382</v>
      </c>
      <c r="X574" t="s">
        <v>4924</v>
      </c>
      <c r="AF574" t="s">
        <v>10255</v>
      </c>
      <c r="AG574" t="s">
        <v>3632</v>
      </c>
      <c r="AI574" t="s">
        <v>10256</v>
      </c>
      <c r="AM574" t="s">
        <v>3004</v>
      </c>
      <c r="AN574" t="s">
        <v>2112</v>
      </c>
      <c r="AO574" t="s">
        <v>10257</v>
      </c>
      <c r="AP574" t="s">
        <v>7024</v>
      </c>
      <c r="AQ574" t="s">
        <v>10258</v>
      </c>
      <c r="AR574" t="s">
        <v>10259</v>
      </c>
      <c r="AT574" s="184">
        <v>32986</v>
      </c>
      <c r="AU574" t="s">
        <v>10260</v>
      </c>
      <c r="AV574">
        <v>15</v>
      </c>
      <c r="AW574" s="184">
        <v>45408</v>
      </c>
      <c r="AX574" t="s">
        <v>8483</v>
      </c>
      <c r="AY574">
        <v>35</v>
      </c>
      <c r="AZ574" s="184">
        <v>43552</v>
      </c>
      <c r="BA574" t="s">
        <v>10261</v>
      </c>
      <c r="BB574">
        <v>100</v>
      </c>
      <c r="BC574">
        <v>23</v>
      </c>
      <c r="BD574">
        <v>2171</v>
      </c>
      <c r="BE574">
        <v>1990</v>
      </c>
      <c r="BF574">
        <v>68</v>
      </c>
      <c r="BG574">
        <v>25</v>
      </c>
      <c r="BH574">
        <v>895</v>
      </c>
      <c r="BI574">
        <v>8</v>
      </c>
      <c r="BJ574">
        <v>35</v>
      </c>
      <c r="BK574">
        <v>7</v>
      </c>
      <c r="BP574" s="184"/>
    </row>
    <row r="575" spans="1:68">
      <c r="A575">
        <v>2988970</v>
      </c>
      <c r="B575">
        <v>2988970</v>
      </c>
      <c r="C575" t="s">
        <v>7018</v>
      </c>
      <c r="E575" s="184"/>
      <c r="G575" s="184"/>
      <c r="K575" s="184"/>
      <c r="L575" t="s">
        <v>595</v>
      </c>
      <c r="M575" s="184">
        <v>44755</v>
      </c>
      <c r="O575" s="184"/>
      <c r="P575" t="s">
        <v>7686</v>
      </c>
      <c r="Q575" t="s">
        <v>7030</v>
      </c>
      <c r="R575" s="184">
        <v>10846</v>
      </c>
      <c r="S575">
        <v>94</v>
      </c>
      <c r="U575" t="s">
        <v>7076</v>
      </c>
      <c r="V575" t="s">
        <v>3184</v>
      </c>
      <c r="X575" t="s">
        <v>10262</v>
      </c>
      <c r="AF575" t="s">
        <v>10263</v>
      </c>
      <c r="AG575" t="s">
        <v>3184</v>
      </c>
      <c r="AI575" t="s">
        <v>10264</v>
      </c>
      <c r="AM575" t="s">
        <v>9053</v>
      </c>
      <c r="AN575" t="s">
        <v>2094</v>
      </c>
      <c r="AO575" t="s">
        <v>10265</v>
      </c>
      <c r="AP575" t="s">
        <v>7024</v>
      </c>
      <c r="AQ575" t="s">
        <v>10266</v>
      </c>
      <c r="AT575" s="184">
        <v>32986</v>
      </c>
      <c r="AU575" t="s">
        <v>10217</v>
      </c>
      <c r="AV575">
        <v>15</v>
      </c>
      <c r="AW575" s="184">
        <v>45014</v>
      </c>
      <c r="AX575" t="s">
        <v>10267</v>
      </c>
      <c r="AY575">
        <v>300</v>
      </c>
      <c r="AZ575" s="184">
        <v>44970</v>
      </c>
      <c r="BA575" t="s">
        <v>9057</v>
      </c>
      <c r="BB575">
        <v>5000</v>
      </c>
      <c r="BC575">
        <v>98</v>
      </c>
      <c r="BD575">
        <v>12245</v>
      </c>
      <c r="BE575">
        <v>1990</v>
      </c>
      <c r="BF575">
        <v>95</v>
      </c>
      <c r="BG575">
        <v>5</v>
      </c>
      <c r="BH575">
        <v>5900</v>
      </c>
      <c r="BI575">
        <v>34</v>
      </c>
      <c r="BJ575">
        <v>35</v>
      </c>
      <c r="BK575">
        <v>34</v>
      </c>
      <c r="BP575" s="184"/>
    </row>
    <row r="576" spans="1:68">
      <c r="A576">
        <v>3000874</v>
      </c>
      <c r="B576">
        <v>3000874</v>
      </c>
      <c r="C576" t="s">
        <v>7018</v>
      </c>
      <c r="E576" s="184"/>
      <c r="G576" s="184"/>
      <c r="J576" t="s">
        <v>595</v>
      </c>
      <c r="K576" s="184">
        <v>44167</v>
      </c>
      <c r="O576" s="184"/>
      <c r="P576" t="s">
        <v>7029</v>
      </c>
      <c r="Q576" t="s">
        <v>7160</v>
      </c>
      <c r="R576" s="184">
        <v>15429</v>
      </c>
      <c r="S576">
        <v>82</v>
      </c>
      <c r="U576" t="s">
        <v>7031</v>
      </c>
      <c r="V576" t="s">
        <v>2821</v>
      </c>
      <c r="W576" t="s">
        <v>3217</v>
      </c>
      <c r="X576" t="s">
        <v>10268</v>
      </c>
      <c r="Z576">
        <v>100016694</v>
      </c>
      <c r="AA576" t="s">
        <v>7130</v>
      </c>
      <c r="AB576" t="s">
        <v>2876</v>
      </c>
      <c r="AC576" t="s">
        <v>2316</v>
      </c>
      <c r="AD576" t="s">
        <v>10268</v>
      </c>
      <c r="AF576" t="s">
        <v>10269</v>
      </c>
      <c r="AG576" t="s">
        <v>10270</v>
      </c>
      <c r="AI576" t="s">
        <v>10271</v>
      </c>
      <c r="AM576" t="s">
        <v>2802</v>
      </c>
      <c r="AN576" t="s">
        <v>2176</v>
      </c>
      <c r="AO576" t="s">
        <v>10272</v>
      </c>
      <c r="AP576" t="s">
        <v>7024</v>
      </c>
      <c r="AQ576" t="s">
        <v>10273</v>
      </c>
      <c r="AR576" t="s">
        <v>10274</v>
      </c>
      <c r="AT576" s="184">
        <v>32987</v>
      </c>
      <c r="AU576" t="s">
        <v>10275</v>
      </c>
      <c r="AV576">
        <v>25</v>
      </c>
      <c r="AW576" s="184">
        <v>45348</v>
      </c>
      <c r="AX576" t="s">
        <v>7749</v>
      </c>
      <c r="AY576">
        <v>1000</v>
      </c>
      <c r="AZ576" s="184">
        <v>45348</v>
      </c>
      <c r="BA576" t="s">
        <v>7749</v>
      </c>
      <c r="BB576">
        <v>1000</v>
      </c>
      <c r="BC576">
        <v>86</v>
      </c>
      <c r="BD576">
        <v>14480</v>
      </c>
      <c r="BE576">
        <v>1990</v>
      </c>
      <c r="BF576">
        <v>34</v>
      </c>
      <c r="BG576">
        <v>2</v>
      </c>
      <c r="BH576">
        <v>2000</v>
      </c>
      <c r="BI576">
        <v>30</v>
      </c>
      <c r="BJ576">
        <v>35</v>
      </c>
      <c r="BK576">
        <v>23</v>
      </c>
      <c r="BP576" s="184"/>
    </row>
    <row r="577" spans="1:68">
      <c r="A577">
        <v>100016694</v>
      </c>
      <c r="B577">
        <v>3000874</v>
      </c>
      <c r="C577" t="s">
        <v>7018</v>
      </c>
      <c r="E577" s="184"/>
      <c r="G577" s="184"/>
      <c r="J577" t="s">
        <v>595</v>
      </c>
      <c r="K577" s="184">
        <v>44167</v>
      </c>
      <c r="O577" s="184"/>
      <c r="P577" t="s">
        <v>7029</v>
      </c>
      <c r="Q577" t="s">
        <v>7160</v>
      </c>
      <c r="R577" s="184">
        <v>19998</v>
      </c>
      <c r="S577">
        <v>69</v>
      </c>
      <c r="U577" t="s">
        <v>7130</v>
      </c>
      <c r="V577" t="s">
        <v>2876</v>
      </c>
      <c r="W577" t="s">
        <v>2316</v>
      </c>
      <c r="X577" t="s">
        <v>10268</v>
      </c>
      <c r="Z577">
        <v>3000874</v>
      </c>
      <c r="AA577" t="s">
        <v>7031</v>
      </c>
      <c r="AB577" t="s">
        <v>2821</v>
      </c>
      <c r="AC577" t="s">
        <v>3217</v>
      </c>
      <c r="AD577" t="s">
        <v>10268</v>
      </c>
      <c r="AF577" t="s">
        <v>10269</v>
      </c>
      <c r="AG577" t="s">
        <v>10270</v>
      </c>
      <c r="AI577" t="s">
        <v>10271</v>
      </c>
      <c r="AM577" t="s">
        <v>2802</v>
      </c>
      <c r="AN577" t="s">
        <v>2176</v>
      </c>
      <c r="AO577" t="s">
        <v>10272</v>
      </c>
      <c r="AP577" t="s">
        <v>7024</v>
      </c>
      <c r="AQ577" t="s">
        <v>10276</v>
      </c>
      <c r="AT577" s="184">
        <v>44427</v>
      </c>
      <c r="AU577" t="s">
        <v>10277</v>
      </c>
      <c r="AV577">
        <v>100</v>
      </c>
      <c r="AW577" s="184">
        <v>44427</v>
      </c>
      <c r="AX577" t="s">
        <v>10277</v>
      </c>
      <c r="AY577">
        <v>100</v>
      </c>
      <c r="AZ577" s="184">
        <v>44427</v>
      </c>
      <c r="BA577" t="s">
        <v>10277</v>
      </c>
      <c r="BB577">
        <v>100</v>
      </c>
      <c r="BC577">
        <v>25</v>
      </c>
      <c r="BD577">
        <v>100</v>
      </c>
      <c r="BE577">
        <v>2022</v>
      </c>
      <c r="BF577">
        <v>1</v>
      </c>
      <c r="BI577">
        <v>1</v>
      </c>
      <c r="BJ577">
        <v>4</v>
      </c>
      <c r="BK577">
        <v>1</v>
      </c>
      <c r="BP577" s="184"/>
    </row>
    <row r="578" spans="1:68">
      <c r="A578">
        <v>3001773</v>
      </c>
      <c r="B578">
        <v>3001773</v>
      </c>
      <c r="C578" t="s">
        <v>7018</v>
      </c>
      <c r="D578" t="s">
        <v>595</v>
      </c>
      <c r="E578" s="184">
        <v>43745</v>
      </c>
      <c r="G578" s="184"/>
      <c r="K578" s="184"/>
      <c r="O578" s="184"/>
      <c r="P578" t="s">
        <v>7045</v>
      </c>
      <c r="Q578" t="s">
        <v>7160</v>
      </c>
      <c r="R578" s="184">
        <v>16068</v>
      </c>
      <c r="S578">
        <v>80</v>
      </c>
      <c r="U578" t="s">
        <v>7031</v>
      </c>
      <c r="V578" t="s">
        <v>4089</v>
      </c>
      <c r="W578" t="s">
        <v>7067</v>
      </c>
      <c r="X578" t="s">
        <v>4030</v>
      </c>
      <c r="AF578" t="s">
        <v>10278</v>
      </c>
      <c r="AG578" t="s">
        <v>4089</v>
      </c>
      <c r="AI578" t="s">
        <v>10279</v>
      </c>
      <c r="AM578" t="s">
        <v>3960</v>
      </c>
      <c r="AN578" t="s">
        <v>2413</v>
      </c>
      <c r="AO578" t="s">
        <v>10280</v>
      </c>
      <c r="AP578" t="s">
        <v>7024</v>
      </c>
      <c r="AQ578" t="s">
        <v>10281</v>
      </c>
      <c r="AT578" s="184">
        <v>32987</v>
      </c>
      <c r="AU578" t="s">
        <v>10282</v>
      </c>
      <c r="AV578">
        <v>15</v>
      </c>
      <c r="AW578" s="184">
        <v>45320</v>
      </c>
      <c r="AX578" t="s">
        <v>7092</v>
      </c>
      <c r="AY578">
        <v>100</v>
      </c>
      <c r="AZ578" s="184">
        <v>45320</v>
      </c>
      <c r="BA578" t="s">
        <v>7092</v>
      </c>
      <c r="BB578">
        <v>100</v>
      </c>
      <c r="BC578">
        <v>78</v>
      </c>
      <c r="BD578">
        <v>1702</v>
      </c>
      <c r="BE578">
        <v>1990</v>
      </c>
      <c r="BF578">
        <v>39</v>
      </c>
      <c r="BG578">
        <v>3</v>
      </c>
      <c r="BH578">
        <v>250</v>
      </c>
      <c r="BI578">
        <v>27</v>
      </c>
      <c r="BJ578">
        <v>35</v>
      </c>
      <c r="BK578">
        <v>6</v>
      </c>
      <c r="BP578" s="184"/>
    </row>
    <row r="579" spans="1:68">
      <c r="A579">
        <v>3004041</v>
      </c>
      <c r="B579">
        <v>3004041</v>
      </c>
      <c r="C579" t="s">
        <v>7018</v>
      </c>
      <c r="E579" s="184"/>
      <c r="F579" t="s">
        <v>595</v>
      </c>
      <c r="G579" s="184">
        <v>43731</v>
      </c>
      <c r="K579" s="184"/>
      <c r="M579" s="184"/>
      <c r="O579" s="184"/>
      <c r="P579" t="s">
        <v>7045</v>
      </c>
      <c r="Q579" t="s">
        <v>7454</v>
      </c>
      <c r="R579" s="184">
        <v>16762</v>
      </c>
      <c r="S579">
        <v>78</v>
      </c>
      <c r="U579" t="s">
        <v>7076</v>
      </c>
      <c r="V579" t="s">
        <v>3898</v>
      </c>
      <c r="W579" t="s">
        <v>3226</v>
      </c>
      <c r="X579" t="s">
        <v>3899</v>
      </c>
      <c r="AF579" t="s">
        <v>10283</v>
      </c>
      <c r="AG579" t="s">
        <v>3898</v>
      </c>
      <c r="AI579" t="s">
        <v>10284</v>
      </c>
      <c r="AM579" t="s">
        <v>3900</v>
      </c>
      <c r="AN579" t="s">
        <v>2055</v>
      </c>
      <c r="AO579" t="s">
        <v>10285</v>
      </c>
      <c r="AP579" t="s">
        <v>7024</v>
      </c>
      <c r="AQ579" t="s">
        <v>10286</v>
      </c>
      <c r="AR579" t="s">
        <v>10287</v>
      </c>
      <c r="AT579" s="184">
        <v>32987</v>
      </c>
      <c r="AU579" t="s">
        <v>10288</v>
      </c>
      <c r="AV579">
        <v>25</v>
      </c>
      <c r="AW579" s="184">
        <v>45404</v>
      </c>
      <c r="AX579" t="s">
        <v>7429</v>
      </c>
      <c r="AY579">
        <v>15</v>
      </c>
      <c r="AZ579" s="184">
        <v>34653</v>
      </c>
      <c r="BA579" t="s">
        <v>10289</v>
      </c>
      <c r="BB579">
        <v>50</v>
      </c>
      <c r="BC579">
        <v>80</v>
      </c>
      <c r="BD579">
        <v>2865</v>
      </c>
      <c r="BE579">
        <v>1990</v>
      </c>
      <c r="BF579">
        <v>249</v>
      </c>
      <c r="BG579">
        <v>24</v>
      </c>
      <c r="BH579">
        <v>360</v>
      </c>
      <c r="BI579">
        <v>28</v>
      </c>
      <c r="BJ579">
        <v>35</v>
      </c>
      <c r="BK579">
        <v>23</v>
      </c>
      <c r="BN579" t="s">
        <v>595</v>
      </c>
      <c r="BP579" s="184"/>
    </row>
    <row r="580" spans="1:68">
      <c r="A580">
        <v>3004108</v>
      </c>
      <c r="B580">
        <v>3004108</v>
      </c>
      <c r="C580" t="s">
        <v>7018</v>
      </c>
      <c r="D580" t="s">
        <v>595</v>
      </c>
      <c r="E580" s="184">
        <v>44070</v>
      </c>
      <c r="J580" t="s">
        <v>595</v>
      </c>
      <c r="K580" s="184">
        <v>44328</v>
      </c>
      <c r="O580" s="184"/>
      <c r="P580" t="s">
        <v>7045</v>
      </c>
      <c r="Q580" t="s">
        <v>7383</v>
      </c>
      <c r="R580" s="184">
        <v>21641</v>
      </c>
      <c r="S580">
        <v>65</v>
      </c>
      <c r="U580" t="s">
        <v>7032</v>
      </c>
      <c r="V580" t="s">
        <v>2954</v>
      </c>
      <c r="W580" t="s">
        <v>2316</v>
      </c>
      <c r="X580" t="s">
        <v>4752</v>
      </c>
      <c r="AF580" t="s">
        <v>10290</v>
      </c>
      <c r="AG580" t="s">
        <v>2954</v>
      </c>
      <c r="AI580" t="s">
        <v>10291</v>
      </c>
      <c r="AM580" t="s">
        <v>3093</v>
      </c>
      <c r="AN580" t="s">
        <v>2313</v>
      </c>
      <c r="AO580" t="s">
        <v>10292</v>
      </c>
      <c r="AP580" t="s">
        <v>7024</v>
      </c>
      <c r="AQ580" t="s">
        <v>10293</v>
      </c>
      <c r="AR580" t="s">
        <v>10294</v>
      </c>
      <c r="AT580" s="184">
        <v>32987</v>
      </c>
      <c r="AU580" t="s">
        <v>10295</v>
      </c>
      <c r="AV580">
        <v>25</v>
      </c>
      <c r="AW580" s="184">
        <v>45232</v>
      </c>
      <c r="AX580" t="s">
        <v>7168</v>
      </c>
      <c r="AY580">
        <v>100</v>
      </c>
      <c r="AZ580" s="184">
        <v>44076</v>
      </c>
      <c r="BA580" t="s">
        <v>9633</v>
      </c>
      <c r="BB580">
        <v>300</v>
      </c>
      <c r="BC580">
        <v>92</v>
      </c>
      <c r="BD580">
        <v>3780</v>
      </c>
      <c r="BE580">
        <v>1990</v>
      </c>
      <c r="BF580">
        <v>46</v>
      </c>
      <c r="BG580">
        <v>3</v>
      </c>
      <c r="BH580">
        <v>500</v>
      </c>
      <c r="BI580">
        <v>32</v>
      </c>
      <c r="BJ580">
        <v>35</v>
      </c>
      <c r="BK580">
        <v>20</v>
      </c>
      <c r="BP580" s="184"/>
    </row>
    <row r="581" spans="1:68">
      <c r="A581">
        <v>3020047</v>
      </c>
      <c r="B581">
        <v>3020047</v>
      </c>
      <c r="C581" t="s">
        <v>7018</v>
      </c>
      <c r="D581" t="s">
        <v>595</v>
      </c>
      <c r="E581" s="184">
        <v>44070</v>
      </c>
      <c r="G581" s="184"/>
      <c r="I581" s="184"/>
      <c r="K581" s="184"/>
      <c r="O581" s="184"/>
      <c r="P581" t="s">
        <v>7045</v>
      </c>
      <c r="Q581" t="s">
        <v>7262</v>
      </c>
      <c r="R581" s="184">
        <v>17292</v>
      </c>
      <c r="S581">
        <v>77</v>
      </c>
      <c r="U581" t="s">
        <v>7031</v>
      </c>
      <c r="V581" t="s">
        <v>3889</v>
      </c>
      <c r="W581" t="s">
        <v>7469</v>
      </c>
      <c r="X581" t="s">
        <v>10296</v>
      </c>
      <c r="AF581" t="s">
        <v>10297</v>
      </c>
      <c r="AG581" t="s">
        <v>3889</v>
      </c>
      <c r="AI581" t="s">
        <v>10298</v>
      </c>
      <c r="AM581" t="s">
        <v>10299</v>
      </c>
      <c r="AN581" t="s">
        <v>2106</v>
      </c>
      <c r="AO581" t="s">
        <v>10300</v>
      </c>
      <c r="AP581" t="s">
        <v>7024</v>
      </c>
      <c r="AQ581" t="s">
        <v>10301</v>
      </c>
      <c r="AT581" s="184">
        <v>32979</v>
      </c>
      <c r="AU581" t="s">
        <v>10200</v>
      </c>
      <c r="AV581">
        <v>25</v>
      </c>
      <c r="AW581" s="184">
        <v>45371</v>
      </c>
      <c r="AX581" t="s">
        <v>10302</v>
      </c>
      <c r="AY581">
        <v>50</v>
      </c>
      <c r="AZ581" s="184">
        <v>44004</v>
      </c>
      <c r="BA581" t="s">
        <v>10303</v>
      </c>
      <c r="BB581">
        <v>60</v>
      </c>
      <c r="BC581">
        <v>63</v>
      </c>
      <c r="BD581">
        <v>1075</v>
      </c>
      <c r="BE581">
        <v>1990</v>
      </c>
      <c r="BF581">
        <v>27</v>
      </c>
      <c r="BG581">
        <v>2</v>
      </c>
      <c r="BH581">
        <v>85</v>
      </c>
      <c r="BI581">
        <v>22</v>
      </c>
      <c r="BJ581">
        <v>35</v>
      </c>
      <c r="BK581">
        <v>5</v>
      </c>
      <c r="BN581" t="s">
        <v>595</v>
      </c>
      <c r="BP581" s="184"/>
    </row>
    <row r="582" spans="1:68">
      <c r="A582">
        <v>3021748</v>
      </c>
      <c r="B582">
        <v>3021748</v>
      </c>
      <c r="C582" t="s">
        <v>7018</v>
      </c>
      <c r="E582" s="184"/>
      <c r="G582" s="184"/>
      <c r="I582" s="184"/>
      <c r="K582" s="184"/>
      <c r="N582" t="s">
        <v>595</v>
      </c>
      <c r="O582" s="184">
        <v>37956</v>
      </c>
      <c r="P582" t="s">
        <v>7019</v>
      </c>
      <c r="Q582" t="s">
        <v>7020</v>
      </c>
      <c r="R582" s="184">
        <v>11891</v>
      </c>
      <c r="S582">
        <v>91</v>
      </c>
      <c r="U582" t="s">
        <v>7031</v>
      </c>
      <c r="V582" t="s">
        <v>2963</v>
      </c>
      <c r="W582" t="s">
        <v>4152</v>
      </c>
      <c r="X582" t="s">
        <v>5581</v>
      </c>
      <c r="AF582" t="s">
        <v>10304</v>
      </c>
      <c r="AG582" t="s">
        <v>10305</v>
      </c>
      <c r="AI582" t="s">
        <v>10306</v>
      </c>
      <c r="AM582" t="s">
        <v>3567</v>
      </c>
      <c r="AN582" t="s">
        <v>2052</v>
      </c>
      <c r="AO582" t="s">
        <v>10307</v>
      </c>
      <c r="AP582" t="s">
        <v>7024</v>
      </c>
      <c r="AQ582" t="s">
        <v>10308</v>
      </c>
      <c r="AT582" s="184">
        <v>32979</v>
      </c>
      <c r="AU582" t="s">
        <v>10151</v>
      </c>
      <c r="AV582">
        <v>15</v>
      </c>
      <c r="AW582" s="184">
        <v>44517</v>
      </c>
      <c r="AX582" t="s">
        <v>10309</v>
      </c>
      <c r="AY582">
        <v>60</v>
      </c>
      <c r="AZ582" s="184">
        <v>37958</v>
      </c>
      <c r="BA582" t="s">
        <v>10310</v>
      </c>
      <c r="BB582">
        <v>34367.31</v>
      </c>
      <c r="BC582">
        <v>23</v>
      </c>
      <c r="BD582">
        <v>34708.31</v>
      </c>
      <c r="BE582">
        <v>1990</v>
      </c>
      <c r="BF582">
        <v>14</v>
      </c>
      <c r="BI582">
        <v>8</v>
      </c>
      <c r="BJ582">
        <v>35</v>
      </c>
      <c r="BK582">
        <v>2</v>
      </c>
      <c r="BP582" s="184"/>
    </row>
    <row r="583" spans="1:68">
      <c r="A583">
        <v>3031416</v>
      </c>
      <c r="B583">
        <v>3031416</v>
      </c>
      <c r="C583" t="s">
        <v>7018</v>
      </c>
      <c r="D583" t="s">
        <v>595</v>
      </c>
      <c r="E583" s="184">
        <v>44073</v>
      </c>
      <c r="G583" s="184"/>
      <c r="K583" s="184"/>
      <c r="M583" s="184"/>
      <c r="O583" s="184"/>
      <c r="P583" t="s">
        <v>7045</v>
      </c>
      <c r="Q583" t="s">
        <v>7020</v>
      </c>
      <c r="R583" s="184">
        <v>11324</v>
      </c>
      <c r="S583">
        <v>93</v>
      </c>
      <c r="U583" t="s">
        <v>7076</v>
      </c>
      <c r="V583" t="s">
        <v>10311</v>
      </c>
      <c r="X583" t="s">
        <v>10312</v>
      </c>
      <c r="AF583" t="s">
        <v>10313</v>
      </c>
      <c r="AG583" t="s">
        <v>10311</v>
      </c>
      <c r="AI583" t="s">
        <v>10314</v>
      </c>
      <c r="AM583" t="s">
        <v>4271</v>
      </c>
      <c r="AN583" t="s">
        <v>2112</v>
      </c>
      <c r="AO583" t="s">
        <v>10315</v>
      </c>
      <c r="AP583" t="s">
        <v>7024</v>
      </c>
      <c r="AT583" s="184">
        <v>32980</v>
      </c>
      <c r="AU583" t="s">
        <v>10151</v>
      </c>
      <c r="AV583">
        <v>15</v>
      </c>
      <c r="AW583" s="184">
        <v>37019</v>
      </c>
      <c r="AX583" t="s">
        <v>10316</v>
      </c>
      <c r="AY583">
        <v>10</v>
      </c>
      <c r="AZ583" s="184">
        <v>33673</v>
      </c>
      <c r="BA583" t="s">
        <v>10317</v>
      </c>
      <c r="BB583">
        <v>50</v>
      </c>
      <c r="BC583">
        <v>29</v>
      </c>
      <c r="BD583">
        <v>258</v>
      </c>
      <c r="BE583">
        <v>1990</v>
      </c>
      <c r="BF583">
        <v>20</v>
      </c>
      <c r="BI583">
        <v>10</v>
      </c>
      <c r="BJ583">
        <v>35</v>
      </c>
      <c r="BK583">
        <v>4</v>
      </c>
      <c r="BP583" s="184"/>
    </row>
    <row r="584" spans="1:68">
      <c r="A584">
        <v>3037108</v>
      </c>
      <c r="B584">
        <v>3037108</v>
      </c>
      <c r="C584" t="s">
        <v>7018</v>
      </c>
      <c r="E584" s="184"/>
      <c r="G584" s="184"/>
      <c r="J584" t="s">
        <v>595</v>
      </c>
      <c r="K584" s="184">
        <v>40442</v>
      </c>
      <c r="M584" s="184"/>
      <c r="O584" s="184"/>
      <c r="P584" t="s">
        <v>7045</v>
      </c>
      <c r="Q584" t="s">
        <v>7383</v>
      </c>
      <c r="R584" s="184">
        <v>18749</v>
      </c>
      <c r="S584">
        <v>73</v>
      </c>
      <c r="U584" t="s">
        <v>7076</v>
      </c>
      <c r="V584" t="s">
        <v>3431</v>
      </c>
      <c r="X584" t="s">
        <v>10318</v>
      </c>
      <c r="AF584" t="s">
        <v>10319</v>
      </c>
      <c r="AG584" t="s">
        <v>3431</v>
      </c>
      <c r="AI584" t="s">
        <v>10320</v>
      </c>
      <c r="AM584" t="s">
        <v>2520</v>
      </c>
      <c r="AN584" t="s">
        <v>2072</v>
      </c>
      <c r="AO584" t="s">
        <v>10321</v>
      </c>
      <c r="AP584" t="s">
        <v>7024</v>
      </c>
      <c r="AQ584" t="s">
        <v>10322</v>
      </c>
      <c r="AT584" s="184">
        <v>32981</v>
      </c>
      <c r="AU584" t="s">
        <v>10323</v>
      </c>
      <c r="AV584">
        <v>15</v>
      </c>
      <c r="AW584" s="184">
        <v>45196</v>
      </c>
      <c r="AX584" t="s">
        <v>9576</v>
      </c>
      <c r="AY584">
        <v>50</v>
      </c>
      <c r="AZ584" s="184">
        <v>43360</v>
      </c>
      <c r="BA584" t="s">
        <v>10324</v>
      </c>
      <c r="BB584">
        <v>100</v>
      </c>
      <c r="BC584">
        <v>89</v>
      </c>
      <c r="BD584">
        <v>1684</v>
      </c>
      <c r="BE584">
        <v>1990</v>
      </c>
      <c r="BF584">
        <v>39</v>
      </c>
      <c r="BG584">
        <v>2</v>
      </c>
      <c r="BH584">
        <v>100</v>
      </c>
      <c r="BI584">
        <v>31</v>
      </c>
      <c r="BJ584">
        <v>35</v>
      </c>
      <c r="BK584">
        <v>22</v>
      </c>
      <c r="BP584" s="184"/>
    </row>
    <row r="585" spans="1:68">
      <c r="A585">
        <v>3041217</v>
      </c>
      <c r="B585">
        <v>3041217</v>
      </c>
      <c r="C585" t="s">
        <v>7018</v>
      </c>
      <c r="E585" s="184"/>
      <c r="G585" s="184"/>
      <c r="I585" s="184"/>
      <c r="J585" t="s">
        <v>595</v>
      </c>
      <c r="K585" s="184">
        <v>37434</v>
      </c>
      <c r="O585" s="184"/>
      <c r="P585" t="s">
        <v>7045</v>
      </c>
      <c r="Q585" t="s">
        <v>7383</v>
      </c>
      <c r="R585" s="184">
        <v>10646</v>
      </c>
      <c r="S585">
        <v>95</v>
      </c>
      <c r="U585" t="s">
        <v>7031</v>
      </c>
      <c r="V585" t="s">
        <v>10325</v>
      </c>
      <c r="W585" t="s">
        <v>5006</v>
      </c>
      <c r="X585" t="s">
        <v>10326</v>
      </c>
      <c r="Z585">
        <v>100179693</v>
      </c>
      <c r="AA585" t="s">
        <v>7130</v>
      </c>
      <c r="AB585" t="s">
        <v>10327</v>
      </c>
      <c r="AC585" t="s">
        <v>3951</v>
      </c>
      <c r="AD585" t="s">
        <v>10326</v>
      </c>
      <c r="AF585" t="s">
        <v>6287</v>
      </c>
      <c r="AG585" t="s">
        <v>10325</v>
      </c>
      <c r="AI585" t="s">
        <v>10328</v>
      </c>
      <c r="AM585" t="s">
        <v>10329</v>
      </c>
      <c r="AN585" t="s">
        <v>2059</v>
      </c>
      <c r="AO585" t="s">
        <v>10330</v>
      </c>
      <c r="AP585" t="s">
        <v>7024</v>
      </c>
      <c r="AQ585" t="s">
        <v>10331</v>
      </c>
      <c r="AT585" s="184">
        <v>32981</v>
      </c>
      <c r="AU585" t="s">
        <v>10275</v>
      </c>
      <c r="AV585">
        <v>15</v>
      </c>
      <c r="AW585" s="184">
        <v>44196</v>
      </c>
      <c r="AX585" t="s">
        <v>7309</v>
      </c>
      <c r="AY585">
        <v>4156.03</v>
      </c>
      <c r="AZ585" s="184">
        <v>44196</v>
      </c>
      <c r="BA585" t="s">
        <v>7309</v>
      </c>
      <c r="BB585">
        <v>4156.03</v>
      </c>
      <c r="BC585">
        <v>66</v>
      </c>
      <c r="BD585">
        <v>5993.03</v>
      </c>
      <c r="BE585">
        <v>1990</v>
      </c>
      <c r="BF585">
        <v>118</v>
      </c>
      <c r="BI585">
        <v>23</v>
      </c>
      <c r="BJ585">
        <v>35</v>
      </c>
      <c r="BK585">
        <v>11</v>
      </c>
      <c r="BO585" t="s">
        <v>595</v>
      </c>
      <c r="BP585" s="184">
        <v>43784</v>
      </c>
    </row>
    <row r="586" spans="1:68">
      <c r="A586">
        <v>100179693</v>
      </c>
      <c r="B586">
        <v>3041217</v>
      </c>
      <c r="C586" t="s">
        <v>7018</v>
      </c>
      <c r="E586" s="184"/>
      <c r="I586" s="184"/>
      <c r="J586" t="s">
        <v>595</v>
      </c>
      <c r="K586" s="184">
        <v>37434</v>
      </c>
      <c r="M586" s="184"/>
      <c r="O586" s="184"/>
      <c r="P586" t="s">
        <v>7045</v>
      </c>
      <c r="Q586" t="s">
        <v>7383</v>
      </c>
      <c r="R586" s="184">
        <v>10625</v>
      </c>
      <c r="S586">
        <v>95</v>
      </c>
      <c r="U586" t="s">
        <v>7130</v>
      </c>
      <c r="V586" t="s">
        <v>10327</v>
      </c>
      <c r="W586" t="s">
        <v>3951</v>
      </c>
      <c r="X586" t="s">
        <v>10326</v>
      </c>
      <c r="Z586">
        <v>3041217</v>
      </c>
      <c r="AA586" t="s">
        <v>7031</v>
      </c>
      <c r="AB586" t="s">
        <v>10325</v>
      </c>
      <c r="AC586" t="s">
        <v>5006</v>
      </c>
      <c r="AD586" t="s">
        <v>10326</v>
      </c>
      <c r="AF586" t="s">
        <v>6287</v>
      </c>
      <c r="AG586" t="s">
        <v>10325</v>
      </c>
      <c r="AI586" t="s">
        <v>10328</v>
      </c>
      <c r="AM586" t="s">
        <v>10329</v>
      </c>
      <c r="AN586" t="s">
        <v>2059</v>
      </c>
      <c r="AO586" t="s">
        <v>10330</v>
      </c>
      <c r="AP586" t="s">
        <v>7024</v>
      </c>
      <c r="AT586" s="184"/>
      <c r="AW586" s="184"/>
      <c r="AZ586" s="184"/>
      <c r="BO586" t="s">
        <v>595</v>
      </c>
      <c r="BP586" s="184"/>
    </row>
    <row r="587" spans="1:68">
      <c r="A587">
        <v>3045382</v>
      </c>
      <c r="B587">
        <v>3045382</v>
      </c>
      <c r="C587" t="s">
        <v>7018</v>
      </c>
      <c r="D587" t="s">
        <v>595</v>
      </c>
      <c r="E587" s="184">
        <v>43647</v>
      </c>
      <c r="G587" s="184"/>
      <c r="I587" s="184"/>
      <c r="K587" s="184"/>
      <c r="O587" s="184"/>
      <c r="P587" t="s">
        <v>7045</v>
      </c>
      <c r="Q587" t="s">
        <v>7020</v>
      </c>
      <c r="R587" s="184">
        <v>13275</v>
      </c>
      <c r="S587">
        <v>88</v>
      </c>
      <c r="V587" t="s">
        <v>3103</v>
      </c>
      <c r="W587" t="s">
        <v>3332</v>
      </c>
      <c r="X587" t="s">
        <v>2758</v>
      </c>
      <c r="AF587" t="s">
        <v>10332</v>
      </c>
      <c r="AG587" t="s">
        <v>3103</v>
      </c>
      <c r="AI587" t="s">
        <v>10333</v>
      </c>
      <c r="AM587" t="s">
        <v>10334</v>
      </c>
      <c r="AN587" t="s">
        <v>2052</v>
      </c>
      <c r="AO587" t="s">
        <v>10335</v>
      </c>
      <c r="AP587" t="s">
        <v>7024</v>
      </c>
      <c r="AT587" s="184">
        <v>32981</v>
      </c>
      <c r="AU587" t="s">
        <v>10217</v>
      </c>
      <c r="AV587">
        <v>15</v>
      </c>
      <c r="AW587" s="184">
        <v>43865</v>
      </c>
      <c r="AX587" t="s">
        <v>10336</v>
      </c>
      <c r="AY587">
        <v>30</v>
      </c>
      <c r="AZ587" s="184">
        <v>43126</v>
      </c>
      <c r="BA587" t="s">
        <v>10337</v>
      </c>
      <c r="BB587">
        <v>50</v>
      </c>
      <c r="BC587">
        <v>89</v>
      </c>
      <c r="BD587">
        <v>1647</v>
      </c>
      <c r="BE587">
        <v>1990</v>
      </c>
      <c r="BF587">
        <v>62</v>
      </c>
      <c r="BI587">
        <v>31</v>
      </c>
      <c r="BJ587">
        <v>35</v>
      </c>
      <c r="BK587">
        <v>31</v>
      </c>
      <c r="BO587" t="s">
        <v>595</v>
      </c>
      <c r="BP587" s="184"/>
    </row>
    <row r="588" spans="1:68">
      <c r="A588">
        <v>3048626</v>
      </c>
      <c r="B588">
        <v>3048626</v>
      </c>
      <c r="C588" t="s">
        <v>7018</v>
      </c>
      <c r="E588" s="184"/>
      <c r="G588" s="184"/>
      <c r="I588" s="184"/>
      <c r="J588" t="s">
        <v>595</v>
      </c>
      <c r="K588" s="184">
        <v>45006</v>
      </c>
      <c r="O588" s="184"/>
      <c r="P588" t="s">
        <v>7084</v>
      </c>
      <c r="Q588" t="s">
        <v>7374</v>
      </c>
      <c r="R588" s="184">
        <v>11057</v>
      </c>
      <c r="S588">
        <v>94</v>
      </c>
      <c r="U588" t="s">
        <v>7130</v>
      </c>
      <c r="V588" t="s">
        <v>10338</v>
      </c>
      <c r="W588" t="s">
        <v>4152</v>
      </c>
      <c r="X588" t="s">
        <v>10339</v>
      </c>
      <c r="AF588" t="s">
        <v>10340</v>
      </c>
      <c r="AG588" t="s">
        <v>10338</v>
      </c>
      <c r="AI588" t="s">
        <v>10341</v>
      </c>
      <c r="AM588" t="s">
        <v>3434</v>
      </c>
      <c r="AN588" t="s">
        <v>2081</v>
      </c>
      <c r="AO588" t="s">
        <v>10342</v>
      </c>
      <c r="AP588" t="s">
        <v>7024</v>
      </c>
      <c r="AQ588" t="s">
        <v>10343</v>
      </c>
      <c r="AR588" t="s">
        <v>10344</v>
      </c>
      <c r="AT588" s="184">
        <v>32982</v>
      </c>
      <c r="AU588" t="s">
        <v>10345</v>
      </c>
      <c r="AV588">
        <v>25</v>
      </c>
      <c r="AW588" s="184">
        <v>45005</v>
      </c>
      <c r="AX588" t="s">
        <v>7721</v>
      </c>
      <c r="AY588">
        <v>35000</v>
      </c>
      <c r="AZ588" s="184">
        <v>45005</v>
      </c>
      <c r="BA588" t="s">
        <v>7721</v>
      </c>
      <c r="BB588">
        <v>35000</v>
      </c>
      <c r="BC588">
        <v>80</v>
      </c>
      <c r="BD588">
        <v>37504</v>
      </c>
      <c r="BE588">
        <v>1990</v>
      </c>
      <c r="BF588">
        <v>56</v>
      </c>
      <c r="BG588">
        <v>1</v>
      </c>
      <c r="BH588">
        <v>35000</v>
      </c>
      <c r="BI588">
        <v>28</v>
      </c>
      <c r="BJ588">
        <v>35</v>
      </c>
      <c r="BK588">
        <v>11</v>
      </c>
      <c r="BL588" t="s">
        <v>595</v>
      </c>
      <c r="BN588" t="s">
        <v>595</v>
      </c>
      <c r="BO588" t="s">
        <v>595</v>
      </c>
      <c r="BP588" s="184"/>
    </row>
    <row r="589" spans="1:68">
      <c r="A589">
        <v>3062221</v>
      </c>
      <c r="B589">
        <v>3062221</v>
      </c>
      <c r="C589" t="s">
        <v>7018</v>
      </c>
      <c r="D589" t="s">
        <v>595</v>
      </c>
      <c r="E589" s="184">
        <v>45125</v>
      </c>
      <c r="G589" s="184"/>
      <c r="I589" s="184"/>
      <c r="K589" s="184"/>
      <c r="M589" s="184"/>
      <c r="O589" s="184"/>
      <c r="P589" t="s">
        <v>7045</v>
      </c>
      <c r="Q589" t="s">
        <v>7383</v>
      </c>
      <c r="R589" s="184">
        <v>22767</v>
      </c>
      <c r="S589">
        <v>62</v>
      </c>
      <c r="V589" t="s">
        <v>2511</v>
      </c>
      <c r="W589" t="s">
        <v>7085</v>
      </c>
      <c r="X589" t="s">
        <v>10346</v>
      </c>
      <c r="AF589" t="s">
        <v>10347</v>
      </c>
      <c r="AG589" t="s">
        <v>2511</v>
      </c>
      <c r="AI589" t="s">
        <v>10348</v>
      </c>
      <c r="AM589" t="s">
        <v>10349</v>
      </c>
      <c r="AN589" t="s">
        <v>2072</v>
      </c>
      <c r="AO589" t="s">
        <v>10350</v>
      </c>
      <c r="AP589" t="s">
        <v>7024</v>
      </c>
      <c r="AQ589" t="s">
        <v>10351</v>
      </c>
      <c r="AR589" t="s">
        <v>10352</v>
      </c>
      <c r="AT589" s="184">
        <v>32982</v>
      </c>
      <c r="AU589" t="s">
        <v>10353</v>
      </c>
      <c r="AV589">
        <v>15</v>
      </c>
      <c r="AW589" s="184">
        <v>42831</v>
      </c>
      <c r="AX589" t="s">
        <v>10354</v>
      </c>
      <c r="AY589">
        <v>25</v>
      </c>
      <c r="AZ589" s="184">
        <v>40897</v>
      </c>
      <c r="BA589" t="s">
        <v>10355</v>
      </c>
      <c r="BB589">
        <v>60</v>
      </c>
      <c r="BC589">
        <v>46</v>
      </c>
      <c r="BD589">
        <v>583</v>
      </c>
      <c r="BE589">
        <v>1990</v>
      </c>
      <c r="BF589">
        <v>24</v>
      </c>
      <c r="BI589">
        <v>16</v>
      </c>
      <c r="BJ589">
        <v>35</v>
      </c>
      <c r="BK589">
        <v>8</v>
      </c>
      <c r="BN589" t="s">
        <v>595</v>
      </c>
      <c r="BP589" s="184"/>
    </row>
    <row r="590" spans="1:68">
      <c r="A590">
        <v>3067311</v>
      </c>
      <c r="B590">
        <v>3067311</v>
      </c>
      <c r="C590" t="s">
        <v>7018</v>
      </c>
      <c r="D590" t="s">
        <v>595</v>
      </c>
      <c r="E590" s="184">
        <v>43801</v>
      </c>
      <c r="G590" s="184"/>
      <c r="K590" s="184"/>
      <c r="O590" s="184"/>
      <c r="P590" t="s">
        <v>7045</v>
      </c>
      <c r="Q590" t="s">
        <v>7262</v>
      </c>
      <c r="R590" s="184">
        <v>13865</v>
      </c>
      <c r="S590">
        <v>86</v>
      </c>
      <c r="U590" t="s">
        <v>7076</v>
      </c>
      <c r="V590" t="s">
        <v>4337</v>
      </c>
      <c r="W590" t="s">
        <v>3830</v>
      </c>
      <c r="X590" t="s">
        <v>4338</v>
      </c>
      <c r="AF590" t="s">
        <v>10356</v>
      </c>
      <c r="AG590" t="s">
        <v>4337</v>
      </c>
      <c r="AI590" t="s">
        <v>10357</v>
      </c>
      <c r="AM590" t="s">
        <v>3262</v>
      </c>
      <c r="AN590" t="s">
        <v>2106</v>
      </c>
      <c r="AO590" t="s">
        <v>10358</v>
      </c>
      <c r="AP590" t="s">
        <v>7024</v>
      </c>
      <c r="AT590" s="184">
        <v>32982</v>
      </c>
      <c r="AU590" t="s">
        <v>10252</v>
      </c>
      <c r="AV590">
        <v>15</v>
      </c>
      <c r="AW590" s="184">
        <v>44582</v>
      </c>
      <c r="AX590" t="s">
        <v>10359</v>
      </c>
      <c r="AY590">
        <v>25</v>
      </c>
      <c r="AZ590" s="184">
        <v>44582</v>
      </c>
      <c r="BA590" t="s">
        <v>10359</v>
      </c>
      <c r="BB590">
        <v>25</v>
      </c>
      <c r="BC590">
        <v>58</v>
      </c>
      <c r="BD590">
        <v>505</v>
      </c>
      <c r="BE590">
        <v>1990</v>
      </c>
      <c r="BF590">
        <v>24</v>
      </c>
      <c r="BI590">
        <v>20</v>
      </c>
      <c r="BJ590">
        <v>35</v>
      </c>
      <c r="BK590">
        <v>4</v>
      </c>
      <c r="BP590" s="184"/>
    </row>
    <row r="591" spans="1:68">
      <c r="A591">
        <v>3070588</v>
      </c>
      <c r="B591">
        <v>3070588</v>
      </c>
      <c r="C591" t="s">
        <v>7018</v>
      </c>
      <c r="E591" s="184"/>
      <c r="G591" s="184"/>
      <c r="I591" s="184"/>
      <c r="J591" t="s">
        <v>595</v>
      </c>
      <c r="K591" s="184">
        <v>41358</v>
      </c>
      <c r="M591" s="184"/>
      <c r="O591" s="184"/>
      <c r="P591" t="s">
        <v>7084</v>
      </c>
      <c r="Q591" t="s">
        <v>7383</v>
      </c>
      <c r="R591" s="184">
        <v>12408</v>
      </c>
      <c r="S591">
        <v>90</v>
      </c>
      <c r="U591" t="s">
        <v>7031</v>
      </c>
      <c r="V591" t="s">
        <v>2511</v>
      </c>
      <c r="W591" t="s">
        <v>7396</v>
      </c>
      <c r="X591" t="s">
        <v>10360</v>
      </c>
      <c r="AF591" t="s">
        <v>6001</v>
      </c>
      <c r="AG591" t="s">
        <v>10361</v>
      </c>
      <c r="AI591" t="s">
        <v>10362</v>
      </c>
      <c r="AM591" t="s">
        <v>10363</v>
      </c>
      <c r="AN591" t="s">
        <v>2185</v>
      </c>
      <c r="AO591">
        <v>56431</v>
      </c>
      <c r="AP591" t="s">
        <v>7024</v>
      </c>
      <c r="AT591" s="184">
        <v>32982</v>
      </c>
      <c r="AU591" t="s">
        <v>10364</v>
      </c>
      <c r="AV591">
        <v>15</v>
      </c>
      <c r="AW591" s="184">
        <v>43816</v>
      </c>
      <c r="AX591" t="s">
        <v>10365</v>
      </c>
      <c r="AY591">
        <v>10000</v>
      </c>
      <c r="AZ591" s="184">
        <v>43816</v>
      </c>
      <c r="BA591" t="s">
        <v>10365</v>
      </c>
      <c r="BB591">
        <v>10000</v>
      </c>
      <c r="BC591">
        <v>78</v>
      </c>
      <c r="BD591">
        <v>11090</v>
      </c>
      <c r="BE591">
        <v>1990</v>
      </c>
      <c r="BF591">
        <v>43</v>
      </c>
      <c r="BI591">
        <v>27</v>
      </c>
      <c r="BJ591">
        <v>35</v>
      </c>
      <c r="BK591">
        <v>16</v>
      </c>
      <c r="BO591" t="s">
        <v>595</v>
      </c>
      <c r="BP591" s="184">
        <v>43155</v>
      </c>
    </row>
    <row r="592" spans="1:68">
      <c r="A592">
        <v>3075561</v>
      </c>
      <c r="B592">
        <v>3075561</v>
      </c>
      <c r="C592" t="s">
        <v>7018</v>
      </c>
      <c r="E592" s="184"/>
      <c r="G592" s="184"/>
      <c r="I592" s="184"/>
      <c r="J592" t="s">
        <v>595</v>
      </c>
      <c r="K592" s="184">
        <v>37431</v>
      </c>
      <c r="M592" s="184"/>
      <c r="N592" t="s">
        <v>595</v>
      </c>
      <c r="O592" s="184">
        <v>35775</v>
      </c>
      <c r="P592" t="s">
        <v>7045</v>
      </c>
      <c r="Q592" t="s">
        <v>7454</v>
      </c>
      <c r="R592" s="184">
        <v>10708</v>
      </c>
      <c r="S592">
        <v>95</v>
      </c>
      <c r="U592" t="s">
        <v>7031</v>
      </c>
      <c r="V592" t="s">
        <v>5832</v>
      </c>
      <c r="X592" t="s">
        <v>5831</v>
      </c>
      <c r="Z592">
        <v>100179697</v>
      </c>
      <c r="AA592" t="s">
        <v>7130</v>
      </c>
      <c r="AB592" t="s">
        <v>3409</v>
      </c>
      <c r="AC592" t="s">
        <v>7107</v>
      </c>
      <c r="AD592" t="s">
        <v>5831</v>
      </c>
      <c r="AF592" t="s">
        <v>10366</v>
      </c>
      <c r="AG592" t="s">
        <v>10367</v>
      </c>
      <c r="AI592" t="s">
        <v>10368</v>
      </c>
      <c r="AM592" t="s">
        <v>3855</v>
      </c>
      <c r="AN592" t="s">
        <v>2055</v>
      </c>
      <c r="AO592" t="s">
        <v>10369</v>
      </c>
      <c r="AP592" t="s">
        <v>7024</v>
      </c>
      <c r="AQ592" t="s">
        <v>10370</v>
      </c>
      <c r="AT592" s="184">
        <v>32982</v>
      </c>
      <c r="AU592" t="s">
        <v>10151</v>
      </c>
      <c r="AV592">
        <v>15</v>
      </c>
      <c r="AW592" s="184">
        <v>43131</v>
      </c>
      <c r="AX592" t="s">
        <v>10371</v>
      </c>
      <c r="AY592">
        <v>100</v>
      </c>
      <c r="AZ592" s="184">
        <v>35772</v>
      </c>
      <c r="BA592" t="s">
        <v>7054</v>
      </c>
      <c r="BB592">
        <v>11809.4</v>
      </c>
      <c r="BC592">
        <v>78</v>
      </c>
      <c r="BD592">
        <v>17739.400000000001</v>
      </c>
      <c r="BE592">
        <v>1990</v>
      </c>
      <c r="BF592">
        <v>47</v>
      </c>
      <c r="BI592">
        <v>27</v>
      </c>
      <c r="BJ592">
        <v>35</v>
      </c>
      <c r="BK592">
        <v>14</v>
      </c>
      <c r="BL592" t="s">
        <v>595</v>
      </c>
      <c r="BM592" t="s">
        <v>595</v>
      </c>
      <c r="BO592" t="s">
        <v>595</v>
      </c>
      <c r="BP592" s="184">
        <v>43252</v>
      </c>
    </row>
    <row r="593" spans="1:68">
      <c r="A593">
        <v>100179697</v>
      </c>
      <c r="B593">
        <v>3075561</v>
      </c>
      <c r="C593" t="s">
        <v>7018</v>
      </c>
      <c r="E593" s="184"/>
      <c r="G593" s="184"/>
      <c r="I593" s="184"/>
      <c r="K593" s="184"/>
      <c r="M593" s="184"/>
      <c r="N593" t="s">
        <v>595</v>
      </c>
      <c r="O593" s="184">
        <v>35775</v>
      </c>
      <c r="P593" t="s">
        <v>7045</v>
      </c>
      <c r="Q593" t="s">
        <v>7454</v>
      </c>
      <c r="R593" s="184">
        <v>10796</v>
      </c>
      <c r="S593">
        <v>94</v>
      </c>
      <c r="U593" t="s">
        <v>7130</v>
      </c>
      <c r="V593" t="s">
        <v>3409</v>
      </c>
      <c r="W593" t="s">
        <v>7107</v>
      </c>
      <c r="X593" t="s">
        <v>5831</v>
      </c>
      <c r="Z593">
        <v>3075561</v>
      </c>
      <c r="AA593" t="s">
        <v>7031</v>
      </c>
      <c r="AB593" t="s">
        <v>5832</v>
      </c>
      <c r="AD593" t="s">
        <v>5831</v>
      </c>
      <c r="AF593" t="s">
        <v>10366</v>
      </c>
      <c r="AG593" t="s">
        <v>10367</v>
      </c>
      <c r="AI593" t="s">
        <v>10368</v>
      </c>
      <c r="AM593" t="s">
        <v>3855</v>
      </c>
      <c r="AN593" t="s">
        <v>2055</v>
      </c>
      <c r="AO593" t="s">
        <v>10369</v>
      </c>
      <c r="AP593" t="s">
        <v>7024</v>
      </c>
      <c r="AT593" s="184"/>
      <c r="AW593" s="184"/>
      <c r="AZ593" s="184"/>
      <c r="BO593" t="s">
        <v>595</v>
      </c>
      <c r="BP593" s="184">
        <v>37612</v>
      </c>
    </row>
    <row r="594" spans="1:68">
      <c r="A594">
        <v>3085842</v>
      </c>
      <c r="B594">
        <v>3085842</v>
      </c>
      <c r="C594" t="s">
        <v>7018</v>
      </c>
      <c r="D594" t="s">
        <v>595</v>
      </c>
      <c r="E594" s="184">
        <v>44313</v>
      </c>
      <c r="G594" s="184"/>
      <c r="I594" s="184"/>
      <c r="K594" s="184"/>
      <c r="M594" s="184"/>
      <c r="O594" s="184"/>
      <c r="P594" t="s">
        <v>7019</v>
      </c>
      <c r="Q594" t="s">
        <v>7374</v>
      </c>
      <c r="R594" s="184">
        <v>16183</v>
      </c>
      <c r="S594">
        <v>80</v>
      </c>
      <c r="V594" t="s">
        <v>4152</v>
      </c>
      <c r="X594" t="s">
        <v>4154</v>
      </c>
      <c r="Z594">
        <v>100016909</v>
      </c>
      <c r="AB594" t="s">
        <v>10372</v>
      </c>
      <c r="AC594" t="s">
        <v>7407</v>
      </c>
      <c r="AD594" t="s">
        <v>4154</v>
      </c>
      <c r="AF594" t="s">
        <v>10373</v>
      </c>
      <c r="AG594" t="s">
        <v>10374</v>
      </c>
      <c r="AI594" t="s">
        <v>10375</v>
      </c>
      <c r="AM594" t="s">
        <v>4419</v>
      </c>
      <c r="AN594" t="s">
        <v>2081</v>
      </c>
      <c r="AO594" t="s">
        <v>10376</v>
      </c>
      <c r="AP594" t="s">
        <v>7024</v>
      </c>
      <c r="AT594" s="184">
        <v>32982</v>
      </c>
      <c r="AU594" t="s">
        <v>10192</v>
      </c>
      <c r="AV594">
        <v>15</v>
      </c>
      <c r="AW594" s="184">
        <v>44648</v>
      </c>
      <c r="AX594" t="s">
        <v>8747</v>
      </c>
      <c r="AY594">
        <v>35</v>
      </c>
      <c r="AZ594" s="184">
        <v>44179</v>
      </c>
      <c r="BA594" t="s">
        <v>10377</v>
      </c>
      <c r="BB594">
        <v>87</v>
      </c>
      <c r="BC594">
        <v>23</v>
      </c>
      <c r="BD594">
        <v>282</v>
      </c>
      <c r="BE594">
        <v>1990</v>
      </c>
      <c r="BF594">
        <v>8</v>
      </c>
      <c r="BI594">
        <v>8</v>
      </c>
      <c r="BJ594">
        <v>35</v>
      </c>
      <c r="BK594">
        <v>2</v>
      </c>
      <c r="BP594" s="184"/>
    </row>
    <row r="595" spans="1:68">
      <c r="A595">
        <v>100016909</v>
      </c>
      <c r="B595">
        <v>3085842</v>
      </c>
      <c r="C595" t="s">
        <v>7018</v>
      </c>
      <c r="D595" t="s">
        <v>595</v>
      </c>
      <c r="E595" s="184">
        <v>44313</v>
      </c>
      <c r="G595" s="184"/>
      <c r="I595" s="184"/>
      <c r="K595" s="184"/>
      <c r="O595" s="184"/>
      <c r="P595" t="s">
        <v>7019</v>
      </c>
      <c r="Q595" t="s">
        <v>7374</v>
      </c>
      <c r="R595" s="184">
        <v>16917</v>
      </c>
      <c r="S595">
        <v>78</v>
      </c>
      <c r="V595" t="s">
        <v>10372</v>
      </c>
      <c r="W595" t="s">
        <v>7407</v>
      </c>
      <c r="X595" t="s">
        <v>4154</v>
      </c>
      <c r="Z595">
        <v>3085842</v>
      </c>
      <c r="AB595" t="s">
        <v>4152</v>
      </c>
      <c r="AD595" t="s">
        <v>4154</v>
      </c>
      <c r="AF595" t="s">
        <v>10373</v>
      </c>
      <c r="AG595" t="s">
        <v>10374</v>
      </c>
      <c r="AI595" t="s">
        <v>10375</v>
      </c>
      <c r="AM595" t="s">
        <v>4419</v>
      </c>
      <c r="AN595" t="s">
        <v>2081</v>
      </c>
      <c r="AO595" t="s">
        <v>10376</v>
      </c>
      <c r="AP595" t="s">
        <v>7024</v>
      </c>
      <c r="AT595" s="184"/>
      <c r="AW595" s="184"/>
      <c r="AZ595" s="184"/>
      <c r="BP595" s="184"/>
    </row>
    <row r="596" spans="1:68">
      <c r="A596">
        <v>3088093</v>
      </c>
      <c r="B596">
        <v>3088093</v>
      </c>
      <c r="C596" t="s">
        <v>7018</v>
      </c>
      <c r="D596" t="s">
        <v>595</v>
      </c>
      <c r="E596" s="184">
        <v>44167</v>
      </c>
      <c r="G596" s="184"/>
      <c r="I596" s="184"/>
      <c r="K596" s="184"/>
      <c r="O596" s="184"/>
      <c r="P596" t="s">
        <v>7045</v>
      </c>
      <c r="Q596" t="s">
        <v>7383</v>
      </c>
      <c r="R596" s="184">
        <v>10106</v>
      </c>
      <c r="S596">
        <v>96</v>
      </c>
      <c r="U596" t="s">
        <v>7031</v>
      </c>
      <c r="V596" t="s">
        <v>2635</v>
      </c>
      <c r="X596" t="s">
        <v>10378</v>
      </c>
      <c r="AF596" t="s">
        <v>10379</v>
      </c>
      <c r="AG596" t="s">
        <v>2635</v>
      </c>
      <c r="AI596" t="s">
        <v>10380</v>
      </c>
      <c r="AM596" t="s">
        <v>3529</v>
      </c>
      <c r="AN596" t="s">
        <v>2072</v>
      </c>
      <c r="AO596">
        <v>49424</v>
      </c>
      <c r="AP596" t="s">
        <v>7024</v>
      </c>
      <c r="AQ596" t="s">
        <v>10381</v>
      </c>
      <c r="AT596" s="184">
        <v>32982</v>
      </c>
      <c r="AU596" t="s">
        <v>10217</v>
      </c>
      <c r="AV596">
        <v>15</v>
      </c>
      <c r="AW596" s="184">
        <v>37609</v>
      </c>
      <c r="AX596" t="s">
        <v>10382</v>
      </c>
      <c r="AY596">
        <v>25</v>
      </c>
      <c r="AZ596" s="184">
        <v>34820</v>
      </c>
      <c r="BA596" t="s">
        <v>10383</v>
      </c>
      <c r="BB596">
        <v>35</v>
      </c>
      <c r="BC596">
        <v>35</v>
      </c>
      <c r="BD596">
        <v>378</v>
      </c>
      <c r="BE596">
        <v>1990</v>
      </c>
      <c r="BF596">
        <v>20</v>
      </c>
      <c r="BI596">
        <v>12</v>
      </c>
      <c r="BJ596">
        <v>35</v>
      </c>
      <c r="BK596">
        <v>7</v>
      </c>
      <c r="BP596" s="184"/>
    </row>
    <row r="597" spans="1:68">
      <c r="A597">
        <v>3091337</v>
      </c>
      <c r="B597">
        <v>3091337</v>
      </c>
      <c r="C597" t="s">
        <v>7018</v>
      </c>
      <c r="E597" s="184"/>
      <c r="F597" t="s">
        <v>595</v>
      </c>
      <c r="G597" s="184">
        <v>43731</v>
      </c>
      <c r="I597" s="184"/>
      <c r="K597" s="184"/>
      <c r="M597" s="184"/>
      <c r="O597" s="184"/>
      <c r="P597" t="s">
        <v>7029</v>
      </c>
      <c r="Q597" t="s">
        <v>7020</v>
      </c>
      <c r="R597" s="184">
        <v>16459</v>
      </c>
      <c r="S597">
        <v>79</v>
      </c>
      <c r="U597" t="s">
        <v>7130</v>
      </c>
      <c r="V597" t="s">
        <v>3901</v>
      </c>
      <c r="X597" t="s">
        <v>3902</v>
      </c>
      <c r="Z597">
        <v>100016926</v>
      </c>
      <c r="AA597" t="s">
        <v>7032</v>
      </c>
      <c r="AB597" t="s">
        <v>2541</v>
      </c>
      <c r="AD597" t="s">
        <v>3902</v>
      </c>
      <c r="AF597" t="s">
        <v>10384</v>
      </c>
      <c r="AG597" t="s">
        <v>10385</v>
      </c>
      <c r="AI597" t="s">
        <v>10386</v>
      </c>
      <c r="AM597" t="s">
        <v>3903</v>
      </c>
      <c r="AN597" t="s">
        <v>2052</v>
      </c>
      <c r="AO597" t="s">
        <v>10387</v>
      </c>
      <c r="AP597" t="s">
        <v>7024</v>
      </c>
      <c r="AQ597" t="s">
        <v>10388</v>
      </c>
      <c r="AT597" s="184">
        <v>32983</v>
      </c>
      <c r="AU597" t="s">
        <v>10200</v>
      </c>
      <c r="AV597">
        <v>15</v>
      </c>
      <c r="AW597" s="184">
        <v>45308</v>
      </c>
      <c r="AX597" t="s">
        <v>7382</v>
      </c>
      <c r="AY597">
        <v>1000</v>
      </c>
      <c r="AZ597" s="184">
        <v>45308</v>
      </c>
      <c r="BA597" t="s">
        <v>7382</v>
      </c>
      <c r="BB597">
        <v>1000</v>
      </c>
      <c r="BC597">
        <v>100</v>
      </c>
      <c r="BD597">
        <v>7520</v>
      </c>
      <c r="BE597">
        <v>1990</v>
      </c>
      <c r="BF597">
        <v>51</v>
      </c>
      <c r="BG597">
        <v>2</v>
      </c>
      <c r="BH597">
        <v>1500</v>
      </c>
      <c r="BI597">
        <v>35</v>
      </c>
      <c r="BJ597">
        <v>35</v>
      </c>
      <c r="BK597">
        <v>35</v>
      </c>
      <c r="BP597" s="184"/>
    </row>
    <row r="598" spans="1:68">
      <c r="A598">
        <v>100016926</v>
      </c>
      <c r="B598">
        <v>3091337</v>
      </c>
      <c r="C598" t="s">
        <v>7018</v>
      </c>
      <c r="E598" s="184"/>
      <c r="F598" t="s">
        <v>595</v>
      </c>
      <c r="G598" s="184">
        <v>43731</v>
      </c>
      <c r="K598" s="184"/>
      <c r="O598" s="184"/>
      <c r="P598" t="s">
        <v>7029</v>
      </c>
      <c r="Q598" t="s">
        <v>7020</v>
      </c>
      <c r="R598" s="184">
        <v>15731</v>
      </c>
      <c r="S598">
        <v>81</v>
      </c>
      <c r="U598" t="s">
        <v>7032</v>
      </c>
      <c r="V598" t="s">
        <v>2541</v>
      </c>
      <c r="X598" t="s">
        <v>3902</v>
      </c>
      <c r="Z598">
        <v>3091337</v>
      </c>
      <c r="AA598" t="s">
        <v>7130</v>
      </c>
      <c r="AB598" t="s">
        <v>3901</v>
      </c>
      <c r="AD598" t="s">
        <v>3902</v>
      </c>
      <c r="AF598" t="s">
        <v>10384</v>
      </c>
      <c r="AG598" t="s">
        <v>10385</v>
      </c>
      <c r="AI598" t="s">
        <v>10386</v>
      </c>
      <c r="AM598" t="s">
        <v>3903</v>
      </c>
      <c r="AN598" t="s">
        <v>2052</v>
      </c>
      <c r="AO598" t="s">
        <v>10387</v>
      </c>
      <c r="AP598" t="s">
        <v>7024</v>
      </c>
      <c r="AT598" s="184"/>
      <c r="AW598" s="184"/>
      <c r="AZ598" s="184"/>
      <c r="BP598" s="184"/>
    </row>
    <row r="599" spans="1:68">
      <c r="A599">
        <v>3092657</v>
      </c>
      <c r="B599">
        <v>3092657</v>
      </c>
      <c r="C599" t="s">
        <v>7018</v>
      </c>
      <c r="D599" t="s">
        <v>595</v>
      </c>
      <c r="E599" s="184">
        <v>45195</v>
      </c>
      <c r="G599" s="184"/>
      <c r="I599" s="184"/>
      <c r="K599" s="184"/>
      <c r="O599" s="184"/>
      <c r="P599" t="s">
        <v>7045</v>
      </c>
      <c r="Q599" t="s">
        <v>7262</v>
      </c>
      <c r="R599" s="184">
        <v>17998</v>
      </c>
      <c r="S599">
        <v>75</v>
      </c>
      <c r="U599" t="s">
        <v>7076</v>
      </c>
      <c r="V599" t="s">
        <v>10389</v>
      </c>
      <c r="W599" t="s">
        <v>10390</v>
      </c>
      <c r="X599" t="s">
        <v>9020</v>
      </c>
      <c r="Z599">
        <v>100179701</v>
      </c>
      <c r="AA599" t="s">
        <v>7031</v>
      </c>
      <c r="AB599" t="s">
        <v>2863</v>
      </c>
      <c r="AC599" t="s">
        <v>205</v>
      </c>
      <c r="AD599" t="s">
        <v>9020</v>
      </c>
      <c r="AF599" t="s">
        <v>10391</v>
      </c>
      <c r="AG599" t="s">
        <v>10389</v>
      </c>
      <c r="AI599" t="s">
        <v>10392</v>
      </c>
      <c r="AM599" t="s">
        <v>4706</v>
      </c>
      <c r="AN599" t="s">
        <v>2069</v>
      </c>
      <c r="AO599" t="s">
        <v>10393</v>
      </c>
      <c r="AP599" t="s">
        <v>7024</v>
      </c>
      <c r="AQ599" t="s">
        <v>10394</v>
      </c>
      <c r="AR599" t="s">
        <v>10395</v>
      </c>
      <c r="AT599" s="184">
        <v>32983</v>
      </c>
      <c r="AU599" t="s">
        <v>10151</v>
      </c>
      <c r="AV599">
        <v>15</v>
      </c>
      <c r="AW599" s="184">
        <v>45420</v>
      </c>
      <c r="AX599" t="s">
        <v>7422</v>
      </c>
      <c r="AY599">
        <v>20</v>
      </c>
      <c r="AZ599" s="184">
        <v>44560</v>
      </c>
      <c r="BA599" t="s">
        <v>10396</v>
      </c>
      <c r="BB599">
        <v>100</v>
      </c>
      <c r="BC599">
        <v>83</v>
      </c>
      <c r="BD599">
        <v>2882</v>
      </c>
      <c r="BE599">
        <v>1990</v>
      </c>
      <c r="BF599">
        <v>90</v>
      </c>
      <c r="BG599">
        <v>24</v>
      </c>
      <c r="BH599">
        <v>480</v>
      </c>
      <c r="BI599">
        <v>29</v>
      </c>
      <c r="BJ599">
        <v>35</v>
      </c>
      <c r="BK599">
        <v>8</v>
      </c>
      <c r="BP599" s="184"/>
    </row>
    <row r="600" spans="1:68">
      <c r="A600">
        <v>100179701</v>
      </c>
      <c r="B600">
        <v>3092657</v>
      </c>
      <c r="C600" t="s">
        <v>7018</v>
      </c>
      <c r="D600" t="s">
        <v>595</v>
      </c>
      <c r="E600" s="184">
        <v>45195</v>
      </c>
      <c r="I600" s="184"/>
      <c r="K600" s="184"/>
      <c r="M600" s="184"/>
      <c r="O600" s="184"/>
      <c r="P600" t="s">
        <v>7045</v>
      </c>
      <c r="Q600" t="s">
        <v>7262</v>
      </c>
      <c r="R600" s="184"/>
      <c r="U600" t="s">
        <v>7031</v>
      </c>
      <c r="V600" t="s">
        <v>2863</v>
      </c>
      <c r="W600" t="s">
        <v>205</v>
      </c>
      <c r="X600" t="s">
        <v>9020</v>
      </c>
      <c r="Z600">
        <v>3092657</v>
      </c>
      <c r="AA600" t="s">
        <v>7076</v>
      </c>
      <c r="AB600" t="s">
        <v>10389</v>
      </c>
      <c r="AC600" t="s">
        <v>10390</v>
      </c>
      <c r="AD600" t="s">
        <v>9020</v>
      </c>
      <c r="AF600" t="s">
        <v>10391</v>
      </c>
      <c r="AG600" t="s">
        <v>10389</v>
      </c>
      <c r="AI600" t="s">
        <v>10392</v>
      </c>
      <c r="AM600" t="s">
        <v>4706</v>
      </c>
      <c r="AN600" t="s">
        <v>2069</v>
      </c>
      <c r="AO600" t="s">
        <v>10393</v>
      </c>
      <c r="AP600" t="s">
        <v>7024</v>
      </c>
      <c r="AT600" s="184"/>
      <c r="AW600" s="184"/>
      <c r="AZ600" s="184"/>
      <c r="BO600" t="s">
        <v>595</v>
      </c>
      <c r="BP600" s="184"/>
    </row>
    <row r="601" spans="1:68">
      <c r="A601">
        <v>3137692</v>
      </c>
      <c r="B601">
        <v>3137692</v>
      </c>
      <c r="C601" t="s">
        <v>7018</v>
      </c>
      <c r="E601" s="184"/>
      <c r="G601" s="184"/>
      <c r="J601" t="s">
        <v>595</v>
      </c>
      <c r="K601" s="184">
        <v>39702</v>
      </c>
      <c r="O601" s="184"/>
      <c r="P601" t="s">
        <v>7045</v>
      </c>
      <c r="Q601" t="s">
        <v>7374</v>
      </c>
      <c r="R601" s="184">
        <v>23442</v>
      </c>
      <c r="S601">
        <v>60</v>
      </c>
      <c r="V601" t="s">
        <v>5862</v>
      </c>
      <c r="W601" t="s">
        <v>7248</v>
      </c>
      <c r="X601" t="s">
        <v>5863</v>
      </c>
      <c r="Z601">
        <v>100017055</v>
      </c>
      <c r="AB601" t="s">
        <v>2832</v>
      </c>
      <c r="AD601" t="s">
        <v>5864</v>
      </c>
      <c r="AF601" t="s">
        <v>10397</v>
      </c>
      <c r="AG601" t="s">
        <v>5862</v>
      </c>
      <c r="AI601" t="s">
        <v>10398</v>
      </c>
      <c r="AM601" t="s">
        <v>4258</v>
      </c>
      <c r="AN601" t="s">
        <v>2081</v>
      </c>
      <c r="AO601" t="s">
        <v>10399</v>
      </c>
      <c r="AP601" t="s">
        <v>7024</v>
      </c>
      <c r="AQ601" t="s">
        <v>10400</v>
      </c>
      <c r="AR601" t="s">
        <v>10401</v>
      </c>
      <c r="AT601" s="184">
        <v>32988</v>
      </c>
      <c r="AU601" t="s">
        <v>10402</v>
      </c>
      <c r="AV601">
        <v>25</v>
      </c>
      <c r="AW601" s="184">
        <v>43826</v>
      </c>
      <c r="AX601" t="s">
        <v>10403</v>
      </c>
      <c r="AY601">
        <v>729.9</v>
      </c>
      <c r="AZ601" s="184">
        <v>35579</v>
      </c>
      <c r="BA601" t="s">
        <v>10404</v>
      </c>
      <c r="BB601">
        <v>2240.4499999999998</v>
      </c>
      <c r="BC601">
        <v>63</v>
      </c>
      <c r="BD601">
        <v>16507.64</v>
      </c>
      <c r="BE601">
        <v>1990</v>
      </c>
      <c r="BF601">
        <v>29</v>
      </c>
      <c r="BI601">
        <v>22</v>
      </c>
      <c r="BJ601">
        <v>35</v>
      </c>
      <c r="BK601">
        <v>6</v>
      </c>
      <c r="BP601" s="184"/>
    </row>
    <row r="602" spans="1:68">
      <c r="A602">
        <v>100017055</v>
      </c>
      <c r="B602">
        <v>3137692</v>
      </c>
      <c r="C602" t="s">
        <v>7018</v>
      </c>
      <c r="E602" s="184"/>
      <c r="G602" s="184"/>
      <c r="I602" s="184"/>
      <c r="J602" t="s">
        <v>595</v>
      </c>
      <c r="K602" s="184">
        <v>39702</v>
      </c>
      <c r="O602" s="184"/>
      <c r="P602" t="s">
        <v>7045</v>
      </c>
      <c r="Q602" t="s">
        <v>7374</v>
      </c>
      <c r="R602" s="184">
        <v>20271</v>
      </c>
      <c r="S602">
        <v>68</v>
      </c>
      <c r="V602" t="s">
        <v>2832</v>
      </c>
      <c r="X602" t="s">
        <v>5864</v>
      </c>
      <c r="Z602">
        <v>3137692</v>
      </c>
      <c r="AB602" t="s">
        <v>5862</v>
      </c>
      <c r="AC602" t="s">
        <v>7248</v>
      </c>
      <c r="AD602" t="s">
        <v>5863</v>
      </c>
      <c r="AF602" t="s">
        <v>10397</v>
      </c>
      <c r="AG602" t="s">
        <v>5862</v>
      </c>
      <c r="AI602" t="s">
        <v>10398</v>
      </c>
      <c r="AM602" t="s">
        <v>4258</v>
      </c>
      <c r="AN602" t="s">
        <v>2081</v>
      </c>
      <c r="AO602" t="s">
        <v>10399</v>
      </c>
      <c r="AP602" t="s">
        <v>7024</v>
      </c>
      <c r="AT602" s="184"/>
      <c r="AW602" s="184"/>
      <c r="AZ602" s="184"/>
      <c r="BO602" t="s">
        <v>595</v>
      </c>
      <c r="BP602" s="184">
        <v>44134</v>
      </c>
    </row>
    <row r="603" spans="1:68">
      <c r="A603">
        <v>3138831</v>
      </c>
      <c r="B603">
        <v>3138831</v>
      </c>
      <c r="C603" t="s">
        <v>7018</v>
      </c>
      <c r="D603" t="s">
        <v>595</v>
      </c>
      <c r="E603" s="184">
        <v>44168</v>
      </c>
      <c r="I603" s="184"/>
      <c r="K603" s="184"/>
      <c r="O603" s="184"/>
      <c r="P603" t="s">
        <v>7045</v>
      </c>
      <c r="Q603" t="s">
        <v>7194</v>
      </c>
      <c r="R603" s="184">
        <v>19299</v>
      </c>
      <c r="S603">
        <v>71</v>
      </c>
      <c r="U603" t="s">
        <v>7031</v>
      </c>
      <c r="V603" t="s">
        <v>2946</v>
      </c>
      <c r="W603" t="s">
        <v>10405</v>
      </c>
      <c r="X603" t="s">
        <v>10406</v>
      </c>
      <c r="AF603" t="s">
        <v>10407</v>
      </c>
      <c r="AG603" t="s">
        <v>2946</v>
      </c>
      <c r="AI603" t="s">
        <v>10408</v>
      </c>
      <c r="AM603" t="s">
        <v>10409</v>
      </c>
      <c r="AN603" t="s">
        <v>2046</v>
      </c>
      <c r="AO603" t="s">
        <v>10410</v>
      </c>
      <c r="AP603" t="s">
        <v>7024</v>
      </c>
      <c r="AQ603" t="s">
        <v>10411</v>
      </c>
      <c r="AT603" s="184">
        <v>32988</v>
      </c>
      <c r="AU603" t="s">
        <v>10412</v>
      </c>
      <c r="AV603">
        <v>15</v>
      </c>
      <c r="AW603" s="184">
        <v>45134</v>
      </c>
      <c r="AX603" t="s">
        <v>10413</v>
      </c>
      <c r="AY603">
        <v>50</v>
      </c>
      <c r="AZ603" s="184">
        <v>38701</v>
      </c>
      <c r="BA603" t="s">
        <v>10414</v>
      </c>
      <c r="BB603">
        <v>100</v>
      </c>
      <c r="BC603">
        <v>66</v>
      </c>
      <c r="BD603">
        <v>1275</v>
      </c>
      <c r="BE603">
        <v>1990</v>
      </c>
      <c r="BF603">
        <v>28</v>
      </c>
      <c r="BG603">
        <v>1</v>
      </c>
      <c r="BH603">
        <v>50</v>
      </c>
      <c r="BI603">
        <v>23</v>
      </c>
      <c r="BJ603">
        <v>35</v>
      </c>
      <c r="BK603">
        <v>6</v>
      </c>
      <c r="BN603" t="s">
        <v>595</v>
      </c>
      <c r="BP603" s="184"/>
    </row>
    <row r="604" spans="1:68">
      <c r="A604">
        <v>3145455</v>
      </c>
      <c r="B604">
        <v>3145455</v>
      </c>
      <c r="C604" t="s">
        <v>7018</v>
      </c>
      <c r="E604" s="184"/>
      <c r="G604" s="184"/>
      <c r="J604" t="s">
        <v>595</v>
      </c>
      <c r="K604" s="184">
        <v>41545</v>
      </c>
      <c r="N604" t="s">
        <v>595</v>
      </c>
      <c r="O604" s="184">
        <v>42863</v>
      </c>
      <c r="P604" t="s">
        <v>7029</v>
      </c>
      <c r="Q604" t="s">
        <v>7383</v>
      </c>
      <c r="R604" s="184">
        <v>12236</v>
      </c>
      <c r="S604">
        <v>90</v>
      </c>
      <c r="U604" t="s">
        <v>7076</v>
      </c>
      <c r="V604" t="s">
        <v>3801</v>
      </c>
      <c r="W604" t="s">
        <v>2049</v>
      </c>
      <c r="X604" t="s">
        <v>3802</v>
      </c>
      <c r="AF604" t="s">
        <v>10415</v>
      </c>
      <c r="AG604" t="s">
        <v>3801</v>
      </c>
      <c r="AI604" t="s">
        <v>10416</v>
      </c>
      <c r="AM604" t="s">
        <v>2830</v>
      </c>
      <c r="AN604" t="s">
        <v>2185</v>
      </c>
      <c r="AO604" t="s">
        <v>10417</v>
      </c>
      <c r="AP604" t="s">
        <v>7024</v>
      </c>
      <c r="AQ604" t="s">
        <v>10418</v>
      </c>
      <c r="AR604" t="s">
        <v>10419</v>
      </c>
      <c r="AT604" s="184">
        <v>32988</v>
      </c>
      <c r="AU604" t="s">
        <v>10420</v>
      </c>
      <c r="AV604">
        <v>15</v>
      </c>
      <c r="AW604" s="184">
        <v>44083</v>
      </c>
      <c r="AX604" t="s">
        <v>9633</v>
      </c>
      <c r="AY604">
        <v>50</v>
      </c>
      <c r="AZ604" s="184">
        <v>42863</v>
      </c>
      <c r="BA604" t="s">
        <v>7267</v>
      </c>
      <c r="BB604">
        <v>20000</v>
      </c>
      <c r="BC604">
        <v>55</v>
      </c>
      <c r="BD604">
        <v>22975</v>
      </c>
      <c r="BE604">
        <v>1990</v>
      </c>
      <c r="BF604">
        <v>27</v>
      </c>
      <c r="BI604">
        <v>19</v>
      </c>
      <c r="BJ604">
        <v>35</v>
      </c>
      <c r="BK604">
        <v>5</v>
      </c>
    </row>
    <row r="605" spans="1:68">
      <c r="A605">
        <v>3150323</v>
      </c>
      <c r="B605">
        <v>3150323</v>
      </c>
      <c r="C605" t="s">
        <v>7018</v>
      </c>
      <c r="E605" s="184"/>
      <c r="G605" s="184"/>
      <c r="J605" t="s">
        <v>595</v>
      </c>
      <c r="K605" s="184">
        <v>41918</v>
      </c>
      <c r="O605" s="184"/>
      <c r="P605" t="s">
        <v>7045</v>
      </c>
      <c r="Q605" t="s">
        <v>7374</v>
      </c>
      <c r="R605" s="184">
        <v>17137</v>
      </c>
      <c r="S605">
        <v>77</v>
      </c>
      <c r="U605" t="s">
        <v>7031</v>
      </c>
      <c r="V605" t="s">
        <v>10421</v>
      </c>
      <c r="W605" t="s">
        <v>7046</v>
      </c>
      <c r="X605" t="s">
        <v>4565</v>
      </c>
      <c r="AF605" t="s">
        <v>6435</v>
      </c>
      <c r="AG605" t="s">
        <v>10421</v>
      </c>
      <c r="AI605" t="s">
        <v>10422</v>
      </c>
      <c r="AM605" t="s">
        <v>10423</v>
      </c>
      <c r="AN605" t="s">
        <v>2081</v>
      </c>
      <c r="AO605" t="s">
        <v>10424</v>
      </c>
      <c r="AP605" t="s">
        <v>7024</v>
      </c>
      <c r="AT605" s="184">
        <v>32988</v>
      </c>
      <c r="AU605" t="s">
        <v>10288</v>
      </c>
      <c r="AV605">
        <v>15</v>
      </c>
      <c r="AW605" s="184">
        <v>45131</v>
      </c>
      <c r="AX605" t="s">
        <v>10425</v>
      </c>
      <c r="AY605">
        <v>5</v>
      </c>
      <c r="AZ605" s="184">
        <v>39272</v>
      </c>
      <c r="BA605" t="s">
        <v>10426</v>
      </c>
      <c r="BB605">
        <v>50</v>
      </c>
      <c r="BC605">
        <v>92</v>
      </c>
      <c r="BD605">
        <v>1130</v>
      </c>
      <c r="BE605">
        <v>1990</v>
      </c>
      <c r="BF605">
        <v>76</v>
      </c>
      <c r="BG605">
        <v>5</v>
      </c>
      <c r="BH605">
        <v>65</v>
      </c>
      <c r="BI605">
        <v>32</v>
      </c>
      <c r="BJ605">
        <v>35</v>
      </c>
      <c r="BK605">
        <v>20</v>
      </c>
      <c r="BP605" s="184"/>
    </row>
    <row r="606" spans="1:68">
      <c r="A606">
        <v>3151438</v>
      </c>
      <c r="B606">
        <v>3151438</v>
      </c>
      <c r="C606" t="s">
        <v>7018</v>
      </c>
      <c r="D606" t="s">
        <v>595</v>
      </c>
      <c r="E606" s="184">
        <v>43881</v>
      </c>
      <c r="G606" s="184"/>
      <c r="K606" s="184"/>
      <c r="O606" s="184"/>
      <c r="P606" t="s">
        <v>7045</v>
      </c>
      <c r="Q606" t="s">
        <v>7262</v>
      </c>
      <c r="R606" s="184">
        <v>11980</v>
      </c>
      <c r="S606">
        <v>91</v>
      </c>
      <c r="U606" t="s">
        <v>7130</v>
      </c>
      <c r="V606" t="s">
        <v>3192</v>
      </c>
      <c r="X606" t="s">
        <v>10427</v>
      </c>
      <c r="AF606" t="s">
        <v>10428</v>
      </c>
      <c r="AG606" t="s">
        <v>3192</v>
      </c>
      <c r="AI606" t="s">
        <v>10429</v>
      </c>
      <c r="AM606" t="s">
        <v>10430</v>
      </c>
      <c r="AN606" t="s">
        <v>65</v>
      </c>
      <c r="AO606" t="s">
        <v>10431</v>
      </c>
      <c r="AP606" t="s">
        <v>7024</v>
      </c>
      <c r="AQ606" t="s">
        <v>10432</v>
      </c>
      <c r="AR606" t="s">
        <v>10433</v>
      </c>
      <c r="AT606" s="184">
        <v>32988</v>
      </c>
      <c r="AU606" t="s">
        <v>10434</v>
      </c>
      <c r="AV606">
        <v>15</v>
      </c>
      <c r="AW606" s="184">
        <v>44771</v>
      </c>
      <c r="AX606" t="s">
        <v>10435</v>
      </c>
      <c r="AY606">
        <v>125</v>
      </c>
      <c r="AZ606" s="184">
        <v>41813</v>
      </c>
      <c r="BA606" t="s">
        <v>10436</v>
      </c>
      <c r="BB606">
        <v>250</v>
      </c>
      <c r="BC606">
        <v>86</v>
      </c>
      <c r="BD606">
        <v>3810</v>
      </c>
      <c r="BE606">
        <v>1990</v>
      </c>
      <c r="BF606">
        <v>40</v>
      </c>
      <c r="BG606">
        <v>1</v>
      </c>
      <c r="BH606">
        <v>125</v>
      </c>
      <c r="BI606">
        <v>30</v>
      </c>
      <c r="BJ606">
        <v>35</v>
      </c>
      <c r="BK606">
        <v>13</v>
      </c>
      <c r="BP606" s="184"/>
    </row>
    <row r="607" spans="1:68">
      <c r="A607">
        <v>3156353</v>
      </c>
      <c r="B607">
        <v>3156353</v>
      </c>
      <c r="C607" t="s">
        <v>7018</v>
      </c>
      <c r="E607" s="184"/>
      <c r="G607" s="184"/>
      <c r="K607" s="184"/>
      <c r="M607" s="184"/>
      <c r="N607" t="s">
        <v>595</v>
      </c>
      <c r="O607" s="184">
        <v>43979</v>
      </c>
      <c r="P607" t="s">
        <v>7045</v>
      </c>
      <c r="Q607" t="s">
        <v>7030</v>
      </c>
      <c r="R607" s="184">
        <v>18641</v>
      </c>
      <c r="S607">
        <v>73</v>
      </c>
      <c r="U607" t="s">
        <v>7031</v>
      </c>
      <c r="V607" t="s">
        <v>2992</v>
      </c>
      <c r="X607" t="s">
        <v>10437</v>
      </c>
      <c r="Z607">
        <v>100370042</v>
      </c>
      <c r="AA607" t="s">
        <v>7076</v>
      </c>
      <c r="AB607" t="s">
        <v>10438</v>
      </c>
      <c r="AD607" t="s">
        <v>2792</v>
      </c>
      <c r="AF607" t="s">
        <v>10439</v>
      </c>
      <c r="AG607" t="s">
        <v>10440</v>
      </c>
      <c r="AI607" t="s">
        <v>10441</v>
      </c>
      <c r="AM607" t="s">
        <v>2793</v>
      </c>
      <c r="AN607" t="s">
        <v>2201</v>
      </c>
      <c r="AO607" t="s">
        <v>10442</v>
      </c>
      <c r="AP607" t="s">
        <v>7024</v>
      </c>
      <c r="AQ607" t="s">
        <v>10443</v>
      </c>
      <c r="AT607" s="184">
        <v>32988</v>
      </c>
      <c r="AU607" t="s">
        <v>10157</v>
      </c>
      <c r="AV607">
        <v>15</v>
      </c>
      <c r="AW607" s="184">
        <v>45397</v>
      </c>
      <c r="AX607" t="s">
        <v>10444</v>
      </c>
      <c r="AY607">
        <v>100</v>
      </c>
      <c r="AZ607" s="184">
        <v>43545</v>
      </c>
      <c r="BA607" t="s">
        <v>10445</v>
      </c>
      <c r="BB607">
        <v>300</v>
      </c>
      <c r="BC607">
        <v>46</v>
      </c>
      <c r="BD607">
        <v>2615</v>
      </c>
      <c r="BE607">
        <v>1990</v>
      </c>
      <c r="BF607">
        <v>16</v>
      </c>
      <c r="BG607">
        <v>2</v>
      </c>
      <c r="BH607">
        <v>200</v>
      </c>
      <c r="BI607">
        <v>16</v>
      </c>
      <c r="BJ607">
        <v>35</v>
      </c>
      <c r="BK607">
        <v>15</v>
      </c>
      <c r="BP607" s="184"/>
    </row>
    <row r="608" spans="1:68">
      <c r="A608">
        <v>100370042</v>
      </c>
      <c r="B608">
        <v>3156353</v>
      </c>
      <c r="C608" t="s">
        <v>7018</v>
      </c>
      <c r="E608" s="184"/>
      <c r="G608" s="184"/>
      <c r="K608" s="184"/>
      <c r="M608" s="184"/>
      <c r="N608" t="s">
        <v>595</v>
      </c>
      <c r="O608" s="184">
        <v>43979</v>
      </c>
      <c r="P608" t="s">
        <v>7045</v>
      </c>
      <c r="Q608" t="s">
        <v>7030</v>
      </c>
      <c r="R608" s="184">
        <v>15214</v>
      </c>
      <c r="S608">
        <v>82</v>
      </c>
      <c r="U608" t="s">
        <v>7076</v>
      </c>
      <c r="V608" t="s">
        <v>10438</v>
      </c>
      <c r="X608" t="s">
        <v>2792</v>
      </c>
      <c r="Z608">
        <v>3156353</v>
      </c>
      <c r="AA608" t="s">
        <v>7031</v>
      </c>
      <c r="AB608" t="s">
        <v>2992</v>
      </c>
      <c r="AD608" t="s">
        <v>10437</v>
      </c>
      <c r="AF608" t="s">
        <v>10439</v>
      </c>
      <c r="AG608" t="s">
        <v>10440</v>
      </c>
      <c r="AI608" t="s">
        <v>10441</v>
      </c>
      <c r="AM608" t="s">
        <v>2793</v>
      </c>
      <c r="AN608" t="s">
        <v>2201</v>
      </c>
      <c r="AO608" t="s">
        <v>10442</v>
      </c>
      <c r="AP608" t="s">
        <v>7024</v>
      </c>
      <c r="AQ608" t="s">
        <v>10446</v>
      </c>
      <c r="AT608" s="184">
        <v>44521</v>
      </c>
      <c r="AU608" t="s">
        <v>9677</v>
      </c>
      <c r="AV608">
        <v>25</v>
      </c>
      <c r="AW608" s="184">
        <v>44521</v>
      </c>
      <c r="AX608" t="s">
        <v>9677</v>
      </c>
      <c r="AY608">
        <v>25</v>
      </c>
      <c r="AZ608" s="184">
        <v>44521</v>
      </c>
      <c r="BA608" t="s">
        <v>9677</v>
      </c>
      <c r="BB608">
        <v>25</v>
      </c>
      <c r="BC608">
        <v>25</v>
      </c>
      <c r="BD608">
        <v>25</v>
      </c>
      <c r="BE608">
        <v>2022</v>
      </c>
      <c r="BF608">
        <v>1</v>
      </c>
      <c r="BI608">
        <v>1</v>
      </c>
      <c r="BJ608">
        <v>4</v>
      </c>
      <c r="BK608">
        <v>1</v>
      </c>
      <c r="BP608" s="184"/>
    </row>
    <row r="609" spans="1:68">
      <c r="A609">
        <v>3161809</v>
      </c>
      <c r="B609">
        <v>3161809</v>
      </c>
      <c r="C609" t="s">
        <v>7018</v>
      </c>
      <c r="E609" s="184"/>
      <c r="G609" s="184"/>
      <c r="I609" s="184"/>
      <c r="J609" t="s">
        <v>595</v>
      </c>
      <c r="K609" s="184">
        <v>41955</v>
      </c>
      <c r="M609" s="184"/>
      <c r="P609" t="s">
        <v>7045</v>
      </c>
      <c r="Q609" t="s">
        <v>7030</v>
      </c>
      <c r="R609" s="184">
        <v>17288</v>
      </c>
      <c r="S609">
        <v>77</v>
      </c>
      <c r="U609" t="s">
        <v>7031</v>
      </c>
      <c r="V609" t="s">
        <v>2982</v>
      </c>
      <c r="W609" t="s">
        <v>7469</v>
      </c>
      <c r="X609" t="s">
        <v>10447</v>
      </c>
      <c r="AF609" t="s">
        <v>6108</v>
      </c>
      <c r="AG609" t="s">
        <v>2982</v>
      </c>
      <c r="AI609" t="s">
        <v>10448</v>
      </c>
      <c r="AM609" t="s">
        <v>2564</v>
      </c>
      <c r="AN609" t="s">
        <v>2089</v>
      </c>
      <c r="AO609" t="s">
        <v>10449</v>
      </c>
      <c r="AP609" t="s">
        <v>7024</v>
      </c>
      <c r="AQ609" t="s">
        <v>10450</v>
      </c>
      <c r="AT609" s="184">
        <v>32988</v>
      </c>
      <c r="AU609" t="s">
        <v>10275</v>
      </c>
      <c r="AV609">
        <v>15</v>
      </c>
      <c r="AW609" s="184">
        <v>45406</v>
      </c>
      <c r="AX609" t="s">
        <v>10451</v>
      </c>
      <c r="AY609">
        <v>15</v>
      </c>
      <c r="AZ609" s="184">
        <v>41274</v>
      </c>
      <c r="BA609" t="s">
        <v>10452</v>
      </c>
      <c r="BB609">
        <v>1000</v>
      </c>
      <c r="BC609">
        <v>49</v>
      </c>
      <c r="BD609">
        <v>5610</v>
      </c>
      <c r="BE609">
        <v>1990</v>
      </c>
      <c r="BF609">
        <v>78</v>
      </c>
      <c r="BG609">
        <v>4</v>
      </c>
      <c r="BH609">
        <v>130</v>
      </c>
      <c r="BI609">
        <v>17</v>
      </c>
      <c r="BJ609">
        <v>35</v>
      </c>
      <c r="BK609">
        <v>7</v>
      </c>
    </row>
    <row r="610" spans="1:68">
      <c r="A610">
        <v>3165024</v>
      </c>
      <c r="B610">
        <v>3165024</v>
      </c>
      <c r="C610" t="s">
        <v>7018</v>
      </c>
      <c r="D610" t="s">
        <v>595</v>
      </c>
      <c r="E610" s="184">
        <v>44070</v>
      </c>
      <c r="G610" s="184"/>
      <c r="I610" s="184"/>
      <c r="K610" s="184"/>
      <c r="M610" s="184"/>
      <c r="P610" t="s">
        <v>7045</v>
      </c>
      <c r="Q610" t="s">
        <v>7383</v>
      </c>
      <c r="R610" s="184">
        <v>16378</v>
      </c>
      <c r="S610">
        <v>79</v>
      </c>
      <c r="U610" t="s">
        <v>7031</v>
      </c>
      <c r="V610" t="s">
        <v>3283</v>
      </c>
      <c r="W610" t="s">
        <v>4152</v>
      </c>
      <c r="X610" t="s">
        <v>4871</v>
      </c>
      <c r="AF610" t="s">
        <v>10453</v>
      </c>
      <c r="AG610" t="s">
        <v>3283</v>
      </c>
      <c r="AI610" t="s">
        <v>10454</v>
      </c>
      <c r="AM610" t="s">
        <v>4872</v>
      </c>
      <c r="AN610" t="s">
        <v>2313</v>
      </c>
      <c r="AO610" t="s">
        <v>10455</v>
      </c>
      <c r="AP610" t="s">
        <v>7024</v>
      </c>
      <c r="AQ610" t="s">
        <v>10456</v>
      </c>
      <c r="AT610" s="184">
        <v>32988</v>
      </c>
      <c r="AU610" t="s">
        <v>10457</v>
      </c>
      <c r="AV610">
        <v>15</v>
      </c>
      <c r="AW610" s="184">
        <v>45406</v>
      </c>
      <c r="AX610" t="s">
        <v>10458</v>
      </c>
      <c r="AY610">
        <v>6</v>
      </c>
      <c r="AZ610" s="184">
        <v>43542</v>
      </c>
      <c r="BA610" t="s">
        <v>10459</v>
      </c>
      <c r="BB610">
        <v>106</v>
      </c>
      <c r="BC610">
        <v>95</v>
      </c>
      <c r="BD610">
        <v>3036</v>
      </c>
      <c r="BE610">
        <v>1990</v>
      </c>
      <c r="BF610">
        <v>60</v>
      </c>
      <c r="BG610">
        <v>4</v>
      </c>
      <c r="BH610">
        <v>212</v>
      </c>
      <c r="BI610">
        <v>33</v>
      </c>
      <c r="BJ610">
        <v>35</v>
      </c>
      <c r="BK610">
        <v>21</v>
      </c>
      <c r="BN610" t="s">
        <v>595</v>
      </c>
    </row>
    <row r="611" spans="1:68">
      <c r="A611">
        <v>3191822</v>
      </c>
      <c r="B611">
        <v>3191822</v>
      </c>
      <c r="C611" t="s">
        <v>7018</v>
      </c>
      <c r="D611" t="s">
        <v>595</v>
      </c>
      <c r="E611" s="184">
        <v>44073</v>
      </c>
      <c r="G611" s="184"/>
      <c r="I611" s="184"/>
      <c r="K611" s="184"/>
      <c r="M611" s="184"/>
      <c r="O611" s="184"/>
      <c r="P611" t="s">
        <v>7045</v>
      </c>
      <c r="Q611" t="s">
        <v>7020</v>
      </c>
      <c r="R611" s="184">
        <v>18719</v>
      </c>
      <c r="S611">
        <v>73</v>
      </c>
      <c r="V611" t="s">
        <v>3801</v>
      </c>
      <c r="X611" t="s">
        <v>10460</v>
      </c>
      <c r="Z611">
        <v>100017198</v>
      </c>
      <c r="AB611" t="s">
        <v>3825</v>
      </c>
      <c r="AD611" t="s">
        <v>10460</v>
      </c>
      <c r="AF611" t="s">
        <v>10461</v>
      </c>
      <c r="AG611" t="s">
        <v>10462</v>
      </c>
      <c r="AI611" t="s">
        <v>10463</v>
      </c>
      <c r="AM611" t="s">
        <v>3144</v>
      </c>
      <c r="AN611" t="s">
        <v>2112</v>
      </c>
      <c r="AO611" t="s">
        <v>10464</v>
      </c>
      <c r="AP611" t="s">
        <v>7024</v>
      </c>
      <c r="AQ611" t="s">
        <v>10465</v>
      </c>
      <c r="AR611" t="s">
        <v>10466</v>
      </c>
      <c r="AT611" s="184">
        <v>32989</v>
      </c>
      <c r="AU611" t="s">
        <v>10467</v>
      </c>
      <c r="AV611">
        <v>15</v>
      </c>
      <c r="AW611" s="184">
        <v>44669</v>
      </c>
      <c r="AX611" t="s">
        <v>10468</v>
      </c>
      <c r="AY611">
        <v>100</v>
      </c>
      <c r="AZ611" s="184">
        <v>44669</v>
      </c>
      <c r="BA611" t="s">
        <v>10468</v>
      </c>
      <c r="BB611">
        <v>100</v>
      </c>
      <c r="BC611">
        <v>78</v>
      </c>
      <c r="BD611">
        <v>1300</v>
      </c>
      <c r="BE611">
        <v>1990</v>
      </c>
      <c r="BF611">
        <v>32</v>
      </c>
      <c r="BG611">
        <v>1</v>
      </c>
      <c r="BH611">
        <v>100</v>
      </c>
      <c r="BI611">
        <v>27</v>
      </c>
      <c r="BJ611">
        <v>35</v>
      </c>
      <c r="BK611">
        <v>12</v>
      </c>
      <c r="BP611" s="184"/>
    </row>
    <row r="612" spans="1:68">
      <c r="A612">
        <v>100017198</v>
      </c>
      <c r="B612">
        <v>3191822</v>
      </c>
      <c r="C612" t="s">
        <v>7018</v>
      </c>
      <c r="D612" t="s">
        <v>595</v>
      </c>
      <c r="E612" s="184">
        <v>44073</v>
      </c>
      <c r="G612" s="184"/>
      <c r="I612" s="184"/>
      <c r="K612" s="184"/>
      <c r="M612" s="184"/>
      <c r="P612" t="s">
        <v>7045</v>
      </c>
      <c r="Q612" t="s">
        <v>7020</v>
      </c>
      <c r="R612" s="184">
        <v>18719</v>
      </c>
      <c r="S612">
        <v>73</v>
      </c>
      <c r="V612" t="s">
        <v>3825</v>
      </c>
      <c r="X612" t="s">
        <v>10460</v>
      </c>
      <c r="Z612">
        <v>3191822</v>
      </c>
      <c r="AB612" t="s">
        <v>3801</v>
      </c>
      <c r="AD612" t="s">
        <v>10460</v>
      </c>
      <c r="AF612" t="s">
        <v>10461</v>
      </c>
      <c r="AG612" t="s">
        <v>10462</v>
      </c>
      <c r="AI612" t="s">
        <v>10463</v>
      </c>
      <c r="AM612" t="s">
        <v>3144</v>
      </c>
      <c r="AN612" t="s">
        <v>2112</v>
      </c>
      <c r="AO612" t="s">
        <v>10464</v>
      </c>
      <c r="AP612" t="s">
        <v>7024</v>
      </c>
      <c r="AT612" s="184"/>
      <c r="AW612" s="184"/>
      <c r="AZ612" s="184"/>
    </row>
    <row r="613" spans="1:68">
      <c r="A613">
        <v>3199304</v>
      </c>
      <c r="B613">
        <v>3199304</v>
      </c>
      <c r="C613" t="s">
        <v>7018</v>
      </c>
      <c r="E613" s="184"/>
      <c r="F613" t="s">
        <v>595</v>
      </c>
      <c r="G613" s="184">
        <v>43657</v>
      </c>
      <c r="I613" s="184"/>
      <c r="K613" s="184"/>
      <c r="P613" t="s">
        <v>7045</v>
      </c>
      <c r="Q613" t="s">
        <v>7020</v>
      </c>
      <c r="R613" s="184">
        <v>19909</v>
      </c>
      <c r="S613">
        <v>69</v>
      </c>
      <c r="V613" t="s">
        <v>3632</v>
      </c>
      <c r="X613" t="s">
        <v>3633</v>
      </c>
      <c r="AF613" t="s">
        <v>10469</v>
      </c>
      <c r="AG613" t="s">
        <v>3632</v>
      </c>
      <c r="AI613" t="s">
        <v>10470</v>
      </c>
      <c r="AM613" t="s">
        <v>3634</v>
      </c>
      <c r="AN613" t="s">
        <v>2112</v>
      </c>
      <c r="AO613" t="s">
        <v>10471</v>
      </c>
      <c r="AP613" t="s">
        <v>7024</v>
      </c>
      <c r="AT613" s="184">
        <v>32989</v>
      </c>
      <c r="AU613" t="s">
        <v>10345</v>
      </c>
      <c r="AV613">
        <v>15</v>
      </c>
      <c r="AW613" s="184">
        <v>44270</v>
      </c>
      <c r="AX613" t="s">
        <v>9982</v>
      </c>
      <c r="AY613">
        <v>35</v>
      </c>
      <c r="AZ613" s="184">
        <v>38453</v>
      </c>
      <c r="BA613" t="s">
        <v>10472</v>
      </c>
      <c r="BB613">
        <v>40</v>
      </c>
      <c r="BC613">
        <v>52</v>
      </c>
      <c r="BD613">
        <v>540</v>
      </c>
      <c r="BE613">
        <v>1990</v>
      </c>
      <c r="BF613">
        <v>18</v>
      </c>
      <c r="BI613">
        <v>18</v>
      </c>
      <c r="BJ613">
        <v>35</v>
      </c>
      <c r="BK613">
        <v>5</v>
      </c>
    </row>
    <row r="614" spans="1:68">
      <c r="A614">
        <v>3199601</v>
      </c>
      <c r="B614">
        <v>3199601</v>
      </c>
      <c r="C614" t="s">
        <v>7018</v>
      </c>
      <c r="E614" s="184"/>
      <c r="F614" t="s">
        <v>595</v>
      </c>
      <c r="G614" s="184">
        <v>43731</v>
      </c>
      <c r="I614" s="184"/>
      <c r="K614" s="184"/>
      <c r="M614" s="184"/>
      <c r="O614" s="184"/>
      <c r="P614" t="s">
        <v>7045</v>
      </c>
      <c r="Q614" t="s">
        <v>7454</v>
      </c>
      <c r="R614" s="184">
        <v>17807</v>
      </c>
      <c r="S614">
        <v>75</v>
      </c>
      <c r="U614" t="s">
        <v>7031</v>
      </c>
      <c r="V614" t="s">
        <v>3103</v>
      </c>
      <c r="W614" t="s">
        <v>7588</v>
      </c>
      <c r="X614" t="s">
        <v>3904</v>
      </c>
      <c r="AF614" t="s">
        <v>10473</v>
      </c>
      <c r="AG614" t="s">
        <v>3103</v>
      </c>
      <c r="AI614" t="s">
        <v>10474</v>
      </c>
      <c r="AM614" t="s">
        <v>3905</v>
      </c>
      <c r="AN614" t="s">
        <v>2055</v>
      </c>
      <c r="AO614" t="s">
        <v>10475</v>
      </c>
      <c r="AP614" t="s">
        <v>7024</v>
      </c>
      <c r="AQ614" t="s">
        <v>10476</v>
      </c>
      <c r="AT614" s="184">
        <v>32989</v>
      </c>
      <c r="AU614" t="s">
        <v>10151</v>
      </c>
      <c r="AV614">
        <v>15</v>
      </c>
      <c r="AW614" s="184">
        <v>43496</v>
      </c>
      <c r="AX614" t="s">
        <v>10477</v>
      </c>
      <c r="AY614">
        <v>25</v>
      </c>
      <c r="AZ614" s="184">
        <v>43496</v>
      </c>
      <c r="BA614" t="s">
        <v>10477</v>
      </c>
      <c r="BB614">
        <v>25</v>
      </c>
      <c r="BC614">
        <v>35</v>
      </c>
      <c r="BD614">
        <v>235</v>
      </c>
      <c r="BE614">
        <v>1990</v>
      </c>
      <c r="BF614">
        <v>16</v>
      </c>
      <c r="BI614">
        <v>12</v>
      </c>
      <c r="BJ614">
        <v>35</v>
      </c>
      <c r="BK614">
        <v>4</v>
      </c>
      <c r="BP614" s="184"/>
    </row>
    <row r="615" spans="1:68">
      <c r="A615">
        <v>3207024</v>
      </c>
      <c r="B615">
        <v>3207024</v>
      </c>
      <c r="C615" t="s">
        <v>7018</v>
      </c>
      <c r="E615" s="184"/>
      <c r="G615" s="184"/>
      <c r="I615" s="184"/>
      <c r="K615" s="184"/>
      <c r="L615" t="s">
        <v>595</v>
      </c>
      <c r="M615" s="184">
        <v>44202</v>
      </c>
      <c r="P615" t="s">
        <v>7029</v>
      </c>
      <c r="Q615" t="s">
        <v>7160</v>
      </c>
      <c r="R615" s="184">
        <v>15082</v>
      </c>
      <c r="S615">
        <v>83</v>
      </c>
      <c r="U615" t="s">
        <v>7076</v>
      </c>
      <c r="V615" t="s">
        <v>2586</v>
      </c>
      <c r="W615" t="s">
        <v>2963</v>
      </c>
      <c r="X615" t="s">
        <v>10478</v>
      </c>
      <c r="AF615" t="s">
        <v>10479</v>
      </c>
      <c r="AG615" t="s">
        <v>2586</v>
      </c>
      <c r="AI615" t="s">
        <v>10480</v>
      </c>
      <c r="AM615" t="s">
        <v>10481</v>
      </c>
      <c r="AN615" t="s">
        <v>2675</v>
      </c>
      <c r="AO615" t="s">
        <v>10482</v>
      </c>
      <c r="AP615" t="s">
        <v>7024</v>
      </c>
      <c r="AT615" s="184">
        <v>32990</v>
      </c>
      <c r="AU615" t="s">
        <v>10364</v>
      </c>
      <c r="AV615">
        <v>25</v>
      </c>
      <c r="AW615" s="184">
        <v>45342</v>
      </c>
      <c r="AX615" t="s">
        <v>10483</v>
      </c>
      <c r="AY615">
        <v>1000</v>
      </c>
      <c r="AZ615" s="184">
        <v>45342</v>
      </c>
      <c r="BA615" t="s">
        <v>10483</v>
      </c>
      <c r="BB615">
        <v>1000</v>
      </c>
      <c r="BC615">
        <v>49</v>
      </c>
      <c r="BD615">
        <v>4520</v>
      </c>
      <c r="BE615">
        <v>1990</v>
      </c>
      <c r="BF615">
        <v>28</v>
      </c>
      <c r="BG615">
        <v>2</v>
      </c>
      <c r="BH615">
        <v>1500</v>
      </c>
      <c r="BI615">
        <v>17</v>
      </c>
      <c r="BJ615">
        <v>35</v>
      </c>
      <c r="BK615">
        <v>13</v>
      </c>
    </row>
    <row r="616" spans="1:68">
      <c r="A616">
        <v>3230752</v>
      </c>
      <c r="B616">
        <v>3230752</v>
      </c>
      <c r="C616" t="s">
        <v>7018</v>
      </c>
      <c r="E616" s="184"/>
      <c r="G616" s="184"/>
      <c r="I616" s="184"/>
      <c r="J616" t="s">
        <v>595</v>
      </c>
      <c r="K616" s="184">
        <v>41921</v>
      </c>
      <c r="P616" t="s">
        <v>7045</v>
      </c>
      <c r="Q616" t="s">
        <v>7030</v>
      </c>
      <c r="R616" s="184">
        <v>20431</v>
      </c>
      <c r="S616">
        <v>68</v>
      </c>
      <c r="U616" t="s">
        <v>7031</v>
      </c>
      <c r="V616" t="s">
        <v>2832</v>
      </c>
      <c r="W616" t="s">
        <v>7356</v>
      </c>
      <c r="X616" t="s">
        <v>10484</v>
      </c>
      <c r="AF616" t="s">
        <v>6457</v>
      </c>
      <c r="AG616" t="s">
        <v>2832</v>
      </c>
      <c r="AI616" t="s">
        <v>10485</v>
      </c>
      <c r="AM616" t="s">
        <v>2679</v>
      </c>
      <c r="AN616" t="s">
        <v>2638</v>
      </c>
      <c r="AO616" t="s">
        <v>10486</v>
      </c>
      <c r="AP616" t="s">
        <v>7024</v>
      </c>
      <c r="AQ616" t="s">
        <v>10487</v>
      </c>
      <c r="AR616" t="s">
        <v>10488</v>
      </c>
      <c r="AT616" s="184">
        <v>32989</v>
      </c>
      <c r="AU616" t="s">
        <v>10489</v>
      </c>
      <c r="AV616">
        <v>15</v>
      </c>
      <c r="AW616" s="184">
        <v>45384</v>
      </c>
      <c r="AX616" t="s">
        <v>7168</v>
      </c>
      <c r="AY616">
        <v>25</v>
      </c>
      <c r="AZ616" s="184">
        <v>43304</v>
      </c>
      <c r="BA616" t="s">
        <v>10490</v>
      </c>
      <c r="BB616">
        <v>60</v>
      </c>
      <c r="BC616">
        <v>69</v>
      </c>
      <c r="BD616">
        <v>1030</v>
      </c>
      <c r="BE616">
        <v>1990</v>
      </c>
      <c r="BF616">
        <v>35</v>
      </c>
      <c r="BG616">
        <v>2</v>
      </c>
      <c r="BH616">
        <v>50</v>
      </c>
      <c r="BI616">
        <v>24</v>
      </c>
      <c r="BJ616">
        <v>35</v>
      </c>
      <c r="BK616">
        <v>6</v>
      </c>
    </row>
    <row r="617" spans="1:68">
      <c r="A617">
        <v>3237435</v>
      </c>
      <c r="B617">
        <v>3237435</v>
      </c>
      <c r="C617" t="s">
        <v>7018</v>
      </c>
      <c r="E617" s="184"/>
      <c r="H617" t="s">
        <v>595</v>
      </c>
      <c r="I617" s="184">
        <v>43914</v>
      </c>
      <c r="K617" s="184"/>
      <c r="O617" s="184"/>
      <c r="P617" t="s">
        <v>7045</v>
      </c>
      <c r="Q617" t="s">
        <v>7020</v>
      </c>
      <c r="R617" s="184">
        <v>21306</v>
      </c>
      <c r="S617">
        <v>66</v>
      </c>
      <c r="T617" t="s">
        <v>3411</v>
      </c>
      <c r="U617" t="s">
        <v>7031</v>
      </c>
      <c r="V617" t="s">
        <v>3411</v>
      </c>
      <c r="W617" t="s">
        <v>2058</v>
      </c>
      <c r="X617" t="s">
        <v>4783</v>
      </c>
      <c r="Z617">
        <v>100362322</v>
      </c>
      <c r="AA617" t="s">
        <v>7076</v>
      </c>
      <c r="AB617" t="s">
        <v>10491</v>
      </c>
      <c r="AD617" t="s">
        <v>10492</v>
      </c>
      <c r="AF617" t="s">
        <v>10493</v>
      </c>
      <c r="AG617" t="s">
        <v>10494</v>
      </c>
      <c r="AI617" t="s">
        <v>10495</v>
      </c>
      <c r="AM617" t="s">
        <v>4564</v>
      </c>
      <c r="AN617" t="s">
        <v>2129</v>
      </c>
      <c r="AO617" t="s">
        <v>10496</v>
      </c>
      <c r="AP617" t="s">
        <v>7024</v>
      </c>
      <c r="AQ617" t="s">
        <v>10497</v>
      </c>
      <c r="AT617" s="184">
        <v>32990</v>
      </c>
      <c r="AU617" t="s">
        <v>10275</v>
      </c>
      <c r="AV617">
        <v>15</v>
      </c>
      <c r="AW617" s="184">
        <v>45384</v>
      </c>
      <c r="AX617" t="s">
        <v>7832</v>
      </c>
      <c r="AY617">
        <v>60</v>
      </c>
      <c r="AZ617" s="184">
        <v>41727</v>
      </c>
      <c r="BA617" t="s">
        <v>10498</v>
      </c>
      <c r="BB617">
        <v>90</v>
      </c>
      <c r="BC617">
        <v>100</v>
      </c>
      <c r="BD617">
        <v>4106</v>
      </c>
      <c r="BE617">
        <v>1990</v>
      </c>
      <c r="BF617">
        <v>109</v>
      </c>
      <c r="BG617">
        <v>4</v>
      </c>
      <c r="BH617">
        <v>230</v>
      </c>
      <c r="BI617">
        <v>35</v>
      </c>
      <c r="BJ617">
        <v>35</v>
      </c>
      <c r="BK617">
        <v>35</v>
      </c>
    </row>
    <row r="618" spans="1:68">
      <c r="A618">
        <v>100362322</v>
      </c>
      <c r="B618">
        <v>3237435</v>
      </c>
      <c r="C618" t="s">
        <v>7018</v>
      </c>
      <c r="E618" s="184"/>
      <c r="G618" s="184"/>
      <c r="H618" t="s">
        <v>595</v>
      </c>
      <c r="I618" s="184">
        <v>43914</v>
      </c>
      <c r="K618" s="184"/>
      <c r="O618" s="184"/>
      <c r="P618" t="s">
        <v>7045</v>
      </c>
      <c r="Q618" t="s">
        <v>7020</v>
      </c>
      <c r="R618" s="184">
        <v>17240</v>
      </c>
      <c r="S618">
        <v>77</v>
      </c>
      <c r="U618" t="s">
        <v>7076</v>
      </c>
      <c r="V618" t="s">
        <v>10491</v>
      </c>
      <c r="X618" t="s">
        <v>10492</v>
      </c>
      <c r="Z618">
        <v>3237435</v>
      </c>
      <c r="AA618" t="s">
        <v>7031</v>
      </c>
      <c r="AB618" t="s">
        <v>3411</v>
      </c>
      <c r="AC618" t="s">
        <v>2058</v>
      </c>
      <c r="AD618" t="s">
        <v>4783</v>
      </c>
      <c r="AF618" t="s">
        <v>10493</v>
      </c>
      <c r="AG618" t="s">
        <v>10494</v>
      </c>
      <c r="AI618" t="s">
        <v>10495</v>
      </c>
      <c r="AM618" t="s">
        <v>4564</v>
      </c>
      <c r="AN618" t="s">
        <v>2129</v>
      </c>
      <c r="AO618" t="s">
        <v>10496</v>
      </c>
      <c r="AP618" t="s">
        <v>7024</v>
      </c>
      <c r="AQ618" t="s">
        <v>10497</v>
      </c>
      <c r="AT618" s="184"/>
      <c r="AW618" s="184"/>
      <c r="AZ618" s="184"/>
    </row>
    <row r="619" spans="1:68">
      <c r="A619">
        <v>3256062</v>
      </c>
      <c r="B619">
        <v>3256062</v>
      </c>
      <c r="C619" t="s">
        <v>7018</v>
      </c>
      <c r="E619" s="184"/>
      <c r="F619" t="s">
        <v>595</v>
      </c>
      <c r="G619" s="184">
        <v>43647</v>
      </c>
      <c r="K619" s="184"/>
      <c r="O619" s="184"/>
      <c r="P619" t="s">
        <v>7045</v>
      </c>
      <c r="Q619" t="s">
        <v>7020</v>
      </c>
      <c r="R619" s="184">
        <v>18872</v>
      </c>
      <c r="S619">
        <v>72</v>
      </c>
      <c r="U619" t="s">
        <v>7076</v>
      </c>
      <c r="V619" t="s">
        <v>2733</v>
      </c>
      <c r="W619" t="s">
        <v>4152</v>
      </c>
      <c r="X619" t="s">
        <v>3591</v>
      </c>
      <c r="AF619" t="s">
        <v>10499</v>
      </c>
      <c r="AG619" t="s">
        <v>2733</v>
      </c>
      <c r="AI619" t="s">
        <v>10500</v>
      </c>
      <c r="AM619" t="s">
        <v>3592</v>
      </c>
      <c r="AN619" t="s">
        <v>2240</v>
      </c>
      <c r="AO619" t="s">
        <v>10501</v>
      </c>
      <c r="AP619" t="s">
        <v>7024</v>
      </c>
      <c r="AT619" s="184">
        <v>32990</v>
      </c>
      <c r="AU619" t="s">
        <v>10489</v>
      </c>
      <c r="AV619">
        <v>15</v>
      </c>
      <c r="AW619" s="184">
        <v>45174</v>
      </c>
      <c r="AX619" t="s">
        <v>10502</v>
      </c>
      <c r="AY619">
        <v>25</v>
      </c>
      <c r="AZ619" s="184">
        <v>35530</v>
      </c>
      <c r="BA619" t="s">
        <v>10503</v>
      </c>
      <c r="BB619">
        <v>54</v>
      </c>
      <c r="BC619">
        <v>46</v>
      </c>
      <c r="BD619">
        <v>608</v>
      </c>
      <c r="BE619">
        <v>1990</v>
      </c>
      <c r="BF619">
        <v>22</v>
      </c>
      <c r="BG619">
        <v>2</v>
      </c>
      <c r="BH619">
        <v>50</v>
      </c>
      <c r="BI619">
        <v>16</v>
      </c>
      <c r="BJ619">
        <v>35</v>
      </c>
      <c r="BK619">
        <v>4</v>
      </c>
    </row>
    <row r="620" spans="1:68">
      <c r="A620">
        <v>3257060</v>
      </c>
      <c r="B620">
        <v>3257060</v>
      </c>
      <c r="C620" t="s">
        <v>7018</v>
      </c>
      <c r="E620" s="184"/>
      <c r="G620" s="184"/>
      <c r="J620" t="s">
        <v>595</v>
      </c>
      <c r="K620" s="184">
        <v>38631</v>
      </c>
      <c r="O620" s="184"/>
      <c r="P620" t="s">
        <v>7045</v>
      </c>
      <c r="Q620" t="s">
        <v>7374</v>
      </c>
      <c r="R620" s="184">
        <v>20821</v>
      </c>
      <c r="S620">
        <v>67</v>
      </c>
      <c r="U620" t="s">
        <v>7031</v>
      </c>
      <c r="V620" t="s">
        <v>4044</v>
      </c>
      <c r="X620" t="s">
        <v>10504</v>
      </c>
      <c r="AF620" t="s">
        <v>6259</v>
      </c>
      <c r="AG620" t="s">
        <v>4044</v>
      </c>
      <c r="AI620" t="s">
        <v>10505</v>
      </c>
      <c r="AM620" t="s">
        <v>4312</v>
      </c>
      <c r="AN620" t="s">
        <v>2081</v>
      </c>
      <c r="AO620" t="s">
        <v>10506</v>
      </c>
      <c r="AP620" t="s">
        <v>7024</v>
      </c>
      <c r="AQ620" t="s">
        <v>10507</v>
      </c>
      <c r="AT620" s="184">
        <v>32990</v>
      </c>
      <c r="AU620" t="s">
        <v>10508</v>
      </c>
      <c r="AV620">
        <v>15</v>
      </c>
      <c r="AW620" s="184">
        <v>45162</v>
      </c>
      <c r="AX620" t="s">
        <v>10509</v>
      </c>
      <c r="AY620">
        <v>40</v>
      </c>
      <c r="AZ620" s="184">
        <v>37783</v>
      </c>
      <c r="BA620" t="s">
        <v>10510</v>
      </c>
      <c r="BB620">
        <v>200</v>
      </c>
      <c r="BC620">
        <v>66</v>
      </c>
      <c r="BD620">
        <v>2190</v>
      </c>
      <c r="BE620">
        <v>1990</v>
      </c>
      <c r="BF620">
        <v>29</v>
      </c>
      <c r="BG620">
        <v>2</v>
      </c>
      <c r="BH620">
        <v>80</v>
      </c>
      <c r="BI620">
        <v>23</v>
      </c>
      <c r="BJ620">
        <v>35</v>
      </c>
      <c r="BK620">
        <v>9</v>
      </c>
    </row>
    <row r="621" spans="1:68">
      <c r="A621">
        <v>3257334</v>
      </c>
      <c r="B621">
        <v>3257334</v>
      </c>
      <c r="C621" t="s">
        <v>7018</v>
      </c>
      <c r="D621" t="s">
        <v>595</v>
      </c>
      <c r="E621" s="184">
        <v>43801</v>
      </c>
      <c r="G621" s="184"/>
      <c r="K621" s="184"/>
      <c r="O621" s="184"/>
      <c r="P621" t="s">
        <v>7045</v>
      </c>
      <c r="Q621" t="s">
        <v>7374</v>
      </c>
      <c r="R621" s="184">
        <v>18872</v>
      </c>
      <c r="S621">
        <v>72</v>
      </c>
      <c r="U621" t="s">
        <v>7076</v>
      </c>
      <c r="V621" t="s">
        <v>2586</v>
      </c>
      <c r="W621" t="s">
        <v>3554</v>
      </c>
      <c r="X621" t="s">
        <v>2936</v>
      </c>
      <c r="AF621" t="s">
        <v>10511</v>
      </c>
      <c r="AG621" t="s">
        <v>2586</v>
      </c>
      <c r="AI621" t="s">
        <v>10512</v>
      </c>
      <c r="AM621" t="s">
        <v>4340</v>
      </c>
      <c r="AN621" t="s">
        <v>2081</v>
      </c>
      <c r="AO621" t="s">
        <v>10513</v>
      </c>
      <c r="AP621" t="s">
        <v>7024</v>
      </c>
      <c r="AQ621" t="s">
        <v>10514</v>
      </c>
      <c r="AR621" t="s">
        <v>10515</v>
      </c>
      <c r="AT621" s="184">
        <v>32990</v>
      </c>
      <c r="AU621" t="s">
        <v>10200</v>
      </c>
      <c r="AV621">
        <v>15</v>
      </c>
      <c r="AW621" s="184">
        <v>43340</v>
      </c>
      <c r="AX621" t="s">
        <v>10516</v>
      </c>
      <c r="AY621">
        <v>15</v>
      </c>
      <c r="AZ621" s="184">
        <v>40378</v>
      </c>
      <c r="BA621" t="s">
        <v>10517</v>
      </c>
      <c r="BB621">
        <v>60</v>
      </c>
      <c r="BC621">
        <v>66</v>
      </c>
      <c r="BD621">
        <v>728</v>
      </c>
      <c r="BE621">
        <v>1990</v>
      </c>
      <c r="BF621">
        <v>29</v>
      </c>
      <c r="BI621">
        <v>23</v>
      </c>
      <c r="BJ621">
        <v>35</v>
      </c>
      <c r="BK621">
        <v>6</v>
      </c>
      <c r="BL621" t="s">
        <v>595</v>
      </c>
      <c r="BN621" t="s">
        <v>595</v>
      </c>
      <c r="BP621" s="184"/>
    </row>
    <row r="622" spans="1:68">
      <c r="A622">
        <v>3268893</v>
      </c>
      <c r="B622">
        <v>3268893</v>
      </c>
      <c r="C622" t="s">
        <v>7018</v>
      </c>
      <c r="D622" t="s">
        <v>595</v>
      </c>
      <c r="E622" s="184">
        <v>44313</v>
      </c>
      <c r="G622" s="184"/>
      <c r="K622" s="184"/>
      <c r="O622" s="184"/>
      <c r="P622" t="s">
        <v>7045</v>
      </c>
      <c r="Q622" t="s">
        <v>7160</v>
      </c>
      <c r="R622" s="184">
        <v>19299</v>
      </c>
      <c r="S622">
        <v>71</v>
      </c>
      <c r="V622" t="s">
        <v>3480</v>
      </c>
      <c r="X622" t="s">
        <v>10518</v>
      </c>
      <c r="Z622">
        <v>100017437</v>
      </c>
      <c r="AB622" t="s">
        <v>2541</v>
      </c>
      <c r="AD622" t="s">
        <v>10518</v>
      </c>
      <c r="AF622" t="s">
        <v>10519</v>
      </c>
      <c r="AG622" t="s">
        <v>10520</v>
      </c>
      <c r="AI622" t="s">
        <v>10521</v>
      </c>
      <c r="AM622" t="s">
        <v>10522</v>
      </c>
      <c r="AN622" t="s">
        <v>2413</v>
      </c>
      <c r="AO622" t="s">
        <v>10523</v>
      </c>
      <c r="AP622" t="s">
        <v>7024</v>
      </c>
      <c r="AQ622" t="s">
        <v>10524</v>
      </c>
      <c r="AT622" s="184">
        <v>32990</v>
      </c>
      <c r="AU622" t="s">
        <v>10200</v>
      </c>
      <c r="AV622">
        <v>15</v>
      </c>
      <c r="AW622" s="184">
        <v>45295</v>
      </c>
      <c r="AX622" t="s">
        <v>10525</v>
      </c>
      <c r="AY622">
        <v>50</v>
      </c>
      <c r="AZ622" s="184">
        <v>43178</v>
      </c>
      <c r="BA622" t="s">
        <v>10526</v>
      </c>
      <c r="BB622">
        <v>60</v>
      </c>
      <c r="BC622">
        <v>66</v>
      </c>
      <c r="BD622">
        <v>597</v>
      </c>
      <c r="BE622">
        <v>1990</v>
      </c>
      <c r="BF622">
        <v>30</v>
      </c>
      <c r="BG622">
        <v>2</v>
      </c>
      <c r="BH622">
        <v>100</v>
      </c>
      <c r="BI622">
        <v>23</v>
      </c>
      <c r="BJ622">
        <v>35</v>
      </c>
      <c r="BK622">
        <v>7</v>
      </c>
      <c r="BP622" s="184"/>
    </row>
    <row r="623" spans="1:68">
      <c r="A623">
        <v>100017437</v>
      </c>
      <c r="B623">
        <v>3268893</v>
      </c>
      <c r="C623" t="s">
        <v>7018</v>
      </c>
      <c r="D623" t="s">
        <v>595</v>
      </c>
      <c r="E623" s="184">
        <v>44313</v>
      </c>
      <c r="G623" s="184"/>
      <c r="K623" s="184"/>
      <c r="O623" s="184"/>
      <c r="P623" t="s">
        <v>7045</v>
      </c>
      <c r="Q623" t="s">
        <v>7160</v>
      </c>
      <c r="R623" s="184">
        <v>18963</v>
      </c>
      <c r="S623">
        <v>72</v>
      </c>
      <c r="V623" t="s">
        <v>2541</v>
      </c>
      <c r="X623" t="s">
        <v>10518</v>
      </c>
      <c r="Z623">
        <v>3268893</v>
      </c>
      <c r="AB623" t="s">
        <v>3480</v>
      </c>
      <c r="AD623" t="s">
        <v>10518</v>
      </c>
      <c r="AF623" t="s">
        <v>10519</v>
      </c>
      <c r="AG623" t="s">
        <v>10520</v>
      </c>
      <c r="AI623" t="s">
        <v>10521</v>
      </c>
      <c r="AM623" t="s">
        <v>10522</v>
      </c>
      <c r="AN623" t="s">
        <v>2413</v>
      </c>
      <c r="AO623" t="s">
        <v>10523</v>
      </c>
      <c r="AP623" t="s">
        <v>7024</v>
      </c>
      <c r="AT623" s="184"/>
      <c r="AW623" s="184"/>
      <c r="AZ623" s="184"/>
      <c r="BP623" s="184"/>
    </row>
    <row r="624" spans="1:68">
      <c r="A624">
        <v>3276763</v>
      </c>
      <c r="B624">
        <v>3276763</v>
      </c>
      <c r="C624" t="s">
        <v>7018</v>
      </c>
      <c r="E624" s="184"/>
      <c r="G624" s="184"/>
      <c r="J624" t="s">
        <v>595</v>
      </c>
      <c r="K624" s="184">
        <v>41955</v>
      </c>
      <c r="O624" s="184"/>
      <c r="P624" t="s">
        <v>7045</v>
      </c>
      <c r="Q624" t="s">
        <v>7383</v>
      </c>
      <c r="R624" s="184">
        <v>18283</v>
      </c>
      <c r="S624">
        <v>74</v>
      </c>
      <c r="V624" t="s">
        <v>2918</v>
      </c>
      <c r="X624" t="s">
        <v>10527</v>
      </c>
      <c r="AF624" t="s">
        <v>6453</v>
      </c>
      <c r="AG624" t="s">
        <v>2918</v>
      </c>
      <c r="AI624" t="s">
        <v>10528</v>
      </c>
      <c r="AM624" t="s">
        <v>3060</v>
      </c>
      <c r="AN624" t="s">
        <v>2185</v>
      </c>
      <c r="AO624" t="s">
        <v>10529</v>
      </c>
      <c r="AP624" t="s">
        <v>7024</v>
      </c>
      <c r="AQ624" t="s">
        <v>10530</v>
      </c>
      <c r="AT624" s="184">
        <v>32990</v>
      </c>
      <c r="AU624" t="s">
        <v>10151</v>
      </c>
      <c r="AV624">
        <v>30</v>
      </c>
      <c r="AW624" s="184">
        <v>44526</v>
      </c>
      <c r="AX624" t="s">
        <v>10531</v>
      </c>
      <c r="AY624">
        <v>25</v>
      </c>
      <c r="AZ624" s="184">
        <v>39616</v>
      </c>
      <c r="BA624" t="s">
        <v>10532</v>
      </c>
      <c r="BB624">
        <v>125</v>
      </c>
      <c r="BC624">
        <v>49</v>
      </c>
      <c r="BD624">
        <v>1264</v>
      </c>
      <c r="BE624">
        <v>1990</v>
      </c>
      <c r="BF624">
        <v>35</v>
      </c>
      <c r="BI624">
        <v>17</v>
      </c>
      <c r="BJ624">
        <v>35</v>
      </c>
      <c r="BK624">
        <v>5</v>
      </c>
      <c r="BP624" s="184"/>
    </row>
    <row r="625" spans="1:68">
      <c r="A625">
        <v>3285913</v>
      </c>
      <c r="B625">
        <v>3285913</v>
      </c>
      <c r="C625" t="s">
        <v>7018</v>
      </c>
      <c r="E625" s="184"/>
      <c r="G625" s="184"/>
      <c r="J625" t="s">
        <v>595</v>
      </c>
      <c r="K625" s="184">
        <v>43248</v>
      </c>
      <c r="O625" s="184"/>
      <c r="P625" t="s">
        <v>7045</v>
      </c>
      <c r="Q625" t="s">
        <v>7374</v>
      </c>
      <c r="R625" s="184">
        <v>21459</v>
      </c>
      <c r="S625">
        <v>65</v>
      </c>
      <c r="U625" t="s">
        <v>7076</v>
      </c>
      <c r="V625" t="s">
        <v>3184</v>
      </c>
      <c r="X625" t="s">
        <v>10533</v>
      </c>
      <c r="AF625" t="s">
        <v>6344</v>
      </c>
      <c r="AG625" t="s">
        <v>3184</v>
      </c>
      <c r="AI625" t="s">
        <v>10534</v>
      </c>
      <c r="AM625" t="s">
        <v>10535</v>
      </c>
      <c r="AN625" t="s">
        <v>2081</v>
      </c>
      <c r="AO625" t="s">
        <v>10536</v>
      </c>
      <c r="AP625" t="s">
        <v>7024</v>
      </c>
      <c r="AT625" s="184">
        <v>32990</v>
      </c>
      <c r="AU625" t="s">
        <v>10537</v>
      </c>
      <c r="AV625">
        <v>25</v>
      </c>
      <c r="AW625" s="184">
        <v>45295</v>
      </c>
      <c r="AX625" t="s">
        <v>10538</v>
      </c>
      <c r="AY625">
        <v>150</v>
      </c>
      <c r="AZ625" s="184">
        <v>43091</v>
      </c>
      <c r="BA625" t="s">
        <v>10539</v>
      </c>
      <c r="BB625">
        <v>400</v>
      </c>
      <c r="BC625">
        <v>75</v>
      </c>
      <c r="BD625">
        <v>1840</v>
      </c>
      <c r="BE625">
        <v>1990</v>
      </c>
      <c r="BF625">
        <v>29</v>
      </c>
      <c r="BG625">
        <v>2</v>
      </c>
      <c r="BH625">
        <v>250</v>
      </c>
      <c r="BI625">
        <v>26</v>
      </c>
      <c r="BJ625">
        <v>35</v>
      </c>
      <c r="BK625">
        <v>10</v>
      </c>
      <c r="BP625" s="184"/>
    </row>
    <row r="626" spans="1:68">
      <c r="A626">
        <v>3290319</v>
      </c>
      <c r="B626">
        <v>3290319</v>
      </c>
      <c r="C626" t="s">
        <v>7018</v>
      </c>
      <c r="E626" s="184"/>
      <c r="G626" s="184"/>
      <c r="K626" s="184"/>
      <c r="N626" t="s">
        <v>595</v>
      </c>
      <c r="O626" s="184">
        <v>39286</v>
      </c>
      <c r="P626" t="s">
        <v>7029</v>
      </c>
      <c r="Q626" t="s">
        <v>7374</v>
      </c>
      <c r="R626" s="184">
        <v>17192</v>
      </c>
      <c r="S626">
        <v>77</v>
      </c>
      <c r="U626" t="s">
        <v>7031</v>
      </c>
      <c r="V626" t="s">
        <v>3889</v>
      </c>
      <c r="W626" t="s">
        <v>7407</v>
      </c>
      <c r="X626" t="s">
        <v>5948</v>
      </c>
      <c r="AF626" t="s">
        <v>10540</v>
      </c>
      <c r="AG626" t="s">
        <v>3889</v>
      </c>
      <c r="AI626" t="s">
        <v>10541</v>
      </c>
      <c r="AM626" t="s">
        <v>5949</v>
      </c>
      <c r="AN626" t="s">
        <v>2081</v>
      </c>
      <c r="AO626" t="s">
        <v>10542</v>
      </c>
      <c r="AP626" t="s">
        <v>7024</v>
      </c>
      <c r="AQ626" t="s">
        <v>10543</v>
      </c>
      <c r="AT626" s="184">
        <v>32990</v>
      </c>
      <c r="AU626" t="s">
        <v>10544</v>
      </c>
      <c r="AV626">
        <v>15</v>
      </c>
      <c r="AW626" s="184">
        <v>44410</v>
      </c>
      <c r="AX626" t="s">
        <v>10545</v>
      </c>
      <c r="AY626">
        <v>500</v>
      </c>
      <c r="AZ626" s="184">
        <v>39287</v>
      </c>
      <c r="BA626" t="s">
        <v>9864</v>
      </c>
      <c r="BB626">
        <v>10000</v>
      </c>
      <c r="BC626">
        <v>78</v>
      </c>
      <c r="BD626">
        <v>13925</v>
      </c>
      <c r="BE626">
        <v>1990</v>
      </c>
      <c r="BF626">
        <v>27</v>
      </c>
      <c r="BI626">
        <v>27</v>
      </c>
      <c r="BJ626">
        <v>35</v>
      </c>
      <c r="BK626">
        <v>12</v>
      </c>
      <c r="BN626" t="s">
        <v>595</v>
      </c>
      <c r="BP626" s="184"/>
    </row>
    <row r="627" spans="1:68">
      <c r="A627">
        <v>3318342</v>
      </c>
      <c r="B627">
        <v>3318342</v>
      </c>
      <c r="C627" t="s">
        <v>7018</v>
      </c>
      <c r="E627" s="184"/>
      <c r="G627" s="184"/>
      <c r="J627" t="s">
        <v>595</v>
      </c>
      <c r="K627" s="184">
        <v>42521</v>
      </c>
      <c r="O627" s="184"/>
      <c r="P627" t="s">
        <v>7045</v>
      </c>
      <c r="Q627" t="s">
        <v>7262</v>
      </c>
      <c r="R627" s="184">
        <v>17015</v>
      </c>
      <c r="S627">
        <v>77</v>
      </c>
      <c r="U627" t="s">
        <v>7032</v>
      </c>
      <c r="V627" t="s">
        <v>2518</v>
      </c>
      <c r="X627" t="s">
        <v>4595</v>
      </c>
      <c r="AF627" t="s">
        <v>6230</v>
      </c>
      <c r="AG627" t="s">
        <v>2518</v>
      </c>
      <c r="AI627" t="s">
        <v>10546</v>
      </c>
      <c r="AM627" t="s">
        <v>2679</v>
      </c>
      <c r="AN627" t="s">
        <v>2318</v>
      </c>
      <c r="AO627" t="s">
        <v>10547</v>
      </c>
      <c r="AP627" t="s">
        <v>7024</v>
      </c>
      <c r="AQ627" t="s">
        <v>10548</v>
      </c>
      <c r="AT627" s="184">
        <v>32993</v>
      </c>
      <c r="AU627" t="s">
        <v>10345</v>
      </c>
      <c r="AV627">
        <v>25</v>
      </c>
      <c r="AW627" s="184">
        <v>45252</v>
      </c>
      <c r="AX627" t="s">
        <v>10549</v>
      </c>
      <c r="AY627">
        <v>150</v>
      </c>
      <c r="AZ627" s="184">
        <v>45252</v>
      </c>
      <c r="BA627" t="s">
        <v>10549</v>
      </c>
      <c r="BB627">
        <v>150</v>
      </c>
      <c r="BC627">
        <v>95</v>
      </c>
      <c r="BD627">
        <v>2930</v>
      </c>
      <c r="BE627">
        <v>1990</v>
      </c>
      <c r="BF627">
        <v>34</v>
      </c>
      <c r="BG627">
        <v>2</v>
      </c>
      <c r="BH627">
        <v>300</v>
      </c>
      <c r="BI627">
        <v>33</v>
      </c>
      <c r="BJ627">
        <v>35</v>
      </c>
      <c r="BK627">
        <v>27</v>
      </c>
      <c r="BN627" t="s">
        <v>595</v>
      </c>
    </row>
    <row r="628" spans="1:68">
      <c r="A628">
        <v>3331626</v>
      </c>
      <c r="B628">
        <v>3331626</v>
      </c>
      <c r="C628" t="s">
        <v>7018</v>
      </c>
      <c r="E628" s="184"/>
      <c r="F628" t="s">
        <v>595</v>
      </c>
      <c r="G628" s="184">
        <v>44167</v>
      </c>
      <c r="K628" s="184"/>
      <c r="O628" s="184"/>
      <c r="P628" t="s">
        <v>7045</v>
      </c>
      <c r="Q628" t="s">
        <v>7194</v>
      </c>
      <c r="R628" s="184">
        <v>18472</v>
      </c>
      <c r="S628">
        <v>73</v>
      </c>
      <c r="U628" t="s">
        <v>7076</v>
      </c>
      <c r="V628" t="s">
        <v>10550</v>
      </c>
      <c r="X628" t="s">
        <v>10551</v>
      </c>
      <c r="AF628" t="s">
        <v>10552</v>
      </c>
      <c r="AG628" t="s">
        <v>10550</v>
      </c>
      <c r="AI628" t="s">
        <v>10553</v>
      </c>
      <c r="AM628" t="s">
        <v>4215</v>
      </c>
      <c r="AN628" t="s">
        <v>2046</v>
      </c>
      <c r="AO628" t="s">
        <v>10554</v>
      </c>
      <c r="AP628" t="s">
        <v>7024</v>
      </c>
      <c r="AQ628" t="s">
        <v>10555</v>
      </c>
      <c r="AT628" s="184">
        <v>32995</v>
      </c>
      <c r="AU628" t="s">
        <v>10556</v>
      </c>
      <c r="AV628">
        <v>15</v>
      </c>
      <c r="AW628" s="184">
        <v>45127</v>
      </c>
      <c r="AX628" t="s">
        <v>10557</v>
      </c>
      <c r="AY628">
        <v>75</v>
      </c>
      <c r="AZ628" s="184">
        <v>43098</v>
      </c>
      <c r="BA628" t="s">
        <v>10558</v>
      </c>
      <c r="BB628">
        <v>100</v>
      </c>
      <c r="BC628">
        <v>89</v>
      </c>
      <c r="BD628">
        <v>2603</v>
      </c>
      <c r="BE628">
        <v>1990</v>
      </c>
      <c r="BF628">
        <v>100</v>
      </c>
      <c r="BG628">
        <v>4</v>
      </c>
      <c r="BH628">
        <v>275</v>
      </c>
      <c r="BI628">
        <v>31</v>
      </c>
      <c r="BJ628">
        <v>35</v>
      </c>
      <c r="BK628">
        <v>14</v>
      </c>
      <c r="BP628" s="184"/>
    </row>
    <row r="629" spans="1:68">
      <c r="A629">
        <v>3334216</v>
      </c>
      <c r="B629">
        <v>3334216</v>
      </c>
      <c r="C629" t="s">
        <v>7018</v>
      </c>
      <c r="E629" s="184"/>
      <c r="G629" s="184"/>
      <c r="K629" s="184"/>
      <c r="N629" t="s">
        <v>595</v>
      </c>
      <c r="O629" s="184">
        <v>36585</v>
      </c>
      <c r="P629" t="s">
        <v>7019</v>
      </c>
      <c r="Q629" t="s">
        <v>7374</v>
      </c>
      <c r="R629" s="184">
        <v>11429</v>
      </c>
      <c r="S629">
        <v>93</v>
      </c>
      <c r="U629" t="s">
        <v>7031</v>
      </c>
      <c r="V629" t="s">
        <v>2518</v>
      </c>
      <c r="W629" t="s">
        <v>7268</v>
      </c>
      <c r="X629" t="s">
        <v>10559</v>
      </c>
      <c r="AF629" t="s">
        <v>5998</v>
      </c>
      <c r="AG629" t="s">
        <v>10560</v>
      </c>
      <c r="AI629" t="s">
        <v>10561</v>
      </c>
      <c r="AM629" t="s">
        <v>3333</v>
      </c>
      <c r="AN629" t="s">
        <v>2081</v>
      </c>
      <c r="AO629" t="s">
        <v>10562</v>
      </c>
      <c r="AP629" t="s">
        <v>7024</v>
      </c>
      <c r="AQ629" t="s">
        <v>10563</v>
      </c>
      <c r="AT629" s="184">
        <v>32995</v>
      </c>
      <c r="AU629" t="s">
        <v>10564</v>
      </c>
      <c r="AV629">
        <v>15</v>
      </c>
      <c r="AW629" s="184">
        <v>41205</v>
      </c>
      <c r="AX629" t="s">
        <v>10565</v>
      </c>
      <c r="AY629">
        <v>25</v>
      </c>
      <c r="AZ629" s="184">
        <v>36585</v>
      </c>
      <c r="BA629" t="s">
        <v>7530</v>
      </c>
      <c r="BB629">
        <v>10000</v>
      </c>
      <c r="BC629">
        <v>60</v>
      </c>
      <c r="BD629">
        <v>11195</v>
      </c>
      <c r="BE629">
        <v>1990</v>
      </c>
      <c r="BF629">
        <v>50</v>
      </c>
      <c r="BI629">
        <v>21</v>
      </c>
      <c r="BJ629">
        <v>35</v>
      </c>
      <c r="BK629">
        <v>11</v>
      </c>
      <c r="BO629" t="s">
        <v>595</v>
      </c>
      <c r="BP629" s="184">
        <v>41358</v>
      </c>
    </row>
    <row r="630" spans="1:68">
      <c r="A630">
        <v>3354701</v>
      </c>
      <c r="B630">
        <v>3354701</v>
      </c>
      <c r="C630" t="s">
        <v>7018</v>
      </c>
      <c r="E630" s="184"/>
      <c r="F630" t="s">
        <v>595</v>
      </c>
      <c r="G630" s="184">
        <v>43731</v>
      </c>
      <c r="K630" s="184"/>
      <c r="O630" s="184"/>
      <c r="P630" t="s">
        <v>7045</v>
      </c>
      <c r="Q630" t="s">
        <v>7454</v>
      </c>
      <c r="R630" s="184">
        <v>21155</v>
      </c>
      <c r="S630">
        <v>66</v>
      </c>
      <c r="U630" t="s">
        <v>7076</v>
      </c>
      <c r="V630" t="s">
        <v>3011</v>
      </c>
      <c r="W630" t="s">
        <v>4327</v>
      </c>
      <c r="X630" t="s">
        <v>3859</v>
      </c>
      <c r="AF630" t="s">
        <v>10566</v>
      </c>
      <c r="AG630" t="s">
        <v>3011</v>
      </c>
      <c r="AI630" t="s">
        <v>10567</v>
      </c>
      <c r="AM630" t="s">
        <v>3855</v>
      </c>
      <c r="AN630" t="s">
        <v>2055</v>
      </c>
      <c r="AO630" t="s">
        <v>10568</v>
      </c>
      <c r="AP630" t="s">
        <v>7024</v>
      </c>
      <c r="AQ630" t="s">
        <v>10569</v>
      </c>
      <c r="AT630" s="184">
        <v>33001</v>
      </c>
      <c r="AU630" t="s">
        <v>10570</v>
      </c>
      <c r="AV630">
        <v>15</v>
      </c>
      <c r="AW630" s="184">
        <v>45376</v>
      </c>
      <c r="AX630" t="s">
        <v>9559</v>
      </c>
      <c r="AY630">
        <v>150</v>
      </c>
      <c r="AZ630" s="184">
        <v>44266</v>
      </c>
      <c r="BA630" t="s">
        <v>10571</v>
      </c>
      <c r="BB630">
        <v>225</v>
      </c>
      <c r="BC630">
        <v>89</v>
      </c>
      <c r="BD630">
        <v>3215</v>
      </c>
      <c r="BE630">
        <v>1990</v>
      </c>
      <c r="BF630">
        <v>41</v>
      </c>
      <c r="BG630">
        <v>2</v>
      </c>
      <c r="BH630">
        <v>250</v>
      </c>
      <c r="BI630">
        <v>31</v>
      </c>
      <c r="BJ630">
        <v>35</v>
      </c>
      <c r="BK630">
        <v>14</v>
      </c>
    </row>
    <row r="631" spans="1:68">
      <c r="A631">
        <v>3362753</v>
      </c>
      <c r="B631">
        <v>3362753</v>
      </c>
      <c r="C631" t="s">
        <v>7018</v>
      </c>
      <c r="D631" t="s">
        <v>595</v>
      </c>
      <c r="E631" s="184">
        <v>44104</v>
      </c>
      <c r="K631" s="184"/>
      <c r="O631" s="184"/>
      <c r="P631" t="s">
        <v>7019</v>
      </c>
      <c r="Q631" t="s">
        <v>7262</v>
      </c>
      <c r="R631" s="184">
        <v>17483</v>
      </c>
      <c r="S631">
        <v>76</v>
      </c>
      <c r="U631" t="s">
        <v>7031</v>
      </c>
      <c r="V631" t="s">
        <v>10572</v>
      </c>
      <c r="X631" t="s">
        <v>2530</v>
      </c>
      <c r="AF631" t="s">
        <v>10573</v>
      </c>
      <c r="AG631" t="s">
        <v>10574</v>
      </c>
      <c r="AI631" t="s">
        <v>10575</v>
      </c>
      <c r="AM631" t="s">
        <v>10576</v>
      </c>
      <c r="AN631" t="s">
        <v>2266</v>
      </c>
      <c r="AO631" t="s">
        <v>10577</v>
      </c>
      <c r="AP631" t="s">
        <v>7024</v>
      </c>
      <c r="AQ631" t="s">
        <v>10578</v>
      </c>
      <c r="AR631" t="s">
        <v>10579</v>
      </c>
      <c r="AT631" s="184">
        <v>33002</v>
      </c>
      <c r="AU631" t="s">
        <v>10222</v>
      </c>
      <c r="AV631">
        <v>15</v>
      </c>
      <c r="AW631" s="184">
        <v>45068</v>
      </c>
      <c r="AX631" t="s">
        <v>10580</v>
      </c>
      <c r="AY631">
        <v>25</v>
      </c>
      <c r="AZ631" s="184">
        <v>44187</v>
      </c>
      <c r="BA631" t="s">
        <v>8915</v>
      </c>
      <c r="BB631">
        <v>60</v>
      </c>
      <c r="BC631">
        <v>83</v>
      </c>
      <c r="BD631">
        <v>1701</v>
      </c>
      <c r="BE631">
        <v>1990</v>
      </c>
      <c r="BF631">
        <v>67</v>
      </c>
      <c r="BG631">
        <v>4</v>
      </c>
      <c r="BH631">
        <v>100</v>
      </c>
      <c r="BI631">
        <v>29</v>
      </c>
      <c r="BJ631">
        <v>35</v>
      </c>
      <c r="BK631">
        <v>8</v>
      </c>
      <c r="BP631" s="184"/>
    </row>
    <row r="632" spans="1:68">
      <c r="A632">
        <v>3363942</v>
      </c>
      <c r="B632">
        <v>3363942</v>
      </c>
      <c r="C632" t="s">
        <v>7018</v>
      </c>
      <c r="E632" s="184"/>
      <c r="I632" s="184"/>
      <c r="J632" t="s">
        <v>595</v>
      </c>
      <c r="K632" s="184">
        <v>43481</v>
      </c>
      <c r="O632" s="184"/>
      <c r="P632" t="s">
        <v>7084</v>
      </c>
      <c r="Q632" t="s">
        <v>7160</v>
      </c>
      <c r="R632" s="184">
        <v>20455</v>
      </c>
      <c r="S632">
        <v>68</v>
      </c>
      <c r="U632" t="s">
        <v>7031</v>
      </c>
      <c r="V632" t="s">
        <v>2536</v>
      </c>
      <c r="W632" t="s">
        <v>4139</v>
      </c>
      <c r="X632" t="s">
        <v>2632</v>
      </c>
      <c r="Z632">
        <v>100656233</v>
      </c>
      <c r="AB632" t="s">
        <v>10581</v>
      </c>
      <c r="AD632" t="s">
        <v>3436</v>
      </c>
      <c r="AF632" t="s">
        <v>10582</v>
      </c>
      <c r="AG632" t="s">
        <v>2536</v>
      </c>
      <c r="AI632" t="s">
        <v>10583</v>
      </c>
      <c r="AJ632" t="s">
        <v>10584</v>
      </c>
      <c r="AM632" t="s">
        <v>2633</v>
      </c>
      <c r="AN632" t="s">
        <v>2413</v>
      </c>
      <c r="AO632" t="s">
        <v>10585</v>
      </c>
      <c r="AP632" t="s">
        <v>7024</v>
      </c>
      <c r="AQ632" t="s">
        <v>10586</v>
      </c>
      <c r="AR632" t="s">
        <v>10587</v>
      </c>
      <c r="AT632" s="184">
        <v>33002</v>
      </c>
      <c r="AU632" t="s">
        <v>10588</v>
      </c>
      <c r="AV632">
        <v>15</v>
      </c>
      <c r="AW632" s="184">
        <v>45369</v>
      </c>
      <c r="AX632" t="s">
        <v>7333</v>
      </c>
      <c r="AY632">
        <v>10000</v>
      </c>
      <c r="AZ632" s="184">
        <v>45107</v>
      </c>
      <c r="BA632" t="s">
        <v>10589</v>
      </c>
      <c r="BB632">
        <v>125000</v>
      </c>
      <c r="BC632">
        <v>95</v>
      </c>
      <c r="BD632">
        <v>2224267</v>
      </c>
      <c r="BE632">
        <v>1990</v>
      </c>
      <c r="BF632">
        <v>73</v>
      </c>
      <c r="BG632">
        <v>5</v>
      </c>
      <c r="BH632">
        <v>388500</v>
      </c>
      <c r="BI632">
        <v>33</v>
      </c>
      <c r="BJ632">
        <v>35</v>
      </c>
      <c r="BK632">
        <v>23</v>
      </c>
    </row>
    <row r="633" spans="1:68">
      <c r="A633">
        <v>3366630</v>
      </c>
      <c r="B633">
        <v>3366630</v>
      </c>
      <c r="C633" t="s">
        <v>7018</v>
      </c>
      <c r="D633" t="s">
        <v>595</v>
      </c>
      <c r="E633" s="184">
        <v>43609</v>
      </c>
      <c r="G633" s="184"/>
      <c r="K633" s="184"/>
      <c r="M633" s="184"/>
      <c r="P633" t="s">
        <v>7045</v>
      </c>
      <c r="Q633" t="s">
        <v>7383</v>
      </c>
      <c r="R633" s="184">
        <v>17667</v>
      </c>
      <c r="S633">
        <v>76</v>
      </c>
      <c r="U633" t="s">
        <v>7031</v>
      </c>
      <c r="V633" t="s">
        <v>2511</v>
      </c>
      <c r="W633" t="s">
        <v>7085</v>
      </c>
      <c r="X633" t="s">
        <v>2702</v>
      </c>
      <c r="AF633" t="s">
        <v>10590</v>
      </c>
      <c r="AG633" t="s">
        <v>2511</v>
      </c>
      <c r="AI633" t="s">
        <v>10591</v>
      </c>
      <c r="AM633" t="s">
        <v>2875</v>
      </c>
      <c r="AN633" t="s">
        <v>2313</v>
      </c>
      <c r="AO633" t="s">
        <v>10592</v>
      </c>
      <c r="AP633" t="s">
        <v>7024</v>
      </c>
      <c r="AQ633" t="s">
        <v>10593</v>
      </c>
      <c r="AR633" t="s">
        <v>10594</v>
      </c>
      <c r="AT633" s="184">
        <v>33003</v>
      </c>
      <c r="AU633" t="s">
        <v>10200</v>
      </c>
      <c r="AV633">
        <v>15</v>
      </c>
      <c r="AW633" s="184">
        <v>45223</v>
      </c>
      <c r="AX633" t="s">
        <v>7684</v>
      </c>
      <c r="AY633">
        <v>50</v>
      </c>
      <c r="AZ633" s="184">
        <v>45223</v>
      </c>
      <c r="BA633" t="s">
        <v>7684</v>
      </c>
      <c r="BB633">
        <v>50</v>
      </c>
      <c r="BC633">
        <v>86</v>
      </c>
      <c r="BD633">
        <v>1440</v>
      </c>
      <c r="BE633">
        <v>1990</v>
      </c>
      <c r="BF633">
        <v>39</v>
      </c>
      <c r="BG633">
        <v>3</v>
      </c>
      <c r="BH633">
        <v>150</v>
      </c>
      <c r="BI633">
        <v>30</v>
      </c>
      <c r="BJ633">
        <v>35</v>
      </c>
      <c r="BK633">
        <v>15</v>
      </c>
    </row>
    <row r="634" spans="1:68">
      <c r="A634">
        <v>3410032</v>
      </c>
      <c r="B634">
        <v>3410032</v>
      </c>
      <c r="C634" t="s">
        <v>7018</v>
      </c>
      <c r="D634" t="s">
        <v>595</v>
      </c>
      <c r="E634" s="184">
        <v>43892</v>
      </c>
      <c r="K634" s="184"/>
      <c r="P634" t="s">
        <v>7045</v>
      </c>
      <c r="Q634" t="s">
        <v>7383</v>
      </c>
      <c r="R634" s="184">
        <v>11049</v>
      </c>
      <c r="S634">
        <v>94</v>
      </c>
      <c r="V634" t="s">
        <v>4502</v>
      </c>
      <c r="W634" t="s">
        <v>3830</v>
      </c>
      <c r="X634" t="s">
        <v>10595</v>
      </c>
      <c r="Z634">
        <v>100017927</v>
      </c>
      <c r="AB634" t="s">
        <v>2718</v>
      </c>
      <c r="AD634" t="s">
        <v>10595</v>
      </c>
      <c r="AF634" t="s">
        <v>10596</v>
      </c>
      <c r="AG634" t="s">
        <v>10597</v>
      </c>
      <c r="AI634" t="s">
        <v>10598</v>
      </c>
      <c r="AM634" t="s">
        <v>3488</v>
      </c>
      <c r="AN634" t="s">
        <v>2072</v>
      </c>
      <c r="AO634" t="s">
        <v>10599</v>
      </c>
      <c r="AP634" t="s">
        <v>7024</v>
      </c>
      <c r="AT634" s="184">
        <v>33010</v>
      </c>
      <c r="AU634" t="s">
        <v>10345</v>
      </c>
      <c r="AV634">
        <v>15</v>
      </c>
      <c r="AW634" s="184">
        <v>43581</v>
      </c>
      <c r="AX634" t="s">
        <v>10600</v>
      </c>
      <c r="AY634">
        <v>15</v>
      </c>
      <c r="AZ634" s="184">
        <v>38118</v>
      </c>
      <c r="BA634" t="s">
        <v>10601</v>
      </c>
      <c r="BB634">
        <v>40</v>
      </c>
      <c r="BC634">
        <v>46</v>
      </c>
      <c r="BD634">
        <v>595</v>
      </c>
      <c r="BE634">
        <v>1990</v>
      </c>
      <c r="BF634">
        <v>30</v>
      </c>
      <c r="BI634">
        <v>16</v>
      </c>
      <c r="BJ634">
        <v>35</v>
      </c>
      <c r="BK634">
        <v>8</v>
      </c>
    </row>
    <row r="635" spans="1:68">
      <c r="A635">
        <v>100017927</v>
      </c>
      <c r="B635">
        <v>3410032</v>
      </c>
      <c r="C635" t="s">
        <v>7018</v>
      </c>
      <c r="D635" t="s">
        <v>595</v>
      </c>
      <c r="E635" s="184">
        <v>43892</v>
      </c>
      <c r="G635" s="184"/>
      <c r="K635" s="184"/>
      <c r="O635" s="184"/>
      <c r="P635" t="s">
        <v>7045</v>
      </c>
      <c r="Q635" t="s">
        <v>7383</v>
      </c>
      <c r="R635" s="184">
        <v>9266</v>
      </c>
      <c r="S635">
        <v>99</v>
      </c>
      <c r="V635" t="s">
        <v>2718</v>
      </c>
      <c r="X635" t="s">
        <v>10595</v>
      </c>
      <c r="Z635">
        <v>3410032</v>
      </c>
      <c r="AB635" t="s">
        <v>4502</v>
      </c>
      <c r="AC635" t="s">
        <v>3830</v>
      </c>
      <c r="AD635" t="s">
        <v>10595</v>
      </c>
      <c r="AF635" t="s">
        <v>10596</v>
      </c>
      <c r="AG635" t="s">
        <v>10597</v>
      </c>
      <c r="AI635" t="s">
        <v>10598</v>
      </c>
      <c r="AM635" t="s">
        <v>3488</v>
      </c>
      <c r="AN635" t="s">
        <v>2072</v>
      </c>
      <c r="AO635" t="s">
        <v>10599</v>
      </c>
      <c r="AP635" t="s">
        <v>7024</v>
      </c>
      <c r="AT635" s="184"/>
      <c r="AW635" s="184"/>
      <c r="AZ635" s="184"/>
      <c r="BP635" s="184"/>
    </row>
    <row r="636" spans="1:68">
      <c r="A636">
        <v>3416880</v>
      </c>
      <c r="B636">
        <v>3416880</v>
      </c>
      <c r="C636" t="s">
        <v>7018</v>
      </c>
      <c r="E636" s="184"/>
      <c r="G636" s="184"/>
      <c r="I636" s="184"/>
      <c r="J636" t="s">
        <v>595</v>
      </c>
      <c r="K636" s="184">
        <v>43857</v>
      </c>
      <c r="P636" t="s">
        <v>7045</v>
      </c>
      <c r="Q636" t="s">
        <v>7383</v>
      </c>
      <c r="R636" s="184">
        <v>19054</v>
      </c>
      <c r="S636">
        <v>72</v>
      </c>
      <c r="U636" t="s">
        <v>7094</v>
      </c>
      <c r="V636" t="s">
        <v>4647</v>
      </c>
      <c r="X636" t="s">
        <v>4648</v>
      </c>
      <c r="AF636" t="s">
        <v>6117</v>
      </c>
      <c r="AG636" t="s">
        <v>4647</v>
      </c>
      <c r="AI636" t="s">
        <v>10602</v>
      </c>
      <c r="AM636" t="s">
        <v>4091</v>
      </c>
      <c r="AN636" t="s">
        <v>2064</v>
      </c>
      <c r="AO636" t="s">
        <v>10603</v>
      </c>
      <c r="AP636" t="s">
        <v>7024</v>
      </c>
      <c r="AQ636" t="s">
        <v>10604</v>
      </c>
      <c r="AT636" s="184">
        <v>33011</v>
      </c>
      <c r="AU636" t="s">
        <v>10605</v>
      </c>
      <c r="AV636">
        <v>15</v>
      </c>
      <c r="AW636" s="184">
        <v>45365</v>
      </c>
      <c r="AX636" t="s">
        <v>10606</v>
      </c>
      <c r="AY636">
        <v>565</v>
      </c>
      <c r="AZ636" s="184">
        <v>45365</v>
      </c>
      <c r="BA636" t="s">
        <v>10606</v>
      </c>
      <c r="BB636">
        <v>565</v>
      </c>
      <c r="BC636">
        <v>78</v>
      </c>
      <c r="BD636">
        <v>7030</v>
      </c>
      <c r="BE636">
        <v>1990</v>
      </c>
      <c r="BF636">
        <v>44</v>
      </c>
      <c r="BG636">
        <v>4</v>
      </c>
      <c r="BH636">
        <v>1390</v>
      </c>
      <c r="BI636">
        <v>27</v>
      </c>
      <c r="BJ636">
        <v>35</v>
      </c>
      <c r="BK636">
        <v>22</v>
      </c>
      <c r="BP636" s="184"/>
    </row>
    <row r="637" spans="1:68">
      <c r="A637">
        <v>3440286</v>
      </c>
      <c r="B637">
        <v>3440286</v>
      </c>
      <c r="C637" t="s">
        <v>7018</v>
      </c>
      <c r="D637" t="s">
        <v>595</v>
      </c>
      <c r="E637" s="184">
        <v>43745</v>
      </c>
      <c r="G637" s="184"/>
      <c r="I637" s="184"/>
      <c r="K637" s="184"/>
      <c r="M637" s="184"/>
      <c r="P637" t="s">
        <v>7045</v>
      </c>
      <c r="Q637" t="s">
        <v>7383</v>
      </c>
      <c r="R637" s="184">
        <v>18476</v>
      </c>
      <c r="S637">
        <v>73</v>
      </c>
      <c r="U637" t="s">
        <v>7032</v>
      </c>
      <c r="V637" t="s">
        <v>3103</v>
      </c>
      <c r="W637" t="s">
        <v>3332</v>
      </c>
      <c r="X637" t="s">
        <v>2893</v>
      </c>
      <c r="AF637" t="s">
        <v>10607</v>
      </c>
      <c r="AG637" t="s">
        <v>3103</v>
      </c>
      <c r="AI637" t="s">
        <v>10608</v>
      </c>
      <c r="AM637" t="s">
        <v>3953</v>
      </c>
      <c r="AN637" t="s">
        <v>2059</v>
      </c>
      <c r="AO637" t="s">
        <v>10609</v>
      </c>
      <c r="AP637" t="s">
        <v>7024</v>
      </c>
      <c r="AQ637" t="s">
        <v>10610</v>
      </c>
      <c r="AT637" s="184">
        <v>33014</v>
      </c>
      <c r="AU637" t="s">
        <v>10537</v>
      </c>
      <c r="AV637">
        <v>15</v>
      </c>
      <c r="AW637" s="184">
        <v>45419</v>
      </c>
      <c r="AX637" t="s">
        <v>7422</v>
      </c>
      <c r="AY637">
        <v>10</v>
      </c>
      <c r="AZ637" s="184">
        <v>39895</v>
      </c>
      <c r="BA637" t="s">
        <v>10611</v>
      </c>
      <c r="BB637">
        <v>100</v>
      </c>
      <c r="BC637">
        <v>89</v>
      </c>
      <c r="BD637">
        <v>2604</v>
      </c>
      <c r="BE637">
        <v>1990</v>
      </c>
      <c r="BF637">
        <v>200</v>
      </c>
      <c r="BG637">
        <v>24</v>
      </c>
      <c r="BH637">
        <v>240</v>
      </c>
      <c r="BI637">
        <v>31</v>
      </c>
      <c r="BJ637">
        <v>35</v>
      </c>
      <c r="BK637">
        <v>25</v>
      </c>
      <c r="BN637" t="s">
        <v>595</v>
      </c>
    </row>
    <row r="638" spans="1:68">
      <c r="A638">
        <v>3442233</v>
      </c>
      <c r="B638">
        <v>3442233</v>
      </c>
      <c r="C638" t="s">
        <v>7018</v>
      </c>
      <c r="D638" t="s">
        <v>595</v>
      </c>
      <c r="E638" s="184">
        <v>44073</v>
      </c>
      <c r="G638" s="184"/>
      <c r="K638" s="184"/>
      <c r="M638" s="184"/>
      <c r="O638" s="184"/>
      <c r="P638" t="s">
        <v>7019</v>
      </c>
      <c r="Q638" t="s">
        <v>7020</v>
      </c>
      <c r="R638" s="184">
        <v>18111</v>
      </c>
      <c r="S638">
        <v>74</v>
      </c>
      <c r="U638" t="s">
        <v>7076</v>
      </c>
      <c r="V638" t="s">
        <v>10612</v>
      </c>
      <c r="X638" t="s">
        <v>10613</v>
      </c>
      <c r="AF638" t="s">
        <v>10614</v>
      </c>
      <c r="AG638" t="s">
        <v>10612</v>
      </c>
      <c r="AI638" t="s">
        <v>10615</v>
      </c>
      <c r="AM638" t="s">
        <v>10616</v>
      </c>
      <c r="AN638" t="s">
        <v>2112</v>
      </c>
      <c r="AO638" t="s">
        <v>10617</v>
      </c>
      <c r="AP638" t="s">
        <v>7024</v>
      </c>
      <c r="AQ638" t="s">
        <v>10618</v>
      </c>
      <c r="AR638" t="s">
        <v>10619</v>
      </c>
      <c r="AT638" s="184">
        <v>33014</v>
      </c>
      <c r="AU638" t="s">
        <v>10508</v>
      </c>
      <c r="AV638">
        <v>15</v>
      </c>
      <c r="AW638" s="184">
        <v>44221</v>
      </c>
      <c r="AX638" t="s">
        <v>10620</v>
      </c>
      <c r="AY638">
        <v>60</v>
      </c>
      <c r="AZ638" s="184">
        <v>44221</v>
      </c>
      <c r="BA638" t="s">
        <v>10620</v>
      </c>
      <c r="BB638">
        <v>60</v>
      </c>
      <c r="BC638">
        <v>52</v>
      </c>
      <c r="BD638">
        <v>303</v>
      </c>
      <c r="BE638">
        <v>1990</v>
      </c>
      <c r="BF638">
        <v>18</v>
      </c>
      <c r="BI638">
        <v>18</v>
      </c>
      <c r="BJ638">
        <v>35</v>
      </c>
      <c r="BK638">
        <v>8</v>
      </c>
      <c r="BP638" s="184"/>
    </row>
    <row r="639" spans="1:68">
      <c r="A639">
        <v>3460912</v>
      </c>
      <c r="B639">
        <v>3460912</v>
      </c>
      <c r="C639" t="s">
        <v>7018</v>
      </c>
      <c r="E639" s="184"/>
      <c r="G639" s="184"/>
      <c r="I639" s="184"/>
      <c r="J639" t="s">
        <v>595</v>
      </c>
      <c r="K639" s="184">
        <v>44104</v>
      </c>
      <c r="P639" t="s">
        <v>7019</v>
      </c>
      <c r="Q639" t="s">
        <v>7160</v>
      </c>
      <c r="R639" s="184">
        <v>16454</v>
      </c>
      <c r="S639">
        <v>79</v>
      </c>
      <c r="U639" t="s">
        <v>7076</v>
      </c>
      <c r="V639" t="s">
        <v>3011</v>
      </c>
      <c r="W639" t="s">
        <v>3226</v>
      </c>
      <c r="X639" t="s">
        <v>4417</v>
      </c>
      <c r="AF639" t="s">
        <v>10621</v>
      </c>
      <c r="AG639" t="s">
        <v>3011</v>
      </c>
      <c r="AI639" t="s">
        <v>10622</v>
      </c>
      <c r="AM639" t="s">
        <v>4774</v>
      </c>
      <c r="AN639" t="s">
        <v>2413</v>
      </c>
      <c r="AO639" t="s">
        <v>10623</v>
      </c>
      <c r="AP639" t="s">
        <v>7024</v>
      </c>
      <c r="AQ639" t="s">
        <v>10624</v>
      </c>
      <c r="AR639" t="s">
        <v>10625</v>
      </c>
      <c r="AT639" s="184">
        <v>33016</v>
      </c>
      <c r="AU639" t="s">
        <v>10605</v>
      </c>
      <c r="AV639">
        <v>15</v>
      </c>
      <c r="AW639" s="184">
        <v>44340</v>
      </c>
      <c r="AX639" t="s">
        <v>10626</v>
      </c>
      <c r="AY639">
        <v>60</v>
      </c>
      <c r="AZ639" s="184">
        <v>44340</v>
      </c>
      <c r="BA639" t="s">
        <v>10626</v>
      </c>
      <c r="BB639">
        <v>60</v>
      </c>
      <c r="BC639">
        <v>32</v>
      </c>
      <c r="BD639">
        <v>395</v>
      </c>
      <c r="BE639">
        <v>1990</v>
      </c>
      <c r="BF639">
        <v>18</v>
      </c>
      <c r="BI639">
        <v>11</v>
      </c>
      <c r="BJ639">
        <v>35</v>
      </c>
      <c r="BK639">
        <v>9</v>
      </c>
      <c r="BP639" s="184"/>
    </row>
    <row r="640" spans="1:68">
      <c r="A640">
        <v>3461076</v>
      </c>
      <c r="B640">
        <v>3461076</v>
      </c>
      <c r="C640" t="s">
        <v>7018</v>
      </c>
      <c r="D640" t="s">
        <v>595</v>
      </c>
      <c r="E640" s="184">
        <v>44152</v>
      </c>
      <c r="I640" s="184"/>
      <c r="K640" s="184"/>
      <c r="M640" s="184"/>
      <c r="P640" t="s">
        <v>7045</v>
      </c>
      <c r="Q640" t="s">
        <v>7383</v>
      </c>
      <c r="R640" s="184">
        <v>17807</v>
      </c>
      <c r="S640">
        <v>75</v>
      </c>
      <c r="U640" t="s">
        <v>7031</v>
      </c>
      <c r="V640" t="s">
        <v>2786</v>
      </c>
      <c r="X640" t="s">
        <v>3639</v>
      </c>
      <c r="AF640" t="s">
        <v>10627</v>
      </c>
      <c r="AG640" t="s">
        <v>2786</v>
      </c>
      <c r="AI640" t="s">
        <v>10628</v>
      </c>
      <c r="AM640" t="s">
        <v>8571</v>
      </c>
      <c r="AN640" t="s">
        <v>2144</v>
      </c>
      <c r="AO640" t="s">
        <v>10629</v>
      </c>
      <c r="AP640" t="s">
        <v>7024</v>
      </c>
      <c r="AT640" s="184">
        <v>33016</v>
      </c>
      <c r="AU640" t="s">
        <v>10605</v>
      </c>
      <c r="AV640">
        <v>30</v>
      </c>
      <c r="AW640" s="184">
        <v>45320</v>
      </c>
      <c r="AX640" t="s">
        <v>9192</v>
      </c>
      <c r="AY640">
        <v>100</v>
      </c>
      <c r="AZ640" s="184">
        <v>45320</v>
      </c>
      <c r="BA640" t="s">
        <v>9192</v>
      </c>
      <c r="BB640">
        <v>100</v>
      </c>
      <c r="BC640">
        <v>66</v>
      </c>
      <c r="BD640">
        <v>1465</v>
      </c>
      <c r="BE640">
        <v>1990</v>
      </c>
      <c r="BF640">
        <v>34</v>
      </c>
      <c r="BG640">
        <v>2</v>
      </c>
      <c r="BH640">
        <v>200</v>
      </c>
      <c r="BI640">
        <v>23</v>
      </c>
      <c r="BJ640">
        <v>35</v>
      </c>
      <c r="BK640">
        <v>11</v>
      </c>
    </row>
    <row r="641" spans="1:68">
      <c r="A641">
        <v>3463726</v>
      </c>
      <c r="B641">
        <v>3463726</v>
      </c>
      <c r="C641" t="s">
        <v>7018</v>
      </c>
      <c r="E641" s="184"/>
      <c r="J641" t="s">
        <v>595</v>
      </c>
      <c r="K641" s="184">
        <v>42521</v>
      </c>
      <c r="M641" s="184"/>
      <c r="P641" t="s">
        <v>7045</v>
      </c>
      <c r="Q641" t="s">
        <v>7374</v>
      </c>
      <c r="R641" s="184">
        <v>15811</v>
      </c>
      <c r="S641">
        <v>81</v>
      </c>
      <c r="U641" t="s">
        <v>7032</v>
      </c>
      <c r="V641" t="s">
        <v>2551</v>
      </c>
      <c r="X641" t="s">
        <v>10630</v>
      </c>
      <c r="Z641">
        <v>100018105</v>
      </c>
      <c r="AA641" t="s">
        <v>7130</v>
      </c>
      <c r="AB641" t="s">
        <v>10631</v>
      </c>
      <c r="AD641" t="s">
        <v>10630</v>
      </c>
      <c r="AF641" t="s">
        <v>6508</v>
      </c>
      <c r="AG641" t="s">
        <v>10632</v>
      </c>
      <c r="AI641" t="s">
        <v>10633</v>
      </c>
      <c r="AM641" t="s">
        <v>10634</v>
      </c>
      <c r="AN641" t="s">
        <v>2081</v>
      </c>
      <c r="AO641" t="s">
        <v>10635</v>
      </c>
      <c r="AP641" t="s">
        <v>7024</v>
      </c>
      <c r="AQ641" t="s">
        <v>10636</v>
      </c>
      <c r="AR641" t="s">
        <v>10637</v>
      </c>
      <c r="AT641" s="184">
        <v>33017</v>
      </c>
      <c r="AU641" t="s">
        <v>9779</v>
      </c>
      <c r="AV641">
        <v>15</v>
      </c>
      <c r="AW641" s="184">
        <v>44636</v>
      </c>
      <c r="AX641" t="s">
        <v>10638</v>
      </c>
      <c r="AY641">
        <v>25</v>
      </c>
      <c r="AZ641" s="184">
        <v>42605</v>
      </c>
      <c r="BA641" t="s">
        <v>10639</v>
      </c>
      <c r="BB641">
        <v>100</v>
      </c>
      <c r="BC641">
        <v>40</v>
      </c>
      <c r="BD641">
        <v>786</v>
      </c>
      <c r="BE641">
        <v>1990</v>
      </c>
      <c r="BF641">
        <v>18</v>
      </c>
      <c r="BI641">
        <v>14</v>
      </c>
      <c r="BJ641">
        <v>35</v>
      </c>
      <c r="BK641">
        <v>4</v>
      </c>
      <c r="BN641" t="s">
        <v>595</v>
      </c>
    </row>
    <row r="642" spans="1:68">
      <c r="A642">
        <v>100018105</v>
      </c>
      <c r="B642">
        <v>3463726</v>
      </c>
      <c r="C642" t="s">
        <v>7018</v>
      </c>
      <c r="E642" s="184"/>
      <c r="G642" s="184"/>
      <c r="J642" t="s">
        <v>595</v>
      </c>
      <c r="K642" s="184">
        <v>43656</v>
      </c>
      <c r="P642" t="s">
        <v>7045</v>
      </c>
      <c r="Q642" t="s">
        <v>7374</v>
      </c>
      <c r="R642" s="184">
        <v>16619</v>
      </c>
      <c r="S642">
        <v>78</v>
      </c>
      <c r="U642" t="s">
        <v>7130</v>
      </c>
      <c r="V642" t="s">
        <v>10631</v>
      </c>
      <c r="X642" t="s">
        <v>10630</v>
      </c>
      <c r="Z642">
        <v>3463726</v>
      </c>
      <c r="AA642" t="s">
        <v>7032</v>
      </c>
      <c r="AB642" t="s">
        <v>2551</v>
      </c>
      <c r="AD642" t="s">
        <v>10630</v>
      </c>
      <c r="AF642" t="s">
        <v>6508</v>
      </c>
      <c r="AG642" t="s">
        <v>10632</v>
      </c>
      <c r="AI642" t="s">
        <v>10633</v>
      </c>
      <c r="AM642" t="s">
        <v>10634</v>
      </c>
      <c r="AN642" t="s">
        <v>2081</v>
      </c>
      <c r="AO642" t="s">
        <v>10635</v>
      </c>
      <c r="AP642" t="s">
        <v>7024</v>
      </c>
      <c r="AT642" s="184"/>
      <c r="AW642" s="184"/>
      <c r="AZ642" s="184"/>
      <c r="BP642" s="184"/>
    </row>
    <row r="643" spans="1:68">
      <c r="A643">
        <v>3470721</v>
      </c>
      <c r="B643">
        <v>3470721</v>
      </c>
      <c r="C643" t="s">
        <v>7018</v>
      </c>
      <c r="D643" t="s">
        <v>595</v>
      </c>
      <c r="E643" s="184">
        <v>43851</v>
      </c>
      <c r="I643" s="184"/>
      <c r="K643" s="184"/>
      <c r="P643" t="s">
        <v>7045</v>
      </c>
      <c r="Q643" t="s">
        <v>7374</v>
      </c>
      <c r="R643" s="184">
        <v>16984</v>
      </c>
      <c r="S643">
        <v>77</v>
      </c>
      <c r="U643" t="s">
        <v>7130</v>
      </c>
      <c r="V643" t="s">
        <v>3444</v>
      </c>
      <c r="X643" t="s">
        <v>4526</v>
      </c>
      <c r="AF643" t="s">
        <v>10640</v>
      </c>
      <c r="AG643" t="s">
        <v>3444</v>
      </c>
      <c r="AI643" t="s">
        <v>10641</v>
      </c>
      <c r="AM643" t="s">
        <v>2534</v>
      </c>
      <c r="AN643" t="s">
        <v>2081</v>
      </c>
      <c r="AO643" t="s">
        <v>10642</v>
      </c>
      <c r="AP643" t="s">
        <v>7024</v>
      </c>
      <c r="AQ643" t="s">
        <v>10643</v>
      </c>
      <c r="AT643" s="184">
        <v>33017</v>
      </c>
      <c r="AU643" t="s">
        <v>10151</v>
      </c>
      <c r="AV643">
        <v>25</v>
      </c>
      <c r="AW643" s="184">
        <v>45413</v>
      </c>
      <c r="AX643" t="s">
        <v>7422</v>
      </c>
      <c r="AY643">
        <v>10</v>
      </c>
      <c r="AZ643" s="184">
        <v>43619</v>
      </c>
      <c r="BA643" t="s">
        <v>7959</v>
      </c>
      <c r="BB643">
        <v>50</v>
      </c>
      <c r="BC643">
        <v>98</v>
      </c>
      <c r="BD643">
        <v>1400</v>
      </c>
      <c r="BE643">
        <v>1990</v>
      </c>
      <c r="BF643">
        <v>80</v>
      </c>
      <c r="BG643">
        <v>24</v>
      </c>
      <c r="BH643">
        <v>240</v>
      </c>
      <c r="BI643">
        <v>34</v>
      </c>
      <c r="BJ643">
        <v>35</v>
      </c>
      <c r="BK643">
        <v>19</v>
      </c>
    </row>
    <row r="644" spans="1:68">
      <c r="A644">
        <v>3472651</v>
      </c>
      <c r="B644">
        <v>3472651</v>
      </c>
      <c r="C644" t="s">
        <v>7018</v>
      </c>
      <c r="D644" t="s">
        <v>595</v>
      </c>
      <c r="E644" s="184">
        <v>44113</v>
      </c>
      <c r="I644" s="184"/>
      <c r="K644" s="184"/>
      <c r="M644" s="184"/>
      <c r="P644" t="s">
        <v>7045</v>
      </c>
      <c r="Q644" t="s">
        <v>7383</v>
      </c>
      <c r="R644" s="184">
        <v>18203</v>
      </c>
      <c r="S644">
        <v>74</v>
      </c>
      <c r="U644" t="s">
        <v>7076</v>
      </c>
      <c r="V644" t="s">
        <v>3131</v>
      </c>
      <c r="X644" t="s">
        <v>10644</v>
      </c>
      <c r="AF644" t="s">
        <v>10645</v>
      </c>
      <c r="AG644" t="s">
        <v>3131</v>
      </c>
      <c r="AI644" t="s">
        <v>10646</v>
      </c>
      <c r="AM644" t="s">
        <v>3448</v>
      </c>
      <c r="AN644" t="s">
        <v>2313</v>
      </c>
      <c r="AO644" t="s">
        <v>10647</v>
      </c>
      <c r="AP644" t="s">
        <v>7024</v>
      </c>
      <c r="AQ644" t="s">
        <v>10648</v>
      </c>
      <c r="AT644" s="184">
        <v>33018</v>
      </c>
      <c r="AU644" t="s">
        <v>10605</v>
      </c>
      <c r="AV644">
        <v>20</v>
      </c>
      <c r="AW644" s="184">
        <v>45131</v>
      </c>
      <c r="AX644" t="s">
        <v>10649</v>
      </c>
      <c r="AY644">
        <v>25</v>
      </c>
      <c r="AZ644" s="184">
        <v>37812</v>
      </c>
      <c r="BA644" t="s">
        <v>10650</v>
      </c>
      <c r="BB644">
        <v>60</v>
      </c>
      <c r="BC644">
        <v>98</v>
      </c>
      <c r="BD644">
        <v>2455</v>
      </c>
      <c r="BE644">
        <v>1990</v>
      </c>
      <c r="BF644">
        <v>182</v>
      </c>
      <c r="BG644">
        <v>12</v>
      </c>
      <c r="BH644">
        <v>135</v>
      </c>
      <c r="BI644">
        <v>34</v>
      </c>
      <c r="BJ644">
        <v>35</v>
      </c>
      <c r="BK644">
        <v>34</v>
      </c>
      <c r="BP644" s="184"/>
    </row>
    <row r="645" spans="1:68">
      <c r="A645">
        <v>3491602</v>
      </c>
      <c r="B645">
        <v>3491602</v>
      </c>
      <c r="C645" t="s">
        <v>7018</v>
      </c>
      <c r="E645" s="184"/>
      <c r="G645" s="184"/>
      <c r="I645" s="184"/>
      <c r="J645" t="s">
        <v>595</v>
      </c>
      <c r="K645" s="184">
        <v>44104</v>
      </c>
      <c r="O645" s="184"/>
      <c r="P645" t="s">
        <v>7045</v>
      </c>
      <c r="Q645" t="s">
        <v>7383</v>
      </c>
      <c r="R645" s="184">
        <v>12993</v>
      </c>
      <c r="S645">
        <v>88</v>
      </c>
      <c r="V645" t="s">
        <v>3283</v>
      </c>
      <c r="X645" t="s">
        <v>10651</v>
      </c>
      <c r="Z645">
        <v>100018199</v>
      </c>
      <c r="AB645" t="s">
        <v>3350</v>
      </c>
      <c r="AD645" t="s">
        <v>10651</v>
      </c>
      <c r="AF645" t="s">
        <v>10652</v>
      </c>
      <c r="AG645" t="s">
        <v>10653</v>
      </c>
      <c r="AI645" t="s">
        <v>10654</v>
      </c>
      <c r="AM645" t="s">
        <v>10655</v>
      </c>
      <c r="AN645" t="s">
        <v>2059</v>
      </c>
      <c r="AO645" t="s">
        <v>10656</v>
      </c>
      <c r="AP645" t="s">
        <v>7024</v>
      </c>
      <c r="AQ645" t="s">
        <v>10657</v>
      </c>
      <c r="AT645" s="184">
        <v>33025</v>
      </c>
      <c r="AU645" t="s">
        <v>10605</v>
      </c>
      <c r="AV645">
        <v>25</v>
      </c>
      <c r="AW645" s="184">
        <v>45057</v>
      </c>
      <c r="AX645" t="s">
        <v>10658</v>
      </c>
      <c r="AY645">
        <v>100</v>
      </c>
      <c r="AZ645" s="184">
        <v>45057</v>
      </c>
      <c r="BA645" t="s">
        <v>10658</v>
      </c>
      <c r="BB645">
        <v>100</v>
      </c>
      <c r="BC645">
        <v>83</v>
      </c>
      <c r="BD645">
        <v>1600</v>
      </c>
      <c r="BE645">
        <v>1990</v>
      </c>
      <c r="BF645">
        <v>34</v>
      </c>
      <c r="BG645">
        <v>2</v>
      </c>
      <c r="BH645">
        <v>200</v>
      </c>
      <c r="BI645">
        <v>29</v>
      </c>
      <c r="BJ645">
        <v>35</v>
      </c>
      <c r="BK645">
        <v>14</v>
      </c>
      <c r="BP645" s="184"/>
    </row>
    <row r="646" spans="1:68">
      <c r="A646">
        <v>100018199</v>
      </c>
      <c r="B646">
        <v>3491602</v>
      </c>
      <c r="C646" t="s">
        <v>7018</v>
      </c>
      <c r="E646" s="184"/>
      <c r="I646" s="184"/>
      <c r="J646" t="s">
        <v>595</v>
      </c>
      <c r="K646" s="184">
        <v>44104</v>
      </c>
      <c r="M646" s="184"/>
      <c r="O646" s="184"/>
      <c r="P646" t="s">
        <v>7045</v>
      </c>
      <c r="Q646" t="s">
        <v>7383</v>
      </c>
      <c r="R646" s="184">
        <v>12993</v>
      </c>
      <c r="S646">
        <v>88</v>
      </c>
      <c r="V646" t="s">
        <v>3350</v>
      </c>
      <c r="X646" t="s">
        <v>10651</v>
      </c>
      <c r="Z646">
        <v>3491602</v>
      </c>
      <c r="AB646" t="s">
        <v>3283</v>
      </c>
      <c r="AD646" t="s">
        <v>10651</v>
      </c>
      <c r="AF646" t="s">
        <v>10652</v>
      </c>
      <c r="AG646" t="s">
        <v>10653</v>
      </c>
      <c r="AI646" t="s">
        <v>10654</v>
      </c>
      <c r="AM646" t="s">
        <v>10655</v>
      </c>
      <c r="AN646" t="s">
        <v>2059</v>
      </c>
      <c r="AO646" t="s">
        <v>10656</v>
      </c>
      <c r="AP646" t="s">
        <v>7024</v>
      </c>
      <c r="AQ646" t="s">
        <v>10657</v>
      </c>
      <c r="AT646" s="184"/>
      <c r="AW646" s="184"/>
      <c r="AZ646" s="184"/>
      <c r="BP646" s="184"/>
    </row>
    <row r="647" spans="1:68">
      <c r="A647">
        <v>3492253</v>
      </c>
      <c r="B647">
        <v>3492253</v>
      </c>
      <c r="C647" t="s">
        <v>7018</v>
      </c>
      <c r="D647" t="s">
        <v>595</v>
      </c>
      <c r="E647" s="184">
        <v>44070</v>
      </c>
      <c r="I647" s="184"/>
      <c r="K647" s="184"/>
      <c r="M647" s="184"/>
      <c r="O647" s="184"/>
      <c r="P647" t="s">
        <v>7045</v>
      </c>
      <c r="Q647" t="s">
        <v>7020</v>
      </c>
      <c r="R647" s="184">
        <v>22920</v>
      </c>
      <c r="S647">
        <v>61</v>
      </c>
      <c r="U647" t="s">
        <v>7032</v>
      </c>
      <c r="V647" t="s">
        <v>4330</v>
      </c>
      <c r="X647" t="s">
        <v>10659</v>
      </c>
      <c r="AF647" t="s">
        <v>10660</v>
      </c>
      <c r="AG647" t="s">
        <v>4330</v>
      </c>
      <c r="AI647" t="s">
        <v>10661</v>
      </c>
      <c r="AM647" t="s">
        <v>2657</v>
      </c>
      <c r="AN647" t="s">
        <v>2129</v>
      </c>
      <c r="AO647" t="s">
        <v>10662</v>
      </c>
      <c r="AP647" t="s">
        <v>7024</v>
      </c>
      <c r="AQ647" t="s">
        <v>10663</v>
      </c>
      <c r="AR647" t="s">
        <v>10664</v>
      </c>
      <c r="AT647" s="184">
        <v>33025</v>
      </c>
      <c r="AU647" t="s">
        <v>10665</v>
      </c>
      <c r="AV647">
        <v>15</v>
      </c>
      <c r="AW647" s="184">
        <v>45397</v>
      </c>
      <c r="AX647" t="s">
        <v>10666</v>
      </c>
      <c r="AY647">
        <v>25</v>
      </c>
      <c r="AZ647" s="184">
        <v>37714</v>
      </c>
      <c r="BA647" t="s">
        <v>10667</v>
      </c>
      <c r="BB647">
        <v>60</v>
      </c>
      <c r="BC647">
        <v>89</v>
      </c>
      <c r="BD647">
        <v>983</v>
      </c>
      <c r="BE647">
        <v>1990</v>
      </c>
      <c r="BF647">
        <v>39</v>
      </c>
      <c r="BG647">
        <v>2</v>
      </c>
      <c r="BH647">
        <v>50</v>
      </c>
      <c r="BI647">
        <v>31</v>
      </c>
      <c r="BJ647">
        <v>35</v>
      </c>
      <c r="BK647">
        <v>19</v>
      </c>
      <c r="BP647" s="184"/>
    </row>
    <row r="648" spans="1:68">
      <c r="A648">
        <v>3499498</v>
      </c>
      <c r="B648">
        <v>3499498</v>
      </c>
      <c r="C648" t="s">
        <v>7018</v>
      </c>
      <c r="E648" s="184"/>
      <c r="I648" s="184"/>
      <c r="J648" t="s">
        <v>595</v>
      </c>
      <c r="K648" s="184">
        <v>43731</v>
      </c>
      <c r="M648" s="184"/>
      <c r="O648" s="184"/>
      <c r="P648" t="s">
        <v>7045</v>
      </c>
      <c r="Q648" t="s">
        <v>7454</v>
      </c>
      <c r="R648" s="184">
        <v>14953</v>
      </c>
      <c r="S648">
        <v>83</v>
      </c>
      <c r="V648" t="s">
        <v>2733</v>
      </c>
      <c r="W648" t="s">
        <v>7356</v>
      </c>
      <c r="X648" t="s">
        <v>3661</v>
      </c>
      <c r="AF648" t="s">
        <v>6240</v>
      </c>
      <c r="AG648" t="s">
        <v>2733</v>
      </c>
      <c r="AI648" t="s">
        <v>10668</v>
      </c>
      <c r="AM648" t="s">
        <v>3811</v>
      </c>
      <c r="AN648" t="s">
        <v>2299</v>
      </c>
      <c r="AO648" t="s">
        <v>10669</v>
      </c>
      <c r="AP648" t="s">
        <v>7024</v>
      </c>
      <c r="AQ648" t="s">
        <v>10670</v>
      </c>
      <c r="AT648" s="184">
        <v>33030</v>
      </c>
      <c r="AU648" t="s">
        <v>10508</v>
      </c>
      <c r="AV648">
        <v>15</v>
      </c>
      <c r="AW648" s="184">
        <v>45411</v>
      </c>
      <c r="AX648" t="s">
        <v>7414</v>
      </c>
      <c r="AY648">
        <v>12</v>
      </c>
      <c r="AZ648" s="184">
        <v>38180</v>
      </c>
      <c r="BA648" t="s">
        <v>10671</v>
      </c>
      <c r="BB648">
        <v>87</v>
      </c>
      <c r="BC648">
        <v>98</v>
      </c>
      <c r="BD648">
        <v>2785</v>
      </c>
      <c r="BE648">
        <v>1990</v>
      </c>
      <c r="BF648">
        <v>162</v>
      </c>
      <c r="BG648">
        <v>24</v>
      </c>
      <c r="BH648">
        <v>268</v>
      </c>
      <c r="BI648">
        <v>34</v>
      </c>
      <c r="BJ648">
        <v>35</v>
      </c>
      <c r="BK648">
        <v>29</v>
      </c>
      <c r="BP648" s="184"/>
    </row>
    <row r="649" spans="1:68">
      <c r="A649">
        <v>3523636</v>
      </c>
      <c r="B649">
        <v>3523636</v>
      </c>
      <c r="C649" t="s">
        <v>7018</v>
      </c>
      <c r="D649" t="s">
        <v>595</v>
      </c>
      <c r="E649" s="184">
        <v>44073</v>
      </c>
      <c r="I649" s="184"/>
      <c r="K649" s="184"/>
      <c r="M649" s="184"/>
      <c r="O649" s="184"/>
      <c r="P649" t="s">
        <v>7045</v>
      </c>
      <c r="Q649" t="s">
        <v>7383</v>
      </c>
      <c r="R649" s="184">
        <v>19329</v>
      </c>
      <c r="S649">
        <v>71</v>
      </c>
      <c r="U649" t="s">
        <v>7076</v>
      </c>
      <c r="V649" t="s">
        <v>3901</v>
      </c>
      <c r="W649" t="s">
        <v>7107</v>
      </c>
      <c r="X649" t="s">
        <v>10672</v>
      </c>
      <c r="AF649" t="s">
        <v>10673</v>
      </c>
      <c r="AG649" t="s">
        <v>3901</v>
      </c>
      <c r="AI649" t="s">
        <v>10674</v>
      </c>
      <c r="AM649" t="s">
        <v>10675</v>
      </c>
      <c r="AN649" t="s">
        <v>2072</v>
      </c>
      <c r="AO649" t="s">
        <v>10676</v>
      </c>
      <c r="AP649" t="s">
        <v>7024</v>
      </c>
      <c r="AQ649" t="s">
        <v>10677</v>
      </c>
      <c r="AT649" s="184">
        <v>33032</v>
      </c>
      <c r="AU649" t="s">
        <v>10678</v>
      </c>
      <c r="AV649">
        <v>15</v>
      </c>
      <c r="AW649" s="184">
        <v>45408</v>
      </c>
      <c r="AX649" t="s">
        <v>8483</v>
      </c>
      <c r="AY649">
        <v>12</v>
      </c>
      <c r="AZ649" s="184">
        <v>42907</v>
      </c>
      <c r="BA649" t="s">
        <v>10679</v>
      </c>
      <c r="BB649">
        <v>50</v>
      </c>
      <c r="BC649">
        <v>95</v>
      </c>
      <c r="BD649">
        <v>3020</v>
      </c>
      <c r="BE649">
        <v>1990</v>
      </c>
      <c r="BF649">
        <v>225</v>
      </c>
      <c r="BG649">
        <v>22</v>
      </c>
      <c r="BH649">
        <v>264</v>
      </c>
      <c r="BI649">
        <v>33</v>
      </c>
      <c r="BJ649">
        <v>35</v>
      </c>
      <c r="BK649">
        <v>16</v>
      </c>
    </row>
    <row r="650" spans="1:68">
      <c r="A650">
        <v>3527322</v>
      </c>
      <c r="B650">
        <v>3527322</v>
      </c>
      <c r="C650" t="s">
        <v>7018</v>
      </c>
      <c r="D650" t="s">
        <v>595</v>
      </c>
      <c r="E650" s="184">
        <v>44073</v>
      </c>
      <c r="I650" s="184"/>
      <c r="K650" s="184"/>
      <c r="M650" s="184"/>
      <c r="O650" s="184"/>
      <c r="P650" t="s">
        <v>7045</v>
      </c>
      <c r="Q650" t="s">
        <v>7020</v>
      </c>
      <c r="R650" s="184">
        <v>11533</v>
      </c>
      <c r="S650">
        <v>92</v>
      </c>
      <c r="U650" t="s">
        <v>7031</v>
      </c>
      <c r="V650" t="s">
        <v>3103</v>
      </c>
      <c r="W650" t="s">
        <v>4327</v>
      </c>
      <c r="X650" t="s">
        <v>3539</v>
      </c>
      <c r="AF650" t="s">
        <v>10680</v>
      </c>
      <c r="AG650" t="s">
        <v>3103</v>
      </c>
      <c r="AI650" t="s">
        <v>10681</v>
      </c>
      <c r="AM650" t="s">
        <v>10682</v>
      </c>
      <c r="AN650" t="s">
        <v>2112</v>
      </c>
      <c r="AO650" t="s">
        <v>10683</v>
      </c>
      <c r="AP650" t="s">
        <v>7024</v>
      </c>
      <c r="AQ650" t="s">
        <v>10684</v>
      </c>
      <c r="AR650" t="s">
        <v>10685</v>
      </c>
      <c r="AT650" s="184">
        <v>33032</v>
      </c>
      <c r="AU650" t="s">
        <v>10686</v>
      </c>
      <c r="AV650">
        <v>15</v>
      </c>
      <c r="AW650" s="184">
        <v>45040</v>
      </c>
      <c r="AX650" t="s">
        <v>10687</v>
      </c>
      <c r="AY650">
        <v>35</v>
      </c>
      <c r="AZ650" s="184">
        <v>42466</v>
      </c>
      <c r="BA650" t="s">
        <v>10688</v>
      </c>
      <c r="BB650">
        <v>100</v>
      </c>
      <c r="BC650">
        <v>89</v>
      </c>
      <c r="BD650">
        <v>1351</v>
      </c>
      <c r="BE650">
        <v>1990</v>
      </c>
      <c r="BF650">
        <v>37</v>
      </c>
      <c r="BG650">
        <v>2</v>
      </c>
      <c r="BH650">
        <v>70</v>
      </c>
      <c r="BI650">
        <v>31</v>
      </c>
      <c r="BJ650">
        <v>35</v>
      </c>
      <c r="BK650">
        <v>13</v>
      </c>
    </row>
    <row r="651" spans="1:68">
      <c r="A651">
        <v>3535630</v>
      </c>
      <c r="B651">
        <v>3535630</v>
      </c>
      <c r="C651" t="s">
        <v>7018</v>
      </c>
      <c r="D651" t="s">
        <v>595</v>
      </c>
      <c r="E651" s="184">
        <v>44167</v>
      </c>
      <c r="I651" s="184"/>
      <c r="K651" s="184"/>
      <c r="P651" t="s">
        <v>7029</v>
      </c>
      <c r="Q651" t="s">
        <v>7262</v>
      </c>
      <c r="R651" s="184">
        <v>15416</v>
      </c>
      <c r="S651">
        <v>82</v>
      </c>
      <c r="U651" t="s">
        <v>7130</v>
      </c>
      <c r="V651" t="s">
        <v>3254</v>
      </c>
      <c r="X651" t="s">
        <v>4472</v>
      </c>
      <c r="Z651">
        <v>100018332</v>
      </c>
      <c r="AA651" t="s">
        <v>7130</v>
      </c>
      <c r="AB651" t="s">
        <v>2580</v>
      </c>
      <c r="AD651" t="s">
        <v>4472</v>
      </c>
      <c r="AF651" t="s">
        <v>10689</v>
      </c>
      <c r="AG651" t="s">
        <v>10690</v>
      </c>
      <c r="AI651" t="s">
        <v>10691</v>
      </c>
      <c r="AM651" t="s">
        <v>4657</v>
      </c>
      <c r="AN651" t="s">
        <v>2069</v>
      </c>
      <c r="AO651" t="s">
        <v>10692</v>
      </c>
      <c r="AP651" t="s">
        <v>7024</v>
      </c>
      <c r="AQ651" t="s">
        <v>10693</v>
      </c>
      <c r="AR651" t="s">
        <v>10694</v>
      </c>
      <c r="AT651" s="184">
        <v>33035</v>
      </c>
      <c r="AU651" t="s">
        <v>10695</v>
      </c>
      <c r="AV651">
        <v>15</v>
      </c>
      <c r="AW651" s="184">
        <v>45271</v>
      </c>
      <c r="AX651" t="s">
        <v>10696</v>
      </c>
      <c r="AY651">
        <v>1000</v>
      </c>
      <c r="AZ651" s="184">
        <v>45271</v>
      </c>
      <c r="BA651" t="s">
        <v>10696</v>
      </c>
      <c r="BB651">
        <v>1000</v>
      </c>
      <c r="BC651">
        <v>95</v>
      </c>
      <c r="BD651">
        <v>3040</v>
      </c>
      <c r="BE651">
        <v>1990</v>
      </c>
      <c r="BF651">
        <v>59</v>
      </c>
      <c r="BG651">
        <v>3</v>
      </c>
      <c r="BH651">
        <v>1100</v>
      </c>
      <c r="BI651">
        <v>33</v>
      </c>
      <c r="BJ651">
        <v>35</v>
      </c>
      <c r="BK651">
        <v>25</v>
      </c>
      <c r="BP651" s="184"/>
    </row>
    <row r="652" spans="1:68">
      <c r="A652">
        <v>100018332</v>
      </c>
      <c r="B652">
        <v>3535630</v>
      </c>
      <c r="C652" t="s">
        <v>7018</v>
      </c>
      <c r="D652" t="s">
        <v>595</v>
      </c>
      <c r="E652" s="184">
        <v>44167</v>
      </c>
      <c r="G652" s="184"/>
      <c r="I652" s="184"/>
      <c r="K652" s="184"/>
      <c r="O652" s="184"/>
      <c r="P652" t="s">
        <v>7029</v>
      </c>
      <c r="Q652" t="s">
        <v>7262</v>
      </c>
      <c r="R652" s="184">
        <v>15008</v>
      </c>
      <c r="S652">
        <v>83</v>
      </c>
      <c r="U652" t="s">
        <v>7130</v>
      </c>
      <c r="V652" t="s">
        <v>2580</v>
      </c>
      <c r="X652" t="s">
        <v>4472</v>
      </c>
      <c r="Z652">
        <v>3535630</v>
      </c>
      <c r="AA652" t="s">
        <v>7130</v>
      </c>
      <c r="AB652" t="s">
        <v>3254</v>
      </c>
      <c r="AD652" t="s">
        <v>4472</v>
      </c>
      <c r="AF652" t="s">
        <v>10689</v>
      </c>
      <c r="AG652" t="s">
        <v>10690</v>
      </c>
      <c r="AI652" t="s">
        <v>10691</v>
      </c>
      <c r="AM652" t="s">
        <v>4657</v>
      </c>
      <c r="AN652" t="s">
        <v>2069</v>
      </c>
      <c r="AO652" t="s">
        <v>10692</v>
      </c>
      <c r="AP652" t="s">
        <v>7024</v>
      </c>
      <c r="AQ652" t="s">
        <v>10693</v>
      </c>
      <c r="AT652" s="184">
        <v>43766</v>
      </c>
      <c r="AU652" t="s">
        <v>10697</v>
      </c>
      <c r="AV652">
        <v>50</v>
      </c>
      <c r="AW652" s="184">
        <v>43766</v>
      </c>
      <c r="AX652" t="s">
        <v>10697</v>
      </c>
      <c r="AY652">
        <v>50</v>
      </c>
      <c r="AZ652" s="184">
        <v>43766</v>
      </c>
      <c r="BA652" t="s">
        <v>10697</v>
      </c>
      <c r="BB652">
        <v>50</v>
      </c>
      <c r="BC652">
        <v>17</v>
      </c>
      <c r="BD652">
        <v>50</v>
      </c>
      <c r="BE652">
        <v>2020</v>
      </c>
      <c r="BF652">
        <v>1</v>
      </c>
      <c r="BI652">
        <v>1</v>
      </c>
      <c r="BJ652">
        <v>6</v>
      </c>
      <c r="BK652">
        <v>1</v>
      </c>
    </row>
    <row r="653" spans="1:68">
      <c r="A653">
        <v>3540465</v>
      </c>
      <c r="B653">
        <v>3540465</v>
      </c>
      <c r="C653" t="s">
        <v>7018</v>
      </c>
      <c r="E653" s="184"/>
      <c r="G653" s="184"/>
      <c r="I653" s="184"/>
      <c r="K653" s="184"/>
      <c r="M653" s="184"/>
      <c r="N653" t="s">
        <v>595</v>
      </c>
      <c r="O653" s="184">
        <v>38292</v>
      </c>
      <c r="P653" t="s">
        <v>7045</v>
      </c>
      <c r="Q653" t="s">
        <v>7383</v>
      </c>
      <c r="R653" s="184">
        <v>10596</v>
      </c>
      <c r="S653">
        <v>95</v>
      </c>
      <c r="V653" t="s">
        <v>5851</v>
      </c>
      <c r="X653" t="s">
        <v>5852</v>
      </c>
      <c r="AF653" t="s">
        <v>10698</v>
      </c>
      <c r="AG653" t="s">
        <v>5851</v>
      </c>
      <c r="AI653" t="s">
        <v>10699</v>
      </c>
      <c r="AM653" t="s">
        <v>3498</v>
      </c>
      <c r="AN653" t="s">
        <v>2162</v>
      </c>
      <c r="AO653" t="s">
        <v>10700</v>
      </c>
      <c r="AP653" t="s">
        <v>7024</v>
      </c>
      <c r="AT653" s="184">
        <v>33036</v>
      </c>
      <c r="AU653" t="s">
        <v>10701</v>
      </c>
      <c r="AV653">
        <v>25</v>
      </c>
      <c r="AW653" s="184">
        <v>43872</v>
      </c>
      <c r="AX653" t="s">
        <v>10702</v>
      </c>
      <c r="AY653">
        <v>200</v>
      </c>
      <c r="AZ653" s="184">
        <v>38295</v>
      </c>
      <c r="BA653" t="s">
        <v>8001</v>
      </c>
      <c r="BB653">
        <v>10000</v>
      </c>
      <c r="BC653">
        <v>86</v>
      </c>
      <c r="BD653">
        <v>16890</v>
      </c>
      <c r="BE653">
        <v>1990</v>
      </c>
      <c r="BF653">
        <v>89</v>
      </c>
      <c r="BI653">
        <v>30</v>
      </c>
      <c r="BJ653">
        <v>35</v>
      </c>
      <c r="BK653">
        <v>27</v>
      </c>
    </row>
    <row r="654" spans="1:68">
      <c r="A654">
        <v>3542826</v>
      </c>
      <c r="B654">
        <v>3542826</v>
      </c>
      <c r="C654" t="s">
        <v>7018</v>
      </c>
      <c r="D654" t="s">
        <v>595</v>
      </c>
      <c r="E654" s="184">
        <v>43801</v>
      </c>
      <c r="G654" s="184"/>
      <c r="I654" s="184"/>
      <c r="K654" s="184"/>
      <c r="P654" t="s">
        <v>7045</v>
      </c>
      <c r="Q654" t="s">
        <v>7374</v>
      </c>
      <c r="R654" s="184">
        <v>19329</v>
      </c>
      <c r="S654">
        <v>71</v>
      </c>
      <c r="V654" t="s">
        <v>2733</v>
      </c>
      <c r="X654" t="s">
        <v>4341</v>
      </c>
      <c r="AF654" t="s">
        <v>10703</v>
      </c>
      <c r="AG654" t="s">
        <v>2733</v>
      </c>
      <c r="AI654" t="s">
        <v>10704</v>
      </c>
      <c r="AM654" t="s">
        <v>4342</v>
      </c>
      <c r="AN654" t="s">
        <v>2081</v>
      </c>
      <c r="AO654" t="s">
        <v>10705</v>
      </c>
      <c r="AP654" t="s">
        <v>7024</v>
      </c>
      <c r="AT654" s="184">
        <v>33036</v>
      </c>
      <c r="AU654" t="s">
        <v>10706</v>
      </c>
      <c r="AV654">
        <v>15</v>
      </c>
      <c r="AW654" s="184">
        <v>45377</v>
      </c>
      <c r="AX654" t="s">
        <v>10707</v>
      </c>
      <c r="AY654">
        <v>100</v>
      </c>
      <c r="AZ654" s="184">
        <v>45377</v>
      </c>
      <c r="BA654" t="s">
        <v>10707</v>
      </c>
      <c r="BB654">
        <v>100</v>
      </c>
      <c r="BC654">
        <v>63</v>
      </c>
      <c r="BD654">
        <v>950</v>
      </c>
      <c r="BE654">
        <v>1990</v>
      </c>
      <c r="BF654">
        <v>25</v>
      </c>
      <c r="BG654">
        <v>3</v>
      </c>
      <c r="BH654">
        <v>200</v>
      </c>
      <c r="BI654">
        <v>22</v>
      </c>
      <c r="BJ654">
        <v>35</v>
      </c>
      <c r="BK654">
        <v>8</v>
      </c>
      <c r="BP654" s="184"/>
    </row>
    <row r="655" spans="1:68">
      <c r="A655">
        <v>3559606</v>
      </c>
      <c r="B655">
        <v>3559606</v>
      </c>
      <c r="C655" t="s">
        <v>7018</v>
      </c>
      <c r="E655" s="184"/>
      <c r="G655" s="184"/>
      <c r="I655" s="184"/>
      <c r="J655" t="s">
        <v>595</v>
      </c>
      <c r="K655" s="184">
        <v>41414</v>
      </c>
      <c r="P655" t="s">
        <v>7045</v>
      </c>
      <c r="Q655" t="s">
        <v>7262</v>
      </c>
      <c r="R655" s="184">
        <v>17838</v>
      </c>
      <c r="S655">
        <v>75</v>
      </c>
      <c r="U655" t="s">
        <v>7031</v>
      </c>
      <c r="V655" t="s">
        <v>10708</v>
      </c>
      <c r="X655" t="s">
        <v>10709</v>
      </c>
      <c r="AF655" t="s">
        <v>10710</v>
      </c>
      <c r="AG655" t="s">
        <v>10708</v>
      </c>
      <c r="AI655" t="s">
        <v>10711</v>
      </c>
      <c r="AM655" t="s">
        <v>10712</v>
      </c>
      <c r="AN655" t="s">
        <v>2069</v>
      </c>
      <c r="AO655" t="s">
        <v>10713</v>
      </c>
      <c r="AP655" t="s">
        <v>7024</v>
      </c>
      <c r="AQ655" t="s">
        <v>10714</v>
      </c>
      <c r="AT655" s="184">
        <v>33037</v>
      </c>
      <c r="AU655" t="s">
        <v>10715</v>
      </c>
      <c r="AV655">
        <v>15</v>
      </c>
      <c r="AW655" s="184">
        <v>45426</v>
      </c>
      <c r="AX655" t="s">
        <v>7422</v>
      </c>
      <c r="AY655">
        <v>15</v>
      </c>
      <c r="AZ655" s="184">
        <v>43732</v>
      </c>
      <c r="BA655" t="s">
        <v>10716</v>
      </c>
      <c r="BB655">
        <v>150</v>
      </c>
      <c r="BC655">
        <v>80</v>
      </c>
      <c r="BD655">
        <v>2997</v>
      </c>
      <c r="BE655">
        <v>1990</v>
      </c>
      <c r="BF655">
        <v>99</v>
      </c>
      <c r="BG655">
        <v>41</v>
      </c>
      <c r="BH655">
        <v>650</v>
      </c>
      <c r="BI655">
        <v>28</v>
      </c>
      <c r="BJ655">
        <v>35</v>
      </c>
      <c r="BK655">
        <v>9</v>
      </c>
    </row>
    <row r="656" spans="1:68">
      <c r="A656">
        <v>3563236</v>
      </c>
      <c r="B656">
        <v>3563236</v>
      </c>
      <c r="C656" t="s">
        <v>7018</v>
      </c>
      <c r="E656" s="184"/>
      <c r="G656" s="184"/>
      <c r="I656" s="184"/>
      <c r="J656" t="s">
        <v>595</v>
      </c>
      <c r="K656" s="184">
        <v>40073</v>
      </c>
      <c r="M656" s="184"/>
      <c r="P656" t="s">
        <v>7045</v>
      </c>
      <c r="Q656" t="s">
        <v>7374</v>
      </c>
      <c r="R656" s="184"/>
      <c r="U656" t="s">
        <v>7032</v>
      </c>
      <c r="V656" t="s">
        <v>2660</v>
      </c>
      <c r="X656" t="s">
        <v>5719</v>
      </c>
      <c r="Z656">
        <v>100179764</v>
      </c>
      <c r="AA656" t="s">
        <v>7032</v>
      </c>
      <c r="AB656" t="s">
        <v>10717</v>
      </c>
      <c r="AD656" t="s">
        <v>5719</v>
      </c>
      <c r="AE656" t="s">
        <v>8154</v>
      </c>
      <c r="AF656" t="s">
        <v>10718</v>
      </c>
      <c r="AG656" t="s">
        <v>2660</v>
      </c>
      <c r="AI656" t="s">
        <v>10719</v>
      </c>
      <c r="AM656" t="s">
        <v>5720</v>
      </c>
      <c r="AN656" t="s">
        <v>2081</v>
      </c>
      <c r="AO656" t="s">
        <v>10720</v>
      </c>
      <c r="AP656" t="s">
        <v>7024</v>
      </c>
      <c r="AQ656" t="s">
        <v>10721</v>
      </c>
      <c r="AT656" s="184">
        <v>33037</v>
      </c>
      <c r="AU656" t="s">
        <v>10722</v>
      </c>
      <c r="AV656">
        <v>50</v>
      </c>
      <c r="AW656" s="184">
        <v>41642</v>
      </c>
      <c r="AX656" t="s">
        <v>10723</v>
      </c>
      <c r="AY656">
        <v>35</v>
      </c>
      <c r="AZ656" s="184">
        <v>39043</v>
      </c>
      <c r="BA656" t="s">
        <v>10724</v>
      </c>
      <c r="BB656">
        <v>1500</v>
      </c>
      <c r="BC656">
        <v>69</v>
      </c>
      <c r="BD656">
        <v>22375</v>
      </c>
      <c r="BE656">
        <v>1990</v>
      </c>
      <c r="BF656">
        <v>46</v>
      </c>
      <c r="BI656">
        <v>24</v>
      </c>
      <c r="BJ656">
        <v>35</v>
      </c>
      <c r="BK656">
        <v>19</v>
      </c>
      <c r="BN656" t="s">
        <v>595</v>
      </c>
    </row>
    <row r="657" spans="1:68">
      <c r="A657">
        <v>3563681</v>
      </c>
      <c r="B657">
        <v>3563681</v>
      </c>
      <c r="C657" t="s">
        <v>7018</v>
      </c>
      <c r="D657" t="s">
        <v>595</v>
      </c>
      <c r="E657" s="184">
        <v>45154</v>
      </c>
      <c r="G657" s="184"/>
      <c r="I657" s="184"/>
      <c r="K657" s="184"/>
      <c r="P657" t="s">
        <v>7045</v>
      </c>
      <c r="Q657" t="s">
        <v>7020</v>
      </c>
      <c r="R657" s="184">
        <v>23377</v>
      </c>
      <c r="S657">
        <v>60</v>
      </c>
      <c r="V657" t="s">
        <v>2938</v>
      </c>
      <c r="X657" t="s">
        <v>10725</v>
      </c>
      <c r="AF657" t="s">
        <v>10726</v>
      </c>
      <c r="AG657" t="s">
        <v>2938</v>
      </c>
      <c r="AI657" t="s">
        <v>10727</v>
      </c>
      <c r="AM657" t="s">
        <v>10728</v>
      </c>
      <c r="AN657" t="s">
        <v>2255</v>
      </c>
      <c r="AO657" t="s">
        <v>10729</v>
      </c>
      <c r="AP657" t="s">
        <v>7024</v>
      </c>
      <c r="AQ657" t="s">
        <v>10730</v>
      </c>
      <c r="AT657" s="184">
        <v>33037</v>
      </c>
      <c r="AU657" t="s">
        <v>10731</v>
      </c>
      <c r="AV657">
        <v>15</v>
      </c>
      <c r="AW657" s="184">
        <v>45169</v>
      </c>
      <c r="AX657" t="s">
        <v>10732</v>
      </c>
      <c r="AY657">
        <v>25</v>
      </c>
      <c r="AZ657" s="184">
        <v>40311</v>
      </c>
      <c r="BA657" t="s">
        <v>10733</v>
      </c>
      <c r="BB657">
        <v>60</v>
      </c>
      <c r="BC657">
        <v>66</v>
      </c>
      <c r="BD657">
        <v>685</v>
      </c>
      <c r="BE657">
        <v>1990</v>
      </c>
      <c r="BF657">
        <v>32</v>
      </c>
      <c r="BG657">
        <v>2</v>
      </c>
      <c r="BH657">
        <v>50</v>
      </c>
      <c r="BI657">
        <v>23</v>
      </c>
      <c r="BJ657">
        <v>35</v>
      </c>
      <c r="BK657">
        <v>10</v>
      </c>
    </row>
    <row r="658" spans="1:68">
      <c r="A658">
        <v>3566379</v>
      </c>
      <c r="B658">
        <v>3566379</v>
      </c>
      <c r="C658" t="s">
        <v>7018</v>
      </c>
      <c r="D658" t="s">
        <v>595</v>
      </c>
      <c r="E658" s="184">
        <v>43955</v>
      </c>
      <c r="K658" s="184"/>
      <c r="P658" t="s">
        <v>7045</v>
      </c>
      <c r="Q658" t="s">
        <v>7020</v>
      </c>
      <c r="R658" s="184">
        <v>16900</v>
      </c>
      <c r="S658">
        <v>78</v>
      </c>
      <c r="U658" t="s">
        <v>7031</v>
      </c>
      <c r="V658" t="s">
        <v>3536</v>
      </c>
      <c r="X658" t="s">
        <v>10734</v>
      </c>
      <c r="AF658" t="s">
        <v>10735</v>
      </c>
      <c r="AG658" t="s">
        <v>3536</v>
      </c>
      <c r="AI658" t="s">
        <v>10736</v>
      </c>
      <c r="AM658" t="s">
        <v>10737</v>
      </c>
      <c r="AN658" t="s">
        <v>2129</v>
      </c>
      <c r="AO658" t="s">
        <v>10738</v>
      </c>
      <c r="AP658" t="s">
        <v>7024</v>
      </c>
      <c r="AT658" s="184">
        <v>33037</v>
      </c>
      <c r="AU658" t="s">
        <v>10739</v>
      </c>
      <c r="AV658">
        <v>25</v>
      </c>
      <c r="AW658" s="184">
        <v>45072</v>
      </c>
      <c r="AX658" t="s">
        <v>10687</v>
      </c>
      <c r="AY658">
        <v>35</v>
      </c>
      <c r="AZ658" s="184">
        <v>38054</v>
      </c>
      <c r="BA658" t="s">
        <v>10740</v>
      </c>
      <c r="BB658">
        <v>55</v>
      </c>
      <c r="BC658">
        <v>95</v>
      </c>
      <c r="BD658">
        <v>1360</v>
      </c>
      <c r="BE658">
        <v>1990</v>
      </c>
      <c r="BF658">
        <v>37</v>
      </c>
      <c r="BG658">
        <v>2</v>
      </c>
      <c r="BH658">
        <v>70</v>
      </c>
      <c r="BI658">
        <v>33</v>
      </c>
      <c r="BJ658">
        <v>35</v>
      </c>
      <c r="BK658">
        <v>24</v>
      </c>
    </row>
    <row r="659" spans="1:68">
      <c r="A659">
        <v>3572054</v>
      </c>
      <c r="B659">
        <v>3572054</v>
      </c>
      <c r="C659" t="s">
        <v>7018</v>
      </c>
      <c r="D659" t="s">
        <v>595</v>
      </c>
      <c r="E659" s="184">
        <v>44073</v>
      </c>
      <c r="G659" s="184"/>
      <c r="I659" s="184"/>
      <c r="K659" s="184"/>
      <c r="P659" t="s">
        <v>7019</v>
      </c>
      <c r="Q659" t="s">
        <v>7383</v>
      </c>
      <c r="R659" s="184">
        <v>17958</v>
      </c>
      <c r="S659">
        <v>75</v>
      </c>
      <c r="U659" t="s">
        <v>7031</v>
      </c>
      <c r="V659" t="s">
        <v>3730</v>
      </c>
      <c r="W659" t="s">
        <v>5006</v>
      </c>
      <c r="X659" t="s">
        <v>10741</v>
      </c>
      <c r="AF659" t="s">
        <v>10742</v>
      </c>
      <c r="AG659" t="s">
        <v>3730</v>
      </c>
      <c r="AI659" t="s">
        <v>10743</v>
      </c>
      <c r="AM659" t="s">
        <v>2888</v>
      </c>
      <c r="AN659" t="s">
        <v>2274</v>
      </c>
      <c r="AO659" t="s">
        <v>10744</v>
      </c>
      <c r="AP659" t="s">
        <v>7024</v>
      </c>
      <c r="AQ659" t="s">
        <v>10745</v>
      </c>
      <c r="AR659" t="s">
        <v>10746</v>
      </c>
      <c r="AT659" s="184">
        <v>33037</v>
      </c>
      <c r="AU659" t="s">
        <v>10747</v>
      </c>
      <c r="AV659">
        <v>15</v>
      </c>
      <c r="AW659" s="184">
        <v>44552</v>
      </c>
      <c r="AX659" t="s">
        <v>7340</v>
      </c>
      <c r="AY659">
        <v>60</v>
      </c>
      <c r="AZ659" s="184">
        <v>44552</v>
      </c>
      <c r="BA659" t="s">
        <v>7340</v>
      </c>
      <c r="BB659">
        <v>60</v>
      </c>
      <c r="BC659">
        <v>75</v>
      </c>
      <c r="BD659">
        <v>970</v>
      </c>
      <c r="BE659">
        <v>1990</v>
      </c>
      <c r="BF659">
        <v>31</v>
      </c>
      <c r="BI659">
        <v>26</v>
      </c>
      <c r="BJ659">
        <v>35</v>
      </c>
      <c r="BK659">
        <v>9</v>
      </c>
    </row>
    <row r="660" spans="1:68">
      <c r="A660">
        <v>3585668</v>
      </c>
      <c r="B660">
        <v>3585668</v>
      </c>
      <c r="C660" t="s">
        <v>7018</v>
      </c>
      <c r="E660" s="184"/>
      <c r="F660" t="s">
        <v>595</v>
      </c>
      <c r="G660" s="184">
        <v>44167</v>
      </c>
      <c r="I660" s="184"/>
      <c r="K660" s="184"/>
      <c r="P660" t="s">
        <v>7045</v>
      </c>
      <c r="Q660" t="s">
        <v>7383</v>
      </c>
      <c r="R660" s="184">
        <v>16712</v>
      </c>
      <c r="S660">
        <v>78</v>
      </c>
      <c r="U660" t="s">
        <v>7076</v>
      </c>
      <c r="V660" t="s">
        <v>3419</v>
      </c>
      <c r="X660" t="s">
        <v>10748</v>
      </c>
      <c r="AF660" t="s">
        <v>10749</v>
      </c>
      <c r="AG660" t="s">
        <v>3419</v>
      </c>
      <c r="AI660" t="s">
        <v>10750</v>
      </c>
      <c r="AM660" t="s">
        <v>5049</v>
      </c>
      <c r="AN660" t="s">
        <v>2064</v>
      </c>
      <c r="AO660" t="s">
        <v>10751</v>
      </c>
      <c r="AP660" t="s">
        <v>7024</v>
      </c>
      <c r="AQ660" t="s">
        <v>10752</v>
      </c>
      <c r="AT660" s="184">
        <v>33038</v>
      </c>
      <c r="AU660" t="s">
        <v>10753</v>
      </c>
      <c r="AV660">
        <v>15</v>
      </c>
      <c r="AW660" s="184">
        <v>36200</v>
      </c>
      <c r="AX660" t="s">
        <v>10754</v>
      </c>
      <c r="AY660">
        <v>15</v>
      </c>
      <c r="AZ660" s="184">
        <v>34667</v>
      </c>
      <c r="BA660" t="s">
        <v>10755</v>
      </c>
      <c r="BB660">
        <v>25</v>
      </c>
      <c r="BC660">
        <v>29</v>
      </c>
      <c r="BD660">
        <v>213</v>
      </c>
      <c r="BE660">
        <v>1990</v>
      </c>
      <c r="BF660">
        <v>16</v>
      </c>
      <c r="BI660">
        <v>10</v>
      </c>
      <c r="BJ660">
        <v>35</v>
      </c>
      <c r="BK660">
        <v>10</v>
      </c>
    </row>
    <row r="661" spans="1:68">
      <c r="A661">
        <v>3586625</v>
      </c>
      <c r="B661">
        <v>3586625</v>
      </c>
      <c r="C661" t="s">
        <v>7018</v>
      </c>
      <c r="D661" t="s">
        <v>595</v>
      </c>
      <c r="E661" s="184">
        <v>44070</v>
      </c>
      <c r="K661" s="184"/>
      <c r="P661" t="s">
        <v>7045</v>
      </c>
      <c r="Q661" t="s">
        <v>7262</v>
      </c>
      <c r="R661" s="184">
        <v>17319</v>
      </c>
      <c r="S661">
        <v>76</v>
      </c>
      <c r="U661" t="s">
        <v>7076</v>
      </c>
      <c r="V661" t="s">
        <v>2523</v>
      </c>
      <c r="X661" t="s">
        <v>10756</v>
      </c>
      <c r="AF661" t="s">
        <v>10757</v>
      </c>
      <c r="AG661" t="s">
        <v>2523</v>
      </c>
      <c r="AI661" t="s">
        <v>10758</v>
      </c>
      <c r="AM661" t="s">
        <v>5619</v>
      </c>
      <c r="AN661" t="s">
        <v>2106</v>
      </c>
      <c r="AO661" t="s">
        <v>10759</v>
      </c>
      <c r="AP661" t="s">
        <v>7024</v>
      </c>
      <c r="AQ661" t="s">
        <v>10760</v>
      </c>
      <c r="AR661" t="s">
        <v>10761</v>
      </c>
      <c r="AT661" s="184">
        <v>33038</v>
      </c>
      <c r="AU661" t="s">
        <v>10762</v>
      </c>
      <c r="AV661">
        <v>15</v>
      </c>
      <c r="AW661" s="184">
        <v>45417</v>
      </c>
      <c r="AX661" t="s">
        <v>7422</v>
      </c>
      <c r="AY661">
        <v>10</v>
      </c>
      <c r="AZ661" s="184">
        <v>44291</v>
      </c>
      <c r="BA661" t="s">
        <v>10763</v>
      </c>
      <c r="BB661">
        <v>100</v>
      </c>
      <c r="BC661">
        <v>100</v>
      </c>
      <c r="BD661">
        <v>2802</v>
      </c>
      <c r="BE661">
        <v>1990</v>
      </c>
      <c r="BF661">
        <v>137</v>
      </c>
      <c r="BG661">
        <v>29</v>
      </c>
      <c r="BH661">
        <v>465</v>
      </c>
      <c r="BI661">
        <v>35</v>
      </c>
      <c r="BJ661">
        <v>35</v>
      </c>
      <c r="BK661">
        <v>35</v>
      </c>
      <c r="BN661" t="s">
        <v>595</v>
      </c>
      <c r="BP661" s="184"/>
    </row>
    <row r="662" spans="1:68">
      <c r="A662">
        <v>3598414</v>
      </c>
      <c r="B662">
        <v>3598414</v>
      </c>
      <c r="C662" t="s">
        <v>7018</v>
      </c>
      <c r="D662" t="s">
        <v>595</v>
      </c>
      <c r="E662" s="184">
        <v>43663</v>
      </c>
      <c r="I662" s="184"/>
      <c r="K662" s="184"/>
      <c r="P662" t="s">
        <v>7019</v>
      </c>
      <c r="Q662" t="s">
        <v>7383</v>
      </c>
      <c r="R662" s="184">
        <v>18007</v>
      </c>
      <c r="S662">
        <v>75</v>
      </c>
      <c r="V662" t="s">
        <v>3489</v>
      </c>
      <c r="X662" t="s">
        <v>3490</v>
      </c>
      <c r="Z662">
        <v>100018504</v>
      </c>
      <c r="AB662" t="s">
        <v>10764</v>
      </c>
      <c r="AD662" t="s">
        <v>3490</v>
      </c>
      <c r="AF662" t="s">
        <v>10765</v>
      </c>
      <c r="AG662" t="s">
        <v>10766</v>
      </c>
      <c r="AI662" t="s">
        <v>10767</v>
      </c>
      <c r="AM662" t="s">
        <v>3491</v>
      </c>
      <c r="AN662" t="s">
        <v>2185</v>
      </c>
      <c r="AO662" t="s">
        <v>10768</v>
      </c>
      <c r="AP662" t="s">
        <v>7024</v>
      </c>
      <c r="AT662" s="184">
        <v>33038</v>
      </c>
      <c r="AU662" t="s">
        <v>10769</v>
      </c>
      <c r="AV662">
        <v>15</v>
      </c>
      <c r="AW662" s="184">
        <v>44462</v>
      </c>
      <c r="AX662" t="s">
        <v>10770</v>
      </c>
      <c r="AY662">
        <v>60</v>
      </c>
      <c r="AZ662" s="184">
        <v>40346</v>
      </c>
      <c r="BA662" t="s">
        <v>10771</v>
      </c>
      <c r="BB662">
        <v>150</v>
      </c>
      <c r="BC662">
        <v>72</v>
      </c>
      <c r="BD662">
        <v>2240</v>
      </c>
      <c r="BE662">
        <v>1990</v>
      </c>
      <c r="BF662">
        <v>38</v>
      </c>
      <c r="BI662">
        <v>25</v>
      </c>
      <c r="BJ662">
        <v>35</v>
      </c>
      <c r="BK662">
        <v>7</v>
      </c>
      <c r="BP662" s="184"/>
    </row>
    <row r="663" spans="1:68">
      <c r="A663">
        <v>100018504</v>
      </c>
      <c r="B663">
        <v>3598414</v>
      </c>
      <c r="C663" t="s">
        <v>7018</v>
      </c>
      <c r="D663" t="s">
        <v>595</v>
      </c>
      <c r="E663" s="184">
        <v>43647</v>
      </c>
      <c r="I663" s="184"/>
      <c r="K663" s="184"/>
      <c r="M663" s="184"/>
      <c r="P663" t="s">
        <v>7019</v>
      </c>
      <c r="Q663" t="s">
        <v>7383</v>
      </c>
      <c r="R663" s="184">
        <v>18719</v>
      </c>
      <c r="S663">
        <v>73</v>
      </c>
      <c r="V663" t="s">
        <v>10764</v>
      </c>
      <c r="X663" t="s">
        <v>3490</v>
      </c>
      <c r="Z663">
        <v>3598414</v>
      </c>
      <c r="AB663" t="s">
        <v>3489</v>
      </c>
      <c r="AD663" t="s">
        <v>3490</v>
      </c>
      <c r="AF663" t="s">
        <v>10765</v>
      </c>
      <c r="AG663" t="s">
        <v>10766</v>
      </c>
      <c r="AI663" t="s">
        <v>10767</v>
      </c>
      <c r="AM663" t="s">
        <v>3491</v>
      </c>
      <c r="AN663" t="s">
        <v>2185</v>
      </c>
      <c r="AO663" t="s">
        <v>10768</v>
      </c>
      <c r="AP663" t="s">
        <v>7024</v>
      </c>
      <c r="AT663" s="184"/>
      <c r="AW663" s="184"/>
      <c r="AZ663" s="184"/>
      <c r="BP663" s="184"/>
    </row>
    <row r="664" spans="1:68">
      <c r="A664">
        <v>3599263</v>
      </c>
      <c r="B664">
        <v>3599263</v>
      </c>
      <c r="C664" t="s">
        <v>7018</v>
      </c>
      <c r="D664" t="s">
        <v>595</v>
      </c>
      <c r="E664" s="184">
        <v>43642</v>
      </c>
      <c r="I664" s="184"/>
      <c r="K664" s="184"/>
      <c r="M664" s="184"/>
      <c r="P664" t="s">
        <v>7045</v>
      </c>
      <c r="Q664" t="s">
        <v>7020</v>
      </c>
      <c r="R664" s="184">
        <v>17838</v>
      </c>
      <c r="S664">
        <v>75</v>
      </c>
      <c r="U664" t="s">
        <v>7031</v>
      </c>
      <c r="V664" t="s">
        <v>2739</v>
      </c>
      <c r="X664" t="s">
        <v>3083</v>
      </c>
      <c r="AF664" t="s">
        <v>10772</v>
      </c>
      <c r="AG664" t="s">
        <v>2739</v>
      </c>
      <c r="AI664" t="s">
        <v>10773</v>
      </c>
      <c r="AJ664" t="s">
        <v>10774</v>
      </c>
      <c r="AM664" t="s">
        <v>3084</v>
      </c>
      <c r="AN664" t="s">
        <v>2112</v>
      </c>
      <c r="AO664">
        <v>12496</v>
      </c>
      <c r="AP664" t="s">
        <v>7024</v>
      </c>
      <c r="AQ664" t="s">
        <v>10775</v>
      </c>
      <c r="AT664" s="184">
        <v>33038</v>
      </c>
      <c r="AU664" t="s">
        <v>10776</v>
      </c>
      <c r="AV664">
        <v>15</v>
      </c>
      <c r="AW664" s="184">
        <v>44978</v>
      </c>
      <c r="AX664" t="s">
        <v>10777</v>
      </c>
      <c r="AY664">
        <v>25</v>
      </c>
      <c r="AZ664" s="184">
        <v>42466</v>
      </c>
      <c r="BA664" t="s">
        <v>10778</v>
      </c>
      <c r="BB664">
        <v>40</v>
      </c>
      <c r="BC664">
        <v>92</v>
      </c>
      <c r="BD664">
        <v>1985</v>
      </c>
      <c r="BE664">
        <v>1990</v>
      </c>
      <c r="BF664">
        <v>76</v>
      </c>
      <c r="BG664">
        <v>2</v>
      </c>
      <c r="BH664">
        <v>50</v>
      </c>
      <c r="BI664">
        <v>32</v>
      </c>
      <c r="BJ664">
        <v>35</v>
      </c>
      <c r="BK664">
        <v>24</v>
      </c>
      <c r="BP664" s="184"/>
    </row>
    <row r="665" spans="1:68">
      <c r="A665">
        <v>3603172</v>
      </c>
      <c r="B665">
        <v>3603172</v>
      </c>
      <c r="C665" t="s">
        <v>7018</v>
      </c>
      <c r="D665" t="s">
        <v>595</v>
      </c>
      <c r="E665" s="184">
        <v>45124</v>
      </c>
      <c r="I665" s="184"/>
      <c r="K665" s="184"/>
      <c r="M665" s="184"/>
      <c r="P665" t="s">
        <v>7045</v>
      </c>
      <c r="Q665" t="s">
        <v>7383</v>
      </c>
      <c r="R665" s="184">
        <v>22704</v>
      </c>
      <c r="S665">
        <v>62</v>
      </c>
      <c r="U665" t="s">
        <v>7031</v>
      </c>
      <c r="V665" t="s">
        <v>5403</v>
      </c>
      <c r="X665" t="s">
        <v>10779</v>
      </c>
      <c r="AF665" t="s">
        <v>10780</v>
      </c>
      <c r="AG665" t="s">
        <v>5403</v>
      </c>
      <c r="AI665" t="s">
        <v>10781</v>
      </c>
      <c r="AM665" t="s">
        <v>10782</v>
      </c>
      <c r="AN665" t="s">
        <v>2313</v>
      </c>
      <c r="AO665" t="s">
        <v>10783</v>
      </c>
      <c r="AP665" t="s">
        <v>7024</v>
      </c>
      <c r="AT665" s="184">
        <v>33038</v>
      </c>
      <c r="AU665" t="s">
        <v>10784</v>
      </c>
      <c r="AV665">
        <v>17</v>
      </c>
      <c r="AW665" s="184">
        <v>45412</v>
      </c>
      <c r="AX665" t="s">
        <v>10785</v>
      </c>
      <c r="AY665">
        <v>15</v>
      </c>
      <c r="AZ665" s="184">
        <v>43571</v>
      </c>
      <c r="BA665" t="s">
        <v>10786</v>
      </c>
      <c r="BB665">
        <v>25</v>
      </c>
      <c r="BC665">
        <v>92</v>
      </c>
      <c r="BD665">
        <v>1057</v>
      </c>
      <c r="BE665">
        <v>1990</v>
      </c>
      <c r="BF665">
        <v>48</v>
      </c>
      <c r="BG665">
        <v>1</v>
      </c>
      <c r="BH665">
        <v>15</v>
      </c>
      <c r="BI665">
        <v>32</v>
      </c>
      <c r="BJ665">
        <v>35</v>
      </c>
      <c r="BK665">
        <v>25</v>
      </c>
      <c r="BP665" s="184"/>
    </row>
    <row r="666" spans="1:68">
      <c r="A666">
        <v>3608320</v>
      </c>
      <c r="B666">
        <v>3608320</v>
      </c>
      <c r="C666" t="s">
        <v>7018</v>
      </c>
      <c r="D666" t="s">
        <v>595</v>
      </c>
      <c r="E666" s="184">
        <v>44104</v>
      </c>
      <c r="I666" s="184"/>
      <c r="K666" s="184"/>
      <c r="M666" s="184"/>
      <c r="P666" t="s">
        <v>7045</v>
      </c>
      <c r="Q666" t="s">
        <v>7262</v>
      </c>
      <c r="R666" s="184">
        <v>16966</v>
      </c>
      <c r="S666">
        <v>77</v>
      </c>
      <c r="U666" t="s">
        <v>7130</v>
      </c>
      <c r="V666" t="s">
        <v>2600</v>
      </c>
      <c r="W666" t="s">
        <v>7407</v>
      </c>
      <c r="X666" t="s">
        <v>10787</v>
      </c>
      <c r="AF666" t="s">
        <v>10788</v>
      </c>
      <c r="AG666" t="s">
        <v>2600</v>
      </c>
      <c r="AI666" t="s">
        <v>10789</v>
      </c>
      <c r="AM666" t="s">
        <v>10790</v>
      </c>
      <c r="AN666" t="s">
        <v>2106</v>
      </c>
      <c r="AO666" t="s">
        <v>10791</v>
      </c>
      <c r="AP666" t="s">
        <v>7024</v>
      </c>
      <c r="AQ666" t="s">
        <v>10792</v>
      </c>
      <c r="AR666" t="s">
        <v>10793</v>
      </c>
      <c r="AT666" s="184">
        <v>33038</v>
      </c>
      <c r="AU666" t="s">
        <v>10794</v>
      </c>
      <c r="AV666">
        <v>25</v>
      </c>
      <c r="AW666" s="184">
        <v>40760</v>
      </c>
      <c r="AX666" t="s">
        <v>10795</v>
      </c>
      <c r="AY666">
        <v>25</v>
      </c>
      <c r="AZ666" s="184">
        <v>33969</v>
      </c>
      <c r="BA666" t="s">
        <v>10796</v>
      </c>
      <c r="BB666">
        <v>40</v>
      </c>
      <c r="BC666">
        <v>60</v>
      </c>
      <c r="BD666">
        <v>700</v>
      </c>
      <c r="BE666">
        <v>1990</v>
      </c>
      <c r="BF666">
        <v>29</v>
      </c>
      <c r="BI666">
        <v>21</v>
      </c>
      <c r="BJ666">
        <v>35</v>
      </c>
      <c r="BK666">
        <v>20</v>
      </c>
      <c r="BP666" s="184"/>
    </row>
    <row r="667" spans="1:68">
      <c r="A667">
        <v>3612660</v>
      </c>
      <c r="B667">
        <v>3612660</v>
      </c>
      <c r="C667" t="s">
        <v>7018</v>
      </c>
      <c r="D667" t="s">
        <v>595</v>
      </c>
      <c r="E667" s="184">
        <v>43647</v>
      </c>
      <c r="I667" s="184"/>
      <c r="K667" s="184"/>
      <c r="M667" s="184"/>
      <c r="P667" t="s">
        <v>7045</v>
      </c>
      <c r="Q667" t="s">
        <v>7020</v>
      </c>
      <c r="R667" s="184">
        <v>19633</v>
      </c>
      <c r="S667">
        <v>70</v>
      </c>
      <c r="U667" t="s">
        <v>7076</v>
      </c>
      <c r="V667" t="s">
        <v>3431</v>
      </c>
      <c r="W667" t="s">
        <v>7560</v>
      </c>
      <c r="X667" t="s">
        <v>3432</v>
      </c>
      <c r="AF667" t="s">
        <v>10797</v>
      </c>
      <c r="AG667" t="s">
        <v>3431</v>
      </c>
      <c r="AI667" t="s">
        <v>10798</v>
      </c>
      <c r="AM667" t="s">
        <v>3433</v>
      </c>
      <c r="AN667" t="s">
        <v>2112</v>
      </c>
      <c r="AO667" t="s">
        <v>10799</v>
      </c>
      <c r="AP667" t="s">
        <v>7024</v>
      </c>
      <c r="AQ667" t="s">
        <v>10800</v>
      </c>
      <c r="AT667" s="184">
        <v>33039</v>
      </c>
      <c r="AU667" t="s">
        <v>10801</v>
      </c>
      <c r="AV667">
        <v>15</v>
      </c>
      <c r="AW667" s="184">
        <v>45012</v>
      </c>
      <c r="AX667" t="s">
        <v>10802</v>
      </c>
      <c r="AY667">
        <v>25</v>
      </c>
      <c r="AZ667" s="184">
        <v>43311</v>
      </c>
      <c r="BA667" t="s">
        <v>10803</v>
      </c>
      <c r="BB667">
        <v>60</v>
      </c>
      <c r="BC667">
        <v>52</v>
      </c>
      <c r="BD667">
        <v>660</v>
      </c>
      <c r="BE667">
        <v>1990</v>
      </c>
      <c r="BF667">
        <v>30</v>
      </c>
      <c r="BG667">
        <v>1</v>
      </c>
      <c r="BH667">
        <v>25</v>
      </c>
      <c r="BI667">
        <v>18</v>
      </c>
      <c r="BJ667">
        <v>35</v>
      </c>
      <c r="BK667">
        <v>11</v>
      </c>
    </row>
    <row r="668" spans="1:68">
      <c r="A668">
        <v>3637451</v>
      </c>
      <c r="B668">
        <v>3637451</v>
      </c>
      <c r="C668" t="s">
        <v>7018</v>
      </c>
      <c r="D668" t="s">
        <v>595</v>
      </c>
      <c r="E668" s="184">
        <v>44104</v>
      </c>
      <c r="K668" s="184"/>
      <c r="M668" s="184"/>
      <c r="P668" t="s">
        <v>7045</v>
      </c>
      <c r="Q668" t="s">
        <v>7160</v>
      </c>
      <c r="R668" s="184">
        <v>22007</v>
      </c>
      <c r="S668">
        <v>64</v>
      </c>
      <c r="V668" t="s">
        <v>10804</v>
      </c>
      <c r="W668" t="s">
        <v>5006</v>
      </c>
      <c r="X668" t="s">
        <v>10805</v>
      </c>
      <c r="AF668" t="s">
        <v>10806</v>
      </c>
      <c r="AG668" t="s">
        <v>10804</v>
      </c>
      <c r="AI668" t="s">
        <v>10807</v>
      </c>
      <c r="AM668" t="s">
        <v>10808</v>
      </c>
      <c r="AN668" t="s">
        <v>2176</v>
      </c>
      <c r="AO668" t="s">
        <v>10809</v>
      </c>
      <c r="AP668" t="s">
        <v>7024</v>
      </c>
      <c r="AQ668" t="s">
        <v>10810</v>
      </c>
      <c r="AT668" s="184">
        <v>33039</v>
      </c>
      <c r="AU668" t="s">
        <v>10811</v>
      </c>
      <c r="AV668">
        <v>15</v>
      </c>
      <c r="AW668" s="184">
        <v>37298</v>
      </c>
      <c r="AX668" t="s">
        <v>10812</v>
      </c>
      <c r="AY668">
        <v>25</v>
      </c>
      <c r="AZ668" s="184">
        <v>37298</v>
      </c>
      <c r="BA668" t="s">
        <v>10812</v>
      </c>
      <c r="BB668">
        <v>25</v>
      </c>
      <c r="BC668">
        <v>32</v>
      </c>
      <c r="BD668">
        <v>280</v>
      </c>
      <c r="BE668">
        <v>1990</v>
      </c>
      <c r="BF668">
        <v>12</v>
      </c>
      <c r="BI668">
        <v>11</v>
      </c>
      <c r="BJ668">
        <v>35</v>
      </c>
      <c r="BK668">
        <v>8</v>
      </c>
      <c r="BP668" s="184"/>
    </row>
    <row r="669" spans="1:68">
      <c r="A669">
        <v>3638913</v>
      </c>
      <c r="B669">
        <v>3638913</v>
      </c>
      <c r="C669" t="s">
        <v>7018</v>
      </c>
      <c r="E669" s="184"/>
      <c r="I669" s="184"/>
      <c r="J669" t="s">
        <v>595</v>
      </c>
      <c r="K669" s="184">
        <v>43901</v>
      </c>
      <c r="P669" t="s">
        <v>7045</v>
      </c>
      <c r="Q669" t="s">
        <v>7454</v>
      </c>
      <c r="R669" s="184">
        <v>11749</v>
      </c>
      <c r="S669">
        <v>92</v>
      </c>
      <c r="U669" t="s">
        <v>7130</v>
      </c>
      <c r="V669" t="s">
        <v>10813</v>
      </c>
      <c r="X669" t="s">
        <v>10814</v>
      </c>
      <c r="Z669">
        <v>100358180</v>
      </c>
      <c r="AA669" t="s">
        <v>7031</v>
      </c>
      <c r="AB669" t="s">
        <v>2511</v>
      </c>
      <c r="AD669" t="s">
        <v>7736</v>
      </c>
      <c r="AF669" t="s">
        <v>6143</v>
      </c>
      <c r="AG669" t="s">
        <v>10815</v>
      </c>
      <c r="AI669" t="s">
        <v>10816</v>
      </c>
      <c r="AM669" t="s">
        <v>4085</v>
      </c>
      <c r="AN669" t="s">
        <v>2055</v>
      </c>
      <c r="AO669">
        <v>98250</v>
      </c>
      <c r="AP669" t="s">
        <v>7024</v>
      </c>
      <c r="AT669" s="184">
        <v>33039</v>
      </c>
      <c r="AU669" t="s">
        <v>10817</v>
      </c>
      <c r="AV669">
        <v>15</v>
      </c>
      <c r="AW669" s="184">
        <v>45376</v>
      </c>
      <c r="AX669" t="s">
        <v>7296</v>
      </c>
      <c r="AY669">
        <v>725.62</v>
      </c>
      <c r="AZ669" s="184">
        <v>45033</v>
      </c>
      <c r="BA669" t="s">
        <v>7721</v>
      </c>
      <c r="BB669">
        <v>740.5</v>
      </c>
      <c r="BC669">
        <v>86</v>
      </c>
      <c r="BD669">
        <v>6903.03</v>
      </c>
      <c r="BE669">
        <v>1990</v>
      </c>
      <c r="BF669">
        <v>33</v>
      </c>
      <c r="BG669">
        <v>2</v>
      </c>
      <c r="BH669">
        <v>1466.12</v>
      </c>
      <c r="BI669">
        <v>30</v>
      </c>
      <c r="BJ669">
        <v>35</v>
      </c>
      <c r="BK669">
        <v>15</v>
      </c>
      <c r="BO669" t="s">
        <v>595</v>
      </c>
      <c r="BP669" s="184">
        <v>42350</v>
      </c>
    </row>
    <row r="670" spans="1:68">
      <c r="A670">
        <v>3640463</v>
      </c>
      <c r="B670">
        <v>3640463</v>
      </c>
      <c r="C670" t="s">
        <v>7018</v>
      </c>
      <c r="D670" t="s">
        <v>595</v>
      </c>
      <c r="E670" s="184">
        <v>44104</v>
      </c>
      <c r="H670" t="s">
        <v>595</v>
      </c>
      <c r="I670" s="184">
        <v>44109</v>
      </c>
      <c r="K670" s="184"/>
      <c r="M670" s="184"/>
      <c r="P670" t="s">
        <v>7045</v>
      </c>
      <c r="Q670" t="s">
        <v>7020</v>
      </c>
      <c r="R670" s="184">
        <v>14107</v>
      </c>
      <c r="S670">
        <v>85</v>
      </c>
      <c r="U670" t="s">
        <v>7076</v>
      </c>
      <c r="V670" t="s">
        <v>3400</v>
      </c>
      <c r="X670" t="s">
        <v>5001</v>
      </c>
      <c r="AF670" t="s">
        <v>10818</v>
      </c>
      <c r="AG670" t="s">
        <v>3400</v>
      </c>
      <c r="AI670" t="s">
        <v>10819</v>
      </c>
      <c r="AM670" t="s">
        <v>5002</v>
      </c>
      <c r="AN670" t="s">
        <v>2052</v>
      </c>
      <c r="AO670" t="s">
        <v>10820</v>
      </c>
      <c r="AP670" t="s">
        <v>7024</v>
      </c>
      <c r="AQ670" t="s">
        <v>10821</v>
      </c>
      <c r="AT670" s="184">
        <v>33039</v>
      </c>
      <c r="AU670" t="s">
        <v>10701</v>
      </c>
      <c r="AV670">
        <v>15</v>
      </c>
      <c r="AW670" s="184">
        <v>45226</v>
      </c>
      <c r="AX670" t="s">
        <v>10822</v>
      </c>
      <c r="AY670">
        <v>25</v>
      </c>
      <c r="AZ670" s="184">
        <v>45226</v>
      </c>
      <c r="BA670" t="s">
        <v>10822</v>
      </c>
      <c r="BB670">
        <v>25</v>
      </c>
      <c r="BC670">
        <v>35</v>
      </c>
      <c r="BD670">
        <v>300</v>
      </c>
      <c r="BE670">
        <v>1990</v>
      </c>
      <c r="BF670">
        <v>13</v>
      </c>
      <c r="BG670">
        <v>1</v>
      </c>
      <c r="BH670">
        <v>25</v>
      </c>
      <c r="BI670">
        <v>12</v>
      </c>
      <c r="BJ670">
        <v>35</v>
      </c>
      <c r="BK670">
        <v>7</v>
      </c>
    </row>
    <row r="671" spans="1:68">
      <c r="A671">
        <v>3646999</v>
      </c>
      <c r="B671">
        <v>3646999</v>
      </c>
      <c r="C671" t="s">
        <v>7018</v>
      </c>
      <c r="E671" s="184"/>
      <c r="I671" s="184"/>
      <c r="K671" s="184"/>
      <c r="L671" t="s">
        <v>595</v>
      </c>
      <c r="M671" s="184">
        <v>44202</v>
      </c>
      <c r="P671" t="s">
        <v>7045</v>
      </c>
      <c r="Q671" t="s">
        <v>7160</v>
      </c>
      <c r="R671" s="184">
        <v>17624</v>
      </c>
      <c r="S671">
        <v>76</v>
      </c>
      <c r="U671" t="s">
        <v>7667</v>
      </c>
      <c r="V671" t="s">
        <v>5791</v>
      </c>
      <c r="W671" t="s">
        <v>7407</v>
      </c>
      <c r="X671" t="s">
        <v>3653</v>
      </c>
      <c r="AF671" t="s">
        <v>10823</v>
      </c>
      <c r="AG671" t="s">
        <v>5791</v>
      </c>
      <c r="AI671" t="s">
        <v>10824</v>
      </c>
      <c r="AM671" t="s">
        <v>5566</v>
      </c>
      <c r="AN671" t="s">
        <v>2176</v>
      </c>
      <c r="AO671" t="s">
        <v>10825</v>
      </c>
      <c r="AP671" t="s">
        <v>7024</v>
      </c>
      <c r="AQ671" t="s">
        <v>10826</v>
      </c>
      <c r="AT671" s="184">
        <v>33039</v>
      </c>
      <c r="AU671" t="s">
        <v>10753</v>
      </c>
      <c r="AV671">
        <v>15</v>
      </c>
      <c r="AW671" s="184">
        <v>44148</v>
      </c>
      <c r="AX671" t="s">
        <v>10827</v>
      </c>
      <c r="AY671">
        <v>50</v>
      </c>
      <c r="AZ671" s="184">
        <v>34604</v>
      </c>
      <c r="BA671" t="s">
        <v>10828</v>
      </c>
      <c r="BB671">
        <v>60</v>
      </c>
      <c r="BC671">
        <v>72</v>
      </c>
      <c r="BD671">
        <v>880</v>
      </c>
      <c r="BE671">
        <v>1990</v>
      </c>
      <c r="BF671">
        <v>28</v>
      </c>
      <c r="BI671">
        <v>25</v>
      </c>
      <c r="BJ671">
        <v>35</v>
      </c>
      <c r="BK671">
        <v>10</v>
      </c>
      <c r="BP671" s="184"/>
    </row>
    <row r="672" spans="1:68">
      <c r="A672">
        <v>3666385</v>
      </c>
      <c r="B672">
        <v>3666385</v>
      </c>
      <c r="C672" t="s">
        <v>7018</v>
      </c>
      <c r="D672" t="s">
        <v>595</v>
      </c>
      <c r="E672" s="184">
        <v>44073</v>
      </c>
      <c r="I672" s="184"/>
      <c r="K672" s="184"/>
      <c r="P672" t="s">
        <v>7045</v>
      </c>
      <c r="Q672" t="s">
        <v>7383</v>
      </c>
      <c r="R672" s="184">
        <v>11125</v>
      </c>
      <c r="S672">
        <v>93</v>
      </c>
      <c r="U672" t="s">
        <v>7076</v>
      </c>
      <c r="V672" t="s">
        <v>5600</v>
      </c>
      <c r="W672" t="s">
        <v>5006</v>
      </c>
      <c r="X672" t="s">
        <v>10829</v>
      </c>
      <c r="AF672" t="s">
        <v>10830</v>
      </c>
      <c r="AG672" t="s">
        <v>5600</v>
      </c>
      <c r="AI672" t="s">
        <v>10831</v>
      </c>
      <c r="AM672" t="s">
        <v>9734</v>
      </c>
      <c r="AN672" t="s">
        <v>2072</v>
      </c>
      <c r="AO672" t="s">
        <v>10832</v>
      </c>
      <c r="AP672" t="s">
        <v>7024</v>
      </c>
      <c r="AQ672" t="s">
        <v>10833</v>
      </c>
      <c r="AT672" s="184">
        <v>33771</v>
      </c>
      <c r="AU672" t="s">
        <v>10834</v>
      </c>
      <c r="AV672">
        <v>25</v>
      </c>
      <c r="AW672" s="184">
        <v>45408</v>
      </c>
      <c r="AX672" t="s">
        <v>8483</v>
      </c>
      <c r="AY672">
        <v>11</v>
      </c>
      <c r="AZ672" s="184">
        <v>35198</v>
      </c>
      <c r="BA672" t="s">
        <v>10835</v>
      </c>
      <c r="BB672">
        <v>48</v>
      </c>
      <c r="BC672">
        <v>100</v>
      </c>
      <c r="BD672">
        <v>3479</v>
      </c>
      <c r="BE672">
        <v>1992</v>
      </c>
      <c r="BF672">
        <v>369</v>
      </c>
      <c r="BG672">
        <v>24</v>
      </c>
      <c r="BH672">
        <v>264</v>
      </c>
      <c r="BI672">
        <v>33</v>
      </c>
      <c r="BJ672">
        <v>33</v>
      </c>
      <c r="BK672">
        <v>33</v>
      </c>
      <c r="BP672" s="184"/>
    </row>
    <row r="673" spans="1:68">
      <c r="A673">
        <v>3667086</v>
      </c>
      <c r="B673">
        <v>3667086</v>
      </c>
      <c r="C673" t="s">
        <v>7018</v>
      </c>
      <c r="D673" t="s">
        <v>595</v>
      </c>
      <c r="E673" s="184">
        <v>44152</v>
      </c>
      <c r="I673" s="184"/>
      <c r="K673" s="184"/>
      <c r="P673" t="s">
        <v>7045</v>
      </c>
      <c r="Q673" t="s">
        <v>7383</v>
      </c>
      <c r="R673" s="184">
        <v>15259</v>
      </c>
      <c r="S673">
        <v>82</v>
      </c>
      <c r="V673" t="s">
        <v>2660</v>
      </c>
      <c r="X673" t="s">
        <v>10836</v>
      </c>
      <c r="Z673">
        <v>100018701</v>
      </c>
      <c r="AB673" t="s">
        <v>2660</v>
      </c>
      <c r="AD673" t="s">
        <v>10836</v>
      </c>
      <c r="AF673" t="s">
        <v>10837</v>
      </c>
      <c r="AG673" t="s">
        <v>10838</v>
      </c>
      <c r="AI673" t="s">
        <v>10839</v>
      </c>
      <c r="AM673" t="s">
        <v>3308</v>
      </c>
      <c r="AN673" t="s">
        <v>2313</v>
      </c>
      <c r="AO673" t="s">
        <v>10840</v>
      </c>
      <c r="AP673" t="s">
        <v>7024</v>
      </c>
      <c r="AQ673" t="s">
        <v>10841</v>
      </c>
      <c r="AT673" s="184">
        <v>33039</v>
      </c>
      <c r="AU673" t="s">
        <v>10706</v>
      </c>
      <c r="AV673">
        <v>15</v>
      </c>
      <c r="AW673" s="184">
        <v>45397</v>
      </c>
      <c r="AX673" t="s">
        <v>9312</v>
      </c>
      <c r="AY673">
        <v>100</v>
      </c>
      <c r="AZ673" s="184">
        <v>45397</v>
      </c>
      <c r="BA673" t="s">
        <v>9312</v>
      </c>
      <c r="BB673">
        <v>100</v>
      </c>
      <c r="BC673">
        <v>43</v>
      </c>
      <c r="BD673">
        <v>820</v>
      </c>
      <c r="BE673">
        <v>1990</v>
      </c>
      <c r="BF673">
        <v>15</v>
      </c>
      <c r="BG673">
        <v>2</v>
      </c>
      <c r="BH673">
        <v>200</v>
      </c>
      <c r="BI673">
        <v>15</v>
      </c>
      <c r="BJ673">
        <v>35</v>
      </c>
      <c r="BK673">
        <v>14</v>
      </c>
    </row>
    <row r="674" spans="1:68">
      <c r="A674">
        <v>100018701</v>
      </c>
      <c r="B674">
        <v>3667086</v>
      </c>
      <c r="C674" t="s">
        <v>7018</v>
      </c>
      <c r="D674" t="s">
        <v>595</v>
      </c>
      <c r="E674" s="184">
        <v>44152</v>
      </c>
      <c r="I674" s="184"/>
      <c r="K674" s="184"/>
      <c r="P674" t="s">
        <v>7045</v>
      </c>
      <c r="Q674" t="s">
        <v>7383</v>
      </c>
      <c r="R674" s="184">
        <v>16464</v>
      </c>
      <c r="S674">
        <v>79</v>
      </c>
      <c r="V674" t="s">
        <v>2660</v>
      </c>
      <c r="X674" t="s">
        <v>10836</v>
      </c>
      <c r="Z674">
        <v>3667086</v>
      </c>
      <c r="AB674" t="s">
        <v>2660</v>
      </c>
      <c r="AD674" t="s">
        <v>10836</v>
      </c>
      <c r="AF674" t="s">
        <v>10837</v>
      </c>
      <c r="AG674" t="s">
        <v>10838</v>
      </c>
      <c r="AI674" t="s">
        <v>10839</v>
      </c>
      <c r="AM674" t="s">
        <v>3308</v>
      </c>
      <c r="AN674" t="s">
        <v>2313</v>
      </c>
      <c r="AO674" t="s">
        <v>10840</v>
      </c>
      <c r="AP674" t="s">
        <v>7024</v>
      </c>
      <c r="AT674" s="184"/>
      <c r="AW674" s="184"/>
      <c r="AZ674" s="184"/>
      <c r="BP674" s="184"/>
    </row>
    <row r="675" spans="1:68">
      <c r="A675">
        <v>3673175</v>
      </c>
      <c r="B675">
        <v>3673175</v>
      </c>
      <c r="C675" t="s">
        <v>7018</v>
      </c>
      <c r="E675" s="184"/>
      <c r="I675" s="184"/>
      <c r="J675" t="s">
        <v>595</v>
      </c>
      <c r="K675" s="184">
        <v>44104</v>
      </c>
      <c r="P675" t="s">
        <v>7045</v>
      </c>
      <c r="Q675" t="s">
        <v>7494</v>
      </c>
      <c r="R675" s="184">
        <v>19299</v>
      </c>
      <c r="S675">
        <v>71</v>
      </c>
      <c r="V675" t="s">
        <v>3516</v>
      </c>
      <c r="X675" t="s">
        <v>10842</v>
      </c>
      <c r="Z675">
        <v>100018717</v>
      </c>
      <c r="AB675" t="s">
        <v>2697</v>
      </c>
      <c r="AC675" t="s">
        <v>3830</v>
      </c>
      <c r="AD675" t="s">
        <v>3250</v>
      </c>
      <c r="AF675" t="s">
        <v>10843</v>
      </c>
      <c r="AG675" t="s">
        <v>10844</v>
      </c>
      <c r="AI675" t="s">
        <v>10845</v>
      </c>
      <c r="AM675" t="s">
        <v>3763</v>
      </c>
      <c r="AN675" t="s">
        <v>2484</v>
      </c>
      <c r="AO675" t="s">
        <v>10846</v>
      </c>
      <c r="AP675" t="s">
        <v>7024</v>
      </c>
      <c r="AQ675" t="s">
        <v>10847</v>
      </c>
      <c r="AT675" s="184">
        <v>33039</v>
      </c>
      <c r="AU675" t="s">
        <v>10701</v>
      </c>
      <c r="AV675">
        <v>25</v>
      </c>
      <c r="AW675" s="184">
        <v>45398</v>
      </c>
      <c r="AX675" t="s">
        <v>10848</v>
      </c>
      <c r="AY675">
        <v>150</v>
      </c>
      <c r="AZ675" s="184">
        <v>45398</v>
      </c>
      <c r="BA675" t="s">
        <v>10848</v>
      </c>
      <c r="BB675">
        <v>150</v>
      </c>
      <c r="BC675">
        <v>80</v>
      </c>
      <c r="BD675">
        <v>1997</v>
      </c>
      <c r="BE675">
        <v>1990</v>
      </c>
      <c r="BF675">
        <v>59</v>
      </c>
      <c r="BG675">
        <v>3</v>
      </c>
      <c r="BH675">
        <v>275</v>
      </c>
      <c r="BI675">
        <v>28</v>
      </c>
      <c r="BJ675">
        <v>35</v>
      </c>
      <c r="BK675">
        <v>14</v>
      </c>
      <c r="BN675" t="s">
        <v>595</v>
      </c>
      <c r="BP675" s="184"/>
    </row>
    <row r="676" spans="1:68">
      <c r="A676">
        <v>100018717</v>
      </c>
      <c r="B676">
        <v>3673175</v>
      </c>
      <c r="C676" t="s">
        <v>7018</v>
      </c>
      <c r="E676" s="184"/>
      <c r="I676" s="184"/>
      <c r="J676" t="s">
        <v>595</v>
      </c>
      <c r="K676" s="184">
        <v>44104</v>
      </c>
      <c r="P676" t="s">
        <v>7045</v>
      </c>
      <c r="Q676" t="s">
        <v>7494</v>
      </c>
      <c r="R676" s="184">
        <v>19391</v>
      </c>
      <c r="S676">
        <v>71</v>
      </c>
      <c r="V676" t="s">
        <v>2697</v>
      </c>
      <c r="W676" t="s">
        <v>3830</v>
      </c>
      <c r="X676" t="s">
        <v>3250</v>
      </c>
      <c r="Z676">
        <v>3673175</v>
      </c>
      <c r="AB676" t="s">
        <v>3516</v>
      </c>
      <c r="AD676" t="s">
        <v>10842</v>
      </c>
      <c r="AF676" t="s">
        <v>10843</v>
      </c>
      <c r="AG676" t="s">
        <v>10844</v>
      </c>
      <c r="AI676" t="s">
        <v>10845</v>
      </c>
      <c r="AM676" t="s">
        <v>3763</v>
      </c>
      <c r="AN676" t="s">
        <v>2484</v>
      </c>
      <c r="AO676" t="s">
        <v>10846</v>
      </c>
      <c r="AP676" t="s">
        <v>7024</v>
      </c>
      <c r="AT676" s="184"/>
      <c r="AW676" s="184"/>
      <c r="AZ676" s="184"/>
    </row>
    <row r="677" spans="1:68">
      <c r="A677">
        <v>3675246</v>
      </c>
      <c r="B677">
        <v>3675246</v>
      </c>
      <c r="C677" t="s">
        <v>7018</v>
      </c>
      <c r="D677" t="s">
        <v>595</v>
      </c>
      <c r="E677" s="184">
        <v>44104</v>
      </c>
      <c r="H677" t="s">
        <v>595</v>
      </c>
      <c r="I677" s="184">
        <v>44109</v>
      </c>
      <c r="K677" s="184"/>
      <c r="P677" t="s">
        <v>7045</v>
      </c>
      <c r="Q677" t="s">
        <v>7383</v>
      </c>
      <c r="R677" s="184">
        <v>14065</v>
      </c>
      <c r="S677">
        <v>85</v>
      </c>
      <c r="V677" t="s">
        <v>2832</v>
      </c>
      <c r="W677" t="s">
        <v>2863</v>
      </c>
      <c r="X677" t="s">
        <v>5004</v>
      </c>
      <c r="Z677">
        <v>100018727</v>
      </c>
      <c r="AB677" t="s">
        <v>4545</v>
      </c>
      <c r="AD677" t="s">
        <v>5004</v>
      </c>
      <c r="AF677" t="s">
        <v>10849</v>
      </c>
      <c r="AG677" t="s">
        <v>10850</v>
      </c>
      <c r="AI677" t="s">
        <v>10851</v>
      </c>
      <c r="AM677" t="s">
        <v>5005</v>
      </c>
      <c r="AN677" t="s">
        <v>2274</v>
      </c>
      <c r="AO677" t="s">
        <v>10852</v>
      </c>
      <c r="AP677" t="s">
        <v>7024</v>
      </c>
      <c r="AQ677" t="s">
        <v>10853</v>
      </c>
      <c r="AR677" t="s">
        <v>10854</v>
      </c>
      <c r="AT677" s="184">
        <v>33039</v>
      </c>
      <c r="AU677" t="s">
        <v>10706</v>
      </c>
      <c r="AV677">
        <v>20</v>
      </c>
      <c r="AW677" s="184">
        <v>44277</v>
      </c>
      <c r="AX677" t="s">
        <v>10855</v>
      </c>
      <c r="AY677">
        <v>50</v>
      </c>
      <c r="AZ677" s="184">
        <v>42479</v>
      </c>
      <c r="BA677" t="s">
        <v>10856</v>
      </c>
      <c r="BB677">
        <v>87</v>
      </c>
      <c r="BC677">
        <v>60</v>
      </c>
      <c r="BD677">
        <v>1047</v>
      </c>
      <c r="BE677">
        <v>1990</v>
      </c>
      <c r="BF677">
        <v>36</v>
      </c>
      <c r="BI677">
        <v>21</v>
      </c>
      <c r="BJ677">
        <v>35</v>
      </c>
      <c r="BK677">
        <v>10</v>
      </c>
      <c r="BN677" t="s">
        <v>595</v>
      </c>
    </row>
    <row r="678" spans="1:68">
      <c r="A678">
        <v>100018727</v>
      </c>
      <c r="B678">
        <v>3675246</v>
      </c>
      <c r="C678" t="s">
        <v>7018</v>
      </c>
      <c r="D678" t="s">
        <v>595</v>
      </c>
      <c r="E678" s="184">
        <v>44104</v>
      </c>
      <c r="H678" t="s">
        <v>595</v>
      </c>
      <c r="I678" s="184">
        <v>44109</v>
      </c>
      <c r="K678" s="184"/>
      <c r="P678" t="s">
        <v>7045</v>
      </c>
      <c r="Q678" t="s">
        <v>7383</v>
      </c>
      <c r="R678" s="184">
        <v>14679</v>
      </c>
      <c r="S678">
        <v>84</v>
      </c>
      <c r="V678" t="s">
        <v>4545</v>
      </c>
      <c r="X678" t="s">
        <v>5004</v>
      </c>
      <c r="Z678">
        <v>3675246</v>
      </c>
      <c r="AB678" t="s">
        <v>2832</v>
      </c>
      <c r="AC678" t="s">
        <v>2863</v>
      </c>
      <c r="AD678" t="s">
        <v>5004</v>
      </c>
      <c r="AF678" t="s">
        <v>10849</v>
      </c>
      <c r="AG678" t="s">
        <v>10850</v>
      </c>
      <c r="AI678" t="s">
        <v>10851</v>
      </c>
      <c r="AM678" t="s">
        <v>5005</v>
      </c>
      <c r="AN678" t="s">
        <v>2274</v>
      </c>
      <c r="AO678" t="s">
        <v>10852</v>
      </c>
      <c r="AP678" t="s">
        <v>7024</v>
      </c>
      <c r="AT678" s="184"/>
      <c r="AW678" s="184"/>
      <c r="AZ678" s="184"/>
      <c r="BP678" s="184"/>
    </row>
    <row r="679" spans="1:68">
      <c r="A679">
        <v>3680246</v>
      </c>
      <c r="B679">
        <v>3680246</v>
      </c>
      <c r="C679" t="s">
        <v>7018</v>
      </c>
      <c r="D679" t="s">
        <v>595</v>
      </c>
      <c r="E679" s="184">
        <v>44073</v>
      </c>
      <c r="I679" s="184"/>
      <c r="K679" s="184"/>
      <c r="P679" t="s">
        <v>7045</v>
      </c>
      <c r="Q679" t="s">
        <v>7383</v>
      </c>
      <c r="R679" s="184">
        <v>17387</v>
      </c>
      <c r="S679">
        <v>76</v>
      </c>
      <c r="V679" t="s">
        <v>3317</v>
      </c>
      <c r="X679" t="s">
        <v>10857</v>
      </c>
      <c r="AF679" t="s">
        <v>10858</v>
      </c>
      <c r="AG679" t="s">
        <v>3317</v>
      </c>
      <c r="AI679" t="s">
        <v>10859</v>
      </c>
      <c r="AM679" t="s">
        <v>3488</v>
      </c>
      <c r="AN679" t="s">
        <v>2072</v>
      </c>
      <c r="AO679" t="s">
        <v>10860</v>
      </c>
      <c r="AP679" t="s">
        <v>7024</v>
      </c>
      <c r="AQ679" t="s">
        <v>10861</v>
      </c>
      <c r="AT679" s="184">
        <v>33039</v>
      </c>
      <c r="AU679" t="s">
        <v>10862</v>
      </c>
      <c r="AV679">
        <v>25</v>
      </c>
      <c r="AW679" s="184">
        <v>45258</v>
      </c>
      <c r="AX679" t="s">
        <v>9454</v>
      </c>
      <c r="AY679">
        <v>500</v>
      </c>
      <c r="AZ679" s="184">
        <v>45258</v>
      </c>
      <c r="BA679" t="s">
        <v>9454</v>
      </c>
      <c r="BB679">
        <v>500</v>
      </c>
      <c r="BC679">
        <v>98</v>
      </c>
      <c r="BD679">
        <v>3165</v>
      </c>
      <c r="BE679">
        <v>1990</v>
      </c>
      <c r="BF679">
        <v>38</v>
      </c>
      <c r="BG679">
        <v>2</v>
      </c>
      <c r="BH679">
        <v>1000</v>
      </c>
      <c r="BI679">
        <v>34</v>
      </c>
      <c r="BJ679">
        <v>35</v>
      </c>
      <c r="BK679">
        <v>34</v>
      </c>
    </row>
    <row r="680" spans="1:68">
      <c r="A680">
        <v>3686912</v>
      </c>
      <c r="B680">
        <v>3686912</v>
      </c>
      <c r="C680" t="s">
        <v>7018</v>
      </c>
      <c r="E680" s="184"/>
      <c r="H680" t="s">
        <v>595</v>
      </c>
      <c r="I680" s="184">
        <v>45383</v>
      </c>
      <c r="J680" t="s">
        <v>595</v>
      </c>
      <c r="K680" s="184">
        <v>38790</v>
      </c>
      <c r="P680" t="s">
        <v>7045</v>
      </c>
      <c r="Q680" t="s">
        <v>7262</v>
      </c>
      <c r="R680" s="184">
        <v>14904</v>
      </c>
      <c r="S680">
        <v>83</v>
      </c>
      <c r="U680" t="s">
        <v>7032</v>
      </c>
      <c r="V680" t="s">
        <v>3141</v>
      </c>
      <c r="X680" t="s">
        <v>9709</v>
      </c>
      <c r="Z680">
        <v>100018773</v>
      </c>
      <c r="AB680" t="s">
        <v>10863</v>
      </c>
      <c r="AD680" t="s">
        <v>9709</v>
      </c>
      <c r="AF680" t="s">
        <v>6176</v>
      </c>
      <c r="AG680" t="s">
        <v>10864</v>
      </c>
      <c r="AI680" t="s">
        <v>10865</v>
      </c>
      <c r="AM680" t="s">
        <v>3100</v>
      </c>
      <c r="AN680" t="s">
        <v>2106</v>
      </c>
      <c r="AO680" t="s">
        <v>10866</v>
      </c>
      <c r="AP680" t="s">
        <v>7024</v>
      </c>
      <c r="AQ680" t="s">
        <v>10867</v>
      </c>
      <c r="AR680" t="s">
        <v>10868</v>
      </c>
      <c r="AT680" s="184">
        <v>33039</v>
      </c>
      <c r="AU680" t="s">
        <v>10769</v>
      </c>
      <c r="AV680">
        <v>15</v>
      </c>
      <c r="AW680" s="184">
        <v>45308</v>
      </c>
      <c r="AX680" t="s">
        <v>8797</v>
      </c>
      <c r="AY680">
        <v>100</v>
      </c>
      <c r="AZ680" s="184">
        <v>45308</v>
      </c>
      <c r="BA680" t="s">
        <v>8797</v>
      </c>
      <c r="BB680">
        <v>100</v>
      </c>
      <c r="BC680">
        <v>95</v>
      </c>
      <c r="BD680">
        <v>3852.5</v>
      </c>
      <c r="BE680">
        <v>1990</v>
      </c>
      <c r="BF680">
        <v>59</v>
      </c>
      <c r="BG680">
        <v>3</v>
      </c>
      <c r="BH680">
        <v>252.5</v>
      </c>
      <c r="BI680">
        <v>33</v>
      </c>
      <c r="BJ680">
        <v>35</v>
      </c>
      <c r="BK680">
        <v>24</v>
      </c>
      <c r="BP680" s="184"/>
    </row>
    <row r="681" spans="1:68">
      <c r="A681">
        <v>100018773</v>
      </c>
      <c r="B681">
        <v>3686912</v>
      </c>
      <c r="C681" t="s">
        <v>7018</v>
      </c>
      <c r="E681" s="184"/>
      <c r="H681" t="s">
        <v>595</v>
      </c>
      <c r="I681" s="184">
        <v>45383</v>
      </c>
      <c r="J681" t="s">
        <v>595</v>
      </c>
      <c r="K681" s="184">
        <v>38790</v>
      </c>
      <c r="P681" t="s">
        <v>7045</v>
      </c>
      <c r="Q681" t="s">
        <v>7262</v>
      </c>
      <c r="R681" s="184">
        <v>16907</v>
      </c>
      <c r="S681">
        <v>78</v>
      </c>
      <c r="V681" t="s">
        <v>10863</v>
      </c>
      <c r="X681" t="s">
        <v>9709</v>
      </c>
      <c r="Z681">
        <v>3686912</v>
      </c>
      <c r="AA681" t="s">
        <v>7032</v>
      </c>
      <c r="AB681" t="s">
        <v>3141</v>
      </c>
      <c r="AD681" t="s">
        <v>9709</v>
      </c>
      <c r="AF681" t="s">
        <v>6176</v>
      </c>
      <c r="AG681" t="s">
        <v>10864</v>
      </c>
      <c r="AI681" t="s">
        <v>10865</v>
      </c>
      <c r="AM681" t="s">
        <v>3100</v>
      </c>
      <c r="AN681" t="s">
        <v>2106</v>
      </c>
      <c r="AO681" t="s">
        <v>10866</v>
      </c>
      <c r="AP681" t="s">
        <v>7024</v>
      </c>
      <c r="AQ681" t="s">
        <v>10869</v>
      </c>
      <c r="AT681" s="184"/>
      <c r="AW681" s="184"/>
      <c r="AZ681" s="184"/>
      <c r="BP681" s="184"/>
    </row>
    <row r="682" spans="1:68">
      <c r="A682">
        <v>3690583</v>
      </c>
      <c r="B682">
        <v>3690583</v>
      </c>
      <c r="C682" t="s">
        <v>7018</v>
      </c>
      <c r="D682" t="s">
        <v>595</v>
      </c>
      <c r="E682" s="184">
        <v>44893</v>
      </c>
      <c r="I682" s="184"/>
      <c r="K682" s="184"/>
      <c r="P682" t="s">
        <v>7045</v>
      </c>
      <c r="Q682" t="s">
        <v>7494</v>
      </c>
      <c r="R682" s="184">
        <v>23743</v>
      </c>
      <c r="S682">
        <v>59</v>
      </c>
      <c r="U682" t="s">
        <v>7031</v>
      </c>
      <c r="V682" t="s">
        <v>10870</v>
      </c>
      <c r="W682" t="s">
        <v>205</v>
      </c>
      <c r="X682" t="s">
        <v>10871</v>
      </c>
      <c r="Z682">
        <v>100018781</v>
      </c>
      <c r="AA682" t="s">
        <v>7130</v>
      </c>
      <c r="AB682" t="s">
        <v>2733</v>
      </c>
      <c r="AD682" t="s">
        <v>10871</v>
      </c>
      <c r="AF682" t="s">
        <v>10872</v>
      </c>
      <c r="AG682" t="s">
        <v>10873</v>
      </c>
      <c r="AI682" t="s">
        <v>10874</v>
      </c>
      <c r="AM682" t="s">
        <v>10875</v>
      </c>
      <c r="AN682" t="s">
        <v>2174</v>
      </c>
      <c r="AO682" t="s">
        <v>10876</v>
      </c>
      <c r="AP682" t="s">
        <v>7024</v>
      </c>
      <c r="AQ682" t="s">
        <v>10877</v>
      </c>
      <c r="AR682" t="s">
        <v>10878</v>
      </c>
      <c r="AT682" s="184">
        <v>33042</v>
      </c>
      <c r="AU682" t="s">
        <v>10879</v>
      </c>
      <c r="AV682">
        <v>25</v>
      </c>
      <c r="AW682" s="184">
        <v>44889</v>
      </c>
      <c r="AX682" t="s">
        <v>10880</v>
      </c>
      <c r="AY682">
        <v>15</v>
      </c>
      <c r="AZ682" s="184">
        <v>38355</v>
      </c>
      <c r="BA682" t="s">
        <v>10881</v>
      </c>
      <c r="BB682">
        <v>55</v>
      </c>
      <c r="BC682">
        <v>60</v>
      </c>
      <c r="BD682">
        <v>1540</v>
      </c>
      <c r="BE682">
        <v>1990</v>
      </c>
      <c r="BF682">
        <v>77</v>
      </c>
      <c r="BG682">
        <v>9</v>
      </c>
      <c r="BH682">
        <v>160</v>
      </c>
      <c r="BI682">
        <v>21</v>
      </c>
      <c r="BJ682">
        <v>35</v>
      </c>
      <c r="BK682">
        <v>5</v>
      </c>
      <c r="BN682" t="s">
        <v>595</v>
      </c>
      <c r="BP682" s="184"/>
    </row>
    <row r="683" spans="1:68">
      <c r="A683">
        <v>100018781</v>
      </c>
      <c r="B683">
        <v>3690583</v>
      </c>
      <c r="C683" t="s">
        <v>7018</v>
      </c>
      <c r="D683" t="s">
        <v>595</v>
      </c>
      <c r="E683" s="184">
        <v>44893</v>
      </c>
      <c r="I683" s="184"/>
      <c r="K683" s="184"/>
      <c r="P683" t="s">
        <v>7045</v>
      </c>
      <c r="Q683" t="s">
        <v>7494</v>
      </c>
      <c r="R683" s="184">
        <v>23863</v>
      </c>
      <c r="S683">
        <v>59</v>
      </c>
      <c r="U683" t="s">
        <v>7130</v>
      </c>
      <c r="V683" t="s">
        <v>2733</v>
      </c>
      <c r="X683" t="s">
        <v>10871</v>
      </c>
      <c r="Z683">
        <v>3690583</v>
      </c>
      <c r="AA683" t="s">
        <v>7031</v>
      </c>
      <c r="AB683" t="s">
        <v>10870</v>
      </c>
      <c r="AC683" t="s">
        <v>205</v>
      </c>
      <c r="AD683" t="s">
        <v>10871</v>
      </c>
      <c r="AF683" t="s">
        <v>10872</v>
      </c>
      <c r="AG683" t="s">
        <v>10873</v>
      </c>
      <c r="AI683" t="s">
        <v>10874</v>
      </c>
      <c r="AM683" t="s">
        <v>10875</v>
      </c>
      <c r="AN683" t="s">
        <v>2174</v>
      </c>
      <c r="AO683" t="s">
        <v>10876</v>
      </c>
      <c r="AP683" t="s">
        <v>7024</v>
      </c>
      <c r="AT683" s="184"/>
      <c r="AW683" s="184"/>
      <c r="AZ683" s="184"/>
      <c r="BP683" s="184"/>
    </row>
    <row r="684" spans="1:68">
      <c r="A684">
        <v>3703659</v>
      </c>
      <c r="B684">
        <v>3703659</v>
      </c>
      <c r="C684" t="s">
        <v>7018</v>
      </c>
      <c r="D684" t="s">
        <v>595</v>
      </c>
      <c r="E684" s="184">
        <v>43801</v>
      </c>
      <c r="I684" s="184"/>
      <c r="K684" s="184"/>
      <c r="O684" s="184"/>
      <c r="P684" t="s">
        <v>7029</v>
      </c>
      <c r="Q684" t="s">
        <v>7030</v>
      </c>
      <c r="R684" s="184">
        <v>24306</v>
      </c>
      <c r="S684">
        <v>57</v>
      </c>
      <c r="V684" t="s">
        <v>2558</v>
      </c>
      <c r="X684" t="s">
        <v>4343</v>
      </c>
      <c r="Z684">
        <v>100018820</v>
      </c>
      <c r="AB684" t="s">
        <v>10882</v>
      </c>
      <c r="AD684" t="s">
        <v>4343</v>
      </c>
      <c r="AF684" t="s">
        <v>10883</v>
      </c>
      <c r="AG684" t="s">
        <v>10884</v>
      </c>
      <c r="AI684" t="s">
        <v>10885</v>
      </c>
      <c r="AM684" t="s">
        <v>4344</v>
      </c>
      <c r="AN684" t="s">
        <v>2089</v>
      </c>
      <c r="AO684" t="s">
        <v>10886</v>
      </c>
      <c r="AP684" t="s">
        <v>7024</v>
      </c>
      <c r="AQ684" t="s">
        <v>10887</v>
      </c>
      <c r="AT684" s="184">
        <v>33042</v>
      </c>
      <c r="AU684" t="s">
        <v>10753</v>
      </c>
      <c r="AV684">
        <v>25</v>
      </c>
      <c r="AW684" s="184">
        <v>45014</v>
      </c>
      <c r="AX684" t="s">
        <v>10888</v>
      </c>
      <c r="AY684">
        <v>250</v>
      </c>
      <c r="AZ684" s="184">
        <v>45014</v>
      </c>
      <c r="BA684" t="s">
        <v>10888</v>
      </c>
      <c r="BB684">
        <v>250</v>
      </c>
      <c r="BC684">
        <v>98</v>
      </c>
      <c r="BD684">
        <v>4115</v>
      </c>
      <c r="BE684">
        <v>1990</v>
      </c>
      <c r="BF684">
        <v>176</v>
      </c>
      <c r="BG684">
        <v>11</v>
      </c>
      <c r="BH684">
        <v>450</v>
      </c>
      <c r="BI684">
        <v>34</v>
      </c>
      <c r="BJ684">
        <v>35</v>
      </c>
      <c r="BK684">
        <v>34</v>
      </c>
      <c r="BN684" t="s">
        <v>595</v>
      </c>
      <c r="BP684" s="184"/>
    </row>
    <row r="685" spans="1:68">
      <c r="A685">
        <v>100018820</v>
      </c>
      <c r="B685">
        <v>3703659</v>
      </c>
      <c r="C685" t="s">
        <v>7018</v>
      </c>
      <c r="D685" t="s">
        <v>595</v>
      </c>
      <c r="E685" s="184">
        <v>43801</v>
      </c>
      <c r="I685" s="184"/>
      <c r="K685" s="184"/>
      <c r="O685" s="184"/>
      <c r="P685" t="s">
        <v>7029</v>
      </c>
      <c r="Q685" t="s">
        <v>7030</v>
      </c>
      <c r="R685" s="184">
        <v>30956</v>
      </c>
      <c r="S685">
        <v>39</v>
      </c>
      <c r="V685" t="s">
        <v>10882</v>
      </c>
      <c r="X685" t="s">
        <v>4343</v>
      </c>
      <c r="Z685">
        <v>3703659</v>
      </c>
      <c r="AB685" t="s">
        <v>2558</v>
      </c>
      <c r="AD685" t="s">
        <v>4343</v>
      </c>
      <c r="AF685" t="s">
        <v>10883</v>
      </c>
      <c r="AG685" t="s">
        <v>10884</v>
      </c>
      <c r="AI685" t="s">
        <v>10885</v>
      </c>
      <c r="AM685" t="s">
        <v>4344</v>
      </c>
      <c r="AN685" t="s">
        <v>2089</v>
      </c>
      <c r="AO685" t="s">
        <v>10886</v>
      </c>
      <c r="AP685" t="s">
        <v>7024</v>
      </c>
      <c r="AT685" s="184"/>
      <c r="AW685" s="184"/>
      <c r="AZ685" s="184"/>
      <c r="BP685" s="184"/>
    </row>
    <row r="686" spans="1:68">
      <c r="A686">
        <v>3706512</v>
      </c>
      <c r="B686">
        <v>3706512</v>
      </c>
      <c r="C686" t="s">
        <v>7018</v>
      </c>
      <c r="D686" t="s">
        <v>595</v>
      </c>
      <c r="E686" s="184">
        <v>44073</v>
      </c>
      <c r="G686" s="184"/>
      <c r="I686" s="184"/>
      <c r="K686" s="184"/>
      <c r="P686" t="s">
        <v>7045</v>
      </c>
      <c r="Q686" t="s">
        <v>7020</v>
      </c>
      <c r="R686" s="184">
        <v>20090</v>
      </c>
      <c r="S686">
        <v>69</v>
      </c>
      <c r="V686" t="s">
        <v>10889</v>
      </c>
      <c r="X686" t="s">
        <v>10890</v>
      </c>
      <c r="Z686">
        <v>100322295</v>
      </c>
      <c r="AB686" t="s">
        <v>10891</v>
      </c>
      <c r="AC686" t="s">
        <v>2058</v>
      </c>
      <c r="AD686" t="s">
        <v>10892</v>
      </c>
      <c r="AF686" t="s">
        <v>10893</v>
      </c>
      <c r="AG686" t="s">
        <v>10889</v>
      </c>
      <c r="AI686" t="s">
        <v>10894</v>
      </c>
      <c r="AM686" t="s">
        <v>10895</v>
      </c>
      <c r="AN686" t="s">
        <v>2240</v>
      </c>
      <c r="AO686" t="s">
        <v>10896</v>
      </c>
      <c r="AP686" t="s">
        <v>7024</v>
      </c>
      <c r="AT686" s="184">
        <v>32990</v>
      </c>
      <c r="AU686" t="s">
        <v>9304</v>
      </c>
      <c r="AV686">
        <v>22</v>
      </c>
      <c r="AW686" s="184">
        <v>45391</v>
      </c>
      <c r="AX686" t="s">
        <v>10444</v>
      </c>
      <c r="AY686">
        <v>100</v>
      </c>
      <c r="AZ686" s="184">
        <v>44302</v>
      </c>
      <c r="BA686" t="s">
        <v>10897</v>
      </c>
      <c r="BB686">
        <v>150</v>
      </c>
      <c r="BC686">
        <v>60</v>
      </c>
      <c r="BD686">
        <v>1249</v>
      </c>
      <c r="BE686">
        <v>1990</v>
      </c>
      <c r="BF686">
        <v>29</v>
      </c>
      <c r="BG686">
        <v>2</v>
      </c>
      <c r="BH686">
        <v>200</v>
      </c>
      <c r="BI686">
        <v>21</v>
      </c>
      <c r="BJ686">
        <v>35</v>
      </c>
      <c r="BK686">
        <v>8</v>
      </c>
    </row>
    <row r="687" spans="1:68">
      <c r="A687">
        <v>100322295</v>
      </c>
      <c r="B687">
        <v>3706512</v>
      </c>
      <c r="C687" t="s">
        <v>7018</v>
      </c>
      <c r="D687" t="s">
        <v>595</v>
      </c>
      <c r="E687" s="184">
        <v>44073</v>
      </c>
      <c r="G687" s="184"/>
      <c r="I687" s="184"/>
      <c r="K687" s="184"/>
      <c r="P687" t="s">
        <v>7045</v>
      </c>
      <c r="Q687" t="s">
        <v>7020</v>
      </c>
      <c r="R687" s="184">
        <v>18994</v>
      </c>
      <c r="S687">
        <v>72</v>
      </c>
      <c r="V687" t="s">
        <v>10891</v>
      </c>
      <c r="W687" t="s">
        <v>2058</v>
      </c>
      <c r="X687" t="s">
        <v>10892</v>
      </c>
      <c r="Z687">
        <v>3706512</v>
      </c>
      <c r="AB687" t="s">
        <v>10889</v>
      </c>
      <c r="AD687" t="s">
        <v>10890</v>
      </c>
      <c r="AF687" t="s">
        <v>10893</v>
      </c>
      <c r="AG687" t="s">
        <v>10889</v>
      </c>
      <c r="AI687" t="s">
        <v>10894</v>
      </c>
      <c r="AM687" t="s">
        <v>10895</v>
      </c>
      <c r="AN687" t="s">
        <v>2240</v>
      </c>
      <c r="AO687" t="s">
        <v>10896</v>
      </c>
      <c r="AP687" t="s">
        <v>7024</v>
      </c>
      <c r="AQ687" t="s">
        <v>10898</v>
      </c>
      <c r="AT687" s="184">
        <v>42831</v>
      </c>
      <c r="AU687" t="s">
        <v>10899</v>
      </c>
      <c r="AV687">
        <v>100</v>
      </c>
      <c r="AW687" s="184">
        <v>43160</v>
      </c>
      <c r="AX687" t="s">
        <v>10900</v>
      </c>
      <c r="AY687">
        <v>100</v>
      </c>
      <c r="AZ687" s="184">
        <v>43160</v>
      </c>
      <c r="BA687" t="s">
        <v>10900</v>
      </c>
      <c r="BB687">
        <v>100</v>
      </c>
      <c r="BC687">
        <v>25</v>
      </c>
      <c r="BD687">
        <v>400</v>
      </c>
      <c r="BE687">
        <v>2017</v>
      </c>
      <c r="BF687">
        <v>4</v>
      </c>
      <c r="BI687">
        <v>2</v>
      </c>
      <c r="BJ687">
        <v>8</v>
      </c>
      <c r="BK687">
        <v>2</v>
      </c>
      <c r="BN687" t="s">
        <v>595</v>
      </c>
      <c r="BO687" t="s">
        <v>595</v>
      </c>
      <c r="BP687" s="184"/>
    </row>
    <row r="688" spans="1:68">
      <c r="A688">
        <v>3709797</v>
      </c>
      <c r="B688">
        <v>3709797</v>
      </c>
      <c r="C688" t="s">
        <v>7018</v>
      </c>
      <c r="D688" t="s">
        <v>595</v>
      </c>
      <c r="E688" s="184">
        <v>43801</v>
      </c>
      <c r="I688" s="184"/>
      <c r="K688" s="184"/>
      <c r="O688" s="184"/>
      <c r="P688" t="s">
        <v>7045</v>
      </c>
      <c r="Q688" t="s">
        <v>7374</v>
      </c>
      <c r="R688" s="184">
        <v>21398</v>
      </c>
      <c r="S688">
        <v>65</v>
      </c>
      <c r="U688" t="s">
        <v>7076</v>
      </c>
      <c r="V688" t="s">
        <v>3748</v>
      </c>
      <c r="W688" t="s">
        <v>7107</v>
      </c>
      <c r="X688" t="s">
        <v>10901</v>
      </c>
      <c r="AF688" t="s">
        <v>10902</v>
      </c>
      <c r="AG688" t="s">
        <v>3748</v>
      </c>
      <c r="AI688" t="s">
        <v>10903</v>
      </c>
      <c r="AM688" t="s">
        <v>4346</v>
      </c>
      <c r="AN688" t="s">
        <v>2081</v>
      </c>
      <c r="AO688" t="s">
        <v>10904</v>
      </c>
      <c r="AP688" t="s">
        <v>7024</v>
      </c>
      <c r="AT688" s="184">
        <v>33043</v>
      </c>
      <c r="AU688" t="s">
        <v>10905</v>
      </c>
      <c r="AV688">
        <v>25</v>
      </c>
      <c r="AW688" s="184">
        <v>42128</v>
      </c>
      <c r="AX688" t="s">
        <v>10906</v>
      </c>
      <c r="AY688">
        <v>50</v>
      </c>
      <c r="AZ688" s="184">
        <v>35178</v>
      </c>
      <c r="BA688" t="s">
        <v>10907</v>
      </c>
      <c r="BB688">
        <v>300</v>
      </c>
      <c r="BC688">
        <v>46</v>
      </c>
      <c r="BD688">
        <v>1610</v>
      </c>
      <c r="BE688">
        <v>1990</v>
      </c>
      <c r="BF688">
        <v>24</v>
      </c>
      <c r="BI688">
        <v>16</v>
      </c>
      <c r="BJ688">
        <v>35</v>
      </c>
      <c r="BK688">
        <v>12</v>
      </c>
    </row>
    <row r="689" spans="1:68">
      <c r="A689">
        <v>3714417</v>
      </c>
      <c r="B689">
        <v>3714417</v>
      </c>
      <c r="C689" t="s">
        <v>7018</v>
      </c>
      <c r="E689" s="184"/>
      <c r="I689" s="184"/>
      <c r="J689" t="s">
        <v>595</v>
      </c>
      <c r="K689" s="184">
        <v>43971</v>
      </c>
      <c r="O689" s="184"/>
      <c r="P689" t="s">
        <v>7045</v>
      </c>
      <c r="Q689" t="s">
        <v>7020</v>
      </c>
      <c r="R689" s="184">
        <v>19054</v>
      </c>
      <c r="S689">
        <v>72</v>
      </c>
      <c r="U689" t="s">
        <v>7076</v>
      </c>
      <c r="V689" t="s">
        <v>10908</v>
      </c>
      <c r="X689" t="s">
        <v>10909</v>
      </c>
      <c r="AF689" t="s">
        <v>6446</v>
      </c>
      <c r="AG689" t="s">
        <v>10908</v>
      </c>
      <c r="AI689" t="s">
        <v>10910</v>
      </c>
      <c r="AM689" t="s">
        <v>10911</v>
      </c>
      <c r="AN689" t="s">
        <v>2112</v>
      </c>
      <c r="AO689" t="s">
        <v>10912</v>
      </c>
      <c r="AP689" t="s">
        <v>7024</v>
      </c>
      <c r="AQ689" t="s">
        <v>10913</v>
      </c>
      <c r="AR689" t="s">
        <v>10914</v>
      </c>
      <c r="AT689" s="184">
        <v>33043</v>
      </c>
      <c r="AU689" t="s">
        <v>10753</v>
      </c>
      <c r="AV689">
        <v>15</v>
      </c>
      <c r="AW689" s="184">
        <v>45322</v>
      </c>
      <c r="AX689" t="s">
        <v>10915</v>
      </c>
      <c r="AY689">
        <v>25</v>
      </c>
      <c r="AZ689" s="184">
        <v>41652</v>
      </c>
      <c r="BA689" t="s">
        <v>10916</v>
      </c>
      <c r="BB689">
        <v>35</v>
      </c>
      <c r="BC689">
        <v>98</v>
      </c>
      <c r="BD689">
        <v>1115</v>
      </c>
      <c r="BE689">
        <v>1990</v>
      </c>
      <c r="BF689">
        <v>60</v>
      </c>
      <c r="BG689">
        <v>2</v>
      </c>
      <c r="BH689">
        <v>50</v>
      </c>
      <c r="BI689">
        <v>34</v>
      </c>
      <c r="BJ689">
        <v>35</v>
      </c>
      <c r="BK689">
        <v>31</v>
      </c>
    </row>
    <row r="690" spans="1:68">
      <c r="A690">
        <v>3723806</v>
      </c>
      <c r="B690">
        <v>3723806</v>
      </c>
      <c r="C690" t="s">
        <v>7018</v>
      </c>
      <c r="D690" t="s">
        <v>595</v>
      </c>
      <c r="E690" s="184">
        <v>43773</v>
      </c>
      <c r="I690" s="184"/>
      <c r="K690" s="184"/>
      <c r="O690" s="184"/>
      <c r="P690" t="s">
        <v>7045</v>
      </c>
      <c r="Q690" t="s">
        <v>7374</v>
      </c>
      <c r="R690" s="184">
        <v>19207</v>
      </c>
      <c r="S690">
        <v>71</v>
      </c>
      <c r="U690" t="s">
        <v>7076</v>
      </c>
      <c r="V690" t="s">
        <v>4246</v>
      </c>
      <c r="X690" t="s">
        <v>4247</v>
      </c>
      <c r="Z690">
        <v>99843922</v>
      </c>
      <c r="AB690" t="s">
        <v>3192</v>
      </c>
      <c r="AD690" t="s">
        <v>10917</v>
      </c>
      <c r="AF690" t="s">
        <v>10918</v>
      </c>
      <c r="AG690" t="s">
        <v>10919</v>
      </c>
      <c r="AI690" t="s">
        <v>10920</v>
      </c>
      <c r="AM690" t="s">
        <v>4248</v>
      </c>
      <c r="AN690" t="s">
        <v>2081</v>
      </c>
      <c r="AO690" t="s">
        <v>10921</v>
      </c>
      <c r="AP690" t="s">
        <v>7024</v>
      </c>
      <c r="AQ690" t="s">
        <v>10922</v>
      </c>
      <c r="AR690" t="s">
        <v>10923</v>
      </c>
      <c r="AT690" s="184">
        <v>33043</v>
      </c>
      <c r="AU690" t="s">
        <v>10924</v>
      </c>
      <c r="AV690">
        <v>15</v>
      </c>
      <c r="AW690" s="184">
        <v>45407</v>
      </c>
      <c r="AX690" t="s">
        <v>10925</v>
      </c>
      <c r="AY690">
        <v>150</v>
      </c>
      <c r="AZ690" s="184">
        <v>45287</v>
      </c>
      <c r="BA690" t="s">
        <v>10926</v>
      </c>
      <c r="BB690">
        <v>250</v>
      </c>
      <c r="BC690">
        <v>38</v>
      </c>
      <c r="BD690">
        <v>1485</v>
      </c>
      <c r="BE690">
        <v>1990</v>
      </c>
      <c r="BF690">
        <v>23</v>
      </c>
      <c r="BG690">
        <v>4</v>
      </c>
      <c r="BH690">
        <v>750</v>
      </c>
      <c r="BI690">
        <v>13</v>
      </c>
      <c r="BJ690">
        <v>35</v>
      </c>
      <c r="BK690">
        <v>8</v>
      </c>
      <c r="BP690" s="184"/>
    </row>
    <row r="691" spans="1:68">
      <c r="A691">
        <v>3744737</v>
      </c>
      <c r="B691">
        <v>3744737</v>
      </c>
      <c r="C691" t="s">
        <v>7018</v>
      </c>
      <c r="D691" t="s">
        <v>595</v>
      </c>
      <c r="E691" s="184">
        <v>44104</v>
      </c>
      <c r="I691" s="184"/>
      <c r="K691" s="184"/>
      <c r="O691" s="184"/>
      <c r="P691" t="s">
        <v>7045</v>
      </c>
      <c r="Q691" t="s">
        <v>7454</v>
      </c>
      <c r="R691" s="184">
        <v>11377</v>
      </c>
      <c r="S691">
        <v>93</v>
      </c>
      <c r="U691" t="s">
        <v>7130</v>
      </c>
      <c r="V691" t="s">
        <v>3444</v>
      </c>
      <c r="W691" t="s">
        <v>4013</v>
      </c>
      <c r="X691" t="s">
        <v>10927</v>
      </c>
      <c r="AF691" t="s">
        <v>10928</v>
      </c>
      <c r="AG691" t="s">
        <v>3444</v>
      </c>
      <c r="AI691" t="s">
        <v>10929</v>
      </c>
      <c r="AM691" t="s">
        <v>5087</v>
      </c>
      <c r="AN691" t="s">
        <v>2055</v>
      </c>
      <c r="AO691" t="s">
        <v>10930</v>
      </c>
      <c r="AP691" t="s">
        <v>7024</v>
      </c>
      <c r="AQ691" t="s">
        <v>10931</v>
      </c>
      <c r="AR691" t="s">
        <v>10932</v>
      </c>
      <c r="AT691" s="184">
        <v>33044</v>
      </c>
      <c r="AU691" t="s">
        <v>10933</v>
      </c>
      <c r="AV691">
        <v>25</v>
      </c>
      <c r="AW691" s="184">
        <v>45411</v>
      </c>
      <c r="AX691" t="s">
        <v>7414</v>
      </c>
      <c r="AY691">
        <v>15</v>
      </c>
      <c r="AZ691" s="184">
        <v>41273</v>
      </c>
      <c r="BA691" t="s">
        <v>10934</v>
      </c>
      <c r="BB691">
        <v>55</v>
      </c>
      <c r="BC691">
        <v>100</v>
      </c>
      <c r="BD691">
        <v>2839</v>
      </c>
      <c r="BE691">
        <v>1990</v>
      </c>
      <c r="BF691">
        <v>163</v>
      </c>
      <c r="BG691">
        <v>24</v>
      </c>
      <c r="BH691">
        <v>360</v>
      </c>
      <c r="BI691">
        <v>35</v>
      </c>
      <c r="BJ691">
        <v>35</v>
      </c>
      <c r="BK691">
        <v>35</v>
      </c>
      <c r="BP691" s="184"/>
    </row>
    <row r="692" spans="1:68">
      <c r="A692">
        <v>3754124</v>
      </c>
      <c r="B692">
        <v>3754124</v>
      </c>
      <c r="C692" t="s">
        <v>7018</v>
      </c>
      <c r="E692" s="184"/>
      <c r="G692" s="184"/>
      <c r="J692" t="s">
        <v>595</v>
      </c>
      <c r="K692" s="184">
        <v>39373</v>
      </c>
      <c r="O692" s="184"/>
      <c r="P692" t="s">
        <v>7045</v>
      </c>
      <c r="Q692" t="s">
        <v>7454</v>
      </c>
      <c r="R692" s="184">
        <v>12055</v>
      </c>
      <c r="S692">
        <v>91</v>
      </c>
      <c r="U692" t="s">
        <v>7031</v>
      </c>
      <c r="V692" t="s">
        <v>2541</v>
      </c>
      <c r="W692" t="s">
        <v>5006</v>
      </c>
      <c r="X692" t="s">
        <v>2758</v>
      </c>
      <c r="AF692" t="s">
        <v>6236</v>
      </c>
      <c r="AG692" t="s">
        <v>2541</v>
      </c>
      <c r="AI692" t="s">
        <v>10935</v>
      </c>
      <c r="AM692" t="s">
        <v>10936</v>
      </c>
      <c r="AN692" t="s">
        <v>2055</v>
      </c>
      <c r="AO692" t="s">
        <v>10937</v>
      </c>
      <c r="AP692" t="s">
        <v>7024</v>
      </c>
      <c r="AT692" s="184">
        <v>33045</v>
      </c>
      <c r="AU692" t="s">
        <v>10938</v>
      </c>
      <c r="AV692">
        <v>25</v>
      </c>
      <c r="AW692" s="184">
        <v>41143</v>
      </c>
      <c r="AX692" t="s">
        <v>10939</v>
      </c>
      <c r="AY692">
        <v>20</v>
      </c>
      <c r="AZ692" s="184">
        <v>36955</v>
      </c>
      <c r="BA692" t="s">
        <v>10940</v>
      </c>
      <c r="BB692">
        <v>50</v>
      </c>
      <c r="BC692">
        <v>46</v>
      </c>
      <c r="BD692">
        <v>2321</v>
      </c>
      <c r="BE692">
        <v>1990</v>
      </c>
      <c r="BF692">
        <v>160</v>
      </c>
      <c r="BI692">
        <v>16</v>
      </c>
      <c r="BJ692">
        <v>35</v>
      </c>
      <c r="BK692">
        <v>15</v>
      </c>
      <c r="BO692" t="s">
        <v>595</v>
      </c>
      <c r="BP692" s="184"/>
    </row>
    <row r="693" spans="1:68">
      <c r="A693">
        <v>3762267</v>
      </c>
      <c r="B693">
        <v>3762267</v>
      </c>
      <c r="C693" t="s">
        <v>7018</v>
      </c>
      <c r="D693" t="s">
        <v>595</v>
      </c>
      <c r="E693" s="184">
        <v>44152</v>
      </c>
      <c r="G693" s="184"/>
      <c r="I693" s="184"/>
      <c r="K693" s="184"/>
      <c r="O693" s="184"/>
      <c r="P693" t="s">
        <v>7045</v>
      </c>
      <c r="Q693" t="s">
        <v>7383</v>
      </c>
      <c r="R693" s="184">
        <v>21871</v>
      </c>
      <c r="S693">
        <v>64</v>
      </c>
      <c r="U693" t="s">
        <v>7076</v>
      </c>
      <c r="V693" t="s">
        <v>2586</v>
      </c>
      <c r="W693" t="s">
        <v>5006</v>
      </c>
      <c r="X693" t="s">
        <v>10941</v>
      </c>
      <c r="AF693" t="s">
        <v>10942</v>
      </c>
      <c r="AG693" t="s">
        <v>2586</v>
      </c>
      <c r="AI693" t="s">
        <v>10943</v>
      </c>
      <c r="AM693" t="s">
        <v>10944</v>
      </c>
      <c r="AN693" t="s">
        <v>2162</v>
      </c>
      <c r="AO693" t="s">
        <v>10945</v>
      </c>
      <c r="AP693" t="s">
        <v>7024</v>
      </c>
      <c r="AQ693" t="s">
        <v>10946</v>
      </c>
      <c r="AR693" t="s">
        <v>10947</v>
      </c>
      <c r="AT693" s="184">
        <v>33045</v>
      </c>
      <c r="AU693" t="s">
        <v>10948</v>
      </c>
      <c r="AV693">
        <v>15</v>
      </c>
      <c r="AW693" s="184">
        <v>45132</v>
      </c>
      <c r="AX693" t="s">
        <v>7168</v>
      </c>
      <c r="AY693">
        <v>60</v>
      </c>
      <c r="AZ693" s="184">
        <v>45132</v>
      </c>
      <c r="BA693" t="s">
        <v>7168</v>
      </c>
      <c r="BB693">
        <v>60</v>
      </c>
      <c r="BC693">
        <v>92</v>
      </c>
      <c r="BD693">
        <v>890</v>
      </c>
      <c r="BE693">
        <v>1990</v>
      </c>
      <c r="BF693">
        <v>35</v>
      </c>
      <c r="BG693">
        <v>2</v>
      </c>
      <c r="BH693">
        <v>85</v>
      </c>
      <c r="BI693">
        <v>32</v>
      </c>
      <c r="BJ693">
        <v>35</v>
      </c>
      <c r="BK693">
        <v>19</v>
      </c>
      <c r="BP693" s="184"/>
    </row>
    <row r="694" spans="1:68">
      <c r="A694">
        <v>3764339</v>
      </c>
      <c r="B694">
        <v>3764339</v>
      </c>
      <c r="C694" t="s">
        <v>7018</v>
      </c>
      <c r="D694" t="s">
        <v>595</v>
      </c>
      <c r="E694" s="184">
        <v>43642</v>
      </c>
      <c r="G694" s="184"/>
      <c r="K694" s="184"/>
      <c r="O694" s="184"/>
      <c r="P694" t="s">
        <v>7045</v>
      </c>
      <c r="Q694" t="s">
        <v>7383</v>
      </c>
      <c r="R694" s="184">
        <v>16988</v>
      </c>
      <c r="S694">
        <v>77</v>
      </c>
      <c r="U694" t="s">
        <v>7031</v>
      </c>
      <c r="V694" t="s">
        <v>2665</v>
      </c>
      <c r="W694" t="s">
        <v>5006</v>
      </c>
      <c r="X694" t="s">
        <v>3175</v>
      </c>
      <c r="AF694" t="s">
        <v>10949</v>
      </c>
      <c r="AG694" t="s">
        <v>2665</v>
      </c>
      <c r="AI694" t="s">
        <v>10950</v>
      </c>
      <c r="AM694" t="s">
        <v>3176</v>
      </c>
      <c r="AN694" t="s">
        <v>2313</v>
      </c>
      <c r="AO694" t="s">
        <v>10951</v>
      </c>
      <c r="AP694" t="s">
        <v>7024</v>
      </c>
      <c r="AT694" s="184">
        <v>33045</v>
      </c>
      <c r="AU694" t="s">
        <v>10952</v>
      </c>
      <c r="AV694">
        <v>17</v>
      </c>
      <c r="AW694" s="184">
        <v>45316</v>
      </c>
      <c r="AX694" t="s">
        <v>10848</v>
      </c>
      <c r="AY694">
        <v>100</v>
      </c>
      <c r="AZ694" s="184">
        <v>45316</v>
      </c>
      <c r="BA694" t="s">
        <v>10848</v>
      </c>
      <c r="BB694">
        <v>100</v>
      </c>
      <c r="BC694">
        <v>83</v>
      </c>
      <c r="BD694">
        <v>2069</v>
      </c>
      <c r="BE694">
        <v>1990</v>
      </c>
      <c r="BF694">
        <v>45</v>
      </c>
      <c r="BG694">
        <v>4</v>
      </c>
      <c r="BH694">
        <v>400</v>
      </c>
      <c r="BI694">
        <v>29</v>
      </c>
      <c r="BJ694">
        <v>35</v>
      </c>
      <c r="BK694">
        <v>13</v>
      </c>
      <c r="BP694" s="184"/>
    </row>
    <row r="695" spans="1:68">
      <c r="A695">
        <v>3768116</v>
      </c>
      <c r="B695">
        <v>3768116</v>
      </c>
      <c r="C695" t="s">
        <v>7018</v>
      </c>
      <c r="D695" t="s">
        <v>595</v>
      </c>
      <c r="E695" s="184">
        <v>43669</v>
      </c>
      <c r="G695" s="184"/>
      <c r="I695" s="184"/>
      <c r="K695" s="184"/>
      <c r="O695" s="184"/>
      <c r="P695" t="s">
        <v>7019</v>
      </c>
      <c r="Q695" t="s">
        <v>7383</v>
      </c>
      <c r="R695" s="184">
        <v>20149</v>
      </c>
      <c r="S695">
        <v>69</v>
      </c>
      <c r="V695" t="s">
        <v>3658</v>
      </c>
      <c r="X695" t="s">
        <v>3659</v>
      </c>
      <c r="AF695" t="s">
        <v>10953</v>
      </c>
      <c r="AG695" t="s">
        <v>3658</v>
      </c>
      <c r="AI695" t="s">
        <v>10954</v>
      </c>
      <c r="AM695" t="s">
        <v>3660</v>
      </c>
      <c r="AN695" t="s">
        <v>2072</v>
      </c>
      <c r="AO695" t="s">
        <v>10955</v>
      </c>
      <c r="AP695" t="s">
        <v>7024</v>
      </c>
      <c r="AQ695" t="s">
        <v>10956</v>
      </c>
      <c r="AR695" t="s">
        <v>10957</v>
      </c>
      <c r="AT695" s="184">
        <v>33046</v>
      </c>
      <c r="AU695" t="s">
        <v>10958</v>
      </c>
      <c r="AV695">
        <v>25</v>
      </c>
      <c r="AW695" s="184">
        <v>44491</v>
      </c>
      <c r="AX695" t="s">
        <v>10959</v>
      </c>
      <c r="AY695">
        <v>60</v>
      </c>
      <c r="AZ695" s="184">
        <v>44491</v>
      </c>
      <c r="BA695" t="s">
        <v>10959</v>
      </c>
      <c r="BB695">
        <v>60</v>
      </c>
      <c r="BC695">
        <v>69</v>
      </c>
      <c r="BD695">
        <v>725</v>
      </c>
      <c r="BE695">
        <v>1990</v>
      </c>
      <c r="BF695">
        <v>31</v>
      </c>
      <c r="BI695">
        <v>24</v>
      </c>
      <c r="BJ695">
        <v>35</v>
      </c>
      <c r="BK695">
        <v>9</v>
      </c>
      <c r="BP695" s="184"/>
    </row>
    <row r="696" spans="1:68">
      <c r="A696">
        <v>3778370</v>
      </c>
      <c r="B696">
        <v>3778370</v>
      </c>
      <c r="C696" t="s">
        <v>7018</v>
      </c>
      <c r="D696" t="s">
        <v>595</v>
      </c>
      <c r="E696" s="184">
        <v>44810</v>
      </c>
      <c r="G696" s="184"/>
      <c r="I696" s="184"/>
      <c r="K696" s="184"/>
      <c r="O696" s="184"/>
      <c r="P696" t="s">
        <v>7019</v>
      </c>
      <c r="Q696" t="s">
        <v>7494</v>
      </c>
      <c r="R696" s="184">
        <v>17029</v>
      </c>
      <c r="S696">
        <v>77</v>
      </c>
      <c r="U696" t="s">
        <v>7130</v>
      </c>
      <c r="V696" t="s">
        <v>3624</v>
      </c>
      <c r="X696" t="s">
        <v>10960</v>
      </c>
      <c r="AF696" t="s">
        <v>10961</v>
      </c>
      <c r="AG696" t="s">
        <v>3624</v>
      </c>
      <c r="AI696" t="s">
        <v>10962</v>
      </c>
      <c r="AM696" t="s">
        <v>3371</v>
      </c>
      <c r="AN696" t="s">
        <v>2174</v>
      </c>
      <c r="AO696" t="s">
        <v>10963</v>
      </c>
      <c r="AP696" t="s">
        <v>7024</v>
      </c>
      <c r="AQ696" t="s">
        <v>10964</v>
      </c>
      <c r="AR696" t="s">
        <v>10965</v>
      </c>
      <c r="AT696" s="184">
        <v>33049</v>
      </c>
      <c r="AU696" t="s">
        <v>10762</v>
      </c>
      <c r="AV696">
        <v>15</v>
      </c>
      <c r="AW696" s="184">
        <v>45033</v>
      </c>
      <c r="AX696" t="s">
        <v>10966</v>
      </c>
      <c r="AY696">
        <v>60</v>
      </c>
      <c r="AZ696" s="184">
        <v>45033</v>
      </c>
      <c r="BA696" t="s">
        <v>10966</v>
      </c>
      <c r="BB696">
        <v>60</v>
      </c>
      <c r="BC696">
        <v>98</v>
      </c>
      <c r="BD696">
        <v>1190</v>
      </c>
      <c r="BE696">
        <v>1990</v>
      </c>
      <c r="BF696">
        <v>48</v>
      </c>
      <c r="BG696">
        <v>2</v>
      </c>
      <c r="BH696">
        <v>85</v>
      </c>
      <c r="BI696">
        <v>34</v>
      </c>
      <c r="BJ696">
        <v>35</v>
      </c>
      <c r="BK696">
        <v>34</v>
      </c>
    </row>
    <row r="697" spans="1:68">
      <c r="A697">
        <v>3781846</v>
      </c>
      <c r="B697">
        <v>3781846</v>
      </c>
      <c r="C697" t="s">
        <v>7018</v>
      </c>
      <c r="D697" t="s">
        <v>595</v>
      </c>
      <c r="E697" s="184">
        <v>44104</v>
      </c>
      <c r="G697" s="184"/>
      <c r="I697" s="184"/>
      <c r="K697" s="184"/>
      <c r="O697" s="184"/>
      <c r="P697" t="s">
        <v>7019</v>
      </c>
      <c r="Q697" t="s">
        <v>7160</v>
      </c>
      <c r="R697" s="184">
        <v>18841</v>
      </c>
      <c r="S697">
        <v>72</v>
      </c>
      <c r="V697" t="s">
        <v>2918</v>
      </c>
      <c r="X697" t="s">
        <v>10967</v>
      </c>
      <c r="Z697">
        <v>100019040</v>
      </c>
      <c r="AB697" t="s">
        <v>3103</v>
      </c>
      <c r="AD697" t="s">
        <v>10967</v>
      </c>
      <c r="AF697" t="s">
        <v>10968</v>
      </c>
      <c r="AG697" t="s">
        <v>10969</v>
      </c>
      <c r="AI697" t="s">
        <v>10970</v>
      </c>
      <c r="AM697" t="s">
        <v>10971</v>
      </c>
      <c r="AN697" t="s">
        <v>2413</v>
      </c>
      <c r="AO697" t="s">
        <v>10972</v>
      </c>
      <c r="AP697" t="s">
        <v>7024</v>
      </c>
      <c r="AT697" s="184">
        <v>33049</v>
      </c>
      <c r="AU697" t="s">
        <v>10973</v>
      </c>
      <c r="AV697">
        <v>17</v>
      </c>
      <c r="AW697" s="184">
        <v>45103</v>
      </c>
      <c r="AX697" t="s">
        <v>10687</v>
      </c>
      <c r="AY697">
        <v>87</v>
      </c>
      <c r="AZ697" s="184">
        <v>45103</v>
      </c>
      <c r="BA697" t="s">
        <v>10687</v>
      </c>
      <c r="BB697">
        <v>87</v>
      </c>
      <c r="BC697">
        <v>86</v>
      </c>
      <c r="BD697">
        <v>1159</v>
      </c>
      <c r="BE697">
        <v>1990</v>
      </c>
      <c r="BF697">
        <v>36</v>
      </c>
      <c r="BG697">
        <v>3</v>
      </c>
      <c r="BH697">
        <v>157</v>
      </c>
      <c r="BI697">
        <v>30</v>
      </c>
      <c r="BJ697">
        <v>35</v>
      </c>
      <c r="BK697">
        <v>12</v>
      </c>
      <c r="BP697" s="184"/>
    </row>
    <row r="698" spans="1:68">
      <c r="A698">
        <v>100019040</v>
      </c>
      <c r="B698">
        <v>3781846</v>
      </c>
      <c r="C698" t="s">
        <v>7018</v>
      </c>
      <c r="D698" t="s">
        <v>595</v>
      </c>
      <c r="E698" s="184">
        <v>44104</v>
      </c>
      <c r="G698" s="184"/>
      <c r="I698" s="184"/>
      <c r="K698" s="184"/>
      <c r="O698" s="184"/>
      <c r="P698" t="s">
        <v>7019</v>
      </c>
      <c r="Q698" t="s">
        <v>7160</v>
      </c>
      <c r="R698" s="184">
        <v>18810</v>
      </c>
      <c r="S698">
        <v>72</v>
      </c>
      <c r="V698" t="s">
        <v>3103</v>
      </c>
      <c r="X698" t="s">
        <v>10967</v>
      </c>
      <c r="Z698">
        <v>3781846</v>
      </c>
      <c r="AB698" t="s">
        <v>2918</v>
      </c>
      <c r="AD698" t="s">
        <v>10967</v>
      </c>
      <c r="AF698" t="s">
        <v>10968</v>
      </c>
      <c r="AG698" t="s">
        <v>10969</v>
      </c>
      <c r="AI698" t="s">
        <v>10970</v>
      </c>
      <c r="AM698" t="s">
        <v>10971</v>
      </c>
      <c r="AN698" t="s">
        <v>2413</v>
      </c>
      <c r="AO698" t="s">
        <v>10972</v>
      </c>
      <c r="AP698" t="s">
        <v>7024</v>
      </c>
      <c r="AT698" s="184"/>
      <c r="AW698" s="184"/>
      <c r="AZ698" s="184"/>
      <c r="BP698" s="184"/>
    </row>
    <row r="699" spans="1:68">
      <c r="A699">
        <v>3797297</v>
      </c>
      <c r="B699">
        <v>3797297</v>
      </c>
      <c r="C699" t="s">
        <v>7018</v>
      </c>
      <c r="D699" t="s">
        <v>595</v>
      </c>
      <c r="E699" s="184">
        <v>43773</v>
      </c>
      <c r="I699" s="184"/>
      <c r="K699" s="184"/>
      <c r="O699" s="184"/>
      <c r="P699" t="s">
        <v>7045</v>
      </c>
      <c r="Q699" t="s">
        <v>7194</v>
      </c>
      <c r="R699" s="184">
        <v>13762</v>
      </c>
      <c r="S699">
        <v>86</v>
      </c>
      <c r="U699" t="s">
        <v>7031</v>
      </c>
      <c r="V699" t="s">
        <v>3689</v>
      </c>
      <c r="W699" t="s">
        <v>10974</v>
      </c>
      <c r="X699" t="s">
        <v>4249</v>
      </c>
      <c r="AF699" t="s">
        <v>10975</v>
      </c>
      <c r="AG699" t="s">
        <v>3689</v>
      </c>
      <c r="AI699" t="s">
        <v>10976</v>
      </c>
      <c r="AM699" t="s">
        <v>2513</v>
      </c>
      <c r="AN699" t="s">
        <v>2046</v>
      </c>
      <c r="AO699" t="s">
        <v>10977</v>
      </c>
      <c r="AP699" t="s">
        <v>7024</v>
      </c>
      <c r="AQ699" t="s">
        <v>10978</v>
      </c>
      <c r="AR699" t="s">
        <v>10979</v>
      </c>
      <c r="AT699" s="184">
        <v>33050</v>
      </c>
      <c r="AU699" t="s">
        <v>10715</v>
      </c>
      <c r="AV699">
        <v>15</v>
      </c>
      <c r="AW699" s="184">
        <v>45398</v>
      </c>
      <c r="AX699" t="s">
        <v>10980</v>
      </c>
      <c r="AY699">
        <v>20</v>
      </c>
      <c r="AZ699" s="184">
        <v>45195</v>
      </c>
      <c r="BA699" t="s">
        <v>10981</v>
      </c>
      <c r="BB699">
        <v>25</v>
      </c>
      <c r="BC699">
        <v>63</v>
      </c>
      <c r="BD699">
        <v>905</v>
      </c>
      <c r="BE699">
        <v>1990</v>
      </c>
      <c r="BF699">
        <v>45</v>
      </c>
      <c r="BG699">
        <v>8</v>
      </c>
      <c r="BH699">
        <v>150</v>
      </c>
      <c r="BI699">
        <v>22</v>
      </c>
      <c r="BJ699">
        <v>35</v>
      </c>
      <c r="BK699">
        <v>16</v>
      </c>
      <c r="BP699" s="184"/>
    </row>
    <row r="700" spans="1:68">
      <c r="A700">
        <v>3928850</v>
      </c>
      <c r="B700">
        <v>3928850</v>
      </c>
      <c r="C700" t="s">
        <v>7018</v>
      </c>
      <c r="D700" t="s">
        <v>595</v>
      </c>
      <c r="E700" s="184">
        <v>43647</v>
      </c>
      <c r="G700" s="184"/>
      <c r="I700" s="184"/>
      <c r="K700" s="184"/>
      <c r="O700" s="184"/>
      <c r="P700" t="s">
        <v>7045</v>
      </c>
      <c r="Q700" t="s">
        <v>7383</v>
      </c>
      <c r="R700" s="184">
        <v>13502</v>
      </c>
      <c r="S700">
        <v>87</v>
      </c>
      <c r="U700" t="s">
        <v>7237</v>
      </c>
      <c r="V700" t="s">
        <v>3489</v>
      </c>
      <c r="W700" t="s">
        <v>2316</v>
      </c>
      <c r="X700" t="s">
        <v>3492</v>
      </c>
      <c r="AF700" t="s">
        <v>10982</v>
      </c>
      <c r="AG700" t="s">
        <v>3489</v>
      </c>
      <c r="AI700" t="s">
        <v>10983</v>
      </c>
      <c r="AM700" t="s">
        <v>3465</v>
      </c>
      <c r="AN700" t="s">
        <v>2162</v>
      </c>
      <c r="AO700" t="s">
        <v>10984</v>
      </c>
      <c r="AP700" t="s">
        <v>7024</v>
      </c>
      <c r="AT700" s="184">
        <v>33050</v>
      </c>
      <c r="AU700" t="s">
        <v>10985</v>
      </c>
      <c r="AV700">
        <v>10</v>
      </c>
      <c r="AW700" s="184">
        <v>45230</v>
      </c>
      <c r="AX700" t="s">
        <v>10986</v>
      </c>
      <c r="AY700">
        <v>35</v>
      </c>
      <c r="AZ700" s="184">
        <v>44088</v>
      </c>
      <c r="BA700" t="s">
        <v>10987</v>
      </c>
      <c r="BB700">
        <v>50</v>
      </c>
      <c r="BC700">
        <v>69</v>
      </c>
      <c r="BD700">
        <v>1120</v>
      </c>
      <c r="BE700">
        <v>1990</v>
      </c>
      <c r="BF700">
        <v>37</v>
      </c>
      <c r="BG700">
        <v>1</v>
      </c>
      <c r="BH700">
        <v>35</v>
      </c>
      <c r="BI700">
        <v>24</v>
      </c>
      <c r="BJ700">
        <v>35</v>
      </c>
      <c r="BK700">
        <v>13</v>
      </c>
      <c r="BP700" s="184"/>
    </row>
    <row r="701" spans="1:68">
      <c r="A701">
        <v>3929460</v>
      </c>
      <c r="B701">
        <v>3929460</v>
      </c>
      <c r="C701" t="s">
        <v>7018</v>
      </c>
      <c r="E701" s="184"/>
      <c r="G701" s="184"/>
      <c r="I701" s="184"/>
      <c r="J701" t="s">
        <v>595</v>
      </c>
      <c r="K701" s="184"/>
      <c r="O701" s="184"/>
      <c r="P701" t="s">
        <v>7045</v>
      </c>
      <c r="Q701" t="s">
        <v>7030</v>
      </c>
      <c r="R701" s="184">
        <v>11844</v>
      </c>
      <c r="S701">
        <v>91</v>
      </c>
      <c r="U701" t="s">
        <v>7076</v>
      </c>
      <c r="V701" t="s">
        <v>3468</v>
      </c>
      <c r="X701" t="s">
        <v>10988</v>
      </c>
      <c r="AF701" t="s">
        <v>6385</v>
      </c>
      <c r="AG701" t="s">
        <v>3468</v>
      </c>
      <c r="AI701" t="s">
        <v>10989</v>
      </c>
      <c r="AJ701" t="s">
        <v>10990</v>
      </c>
      <c r="AM701" t="s">
        <v>3181</v>
      </c>
      <c r="AN701" t="s">
        <v>2094</v>
      </c>
      <c r="AO701" t="s">
        <v>10991</v>
      </c>
      <c r="AP701" t="s">
        <v>7024</v>
      </c>
      <c r="AT701" s="184">
        <v>33050</v>
      </c>
      <c r="AU701" t="s">
        <v>10992</v>
      </c>
      <c r="AV701">
        <v>20</v>
      </c>
      <c r="AW701" s="184">
        <v>41198</v>
      </c>
      <c r="AX701" t="s">
        <v>10993</v>
      </c>
      <c r="AY701">
        <v>50</v>
      </c>
      <c r="AZ701" s="184">
        <v>40305</v>
      </c>
      <c r="BA701" t="s">
        <v>10994</v>
      </c>
      <c r="BB701">
        <v>115</v>
      </c>
      <c r="BC701">
        <v>60</v>
      </c>
      <c r="BD701">
        <v>1235</v>
      </c>
      <c r="BE701">
        <v>1990</v>
      </c>
      <c r="BF701">
        <v>29</v>
      </c>
      <c r="BI701">
        <v>21</v>
      </c>
      <c r="BJ701">
        <v>35</v>
      </c>
      <c r="BK701">
        <v>11</v>
      </c>
      <c r="BP701" s="184"/>
    </row>
    <row r="702" spans="1:68">
      <c r="A702">
        <v>3938123</v>
      </c>
      <c r="B702">
        <v>3938123</v>
      </c>
      <c r="C702" t="s">
        <v>7018</v>
      </c>
      <c r="E702" s="184"/>
      <c r="G702" s="184"/>
      <c r="I702" s="184"/>
      <c r="J702" t="s">
        <v>595</v>
      </c>
      <c r="K702" s="184">
        <v>38380</v>
      </c>
      <c r="O702" s="184"/>
      <c r="P702" t="s">
        <v>7045</v>
      </c>
      <c r="Q702" t="s">
        <v>7262</v>
      </c>
      <c r="R702" s="184">
        <v>12365</v>
      </c>
      <c r="S702">
        <v>90</v>
      </c>
      <c r="U702" t="s">
        <v>7031</v>
      </c>
      <c r="V702" t="s">
        <v>2541</v>
      </c>
      <c r="W702" t="s">
        <v>4139</v>
      </c>
      <c r="X702" t="s">
        <v>10995</v>
      </c>
      <c r="Z702">
        <v>100019186</v>
      </c>
      <c r="AA702" t="s">
        <v>7130</v>
      </c>
      <c r="AB702" t="s">
        <v>10996</v>
      </c>
      <c r="AD702" t="s">
        <v>10995</v>
      </c>
      <c r="AF702" t="s">
        <v>10997</v>
      </c>
      <c r="AG702" t="s">
        <v>10998</v>
      </c>
      <c r="AI702" t="s">
        <v>10999</v>
      </c>
      <c r="AM702" t="s">
        <v>2679</v>
      </c>
      <c r="AN702" t="s">
        <v>2318</v>
      </c>
      <c r="AO702" t="s">
        <v>11000</v>
      </c>
      <c r="AP702" t="s">
        <v>7024</v>
      </c>
      <c r="AQ702" t="s">
        <v>11001</v>
      </c>
      <c r="AR702" t="s">
        <v>11002</v>
      </c>
      <c r="AT702" s="184">
        <v>33051</v>
      </c>
      <c r="AU702" t="s">
        <v>11003</v>
      </c>
      <c r="AV702">
        <v>17</v>
      </c>
      <c r="AW702" s="184">
        <v>41660</v>
      </c>
      <c r="AX702" t="s">
        <v>11004</v>
      </c>
      <c r="AY702">
        <v>100</v>
      </c>
      <c r="AZ702" s="184">
        <v>41660</v>
      </c>
      <c r="BA702" t="s">
        <v>11004</v>
      </c>
      <c r="BB702">
        <v>100</v>
      </c>
      <c r="BC702">
        <v>23</v>
      </c>
      <c r="BD702">
        <v>427</v>
      </c>
      <c r="BE702">
        <v>1990</v>
      </c>
      <c r="BF702">
        <v>9</v>
      </c>
      <c r="BI702">
        <v>8</v>
      </c>
      <c r="BJ702">
        <v>35</v>
      </c>
      <c r="BK702">
        <v>3</v>
      </c>
      <c r="BN702" t="s">
        <v>595</v>
      </c>
      <c r="BP702" s="184"/>
    </row>
    <row r="703" spans="1:68">
      <c r="A703">
        <v>100019186</v>
      </c>
      <c r="B703">
        <v>3938123</v>
      </c>
      <c r="C703" t="s">
        <v>7018</v>
      </c>
      <c r="E703" s="184"/>
      <c r="G703" s="184"/>
      <c r="I703" s="184"/>
      <c r="J703" t="s">
        <v>595</v>
      </c>
      <c r="K703" s="184">
        <v>38380</v>
      </c>
      <c r="O703" s="184"/>
      <c r="P703" t="s">
        <v>7045</v>
      </c>
      <c r="Q703" t="s">
        <v>7262</v>
      </c>
      <c r="R703" s="184"/>
      <c r="U703" t="s">
        <v>7130</v>
      </c>
      <c r="V703" t="s">
        <v>10996</v>
      </c>
      <c r="X703" t="s">
        <v>10995</v>
      </c>
      <c r="Z703">
        <v>3938123</v>
      </c>
      <c r="AA703" t="s">
        <v>7031</v>
      </c>
      <c r="AB703" t="s">
        <v>2541</v>
      </c>
      <c r="AC703" t="s">
        <v>4139</v>
      </c>
      <c r="AD703" t="s">
        <v>10995</v>
      </c>
      <c r="AF703" t="s">
        <v>10997</v>
      </c>
      <c r="AG703" t="s">
        <v>10998</v>
      </c>
      <c r="AI703" t="s">
        <v>10999</v>
      </c>
      <c r="AM703" t="s">
        <v>2679</v>
      </c>
      <c r="AN703" t="s">
        <v>2318</v>
      </c>
      <c r="AO703" t="s">
        <v>11000</v>
      </c>
      <c r="AP703" t="s">
        <v>7024</v>
      </c>
      <c r="AT703" s="184"/>
      <c r="AW703" s="184"/>
      <c r="AZ703" s="184"/>
      <c r="BP703" s="184"/>
    </row>
    <row r="704" spans="1:68">
      <c r="A704">
        <v>3941663</v>
      </c>
      <c r="B704">
        <v>3941663</v>
      </c>
      <c r="C704" t="s">
        <v>7018</v>
      </c>
      <c r="D704" t="s">
        <v>595</v>
      </c>
      <c r="E704" s="184">
        <v>44073</v>
      </c>
      <c r="G704" s="184"/>
      <c r="K704" s="184"/>
      <c r="O704" s="184"/>
      <c r="P704" t="s">
        <v>7045</v>
      </c>
      <c r="Q704" t="s">
        <v>7454</v>
      </c>
      <c r="R704" s="184">
        <v>15301</v>
      </c>
      <c r="S704">
        <v>82</v>
      </c>
      <c r="U704" t="s">
        <v>7031</v>
      </c>
      <c r="V704" t="s">
        <v>3825</v>
      </c>
      <c r="W704" t="s">
        <v>7384</v>
      </c>
      <c r="X704" t="s">
        <v>11005</v>
      </c>
      <c r="AF704" t="s">
        <v>11006</v>
      </c>
      <c r="AG704" t="s">
        <v>3825</v>
      </c>
      <c r="AI704" t="s">
        <v>11007</v>
      </c>
      <c r="AM704" t="s">
        <v>11008</v>
      </c>
      <c r="AN704" t="s">
        <v>2299</v>
      </c>
      <c r="AO704" t="s">
        <v>11009</v>
      </c>
      <c r="AP704" t="s">
        <v>7024</v>
      </c>
      <c r="AQ704" t="s">
        <v>11010</v>
      </c>
      <c r="AT704" s="184">
        <v>33052</v>
      </c>
      <c r="AU704" t="s">
        <v>11011</v>
      </c>
      <c r="AV704">
        <v>25</v>
      </c>
      <c r="AW704" s="184">
        <v>45412</v>
      </c>
      <c r="AX704" t="s">
        <v>7429</v>
      </c>
      <c r="AY704">
        <v>20</v>
      </c>
      <c r="AZ704" s="184">
        <v>44424</v>
      </c>
      <c r="BA704" t="s">
        <v>11012</v>
      </c>
      <c r="BB704">
        <v>50</v>
      </c>
      <c r="BC704">
        <v>83</v>
      </c>
      <c r="BD704">
        <v>4055</v>
      </c>
      <c r="BE704">
        <v>1990</v>
      </c>
      <c r="BF704">
        <v>170</v>
      </c>
      <c r="BG704">
        <v>27</v>
      </c>
      <c r="BH704">
        <v>575</v>
      </c>
      <c r="BI704">
        <v>29</v>
      </c>
      <c r="BJ704">
        <v>35</v>
      </c>
      <c r="BK704">
        <v>18</v>
      </c>
      <c r="BP704" s="184"/>
    </row>
    <row r="705" spans="1:68">
      <c r="A705">
        <v>3949500</v>
      </c>
      <c r="B705">
        <v>3949500</v>
      </c>
      <c r="C705" t="s">
        <v>7018</v>
      </c>
      <c r="E705" s="184"/>
      <c r="G705" s="184"/>
      <c r="I705" s="184"/>
      <c r="J705" t="s">
        <v>595</v>
      </c>
      <c r="K705" s="184">
        <v>41876</v>
      </c>
      <c r="O705" s="184"/>
      <c r="P705" t="s">
        <v>7084</v>
      </c>
      <c r="Q705" t="s">
        <v>7194</v>
      </c>
      <c r="R705" s="184">
        <v>10906</v>
      </c>
      <c r="S705">
        <v>94</v>
      </c>
      <c r="U705" t="s">
        <v>7076</v>
      </c>
      <c r="V705" t="s">
        <v>3398</v>
      </c>
      <c r="W705" t="s">
        <v>4327</v>
      </c>
      <c r="X705" t="s">
        <v>11013</v>
      </c>
      <c r="AF705" t="s">
        <v>6053</v>
      </c>
      <c r="AG705" t="s">
        <v>3398</v>
      </c>
      <c r="AI705" t="s">
        <v>11014</v>
      </c>
      <c r="AM705" t="s">
        <v>11015</v>
      </c>
      <c r="AN705" t="s">
        <v>2046</v>
      </c>
      <c r="AO705" t="s">
        <v>11016</v>
      </c>
      <c r="AP705" t="s">
        <v>7024</v>
      </c>
      <c r="AQ705" t="s">
        <v>11017</v>
      </c>
      <c r="AR705" t="s">
        <v>11018</v>
      </c>
      <c r="AT705" s="184">
        <v>33053</v>
      </c>
      <c r="AU705" t="s">
        <v>11019</v>
      </c>
      <c r="AV705">
        <v>50</v>
      </c>
      <c r="AW705" s="184">
        <v>45124</v>
      </c>
      <c r="AX705" t="s">
        <v>7296</v>
      </c>
      <c r="AY705">
        <v>141049.89000000001</v>
      </c>
      <c r="AZ705" s="184">
        <v>45124</v>
      </c>
      <c r="BA705" t="s">
        <v>7296</v>
      </c>
      <c r="BB705">
        <v>141049.89000000001</v>
      </c>
      <c r="BC705">
        <v>86</v>
      </c>
      <c r="BD705">
        <v>150689.89000000001</v>
      </c>
      <c r="BE705">
        <v>1990</v>
      </c>
      <c r="BF705">
        <v>89</v>
      </c>
      <c r="BG705">
        <v>1</v>
      </c>
      <c r="BH705">
        <v>141049.89000000001</v>
      </c>
      <c r="BI705">
        <v>30</v>
      </c>
      <c r="BJ705">
        <v>35</v>
      </c>
      <c r="BK705">
        <v>25</v>
      </c>
      <c r="BM705" t="s">
        <v>595</v>
      </c>
      <c r="BO705" t="s">
        <v>595</v>
      </c>
      <c r="BP705" s="184">
        <v>44065</v>
      </c>
    </row>
    <row r="706" spans="1:68">
      <c r="A706">
        <v>3951654</v>
      </c>
      <c r="B706">
        <v>3951654</v>
      </c>
      <c r="C706" t="s">
        <v>7018</v>
      </c>
      <c r="D706" t="s">
        <v>595</v>
      </c>
      <c r="E706" s="184">
        <v>44070</v>
      </c>
      <c r="G706" s="184"/>
      <c r="H706" t="s">
        <v>595</v>
      </c>
      <c r="I706" s="184">
        <v>44328</v>
      </c>
      <c r="K706" s="184"/>
      <c r="O706" s="184"/>
      <c r="P706" t="s">
        <v>7045</v>
      </c>
      <c r="Q706" t="s">
        <v>7383</v>
      </c>
      <c r="R706" s="184">
        <v>14795</v>
      </c>
      <c r="S706">
        <v>83</v>
      </c>
      <c r="U706" t="s">
        <v>7032</v>
      </c>
      <c r="V706" t="s">
        <v>2954</v>
      </c>
      <c r="W706" t="s">
        <v>7085</v>
      </c>
      <c r="X706" t="s">
        <v>4885</v>
      </c>
      <c r="Y706" t="s">
        <v>8154</v>
      </c>
      <c r="AF706" t="s">
        <v>11020</v>
      </c>
      <c r="AG706" t="s">
        <v>2954</v>
      </c>
      <c r="AI706" t="s">
        <v>11021</v>
      </c>
      <c r="AM706" t="s">
        <v>11022</v>
      </c>
      <c r="AN706" t="s">
        <v>2274</v>
      </c>
      <c r="AO706" t="s">
        <v>11023</v>
      </c>
      <c r="AP706" t="s">
        <v>7024</v>
      </c>
      <c r="AT706" s="184">
        <v>33057</v>
      </c>
      <c r="AU706" t="s">
        <v>10905</v>
      </c>
      <c r="AV706">
        <v>15</v>
      </c>
      <c r="AW706" s="184">
        <v>44552</v>
      </c>
      <c r="AX706" t="s">
        <v>11024</v>
      </c>
      <c r="AY706">
        <v>200</v>
      </c>
      <c r="AZ706" s="184">
        <v>44552</v>
      </c>
      <c r="BA706" t="s">
        <v>11024</v>
      </c>
      <c r="BB706">
        <v>200</v>
      </c>
      <c r="BC706">
        <v>89</v>
      </c>
      <c r="BD706">
        <v>5625</v>
      </c>
      <c r="BE706">
        <v>1991</v>
      </c>
      <c r="BF706">
        <v>61</v>
      </c>
      <c r="BI706">
        <v>31</v>
      </c>
      <c r="BJ706">
        <v>35</v>
      </c>
      <c r="BK706">
        <v>16</v>
      </c>
      <c r="BP706" s="184"/>
    </row>
    <row r="707" spans="1:68">
      <c r="A707">
        <v>3973500</v>
      </c>
      <c r="B707">
        <v>3973500</v>
      </c>
      <c r="C707" t="s">
        <v>7018</v>
      </c>
      <c r="D707" t="s">
        <v>595</v>
      </c>
      <c r="E707" s="184">
        <v>43745</v>
      </c>
      <c r="G707" s="184"/>
      <c r="K707" s="184"/>
      <c r="O707" s="184"/>
      <c r="P707" t="s">
        <v>7045</v>
      </c>
      <c r="Q707" t="s">
        <v>7160</v>
      </c>
      <c r="R707" s="184">
        <v>17930</v>
      </c>
      <c r="S707">
        <v>75</v>
      </c>
      <c r="V707" t="s">
        <v>3223</v>
      </c>
      <c r="X707" t="s">
        <v>4090</v>
      </c>
      <c r="Z707">
        <v>100019284</v>
      </c>
      <c r="AB707" t="s">
        <v>2697</v>
      </c>
      <c r="AD707" t="s">
        <v>4090</v>
      </c>
      <c r="AF707" t="s">
        <v>11025</v>
      </c>
      <c r="AG707" t="s">
        <v>11026</v>
      </c>
      <c r="AI707" t="s">
        <v>11027</v>
      </c>
      <c r="AM707" t="s">
        <v>4091</v>
      </c>
      <c r="AN707" t="s">
        <v>2446</v>
      </c>
      <c r="AO707" t="s">
        <v>11028</v>
      </c>
      <c r="AP707" t="s">
        <v>7024</v>
      </c>
      <c r="AT707" s="184">
        <v>33063</v>
      </c>
      <c r="AU707" t="s">
        <v>11029</v>
      </c>
      <c r="AV707">
        <v>15</v>
      </c>
      <c r="AW707" s="184">
        <v>45121</v>
      </c>
      <c r="AX707" t="s">
        <v>11030</v>
      </c>
      <c r="AY707">
        <v>40</v>
      </c>
      <c r="AZ707" s="184">
        <v>45121</v>
      </c>
      <c r="BA707" t="s">
        <v>11030</v>
      </c>
      <c r="BB707">
        <v>40</v>
      </c>
      <c r="BC707">
        <v>58</v>
      </c>
      <c r="BD707">
        <v>580</v>
      </c>
      <c r="BE707">
        <v>1991</v>
      </c>
      <c r="BF707">
        <v>30</v>
      </c>
      <c r="BG707">
        <v>1</v>
      </c>
      <c r="BH707">
        <v>40</v>
      </c>
      <c r="BI707">
        <v>20</v>
      </c>
      <c r="BJ707">
        <v>35</v>
      </c>
      <c r="BK707">
        <v>8</v>
      </c>
      <c r="BP707" s="184"/>
    </row>
    <row r="708" spans="1:68">
      <c r="A708">
        <v>100019284</v>
      </c>
      <c r="B708">
        <v>3973500</v>
      </c>
      <c r="C708" t="s">
        <v>7018</v>
      </c>
      <c r="D708" t="s">
        <v>595</v>
      </c>
      <c r="E708" s="184">
        <v>43745</v>
      </c>
      <c r="K708" s="184"/>
      <c r="O708" s="184"/>
      <c r="P708" t="s">
        <v>7045</v>
      </c>
      <c r="Q708" t="s">
        <v>7160</v>
      </c>
      <c r="R708" s="184">
        <v>16054</v>
      </c>
      <c r="S708">
        <v>80</v>
      </c>
      <c r="V708" t="s">
        <v>2697</v>
      </c>
      <c r="X708" t="s">
        <v>4090</v>
      </c>
      <c r="Z708">
        <v>3973500</v>
      </c>
      <c r="AB708" t="s">
        <v>3223</v>
      </c>
      <c r="AD708" t="s">
        <v>4090</v>
      </c>
      <c r="AF708" t="s">
        <v>11025</v>
      </c>
      <c r="AG708" t="s">
        <v>11026</v>
      </c>
      <c r="AI708" t="s">
        <v>11027</v>
      </c>
      <c r="AM708" t="s">
        <v>4091</v>
      </c>
      <c r="AN708" t="s">
        <v>2446</v>
      </c>
      <c r="AO708" t="s">
        <v>11028</v>
      </c>
      <c r="AP708" t="s">
        <v>7024</v>
      </c>
      <c r="AT708" s="184"/>
      <c r="AW708" s="184"/>
      <c r="AZ708" s="184"/>
      <c r="BP708" s="184"/>
    </row>
    <row r="709" spans="1:68">
      <c r="A709">
        <v>3974607</v>
      </c>
      <c r="B709">
        <v>3974607</v>
      </c>
      <c r="C709" t="s">
        <v>7018</v>
      </c>
      <c r="D709" t="s">
        <v>595</v>
      </c>
      <c r="E709" s="184">
        <v>45195</v>
      </c>
      <c r="G709" s="184"/>
      <c r="K709" s="184"/>
      <c r="O709" s="184"/>
      <c r="P709" t="s">
        <v>7019</v>
      </c>
      <c r="Q709" t="s">
        <v>7383</v>
      </c>
      <c r="R709" s="184">
        <v>22784</v>
      </c>
      <c r="S709">
        <v>61</v>
      </c>
      <c r="U709" t="s">
        <v>7031</v>
      </c>
      <c r="V709" t="s">
        <v>2665</v>
      </c>
      <c r="W709" t="s">
        <v>7560</v>
      </c>
      <c r="X709" t="s">
        <v>11031</v>
      </c>
      <c r="AF709" t="s">
        <v>11032</v>
      </c>
      <c r="AG709" t="s">
        <v>2665</v>
      </c>
      <c r="AI709" t="s">
        <v>11033</v>
      </c>
      <c r="AJ709" t="s">
        <v>11034</v>
      </c>
      <c r="AM709" t="s">
        <v>5300</v>
      </c>
      <c r="AN709" t="s">
        <v>2072</v>
      </c>
      <c r="AO709" t="s">
        <v>11035</v>
      </c>
      <c r="AP709" t="s">
        <v>7024</v>
      </c>
      <c r="AQ709" t="s">
        <v>11036</v>
      </c>
      <c r="AT709" s="184">
        <v>33063</v>
      </c>
      <c r="AU709" t="s">
        <v>11037</v>
      </c>
      <c r="AV709">
        <v>25</v>
      </c>
      <c r="AW709" s="184">
        <v>44858</v>
      </c>
      <c r="AX709" t="s">
        <v>11038</v>
      </c>
      <c r="AY709">
        <v>35</v>
      </c>
      <c r="AZ709" s="184">
        <v>44641</v>
      </c>
      <c r="BA709" t="s">
        <v>11039</v>
      </c>
      <c r="BB709">
        <v>87</v>
      </c>
      <c r="BC709">
        <v>18</v>
      </c>
      <c r="BD709">
        <v>350</v>
      </c>
      <c r="BE709">
        <v>1991</v>
      </c>
      <c r="BF709">
        <v>10</v>
      </c>
      <c r="BG709">
        <v>1</v>
      </c>
      <c r="BH709">
        <v>35</v>
      </c>
      <c r="BI709">
        <v>6</v>
      </c>
      <c r="BJ709">
        <v>35</v>
      </c>
      <c r="BK709">
        <v>2</v>
      </c>
      <c r="BP709" s="184"/>
    </row>
    <row r="710" spans="1:68">
      <c r="A710">
        <v>3978210</v>
      </c>
      <c r="B710">
        <v>3978210</v>
      </c>
      <c r="C710" t="s">
        <v>7018</v>
      </c>
      <c r="E710" s="184"/>
      <c r="G710" s="184"/>
      <c r="J710" t="s">
        <v>595</v>
      </c>
      <c r="K710" s="184"/>
      <c r="O710" s="184"/>
      <c r="P710" t="s">
        <v>7045</v>
      </c>
      <c r="Q710" t="s">
        <v>7262</v>
      </c>
      <c r="R710" s="184">
        <v>11324</v>
      </c>
      <c r="S710">
        <v>93</v>
      </c>
      <c r="U710" t="s">
        <v>7076</v>
      </c>
      <c r="V710" t="s">
        <v>3444</v>
      </c>
      <c r="X710" t="s">
        <v>11040</v>
      </c>
      <c r="AF710" t="s">
        <v>6311</v>
      </c>
      <c r="AG710" t="s">
        <v>3444</v>
      </c>
      <c r="AI710" t="s">
        <v>11041</v>
      </c>
      <c r="AM710" t="s">
        <v>2616</v>
      </c>
      <c r="AN710" t="s">
        <v>2069</v>
      </c>
      <c r="AO710" t="s">
        <v>11042</v>
      </c>
      <c r="AP710" t="s">
        <v>7024</v>
      </c>
      <c r="AQ710" t="s">
        <v>11043</v>
      </c>
      <c r="AR710" t="s">
        <v>11044</v>
      </c>
      <c r="AT710" s="184">
        <v>33063</v>
      </c>
      <c r="AU710" t="s">
        <v>11045</v>
      </c>
      <c r="AV710">
        <v>15</v>
      </c>
      <c r="AW710" s="184">
        <v>45028</v>
      </c>
      <c r="AX710" t="s">
        <v>11046</v>
      </c>
      <c r="AY710">
        <v>100</v>
      </c>
      <c r="AZ710" s="184">
        <v>41639</v>
      </c>
      <c r="BA710" t="s">
        <v>11047</v>
      </c>
      <c r="BB710">
        <v>200</v>
      </c>
      <c r="BC710">
        <v>86</v>
      </c>
      <c r="BD710">
        <v>1885</v>
      </c>
      <c r="BE710">
        <v>1991</v>
      </c>
      <c r="BF710">
        <v>35</v>
      </c>
      <c r="BG710">
        <v>1</v>
      </c>
      <c r="BH710">
        <v>100</v>
      </c>
      <c r="BI710">
        <v>30</v>
      </c>
      <c r="BJ710">
        <v>35</v>
      </c>
      <c r="BK710">
        <v>11</v>
      </c>
      <c r="BP710" s="184"/>
    </row>
    <row r="711" spans="1:68">
      <c r="A711">
        <v>3984580</v>
      </c>
      <c r="B711">
        <v>3984580</v>
      </c>
      <c r="C711" t="s">
        <v>7018</v>
      </c>
      <c r="D711" t="s">
        <v>595</v>
      </c>
      <c r="E711" s="184">
        <v>43642</v>
      </c>
      <c r="G711" s="184"/>
      <c r="I711" s="184"/>
      <c r="K711" s="184"/>
      <c r="O711" s="184"/>
      <c r="P711" t="s">
        <v>7045</v>
      </c>
      <c r="Q711" t="s">
        <v>7383</v>
      </c>
      <c r="R711" s="184">
        <v>17989</v>
      </c>
      <c r="S711">
        <v>75</v>
      </c>
      <c r="U711" t="s">
        <v>7031</v>
      </c>
      <c r="V711" t="s">
        <v>2558</v>
      </c>
      <c r="X711" t="s">
        <v>3177</v>
      </c>
      <c r="Y711" t="s">
        <v>7431</v>
      </c>
      <c r="AF711" t="s">
        <v>11048</v>
      </c>
      <c r="AG711" t="s">
        <v>2558</v>
      </c>
      <c r="AI711" t="s">
        <v>11049</v>
      </c>
      <c r="AM711" t="s">
        <v>3178</v>
      </c>
      <c r="AN711" t="s">
        <v>2274</v>
      </c>
      <c r="AO711" t="s">
        <v>11050</v>
      </c>
      <c r="AP711" t="s">
        <v>7024</v>
      </c>
      <c r="AQ711" t="s">
        <v>11051</v>
      </c>
      <c r="AT711" s="184">
        <v>33064</v>
      </c>
      <c r="AU711" t="s">
        <v>10695</v>
      </c>
      <c r="AV711">
        <v>15</v>
      </c>
      <c r="AW711" s="184">
        <v>44547</v>
      </c>
      <c r="AX711" t="s">
        <v>9028</v>
      </c>
      <c r="AY711">
        <v>10</v>
      </c>
      <c r="AZ711" s="184">
        <v>35653</v>
      </c>
      <c r="BA711" t="s">
        <v>11052</v>
      </c>
      <c r="BB711">
        <v>25</v>
      </c>
      <c r="BC711">
        <v>49</v>
      </c>
      <c r="BD711">
        <v>425</v>
      </c>
      <c r="BE711">
        <v>1991</v>
      </c>
      <c r="BF711">
        <v>22</v>
      </c>
      <c r="BI711">
        <v>17</v>
      </c>
      <c r="BJ711">
        <v>35</v>
      </c>
      <c r="BK711">
        <v>9</v>
      </c>
      <c r="BP711" s="184"/>
    </row>
    <row r="712" spans="1:68">
      <c r="A712">
        <v>3988557</v>
      </c>
      <c r="B712">
        <v>3988557</v>
      </c>
      <c r="C712" t="s">
        <v>7018</v>
      </c>
      <c r="D712" t="s">
        <v>595</v>
      </c>
      <c r="E712" s="184">
        <v>44104</v>
      </c>
      <c r="G712" s="184"/>
      <c r="I712" s="184"/>
      <c r="K712" s="184"/>
      <c r="O712" s="184"/>
      <c r="P712" t="s">
        <v>7019</v>
      </c>
      <c r="Q712" t="s">
        <v>7020</v>
      </c>
      <c r="R712" s="184">
        <v>17168</v>
      </c>
      <c r="S712">
        <v>77</v>
      </c>
      <c r="U712" t="s">
        <v>7130</v>
      </c>
      <c r="V712" t="s">
        <v>3468</v>
      </c>
      <c r="W712" t="s">
        <v>7107</v>
      </c>
      <c r="X712" t="s">
        <v>11053</v>
      </c>
      <c r="AF712" t="s">
        <v>11054</v>
      </c>
      <c r="AG712" t="s">
        <v>3468</v>
      </c>
      <c r="AI712" t="s">
        <v>11055</v>
      </c>
      <c r="AM712" t="s">
        <v>11056</v>
      </c>
      <c r="AN712" t="s">
        <v>2465</v>
      </c>
      <c r="AO712" t="s">
        <v>11057</v>
      </c>
      <c r="AP712" t="s">
        <v>7024</v>
      </c>
      <c r="AT712" s="184">
        <v>33065</v>
      </c>
      <c r="AU712" t="s">
        <v>11058</v>
      </c>
      <c r="AV712">
        <v>10</v>
      </c>
      <c r="AW712" s="184">
        <v>41037</v>
      </c>
      <c r="AX712" t="s">
        <v>11059</v>
      </c>
      <c r="AY712">
        <v>60</v>
      </c>
      <c r="AZ712" s="184">
        <v>41037</v>
      </c>
      <c r="BA712" t="s">
        <v>11059</v>
      </c>
      <c r="BB712">
        <v>60</v>
      </c>
      <c r="BC712">
        <v>49</v>
      </c>
      <c r="BD712">
        <v>560</v>
      </c>
      <c r="BE712">
        <v>1991</v>
      </c>
      <c r="BF712">
        <v>22</v>
      </c>
      <c r="BI712">
        <v>17</v>
      </c>
      <c r="BJ712">
        <v>35</v>
      </c>
      <c r="BK712">
        <v>10</v>
      </c>
      <c r="BP712" s="184"/>
    </row>
    <row r="713" spans="1:68">
      <c r="A713">
        <v>3991684</v>
      </c>
      <c r="B713">
        <v>3991684</v>
      </c>
      <c r="C713" t="s">
        <v>7018</v>
      </c>
      <c r="D713" t="s">
        <v>595</v>
      </c>
      <c r="E713" s="184">
        <v>43745</v>
      </c>
      <c r="G713" s="184"/>
      <c r="I713" s="184"/>
      <c r="K713" s="184"/>
      <c r="O713" s="184"/>
      <c r="P713" t="s">
        <v>7019</v>
      </c>
      <c r="Q713" t="s">
        <v>7494</v>
      </c>
      <c r="R713" s="184">
        <v>20302</v>
      </c>
      <c r="S713">
        <v>68</v>
      </c>
      <c r="V713" t="s">
        <v>2651</v>
      </c>
      <c r="W713" t="s">
        <v>7963</v>
      </c>
      <c r="X713" t="s">
        <v>4092</v>
      </c>
      <c r="AF713" t="s">
        <v>11060</v>
      </c>
      <c r="AG713" t="s">
        <v>2651</v>
      </c>
      <c r="AI713" t="s">
        <v>11061</v>
      </c>
      <c r="AM713" t="s">
        <v>4006</v>
      </c>
      <c r="AN713" t="s">
        <v>2174</v>
      </c>
      <c r="AO713" t="s">
        <v>11062</v>
      </c>
      <c r="AP713" t="s">
        <v>7024</v>
      </c>
      <c r="AQ713" t="s">
        <v>11063</v>
      </c>
      <c r="AR713" t="s">
        <v>11064</v>
      </c>
      <c r="AT713" s="184">
        <v>33064</v>
      </c>
      <c r="AU713" t="s">
        <v>11065</v>
      </c>
      <c r="AV713">
        <v>15</v>
      </c>
      <c r="AW713" s="184">
        <v>44960</v>
      </c>
      <c r="AX713" t="s">
        <v>11066</v>
      </c>
      <c r="AY713">
        <v>75</v>
      </c>
      <c r="AZ713" s="184">
        <v>44960</v>
      </c>
      <c r="BA713" t="s">
        <v>11066</v>
      </c>
      <c r="BB713">
        <v>75</v>
      </c>
      <c r="BC713">
        <v>49</v>
      </c>
      <c r="BD713">
        <v>800.95</v>
      </c>
      <c r="BE713">
        <v>1991</v>
      </c>
      <c r="BF713">
        <v>18</v>
      </c>
      <c r="BG713">
        <v>1</v>
      </c>
      <c r="BH713">
        <v>75</v>
      </c>
      <c r="BI713">
        <v>17</v>
      </c>
      <c r="BJ713">
        <v>35</v>
      </c>
      <c r="BK713">
        <v>5</v>
      </c>
      <c r="BP713" s="184"/>
    </row>
    <row r="714" spans="1:68">
      <c r="A714">
        <v>4001087</v>
      </c>
      <c r="B714">
        <v>4001087</v>
      </c>
      <c r="C714" t="s">
        <v>7018</v>
      </c>
      <c r="D714" t="s">
        <v>595</v>
      </c>
      <c r="E714" s="184">
        <v>43657</v>
      </c>
      <c r="G714" s="184"/>
      <c r="I714" s="184"/>
      <c r="K714" s="184"/>
      <c r="O714" s="184"/>
      <c r="P714" t="s">
        <v>7045</v>
      </c>
      <c r="Q714" t="s">
        <v>7383</v>
      </c>
      <c r="R714" s="184">
        <v>17838</v>
      </c>
      <c r="S714">
        <v>75</v>
      </c>
      <c r="V714" t="s">
        <v>3072</v>
      </c>
      <c r="X714" t="s">
        <v>2904</v>
      </c>
      <c r="AF714" t="s">
        <v>11067</v>
      </c>
      <c r="AG714" t="s">
        <v>3072</v>
      </c>
      <c r="AI714" t="s">
        <v>11068</v>
      </c>
      <c r="AM714" t="s">
        <v>4225</v>
      </c>
      <c r="AN714" t="s">
        <v>2072</v>
      </c>
      <c r="AO714" t="s">
        <v>11069</v>
      </c>
      <c r="AP714" t="s">
        <v>7024</v>
      </c>
      <c r="AQ714" t="s">
        <v>11070</v>
      </c>
      <c r="AR714" t="s">
        <v>11071</v>
      </c>
      <c r="AT714" s="184">
        <v>33071</v>
      </c>
      <c r="AU714" t="s">
        <v>11072</v>
      </c>
      <c r="AV714">
        <v>15</v>
      </c>
      <c r="AW714" s="184">
        <v>45278</v>
      </c>
      <c r="AX714" t="s">
        <v>11073</v>
      </c>
      <c r="AY714">
        <v>25</v>
      </c>
      <c r="AZ714" s="184">
        <v>44291</v>
      </c>
      <c r="BA714" t="s">
        <v>11074</v>
      </c>
      <c r="BB714">
        <v>75</v>
      </c>
      <c r="BC714">
        <v>52</v>
      </c>
      <c r="BD714">
        <v>855</v>
      </c>
      <c r="BE714">
        <v>1991</v>
      </c>
      <c r="BF714">
        <v>27</v>
      </c>
      <c r="BG714">
        <v>5</v>
      </c>
      <c r="BH714">
        <v>200</v>
      </c>
      <c r="BI714">
        <v>18</v>
      </c>
      <c r="BJ714">
        <v>35</v>
      </c>
      <c r="BK714">
        <v>7</v>
      </c>
      <c r="BN714" t="s">
        <v>595</v>
      </c>
    </row>
    <row r="715" spans="1:68">
      <c r="A715">
        <v>100019380</v>
      </c>
      <c r="B715">
        <v>4001772</v>
      </c>
      <c r="C715" t="s">
        <v>7018</v>
      </c>
      <c r="D715" t="s">
        <v>595</v>
      </c>
      <c r="E715" s="184">
        <v>43620</v>
      </c>
      <c r="G715" s="184"/>
      <c r="I715" s="184"/>
      <c r="K715" s="184"/>
      <c r="O715" s="184"/>
      <c r="P715" t="s">
        <v>7045</v>
      </c>
      <c r="Q715" t="s">
        <v>7030</v>
      </c>
      <c r="R715" s="184">
        <v>17533</v>
      </c>
      <c r="S715">
        <v>76</v>
      </c>
      <c r="V715" t="s">
        <v>11075</v>
      </c>
      <c r="X715" t="s">
        <v>2906</v>
      </c>
      <c r="Z715">
        <v>4001772</v>
      </c>
      <c r="AA715" t="s">
        <v>7031</v>
      </c>
      <c r="AB715" t="s">
        <v>2697</v>
      </c>
      <c r="AC715" t="s">
        <v>4139</v>
      </c>
      <c r="AD715" t="s">
        <v>2906</v>
      </c>
      <c r="AF715" t="s">
        <v>11076</v>
      </c>
      <c r="AG715" t="s">
        <v>11077</v>
      </c>
      <c r="AI715" t="s">
        <v>11078</v>
      </c>
      <c r="AM715" t="s">
        <v>2907</v>
      </c>
      <c r="AN715" t="s">
        <v>2638</v>
      </c>
      <c r="AO715" t="s">
        <v>11079</v>
      </c>
      <c r="AP715" t="s">
        <v>7024</v>
      </c>
      <c r="AQ715" t="s">
        <v>11080</v>
      </c>
      <c r="AT715" s="184">
        <v>43905</v>
      </c>
      <c r="AU715" t="s">
        <v>11081</v>
      </c>
      <c r="AV715">
        <v>25</v>
      </c>
      <c r="AW715" s="184">
        <v>45175</v>
      </c>
      <c r="AX715" t="s">
        <v>9576</v>
      </c>
      <c r="AY715">
        <v>35</v>
      </c>
      <c r="AZ715" s="184">
        <v>45175</v>
      </c>
      <c r="BA715" t="s">
        <v>9576</v>
      </c>
      <c r="BB715">
        <v>35</v>
      </c>
      <c r="BC715">
        <v>80</v>
      </c>
      <c r="BD715">
        <v>165</v>
      </c>
      <c r="BE715">
        <v>2020</v>
      </c>
      <c r="BF715">
        <v>5</v>
      </c>
      <c r="BG715">
        <v>1</v>
      </c>
      <c r="BH715">
        <v>35</v>
      </c>
      <c r="BI715">
        <v>4</v>
      </c>
      <c r="BJ715">
        <v>5</v>
      </c>
      <c r="BK715">
        <v>4</v>
      </c>
      <c r="BP715" s="184"/>
    </row>
    <row r="716" spans="1:68">
      <c r="A716">
        <v>4010872</v>
      </c>
      <c r="B716">
        <v>4010872</v>
      </c>
      <c r="C716" t="s">
        <v>7018</v>
      </c>
      <c r="E716" s="184"/>
      <c r="G716" s="184"/>
      <c r="I716" s="184"/>
      <c r="J716" t="s">
        <v>595</v>
      </c>
      <c r="K716" s="184">
        <v>43640</v>
      </c>
      <c r="O716" s="184"/>
      <c r="P716" t="s">
        <v>7045</v>
      </c>
      <c r="Q716" t="s">
        <v>7194</v>
      </c>
      <c r="R716" s="184">
        <v>21337</v>
      </c>
      <c r="S716">
        <v>65</v>
      </c>
      <c r="U716" t="s">
        <v>7130</v>
      </c>
      <c r="V716" t="s">
        <v>2938</v>
      </c>
      <c r="W716" t="s">
        <v>4139</v>
      </c>
      <c r="X716" t="s">
        <v>3034</v>
      </c>
      <c r="Z716">
        <v>100019412</v>
      </c>
      <c r="AA716" t="s">
        <v>7031</v>
      </c>
      <c r="AB716" t="s">
        <v>2511</v>
      </c>
      <c r="AD716" t="s">
        <v>11082</v>
      </c>
      <c r="AF716" t="s">
        <v>11083</v>
      </c>
      <c r="AG716" t="s">
        <v>11084</v>
      </c>
      <c r="AI716" t="s">
        <v>11085</v>
      </c>
      <c r="AM716" t="s">
        <v>3035</v>
      </c>
      <c r="AN716" t="s">
        <v>2046</v>
      </c>
      <c r="AO716" t="s">
        <v>11086</v>
      </c>
      <c r="AP716" t="s">
        <v>7024</v>
      </c>
      <c r="AQ716" t="s">
        <v>11087</v>
      </c>
      <c r="AT716" s="184">
        <v>33074</v>
      </c>
      <c r="AU716" t="s">
        <v>11088</v>
      </c>
      <c r="AV716">
        <v>15</v>
      </c>
      <c r="AW716" s="184">
        <v>45408</v>
      </c>
      <c r="AX716" t="s">
        <v>8483</v>
      </c>
      <c r="AY716">
        <v>10</v>
      </c>
      <c r="AZ716" s="184">
        <v>40431</v>
      </c>
      <c r="BA716" t="s">
        <v>11089</v>
      </c>
      <c r="BB716">
        <v>150</v>
      </c>
      <c r="BC716">
        <v>78</v>
      </c>
      <c r="BD716">
        <v>3591.05</v>
      </c>
      <c r="BE716">
        <v>1991</v>
      </c>
      <c r="BF716">
        <v>101</v>
      </c>
      <c r="BG716">
        <v>26</v>
      </c>
      <c r="BH716">
        <v>328.55</v>
      </c>
      <c r="BI716">
        <v>27</v>
      </c>
      <c r="BJ716">
        <v>35</v>
      </c>
      <c r="BK716">
        <v>24</v>
      </c>
      <c r="BP716" s="184"/>
    </row>
    <row r="717" spans="1:68">
      <c r="A717">
        <v>100019412</v>
      </c>
      <c r="B717">
        <v>4010872</v>
      </c>
      <c r="C717" t="s">
        <v>7018</v>
      </c>
      <c r="E717" s="184"/>
      <c r="G717" s="184"/>
      <c r="I717" s="184"/>
      <c r="J717" t="s">
        <v>595</v>
      </c>
      <c r="K717" s="184">
        <v>43640</v>
      </c>
      <c r="O717" s="184"/>
      <c r="P717" t="s">
        <v>7045</v>
      </c>
      <c r="Q717" t="s">
        <v>7194</v>
      </c>
      <c r="R717" s="184">
        <v>20486</v>
      </c>
      <c r="S717">
        <v>68</v>
      </c>
      <c r="U717" t="s">
        <v>7031</v>
      </c>
      <c r="V717" t="s">
        <v>2511</v>
      </c>
      <c r="X717" t="s">
        <v>11082</v>
      </c>
      <c r="Z717">
        <v>4010872</v>
      </c>
      <c r="AA717" t="s">
        <v>7130</v>
      </c>
      <c r="AB717" t="s">
        <v>2938</v>
      </c>
      <c r="AC717" t="s">
        <v>4139</v>
      </c>
      <c r="AD717" t="s">
        <v>3034</v>
      </c>
      <c r="AF717" t="s">
        <v>11083</v>
      </c>
      <c r="AG717" t="s">
        <v>11084</v>
      </c>
      <c r="AI717" t="s">
        <v>11085</v>
      </c>
      <c r="AM717" t="s">
        <v>3035</v>
      </c>
      <c r="AN717" t="s">
        <v>2046</v>
      </c>
      <c r="AO717" t="s">
        <v>11086</v>
      </c>
      <c r="AP717" t="s">
        <v>7024</v>
      </c>
      <c r="AQ717" t="s">
        <v>11090</v>
      </c>
      <c r="AT717" s="184"/>
      <c r="AW717" s="184"/>
      <c r="AZ717" s="184"/>
      <c r="BP717" s="184"/>
    </row>
    <row r="718" spans="1:68">
      <c r="A718">
        <v>4017232</v>
      </c>
      <c r="B718">
        <v>4017232</v>
      </c>
      <c r="C718" t="s">
        <v>7018</v>
      </c>
      <c r="E718" s="184"/>
      <c r="I718" s="184"/>
      <c r="J718" t="s">
        <v>595</v>
      </c>
      <c r="K718" s="184">
        <v>40400</v>
      </c>
      <c r="O718" s="184"/>
      <c r="P718" t="s">
        <v>7045</v>
      </c>
      <c r="Q718" t="s">
        <v>7383</v>
      </c>
      <c r="R718" s="184">
        <v>24505</v>
      </c>
      <c r="S718">
        <v>57</v>
      </c>
      <c r="U718" t="s">
        <v>7031</v>
      </c>
      <c r="V718" t="s">
        <v>3206</v>
      </c>
      <c r="W718" t="s">
        <v>5006</v>
      </c>
      <c r="X718" t="s">
        <v>11091</v>
      </c>
      <c r="AF718" t="s">
        <v>6480</v>
      </c>
      <c r="AG718" t="s">
        <v>3206</v>
      </c>
      <c r="AI718" t="s">
        <v>11092</v>
      </c>
      <c r="AM718" t="s">
        <v>3082</v>
      </c>
      <c r="AN718" t="s">
        <v>2313</v>
      </c>
      <c r="AO718" t="s">
        <v>11093</v>
      </c>
      <c r="AP718" t="s">
        <v>7024</v>
      </c>
      <c r="AT718" s="184">
        <v>33079</v>
      </c>
      <c r="AU718" t="s">
        <v>11094</v>
      </c>
      <c r="AV718">
        <v>15</v>
      </c>
      <c r="AW718" s="184">
        <v>44600</v>
      </c>
      <c r="AX718" t="s">
        <v>7851</v>
      </c>
      <c r="AY718">
        <v>30</v>
      </c>
      <c r="AZ718" s="184">
        <v>40154</v>
      </c>
      <c r="BA718" t="s">
        <v>11095</v>
      </c>
      <c r="BB718">
        <v>60</v>
      </c>
      <c r="BC718">
        <v>60</v>
      </c>
      <c r="BD718">
        <v>880</v>
      </c>
      <c r="BE718">
        <v>1991</v>
      </c>
      <c r="BF718">
        <v>27</v>
      </c>
      <c r="BI718">
        <v>21</v>
      </c>
      <c r="BJ718">
        <v>35</v>
      </c>
      <c r="BK718">
        <v>7</v>
      </c>
      <c r="BP718" s="184"/>
    </row>
    <row r="719" spans="1:68">
      <c r="A719">
        <v>4022885</v>
      </c>
      <c r="B719">
        <v>4022885</v>
      </c>
      <c r="C719" t="s">
        <v>7018</v>
      </c>
      <c r="D719" t="s">
        <v>595</v>
      </c>
      <c r="E719" s="184">
        <v>44397</v>
      </c>
      <c r="G719" s="184"/>
      <c r="I719" s="184"/>
      <c r="K719" s="184"/>
      <c r="O719" s="184"/>
      <c r="P719" t="s">
        <v>7045</v>
      </c>
      <c r="Q719" t="s">
        <v>7454</v>
      </c>
      <c r="R719" s="184">
        <v>22949</v>
      </c>
      <c r="S719">
        <v>61</v>
      </c>
      <c r="U719" t="s">
        <v>7076</v>
      </c>
      <c r="V719" t="s">
        <v>11096</v>
      </c>
      <c r="W719" t="s">
        <v>4327</v>
      </c>
      <c r="X719" t="s">
        <v>3710</v>
      </c>
      <c r="Z719">
        <v>100019462</v>
      </c>
      <c r="AB719" t="s">
        <v>2871</v>
      </c>
      <c r="AD719" t="s">
        <v>3710</v>
      </c>
      <c r="AF719" t="s">
        <v>11097</v>
      </c>
      <c r="AG719" t="s">
        <v>11098</v>
      </c>
      <c r="AI719" t="s">
        <v>11099</v>
      </c>
      <c r="AM719" t="s">
        <v>3855</v>
      </c>
      <c r="AN719" t="s">
        <v>2055</v>
      </c>
      <c r="AO719" t="s">
        <v>11100</v>
      </c>
      <c r="AP719" t="s">
        <v>7024</v>
      </c>
      <c r="AQ719" t="s">
        <v>11101</v>
      </c>
      <c r="AR719" t="s">
        <v>11102</v>
      </c>
      <c r="AT719" s="184">
        <v>33084</v>
      </c>
      <c r="AU719" t="s">
        <v>11103</v>
      </c>
      <c r="AV719">
        <v>15</v>
      </c>
      <c r="AW719" s="184">
        <v>43445</v>
      </c>
      <c r="AX719" t="s">
        <v>11104</v>
      </c>
      <c r="AY719">
        <v>35</v>
      </c>
      <c r="AZ719" s="184">
        <v>33738</v>
      </c>
      <c r="BA719" t="s">
        <v>11105</v>
      </c>
      <c r="BB719">
        <v>60</v>
      </c>
      <c r="BC719">
        <v>55</v>
      </c>
      <c r="BD719">
        <v>905</v>
      </c>
      <c r="BE719">
        <v>1991</v>
      </c>
      <c r="BF719">
        <v>28</v>
      </c>
      <c r="BI719">
        <v>19</v>
      </c>
      <c r="BJ719">
        <v>35</v>
      </c>
      <c r="BK719">
        <v>8</v>
      </c>
      <c r="BP719" s="184"/>
    </row>
    <row r="720" spans="1:68">
      <c r="A720">
        <v>100019462</v>
      </c>
      <c r="B720">
        <v>4022885</v>
      </c>
      <c r="C720" t="s">
        <v>7018</v>
      </c>
      <c r="D720" t="s">
        <v>595</v>
      </c>
      <c r="E720" s="184">
        <v>44397</v>
      </c>
      <c r="G720" s="184"/>
      <c r="I720" s="184"/>
      <c r="K720" s="184"/>
      <c r="O720" s="184"/>
      <c r="P720" t="s">
        <v>7045</v>
      </c>
      <c r="Q720" t="s">
        <v>7454</v>
      </c>
      <c r="R720" s="184">
        <v>22949</v>
      </c>
      <c r="S720">
        <v>61</v>
      </c>
      <c r="V720" t="s">
        <v>2871</v>
      </c>
      <c r="X720" t="s">
        <v>3710</v>
      </c>
      <c r="Z720">
        <v>4022885</v>
      </c>
      <c r="AA720" t="s">
        <v>7076</v>
      </c>
      <c r="AB720" t="s">
        <v>11096</v>
      </c>
      <c r="AC720" t="s">
        <v>4327</v>
      </c>
      <c r="AD720" t="s">
        <v>3710</v>
      </c>
      <c r="AF720" t="s">
        <v>11097</v>
      </c>
      <c r="AG720" t="s">
        <v>11098</v>
      </c>
      <c r="AI720" t="s">
        <v>11099</v>
      </c>
      <c r="AM720" t="s">
        <v>3855</v>
      </c>
      <c r="AN720" t="s">
        <v>2055</v>
      </c>
      <c r="AO720" t="s">
        <v>11100</v>
      </c>
      <c r="AP720" t="s">
        <v>7024</v>
      </c>
      <c r="AT720" s="184"/>
      <c r="AW720" s="184"/>
      <c r="AZ720" s="184"/>
      <c r="BP720" s="184"/>
    </row>
    <row r="721" spans="1:68">
      <c r="A721">
        <v>4028619</v>
      </c>
      <c r="B721">
        <v>4028619</v>
      </c>
      <c r="C721" t="s">
        <v>7018</v>
      </c>
      <c r="E721" s="184"/>
      <c r="G721" s="184"/>
      <c r="H721" t="s">
        <v>595</v>
      </c>
      <c r="I721" s="184">
        <v>43843</v>
      </c>
      <c r="J721" t="s">
        <v>595</v>
      </c>
      <c r="K721" s="184">
        <v>43843</v>
      </c>
      <c r="O721" s="184"/>
      <c r="P721" t="s">
        <v>7045</v>
      </c>
      <c r="Q721" t="s">
        <v>7194</v>
      </c>
      <c r="R721" s="184">
        <v>20256</v>
      </c>
      <c r="S721">
        <v>68</v>
      </c>
      <c r="U721" t="s">
        <v>7031</v>
      </c>
      <c r="V721" t="s">
        <v>2687</v>
      </c>
      <c r="W721" t="s">
        <v>4382</v>
      </c>
      <c r="X721" t="s">
        <v>4511</v>
      </c>
      <c r="AF721" t="s">
        <v>6487</v>
      </c>
      <c r="AG721" t="s">
        <v>2687</v>
      </c>
      <c r="AI721" t="s">
        <v>11106</v>
      </c>
      <c r="AM721" t="s">
        <v>2616</v>
      </c>
      <c r="AN721" t="s">
        <v>4512</v>
      </c>
      <c r="AO721" t="s">
        <v>11107</v>
      </c>
      <c r="AP721" t="s">
        <v>7024</v>
      </c>
      <c r="AQ721" t="s">
        <v>11108</v>
      </c>
      <c r="AR721" t="s">
        <v>11109</v>
      </c>
      <c r="AT721" s="184">
        <v>33085</v>
      </c>
      <c r="AU721" t="s">
        <v>11110</v>
      </c>
      <c r="AV721">
        <v>15</v>
      </c>
      <c r="AW721" s="184">
        <v>45131</v>
      </c>
      <c r="AX721" t="s">
        <v>11111</v>
      </c>
      <c r="AY721">
        <v>15</v>
      </c>
      <c r="AZ721" s="184">
        <v>40740</v>
      </c>
      <c r="BA721" t="s">
        <v>11112</v>
      </c>
      <c r="BB721">
        <v>87</v>
      </c>
      <c r="BC721">
        <v>66</v>
      </c>
      <c r="BD721">
        <v>988.64</v>
      </c>
      <c r="BE721">
        <v>1991</v>
      </c>
      <c r="BF721">
        <v>39</v>
      </c>
      <c r="BG721">
        <v>5</v>
      </c>
      <c r="BH721">
        <v>71.64</v>
      </c>
      <c r="BI721">
        <v>23</v>
      </c>
      <c r="BJ721">
        <v>35</v>
      </c>
      <c r="BK721">
        <v>9</v>
      </c>
      <c r="BP721" s="184"/>
    </row>
    <row r="722" spans="1:68">
      <c r="A722">
        <v>4029849</v>
      </c>
      <c r="B722">
        <v>4029849</v>
      </c>
      <c r="C722" t="s">
        <v>7018</v>
      </c>
      <c r="D722" t="s">
        <v>595</v>
      </c>
      <c r="E722" s="184">
        <v>44167</v>
      </c>
      <c r="G722" s="184"/>
      <c r="I722" s="184"/>
      <c r="K722" s="184"/>
      <c r="O722" s="184"/>
      <c r="P722" t="s">
        <v>7045</v>
      </c>
      <c r="Q722" t="s">
        <v>7774</v>
      </c>
      <c r="R722" s="184">
        <v>21936</v>
      </c>
      <c r="S722">
        <v>64</v>
      </c>
      <c r="U722" t="s">
        <v>7237</v>
      </c>
      <c r="V722" t="s">
        <v>3080</v>
      </c>
      <c r="W722" t="s">
        <v>3830</v>
      </c>
      <c r="X722" t="s">
        <v>11113</v>
      </c>
      <c r="AF722" t="s">
        <v>11114</v>
      </c>
      <c r="AG722" t="s">
        <v>3080</v>
      </c>
      <c r="AI722" t="s">
        <v>11115</v>
      </c>
      <c r="AM722" t="s">
        <v>11116</v>
      </c>
      <c r="AN722" t="s">
        <v>2290</v>
      </c>
      <c r="AO722" t="s">
        <v>11117</v>
      </c>
      <c r="AP722" t="s">
        <v>7024</v>
      </c>
      <c r="AQ722" t="s">
        <v>11118</v>
      </c>
      <c r="AT722" s="184">
        <v>33086</v>
      </c>
      <c r="AU722" t="s">
        <v>10213</v>
      </c>
      <c r="AV722">
        <v>25</v>
      </c>
      <c r="AW722" s="184">
        <v>44165</v>
      </c>
      <c r="AX722" t="s">
        <v>11119</v>
      </c>
      <c r="AY722">
        <v>200</v>
      </c>
      <c r="AZ722" s="184">
        <v>44165</v>
      </c>
      <c r="BA722" t="s">
        <v>11119</v>
      </c>
      <c r="BB722">
        <v>200</v>
      </c>
      <c r="BC722">
        <v>72</v>
      </c>
      <c r="BD722">
        <v>1225</v>
      </c>
      <c r="BE722">
        <v>1991</v>
      </c>
      <c r="BF722">
        <v>25</v>
      </c>
      <c r="BI722">
        <v>25</v>
      </c>
      <c r="BJ722">
        <v>35</v>
      </c>
      <c r="BK722">
        <v>9</v>
      </c>
      <c r="BP722" s="184"/>
    </row>
    <row r="723" spans="1:68">
      <c r="A723">
        <v>4029906</v>
      </c>
      <c r="B723">
        <v>4029906</v>
      </c>
      <c r="C723" t="s">
        <v>7018</v>
      </c>
      <c r="D723" t="s">
        <v>595</v>
      </c>
      <c r="E723" s="184">
        <v>44167</v>
      </c>
      <c r="G723" s="184"/>
      <c r="I723" s="184"/>
      <c r="K723" s="184"/>
      <c r="O723" s="184"/>
      <c r="P723" t="s">
        <v>7045</v>
      </c>
      <c r="Q723" t="s">
        <v>7020</v>
      </c>
      <c r="R723" s="184">
        <v>14133</v>
      </c>
      <c r="S723">
        <v>85</v>
      </c>
      <c r="U723" t="s">
        <v>7032</v>
      </c>
      <c r="V723" t="s">
        <v>2511</v>
      </c>
      <c r="W723" t="s">
        <v>2049</v>
      </c>
      <c r="X723" t="s">
        <v>11120</v>
      </c>
      <c r="Z723">
        <v>100019484</v>
      </c>
      <c r="AB723" t="s">
        <v>2316</v>
      </c>
      <c r="AC723" t="s">
        <v>7407</v>
      </c>
      <c r="AD723" t="s">
        <v>11120</v>
      </c>
      <c r="AF723" t="s">
        <v>11121</v>
      </c>
      <c r="AG723" t="s">
        <v>11122</v>
      </c>
      <c r="AI723" t="s">
        <v>11123</v>
      </c>
      <c r="AM723" t="s">
        <v>11124</v>
      </c>
      <c r="AN723" t="s">
        <v>2052</v>
      </c>
      <c r="AO723" t="s">
        <v>11125</v>
      </c>
      <c r="AP723" t="s">
        <v>7024</v>
      </c>
      <c r="AQ723" t="s">
        <v>11126</v>
      </c>
      <c r="AT723" s="184">
        <v>33086</v>
      </c>
      <c r="AU723" t="s">
        <v>11127</v>
      </c>
      <c r="AV723">
        <v>17</v>
      </c>
      <c r="AW723" s="184">
        <v>43307</v>
      </c>
      <c r="AX723" t="s">
        <v>11128</v>
      </c>
      <c r="AY723">
        <v>25</v>
      </c>
      <c r="AZ723" s="184">
        <v>35545</v>
      </c>
      <c r="BA723" t="s">
        <v>11129</v>
      </c>
      <c r="BB723">
        <v>100</v>
      </c>
      <c r="BC723">
        <v>60</v>
      </c>
      <c r="BD723">
        <v>1094</v>
      </c>
      <c r="BE723">
        <v>1991</v>
      </c>
      <c r="BF723">
        <v>30</v>
      </c>
      <c r="BI723">
        <v>21</v>
      </c>
      <c r="BJ723">
        <v>35</v>
      </c>
      <c r="BK723">
        <v>5</v>
      </c>
      <c r="BP723" s="184"/>
    </row>
    <row r="724" spans="1:68">
      <c r="A724">
        <v>100019484</v>
      </c>
      <c r="B724">
        <v>4029906</v>
      </c>
      <c r="C724" t="s">
        <v>7018</v>
      </c>
      <c r="D724" t="s">
        <v>595</v>
      </c>
      <c r="E724" s="184">
        <v>44167</v>
      </c>
      <c r="G724" s="184"/>
      <c r="K724" s="184"/>
      <c r="O724" s="184"/>
      <c r="P724" t="s">
        <v>7045</v>
      </c>
      <c r="Q724" t="s">
        <v>7020</v>
      </c>
      <c r="R724" s="184">
        <v>14366</v>
      </c>
      <c r="S724">
        <v>85</v>
      </c>
      <c r="V724" t="s">
        <v>2316</v>
      </c>
      <c r="W724" t="s">
        <v>7407</v>
      </c>
      <c r="X724" t="s">
        <v>11120</v>
      </c>
      <c r="Z724">
        <v>4029906</v>
      </c>
      <c r="AA724" t="s">
        <v>7032</v>
      </c>
      <c r="AB724" t="s">
        <v>2511</v>
      </c>
      <c r="AC724" t="s">
        <v>2049</v>
      </c>
      <c r="AD724" t="s">
        <v>11120</v>
      </c>
      <c r="AF724" t="s">
        <v>11121</v>
      </c>
      <c r="AG724" t="s">
        <v>11122</v>
      </c>
      <c r="AI724" t="s">
        <v>11123</v>
      </c>
      <c r="AM724" t="s">
        <v>11124</v>
      </c>
      <c r="AN724" t="s">
        <v>2052</v>
      </c>
      <c r="AO724" t="s">
        <v>11125</v>
      </c>
      <c r="AP724" t="s">
        <v>7024</v>
      </c>
      <c r="AT724" s="184"/>
      <c r="AW724" s="184"/>
      <c r="AZ724" s="184"/>
      <c r="BP724" s="184"/>
    </row>
    <row r="725" spans="1:68">
      <c r="A725">
        <v>4043907</v>
      </c>
      <c r="B725">
        <v>4043907</v>
      </c>
      <c r="C725" t="s">
        <v>7018</v>
      </c>
      <c r="E725" s="184"/>
      <c r="G725" s="184"/>
      <c r="I725" s="184"/>
      <c r="K725" s="184"/>
      <c r="N725" t="s">
        <v>595</v>
      </c>
      <c r="O725" s="184">
        <v>37036</v>
      </c>
      <c r="P725" t="s">
        <v>7045</v>
      </c>
      <c r="Q725" t="s">
        <v>7454</v>
      </c>
      <c r="R725" s="184">
        <v>10889</v>
      </c>
      <c r="S725">
        <v>94</v>
      </c>
      <c r="U725" t="s">
        <v>7031</v>
      </c>
      <c r="V725" t="s">
        <v>5414</v>
      </c>
      <c r="W725" t="s">
        <v>2963</v>
      </c>
      <c r="X725" t="s">
        <v>3661</v>
      </c>
      <c r="Z725">
        <v>100179824</v>
      </c>
      <c r="AA725" t="s">
        <v>7130</v>
      </c>
      <c r="AB725" t="s">
        <v>5412</v>
      </c>
      <c r="AD725" t="s">
        <v>3661</v>
      </c>
      <c r="AF725" t="s">
        <v>11130</v>
      </c>
      <c r="AG725" t="s">
        <v>11131</v>
      </c>
      <c r="AI725" t="s">
        <v>11132</v>
      </c>
      <c r="AM725" t="s">
        <v>5413</v>
      </c>
      <c r="AN725" t="s">
        <v>2055</v>
      </c>
      <c r="AO725" t="s">
        <v>11133</v>
      </c>
      <c r="AP725" t="s">
        <v>7024</v>
      </c>
      <c r="AT725" s="184">
        <v>33092</v>
      </c>
      <c r="AU725" t="s">
        <v>11134</v>
      </c>
      <c r="AV725">
        <v>15</v>
      </c>
      <c r="AW725" s="184">
        <v>42856</v>
      </c>
      <c r="AX725" t="s">
        <v>11135</v>
      </c>
      <c r="AY725">
        <v>100</v>
      </c>
      <c r="AZ725" s="184">
        <v>37036</v>
      </c>
      <c r="BA725" t="s">
        <v>8173</v>
      </c>
      <c r="BB725">
        <v>76085.990000000005</v>
      </c>
      <c r="BC725">
        <v>78</v>
      </c>
      <c r="BD725">
        <v>121000.56</v>
      </c>
      <c r="BE725">
        <v>1991</v>
      </c>
      <c r="BF725">
        <v>29</v>
      </c>
      <c r="BI725">
        <v>27</v>
      </c>
      <c r="BJ725">
        <v>35</v>
      </c>
      <c r="BK725">
        <v>25</v>
      </c>
      <c r="BO725" t="s">
        <v>595</v>
      </c>
      <c r="BP725" s="184">
        <v>42914</v>
      </c>
    </row>
    <row r="726" spans="1:68">
      <c r="A726">
        <v>100179824</v>
      </c>
      <c r="B726">
        <v>4043907</v>
      </c>
      <c r="C726" t="s">
        <v>7018</v>
      </c>
      <c r="E726" s="184"/>
      <c r="G726" s="184"/>
      <c r="I726" s="184"/>
      <c r="K726" s="184"/>
      <c r="N726" t="s">
        <v>595</v>
      </c>
      <c r="O726" s="184">
        <v>37036</v>
      </c>
      <c r="P726" t="s">
        <v>7045</v>
      </c>
      <c r="Q726" t="s">
        <v>7454</v>
      </c>
      <c r="R726" s="184">
        <v>12477</v>
      </c>
      <c r="S726">
        <v>90</v>
      </c>
      <c r="U726" t="s">
        <v>7130</v>
      </c>
      <c r="V726" t="s">
        <v>5412</v>
      </c>
      <c r="X726" t="s">
        <v>3661</v>
      </c>
      <c r="Z726">
        <v>4043907</v>
      </c>
      <c r="AA726" t="s">
        <v>7031</v>
      </c>
      <c r="AB726" t="s">
        <v>5414</v>
      </c>
      <c r="AC726" t="s">
        <v>2963</v>
      </c>
      <c r="AD726" t="s">
        <v>3661</v>
      </c>
      <c r="AF726" t="s">
        <v>11130</v>
      </c>
      <c r="AG726" t="s">
        <v>11131</v>
      </c>
      <c r="AI726" t="s">
        <v>11132</v>
      </c>
      <c r="AM726" t="s">
        <v>5413</v>
      </c>
      <c r="AN726" t="s">
        <v>2055</v>
      </c>
      <c r="AO726" t="s">
        <v>11133</v>
      </c>
      <c r="AP726" t="s">
        <v>7024</v>
      </c>
      <c r="AT726" s="184"/>
      <c r="AW726" s="184"/>
      <c r="AZ726" s="184"/>
      <c r="BO726" t="s">
        <v>595</v>
      </c>
      <c r="BP726" s="184">
        <v>41524</v>
      </c>
    </row>
    <row r="727" spans="1:68">
      <c r="A727">
        <v>4091070</v>
      </c>
      <c r="B727">
        <v>4091070</v>
      </c>
      <c r="C727" t="s">
        <v>7018</v>
      </c>
      <c r="D727" t="s">
        <v>595</v>
      </c>
      <c r="E727" s="184">
        <v>45112</v>
      </c>
      <c r="G727" s="184"/>
      <c r="I727" s="184"/>
      <c r="K727" s="184"/>
      <c r="O727" s="184"/>
      <c r="P727" t="s">
        <v>7045</v>
      </c>
      <c r="Q727" t="s">
        <v>7160</v>
      </c>
      <c r="R727" s="184">
        <v>12055</v>
      </c>
      <c r="S727">
        <v>91</v>
      </c>
      <c r="U727" t="s">
        <v>7076</v>
      </c>
      <c r="V727" t="s">
        <v>11136</v>
      </c>
      <c r="X727" t="s">
        <v>11137</v>
      </c>
      <c r="AF727" t="s">
        <v>11138</v>
      </c>
      <c r="AG727" t="s">
        <v>11136</v>
      </c>
      <c r="AI727" t="s">
        <v>11139</v>
      </c>
      <c r="AM727" t="s">
        <v>3970</v>
      </c>
      <c r="AN727" t="s">
        <v>2413</v>
      </c>
      <c r="AO727" t="s">
        <v>11140</v>
      </c>
      <c r="AP727" t="s">
        <v>7024</v>
      </c>
      <c r="AT727" s="184">
        <v>33093</v>
      </c>
      <c r="AU727" t="s">
        <v>11141</v>
      </c>
      <c r="AV727">
        <v>25</v>
      </c>
      <c r="AW727" s="184">
        <v>41967</v>
      </c>
      <c r="AX727" t="s">
        <v>11142</v>
      </c>
      <c r="AY727">
        <v>19.97</v>
      </c>
      <c r="AZ727" s="184">
        <v>34190</v>
      </c>
      <c r="BA727" t="s">
        <v>11143</v>
      </c>
      <c r="BB727">
        <v>25</v>
      </c>
      <c r="BC727">
        <v>15</v>
      </c>
      <c r="BD727">
        <v>194.97</v>
      </c>
      <c r="BE727">
        <v>1991</v>
      </c>
      <c r="BF727">
        <v>8</v>
      </c>
      <c r="BI727">
        <v>5</v>
      </c>
      <c r="BJ727">
        <v>35</v>
      </c>
      <c r="BK727">
        <v>4</v>
      </c>
    </row>
    <row r="728" spans="1:68">
      <c r="A728">
        <v>4092755</v>
      </c>
      <c r="B728">
        <v>4092755</v>
      </c>
      <c r="C728" t="s">
        <v>7018</v>
      </c>
      <c r="D728" t="s">
        <v>595</v>
      </c>
      <c r="E728" s="184">
        <v>45167</v>
      </c>
      <c r="G728" s="184"/>
      <c r="I728" s="184"/>
      <c r="K728" s="184"/>
      <c r="O728" s="184"/>
      <c r="P728" t="s">
        <v>7045</v>
      </c>
      <c r="Q728" t="s">
        <v>7383</v>
      </c>
      <c r="R728" s="184">
        <v>16585</v>
      </c>
      <c r="S728">
        <v>78</v>
      </c>
      <c r="V728" t="s">
        <v>3692</v>
      </c>
      <c r="X728" t="s">
        <v>11144</v>
      </c>
      <c r="Z728">
        <v>100019637</v>
      </c>
      <c r="AB728" t="s">
        <v>3593</v>
      </c>
      <c r="AD728" t="s">
        <v>11144</v>
      </c>
      <c r="AF728" t="s">
        <v>11145</v>
      </c>
      <c r="AG728" t="s">
        <v>11146</v>
      </c>
      <c r="AI728" t="s">
        <v>11147</v>
      </c>
      <c r="AM728" t="s">
        <v>11148</v>
      </c>
      <c r="AN728" t="s">
        <v>2185</v>
      </c>
      <c r="AO728" t="s">
        <v>11149</v>
      </c>
      <c r="AP728" t="s">
        <v>7024</v>
      </c>
      <c r="AQ728" t="s">
        <v>11150</v>
      </c>
      <c r="AT728" s="184">
        <v>33093</v>
      </c>
      <c r="AU728" t="s">
        <v>10862</v>
      </c>
      <c r="AV728">
        <v>15</v>
      </c>
      <c r="AW728" s="184">
        <v>45147</v>
      </c>
      <c r="AX728" t="s">
        <v>11151</v>
      </c>
      <c r="AY728">
        <v>40</v>
      </c>
      <c r="AZ728" s="184">
        <v>45147</v>
      </c>
      <c r="BA728" t="s">
        <v>11151</v>
      </c>
      <c r="BB728">
        <v>40</v>
      </c>
      <c r="BC728">
        <v>18</v>
      </c>
      <c r="BD728">
        <v>256.22000000000003</v>
      </c>
      <c r="BE728">
        <v>1991</v>
      </c>
      <c r="BF728">
        <v>9</v>
      </c>
      <c r="BG728">
        <v>4</v>
      </c>
      <c r="BH728">
        <v>146.25</v>
      </c>
      <c r="BI728">
        <v>6</v>
      </c>
      <c r="BJ728">
        <v>35</v>
      </c>
      <c r="BK728">
        <v>2</v>
      </c>
      <c r="BP728" s="184"/>
    </row>
    <row r="729" spans="1:68">
      <c r="A729">
        <v>100019637</v>
      </c>
      <c r="B729">
        <v>4092755</v>
      </c>
      <c r="C729" t="s">
        <v>7018</v>
      </c>
      <c r="D729" t="s">
        <v>595</v>
      </c>
      <c r="E729" s="184">
        <v>45167</v>
      </c>
      <c r="G729" s="184"/>
      <c r="I729" s="184"/>
      <c r="K729" s="184"/>
      <c r="O729" s="184"/>
      <c r="P729" t="s">
        <v>7045</v>
      </c>
      <c r="Q729" t="s">
        <v>7383</v>
      </c>
      <c r="R729" s="184">
        <v>16482</v>
      </c>
      <c r="S729">
        <v>79</v>
      </c>
      <c r="V729" t="s">
        <v>3593</v>
      </c>
      <c r="X729" t="s">
        <v>11144</v>
      </c>
      <c r="Z729">
        <v>4092755</v>
      </c>
      <c r="AB729" t="s">
        <v>3692</v>
      </c>
      <c r="AD729" t="s">
        <v>11144</v>
      </c>
      <c r="AF729" t="s">
        <v>11145</v>
      </c>
      <c r="AG729" t="s">
        <v>11146</v>
      </c>
      <c r="AI729" t="s">
        <v>11147</v>
      </c>
      <c r="AM729" t="s">
        <v>11148</v>
      </c>
      <c r="AN729" t="s">
        <v>2185</v>
      </c>
      <c r="AO729" t="s">
        <v>11149</v>
      </c>
      <c r="AP729" t="s">
        <v>7024</v>
      </c>
      <c r="AT729" s="184"/>
      <c r="AW729" s="184"/>
      <c r="AZ729" s="184"/>
      <c r="BP729" s="184"/>
    </row>
    <row r="730" spans="1:68">
      <c r="A730">
        <v>4102141</v>
      </c>
      <c r="B730">
        <v>4102141</v>
      </c>
      <c r="C730" t="s">
        <v>7018</v>
      </c>
      <c r="E730" s="184"/>
      <c r="F730" t="s">
        <v>595</v>
      </c>
      <c r="G730" s="184">
        <v>43731</v>
      </c>
      <c r="I730" s="184"/>
      <c r="K730" s="184"/>
      <c r="O730" s="184"/>
      <c r="P730" t="s">
        <v>7045</v>
      </c>
      <c r="Q730" t="s">
        <v>7160</v>
      </c>
      <c r="R730" s="184">
        <v>21430</v>
      </c>
      <c r="S730">
        <v>65</v>
      </c>
      <c r="U730" t="s">
        <v>7031</v>
      </c>
      <c r="V730" t="s">
        <v>2665</v>
      </c>
      <c r="W730" t="s">
        <v>5006</v>
      </c>
      <c r="X730" t="s">
        <v>3906</v>
      </c>
      <c r="Z730">
        <v>100019668</v>
      </c>
      <c r="AA730" t="s">
        <v>7130</v>
      </c>
      <c r="AB730" t="s">
        <v>4599</v>
      </c>
      <c r="AC730" t="s">
        <v>11152</v>
      </c>
      <c r="AD730" t="s">
        <v>3906</v>
      </c>
      <c r="AF730" t="s">
        <v>11153</v>
      </c>
      <c r="AG730" t="s">
        <v>11154</v>
      </c>
      <c r="AI730" t="s">
        <v>11155</v>
      </c>
      <c r="AM730" t="s">
        <v>11156</v>
      </c>
      <c r="AN730" t="s">
        <v>2446</v>
      </c>
      <c r="AO730" t="s">
        <v>11157</v>
      </c>
      <c r="AP730" t="s">
        <v>7024</v>
      </c>
      <c r="AQ730" t="s">
        <v>11158</v>
      </c>
      <c r="AR730" t="s">
        <v>11159</v>
      </c>
      <c r="AT730" s="184">
        <v>33099</v>
      </c>
      <c r="AU730" t="s">
        <v>11160</v>
      </c>
      <c r="AV730">
        <v>25</v>
      </c>
      <c r="AW730" s="184">
        <v>43382</v>
      </c>
      <c r="AX730" t="s">
        <v>7765</v>
      </c>
      <c r="AY730">
        <v>100</v>
      </c>
      <c r="AZ730" s="184">
        <v>43382</v>
      </c>
      <c r="BA730" t="s">
        <v>7765</v>
      </c>
      <c r="BB730">
        <v>100</v>
      </c>
      <c r="BC730">
        <v>26</v>
      </c>
      <c r="BD730">
        <v>420</v>
      </c>
      <c r="BE730">
        <v>1991</v>
      </c>
      <c r="BF730">
        <v>12</v>
      </c>
      <c r="BI730">
        <v>9</v>
      </c>
      <c r="BJ730">
        <v>35</v>
      </c>
      <c r="BK730">
        <v>2</v>
      </c>
      <c r="BN730" t="s">
        <v>595</v>
      </c>
      <c r="BP730" s="184"/>
    </row>
    <row r="731" spans="1:68">
      <c r="A731">
        <v>100019668</v>
      </c>
      <c r="B731">
        <v>4102141</v>
      </c>
      <c r="C731" t="s">
        <v>7018</v>
      </c>
      <c r="E731" s="184"/>
      <c r="F731" t="s">
        <v>595</v>
      </c>
      <c r="G731" s="184">
        <v>43731</v>
      </c>
      <c r="I731" s="184"/>
      <c r="K731" s="184"/>
      <c r="O731" s="184"/>
      <c r="P731" t="s">
        <v>7045</v>
      </c>
      <c r="Q731" t="s">
        <v>7160</v>
      </c>
      <c r="R731" s="184">
        <v>21872</v>
      </c>
      <c r="S731">
        <v>64</v>
      </c>
      <c r="U731" t="s">
        <v>7130</v>
      </c>
      <c r="V731" t="s">
        <v>4599</v>
      </c>
      <c r="W731" t="s">
        <v>11152</v>
      </c>
      <c r="X731" t="s">
        <v>3906</v>
      </c>
      <c r="Z731">
        <v>4102141</v>
      </c>
      <c r="AA731" t="s">
        <v>7031</v>
      </c>
      <c r="AB731" t="s">
        <v>2665</v>
      </c>
      <c r="AC731" t="s">
        <v>5006</v>
      </c>
      <c r="AD731" t="s">
        <v>3906</v>
      </c>
      <c r="AF731" t="s">
        <v>11153</v>
      </c>
      <c r="AG731" t="s">
        <v>11154</v>
      </c>
      <c r="AI731" t="s">
        <v>11155</v>
      </c>
      <c r="AM731" t="s">
        <v>11156</v>
      </c>
      <c r="AN731" t="s">
        <v>2446</v>
      </c>
      <c r="AO731" t="s">
        <v>11157</v>
      </c>
      <c r="AP731" t="s">
        <v>7024</v>
      </c>
      <c r="AQ731" t="s">
        <v>11158</v>
      </c>
      <c r="AT731" s="184">
        <v>43651</v>
      </c>
      <c r="AU731" t="s">
        <v>7765</v>
      </c>
      <c r="AV731">
        <v>50</v>
      </c>
      <c r="AW731" s="184">
        <v>45377</v>
      </c>
      <c r="AX731" t="s">
        <v>11161</v>
      </c>
      <c r="AY731">
        <v>21</v>
      </c>
      <c r="AZ731" s="184">
        <v>44575</v>
      </c>
      <c r="BA731" t="s">
        <v>11162</v>
      </c>
      <c r="BB731">
        <v>50</v>
      </c>
      <c r="BC731">
        <v>67</v>
      </c>
      <c r="BD731">
        <v>206</v>
      </c>
      <c r="BE731">
        <v>2020</v>
      </c>
      <c r="BF731">
        <v>5</v>
      </c>
      <c r="BG731">
        <v>1</v>
      </c>
      <c r="BH731">
        <v>21</v>
      </c>
      <c r="BI731">
        <v>4</v>
      </c>
      <c r="BJ731">
        <v>6</v>
      </c>
      <c r="BK731">
        <v>2</v>
      </c>
      <c r="BP731" s="184"/>
    </row>
    <row r="732" spans="1:68">
      <c r="A732">
        <v>4135588</v>
      </c>
      <c r="B732">
        <v>4135588</v>
      </c>
      <c r="C732" t="s">
        <v>7018</v>
      </c>
      <c r="D732" t="s">
        <v>595</v>
      </c>
      <c r="E732" s="184">
        <v>45154</v>
      </c>
      <c r="G732" s="184"/>
      <c r="I732" s="184"/>
      <c r="K732" s="184"/>
      <c r="O732" s="184"/>
      <c r="P732" t="s">
        <v>7045</v>
      </c>
      <c r="Q732" t="s">
        <v>7383</v>
      </c>
      <c r="R732" s="184">
        <v>18056</v>
      </c>
      <c r="S732">
        <v>74</v>
      </c>
      <c r="V732" t="s">
        <v>11163</v>
      </c>
      <c r="X732" t="s">
        <v>11164</v>
      </c>
      <c r="AF732" t="s">
        <v>11165</v>
      </c>
      <c r="AG732" t="s">
        <v>11163</v>
      </c>
      <c r="AI732" t="s">
        <v>11166</v>
      </c>
      <c r="AM732" t="s">
        <v>11167</v>
      </c>
      <c r="AN732" t="s">
        <v>2313</v>
      </c>
      <c r="AO732" t="s">
        <v>11168</v>
      </c>
      <c r="AP732" t="s">
        <v>7024</v>
      </c>
      <c r="AQ732" t="s">
        <v>11169</v>
      </c>
      <c r="AT732" s="184">
        <v>33108</v>
      </c>
      <c r="AU732" t="s">
        <v>10106</v>
      </c>
      <c r="AV732">
        <v>19.95</v>
      </c>
      <c r="AW732" s="184">
        <v>45268</v>
      </c>
      <c r="AX732" t="s">
        <v>7578</v>
      </c>
      <c r="AY732">
        <v>60</v>
      </c>
      <c r="AZ732" s="184">
        <v>45268</v>
      </c>
      <c r="BA732" t="s">
        <v>7578</v>
      </c>
      <c r="BB732">
        <v>60</v>
      </c>
      <c r="BC732">
        <v>20</v>
      </c>
      <c r="BD732">
        <v>224.9</v>
      </c>
      <c r="BE732">
        <v>1991</v>
      </c>
      <c r="BF732">
        <v>8</v>
      </c>
      <c r="BG732">
        <v>2</v>
      </c>
      <c r="BH732">
        <v>85</v>
      </c>
      <c r="BI732">
        <v>7</v>
      </c>
      <c r="BJ732">
        <v>35</v>
      </c>
      <c r="BK732">
        <v>2</v>
      </c>
      <c r="BN732" t="s">
        <v>595</v>
      </c>
      <c r="BP732" s="184"/>
    </row>
    <row r="733" spans="1:68">
      <c r="A733">
        <v>4155206</v>
      </c>
      <c r="B733">
        <v>4155206</v>
      </c>
      <c r="C733" t="s">
        <v>7018</v>
      </c>
      <c r="E733" s="184"/>
      <c r="G733" s="184"/>
      <c r="I733" s="184"/>
      <c r="K733" s="184"/>
      <c r="M733" s="184"/>
      <c r="N733" t="s">
        <v>595</v>
      </c>
      <c r="O733" s="184">
        <v>40528</v>
      </c>
      <c r="P733" t="s">
        <v>7045</v>
      </c>
      <c r="Q733" t="s">
        <v>7454</v>
      </c>
      <c r="R733" s="184">
        <v>14762</v>
      </c>
      <c r="S733">
        <v>83</v>
      </c>
      <c r="U733" t="s">
        <v>7031</v>
      </c>
      <c r="V733" t="s">
        <v>5414</v>
      </c>
      <c r="X733" t="s">
        <v>5606</v>
      </c>
      <c r="Z733">
        <v>100019758</v>
      </c>
      <c r="AA733" t="s">
        <v>7130</v>
      </c>
      <c r="AB733" t="s">
        <v>3101</v>
      </c>
      <c r="AD733" t="s">
        <v>5606</v>
      </c>
      <c r="AF733" t="s">
        <v>11170</v>
      </c>
      <c r="AG733" t="s">
        <v>11171</v>
      </c>
      <c r="AI733" t="s">
        <v>11172</v>
      </c>
      <c r="AJ733" t="s">
        <v>11173</v>
      </c>
      <c r="AM733" t="s">
        <v>5607</v>
      </c>
      <c r="AN733" t="s">
        <v>2055</v>
      </c>
      <c r="AO733" t="s">
        <v>11174</v>
      </c>
      <c r="AP733" t="s">
        <v>7024</v>
      </c>
      <c r="AQ733" t="s">
        <v>11175</v>
      </c>
      <c r="AR733" t="s">
        <v>11176</v>
      </c>
      <c r="AT733" s="184">
        <v>33108</v>
      </c>
      <c r="AU733" t="s">
        <v>10106</v>
      </c>
      <c r="AV733">
        <v>19.95</v>
      </c>
      <c r="AW733" s="184">
        <v>45412</v>
      </c>
      <c r="AX733" t="s">
        <v>7429</v>
      </c>
      <c r="AY733">
        <v>10</v>
      </c>
      <c r="AZ733" s="184">
        <v>40879</v>
      </c>
      <c r="BA733" t="s">
        <v>7075</v>
      </c>
      <c r="BB733">
        <v>20000</v>
      </c>
      <c r="BC733">
        <v>72</v>
      </c>
      <c r="BD733">
        <v>31334.95</v>
      </c>
      <c r="BE733">
        <v>1991</v>
      </c>
      <c r="BF733">
        <v>83</v>
      </c>
      <c r="BG733">
        <v>25</v>
      </c>
      <c r="BH733">
        <v>265</v>
      </c>
      <c r="BI733">
        <v>25</v>
      </c>
      <c r="BJ733">
        <v>35</v>
      </c>
      <c r="BK733">
        <v>12</v>
      </c>
      <c r="BP733" s="184"/>
    </row>
    <row r="734" spans="1:68">
      <c r="A734">
        <v>100019758</v>
      </c>
      <c r="B734">
        <v>4155206</v>
      </c>
      <c r="C734" t="s">
        <v>7018</v>
      </c>
      <c r="E734" s="184"/>
      <c r="G734" s="184"/>
      <c r="K734" s="184"/>
      <c r="N734" t="s">
        <v>595</v>
      </c>
      <c r="O734" s="184">
        <v>40528</v>
      </c>
      <c r="P734" t="s">
        <v>7045</v>
      </c>
      <c r="Q734" t="s">
        <v>7454</v>
      </c>
      <c r="R734" s="184"/>
      <c r="U734" t="s">
        <v>7130</v>
      </c>
      <c r="V734" t="s">
        <v>3101</v>
      </c>
      <c r="X734" t="s">
        <v>5606</v>
      </c>
      <c r="Z734">
        <v>4155206</v>
      </c>
      <c r="AA734" t="s">
        <v>7031</v>
      </c>
      <c r="AB734" t="s">
        <v>5414</v>
      </c>
      <c r="AD734" t="s">
        <v>5606</v>
      </c>
      <c r="AF734" t="s">
        <v>11170</v>
      </c>
      <c r="AG734" t="s">
        <v>11171</v>
      </c>
      <c r="AI734" t="s">
        <v>11172</v>
      </c>
      <c r="AJ734" t="s">
        <v>11173</v>
      </c>
      <c r="AM734" t="s">
        <v>5607</v>
      </c>
      <c r="AN734" t="s">
        <v>2055</v>
      </c>
      <c r="AO734" t="s">
        <v>11174</v>
      </c>
      <c r="AP734" t="s">
        <v>7024</v>
      </c>
      <c r="AT734" s="184"/>
      <c r="AW734" s="184"/>
      <c r="AZ734" s="184"/>
      <c r="BP734" s="184"/>
    </row>
    <row r="735" spans="1:68">
      <c r="A735">
        <v>4167813</v>
      </c>
      <c r="B735">
        <v>4167813</v>
      </c>
      <c r="C735" t="s">
        <v>7018</v>
      </c>
      <c r="E735" s="184"/>
      <c r="G735" s="184"/>
      <c r="J735" t="s">
        <v>595</v>
      </c>
      <c r="K735" s="184">
        <v>43731</v>
      </c>
      <c r="O735" s="184"/>
      <c r="P735" t="s">
        <v>7045</v>
      </c>
      <c r="Q735" t="s">
        <v>7454</v>
      </c>
      <c r="R735" s="184">
        <v>18000</v>
      </c>
      <c r="S735">
        <v>75</v>
      </c>
      <c r="U735" t="s">
        <v>7076</v>
      </c>
      <c r="V735" t="s">
        <v>3293</v>
      </c>
      <c r="W735" t="s">
        <v>3226</v>
      </c>
      <c r="X735" t="s">
        <v>3812</v>
      </c>
      <c r="AF735" t="s">
        <v>6095</v>
      </c>
      <c r="AG735" t="s">
        <v>3293</v>
      </c>
      <c r="AI735" t="s">
        <v>11177</v>
      </c>
      <c r="AM735" t="s">
        <v>3813</v>
      </c>
      <c r="AN735" t="s">
        <v>2055</v>
      </c>
      <c r="AO735" t="s">
        <v>11178</v>
      </c>
      <c r="AP735" t="s">
        <v>7024</v>
      </c>
      <c r="AT735" s="184">
        <v>33098</v>
      </c>
      <c r="AU735" t="s">
        <v>11141</v>
      </c>
      <c r="AV735">
        <v>50</v>
      </c>
      <c r="AW735" s="184">
        <v>45344</v>
      </c>
      <c r="AX735" t="s">
        <v>8477</v>
      </c>
      <c r="AY735">
        <v>50</v>
      </c>
      <c r="AZ735" s="184">
        <v>40301</v>
      </c>
      <c r="BA735" t="s">
        <v>11179</v>
      </c>
      <c r="BB735">
        <v>250</v>
      </c>
      <c r="BC735">
        <v>92</v>
      </c>
      <c r="BD735">
        <v>7087</v>
      </c>
      <c r="BE735">
        <v>1991</v>
      </c>
      <c r="BF735">
        <v>84</v>
      </c>
      <c r="BG735">
        <v>5</v>
      </c>
      <c r="BH735">
        <v>400</v>
      </c>
      <c r="BI735">
        <v>32</v>
      </c>
      <c r="BJ735">
        <v>35</v>
      </c>
      <c r="BK735">
        <v>14</v>
      </c>
      <c r="BP735" s="184"/>
    </row>
    <row r="736" spans="1:68">
      <c r="A736">
        <v>4169678</v>
      </c>
      <c r="B736">
        <v>4169678</v>
      </c>
      <c r="C736" t="s">
        <v>7018</v>
      </c>
      <c r="E736" s="184"/>
      <c r="G736" s="184"/>
      <c r="K736" s="184"/>
      <c r="N736" t="s">
        <v>595</v>
      </c>
      <c r="O736" s="184">
        <v>38512</v>
      </c>
      <c r="P736" t="s">
        <v>7045</v>
      </c>
      <c r="Q736" t="s">
        <v>7160</v>
      </c>
      <c r="R736" s="184">
        <v>8169</v>
      </c>
      <c r="S736">
        <v>102</v>
      </c>
      <c r="U736" t="s">
        <v>7032</v>
      </c>
      <c r="V736" t="s">
        <v>3825</v>
      </c>
      <c r="W736" t="s">
        <v>7246</v>
      </c>
      <c r="X736" t="s">
        <v>11180</v>
      </c>
      <c r="AF736" t="s">
        <v>6024</v>
      </c>
      <c r="AG736" t="s">
        <v>8188</v>
      </c>
      <c r="AI736" t="s">
        <v>11181</v>
      </c>
      <c r="AM736" t="s">
        <v>2802</v>
      </c>
      <c r="AN736" t="s">
        <v>2176</v>
      </c>
      <c r="AO736" t="s">
        <v>11182</v>
      </c>
      <c r="AP736" t="s">
        <v>7024</v>
      </c>
      <c r="AQ736" t="s">
        <v>11183</v>
      </c>
      <c r="AR736" t="s">
        <v>11184</v>
      </c>
      <c r="AT736" s="184">
        <v>33098</v>
      </c>
      <c r="AU736" t="s">
        <v>11134</v>
      </c>
      <c r="AV736">
        <v>15</v>
      </c>
      <c r="AW736" s="184">
        <v>40920</v>
      </c>
      <c r="AX736" t="s">
        <v>11185</v>
      </c>
      <c r="AY736">
        <v>25</v>
      </c>
      <c r="AZ736" s="184">
        <v>38512</v>
      </c>
      <c r="BA736" t="s">
        <v>8001</v>
      </c>
      <c r="BB736">
        <v>10000</v>
      </c>
      <c r="BC736">
        <v>52</v>
      </c>
      <c r="BD736">
        <v>10385</v>
      </c>
      <c r="BE736">
        <v>1991</v>
      </c>
      <c r="BF736">
        <v>18</v>
      </c>
      <c r="BI736">
        <v>18</v>
      </c>
      <c r="BJ736">
        <v>35</v>
      </c>
      <c r="BK736">
        <v>13</v>
      </c>
      <c r="BN736" t="s">
        <v>595</v>
      </c>
      <c r="BO736" t="s">
        <v>595</v>
      </c>
      <c r="BP736" s="184">
        <v>41299</v>
      </c>
    </row>
    <row r="737" spans="1:68">
      <c r="A737">
        <v>4169975</v>
      </c>
      <c r="B737">
        <v>4169975</v>
      </c>
      <c r="C737" t="s">
        <v>7018</v>
      </c>
      <c r="D737" t="s">
        <v>595</v>
      </c>
      <c r="E737" s="184">
        <v>43642</v>
      </c>
      <c r="G737" s="184"/>
      <c r="I737" s="184"/>
      <c r="K737" s="184"/>
      <c r="O737" s="184"/>
      <c r="P737" t="s">
        <v>7019</v>
      </c>
      <c r="Q737" t="s">
        <v>7030</v>
      </c>
      <c r="R737" s="184">
        <v>16102</v>
      </c>
      <c r="S737">
        <v>80</v>
      </c>
      <c r="U737" t="s">
        <v>7076</v>
      </c>
      <c r="V737" t="s">
        <v>3179</v>
      </c>
      <c r="W737" t="s">
        <v>7046</v>
      </c>
      <c r="X737" t="s">
        <v>3180</v>
      </c>
      <c r="AF737" t="s">
        <v>11186</v>
      </c>
      <c r="AG737" t="s">
        <v>3179</v>
      </c>
      <c r="AI737" t="s">
        <v>11187</v>
      </c>
      <c r="AM737" t="s">
        <v>11188</v>
      </c>
      <c r="AN737" t="s">
        <v>2094</v>
      </c>
      <c r="AO737" t="s">
        <v>11189</v>
      </c>
      <c r="AP737" t="s">
        <v>7024</v>
      </c>
      <c r="AQ737" t="s">
        <v>11190</v>
      </c>
      <c r="AT737" s="184">
        <v>33098</v>
      </c>
      <c r="AU737" t="s">
        <v>11191</v>
      </c>
      <c r="AV737">
        <v>25</v>
      </c>
      <c r="AW737" s="184">
        <v>43880</v>
      </c>
      <c r="AX737" t="s">
        <v>11192</v>
      </c>
      <c r="AY737">
        <v>60</v>
      </c>
      <c r="AZ737" s="184">
        <v>42128</v>
      </c>
      <c r="BA737" t="s">
        <v>11193</v>
      </c>
      <c r="BB737">
        <v>65</v>
      </c>
      <c r="BC737">
        <v>38</v>
      </c>
      <c r="BD737">
        <v>605</v>
      </c>
      <c r="BE737">
        <v>1991</v>
      </c>
      <c r="BF737">
        <v>15</v>
      </c>
      <c r="BI737">
        <v>13</v>
      </c>
      <c r="BJ737">
        <v>35</v>
      </c>
      <c r="BK737">
        <v>3</v>
      </c>
      <c r="BP737" s="184"/>
    </row>
    <row r="738" spans="1:68">
      <c r="A738">
        <v>4171906</v>
      </c>
      <c r="B738">
        <v>4171906</v>
      </c>
      <c r="C738" t="s">
        <v>7018</v>
      </c>
      <c r="E738" s="184"/>
      <c r="G738" s="184"/>
      <c r="I738" s="184"/>
      <c r="K738" s="184"/>
      <c r="N738" t="s">
        <v>595</v>
      </c>
      <c r="O738" s="184">
        <v>39079</v>
      </c>
      <c r="P738" t="s">
        <v>7045</v>
      </c>
      <c r="Q738" t="s">
        <v>7374</v>
      </c>
      <c r="R738" s="184">
        <v>13259</v>
      </c>
      <c r="S738">
        <v>88</v>
      </c>
      <c r="U738" t="s">
        <v>7076</v>
      </c>
      <c r="V738" t="s">
        <v>3901</v>
      </c>
      <c r="W738" t="s">
        <v>7085</v>
      </c>
      <c r="X738" t="s">
        <v>5527</v>
      </c>
      <c r="Z738">
        <v>100019814</v>
      </c>
      <c r="AA738" t="s">
        <v>7031</v>
      </c>
      <c r="AB738" t="s">
        <v>3360</v>
      </c>
      <c r="AC738" t="s">
        <v>4139</v>
      </c>
      <c r="AD738" t="s">
        <v>5527</v>
      </c>
      <c r="AF738" t="s">
        <v>11194</v>
      </c>
      <c r="AG738" t="s">
        <v>11195</v>
      </c>
      <c r="AI738" t="s">
        <v>11196</v>
      </c>
      <c r="AM738" t="s">
        <v>5528</v>
      </c>
      <c r="AN738" t="s">
        <v>2081</v>
      </c>
      <c r="AO738" t="s">
        <v>11197</v>
      </c>
      <c r="AP738" t="s">
        <v>7024</v>
      </c>
      <c r="AQ738" t="s">
        <v>11198</v>
      </c>
      <c r="AR738" t="s">
        <v>11199</v>
      </c>
      <c r="AT738" s="184">
        <v>33099</v>
      </c>
      <c r="AU738" t="s">
        <v>11200</v>
      </c>
      <c r="AV738">
        <v>20</v>
      </c>
      <c r="AW738" s="184">
        <v>42731</v>
      </c>
      <c r="AX738" t="s">
        <v>7267</v>
      </c>
      <c r="AY738">
        <v>20000</v>
      </c>
      <c r="AZ738" s="184">
        <v>39079</v>
      </c>
      <c r="BA738" t="s">
        <v>9364</v>
      </c>
      <c r="BB738">
        <v>25531.599999999999</v>
      </c>
      <c r="BC738">
        <v>46</v>
      </c>
      <c r="BD738">
        <v>46856.6</v>
      </c>
      <c r="BE738">
        <v>1991</v>
      </c>
      <c r="BF738">
        <v>35</v>
      </c>
      <c r="BI738">
        <v>16</v>
      </c>
      <c r="BJ738">
        <v>35</v>
      </c>
      <c r="BK738">
        <v>13</v>
      </c>
      <c r="BM738" t="s">
        <v>595</v>
      </c>
      <c r="BP738" s="184"/>
    </row>
    <row r="739" spans="1:68">
      <c r="A739">
        <v>4172110</v>
      </c>
      <c r="B739">
        <v>4172110</v>
      </c>
      <c r="C739" t="s">
        <v>7018</v>
      </c>
      <c r="E739" s="184"/>
      <c r="G739" s="184"/>
      <c r="J739" t="s">
        <v>595</v>
      </c>
      <c r="K739" s="184">
        <v>43773</v>
      </c>
      <c r="M739" s="184"/>
      <c r="O739" s="184"/>
      <c r="P739" t="s">
        <v>7045</v>
      </c>
      <c r="Q739" t="s">
        <v>7374</v>
      </c>
      <c r="R739" s="184">
        <v>13916</v>
      </c>
      <c r="S739">
        <v>86</v>
      </c>
      <c r="U739" t="s">
        <v>7076</v>
      </c>
      <c r="V739" t="s">
        <v>3122</v>
      </c>
      <c r="W739" t="s">
        <v>3830</v>
      </c>
      <c r="X739" t="s">
        <v>4228</v>
      </c>
      <c r="AF739" t="s">
        <v>6136</v>
      </c>
      <c r="AG739" t="s">
        <v>3122</v>
      </c>
      <c r="AI739" t="s">
        <v>11201</v>
      </c>
      <c r="AM739" t="s">
        <v>4229</v>
      </c>
      <c r="AN739" t="s">
        <v>2081</v>
      </c>
      <c r="AO739" t="s">
        <v>11202</v>
      </c>
      <c r="AP739" t="s">
        <v>7024</v>
      </c>
      <c r="AQ739" t="s">
        <v>11203</v>
      </c>
      <c r="AR739" t="s">
        <v>11204</v>
      </c>
      <c r="AT739" s="184">
        <v>33099</v>
      </c>
      <c r="AU739" t="s">
        <v>11134</v>
      </c>
      <c r="AV739">
        <v>15</v>
      </c>
      <c r="AW739" s="184">
        <v>45328</v>
      </c>
      <c r="AX739" t="s">
        <v>11205</v>
      </c>
      <c r="AY739">
        <v>100</v>
      </c>
      <c r="AZ739" s="184">
        <v>42479</v>
      </c>
      <c r="BA739" t="s">
        <v>11206</v>
      </c>
      <c r="BB739">
        <v>1000</v>
      </c>
      <c r="BC739">
        <v>69</v>
      </c>
      <c r="BD739">
        <v>5535</v>
      </c>
      <c r="BE739">
        <v>1991</v>
      </c>
      <c r="BF739">
        <v>55</v>
      </c>
      <c r="BG739">
        <v>4</v>
      </c>
      <c r="BH739">
        <v>675</v>
      </c>
      <c r="BI739">
        <v>24</v>
      </c>
      <c r="BJ739">
        <v>35</v>
      </c>
      <c r="BK739">
        <v>14</v>
      </c>
      <c r="BP739" s="184"/>
    </row>
    <row r="740" spans="1:68">
      <c r="A740">
        <v>4236634</v>
      </c>
      <c r="B740">
        <v>4236634</v>
      </c>
      <c r="C740" t="s">
        <v>7018</v>
      </c>
      <c r="E740" s="184"/>
      <c r="G740" s="184"/>
      <c r="I740" s="184"/>
      <c r="J740" t="s">
        <v>595</v>
      </c>
      <c r="K740" s="184">
        <v>41534</v>
      </c>
      <c r="M740" s="184"/>
      <c r="O740" s="184"/>
      <c r="P740" t="s">
        <v>7029</v>
      </c>
      <c r="Q740" t="s">
        <v>7262</v>
      </c>
      <c r="R740" s="184">
        <v>19054</v>
      </c>
      <c r="S740">
        <v>72</v>
      </c>
      <c r="U740" t="s">
        <v>7076</v>
      </c>
      <c r="V740" t="s">
        <v>2718</v>
      </c>
      <c r="W740" t="s">
        <v>4382</v>
      </c>
      <c r="X740" t="s">
        <v>11207</v>
      </c>
      <c r="AF740" t="s">
        <v>6101</v>
      </c>
      <c r="AG740" t="s">
        <v>2718</v>
      </c>
      <c r="AI740" t="s">
        <v>11208</v>
      </c>
      <c r="AM740" t="s">
        <v>11209</v>
      </c>
      <c r="AN740" t="s">
        <v>65</v>
      </c>
      <c r="AO740" t="s">
        <v>11210</v>
      </c>
      <c r="AP740" t="s">
        <v>7024</v>
      </c>
      <c r="AT740" s="184">
        <v>33108</v>
      </c>
      <c r="AU740" t="s">
        <v>11211</v>
      </c>
      <c r="AV740">
        <v>15</v>
      </c>
      <c r="AW740" s="184">
        <v>45211</v>
      </c>
      <c r="AX740" t="s">
        <v>7382</v>
      </c>
      <c r="AY740">
        <v>400</v>
      </c>
      <c r="AZ740" s="184">
        <v>45211</v>
      </c>
      <c r="BA740" t="s">
        <v>7382</v>
      </c>
      <c r="BB740">
        <v>400</v>
      </c>
      <c r="BC740">
        <v>83</v>
      </c>
      <c r="BD740">
        <v>7394</v>
      </c>
      <c r="BE740">
        <v>1991</v>
      </c>
      <c r="BF740">
        <v>30</v>
      </c>
      <c r="BG740">
        <v>2</v>
      </c>
      <c r="BH740">
        <v>800</v>
      </c>
      <c r="BI740">
        <v>29</v>
      </c>
      <c r="BJ740">
        <v>35</v>
      </c>
      <c r="BK740">
        <v>23</v>
      </c>
      <c r="BP740" s="184"/>
    </row>
    <row r="741" spans="1:68">
      <c r="A741">
        <v>4243762</v>
      </c>
      <c r="B741">
        <v>4243762</v>
      </c>
      <c r="C741" t="s">
        <v>7018</v>
      </c>
      <c r="D741" t="s">
        <v>595</v>
      </c>
      <c r="E741" s="184">
        <v>44167</v>
      </c>
      <c r="G741" s="184"/>
      <c r="I741" s="184"/>
      <c r="K741" s="184"/>
      <c r="M741" s="184"/>
      <c r="O741" s="184"/>
      <c r="P741" t="s">
        <v>7045</v>
      </c>
      <c r="Q741" t="s">
        <v>7020</v>
      </c>
      <c r="R741" s="184">
        <v>13305</v>
      </c>
      <c r="S741">
        <v>87</v>
      </c>
      <c r="U741" t="s">
        <v>7032</v>
      </c>
      <c r="V741" t="s">
        <v>3516</v>
      </c>
      <c r="W741" t="s">
        <v>2586</v>
      </c>
      <c r="X741" t="s">
        <v>11212</v>
      </c>
      <c r="AF741" t="s">
        <v>11213</v>
      </c>
      <c r="AG741" t="s">
        <v>3516</v>
      </c>
      <c r="AI741" t="s">
        <v>11214</v>
      </c>
      <c r="AM741" t="s">
        <v>5002</v>
      </c>
      <c r="AN741" t="s">
        <v>2465</v>
      </c>
      <c r="AO741" t="s">
        <v>11215</v>
      </c>
      <c r="AP741" t="s">
        <v>7024</v>
      </c>
      <c r="AQ741" t="s">
        <v>11216</v>
      </c>
      <c r="AT741" s="184">
        <v>33112</v>
      </c>
      <c r="AU741" t="s">
        <v>11217</v>
      </c>
      <c r="AV741">
        <v>15</v>
      </c>
      <c r="AW741" s="184">
        <v>45069</v>
      </c>
      <c r="AX741" t="s">
        <v>11218</v>
      </c>
      <c r="AY741">
        <v>15</v>
      </c>
      <c r="AZ741" s="184">
        <v>36280</v>
      </c>
      <c r="BA741" t="s">
        <v>11219</v>
      </c>
      <c r="BB741">
        <v>25</v>
      </c>
      <c r="BC741">
        <v>66</v>
      </c>
      <c r="BD741">
        <v>412</v>
      </c>
      <c r="BE741">
        <v>1991</v>
      </c>
      <c r="BF741">
        <v>30</v>
      </c>
      <c r="BG741">
        <v>1</v>
      </c>
      <c r="BH741">
        <v>15</v>
      </c>
      <c r="BI741">
        <v>23</v>
      </c>
      <c r="BJ741">
        <v>35</v>
      </c>
      <c r="BK741">
        <v>10</v>
      </c>
      <c r="BP741" s="184"/>
    </row>
    <row r="742" spans="1:68">
      <c r="A742">
        <v>4246138</v>
      </c>
      <c r="B742">
        <v>4246138</v>
      </c>
      <c r="C742" t="s">
        <v>7018</v>
      </c>
      <c r="D742" t="s">
        <v>595</v>
      </c>
      <c r="E742" s="184">
        <v>44438</v>
      </c>
      <c r="G742" s="184"/>
      <c r="K742" s="184"/>
      <c r="O742" s="184"/>
      <c r="P742" t="s">
        <v>7045</v>
      </c>
      <c r="Q742" t="s">
        <v>7383</v>
      </c>
      <c r="R742" s="184">
        <v>19937</v>
      </c>
      <c r="S742">
        <v>69</v>
      </c>
      <c r="U742" t="s">
        <v>7076</v>
      </c>
      <c r="V742" t="s">
        <v>3235</v>
      </c>
      <c r="X742" t="s">
        <v>11220</v>
      </c>
      <c r="AF742" t="s">
        <v>11221</v>
      </c>
      <c r="AG742" t="s">
        <v>3235</v>
      </c>
      <c r="AI742" t="s">
        <v>11222</v>
      </c>
      <c r="AM742" t="s">
        <v>3761</v>
      </c>
      <c r="AN742" t="s">
        <v>2059</v>
      </c>
      <c r="AO742" t="s">
        <v>11223</v>
      </c>
      <c r="AP742" t="s">
        <v>7024</v>
      </c>
      <c r="AT742" s="184">
        <v>33112</v>
      </c>
      <c r="AU742" t="s">
        <v>11224</v>
      </c>
      <c r="AV742">
        <v>15</v>
      </c>
      <c r="AW742" s="184">
        <v>40911</v>
      </c>
      <c r="AX742" t="s">
        <v>7878</v>
      </c>
      <c r="AY742">
        <v>40</v>
      </c>
      <c r="AZ742" s="184">
        <v>39776</v>
      </c>
      <c r="BA742" t="s">
        <v>11225</v>
      </c>
      <c r="BB742">
        <v>60</v>
      </c>
      <c r="BC742">
        <v>20</v>
      </c>
      <c r="BD742">
        <v>289.95</v>
      </c>
      <c r="BE742">
        <v>1991</v>
      </c>
      <c r="BF742">
        <v>8</v>
      </c>
      <c r="BI742">
        <v>7</v>
      </c>
      <c r="BJ742">
        <v>35</v>
      </c>
      <c r="BK742">
        <v>3</v>
      </c>
    </row>
    <row r="743" spans="1:68">
      <c r="A743">
        <v>4249439</v>
      </c>
      <c r="B743">
        <v>4249439</v>
      </c>
      <c r="C743" t="s">
        <v>7018</v>
      </c>
      <c r="D743" t="s">
        <v>595</v>
      </c>
      <c r="E743" s="184">
        <v>44073</v>
      </c>
      <c r="G743" s="184"/>
      <c r="K743" s="184"/>
      <c r="M743" s="184"/>
      <c r="O743" s="184"/>
      <c r="P743" t="s">
        <v>7019</v>
      </c>
      <c r="Q743" t="s">
        <v>7383</v>
      </c>
      <c r="R743" s="184">
        <v>15212</v>
      </c>
      <c r="S743">
        <v>82</v>
      </c>
      <c r="U743" t="s">
        <v>7076</v>
      </c>
      <c r="V743" t="s">
        <v>3131</v>
      </c>
      <c r="W743" t="s">
        <v>3237</v>
      </c>
      <c r="X743" t="s">
        <v>11226</v>
      </c>
      <c r="AF743" t="s">
        <v>11227</v>
      </c>
      <c r="AG743" t="s">
        <v>3131</v>
      </c>
      <c r="AI743" t="s">
        <v>11228</v>
      </c>
      <c r="AM743" t="s">
        <v>3498</v>
      </c>
      <c r="AN743" t="s">
        <v>2162</v>
      </c>
      <c r="AO743" t="s">
        <v>11229</v>
      </c>
      <c r="AP743" t="s">
        <v>7024</v>
      </c>
      <c r="AT743" s="184">
        <v>33113</v>
      </c>
      <c r="AU743" t="s">
        <v>11230</v>
      </c>
      <c r="AV743">
        <v>15</v>
      </c>
      <c r="AW743" s="184">
        <v>37452</v>
      </c>
      <c r="AX743" t="s">
        <v>11231</v>
      </c>
      <c r="AY743">
        <v>60</v>
      </c>
      <c r="AZ743" s="184">
        <v>37452</v>
      </c>
      <c r="BA743" t="s">
        <v>11231</v>
      </c>
      <c r="BB743">
        <v>60</v>
      </c>
      <c r="BC743">
        <v>32</v>
      </c>
      <c r="BD743">
        <v>455</v>
      </c>
      <c r="BE743">
        <v>1991</v>
      </c>
      <c r="BF743">
        <v>12</v>
      </c>
      <c r="BI743">
        <v>11</v>
      </c>
      <c r="BJ743">
        <v>35</v>
      </c>
      <c r="BK743">
        <v>5</v>
      </c>
      <c r="BP743" s="184"/>
    </row>
    <row r="744" spans="1:68">
      <c r="A744">
        <v>4249835</v>
      </c>
      <c r="B744">
        <v>4249835</v>
      </c>
      <c r="C744" t="s">
        <v>7018</v>
      </c>
      <c r="E744" s="184"/>
      <c r="G744" s="184"/>
      <c r="K744" s="184"/>
      <c r="M744" s="184"/>
      <c r="N744" t="s">
        <v>595</v>
      </c>
      <c r="O744" s="184">
        <v>41638</v>
      </c>
      <c r="P744" t="s">
        <v>7045</v>
      </c>
      <c r="Q744" t="s">
        <v>7194</v>
      </c>
      <c r="R744" s="184">
        <v>15928</v>
      </c>
      <c r="S744">
        <v>80</v>
      </c>
      <c r="U744" t="s">
        <v>7031</v>
      </c>
      <c r="V744" t="s">
        <v>3080</v>
      </c>
      <c r="W744" t="s">
        <v>7469</v>
      </c>
      <c r="X744" t="s">
        <v>4361</v>
      </c>
      <c r="AF744" t="s">
        <v>11232</v>
      </c>
      <c r="AG744" t="s">
        <v>3080</v>
      </c>
      <c r="AI744" t="s">
        <v>11233</v>
      </c>
      <c r="AM744" t="s">
        <v>3787</v>
      </c>
      <c r="AN744" t="s">
        <v>2046</v>
      </c>
      <c r="AO744" t="s">
        <v>11234</v>
      </c>
      <c r="AP744" t="s">
        <v>7024</v>
      </c>
      <c r="AQ744" t="s">
        <v>11235</v>
      </c>
      <c r="AR744" t="s">
        <v>11236</v>
      </c>
      <c r="AT744" s="184">
        <v>33113</v>
      </c>
      <c r="AU744" t="s">
        <v>11237</v>
      </c>
      <c r="AV744">
        <v>15</v>
      </c>
      <c r="AW744" s="184">
        <v>43635</v>
      </c>
      <c r="AX744" t="s">
        <v>11238</v>
      </c>
      <c r="AY744">
        <v>35</v>
      </c>
      <c r="AZ744" s="184">
        <v>41639</v>
      </c>
      <c r="BA744" t="s">
        <v>7707</v>
      </c>
      <c r="BB744">
        <v>12000</v>
      </c>
      <c r="BC744">
        <v>63</v>
      </c>
      <c r="BD744">
        <v>13115</v>
      </c>
      <c r="BE744">
        <v>1991</v>
      </c>
      <c r="BF744">
        <v>28</v>
      </c>
      <c r="BI744">
        <v>22</v>
      </c>
      <c r="BJ744">
        <v>35</v>
      </c>
      <c r="BK744">
        <v>15</v>
      </c>
      <c r="BM744" t="s">
        <v>595</v>
      </c>
      <c r="BN744" t="s">
        <v>595</v>
      </c>
      <c r="BO744" t="s">
        <v>595</v>
      </c>
      <c r="BP744" s="184">
        <v>44784</v>
      </c>
    </row>
    <row r="745" spans="1:68">
      <c r="A745">
        <v>4250254</v>
      </c>
      <c r="B745">
        <v>4250254</v>
      </c>
      <c r="C745" t="s">
        <v>7018</v>
      </c>
      <c r="E745" s="184"/>
      <c r="G745" s="184"/>
      <c r="J745" t="s">
        <v>595</v>
      </c>
      <c r="K745" s="184">
        <v>41921</v>
      </c>
      <c r="O745" s="184"/>
      <c r="P745" t="s">
        <v>7045</v>
      </c>
      <c r="Q745" t="s">
        <v>7383</v>
      </c>
      <c r="R745" s="184"/>
      <c r="U745" t="s">
        <v>7031</v>
      </c>
      <c r="V745" t="s">
        <v>3496</v>
      </c>
      <c r="X745" t="s">
        <v>11239</v>
      </c>
      <c r="AF745" t="s">
        <v>6160</v>
      </c>
      <c r="AG745" t="s">
        <v>3496</v>
      </c>
      <c r="AI745" t="s">
        <v>11240</v>
      </c>
      <c r="AM745" t="s">
        <v>11241</v>
      </c>
      <c r="AN745" t="s">
        <v>2162</v>
      </c>
      <c r="AO745" t="s">
        <v>11242</v>
      </c>
      <c r="AP745" t="s">
        <v>7024</v>
      </c>
      <c r="AQ745" t="s">
        <v>11243</v>
      </c>
      <c r="AT745" s="184">
        <v>33113</v>
      </c>
      <c r="AU745" t="s">
        <v>11244</v>
      </c>
      <c r="AV745">
        <v>15</v>
      </c>
      <c r="AW745" s="184">
        <v>43192</v>
      </c>
      <c r="AX745" t="s">
        <v>11245</v>
      </c>
      <c r="AY745">
        <v>100</v>
      </c>
      <c r="AZ745" s="184">
        <v>42860</v>
      </c>
      <c r="BA745" t="s">
        <v>11246</v>
      </c>
      <c r="BB745">
        <v>150</v>
      </c>
      <c r="BC745">
        <v>83</v>
      </c>
      <c r="BD745">
        <v>3662.37</v>
      </c>
      <c r="BE745">
        <v>1991</v>
      </c>
      <c r="BF745">
        <v>57</v>
      </c>
      <c r="BI745">
        <v>29</v>
      </c>
      <c r="BJ745">
        <v>35</v>
      </c>
      <c r="BK745">
        <v>29</v>
      </c>
      <c r="BO745" t="s">
        <v>595</v>
      </c>
      <c r="BP745" s="184"/>
    </row>
    <row r="746" spans="1:68">
      <c r="A746">
        <v>4271672</v>
      </c>
      <c r="B746">
        <v>4271672</v>
      </c>
      <c r="C746" t="s">
        <v>7018</v>
      </c>
      <c r="D746" t="s">
        <v>595</v>
      </c>
      <c r="E746" s="184">
        <v>43647</v>
      </c>
      <c r="K746" s="184"/>
      <c r="O746" s="184"/>
      <c r="P746" t="s">
        <v>7045</v>
      </c>
      <c r="Q746" t="s">
        <v>7020</v>
      </c>
      <c r="R746" s="184">
        <v>13091</v>
      </c>
      <c r="S746">
        <v>88</v>
      </c>
      <c r="U746" t="s">
        <v>7031</v>
      </c>
      <c r="V746" t="s">
        <v>3134</v>
      </c>
      <c r="W746" t="s">
        <v>7085</v>
      </c>
      <c r="X746" t="s">
        <v>2570</v>
      </c>
      <c r="Z746">
        <v>100020029</v>
      </c>
      <c r="AA746" t="s">
        <v>7130</v>
      </c>
      <c r="AB746" t="s">
        <v>2523</v>
      </c>
      <c r="AD746" t="s">
        <v>2570</v>
      </c>
      <c r="AF746" t="s">
        <v>11247</v>
      </c>
      <c r="AG746" t="s">
        <v>11248</v>
      </c>
      <c r="AI746" t="s">
        <v>11249</v>
      </c>
      <c r="AM746" t="s">
        <v>3493</v>
      </c>
      <c r="AN746" t="s">
        <v>2112</v>
      </c>
      <c r="AO746" t="s">
        <v>11250</v>
      </c>
      <c r="AP746" t="s">
        <v>7024</v>
      </c>
      <c r="AQ746" t="s">
        <v>11251</v>
      </c>
      <c r="AR746" t="s">
        <v>11252</v>
      </c>
      <c r="AT746" s="184">
        <v>33122</v>
      </c>
      <c r="AU746" t="s">
        <v>10106</v>
      </c>
      <c r="AV746">
        <v>19.95</v>
      </c>
      <c r="AW746" s="184">
        <v>44340</v>
      </c>
      <c r="AX746" t="s">
        <v>11253</v>
      </c>
      <c r="AY746">
        <v>15</v>
      </c>
      <c r="AZ746" s="184">
        <v>42311</v>
      </c>
      <c r="BA746" t="s">
        <v>11254</v>
      </c>
      <c r="BB746">
        <v>25</v>
      </c>
      <c r="BC746">
        <v>35</v>
      </c>
      <c r="BD746">
        <v>214.95</v>
      </c>
      <c r="BE746">
        <v>1991</v>
      </c>
      <c r="BF746">
        <v>12</v>
      </c>
      <c r="BI746">
        <v>12</v>
      </c>
      <c r="BJ746">
        <v>35</v>
      </c>
      <c r="BK746">
        <v>3</v>
      </c>
      <c r="BN746" t="s">
        <v>595</v>
      </c>
      <c r="BP746" s="184"/>
    </row>
    <row r="747" spans="1:68">
      <c r="A747">
        <v>100020029</v>
      </c>
      <c r="B747">
        <v>4271672</v>
      </c>
      <c r="C747" t="s">
        <v>7018</v>
      </c>
      <c r="D747" t="s">
        <v>595</v>
      </c>
      <c r="E747" s="184">
        <v>43647</v>
      </c>
      <c r="G747" s="184"/>
      <c r="K747" s="184"/>
      <c r="M747" s="184"/>
      <c r="O747" s="184"/>
      <c r="P747" t="s">
        <v>7045</v>
      </c>
      <c r="Q747" t="s">
        <v>7020</v>
      </c>
      <c r="R747" s="184">
        <v>13212</v>
      </c>
      <c r="S747">
        <v>88</v>
      </c>
      <c r="U747" t="s">
        <v>7130</v>
      </c>
      <c r="V747" t="s">
        <v>2523</v>
      </c>
      <c r="X747" t="s">
        <v>2570</v>
      </c>
      <c r="Z747">
        <v>4271672</v>
      </c>
      <c r="AA747" t="s">
        <v>7031</v>
      </c>
      <c r="AB747" t="s">
        <v>3134</v>
      </c>
      <c r="AC747" t="s">
        <v>7085</v>
      </c>
      <c r="AD747" t="s">
        <v>2570</v>
      </c>
      <c r="AF747" t="s">
        <v>11247</v>
      </c>
      <c r="AG747" t="s">
        <v>11248</v>
      </c>
      <c r="AI747" t="s">
        <v>11249</v>
      </c>
      <c r="AM747" t="s">
        <v>3493</v>
      </c>
      <c r="AN747" t="s">
        <v>2112</v>
      </c>
      <c r="AO747" t="s">
        <v>11250</v>
      </c>
      <c r="AP747" t="s">
        <v>7024</v>
      </c>
      <c r="AT747" s="184"/>
      <c r="AW747" s="184"/>
      <c r="AZ747" s="184"/>
      <c r="BP747" s="184"/>
    </row>
    <row r="748" spans="1:68">
      <c r="A748">
        <v>4276218</v>
      </c>
      <c r="B748">
        <v>4276218</v>
      </c>
      <c r="C748" t="s">
        <v>7018</v>
      </c>
      <c r="E748" s="184"/>
      <c r="F748" t="s">
        <v>595</v>
      </c>
      <c r="G748" s="184">
        <v>44168</v>
      </c>
      <c r="I748" s="184"/>
      <c r="K748" s="184"/>
      <c r="O748" s="184"/>
      <c r="P748" t="s">
        <v>7045</v>
      </c>
      <c r="Q748" t="s">
        <v>7160</v>
      </c>
      <c r="R748" s="184">
        <v>12296</v>
      </c>
      <c r="S748">
        <v>90</v>
      </c>
      <c r="U748" t="s">
        <v>7031</v>
      </c>
      <c r="V748" t="s">
        <v>3377</v>
      </c>
      <c r="W748" t="s">
        <v>8140</v>
      </c>
      <c r="X748" t="s">
        <v>2962</v>
      </c>
      <c r="AF748" t="s">
        <v>11255</v>
      </c>
      <c r="AG748" t="s">
        <v>3377</v>
      </c>
      <c r="AI748" t="s">
        <v>11256</v>
      </c>
      <c r="AM748" t="s">
        <v>11257</v>
      </c>
      <c r="AN748" t="s">
        <v>4637</v>
      </c>
      <c r="AO748" t="s">
        <v>11258</v>
      </c>
      <c r="AP748" t="s">
        <v>7024</v>
      </c>
      <c r="AQ748" t="s">
        <v>11259</v>
      </c>
      <c r="AT748" s="184">
        <v>33122</v>
      </c>
      <c r="AU748" t="s">
        <v>10106</v>
      </c>
      <c r="AV748">
        <v>19.95</v>
      </c>
      <c r="AW748" s="184">
        <v>44498</v>
      </c>
      <c r="AX748" t="s">
        <v>11260</v>
      </c>
      <c r="AY748">
        <v>50</v>
      </c>
      <c r="AZ748" s="184">
        <v>34703</v>
      </c>
      <c r="BA748" t="s">
        <v>11261</v>
      </c>
      <c r="BB748">
        <v>87</v>
      </c>
      <c r="BC748">
        <v>20</v>
      </c>
      <c r="BD748">
        <v>301.95</v>
      </c>
      <c r="BE748">
        <v>1991</v>
      </c>
      <c r="BF748">
        <v>9</v>
      </c>
      <c r="BI748">
        <v>7</v>
      </c>
      <c r="BJ748">
        <v>35</v>
      </c>
      <c r="BK748">
        <v>2</v>
      </c>
    </row>
    <row r="749" spans="1:68">
      <c r="A749">
        <v>4324521</v>
      </c>
      <c r="B749">
        <v>4324521</v>
      </c>
      <c r="C749" t="s">
        <v>7018</v>
      </c>
      <c r="D749" t="s">
        <v>595</v>
      </c>
      <c r="E749" s="184">
        <v>43690</v>
      </c>
      <c r="I749" s="184"/>
      <c r="K749" s="184"/>
      <c r="M749" s="184"/>
      <c r="O749" s="184"/>
      <c r="P749" t="s">
        <v>7019</v>
      </c>
      <c r="Q749" t="s">
        <v>7030</v>
      </c>
      <c r="R749" s="184">
        <v>18354</v>
      </c>
      <c r="S749">
        <v>74</v>
      </c>
      <c r="V749" t="s">
        <v>2733</v>
      </c>
      <c r="X749" t="s">
        <v>3705</v>
      </c>
      <c r="AF749" t="s">
        <v>11262</v>
      </c>
      <c r="AG749" t="s">
        <v>2733</v>
      </c>
      <c r="AI749" t="s">
        <v>11263</v>
      </c>
      <c r="AM749" t="s">
        <v>3706</v>
      </c>
      <c r="AN749" t="s">
        <v>2094</v>
      </c>
      <c r="AO749" t="s">
        <v>11264</v>
      </c>
      <c r="AP749" t="s">
        <v>7024</v>
      </c>
      <c r="AQ749" t="s">
        <v>11265</v>
      </c>
      <c r="AT749" s="184">
        <v>33120</v>
      </c>
      <c r="AU749" t="s">
        <v>11266</v>
      </c>
      <c r="AV749">
        <v>15</v>
      </c>
      <c r="AW749" s="184">
        <v>44987</v>
      </c>
      <c r="AX749" t="s">
        <v>11267</v>
      </c>
      <c r="AY749">
        <v>60</v>
      </c>
      <c r="AZ749" s="184">
        <v>44987</v>
      </c>
      <c r="BA749" t="s">
        <v>11267</v>
      </c>
      <c r="BB749">
        <v>60</v>
      </c>
      <c r="BC749">
        <v>40</v>
      </c>
      <c r="BD749">
        <v>575</v>
      </c>
      <c r="BE749">
        <v>1991</v>
      </c>
      <c r="BF749">
        <v>14</v>
      </c>
      <c r="BG749">
        <v>1</v>
      </c>
      <c r="BH749">
        <v>60</v>
      </c>
      <c r="BI749">
        <v>14</v>
      </c>
      <c r="BJ749">
        <v>35</v>
      </c>
      <c r="BK749">
        <v>5</v>
      </c>
      <c r="BP749" s="184"/>
    </row>
    <row r="750" spans="1:68">
      <c r="A750">
        <v>4350724</v>
      </c>
      <c r="B750">
        <v>4350724</v>
      </c>
      <c r="C750" t="s">
        <v>7018</v>
      </c>
      <c r="D750" t="s">
        <v>595</v>
      </c>
      <c r="E750" s="184">
        <v>43773</v>
      </c>
      <c r="G750" s="184"/>
      <c r="I750" s="184"/>
      <c r="K750" s="184"/>
      <c r="M750" s="184"/>
      <c r="O750" s="184"/>
      <c r="P750" t="s">
        <v>7045</v>
      </c>
      <c r="Q750" t="s">
        <v>7374</v>
      </c>
      <c r="R750" s="184">
        <v>5947</v>
      </c>
      <c r="S750">
        <v>108</v>
      </c>
      <c r="U750" t="s">
        <v>7076</v>
      </c>
      <c r="V750" t="s">
        <v>3510</v>
      </c>
      <c r="X750" t="s">
        <v>4250</v>
      </c>
      <c r="AF750" t="s">
        <v>11268</v>
      </c>
      <c r="AG750" t="s">
        <v>3510</v>
      </c>
      <c r="AI750" t="s">
        <v>11269</v>
      </c>
      <c r="AM750" t="s">
        <v>4251</v>
      </c>
      <c r="AN750" t="s">
        <v>2081</v>
      </c>
      <c r="AO750" t="s">
        <v>11270</v>
      </c>
      <c r="AP750" t="s">
        <v>7024</v>
      </c>
      <c r="AT750" s="184">
        <v>33129</v>
      </c>
      <c r="AU750" t="s">
        <v>10106</v>
      </c>
      <c r="AV750">
        <v>19.95</v>
      </c>
      <c r="AW750" s="184">
        <v>39503</v>
      </c>
      <c r="AX750" t="s">
        <v>11271</v>
      </c>
      <c r="AY750">
        <v>25</v>
      </c>
      <c r="AZ750" s="184">
        <v>34150</v>
      </c>
      <c r="BA750" t="s">
        <v>11272</v>
      </c>
      <c r="BB750">
        <v>1000</v>
      </c>
      <c r="BC750">
        <v>23</v>
      </c>
      <c r="BD750">
        <v>1224.95</v>
      </c>
      <c r="BE750">
        <v>1991</v>
      </c>
      <c r="BF750">
        <v>9</v>
      </c>
      <c r="BI750">
        <v>8</v>
      </c>
      <c r="BJ750">
        <v>35</v>
      </c>
      <c r="BK750">
        <v>4</v>
      </c>
      <c r="BO750" t="s">
        <v>595</v>
      </c>
      <c r="BP750" s="184"/>
    </row>
    <row r="751" spans="1:68">
      <c r="A751">
        <v>4366266</v>
      </c>
      <c r="B751">
        <v>4366266</v>
      </c>
      <c r="C751" t="s">
        <v>7018</v>
      </c>
      <c r="E751" s="184"/>
      <c r="G751" s="184"/>
      <c r="I751" s="184"/>
      <c r="J751" t="s">
        <v>595</v>
      </c>
      <c r="K751" s="184">
        <v>44167</v>
      </c>
      <c r="M751" s="184"/>
      <c r="O751" s="184"/>
      <c r="P751" t="s">
        <v>7045</v>
      </c>
      <c r="Q751" t="s">
        <v>7030</v>
      </c>
      <c r="R751" s="184">
        <v>24371</v>
      </c>
      <c r="S751">
        <v>57</v>
      </c>
      <c r="U751" t="s">
        <v>7031</v>
      </c>
      <c r="V751" t="s">
        <v>4921</v>
      </c>
      <c r="W751" t="s">
        <v>3332</v>
      </c>
      <c r="X751" t="s">
        <v>3610</v>
      </c>
      <c r="Z751">
        <v>100020305</v>
      </c>
      <c r="AA751" t="s">
        <v>7130</v>
      </c>
      <c r="AB751" t="s">
        <v>11273</v>
      </c>
      <c r="AD751" t="s">
        <v>3610</v>
      </c>
      <c r="AF751" t="s">
        <v>11274</v>
      </c>
      <c r="AG751" t="s">
        <v>11275</v>
      </c>
      <c r="AI751" t="s">
        <v>11276</v>
      </c>
      <c r="AM751" t="s">
        <v>2690</v>
      </c>
      <c r="AN751" t="s">
        <v>2094</v>
      </c>
      <c r="AO751" t="s">
        <v>11277</v>
      </c>
      <c r="AP751" t="s">
        <v>7024</v>
      </c>
      <c r="AQ751" t="s">
        <v>11278</v>
      </c>
      <c r="AR751" t="s">
        <v>11279</v>
      </c>
      <c r="AT751" s="184">
        <v>33121</v>
      </c>
      <c r="AU751" t="s">
        <v>11280</v>
      </c>
      <c r="AV751">
        <v>15</v>
      </c>
      <c r="AW751" s="184">
        <v>45182</v>
      </c>
      <c r="AX751" t="s">
        <v>11281</v>
      </c>
      <c r="AY751">
        <v>52.5</v>
      </c>
      <c r="AZ751" s="184">
        <v>42275</v>
      </c>
      <c r="BA751" t="s">
        <v>11282</v>
      </c>
      <c r="BB751">
        <v>87</v>
      </c>
      <c r="BC751">
        <v>58</v>
      </c>
      <c r="BD751">
        <v>819.5</v>
      </c>
      <c r="BE751">
        <v>1991</v>
      </c>
      <c r="BF751">
        <v>25</v>
      </c>
      <c r="BG751">
        <v>1</v>
      </c>
      <c r="BH751">
        <v>52.5</v>
      </c>
      <c r="BI751">
        <v>20</v>
      </c>
      <c r="BJ751">
        <v>35</v>
      </c>
      <c r="BK751">
        <v>8</v>
      </c>
      <c r="BP751" s="184"/>
    </row>
    <row r="752" spans="1:68">
      <c r="A752">
        <v>100020305</v>
      </c>
      <c r="B752">
        <v>4366266</v>
      </c>
      <c r="C752" t="s">
        <v>7018</v>
      </c>
      <c r="E752" s="184"/>
      <c r="G752" s="184"/>
      <c r="I752" s="184"/>
      <c r="J752" t="s">
        <v>595</v>
      </c>
      <c r="K752" s="184">
        <v>44167</v>
      </c>
      <c r="O752" s="184"/>
      <c r="P752" t="s">
        <v>7045</v>
      </c>
      <c r="Q752" t="s">
        <v>7030</v>
      </c>
      <c r="R752" s="184">
        <v>23853</v>
      </c>
      <c r="S752">
        <v>59</v>
      </c>
      <c r="U752" t="s">
        <v>7130</v>
      </c>
      <c r="V752" t="s">
        <v>11273</v>
      </c>
      <c r="X752" t="s">
        <v>3610</v>
      </c>
      <c r="Z752">
        <v>4366266</v>
      </c>
      <c r="AA752" t="s">
        <v>7031</v>
      </c>
      <c r="AB752" t="s">
        <v>4921</v>
      </c>
      <c r="AC752" t="s">
        <v>3332</v>
      </c>
      <c r="AD752" t="s">
        <v>3610</v>
      </c>
      <c r="AF752" t="s">
        <v>11274</v>
      </c>
      <c r="AG752" t="s">
        <v>11275</v>
      </c>
      <c r="AI752" t="s">
        <v>11276</v>
      </c>
      <c r="AM752" t="s">
        <v>2690</v>
      </c>
      <c r="AN752" t="s">
        <v>2094</v>
      </c>
      <c r="AO752" t="s">
        <v>11277</v>
      </c>
      <c r="AP752" t="s">
        <v>7024</v>
      </c>
      <c r="AQ752" t="s">
        <v>11278</v>
      </c>
      <c r="AT752" s="184">
        <v>44820</v>
      </c>
      <c r="AU752" t="s">
        <v>7832</v>
      </c>
      <c r="AV752">
        <v>50</v>
      </c>
      <c r="AW752" s="184">
        <v>44820</v>
      </c>
      <c r="AX752" t="s">
        <v>7832</v>
      </c>
      <c r="AY752">
        <v>50</v>
      </c>
      <c r="AZ752" s="184">
        <v>44820</v>
      </c>
      <c r="BA752" t="s">
        <v>7832</v>
      </c>
      <c r="BB752">
        <v>50</v>
      </c>
      <c r="BC752">
        <v>34</v>
      </c>
      <c r="BD752">
        <v>50</v>
      </c>
      <c r="BE752">
        <v>2023</v>
      </c>
      <c r="BF752">
        <v>1</v>
      </c>
      <c r="BG752">
        <v>1</v>
      </c>
      <c r="BH752">
        <v>50</v>
      </c>
      <c r="BI752">
        <v>1</v>
      </c>
      <c r="BJ752">
        <v>3</v>
      </c>
      <c r="BK752">
        <v>1</v>
      </c>
      <c r="BP752" s="184"/>
    </row>
    <row r="753" spans="1:68">
      <c r="A753">
        <v>4379707</v>
      </c>
      <c r="B753">
        <v>4379707</v>
      </c>
      <c r="C753" t="s">
        <v>7018</v>
      </c>
      <c r="D753" t="s">
        <v>595</v>
      </c>
      <c r="E753" s="184">
        <v>44069</v>
      </c>
      <c r="G753" s="184"/>
      <c r="I753" s="184"/>
      <c r="K753" s="184"/>
      <c r="M753" s="184"/>
      <c r="P753" t="s">
        <v>7045</v>
      </c>
      <c r="Q753" t="s">
        <v>7020</v>
      </c>
      <c r="R753" s="184">
        <v>19603</v>
      </c>
      <c r="S753">
        <v>70</v>
      </c>
      <c r="U753" t="s">
        <v>7076</v>
      </c>
      <c r="V753" t="s">
        <v>2954</v>
      </c>
      <c r="W753" t="s">
        <v>4327</v>
      </c>
      <c r="X753" t="s">
        <v>11283</v>
      </c>
      <c r="AF753" t="s">
        <v>11284</v>
      </c>
      <c r="AG753" t="s">
        <v>2954</v>
      </c>
      <c r="AI753" t="s">
        <v>11285</v>
      </c>
      <c r="AM753" t="s">
        <v>4101</v>
      </c>
      <c r="AN753" t="s">
        <v>2052</v>
      </c>
      <c r="AO753" t="s">
        <v>11286</v>
      </c>
      <c r="AP753" t="s">
        <v>7024</v>
      </c>
      <c r="AQ753" t="s">
        <v>11287</v>
      </c>
      <c r="AR753" t="s">
        <v>11288</v>
      </c>
      <c r="AT753" s="184">
        <v>33121</v>
      </c>
      <c r="AU753" t="s">
        <v>11289</v>
      </c>
      <c r="AV753">
        <v>15</v>
      </c>
      <c r="AW753" s="184">
        <v>45359</v>
      </c>
      <c r="AX753" t="s">
        <v>11290</v>
      </c>
      <c r="AY753">
        <v>36.75</v>
      </c>
      <c r="AZ753" s="184">
        <v>44819</v>
      </c>
      <c r="BA753" t="s">
        <v>7832</v>
      </c>
      <c r="BB753">
        <v>100</v>
      </c>
      <c r="BC753">
        <v>92</v>
      </c>
      <c r="BD753">
        <v>2291.75</v>
      </c>
      <c r="BE753">
        <v>1991</v>
      </c>
      <c r="BF753">
        <v>87</v>
      </c>
      <c r="BG753">
        <v>5</v>
      </c>
      <c r="BH753">
        <v>241.75</v>
      </c>
      <c r="BI753">
        <v>32</v>
      </c>
      <c r="BJ753">
        <v>35</v>
      </c>
      <c r="BK753">
        <v>21</v>
      </c>
      <c r="BP753" s="184"/>
    </row>
    <row r="754" spans="1:68">
      <c r="A754">
        <v>4385407</v>
      </c>
      <c r="B754">
        <v>4385407</v>
      </c>
      <c r="C754" t="s">
        <v>7018</v>
      </c>
      <c r="D754" t="s">
        <v>595</v>
      </c>
      <c r="E754" s="184">
        <v>43745</v>
      </c>
      <c r="G754" s="184"/>
      <c r="I754" s="184"/>
      <c r="K754" s="184"/>
      <c r="M754" s="184"/>
      <c r="P754" t="s">
        <v>7045</v>
      </c>
      <c r="Q754" t="s">
        <v>7020</v>
      </c>
      <c r="R754" s="184">
        <v>18050</v>
      </c>
      <c r="S754">
        <v>74</v>
      </c>
      <c r="U754" t="s">
        <v>7032</v>
      </c>
      <c r="V754" t="s">
        <v>3545</v>
      </c>
      <c r="W754" t="s">
        <v>4013</v>
      </c>
      <c r="X754" t="s">
        <v>11291</v>
      </c>
      <c r="AF754" t="s">
        <v>11292</v>
      </c>
      <c r="AG754" t="s">
        <v>3545</v>
      </c>
      <c r="AI754" t="s">
        <v>11293</v>
      </c>
      <c r="AM754" t="s">
        <v>2974</v>
      </c>
      <c r="AN754" t="s">
        <v>2465</v>
      </c>
      <c r="AO754" t="s">
        <v>11294</v>
      </c>
      <c r="AP754" t="s">
        <v>7024</v>
      </c>
      <c r="AQ754" t="s">
        <v>11295</v>
      </c>
      <c r="AR754" t="s">
        <v>11296</v>
      </c>
      <c r="AT754" s="184">
        <v>33122</v>
      </c>
      <c r="AU754" t="s">
        <v>11297</v>
      </c>
      <c r="AV754">
        <v>15</v>
      </c>
      <c r="AW754" s="184">
        <v>45290</v>
      </c>
      <c r="AX754" t="s">
        <v>11298</v>
      </c>
      <c r="AY754">
        <v>262.5</v>
      </c>
      <c r="AZ754" s="184">
        <v>45290</v>
      </c>
      <c r="BA754" t="s">
        <v>11298</v>
      </c>
      <c r="BB754">
        <v>262.5</v>
      </c>
      <c r="BC754">
        <v>86</v>
      </c>
      <c r="BD754">
        <v>4884.5</v>
      </c>
      <c r="BE754">
        <v>1991</v>
      </c>
      <c r="BF754">
        <v>43</v>
      </c>
      <c r="BG754">
        <v>2</v>
      </c>
      <c r="BH754">
        <v>512.5</v>
      </c>
      <c r="BI754">
        <v>30</v>
      </c>
      <c r="BJ754">
        <v>35</v>
      </c>
      <c r="BK754">
        <v>12</v>
      </c>
    </row>
    <row r="755" spans="1:68">
      <c r="A755">
        <v>4386959</v>
      </c>
      <c r="B755">
        <v>4386959</v>
      </c>
      <c r="C755" t="s">
        <v>7018</v>
      </c>
      <c r="E755" s="184"/>
      <c r="G755" s="184"/>
      <c r="I755" s="184"/>
      <c r="J755" t="s">
        <v>595</v>
      </c>
      <c r="K755" s="184">
        <v>37550</v>
      </c>
      <c r="O755" s="184"/>
      <c r="P755" t="s">
        <v>7045</v>
      </c>
      <c r="Q755" t="s">
        <v>7160</v>
      </c>
      <c r="R755" s="184">
        <v>17100</v>
      </c>
      <c r="S755">
        <v>77</v>
      </c>
      <c r="U755" t="s">
        <v>7031</v>
      </c>
      <c r="V755" t="s">
        <v>3384</v>
      </c>
      <c r="W755" t="s">
        <v>5006</v>
      </c>
      <c r="X755" t="s">
        <v>11299</v>
      </c>
      <c r="AF755" t="s">
        <v>6080</v>
      </c>
      <c r="AG755" t="s">
        <v>3384</v>
      </c>
      <c r="AI755" t="s">
        <v>11300</v>
      </c>
      <c r="AM755" t="s">
        <v>3975</v>
      </c>
      <c r="AN755" t="s">
        <v>2413</v>
      </c>
      <c r="AO755" t="s">
        <v>11301</v>
      </c>
      <c r="AP755" t="s">
        <v>7024</v>
      </c>
      <c r="AT755" s="184">
        <v>33122</v>
      </c>
      <c r="AU755" t="s">
        <v>11302</v>
      </c>
      <c r="AV755">
        <v>30</v>
      </c>
      <c r="AW755" s="184">
        <v>45124</v>
      </c>
      <c r="AX755" t="s">
        <v>11303</v>
      </c>
      <c r="AY755">
        <v>250</v>
      </c>
      <c r="AZ755" s="184">
        <v>38832</v>
      </c>
      <c r="BA755" t="s">
        <v>11304</v>
      </c>
      <c r="BB755">
        <v>400</v>
      </c>
      <c r="BC755">
        <v>92</v>
      </c>
      <c r="BD755">
        <v>8030</v>
      </c>
      <c r="BE755">
        <v>1991</v>
      </c>
      <c r="BF755">
        <v>35</v>
      </c>
      <c r="BG755">
        <v>2</v>
      </c>
      <c r="BH755">
        <v>500</v>
      </c>
      <c r="BI755">
        <v>32</v>
      </c>
      <c r="BJ755">
        <v>35</v>
      </c>
      <c r="BK755">
        <v>23</v>
      </c>
      <c r="BP755" s="184"/>
    </row>
    <row r="756" spans="1:68">
      <c r="A756">
        <v>4394169</v>
      </c>
      <c r="B756">
        <v>4394169</v>
      </c>
      <c r="C756" t="s">
        <v>7018</v>
      </c>
      <c r="E756" s="184"/>
      <c r="G756" s="184"/>
      <c r="H756" t="s">
        <v>595</v>
      </c>
      <c r="I756" s="184">
        <v>44774</v>
      </c>
      <c r="K756" s="184"/>
      <c r="P756" t="s">
        <v>7045</v>
      </c>
      <c r="Q756" t="s">
        <v>7020</v>
      </c>
      <c r="R756" s="184">
        <v>18445</v>
      </c>
      <c r="S756">
        <v>73</v>
      </c>
      <c r="V756" t="s">
        <v>4676</v>
      </c>
      <c r="X756" t="s">
        <v>11305</v>
      </c>
      <c r="Z756">
        <v>100778735</v>
      </c>
      <c r="AB756" t="s">
        <v>3008</v>
      </c>
      <c r="AD756" t="s">
        <v>11305</v>
      </c>
      <c r="AF756" t="s">
        <v>11306</v>
      </c>
      <c r="AG756" t="s">
        <v>11307</v>
      </c>
      <c r="AI756" t="s">
        <v>11308</v>
      </c>
      <c r="AM756" t="s">
        <v>11309</v>
      </c>
      <c r="AN756" t="s">
        <v>2129</v>
      </c>
      <c r="AO756" t="s">
        <v>11310</v>
      </c>
      <c r="AP756" t="s">
        <v>7024</v>
      </c>
      <c r="AQ756" t="s">
        <v>11311</v>
      </c>
      <c r="AR756" t="s">
        <v>11312</v>
      </c>
      <c r="AT756" s="184">
        <v>33122</v>
      </c>
      <c r="AU756" t="s">
        <v>11313</v>
      </c>
      <c r="AV756">
        <v>25</v>
      </c>
      <c r="AW756" s="184">
        <v>44529</v>
      </c>
      <c r="AX756" t="s">
        <v>11314</v>
      </c>
      <c r="AY756">
        <v>100</v>
      </c>
      <c r="AZ756" s="184">
        <v>44529</v>
      </c>
      <c r="BA756" t="s">
        <v>11314</v>
      </c>
      <c r="BB756">
        <v>100</v>
      </c>
      <c r="BC756">
        <v>69</v>
      </c>
      <c r="BD756">
        <v>1675</v>
      </c>
      <c r="BE756">
        <v>1991</v>
      </c>
      <c r="BF756">
        <v>42</v>
      </c>
      <c r="BI756">
        <v>24</v>
      </c>
      <c r="BJ756">
        <v>35</v>
      </c>
      <c r="BK756">
        <v>11</v>
      </c>
      <c r="BN756" t="s">
        <v>595</v>
      </c>
      <c r="BP756" s="184"/>
    </row>
    <row r="757" spans="1:68">
      <c r="A757">
        <v>100778735</v>
      </c>
      <c r="B757">
        <v>4394169</v>
      </c>
      <c r="C757" t="s">
        <v>7018</v>
      </c>
      <c r="E757" s="184"/>
      <c r="G757" s="184"/>
      <c r="H757" t="s">
        <v>595</v>
      </c>
      <c r="I757" s="184">
        <v>44774</v>
      </c>
      <c r="K757" s="184"/>
      <c r="O757" s="184"/>
      <c r="P757" t="s">
        <v>7045</v>
      </c>
      <c r="Q757" t="s">
        <v>7020</v>
      </c>
      <c r="R757" s="184">
        <v>19541</v>
      </c>
      <c r="S757">
        <v>70</v>
      </c>
      <c r="V757" t="s">
        <v>3008</v>
      </c>
      <c r="X757" t="s">
        <v>11305</v>
      </c>
      <c r="Z757">
        <v>4394169</v>
      </c>
      <c r="AB757" t="s">
        <v>4676</v>
      </c>
      <c r="AD757" t="s">
        <v>11305</v>
      </c>
      <c r="AF757" t="s">
        <v>11306</v>
      </c>
      <c r="AG757" t="s">
        <v>11307</v>
      </c>
      <c r="AI757" t="s">
        <v>11308</v>
      </c>
      <c r="AM757" t="s">
        <v>11309</v>
      </c>
      <c r="AN757" t="s">
        <v>2129</v>
      </c>
      <c r="AO757" t="s">
        <v>11310</v>
      </c>
      <c r="AP757" t="s">
        <v>7024</v>
      </c>
      <c r="AT757" s="184"/>
      <c r="AW757" s="184"/>
      <c r="AZ757" s="184"/>
    </row>
    <row r="758" spans="1:68">
      <c r="A758">
        <v>4412581</v>
      </c>
      <c r="B758">
        <v>4412581</v>
      </c>
      <c r="C758" t="s">
        <v>7018</v>
      </c>
      <c r="E758" s="184"/>
      <c r="G758" s="184"/>
      <c r="J758" t="s">
        <v>595</v>
      </c>
      <c r="K758" s="184">
        <v>42521</v>
      </c>
      <c r="O758" s="184"/>
      <c r="P758" t="s">
        <v>7045</v>
      </c>
      <c r="Q758" t="s">
        <v>7454</v>
      </c>
      <c r="R758" s="184">
        <v>19876</v>
      </c>
      <c r="S758">
        <v>69</v>
      </c>
      <c r="U758" t="s">
        <v>7076</v>
      </c>
      <c r="V758" t="s">
        <v>3220</v>
      </c>
      <c r="W758" t="s">
        <v>3226</v>
      </c>
      <c r="X758" t="s">
        <v>11315</v>
      </c>
      <c r="AF758" t="s">
        <v>6147</v>
      </c>
      <c r="AG758" t="s">
        <v>3220</v>
      </c>
      <c r="AI758" t="s">
        <v>11316</v>
      </c>
      <c r="AM758" t="s">
        <v>10936</v>
      </c>
      <c r="AN758" t="s">
        <v>2055</v>
      </c>
      <c r="AO758" t="s">
        <v>11317</v>
      </c>
      <c r="AP758" t="s">
        <v>7024</v>
      </c>
      <c r="AQ758" t="s">
        <v>11318</v>
      </c>
      <c r="AR758" t="s">
        <v>11319</v>
      </c>
      <c r="AT758" s="184">
        <v>33122</v>
      </c>
      <c r="AU758" t="s">
        <v>11320</v>
      </c>
      <c r="AV758">
        <v>15</v>
      </c>
      <c r="AW758" s="184">
        <v>44229</v>
      </c>
      <c r="AX758" t="s">
        <v>11321</v>
      </c>
      <c r="AY758">
        <v>100</v>
      </c>
      <c r="AZ758" s="184">
        <v>37666</v>
      </c>
      <c r="BA758" t="s">
        <v>11322</v>
      </c>
      <c r="BB758">
        <v>200</v>
      </c>
      <c r="BC758">
        <v>86</v>
      </c>
      <c r="BD758">
        <v>4168.95</v>
      </c>
      <c r="BE758">
        <v>1991</v>
      </c>
      <c r="BF758">
        <v>42</v>
      </c>
      <c r="BI758">
        <v>30</v>
      </c>
      <c r="BJ758">
        <v>35</v>
      </c>
      <c r="BK758">
        <v>27</v>
      </c>
      <c r="BN758" t="s">
        <v>595</v>
      </c>
      <c r="BP758" s="184"/>
    </row>
    <row r="759" spans="1:68">
      <c r="A759">
        <v>4415626</v>
      </c>
      <c r="B759">
        <v>4415626</v>
      </c>
      <c r="C759" t="s">
        <v>7018</v>
      </c>
      <c r="D759" t="s">
        <v>595</v>
      </c>
      <c r="E759" s="184">
        <v>44328</v>
      </c>
      <c r="G759" s="184"/>
      <c r="I759" s="184"/>
      <c r="K759" s="184"/>
      <c r="M759" s="184"/>
      <c r="P759" t="s">
        <v>7045</v>
      </c>
      <c r="Q759" t="s">
        <v>7160</v>
      </c>
      <c r="R759" s="184">
        <v>17533</v>
      </c>
      <c r="S759">
        <v>76</v>
      </c>
      <c r="U759" t="s">
        <v>7076</v>
      </c>
      <c r="V759" t="s">
        <v>11323</v>
      </c>
      <c r="X759" t="s">
        <v>11324</v>
      </c>
      <c r="AF759" t="s">
        <v>11325</v>
      </c>
      <c r="AG759" t="s">
        <v>11323</v>
      </c>
      <c r="AI759" t="s">
        <v>11326</v>
      </c>
      <c r="AM759" t="s">
        <v>5566</v>
      </c>
      <c r="AN759" t="s">
        <v>2176</v>
      </c>
      <c r="AO759" t="s">
        <v>11327</v>
      </c>
      <c r="AP759" t="s">
        <v>7024</v>
      </c>
      <c r="AQ759" t="s">
        <v>11328</v>
      </c>
      <c r="AR759" t="s">
        <v>11329</v>
      </c>
      <c r="AT759" s="184">
        <v>33123</v>
      </c>
      <c r="AU759" t="s">
        <v>11134</v>
      </c>
      <c r="AV759">
        <v>15</v>
      </c>
      <c r="AW759" s="184">
        <v>45267</v>
      </c>
      <c r="AX759" t="s">
        <v>11330</v>
      </c>
      <c r="AY759">
        <v>25</v>
      </c>
      <c r="AZ759" s="184">
        <v>45267</v>
      </c>
      <c r="BA759" t="s">
        <v>11330</v>
      </c>
      <c r="BB759">
        <v>25</v>
      </c>
      <c r="BC759">
        <v>75</v>
      </c>
      <c r="BD759">
        <v>790</v>
      </c>
      <c r="BE759">
        <v>1991</v>
      </c>
      <c r="BF759">
        <v>35</v>
      </c>
      <c r="BG759">
        <v>5</v>
      </c>
      <c r="BH759">
        <v>110</v>
      </c>
      <c r="BI759">
        <v>26</v>
      </c>
      <c r="BJ759">
        <v>35</v>
      </c>
      <c r="BK759">
        <v>10</v>
      </c>
      <c r="BP759" s="184"/>
    </row>
    <row r="760" spans="1:68">
      <c r="A760">
        <v>4428199</v>
      </c>
      <c r="B760">
        <v>4428199</v>
      </c>
      <c r="C760" t="s">
        <v>7018</v>
      </c>
      <c r="D760" t="s">
        <v>595</v>
      </c>
      <c r="E760" s="184">
        <v>43951</v>
      </c>
      <c r="G760" s="184"/>
      <c r="I760" s="184"/>
      <c r="K760" s="184"/>
      <c r="O760" s="184"/>
      <c r="P760" t="s">
        <v>7045</v>
      </c>
      <c r="Q760" t="s">
        <v>7020</v>
      </c>
      <c r="R760" s="184">
        <v>9355</v>
      </c>
      <c r="S760">
        <v>98</v>
      </c>
      <c r="U760" t="s">
        <v>7130</v>
      </c>
      <c r="V760" t="s">
        <v>11331</v>
      </c>
      <c r="X760" t="s">
        <v>11332</v>
      </c>
      <c r="AF760" t="s">
        <v>11333</v>
      </c>
      <c r="AG760" t="s">
        <v>11331</v>
      </c>
      <c r="AI760" t="s">
        <v>11334</v>
      </c>
      <c r="AM760" t="s">
        <v>11335</v>
      </c>
      <c r="AN760" t="s">
        <v>2129</v>
      </c>
      <c r="AO760" t="s">
        <v>11336</v>
      </c>
      <c r="AP760" t="s">
        <v>7024</v>
      </c>
      <c r="AT760" s="184">
        <v>33123</v>
      </c>
      <c r="AU760" t="s">
        <v>11337</v>
      </c>
      <c r="AV760">
        <v>25</v>
      </c>
      <c r="AW760" s="184">
        <v>43833</v>
      </c>
      <c r="AX760" t="s">
        <v>11338</v>
      </c>
      <c r="AY760">
        <v>25</v>
      </c>
      <c r="AZ760" s="184">
        <v>41088</v>
      </c>
      <c r="BA760" t="s">
        <v>11339</v>
      </c>
      <c r="BB760">
        <v>50</v>
      </c>
      <c r="BC760">
        <v>80</v>
      </c>
      <c r="BD760">
        <v>849</v>
      </c>
      <c r="BE760">
        <v>1991</v>
      </c>
      <c r="BF760">
        <v>34</v>
      </c>
      <c r="BI760">
        <v>28</v>
      </c>
      <c r="BJ760">
        <v>35</v>
      </c>
      <c r="BK760">
        <v>24</v>
      </c>
      <c r="BP760" s="184"/>
    </row>
    <row r="761" spans="1:68">
      <c r="A761">
        <v>4429437</v>
      </c>
      <c r="B761">
        <v>4429437</v>
      </c>
      <c r="C761" t="s">
        <v>7018</v>
      </c>
      <c r="E761" s="184"/>
      <c r="F761" t="s">
        <v>595</v>
      </c>
      <c r="G761" s="184">
        <v>43619</v>
      </c>
      <c r="K761" s="184"/>
      <c r="O761" s="184"/>
      <c r="P761" t="s">
        <v>7045</v>
      </c>
      <c r="Q761" t="s">
        <v>7262</v>
      </c>
      <c r="R761" s="184">
        <v>17807</v>
      </c>
      <c r="S761">
        <v>75</v>
      </c>
      <c r="U761" t="s">
        <v>7076</v>
      </c>
      <c r="V761" t="s">
        <v>2890</v>
      </c>
      <c r="W761" t="s">
        <v>4327</v>
      </c>
      <c r="X761" t="s">
        <v>2891</v>
      </c>
      <c r="AF761" t="s">
        <v>11340</v>
      </c>
      <c r="AG761" t="s">
        <v>2890</v>
      </c>
      <c r="AI761" t="s">
        <v>11341</v>
      </c>
      <c r="AM761" t="s">
        <v>2892</v>
      </c>
      <c r="AN761" t="s">
        <v>2106</v>
      </c>
      <c r="AO761" t="s">
        <v>11342</v>
      </c>
      <c r="AP761" t="s">
        <v>7024</v>
      </c>
      <c r="AQ761" t="s">
        <v>11343</v>
      </c>
      <c r="AT761" s="184">
        <v>33123</v>
      </c>
      <c r="AU761" t="s">
        <v>11344</v>
      </c>
      <c r="AV761">
        <v>15</v>
      </c>
      <c r="AW761" s="184">
        <v>45104</v>
      </c>
      <c r="AX761" t="s">
        <v>11345</v>
      </c>
      <c r="AY761">
        <v>26.25</v>
      </c>
      <c r="AZ761" s="184">
        <v>33955</v>
      </c>
      <c r="BA761" t="s">
        <v>11346</v>
      </c>
      <c r="BB761">
        <v>75</v>
      </c>
      <c r="BC761">
        <v>29</v>
      </c>
      <c r="BD761">
        <v>466.25</v>
      </c>
      <c r="BE761">
        <v>1991</v>
      </c>
      <c r="BF761">
        <v>17</v>
      </c>
      <c r="BG761">
        <v>1</v>
      </c>
      <c r="BH761">
        <v>26.25</v>
      </c>
      <c r="BI761">
        <v>10</v>
      </c>
      <c r="BJ761">
        <v>35</v>
      </c>
      <c r="BK761">
        <v>6</v>
      </c>
      <c r="BP761" s="184"/>
    </row>
    <row r="762" spans="1:68">
      <c r="A762">
        <v>4441622</v>
      </c>
      <c r="B762">
        <v>4441622</v>
      </c>
      <c r="C762" t="s">
        <v>7018</v>
      </c>
      <c r="D762" t="s">
        <v>595</v>
      </c>
      <c r="E762" s="184">
        <v>44167</v>
      </c>
      <c r="G762" s="184"/>
      <c r="K762" s="184"/>
      <c r="M762" s="184"/>
      <c r="O762" s="184"/>
      <c r="P762" t="s">
        <v>7045</v>
      </c>
      <c r="Q762" t="s">
        <v>7160</v>
      </c>
      <c r="R762" s="184">
        <v>13516</v>
      </c>
      <c r="S762">
        <v>87</v>
      </c>
      <c r="V762" t="s">
        <v>3122</v>
      </c>
      <c r="X762" t="s">
        <v>2772</v>
      </c>
      <c r="Z762">
        <v>100020562</v>
      </c>
      <c r="AB762" t="s">
        <v>2551</v>
      </c>
      <c r="AD762" t="s">
        <v>2772</v>
      </c>
      <c r="AF762" t="s">
        <v>11347</v>
      </c>
      <c r="AG762" t="s">
        <v>11348</v>
      </c>
      <c r="AI762" t="s">
        <v>11349</v>
      </c>
      <c r="AM762" t="s">
        <v>11350</v>
      </c>
      <c r="AN762" t="s">
        <v>2395</v>
      </c>
      <c r="AO762" t="s">
        <v>11351</v>
      </c>
      <c r="AP762" t="s">
        <v>7024</v>
      </c>
      <c r="AT762" s="184">
        <v>33123</v>
      </c>
      <c r="AU762" t="s">
        <v>11297</v>
      </c>
      <c r="AV762">
        <v>15</v>
      </c>
      <c r="AW762" s="184">
        <v>41533</v>
      </c>
      <c r="AX762" t="s">
        <v>11352</v>
      </c>
      <c r="AY762">
        <v>25</v>
      </c>
      <c r="AZ762" s="184">
        <v>41533</v>
      </c>
      <c r="BA762" t="s">
        <v>11352</v>
      </c>
      <c r="BB762">
        <v>25</v>
      </c>
      <c r="BC762">
        <v>35</v>
      </c>
      <c r="BD762">
        <v>295</v>
      </c>
      <c r="BE762">
        <v>1991</v>
      </c>
      <c r="BF762">
        <v>20</v>
      </c>
      <c r="BI762">
        <v>12</v>
      </c>
      <c r="BJ762">
        <v>35</v>
      </c>
      <c r="BK762">
        <v>5</v>
      </c>
      <c r="BL762" t="s">
        <v>595</v>
      </c>
      <c r="BM762" t="s">
        <v>595</v>
      </c>
      <c r="BN762" t="s">
        <v>595</v>
      </c>
      <c r="BP762" s="184"/>
    </row>
    <row r="763" spans="1:68">
      <c r="A763">
        <v>100020562</v>
      </c>
      <c r="B763">
        <v>4441622</v>
      </c>
      <c r="C763" t="s">
        <v>7018</v>
      </c>
      <c r="D763" t="s">
        <v>595</v>
      </c>
      <c r="E763" s="184">
        <v>44167</v>
      </c>
      <c r="G763" s="184"/>
      <c r="I763" s="184"/>
      <c r="K763" s="184"/>
      <c r="O763" s="184"/>
      <c r="P763" t="s">
        <v>7045</v>
      </c>
      <c r="Q763" t="s">
        <v>7160</v>
      </c>
      <c r="R763" s="184"/>
      <c r="V763" t="s">
        <v>2551</v>
      </c>
      <c r="X763" t="s">
        <v>2772</v>
      </c>
      <c r="Z763">
        <v>4441622</v>
      </c>
      <c r="AB763" t="s">
        <v>3122</v>
      </c>
      <c r="AD763" t="s">
        <v>2772</v>
      </c>
      <c r="AF763" t="s">
        <v>11347</v>
      </c>
      <c r="AG763" t="s">
        <v>11348</v>
      </c>
      <c r="AI763" t="s">
        <v>11349</v>
      </c>
      <c r="AM763" t="s">
        <v>11350</v>
      </c>
      <c r="AN763" t="s">
        <v>2395</v>
      </c>
      <c r="AO763" t="s">
        <v>11351</v>
      </c>
      <c r="AP763" t="s">
        <v>7024</v>
      </c>
      <c r="AT763" s="184"/>
      <c r="AW763" s="184"/>
      <c r="AZ763" s="184"/>
      <c r="BL763" t="s">
        <v>595</v>
      </c>
      <c r="BM763" t="s">
        <v>595</v>
      </c>
      <c r="BN763" t="s">
        <v>595</v>
      </c>
      <c r="BP763" s="184"/>
    </row>
    <row r="764" spans="1:68">
      <c r="A764">
        <v>4451175</v>
      </c>
      <c r="B764">
        <v>4451175</v>
      </c>
      <c r="C764" t="s">
        <v>7018</v>
      </c>
      <c r="E764" s="184"/>
      <c r="G764" s="184"/>
      <c r="J764" t="s">
        <v>595</v>
      </c>
      <c r="K764" s="184">
        <v>43731</v>
      </c>
      <c r="O764" s="184"/>
      <c r="P764" t="s">
        <v>7029</v>
      </c>
      <c r="Q764" t="s">
        <v>7383</v>
      </c>
      <c r="R764" s="184">
        <v>16670</v>
      </c>
      <c r="S764">
        <v>78</v>
      </c>
      <c r="U764" t="s">
        <v>7076</v>
      </c>
      <c r="V764" t="s">
        <v>3574</v>
      </c>
      <c r="X764" t="s">
        <v>3814</v>
      </c>
      <c r="AF764" t="s">
        <v>6087</v>
      </c>
      <c r="AG764" t="s">
        <v>3574</v>
      </c>
      <c r="AI764" t="s">
        <v>11353</v>
      </c>
      <c r="AM764" t="s">
        <v>3815</v>
      </c>
      <c r="AN764" t="s">
        <v>2059</v>
      </c>
      <c r="AO764" t="s">
        <v>11354</v>
      </c>
      <c r="AP764" t="s">
        <v>7024</v>
      </c>
      <c r="AQ764" t="s">
        <v>11355</v>
      </c>
      <c r="AT764" s="184">
        <v>33126</v>
      </c>
      <c r="AU764" t="s">
        <v>11356</v>
      </c>
      <c r="AV764">
        <v>15</v>
      </c>
      <c r="AW764" s="184">
        <v>45416</v>
      </c>
      <c r="AX764" t="s">
        <v>7422</v>
      </c>
      <c r="AY764">
        <v>100</v>
      </c>
      <c r="AZ764" s="184">
        <v>45267</v>
      </c>
      <c r="BA764" t="s">
        <v>11357</v>
      </c>
      <c r="BB764">
        <v>150</v>
      </c>
      <c r="BC764">
        <v>89</v>
      </c>
      <c r="BD764">
        <v>11940</v>
      </c>
      <c r="BE764">
        <v>1991</v>
      </c>
      <c r="BF764">
        <v>169</v>
      </c>
      <c r="BG764">
        <v>26</v>
      </c>
      <c r="BH764">
        <v>2700</v>
      </c>
      <c r="BI764">
        <v>31</v>
      </c>
      <c r="BJ764">
        <v>35</v>
      </c>
      <c r="BK764">
        <v>29</v>
      </c>
      <c r="BP764" s="184"/>
    </row>
    <row r="765" spans="1:68">
      <c r="A765">
        <v>4453817</v>
      </c>
      <c r="B765">
        <v>4453817</v>
      </c>
      <c r="C765" t="s">
        <v>7018</v>
      </c>
      <c r="D765" t="s">
        <v>595</v>
      </c>
      <c r="E765" s="184">
        <v>43955</v>
      </c>
      <c r="G765" s="184"/>
      <c r="I765" s="184"/>
      <c r="K765" s="184"/>
      <c r="O765" s="184"/>
      <c r="P765" t="s">
        <v>7045</v>
      </c>
      <c r="Q765" t="s">
        <v>7454</v>
      </c>
      <c r="R765" s="184">
        <v>15426</v>
      </c>
      <c r="S765">
        <v>82</v>
      </c>
      <c r="U765" t="s">
        <v>7031</v>
      </c>
      <c r="V765" t="s">
        <v>2541</v>
      </c>
      <c r="X765" t="s">
        <v>11358</v>
      </c>
      <c r="Y765" t="s">
        <v>7431</v>
      </c>
      <c r="AF765" t="s">
        <v>11359</v>
      </c>
      <c r="AG765" t="s">
        <v>2541</v>
      </c>
      <c r="AI765" t="s">
        <v>11360</v>
      </c>
      <c r="AM765" t="s">
        <v>3780</v>
      </c>
      <c r="AN765" t="s">
        <v>2055</v>
      </c>
      <c r="AO765" t="s">
        <v>11361</v>
      </c>
      <c r="AP765" t="s">
        <v>7024</v>
      </c>
      <c r="AQ765" t="s">
        <v>11362</v>
      </c>
      <c r="AT765" s="184">
        <v>33126</v>
      </c>
      <c r="AU765" t="s">
        <v>10701</v>
      </c>
      <c r="AV765">
        <v>15</v>
      </c>
      <c r="AW765" s="184">
        <v>45407</v>
      </c>
      <c r="AX765" t="s">
        <v>8516</v>
      </c>
      <c r="AY765">
        <v>35</v>
      </c>
      <c r="AZ765" s="184">
        <v>45135</v>
      </c>
      <c r="BA765" t="s">
        <v>11363</v>
      </c>
      <c r="BB765">
        <v>55</v>
      </c>
      <c r="BC765">
        <v>95</v>
      </c>
      <c r="BD765">
        <v>1310</v>
      </c>
      <c r="BE765">
        <v>1991</v>
      </c>
      <c r="BF765">
        <v>38</v>
      </c>
      <c r="BG765">
        <v>3</v>
      </c>
      <c r="BH765">
        <v>125</v>
      </c>
      <c r="BI765">
        <v>33</v>
      </c>
      <c r="BJ765">
        <v>35</v>
      </c>
      <c r="BK765">
        <v>25</v>
      </c>
      <c r="BN765" t="s">
        <v>595</v>
      </c>
      <c r="BP765" s="184"/>
    </row>
    <row r="766" spans="1:68">
      <c r="A766">
        <v>4456976</v>
      </c>
      <c r="B766">
        <v>4456976</v>
      </c>
      <c r="C766" t="s">
        <v>7018</v>
      </c>
      <c r="E766" s="184"/>
      <c r="F766" t="s">
        <v>595</v>
      </c>
      <c r="G766" s="184">
        <v>43647</v>
      </c>
      <c r="I766" s="184"/>
      <c r="K766" s="184"/>
      <c r="O766" s="184"/>
      <c r="P766" t="s">
        <v>7045</v>
      </c>
      <c r="Q766" t="s">
        <v>7160</v>
      </c>
      <c r="R766" s="184">
        <v>14904</v>
      </c>
      <c r="S766">
        <v>83</v>
      </c>
      <c r="V766" t="s">
        <v>3403</v>
      </c>
      <c r="W766" t="s">
        <v>7246</v>
      </c>
      <c r="X766" t="s">
        <v>3404</v>
      </c>
      <c r="Z766">
        <v>100020613</v>
      </c>
      <c r="AA766" t="s">
        <v>7130</v>
      </c>
      <c r="AB766" t="s">
        <v>11364</v>
      </c>
      <c r="AD766" t="s">
        <v>3404</v>
      </c>
      <c r="AF766" t="s">
        <v>11365</v>
      </c>
      <c r="AG766" t="s">
        <v>11366</v>
      </c>
      <c r="AI766" t="s">
        <v>11367</v>
      </c>
      <c r="AM766" t="s">
        <v>11368</v>
      </c>
      <c r="AN766" t="s">
        <v>2446</v>
      </c>
      <c r="AO766" t="s">
        <v>11369</v>
      </c>
      <c r="AP766" t="s">
        <v>7024</v>
      </c>
      <c r="AQ766" t="s">
        <v>11370</v>
      </c>
      <c r="AR766" t="s">
        <v>11371</v>
      </c>
      <c r="AT766" s="184">
        <v>33126</v>
      </c>
      <c r="AU766" t="s">
        <v>11372</v>
      </c>
      <c r="AV766">
        <v>15</v>
      </c>
      <c r="AW766" s="184">
        <v>45411</v>
      </c>
      <c r="AX766" t="s">
        <v>11373</v>
      </c>
      <c r="AY766">
        <v>50</v>
      </c>
      <c r="AZ766" s="184">
        <v>43588</v>
      </c>
      <c r="BA766" t="s">
        <v>11374</v>
      </c>
      <c r="BB766">
        <v>100</v>
      </c>
      <c r="BC766">
        <v>78</v>
      </c>
      <c r="BD766">
        <v>2091</v>
      </c>
      <c r="BE766">
        <v>1991</v>
      </c>
      <c r="BF766">
        <v>47</v>
      </c>
      <c r="BG766">
        <v>1</v>
      </c>
      <c r="BH766">
        <v>50</v>
      </c>
      <c r="BI766">
        <v>27</v>
      </c>
      <c r="BJ766">
        <v>35</v>
      </c>
      <c r="BK766">
        <v>12</v>
      </c>
      <c r="BN766" t="s">
        <v>595</v>
      </c>
      <c r="BP766" s="184"/>
    </row>
    <row r="767" spans="1:68">
      <c r="A767">
        <v>100020613</v>
      </c>
      <c r="B767">
        <v>4456976</v>
      </c>
      <c r="C767" t="s">
        <v>7018</v>
      </c>
      <c r="E767" s="184"/>
      <c r="F767" t="s">
        <v>595</v>
      </c>
      <c r="G767" s="184">
        <v>43647</v>
      </c>
      <c r="I767" s="184"/>
      <c r="K767" s="184"/>
      <c r="O767" s="184"/>
      <c r="P767" t="s">
        <v>7045</v>
      </c>
      <c r="Q767" t="s">
        <v>7160</v>
      </c>
      <c r="R767" s="184">
        <v>15997</v>
      </c>
      <c r="S767">
        <v>80</v>
      </c>
      <c r="U767" t="s">
        <v>7130</v>
      </c>
      <c r="V767" t="s">
        <v>11364</v>
      </c>
      <c r="X767" t="s">
        <v>3404</v>
      </c>
      <c r="Z767">
        <v>4456976</v>
      </c>
      <c r="AB767" t="s">
        <v>3403</v>
      </c>
      <c r="AC767" t="s">
        <v>7246</v>
      </c>
      <c r="AD767" t="s">
        <v>3404</v>
      </c>
      <c r="AF767" t="s">
        <v>11365</v>
      </c>
      <c r="AG767" t="s">
        <v>11366</v>
      </c>
      <c r="AI767" t="s">
        <v>11367</v>
      </c>
      <c r="AM767" t="s">
        <v>11368</v>
      </c>
      <c r="AN767" t="s">
        <v>2446</v>
      </c>
      <c r="AO767" t="s">
        <v>11369</v>
      </c>
      <c r="AP767" t="s">
        <v>7024</v>
      </c>
      <c r="AT767" s="184"/>
      <c r="AW767" s="184"/>
      <c r="AZ767" s="184"/>
      <c r="BP767" s="184"/>
    </row>
    <row r="768" spans="1:68">
      <c r="A768">
        <v>4493474</v>
      </c>
      <c r="B768">
        <v>4493474</v>
      </c>
      <c r="C768" t="s">
        <v>7018</v>
      </c>
      <c r="E768" s="184"/>
      <c r="K768" s="184"/>
      <c r="N768" t="s">
        <v>595</v>
      </c>
      <c r="O768" s="184">
        <v>38707</v>
      </c>
      <c r="P768" t="s">
        <v>7045</v>
      </c>
      <c r="Q768" t="s">
        <v>7494</v>
      </c>
      <c r="R768" s="184">
        <v>6642</v>
      </c>
      <c r="S768">
        <v>106</v>
      </c>
      <c r="U768" t="s">
        <v>7130</v>
      </c>
      <c r="V768" t="s">
        <v>5766</v>
      </c>
      <c r="W768" t="s">
        <v>5006</v>
      </c>
      <c r="X768" t="s">
        <v>5767</v>
      </c>
      <c r="Z768">
        <v>100177602</v>
      </c>
      <c r="AB768" t="s">
        <v>4391</v>
      </c>
      <c r="AC768" t="s">
        <v>7246</v>
      </c>
      <c r="AD768" t="s">
        <v>5767</v>
      </c>
      <c r="AF768" t="s">
        <v>11375</v>
      </c>
      <c r="AG768" t="s">
        <v>11376</v>
      </c>
      <c r="AI768" t="s">
        <v>11377</v>
      </c>
      <c r="AM768" t="s">
        <v>5768</v>
      </c>
      <c r="AN768" t="s">
        <v>2174</v>
      </c>
      <c r="AO768" t="s">
        <v>11378</v>
      </c>
      <c r="AP768" t="s">
        <v>7024</v>
      </c>
      <c r="AT768" s="184">
        <v>33127</v>
      </c>
      <c r="AU768" t="s">
        <v>11379</v>
      </c>
      <c r="AV768">
        <v>15</v>
      </c>
      <c r="AW768" s="184">
        <v>43005</v>
      </c>
      <c r="AX768" t="s">
        <v>11380</v>
      </c>
      <c r="AY768">
        <v>25</v>
      </c>
      <c r="AZ768" s="184">
        <v>41984</v>
      </c>
      <c r="BA768" t="s">
        <v>7042</v>
      </c>
      <c r="BB768">
        <v>10000</v>
      </c>
      <c r="BC768">
        <v>75</v>
      </c>
      <c r="BD768">
        <v>21070</v>
      </c>
      <c r="BE768">
        <v>1991</v>
      </c>
      <c r="BF768">
        <v>54</v>
      </c>
      <c r="BI768">
        <v>26</v>
      </c>
      <c r="BJ768">
        <v>35</v>
      </c>
      <c r="BK768">
        <v>21</v>
      </c>
      <c r="BO768" t="s">
        <v>595</v>
      </c>
      <c r="BP768" s="184">
        <v>43175</v>
      </c>
    </row>
    <row r="769" spans="1:68">
      <c r="A769">
        <v>4500005</v>
      </c>
      <c r="B769">
        <v>4500005</v>
      </c>
      <c r="C769" t="s">
        <v>7018</v>
      </c>
      <c r="D769" t="s">
        <v>595</v>
      </c>
      <c r="E769" s="184">
        <v>43864</v>
      </c>
      <c r="I769" s="184"/>
      <c r="K769" s="184"/>
      <c r="O769" s="184"/>
      <c r="P769" t="s">
        <v>7045</v>
      </c>
      <c r="Q769" t="s">
        <v>7383</v>
      </c>
      <c r="R769" s="184">
        <v>19906</v>
      </c>
      <c r="S769">
        <v>69</v>
      </c>
      <c r="V769" t="s">
        <v>3230</v>
      </c>
      <c r="X769" t="s">
        <v>4687</v>
      </c>
      <c r="AF769" t="s">
        <v>11381</v>
      </c>
      <c r="AG769" t="s">
        <v>3230</v>
      </c>
      <c r="AI769" t="s">
        <v>11382</v>
      </c>
      <c r="AM769" t="s">
        <v>2703</v>
      </c>
      <c r="AN769" t="s">
        <v>2064</v>
      </c>
      <c r="AO769" t="s">
        <v>11383</v>
      </c>
      <c r="AP769" t="s">
        <v>7024</v>
      </c>
      <c r="AT769" s="184">
        <v>33127</v>
      </c>
      <c r="AU769" t="s">
        <v>11244</v>
      </c>
      <c r="AV769">
        <v>15</v>
      </c>
      <c r="AW769" s="184">
        <v>45301</v>
      </c>
      <c r="AX769" t="s">
        <v>11384</v>
      </c>
      <c r="AY769">
        <v>25</v>
      </c>
      <c r="AZ769" s="184">
        <v>43087</v>
      </c>
      <c r="BA769" t="s">
        <v>11385</v>
      </c>
      <c r="BB769">
        <v>35</v>
      </c>
      <c r="BC769">
        <v>83</v>
      </c>
      <c r="BD769">
        <v>1235</v>
      </c>
      <c r="BE769">
        <v>1991</v>
      </c>
      <c r="BF769">
        <v>39</v>
      </c>
      <c r="BG769">
        <v>2</v>
      </c>
      <c r="BH769">
        <v>50</v>
      </c>
      <c r="BI769">
        <v>29</v>
      </c>
      <c r="BJ769">
        <v>35</v>
      </c>
      <c r="BK769">
        <v>19</v>
      </c>
      <c r="BP769" s="184"/>
    </row>
    <row r="770" spans="1:68">
      <c r="A770">
        <v>4500088</v>
      </c>
      <c r="B770">
        <v>4500088</v>
      </c>
      <c r="C770" t="s">
        <v>7018</v>
      </c>
      <c r="D770" t="s">
        <v>595</v>
      </c>
      <c r="E770" s="184">
        <v>43857</v>
      </c>
      <c r="I770" s="184"/>
      <c r="K770" s="184"/>
      <c r="M770" s="184"/>
      <c r="O770" s="184"/>
      <c r="P770" t="s">
        <v>7045</v>
      </c>
      <c r="Q770" t="s">
        <v>7383</v>
      </c>
      <c r="R770" s="184">
        <v>18810</v>
      </c>
      <c r="S770">
        <v>72</v>
      </c>
      <c r="U770" t="s">
        <v>7076</v>
      </c>
      <c r="V770" t="s">
        <v>4535</v>
      </c>
      <c r="X770" t="s">
        <v>4536</v>
      </c>
      <c r="AF770" t="s">
        <v>11386</v>
      </c>
      <c r="AG770" t="s">
        <v>4535</v>
      </c>
      <c r="AI770" t="s">
        <v>11387</v>
      </c>
      <c r="AM770" t="s">
        <v>2888</v>
      </c>
      <c r="AN770" t="s">
        <v>2274</v>
      </c>
      <c r="AO770" t="s">
        <v>11388</v>
      </c>
      <c r="AP770" t="s">
        <v>7024</v>
      </c>
      <c r="AQ770" t="s">
        <v>11389</v>
      </c>
      <c r="AR770" t="s">
        <v>11390</v>
      </c>
      <c r="AT770" s="184">
        <v>33127</v>
      </c>
      <c r="AU770" t="s">
        <v>11391</v>
      </c>
      <c r="AV770">
        <v>15</v>
      </c>
      <c r="AW770" s="184">
        <v>45420</v>
      </c>
      <c r="AX770" t="s">
        <v>7422</v>
      </c>
      <c r="AY770">
        <v>10</v>
      </c>
      <c r="AZ770" s="184">
        <v>41525</v>
      </c>
      <c r="BA770" t="s">
        <v>11392</v>
      </c>
      <c r="BB770">
        <v>50</v>
      </c>
      <c r="BC770">
        <v>100</v>
      </c>
      <c r="BD770">
        <v>1600</v>
      </c>
      <c r="BE770">
        <v>1991</v>
      </c>
      <c r="BF770">
        <v>143</v>
      </c>
      <c r="BG770">
        <v>23</v>
      </c>
      <c r="BH770">
        <v>230</v>
      </c>
      <c r="BI770">
        <v>35</v>
      </c>
      <c r="BJ770">
        <v>35</v>
      </c>
      <c r="BK770">
        <v>35</v>
      </c>
      <c r="BN770" t="s">
        <v>595</v>
      </c>
      <c r="BP770" s="184"/>
    </row>
    <row r="771" spans="1:68">
      <c r="A771">
        <v>4509527</v>
      </c>
      <c r="B771">
        <v>4509527</v>
      </c>
      <c r="C771" t="s">
        <v>7018</v>
      </c>
      <c r="D771" t="s">
        <v>595</v>
      </c>
      <c r="E771" s="184">
        <v>44167</v>
      </c>
      <c r="G771" s="184"/>
      <c r="K771" s="184"/>
      <c r="M771" s="184"/>
      <c r="O771" s="184"/>
      <c r="P771" t="s">
        <v>7045</v>
      </c>
      <c r="Q771" t="s">
        <v>7160</v>
      </c>
      <c r="R771" s="184">
        <v>19188</v>
      </c>
      <c r="S771">
        <v>71</v>
      </c>
      <c r="U771" t="s">
        <v>7130</v>
      </c>
      <c r="V771" t="s">
        <v>11393</v>
      </c>
      <c r="X771" t="s">
        <v>11394</v>
      </c>
      <c r="AF771" t="s">
        <v>11395</v>
      </c>
      <c r="AG771" t="s">
        <v>11393</v>
      </c>
      <c r="AI771" t="s">
        <v>11396</v>
      </c>
      <c r="AM771" t="s">
        <v>4984</v>
      </c>
      <c r="AN771" t="s">
        <v>2675</v>
      </c>
      <c r="AO771" t="s">
        <v>11397</v>
      </c>
      <c r="AP771" t="s">
        <v>7024</v>
      </c>
      <c r="AQ771" t="s">
        <v>11398</v>
      </c>
      <c r="AR771" t="s">
        <v>11399</v>
      </c>
      <c r="AT771" s="184">
        <v>33122</v>
      </c>
      <c r="AU771" t="s">
        <v>11400</v>
      </c>
      <c r="AV771">
        <v>15</v>
      </c>
      <c r="AW771" s="184">
        <v>44530</v>
      </c>
      <c r="AX771" t="s">
        <v>11401</v>
      </c>
      <c r="AY771">
        <v>10</v>
      </c>
      <c r="AZ771" s="184">
        <v>40532</v>
      </c>
      <c r="BA771" t="s">
        <v>11402</v>
      </c>
      <c r="BB771">
        <v>100</v>
      </c>
      <c r="BC771">
        <v>26</v>
      </c>
      <c r="BD771">
        <v>325</v>
      </c>
      <c r="BE771">
        <v>1991</v>
      </c>
      <c r="BF771">
        <v>9</v>
      </c>
      <c r="BI771">
        <v>9</v>
      </c>
      <c r="BJ771">
        <v>35</v>
      </c>
      <c r="BK771">
        <v>2</v>
      </c>
      <c r="BM771" t="s">
        <v>595</v>
      </c>
      <c r="BP771" s="184"/>
    </row>
    <row r="772" spans="1:68">
      <c r="A772">
        <v>4516068</v>
      </c>
      <c r="B772">
        <v>4516068</v>
      </c>
      <c r="C772" t="s">
        <v>7018</v>
      </c>
      <c r="D772" t="s">
        <v>595</v>
      </c>
      <c r="E772" s="184">
        <v>43970</v>
      </c>
      <c r="G772" s="184"/>
      <c r="K772" s="184"/>
      <c r="M772" s="184"/>
      <c r="O772" s="184"/>
      <c r="P772" t="s">
        <v>7045</v>
      </c>
      <c r="Q772" t="s">
        <v>7383</v>
      </c>
      <c r="R772" s="184">
        <v>16204</v>
      </c>
      <c r="S772">
        <v>80</v>
      </c>
      <c r="U772" t="s">
        <v>7076</v>
      </c>
      <c r="V772" t="s">
        <v>11403</v>
      </c>
      <c r="X772" t="s">
        <v>11404</v>
      </c>
      <c r="AF772" t="s">
        <v>11405</v>
      </c>
      <c r="AG772" t="s">
        <v>11403</v>
      </c>
      <c r="AI772" t="s">
        <v>11406</v>
      </c>
      <c r="AM772" t="s">
        <v>11407</v>
      </c>
      <c r="AN772" t="s">
        <v>2313</v>
      </c>
      <c r="AO772" t="s">
        <v>11408</v>
      </c>
      <c r="AP772" t="s">
        <v>7024</v>
      </c>
      <c r="AQ772" t="s">
        <v>11409</v>
      </c>
      <c r="AT772" s="184">
        <v>33128</v>
      </c>
      <c r="AU772" t="s">
        <v>11410</v>
      </c>
      <c r="AV772">
        <v>25</v>
      </c>
      <c r="AW772" s="184">
        <v>45261</v>
      </c>
      <c r="AX772" t="s">
        <v>11411</v>
      </c>
      <c r="AY772">
        <v>50</v>
      </c>
      <c r="AZ772" s="184">
        <v>45261</v>
      </c>
      <c r="BA772" t="s">
        <v>11411</v>
      </c>
      <c r="BB772">
        <v>50</v>
      </c>
      <c r="BC772">
        <v>92</v>
      </c>
      <c r="BD772">
        <v>1935</v>
      </c>
      <c r="BE772">
        <v>1991</v>
      </c>
      <c r="BF772">
        <v>46</v>
      </c>
      <c r="BG772">
        <v>3</v>
      </c>
      <c r="BH772">
        <v>150</v>
      </c>
      <c r="BI772">
        <v>32</v>
      </c>
      <c r="BJ772">
        <v>35</v>
      </c>
      <c r="BK772">
        <v>20</v>
      </c>
    </row>
    <row r="773" spans="1:68">
      <c r="A773">
        <v>4516613</v>
      </c>
      <c r="B773">
        <v>4516613</v>
      </c>
      <c r="C773" t="s">
        <v>7018</v>
      </c>
      <c r="D773" t="s">
        <v>595</v>
      </c>
      <c r="E773" s="184">
        <v>44073</v>
      </c>
      <c r="G773" s="184"/>
      <c r="I773" s="184"/>
      <c r="K773" s="184"/>
      <c r="M773" s="184"/>
      <c r="O773" s="184"/>
      <c r="P773" t="s">
        <v>7045</v>
      </c>
      <c r="Q773" t="s">
        <v>7020</v>
      </c>
      <c r="R773" s="184">
        <v>15401</v>
      </c>
      <c r="S773">
        <v>82</v>
      </c>
      <c r="U773" t="s">
        <v>7130</v>
      </c>
      <c r="V773" t="s">
        <v>2586</v>
      </c>
      <c r="W773" t="s">
        <v>2058</v>
      </c>
      <c r="X773" t="s">
        <v>11412</v>
      </c>
      <c r="AF773" t="s">
        <v>11413</v>
      </c>
      <c r="AG773" t="s">
        <v>2586</v>
      </c>
      <c r="AI773" t="s">
        <v>11414</v>
      </c>
      <c r="AM773" t="s">
        <v>11415</v>
      </c>
      <c r="AN773" t="s">
        <v>2112</v>
      </c>
      <c r="AO773" t="s">
        <v>11416</v>
      </c>
      <c r="AP773" t="s">
        <v>7024</v>
      </c>
      <c r="AQ773" t="s">
        <v>11417</v>
      </c>
      <c r="AR773" t="s">
        <v>11418</v>
      </c>
      <c r="AT773" s="184">
        <v>33128</v>
      </c>
      <c r="AU773" t="s">
        <v>11419</v>
      </c>
      <c r="AV773">
        <v>15</v>
      </c>
      <c r="AW773" s="184">
        <v>45199</v>
      </c>
      <c r="AX773" t="s">
        <v>11420</v>
      </c>
      <c r="AY773">
        <v>50</v>
      </c>
      <c r="AZ773" s="184">
        <v>45168</v>
      </c>
      <c r="BA773" t="s">
        <v>7832</v>
      </c>
      <c r="BB773">
        <v>150</v>
      </c>
      <c r="BC773">
        <v>86</v>
      </c>
      <c r="BD773">
        <v>2470</v>
      </c>
      <c r="BE773">
        <v>1991</v>
      </c>
      <c r="BF773">
        <v>49</v>
      </c>
      <c r="BG773">
        <v>3</v>
      </c>
      <c r="BH773">
        <v>350</v>
      </c>
      <c r="BI773">
        <v>30</v>
      </c>
      <c r="BJ773">
        <v>35</v>
      </c>
      <c r="BK773">
        <v>19</v>
      </c>
      <c r="BP773" s="184"/>
    </row>
    <row r="774" spans="1:68">
      <c r="A774">
        <v>4526307</v>
      </c>
      <c r="B774">
        <v>4526307</v>
      </c>
      <c r="C774" t="s">
        <v>7018</v>
      </c>
      <c r="E774" s="184"/>
      <c r="G774" s="184"/>
      <c r="K774" s="184"/>
      <c r="M774" s="184"/>
      <c r="N774" t="s">
        <v>595</v>
      </c>
      <c r="O774" s="184">
        <v>36572</v>
      </c>
      <c r="P774" t="s">
        <v>7045</v>
      </c>
      <c r="Q774" t="s">
        <v>7030</v>
      </c>
      <c r="R774" s="184">
        <v>6380</v>
      </c>
      <c r="S774">
        <v>106</v>
      </c>
      <c r="U774" t="s">
        <v>7076</v>
      </c>
      <c r="V774" t="s">
        <v>3409</v>
      </c>
      <c r="W774" t="s">
        <v>2316</v>
      </c>
      <c r="X774" t="s">
        <v>11421</v>
      </c>
      <c r="AF774" t="s">
        <v>5982</v>
      </c>
      <c r="AG774" t="s">
        <v>11422</v>
      </c>
      <c r="AI774" t="s">
        <v>11423</v>
      </c>
      <c r="AM774" t="s">
        <v>9456</v>
      </c>
      <c r="AN774" t="s">
        <v>2089</v>
      </c>
      <c r="AO774" t="s">
        <v>11424</v>
      </c>
      <c r="AP774" t="s">
        <v>7024</v>
      </c>
      <c r="AT774" s="184">
        <v>33128</v>
      </c>
      <c r="AU774" t="s">
        <v>11425</v>
      </c>
      <c r="AV774">
        <v>25</v>
      </c>
      <c r="AW774" s="184">
        <v>39378</v>
      </c>
      <c r="AX774" t="s">
        <v>11426</v>
      </c>
      <c r="AY774">
        <v>35</v>
      </c>
      <c r="AZ774" s="184">
        <v>36572</v>
      </c>
      <c r="BA774" t="s">
        <v>7530</v>
      </c>
      <c r="BB774">
        <v>10000</v>
      </c>
      <c r="BC774">
        <v>46</v>
      </c>
      <c r="BD774">
        <v>12140</v>
      </c>
      <c r="BE774">
        <v>1991</v>
      </c>
      <c r="BF774">
        <v>32</v>
      </c>
      <c r="BI774">
        <v>16</v>
      </c>
      <c r="BJ774">
        <v>35</v>
      </c>
      <c r="BK774">
        <v>9</v>
      </c>
      <c r="BO774" t="s">
        <v>595</v>
      </c>
      <c r="BP774" s="184">
        <v>40393</v>
      </c>
    </row>
    <row r="775" spans="1:68">
      <c r="A775">
        <v>4545364</v>
      </c>
      <c r="B775">
        <v>4545364</v>
      </c>
      <c r="C775" t="s">
        <v>7018</v>
      </c>
      <c r="E775" s="184"/>
      <c r="G775" s="184"/>
      <c r="I775" s="184"/>
      <c r="J775" t="s">
        <v>595</v>
      </c>
      <c r="K775" s="184">
        <v>44013</v>
      </c>
      <c r="M775" s="184"/>
      <c r="O775" s="184"/>
      <c r="P775" t="s">
        <v>7045</v>
      </c>
      <c r="Q775" t="s">
        <v>7383</v>
      </c>
      <c r="R775" s="184">
        <v>11196</v>
      </c>
      <c r="S775">
        <v>93</v>
      </c>
      <c r="U775" t="s">
        <v>7076</v>
      </c>
      <c r="V775" t="s">
        <v>11427</v>
      </c>
      <c r="W775" t="s">
        <v>4210</v>
      </c>
      <c r="X775" t="s">
        <v>4387</v>
      </c>
      <c r="AF775" t="s">
        <v>11428</v>
      </c>
      <c r="AG775" t="s">
        <v>11427</v>
      </c>
      <c r="AI775" t="s">
        <v>11429</v>
      </c>
      <c r="AM775" t="s">
        <v>3390</v>
      </c>
      <c r="AN775" t="s">
        <v>2144</v>
      </c>
      <c r="AO775" t="s">
        <v>11430</v>
      </c>
      <c r="AP775" t="s">
        <v>7024</v>
      </c>
      <c r="AQ775" t="s">
        <v>11431</v>
      </c>
      <c r="AR775" t="s">
        <v>11432</v>
      </c>
      <c r="AT775" s="184">
        <v>33129</v>
      </c>
      <c r="AU775" t="s">
        <v>11297</v>
      </c>
      <c r="AV775">
        <v>15</v>
      </c>
      <c r="AW775" s="184">
        <v>45272</v>
      </c>
      <c r="AX775" t="s">
        <v>11433</v>
      </c>
      <c r="AY775">
        <v>75</v>
      </c>
      <c r="AZ775" s="184">
        <v>45272</v>
      </c>
      <c r="BA775" t="s">
        <v>11433</v>
      </c>
      <c r="BB775">
        <v>75</v>
      </c>
      <c r="BC775">
        <v>98</v>
      </c>
      <c r="BD775">
        <v>3940</v>
      </c>
      <c r="BE775">
        <v>1991</v>
      </c>
      <c r="BF775">
        <v>235</v>
      </c>
      <c r="BG775">
        <v>14</v>
      </c>
      <c r="BH775">
        <v>330</v>
      </c>
      <c r="BI775">
        <v>34</v>
      </c>
      <c r="BJ775">
        <v>35</v>
      </c>
      <c r="BK775">
        <v>34</v>
      </c>
      <c r="BP775" s="184"/>
    </row>
    <row r="776" spans="1:68">
      <c r="A776">
        <v>4555223</v>
      </c>
      <c r="B776">
        <v>4555223</v>
      </c>
      <c r="C776" t="s">
        <v>7018</v>
      </c>
      <c r="E776" s="184"/>
      <c r="G776" s="184"/>
      <c r="I776" s="184"/>
      <c r="K776" s="184"/>
      <c r="N776" t="s">
        <v>595</v>
      </c>
      <c r="O776" s="184">
        <v>39629</v>
      </c>
      <c r="P776" t="s">
        <v>7045</v>
      </c>
      <c r="Q776" t="s">
        <v>7262</v>
      </c>
      <c r="R776" s="184">
        <v>12200</v>
      </c>
      <c r="S776">
        <v>90</v>
      </c>
      <c r="U776" t="s">
        <v>7031</v>
      </c>
      <c r="V776" t="s">
        <v>2511</v>
      </c>
      <c r="W776" t="s">
        <v>7107</v>
      </c>
      <c r="X776" t="s">
        <v>11434</v>
      </c>
      <c r="AF776" t="s">
        <v>6049</v>
      </c>
      <c r="AG776" t="s">
        <v>2511</v>
      </c>
      <c r="AI776" t="s">
        <v>11435</v>
      </c>
      <c r="AM776" t="s">
        <v>4091</v>
      </c>
      <c r="AN776" t="s">
        <v>65</v>
      </c>
      <c r="AO776" t="s">
        <v>11436</v>
      </c>
      <c r="AP776" t="s">
        <v>7024</v>
      </c>
      <c r="AQ776" t="s">
        <v>11437</v>
      </c>
      <c r="AR776" t="s">
        <v>11438</v>
      </c>
      <c r="AT776" s="184">
        <v>33129</v>
      </c>
      <c r="AU776" t="s">
        <v>11425</v>
      </c>
      <c r="AV776">
        <v>15</v>
      </c>
      <c r="AW776" s="184">
        <v>45278</v>
      </c>
      <c r="AX776" t="s">
        <v>11439</v>
      </c>
      <c r="AY776">
        <v>250</v>
      </c>
      <c r="AZ776" s="184">
        <v>39622</v>
      </c>
      <c r="BA776" t="s">
        <v>8812</v>
      </c>
      <c r="BB776">
        <v>4689.42</v>
      </c>
      <c r="BC776">
        <v>80</v>
      </c>
      <c r="BD776">
        <v>10719.42</v>
      </c>
      <c r="BE776">
        <v>1991</v>
      </c>
      <c r="BF776">
        <v>46</v>
      </c>
      <c r="BG776">
        <v>1</v>
      </c>
      <c r="BH776">
        <v>250</v>
      </c>
      <c r="BI776">
        <v>28</v>
      </c>
      <c r="BJ776">
        <v>35</v>
      </c>
      <c r="BK776">
        <v>10</v>
      </c>
      <c r="BP776" s="184"/>
    </row>
    <row r="777" spans="1:68">
      <c r="A777">
        <v>4557781</v>
      </c>
      <c r="B777">
        <v>4557781</v>
      </c>
      <c r="C777" t="s">
        <v>7018</v>
      </c>
      <c r="D777" t="s">
        <v>595</v>
      </c>
      <c r="E777" s="184">
        <v>44184</v>
      </c>
      <c r="G777" s="184"/>
      <c r="I777" s="184"/>
      <c r="K777" s="184"/>
      <c r="M777" s="184"/>
      <c r="O777" s="184"/>
      <c r="P777" t="s">
        <v>7045</v>
      </c>
      <c r="Q777" t="s">
        <v>7374</v>
      </c>
      <c r="R777" s="184">
        <v>19725</v>
      </c>
      <c r="S777">
        <v>70</v>
      </c>
      <c r="U777" t="s">
        <v>7031</v>
      </c>
      <c r="V777" t="s">
        <v>2961</v>
      </c>
      <c r="X777" t="s">
        <v>3917</v>
      </c>
      <c r="AF777" t="s">
        <v>11440</v>
      </c>
      <c r="AG777" t="s">
        <v>2961</v>
      </c>
      <c r="AI777" t="s">
        <v>11441</v>
      </c>
      <c r="AM777" t="s">
        <v>4312</v>
      </c>
      <c r="AN777" t="s">
        <v>2081</v>
      </c>
      <c r="AO777" t="s">
        <v>11442</v>
      </c>
      <c r="AP777" t="s">
        <v>7024</v>
      </c>
      <c r="AQ777" t="s">
        <v>11443</v>
      </c>
      <c r="AT777" s="184">
        <v>33130</v>
      </c>
      <c r="AU777" t="s">
        <v>11444</v>
      </c>
      <c r="AV777">
        <v>15</v>
      </c>
      <c r="AW777" s="184">
        <v>44545</v>
      </c>
      <c r="AX777" t="s">
        <v>11445</v>
      </c>
      <c r="AY777">
        <v>25</v>
      </c>
      <c r="AZ777" s="184">
        <v>36167</v>
      </c>
      <c r="BA777" t="s">
        <v>11446</v>
      </c>
      <c r="BB777">
        <v>35</v>
      </c>
      <c r="BC777">
        <v>29</v>
      </c>
      <c r="BD777">
        <v>355</v>
      </c>
      <c r="BE777">
        <v>1991</v>
      </c>
      <c r="BF777">
        <v>11</v>
      </c>
      <c r="BI777">
        <v>10</v>
      </c>
      <c r="BJ777">
        <v>35</v>
      </c>
      <c r="BK777">
        <v>8</v>
      </c>
      <c r="BP777" s="184"/>
    </row>
    <row r="778" spans="1:68">
      <c r="A778">
        <v>4562674</v>
      </c>
      <c r="B778">
        <v>4562674</v>
      </c>
      <c r="C778" t="s">
        <v>7018</v>
      </c>
      <c r="E778" s="184"/>
      <c r="G778" s="184"/>
      <c r="I778" s="184"/>
      <c r="K778" s="184"/>
      <c r="L778" t="s">
        <v>595</v>
      </c>
      <c r="M778" s="184">
        <v>43923</v>
      </c>
      <c r="O778" s="184"/>
      <c r="P778" t="s">
        <v>7045</v>
      </c>
      <c r="Q778" t="s">
        <v>7030</v>
      </c>
      <c r="R778" s="184">
        <v>13789</v>
      </c>
      <c r="S778">
        <v>86</v>
      </c>
      <c r="U778" t="s">
        <v>7076</v>
      </c>
      <c r="V778" t="s">
        <v>4950</v>
      </c>
      <c r="W778" t="s">
        <v>4382</v>
      </c>
      <c r="X778" t="s">
        <v>4739</v>
      </c>
      <c r="AF778" t="s">
        <v>11447</v>
      </c>
      <c r="AG778" t="s">
        <v>4950</v>
      </c>
      <c r="AI778" t="s">
        <v>11448</v>
      </c>
      <c r="AM778" t="s">
        <v>2897</v>
      </c>
      <c r="AN778" t="s">
        <v>2089</v>
      </c>
      <c r="AO778" t="s">
        <v>11449</v>
      </c>
      <c r="AP778" t="s">
        <v>7024</v>
      </c>
      <c r="AT778" s="184">
        <v>33130</v>
      </c>
      <c r="AU778" t="s">
        <v>11450</v>
      </c>
      <c r="AV778">
        <v>17</v>
      </c>
      <c r="AW778" s="184">
        <v>45225</v>
      </c>
      <c r="AX778" t="s">
        <v>11451</v>
      </c>
      <c r="AY778">
        <v>50</v>
      </c>
      <c r="AZ778" s="184">
        <v>44743</v>
      </c>
      <c r="BA778" t="s">
        <v>11452</v>
      </c>
      <c r="BB778">
        <v>100</v>
      </c>
      <c r="BC778">
        <v>63</v>
      </c>
      <c r="BD778">
        <v>927</v>
      </c>
      <c r="BE778">
        <v>1991</v>
      </c>
      <c r="BF778">
        <v>25</v>
      </c>
      <c r="BG778">
        <v>2</v>
      </c>
      <c r="BH778">
        <v>150</v>
      </c>
      <c r="BI778">
        <v>22</v>
      </c>
      <c r="BJ778">
        <v>35</v>
      </c>
      <c r="BK778">
        <v>5</v>
      </c>
    </row>
    <row r="779" spans="1:68">
      <c r="A779">
        <v>4563201</v>
      </c>
      <c r="B779">
        <v>4563201</v>
      </c>
      <c r="C779" t="s">
        <v>7018</v>
      </c>
      <c r="E779" s="184"/>
      <c r="F779" t="s">
        <v>595</v>
      </c>
      <c r="G779" s="184">
        <v>43731</v>
      </c>
      <c r="I779" s="184"/>
      <c r="K779" s="184"/>
      <c r="O779" s="184"/>
      <c r="P779" t="s">
        <v>7045</v>
      </c>
      <c r="Q779" t="s">
        <v>7454</v>
      </c>
      <c r="R779" s="184">
        <v>18354</v>
      </c>
      <c r="S779">
        <v>74</v>
      </c>
      <c r="V779" t="s">
        <v>3908</v>
      </c>
      <c r="X779" t="s">
        <v>2552</v>
      </c>
      <c r="AF779" t="s">
        <v>11453</v>
      </c>
      <c r="AG779" t="s">
        <v>3908</v>
      </c>
      <c r="AI779" t="s">
        <v>11454</v>
      </c>
      <c r="AM779" t="s">
        <v>2608</v>
      </c>
      <c r="AN779" t="s">
        <v>2299</v>
      </c>
      <c r="AO779" t="s">
        <v>11455</v>
      </c>
      <c r="AP779" t="s">
        <v>7024</v>
      </c>
      <c r="AQ779" t="s">
        <v>11456</v>
      </c>
      <c r="AT779" s="184">
        <v>33130</v>
      </c>
      <c r="AU779" t="s">
        <v>11457</v>
      </c>
      <c r="AV779">
        <v>15</v>
      </c>
      <c r="AW779" s="184">
        <v>45265</v>
      </c>
      <c r="AX779" t="s">
        <v>11411</v>
      </c>
      <c r="AY779">
        <v>75</v>
      </c>
      <c r="AZ779" s="184">
        <v>45265</v>
      </c>
      <c r="BA779" t="s">
        <v>11411</v>
      </c>
      <c r="BB779">
        <v>75</v>
      </c>
      <c r="BC779">
        <v>95</v>
      </c>
      <c r="BD779">
        <v>2721.25</v>
      </c>
      <c r="BE779">
        <v>1991</v>
      </c>
      <c r="BF779">
        <v>115</v>
      </c>
      <c r="BG779">
        <v>5</v>
      </c>
      <c r="BH779">
        <v>301.25</v>
      </c>
      <c r="BI779">
        <v>33</v>
      </c>
      <c r="BJ779">
        <v>35</v>
      </c>
      <c r="BK779">
        <v>22</v>
      </c>
      <c r="BP779" s="184"/>
    </row>
    <row r="780" spans="1:68">
      <c r="A780">
        <v>4570123</v>
      </c>
      <c r="B780">
        <v>4570123</v>
      </c>
      <c r="C780" t="s">
        <v>7018</v>
      </c>
      <c r="D780" t="s">
        <v>595</v>
      </c>
      <c r="E780" s="184">
        <v>44155</v>
      </c>
      <c r="G780" s="184"/>
      <c r="I780" s="184"/>
      <c r="K780" s="184"/>
      <c r="O780" s="184"/>
      <c r="P780" t="s">
        <v>7686</v>
      </c>
      <c r="Q780" t="s">
        <v>7374</v>
      </c>
      <c r="R780" s="184">
        <v>17258</v>
      </c>
      <c r="S780">
        <v>77</v>
      </c>
      <c r="U780" t="s">
        <v>7130</v>
      </c>
      <c r="V780" t="s">
        <v>11458</v>
      </c>
      <c r="W780" t="s">
        <v>4327</v>
      </c>
      <c r="X780" t="s">
        <v>11459</v>
      </c>
      <c r="AF780" t="s">
        <v>11460</v>
      </c>
      <c r="AG780" t="s">
        <v>11458</v>
      </c>
      <c r="AI780" t="s">
        <v>11461</v>
      </c>
      <c r="AJ780" t="s">
        <v>11462</v>
      </c>
      <c r="AM780" t="s">
        <v>11463</v>
      </c>
      <c r="AN780" t="s">
        <v>2081</v>
      </c>
      <c r="AO780" t="s">
        <v>11464</v>
      </c>
      <c r="AP780" t="s">
        <v>7024</v>
      </c>
      <c r="AQ780" t="s">
        <v>11465</v>
      </c>
      <c r="AR780" t="s">
        <v>11466</v>
      </c>
      <c r="AT780" s="184">
        <v>33130</v>
      </c>
      <c r="AU780" t="s">
        <v>11467</v>
      </c>
      <c r="AV780">
        <v>115</v>
      </c>
      <c r="AW780" s="184">
        <v>45314</v>
      </c>
      <c r="AX780" t="s">
        <v>7749</v>
      </c>
      <c r="AY780">
        <v>5000</v>
      </c>
      <c r="AZ780" s="184">
        <v>45314</v>
      </c>
      <c r="BA780" t="s">
        <v>7749</v>
      </c>
      <c r="BB780">
        <v>5000</v>
      </c>
      <c r="BC780">
        <v>92</v>
      </c>
      <c r="BD780">
        <v>82364.78</v>
      </c>
      <c r="BE780">
        <v>1991</v>
      </c>
      <c r="BF780">
        <v>45</v>
      </c>
      <c r="BG780">
        <v>2</v>
      </c>
      <c r="BH780">
        <v>10000</v>
      </c>
      <c r="BI780">
        <v>32</v>
      </c>
      <c r="BJ780">
        <v>35</v>
      </c>
      <c r="BK780">
        <v>25</v>
      </c>
      <c r="BP780" s="184"/>
    </row>
    <row r="781" spans="1:68">
      <c r="A781">
        <v>4577771</v>
      </c>
      <c r="B781">
        <v>4577771</v>
      </c>
      <c r="C781" t="s">
        <v>7018</v>
      </c>
      <c r="D781" t="s">
        <v>595</v>
      </c>
      <c r="E781" s="184">
        <v>44104</v>
      </c>
      <c r="G781" s="184"/>
      <c r="I781" s="184"/>
      <c r="K781" s="184"/>
      <c r="O781" s="184"/>
      <c r="P781" t="s">
        <v>7045</v>
      </c>
      <c r="Q781" t="s">
        <v>7454</v>
      </c>
      <c r="R781" s="184">
        <v>21916</v>
      </c>
      <c r="S781">
        <v>64</v>
      </c>
      <c r="U781" t="s">
        <v>7031</v>
      </c>
      <c r="V781" t="s">
        <v>2871</v>
      </c>
      <c r="X781" t="s">
        <v>11468</v>
      </c>
      <c r="AF781" t="s">
        <v>11469</v>
      </c>
      <c r="AG781" t="s">
        <v>2871</v>
      </c>
      <c r="AI781" t="s">
        <v>11470</v>
      </c>
      <c r="AM781" t="s">
        <v>3855</v>
      </c>
      <c r="AN781" t="s">
        <v>2055</v>
      </c>
      <c r="AO781" t="s">
        <v>11471</v>
      </c>
      <c r="AP781" t="s">
        <v>7024</v>
      </c>
      <c r="AT781" s="184">
        <v>33133</v>
      </c>
      <c r="AU781" t="s">
        <v>11472</v>
      </c>
      <c r="AV781">
        <v>15</v>
      </c>
      <c r="AW781" s="184">
        <v>37628</v>
      </c>
      <c r="AX781" t="s">
        <v>11473</v>
      </c>
      <c r="AY781">
        <v>35</v>
      </c>
      <c r="AZ781" s="184">
        <v>37072</v>
      </c>
      <c r="BA781" t="s">
        <v>11474</v>
      </c>
      <c r="BB781">
        <v>60</v>
      </c>
      <c r="BC781">
        <v>29</v>
      </c>
      <c r="BD781">
        <v>380</v>
      </c>
      <c r="BE781">
        <v>1991</v>
      </c>
      <c r="BF781">
        <v>14</v>
      </c>
      <c r="BI781">
        <v>10</v>
      </c>
      <c r="BJ781">
        <v>35</v>
      </c>
      <c r="BK781">
        <v>4</v>
      </c>
      <c r="BP781" s="184"/>
    </row>
    <row r="782" spans="1:68">
      <c r="A782">
        <v>4584934</v>
      </c>
      <c r="B782">
        <v>4584934</v>
      </c>
      <c r="C782" t="s">
        <v>7018</v>
      </c>
      <c r="E782" s="184"/>
      <c r="F782" t="s">
        <v>595</v>
      </c>
      <c r="G782" s="184">
        <v>43801</v>
      </c>
      <c r="K782" s="184"/>
      <c r="O782" s="184"/>
      <c r="P782" t="s">
        <v>7045</v>
      </c>
      <c r="Q782" t="s">
        <v>7374</v>
      </c>
      <c r="R782" s="184">
        <v>18019</v>
      </c>
      <c r="S782">
        <v>75</v>
      </c>
      <c r="U782" t="s">
        <v>7076</v>
      </c>
      <c r="V782" t="s">
        <v>3008</v>
      </c>
      <c r="W782" t="s">
        <v>3226</v>
      </c>
      <c r="X782" t="s">
        <v>4313</v>
      </c>
      <c r="AF782" t="s">
        <v>11475</v>
      </c>
      <c r="AG782" t="s">
        <v>3008</v>
      </c>
      <c r="AI782" t="s">
        <v>11476</v>
      </c>
      <c r="AM782" t="s">
        <v>4314</v>
      </c>
      <c r="AN782" t="s">
        <v>2081</v>
      </c>
      <c r="AO782" t="s">
        <v>11477</v>
      </c>
      <c r="AP782" t="s">
        <v>7024</v>
      </c>
      <c r="AQ782" t="s">
        <v>11478</v>
      </c>
      <c r="AT782" s="184">
        <v>33134</v>
      </c>
      <c r="AU782" t="s">
        <v>11479</v>
      </c>
      <c r="AV782">
        <v>50</v>
      </c>
      <c r="AW782" s="184">
        <v>45371</v>
      </c>
      <c r="AX782" t="s">
        <v>11480</v>
      </c>
      <c r="AY782">
        <v>100</v>
      </c>
      <c r="AZ782" s="184">
        <v>44298</v>
      </c>
      <c r="BA782" t="s">
        <v>11481</v>
      </c>
      <c r="BB782">
        <v>150</v>
      </c>
      <c r="BC782">
        <v>95</v>
      </c>
      <c r="BD782">
        <v>10010</v>
      </c>
      <c r="BE782">
        <v>1991</v>
      </c>
      <c r="BF782">
        <v>129</v>
      </c>
      <c r="BG782">
        <v>6</v>
      </c>
      <c r="BH782">
        <v>600</v>
      </c>
      <c r="BI782">
        <v>33</v>
      </c>
      <c r="BJ782">
        <v>35</v>
      </c>
      <c r="BK782">
        <v>26</v>
      </c>
      <c r="BN782" t="s">
        <v>595</v>
      </c>
      <c r="BP782" s="184"/>
    </row>
    <row r="783" spans="1:68">
      <c r="A783">
        <v>4600268</v>
      </c>
      <c r="B783">
        <v>4600268</v>
      </c>
      <c r="C783" t="s">
        <v>7018</v>
      </c>
      <c r="D783" t="s">
        <v>595</v>
      </c>
      <c r="E783" s="184">
        <v>44070</v>
      </c>
      <c r="G783" s="184"/>
      <c r="K783" s="184"/>
      <c r="O783" s="184"/>
      <c r="P783" t="s">
        <v>7019</v>
      </c>
      <c r="Q783" t="s">
        <v>7383</v>
      </c>
      <c r="R783" s="184">
        <v>15283</v>
      </c>
      <c r="S783">
        <v>82</v>
      </c>
      <c r="U783" t="s">
        <v>7076</v>
      </c>
      <c r="V783" t="s">
        <v>4134</v>
      </c>
      <c r="X783" t="s">
        <v>11482</v>
      </c>
      <c r="AF783" t="s">
        <v>11483</v>
      </c>
      <c r="AG783" t="s">
        <v>4134</v>
      </c>
      <c r="AI783" t="s">
        <v>11484</v>
      </c>
      <c r="AM783" t="s">
        <v>2940</v>
      </c>
      <c r="AN783" t="s">
        <v>2185</v>
      </c>
      <c r="AO783" t="s">
        <v>11485</v>
      </c>
      <c r="AP783" t="s">
        <v>7024</v>
      </c>
      <c r="AQ783" t="s">
        <v>11486</v>
      </c>
      <c r="AR783" t="s">
        <v>11487</v>
      </c>
      <c r="AT783" s="184">
        <v>33135</v>
      </c>
      <c r="AU783" t="s">
        <v>11391</v>
      </c>
      <c r="AV783">
        <v>15</v>
      </c>
      <c r="AW783" s="184">
        <v>44623</v>
      </c>
      <c r="AX783" t="s">
        <v>11488</v>
      </c>
      <c r="AY783">
        <v>60</v>
      </c>
      <c r="AZ783" s="184">
        <v>38898</v>
      </c>
      <c r="BA783" t="s">
        <v>11489</v>
      </c>
      <c r="BB783">
        <v>100</v>
      </c>
      <c r="BC783">
        <v>49</v>
      </c>
      <c r="BD783">
        <v>1442</v>
      </c>
      <c r="BE783">
        <v>1991</v>
      </c>
      <c r="BF783">
        <v>71</v>
      </c>
      <c r="BI783">
        <v>17</v>
      </c>
      <c r="BJ783">
        <v>35</v>
      </c>
      <c r="BK783">
        <v>5</v>
      </c>
      <c r="BP783" s="184"/>
    </row>
    <row r="784" spans="1:68">
      <c r="A784">
        <v>4610515</v>
      </c>
      <c r="B784">
        <v>4610515</v>
      </c>
      <c r="C784" t="s">
        <v>7018</v>
      </c>
      <c r="E784" s="184"/>
      <c r="I784" s="184"/>
      <c r="J784" t="s">
        <v>595</v>
      </c>
      <c r="K784" s="184">
        <v>43388</v>
      </c>
      <c r="O784" s="184"/>
      <c r="P784" t="s">
        <v>7045</v>
      </c>
      <c r="Q784" t="s">
        <v>7030</v>
      </c>
      <c r="R784" s="184">
        <v>19207</v>
      </c>
      <c r="S784">
        <v>71</v>
      </c>
      <c r="U784" t="s">
        <v>7076</v>
      </c>
      <c r="V784" t="s">
        <v>3011</v>
      </c>
      <c r="X784" t="s">
        <v>11490</v>
      </c>
      <c r="AF784" t="s">
        <v>6187</v>
      </c>
      <c r="AG784" t="s">
        <v>3011</v>
      </c>
      <c r="AI784" t="s">
        <v>11491</v>
      </c>
      <c r="AM784" t="s">
        <v>4420</v>
      </c>
      <c r="AN784" t="s">
        <v>2089</v>
      </c>
      <c r="AO784" t="s">
        <v>11492</v>
      </c>
      <c r="AP784" t="s">
        <v>7024</v>
      </c>
      <c r="AQ784" t="s">
        <v>11493</v>
      </c>
      <c r="AR784" t="s">
        <v>11494</v>
      </c>
      <c r="AT784" s="184">
        <v>33136</v>
      </c>
      <c r="AU784" t="s">
        <v>11495</v>
      </c>
      <c r="AV784">
        <v>15</v>
      </c>
      <c r="AW784" s="184">
        <v>45406</v>
      </c>
      <c r="AX784" t="s">
        <v>7429</v>
      </c>
      <c r="AY784">
        <v>15</v>
      </c>
      <c r="AZ784" s="184">
        <v>44894</v>
      </c>
      <c r="BA784" t="s">
        <v>11496</v>
      </c>
      <c r="BB784">
        <v>100</v>
      </c>
      <c r="BC784">
        <v>86</v>
      </c>
      <c r="BD784">
        <v>3800</v>
      </c>
      <c r="BE784">
        <v>1991</v>
      </c>
      <c r="BF784">
        <v>206</v>
      </c>
      <c r="BG784">
        <v>16</v>
      </c>
      <c r="BH784">
        <v>325</v>
      </c>
      <c r="BI784">
        <v>30</v>
      </c>
      <c r="BJ784">
        <v>35</v>
      </c>
      <c r="BK784">
        <v>29</v>
      </c>
      <c r="BP784" s="184"/>
    </row>
    <row r="785" spans="1:68">
      <c r="A785">
        <v>4618468</v>
      </c>
      <c r="B785">
        <v>4618468</v>
      </c>
      <c r="C785" t="s">
        <v>7018</v>
      </c>
      <c r="D785" t="s">
        <v>595</v>
      </c>
      <c r="E785" s="184">
        <v>43642</v>
      </c>
      <c r="I785" s="184"/>
      <c r="K785" s="184"/>
      <c r="O785" s="184"/>
      <c r="P785" t="s">
        <v>7045</v>
      </c>
      <c r="Q785" t="s">
        <v>7262</v>
      </c>
      <c r="R785" s="184">
        <v>20790</v>
      </c>
      <c r="S785">
        <v>67</v>
      </c>
      <c r="V785" t="s">
        <v>2863</v>
      </c>
      <c r="W785" t="s">
        <v>205</v>
      </c>
      <c r="X785" t="s">
        <v>3182</v>
      </c>
      <c r="Z785">
        <v>100021224</v>
      </c>
      <c r="AB785" t="s">
        <v>3624</v>
      </c>
      <c r="AD785" t="s">
        <v>11497</v>
      </c>
      <c r="AF785" t="s">
        <v>11498</v>
      </c>
      <c r="AG785" t="s">
        <v>11499</v>
      </c>
      <c r="AI785" t="s">
        <v>11500</v>
      </c>
      <c r="AM785" t="s">
        <v>3183</v>
      </c>
      <c r="AN785" t="s">
        <v>2106</v>
      </c>
      <c r="AO785" t="s">
        <v>11501</v>
      </c>
      <c r="AP785" t="s">
        <v>7024</v>
      </c>
      <c r="AT785" s="184">
        <v>33137</v>
      </c>
      <c r="AU785" t="s">
        <v>11344</v>
      </c>
      <c r="AV785">
        <v>17</v>
      </c>
      <c r="AW785" s="184">
        <v>45138</v>
      </c>
      <c r="AX785" t="s">
        <v>10696</v>
      </c>
      <c r="AY785">
        <v>65</v>
      </c>
      <c r="AZ785" s="184">
        <v>45138</v>
      </c>
      <c r="BA785" t="s">
        <v>10696</v>
      </c>
      <c r="BB785">
        <v>65</v>
      </c>
      <c r="BC785">
        <v>98</v>
      </c>
      <c r="BD785">
        <v>2307</v>
      </c>
      <c r="BE785">
        <v>1991</v>
      </c>
      <c r="BF785">
        <v>52</v>
      </c>
      <c r="BG785">
        <v>2</v>
      </c>
      <c r="BH785">
        <v>130</v>
      </c>
      <c r="BI785">
        <v>34</v>
      </c>
      <c r="BJ785">
        <v>35</v>
      </c>
      <c r="BK785">
        <v>34</v>
      </c>
      <c r="BP785" s="184"/>
    </row>
    <row r="786" spans="1:68">
      <c r="A786">
        <v>100021224</v>
      </c>
      <c r="B786">
        <v>4618468</v>
      </c>
      <c r="C786" t="s">
        <v>7018</v>
      </c>
      <c r="D786" t="s">
        <v>595</v>
      </c>
      <c r="E786" s="184">
        <v>43642</v>
      </c>
      <c r="G786" s="184"/>
      <c r="I786" s="184"/>
      <c r="K786" s="184"/>
      <c r="O786" s="184"/>
      <c r="P786" t="s">
        <v>7045</v>
      </c>
      <c r="Q786" t="s">
        <v>7262</v>
      </c>
      <c r="R786" s="184">
        <v>20852</v>
      </c>
      <c r="S786">
        <v>67</v>
      </c>
      <c r="V786" t="s">
        <v>3624</v>
      </c>
      <c r="X786" t="s">
        <v>11497</v>
      </c>
      <c r="Z786">
        <v>4618468</v>
      </c>
      <c r="AB786" t="s">
        <v>2863</v>
      </c>
      <c r="AC786" t="s">
        <v>205</v>
      </c>
      <c r="AD786" t="s">
        <v>3182</v>
      </c>
      <c r="AF786" t="s">
        <v>11498</v>
      </c>
      <c r="AG786" t="s">
        <v>11499</v>
      </c>
      <c r="AI786" t="s">
        <v>11500</v>
      </c>
      <c r="AM786" t="s">
        <v>3183</v>
      </c>
      <c r="AN786" t="s">
        <v>2106</v>
      </c>
      <c r="AO786" t="s">
        <v>11501</v>
      </c>
      <c r="AP786" t="s">
        <v>7024</v>
      </c>
      <c r="AT786" s="184"/>
      <c r="AW786" s="184"/>
      <c r="AZ786" s="184"/>
      <c r="BP786" s="184"/>
    </row>
    <row r="787" spans="1:68">
      <c r="A787">
        <v>4620894</v>
      </c>
      <c r="B787">
        <v>4620894</v>
      </c>
      <c r="C787" t="s">
        <v>7018</v>
      </c>
      <c r="E787" s="184"/>
      <c r="I787" s="184"/>
      <c r="J787" t="s">
        <v>595</v>
      </c>
      <c r="K787" s="184">
        <v>42521</v>
      </c>
      <c r="O787" s="184"/>
      <c r="P787" t="s">
        <v>7045</v>
      </c>
      <c r="Q787" t="s">
        <v>7383</v>
      </c>
      <c r="R787" s="184">
        <v>21794</v>
      </c>
      <c r="S787">
        <v>64</v>
      </c>
      <c r="V787" t="s">
        <v>3580</v>
      </c>
      <c r="W787" t="s">
        <v>4139</v>
      </c>
      <c r="X787" t="s">
        <v>11502</v>
      </c>
      <c r="AF787" t="s">
        <v>6194</v>
      </c>
      <c r="AG787" t="s">
        <v>3580</v>
      </c>
      <c r="AI787" t="s">
        <v>11503</v>
      </c>
      <c r="AM787" t="s">
        <v>4206</v>
      </c>
      <c r="AN787" t="s">
        <v>2072</v>
      </c>
      <c r="AO787" t="s">
        <v>11504</v>
      </c>
      <c r="AP787" t="s">
        <v>7024</v>
      </c>
      <c r="AQ787" t="s">
        <v>11505</v>
      </c>
      <c r="AR787" t="s">
        <v>11506</v>
      </c>
      <c r="AT787" s="184">
        <v>33137</v>
      </c>
      <c r="AU787" t="s">
        <v>11507</v>
      </c>
      <c r="AV787">
        <v>15</v>
      </c>
      <c r="AW787" s="184">
        <v>44663</v>
      </c>
      <c r="AX787" t="s">
        <v>11024</v>
      </c>
      <c r="AY787">
        <v>100</v>
      </c>
      <c r="AZ787" s="184">
        <v>42053</v>
      </c>
      <c r="BA787" t="s">
        <v>11508</v>
      </c>
      <c r="BB787">
        <v>300</v>
      </c>
      <c r="BC787">
        <v>92</v>
      </c>
      <c r="BD787">
        <v>3195</v>
      </c>
      <c r="BE787">
        <v>1991</v>
      </c>
      <c r="BF787">
        <v>35</v>
      </c>
      <c r="BI787">
        <v>32</v>
      </c>
      <c r="BJ787">
        <v>35</v>
      </c>
      <c r="BK787">
        <v>29</v>
      </c>
      <c r="BN787" t="s">
        <v>595</v>
      </c>
      <c r="BP787" s="184"/>
    </row>
    <row r="788" spans="1:68">
      <c r="A788">
        <v>4621181</v>
      </c>
      <c r="B788">
        <v>4621181</v>
      </c>
      <c r="C788" t="s">
        <v>7018</v>
      </c>
      <c r="D788" t="s">
        <v>595</v>
      </c>
      <c r="E788" s="184">
        <v>43955</v>
      </c>
      <c r="G788" s="184"/>
      <c r="I788" s="184"/>
      <c r="K788" s="184"/>
      <c r="O788" s="184"/>
      <c r="P788" t="s">
        <v>7045</v>
      </c>
      <c r="Q788" t="s">
        <v>7374</v>
      </c>
      <c r="R788" s="184">
        <v>22737</v>
      </c>
      <c r="S788">
        <v>62</v>
      </c>
      <c r="U788" t="s">
        <v>7031</v>
      </c>
      <c r="V788" t="s">
        <v>3111</v>
      </c>
      <c r="W788" t="s">
        <v>7107</v>
      </c>
      <c r="X788" t="s">
        <v>11509</v>
      </c>
      <c r="AF788" t="s">
        <v>11510</v>
      </c>
      <c r="AG788" t="s">
        <v>3111</v>
      </c>
      <c r="AI788" t="s">
        <v>11511</v>
      </c>
      <c r="AM788" t="s">
        <v>3262</v>
      </c>
      <c r="AN788" t="s">
        <v>2081</v>
      </c>
      <c r="AO788" t="s">
        <v>11512</v>
      </c>
      <c r="AP788" t="s">
        <v>7024</v>
      </c>
      <c r="AT788" s="184">
        <v>33137</v>
      </c>
      <c r="AU788" t="s">
        <v>11513</v>
      </c>
      <c r="AV788">
        <v>15</v>
      </c>
      <c r="AW788" s="184">
        <v>45145</v>
      </c>
      <c r="AX788" t="s">
        <v>11514</v>
      </c>
      <c r="AY788">
        <v>390</v>
      </c>
      <c r="AZ788" s="184">
        <v>45145</v>
      </c>
      <c r="BA788" t="s">
        <v>11514</v>
      </c>
      <c r="BB788">
        <v>390</v>
      </c>
      <c r="BC788">
        <v>92</v>
      </c>
      <c r="BD788">
        <v>2165</v>
      </c>
      <c r="BE788">
        <v>1991</v>
      </c>
      <c r="BF788">
        <v>37</v>
      </c>
      <c r="BG788">
        <v>2</v>
      </c>
      <c r="BH788">
        <v>650</v>
      </c>
      <c r="BI788">
        <v>32</v>
      </c>
      <c r="BJ788">
        <v>35</v>
      </c>
      <c r="BK788">
        <v>20</v>
      </c>
    </row>
    <row r="789" spans="1:68">
      <c r="A789">
        <v>4622320</v>
      </c>
      <c r="B789">
        <v>4622320</v>
      </c>
      <c r="C789" t="s">
        <v>7018</v>
      </c>
      <c r="D789" t="s">
        <v>595</v>
      </c>
      <c r="E789" s="184">
        <v>43745</v>
      </c>
      <c r="G789" s="184"/>
      <c r="I789" s="184"/>
      <c r="K789" s="184"/>
      <c r="O789" s="184"/>
      <c r="P789" t="s">
        <v>7045</v>
      </c>
      <c r="Q789" t="s">
        <v>7383</v>
      </c>
      <c r="R789" s="184">
        <v>16987</v>
      </c>
      <c r="S789">
        <v>77</v>
      </c>
      <c r="U789" t="s">
        <v>7076</v>
      </c>
      <c r="V789" t="s">
        <v>2903</v>
      </c>
      <c r="X789" t="s">
        <v>2706</v>
      </c>
      <c r="AF789" t="s">
        <v>11515</v>
      </c>
      <c r="AG789" t="s">
        <v>2903</v>
      </c>
      <c r="AI789" t="s">
        <v>11516</v>
      </c>
      <c r="AM789" t="s">
        <v>4031</v>
      </c>
      <c r="AN789" t="s">
        <v>2059</v>
      </c>
      <c r="AO789" t="s">
        <v>11517</v>
      </c>
      <c r="AP789" t="s">
        <v>7024</v>
      </c>
      <c r="AQ789" t="s">
        <v>11518</v>
      </c>
      <c r="AT789" s="184">
        <v>33137</v>
      </c>
      <c r="AU789" t="s">
        <v>11519</v>
      </c>
      <c r="AV789">
        <v>20</v>
      </c>
      <c r="AW789" s="184">
        <v>44865</v>
      </c>
      <c r="AX789" t="s">
        <v>11520</v>
      </c>
      <c r="AY789">
        <v>25</v>
      </c>
      <c r="AZ789" s="184">
        <v>44865</v>
      </c>
      <c r="BA789" t="s">
        <v>11520</v>
      </c>
      <c r="BB789">
        <v>25</v>
      </c>
      <c r="BC789">
        <v>83</v>
      </c>
      <c r="BD789">
        <v>1098</v>
      </c>
      <c r="BE789">
        <v>1991</v>
      </c>
      <c r="BF789">
        <v>89</v>
      </c>
      <c r="BG789">
        <v>1</v>
      </c>
      <c r="BH789">
        <v>25</v>
      </c>
      <c r="BI789">
        <v>29</v>
      </c>
      <c r="BJ789">
        <v>35</v>
      </c>
      <c r="BK789">
        <v>18</v>
      </c>
      <c r="BP789" s="184"/>
    </row>
    <row r="790" spans="1:68">
      <c r="A790">
        <v>4627972</v>
      </c>
      <c r="B790">
        <v>4627972</v>
      </c>
      <c r="C790" t="s">
        <v>7018</v>
      </c>
      <c r="E790" s="184"/>
      <c r="G790" s="184"/>
      <c r="I790" s="184"/>
      <c r="J790" t="s">
        <v>595</v>
      </c>
      <c r="K790" s="184">
        <v>44516</v>
      </c>
      <c r="O790" s="184"/>
      <c r="P790" t="s">
        <v>7084</v>
      </c>
      <c r="Q790" t="s">
        <v>7454</v>
      </c>
      <c r="R790" s="184">
        <v>17121</v>
      </c>
      <c r="S790">
        <v>77</v>
      </c>
      <c r="U790" t="s">
        <v>7076</v>
      </c>
      <c r="V790" t="s">
        <v>2718</v>
      </c>
      <c r="X790" t="s">
        <v>11521</v>
      </c>
      <c r="AF790" t="s">
        <v>11522</v>
      </c>
      <c r="AG790" t="s">
        <v>2718</v>
      </c>
      <c r="AI790" t="s">
        <v>11523</v>
      </c>
      <c r="AM790" t="s">
        <v>2608</v>
      </c>
      <c r="AN790" t="s">
        <v>2299</v>
      </c>
      <c r="AO790" t="s">
        <v>11524</v>
      </c>
      <c r="AP790" t="s">
        <v>7024</v>
      </c>
      <c r="AT790" s="184">
        <v>33140</v>
      </c>
      <c r="AU790" t="s">
        <v>11525</v>
      </c>
      <c r="AV790">
        <v>17</v>
      </c>
      <c r="AW790" s="184">
        <v>45291</v>
      </c>
      <c r="AX790" t="s">
        <v>7296</v>
      </c>
      <c r="AY790">
        <v>1714.63</v>
      </c>
      <c r="AZ790" s="184">
        <v>44550</v>
      </c>
      <c r="BA790" t="s">
        <v>7093</v>
      </c>
      <c r="BB790">
        <v>158931.82999999999</v>
      </c>
      <c r="BC790">
        <v>40</v>
      </c>
      <c r="BD790">
        <v>410210.53</v>
      </c>
      <c r="BE790">
        <v>1991</v>
      </c>
      <c r="BF790">
        <v>18</v>
      </c>
      <c r="BG790">
        <v>2</v>
      </c>
      <c r="BH790">
        <v>25939.47</v>
      </c>
      <c r="BI790">
        <v>14</v>
      </c>
      <c r="BJ790">
        <v>35</v>
      </c>
      <c r="BK790">
        <v>7</v>
      </c>
      <c r="BO790" t="s">
        <v>595</v>
      </c>
      <c r="BP790" s="184">
        <v>44408</v>
      </c>
    </row>
    <row r="791" spans="1:68">
      <c r="A791">
        <v>4629390</v>
      </c>
      <c r="B791">
        <v>4629390</v>
      </c>
      <c r="C791" t="s">
        <v>7018</v>
      </c>
      <c r="D791" t="s">
        <v>595</v>
      </c>
      <c r="E791" s="184">
        <v>43745</v>
      </c>
      <c r="I791" s="184"/>
      <c r="K791" s="184"/>
      <c r="O791" s="184"/>
      <c r="P791" t="s">
        <v>7045</v>
      </c>
      <c r="Q791" t="s">
        <v>7383</v>
      </c>
      <c r="R791" s="184">
        <v>18902</v>
      </c>
      <c r="S791">
        <v>72</v>
      </c>
      <c r="U791" t="s">
        <v>7031</v>
      </c>
      <c r="V791" t="s">
        <v>4093</v>
      </c>
      <c r="W791" t="s">
        <v>5006</v>
      </c>
      <c r="X791" t="s">
        <v>4094</v>
      </c>
      <c r="AF791" t="s">
        <v>11526</v>
      </c>
      <c r="AG791" t="s">
        <v>4093</v>
      </c>
      <c r="AI791" t="s">
        <v>11527</v>
      </c>
      <c r="AM791" t="s">
        <v>4095</v>
      </c>
      <c r="AN791" t="s">
        <v>2313</v>
      </c>
      <c r="AO791" t="s">
        <v>11528</v>
      </c>
      <c r="AP791" t="s">
        <v>7024</v>
      </c>
      <c r="AQ791" t="s">
        <v>11529</v>
      </c>
      <c r="AT791" s="184">
        <v>33141</v>
      </c>
      <c r="AU791" t="s">
        <v>11530</v>
      </c>
      <c r="AV791">
        <v>25</v>
      </c>
      <c r="AW791" s="184">
        <v>45222</v>
      </c>
      <c r="AX791" t="s">
        <v>7217</v>
      </c>
      <c r="AY791">
        <v>25</v>
      </c>
      <c r="AZ791" s="184">
        <v>45222</v>
      </c>
      <c r="BA791" t="s">
        <v>7217</v>
      </c>
      <c r="BB791">
        <v>25</v>
      </c>
      <c r="BC791">
        <v>89</v>
      </c>
      <c r="BD791">
        <v>900</v>
      </c>
      <c r="BE791">
        <v>1991</v>
      </c>
      <c r="BF791">
        <v>36</v>
      </c>
      <c r="BG791">
        <v>2</v>
      </c>
      <c r="BH791">
        <v>50</v>
      </c>
      <c r="BI791">
        <v>31</v>
      </c>
      <c r="BJ791">
        <v>35</v>
      </c>
      <c r="BK791">
        <v>20</v>
      </c>
      <c r="BP791" s="184"/>
    </row>
    <row r="792" spans="1:68">
      <c r="A792">
        <v>4629762</v>
      </c>
      <c r="B792">
        <v>4629762</v>
      </c>
      <c r="C792" t="s">
        <v>7018</v>
      </c>
      <c r="E792" s="184"/>
      <c r="G792" s="184"/>
      <c r="J792" t="s">
        <v>595</v>
      </c>
      <c r="K792" s="184">
        <v>44501</v>
      </c>
      <c r="O792" s="184"/>
      <c r="P792" t="s">
        <v>7045</v>
      </c>
      <c r="Q792" t="s">
        <v>7020</v>
      </c>
      <c r="R792" s="184">
        <v>19391</v>
      </c>
      <c r="S792">
        <v>71</v>
      </c>
      <c r="U792" t="s">
        <v>7076</v>
      </c>
      <c r="V792" t="s">
        <v>2903</v>
      </c>
      <c r="X792" t="s">
        <v>11531</v>
      </c>
      <c r="Z792">
        <v>100586105</v>
      </c>
      <c r="AA792" t="s">
        <v>7031</v>
      </c>
      <c r="AB792" t="s">
        <v>11532</v>
      </c>
      <c r="AD792" t="s">
        <v>11531</v>
      </c>
      <c r="AF792" t="s">
        <v>11533</v>
      </c>
      <c r="AG792" t="s">
        <v>11534</v>
      </c>
      <c r="AI792" t="s">
        <v>11535</v>
      </c>
      <c r="AM792" t="s">
        <v>11536</v>
      </c>
      <c r="AN792" t="s">
        <v>2129</v>
      </c>
      <c r="AO792" t="s">
        <v>11537</v>
      </c>
      <c r="AP792" t="s">
        <v>7024</v>
      </c>
      <c r="AQ792" t="s">
        <v>11538</v>
      </c>
      <c r="AT792" s="184">
        <v>33141</v>
      </c>
      <c r="AU792" t="s">
        <v>11539</v>
      </c>
      <c r="AV792">
        <v>30</v>
      </c>
      <c r="AW792" s="184">
        <v>45086</v>
      </c>
      <c r="AX792" t="s">
        <v>7937</v>
      </c>
      <c r="AY792">
        <v>75</v>
      </c>
      <c r="AZ792" s="184">
        <v>41799</v>
      </c>
      <c r="BA792" t="s">
        <v>11540</v>
      </c>
      <c r="BB792">
        <v>100</v>
      </c>
      <c r="BC792">
        <v>72</v>
      </c>
      <c r="BD792">
        <v>1575</v>
      </c>
      <c r="BE792">
        <v>1991</v>
      </c>
      <c r="BF792">
        <v>30</v>
      </c>
      <c r="BG792">
        <v>2</v>
      </c>
      <c r="BH792">
        <v>150</v>
      </c>
      <c r="BI792">
        <v>25</v>
      </c>
      <c r="BJ792">
        <v>35</v>
      </c>
      <c r="BK792">
        <v>8</v>
      </c>
      <c r="BP792" s="184"/>
    </row>
    <row r="793" spans="1:68">
      <c r="A793">
        <v>100586105</v>
      </c>
      <c r="B793">
        <v>4629762</v>
      </c>
      <c r="C793" t="s">
        <v>7018</v>
      </c>
      <c r="E793" s="184"/>
      <c r="G793" s="184"/>
      <c r="I793" s="184"/>
      <c r="J793" t="s">
        <v>595</v>
      </c>
      <c r="K793" s="184">
        <v>44501</v>
      </c>
      <c r="O793" s="184"/>
      <c r="P793" t="s">
        <v>7045</v>
      </c>
      <c r="Q793" t="s">
        <v>7020</v>
      </c>
      <c r="R793" s="184"/>
      <c r="U793" t="s">
        <v>7031</v>
      </c>
      <c r="V793" t="s">
        <v>11532</v>
      </c>
      <c r="X793" t="s">
        <v>11531</v>
      </c>
      <c r="Z793">
        <v>4629762</v>
      </c>
      <c r="AA793" t="s">
        <v>7076</v>
      </c>
      <c r="AB793" t="s">
        <v>2903</v>
      </c>
      <c r="AD793" t="s">
        <v>11531</v>
      </c>
      <c r="AF793" t="s">
        <v>11533</v>
      </c>
      <c r="AG793" t="s">
        <v>11534</v>
      </c>
      <c r="AI793" t="s">
        <v>11535</v>
      </c>
      <c r="AM793" t="s">
        <v>11536</v>
      </c>
      <c r="AN793" t="s">
        <v>2129</v>
      </c>
      <c r="AO793" t="s">
        <v>11537</v>
      </c>
      <c r="AP793" t="s">
        <v>7024</v>
      </c>
      <c r="AT793" s="184"/>
      <c r="AW793" s="184"/>
      <c r="AZ793" s="184"/>
      <c r="BP793" s="184"/>
    </row>
    <row r="794" spans="1:68">
      <c r="A794">
        <v>4638052</v>
      </c>
      <c r="B794">
        <v>4638052</v>
      </c>
      <c r="C794" t="s">
        <v>7018</v>
      </c>
      <c r="D794" t="s">
        <v>595</v>
      </c>
      <c r="E794" s="184">
        <v>44104</v>
      </c>
      <c r="G794" s="184"/>
      <c r="H794" t="s">
        <v>595</v>
      </c>
      <c r="I794" s="184">
        <v>44109</v>
      </c>
      <c r="K794" s="184"/>
      <c r="O794" s="184"/>
      <c r="P794" t="s">
        <v>7045</v>
      </c>
      <c r="Q794" t="s">
        <v>7160</v>
      </c>
      <c r="R794" s="184">
        <v>17795</v>
      </c>
      <c r="S794">
        <v>75</v>
      </c>
      <c r="T794" t="s">
        <v>3663</v>
      </c>
      <c r="V794" t="s">
        <v>5006</v>
      </c>
      <c r="W794" t="s">
        <v>3663</v>
      </c>
      <c r="X794" t="s">
        <v>5007</v>
      </c>
      <c r="AF794" t="s">
        <v>11541</v>
      </c>
      <c r="AG794" t="s">
        <v>5990</v>
      </c>
      <c r="AI794" t="s">
        <v>11542</v>
      </c>
      <c r="AM794" t="s">
        <v>2571</v>
      </c>
      <c r="AN794" t="s">
        <v>2446</v>
      </c>
      <c r="AO794" t="s">
        <v>11543</v>
      </c>
      <c r="AP794" t="s">
        <v>7024</v>
      </c>
      <c r="AQ794" t="s">
        <v>11544</v>
      </c>
      <c r="AT794" s="184">
        <v>33150</v>
      </c>
      <c r="AU794" t="s">
        <v>10106</v>
      </c>
      <c r="AV794">
        <v>19.95</v>
      </c>
      <c r="AW794" s="184">
        <v>45054</v>
      </c>
      <c r="AX794" t="s">
        <v>11545</v>
      </c>
      <c r="AY794">
        <v>35</v>
      </c>
      <c r="AZ794" s="184">
        <v>42451</v>
      </c>
      <c r="BA794" t="s">
        <v>11546</v>
      </c>
      <c r="BB794">
        <v>65</v>
      </c>
      <c r="BC794">
        <v>52</v>
      </c>
      <c r="BD794">
        <v>929.95</v>
      </c>
      <c r="BE794">
        <v>1991</v>
      </c>
      <c r="BF794">
        <v>21</v>
      </c>
      <c r="BG794">
        <v>2</v>
      </c>
      <c r="BH794">
        <v>70</v>
      </c>
      <c r="BI794">
        <v>18</v>
      </c>
      <c r="BJ794">
        <v>35</v>
      </c>
      <c r="BK794">
        <v>3</v>
      </c>
      <c r="BP794" s="184"/>
    </row>
    <row r="795" spans="1:68">
      <c r="A795">
        <v>4645685</v>
      </c>
      <c r="B795">
        <v>4645685</v>
      </c>
      <c r="C795" t="s">
        <v>7018</v>
      </c>
      <c r="D795" t="s">
        <v>595</v>
      </c>
      <c r="E795" s="184">
        <v>44123</v>
      </c>
      <c r="G795" s="184"/>
      <c r="I795" s="184"/>
      <c r="K795" s="184"/>
      <c r="O795" s="184"/>
      <c r="P795" t="s">
        <v>7045</v>
      </c>
      <c r="Q795" t="s">
        <v>7160</v>
      </c>
      <c r="R795" s="184">
        <v>7610</v>
      </c>
      <c r="S795">
        <v>103</v>
      </c>
      <c r="U795" t="s">
        <v>7237</v>
      </c>
      <c r="V795" t="s">
        <v>3332</v>
      </c>
      <c r="W795" t="s">
        <v>2963</v>
      </c>
      <c r="X795" t="s">
        <v>11547</v>
      </c>
      <c r="AF795" t="s">
        <v>11548</v>
      </c>
      <c r="AG795" t="s">
        <v>11549</v>
      </c>
      <c r="AI795" t="s">
        <v>11550</v>
      </c>
      <c r="AM795" t="s">
        <v>4574</v>
      </c>
      <c r="AN795" t="s">
        <v>2395</v>
      </c>
      <c r="AO795" t="s">
        <v>11551</v>
      </c>
      <c r="AP795" t="s">
        <v>7024</v>
      </c>
      <c r="AT795" s="184">
        <v>33142</v>
      </c>
      <c r="AU795" t="s">
        <v>11379</v>
      </c>
      <c r="AV795">
        <v>15</v>
      </c>
      <c r="AW795" s="184">
        <v>44060</v>
      </c>
      <c r="AX795" t="s">
        <v>9370</v>
      </c>
      <c r="AY795">
        <v>10</v>
      </c>
      <c r="AZ795" s="184">
        <v>43920</v>
      </c>
      <c r="BA795" t="s">
        <v>11552</v>
      </c>
      <c r="BB795">
        <v>25</v>
      </c>
      <c r="BC795">
        <v>86</v>
      </c>
      <c r="BD795">
        <v>875</v>
      </c>
      <c r="BE795">
        <v>1991</v>
      </c>
      <c r="BF795">
        <v>42</v>
      </c>
      <c r="BI795">
        <v>30</v>
      </c>
      <c r="BJ795">
        <v>35</v>
      </c>
      <c r="BK795">
        <v>27</v>
      </c>
      <c r="BP795" s="184"/>
    </row>
    <row r="796" spans="1:68">
      <c r="A796">
        <v>4669677</v>
      </c>
      <c r="B796">
        <v>4669677</v>
      </c>
      <c r="C796" t="s">
        <v>7018</v>
      </c>
      <c r="E796" s="184"/>
      <c r="G796" s="184"/>
      <c r="I796" s="184"/>
      <c r="J796" t="s">
        <v>595</v>
      </c>
      <c r="K796" s="184">
        <v>42632</v>
      </c>
      <c r="O796" s="184"/>
      <c r="P796" t="s">
        <v>7029</v>
      </c>
      <c r="Q796" t="s">
        <v>7383</v>
      </c>
      <c r="R796" s="184">
        <v>23227</v>
      </c>
      <c r="S796">
        <v>60</v>
      </c>
      <c r="U796" t="s">
        <v>7031</v>
      </c>
      <c r="V796" t="s">
        <v>2665</v>
      </c>
      <c r="W796" t="s">
        <v>7067</v>
      </c>
      <c r="X796" t="s">
        <v>5800</v>
      </c>
      <c r="AF796" t="s">
        <v>11553</v>
      </c>
      <c r="AG796" t="s">
        <v>2665</v>
      </c>
      <c r="AI796" t="s">
        <v>11554</v>
      </c>
      <c r="AM796" t="s">
        <v>3045</v>
      </c>
      <c r="AN796" t="s">
        <v>2118</v>
      </c>
      <c r="AO796" t="s">
        <v>11555</v>
      </c>
      <c r="AP796" t="s">
        <v>7024</v>
      </c>
      <c r="AT796" s="184">
        <v>33147</v>
      </c>
      <c r="AU796" t="s">
        <v>11556</v>
      </c>
      <c r="AV796">
        <v>50</v>
      </c>
      <c r="AW796" s="184">
        <v>44697</v>
      </c>
      <c r="AX796" t="s">
        <v>8890</v>
      </c>
      <c r="AY796">
        <v>1000</v>
      </c>
      <c r="AZ796" s="184">
        <v>44354</v>
      </c>
      <c r="BA796" t="s">
        <v>11557</v>
      </c>
      <c r="BB796">
        <v>1500</v>
      </c>
      <c r="BC796">
        <v>92</v>
      </c>
      <c r="BD796">
        <v>22804.560000000001</v>
      </c>
      <c r="BE796">
        <v>1991</v>
      </c>
      <c r="BF796">
        <v>39</v>
      </c>
      <c r="BG796">
        <v>1</v>
      </c>
      <c r="BH796">
        <v>1000</v>
      </c>
      <c r="BI796">
        <v>32</v>
      </c>
      <c r="BJ796">
        <v>35</v>
      </c>
      <c r="BK796">
        <v>27</v>
      </c>
      <c r="BP796" s="184"/>
    </row>
    <row r="797" spans="1:68">
      <c r="A797">
        <v>4674156</v>
      </c>
      <c r="B797">
        <v>4674156</v>
      </c>
      <c r="C797" t="s">
        <v>7018</v>
      </c>
      <c r="E797" s="184"/>
      <c r="G797" s="184"/>
      <c r="I797" s="184"/>
      <c r="J797" t="s">
        <v>595</v>
      </c>
      <c r="K797" s="184">
        <v>37771</v>
      </c>
      <c r="O797" s="184"/>
      <c r="P797" t="s">
        <v>7029</v>
      </c>
      <c r="Q797" t="s">
        <v>7262</v>
      </c>
      <c r="R797" s="184">
        <v>15854</v>
      </c>
      <c r="S797">
        <v>80</v>
      </c>
      <c r="U797" t="s">
        <v>7076</v>
      </c>
      <c r="V797" t="s">
        <v>2876</v>
      </c>
      <c r="W797" t="s">
        <v>7046</v>
      </c>
      <c r="X797" t="s">
        <v>4813</v>
      </c>
      <c r="AF797" t="s">
        <v>6124</v>
      </c>
      <c r="AG797" t="s">
        <v>2876</v>
      </c>
      <c r="AI797" t="s">
        <v>11558</v>
      </c>
      <c r="AM797" t="s">
        <v>4814</v>
      </c>
      <c r="AN797" t="s">
        <v>65</v>
      </c>
      <c r="AO797" t="s">
        <v>11559</v>
      </c>
      <c r="AP797" t="s">
        <v>7024</v>
      </c>
      <c r="AQ797" t="s">
        <v>11560</v>
      </c>
      <c r="AR797" t="s">
        <v>11561</v>
      </c>
      <c r="AT797" s="184">
        <v>33150</v>
      </c>
      <c r="AU797" t="s">
        <v>11562</v>
      </c>
      <c r="AV797">
        <v>15</v>
      </c>
      <c r="AW797" s="184">
        <v>45139</v>
      </c>
      <c r="AX797" t="s">
        <v>11151</v>
      </c>
      <c r="AY797">
        <v>500</v>
      </c>
      <c r="AZ797" s="184">
        <v>44908</v>
      </c>
      <c r="BA797" t="s">
        <v>11563</v>
      </c>
      <c r="BB797">
        <v>1000</v>
      </c>
      <c r="BC797">
        <v>55</v>
      </c>
      <c r="BD797">
        <v>6182.97</v>
      </c>
      <c r="BE797">
        <v>1991</v>
      </c>
      <c r="BF797">
        <v>21</v>
      </c>
      <c r="BG797">
        <v>2</v>
      </c>
      <c r="BH797">
        <v>1500</v>
      </c>
      <c r="BI797">
        <v>19</v>
      </c>
      <c r="BJ797">
        <v>35</v>
      </c>
      <c r="BK797">
        <v>9</v>
      </c>
      <c r="BM797" t="s">
        <v>595</v>
      </c>
      <c r="BP797" s="184"/>
    </row>
    <row r="798" spans="1:68">
      <c r="A798">
        <v>4674883</v>
      </c>
      <c r="B798">
        <v>4674883</v>
      </c>
      <c r="C798" t="s">
        <v>7018</v>
      </c>
      <c r="D798" t="s">
        <v>595</v>
      </c>
      <c r="E798" s="184">
        <v>44104</v>
      </c>
      <c r="G798" s="184"/>
      <c r="I798" s="184"/>
      <c r="K798" s="184"/>
      <c r="P798" t="s">
        <v>7045</v>
      </c>
      <c r="Q798" t="s">
        <v>7020</v>
      </c>
      <c r="R798" s="184">
        <v>19146</v>
      </c>
      <c r="S798">
        <v>71</v>
      </c>
      <c r="U798" t="s">
        <v>7076</v>
      </c>
      <c r="V798" t="s">
        <v>3220</v>
      </c>
      <c r="X798" t="s">
        <v>3120</v>
      </c>
      <c r="AF798" t="s">
        <v>11564</v>
      </c>
      <c r="AG798" t="s">
        <v>3220</v>
      </c>
      <c r="AI798" t="s">
        <v>11565</v>
      </c>
      <c r="AM798" t="s">
        <v>11566</v>
      </c>
      <c r="AN798" t="s">
        <v>2052</v>
      </c>
      <c r="AO798" t="s">
        <v>11567</v>
      </c>
      <c r="AP798" t="s">
        <v>7024</v>
      </c>
      <c r="AQ798" t="s">
        <v>11568</v>
      </c>
      <c r="AT798" s="184">
        <v>33150</v>
      </c>
      <c r="AU798" t="s">
        <v>11569</v>
      </c>
      <c r="AV798">
        <v>25</v>
      </c>
      <c r="AW798" s="184">
        <v>44782</v>
      </c>
      <c r="AX798" t="s">
        <v>11570</v>
      </c>
      <c r="AY798">
        <v>50</v>
      </c>
      <c r="AZ798" s="184">
        <v>43045</v>
      </c>
      <c r="BA798" t="s">
        <v>11571</v>
      </c>
      <c r="BB798">
        <v>115</v>
      </c>
      <c r="BC798">
        <v>40</v>
      </c>
      <c r="BD798">
        <v>1245</v>
      </c>
      <c r="BE798">
        <v>1991</v>
      </c>
      <c r="BF798">
        <v>25</v>
      </c>
      <c r="BG798">
        <v>1</v>
      </c>
      <c r="BH798">
        <v>50</v>
      </c>
      <c r="BI798">
        <v>14</v>
      </c>
      <c r="BJ798">
        <v>35</v>
      </c>
      <c r="BK798">
        <v>8</v>
      </c>
      <c r="BP798" s="184"/>
    </row>
    <row r="799" spans="1:68">
      <c r="A799">
        <v>4684676</v>
      </c>
      <c r="B799">
        <v>4684676</v>
      </c>
      <c r="C799" t="s">
        <v>7018</v>
      </c>
      <c r="D799" t="s">
        <v>595</v>
      </c>
      <c r="E799" s="184">
        <v>44118</v>
      </c>
      <c r="G799" s="184"/>
      <c r="I799" s="184"/>
      <c r="K799" s="184"/>
      <c r="O799" s="184"/>
      <c r="P799" t="s">
        <v>7045</v>
      </c>
      <c r="Q799" t="s">
        <v>7383</v>
      </c>
      <c r="R799" s="184">
        <v>18820</v>
      </c>
      <c r="S799">
        <v>72</v>
      </c>
      <c r="U799" t="s">
        <v>7031</v>
      </c>
      <c r="V799" t="s">
        <v>2821</v>
      </c>
      <c r="X799" t="s">
        <v>11572</v>
      </c>
      <c r="AF799" t="s">
        <v>11573</v>
      </c>
      <c r="AG799" t="s">
        <v>2821</v>
      </c>
      <c r="AI799" t="s">
        <v>11574</v>
      </c>
      <c r="AM799" t="s">
        <v>2737</v>
      </c>
      <c r="AN799" t="s">
        <v>2059</v>
      </c>
      <c r="AO799" t="s">
        <v>11575</v>
      </c>
      <c r="AP799" t="s">
        <v>7024</v>
      </c>
      <c r="AT799" s="184">
        <v>33151</v>
      </c>
      <c r="AU799" t="s">
        <v>11576</v>
      </c>
      <c r="AV799">
        <v>15</v>
      </c>
      <c r="AW799" s="184">
        <v>44943</v>
      </c>
      <c r="AX799" t="s">
        <v>11577</v>
      </c>
      <c r="AY799">
        <v>35</v>
      </c>
      <c r="AZ799" s="184">
        <v>40630</v>
      </c>
      <c r="BA799" t="s">
        <v>11578</v>
      </c>
      <c r="BB799">
        <v>50</v>
      </c>
      <c r="BC799">
        <v>95</v>
      </c>
      <c r="BD799">
        <v>1604</v>
      </c>
      <c r="BE799">
        <v>1991</v>
      </c>
      <c r="BF799">
        <v>70</v>
      </c>
      <c r="BG799">
        <v>2</v>
      </c>
      <c r="BH799">
        <v>55</v>
      </c>
      <c r="BI799">
        <v>33</v>
      </c>
      <c r="BJ799">
        <v>35</v>
      </c>
      <c r="BK799">
        <v>25</v>
      </c>
      <c r="BP799" s="184"/>
    </row>
    <row r="800" spans="1:68">
      <c r="A800">
        <v>4699294</v>
      </c>
      <c r="B800">
        <v>4699294</v>
      </c>
      <c r="C800" t="s">
        <v>7018</v>
      </c>
      <c r="D800" t="s">
        <v>595</v>
      </c>
      <c r="E800" s="184">
        <v>44073</v>
      </c>
      <c r="I800" s="184"/>
      <c r="K800" s="184"/>
      <c r="O800" s="184"/>
      <c r="P800" t="s">
        <v>7045</v>
      </c>
      <c r="Q800" t="s">
        <v>7383</v>
      </c>
      <c r="R800" s="184">
        <v>15379</v>
      </c>
      <c r="S800">
        <v>82</v>
      </c>
      <c r="V800" t="s">
        <v>2832</v>
      </c>
      <c r="X800" t="s">
        <v>11579</v>
      </c>
      <c r="Z800">
        <v>100021544</v>
      </c>
      <c r="AB800" t="s">
        <v>4407</v>
      </c>
      <c r="AD800" t="s">
        <v>11579</v>
      </c>
      <c r="AF800" t="s">
        <v>11580</v>
      </c>
      <c r="AG800" t="s">
        <v>11581</v>
      </c>
      <c r="AI800" t="s">
        <v>11582</v>
      </c>
      <c r="AM800" t="s">
        <v>3428</v>
      </c>
      <c r="AN800" t="s">
        <v>2118</v>
      </c>
      <c r="AO800" t="s">
        <v>11583</v>
      </c>
      <c r="AP800" t="s">
        <v>7024</v>
      </c>
      <c r="AQ800" t="s">
        <v>11584</v>
      </c>
      <c r="AR800" t="s">
        <v>11585</v>
      </c>
      <c r="AT800" s="184">
        <v>33158</v>
      </c>
      <c r="AU800" t="s">
        <v>11576</v>
      </c>
      <c r="AV800">
        <v>15</v>
      </c>
      <c r="AW800" s="184">
        <v>43007</v>
      </c>
      <c r="AX800" t="s">
        <v>11380</v>
      </c>
      <c r="AY800">
        <v>50</v>
      </c>
      <c r="AZ800" s="184">
        <v>39513</v>
      </c>
      <c r="BA800" t="s">
        <v>11586</v>
      </c>
      <c r="BB800">
        <v>700</v>
      </c>
      <c r="BC800">
        <v>78</v>
      </c>
      <c r="BD800">
        <v>4690</v>
      </c>
      <c r="BE800">
        <v>1991</v>
      </c>
      <c r="BF800">
        <v>30</v>
      </c>
      <c r="BI800">
        <v>27</v>
      </c>
      <c r="BJ800">
        <v>35</v>
      </c>
      <c r="BK800">
        <v>25</v>
      </c>
      <c r="BP800" s="184"/>
    </row>
    <row r="801" spans="1:68">
      <c r="A801">
        <v>100021544</v>
      </c>
      <c r="B801">
        <v>4699294</v>
      </c>
      <c r="C801" t="s">
        <v>7018</v>
      </c>
      <c r="D801" t="s">
        <v>595</v>
      </c>
      <c r="E801" s="184">
        <v>44073</v>
      </c>
      <c r="G801" s="184"/>
      <c r="I801" s="184"/>
      <c r="K801" s="184"/>
      <c r="O801" s="184"/>
      <c r="P801" t="s">
        <v>7045</v>
      </c>
      <c r="Q801" t="s">
        <v>7383</v>
      </c>
      <c r="R801" s="184">
        <v>19207</v>
      </c>
      <c r="S801">
        <v>71</v>
      </c>
      <c r="V801" t="s">
        <v>4407</v>
      </c>
      <c r="X801" t="s">
        <v>11579</v>
      </c>
      <c r="Z801">
        <v>4699294</v>
      </c>
      <c r="AB801" t="s">
        <v>2832</v>
      </c>
      <c r="AD801" t="s">
        <v>11579</v>
      </c>
      <c r="AF801" t="s">
        <v>11580</v>
      </c>
      <c r="AG801" t="s">
        <v>11581</v>
      </c>
      <c r="AI801" t="s">
        <v>11582</v>
      </c>
      <c r="AM801" t="s">
        <v>3428</v>
      </c>
      <c r="AN801" t="s">
        <v>2118</v>
      </c>
      <c r="AO801" t="s">
        <v>11583</v>
      </c>
      <c r="AP801" t="s">
        <v>7024</v>
      </c>
      <c r="AT801" s="184"/>
      <c r="AW801" s="184"/>
      <c r="AZ801" s="184"/>
      <c r="BP801" s="184"/>
    </row>
    <row r="802" spans="1:68">
      <c r="A802">
        <v>4700795</v>
      </c>
      <c r="B802">
        <v>4700795</v>
      </c>
      <c r="C802" t="s">
        <v>7018</v>
      </c>
      <c r="E802" s="184"/>
      <c r="G802" s="184"/>
      <c r="I802" s="184"/>
      <c r="J802" t="s">
        <v>595</v>
      </c>
      <c r="K802" s="184">
        <v>41921</v>
      </c>
      <c r="O802" s="184"/>
      <c r="P802" t="s">
        <v>7019</v>
      </c>
      <c r="Q802" t="s">
        <v>7383</v>
      </c>
      <c r="R802" s="184">
        <v>19511</v>
      </c>
      <c r="S802">
        <v>70</v>
      </c>
      <c r="U802" t="s">
        <v>7031</v>
      </c>
      <c r="V802" t="s">
        <v>2511</v>
      </c>
      <c r="X802" t="s">
        <v>4291</v>
      </c>
      <c r="Z802">
        <v>100021550</v>
      </c>
      <c r="AA802" t="s">
        <v>7130</v>
      </c>
      <c r="AB802" t="s">
        <v>5400</v>
      </c>
      <c r="AD802" t="s">
        <v>4291</v>
      </c>
      <c r="AF802" t="s">
        <v>11587</v>
      </c>
      <c r="AG802" t="s">
        <v>11588</v>
      </c>
      <c r="AI802" t="s">
        <v>11589</v>
      </c>
      <c r="AM802" t="s">
        <v>11590</v>
      </c>
      <c r="AN802" t="s">
        <v>2313</v>
      </c>
      <c r="AO802" t="s">
        <v>11591</v>
      </c>
      <c r="AP802" t="s">
        <v>7024</v>
      </c>
      <c r="AQ802" t="s">
        <v>11592</v>
      </c>
      <c r="AT802" s="184">
        <v>33158</v>
      </c>
      <c r="AU802" t="s">
        <v>11576</v>
      </c>
      <c r="AV802">
        <v>15</v>
      </c>
      <c r="AW802" s="184">
        <v>41001</v>
      </c>
      <c r="AX802" t="s">
        <v>11593</v>
      </c>
      <c r="AY802">
        <v>60</v>
      </c>
      <c r="AZ802" s="184">
        <v>41001</v>
      </c>
      <c r="BA802" t="s">
        <v>11593</v>
      </c>
      <c r="BB802">
        <v>60</v>
      </c>
      <c r="BC802">
        <v>49</v>
      </c>
      <c r="BD802">
        <v>540</v>
      </c>
      <c r="BE802">
        <v>1991</v>
      </c>
      <c r="BF802">
        <v>17</v>
      </c>
      <c r="BI802">
        <v>17</v>
      </c>
      <c r="BJ802">
        <v>35</v>
      </c>
      <c r="BK802">
        <v>5</v>
      </c>
      <c r="BP802" s="184"/>
    </row>
    <row r="803" spans="1:68">
      <c r="A803">
        <v>100021550</v>
      </c>
      <c r="B803">
        <v>4700795</v>
      </c>
      <c r="C803" t="s">
        <v>7018</v>
      </c>
      <c r="E803" s="184"/>
      <c r="I803" s="184"/>
      <c r="J803" t="s">
        <v>595</v>
      </c>
      <c r="K803" s="184">
        <v>41921</v>
      </c>
      <c r="O803" s="184"/>
      <c r="P803" t="s">
        <v>7019</v>
      </c>
      <c r="Q803" t="s">
        <v>7383</v>
      </c>
      <c r="R803" s="184"/>
      <c r="U803" t="s">
        <v>7130</v>
      </c>
      <c r="V803" t="s">
        <v>5400</v>
      </c>
      <c r="X803" t="s">
        <v>4291</v>
      </c>
      <c r="Z803">
        <v>4700795</v>
      </c>
      <c r="AA803" t="s">
        <v>7031</v>
      </c>
      <c r="AB803" t="s">
        <v>2511</v>
      </c>
      <c r="AD803" t="s">
        <v>4291</v>
      </c>
      <c r="AF803" t="s">
        <v>11587</v>
      </c>
      <c r="AG803" t="s">
        <v>11588</v>
      </c>
      <c r="AI803" t="s">
        <v>11589</v>
      </c>
      <c r="AM803" t="s">
        <v>11590</v>
      </c>
      <c r="AN803" t="s">
        <v>2313</v>
      </c>
      <c r="AO803" t="s">
        <v>11591</v>
      </c>
      <c r="AP803" t="s">
        <v>7024</v>
      </c>
      <c r="AQ803" t="s">
        <v>11594</v>
      </c>
      <c r="AT803" s="184"/>
      <c r="AW803" s="184"/>
      <c r="AZ803" s="184"/>
      <c r="BP803" s="184"/>
    </row>
    <row r="804" spans="1:68">
      <c r="A804">
        <v>4701439</v>
      </c>
      <c r="B804">
        <v>4701439</v>
      </c>
      <c r="C804" t="s">
        <v>7018</v>
      </c>
      <c r="E804" s="184"/>
      <c r="G804" s="184"/>
      <c r="H804" t="s">
        <v>595</v>
      </c>
      <c r="I804" s="184">
        <v>44168</v>
      </c>
      <c r="K804" s="184"/>
      <c r="O804" s="184"/>
      <c r="P804" t="s">
        <v>7019</v>
      </c>
      <c r="Q804" t="s">
        <v>7374</v>
      </c>
      <c r="R804" s="184">
        <v>10228</v>
      </c>
      <c r="S804">
        <v>96</v>
      </c>
      <c r="U804" t="s">
        <v>7076</v>
      </c>
      <c r="V804" t="s">
        <v>3785</v>
      </c>
      <c r="W804" t="s">
        <v>3951</v>
      </c>
      <c r="X804" t="s">
        <v>11595</v>
      </c>
      <c r="AF804" t="s">
        <v>11596</v>
      </c>
      <c r="AG804" t="s">
        <v>3785</v>
      </c>
      <c r="AI804" t="s">
        <v>11597</v>
      </c>
      <c r="AM804" t="s">
        <v>11598</v>
      </c>
      <c r="AN804" t="s">
        <v>2066</v>
      </c>
      <c r="AO804" t="s">
        <v>11599</v>
      </c>
      <c r="AP804" t="s">
        <v>7024</v>
      </c>
      <c r="AQ804" t="s">
        <v>11600</v>
      </c>
      <c r="AT804" s="184">
        <v>33158</v>
      </c>
      <c r="AU804" t="s">
        <v>11244</v>
      </c>
      <c r="AV804">
        <v>15</v>
      </c>
      <c r="AW804" s="184">
        <v>38306</v>
      </c>
      <c r="AX804" t="s">
        <v>11601</v>
      </c>
      <c r="AY804">
        <v>60</v>
      </c>
      <c r="AZ804" s="184">
        <v>38306</v>
      </c>
      <c r="BA804" t="s">
        <v>11601</v>
      </c>
      <c r="BB804">
        <v>60</v>
      </c>
      <c r="BC804">
        <v>29</v>
      </c>
      <c r="BD804">
        <v>500</v>
      </c>
      <c r="BE804">
        <v>1991</v>
      </c>
      <c r="BF804">
        <v>19</v>
      </c>
      <c r="BI804">
        <v>10</v>
      </c>
      <c r="BJ804">
        <v>35</v>
      </c>
      <c r="BK804">
        <v>5</v>
      </c>
      <c r="BP804" s="184"/>
    </row>
    <row r="805" spans="1:68">
      <c r="A805">
        <v>4719183</v>
      </c>
      <c r="B805">
        <v>4719183</v>
      </c>
      <c r="C805" t="s">
        <v>7018</v>
      </c>
      <c r="E805" s="184"/>
      <c r="G805" s="184"/>
      <c r="I805" s="184"/>
      <c r="J805" t="s">
        <v>595</v>
      </c>
      <c r="K805" s="184">
        <v>42904</v>
      </c>
      <c r="O805" s="184"/>
      <c r="P805" t="s">
        <v>7045</v>
      </c>
      <c r="Q805" t="s">
        <v>7030</v>
      </c>
      <c r="R805" s="184">
        <v>20821</v>
      </c>
      <c r="S805">
        <v>67</v>
      </c>
      <c r="U805" t="s">
        <v>7076</v>
      </c>
      <c r="V805" t="s">
        <v>11602</v>
      </c>
      <c r="W805" t="s">
        <v>11603</v>
      </c>
      <c r="X805" t="s">
        <v>11604</v>
      </c>
      <c r="AF805" t="s">
        <v>11605</v>
      </c>
      <c r="AG805" t="s">
        <v>11602</v>
      </c>
      <c r="AI805" t="s">
        <v>11606</v>
      </c>
      <c r="AM805" t="s">
        <v>11607</v>
      </c>
      <c r="AN805" t="s">
        <v>2201</v>
      </c>
      <c r="AO805" t="s">
        <v>11608</v>
      </c>
      <c r="AP805" t="s">
        <v>7024</v>
      </c>
      <c r="AQ805" t="s">
        <v>11609</v>
      </c>
      <c r="AT805" s="184">
        <v>33163</v>
      </c>
      <c r="AU805" t="s">
        <v>11576</v>
      </c>
      <c r="AV805">
        <v>30</v>
      </c>
      <c r="AW805" s="184">
        <v>45424</v>
      </c>
      <c r="AX805" t="s">
        <v>7112</v>
      </c>
      <c r="AY805">
        <v>10.5</v>
      </c>
      <c r="AZ805" s="184">
        <v>41023</v>
      </c>
      <c r="BA805" t="s">
        <v>11610</v>
      </c>
      <c r="BB805">
        <v>180</v>
      </c>
      <c r="BC805">
        <v>80</v>
      </c>
      <c r="BD805">
        <v>3779.75</v>
      </c>
      <c r="BE805">
        <v>1991</v>
      </c>
      <c r="BF805">
        <v>82</v>
      </c>
      <c r="BG805">
        <v>10</v>
      </c>
      <c r="BH805">
        <v>114.75</v>
      </c>
      <c r="BI805">
        <v>28</v>
      </c>
      <c r="BJ805">
        <v>35</v>
      </c>
      <c r="BK805">
        <v>10</v>
      </c>
      <c r="BP805" s="184"/>
    </row>
    <row r="806" spans="1:68">
      <c r="A806">
        <v>4719282</v>
      </c>
      <c r="B806">
        <v>4719282</v>
      </c>
      <c r="C806" t="s">
        <v>7018</v>
      </c>
      <c r="D806" t="s">
        <v>595</v>
      </c>
      <c r="E806" s="184">
        <v>44073</v>
      </c>
      <c r="G806" s="184"/>
      <c r="I806" s="184"/>
      <c r="K806" s="184"/>
      <c r="O806" s="184"/>
      <c r="P806" t="s">
        <v>7045</v>
      </c>
      <c r="Q806" t="s">
        <v>7774</v>
      </c>
      <c r="R806" s="184">
        <v>14502</v>
      </c>
      <c r="S806">
        <v>84</v>
      </c>
      <c r="U806" t="s">
        <v>7076</v>
      </c>
      <c r="V806" t="s">
        <v>3101</v>
      </c>
      <c r="X806" t="s">
        <v>11611</v>
      </c>
      <c r="AF806" t="s">
        <v>11612</v>
      </c>
      <c r="AG806" t="s">
        <v>3101</v>
      </c>
      <c r="AI806" t="s">
        <v>11613</v>
      </c>
      <c r="AM806" t="s">
        <v>2853</v>
      </c>
      <c r="AN806" t="s">
        <v>2077</v>
      </c>
      <c r="AO806" t="s">
        <v>11614</v>
      </c>
      <c r="AP806" t="s">
        <v>7024</v>
      </c>
      <c r="AQ806" t="s">
        <v>11615</v>
      </c>
      <c r="AT806" s="184">
        <v>33163</v>
      </c>
      <c r="AU806" t="s">
        <v>11569</v>
      </c>
      <c r="AV806">
        <v>25</v>
      </c>
      <c r="AW806" s="184">
        <v>45411</v>
      </c>
      <c r="AX806" t="s">
        <v>11616</v>
      </c>
      <c r="AY806">
        <v>50</v>
      </c>
      <c r="AZ806" s="184">
        <v>37313</v>
      </c>
      <c r="BA806" t="s">
        <v>11617</v>
      </c>
      <c r="BB806">
        <v>60</v>
      </c>
      <c r="BC806">
        <v>78</v>
      </c>
      <c r="BD806">
        <v>1400</v>
      </c>
      <c r="BE806">
        <v>1991</v>
      </c>
      <c r="BF806">
        <v>30</v>
      </c>
      <c r="BG806">
        <v>4</v>
      </c>
      <c r="BH806">
        <v>200</v>
      </c>
      <c r="BI806">
        <v>27</v>
      </c>
      <c r="BJ806">
        <v>35</v>
      </c>
      <c r="BK806">
        <v>20</v>
      </c>
      <c r="BP806" s="184"/>
    </row>
    <row r="807" spans="1:68">
      <c r="A807">
        <v>4721742</v>
      </c>
      <c r="B807">
        <v>4721742</v>
      </c>
      <c r="C807" t="s">
        <v>7018</v>
      </c>
      <c r="E807" s="184"/>
      <c r="G807" s="184"/>
      <c r="I807" s="184"/>
      <c r="K807" s="184"/>
      <c r="N807" t="s">
        <v>595</v>
      </c>
      <c r="O807" s="184">
        <v>36129</v>
      </c>
      <c r="P807" t="s">
        <v>7045</v>
      </c>
      <c r="Q807" t="s">
        <v>7383</v>
      </c>
      <c r="R807" s="184">
        <v>5692</v>
      </c>
      <c r="S807">
        <v>108</v>
      </c>
      <c r="U807" t="s">
        <v>7130</v>
      </c>
      <c r="V807" t="s">
        <v>3101</v>
      </c>
      <c r="W807" t="s">
        <v>4327</v>
      </c>
      <c r="X807" t="s">
        <v>5731</v>
      </c>
      <c r="Z807">
        <v>100179900</v>
      </c>
      <c r="AA807" t="s">
        <v>7031</v>
      </c>
      <c r="AB807" t="s">
        <v>4093</v>
      </c>
      <c r="AC807" t="s">
        <v>3226</v>
      </c>
      <c r="AD807" t="s">
        <v>5731</v>
      </c>
      <c r="AF807" t="s">
        <v>11618</v>
      </c>
      <c r="AG807" t="s">
        <v>11619</v>
      </c>
      <c r="AI807" t="s">
        <v>11620</v>
      </c>
      <c r="AM807" t="s">
        <v>3815</v>
      </c>
      <c r="AN807" t="s">
        <v>2059</v>
      </c>
      <c r="AO807" t="s">
        <v>11621</v>
      </c>
      <c r="AP807" t="s">
        <v>7024</v>
      </c>
      <c r="AT807" s="184">
        <v>33164</v>
      </c>
      <c r="AU807" t="s">
        <v>11576</v>
      </c>
      <c r="AV807">
        <v>15</v>
      </c>
      <c r="AW807" s="184">
        <v>42500</v>
      </c>
      <c r="AX807" t="s">
        <v>11622</v>
      </c>
      <c r="AY807">
        <v>3490.4</v>
      </c>
      <c r="AZ807" s="184">
        <v>36129</v>
      </c>
      <c r="BA807" t="s">
        <v>7929</v>
      </c>
      <c r="BB807">
        <v>17662.5</v>
      </c>
      <c r="BC807">
        <v>55</v>
      </c>
      <c r="BD807">
        <v>22007.9</v>
      </c>
      <c r="BE807">
        <v>1991</v>
      </c>
      <c r="BF807">
        <v>30</v>
      </c>
      <c r="BI807">
        <v>19</v>
      </c>
      <c r="BJ807">
        <v>35</v>
      </c>
      <c r="BK807">
        <v>14</v>
      </c>
      <c r="BO807" t="s">
        <v>595</v>
      </c>
      <c r="BP807" s="184"/>
    </row>
    <row r="808" spans="1:68">
      <c r="A808">
        <v>4735403</v>
      </c>
      <c r="B808">
        <v>4735403</v>
      </c>
      <c r="C808" t="s">
        <v>7018</v>
      </c>
      <c r="D808" t="s">
        <v>595</v>
      </c>
      <c r="E808" s="184">
        <v>44167</v>
      </c>
      <c r="G808" s="184"/>
      <c r="I808" s="184"/>
      <c r="K808" s="184"/>
      <c r="O808" s="184"/>
      <c r="P808" t="s">
        <v>7045</v>
      </c>
      <c r="Q808" t="s">
        <v>7030</v>
      </c>
      <c r="R808" s="184">
        <v>21916</v>
      </c>
      <c r="S808">
        <v>64</v>
      </c>
      <c r="V808" t="s">
        <v>4407</v>
      </c>
      <c r="X808" t="s">
        <v>11623</v>
      </c>
      <c r="AF808" t="s">
        <v>11624</v>
      </c>
      <c r="AG808" t="s">
        <v>4407</v>
      </c>
      <c r="AI808" t="s">
        <v>11625</v>
      </c>
      <c r="AM808" t="s">
        <v>4462</v>
      </c>
      <c r="AN808" t="s">
        <v>2201</v>
      </c>
      <c r="AO808" t="s">
        <v>11626</v>
      </c>
      <c r="AP808" t="s">
        <v>7024</v>
      </c>
      <c r="AQ808" t="s">
        <v>11627</v>
      </c>
      <c r="AT808" s="184">
        <v>33157</v>
      </c>
      <c r="AU808" t="s">
        <v>11628</v>
      </c>
      <c r="AV808">
        <v>24</v>
      </c>
      <c r="AW808" s="184">
        <v>45140</v>
      </c>
      <c r="AX808" t="s">
        <v>11629</v>
      </c>
      <c r="AY808">
        <v>35</v>
      </c>
      <c r="AZ808" s="184">
        <v>43873</v>
      </c>
      <c r="BA808" t="s">
        <v>11630</v>
      </c>
      <c r="BB808">
        <v>87</v>
      </c>
      <c r="BC808">
        <v>46</v>
      </c>
      <c r="BD808">
        <v>821</v>
      </c>
      <c r="BE808">
        <v>1991</v>
      </c>
      <c r="BF808">
        <v>25</v>
      </c>
      <c r="BG808">
        <v>2</v>
      </c>
      <c r="BH808">
        <v>70</v>
      </c>
      <c r="BI808">
        <v>16</v>
      </c>
      <c r="BJ808">
        <v>35</v>
      </c>
      <c r="BK808">
        <v>9</v>
      </c>
      <c r="BP808" s="184"/>
    </row>
    <row r="809" spans="1:68">
      <c r="A809">
        <v>4741385</v>
      </c>
      <c r="B809">
        <v>4741385</v>
      </c>
      <c r="C809" t="s">
        <v>7018</v>
      </c>
      <c r="D809" t="s">
        <v>595</v>
      </c>
      <c r="E809" s="184">
        <v>43642</v>
      </c>
      <c r="G809" s="184"/>
      <c r="I809" s="184"/>
      <c r="K809" s="184"/>
      <c r="O809" s="184"/>
      <c r="P809" t="s">
        <v>7045</v>
      </c>
      <c r="Q809" t="s">
        <v>7020</v>
      </c>
      <c r="R809" s="184">
        <v>15716</v>
      </c>
      <c r="S809">
        <v>81</v>
      </c>
      <c r="U809" t="s">
        <v>7076</v>
      </c>
      <c r="V809" t="s">
        <v>3184</v>
      </c>
      <c r="X809" t="s">
        <v>3185</v>
      </c>
      <c r="AF809" t="s">
        <v>11631</v>
      </c>
      <c r="AG809" t="s">
        <v>3184</v>
      </c>
      <c r="AI809" t="s">
        <v>11632</v>
      </c>
      <c r="AM809" t="s">
        <v>3186</v>
      </c>
      <c r="AN809" t="s">
        <v>2112</v>
      </c>
      <c r="AO809" t="s">
        <v>11633</v>
      </c>
      <c r="AP809" t="s">
        <v>7024</v>
      </c>
      <c r="AQ809" t="s">
        <v>11634</v>
      </c>
      <c r="AT809" s="184">
        <v>33172</v>
      </c>
      <c r="AU809" t="s">
        <v>11302</v>
      </c>
      <c r="AV809">
        <v>15</v>
      </c>
      <c r="AW809" s="184">
        <v>45397</v>
      </c>
      <c r="AX809" t="s">
        <v>7429</v>
      </c>
      <c r="AY809">
        <v>7</v>
      </c>
      <c r="AZ809" s="184">
        <v>33550</v>
      </c>
      <c r="BA809" t="s">
        <v>11635</v>
      </c>
      <c r="BB809">
        <v>35</v>
      </c>
      <c r="BC809">
        <v>52</v>
      </c>
      <c r="BD809">
        <v>989</v>
      </c>
      <c r="BE809">
        <v>1991</v>
      </c>
      <c r="BF809">
        <v>122</v>
      </c>
      <c r="BG809">
        <v>24</v>
      </c>
      <c r="BH809">
        <v>168</v>
      </c>
      <c r="BI809">
        <v>18</v>
      </c>
      <c r="BJ809">
        <v>35</v>
      </c>
      <c r="BK809">
        <v>10</v>
      </c>
      <c r="BP809" s="184"/>
    </row>
    <row r="810" spans="1:68">
      <c r="A810">
        <v>4772216</v>
      </c>
      <c r="B810">
        <v>4772216</v>
      </c>
      <c r="C810" t="s">
        <v>7018</v>
      </c>
      <c r="E810" s="184"/>
      <c r="G810" s="184"/>
      <c r="I810" s="184"/>
      <c r="J810" t="s">
        <v>595</v>
      </c>
      <c r="K810" s="184">
        <v>37438</v>
      </c>
      <c r="O810" s="184"/>
      <c r="P810" t="s">
        <v>7029</v>
      </c>
      <c r="Q810" t="s">
        <v>7383</v>
      </c>
      <c r="R810" s="184">
        <v>20059</v>
      </c>
      <c r="S810">
        <v>69</v>
      </c>
      <c r="V810" t="s">
        <v>2851</v>
      </c>
      <c r="W810" t="s">
        <v>7107</v>
      </c>
      <c r="X810" t="s">
        <v>7169</v>
      </c>
      <c r="Z810">
        <v>100021817</v>
      </c>
      <c r="AB810" t="s">
        <v>3898</v>
      </c>
      <c r="AC810" t="s">
        <v>4013</v>
      </c>
      <c r="AD810" t="s">
        <v>7169</v>
      </c>
      <c r="AF810" t="s">
        <v>11636</v>
      </c>
      <c r="AG810" t="s">
        <v>11637</v>
      </c>
      <c r="AI810" t="s">
        <v>11638</v>
      </c>
      <c r="AM810" t="s">
        <v>3415</v>
      </c>
      <c r="AN810" t="s">
        <v>2059</v>
      </c>
      <c r="AO810" t="s">
        <v>11639</v>
      </c>
      <c r="AP810" t="s">
        <v>7024</v>
      </c>
      <c r="AQ810" t="s">
        <v>11640</v>
      </c>
      <c r="AR810" t="s">
        <v>11641</v>
      </c>
      <c r="AT810" s="184">
        <v>33193</v>
      </c>
      <c r="AU810" t="s">
        <v>11642</v>
      </c>
      <c r="AV810">
        <v>15</v>
      </c>
      <c r="AW810" s="184">
        <v>45133</v>
      </c>
      <c r="AX810" t="s">
        <v>11643</v>
      </c>
      <c r="AY810">
        <v>1000</v>
      </c>
      <c r="AZ810" s="184">
        <v>45133</v>
      </c>
      <c r="BA810" t="s">
        <v>11643</v>
      </c>
      <c r="BB810">
        <v>1000</v>
      </c>
      <c r="BC810">
        <v>75</v>
      </c>
      <c r="BD810">
        <v>11584</v>
      </c>
      <c r="BE810">
        <v>1991</v>
      </c>
      <c r="BF810">
        <v>31</v>
      </c>
      <c r="BG810">
        <v>3</v>
      </c>
      <c r="BH810">
        <v>3000</v>
      </c>
      <c r="BI810">
        <v>26</v>
      </c>
      <c r="BJ810">
        <v>35</v>
      </c>
      <c r="BK810">
        <v>19</v>
      </c>
      <c r="BP810" s="184"/>
    </row>
    <row r="811" spans="1:68">
      <c r="A811">
        <v>100021817</v>
      </c>
      <c r="B811">
        <v>4772216</v>
      </c>
      <c r="C811" t="s">
        <v>7018</v>
      </c>
      <c r="E811" s="184"/>
      <c r="G811" s="184"/>
      <c r="I811" s="184"/>
      <c r="J811" t="s">
        <v>595</v>
      </c>
      <c r="K811" s="184">
        <v>43654</v>
      </c>
      <c r="O811" s="184"/>
      <c r="P811" t="s">
        <v>7029</v>
      </c>
      <c r="Q811" t="s">
        <v>7383</v>
      </c>
      <c r="R811" s="184">
        <v>20029</v>
      </c>
      <c r="S811">
        <v>69</v>
      </c>
      <c r="V811" t="s">
        <v>3898</v>
      </c>
      <c r="W811" t="s">
        <v>4013</v>
      </c>
      <c r="X811" t="s">
        <v>7169</v>
      </c>
      <c r="Z811">
        <v>4772216</v>
      </c>
      <c r="AB811" t="s">
        <v>2851</v>
      </c>
      <c r="AC811" t="s">
        <v>7107</v>
      </c>
      <c r="AD811" t="s">
        <v>7169</v>
      </c>
      <c r="AF811" t="s">
        <v>11636</v>
      </c>
      <c r="AG811" t="s">
        <v>11637</v>
      </c>
      <c r="AI811" t="s">
        <v>11638</v>
      </c>
      <c r="AM811" t="s">
        <v>3415</v>
      </c>
      <c r="AN811" t="s">
        <v>2059</v>
      </c>
      <c r="AO811" t="s">
        <v>11639</v>
      </c>
      <c r="AP811" t="s">
        <v>7024</v>
      </c>
      <c r="AT811" s="184"/>
      <c r="AW811" s="184"/>
      <c r="AZ811" s="184"/>
      <c r="BP811" s="184"/>
    </row>
    <row r="812" spans="1:68">
      <c r="A812">
        <v>4774097</v>
      </c>
      <c r="B812">
        <v>4774097</v>
      </c>
      <c r="C812" t="s">
        <v>7018</v>
      </c>
      <c r="E812" s="184"/>
      <c r="G812" s="184"/>
      <c r="I812" s="184"/>
      <c r="J812" t="s">
        <v>595</v>
      </c>
      <c r="K812" s="184">
        <v>38085</v>
      </c>
      <c r="N812" t="s">
        <v>595</v>
      </c>
      <c r="O812" s="184">
        <v>38114</v>
      </c>
      <c r="P812" t="s">
        <v>7045</v>
      </c>
      <c r="Q812" t="s">
        <v>7262</v>
      </c>
      <c r="R812" s="184">
        <v>13752</v>
      </c>
      <c r="S812">
        <v>86</v>
      </c>
      <c r="U812" t="s">
        <v>7032</v>
      </c>
      <c r="V812" t="s">
        <v>2551</v>
      </c>
      <c r="W812" t="s">
        <v>4139</v>
      </c>
      <c r="X812" t="s">
        <v>11644</v>
      </c>
      <c r="AF812" t="s">
        <v>6006</v>
      </c>
      <c r="AG812" t="s">
        <v>2551</v>
      </c>
      <c r="AI812" t="s">
        <v>11645</v>
      </c>
      <c r="AJ812" t="s">
        <v>11646</v>
      </c>
      <c r="AM812" t="s">
        <v>11647</v>
      </c>
      <c r="AN812" t="s">
        <v>2069</v>
      </c>
      <c r="AO812" t="s">
        <v>11648</v>
      </c>
      <c r="AP812" t="s">
        <v>7024</v>
      </c>
      <c r="AQ812" t="s">
        <v>11649</v>
      </c>
      <c r="AT812" s="184">
        <v>33193</v>
      </c>
      <c r="AU812" t="s">
        <v>11650</v>
      </c>
      <c r="AV812">
        <v>15</v>
      </c>
      <c r="AW812" s="184">
        <v>43290</v>
      </c>
      <c r="AX812" t="s">
        <v>10803</v>
      </c>
      <c r="AY812">
        <v>35</v>
      </c>
      <c r="AZ812" s="184">
        <v>38085</v>
      </c>
      <c r="BA812" t="s">
        <v>10310</v>
      </c>
      <c r="BB812">
        <v>10000</v>
      </c>
      <c r="BC812">
        <v>80</v>
      </c>
      <c r="BD812">
        <v>10898</v>
      </c>
      <c r="BE812">
        <v>1991</v>
      </c>
      <c r="BF812">
        <v>37</v>
      </c>
      <c r="BI812">
        <v>28</v>
      </c>
      <c r="BJ812">
        <v>35</v>
      </c>
      <c r="BK812">
        <v>15</v>
      </c>
      <c r="BO812" t="s">
        <v>595</v>
      </c>
      <c r="BP812" s="184"/>
    </row>
    <row r="813" spans="1:68">
      <c r="A813">
        <v>4783460</v>
      </c>
      <c r="B813">
        <v>4783460</v>
      </c>
      <c r="C813" t="s">
        <v>7018</v>
      </c>
      <c r="D813" t="s">
        <v>595</v>
      </c>
      <c r="E813" s="184">
        <v>43951</v>
      </c>
      <c r="G813" s="184"/>
      <c r="I813" s="184"/>
      <c r="K813" s="184"/>
      <c r="O813" s="184"/>
      <c r="P813" t="s">
        <v>7045</v>
      </c>
      <c r="Q813" t="s">
        <v>7383</v>
      </c>
      <c r="R813" s="184">
        <v>15355</v>
      </c>
      <c r="S813">
        <v>82</v>
      </c>
      <c r="U813" t="s">
        <v>7032</v>
      </c>
      <c r="V813" t="s">
        <v>11651</v>
      </c>
      <c r="X813" t="s">
        <v>11652</v>
      </c>
      <c r="AF813" t="s">
        <v>11653</v>
      </c>
      <c r="AG813" t="s">
        <v>11651</v>
      </c>
      <c r="AI813" t="s">
        <v>11654</v>
      </c>
      <c r="AM813" t="s">
        <v>3030</v>
      </c>
      <c r="AN813" t="s">
        <v>2072</v>
      </c>
      <c r="AO813" t="s">
        <v>11655</v>
      </c>
      <c r="AP813" t="s">
        <v>7024</v>
      </c>
      <c r="AT813" s="184">
        <v>33196</v>
      </c>
      <c r="AU813" t="s">
        <v>11656</v>
      </c>
      <c r="AV813">
        <v>15</v>
      </c>
      <c r="AW813" s="184">
        <v>44935</v>
      </c>
      <c r="AX813" t="s">
        <v>11657</v>
      </c>
      <c r="AY813">
        <v>35</v>
      </c>
      <c r="AZ813" s="184">
        <v>44935</v>
      </c>
      <c r="BA813" t="s">
        <v>11657</v>
      </c>
      <c r="BB813">
        <v>35</v>
      </c>
      <c r="BC813">
        <v>89</v>
      </c>
      <c r="BD813">
        <v>940</v>
      </c>
      <c r="BE813">
        <v>1991</v>
      </c>
      <c r="BF813">
        <v>35</v>
      </c>
      <c r="BG813">
        <v>1</v>
      </c>
      <c r="BH813">
        <v>35</v>
      </c>
      <c r="BI813">
        <v>31</v>
      </c>
      <c r="BJ813">
        <v>35</v>
      </c>
      <c r="BK813">
        <v>26</v>
      </c>
      <c r="BP813" s="184"/>
    </row>
    <row r="814" spans="1:68">
      <c r="A814">
        <v>4800603</v>
      </c>
      <c r="B814">
        <v>4800603</v>
      </c>
      <c r="C814" t="s">
        <v>7018</v>
      </c>
      <c r="E814" s="184"/>
      <c r="G814" s="184"/>
      <c r="I814" s="184"/>
      <c r="J814" t="s">
        <v>595</v>
      </c>
      <c r="K814" s="184"/>
      <c r="O814" s="184"/>
      <c r="P814" t="s">
        <v>7084</v>
      </c>
      <c r="Q814" t="s">
        <v>7374</v>
      </c>
      <c r="R814" s="184">
        <v>9710</v>
      </c>
      <c r="S814">
        <v>97</v>
      </c>
      <c r="U814" t="s">
        <v>7076</v>
      </c>
      <c r="V814" t="s">
        <v>3101</v>
      </c>
      <c r="W814" t="s">
        <v>4152</v>
      </c>
      <c r="X814" t="s">
        <v>11658</v>
      </c>
      <c r="AF814" t="s">
        <v>6464</v>
      </c>
      <c r="AG814" t="s">
        <v>3101</v>
      </c>
      <c r="AI814" t="s">
        <v>11659</v>
      </c>
      <c r="AM814" t="s">
        <v>3262</v>
      </c>
      <c r="AN814" t="s">
        <v>2081</v>
      </c>
      <c r="AO814" t="s">
        <v>11660</v>
      </c>
      <c r="AP814" t="s">
        <v>7024</v>
      </c>
      <c r="AQ814" t="s">
        <v>11661</v>
      </c>
      <c r="AT814" s="184">
        <v>33197</v>
      </c>
      <c r="AU814" t="s">
        <v>11650</v>
      </c>
      <c r="AV814">
        <v>25</v>
      </c>
      <c r="AW814" s="184">
        <v>44293</v>
      </c>
      <c r="AX814" t="s">
        <v>7309</v>
      </c>
      <c r="AY814">
        <v>38401.96</v>
      </c>
      <c r="AZ814" s="184">
        <v>44293</v>
      </c>
      <c r="BA814" t="s">
        <v>7309</v>
      </c>
      <c r="BB814">
        <v>38401.96</v>
      </c>
      <c r="BC814">
        <v>60</v>
      </c>
      <c r="BD814">
        <v>39311.96</v>
      </c>
      <c r="BE814">
        <v>1991</v>
      </c>
      <c r="BF814">
        <v>34</v>
      </c>
      <c r="BI814">
        <v>21</v>
      </c>
      <c r="BJ814">
        <v>35</v>
      </c>
      <c r="BK814">
        <v>8</v>
      </c>
      <c r="BN814" t="s">
        <v>595</v>
      </c>
      <c r="BO814" t="s">
        <v>595</v>
      </c>
      <c r="BP814" s="184">
        <v>44033</v>
      </c>
    </row>
    <row r="815" spans="1:68">
      <c r="A815">
        <v>4803086</v>
      </c>
      <c r="B815">
        <v>4803086</v>
      </c>
      <c r="C815" t="s">
        <v>7018</v>
      </c>
      <c r="E815" s="184"/>
      <c r="H815" t="s">
        <v>595</v>
      </c>
      <c r="I815" s="184">
        <v>44328</v>
      </c>
      <c r="K815" s="184"/>
      <c r="O815" s="184"/>
      <c r="P815" t="s">
        <v>7045</v>
      </c>
      <c r="Q815" t="s">
        <v>7383</v>
      </c>
      <c r="R815" s="184">
        <v>13181</v>
      </c>
      <c r="S815">
        <v>88</v>
      </c>
      <c r="U815" t="s">
        <v>7094</v>
      </c>
      <c r="V815" t="s">
        <v>11662</v>
      </c>
      <c r="X815" t="s">
        <v>11663</v>
      </c>
      <c r="AF815" t="s">
        <v>11664</v>
      </c>
      <c r="AG815" t="s">
        <v>11662</v>
      </c>
      <c r="AI815" t="s">
        <v>11665</v>
      </c>
      <c r="AM815" t="s">
        <v>11666</v>
      </c>
      <c r="AN815" t="s">
        <v>2313</v>
      </c>
      <c r="AO815" t="s">
        <v>11667</v>
      </c>
      <c r="AP815" t="s">
        <v>7024</v>
      </c>
      <c r="AT815" s="184">
        <v>33197</v>
      </c>
      <c r="AU815" t="s">
        <v>11668</v>
      </c>
      <c r="AV815">
        <v>15</v>
      </c>
      <c r="AW815" s="184">
        <v>44638</v>
      </c>
      <c r="AX815" t="s">
        <v>11669</v>
      </c>
      <c r="AY815">
        <v>25</v>
      </c>
      <c r="AZ815" s="184">
        <v>44638</v>
      </c>
      <c r="BA815" t="s">
        <v>11669</v>
      </c>
      <c r="BB815">
        <v>25</v>
      </c>
      <c r="BC815">
        <v>38</v>
      </c>
      <c r="BD815">
        <v>321</v>
      </c>
      <c r="BE815">
        <v>1991</v>
      </c>
      <c r="BF815">
        <v>15</v>
      </c>
      <c r="BI815">
        <v>13</v>
      </c>
      <c r="BJ815">
        <v>35</v>
      </c>
      <c r="BK815">
        <v>3</v>
      </c>
      <c r="BP815" s="184"/>
    </row>
    <row r="816" spans="1:68">
      <c r="A816">
        <v>4818373</v>
      </c>
      <c r="B816">
        <v>4818373</v>
      </c>
      <c r="C816" t="s">
        <v>7018</v>
      </c>
      <c r="D816" t="s">
        <v>595</v>
      </c>
      <c r="E816" s="184">
        <v>43745</v>
      </c>
      <c r="G816" s="184"/>
      <c r="I816" s="184"/>
      <c r="K816" s="184"/>
      <c r="O816" s="184"/>
      <c r="P816" t="s">
        <v>7045</v>
      </c>
      <c r="Q816" t="s">
        <v>7383</v>
      </c>
      <c r="R816" s="184">
        <v>21245</v>
      </c>
      <c r="S816">
        <v>66</v>
      </c>
      <c r="U816" t="s">
        <v>7031</v>
      </c>
      <c r="V816" t="s">
        <v>4096</v>
      </c>
      <c r="W816" t="s">
        <v>4152</v>
      </c>
      <c r="X816" t="s">
        <v>4097</v>
      </c>
      <c r="AF816" t="s">
        <v>11670</v>
      </c>
      <c r="AG816" t="s">
        <v>4096</v>
      </c>
      <c r="AI816" t="s">
        <v>11671</v>
      </c>
      <c r="AM816" t="s">
        <v>3761</v>
      </c>
      <c r="AN816" t="s">
        <v>2059</v>
      </c>
      <c r="AO816" t="s">
        <v>11672</v>
      </c>
      <c r="AP816" t="s">
        <v>7024</v>
      </c>
      <c r="AT816" s="184">
        <v>33198</v>
      </c>
      <c r="AU816" t="s">
        <v>11576</v>
      </c>
      <c r="AV816">
        <v>15</v>
      </c>
      <c r="AW816" s="184">
        <v>45279</v>
      </c>
      <c r="AX816" t="s">
        <v>11673</v>
      </c>
      <c r="AY816">
        <v>100</v>
      </c>
      <c r="AZ816" s="184">
        <v>45279</v>
      </c>
      <c r="BA816" t="s">
        <v>11673</v>
      </c>
      <c r="BB816">
        <v>100</v>
      </c>
      <c r="BC816">
        <v>49</v>
      </c>
      <c r="BD816">
        <v>1045</v>
      </c>
      <c r="BE816">
        <v>1991</v>
      </c>
      <c r="BF816">
        <v>18</v>
      </c>
      <c r="BG816">
        <v>2</v>
      </c>
      <c r="BH816">
        <v>200</v>
      </c>
      <c r="BI816">
        <v>17</v>
      </c>
      <c r="BJ816">
        <v>35</v>
      </c>
      <c r="BK816">
        <v>5</v>
      </c>
      <c r="BP816" s="184"/>
    </row>
    <row r="817" spans="1:68">
      <c r="A817">
        <v>4837241</v>
      </c>
      <c r="B817">
        <v>4837241</v>
      </c>
      <c r="C817" t="s">
        <v>7018</v>
      </c>
      <c r="E817" s="184"/>
      <c r="F817" t="s">
        <v>595</v>
      </c>
      <c r="G817" s="184">
        <v>43731</v>
      </c>
      <c r="I817" s="184"/>
      <c r="K817" s="184"/>
      <c r="O817" s="184"/>
      <c r="P817" t="s">
        <v>7045</v>
      </c>
      <c r="Q817" t="s">
        <v>7383</v>
      </c>
      <c r="R817" s="184">
        <v>21459</v>
      </c>
      <c r="S817">
        <v>65</v>
      </c>
      <c r="U817" t="s">
        <v>7031</v>
      </c>
      <c r="V817" t="s">
        <v>2665</v>
      </c>
      <c r="W817" t="s">
        <v>4382</v>
      </c>
      <c r="X817" t="s">
        <v>3910</v>
      </c>
      <c r="AF817" t="s">
        <v>11674</v>
      </c>
      <c r="AG817" t="s">
        <v>2665</v>
      </c>
      <c r="AI817" t="s">
        <v>11675</v>
      </c>
      <c r="AM817" t="s">
        <v>3911</v>
      </c>
      <c r="AN817" t="s">
        <v>2274</v>
      </c>
      <c r="AO817" t="s">
        <v>11676</v>
      </c>
      <c r="AP817" t="s">
        <v>7024</v>
      </c>
      <c r="AT817" s="184">
        <v>33200</v>
      </c>
      <c r="AU817" t="s">
        <v>11650</v>
      </c>
      <c r="AV817">
        <v>15</v>
      </c>
      <c r="AW817" s="184">
        <v>45336</v>
      </c>
      <c r="AX817" t="s">
        <v>11677</v>
      </c>
      <c r="AY817">
        <v>120</v>
      </c>
      <c r="AZ817" s="184">
        <v>44165</v>
      </c>
      <c r="BA817" t="s">
        <v>11678</v>
      </c>
      <c r="BB817">
        <v>126</v>
      </c>
      <c r="BC817">
        <v>98</v>
      </c>
      <c r="BD817">
        <v>7109</v>
      </c>
      <c r="BE817">
        <v>1991</v>
      </c>
      <c r="BF817">
        <v>79</v>
      </c>
      <c r="BG817">
        <v>6</v>
      </c>
      <c r="BH817">
        <v>730</v>
      </c>
      <c r="BI817">
        <v>34</v>
      </c>
      <c r="BJ817">
        <v>35</v>
      </c>
      <c r="BK817">
        <v>31</v>
      </c>
      <c r="BP817" s="184"/>
    </row>
    <row r="818" spans="1:68">
      <c r="A818">
        <v>4838082</v>
      </c>
      <c r="B818">
        <v>4838082</v>
      </c>
      <c r="C818" t="s">
        <v>7018</v>
      </c>
      <c r="E818" s="184"/>
      <c r="I818" s="184"/>
      <c r="J818" t="s">
        <v>595</v>
      </c>
      <c r="K818" s="184">
        <v>45297</v>
      </c>
      <c r="N818" t="s">
        <v>595</v>
      </c>
      <c r="O818" s="184">
        <v>38552</v>
      </c>
      <c r="P818" t="s">
        <v>7084</v>
      </c>
      <c r="Q818" t="s">
        <v>7030</v>
      </c>
      <c r="R818" s="184">
        <v>9773</v>
      </c>
      <c r="S818">
        <v>97</v>
      </c>
      <c r="T818" t="s">
        <v>4608</v>
      </c>
      <c r="U818" t="s">
        <v>7130</v>
      </c>
      <c r="V818" t="s">
        <v>5396</v>
      </c>
      <c r="X818" t="s">
        <v>5397</v>
      </c>
      <c r="Z818">
        <v>100179928</v>
      </c>
      <c r="AA818" t="s">
        <v>7031</v>
      </c>
      <c r="AB818" t="s">
        <v>11679</v>
      </c>
      <c r="AD818" t="s">
        <v>5397</v>
      </c>
      <c r="AF818" t="s">
        <v>11680</v>
      </c>
      <c r="AG818" t="s">
        <v>5396</v>
      </c>
      <c r="AI818" t="s">
        <v>11681</v>
      </c>
      <c r="AM818" t="s">
        <v>11682</v>
      </c>
      <c r="AN818" t="s">
        <v>2094</v>
      </c>
      <c r="AO818" t="s">
        <v>11683</v>
      </c>
      <c r="AP818" t="s">
        <v>7024</v>
      </c>
      <c r="AT818" s="184">
        <v>33200</v>
      </c>
      <c r="AU818" t="s">
        <v>11668</v>
      </c>
      <c r="AV818">
        <v>30</v>
      </c>
      <c r="AW818" s="184">
        <v>45380</v>
      </c>
      <c r="AX818" t="s">
        <v>7296</v>
      </c>
      <c r="AY818">
        <v>150000</v>
      </c>
      <c r="AZ818" s="184">
        <v>45380</v>
      </c>
      <c r="BA818" t="s">
        <v>7296</v>
      </c>
      <c r="BB818">
        <v>150000</v>
      </c>
      <c r="BC818">
        <v>86</v>
      </c>
      <c r="BD818">
        <v>401658.24</v>
      </c>
      <c r="BE818">
        <v>1991</v>
      </c>
      <c r="BF818">
        <v>42</v>
      </c>
      <c r="BG818">
        <v>3</v>
      </c>
      <c r="BH818">
        <v>198015.28</v>
      </c>
      <c r="BI818">
        <v>30</v>
      </c>
      <c r="BJ818">
        <v>35</v>
      </c>
      <c r="BK818">
        <v>16</v>
      </c>
      <c r="BO818" t="s">
        <v>595</v>
      </c>
      <c r="BP818" s="184">
        <v>45114</v>
      </c>
    </row>
    <row r="819" spans="1:68">
      <c r="A819">
        <v>100179928</v>
      </c>
      <c r="B819">
        <v>4838082</v>
      </c>
      <c r="C819" t="s">
        <v>7018</v>
      </c>
      <c r="E819" s="184"/>
      <c r="I819" s="184"/>
      <c r="J819" t="s">
        <v>595</v>
      </c>
      <c r="K819" s="184">
        <v>45297</v>
      </c>
      <c r="O819" s="184"/>
      <c r="P819" t="s">
        <v>7084</v>
      </c>
      <c r="Q819" t="s">
        <v>7030</v>
      </c>
      <c r="R819" s="184">
        <v>6785</v>
      </c>
      <c r="S819">
        <v>105</v>
      </c>
      <c r="U819" t="s">
        <v>7031</v>
      </c>
      <c r="V819" t="s">
        <v>11679</v>
      </c>
      <c r="X819" t="s">
        <v>5397</v>
      </c>
      <c r="Z819">
        <v>4838082</v>
      </c>
      <c r="AA819" t="s">
        <v>7130</v>
      </c>
      <c r="AB819" t="s">
        <v>5396</v>
      </c>
      <c r="AD819" t="s">
        <v>5397</v>
      </c>
      <c r="AF819" t="s">
        <v>11680</v>
      </c>
      <c r="AG819" t="s">
        <v>5396</v>
      </c>
      <c r="AI819" t="s">
        <v>11681</v>
      </c>
      <c r="AM819" t="s">
        <v>11682</v>
      </c>
      <c r="AN819" t="s">
        <v>2094</v>
      </c>
      <c r="AO819" t="s">
        <v>11683</v>
      </c>
      <c r="AP819" t="s">
        <v>7024</v>
      </c>
      <c r="AT819" s="184"/>
      <c r="AW819" s="184"/>
      <c r="AZ819" s="184"/>
      <c r="BO819" t="s">
        <v>595</v>
      </c>
      <c r="BP819" s="184">
        <v>40816</v>
      </c>
    </row>
    <row r="820" spans="1:68">
      <c r="A820">
        <v>4860631</v>
      </c>
      <c r="B820">
        <v>4860631</v>
      </c>
      <c r="C820" t="s">
        <v>7018</v>
      </c>
      <c r="D820" t="s">
        <v>595</v>
      </c>
      <c r="E820" s="184">
        <v>44167</v>
      </c>
      <c r="G820" s="184"/>
      <c r="I820" s="184"/>
      <c r="K820" s="184"/>
      <c r="O820" s="184"/>
      <c r="P820" t="s">
        <v>7045</v>
      </c>
      <c r="Q820" t="s">
        <v>7194</v>
      </c>
      <c r="R820" s="184">
        <v>17502</v>
      </c>
      <c r="S820">
        <v>76</v>
      </c>
      <c r="U820" t="s">
        <v>7031</v>
      </c>
      <c r="V820" t="s">
        <v>11684</v>
      </c>
      <c r="X820" t="s">
        <v>3706</v>
      </c>
      <c r="AF820" t="s">
        <v>11685</v>
      </c>
      <c r="AG820" t="s">
        <v>11684</v>
      </c>
      <c r="AI820" t="s">
        <v>11686</v>
      </c>
      <c r="AM820" t="s">
        <v>3024</v>
      </c>
      <c r="AN820" t="s">
        <v>2046</v>
      </c>
      <c r="AO820" t="s">
        <v>11687</v>
      </c>
      <c r="AP820" t="s">
        <v>7024</v>
      </c>
      <c r="AQ820" t="s">
        <v>11688</v>
      </c>
      <c r="AR820" t="s">
        <v>11689</v>
      </c>
      <c r="AT820" s="184">
        <v>33203</v>
      </c>
      <c r="AU820" t="s">
        <v>11690</v>
      </c>
      <c r="AV820">
        <v>25</v>
      </c>
      <c r="AW820" s="184">
        <v>44848</v>
      </c>
      <c r="AX820" t="s">
        <v>11691</v>
      </c>
      <c r="AY820">
        <v>15</v>
      </c>
      <c r="AZ820" s="184">
        <v>39171</v>
      </c>
      <c r="BA820" t="s">
        <v>11692</v>
      </c>
      <c r="BB820">
        <v>50</v>
      </c>
      <c r="BC820">
        <v>55</v>
      </c>
      <c r="BD820">
        <v>615</v>
      </c>
      <c r="BE820">
        <v>1991</v>
      </c>
      <c r="BF820">
        <v>22</v>
      </c>
      <c r="BG820">
        <v>1</v>
      </c>
      <c r="BH820">
        <v>15</v>
      </c>
      <c r="BI820">
        <v>19</v>
      </c>
      <c r="BJ820">
        <v>35</v>
      </c>
      <c r="BK820">
        <v>9</v>
      </c>
      <c r="BN820" t="s">
        <v>595</v>
      </c>
      <c r="BP820" s="184"/>
    </row>
    <row r="821" spans="1:68">
      <c r="A821">
        <v>4861894</v>
      </c>
      <c r="B821">
        <v>4861894</v>
      </c>
      <c r="C821" t="s">
        <v>7018</v>
      </c>
      <c r="E821" s="184"/>
      <c r="K821" s="184"/>
      <c r="N821" t="s">
        <v>595</v>
      </c>
      <c r="O821" s="184">
        <v>39955</v>
      </c>
      <c r="P821" t="s">
        <v>7045</v>
      </c>
      <c r="Q821" t="s">
        <v>7494</v>
      </c>
      <c r="R821" s="184">
        <v>11971</v>
      </c>
      <c r="S821">
        <v>91</v>
      </c>
      <c r="U821" t="s">
        <v>7031</v>
      </c>
      <c r="V821" t="s">
        <v>3783</v>
      </c>
      <c r="W821" t="s">
        <v>4382</v>
      </c>
      <c r="X821" t="s">
        <v>5506</v>
      </c>
      <c r="Z821">
        <v>100179936</v>
      </c>
      <c r="AA821" t="s">
        <v>7130</v>
      </c>
      <c r="AB821" t="s">
        <v>2593</v>
      </c>
      <c r="AC821" t="s">
        <v>3223</v>
      </c>
      <c r="AD821" t="s">
        <v>5506</v>
      </c>
      <c r="AF821" t="s">
        <v>11693</v>
      </c>
      <c r="AG821" t="s">
        <v>3783</v>
      </c>
      <c r="AI821" t="s">
        <v>11694</v>
      </c>
      <c r="AJ821" t="s">
        <v>11695</v>
      </c>
      <c r="AM821" t="s">
        <v>3371</v>
      </c>
      <c r="AN821" t="s">
        <v>2174</v>
      </c>
      <c r="AO821">
        <v>78757</v>
      </c>
      <c r="AP821" t="s">
        <v>7024</v>
      </c>
      <c r="AQ821" t="s">
        <v>11696</v>
      </c>
      <c r="AT821" s="184">
        <v>33203</v>
      </c>
      <c r="AU821" t="s">
        <v>11697</v>
      </c>
      <c r="AV821">
        <v>15</v>
      </c>
      <c r="AW821" s="184">
        <v>42338</v>
      </c>
      <c r="AX821" t="s">
        <v>7100</v>
      </c>
      <c r="AY821">
        <v>10000</v>
      </c>
      <c r="AZ821" s="184">
        <v>39955</v>
      </c>
      <c r="BA821" t="s">
        <v>8186</v>
      </c>
      <c r="BB821">
        <v>40000</v>
      </c>
      <c r="BC821">
        <v>46</v>
      </c>
      <c r="BD821">
        <v>51950</v>
      </c>
      <c r="BE821">
        <v>1991</v>
      </c>
      <c r="BF821">
        <v>20</v>
      </c>
      <c r="BI821">
        <v>16</v>
      </c>
      <c r="BJ821">
        <v>35</v>
      </c>
      <c r="BK821">
        <v>5</v>
      </c>
      <c r="BO821" t="s">
        <v>595</v>
      </c>
      <c r="BP821" s="184">
        <v>44187</v>
      </c>
    </row>
    <row r="822" spans="1:68">
      <c r="A822">
        <v>100179936</v>
      </c>
      <c r="B822">
        <v>4861894</v>
      </c>
      <c r="C822" t="s">
        <v>7018</v>
      </c>
      <c r="E822" s="184"/>
      <c r="I822" s="184"/>
      <c r="K822" s="184"/>
      <c r="N822" t="s">
        <v>595</v>
      </c>
      <c r="O822" s="184">
        <v>39955</v>
      </c>
      <c r="P822" t="s">
        <v>7045</v>
      </c>
      <c r="Q822" t="s">
        <v>7494</v>
      </c>
      <c r="R822" s="184">
        <v>11864</v>
      </c>
      <c r="S822">
        <v>91</v>
      </c>
      <c r="U822" t="s">
        <v>7130</v>
      </c>
      <c r="V822" t="s">
        <v>2593</v>
      </c>
      <c r="W822" t="s">
        <v>3223</v>
      </c>
      <c r="X822" t="s">
        <v>5506</v>
      </c>
      <c r="Z822">
        <v>4861894</v>
      </c>
      <c r="AA822" t="s">
        <v>7031</v>
      </c>
      <c r="AB822" t="s">
        <v>3783</v>
      </c>
      <c r="AC822" t="s">
        <v>4382</v>
      </c>
      <c r="AD822" t="s">
        <v>5506</v>
      </c>
      <c r="AF822" t="s">
        <v>11693</v>
      </c>
      <c r="AG822" t="s">
        <v>3783</v>
      </c>
      <c r="AI822" t="s">
        <v>11694</v>
      </c>
      <c r="AJ822" t="s">
        <v>11695</v>
      </c>
      <c r="AM822" t="s">
        <v>3371</v>
      </c>
      <c r="AN822" t="s">
        <v>2174</v>
      </c>
      <c r="AO822">
        <v>78757</v>
      </c>
      <c r="AP822" t="s">
        <v>7024</v>
      </c>
      <c r="AT822" s="184"/>
      <c r="AW822" s="184"/>
      <c r="AZ822" s="184"/>
      <c r="BO822" t="s">
        <v>595</v>
      </c>
      <c r="BP822" s="184">
        <v>42100</v>
      </c>
    </row>
    <row r="823" spans="1:68">
      <c r="A823">
        <v>4867495</v>
      </c>
      <c r="B823">
        <v>4867495</v>
      </c>
      <c r="C823" t="s">
        <v>7018</v>
      </c>
      <c r="D823" t="s">
        <v>595</v>
      </c>
      <c r="E823" s="184">
        <v>44311</v>
      </c>
      <c r="I823" s="184"/>
      <c r="K823" s="184"/>
      <c r="O823" s="184"/>
      <c r="P823" t="s">
        <v>7045</v>
      </c>
      <c r="Q823" t="s">
        <v>7020</v>
      </c>
      <c r="R823" s="184">
        <v>22134</v>
      </c>
      <c r="S823">
        <v>63</v>
      </c>
      <c r="U823" t="s">
        <v>7076</v>
      </c>
      <c r="V823" t="s">
        <v>3593</v>
      </c>
      <c r="W823" t="s">
        <v>3332</v>
      </c>
      <c r="X823" t="s">
        <v>5082</v>
      </c>
      <c r="AF823" t="s">
        <v>11698</v>
      </c>
      <c r="AG823" t="s">
        <v>3593</v>
      </c>
      <c r="AI823" t="s">
        <v>11699</v>
      </c>
      <c r="AM823" t="s">
        <v>11700</v>
      </c>
      <c r="AN823" t="s">
        <v>2240</v>
      </c>
      <c r="AO823" t="s">
        <v>11701</v>
      </c>
      <c r="AP823" t="s">
        <v>7024</v>
      </c>
      <c r="AQ823" t="s">
        <v>11702</v>
      </c>
      <c r="AR823" t="s">
        <v>11703</v>
      </c>
      <c r="AT823" s="184">
        <v>33203</v>
      </c>
      <c r="AU823" t="s">
        <v>11704</v>
      </c>
      <c r="AV823">
        <v>15</v>
      </c>
      <c r="AW823" s="184">
        <v>45322</v>
      </c>
      <c r="AX823" t="s">
        <v>9921</v>
      </c>
      <c r="AY823">
        <v>15</v>
      </c>
      <c r="AZ823" s="184">
        <v>34645</v>
      </c>
      <c r="BA823" t="s">
        <v>11705</v>
      </c>
      <c r="BB823">
        <v>87</v>
      </c>
      <c r="BC823">
        <v>80</v>
      </c>
      <c r="BD823">
        <v>1137</v>
      </c>
      <c r="BE823">
        <v>1991</v>
      </c>
      <c r="BF823">
        <v>54</v>
      </c>
      <c r="BG823">
        <v>1</v>
      </c>
      <c r="BH823">
        <v>15</v>
      </c>
      <c r="BI823">
        <v>28</v>
      </c>
      <c r="BJ823">
        <v>35</v>
      </c>
      <c r="BK823">
        <v>23</v>
      </c>
      <c r="BN823" t="s">
        <v>595</v>
      </c>
      <c r="BP823" s="184"/>
    </row>
    <row r="824" spans="1:68">
      <c r="A824">
        <v>4869707</v>
      </c>
      <c r="B824">
        <v>4869707</v>
      </c>
      <c r="C824" t="s">
        <v>7018</v>
      </c>
      <c r="D824" t="s">
        <v>595</v>
      </c>
      <c r="E824" s="184">
        <v>44236</v>
      </c>
      <c r="I824" s="184"/>
      <c r="K824" s="184"/>
      <c r="P824" t="s">
        <v>7045</v>
      </c>
      <c r="Q824" t="s">
        <v>7454</v>
      </c>
      <c r="R824" s="184">
        <v>12874</v>
      </c>
      <c r="S824">
        <v>89</v>
      </c>
      <c r="U824" t="s">
        <v>7076</v>
      </c>
      <c r="V824" t="s">
        <v>11706</v>
      </c>
      <c r="W824" t="s">
        <v>3237</v>
      </c>
      <c r="X824" t="s">
        <v>11707</v>
      </c>
      <c r="AF824" t="s">
        <v>11708</v>
      </c>
      <c r="AG824" t="s">
        <v>11706</v>
      </c>
      <c r="AI824" t="s">
        <v>11709</v>
      </c>
      <c r="AM824" t="s">
        <v>11710</v>
      </c>
      <c r="AN824" t="s">
        <v>2299</v>
      </c>
      <c r="AO824" t="s">
        <v>11711</v>
      </c>
      <c r="AP824" t="s">
        <v>7024</v>
      </c>
      <c r="AT824" s="184">
        <v>33203</v>
      </c>
      <c r="AU824" t="s">
        <v>11712</v>
      </c>
      <c r="AV824">
        <v>15</v>
      </c>
      <c r="AW824" s="184">
        <v>44666</v>
      </c>
      <c r="AX824" t="s">
        <v>8747</v>
      </c>
      <c r="AY824">
        <v>25</v>
      </c>
      <c r="AZ824" s="184">
        <v>44666</v>
      </c>
      <c r="BA824" t="s">
        <v>8747</v>
      </c>
      <c r="BB824">
        <v>25</v>
      </c>
      <c r="BC824">
        <v>83</v>
      </c>
      <c r="BD824">
        <v>715</v>
      </c>
      <c r="BE824">
        <v>1991</v>
      </c>
      <c r="BF824">
        <v>30</v>
      </c>
      <c r="BI824">
        <v>29</v>
      </c>
      <c r="BJ824">
        <v>35</v>
      </c>
      <c r="BK824">
        <v>21</v>
      </c>
      <c r="BP824" s="184"/>
    </row>
    <row r="825" spans="1:68">
      <c r="A825">
        <v>4886339</v>
      </c>
      <c r="B825">
        <v>4886339</v>
      </c>
      <c r="C825" t="s">
        <v>7018</v>
      </c>
      <c r="D825" t="s">
        <v>595</v>
      </c>
      <c r="E825" s="184">
        <v>44168</v>
      </c>
      <c r="I825" s="184"/>
      <c r="K825" s="184"/>
      <c r="O825" s="184"/>
      <c r="P825" t="s">
        <v>7045</v>
      </c>
      <c r="Q825" t="s">
        <v>7374</v>
      </c>
      <c r="R825" s="184">
        <v>13881</v>
      </c>
      <c r="S825">
        <v>86</v>
      </c>
      <c r="U825" t="s">
        <v>7031</v>
      </c>
      <c r="V825" t="s">
        <v>2979</v>
      </c>
      <c r="W825" t="s">
        <v>7588</v>
      </c>
      <c r="X825" t="s">
        <v>4184</v>
      </c>
      <c r="AF825" t="s">
        <v>11713</v>
      </c>
      <c r="AG825" t="s">
        <v>2979</v>
      </c>
      <c r="AI825" t="s">
        <v>11714</v>
      </c>
      <c r="AM825" t="s">
        <v>3428</v>
      </c>
      <c r="AN825" t="s">
        <v>2081</v>
      </c>
      <c r="AO825" t="s">
        <v>11715</v>
      </c>
      <c r="AP825" t="s">
        <v>7024</v>
      </c>
      <c r="AQ825" t="s">
        <v>11716</v>
      </c>
      <c r="AT825" s="184">
        <v>33204</v>
      </c>
      <c r="AU825" t="s">
        <v>11717</v>
      </c>
      <c r="AV825">
        <v>15</v>
      </c>
      <c r="AW825" s="184">
        <v>37540</v>
      </c>
      <c r="AX825" t="s">
        <v>11718</v>
      </c>
      <c r="AY825">
        <v>25</v>
      </c>
      <c r="AZ825" s="184">
        <v>37540</v>
      </c>
      <c r="BA825" t="s">
        <v>11718</v>
      </c>
      <c r="BB825">
        <v>25</v>
      </c>
      <c r="BC825">
        <v>38</v>
      </c>
      <c r="BD825">
        <v>320</v>
      </c>
      <c r="BE825">
        <v>1991</v>
      </c>
      <c r="BF825">
        <v>14</v>
      </c>
      <c r="BI825">
        <v>13</v>
      </c>
      <c r="BJ825">
        <v>35</v>
      </c>
      <c r="BK825">
        <v>13</v>
      </c>
      <c r="BP825" s="184"/>
    </row>
    <row r="826" spans="1:68">
      <c r="A826">
        <v>4893376</v>
      </c>
      <c r="B826">
        <v>4893376</v>
      </c>
      <c r="C826" t="s">
        <v>7018</v>
      </c>
      <c r="E826" s="184"/>
      <c r="G826" s="184"/>
      <c r="I826" s="184"/>
      <c r="J826" t="s">
        <v>595</v>
      </c>
      <c r="K826" s="184">
        <v>42523</v>
      </c>
      <c r="O826" s="184"/>
      <c r="P826" t="s">
        <v>7045</v>
      </c>
      <c r="Q826" t="s">
        <v>7374</v>
      </c>
      <c r="R826" s="184">
        <v>19906</v>
      </c>
      <c r="S826">
        <v>69</v>
      </c>
      <c r="U826" t="s">
        <v>7237</v>
      </c>
      <c r="V826" t="s">
        <v>11719</v>
      </c>
      <c r="W826" t="s">
        <v>7268</v>
      </c>
      <c r="X826" t="s">
        <v>3716</v>
      </c>
      <c r="AF826" t="s">
        <v>6214</v>
      </c>
      <c r="AG826" t="s">
        <v>11719</v>
      </c>
      <c r="AI826" t="s">
        <v>11720</v>
      </c>
      <c r="AM826" t="s">
        <v>3673</v>
      </c>
      <c r="AN826" t="s">
        <v>2081</v>
      </c>
      <c r="AO826" t="s">
        <v>11721</v>
      </c>
      <c r="AP826" t="s">
        <v>7024</v>
      </c>
      <c r="AQ826" t="s">
        <v>11722</v>
      </c>
      <c r="AT826" s="184">
        <v>33204</v>
      </c>
      <c r="AU826" t="s">
        <v>11723</v>
      </c>
      <c r="AV826">
        <v>25</v>
      </c>
      <c r="AW826" s="184">
        <v>44813</v>
      </c>
      <c r="AX826" t="s">
        <v>8969</v>
      </c>
      <c r="AY826">
        <v>75</v>
      </c>
      <c r="AZ826" s="184">
        <v>40178</v>
      </c>
      <c r="BA826" t="s">
        <v>11724</v>
      </c>
      <c r="BB826">
        <v>100</v>
      </c>
      <c r="BC826">
        <v>86</v>
      </c>
      <c r="BD826">
        <v>2844</v>
      </c>
      <c r="BE826">
        <v>1991</v>
      </c>
      <c r="BF826">
        <v>66</v>
      </c>
      <c r="BG826">
        <v>1</v>
      </c>
      <c r="BH826">
        <v>75</v>
      </c>
      <c r="BI826">
        <v>30</v>
      </c>
      <c r="BJ826">
        <v>35</v>
      </c>
      <c r="BK826">
        <v>17</v>
      </c>
      <c r="BP826" s="184"/>
    </row>
    <row r="827" spans="1:68">
      <c r="A827">
        <v>4906830</v>
      </c>
      <c r="B827">
        <v>4906830</v>
      </c>
      <c r="C827" t="s">
        <v>7018</v>
      </c>
      <c r="D827" t="s">
        <v>595</v>
      </c>
      <c r="E827" s="184">
        <v>44167</v>
      </c>
      <c r="G827" s="184"/>
      <c r="I827" s="184"/>
      <c r="K827" s="184"/>
      <c r="P827" t="s">
        <v>7045</v>
      </c>
      <c r="Q827" t="s">
        <v>7262</v>
      </c>
      <c r="R827" s="184">
        <v>14360</v>
      </c>
      <c r="S827">
        <v>85</v>
      </c>
      <c r="U827" t="s">
        <v>7031</v>
      </c>
      <c r="V827" t="s">
        <v>4502</v>
      </c>
      <c r="W827" t="s">
        <v>205</v>
      </c>
      <c r="X827" t="s">
        <v>3188</v>
      </c>
      <c r="Y827" t="s">
        <v>7431</v>
      </c>
      <c r="AF827" t="s">
        <v>11725</v>
      </c>
      <c r="AG827" t="s">
        <v>4502</v>
      </c>
      <c r="AI827" t="s">
        <v>11726</v>
      </c>
      <c r="AM827" t="s">
        <v>11727</v>
      </c>
      <c r="AN827" t="s">
        <v>2219</v>
      </c>
      <c r="AO827" t="s">
        <v>11728</v>
      </c>
      <c r="AP827" t="s">
        <v>7024</v>
      </c>
      <c r="AQ827" t="s">
        <v>11729</v>
      </c>
      <c r="AR827" t="s">
        <v>11730</v>
      </c>
      <c r="AT827" s="184">
        <v>33204</v>
      </c>
      <c r="AU827" t="s">
        <v>11656</v>
      </c>
      <c r="AV827">
        <v>15</v>
      </c>
      <c r="AW827" s="184">
        <v>45030</v>
      </c>
      <c r="AX827" t="s">
        <v>9859</v>
      </c>
      <c r="AY827">
        <v>75</v>
      </c>
      <c r="AZ827" s="184">
        <v>45030</v>
      </c>
      <c r="BA827" t="s">
        <v>9859</v>
      </c>
      <c r="BB827">
        <v>75</v>
      </c>
      <c r="BC827">
        <v>58</v>
      </c>
      <c r="BD827">
        <v>1005</v>
      </c>
      <c r="BE827">
        <v>1991</v>
      </c>
      <c r="BF827">
        <v>22</v>
      </c>
      <c r="BG827">
        <v>1</v>
      </c>
      <c r="BH827">
        <v>75</v>
      </c>
      <c r="BI827">
        <v>20</v>
      </c>
      <c r="BJ827">
        <v>35</v>
      </c>
      <c r="BK827">
        <v>11</v>
      </c>
      <c r="BP827" s="184"/>
    </row>
    <row r="828" spans="1:68">
      <c r="A828">
        <v>4910956</v>
      </c>
      <c r="B828">
        <v>4910956</v>
      </c>
      <c r="C828" t="s">
        <v>7018</v>
      </c>
      <c r="D828" t="s">
        <v>595</v>
      </c>
      <c r="E828" s="184">
        <v>44167</v>
      </c>
      <c r="G828" s="184"/>
      <c r="I828" s="184"/>
      <c r="K828" s="184"/>
      <c r="P828" t="s">
        <v>7019</v>
      </c>
      <c r="Q828" t="s">
        <v>7194</v>
      </c>
      <c r="R828" s="184">
        <v>17130</v>
      </c>
      <c r="S828">
        <v>77</v>
      </c>
      <c r="U828" t="s">
        <v>7031</v>
      </c>
      <c r="V828" t="s">
        <v>2821</v>
      </c>
      <c r="X828" t="s">
        <v>11731</v>
      </c>
      <c r="AF828" t="s">
        <v>11732</v>
      </c>
      <c r="AG828" t="s">
        <v>2821</v>
      </c>
      <c r="AI828" t="s">
        <v>11733</v>
      </c>
      <c r="AM828" t="s">
        <v>4405</v>
      </c>
      <c r="AN828" t="s">
        <v>2046</v>
      </c>
      <c r="AO828" t="s">
        <v>11734</v>
      </c>
      <c r="AP828" t="s">
        <v>7024</v>
      </c>
      <c r="AT828" s="184">
        <v>33205</v>
      </c>
      <c r="AU828" t="s">
        <v>11668</v>
      </c>
      <c r="AV828">
        <v>15</v>
      </c>
      <c r="AW828" s="184">
        <v>45307</v>
      </c>
      <c r="AX828" t="s">
        <v>7092</v>
      </c>
      <c r="AY828">
        <v>100</v>
      </c>
      <c r="AZ828" s="184">
        <v>45307</v>
      </c>
      <c r="BA828" t="s">
        <v>7092</v>
      </c>
      <c r="BB828">
        <v>100</v>
      </c>
      <c r="BC828">
        <v>83</v>
      </c>
      <c r="BD828">
        <v>880</v>
      </c>
      <c r="BE828">
        <v>1991</v>
      </c>
      <c r="BF828">
        <v>33</v>
      </c>
      <c r="BG828">
        <v>1</v>
      </c>
      <c r="BH828">
        <v>100</v>
      </c>
      <c r="BI828">
        <v>29</v>
      </c>
      <c r="BJ828">
        <v>35</v>
      </c>
      <c r="BK828">
        <v>13</v>
      </c>
      <c r="BP828" s="184"/>
    </row>
    <row r="829" spans="1:68">
      <c r="A829">
        <v>4912721</v>
      </c>
      <c r="B829">
        <v>4912721</v>
      </c>
      <c r="C829" t="s">
        <v>7018</v>
      </c>
      <c r="D829" t="s">
        <v>595</v>
      </c>
      <c r="E829" s="184">
        <v>43647</v>
      </c>
      <c r="G829" s="184"/>
      <c r="I829" s="184"/>
      <c r="J829" t="s">
        <v>595</v>
      </c>
      <c r="K829" s="184">
        <v>45371</v>
      </c>
      <c r="O829" s="184"/>
      <c r="P829" t="s">
        <v>7045</v>
      </c>
      <c r="Q829" t="s">
        <v>7383</v>
      </c>
      <c r="R829" s="184">
        <v>19299</v>
      </c>
      <c r="S829">
        <v>71</v>
      </c>
      <c r="U829" t="s">
        <v>7076</v>
      </c>
      <c r="V829" t="s">
        <v>3444</v>
      </c>
      <c r="W829" t="s">
        <v>5006</v>
      </c>
      <c r="X829" t="s">
        <v>3494</v>
      </c>
      <c r="AF829" t="s">
        <v>11735</v>
      </c>
      <c r="AG829" t="s">
        <v>3444</v>
      </c>
      <c r="AI829" t="s">
        <v>11736</v>
      </c>
      <c r="AM829" t="s">
        <v>3495</v>
      </c>
      <c r="AN829" t="s">
        <v>2072</v>
      </c>
      <c r="AO829" t="s">
        <v>11737</v>
      </c>
      <c r="AP829" t="s">
        <v>7024</v>
      </c>
      <c r="AQ829" t="s">
        <v>11738</v>
      </c>
      <c r="AT829" s="184">
        <v>33205</v>
      </c>
      <c r="AU829" t="s">
        <v>11739</v>
      </c>
      <c r="AV829">
        <v>15</v>
      </c>
      <c r="AW829" s="184">
        <v>45365</v>
      </c>
      <c r="AX829" t="s">
        <v>11740</v>
      </c>
      <c r="AY829">
        <v>100</v>
      </c>
      <c r="AZ829" s="184">
        <v>45365</v>
      </c>
      <c r="BA829" t="s">
        <v>11740</v>
      </c>
      <c r="BB829">
        <v>100</v>
      </c>
      <c r="BC829">
        <v>78</v>
      </c>
      <c r="BD829">
        <v>2000</v>
      </c>
      <c r="BE829">
        <v>1991</v>
      </c>
      <c r="BF829">
        <v>31</v>
      </c>
      <c r="BG829">
        <v>2</v>
      </c>
      <c r="BH829">
        <v>200</v>
      </c>
      <c r="BI829">
        <v>27</v>
      </c>
      <c r="BJ829">
        <v>35</v>
      </c>
      <c r="BK829">
        <v>23</v>
      </c>
      <c r="BN829" t="s">
        <v>595</v>
      </c>
    </row>
    <row r="830" spans="1:68">
      <c r="A830">
        <v>4927232</v>
      </c>
      <c r="B830">
        <v>4927232</v>
      </c>
      <c r="C830" t="s">
        <v>7018</v>
      </c>
      <c r="D830" t="s">
        <v>595</v>
      </c>
      <c r="E830" s="184">
        <v>43851</v>
      </c>
      <c r="G830" s="184"/>
      <c r="I830" s="184"/>
      <c r="K830" s="184"/>
      <c r="P830" t="s">
        <v>7045</v>
      </c>
      <c r="Q830" t="s">
        <v>7383</v>
      </c>
      <c r="R830" s="184">
        <v>17168</v>
      </c>
      <c r="S830">
        <v>77</v>
      </c>
      <c r="U830" t="s">
        <v>7031</v>
      </c>
      <c r="V830" t="s">
        <v>2614</v>
      </c>
      <c r="X830" t="s">
        <v>4527</v>
      </c>
      <c r="AF830" t="s">
        <v>11741</v>
      </c>
      <c r="AG830" t="s">
        <v>2614</v>
      </c>
      <c r="AI830" t="s">
        <v>11742</v>
      </c>
      <c r="AM830" t="s">
        <v>11743</v>
      </c>
      <c r="AN830" t="s">
        <v>2139</v>
      </c>
      <c r="AO830" t="s">
        <v>11744</v>
      </c>
      <c r="AP830" t="s">
        <v>7024</v>
      </c>
      <c r="AQ830" t="s">
        <v>11745</v>
      </c>
      <c r="AR830" t="s">
        <v>11746</v>
      </c>
      <c r="AT830" s="184">
        <v>33207</v>
      </c>
      <c r="AU830" t="s">
        <v>11656</v>
      </c>
      <c r="AV830">
        <v>15</v>
      </c>
      <c r="AW830" s="184">
        <v>44565</v>
      </c>
      <c r="AX830" t="s">
        <v>11747</v>
      </c>
      <c r="AY830">
        <v>85</v>
      </c>
      <c r="AZ830" s="184">
        <v>39084</v>
      </c>
      <c r="BA830" t="s">
        <v>11748</v>
      </c>
      <c r="BB830">
        <v>100</v>
      </c>
      <c r="BC830">
        <v>60</v>
      </c>
      <c r="BD830">
        <v>1025</v>
      </c>
      <c r="BE830">
        <v>1991</v>
      </c>
      <c r="BF830">
        <v>25</v>
      </c>
      <c r="BI830">
        <v>21</v>
      </c>
      <c r="BJ830">
        <v>35</v>
      </c>
      <c r="BK830">
        <v>8</v>
      </c>
      <c r="BP830" s="184"/>
    </row>
    <row r="831" spans="1:68">
      <c r="A831">
        <v>4943759</v>
      </c>
      <c r="B831">
        <v>4943759</v>
      </c>
      <c r="C831" t="s">
        <v>7018</v>
      </c>
      <c r="D831" t="s">
        <v>595</v>
      </c>
      <c r="E831" s="184">
        <v>45195</v>
      </c>
      <c r="G831" s="184"/>
      <c r="I831" s="184"/>
      <c r="K831" s="184"/>
      <c r="O831" s="184"/>
      <c r="P831" t="s">
        <v>7045</v>
      </c>
      <c r="Q831" t="s">
        <v>7030</v>
      </c>
      <c r="R831" s="184">
        <v>18598</v>
      </c>
      <c r="S831">
        <v>73</v>
      </c>
      <c r="U831" t="s">
        <v>7076</v>
      </c>
      <c r="V831" t="s">
        <v>2903</v>
      </c>
      <c r="X831" t="s">
        <v>11749</v>
      </c>
      <c r="AF831" t="s">
        <v>11750</v>
      </c>
      <c r="AG831" t="s">
        <v>2903</v>
      </c>
      <c r="AI831" t="s">
        <v>11751</v>
      </c>
      <c r="AM831" t="s">
        <v>4209</v>
      </c>
      <c r="AN831" t="s">
        <v>2201</v>
      </c>
      <c r="AO831" t="s">
        <v>11752</v>
      </c>
      <c r="AP831" t="s">
        <v>7024</v>
      </c>
      <c r="AQ831" t="s">
        <v>11753</v>
      </c>
      <c r="AR831" t="s">
        <v>11754</v>
      </c>
      <c r="AT831" s="184">
        <v>33210</v>
      </c>
      <c r="AU831" t="s">
        <v>11755</v>
      </c>
      <c r="AV831">
        <v>15</v>
      </c>
      <c r="AW831" s="184">
        <v>45357</v>
      </c>
      <c r="AX831" t="s">
        <v>11756</v>
      </c>
      <c r="AY831">
        <v>15</v>
      </c>
      <c r="AZ831" s="184">
        <v>44421</v>
      </c>
      <c r="BA831" t="s">
        <v>11757</v>
      </c>
      <c r="BB831">
        <v>20</v>
      </c>
      <c r="BC831">
        <v>23</v>
      </c>
      <c r="BD831">
        <v>144.94999999999999</v>
      </c>
      <c r="BE831">
        <v>1991</v>
      </c>
      <c r="BF831">
        <v>9</v>
      </c>
      <c r="BG831">
        <v>2</v>
      </c>
      <c r="BH831">
        <v>30</v>
      </c>
      <c r="BI831">
        <v>8</v>
      </c>
      <c r="BJ831">
        <v>35</v>
      </c>
      <c r="BK831">
        <v>1</v>
      </c>
      <c r="BP831" s="184"/>
    </row>
    <row r="832" spans="1:68">
      <c r="A832">
        <v>4945978</v>
      </c>
      <c r="B832">
        <v>4945978</v>
      </c>
      <c r="C832" t="s">
        <v>7018</v>
      </c>
      <c r="D832" t="s">
        <v>595</v>
      </c>
      <c r="E832" s="184">
        <v>43745</v>
      </c>
      <c r="G832" s="184"/>
      <c r="I832" s="184"/>
      <c r="K832" s="184"/>
      <c r="O832" s="184"/>
      <c r="P832" t="s">
        <v>7045</v>
      </c>
      <c r="Q832" t="s">
        <v>7383</v>
      </c>
      <c r="R832" s="184">
        <v>17275</v>
      </c>
      <c r="S832">
        <v>77</v>
      </c>
      <c r="U832" t="s">
        <v>7031</v>
      </c>
      <c r="V832" t="s">
        <v>3632</v>
      </c>
      <c r="W832" t="s">
        <v>3332</v>
      </c>
      <c r="X832" t="s">
        <v>4098</v>
      </c>
      <c r="AF832" t="s">
        <v>11758</v>
      </c>
      <c r="AG832" t="s">
        <v>3632</v>
      </c>
      <c r="AI832" t="s">
        <v>11759</v>
      </c>
      <c r="AM832" t="s">
        <v>3815</v>
      </c>
      <c r="AN832" t="s">
        <v>2059</v>
      </c>
      <c r="AO832" t="s">
        <v>11760</v>
      </c>
      <c r="AP832" t="s">
        <v>7024</v>
      </c>
      <c r="AT832" s="184">
        <v>33210</v>
      </c>
      <c r="AU832" t="s">
        <v>11717</v>
      </c>
      <c r="AV832">
        <v>15</v>
      </c>
      <c r="AW832" s="184">
        <v>45278</v>
      </c>
      <c r="AX832" t="s">
        <v>11761</v>
      </c>
      <c r="AY832">
        <v>250</v>
      </c>
      <c r="AZ832" s="184">
        <v>45278</v>
      </c>
      <c r="BA832" t="s">
        <v>11761</v>
      </c>
      <c r="BB832">
        <v>250</v>
      </c>
      <c r="BC832">
        <v>95</v>
      </c>
      <c r="BD832">
        <v>3515</v>
      </c>
      <c r="BE832">
        <v>1991</v>
      </c>
      <c r="BF832">
        <v>34</v>
      </c>
      <c r="BG832">
        <v>2</v>
      </c>
      <c r="BH832">
        <v>440</v>
      </c>
      <c r="BI832">
        <v>33</v>
      </c>
      <c r="BJ832">
        <v>35</v>
      </c>
      <c r="BK832">
        <v>26</v>
      </c>
      <c r="BP832" s="184"/>
    </row>
    <row r="833" spans="1:68">
      <c r="A833">
        <v>4953634</v>
      </c>
      <c r="B833">
        <v>4953634</v>
      </c>
      <c r="C833" t="s">
        <v>7018</v>
      </c>
      <c r="E833" s="184"/>
      <c r="I833" s="184"/>
      <c r="J833" t="s">
        <v>595</v>
      </c>
      <c r="K833" s="184">
        <v>42671</v>
      </c>
      <c r="O833" s="184"/>
      <c r="P833" t="s">
        <v>7045</v>
      </c>
      <c r="Q833" t="s">
        <v>7374</v>
      </c>
      <c r="R833" s="184">
        <v>16872</v>
      </c>
      <c r="S833">
        <v>78</v>
      </c>
      <c r="U833" t="s">
        <v>7076</v>
      </c>
      <c r="V833" t="s">
        <v>2804</v>
      </c>
      <c r="X833" t="s">
        <v>11762</v>
      </c>
      <c r="AF833" t="s">
        <v>6398</v>
      </c>
      <c r="AG833" t="s">
        <v>2804</v>
      </c>
      <c r="AI833" t="s">
        <v>11763</v>
      </c>
      <c r="AM833" t="s">
        <v>2806</v>
      </c>
      <c r="AN833" t="s">
        <v>2081</v>
      </c>
      <c r="AO833" t="s">
        <v>11764</v>
      </c>
      <c r="AP833" t="s">
        <v>7024</v>
      </c>
      <c r="AQ833" t="s">
        <v>11765</v>
      </c>
      <c r="AT833" s="184">
        <v>33211</v>
      </c>
      <c r="AU833" t="s">
        <v>11766</v>
      </c>
      <c r="AV833">
        <v>15</v>
      </c>
      <c r="AW833" s="184">
        <v>45412</v>
      </c>
      <c r="AX833" t="s">
        <v>8516</v>
      </c>
      <c r="AY833">
        <v>40</v>
      </c>
      <c r="AZ833" s="184">
        <v>43990</v>
      </c>
      <c r="BA833" t="s">
        <v>11767</v>
      </c>
      <c r="BB833">
        <v>100</v>
      </c>
      <c r="BC833">
        <v>100</v>
      </c>
      <c r="BD833">
        <v>1525</v>
      </c>
      <c r="BE833">
        <v>1991</v>
      </c>
      <c r="BF833">
        <v>49</v>
      </c>
      <c r="BG833">
        <v>3</v>
      </c>
      <c r="BH833">
        <v>155</v>
      </c>
      <c r="BI833">
        <v>35</v>
      </c>
      <c r="BJ833">
        <v>35</v>
      </c>
      <c r="BK833">
        <v>35</v>
      </c>
      <c r="BP833" s="184"/>
    </row>
    <row r="834" spans="1:68">
      <c r="A834">
        <v>4956652</v>
      </c>
      <c r="B834">
        <v>4956652</v>
      </c>
      <c r="C834" t="s">
        <v>7018</v>
      </c>
      <c r="E834" s="184"/>
      <c r="G834" s="184"/>
      <c r="I834" s="184"/>
      <c r="J834" t="s">
        <v>595</v>
      </c>
      <c r="K834" s="184">
        <v>43642</v>
      </c>
      <c r="P834" t="s">
        <v>7084</v>
      </c>
      <c r="Q834" t="s">
        <v>7160</v>
      </c>
      <c r="R834" s="184">
        <v>15250</v>
      </c>
      <c r="S834">
        <v>82</v>
      </c>
      <c r="U834" t="s">
        <v>7076</v>
      </c>
      <c r="V834" t="s">
        <v>2602</v>
      </c>
      <c r="W834" t="s">
        <v>4152</v>
      </c>
      <c r="X834" t="s">
        <v>11768</v>
      </c>
      <c r="AF834" t="s">
        <v>6005</v>
      </c>
      <c r="AG834" t="s">
        <v>2602</v>
      </c>
      <c r="AI834" t="s">
        <v>11769</v>
      </c>
      <c r="AM834" t="s">
        <v>4692</v>
      </c>
      <c r="AN834" t="s">
        <v>2176</v>
      </c>
      <c r="AO834" t="s">
        <v>11770</v>
      </c>
      <c r="AP834" t="s">
        <v>7024</v>
      </c>
      <c r="AQ834" t="s">
        <v>11771</v>
      </c>
      <c r="AR834" t="s">
        <v>11772</v>
      </c>
      <c r="AT834" s="184">
        <v>33212</v>
      </c>
      <c r="AU834" t="s">
        <v>11773</v>
      </c>
      <c r="AV834">
        <v>30</v>
      </c>
      <c r="AW834" s="184">
        <v>44196</v>
      </c>
      <c r="AX834" t="s">
        <v>11774</v>
      </c>
      <c r="AY834">
        <v>64372.15</v>
      </c>
      <c r="AZ834" s="184">
        <v>44196</v>
      </c>
      <c r="BA834" t="s">
        <v>11774</v>
      </c>
      <c r="BB834">
        <v>64372.15</v>
      </c>
      <c r="BC834">
        <v>75</v>
      </c>
      <c r="BD834">
        <v>75377.149999999994</v>
      </c>
      <c r="BE834">
        <v>1991</v>
      </c>
      <c r="BF834">
        <v>72</v>
      </c>
      <c r="BI834">
        <v>26</v>
      </c>
      <c r="BJ834">
        <v>35</v>
      </c>
      <c r="BK834">
        <v>16</v>
      </c>
      <c r="BO834" t="s">
        <v>595</v>
      </c>
      <c r="BP834" s="184">
        <v>42997</v>
      </c>
    </row>
    <row r="835" spans="1:68">
      <c r="A835">
        <v>4971172</v>
      </c>
      <c r="B835">
        <v>4971172</v>
      </c>
      <c r="C835" t="s">
        <v>7018</v>
      </c>
      <c r="E835" s="184"/>
      <c r="F835" t="s">
        <v>595</v>
      </c>
      <c r="G835" s="184">
        <v>44073</v>
      </c>
      <c r="H835" t="s">
        <v>595</v>
      </c>
      <c r="I835" s="184">
        <v>44073</v>
      </c>
      <c r="K835" s="184"/>
      <c r="O835" s="184"/>
      <c r="P835" t="s">
        <v>7045</v>
      </c>
      <c r="Q835" t="s">
        <v>7020</v>
      </c>
      <c r="R835" s="184">
        <v>18323</v>
      </c>
      <c r="S835">
        <v>74</v>
      </c>
      <c r="U835" t="s">
        <v>7031</v>
      </c>
      <c r="V835" t="s">
        <v>3384</v>
      </c>
      <c r="X835" t="s">
        <v>4925</v>
      </c>
      <c r="AF835" t="s">
        <v>11775</v>
      </c>
      <c r="AG835" t="s">
        <v>3384</v>
      </c>
      <c r="AI835" t="s">
        <v>11776</v>
      </c>
      <c r="AM835" t="s">
        <v>3040</v>
      </c>
      <c r="AN835" t="s">
        <v>2363</v>
      </c>
      <c r="AO835" t="s">
        <v>11777</v>
      </c>
      <c r="AP835" t="s">
        <v>7024</v>
      </c>
      <c r="AT835" s="184">
        <v>33218</v>
      </c>
      <c r="AU835" t="s">
        <v>11778</v>
      </c>
      <c r="AV835">
        <v>30</v>
      </c>
      <c r="AW835" s="184">
        <v>44978</v>
      </c>
      <c r="AX835" t="s">
        <v>11779</v>
      </c>
      <c r="AY835">
        <v>400</v>
      </c>
      <c r="AZ835" s="184">
        <v>44978</v>
      </c>
      <c r="BA835" t="s">
        <v>11779</v>
      </c>
      <c r="BB835">
        <v>400</v>
      </c>
      <c r="BC835">
        <v>92</v>
      </c>
      <c r="BD835">
        <v>4200</v>
      </c>
      <c r="BE835">
        <v>1991</v>
      </c>
      <c r="BF835">
        <v>33</v>
      </c>
      <c r="BG835">
        <v>1</v>
      </c>
      <c r="BH835">
        <v>400</v>
      </c>
      <c r="BI835">
        <v>32</v>
      </c>
      <c r="BJ835">
        <v>35</v>
      </c>
      <c r="BK835">
        <v>28</v>
      </c>
      <c r="BP835" s="184"/>
    </row>
    <row r="836" spans="1:68">
      <c r="A836">
        <v>4976866</v>
      </c>
      <c r="B836">
        <v>4976866</v>
      </c>
      <c r="C836" t="s">
        <v>7018</v>
      </c>
      <c r="E836" s="184"/>
      <c r="G836" s="184"/>
      <c r="I836" s="184"/>
      <c r="J836" t="s">
        <v>595</v>
      </c>
      <c r="K836" s="184"/>
      <c r="O836" s="184"/>
      <c r="P836" t="s">
        <v>7045</v>
      </c>
      <c r="Q836" t="s">
        <v>7383</v>
      </c>
      <c r="R836" s="184">
        <v>18898</v>
      </c>
      <c r="S836">
        <v>72</v>
      </c>
      <c r="U836" t="s">
        <v>7076</v>
      </c>
      <c r="V836" t="s">
        <v>3101</v>
      </c>
      <c r="W836" t="s">
        <v>4327</v>
      </c>
      <c r="X836" t="s">
        <v>11780</v>
      </c>
      <c r="Z836">
        <v>100219647</v>
      </c>
      <c r="AA836" t="s">
        <v>7031</v>
      </c>
      <c r="AB836" t="s">
        <v>2832</v>
      </c>
      <c r="AD836" t="s">
        <v>11780</v>
      </c>
      <c r="AF836" t="s">
        <v>6154</v>
      </c>
      <c r="AG836" t="s">
        <v>10019</v>
      </c>
      <c r="AI836" t="s">
        <v>11781</v>
      </c>
      <c r="AM836" t="s">
        <v>11782</v>
      </c>
      <c r="AN836" t="s">
        <v>2072</v>
      </c>
      <c r="AO836" t="s">
        <v>11783</v>
      </c>
      <c r="AP836" t="s">
        <v>7024</v>
      </c>
      <c r="AQ836" t="s">
        <v>11784</v>
      </c>
      <c r="AT836" s="184">
        <v>33217</v>
      </c>
      <c r="AU836" t="s">
        <v>11785</v>
      </c>
      <c r="AV836">
        <v>15</v>
      </c>
      <c r="AW836" s="184">
        <v>45187</v>
      </c>
      <c r="AX836" t="s">
        <v>8383</v>
      </c>
      <c r="AY836">
        <v>150</v>
      </c>
      <c r="AZ836" s="184">
        <v>43073</v>
      </c>
      <c r="BA836" t="s">
        <v>11786</v>
      </c>
      <c r="BB836">
        <v>175</v>
      </c>
      <c r="BC836">
        <v>92</v>
      </c>
      <c r="BD836">
        <v>4759</v>
      </c>
      <c r="BE836">
        <v>1991</v>
      </c>
      <c r="BF836">
        <v>95</v>
      </c>
      <c r="BG836">
        <v>5</v>
      </c>
      <c r="BH836">
        <v>550</v>
      </c>
      <c r="BI836">
        <v>32</v>
      </c>
      <c r="BJ836">
        <v>35</v>
      </c>
      <c r="BK836">
        <v>20</v>
      </c>
      <c r="BP836" s="184"/>
    </row>
    <row r="837" spans="1:68">
      <c r="A837">
        <v>100219647</v>
      </c>
      <c r="B837">
        <v>4976866</v>
      </c>
      <c r="C837" t="s">
        <v>7018</v>
      </c>
      <c r="E837" s="184"/>
      <c r="G837" s="184"/>
      <c r="I837" s="184"/>
      <c r="J837" t="s">
        <v>595</v>
      </c>
      <c r="K837" s="184">
        <v>43654</v>
      </c>
      <c r="O837" s="184"/>
      <c r="P837" t="s">
        <v>7045</v>
      </c>
      <c r="Q837" t="s">
        <v>7383</v>
      </c>
      <c r="R837" s="184">
        <v>19259</v>
      </c>
      <c r="S837">
        <v>71</v>
      </c>
      <c r="U837" t="s">
        <v>7031</v>
      </c>
      <c r="V837" t="s">
        <v>2832</v>
      </c>
      <c r="X837" t="s">
        <v>11780</v>
      </c>
      <c r="Z837">
        <v>4976866</v>
      </c>
      <c r="AA837" t="s">
        <v>7076</v>
      </c>
      <c r="AB837" t="s">
        <v>3101</v>
      </c>
      <c r="AC837" t="s">
        <v>4327</v>
      </c>
      <c r="AD837" t="s">
        <v>11780</v>
      </c>
      <c r="AF837" t="s">
        <v>6154</v>
      </c>
      <c r="AG837" t="s">
        <v>10019</v>
      </c>
      <c r="AI837" t="s">
        <v>11781</v>
      </c>
      <c r="AM837" t="s">
        <v>11782</v>
      </c>
      <c r="AN837" t="s">
        <v>2072</v>
      </c>
      <c r="AO837" t="s">
        <v>11783</v>
      </c>
      <c r="AP837" t="s">
        <v>7024</v>
      </c>
      <c r="AT837" s="184"/>
      <c r="AW837" s="184"/>
      <c r="AZ837" s="184"/>
      <c r="BP837" s="184"/>
    </row>
    <row r="838" spans="1:68">
      <c r="A838">
        <v>4979746</v>
      </c>
      <c r="B838">
        <v>4979746</v>
      </c>
      <c r="C838" t="s">
        <v>7018</v>
      </c>
      <c r="E838" s="184"/>
      <c r="F838" t="s">
        <v>595</v>
      </c>
      <c r="G838" s="184">
        <v>43731</v>
      </c>
      <c r="I838" s="184"/>
      <c r="K838" s="184"/>
      <c r="O838" s="184"/>
      <c r="P838" t="s">
        <v>7045</v>
      </c>
      <c r="Q838" t="s">
        <v>7454</v>
      </c>
      <c r="R838" s="184">
        <v>20941</v>
      </c>
      <c r="S838">
        <v>67</v>
      </c>
      <c r="U838" t="s">
        <v>7076</v>
      </c>
      <c r="V838" t="s">
        <v>3912</v>
      </c>
      <c r="X838" t="s">
        <v>3913</v>
      </c>
      <c r="AF838" t="s">
        <v>11787</v>
      </c>
      <c r="AG838" t="s">
        <v>3912</v>
      </c>
      <c r="AI838" t="s">
        <v>11788</v>
      </c>
      <c r="AM838" t="s">
        <v>3914</v>
      </c>
      <c r="AN838" t="s">
        <v>2055</v>
      </c>
      <c r="AO838" t="s">
        <v>11789</v>
      </c>
      <c r="AP838" t="s">
        <v>7024</v>
      </c>
      <c r="AT838" s="184">
        <v>33218</v>
      </c>
      <c r="AU838" t="s">
        <v>11790</v>
      </c>
      <c r="AV838">
        <v>15</v>
      </c>
      <c r="AW838" s="184">
        <v>43768</v>
      </c>
      <c r="AX838" t="s">
        <v>11791</v>
      </c>
      <c r="AY838">
        <v>25</v>
      </c>
      <c r="AZ838" s="184">
        <v>43768</v>
      </c>
      <c r="BA838" t="s">
        <v>11791</v>
      </c>
      <c r="BB838">
        <v>25</v>
      </c>
      <c r="BC838">
        <v>23</v>
      </c>
      <c r="BD838">
        <v>255</v>
      </c>
      <c r="BE838">
        <v>1991</v>
      </c>
      <c r="BF838">
        <v>12</v>
      </c>
      <c r="BI838">
        <v>8</v>
      </c>
      <c r="BJ838">
        <v>35</v>
      </c>
      <c r="BK838">
        <v>3</v>
      </c>
      <c r="BP838" s="184"/>
    </row>
    <row r="839" spans="1:68">
      <c r="A839">
        <v>4983466</v>
      </c>
      <c r="B839">
        <v>4983466</v>
      </c>
      <c r="C839" t="s">
        <v>7018</v>
      </c>
      <c r="E839" s="184"/>
      <c r="G839" s="184"/>
      <c r="J839" t="s">
        <v>595</v>
      </c>
      <c r="K839" s="184">
        <v>43899</v>
      </c>
      <c r="O839" s="184"/>
      <c r="P839" t="s">
        <v>7084</v>
      </c>
      <c r="Q839" t="s">
        <v>7262</v>
      </c>
      <c r="R839" s="184">
        <v>10555</v>
      </c>
      <c r="S839">
        <v>95</v>
      </c>
      <c r="U839" t="s">
        <v>7031</v>
      </c>
      <c r="V839" t="s">
        <v>2871</v>
      </c>
      <c r="X839" t="s">
        <v>11792</v>
      </c>
      <c r="AF839" t="s">
        <v>6273</v>
      </c>
      <c r="AG839" t="s">
        <v>2871</v>
      </c>
      <c r="AI839" t="s">
        <v>11793</v>
      </c>
      <c r="AM839" t="s">
        <v>4657</v>
      </c>
      <c r="AN839" t="s">
        <v>2069</v>
      </c>
      <c r="AO839" t="s">
        <v>11794</v>
      </c>
      <c r="AP839" t="s">
        <v>7024</v>
      </c>
      <c r="AQ839" t="s">
        <v>11795</v>
      </c>
      <c r="AR839" t="s">
        <v>11796</v>
      </c>
      <c r="AT839" s="184">
        <v>33219</v>
      </c>
      <c r="AU839" t="s">
        <v>11797</v>
      </c>
      <c r="AV839">
        <v>30</v>
      </c>
      <c r="AW839" s="184">
        <v>44342</v>
      </c>
      <c r="AX839" t="s">
        <v>7309</v>
      </c>
      <c r="AY839">
        <v>33902.17</v>
      </c>
      <c r="AZ839" s="184">
        <v>44342</v>
      </c>
      <c r="BA839" t="s">
        <v>7309</v>
      </c>
      <c r="BB839">
        <v>67804.27</v>
      </c>
      <c r="BC839">
        <v>75</v>
      </c>
      <c r="BD839">
        <v>103661.44</v>
      </c>
      <c r="BE839">
        <v>1991</v>
      </c>
      <c r="BF839">
        <v>31</v>
      </c>
      <c r="BI839">
        <v>26</v>
      </c>
      <c r="BJ839">
        <v>35</v>
      </c>
      <c r="BK839">
        <v>17</v>
      </c>
      <c r="BN839" t="s">
        <v>595</v>
      </c>
      <c r="BO839" t="s">
        <v>595</v>
      </c>
      <c r="BP839" s="184">
        <v>43153</v>
      </c>
    </row>
    <row r="840" spans="1:68">
      <c r="A840">
        <v>4984555</v>
      </c>
      <c r="B840">
        <v>4984555</v>
      </c>
      <c r="C840" t="s">
        <v>7018</v>
      </c>
      <c r="D840" t="s">
        <v>595</v>
      </c>
      <c r="E840" s="184">
        <v>43970</v>
      </c>
      <c r="G840" s="184"/>
      <c r="I840" s="184"/>
      <c r="K840" s="184"/>
      <c r="O840" s="184"/>
      <c r="P840" t="s">
        <v>7045</v>
      </c>
      <c r="Q840" t="s">
        <v>7020</v>
      </c>
      <c r="R840" s="184">
        <v>15500</v>
      </c>
      <c r="S840">
        <v>81</v>
      </c>
      <c r="V840" t="s">
        <v>4303</v>
      </c>
      <c r="W840" t="s">
        <v>4139</v>
      </c>
      <c r="X840" t="s">
        <v>11798</v>
      </c>
      <c r="Z840">
        <v>100022802</v>
      </c>
      <c r="AB840" t="s">
        <v>3184</v>
      </c>
      <c r="AD840" t="s">
        <v>11799</v>
      </c>
      <c r="AF840" t="s">
        <v>11800</v>
      </c>
      <c r="AG840" t="s">
        <v>11801</v>
      </c>
      <c r="AI840" t="s">
        <v>11802</v>
      </c>
      <c r="AM840" t="s">
        <v>3060</v>
      </c>
      <c r="AN840" t="s">
        <v>2112</v>
      </c>
      <c r="AO840" t="s">
        <v>11803</v>
      </c>
      <c r="AP840" t="s">
        <v>7024</v>
      </c>
      <c r="AQ840" t="s">
        <v>11804</v>
      </c>
      <c r="AR840" t="s">
        <v>11805</v>
      </c>
      <c r="AT840" s="184">
        <v>33220</v>
      </c>
      <c r="AU840" t="s">
        <v>11806</v>
      </c>
      <c r="AV840">
        <v>15</v>
      </c>
      <c r="AW840" s="184">
        <v>45348</v>
      </c>
      <c r="AX840" t="s">
        <v>10666</v>
      </c>
      <c r="AY840">
        <v>35</v>
      </c>
      <c r="AZ840" s="184">
        <v>45348</v>
      </c>
      <c r="BA840" t="s">
        <v>10666</v>
      </c>
      <c r="BB840">
        <v>35</v>
      </c>
      <c r="BC840">
        <v>80</v>
      </c>
      <c r="BD840">
        <v>935</v>
      </c>
      <c r="BE840">
        <v>1991</v>
      </c>
      <c r="BF840">
        <v>35</v>
      </c>
      <c r="BG840">
        <v>3</v>
      </c>
      <c r="BH840">
        <v>105</v>
      </c>
      <c r="BI840">
        <v>28</v>
      </c>
      <c r="BJ840">
        <v>35</v>
      </c>
      <c r="BK840">
        <v>7</v>
      </c>
      <c r="BP840" s="184"/>
    </row>
    <row r="841" spans="1:68">
      <c r="A841">
        <v>100022802</v>
      </c>
      <c r="B841">
        <v>4984555</v>
      </c>
      <c r="C841" t="s">
        <v>7018</v>
      </c>
      <c r="D841" t="s">
        <v>595</v>
      </c>
      <c r="E841" s="184">
        <v>43970</v>
      </c>
      <c r="I841" s="184"/>
      <c r="K841" s="184"/>
      <c r="O841" s="184"/>
      <c r="P841" t="s">
        <v>7045</v>
      </c>
      <c r="Q841" t="s">
        <v>7020</v>
      </c>
      <c r="R841" s="184">
        <v>18476</v>
      </c>
      <c r="S841">
        <v>73</v>
      </c>
      <c r="V841" t="s">
        <v>3184</v>
      </c>
      <c r="X841" t="s">
        <v>11799</v>
      </c>
      <c r="Z841">
        <v>4984555</v>
      </c>
      <c r="AB841" t="s">
        <v>4303</v>
      </c>
      <c r="AC841" t="s">
        <v>4139</v>
      </c>
      <c r="AD841" t="s">
        <v>11798</v>
      </c>
      <c r="AF841" t="s">
        <v>11800</v>
      </c>
      <c r="AG841" t="s">
        <v>11801</v>
      </c>
      <c r="AI841" t="s">
        <v>11802</v>
      </c>
      <c r="AM841" t="s">
        <v>3060</v>
      </c>
      <c r="AN841" t="s">
        <v>2112</v>
      </c>
      <c r="AO841" t="s">
        <v>11803</v>
      </c>
      <c r="AP841" t="s">
        <v>7024</v>
      </c>
      <c r="AT841" s="184"/>
      <c r="AW841" s="184"/>
      <c r="AZ841" s="184"/>
      <c r="BP841" s="184"/>
    </row>
    <row r="842" spans="1:68">
      <c r="A842">
        <v>4986568</v>
      </c>
      <c r="B842">
        <v>4986568</v>
      </c>
      <c r="C842" t="s">
        <v>7018</v>
      </c>
      <c r="D842" t="s">
        <v>595</v>
      </c>
      <c r="E842" s="184">
        <v>43773</v>
      </c>
      <c r="K842" s="184"/>
      <c r="O842" s="184"/>
      <c r="P842" t="s">
        <v>7045</v>
      </c>
      <c r="Q842" t="s">
        <v>7194</v>
      </c>
      <c r="R842" s="184">
        <v>21002</v>
      </c>
      <c r="S842">
        <v>66</v>
      </c>
      <c r="U842" t="s">
        <v>7031</v>
      </c>
      <c r="V842" t="s">
        <v>4152</v>
      </c>
      <c r="W842" t="s">
        <v>7268</v>
      </c>
      <c r="X842" t="s">
        <v>4252</v>
      </c>
      <c r="AF842" t="s">
        <v>11807</v>
      </c>
      <c r="AG842" t="s">
        <v>11808</v>
      </c>
      <c r="AI842" t="s">
        <v>11809</v>
      </c>
      <c r="AM842" t="s">
        <v>4253</v>
      </c>
      <c r="AN842" t="s">
        <v>2046</v>
      </c>
      <c r="AO842" t="s">
        <v>11810</v>
      </c>
      <c r="AP842" t="s">
        <v>7024</v>
      </c>
      <c r="AT842" s="184">
        <v>33221</v>
      </c>
      <c r="AU842" t="s">
        <v>11712</v>
      </c>
      <c r="AV842">
        <v>15</v>
      </c>
      <c r="AW842" s="184">
        <v>45272</v>
      </c>
      <c r="AX842" t="s">
        <v>11811</v>
      </c>
      <c r="AY842">
        <v>50</v>
      </c>
      <c r="AZ842" s="184">
        <v>45272</v>
      </c>
      <c r="BA842" t="s">
        <v>11811</v>
      </c>
      <c r="BB842">
        <v>50</v>
      </c>
      <c r="BC842">
        <v>49</v>
      </c>
      <c r="BD842">
        <v>1093.25</v>
      </c>
      <c r="BE842">
        <v>1991</v>
      </c>
      <c r="BF842">
        <v>36</v>
      </c>
      <c r="BG842">
        <v>3</v>
      </c>
      <c r="BH842">
        <v>150</v>
      </c>
      <c r="BI842">
        <v>17</v>
      </c>
      <c r="BJ842">
        <v>35</v>
      </c>
      <c r="BK842">
        <v>16</v>
      </c>
      <c r="BP842" s="184"/>
    </row>
    <row r="843" spans="1:68">
      <c r="A843">
        <v>4989836</v>
      </c>
      <c r="B843">
        <v>4989836</v>
      </c>
      <c r="C843" t="s">
        <v>7018</v>
      </c>
      <c r="D843" t="s">
        <v>595</v>
      </c>
      <c r="E843" s="184">
        <v>44167</v>
      </c>
      <c r="I843" s="184"/>
      <c r="K843" s="184"/>
      <c r="P843" t="s">
        <v>7045</v>
      </c>
      <c r="Q843" t="s">
        <v>7383</v>
      </c>
      <c r="R843" s="184">
        <v>10259</v>
      </c>
      <c r="S843">
        <v>96</v>
      </c>
      <c r="U843" t="s">
        <v>7076</v>
      </c>
      <c r="V843" t="s">
        <v>2602</v>
      </c>
      <c r="W843" t="s">
        <v>4139</v>
      </c>
      <c r="X843" t="s">
        <v>3339</v>
      </c>
      <c r="AF843" t="s">
        <v>11812</v>
      </c>
      <c r="AG843" t="s">
        <v>2602</v>
      </c>
      <c r="AI843" t="s">
        <v>11813</v>
      </c>
      <c r="AM843" t="s">
        <v>11814</v>
      </c>
      <c r="AN843" t="s">
        <v>2185</v>
      </c>
      <c r="AO843" t="s">
        <v>11815</v>
      </c>
      <c r="AP843" t="s">
        <v>7024</v>
      </c>
      <c r="AT843" s="184">
        <v>33224</v>
      </c>
      <c r="AU843" t="s">
        <v>11717</v>
      </c>
      <c r="AV843">
        <v>15</v>
      </c>
      <c r="AW843" s="184">
        <v>44491</v>
      </c>
      <c r="AX843" t="s">
        <v>7851</v>
      </c>
      <c r="AY843">
        <v>100</v>
      </c>
      <c r="AZ843" s="184">
        <v>44491</v>
      </c>
      <c r="BA843" t="s">
        <v>7851</v>
      </c>
      <c r="BB843">
        <v>100</v>
      </c>
      <c r="BC843">
        <v>86</v>
      </c>
      <c r="BD843">
        <v>2065</v>
      </c>
      <c r="BE843">
        <v>1991</v>
      </c>
      <c r="BF843">
        <v>41</v>
      </c>
      <c r="BI843">
        <v>30</v>
      </c>
      <c r="BJ843">
        <v>35</v>
      </c>
      <c r="BK843">
        <v>17</v>
      </c>
      <c r="BP843" s="184"/>
    </row>
    <row r="844" spans="1:68">
      <c r="A844">
        <v>4989919</v>
      </c>
      <c r="B844">
        <v>4989919</v>
      </c>
      <c r="C844" t="s">
        <v>7018</v>
      </c>
      <c r="D844" t="s">
        <v>595</v>
      </c>
      <c r="E844" s="184">
        <v>44167</v>
      </c>
      <c r="G844" s="184"/>
      <c r="H844" t="s">
        <v>595</v>
      </c>
      <c r="I844" s="184">
        <v>44167</v>
      </c>
      <c r="K844" s="184"/>
      <c r="O844" s="184"/>
      <c r="P844" t="s">
        <v>7045</v>
      </c>
      <c r="Q844" t="s">
        <v>7262</v>
      </c>
      <c r="R844" s="184">
        <v>19804</v>
      </c>
      <c r="S844">
        <v>70</v>
      </c>
      <c r="U844" t="s">
        <v>7076</v>
      </c>
      <c r="V844" t="s">
        <v>2669</v>
      </c>
      <c r="W844" t="s">
        <v>7560</v>
      </c>
      <c r="X844" t="s">
        <v>11816</v>
      </c>
      <c r="AF844" t="s">
        <v>11817</v>
      </c>
      <c r="AG844" t="s">
        <v>2669</v>
      </c>
      <c r="AI844" t="s">
        <v>11818</v>
      </c>
      <c r="AM844" t="s">
        <v>7528</v>
      </c>
      <c r="AN844" t="s">
        <v>2069</v>
      </c>
      <c r="AO844" t="s">
        <v>11819</v>
      </c>
      <c r="AP844" t="s">
        <v>7024</v>
      </c>
      <c r="AQ844" t="s">
        <v>11820</v>
      </c>
      <c r="AT844" s="184">
        <v>33224</v>
      </c>
      <c r="AU844" t="s">
        <v>11723</v>
      </c>
      <c r="AV844">
        <v>15</v>
      </c>
      <c r="AW844" s="184">
        <v>45397</v>
      </c>
      <c r="AX844" t="s">
        <v>7429</v>
      </c>
      <c r="AY844">
        <v>10</v>
      </c>
      <c r="AZ844" s="184">
        <v>44782</v>
      </c>
      <c r="BA844" t="s">
        <v>11821</v>
      </c>
      <c r="BB844">
        <v>50</v>
      </c>
      <c r="BC844">
        <v>38</v>
      </c>
      <c r="BD844">
        <v>855</v>
      </c>
      <c r="BE844">
        <v>1991</v>
      </c>
      <c r="BF844">
        <v>41</v>
      </c>
      <c r="BG844">
        <v>25</v>
      </c>
      <c r="BH844">
        <v>305</v>
      </c>
      <c r="BI844">
        <v>13</v>
      </c>
      <c r="BJ844">
        <v>35</v>
      </c>
      <c r="BK844">
        <v>6</v>
      </c>
    </row>
    <row r="845" spans="1:68">
      <c r="A845">
        <v>5001870</v>
      </c>
      <c r="B845">
        <v>5001870</v>
      </c>
      <c r="C845" t="s">
        <v>7018</v>
      </c>
      <c r="E845" s="184"/>
      <c r="J845" t="s">
        <v>595</v>
      </c>
      <c r="K845" s="184"/>
      <c r="O845" s="184"/>
      <c r="P845" t="s">
        <v>7029</v>
      </c>
      <c r="Q845" t="s">
        <v>7383</v>
      </c>
      <c r="R845" s="184">
        <v>21125</v>
      </c>
      <c r="S845">
        <v>66</v>
      </c>
      <c r="V845" t="s">
        <v>2832</v>
      </c>
      <c r="X845" t="s">
        <v>11822</v>
      </c>
      <c r="Z845">
        <v>100022906</v>
      </c>
      <c r="AB845" t="s">
        <v>11823</v>
      </c>
      <c r="AD845" t="s">
        <v>11824</v>
      </c>
      <c r="AF845" t="s">
        <v>6165</v>
      </c>
      <c r="AG845" t="s">
        <v>11825</v>
      </c>
      <c r="AI845" t="s">
        <v>11826</v>
      </c>
      <c r="AM845" t="s">
        <v>11827</v>
      </c>
      <c r="AN845" t="s">
        <v>2185</v>
      </c>
      <c r="AO845" t="s">
        <v>11828</v>
      </c>
      <c r="AP845" t="s">
        <v>7024</v>
      </c>
      <c r="AQ845" t="s">
        <v>11829</v>
      </c>
      <c r="AR845" t="s">
        <v>11830</v>
      </c>
      <c r="AT845" s="184">
        <v>33233</v>
      </c>
      <c r="AU845" t="s">
        <v>11831</v>
      </c>
      <c r="AV845">
        <v>15</v>
      </c>
      <c r="AW845" s="184">
        <v>45062</v>
      </c>
      <c r="AX845" t="s">
        <v>7814</v>
      </c>
      <c r="AY845">
        <v>500</v>
      </c>
      <c r="AZ845" s="184">
        <v>45062</v>
      </c>
      <c r="BA845" t="s">
        <v>7814</v>
      </c>
      <c r="BB845">
        <v>500</v>
      </c>
      <c r="BC845">
        <v>86</v>
      </c>
      <c r="BD845">
        <v>5550</v>
      </c>
      <c r="BE845">
        <v>1991</v>
      </c>
      <c r="BF845">
        <v>41</v>
      </c>
      <c r="BG845">
        <v>2</v>
      </c>
      <c r="BH845">
        <v>1000</v>
      </c>
      <c r="BI845">
        <v>30</v>
      </c>
      <c r="BJ845">
        <v>35</v>
      </c>
      <c r="BK845">
        <v>17</v>
      </c>
      <c r="BN845" t="s">
        <v>595</v>
      </c>
      <c r="BP845" s="184"/>
    </row>
    <row r="846" spans="1:68">
      <c r="A846">
        <v>100022906</v>
      </c>
      <c r="B846">
        <v>5001870</v>
      </c>
      <c r="C846" t="s">
        <v>7018</v>
      </c>
      <c r="E846" s="184"/>
      <c r="G846" s="184"/>
      <c r="I846" s="184"/>
      <c r="J846" t="s">
        <v>595</v>
      </c>
      <c r="K846" s="184">
        <v>43654</v>
      </c>
      <c r="O846" s="184"/>
      <c r="P846" t="s">
        <v>7029</v>
      </c>
      <c r="Q846" t="s">
        <v>7383</v>
      </c>
      <c r="R846" s="184">
        <v>22229</v>
      </c>
      <c r="S846">
        <v>63</v>
      </c>
      <c r="V846" t="s">
        <v>11823</v>
      </c>
      <c r="X846" t="s">
        <v>11824</v>
      </c>
      <c r="Z846">
        <v>5001870</v>
      </c>
      <c r="AB846" t="s">
        <v>2832</v>
      </c>
      <c r="AD846" t="s">
        <v>11822</v>
      </c>
      <c r="AF846" t="s">
        <v>6165</v>
      </c>
      <c r="AG846" t="s">
        <v>11825</v>
      </c>
      <c r="AI846" t="s">
        <v>11826</v>
      </c>
      <c r="AM846" t="s">
        <v>11827</v>
      </c>
      <c r="AN846" t="s">
        <v>2185</v>
      </c>
      <c r="AO846" t="s">
        <v>11828</v>
      </c>
      <c r="AP846" t="s">
        <v>7024</v>
      </c>
      <c r="AT846" s="184"/>
      <c r="AW846" s="184"/>
      <c r="AZ846" s="184"/>
      <c r="BP846" s="184"/>
    </row>
    <row r="847" spans="1:68">
      <c r="A847">
        <v>5009196</v>
      </c>
      <c r="B847">
        <v>5009196</v>
      </c>
      <c r="C847" t="s">
        <v>7018</v>
      </c>
      <c r="D847" t="s">
        <v>595</v>
      </c>
      <c r="E847" s="184">
        <v>44104</v>
      </c>
      <c r="G847" s="184"/>
      <c r="I847" s="184"/>
      <c r="K847" s="184"/>
      <c r="O847" s="184"/>
      <c r="P847" t="s">
        <v>7045</v>
      </c>
      <c r="Q847" t="s">
        <v>7383</v>
      </c>
      <c r="R847" s="184">
        <v>16094</v>
      </c>
      <c r="S847">
        <v>80</v>
      </c>
      <c r="V847" t="s">
        <v>3304</v>
      </c>
      <c r="X847" t="s">
        <v>11832</v>
      </c>
      <c r="AF847" t="s">
        <v>11833</v>
      </c>
      <c r="AG847" t="s">
        <v>3304</v>
      </c>
      <c r="AI847" t="s">
        <v>11834</v>
      </c>
      <c r="AM847" t="s">
        <v>3815</v>
      </c>
      <c r="AN847" t="s">
        <v>2059</v>
      </c>
      <c r="AO847" t="s">
        <v>11835</v>
      </c>
      <c r="AP847" t="s">
        <v>7024</v>
      </c>
      <c r="AT847" s="184">
        <v>33240</v>
      </c>
      <c r="AU847" t="s">
        <v>11766</v>
      </c>
      <c r="AV847">
        <v>15</v>
      </c>
      <c r="AW847" s="184">
        <v>45065</v>
      </c>
      <c r="AX847" t="s">
        <v>7701</v>
      </c>
      <c r="AY847">
        <v>55</v>
      </c>
      <c r="AZ847" s="184">
        <v>44768</v>
      </c>
      <c r="BA847" t="s">
        <v>11836</v>
      </c>
      <c r="BB847">
        <v>85</v>
      </c>
      <c r="BC847">
        <v>95</v>
      </c>
      <c r="BD847">
        <v>2834</v>
      </c>
      <c r="BE847">
        <v>1991</v>
      </c>
      <c r="BF847">
        <v>56</v>
      </c>
      <c r="BG847">
        <v>3</v>
      </c>
      <c r="BH847">
        <v>215</v>
      </c>
      <c r="BI847">
        <v>32</v>
      </c>
      <c r="BJ847">
        <v>34</v>
      </c>
      <c r="BK847">
        <v>24</v>
      </c>
      <c r="BP847" s="184"/>
    </row>
    <row r="848" spans="1:68">
      <c r="A848">
        <v>5012083</v>
      </c>
      <c r="B848">
        <v>5012083</v>
      </c>
      <c r="C848" t="s">
        <v>7018</v>
      </c>
      <c r="E848" s="184"/>
      <c r="G848" s="184"/>
      <c r="I848" s="184"/>
      <c r="J848" t="s">
        <v>595</v>
      </c>
      <c r="K848" s="184">
        <v>41544</v>
      </c>
      <c r="O848" s="184"/>
      <c r="P848" t="s">
        <v>7019</v>
      </c>
      <c r="Q848" t="s">
        <v>7374</v>
      </c>
      <c r="R848" s="184">
        <v>20059</v>
      </c>
      <c r="S848">
        <v>69</v>
      </c>
      <c r="U848" t="s">
        <v>7076</v>
      </c>
      <c r="V848" t="s">
        <v>3478</v>
      </c>
      <c r="W848" t="s">
        <v>7085</v>
      </c>
      <c r="X848" t="s">
        <v>5767</v>
      </c>
      <c r="AF848" t="s">
        <v>6474</v>
      </c>
      <c r="AG848" t="s">
        <v>3478</v>
      </c>
      <c r="AI848" t="s">
        <v>11837</v>
      </c>
      <c r="AM848" t="s">
        <v>11838</v>
      </c>
      <c r="AN848" t="s">
        <v>2081</v>
      </c>
      <c r="AO848" t="s">
        <v>11839</v>
      </c>
      <c r="AP848" t="s">
        <v>7024</v>
      </c>
      <c r="AQ848" t="s">
        <v>11840</v>
      </c>
      <c r="AT848" s="184">
        <v>33241</v>
      </c>
      <c r="AU848" t="s">
        <v>11806</v>
      </c>
      <c r="AV848">
        <v>25</v>
      </c>
      <c r="AW848" s="184">
        <v>45313</v>
      </c>
      <c r="AX848" t="s">
        <v>11841</v>
      </c>
      <c r="AY848">
        <v>60</v>
      </c>
      <c r="AZ848" s="184">
        <v>45313</v>
      </c>
      <c r="BA848" t="s">
        <v>11841</v>
      </c>
      <c r="BB848">
        <v>60</v>
      </c>
      <c r="BC848">
        <v>86</v>
      </c>
      <c r="BD848">
        <v>1070</v>
      </c>
      <c r="BE848">
        <v>1991</v>
      </c>
      <c r="BF848">
        <v>32</v>
      </c>
      <c r="BG848">
        <v>2</v>
      </c>
      <c r="BH848">
        <v>85</v>
      </c>
      <c r="BI848">
        <v>29</v>
      </c>
      <c r="BJ848">
        <v>34</v>
      </c>
      <c r="BK848">
        <v>12</v>
      </c>
      <c r="BP848" s="184"/>
    </row>
    <row r="849" spans="1:68">
      <c r="A849">
        <v>5023106</v>
      </c>
      <c r="B849">
        <v>5023106</v>
      </c>
      <c r="C849" t="s">
        <v>7018</v>
      </c>
      <c r="E849" s="184"/>
      <c r="I849" s="184"/>
      <c r="J849" t="s">
        <v>595</v>
      </c>
      <c r="K849" s="184"/>
      <c r="O849" s="184"/>
      <c r="P849" t="s">
        <v>7045</v>
      </c>
      <c r="Q849" t="s">
        <v>7020</v>
      </c>
      <c r="R849" s="184">
        <v>12175</v>
      </c>
      <c r="S849">
        <v>91</v>
      </c>
      <c r="V849" t="s">
        <v>3290</v>
      </c>
      <c r="X849" t="s">
        <v>4595</v>
      </c>
      <c r="AF849" t="s">
        <v>6280</v>
      </c>
      <c r="AG849" t="s">
        <v>3290</v>
      </c>
      <c r="AI849" t="s">
        <v>11842</v>
      </c>
      <c r="AJ849" t="s">
        <v>11843</v>
      </c>
      <c r="AM849" t="s">
        <v>3004</v>
      </c>
      <c r="AN849" t="s">
        <v>2112</v>
      </c>
      <c r="AO849" t="s">
        <v>11844</v>
      </c>
      <c r="AP849" t="s">
        <v>7024</v>
      </c>
      <c r="AQ849" t="s">
        <v>11845</v>
      </c>
      <c r="AR849" t="s">
        <v>11846</v>
      </c>
      <c r="AT849" s="184">
        <v>33247</v>
      </c>
      <c r="AU849" t="s">
        <v>11847</v>
      </c>
      <c r="AV849">
        <v>15</v>
      </c>
      <c r="AW849" s="184">
        <v>44566</v>
      </c>
      <c r="AX849" t="s">
        <v>11848</v>
      </c>
      <c r="AY849">
        <v>100</v>
      </c>
      <c r="AZ849" s="184">
        <v>41528</v>
      </c>
      <c r="BA849" t="s">
        <v>11849</v>
      </c>
      <c r="BB849">
        <v>200</v>
      </c>
      <c r="BC849">
        <v>59</v>
      </c>
      <c r="BD849">
        <v>2085</v>
      </c>
      <c r="BE849">
        <v>1991</v>
      </c>
      <c r="BF849">
        <v>25</v>
      </c>
      <c r="BI849">
        <v>20</v>
      </c>
      <c r="BJ849">
        <v>34</v>
      </c>
      <c r="BK849">
        <v>7</v>
      </c>
      <c r="BP849" s="184"/>
    </row>
    <row r="850" spans="1:68">
      <c r="A850">
        <v>5046123</v>
      </c>
      <c r="B850">
        <v>5046123</v>
      </c>
      <c r="C850" t="s">
        <v>7018</v>
      </c>
      <c r="E850" s="184"/>
      <c r="G850" s="184"/>
      <c r="I850" s="184"/>
      <c r="J850" t="s">
        <v>595</v>
      </c>
      <c r="K850" s="184">
        <v>44065</v>
      </c>
      <c r="O850" s="184"/>
      <c r="P850" t="s">
        <v>7084</v>
      </c>
      <c r="Q850" t="s">
        <v>7383</v>
      </c>
      <c r="R850" s="184">
        <v>19396</v>
      </c>
      <c r="S850">
        <v>71</v>
      </c>
      <c r="U850" t="s">
        <v>7031</v>
      </c>
      <c r="V850" t="s">
        <v>2832</v>
      </c>
      <c r="W850" t="s">
        <v>7268</v>
      </c>
      <c r="X850" t="s">
        <v>3586</v>
      </c>
      <c r="Y850" t="s">
        <v>7047</v>
      </c>
      <c r="Z850">
        <v>100023152</v>
      </c>
      <c r="AA850" t="s">
        <v>7130</v>
      </c>
      <c r="AB850" t="s">
        <v>3478</v>
      </c>
      <c r="AD850" t="s">
        <v>3586</v>
      </c>
      <c r="AF850" t="s">
        <v>11850</v>
      </c>
      <c r="AG850" t="s">
        <v>8840</v>
      </c>
      <c r="AI850" t="s">
        <v>11851</v>
      </c>
      <c r="AM850" t="s">
        <v>3815</v>
      </c>
      <c r="AN850" t="s">
        <v>2059</v>
      </c>
      <c r="AO850" t="s">
        <v>11852</v>
      </c>
      <c r="AP850" t="s">
        <v>7024</v>
      </c>
      <c r="AQ850" t="s">
        <v>11853</v>
      </c>
      <c r="AR850" t="s">
        <v>11854</v>
      </c>
      <c r="AT850" s="184">
        <v>33255</v>
      </c>
      <c r="AU850" t="s">
        <v>11855</v>
      </c>
      <c r="AV850">
        <v>25</v>
      </c>
      <c r="AW850" s="184">
        <v>45278</v>
      </c>
      <c r="AX850" t="s">
        <v>11856</v>
      </c>
      <c r="AY850">
        <v>15000</v>
      </c>
      <c r="AZ850" s="184">
        <v>45278</v>
      </c>
      <c r="BA850" t="s">
        <v>11856</v>
      </c>
      <c r="BB850">
        <v>15000</v>
      </c>
      <c r="BC850">
        <v>74</v>
      </c>
      <c r="BD850">
        <v>115460</v>
      </c>
      <c r="BE850">
        <v>1991</v>
      </c>
      <c r="BF850">
        <v>33</v>
      </c>
      <c r="BG850">
        <v>2</v>
      </c>
      <c r="BH850">
        <v>30000</v>
      </c>
      <c r="BI850">
        <v>25</v>
      </c>
      <c r="BJ850">
        <v>34</v>
      </c>
      <c r="BK850">
        <v>7</v>
      </c>
      <c r="BP850" s="184"/>
    </row>
    <row r="851" spans="1:68">
      <c r="A851">
        <v>100023152</v>
      </c>
      <c r="B851">
        <v>5046123</v>
      </c>
      <c r="C851" t="s">
        <v>7018</v>
      </c>
      <c r="E851" s="184"/>
      <c r="G851" s="184"/>
      <c r="I851" s="184"/>
      <c r="J851" t="s">
        <v>595</v>
      </c>
      <c r="K851" s="184">
        <v>44065</v>
      </c>
      <c r="O851" s="184"/>
      <c r="P851" t="s">
        <v>7084</v>
      </c>
      <c r="Q851" t="s">
        <v>7383</v>
      </c>
      <c r="R851" s="184">
        <v>19577</v>
      </c>
      <c r="S851">
        <v>70</v>
      </c>
      <c r="U851" t="s">
        <v>7130</v>
      </c>
      <c r="V851" t="s">
        <v>3478</v>
      </c>
      <c r="X851" t="s">
        <v>3586</v>
      </c>
      <c r="Z851">
        <v>5046123</v>
      </c>
      <c r="AA851" t="s">
        <v>7031</v>
      </c>
      <c r="AB851" t="s">
        <v>2832</v>
      </c>
      <c r="AC851" t="s">
        <v>7268</v>
      </c>
      <c r="AD851" t="s">
        <v>3586</v>
      </c>
      <c r="AE851" t="s">
        <v>7047</v>
      </c>
      <c r="AF851" t="s">
        <v>11850</v>
      </c>
      <c r="AG851" t="s">
        <v>8840</v>
      </c>
      <c r="AI851" t="s">
        <v>11851</v>
      </c>
      <c r="AM851" t="s">
        <v>3815</v>
      </c>
      <c r="AN851" t="s">
        <v>2059</v>
      </c>
      <c r="AO851" t="s">
        <v>11852</v>
      </c>
      <c r="AP851" t="s">
        <v>7024</v>
      </c>
      <c r="AQ851" t="s">
        <v>11857</v>
      </c>
      <c r="AT851" s="184"/>
      <c r="AW851" s="184"/>
      <c r="AZ851" s="184"/>
      <c r="BP851" s="184"/>
    </row>
    <row r="852" spans="1:68">
      <c r="A852">
        <v>5057559</v>
      </c>
      <c r="B852">
        <v>5057559</v>
      </c>
      <c r="C852" t="s">
        <v>7018</v>
      </c>
      <c r="D852" t="s">
        <v>595</v>
      </c>
      <c r="E852" s="184">
        <v>44104</v>
      </c>
      <c r="G852" s="184"/>
      <c r="I852" s="184"/>
      <c r="K852" s="184"/>
      <c r="O852" s="184"/>
      <c r="P852" t="s">
        <v>7045</v>
      </c>
      <c r="Q852" t="s">
        <v>7494</v>
      </c>
      <c r="R852" s="184">
        <v>20506</v>
      </c>
      <c r="S852">
        <v>68</v>
      </c>
      <c r="U852" t="s">
        <v>7031</v>
      </c>
      <c r="V852" t="s">
        <v>3730</v>
      </c>
      <c r="X852" t="s">
        <v>5158</v>
      </c>
      <c r="Z852">
        <v>100023217</v>
      </c>
      <c r="AA852" t="s">
        <v>7130</v>
      </c>
      <c r="AB852" t="s">
        <v>3580</v>
      </c>
      <c r="AD852" t="s">
        <v>5158</v>
      </c>
      <c r="AF852" t="s">
        <v>11858</v>
      </c>
      <c r="AG852" t="s">
        <v>11859</v>
      </c>
      <c r="AI852" t="s">
        <v>11860</v>
      </c>
      <c r="AM852" t="s">
        <v>4006</v>
      </c>
      <c r="AN852" t="s">
        <v>2174</v>
      </c>
      <c r="AO852" t="s">
        <v>11861</v>
      </c>
      <c r="AP852" t="s">
        <v>7024</v>
      </c>
      <c r="AQ852" t="s">
        <v>11862</v>
      </c>
      <c r="AT852" s="184">
        <v>33261</v>
      </c>
      <c r="AU852" t="s">
        <v>11855</v>
      </c>
      <c r="AV852">
        <v>15</v>
      </c>
      <c r="AW852" s="184">
        <v>43579</v>
      </c>
      <c r="AX852" t="s">
        <v>11863</v>
      </c>
      <c r="AY852">
        <v>15</v>
      </c>
      <c r="AZ852" s="184">
        <v>38146</v>
      </c>
      <c r="BA852" t="s">
        <v>11864</v>
      </c>
      <c r="BB852">
        <v>50</v>
      </c>
      <c r="BC852">
        <v>77</v>
      </c>
      <c r="BD852">
        <v>2355</v>
      </c>
      <c r="BE852">
        <v>1991</v>
      </c>
      <c r="BF852">
        <v>158</v>
      </c>
      <c r="BI852">
        <v>26</v>
      </c>
      <c r="BJ852">
        <v>34</v>
      </c>
      <c r="BK852">
        <v>25</v>
      </c>
      <c r="BN852" t="s">
        <v>595</v>
      </c>
      <c r="BP852" s="184"/>
    </row>
    <row r="853" spans="1:68">
      <c r="A853">
        <v>100023217</v>
      </c>
      <c r="B853">
        <v>5057559</v>
      </c>
      <c r="C853" t="s">
        <v>7018</v>
      </c>
      <c r="D853" t="s">
        <v>595</v>
      </c>
      <c r="E853" s="184">
        <v>44104</v>
      </c>
      <c r="G853" s="184"/>
      <c r="I853" s="184"/>
      <c r="K853" s="184"/>
      <c r="O853" s="184"/>
      <c r="P853" t="s">
        <v>7045</v>
      </c>
      <c r="Q853" t="s">
        <v>7494</v>
      </c>
      <c r="R853" s="184">
        <v>20449</v>
      </c>
      <c r="S853">
        <v>68</v>
      </c>
      <c r="U853" t="s">
        <v>7130</v>
      </c>
      <c r="V853" t="s">
        <v>3580</v>
      </c>
      <c r="X853" t="s">
        <v>5158</v>
      </c>
      <c r="Z853">
        <v>5057559</v>
      </c>
      <c r="AA853" t="s">
        <v>7031</v>
      </c>
      <c r="AB853" t="s">
        <v>3730</v>
      </c>
      <c r="AD853" t="s">
        <v>5158</v>
      </c>
      <c r="AF853" t="s">
        <v>11858</v>
      </c>
      <c r="AG853" t="s">
        <v>11859</v>
      </c>
      <c r="AI853" t="s">
        <v>11860</v>
      </c>
      <c r="AM853" t="s">
        <v>4006</v>
      </c>
      <c r="AN853" t="s">
        <v>2174</v>
      </c>
      <c r="AO853" t="s">
        <v>11861</v>
      </c>
      <c r="AP853" t="s">
        <v>7024</v>
      </c>
      <c r="AQ853" t="s">
        <v>11865</v>
      </c>
      <c r="AT853" s="184">
        <v>43609</v>
      </c>
      <c r="AU853" t="s">
        <v>11866</v>
      </c>
      <c r="AV853">
        <v>15</v>
      </c>
      <c r="AW853" s="184">
        <v>45406</v>
      </c>
      <c r="AX853" t="s">
        <v>7429</v>
      </c>
      <c r="AY853">
        <v>10</v>
      </c>
      <c r="AZ853" s="184">
        <v>44705</v>
      </c>
      <c r="BA853" t="s">
        <v>11867</v>
      </c>
      <c r="BB853">
        <v>15</v>
      </c>
      <c r="BC853">
        <v>100</v>
      </c>
      <c r="BD853">
        <v>785</v>
      </c>
      <c r="BE853">
        <v>2019</v>
      </c>
      <c r="BF853">
        <v>60</v>
      </c>
      <c r="BG853">
        <v>24</v>
      </c>
      <c r="BH853">
        <v>245</v>
      </c>
      <c r="BI853">
        <v>6</v>
      </c>
      <c r="BJ853">
        <v>6</v>
      </c>
      <c r="BK853">
        <v>6</v>
      </c>
      <c r="BP853" s="184"/>
    </row>
    <row r="854" spans="1:68">
      <c r="A854">
        <v>5075528</v>
      </c>
      <c r="B854">
        <v>5075528</v>
      </c>
      <c r="C854" t="s">
        <v>7018</v>
      </c>
      <c r="E854" s="184"/>
      <c r="G854" s="184"/>
      <c r="I854" s="184"/>
      <c r="J854" t="s">
        <v>595</v>
      </c>
      <c r="K854" s="184">
        <v>44167</v>
      </c>
      <c r="O854" s="184"/>
      <c r="P854" t="s">
        <v>7686</v>
      </c>
      <c r="Q854" t="s">
        <v>7030</v>
      </c>
      <c r="R854" s="184">
        <v>12659</v>
      </c>
      <c r="S854">
        <v>89</v>
      </c>
      <c r="V854" t="s">
        <v>11868</v>
      </c>
      <c r="W854" t="s">
        <v>4327</v>
      </c>
      <c r="X854" t="s">
        <v>3475</v>
      </c>
      <c r="AF854" t="s">
        <v>11869</v>
      </c>
      <c r="AG854" t="s">
        <v>11868</v>
      </c>
      <c r="AI854" t="s">
        <v>11870</v>
      </c>
      <c r="AM854" t="s">
        <v>3130</v>
      </c>
      <c r="AN854" t="s">
        <v>2094</v>
      </c>
      <c r="AO854" t="s">
        <v>11871</v>
      </c>
      <c r="AP854" t="s">
        <v>7024</v>
      </c>
      <c r="AQ854" t="s">
        <v>11872</v>
      </c>
      <c r="AT854" s="184">
        <v>33276</v>
      </c>
      <c r="AU854" t="s">
        <v>10106</v>
      </c>
      <c r="AV854">
        <v>19.95</v>
      </c>
      <c r="AW854" s="184">
        <v>44252</v>
      </c>
      <c r="AX854" t="s">
        <v>7309</v>
      </c>
      <c r="AY854">
        <v>5000</v>
      </c>
      <c r="AZ854" s="184">
        <v>44252</v>
      </c>
      <c r="BA854" t="s">
        <v>7309</v>
      </c>
      <c r="BB854">
        <v>5000</v>
      </c>
      <c r="BC854">
        <v>59</v>
      </c>
      <c r="BD854">
        <v>6358.95</v>
      </c>
      <c r="BE854">
        <v>1991</v>
      </c>
      <c r="BF854">
        <v>29</v>
      </c>
      <c r="BI854">
        <v>20</v>
      </c>
      <c r="BJ854">
        <v>34</v>
      </c>
      <c r="BK854">
        <v>7</v>
      </c>
      <c r="BO854" t="s">
        <v>595</v>
      </c>
      <c r="BP854" s="184">
        <v>44135</v>
      </c>
    </row>
    <row r="855" spans="1:68">
      <c r="A855">
        <v>5084363</v>
      </c>
      <c r="B855">
        <v>5084363</v>
      </c>
      <c r="C855" t="s">
        <v>7018</v>
      </c>
      <c r="E855" s="184"/>
      <c r="G855" s="184"/>
      <c r="H855" t="s">
        <v>595</v>
      </c>
      <c r="I855" s="184">
        <v>44656</v>
      </c>
      <c r="K855" s="184"/>
      <c r="O855" s="184"/>
      <c r="P855" t="s">
        <v>7045</v>
      </c>
      <c r="Q855" t="s">
        <v>7383</v>
      </c>
      <c r="R855" s="184">
        <v>15657</v>
      </c>
      <c r="S855">
        <v>81</v>
      </c>
      <c r="U855" t="s">
        <v>7031</v>
      </c>
      <c r="V855" t="s">
        <v>2551</v>
      </c>
      <c r="W855" t="s">
        <v>4382</v>
      </c>
      <c r="X855" t="s">
        <v>5139</v>
      </c>
      <c r="Z855">
        <v>100816989</v>
      </c>
      <c r="AB855" t="s">
        <v>11873</v>
      </c>
      <c r="AD855" t="s">
        <v>5139</v>
      </c>
      <c r="AF855" t="s">
        <v>11874</v>
      </c>
      <c r="AG855" t="s">
        <v>11875</v>
      </c>
      <c r="AI855" t="s">
        <v>11876</v>
      </c>
      <c r="AM855" t="s">
        <v>5140</v>
      </c>
      <c r="AN855" t="s">
        <v>2139</v>
      </c>
      <c r="AO855" t="s">
        <v>11877</v>
      </c>
      <c r="AP855" t="s">
        <v>7024</v>
      </c>
      <c r="AT855" s="184">
        <v>33274</v>
      </c>
      <c r="AU855" t="s">
        <v>11878</v>
      </c>
      <c r="AV855">
        <v>15</v>
      </c>
      <c r="AW855" s="184">
        <v>35836</v>
      </c>
      <c r="AX855" t="s">
        <v>11879</v>
      </c>
      <c r="AY855">
        <v>25</v>
      </c>
      <c r="AZ855" s="184">
        <v>35836</v>
      </c>
      <c r="BA855" t="s">
        <v>11879</v>
      </c>
      <c r="BB855">
        <v>25</v>
      </c>
      <c r="BC855">
        <v>18</v>
      </c>
      <c r="BD855">
        <v>130</v>
      </c>
      <c r="BE855">
        <v>1991</v>
      </c>
      <c r="BF855">
        <v>6</v>
      </c>
      <c r="BI855">
        <v>6</v>
      </c>
      <c r="BJ855">
        <v>34</v>
      </c>
      <c r="BK855">
        <v>5</v>
      </c>
    </row>
    <row r="856" spans="1:68">
      <c r="A856">
        <v>100816989</v>
      </c>
      <c r="B856">
        <v>5084363</v>
      </c>
      <c r="C856" t="s">
        <v>7018</v>
      </c>
      <c r="E856" s="184"/>
      <c r="G856" s="184"/>
      <c r="H856" t="s">
        <v>595</v>
      </c>
      <c r="I856" s="184">
        <v>44656</v>
      </c>
      <c r="K856" s="184"/>
      <c r="O856" s="184"/>
      <c r="P856" t="s">
        <v>7045</v>
      </c>
      <c r="Q856" t="s">
        <v>7383</v>
      </c>
      <c r="R856" s="184">
        <v>14239</v>
      </c>
      <c r="S856">
        <v>85</v>
      </c>
      <c r="V856" t="s">
        <v>11873</v>
      </c>
      <c r="X856" t="s">
        <v>5139</v>
      </c>
      <c r="Z856">
        <v>5084363</v>
      </c>
      <c r="AA856" t="s">
        <v>7031</v>
      </c>
      <c r="AB856" t="s">
        <v>2551</v>
      </c>
      <c r="AC856" t="s">
        <v>4382</v>
      </c>
      <c r="AD856" t="s">
        <v>5139</v>
      </c>
      <c r="AF856" t="s">
        <v>11874</v>
      </c>
      <c r="AG856" t="s">
        <v>11875</v>
      </c>
      <c r="AI856" t="s">
        <v>11876</v>
      </c>
      <c r="AM856" t="s">
        <v>5140</v>
      </c>
      <c r="AN856" t="s">
        <v>2139</v>
      </c>
      <c r="AO856" t="s">
        <v>11877</v>
      </c>
      <c r="AP856" t="s">
        <v>7024</v>
      </c>
      <c r="AT856" s="184"/>
      <c r="AW856" s="184"/>
      <c r="AZ856" s="184"/>
      <c r="BP856" s="184"/>
    </row>
    <row r="857" spans="1:68">
      <c r="A857">
        <v>5130950</v>
      </c>
      <c r="B857">
        <v>5130950</v>
      </c>
      <c r="C857" t="s">
        <v>7018</v>
      </c>
      <c r="E857" s="184"/>
      <c r="G857" s="184"/>
      <c r="I857" s="184"/>
      <c r="J857" t="s">
        <v>595</v>
      </c>
      <c r="K857" s="184"/>
      <c r="O857" s="184"/>
      <c r="P857" t="s">
        <v>7045</v>
      </c>
      <c r="Q857" t="s">
        <v>7383</v>
      </c>
      <c r="R857" s="184">
        <v>22882</v>
      </c>
      <c r="S857">
        <v>61</v>
      </c>
      <c r="U857" t="s">
        <v>7237</v>
      </c>
      <c r="V857" t="s">
        <v>3603</v>
      </c>
      <c r="W857" t="s">
        <v>2963</v>
      </c>
      <c r="X857" t="s">
        <v>5883</v>
      </c>
      <c r="AF857" t="s">
        <v>11880</v>
      </c>
      <c r="AG857" t="s">
        <v>3603</v>
      </c>
      <c r="AI857" t="s">
        <v>11881</v>
      </c>
      <c r="AM857" t="s">
        <v>5363</v>
      </c>
      <c r="AN857" t="s">
        <v>2313</v>
      </c>
      <c r="AO857">
        <v>60045</v>
      </c>
      <c r="AP857" t="s">
        <v>7024</v>
      </c>
      <c r="AT857" s="184">
        <v>33283</v>
      </c>
      <c r="AU857" t="s">
        <v>10106</v>
      </c>
      <c r="AV857">
        <v>19.95</v>
      </c>
      <c r="AW857" s="184">
        <v>37321</v>
      </c>
      <c r="AX857" t="s">
        <v>11882</v>
      </c>
      <c r="AY857">
        <v>1000</v>
      </c>
      <c r="AZ857" s="184">
        <v>37029</v>
      </c>
      <c r="BA857" t="s">
        <v>11883</v>
      </c>
      <c r="BB857">
        <v>2000</v>
      </c>
      <c r="BC857">
        <v>33</v>
      </c>
      <c r="BD857">
        <v>15979.95</v>
      </c>
      <c r="BE857">
        <v>1991</v>
      </c>
      <c r="BF857">
        <v>18</v>
      </c>
      <c r="BI857">
        <v>11</v>
      </c>
      <c r="BJ857">
        <v>34</v>
      </c>
      <c r="BK857">
        <v>9</v>
      </c>
      <c r="BP857" s="184"/>
    </row>
    <row r="858" spans="1:68">
      <c r="A858">
        <v>5139829</v>
      </c>
      <c r="B858">
        <v>5139829</v>
      </c>
      <c r="C858" t="s">
        <v>7018</v>
      </c>
      <c r="D858" t="s">
        <v>595</v>
      </c>
      <c r="E858" s="184">
        <v>43801</v>
      </c>
      <c r="G858" s="184"/>
      <c r="I858" s="184"/>
      <c r="K858" s="184"/>
      <c r="O858" s="184"/>
      <c r="P858" t="s">
        <v>7045</v>
      </c>
      <c r="Q858" t="s">
        <v>7374</v>
      </c>
      <c r="R858" s="184">
        <v>21073</v>
      </c>
      <c r="S858">
        <v>66</v>
      </c>
      <c r="V858" t="s">
        <v>4347</v>
      </c>
      <c r="X858" t="s">
        <v>4348</v>
      </c>
      <c r="AF858" t="s">
        <v>11884</v>
      </c>
      <c r="AG858" t="s">
        <v>4347</v>
      </c>
      <c r="AI858" t="s">
        <v>11885</v>
      </c>
      <c r="AM858" t="s">
        <v>4349</v>
      </c>
      <c r="AN858" t="s">
        <v>2081</v>
      </c>
      <c r="AO858" t="s">
        <v>11886</v>
      </c>
      <c r="AP858" t="s">
        <v>7024</v>
      </c>
      <c r="AQ858" t="s">
        <v>11887</v>
      </c>
      <c r="AT858" s="184">
        <v>33283</v>
      </c>
      <c r="AU858" t="s">
        <v>10106</v>
      </c>
      <c r="AV858">
        <v>19.95</v>
      </c>
      <c r="AW858" s="184">
        <v>45330</v>
      </c>
      <c r="AX858" t="s">
        <v>7578</v>
      </c>
      <c r="AY858">
        <v>25</v>
      </c>
      <c r="AZ858" s="184">
        <v>45330</v>
      </c>
      <c r="BA858" t="s">
        <v>7578</v>
      </c>
      <c r="BB858">
        <v>25</v>
      </c>
      <c r="BC858">
        <v>95</v>
      </c>
      <c r="BD858">
        <v>944.95</v>
      </c>
      <c r="BE858">
        <v>1991</v>
      </c>
      <c r="BF858">
        <v>38</v>
      </c>
      <c r="BG858">
        <v>2</v>
      </c>
      <c r="BH858">
        <v>50</v>
      </c>
      <c r="BI858">
        <v>32</v>
      </c>
      <c r="BJ858">
        <v>34</v>
      </c>
      <c r="BK858">
        <v>28</v>
      </c>
      <c r="BP858" s="184"/>
    </row>
    <row r="859" spans="1:68">
      <c r="A859">
        <v>5166590</v>
      </c>
      <c r="B859">
        <v>5166590</v>
      </c>
      <c r="C859" t="s">
        <v>7018</v>
      </c>
      <c r="D859" t="s">
        <v>595</v>
      </c>
      <c r="E859" s="184">
        <v>43642</v>
      </c>
      <c r="G859" s="184"/>
      <c r="I859" s="184"/>
      <c r="K859" s="184"/>
      <c r="O859" s="184"/>
      <c r="P859" t="s">
        <v>7045</v>
      </c>
      <c r="Q859" t="s">
        <v>7030</v>
      </c>
      <c r="R859" s="184">
        <v>33878</v>
      </c>
      <c r="S859">
        <v>31</v>
      </c>
      <c r="U859" t="s">
        <v>7076</v>
      </c>
      <c r="V859" t="s">
        <v>3187</v>
      </c>
      <c r="W859" t="s">
        <v>7396</v>
      </c>
      <c r="X859" t="s">
        <v>3188</v>
      </c>
      <c r="AF859" t="s">
        <v>11888</v>
      </c>
      <c r="AG859" t="s">
        <v>3187</v>
      </c>
      <c r="AI859" t="s">
        <v>11889</v>
      </c>
      <c r="AM859" t="s">
        <v>2637</v>
      </c>
      <c r="AN859" t="s">
        <v>2638</v>
      </c>
      <c r="AO859" t="s">
        <v>11890</v>
      </c>
      <c r="AP859" t="s">
        <v>7024</v>
      </c>
      <c r="AQ859" t="s">
        <v>11891</v>
      </c>
      <c r="AR859" t="s">
        <v>11892</v>
      </c>
      <c r="AT859" s="184">
        <v>33281</v>
      </c>
      <c r="AU859" t="s">
        <v>11650</v>
      </c>
      <c r="AV859">
        <v>15</v>
      </c>
      <c r="AW859" s="184">
        <v>45408</v>
      </c>
      <c r="AX859" t="s">
        <v>7429</v>
      </c>
      <c r="AY859">
        <v>18.899999999999999</v>
      </c>
      <c r="AZ859" s="184">
        <v>43328</v>
      </c>
      <c r="BA859" t="s">
        <v>11893</v>
      </c>
      <c r="BB859">
        <v>200</v>
      </c>
      <c r="BC859">
        <v>36</v>
      </c>
      <c r="BD859">
        <v>3430.6</v>
      </c>
      <c r="BE859">
        <v>1991</v>
      </c>
      <c r="BF859">
        <v>117</v>
      </c>
      <c r="BG859">
        <v>23</v>
      </c>
      <c r="BH859">
        <v>560.6</v>
      </c>
      <c r="BI859">
        <v>12</v>
      </c>
      <c r="BJ859">
        <v>34</v>
      </c>
      <c r="BK859">
        <v>11</v>
      </c>
      <c r="BP859" s="184"/>
    </row>
    <row r="860" spans="1:68">
      <c r="A860">
        <v>5172093</v>
      </c>
      <c r="B860">
        <v>5172093</v>
      </c>
      <c r="C860" t="s">
        <v>7018</v>
      </c>
      <c r="D860" t="s">
        <v>595</v>
      </c>
      <c r="E860" s="184">
        <v>44073</v>
      </c>
      <c r="G860" s="184"/>
      <c r="I860" s="184"/>
      <c r="K860" s="184"/>
      <c r="O860" s="184"/>
      <c r="P860" t="s">
        <v>7045</v>
      </c>
      <c r="Q860" t="s">
        <v>7020</v>
      </c>
      <c r="R860" s="184">
        <v>16091</v>
      </c>
      <c r="S860">
        <v>80</v>
      </c>
      <c r="U860" t="s">
        <v>7076</v>
      </c>
      <c r="V860" t="s">
        <v>3184</v>
      </c>
      <c r="X860" t="s">
        <v>4144</v>
      </c>
      <c r="AF860" t="s">
        <v>11894</v>
      </c>
      <c r="AG860" t="s">
        <v>3184</v>
      </c>
      <c r="AI860" t="s">
        <v>11895</v>
      </c>
      <c r="AM860" t="s">
        <v>3004</v>
      </c>
      <c r="AN860" t="s">
        <v>2112</v>
      </c>
      <c r="AO860" t="s">
        <v>11896</v>
      </c>
      <c r="AP860" t="s">
        <v>7024</v>
      </c>
      <c r="AQ860" t="s">
        <v>11897</v>
      </c>
      <c r="AT860" s="184">
        <v>33282</v>
      </c>
      <c r="AU860" t="s">
        <v>11898</v>
      </c>
      <c r="AV860">
        <v>25</v>
      </c>
      <c r="AW860" s="184">
        <v>44243</v>
      </c>
      <c r="AX860" t="s">
        <v>11899</v>
      </c>
      <c r="AY860">
        <v>75</v>
      </c>
      <c r="AZ860" s="184">
        <v>38054</v>
      </c>
      <c r="BA860" t="s">
        <v>11900</v>
      </c>
      <c r="BB860">
        <v>100</v>
      </c>
      <c r="BC860">
        <v>53</v>
      </c>
      <c r="BD860">
        <v>960</v>
      </c>
      <c r="BE860">
        <v>1991</v>
      </c>
      <c r="BF860">
        <v>20</v>
      </c>
      <c r="BI860">
        <v>18</v>
      </c>
      <c r="BJ860">
        <v>34</v>
      </c>
      <c r="BK860">
        <v>6</v>
      </c>
      <c r="BP860" s="184"/>
    </row>
    <row r="861" spans="1:68">
      <c r="A861">
        <v>5172952</v>
      </c>
      <c r="B861">
        <v>5172952</v>
      </c>
      <c r="C861" t="s">
        <v>7018</v>
      </c>
      <c r="E861" s="184"/>
      <c r="G861" s="184"/>
      <c r="I861" s="184"/>
      <c r="J861" t="s">
        <v>595</v>
      </c>
      <c r="K861" s="184">
        <v>43649</v>
      </c>
      <c r="O861" s="184"/>
      <c r="P861" t="s">
        <v>7045</v>
      </c>
      <c r="Q861" t="s">
        <v>7383</v>
      </c>
      <c r="R861" s="184">
        <v>18203</v>
      </c>
      <c r="S861">
        <v>74</v>
      </c>
      <c r="V861" t="s">
        <v>3463</v>
      </c>
      <c r="W861" t="s">
        <v>7588</v>
      </c>
      <c r="X861" t="s">
        <v>3464</v>
      </c>
      <c r="AF861" t="s">
        <v>6130</v>
      </c>
      <c r="AG861" t="s">
        <v>3463</v>
      </c>
      <c r="AI861" t="s">
        <v>11901</v>
      </c>
      <c r="AM861" t="s">
        <v>3465</v>
      </c>
      <c r="AN861" t="s">
        <v>2162</v>
      </c>
      <c r="AO861" t="s">
        <v>11902</v>
      </c>
      <c r="AP861" t="s">
        <v>7024</v>
      </c>
      <c r="AT861" s="184">
        <v>33282</v>
      </c>
      <c r="AU861" t="s">
        <v>11878</v>
      </c>
      <c r="AV861">
        <v>25</v>
      </c>
      <c r="AW861" s="184">
        <v>45397</v>
      </c>
      <c r="AX861" t="s">
        <v>11903</v>
      </c>
      <c r="AY861">
        <v>50</v>
      </c>
      <c r="AZ861" s="184">
        <v>41964</v>
      </c>
      <c r="BA861" t="s">
        <v>11904</v>
      </c>
      <c r="BB861">
        <v>100</v>
      </c>
      <c r="BC861">
        <v>100</v>
      </c>
      <c r="BD861">
        <v>5760</v>
      </c>
      <c r="BE861">
        <v>1991</v>
      </c>
      <c r="BF861">
        <v>128</v>
      </c>
      <c r="BG861">
        <v>13</v>
      </c>
      <c r="BH861">
        <v>700</v>
      </c>
      <c r="BI861">
        <v>34</v>
      </c>
      <c r="BJ861">
        <v>34</v>
      </c>
      <c r="BK861">
        <v>34</v>
      </c>
      <c r="BP861" s="184"/>
    </row>
    <row r="862" spans="1:68">
      <c r="A862">
        <v>5180450</v>
      </c>
      <c r="B862">
        <v>5180450</v>
      </c>
      <c r="C862" t="s">
        <v>7018</v>
      </c>
      <c r="E862" s="184"/>
      <c r="G862" s="184"/>
      <c r="I862" s="184"/>
      <c r="K862" s="184"/>
      <c r="N862" t="s">
        <v>595</v>
      </c>
      <c r="O862" s="184">
        <v>38349</v>
      </c>
      <c r="P862" t="s">
        <v>7045</v>
      </c>
      <c r="Q862" t="s">
        <v>7374</v>
      </c>
      <c r="R862" s="184">
        <v>9718</v>
      </c>
      <c r="S862">
        <v>97</v>
      </c>
      <c r="U862" t="s">
        <v>7076</v>
      </c>
      <c r="V862" t="s">
        <v>5701</v>
      </c>
      <c r="X862" t="s">
        <v>5702</v>
      </c>
      <c r="AF862" t="s">
        <v>11905</v>
      </c>
      <c r="AG862" t="s">
        <v>5701</v>
      </c>
      <c r="AI862" t="s">
        <v>11906</v>
      </c>
      <c r="AM862" t="s">
        <v>5703</v>
      </c>
      <c r="AN862" t="s">
        <v>2081</v>
      </c>
      <c r="AO862" t="s">
        <v>11907</v>
      </c>
      <c r="AP862" t="s">
        <v>7024</v>
      </c>
      <c r="AQ862" t="s">
        <v>11908</v>
      </c>
      <c r="AT862" s="184">
        <v>33283</v>
      </c>
      <c r="AU862" t="s">
        <v>11909</v>
      </c>
      <c r="AV862">
        <v>15</v>
      </c>
      <c r="AW862" s="184">
        <v>45097</v>
      </c>
      <c r="AX862" t="s">
        <v>9262</v>
      </c>
      <c r="AY862">
        <v>300</v>
      </c>
      <c r="AZ862" s="184">
        <v>42620</v>
      </c>
      <c r="BA862" t="s">
        <v>7267</v>
      </c>
      <c r="BB862">
        <v>10000</v>
      </c>
      <c r="BC862">
        <v>74</v>
      </c>
      <c r="BD862">
        <v>24795</v>
      </c>
      <c r="BE862">
        <v>1991</v>
      </c>
      <c r="BF862">
        <v>36</v>
      </c>
      <c r="BG862">
        <v>1</v>
      </c>
      <c r="BH862">
        <v>300</v>
      </c>
      <c r="BI862">
        <v>25</v>
      </c>
      <c r="BJ862">
        <v>34</v>
      </c>
      <c r="BK862">
        <v>10</v>
      </c>
      <c r="BP862" s="184"/>
    </row>
    <row r="863" spans="1:68">
      <c r="A863">
        <v>5186853</v>
      </c>
      <c r="B863">
        <v>5186853</v>
      </c>
      <c r="C863" t="s">
        <v>7018</v>
      </c>
      <c r="D863" t="s">
        <v>595</v>
      </c>
      <c r="E863" s="184">
        <v>44104</v>
      </c>
      <c r="G863" s="184"/>
      <c r="I863" s="184"/>
      <c r="K863" s="184"/>
      <c r="P863" t="s">
        <v>7045</v>
      </c>
      <c r="Q863" t="s">
        <v>7020</v>
      </c>
      <c r="R863" s="184">
        <v>13150</v>
      </c>
      <c r="S863">
        <v>88</v>
      </c>
      <c r="V863" t="s">
        <v>4916</v>
      </c>
      <c r="X863" t="s">
        <v>11910</v>
      </c>
      <c r="AF863" t="s">
        <v>11911</v>
      </c>
      <c r="AG863" t="s">
        <v>4916</v>
      </c>
      <c r="AI863" t="s">
        <v>11912</v>
      </c>
      <c r="AM863" t="s">
        <v>11913</v>
      </c>
      <c r="AN863" t="s">
        <v>2255</v>
      </c>
      <c r="AO863" t="s">
        <v>11914</v>
      </c>
      <c r="AP863" t="s">
        <v>7024</v>
      </c>
      <c r="AT863" s="184">
        <v>33290</v>
      </c>
      <c r="AU863" t="s">
        <v>10106</v>
      </c>
      <c r="AV863">
        <v>19.95</v>
      </c>
      <c r="AW863" s="184">
        <v>40911</v>
      </c>
      <c r="AX863" t="s">
        <v>11915</v>
      </c>
      <c r="AY863">
        <v>50</v>
      </c>
      <c r="AZ863" s="184">
        <v>33609</v>
      </c>
      <c r="BA863" t="s">
        <v>11916</v>
      </c>
      <c r="BB863">
        <v>60</v>
      </c>
      <c r="BC863">
        <v>42</v>
      </c>
      <c r="BD863">
        <v>654.95000000000005</v>
      </c>
      <c r="BE863">
        <v>1991</v>
      </c>
      <c r="BF863">
        <v>16</v>
      </c>
      <c r="BI863">
        <v>14</v>
      </c>
      <c r="BJ863">
        <v>34</v>
      </c>
      <c r="BK863">
        <v>3</v>
      </c>
      <c r="BP863" s="184"/>
    </row>
    <row r="864" spans="1:68">
      <c r="A864">
        <v>5200159</v>
      </c>
      <c r="B864">
        <v>5200159</v>
      </c>
      <c r="C864" t="s">
        <v>7018</v>
      </c>
      <c r="D864" t="s">
        <v>595</v>
      </c>
      <c r="E864" s="184">
        <v>44168</v>
      </c>
      <c r="G864" s="184"/>
      <c r="H864" t="s">
        <v>595</v>
      </c>
      <c r="I864" s="184">
        <v>44168</v>
      </c>
      <c r="K864" s="184"/>
      <c r="P864" t="s">
        <v>7045</v>
      </c>
      <c r="Q864" t="s">
        <v>7262</v>
      </c>
      <c r="R864" s="184">
        <v>19541</v>
      </c>
      <c r="S864">
        <v>70</v>
      </c>
      <c r="U864" t="s">
        <v>7031</v>
      </c>
      <c r="V864" t="s">
        <v>2665</v>
      </c>
      <c r="W864" t="s">
        <v>2963</v>
      </c>
      <c r="X864" t="s">
        <v>11917</v>
      </c>
      <c r="AF864" t="s">
        <v>11918</v>
      </c>
      <c r="AG864" t="s">
        <v>2665</v>
      </c>
      <c r="AI864" t="s">
        <v>11919</v>
      </c>
      <c r="AM864" t="s">
        <v>4126</v>
      </c>
      <c r="AN864" t="s">
        <v>2069</v>
      </c>
      <c r="AO864" t="s">
        <v>11920</v>
      </c>
      <c r="AP864" t="s">
        <v>7024</v>
      </c>
      <c r="AQ864" t="s">
        <v>11921</v>
      </c>
      <c r="AT864" s="184">
        <v>33289</v>
      </c>
      <c r="AU864" t="s">
        <v>11922</v>
      </c>
      <c r="AV864">
        <v>30</v>
      </c>
      <c r="AW864" s="184">
        <v>45153</v>
      </c>
      <c r="AX864" t="s">
        <v>11923</v>
      </c>
      <c r="AY864">
        <v>300</v>
      </c>
      <c r="AZ864" s="184">
        <v>45153</v>
      </c>
      <c r="BA864" t="s">
        <v>11923</v>
      </c>
      <c r="BB864">
        <v>300</v>
      </c>
      <c r="BC864">
        <v>65</v>
      </c>
      <c r="BD864">
        <v>3722</v>
      </c>
      <c r="BE864">
        <v>1991</v>
      </c>
      <c r="BF864">
        <v>29</v>
      </c>
      <c r="BG864">
        <v>2</v>
      </c>
      <c r="BH864">
        <v>550</v>
      </c>
      <c r="BI864">
        <v>22</v>
      </c>
      <c r="BJ864">
        <v>34</v>
      </c>
      <c r="BK864">
        <v>14</v>
      </c>
    </row>
    <row r="865" spans="1:68">
      <c r="A865">
        <v>5240585</v>
      </c>
      <c r="B865">
        <v>5240585</v>
      </c>
      <c r="C865" t="s">
        <v>7018</v>
      </c>
      <c r="E865" s="184"/>
      <c r="G865" s="184"/>
      <c r="I865" s="184"/>
      <c r="J865" t="s">
        <v>595</v>
      </c>
      <c r="K865" s="184">
        <v>43621</v>
      </c>
      <c r="P865" t="s">
        <v>7029</v>
      </c>
      <c r="Q865" t="s">
        <v>7774</v>
      </c>
      <c r="R865" s="184">
        <v>20125</v>
      </c>
      <c r="S865">
        <v>69</v>
      </c>
      <c r="U865" t="s">
        <v>7032</v>
      </c>
      <c r="V865" t="s">
        <v>2863</v>
      </c>
      <c r="W865" t="s">
        <v>3522</v>
      </c>
      <c r="X865" t="s">
        <v>2936</v>
      </c>
      <c r="Z865">
        <v>100023754</v>
      </c>
      <c r="AA865" t="s">
        <v>7130</v>
      </c>
      <c r="AB865" t="s">
        <v>4330</v>
      </c>
      <c r="AD865" t="s">
        <v>2936</v>
      </c>
      <c r="AF865" t="s">
        <v>11924</v>
      </c>
      <c r="AG865" t="s">
        <v>11925</v>
      </c>
      <c r="AI865" t="s">
        <v>11926</v>
      </c>
      <c r="AM865" t="s">
        <v>2937</v>
      </c>
      <c r="AN865" t="s">
        <v>2290</v>
      </c>
      <c r="AO865" t="s">
        <v>11927</v>
      </c>
      <c r="AP865" t="s">
        <v>7024</v>
      </c>
      <c r="AQ865" t="s">
        <v>11928</v>
      </c>
      <c r="AR865" t="s">
        <v>11929</v>
      </c>
      <c r="AT865" s="184">
        <v>33301</v>
      </c>
      <c r="AU865" t="s">
        <v>11909</v>
      </c>
      <c r="AV865">
        <v>25</v>
      </c>
      <c r="AW865" s="184">
        <v>45268</v>
      </c>
      <c r="AX865" t="s">
        <v>11930</v>
      </c>
      <c r="AY865">
        <v>1000</v>
      </c>
      <c r="AZ865" s="184">
        <v>43521</v>
      </c>
      <c r="BA865" t="s">
        <v>7928</v>
      </c>
      <c r="BB865">
        <v>2019</v>
      </c>
      <c r="BC865">
        <v>95</v>
      </c>
      <c r="BD865">
        <v>36887</v>
      </c>
      <c r="BE865">
        <v>1991</v>
      </c>
      <c r="BF865">
        <v>66</v>
      </c>
      <c r="BG865">
        <v>3</v>
      </c>
      <c r="BH865">
        <v>3000</v>
      </c>
      <c r="BI865">
        <v>32</v>
      </c>
      <c r="BJ865">
        <v>34</v>
      </c>
      <c r="BK865">
        <v>16</v>
      </c>
      <c r="BP865" s="184"/>
    </row>
    <row r="866" spans="1:68">
      <c r="A866">
        <v>100023754</v>
      </c>
      <c r="B866">
        <v>5240585</v>
      </c>
      <c r="C866" t="s">
        <v>7018</v>
      </c>
      <c r="E866" s="184"/>
      <c r="G866" s="184"/>
      <c r="I866" s="184"/>
      <c r="J866" t="s">
        <v>595</v>
      </c>
      <c r="K866" s="184">
        <v>43621</v>
      </c>
      <c r="M866" s="184"/>
      <c r="P866" t="s">
        <v>7029</v>
      </c>
      <c r="Q866" t="s">
        <v>7774</v>
      </c>
      <c r="R866" s="184">
        <v>20378</v>
      </c>
      <c r="S866">
        <v>68</v>
      </c>
      <c r="U866" t="s">
        <v>7130</v>
      </c>
      <c r="V866" t="s">
        <v>4330</v>
      </c>
      <c r="X866" t="s">
        <v>2936</v>
      </c>
      <c r="Z866">
        <v>5240585</v>
      </c>
      <c r="AA866" t="s">
        <v>7032</v>
      </c>
      <c r="AB866" t="s">
        <v>2863</v>
      </c>
      <c r="AC866" t="s">
        <v>3522</v>
      </c>
      <c r="AD866" t="s">
        <v>2936</v>
      </c>
      <c r="AF866" t="s">
        <v>11924</v>
      </c>
      <c r="AG866" t="s">
        <v>11925</v>
      </c>
      <c r="AI866" t="s">
        <v>11926</v>
      </c>
      <c r="AM866" t="s">
        <v>2937</v>
      </c>
      <c r="AN866" t="s">
        <v>2290</v>
      </c>
      <c r="AO866" t="s">
        <v>11927</v>
      </c>
      <c r="AP866" t="s">
        <v>7024</v>
      </c>
      <c r="AT866" s="184"/>
      <c r="AW866" s="184"/>
      <c r="AZ866" s="184"/>
      <c r="BP866" s="184"/>
    </row>
    <row r="867" spans="1:68">
      <c r="A867">
        <v>5263488</v>
      </c>
      <c r="B867">
        <v>5263488</v>
      </c>
      <c r="C867" t="s">
        <v>7018</v>
      </c>
      <c r="D867" t="s">
        <v>595</v>
      </c>
      <c r="E867" s="184">
        <v>45125</v>
      </c>
      <c r="G867" s="184"/>
      <c r="I867" s="184"/>
      <c r="K867" s="184"/>
      <c r="P867" t="s">
        <v>7045</v>
      </c>
      <c r="Q867" t="s">
        <v>7020</v>
      </c>
      <c r="R867" s="184">
        <v>14103</v>
      </c>
      <c r="S867">
        <v>85</v>
      </c>
      <c r="V867" t="s">
        <v>2511</v>
      </c>
      <c r="W867" t="s">
        <v>4139</v>
      </c>
      <c r="X867" t="s">
        <v>8066</v>
      </c>
      <c r="AF867" t="s">
        <v>11931</v>
      </c>
      <c r="AG867" t="s">
        <v>2511</v>
      </c>
      <c r="AI867" t="s">
        <v>11932</v>
      </c>
      <c r="AM867" t="s">
        <v>3061</v>
      </c>
      <c r="AN867" t="s">
        <v>2129</v>
      </c>
      <c r="AO867" t="s">
        <v>11933</v>
      </c>
      <c r="AP867" t="s">
        <v>7024</v>
      </c>
      <c r="AT867" s="184">
        <v>33318</v>
      </c>
      <c r="AU867" t="s">
        <v>10106</v>
      </c>
      <c r="AV867">
        <v>19.95</v>
      </c>
      <c r="AW867" s="184">
        <v>45222</v>
      </c>
      <c r="AX867" t="s">
        <v>11934</v>
      </c>
      <c r="AY867">
        <v>25</v>
      </c>
      <c r="AZ867" s="184">
        <v>45222</v>
      </c>
      <c r="BA867" t="s">
        <v>11934</v>
      </c>
      <c r="BB867">
        <v>25</v>
      </c>
      <c r="BC867">
        <v>24</v>
      </c>
      <c r="BD867">
        <v>234.95</v>
      </c>
      <c r="BE867">
        <v>1991</v>
      </c>
      <c r="BF867">
        <v>12</v>
      </c>
      <c r="BG867">
        <v>4</v>
      </c>
      <c r="BH867">
        <v>100</v>
      </c>
      <c r="BI867">
        <v>8</v>
      </c>
      <c r="BJ867">
        <v>34</v>
      </c>
      <c r="BK867">
        <v>6</v>
      </c>
      <c r="BP867" s="184"/>
    </row>
    <row r="868" spans="1:68">
      <c r="A868">
        <v>5265012</v>
      </c>
      <c r="B868">
        <v>5265012</v>
      </c>
      <c r="C868" t="s">
        <v>7018</v>
      </c>
      <c r="D868" t="s">
        <v>595</v>
      </c>
      <c r="E868" s="184">
        <v>44104</v>
      </c>
      <c r="G868" s="184"/>
      <c r="I868" s="184"/>
      <c r="K868" s="184"/>
      <c r="O868" s="184"/>
      <c r="P868" t="s">
        <v>7045</v>
      </c>
      <c r="Q868" t="s">
        <v>7494</v>
      </c>
      <c r="R868" s="184">
        <v>15036</v>
      </c>
      <c r="S868">
        <v>83</v>
      </c>
      <c r="V868" t="s">
        <v>11935</v>
      </c>
      <c r="X868" t="s">
        <v>11936</v>
      </c>
      <c r="AF868" t="s">
        <v>11937</v>
      </c>
      <c r="AG868" t="s">
        <v>11935</v>
      </c>
      <c r="AI868" t="s">
        <v>11938</v>
      </c>
      <c r="AM868" t="s">
        <v>11939</v>
      </c>
      <c r="AN868" t="s">
        <v>2484</v>
      </c>
      <c r="AO868" t="s">
        <v>11940</v>
      </c>
      <c r="AP868" t="s">
        <v>7024</v>
      </c>
      <c r="AT868" s="184">
        <v>33318</v>
      </c>
      <c r="AU868" t="s">
        <v>10106</v>
      </c>
      <c r="AV868">
        <v>19.95</v>
      </c>
      <c r="AW868" s="184">
        <v>45393</v>
      </c>
      <c r="AX868" t="s">
        <v>11941</v>
      </c>
      <c r="AY868">
        <v>20</v>
      </c>
      <c r="AZ868" s="184">
        <v>42688</v>
      </c>
      <c r="BA868" t="s">
        <v>11942</v>
      </c>
      <c r="BB868">
        <v>60</v>
      </c>
      <c r="BC868">
        <v>68</v>
      </c>
      <c r="BD868">
        <v>754.9</v>
      </c>
      <c r="BE868">
        <v>1991</v>
      </c>
      <c r="BF868">
        <v>37</v>
      </c>
      <c r="BG868">
        <v>1</v>
      </c>
      <c r="BH868">
        <v>20</v>
      </c>
      <c r="BI868">
        <v>23</v>
      </c>
      <c r="BJ868">
        <v>34</v>
      </c>
      <c r="BK868">
        <v>12</v>
      </c>
      <c r="BP868" s="184"/>
    </row>
    <row r="869" spans="1:68">
      <c r="A869">
        <v>5270921</v>
      </c>
      <c r="B869">
        <v>5270921</v>
      </c>
      <c r="C869" t="s">
        <v>7018</v>
      </c>
      <c r="E869" s="184"/>
      <c r="G869" s="184"/>
      <c r="J869" t="s">
        <v>595</v>
      </c>
      <c r="K869" s="184">
        <v>42522</v>
      </c>
      <c r="O869" s="184"/>
      <c r="P869" t="s">
        <v>7029</v>
      </c>
      <c r="Q869" t="s">
        <v>7262</v>
      </c>
      <c r="R869" s="184">
        <v>15376</v>
      </c>
      <c r="S869">
        <v>82</v>
      </c>
      <c r="U869" t="s">
        <v>7130</v>
      </c>
      <c r="V869" t="s">
        <v>3011</v>
      </c>
      <c r="X869" t="s">
        <v>11943</v>
      </c>
      <c r="AF869" t="s">
        <v>6062</v>
      </c>
      <c r="AG869" t="s">
        <v>3011</v>
      </c>
      <c r="AI869" t="s">
        <v>11944</v>
      </c>
      <c r="AM869" t="s">
        <v>2730</v>
      </c>
      <c r="AN869" t="s">
        <v>2069</v>
      </c>
      <c r="AO869" t="s">
        <v>11945</v>
      </c>
      <c r="AP869" t="s">
        <v>7024</v>
      </c>
      <c r="AQ869" t="s">
        <v>11946</v>
      </c>
      <c r="AR869" t="s">
        <v>11947</v>
      </c>
      <c r="AT869" s="184">
        <v>33315</v>
      </c>
      <c r="AU869" t="s">
        <v>11948</v>
      </c>
      <c r="AV869">
        <v>15</v>
      </c>
      <c r="AW869" s="184">
        <v>45408</v>
      </c>
      <c r="AX869" t="s">
        <v>11949</v>
      </c>
      <c r="AY869">
        <v>800</v>
      </c>
      <c r="AZ869" s="184">
        <v>45408</v>
      </c>
      <c r="BA869" t="s">
        <v>11949</v>
      </c>
      <c r="BB869">
        <v>800</v>
      </c>
      <c r="BC869">
        <v>100</v>
      </c>
      <c r="BD869">
        <v>12231</v>
      </c>
      <c r="BE869">
        <v>1991</v>
      </c>
      <c r="BF869">
        <v>71</v>
      </c>
      <c r="BG869">
        <v>3</v>
      </c>
      <c r="BH869">
        <v>2400</v>
      </c>
      <c r="BI869">
        <v>34</v>
      </c>
      <c r="BJ869">
        <v>34</v>
      </c>
      <c r="BK869">
        <v>34</v>
      </c>
      <c r="BP869" s="184"/>
    </row>
    <row r="870" spans="1:68">
      <c r="A870">
        <v>5275508</v>
      </c>
      <c r="B870">
        <v>5275508</v>
      </c>
      <c r="C870" t="s">
        <v>7018</v>
      </c>
      <c r="D870" t="s">
        <v>595</v>
      </c>
      <c r="E870" s="184">
        <v>44414</v>
      </c>
      <c r="G870" s="184"/>
      <c r="I870" s="184"/>
      <c r="K870" s="184"/>
      <c r="M870" s="184"/>
      <c r="O870" s="184"/>
      <c r="P870" t="s">
        <v>7045</v>
      </c>
      <c r="Q870" t="s">
        <v>7020</v>
      </c>
      <c r="R870" s="184">
        <v>16208</v>
      </c>
      <c r="S870">
        <v>79</v>
      </c>
      <c r="U870" t="s">
        <v>7031</v>
      </c>
      <c r="V870" t="s">
        <v>2979</v>
      </c>
      <c r="W870" t="s">
        <v>2963</v>
      </c>
      <c r="X870" t="s">
        <v>11950</v>
      </c>
      <c r="AF870" t="s">
        <v>11951</v>
      </c>
      <c r="AG870" t="s">
        <v>2979</v>
      </c>
      <c r="AI870" t="s">
        <v>11952</v>
      </c>
      <c r="AM870" t="s">
        <v>11953</v>
      </c>
      <c r="AN870" t="s">
        <v>2129</v>
      </c>
      <c r="AO870" t="s">
        <v>11954</v>
      </c>
      <c r="AP870" t="s">
        <v>7024</v>
      </c>
      <c r="AQ870" t="s">
        <v>11955</v>
      </c>
      <c r="AR870" t="s">
        <v>11956</v>
      </c>
      <c r="AT870" s="184">
        <v>33318</v>
      </c>
      <c r="AU870" t="s">
        <v>11948</v>
      </c>
      <c r="AV870">
        <v>15</v>
      </c>
      <c r="AW870" s="184">
        <v>44397</v>
      </c>
      <c r="AX870" t="s">
        <v>11957</v>
      </c>
      <c r="AY870">
        <v>20</v>
      </c>
      <c r="AZ870" s="184">
        <v>40154</v>
      </c>
      <c r="BA870" t="s">
        <v>11958</v>
      </c>
      <c r="BB870">
        <v>25</v>
      </c>
      <c r="BC870">
        <v>24</v>
      </c>
      <c r="BD870">
        <v>240</v>
      </c>
      <c r="BE870">
        <v>1991</v>
      </c>
      <c r="BF870">
        <v>12</v>
      </c>
      <c r="BI870">
        <v>8</v>
      </c>
      <c r="BJ870">
        <v>34</v>
      </c>
      <c r="BK870">
        <v>3</v>
      </c>
      <c r="BP870" s="184"/>
    </row>
    <row r="871" spans="1:68">
      <c r="A871">
        <v>5305578</v>
      </c>
      <c r="B871">
        <v>5305578</v>
      </c>
      <c r="C871" t="s">
        <v>7018</v>
      </c>
      <c r="E871" s="184"/>
      <c r="G871" s="184"/>
      <c r="I871" s="184"/>
      <c r="J871" t="s">
        <v>595</v>
      </c>
      <c r="K871" s="184">
        <v>43851</v>
      </c>
      <c r="M871" s="184"/>
      <c r="O871" s="184"/>
      <c r="P871" t="s">
        <v>7045</v>
      </c>
      <c r="Q871" t="s">
        <v>7383</v>
      </c>
      <c r="R871" s="184">
        <v>19572</v>
      </c>
      <c r="S871">
        <v>70</v>
      </c>
      <c r="U871" t="s">
        <v>7031</v>
      </c>
      <c r="V871" t="s">
        <v>2697</v>
      </c>
      <c r="X871" t="s">
        <v>11959</v>
      </c>
      <c r="Z871">
        <v>100023924</v>
      </c>
      <c r="AB871" t="s">
        <v>3468</v>
      </c>
      <c r="AD871" t="s">
        <v>11959</v>
      </c>
      <c r="AF871" t="s">
        <v>6231</v>
      </c>
      <c r="AG871" t="s">
        <v>11960</v>
      </c>
      <c r="AI871" t="s">
        <v>11961</v>
      </c>
      <c r="AM871" t="s">
        <v>3033</v>
      </c>
      <c r="AN871" t="s">
        <v>2072</v>
      </c>
      <c r="AO871" t="s">
        <v>11962</v>
      </c>
      <c r="AP871" t="s">
        <v>7024</v>
      </c>
      <c r="AQ871" t="s">
        <v>11963</v>
      </c>
      <c r="AR871" t="s">
        <v>11964</v>
      </c>
      <c r="AT871" s="184">
        <v>33331</v>
      </c>
      <c r="AU871" t="s">
        <v>11965</v>
      </c>
      <c r="AV871">
        <v>15</v>
      </c>
      <c r="AW871" s="184">
        <v>45398</v>
      </c>
      <c r="AX871" t="s">
        <v>11966</v>
      </c>
      <c r="AY871">
        <v>35</v>
      </c>
      <c r="AZ871" s="184">
        <v>45398</v>
      </c>
      <c r="BA871" t="s">
        <v>11966</v>
      </c>
      <c r="BB871">
        <v>35</v>
      </c>
      <c r="BC871">
        <v>100</v>
      </c>
      <c r="BD871">
        <v>3019</v>
      </c>
      <c r="BE871">
        <v>1991</v>
      </c>
      <c r="BF871">
        <v>116</v>
      </c>
      <c r="BG871">
        <v>8</v>
      </c>
      <c r="BH871">
        <v>280</v>
      </c>
      <c r="BI871">
        <v>34</v>
      </c>
      <c r="BJ871">
        <v>34</v>
      </c>
      <c r="BK871">
        <v>34</v>
      </c>
      <c r="BP871" s="184"/>
    </row>
    <row r="872" spans="1:68">
      <c r="A872">
        <v>100023924</v>
      </c>
      <c r="B872">
        <v>5305578</v>
      </c>
      <c r="C872" t="s">
        <v>7018</v>
      </c>
      <c r="E872" s="184"/>
      <c r="G872" s="184"/>
      <c r="I872" s="184"/>
      <c r="J872" t="s">
        <v>595</v>
      </c>
      <c r="K872" s="184">
        <v>43851</v>
      </c>
      <c r="M872" s="184"/>
      <c r="O872" s="184"/>
      <c r="P872" t="s">
        <v>7045</v>
      </c>
      <c r="Q872" t="s">
        <v>7383</v>
      </c>
      <c r="R872" s="184">
        <v>19784</v>
      </c>
      <c r="S872">
        <v>70</v>
      </c>
      <c r="V872" t="s">
        <v>3468</v>
      </c>
      <c r="X872" t="s">
        <v>11959</v>
      </c>
      <c r="Z872">
        <v>5305578</v>
      </c>
      <c r="AA872" t="s">
        <v>7031</v>
      </c>
      <c r="AB872" t="s">
        <v>2697</v>
      </c>
      <c r="AD872" t="s">
        <v>11959</v>
      </c>
      <c r="AF872" t="s">
        <v>6231</v>
      </c>
      <c r="AG872" t="s">
        <v>11960</v>
      </c>
      <c r="AI872" t="s">
        <v>11961</v>
      </c>
      <c r="AM872" t="s">
        <v>3033</v>
      </c>
      <c r="AN872" t="s">
        <v>2072</v>
      </c>
      <c r="AO872" t="s">
        <v>11962</v>
      </c>
      <c r="AP872" t="s">
        <v>7024</v>
      </c>
      <c r="AT872" s="184"/>
      <c r="AW872" s="184"/>
      <c r="AZ872" s="184"/>
      <c r="BP872" s="184"/>
    </row>
    <row r="873" spans="1:68">
      <c r="A873">
        <v>5307905</v>
      </c>
      <c r="B873">
        <v>5307905</v>
      </c>
      <c r="C873" t="s">
        <v>7018</v>
      </c>
      <c r="E873" s="184"/>
      <c r="G873" s="184"/>
      <c r="I873" s="184"/>
      <c r="J873" t="s">
        <v>595</v>
      </c>
      <c r="K873" s="184">
        <v>42904</v>
      </c>
      <c r="O873" s="184"/>
      <c r="P873" t="s">
        <v>7019</v>
      </c>
      <c r="Q873" t="s">
        <v>7383</v>
      </c>
      <c r="R873" s="184">
        <v>15968</v>
      </c>
      <c r="S873">
        <v>80</v>
      </c>
      <c r="U873" t="s">
        <v>7076</v>
      </c>
      <c r="V873" t="s">
        <v>2995</v>
      </c>
      <c r="W873" t="s">
        <v>7560</v>
      </c>
      <c r="X873" t="s">
        <v>11324</v>
      </c>
      <c r="AF873" t="s">
        <v>6349</v>
      </c>
      <c r="AG873" t="s">
        <v>2995</v>
      </c>
      <c r="AI873" t="s">
        <v>11967</v>
      </c>
      <c r="AM873" t="s">
        <v>11968</v>
      </c>
      <c r="AN873" t="s">
        <v>2072</v>
      </c>
      <c r="AO873" t="s">
        <v>11969</v>
      </c>
      <c r="AP873" t="s">
        <v>7024</v>
      </c>
      <c r="AQ873" t="s">
        <v>11970</v>
      </c>
      <c r="AR873" t="s">
        <v>11971</v>
      </c>
      <c r="AT873" s="184">
        <v>33332</v>
      </c>
      <c r="AU873" t="s">
        <v>11972</v>
      </c>
      <c r="AV873">
        <v>25</v>
      </c>
      <c r="AW873" s="184">
        <v>45307</v>
      </c>
      <c r="AX873" t="s">
        <v>11973</v>
      </c>
      <c r="AY873">
        <v>75</v>
      </c>
      <c r="AZ873" s="184">
        <v>45307</v>
      </c>
      <c r="BA873" t="s">
        <v>11973</v>
      </c>
      <c r="BB873">
        <v>75</v>
      </c>
      <c r="BC873">
        <v>65</v>
      </c>
      <c r="BD873">
        <v>1900</v>
      </c>
      <c r="BE873">
        <v>1991</v>
      </c>
      <c r="BF873">
        <v>46</v>
      </c>
      <c r="BG873">
        <v>3</v>
      </c>
      <c r="BH873">
        <v>225</v>
      </c>
      <c r="BI873">
        <v>22</v>
      </c>
      <c r="BJ873">
        <v>34</v>
      </c>
      <c r="BK873">
        <v>16</v>
      </c>
      <c r="BP873" s="184"/>
    </row>
    <row r="874" spans="1:68">
      <c r="A874">
        <v>5318688</v>
      </c>
      <c r="B874">
        <v>5318688</v>
      </c>
      <c r="C874" t="s">
        <v>7018</v>
      </c>
      <c r="D874" t="s">
        <v>595</v>
      </c>
      <c r="E874" s="184">
        <v>44040</v>
      </c>
      <c r="G874" s="184"/>
      <c r="I874" s="184"/>
      <c r="K874" s="184"/>
      <c r="M874" s="184"/>
      <c r="O874" s="184"/>
      <c r="P874" t="s">
        <v>7029</v>
      </c>
      <c r="Q874" t="s">
        <v>7383</v>
      </c>
      <c r="R874" s="184">
        <v>19480</v>
      </c>
      <c r="S874">
        <v>71</v>
      </c>
      <c r="U874" t="s">
        <v>7031</v>
      </c>
      <c r="V874" t="s">
        <v>3254</v>
      </c>
      <c r="X874" t="s">
        <v>4094</v>
      </c>
      <c r="Z874">
        <v>100023960</v>
      </c>
      <c r="AB874" t="s">
        <v>3317</v>
      </c>
      <c r="AD874" t="s">
        <v>4094</v>
      </c>
      <c r="AF874" t="s">
        <v>11974</v>
      </c>
      <c r="AG874" t="s">
        <v>11975</v>
      </c>
      <c r="AI874" t="s">
        <v>11976</v>
      </c>
      <c r="AM874" t="s">
        <v>11977</v>
      </c>
      <c r="AN874" t="s">
        <v>2185</v>
      </c>
      <c r="AO874" t="s">
        <v>11978</v>
      </c>
      <c r="AP874" t="s">
        <v>7024</v>
      </c>
      <c r="AQ874" t="s">
        <v>11979</v>
      </c>
      <c r="AT874" s="184">
        <v>33339</v>
      </c>
      <c r="AU874" t="s">
        <v>11980</v>
      </c>
      <c r="AV874">
        <v>19.95</v>
      </c>
      <c r="AW874" s="184">
        <v>45224</v>
      </c>
      <c r="AX874" t="s">
        <v>11981</v>
      </c>
      <c r="AY874">
        <v>100</v>
      </c>
      <c r="AZ874" s="184">
        <v>44280</v>
      </c>
      <c r="BA874" t="s">
        <v>11982</v>
      </c>
      <c r="BB874">
        <v>5000</v>
      </c>
      <c r="BC874">
        <v>89</v>
      </c>
      <c r="BD874">
        <v>13314.95</v>
      </c>
      <c r="BE874">
        <v>1991</v>
      </c>
      <c r="BF874">
        <v>69</v>
      </c>
      <c r="BG874">
        <v>8</v>
      </c>
      <c r="BH874">
        <v>3800</v>
      </c>
      <c r="BI874">
        <v>30</v>
      </c>
      <c r="BJ874">
        <v>34</v>
      </c>
      <c r="BK874">
        <v>15</v>
      </c>
      <c r="BP874" s="184"/>
    </row>
    <row r="875" spans="1:68">
      <c r="A875">
        <v>100023960</v>
      </c>
      <c r="B875">
        <v>5318688</v>
      </c>
      <c r="C875" t="s">
        <v>7018</v>
      </c>
      <c r="D875" t="s">
        <v>595</v>
      </c>
      <c r="E875" s="184">
        <v>44040</v>
      </c>
      <c r="G875" s="184"/>
      <c r="I875" s="184"/>
      <c r="K875" s="184"/>
      <c r="M875" s="184"/>
      <c r="O875" s="184"/>
      <c r="P875" t="s">
        <v>7029</v>
      </c>
      <c r="Q875" t="s">
        <v>7383</v>
      </c>
      <c r="R875" s="184">
        <v>19480</v>
      </c>
      <c r="S875">
        <v>71</v>
      </c>
      <c r="V875" t="s">
        <v>3317</v>
      </c>
      <c r="X875" t="s">
        <v>4094</v>
      </c>
      <c r="Z875">
        <v>5318688</v>
      </c>
      <c r="AA875" t="s">
        <v>7031</v>
      </c>
      <c r="AB875" t="s">
        <v>3254</v>
      </c>
      <c r="AD875" t="s">
        <v>4094</v>
      </c>
      <c r="AF875" t="s">
        <v>11974</v>
      </c>
      <c r="AG875" t="s">
        <v>11975</v>
      </c>
      <c r="AI875" t="s">
        <v>11976</v>
      </c>
      <c r="AM875" t="s">
        <v>11977</v>
      </c>
      <c r="AN875" t="s">
        <v>2185</v>
      </c>
      <c r="AO875" t="s">
        <v>11978</v>
      </c>
      <c r="AP875" t="s">
        <v>7024</v>
      </c>
      <c r="AT875" s="184"/>
      <c r="AW875" s="184"/>
      <c r="AZ875" s="184"/>
      <c r="BP875" s="184"/>
    </row>
    <row r="876" spans="1:68">
      <c r="A876">
        <v>5338363</v>
      </c>
      <c r="B876">
        <v>5338363</v>
      </c>
      <c r="C876" t="s">
        <v>7018</v>
      </c>
      <c r="E876" s="184"/>
      <c r="G876" s="184"/>
      <c r="I876" s="184"/>
      <c r="J876" t="s">
        <v>595</v>
      </c>
      <c r="K876" s="184">
        <v>37392</v>
      </c>
      <c r="M876" s="184"/>
      <c r="O876" s="184"/>
      <c r="P876" t="s">
        <v>7045</v>
      </c>
      <c r="Q876" t="s">
        <v>7194</v>
      </c>
      <c r="R876" s="184">
        <v>12615</v>
      </c>
      <c r="S876">
        <v>89</v>
      </c>
      <c r="U876" t="s">
        <v>7130</v>
      </c>
      <c r="V876" t="s">
        <v>4720</v>
      </c>
      <c r="W876" t="s">
        <v>7268</v>
      </c>
      <c r="X876" t="s">
        <v>11983</v>
      </c>
      <c r="AF876" t="s">
        <v>6358</v>
      </c>
      <c r="AG876" t="s">
        <v>4720</v>
      </c>
      <c r="AI876" t="s">
        <v>11984</v>
      </c>
      <c r="AM876" t="s">
        <v>11985</v>
      </c>
      <c r="AN876" t="s">
        <v>2046</v>
      </c>
      <c r="AO876" t="s">
        <v>11986</v>
      </c>
      <c r="AP876" t="s">
        <v>7024</v>
      </c>
      <c r="AT876" s="184">
        <v>33333</v>
      </c>
      <c r="AU876" t="s">
        <v>11987</v>
      </c>
      <c r="AV876">
        <v>15</v>
      </c>
      <c r="AW876" s="184">
        <v>42954</v>
      </c>
      <c r="AX876" t="s">
        <v>11988</v>
      </c>
      <c r="AY876">
        <v>15</v>
      </c>
      <c r="AZ876" s="184">
        <v>40763</v>
      </c>
      <c r="BA876" t="s">
        <v>11989</v>
      </c>
      <c r="BB876">
        <v>25</v>
      </c>
      <c r="BC876">
        <v>80</v>
      </c>
      <c r="BD876">
        <v>1375</v>
      </c>
      <c r="BE876">
        <v>1991</v>
      </c>
      <c r="BF876">
        <v>92</v>
      </c>
      <c r="BI876">
        <v>27</v>
      </c>
      <c r="BJ876">
        <v>34</v>
      </c>
      <c r="BK876">
        <v>27</v>
      </c>
      <c r="BP876" s="184"/>
    </row>
    <row r="877" spans="1:68">
      <c r="A877">
        <v>5339569</v>
      </c>
      <c r="B877">
        <v>5339569</v>
      </c>
      <c r="C877" t="s">
        <v>7018</v>
      </c>
      <c r="E877" s="184"/>
      <c r="F877" t="s">
        <v>595</v>
      </c>
      <c r="G877" s="184">
        <v>43881</v>
      </c>
      <c r="I877" s="184"/>
      <c r="K877" s="184"/>
      <c r="M877" s="184"/>
      <c r="O877" s="184"/>
      <c r="P877" t="s">
        <v>7045</v>
      </c>
      <c r="Q877" t="s">
        <v>7383</v>
      </c>
      <c r="R877" s="184">
        <v>17230</v>
      </c>
      <c r="S877">
        <v>77</v>
      </c>
      <c r="U877" t="s">
        <v>7031</v>
      </c>
      <c r="V877" t="s">
        <v>3393</v>
      </c>
      <c r="X877" t="s">
        <v>11990</v>
      </c>
      <c r="AF877" t="s">
        <v>11991</v>
      </c>
      <c r="AG877" t="s">
        <v>3393</v>
      </c>
      <c r="AI877" t="s">
        <v>11992</v>
      </c>
      <c r="AM877" t="s">
        <v>5118</v>
      </c>
      <c r="AN877" t="s">
        <v>2064</v>
      </c>
      <c r="AO877" t="s">
        <v>11993</v>
      </c>
      <c r="AP877" t="s">
        <v>7024</v>
      </c>
      <c r="AT877" s="184">
        <v>33333</v>
      </c>
      <c r="AU877" t="s">
        <v>11994</v>
      </c>
      <c r="AV877">
        <v>15</v>
      </c>
      <c r="AW877" s="184">
        <v>44733</v>
      </c>
      <c r="AX877" t="s">
        <v>11995</v>
      </c>
      <c r="AY877">
        <v>200</v>
      </c>
      <c r="AZ877" s="184">
        <v>44733</v>
      </c>
      <c r="BA877" t="s">
        <v>11995</v>
      </c>
      <c r="BB877">
        <v>200</v>
      </c>
      <c r="BC877">
        <v>89</v>
      </c>
      <c r="BD877">
        <v>1350</v>
      </c>
      <c r="BE877">
        <v>1991</v>
      </c>
      <c r="BF877">
        <v>44</v>
      </c>
      <c r="BG877">
        <v>1</v>
      </c>
      <c r="BH877">
        <v>200</v>
      </c>
      <c r="BI877">
        <v>30</v>
      </c>
      <c r="BJ877">
        <v>34</v>
      </c>
      <c r="BK877">
        <v>16</v>
      </c>
      <c r="BP877" s="184"/>
    </row>
    <row r="878" spans="1:68">
      <c r="A878">
        <v>5354121</v>
      </c>
      <c r="B878">
        <v>5354121</v>
      </c>
      <c r="C878" t="s">
        <v>7018</v>
      </c>
      <c r="E878" s="184"/>
      <c r="G878" s="184"/>
      <c r="I878" s="184"/>
      <c r="K878" s="184"/>
      <c r="M878" s="184"/>
      <c r="N878" t="s">
        <v>595</v>
      </c>
      <c r="O878" s="184">
        <v>36788</v>
      </c>
      <c r="P878" t="s">
        <v>7045</v>
      </c>
      <c r="Q878" t="s">
        <v>7194</v>
      </c>
      <c r="R878" s="184">
        <v>10349</v>
      </c>
      <c r="S878">
        <v>96</v>
      </c>
      <c r="U878" t="s">
        <v>7130</v>
      </c>
      <c r="V878" t="s">
        <v>5471</v>
      </c>
      <c r="W878" t="s">
        <v>7695</v>
      </c>
      <c r="X878" t="s">
        <v>5472</v>
      </c>
      <c r="Z878">
        <v>100180002</v>
      </c>
      <c r="AA878" t="s">
        <v>7031</v>
      </c>
      <c r="AB878" t="s">
        <v>3035</v>
      </c>
      <c r="AC878" t="s">
        <v>4382</v>
      </c>
      <c r="AD878" t="s">
        <v>5472</v>
      </c>
      <c r="AF878" t="s">
        <v>11996</v>
      </c>
      <c r="AG878" t="s">
        <v>5471</v>
      </c>
      <c r="AI878" t="s">
        <v>11997</v>
      </c>
      <c r="AJ878" t="s">
        <v>11998</v>
      </c>
      <c r="AM878" t="s">
        <v>5473</v>
      </c>
      <c r="AN878" t="s">
        <v>2046</v>
      </c>
      <c r="AO878">
        <v>34689</v>
      </c>
      <c r="AP878" t="s">
        <v>7024</v>
      </c>
      <c r="AT878" s="184">
        <v>33339</v>
      </c>
      <c r="AU878" t="s">
        <v>11987</v>
      </c>
      <c r="AV878">
        <v>15</v>
      </c>
      <c r="AW878" s="184">
        <v>43423</v>
      </c>
      <c r="AX878" t="s">
        <v>10803</v>
      </c>
      <c r="AY878">
        <v>35</v>
      </c>
      <c r="AZ878" s="184">
        <v>36812</v>
      </c>
      <c r="BA878" t="s">
        <v>8173</v>
      </c>
      <c r="BB878">
        <v>23876.880000000001</v>
      </c>
      <c r="BC878">
        <v>74</v>
      </c>
      <c r="BD878">
        <v>65284.63</v>
      </c>
      <c r="BE878">
        <v>1991</v>
      </c>
      <c r="BF878">
        <v>35</v>
      </c>
      <c r="BI878">
        <v>25</v>
      </c>
      <c r="BJ878">
        <v>34</v>
      </c>
      <c r="BK878">
        <v>13</v>
      </c>
      <c r="BO878" t="s">
        <v>595</v>
      </c>
      <c r="BP878" s="184">
        <v>43892</v>
      </c>
    </row>
    <row r="879" spans="1:68">
      <c r="A879">
        <v>100180002</v>
      </c>
      <c r="B879">
        <v>5354121</v>
      </c>
      <c r="C879" t="s">
        <v>7018</v>
      </c>
      <c r="E879" s="184"/>
      <c r="G879" s="184"/>
      <c r="I879" s="184"/>
      <c r="K879" s="184"/>
      <c r="M879" s="184"/>
      <c r="N879" t="s">
        <v>595</v>
      </c>
      <c r="O879" s="184">
        <v>36788</v>
      </c>
      <c r="P879" t="s">
        <v>7045</v>
      </c>
      <c r="Q879" t="s">
        <v>7194</v>
      </c>
      <c r="R879" s="184">
        <v>10617</v>
      </c>
      <c r="S879">
        <v>95</v>
      </c>
      <c r="U879" t="s">
        <v>7031</v>
      </c>
      <c r="V879" t="s">
        <v>3035</v>
      </c>
      <c r="W879" t="s">
        <v>4382</v>
      </c>
      <c r="X879" t="s">
        <v>5472</v>
      </c>
      <c r="Z879">
        <v>5354121</v>
      </c>
      <c r="AA879" t="s">
        <v>7130</v>
      </c>
      <c r="AB879" t="s">
        <v>5471</v>
      </c>
      <c r="AC879" t="s">
        <v>7695</v>
      </c>
      <c r="AD879" t="s">
        <v>5472</v>
      </c>
      <c r="AF879" t="s">
        <v>11996</v>
      </c>
      <c r="AG879" t="s">
        <v>5471</v>
      </c>
      <c r="AI879" t="s">
        <v>11997</v>
      </c>
      <c r="AJ879" t="s">
        <v>11998</v>
      </c>
      <c r="AM879" t="s">
        <v>5473</v>
      </c>
      <c r="AN879" t="s">
        <v>2046</v>
      </c>
      <c r="AO879">
        <v>34689</v>
      </c>
      <c r="AP879" t="s">
        <v>7024</v>
      </c>
      <c r="AT879" s="184"/>
      <c r="AW879" s="184"/>
      <c r="AZ879" s="184"/>
      <c r="BO879" t="s">
        <v>595</v>
      </c>
      <c r="BP879" s="184">
        <v>42865</v>
      </c>
    </row>
    <row r="880" spans="1:68">
      <c r="A880">
        <v>5356985</v>
      </c>
      <c r="B880">
        <v>5356985</v>
      </c>
      <c r="C880" t="s">
        <v>7018</v>
      </c>
      <c r="D880" t="s">
        <v>595</v>
      </c>
      <c r="E880" s="184">
        <v>43843</v>
      </c>
      <c r="G880" s="184"/>
      <c r="K880" s="184"/>
      <c r="M880" s="184"/>
      <c r="P880" t="s">
        <v>7045</v>
      </c>
      <c r="Q880" t="s">
        <v>7194</v>
      </c>
      <c r="R880" s="184">
        <v>18537</v>
      </c>
      <c r="S880">
        <v>73</v>
      </c>
      <c r="U880" t="s">
        <v>7031</v>
      </c>
      <c r="V880" t="s">
        <v>4169</v>
      </c>
      <c r="W880" t="s">
        <v>7560</v>
      </c>
      <c r="X880" t="s">
        <v>11999</v>
      </c>
      <c r="Y880" t="s">
        <v>7047</v>
      </c>
      <c r="AF880" t="s">
        <v>12000</v>
      </c>
      <c r="AG880" t="s">
        <v>4169</v>
      </c>
      <c r="AI880" t="s">
        <v>12001</v>
      </c>
      <c r="AM880" t="s">
        <v>12002</v>
      </c>
      <c r="AN880" t="s">
        <v>2046</v>
      </c>
      <c r="AO880" t="s">
        <v>12003</v>
      </c>
      <c r="AP880" t="s">
        <v>7024</v>
      </c>
      <c r="AQ880" t="s">
        <v>12004</v>
      </c>
      <c r="AR880" t="s">
        <v>12005</v>
      </c>
      <c r="AT880" s="184">
        <v>33340</v>
      </c>
      <c r="AU880" t="s">
        <v>12006</v>
      </c>
      <c r="AV880">
        <v>15</v>
      </c>
      <c r="AW880" s="184">
        <v>45295</v>
      </c>
      <c r="AX880" t="s">
        <v>8252</v>
      </c>
      <c r="AY880">
        <v>15</v>
      </c>
      <c r="AZ880" s="184">
        <v>39094</v>
      </c>
      <c r="BA880" t="s">
        <v>12007</v>
      </c>
      <c r="BB880">
        <v>87</v>
      </c>
      <c r="BC880">
        <v>83</v>
      </c>
      <c r="BD880">
        <v>975</v>
      </c>
      <c r="BE880">
        <v>1991</v>
      </c>
      <c r="BF880">
        <v>38</v>
      </c>
      <c r="BG880">
        <v>3</v>
      </c>
      <c r="BH880">
        <v>40</v>
      </c>
      <c r="BI880">
        <v>28</v>
      </c>
      <c r="BJ880">
        <v>34</v>
      </c>
      <c r="BK880">
        <v>11</v>
      </c>
      <c r="BP880" s="184"/>
    </row>
    <row r="881" spans="1:68">
      <c r="A881">
        <v>5368600</v>
      </c>
      <c r="B881">
        <v>5368600</v>
      </c>
      <c r="C881" t="s">
        <v>7018</v>
      </c>
      <c r="E881" s="184"/>
      <c r="G881" s="184"/>
      <c r="J881" t="s">
        <v>595</v>
      </c>
      <c r="K881" s="184">
        <v>44167</v>
      </c>
      <c r="M881" s="184"/>
      <c r="O881" s="184"/>
      <c r="P881" t="s">
        <v>7045</v>
      </c>
      <c r="Q881" t="s">
        <v>7194</v>
      </c>
      <c r="R881" s="184">
        <v>14793</v>
      </c>
      <c r="S881">
        <v>83</v>
      </c>
      <c r="U881" t="s">
        <v>7031</v>
      </c>
      <c r="V881" t="s">
        <v>12008</v>
      </c>
      <c r="X881" t="s">
        <v>9794</v>
      </c>
      <c r="AF881" t="s">
        <v>12009</v>
      </c>
      <c r="AG881" t="s">
        <v>12008</v>
      </c>
      <c r="AI881" t="s">
        <v>12010</v>
      </c>
      <c r="AM881" t="s">
        <v>12011</v>
      </c>
      <c r="AN881" t="s">
        <v>2046</v>
      </c>
      <c r="AO881" t="s">
        <v>12012</v>
      </c>
      <c r="AP881" t="s">
        <v>7024</v>
      </c>
      <c r="AT881" s="184">
        <v>33340</v>
      </c>
      <c r="AU881" t="s">
        <v>12013</v>
      </c>
      <c r="AV881">
        <v>30</v>
      </c>
      <c r="AW881" s="184">
        <v>45112</v>
      </c>
      <c r="AX881" t="s">
        <v>11151</v>
      </c>
      <c r="AY881">
        <v>35</v>
      </c>
      <c r="AZ881" s="184">
        <v>45112</v>
      </c>
      <c r="BA881" t="s">
        <v>11151</v>
      </c>
      <c r="BB881">
        <v>35</v>
      </c>
      <c r="BC881">
        <v>65</v>
      </c>
      <c r="BD881">
        <v>780</v>
      </c>
      <c r="BE881">
        <v>1991</v>
      </c>
      <c r="BF881">
        <v>30</v>
      </c>
      <c r="BG881">
        <v>3</v>
      </c>
      <c r="BH881">
        <v>95</v>
      </c>
      <c r="BI881">
        <v>22</v>
      </c>
      <c r="BJ881">
        <v>34</v>
      </c>
      <c r="BK881">
        <v>6</v>
      </c>
      <c r="BP881" s="184"/>
    </row>
    <row r="882" spans="1:68">
      <c r="A882">
        <v>5368733</v>
      </c>
      <c r="B882">
        <v>5368733</v>
      </c>
      <c r="C882" t="s">
        <v>7018</v>
      </c>
      <c r="D882" t="s">
        <v>595</v>
      </c>
      <c r="E882" s="184">
        <v>44167</v>
      </c>
      <c r="G882" s="184"/>
      <c r="I882" s="184"/>
      <c r="K882" s="184"/>
      <c r="M882" s="184"/>
      <c r="P882" t="s">
        <v>7045</v>
      </c>
      <c r="Q882" t="s">
        <v>7383</v>
      </c>
      <c r="R882" s="184">
        <v>13343</v>
      </c>
      <c r="S882">
        <v>87</v>
      </c>
      <c r="U882" t="s">
        <v>7031</v>
      </c>
      <c r="V882" t="s">
        <v>3889</v>
      </c>
      <c r="W882" t="s">
        <v>3226</v>
      </c>
      <c r="X882" t="s">
        <v>12014</v>
      </c>
      <c r="AF882" t="s">
        <v>12015</v>
      </c>
      <c r="AG882" t="s">
        <v>3889</v>
      </c>
      <c r="AI882" t="s">
        <v>12016</v>
      </c>
      <c r="AM882" t="s">
        <v>9784</v>
      </c>
      <c r="AN882" t="s">
        <v>2139</v>
      </c>
      <c r="AO882" t="s">
        <v>12017</v>
      </c>
      <c r="AP882" t="s">
        <v>7024</v>
      </c>
      <c r="AQ882" t="s">
        <v>12018</v>
      </c>
      <c r="AT882" s="184">
        <v>33340</v>
      </c>
      <c r="AU882" t="s">
        <v>12019</v>
      </c>
      <c r="AV882">
        <v>15</v>
      </c>
      <c r="AW882" s="184">
        <v>45365</v>
      </c>
      <c r="AX882" t="s">
        <v>12020</v>
      </c>
      <c r="AY882">
        <v>10</v>
      </c>
      <c r="AZ882" s="184">
        <v>44260</v>
      </c>
      <c r="BA882" t="s">
        <v>12021</v>
      </c>
      <c r="BB882">
        <v>25</v>
      </c>
      <c r="BC882">
        <v>71</v>
      </c>
      <c r="BD882">
        <v>478</v>
      </c>
      <c r="BE882">
        <v>1991</v>
      </c>
      <c r="BF882">
        <v>39</v>
      </c>
      <c r="BG882">
        <v>1</v>
      </c>
      <c r="BH882">
        <v>10</v>
      </c>
      <c r="BI882">
        <v>24</v>
      </c>
      <c r="BJ882">
        <v>34</v>
      </c>
      <c r="BK882">
        <v>10</v>
      </c>
      <c r="BP882" s="184"/>
    </row>
    <row r="883" spans="1:68">
      <c r="A883">
        <v>5385752</v>
      </c>
      <c r="B883">
        <v>5385752</v>
      </c>
      <c r="C883" t="s">
        <v>7018</v>
      </c>
      <c r="E883" s="184"/>
      <c r="G883" s="184"/>
      <c r="I883" s="184"/>
      <c r="J883" t="s">
        <v>595</v>
      </c>
      <c r="K883" s="184">
        <v>43388</v>
      </c>
      <c r="M883" s="184"/>
      <c r="O883" s="184"/>
      <c r="P883" t="s">
        <v>7084</v>
      </c>
      <c r="Q883" t="s">
        <v>7262</v>
      </c>
      <c r="R883" s="184">
        <v>11460</v>
      </c>
      <c r="S883">
        <v>92</v>
      </c>
      <c r="U883" t="s">
        <v>7031</v>
      </c>
      <c r="V883" t="s">
        <v>2551</v>
      </c>
      <c r="X883" t="s">
        <v>4752</v>
      </c>
      <c r="AF883" t="s">
        <v>6299</v>
      </c>
      <c r="AG883" t="s">
        <v>12022</v>
      </c>
      <c r="AI883" t="s">
        <v>12023</v>
      </c>
      <c r="AM883" t="s">
        <v>12024</v>
      </c>
      <c r="AN883" t="s">
        <v>2069</v>
      </c>
      <c r="AO883" t="s">
        <v>12025</v>
      </c>
      <c r="AP883" t="s">
        <v>7024</v>
      </c>
      <c r="AQ883" t="s">
        <v>12026</v>
      </c>
      <c r="AT883" s="184">
        <v>33343</v>
      </c>
      <c r="AU883" t="s">
        <v>12027</v>
      </c>
      <c r="AV883">
        <v>15</v>
      </c>
      <c r="AW883" s="184">
        <v>44105</v>
      </c>
      <c r="AX883" t="s">
        <v>7309</v>
      </c>
      <c r="AY883">
        <v>33082.44</v>
      </c>
      <c r="AZ883" s="184">
        <v>44105</v>
      </c>
      <c r="BA883" t="s">
        <v>7309</v>
      </c>
      <c r="BB883">
        <v>33082.44</v>
      </c>
      <c r="BC883">
        <v>86</v>
      </c>
      <c r="BD883">
        <v>34837.440000000002</v>
      </c>
      <c r="BE883">
        <v>1991</v>
      </c>
      <c r="BF883">
        <v>33</v>
      </c>
      <c r="BI883">
        <v>29</v>
      </c>
      <c r="BJ883">
        <v>34</v>
      </c>
      <c r="BK883">
        <v>28</v>
      </c>
      <c r="BN883" t="s">
        <v>595</v>
      </c>
      <c r="BO883" t="s">
        <v>595</v>
      </c>
      <c r="BP883" s="184">
        <v>43545</v>
      </c>
    </row>
    <row r="884" spans="1:68">
      <c r="A884">
        <v>5431283</v>
      </c>
      <c r="B884">
        <v>5431283</v>
      </c>
      <c r="C884" t="s">
        <v>7018</v>
      </c>
      <c r="D884" t="s">
        <v>595</v>
      </c>
      <c r="E884" s="184">
        <v>44167</v>
      </c>
      <c r="G884" s="184"/>
      <c r="I884" s="184"/>
      <c r="K884" s="184"/>
      <c r="O884" s="184"/>
      <c r="P884" t="s">
        <v>7045</v>
      </c>
      <c r="Q884" t="s">
        <v>7030</v>
      </c>
      <c r="R884" s="184">
        <v>18394</v>
      </c>
      <c r="S884">
        <v>74</v>
      </c>
      <c r="U884" t="s">
        <v>7130</v>
      </c>
      <c r="V884" t="s">
        <v>2911</v>
      </c>
      <c r="W884" t="s">
        <v>3226</v>
      </c>
      <c r="X884" t="s">
        <v>12028</v>
      </c>
      <c r="AF884" t="s">
        <v>12029</v>
      </c>
      <c r="AG884" t="s">
        <v>2911</v>
      </c>
      <c r="AI884" t="s">
        <v>12030</v>
      </c>
      <c r="AM884" t="s">
        <v>12031</v>
      </c>
      <c r="AN884" t="s">
        <v>2089</v>
      </c>
      <c r="AO884" t="s">
        <v>12032</v>
      </c>
      <c r="AP884" t="s">
        <v>7024</v>
      </c>
      <c r="AQ884" t="s">
        <v>12033</v>
      </c>
      <c r="AR884" t="s">
        <v>12034</v>
      </c>
      <c r="AT884" s="184">
        <v>33345</v>
      </c>
      <c r="AU884" t="s">
        <v>11987</v>
      </c>
      <c r="AV884">
        <v>15</v>
      </c>
      <c r="AW884" s="184">
        <v>38205</v>
      </c>
      <c r="AX884" t="s">
        <v>12035</v>
      </c>
      <c r="AY884">
        <v>20</v>
      </c>
      <c r="AZ884" s="184">
        <v>36192</v>
      </c>
      <c r="BA884" t="s">
        <v>12036</v>
      </c>
      <c r="BB884">
        <v>55</v>
      </c>
      <c r="BC884">
        <v>36</v>
      </c>
      <c r="BD884">
        <v>644</v>
      </c>
      <c r="BE884">
        <v>1991</v>
      </c>
      <c r="BF884">
        <v>24</v>
      </c>
      <c r="BI884">
        <v>12</v>
      </c>
      <c r="BJ884">
        <v>34</v>
      </c>
      <c r="BK884">
        <v>9</v>
      </c>
      <c r="BN884" t="s">
        <v>595</v>
      </c>
      <c r="BP884" s="184"/>
    </row>
    <row r="885" spans="1:68">
      <c r="A885">
        <v>5437843</v>
      </c>
      <c r="B885">
        <v>5437843</v>
      </c>
      <c r="C885" t="s">
        <v>7018</v>
      </c>
      <c r="D885" t="s">
        <v>595</v>
      </c>
      <c r="E885" s="184">
        <v>44070</v>
      </c>
      <c r="G885" s="184"/>
      <c r="I885" s="184"/>
      <c r="K885" s="184"/>
      <c r="M885" s="184"/>
      <c r="O885" s="184"/>
      <c r="P885" t="s">
        <v>7045</v>
      </c>
      <c r="Q885" t="s">
        <v>7030</v>
      </c>
      <c r="R885" s="184">
        <v>16163</v>
      </c>
      <c r="S885">
        <v>80</v>
      </c>
      <c r="U885" t="s">
        <v>7076</v>
      </c>
      <c r="V885" t="s">
        <v>12037</v>
      </c>
      <c r="X885" t="s">
        <v>4705</v>
      </c>
      <c r="AF885" t="s">
        <v>12038</v>
      </c>
      <c r="AG885" t="s">
        <v>12037</v>
      </c>
      <c r="AI885" t="s">
        <v>12039</v>
      </c>
      <c r="AM885" t="s">
        <v>12040</v>
      </c>
      <c r="AN885" t="s">
        <v>2094</v>
      </c>
      <c r="AO885" t="s">
        <v>12041</v>
      </c>
      <c r="AP885" t="s">
        <v>7024</v>
      </c>
      <c r="AT885" s="184">
        <v>33345</v>
      </c>
      <c r="AU885" t="s">
        <v>12042</v>
      </c>
      <c r="AV885">
        <v>15</v>
      </c>
      <c r="AW885" s="184">
        <v>38817</v>
      </c>
      <c r="AX885" t="s">
        <v>12043</v>
      </c>
      <c r="AY885">
        <v>25</v>
      </c>
      <c r="AZ885" s="184">
        <v>38817</v>
      </c>
      <c r="BA885" t="s">
        <v>12043</v>
      </c>
      <c r="BB885">
        <v>25</v>
      </c>
      <c r="BC885">
        <v>45</v>
      </c>
      <c r="BD885">
        <v>390</v>
      </c>
      <c r="BE885">
        <v>1991</v>
      </c>
      <c r="BF885">
        <v>16</v>
      </c>
      <c r="BI885">
        <v>15</v>
      </c>
      <c r="BJ885">
        <v>34</v>
      </c>
      <c r="BK885">
        <v>13</v>
      </c>
      <c r="BP885" s="184"/>
    </row>
    <row r="886" spans="1:68">
      <c r="A886">
        <v>5455977</v>
      </c>
      <c r="B886">
        <v>5455977</v>
      </c>
      <c r="C886" t="s">
        <v>7018</v>
      </c>
      <c r="E886" s="184"/>
      <c r="G886" s="184"/>
      <c r="I886" s="184"/>
      <c r="J886" t="s">
        <v>595</v>
      </c>
      <c r="K886" s="184">
        <v>41969</v>
      </c>
      <c r="M886" s="184"/>
      <c r="P886" t="s">
        <v>7045</v>
      </c>
      <c r="Q886" t="s">
        <v>7494</v>
      </c>
      <c r="R886" s="184">
        <v>21794</v>
      </c>
      <c r="S886">
        <v>64</v>
      </c>
      <c r="U886" t="s">
        <v>7076</v>
      </c>
      <c r="V886" t="s">
        <v>7290</v>
      </c>
      <c r="W886" t="s">
        <v>5006</v>
      </c>
      <c r="X886" t="s">
        <v>12044</v>
      </c>
      <c r="AF886" t="s">
        <v>6179</v>
      </c>
      <c r="AG886" t="s">
        <v>7290</v>
      </c>
      <c r="AI886" t="s">
        <v>12045</v>
      </c>
      <c r="AM886" t="s">
        <v>3763</v>
      </c>
      <c r="AN886" t="s">
        <v>2484</v>
      </c>
      <c r="AO886" t="s">
        <v>12046</v>
      </c>
      <c r="AP886" t="s">
        <v>7024</v>
      </c>
      <c r="AQ886" t="s">
        <v>12047</v>
      </c>
      <c r="AT886" s="184">
        <v>33347</v>
      </c>
      <c r="AU886" t="s">
        <v>12048</v>
      </c>
      <c r="AV886">
        <v>30</v>
      </c>
      <c r="AW886" s="184">
        <v>45336</v>
      </c>
      <c r="AX886" t="s">
        <v>12049</v>
      </c>
      <c r="AY886">
        <v>200</v>
      </c>
      <c r="AZ886" s="184">
        <v>45336</v>
      </c>
      <c r="BA886" t="s">
        <v>12049</v>
      </c>
      <c r="BB886">
        <v>200</v>
      </c>
      <c r="BC886">
        <v>100</v>
      </c>
      <c r="BD886">
        <v>4935</v>
      </c>
      <c r="BE886">
        <v>1991</v>
      </c>
      <c r="BF886">
        <v>59</v>
      </c>
      <c r="BG886">
        <v>4</v>
      </c>
      <c r="BH886">
        <v>705</v>
      </c>
      <c r="BI886">
        <v>34</v>
      </c>
      <c r="BJ886">
        <v>34</v>
      </c>
      <c r="BK886">
        <v>34</v>
      </c>
      <c r="BP886" s="184"/>
    </row>
    <row r="887" spans="1:68">
      <c r="A887">
        <v>5463526</v>
      </c>
      <c r="B887">
        <v>5463526</v>
      </c>
      <c r="C887" t="s">
        <v>7018</v>
      </c>
      <c r="E887" s="184"/>
      <c r="G887" s="184"/>
      <c r="I887" s="184"/>
      <c r="J887" t="s">
        <v>595</v>
      </c>
      <c r="K887" s="184">
        <v>43607</v>
      </c>
      <c r="M887" s="184"/>
      <c r="O887" s="184"/>
      <c r="P887" t="s">
        <v>7045</v>
      </c>
      <c r="Q887" t="s">
        <v>7160</v>
      </c>
      <c r="R887" s="184">
        <v>21551</v>
      </c>
      <c r="S887">
        <v>65</v>
      </c>
      <c r="V887" t="s">
        <v>2841</v>
      </c>
      <c r="X887" t="s">
        <v>2842</v>
      </c>
      <c r="Z887">
        <v>100024377</v>
      </c>
      <c r="AB887" t="s">
        <v>4840</v>
      </c>
      <c r="AD887" t="s">
        <v>2842</v>
      </c>
      <c r="AF887" t="s">
        <v>6338</v>
      </c>
      <c r="AG887" t="s">
        <v>12050</v>
      </c>
      <c r="AI887" t="s">
        <v>12051</v>
      </c>
      <c r="AM887" t="s">
        <v>2766</v>
      </c>
      <c r="AN887" t="s">
        <v>2176</v>
      </c>
      <c r="AO887" t="s">
        <v>12052</v>
      </c>
      <c r="AP887" t="s">
        <v>7024</v>
      </c>
      <c r="AQ887" t="s">
        <v>12053</v>
      </c>
      <c r="AT887" s="184">
        <v>33347</v>
      </c>
      <c r="AU887" t="s">
        <v>12054</v>
      </c>
      <c r="AV887">
        <v>15</v>
      </c>
      <c r="AW887" s="184">
        <v>45073</v>
      </c>
      <c r="AX887" t="s">
        <v>12055</v>
      </c>
      <c r="AY887">
        <v>15</v>
      </c>
      <c r="AZ887" s="184">
        <v>41264</v>
      </c>
      <c r="BA887" t="s">
        <v>9359</v>
      </c>
      <c r="BB887">
        <v>50</v>
      </c>
      <c r="BC887">
        <v>92</v>
      </c>
      <c r="BD887">
        <v>1503</v>
      </c>
      <c r="BE887">
        <v>1991</v>
      </c>
      <c r="BF887">
        <v>64</v>
      </c>
      <c r="BG887">
        <v>1</v>
      </c>
      <c r="BH887">
        <v>15</v>
      </c>
      <c r="BI887">
        <v>31</v>
      </c>
      <c r="BJ887">
        <v>34</v>
      </c>
      <c r="BK887">
        <v>30</v>
      </c>
      <c r="BP887" s="184"/>
    </row>
    <row r="888" spans="1:68">
      <c r="A888">
        <v>100024377</v>
      </c>
      <c r="B888">
        <v>5463526</v>
      </c>
      <c r="C888" t="s">
        <v>7018</v>
      </c>
      <c r="E888" s="184"/>
      <c r="G888" s="184"/>
      <c r="I888" s="184"/>
      <c r="J888" t="s">
        <v>595</v>
      </c>
      <c r="K888" s="184">
        <v>43607</v>
      </c>
      <c r="M888" s="184"/>
      <c r="P888" t="s">
        <v>7045</v>
      </c>
      <c r="Q888" t="s">
        <v>7160</v>
      </c>
      <c r="R888" s="184">
        <v>21367</v>
      </c>
      <c r="S888">
        <v>65</v>
      </c>
      <c r="V888" t="s">
        <v>4840</v>
      </c>
      <c r="X888" t="s">
        <v>2842</v>
      </c>
      <c r="Z888">
        <v>5463526</v>
      </c>
      <c r="AB888" t="s">
        <v>2841</v>
      </c>
      <c r="AD888" t="s">
        <v>2842</v>
      </c>
      <c r="AF888" t="s">
        <v>6338</v>
      </c>
      <c r="AG888" t="s">
        <v>12050</v>
      </c>
      <c r="AI888" t="s">
        <v>12051</v>
      </c>
      <c r="AM888" t="s">
        <v>2766</v>
      </c>
      <c r="AN888" t="s">
        <v>2176</v>
      </c>
      <c r="AO888" t="s">
        <v>12052</v>
      </c>
      <c r="AP888" t="s">
        <v>7024</v>
      </c>
      <c r="AT888" s="184"/>
      <c r="AW888" s="184"/>
      <c r="AZ888" s="184"/>
      <c r="BN888" t="s">
        <v>595</v>
      </c>
      <c r="BP888" s="184"/>
    </row>
    <row r="889" spans="1:68">
      <c r="A889">
        <v>5472402</v>
      </c>
      <c r="B889">
        <v>5472402</v>
      </c>
      <c r="C889" t="s">
        <v>7018</v>
      </c>
      <c r="E889" s="184"/>
      <c r="G889" s="184"/>
      <c r="J889" t="s">
        <v>595</v>
      </c>
      <c r="K889" s="184">
        <v>43892</v>
      </c>
      <c r="M889" s="184"/>
      <c r="O889" s="184"/>
      <c r="P889" t="s">
        <v>7045</v>
      </c>
      <c r="Q889" t="s">
        <v>7262</v>
      </c>
      <c r="R889" s="184">
        <v>14411</v>
      </c>
      <c r="S889">
        <v>84</v>
      </c>
      <c r="U889" t="s">
        <v>7031</v>
      </c>
      <c r="V889" t="s">
        <v>2551</v>
      </c>
      <c r="W889" t="s">
        <v>2058</v>
      </c>
      <c r="X889" t="s">
        <v>12056</v>
      </c>
      <c r="Y889" t="s">
        <v>7431</v>
      </c>
      <c r="AF889" t="s">
        <v>6359</v>
      </c>
      <c r="AG889" t="s">
        <v>2551</v>
      </c>
      <c r="AI889" t="s">
        <v>12057</v>
      </c>
      <c r="AM889" t="s">
        <v>12058</v>
      </c>
      <c r="AN889" t="s">
        <v>65</v>
      </c>
      <c r="AO889" t="s">
        <v>12059</v>
      </c>
      <c r="AP889" t="s">
        <v>7024</v>
      </c>
      <c r="AQ889" t="s">
        <v>12060</v>
      </c>
      <c r="AR889" t="s">
        <v>12061</v>
      </c>
      <c r="AT889" s="184">
        <v>33347</v>
      </c>
      <c r="AU889" t="s">
        <v>12062</v>
      </c>
      <c r="AV889">
        <v>30</v>
      </c>
      <c r="AW889" s="184">
        <v>42738</v>
      </c>
      <c r="AX889" t="s">
        <v>12063</v>
      </c>
      <c r="AY889">
        <v>25</v>
      </c>
      <c r="AZ889" s="184">
        <v>33557</v>
      </c>
      <c r="BA889" t="s">
        <v>12064</v>
      </c>
      <c r="BB889">
        <v>100</v>
      </c>
      <c r="BC889">
        <v>68</v>
      </c>
      <c r="BD889">
        <v>1372</v>
      </c>
      <c r="BE889">
        <v>1991</v>
      </c>
      <c r="BF889">
        <v>47</v>
      </c>
      <c r="BI889">
        <v>23</v>
      </c>
      <c r="BJ889">
        <v>34</v>
      </c>
      <c r="BK889">
        <v>8</v>
      </c>
      <c r="BN889" t="s">
        <v>595</v>
      </c>
      <c r="BP889" s="184"/>
    </row>
    <row r="890" spans="1:68">
      <c r="A890">
        <v>5479027</v>
      </c>
      <c r="B890">
        <v>5479027</v>
      </c>
      <c r="C890" t="s">
        <v>7018</v>
      </c>
      <c r="E890" s="184"/>
      <c r="G890" s="184"/>
      <c r="J890" t="s">
        <v>595</v>
      </c>
      <c r="K890" s="184">
        <v>40813</v>
      </c>
      <c r="O890" s="184"/>
      <c r="P890" t="s">
        <v>7045</v>
      </c>
      <c r="Q890" t="s">
        <v>7020</v>
      </c>
      <c r="R890" s="184">
        <v>14279</v>
      </c>
      <c r="S890">
        <v>85</v>
      </c>
      <c r="V890" t="s">
        <v>3304</v>
      </c>
      <c r="X890" t="s">
        <v>12065</v>
      </c>
      <c r="Z890">
        <v>100789383</v>
      </c>
      <c r="AB890" t="s">
        <v>2995</v>
      </c>
      <c r="AD890" t="s">
        <v>12066</v>
      </c>
      <c r="AF890" t="s">
        <v>12067</v>
      </c>
      <c r="AG890" t="s">
        <v>12068</v>
      </c>
      <c r="AI890" t="s">
        <v>12069</v>
      </c>
      <c r="AM890" t="s">
        <v>4589</v>
      </c>
      <c r="AN890" t="s">
        <v>2112</v>
      </c>
      <c r="AO890" t="s">
        <v>12070</v>
      </c>
      <c r="AP890" t="s">
        <v>7024</v>
      </c>
      <c r="AQ890" t="s">
        <v>12071</v>
      </c>
      <c r="AT890" s="184">
        <v>33350</v>
      </c>
      <c r="AU890" t="s">
        <v>12048</v>
      </c>
      <c r="AV890">
        <v>15</v>
      </c>
      <c r="AW890" s="184">
        <v>45278</v>
      </c>
      <c r="AX890" t="s">
        <v>7405</v>
      </c>
      <c r="AY890">
        <v>50</v>
      </c>
      <c r="AZ890" s="184">
        <v>45278</v>
      </c>
      <c r="BA890" t="s">
        <v>7405</v>
      </c>
      <c r="BB890">
        <v>50</v>
      </c>
      <c r="BC890">
        <v>68</v>
      </c>
      <c r="BD890">
        <v>795</v>
      </c>
      <c r="BE890">
        <v>1991</v>
      </c>
      <c r="BF890">
        <v>29</v>
      </c>
      <c r="BG890">
        <v>2</v>
      </c>
      <c r="BH890">
        <v>100</v>
      </c>
      <c r="BI890">
        <v>23</v>
      </c>
      <c r="BJ890">
        <v>34</v>
      </c>
      <c r="BK890">
        <v>8</v>
      </c>
      <c r="BP890" s="184"/>
    </row>
    <row r="891" spans="1:68">
      <c r="A891">
        <v>5508742</v>
      </c>
      <c r="B891">
        <v>5508742</v>
      </c>
      <c r="C891" t="s">
        <v>7018</v>
      </c>
      <c r="D891" t="s">
        <v>595</v>
      </c>
      <c r="E891" s="184">
        <v>44104</v>
      </c>
      <c r="G891" s="184"/>
      <c r="K891" s="184"/>
      <c r="M891" s="184"/>
      <c r="P891" t="s">
        <v>7045</v>
      </c>
      <c r="Q891" t="s">
        <v>7454</v>
      </c>
      <c r="R891" s="184">
        <v>17097</v>
      </c>
      <c r="S891">
        <v>77</v>
      </c>
      <c r="V891" t="s">
        <v>4357</v>
      </c>
      <c r="X891" t="s">
        <v>3318</v>
      </c>
      <c r="AF891" t="s">
        <v>12072</v>
      </c>
      <c r="AG891" t="s">
        <v>4357</v>
      </c>
      <c r="AI891" t="s">
        <v>12073</v>
      </c>
      <c r="AM891" t="s">
        <v>3905</v>
      </c>
      <c r="AN891" t="s">
        <v>2055</v>
      </c>
      <c r="AO891" t="s">
        <v>12074</v>
      </c>
      <c r="AP891" t="s">
        <v>7024</v>
      </c>
      <c r="AQ891" t="s">
        <v>12075</v>
      </c>
      <c r="AT891" s="184">
        <v>33351</v>
      </c>
      <c r="AU891" t="s">
        <v>11987</v>
      </c>
      <c r="AV891">
        <v>25</v>
      </c>
      <c r="AW891" s="184">
        <v>45286</v>
      </c>
      <c r="AX891" t="s">
        <v>8133</v>
      </c>
      <c r="AY891">
        <v>25</v>
      </c>
      <c r="AZ891" s="184">
        <v>45019</v>
      </c>
      <c r="BA891" t="s">
        <v>12076</v>
      </c>
      <c r="BB891">
        <v>30</v>
      </c>
      <c r="BC891">
        <v>92</v>
      </c>
      <c r="BD891">
        <v>1340</v>
      </c>
      <c r="BE891">
        <v>1991</v>
      </c>
      <c r="BF891">
        <v>59</v>
      </c>
      <c r="BG891">
        <v>4</v>
      </c>
      <c r="BH891">
        <v>110</v>
      </c>
      <c r="BI891">
        <v>31</v>
      </c>
      <c r="BJ891">
        <v>34</v>
      </c>
      <c r="BK891">
        <v>16</v>
      </c>
      <c r="BP891" s="184"/>
    </row>
    <row r="892" spans="1:68">
      <c r="A892">
        <v>5524830</v>
      </c>
      <c r="B892">
        <v>5524830</v>
      </c>
      <c r="C892" t="s">
        <v>7018</v>
      </c>
      <c r="E892" s="184"/>
      <c r="F892" t="s">
        <v>595</v>
      </c>
      <c r="G892" s="184">
        <v>43745</v>
      </c>
      <c r="K892" s="184"/>
      <c r="L892" t="s">
        <v>595</v>
      </c>
      <c r="M892" s="184">
        <v>45372</v>
      </c>
      <c r="P892" t="s">
        <v>7045</v>
      </c>
      <c r="Q892" t="s">
        <v>7454</v>
      </c>
      <c r="R892" s="184">
        <v>21155</v>
      </c>
      <c r="S892">
        <v>66</v>
      </c>
      <c r="V892" t="s">
        <v>2669</v>
      </c>
      <c r="X892" t="s">
        <v>4073</v>
      </c>
      <c r="Z892">
        <v>100024597</v>
      </c>
      <c r="AB892" t="s">
        <v>2665</v>
      </c>
      <c r="AD892" t="s">
        <v>4073</v>
      </c>
      <c r="AF892" t="s">
        <v>12077</v>
      </c>
      <c r="AG892" t="s">
        <v>12078</v>
      </c>
      <c r="AI892" t="s">
        <v>12079</v>
      </c>
      <c r="AM892" t="s">
        <v>4074</v>
      </c>
      <c r="AN892" t="s">
        <v>2055</v>
      </c>
      <c r="AO892" t="s">
        <v>12080</v>
      </c>
      <c r="AP892" t="s">
        <v>7024</v>
      </c>
      <c r="AQ892" t="s">
        <v>12081</v>
      </c>
      <c r="AR892" t="s">
        <v>12082</v>
      </c>
      <c r="AT892" s="184">
        <v>33353</v>
      </c>
      <c r="AU892" t="s">
        <v>12013</v>
      </c>
      <c r="AV892">
        <v>15</v>
      </c>
      <c r="AW892" s="184">
        <v>43566</v>
      </c>
      <c r="AX892" t="s">
        <v>11863</v>
      </c>
      <c r="AY892">
        <v>10</v>
      </c>
      <c r="AZ892" s="184">
        <v>39454</v>
      </c>
      <c r="BA892" t="s">
        <v>12083</v>
      </c>
      <c r="BB892">
        <v>25000</v>
      </c>
      <c r="BC892">
        <v>86</v>
      </c>
      <c r="BD892">
        <v>71787</v>
      </c>
      <c r="BE892">
        <v>1991</v>
      </c>
      <c r="BF892">
        <v>111</v>
      </c>
      <c r="BI892">
        <v>29</v>
      </c>
      <c r="BJ892">
        <v>34</v>
      </c>
      <c r="BK892">
        <v>29</v>
      </c>
      <c r="BN892" t="s">
        <v>595</v>
      </c>
      <c r="BP892" s="184"/>
    </row>
    <row r="893" spans="1:68">
      <c r="A893">
        <v>100024597</v>
      </c>
      <c r="B893">
        <v>5524830</v>
      </c>
      <c r="C893" t="s">
        <v>7018</v>
      </c>
      <c r="E893" s="184"/>
      <c r="F893" t="s">
        <v>595</v>
      </c>
      <c r="G893" s="184">
        <v>43745</v>
      </c>
      <c r="K893" s="184"/>
      <c r="L893" t="s">
        <v>595</v>
      </c>
      <c r="M893" s="184">
        <v>45372</v>
      </c>
      <c r="P893" t="s">
        <v>7045</v>
      </c>
      <c r="Q893" t="s">
        <v>7454</v>
      </c>
      <c r="R893" s="184">
        <v>19268</v>
      </c>
      <c r="S893">
        <v>71</v>
      </c>
      <c r="V893" t="s">
        <v>2665</v>
      </c>
      <c r="X893" t="s">
        <v>4073</v>
      </c>
      <c r="Z893">
        <v>5524830</v>
      </c>
      <c r="AB893" t="s">
        <v>2669</v>
      </c>
      <c r="AD893" t="s">
        <v>4073</v>
      </c>
      <c r="AF893" t="s">
        <v>12077</v>
      </c>
      <c r="AG893" t="s">
        <v>12078</v>
      </c>
      <c r="AI893" t="s">
        <v>12079</v>
      </c>
      <c r="AM893" t="s">
        <v>4074</v>
      </c>
      <c r="AN893" t="s">
        <v>2055</v>
      </c>
      <c r="AO893" t="s">
        <v>12080</v>
      </c>
      <c r="AP893" t="s">
        <v>7024</v>
      </c>
      <c r="AQ893" t="s">
        <v>12084</v>
      </c>
      <c r="AT893" s="184">
        <v>43596</v>
      </c>
      <c r="AU893" t="s">
        <v>11866</v>
      </c>
      <c r="AV893">
        <v>10</v>
      </c>
      <c r="AW893" s="184">
        <v>45426</v>
      </c>
      <c r="AX893" t="s">
        <v>7422</v>
      </c>
      <c r="AY893">
        <v>10</v>
      </c>
      <c r="AZ893" s="184">
        <v>45426</v>
      </c>
      <c r="BA893" t="s">
        <v>7422</v>
      </c>
      <c r="BB893">
        <v>10</v>
      </c>
      <c r="BC893">
        <v>100</v>
      </c>
      <c r="BD893">
        <v>610</v>
      </c>
      <c r="BE893">
        <v>2019</v>
      </c>
      <c r="BF893">
        <v>61</v>
      </c>
      <c r="BG893">
        <v>24</v>
      </c>
      <c r="BH893">
        <v>240</v>
      </c>
      <c r="BI893">
        <v>6</v>
      </c>
      <c r="BJ893">
        <v>6</v>
      </c>
      <c r="BK893">
        <v>6</v>
      </c>
      <c r="BP893" s="184"/>
    </row>
    <row r="894" spans="1:68">
      <c r="A894">
        <v>5528021</v>
      </c>
      <c r="B894">
        <v>5528021</v>
      </c>
      <c r="C894" t="s">
        <v>7018</v>
      </c>
      <c r="E894" s="184"/>
      <c r="G894" s="184"/>
      <c r="J894" t="s">
        <v>595</v>
      </c>
      <c r="K894" s="184">
        <v>39631</v>
      </c>
      <c r="M894" s="184"/>
      <c r="P894" t="s">
        <v>7045</v>
      </c>
      <c r="Q894" t="s">
        <v>7262</v>
      </c>
      <c r="R894" s="184"/>
      <c r="U894" t="s">
        <v>7031</v>
      </c>
      <c r="V894" t="s">
        <v>4093</v>
      </c>
      <c r="W894" t="s">
        <v>2316</v>
      </c>
      <c r="X894" t="s">
        <v>12085</v>
      </c>
      <c r="AF894" t="s">
        <v>6468</v>
      </c>
      <c r="AG894" t="s">
        <v>4093</v>
      </c>
      <c r="AI894" t="s">
        <v>12086</v>
      </c>
      <c r="AM894" t="s">
        <v>4657</v>
      </c>
      <c r="AN894" t="s">
        <v>2069</v>
      </c>
      <c r="AO894" t="s">
        <v>12087</v>
      </c>
      <c r="AP894" t="s">
        <v>7024</v>
      </c>
      <c r="AQ894" t="s">
        <v>12088</v>
      </c>
      <c r="AR894" t="s">
        <v>12089</v>
      </c>
      <c r="AT894" s="184">
        <v>33353</v>
      </c>
      <c r="AU894" t="s">
        <v>12090</v>
      </c>
      <c r="AV894">
        <v>15</v>
      </c>
      <c r="AW894" s="184">
        <v>44816</v>
      </c>
      <c r="AX894" t="s">
        <v>10193</v>
      </c>
      <c r="AY894">
        <v>35</v>
      </c>
      <c r="AZ894" s="184">
        <v>42450</v>
      </c>
      <c r="BA894" t="s">
        <v>12091</v>
      </c>
      <c r="BB894">
        <v>50</v>
      </c>
      <c r="BC894">
        <v>89</v>
      </c>
      <c r="BD894">
        <v>920</v>
      </c>
      <c r="BE894">
        <v>1991</v>
      </c>
      <c r="BF894">
        <v>36</v>
      </c>
      <c r="BG894">
        <v>1</v>
      </c>
      <c r="BH894">
        <v>35</v>
      </c>
      <c r="BI894">
        <v>30</v>
      </c>
      <c r="BJ894">
        <v>34</v>
      </c>
      <c r="BK894">
        <v>28</v>
      </c>
      <c r="BP894" s="184"/>
    </row>
    <row r="895" spans="1:68">
      <c r="A895">
        <v>5528849</v>
      </c>
      <c r="B895">
        <v>5528849</v>
      </c>
      <c r="C895" t="s">
        <v>7018</v>
      </c>
      <c r="E895" s="184"/>
      <c r="G895" s="184"/>
      <c r="I895" s="184"/>
      <c r="J895" t="s">
        <v>595</v>
      </c>
      <c r="K895" s="184">
        <v>44167</v>
      </c>
      <c r="M895" s="184"/>
      <c r="O895" s="184"/>
      <c r="P895" t="s">
        <v>7045</v>
      </c>
      <c r="Q895" t="s">
        <v>7194</v>
      </c>
      <c r="R895" s="184">
        <v>17652</v>
      </c>
      <c r="S895">
        <v>76</v>
      </c>
      <c r="U895" t="s">
        <v>7076</v>
      </c>
      <c r="V895" t="s">
        <v>3400</v>
      </c>
      <c r="X895" t="s">
        <v>3250</v>
      </c>
      <c r="AF895" t="s">
        <v>12092</v>
      </c>
      <c r="AG895" t="s">
        <v>3400</v>
      </c>
      <c r="AI895" t="s">
        <v>12093</v>
      </c>
      <c r="AM895" t="s">
        <v>2513</v>
      </c>
      <c r="AN895" t="s">
        <v>2046</v>
      </c>
      <c r="AO895" t="s">
        <v>12094</v>
      </c>
      <c r="AP895" t="s">
        <v>7024</v>
      </c>
      <c r="AQ895" t="s">
        <v>12095</v>
      </c>
      <c r="AR895" t="s">
        <v>12096</v>
      </c>
      <c r="AT895" s="184">
        <v>33353</v>
      </c>
      <c r="AU895" t="s">
        <v>12097</v>
      </c>
      <c r="AV895">
        <v>15</v>
      </c>
      <c r="AW895" s="184">
        <v>45313</v>
      </c>
      <c r="AX895" t="s">
        <v>7092</v>
      </c>
      <c r="AY895">
        <v>100</v>
      </c>
      <c r="AZ895" s="184">
        <v>44323</v>
      </c>
      <c r="BA895" t="s">
        <v>12098</v>
      </c>
      <c r="BB895">
        <v>200</v>
      </c>
      <c r="BC895">
        <v>92</v>
      </c>
      <c r="BD895">
        <v>3243</v>
      </c>
      <c r="BE895">
        <v>1991</v>
      </c>
      <c r="BF895">
        <v>40</v>
      </c>
      <c r="BG895">
        <v>4</v>
      </c>
      <c r="BH895">
        <v>400</v>
      </c>
      <c r="BI895">
        <v>31</v>
      </c>
      <c r="BJ895">
        <v>34</v>
      </c>
      <c r="BK895">
        <v>14</v>
      </c>
      <c r="BP895" s="184"/>
    </row>
    <row r="896" spans="1:68">
      <c r="A896">
        <v>5537337</v>
      </c>
      <c r="B896">
        <v>5537337</v>
      </c>
      <c r="C896" t="s">
        <v>7018</v>
      </c>
      <c r="D896" t="s">
        <v>595</v>
      </c>
      <c r="E896" s="184">
        <v>44143</v>
      </c>
      <c r="I896" s="184"/>
      <c r="K896" s="184"/>
      <c r="O896" s="184"/>
      <c r="P896" t="s">
        <v>7045</v>
      </c>
      <c r="Q896" t="s">
        <v>7262</v>
      </c>
      <c r="R896" s="184">
        <v>11597</v>
      </c>
      <c r="S896">
        <v>92</v>
      </c>
      <c r="U896" t="s">
        <v>7130</v>
      </c>
      <c r="V896" t="s">
        <v>12099</v>
      </c>
      <c r="X896" t="s">
        <v>12100</v>
      </c>
      <c r="Z896">
        <v>100560625</v>
      </c>
      <c r="AA896" t="s">
        <v>7031</v>
      </c>
      <c r="AB896" t="s">
        <v>2992</v>
      </c>
      <c r="AC896" t="s">
        <v>12101</v>
      </c>
      <c r="AD896" t="s">
        <v>12100</v>
      </c>
      <c r="AF896" t="s">
        <v>12102</v>
      </c>
      <c r="AG896" t="s">
        <v>12103</v>
      </c>
      <c r="AI896" t="s">
        <v>12104</v>
      </c>
      <c r="AM896" t="s">
        <v>12105</v>
      </c>
      <c r="AN896" t="s">
        <v>2069</v>
      </c>
      <c r="AO896" t="s">
        <v>12106</v>
      </c>
      <c r="AP896" t="s">
        <v>7024</v>
      </c>
      <c r="AQ896" t="s">
        <v>12107</v>
      </c>
      <c r="AT896" s="184">
        <v>33357</v>
      </c>
      <c r="AU896" t="s">
        <v>11994</v>
      </c>
      <c r="AV896">
        <v>15</v>
      </c>
      <c r="AW896" s="184">
        <v>37109</v>
      </c>
      <c r="AX896" t="s">
        <v>12108</v>
      </c>
      <c r="AY896">
        <v>10</v>
      </c>
      <c r="AZ896" s="184">
        <v>35324</v>
      </c>
      <c r="BA896" t="s">
        <v>12109</v>
      </c>
      <c r="BB896">
        <v>20</v>
      </c>
      <c r="BC896">
        <v>27</v>
      </c>
      <c r="BD896">
        <v>166</v>
      </c>
      <c r="BE896">
        <v>1991</v>
      </c>
      <c r="BF896">
        <v>18</v>
      </c>
      <c r="BI896">
        <v>9</v>
      </c>
      <c r="BJ896">
        <v>34</v>
      </c>
      <c r="BK896">
        <v>8</v>
      </c>
      <c r="BP896" s="184"/>
    </row>
    <row r="897" spans="1:68">
      <c r="A897">
        <v>100560625</v>
      </c>
      <c r="B897">
        <v>5537337</v>
      </c>
      <c r="C897" t="s">
        <v>7018</v>
      </c>
      <c r="D897" t="s">
        <v>595</v>
      </c>
      <c r="E897" s="184">
        <v>44143</v>
      </c>
      <c r="G897" s="184"/>
      <c r="I897" s="184"/>
      <c r="K897" s="184"/>
      <c r="P897" t="s">
        <v>7045</v>
      </c>
      <c r="Q897" t="s">
        <v>7262</v>
      </c>
      <c r="R897" s="184"/>
      <c r="U897" t="s">
        <v>7031</v>
      </c>
      <c r="V897" t="s">
        <v>2992</v>
      </c>
      <c r="W897" t="s">
        <v>12101</v>
      </c>
      <c r="X897" t="s">
        <v>12100</v>
      </c>
      <c r="Z897">
        <v>5537337</v>
      </c>
      <c r="AA897" t="s">
        <v>7130</v>
      </c>
      <c r="AB897" t="s">
        <v>12099</v>
      </c>
      <c r="AD897" t="s">
        <v>12100</v>
      </c>
      <c r="AF897" t="s">
        <v>12102</v>
      </c>
      <c r="AG897" t="s">
        <v>12103</v>
      </c>
      <c r="AI897" t="s">
        <v>12104</v>
      </c>
      <c r="AM897" t="s">
        <v>12105</v>
      </c>
      <c r="AN897" t="s">
        <v>2069</v>
      </c>
      <c r="AO897" t="s">
        <v>12106</v>
      </c>
      <c r="AP897" t="s">
        <v>7024</v>
      </c>
      <c r="AT897" s="184"/>
      <c r="AW897" s="184"/>
      <c r="AZ897" s="184"/>
      <c r="BP897" s="184"/>
    </row>
    <row r="898" spans="1:68">
      <c r="A898">
        <v>5569405</v>
      </c>
      <c r="B898">
        <v>5569405</v>
      </c>
      <c r="C898" t="s">
        <v>7018</v>
      </c>
      <c r="E898" s="184"/>
      <c r="F898" t="s">
        <v>595</v>
      </c>
      <c r="G898" s="184">
        <v>44106</v>
      </c>
      <c r="I898" s="184"/>
      <c r="K898" s="184"/>
      <c r="O898" s="184"/>
      <c r="P898" t="s">
        <v>7045</v>
      </c>
      <c r="Q898" t="s">
        <v>7383</v>
      </c>
      <c r="R898" s="184">
        <v>15727</v>
      </c>
      <c r="S898">
        <v>81</v>
      </c>
      <c r="U898" t="s">
        <v>7130</v>
      </c>
      <c r="V898" t="s">
        <v>2580</v>
      </c>
      <c r="W898" t="s">
        <v>8140</v>
      </c>
      <c r="X898" t="s">
        <v>11394</v>
      </c>
      <c r="AF898" t="s">
        <v>12110</v>
      </c>
      <c r="AG898" t="s">
        <v>2580</v>
      </c>
      <c r="AI898" t="s">
        <v>12111</v>
      </c>
      <c r="AM898" t="s">
        <v>12112</v>
      </c>
      <c r="AN898" t="s">
        <v>2059</v>
      </c>
      <c r="AO898" t="s">
        <v>12113</v>
      </c>
      <c r="AP898" t="s">
        <v>7024</v>
      </c>
      <c r="AT898" s="184">
        <v>33361</v>
      </c>
      <c r="AU898" t="s">
        <v>12054</v>
      </c>
      <c r="AV898">
        <v>15</v>
      </c>
      <c r="AW898" s="184">
        <v>44973</v>
      </c>
      <c r="AX898" t="s">
        <v>12114</v>
      </c>
      <c r="AY898">
        <v>75</v>
      </c>
      <c r="AZ898" s="184">
        <v>44973</v>
      </c>
      <c r="BA898" t="s">
        <v>12114</v>
      </c>
      <c r="BB898">
        <v>75</v>
      </c>
      <c r="BC898">
        <v>45</v>
      </c>
      <c r="BD898">
        <v>1310</v>
      </c>
      <c r="BE898">
        <v>1991</v>
      </c>
      <c r="BF898">
        <v>24</v>
      </c>
      <c r="BG898">
        <v>4</v>
      </c>
      <c r="BH898">
        <v>275</v>
      </c>
      <c r="BI898">
        <v>15</v>
      </c>
      <c r="BJ898">
        <v>34</v>
      </c>
      <c r="BK898">
        <v>9</v>
      </c>
      <c r="BP898" s="184"/>
    </row>
    <row r="899" spans="1:68">
      <c r="A899">
        <v>5573985</v>
      </c>
      <c r="B899">
        <v>5573985</v>
      </c>
      <c r="C899" t="s">
        <v>7018</v>
      </c>
      <c r="E899" s="184"/>
      <c r="I899" s="184"/>
      <c r="J899" t="s">
        <v>595</v>
      </c>
      <c r="K899" s="184">
        <v>42502</v>
      </c>
      <c r="M899" s="184"/>
      <c r="O899" s="184"/>
      <c r="P899" t="s">
        <v>7084</v>
      </c>
      <c r="Q899" t="s">
        <v>7262</v>
      </c>
      <c r="R899" s="184">
        <v>16909</v>
      </c>
      <c r="S899">
        <v>78</v>
      </c>
      <c r="U899" t="s">
        <v>7031</v>
      </c>
      <c r="V899" t="s">
        <v>5382</v>
      </c>
      <c r="W899" t="s">
        <v>4152</v>
      </c>
      <c r="X899" t="s">
        <v>5383</v>
      </c>
      <c r="Z899">
        <v>100024767</v>
      </c>
      <c r="AA899" t="s">
        <v>7076</v>
      </c>
      <c r="AB899" t="s">
        <v>3901</v>
      </c>
      <c r="AC899" t="s">
        <v>4013</v>
      </c>
      <c r="AD899" t="s">
        <v>5380</v>
      </c>
      <c r="AF899" t="s">
        <v>12115</v>
      </c>
      <c r="AG899" t="s">
        <v>5382</v>
      </c>
      <c r="AI899" t="s">
        <v>12116</v>
      </c>
      <c r="AJ899" t="s">
        <v>12117</v>
      </c>
      <c r="AM899" t="s">
        <v>5381</v>
      </c>
      <c r="AN899" t="s">
        <v>2069</v>
      </c>
      <c r="AO899" t="s">
        <v>12118</v>
      </c>
      <c r="AP899" t="s">
        <v>7024</v>
      </c>
      <c r="AQ899" t="s">
        <v>12119</v>
      </c>
      <c r="AR899" t="s">
        <v>12120</v>
      </c>
      <c r="AT899" s="184">
        <v>33364</v>
      </c>
      <c r="AU899" t="s">
        <v>12121</v>
      </c>
      <c r="AV899">
        <v>15</v>
      </c>
      <c r="AW899" s="184">
        <v>44926</v>
      </c>
      <c r="AX899" t="s">
        <v>7721</v>
      </c>
      <c r="AY899">
        <v>19389.439999999999</v>
      </c>
      <c r="AZ899" s="184">
        <v>43826</v>
      </c>
      <c r="BA899" t="s">
        <v>8257</v>
      </c>
      <c r="BB899">
        <v>174919.06</v>
      </c>
      <c r="BC899">
        <v>86</v>
      </c>
      <c r="BD899">
        <v>195908.5</v>
      </c>
      <c r="BE899">
        <v>1991</v>
      </c>
      <c r="BF899">
        <v>48</v>
      </c>
      <c r="BG899">
        <v>1</v>
      </c>
      <c r="BH899">
        <v>19389.439999999999</v>
      </c>
      <c r="BI899">
        <v>29</v>
      </c>
      <c r="BJ899">
        <v>34</v>
      </c>
      <c r="BK899">
        <v>27</v>
      </c>
      <c r="BP899" s="184"/>
    </row>
    <row r="900" spans="1:68">
      <c r="A900">
        <v>100024767</v>
      </c>
      <c r="B900">
        <v>5573985</v>
      </c>
      <c r="C900" t="s">
        <v>7018</v>
      </c>
      <c r="E900" s="184"/>
      <c r="G900" s="184"/>
      <c r="I900" s="184"/>
      <c r="J900" t="s">
        <v>595</v>
      </c>
      <c r="K900" s="184">
        <v>42502</v>
      </c>
      <c r="O900" s="184"/>
      <c r="P900" t="s">
        <v>7084</v>
      </c>
      <c r="Q900" t="s">
        <v>7262</v>
      </c>
      <c r="R900" s="184">
        <v>17753</v>
      </c>
      <c r="S900">
        <v>75</v>
      </c>
      <c r="U900" t="s">
        <v>7076</v>
      </c>
      <c r="V900" t="s">
        <v>3901</v>
      </c>
      <c r="W900" t="s">
        <v>4013</v>
      </c>
      <c r="X900" t="s">
        <v>5380</v>
      </c>
      <c r="Z900">
        <v>5573985</v>
      </c>
      <c r="AA900" t="s">
        <v>7031</v>
      </c>
      <c r="AB900" t="s">
        <v>5382</v>
      </c>
      <c r="AC900" t="s">
        <v>4152</v>
      </c>
      <c r="AD900" t="s">
        <v>5383</v>
      </c>
      <c r="AF900" t="s">
        <v>12115</v>
      </c>
      <c r="AG900" t="s">
        <v>5382</v>
      </c>
      <c r="AI900" t="s">
        <v>12116</v>
      </c>
      <c r="AJ900" t="s">
        <v>12117</v>
      </c>
      <c r="AM900" t="s">
        <v>5381</v>
      </c>
      <c r="AN900" t="s">
        <v>2069</v>
      </c>
      <c r="AO900" t="s">
        <v>12118</v>
      </c>
      <c r="AP900" t="s">
        <v>7024</v>
      </c>
      <c r="AT900" s="184">
        <v>44926</v>
      </c>
      <c r="AU900" t="s">
        <v>7721</v>
      </c>
      <c r="AV900">
        <v>19389.439999999999</v>
      </c>
      <c r="AW900" s="184">
        <v>44926</v>
      </c>
      <c r="AX900" t="s">
        <v>7721</v>
      </c>
      <c r="AY900">
        <v>19389.439999999999</v>
      </c>
      <c r="AZ900" s="184">
        <v>44926</v>
      </c>
      <c r="BA900" t="s">
        <v>7721</v>
      </c>
      <c r="BB900">
        <v>19389.439999999999</v>
      </c>
      <c r="BC900">
        <v>34</v>
      </c>
      <c r="BD900">
        <v>19389.439999999999</v>
      </c>
      <c r="BE900">
        <v>2023</v>
      </c>
      <c r="BF900">
        <v>1</v>
      </c>
      <c r="BG900">
        <v>1</v>
      </c>
      <c r="BH900">
        <v>19389.439999999999</v>
      </c>
      <c r="BI900">
        <v>1</v>
      </c>
      <c r="BJ900">
        <v>3</v>
      </c>
      <c r="BK900">
        <v>1</v>
      </c>
      <c r="BO900" t="s">
        <v>595</v>
      </c>
      <c r="BP900" s="184">
        <v>43013</v>
      </c>
    </row>
    <row r="901" spans="1:68">
      <c r="A901">
        <v>5575709</v>
      </c>
      <c r="B901">
        <v>5575709</v>
      </c>
      <c r="C901" t="s">
        <v>7018</v>
      </c>
      <c r="D901" t="s">
        <v>595</v>
      </c>
      <c r="E901" s="184">
        <v>43864</v>
      </c>
      <c r="G901" s="184"/>
      <c r="I901" s="184"/>
      <c r="K901" s="184"/>
      <c r="O901" s="184"/>
      <c r="P901" t="s">
        <v>7045</v>
      </c>
      <c r="Q901" t="s">
        <v>7160</v>
      </c>
      <c r="R901" s="184">
        <v>11589</v>
      </c>
      <c r="S901">
        <v>92</v>
      </c>
      <c r="U901" t="s">
        <v>7076</v>
      </c>
      <c r="V901" t="s">
        <v>3400</v>
      </c>
      <c r="W901" t="s">
        <v>3332</v>
      </c>
      <c r="X901" t="s">
        <v>4669</v>
      </c>
      <c r="AF901" t="s">
        <v>12122</v>
      </c>
      <c r="AG901" t="s">
        <v>3400</v>
      </c>
      <c r="AI901" t="s">
        <v>12123</v>
      </c>
      <c r="AM901" t="s">
        <v>4670</v>
      </c>
      <c r="AN901" t="s">
        <v>2203</v>
      </c>
      <c r="AO901" t="s">
        <v>12124</v>
      </c>
      <c r="AP901" t="s">
        <v>7024</v>
      </c>
      <c r="AQ901" t="s">
        <v>12125</v>
      </c>
      <c r="AR901" t="s">
        <v>12126</v>
      </c>
      <c r="AT901" s="184">
        <v>33364</v>
      </c>
      <c r="AU901" t="s">
        <v>11987</v>
      </c>
      <c r="AV901">
        <v>15</v>
      </c>
      <c r="AW901" s="184">
        <v>44901</v>
      </c>
      <c r="AX901" t="s">
        <v>12127</v>
      </c>
      <c r="AY901">
        <v>10</v>
      </c>
      <c r="AZ901" s="184">
        <v>44524</v>
      </c>
      <c r="BA901" t="s">
        <v>12128</v>
      </c>
      <c r="BB901">
        <v>25</v>
      </c>
      <c r="BC901">
        <v>48</v>
      </c>
      <c r="BD901">
        <v>330</v>
      </c>
      <c r="BE901">
        <v>1991</v>
      </c>
      <c r="BF901">
        <v>25</v>
      </c>
      <c r="BG901">
        <v>1</v>
      </c>
      <c r="BH901">
        <v>10</v>
      </c>
      <c r="BI901">
        <v>16</v>
      </c>
      <c r="BJ901">
        <v>34</v>
      </c>
      <c r="BK901">
        <v>9</v>
      </c>
      <c r="BN901" t="s">
        <v>595</v>
      </c>
      <c r="BP901" s="184"/>
    </row>
    <row r="902" spans="1:68">
      <c r="A902">
        <v>5585237</v>
      </c>
      <c r="B902">
        <v>5585237</v>
      </c>
      <c r="C902" t="s">
        <v>7018</v>
      </c>
      <c r="D902" t="s">
        <v>595</v>
      </c>
      <c r="E902" s="184">
        <v>45175</v>
      </c>
      <c r="G902" s="184"/>
      <c r="I902" s="184"/>
      <c r="K902" s="184"/>
      <c r="M902" s="184"/>
      <c r="O902" s="184"/>
      <c r="P902" t="s">
        <v>7045</v>
      </c>
      <c r="Q902" t="s">
        <v>7383</v>
      </c>
      <c r="R902" s="184">
        <v>22282</v>
      </c>
      <c r="S902">
        <v>63</v>
      </c>
      <c r="V902" t="s">
        <v>5934</v>
      </c>
      <c r="W902" t="s">
        <v>4327</v>
      </c>
      <c r="X902" t="s">
        <v>12129</v>
      </c>
      <c r="AF902" t="s">
        <v>12130</v>
      </c>
      <c r="AG902" t="s">
        <v>5934</v>
      </c>
      <c r="AI902" t="s">
        <v>12131</v>
      </c>
      <c r="AM902" t="s">
        <v>5577</v>
      </c>
      <c r="AN902" t="s">
        <v>2072</v>
      </c>
      <c r="AO902" t="s">
        <v>12132</v>
      </c>
      <c r="AP902" t="s">
        <v>7024</v>
      </c>
      <c r="AQ902" t="s">
        <v>12133</v>
      </c>
      <c r="AT902" s="184">
        <v>33365</v>
      </c>
      <c r="AU902" t="s">
        <v>12121</v>
      </c>
      <c r="AV902">
        <v>25</v>
      </c>
      <c r="AW902" s="184">
        <v>45372</v>
      </c>
      <c r="AX902" t="s">
        <v>8477</v>
      </c>
      <c r="AY902">
        <v>100</v>
      </c>
      <c r="AZ902" s="184">
        <v>45364</v>
      </c>
      <c r="BA902" t="s">
        <v>12134</v>
      </c>
      <c r="BB902">
        <v>150</v>
      </c>
      <c r="BC902">
        <v>83</v>
      </c>
      <c r="BD902">
        <v>3510</v>
      </c>
      <c r="BE902">
        <v>1991</v>
      </c>
      <c r="BF902">
        <v>42</v>
      </c>
      <c r="BG902">
        <v>4</v>
      </c>
      <c r="BH902">
        <v>450</v>
      </c>
      <c r="BI902">
        <v>28</v>
      </c>
      <c r="BJ902">
        <v>34</v>
      </c>
      <c r="BK902">
        <v>8</v>
      </c>
      <c r="BP902" s="184"/>
    </row>
    <row r="903" spans="1:68">
      <c r="A903">
        <v>5585427</v>
      </c>
      <c r="B903">
        <v>5585427</v>
      </c>
      <c r="C903" t="s">
        <v>7018</v>
      </c>
      <c r="E903" s="184"/>
      <c r="G903" s="184"/>
      <c r="I903" s="184"/>
      <c r="J903" t="s">
        <v>595</v>
      </c>
      <c r="K903" s="184">
        <v>40227</v>
      </c>
      <c r="M903" s="184"/>
      <c r="P903" t="s">
        <v>7029</v>
      </c>
      <c r="Q903" t="s">
        <v>7374</v>
      </c>
      <c r="R903" s="184">
        <v>11610</v>
      </c>
      <c r="S903">
        <v>92</v>
      </c>
      <c r="U903" t="s">
        <v>7076</v>
      </c>
      <c r="V903" t="s">
        <v>3095</v>
      </c>
      <c r="W903" t="s">
        <v>5006</v>
      </c>
      <c r="X903" t="s">
        <v>12135</v>
      </c>
      <c r="AF903" t="s">
        <v>6169</v>
      </c>
      <c r="AG903" t="s">
        <v>3095</v>
      </c>
      <c r="AI903" t="s">
        <v>12136</v>
      </c>
      <c r="AM903" t="s">
        <v>4026</v>
      </c>
      <c r="AN903" t="s">
        <v>2081</v>
      </c>
      <c r="AO903" t="s">
        <v>12137</v>
      </c>
      <c r="AP903" t="s">
        <v>7024</v>
      </c>
      <c r="AT903" s="184">
        <v>33365</v>
      </c>
      <c r="AU903" t="s">
        <v>12121</v>
      </c>
      <c r="AV903">
        <v>15</v>
      </c>
      <c r="AW903" s="184">
        <v>45408</v>
      </c>
      <c r="AX903" t="s">
        <v>8483</v>
      </c>
      <c r="AY903">
        <v>20</v>
      </c>
      <c r="AZ903" s="184">
        <v>44573</v>
      </c>
      <c r="BA903" t="s">
        <v>12138</v>
      </c>
      <c r="BB903">
        <v>1000</v>
      </c>
      <c r="BC903">
        <v>100</v>
      </c>
      <c r="BD903">
        <v>5444</v>
      </c>
      <c r="BE903">
        <v>1991</v>
      </c>
      <c r="BF903">
        <v>202</v>
      </c>
      <c r="BG903">
        <v>24</v>
      </c>
      <c r="BH903">
        <v>480</v>
      </c>
      <c r="BI903">
        <v>34</v>
      </c>
      <c r="BJ903">
        <v>34</v>
      </c>
      <c r="BK903">
        <v>34</v>
      </c>
      <c r="BP903" s="184"/>
    </row>
    <row r="904" spans="1:68">
      <c r="A904">
        <v>5594619</v>
      </c>
      <c r="B904">
        <v>5594619</v>
      </c>
      <c r="C904" t="s">
        <v>7018</v>
      </c>
      <c r="E904" s="184"/>
      <c r="H904" t="s">
        <v>595</v>
      </c>
      <c r="I904" s="184">
        <v>44476</v>
      </c>
      <c r="K904" s="184"/>
      <c r="M904" s="184"/>
      <c r="O904" s="184"/>
      <c r="P904" t="s">
        <v>7045</v>
      </c>
      <c r="Q904" t="s">
        <v>7160</v>
      </c>
      <c r="R904" s="184">
        <v>17565</v>
      </c>
      <c r="S904">
        <v>76</v>
      </c>
      <c r="U904" t="s">
        <v>7031</v>
      </c>
      <c r="V904" t="s">
        <v>5135</v>
      </c>
      <c r="X904" t="s">
        <v>5136</v>
      </c>
      <c r="Z904">
        <v>100024850</v>
      </c>
      <c r="AA904" t="s">
        <v>7130</v>
      </c>
      <c r="AB904" t="s">
        <v>12139</v>
      </c>
      <c r="AD904" t="s">
        <v>5136</v>
      </c>
      <c r="AF904" t="s">
        <v>12140</v>
      </c>
      <c r="AG904" t="s">
        <v>12141</v>
      </c>
      <c r="AI904" t="s">
        <v>12142</v>
      </c>
      <c r="AM904" t="s">
        <v>5137</v>
      </c>
      <c r="AN904" t="s">
        <v>2395</v>
      </c>
      <c r="AO904" t="s">
        <v>12143</v>
      </c>
      <c r="AP904" t="s">
        <v>7024</v>
      </c>
      <c r="AQ904" t="s">
        <v>12144</v>
      </c>
      <c r="AR904" t="s">
        <v>12145</v>
      </c>
      <c r="AT904" s="184">
        <v>33366</v>
      </c>
      <c r="AU904" t="s">
        <v>12146</v>
      </c>
      <c r="AV904">
        <v>30</v>
      </c>
      <c r="AW904" s="184">
        <v>45410</v>
      </c>
      <c r="AX904" t="s">
        <v>12147</v>
      </c>
      <c r="AY904">
        <v>50</v>
      </c>
      <c r="AZ904" s="184">
        <v>45181</v>
      </c>
      <c r="BA904" t="s">
        <v>7168</v>
      </c>
      <c r="BB904">
        <v>100</v>
      </c>
      <c r="BC904">
        <v>83</v>
      </c>
      <c r="BD904">
        <v>2100</v>
      </c>
      <c r="BE904">
        <v>1991</v>
      </c>
      <c r="BF904">
        <v>41</v>
      </c>
      <c r="BG904">
        <v>3</v>
      </c>
      <c r="BH904">
        <v>250</v>
      </c>
      <c r="BI904">
        <v>28</v>
      </c>
      <c r="BJ904">
        <v>34</v>
      </c>
      <c r="BK904">
        <v>19</v>
      </c>
      <c r="BP904" s="184"/>
    </row>
    <row r="905" spans="1:68">
      <c r="A905">
        <v>100024850</v>
      </c>
      <c r="B905">
        <v>5594619</v>
      </c>
      <c r="C905" t="s">
        <v>7018</v>
      </c>
      <c r="E905" s="184"/>
      <c r="G905" s="184"/>
      <c r="H905" t="s">
        <v>595</v>
      </c>
      <c r="I905" s="184">
        <v>44476</v>
      </c>
      <c r="K905" s="184"/>
      <c r="M905" s="184"/>
      <c r="O905" s="184"/>
      <c r="P905" t="s">
        <v>7045</v>
      </c>
      <c r="Q905" t="s">
        <v>7160</v>
      </c>
      <c r="R905" s="184">
        <v>16803</v>
      </c>
      <c r="S905">
        <v>78</v>
      </c>
      <c r="U905" t="s">
        <v>7130</v>
      </c>
      <c r="V905" t="s">
        <v>12139</v>
      </c>
      <c r="X905" t="s">
        <v>5136</v>
      </c>
      <c r="Z905">
        <v>5594619</v>
      </c>
      <c r="AA905" t="s">
        <v>7031</v>
      </c>
      <c r="AB905" t="s">
        <v>5135</v>
      </c>
      <c r="AD905" t="s">
        <v>5136</v>
      </c>
      <c r="AF905" t="s">
        <v>12140</v>
      </c>
      <c r="AG905" t="s">
        <v>12141</v>
      </c>
      <c r="AI905" t="s">
        <v>12142</v>
      </c>
      <c r="AM905" t="s">
        <v>5137</v>
      </c>
      <c r="AN905" t="s">
        <v>2395</v>
      </c>
      <c r="AO905" t="s">
        <v>12143</v>
      </c>
      <c r="AP905" t="s">
        <v>7024</v>
      </c>
      <c r="AQ905" t="s">
        <v>12148</v>
      </c>
      <c r="AT905" s="184"/>
      <c r="AW905" s="184"/>
      <c r="AZ905" s="184"/>
      <c r="BP905" s="184"/>
    </row>
    <row r="906" spans="1:68">
      <c r="A906">
        <v>100024851</v>
      </c>
      <c r="B906">
        <v>5594619</v>
      </c>
      <c r="C906" t="s">
        <v>7018</v>
      </c>
      <c r="E906" s="184"/>
      <c r="G906" s="184"/>
      <c r="H906" t="s">
        <v>595</v>
      </c>
      <c r="I906" s="184">
        <v>44476</v>
      </c>
      <c r="K906" s="184"/>
      <c r="M906" s="184"/>
      <c r="O906" s="184"/>
      <c r="P906" t="s">
        <v>7045</v>
      </c>
      <c r="Q906" t="s">
        <v>7160</v>
      </c>
      <c r="R906" s="184">
        <v>16803</v>
      </c>
      <c r="S906">
        <v>78</v>
      </c>
      <c r="U906" t="s">
        <v>7076</v>
      </c>
      <c r="V906" t="s">
        <v>12139</v>
      </c>
      <c r="X906" t="s">
        <v>5136</v>
      </c>
      <c r="Z906">
        <v>5594619</v>
      </c>
      <c r="AA906" t="s">
        <v>7031</v>
      </c>
      <c r="AB906" t="s">
        <v>5135</v>
      </c>
      <c r="AD906" t="s">
        <v>5136</v>
      </c>
      <c r="AF906" t="s">
        <v>12140</v>
      </c>
      <c r="AG906" t="s">
        <v>12141</v>
      </c>
      <c r="AI906" t="s">
        <v>12142</v>
      </c>
      <c r="AM906" t="s">
        <v>5137</v>
      </c>
      <c r="AN906" t="s">
        <v>2395</v>
      </c>
      <c r="AO906" t="s">
        <v>12143</v>
      </c>
      <c r="AP906" t="s">
        <v>7024</v>
      </c>
      <c r="AQ906" t="s">
        <v>12148</v>
      </c>
      <c r="AT906" s="184"/>
      <c r="AW906" s="184"/>
      <c r="AZ906" s="184"/>
      <c r="BP906" s="184"/>
    </row>
    <row r="907" spans="1:68">
      <c r="A907">
        <v>5651971</v>
      </c>
      <c r="B907">
        <v>5651971</v>
      </c>
      <c r="C907" t="s">
        <v>7018</v>
      </c>
      <c r="D907" t="s">
        <v>595</v>
      </c>
      <c r="E907" s="184">
        <v>43642</v>
      </c>
      <c r="K907" s="184"/>
      <c r="M907" s="184"/>
      <c r="O907" s="184"/>
      <c r="P907" t="s">
        <v>7045</v>
      </c>
      <c r="Q907" t="s">
        <v>7383</v>
      </c>
      <c r="R907" s="184">
        <v>16490</v>
      </c>
      <c r="S907">
        <v>79</v>
      </c>
      <c r="U907" t="s">
        <v>7031</v>
      </c>
      <c r="V907" t="s">
        <v>2739</v>
      </c>
      <c r="X907" t="s">
        <v>3190</v>
      </c>
      <c r="AF907" t="s">
        <v>12149</v>
      </c>
      <c r="AG907" t="s">
        <v>2739</v>
      </c>
      <c r="AI907" t="s">
        <v>12150</v>
      </c>
      <c r="AM907" t="s">
        <v>12151</v>
      </c>
      <c r="AN907" t="s">
        <v>2064</v>
      </c>
      <c r="AO907" t="s">
        <v>12152</v>
      </c>
      <c r="AP907" t="s">
        <v>7024</v>
      </c>
      <c r="AQ907" t="s">
        <v>12153</v>
      </c>
      <c r="AR907" t="s">
        <v>12154</v>
      </c>
      <c r="AT907" s="184">
        <v>33388</v>
      </c>
      <c r="AU907" t="s">
        <v>12155</v>
      </c>
      <c r="AV907">
        <v>15</v>
      </c>
      <c r="AW907" s="184">
        <v>45310</v>
      </c>
      <c r="AX907" t="s">
        <v>12156</v>
      </c>
      <c r="AY907">
        <v>15</v>
      </c>
      <c r="AZ907" s="184">
        <v>37579</v>
      </c>
      <c r="BA907" t="s">
        <v>12157</v>
      </c>
      <c r="BB907">
        <v>75</v>
      </c>
      <c r="BC907">
        <v>95</v>
      </c>
      <c r="BD907">
        <v>1780</v>
      </c>
      <c r="BE907">
        <v>1991</v>
      </c>
      <c r="BF907">
        <v>55</v>
      </c>
      <c r="BG907">
        <v>7</v>
      </c>
      <c r="BH907">
        <v>155</v>
      </c>
      <c r="BI907">
        <v>32</v>
      </c>
      <c r="BJ907">
        <v>34</v>
      </c>
      <c r="BK907">
        <v>22</v>
      </c>
      <c r="BP907" s="184"/>
    </row>
    <row r="908" spans="1:68">
      <c r="A908">
        <v>5659511</v>
      </c>
      <c r="B908">
        <v>5659511</v>
      </c>
      <c r="C908" t="s">
        <v>7018</v>
      </c>
      <c r="D908" t="s">
        <v>595</v>
      </c>
      <c r="E908" s="184">
        <v>44167</v>
      </c>
      <c r="G908" s="184"/>
      <c r="K908" s="184"/>
      <c r="O908" s="184"/>
      <c r="P908" t="s">
        <v>7045</v>
      </c>
      <c r="Q908" t="s">
        <v>7374</v>
      </c>
      <c r="R908" s="184">
        <v>16469</v>
      </c>
      <c r="S908">
        <v>79</v>
      </c>
      <c r="U908" t="s">
        <v>7076</v>
      </c>
      <c r="V908" t="s">
        <v>4330</v>
      </c>
      <c r="X908" t="s">
        <v>12158</v>
      </c>
      <c r="AF908" t="s">
        <v>12159</v>
      </c>
      <c r="AG908" t="s">
        <v>4330</v>
      </c>
      <c r="AI908" t="s">
        <v>12160</v>
      </c>
      <c r="AM908" t="s">
        <v>12161</v>
      </c>
      <c r="AN908" t="s">
        <v>2081</v>
      </c>
      <c r="AO908" t="s">
        <v>12162</v>
      </c>
      <c r="AP908" t="s">
        <v>7024</v>
      </c>
      <c r="AT908" s="184">
        <v>33393</v>
      </c>
      <c r="AU908" t="s">
        <v>12163</v>
      </c>
      <c r="AV908">
        <v>15</v>
      </c>
      <c r="AW908" s="184">
        <v>45103</v>
      </c>
      <c r="AX908" t="s">
        <v>8299</v>
      </c>
      <c r="AY908">
        <v>15</v>
      </c>
      <c r="AZ908" s="184">
        <v>45103</v>
      </c>
      <c r="BA908" t="s">
        <v>8299</v>
      </c>
      <c r="BB908">
        <v>15</v>
      </c>
      <c r="BC908">
        <v>48</v>
      </c>
      <c r="BD908">
        <v>200</v>
      </c>
      <c r="BE908">
        <v>1991</v>
      </c>
      <c r="BF908">
        <v>17</v>
      </c>
      <c r="BG908">
        <v>1</v>
      </c>
      <c r="BH908">
        <v>15</v>
      </c>
      <c r="BI908">
        <v>16</v>
      </c>
      <c r="BJ908">
        <v>34</v>
      </c>
      <c r="BK908">
        <v>13</v>
      </c>
      <c r="BP908" s="184"/>
    </row>
    <row r="909" spans="1:68">
      <c r="A909">
        <v>5666623</v>
      </c>
      <c r="B909">
        <v>5666623</v>
      </c>
      <c r="C909" t="s">
        <v>7018</v>
      </c>
      <c r="E909" s="184"/>
      <c r="F909" t="s">
        <v>595</v>
      </c>
      <c r="G909" s="184">
        <v>43731</v>
      </c>
      <c r="K909" s="184"/>
      <c r="M909" s="184"/>
      <c r="O909" s="184"/>
      <c r="P909" t="s">
        <v>7045</v>
      </c>
      <c r="Q909" t="s">
        <v>7194</v>
      </c>
      <c r="R909" s="184">
        <v>19238</v>
      </c>
      <c r="S909">
        <v>71</v>
      </c>
      <c r="U909" t="s">
        <v>7031</v>
      </c>
      <c r="V909" t="s">
        <v>2665</v>
      </c>
      <c r="W909" t="s">
        <v>7356</v>
      </c>
      <c r="X909" t="s">
        <v>3915</v>
      </c>
      <c r="AF909" t="s">
        <v>12164</v>
      </c>
      <c r="AG909" t="s">
        <v>2665</v>
      </c>
      <c r="AI909" t="s">
        <v>12165</v>
      </c>
      <c r="AM909" t="s">
        <v>4215</v>
      </c>
      <c r="AN909" t="s">
        <v>2046</v>
      </c>
      <c r="AO909" t="s">
        <v>12166</v>
      </c>
      <c r="AP909" t="s">
        <v>7024</v>
      </c>
      <c r="AQ909" t="s">
        <v>12167</v>
      </c>
      <c r="AR909" t="s">
        <v>12168</v>
      </c>
      <c r="AT909" s="184">
        <v>33395</v>
      </c>
      <c r="AU909" t="s">
        <v>12169</v>
      </c>
      <c r="AV909">
        <v>15</v>
      </c>
      <c r="AW909" s="184">
        <v>45241</v>
      </c>
      <c r="AX909" t="s">
        <v>7832</v>
      </c>
      <c r="AY909">
        <v>35</v>
      </c>
      <c r="AZ909" s="184">
        <v>45241</v>
      </c>
      <c r="BA909" t="s">
        <v>7832</v>
      </c>
      <c r="BB909">
        <v>35</v>
      </c>
      <c r="BC909">
        <v>77</v>
      </c>
      <c r="BD909">
        <v>775</v>
      </c>
      <c r="BE909">
        <v>1991</v>
      </c>
      <c r="BF909">
        <v>28</v>
      </c>
      <c r="BG909">
        <v>2</v>
      </c>
      <c r="BH909">
        <v>70</v>
      </c>
      <c r="BI909">
        <v>26</v>
      </c>
      <c r="BJ909">
        <v>34</v>
      </c>
      <c r="BK909">
        <v>25</v>
      </c>
      <c r="BP909" s="184"/>
    </row>
    <row r="910" spans="1:68">
      <c r="A910">
        <v>5674502</v>
      </c>
      <c r="B910">
        <v>5674502</v>
      </c>
      <c r="C910" t="s">
        <v>7018</v>
      </c>
      <c r="E910" s="184"/>
      <c r="J910" t="s">
        <v>595</v>
      </c>
      <c r="K910" s="184">
        <v>38391</v>
      </c>
      <c r="M910" s="184"/>
      <c r="O910" s="184"/>
      <c r="P910" t="s">
        <v>7045</v>
      </c>
      <c r="Q910" t="s">
        <v>7030</v>
      </c>
      <c r="R910" s="184">
        <v>17082</v>
      </c>
      <c r="S910">
        <v>77</v>
      </c>
      <c r="U910" t="s">
        <v>7031</v>
      </c>
      <c r="V910" t="s">
        <v>4282</v>
      </c>
      <c r="W910" t="s">
        <v>7046</v>
      </c>
      <c r="X910" t="s">
        <v>12170</v>
      </c>
      <c r="AF910" t="s">
        <v>6312</v>
      </c>
      <c r="AG910" t="s">
        <v>4282</v>
      </c>
      <c r="AI910" t="s">
        <v>12171</v>
      </c>
      <c r="AM910" t="s">
        <v>3601</v>
      </c>
      <c r="AN910" t="s">
        <v>2201</v>
      </c>
      <c r="AO910" t="s">
        <v>12172</v>
      </c>
      <c r="AP910" t="s">
        <v>7024</v>
      </c>
      <c r="AT910" s="184">
        <v>33396</v>
      </c>
      <c r="AU910" t="s">
        <v>12173</v>
      </c>
      <c r="AV910">
        <v>15</v>
      </c>
      <c r="AW910" s="184">
        <v>45209</v>
      </c>
      <c r="AX910" t="s">
        <v>8104</v>
      </c>
      <c r="AY910">
        <v>100</v>
      </c>
      <c r="AZ910" s="184">
        <v>45209</v>
      </c>
      <c r="BA910" t="s">
        <v>8104</v>
      </c>
      <c r="BB910">
        <v>100</v>
      </c>
      <c r="BC910">
        <v>80</v>
      </c>
      <c r="BD910">
        <v>2050</v>
      </c>
      <c r="BE910">
        <v>1991</v>
      </c>
      <c r="BF910">
        <v>27</v>
      </c>
      <c r="BG910">
        <v>2</v>
      </c>
      <c r="BH910">
        <v>200</v>
      </c>
      <c r="BI910">
        <v>27</v>
      </c>
      <c r="BJ910">
        <v>34</v>
      </c>
      <c r="BK910">
        <v>11</v>
      </c>
      <c r="BP910" s="184"/>
    </row>
    <row r="911" spans="1:68">
      <c r="A911">
        <v>5676457</v>
      </c>
      <c r="B911">
        <v>5676457</v>
      </c>
      <c r="C911" t="s">
        <v>7018</v>
      </c>
      <c r="E911" s="184"/>
      <c r="J911" t="s">
        <v>595</v>
      </c>
      <c r="K911" s="184">
        <v>42960</v>
      </c>
      <c r="O911" s="184"/>
      <c r="P911" t="s">
        <v>7045</v>
      </c>
      <c r="Q911" t="s">
        <v>7262</v>
      </c>
      <c r="R911" s="184">
        <v>19268</v>
      </c>
      <c r="S911">
        <v>71</v>
      </c>
      <c r="U911" t="s">
        <v>7076</v>
      </c>
      <c r="V911" t="s">
        <v>12174</v>
      </c>
      <c r="W911" t="s">
        <v>5006</v>
      </c>
      <c r="X911" t="s">
        <v>12175</v>
      </c>
      <c r="AF911" t="s">
        <v>6365</v>
      </c>
      <c r="AG911" t="s">
        <v>12174</v>
      </c>
      <c r="AI911" t="s">
        <v>12176</v>
      </c>
      <c r="AM911" t="s">
        <v>12177</v>
      </c>
      <c r="AN911" t="s">
        <v>2106</v>
      </c>
      <c r="AO911" t="s">
        <v>12178</v>
      </c>
      <c r="AP911" t="s">
        <v>7024</v>
      </c>
      <c r="AQ911" t="s">
        <v>12179</v>
      </c>
      <c r="AT911" s="184">
        <v>33396</v>
      </c>
      <c r="AU911" t="s">
        <v>12180</v>
      </c>
      <c r="AV911">
        <v>15</v>
      </c>
      <c r="AW911" s="184">
        <v>45317</v>
      </c>
      <c r="AX911" t="s">
        <v>12181</v>
      </c>
      <c r="AY911">
        <v>25</v>
      </c>
      <c r="AZ911" s="184">
        <v>44046</v>
      </c>
      <c r="BA911" t="s">
        <v>12182</v>
      </c>
      <c r="BB911">
        <v>60</v>
      </c>
      <c r="BC911">
        <v>98</v>
      </c>
      <c r="BD911">
        <v>1568.95</v>
      </c>
      <c r="BE911">
        <v>1991</v>
      </c>
      <c r="BF911">
        <v>69</v>
      </c>
      <c r="BG911">
        <v>3</v>
      </c>
      <c r="BH911">
        <v>70</v>
      </c>
      <c r="BI911">
        <v>33</v>
      </c>
      <c r="BJ911">
        <v>34</v>
      </c>
      <c r="BK911">
        <v>29</v>
      </c>
      <c r="BP911" s="184"/>
    </row>
    <row r="912" spans="1:68">
      <c r="A912">
        <v>5680525</v>
      </c>
      <c r="B912">
        <v>5680525</v>
      </c>
      <c r="C912" t="s">
        <v>7018</v>
      </c>
      <c r="D912" t="s">
        <v>595</v>
      </c>
      <c r="E912" s="184">
        <v>43801</v>
      </c>
      <c r="G912" s="184"/>
      <c r="K912" s="184"/>
      <c r="M912" s="184"/>
      <c r="O912" s="184"/>
      <c r="P912" t="s">
        <v>7045</v>
      </c>
      <c r="Q912" t="s">
        <v>7194</v>
      </c>
      <c r="R912" s="184">
        <v>12422</v>
      </c>
      <c r="S912">
        <v>90</v>
      </c>
      <c r="U912" t="s">
        <v>7031</v>
      </c>
      <c r="V912" t="s">
        <v>2551</v>
      </c>
      <c r="X912" t="s">
        <v>4350</v>
      </c>
      <c r="AF912" t="s">
        <v>12183</v>
      </c>
      <c r="AG912" t="s">
        <v>2551</v>
      </c>
      <c r="AI912" t="s">
        <v>12184</v>
      </c>
      <c r="AM912" t="s">
        <v>4351</v>
      </c>
      <c r="AN912" t="s">
        <v>2046</v>
      </c>
      <c r="AO912" t="s">
        <v>12185</v>
      </c>
      <c r="AP912" t="s">
        <v>7024</v>
      </c>
      <c r="AT912" s="184">
        <v>33396</v>
      </c>
      <c r="AU912" t="s">
        <v>12186</v>
      </c>
      <c r="AV912">
        <v>15</v>
      </c>
      <c r="AW912" s="184">
        <v>45370</v>
      </c>
      <c r="AX912" t="s">
        <v>12187</v>
      </c>
      <c r="AY912">
        <v>10</v>
      </c>
      <c r="AZ912" s="184">
        <v>44595</v>
      </c>
      <c r="BA912" t="s">
        <v>12188</v>
      </c>
      <c r="BB912">
        <v>20</v>
      </c>
      <c r="BC912">
        <v>36</v>
      </c>
      <c r="BD912">
        <v>220</v>
      </c>
      <c r="BE912">
        <v>1991</v>
      </c>
      <c r="BF912">
        <v>13</v>
      </c>
      <c r="BG912">
        <v>1</v>
      </c>
      <c r="BH912">
        <v>10</v>
      </c>
      <c r="BI912">
        <v>12</v>
      </c>
      <c r="BJ912">
        <v>34</v>
      </c>
      <c r="BK912">
        <v>2</v>
      </c>
      <c r="BP912" s="184"/>
    </row>
    <row r="913" spans="1:68">
      <c r="A913">
        <v>5680723</v>
      </c>
      <c r="B913">
        <v>5680723</v>
      </c>
      <c r="C913" t="s">
        <v>7018</v>
      </c>
      <c r="E913" s="184"/>
      <c r="G913" s="184"/>
      <c r="K913" s="184"/>
      <c r="L913" t="s">
        <v>595</v>
      </c>
      <c r="M913" s="184">
        <v>44609</v>
      </c>
      <c r="O913" s="184"/>
      <c r="P913" t="s">
        <v>7029</v>
      </c>
      <c r="Q913" t="s">
        <v>7194</v>
      </c>
      <c r="R913" s="184">
        <v>12108</v>
      </c>
      <c r="S913">
        <v>91</v>
      </c>
      <c r="U913" t="s">
        <v>7076</v>
      </c>
      <c r="V913" t="s">
        <v>3444</v>
      </c>
      <c r="W913" t="s">
        <v>3226</v>
      </c>
      <c r="X913" t="s">
        <v>12189</v>
      </c>
      <c r="AF913" t="s">
        <v>12190</v>
      </c>
      <c r="AG913" t="s">
        <v>3444</v>
      </c>
      <c r="AI913" t="s">
        <v>12191</v>
      </c>
      <c r="AM913" t="s">
        <v>12192</v>
      </c>
      <c r="AN913" t="s">
        <v>2046</v>
      </c>
      <c r="AO913" t="s">
        <v>12193</v>
      </c>
      <c r="AP913" t="s">
        <v>7024</v>
      </c>
      <c r="AQ913" t="s">
        <v>12194</v>
      </c>
      <c r="AR913" t="s">
        <v>12195</v>
      </c>
      <c r="AT913" s="184">
        <v>33399</v>
      </c>
      <c r="AU913" t="s">
        <v>12196</v>
      </c>
      <c r="AV913">
        <v>100</v>
      </c>
      <c r="AW913" s="184">
        <v>44041</v>
      </c>
      <c r="AX913" t="s">
        <v>12197</v>
      </c>
      <c r="AY913">
        <v>1000</v>
      </c>
      <c r="AZ913" s="184">
        <v>44041</v>
      </c>
      <c r="BA913" t="s">
        <v>12197</v>
      </c>
      <c r="BB913">
        <v>1000</v>
      </c>
      <c r="BC913">
        <v>62</v>
      </c>
      <c r="BD913">
        <v>4235</v>
      </c>
      <c r="BE913">
        <v>1991</v>
      </c>
      <c r="BF913">
        <v>28</v>
      </c>
      <c r="BI913">
        <v>21</v>
      </c>
      <c r="BJ913">
        <v>34</v>
      </c>
      <c r="BK913">
        <v>13</v>
      </c>
      <c r="BO913" t="s">
        <v>595</v>
      </c>
      <c r="BP913" s="184">
        <v>44574</v>
      </c>
    </row>
    <row r="914" spans="1:68">
      <c r="A914">
        <v>5726096</v>
      </c>
      <c r="B914">
        <v>5726096</v>
      </c>
      <c r="C914" t="s">
        <v>7018</v>
      </c>
      <c r="D914" t="s">
        <v>595</v>
      </c>
      <c r="E914" s="184">
        <v>43864</v>
      </c>
      <c r="K914" s="184"/>
      <c r="M914" s="184"/>
      <c r="O914" s="184"/>
      <c r="P914" t="s">
        <v>7045</v>
      </c>
      <c r="Q914" t="s">
        <v>7160</v>
      </c>
      <c r="R914" s="184">
        <v>17899</v>
      </c>
      <c r="S914">
        <v>75</v>
      </c>
      <c r="U914" t="s">
        <v>7031</v>
      </c>
      <c r="V914" t="s">
        <v>2614</v>
      </c>
      <c r="W914" t="s">
        <v>4382</v>
      </c>
      <c r="X914" t="s">
        <v>2899</v>
      </c>
      <c r="AF914" t="s">
        <v>12198</v>
      </c>
      <c r="AG914" t="s">
        <v>2614</v>
      </c>
      <c r="AI914" t="s">
        <v>12199</v>
      </c>
      <c r="AM914" t="s">
        <v>4692</v>
      </c>
      <c r="AN914" t="s">
        <v>2176</v>
      </c>
      <c r="AO914" t="s">
        <v>12200</v>
      </c>
      <c r="AP914" t="s">
        <v>7024</v>
      </c>
      <c r="AT914" s="184">
        <v>33402</v>
      </c>
      <c r="AU914" t="s">
        <v>12201</v>
      </c>
      <c r="AV914">
        <v>15</v>
      </c>
      <c r="AW914" s="184">
        <v>45139</v>
      </c>
      <c r="AX914" t="s">
        <v>8299</v>
      </c>
      <c r="AY914">
        <v>50</v>
      </c>
      <c r="AZ914" s="184">
        <v>42318</v>
      </c>
      <c r="BA914" t="s">
        <v>12202</v>
      </c>
      <c r="BB914">
        <v>75</v>
      </c>
      <c r="BC914">
        <v>77</v>
      </c>
      <c r="BD914">
        <v>1715</v>
      </c>
      <c r="BE914">
        <v>1991</v>
      </c>
      <c r="BF914">
        <v>39</v>
      </c>
      <c r="BG914">
        <v>3</v>
      </c>
      <c r="BH914">
        <v>150</v>
      </c>
      <c r="BI914">
        <v>26</v>
      </c>
      <c r="BJ914">
        <v>34</v>
      </c>
      <c r="BK914">
        <v>6</v>
      </c>
      <c r="BP914" s="184"/>
    </row>
    <row r="915" spans="1:68">
      <c r="A915">
        <v>5735691</v>
      </c>
      <c r="B915">
        <v>5735691</v>
      </c>
      <c r="C915" t="s">
        <v>7018</v>
      </c>
      <c r="D915" t="s">
        <v>595</v>
      </c>
      <c r="E915" s="184">
        <v>45153</v>
      </c>
      <c r="I915" s="184"/>
      <c r="K915" s="184"/>
      <c r="M915" s="184"/>
      <c r="O915" s="184"/>
      <c r="P915" t="s">
        <v>7045</v>
      </c>
      <c r="Q915" t="s">
        <v>7020</v>
      </c>
      <c r="R915" s="184">
        <v>17624</v>
      </c>
      <c r="S915">
        <v>76</v>
      </c>
      <c r="V915" t="s">
        <v>2635</v>
      </c>
      <c r="X915" t="s">
        <v>12203</v>
      </c>
      <c r="Z915">
        <v>100025396</v>
      </c>
      <c r="AB915" t="s">
        <v>12204</v>
      </c>
      <c r="AD915" t="s">
        <v>12203</v>
      </c>
      <c r="AF915" t="s">
        <v>12205</v>
      </c>
      <c r="AG915" t="s">
        <v>12206</v>
      </c>
      <c r="AI915" t="s">
        <v>12207</v>
      </c>
      <c r="AM915" t="s">
        <v>12208</v>
      </c>
      <c r="AN915" t="s">
        <v>2255</v>
      </c>
      <c r="AO915" t="s">
        <v>12209</v>
      </c>
      <c r="AP915" t="s">
        <v>7024</v>
      </c>
      <c r="AT915" s="184">
        <v>33402</v>
      </c>
      <c r="AU915" t="s">
        <v>12210</v>
      </c>
      <c r="AV915">
        <v>25</v>
      </c>
      <c r="AW915" s="184">
        <v>45089</v>
      </c>
      <c r="AX915" t="s">
        <v>9008</v>
      </c>
      <c r="AY915">
        <v>25</v>
      </c>
      <c r="AZ915" s="184">
        <v>43382</v>
      </c>
      <c r="BA915" t="s">
        <v>12211</v>
      </c>
      <c r="BB915">
        <v>50</v>
      </c>
      <c r="BC915">
        <v>50</v>
      </c>
      <c r="BD915">
        <v>490</v>
      </c>
      <c r="BE915">
        <v>1991</v>
      </c>
      <c r="BF915">
        <v>18</v>
      </c>
      <c r="BG915">
        <v>2</v>
      </c>
      <c r="BH915">
        <v>50</v>
      </c>
      <c r="BI915">
        <v>17</v>
      </c>
      <c r="BJ915">
        <v>34</v>
      </c>
      <c r="BK915">
        <v>12</v>
      </c>
      <c r="BP915" s="184"/>
    </row>
    <row r="916" spans="1:68">
      <c r="A916">
        <v>100025396</v>
      </c>
      <c r="B916">
        <v>5735691</v>
      </c>
      <c r="C916" t="s">
        <v>7018</v>
      </c>
      <c r="D916" t="s">
        <v>595</v>
      </c>
      <c r="E916" s="184">
        <v>45153</v>
      </c>
      <c r="G916" s="184"/>
      <c r="K916" s="184"/>
      <c r="O916" s="184"/>
      <c r="P916" t="s">
        <v>7045</v>
      </c>
      <c r="Q916" t="s">
        <v>7020</v>
      </c>
      <c r="R916" s="184">
        <v>17624</v>
      </c>
      <c r="S916">
        <v>76</v>
      </c>
      <c r="V916" t="s">
        <v>12204</v>
      </c>
      <c r="X916" t="s">
        <v>12203</v>
      </c>
      <c r="Z916">
        <v>5735691</v>
      </c>
      <c r="AB916" t="s">
        <v>2635</v>
      </c>
      <c r="AD916" t="s">
        <v>12203</v>
      </c>
      <c r="AF916" t="s">
        <v>12205</v>
      </c>
      <c r="AG916" t="s">
        <v>12206</v>
      </c>
      <c r="AI916" t="s">
        <v>12207</v>
      </c>
      <c r="AM916" t="s">
        <v>12208</v>
      </c>
      <c r="AN916" t="s">
        <v>2255</v>
      </c>
      <c r="AO916" t="s">
        <v>12209</v>
      </c>
      <c r="AP916" t="s">
        <v>7024</v>
      </c>
      <c r="AT916" s="184"/>
      <c r="AW916" s="184"/>
      <c r="AZ916" s="184"/>
      <c r="BP916" s="184"/>
    </row>
    <row r="917" spans="1:68">
      <c r="A917">
        <v>5742861</v>
      </c>
      <c r="B917">
        <v>5742861</v>
      </c>
      <c r="C917" t="s">
        <v>7018</v>
      </c>
      <c r="E917" s="184"/>
      <c r="G917" s="184"/>
      <c r="J917" t="s">
        <v>595</v>
      </c>
      <c r="K917" s="184">
        <v>37606</v>
      </c>
      <c r="M917" s="184"/>
      <c r="N917" t="s">
        <v>595</v>
      </c>
      <c r="O917" s="184">
        <v>37606</v>
      </c>
      <c r="P917" t="s">
        <v>7045</v>
      </c>
      <c r="Q917" t="s">
        <v>7030</v>
      </c>
      <c r="R917" s="184">
        <v>18324</v>
      </c>
      <c r="S917">
        <v>74</v>
      </c>
      <c r="U917" t="s">
        <v>7031</v>
      </c>
      <c r="V917" t="s">
        <v>2569</v>
      </c>
      <c r="W917" t="s">
        <v>7046</v>
      </c>
      <c r="X917" t="s">
        <v>2570</v>
      </c>
      <c r="AF917" t="s">
        <v>12212</v>
      </c>
      <c r="AG917" t="s">
        <v>2569</v>
      </c>
      <c r="AI917" t="s">
        <v>12213</v>
      </c>
      <c r="AM917" t="s">
        <v>2571</v>
      </c>
      <c r="AN917" t="s">
        <v>2089</v>
      </c>
      <c r="AO917">
        <v>85298</v>
      </c>
      <c r="AP917" t="s">
        <v>7024</v>
      </c>
      <c r="AT917" s="184">
        <v>33403</v>
      </c>
      <c r="AU917" t="s">
        <v>12214</v>
      </c>
      <c r="AV917">
        <v>15</v>
      </c>
      <c r="AW917" s="184">
        <v>43990</v>
      </c>
      <c r="AX917" t="s">
        <v>12215</v>
      </c>
      <c r="AY917">
        <v>20</v>
      </c>
      <c r="AZ917" s="184">
        <v>42355</v>
      </c>
      <c r="BA917" t="s">
        <v>7100</v>
      </c>
      <c r="BB917">
        <v>10000</v>
      </c>
      <c r="BC917">
        <v>56</v>
      </c>
      <c r="BD917">
        <v>20290</v>
      </c>
      <c r="BE917">
        <v>1991</v>
      </c>
      <c r="BF917">
        <v>21</v>
      </c>
      <c r="BI917">
        <v>19</v>
      </c>
      <c r="BJ917">
        <v>34</v>
      </c>
      <c r="BK917">
        <v>10</v>
      </c>
      <c r="BL917" t="s">
        <v>595</v>
      </c>
      <c r="BN917" t="s">
        <v>595</v>
      </c>
      <c r="BO917" t="s">
        <v>595</v>
      </c>
      <c r="BP917" s="184">
        <v>44457</v>
      </c>
    </row>
    <row r="918" spans="1:68">
      <c r="A918">
        <v>5772074</v>
      </c>
      <c r="B918">
        <v>5772074</v>
      </c>
      <c r="C918" t="s">
        <v>7018</v>
      </c>
      <c r="E918" s="184"/>
      <c r="G918" s="184"/>
      <c r="J918" t="s">
        <v>595</v>
      </c>
      <c r="K918" s="184">
        <v>37873</v>
      </c>
      <c r="M918" s="184"/>
      <c r="O918" s="184"/>
      <c r="P918" t="s">
        <v>7045</v>
      </c>
      <c r="Q918" t="s">
        <v>7020</v>
      </c>
      <c r="R918" s="184">
        <v>11222</v>
      </c>
      <c r="S918">
        <v>93</v>
      </c>
      <c r="U918" t="s">
        <v>7094</v>
      </c>
      <c r="V918" t="s">
        <v>12216</v>
      </c>
      <c r="W918" t="s">
        <v>4382</v>
      </c>
      <c r="X918" t="s">
        <v>3006</v>
      </c>
      <c r="AF918" t="s">
        <v>6200</v>
      </c>
      <c r="AG918" t="s">
        <v>12216</v>
      </c>
      <c r="AI918" t="s">
        <v>12217</v>
      </c>
      <c r="AM918" t="s">
        <v>5381</v>
      </c>
      <c r="AN918" t="s">
        <v>2129</v>
      </c>
      <c r="AO918" t="s">
        <v>12218</v>
      </c>
      <c r="AP918" t="s">
        <v>7024</v>
      </c>
      <c r="AT918" s="184">
        <v>33409</v>
      </c>
      <c r="AU918" t="s">
        <v>12219</v>
      </c>
      <c r="AV918">
        <v>15</v>
      </c>
      <c r="AW918" s="184">
        <v>45246</v>
      </c>
      <c r="AX918" t="s">
        <v>10022</v>
      </c>
      <c r="AY918">
        <v>40</v>
      </c>
      <c r="AZ918" s="184">
        <v>39224</v>
      </c>
      <c r="BA918" t="s">
        <v>12220</v>
      </c>
      <c r="BB918">
        <v>50</v>
      </c>
      <c r="BC918">
        <v>98</v>
      </c>
      <c r="BD918">
        <v>3295</v>
      </c>
      <c r="BE918">
        <v>1991</v>
      </c>
      <c r="BF918">
        <v>148</v>
      </c>
      <c r="BG918">
        <v>2</v>
      </c>
      <c r="BH918">
        <v>65</v>
      </c>
      <c r="BI918">
        <v>33</v>
      </c>
      <c r="BJ918">
        <v>34</v>
      </c>
      <c r="BK918">
        <v>33</v>
      </c>
    </row>
    <row r="919" spans="1:68">
      <c r="A919">
        <v>5772991</v>
      </c>
      <c r="B919">
        <v>5772991</v>
      </c>
      <c r="C919" t="s">
        <v>7018</v>
      </c>
      <c r="D919" t="s">
        <v>595</v>
      </c>
      <c r="E919" s="184">
        <v>43881</v>
      </c>
      <c r="G919" s="184"/>
      <c r="I919" s="184"/>
      <c r="K919" s="184"/>
      <c r="O919" s="184"/>
      <c r="P919" t="s">
        <v>7045</v>
      </c>
      <c r="Q919" t="s">
        <v>7160</v>
      </c>
      <c r="R919" s="184">
        <v>20233</v>
      </c>
      <c r="S919">
        <v>68</v>
      </c>
      <c r="U919" t="s">
        <v>7031</v>
      </c>
      <c r="V919" t="s">
        <v>2863</v>
      </c>
      <c r="W919" t="s">
        <v>7469</v>
      </c>
      <c r="X919" t="s">
        <v>12221</v>
      </c>
      <c r="Z919">
        <v>100351950</v>
      </c>
      <c r="AA919" t="s">
        <v>7130</v>
      </c>
      <c r="AD919" t="s">
        <v>12221</v>
      </c>
      <c r="AF919" t="s">
        <v>12222</v>
      </c>
      <c r="AG919" t="s">
        <v>12222</v>
      </c>
      <c r="AI919" t="s">
        <v>12223</v>
      </c>
      <c r="AM919" t="s">
        <v>12224</v>
      </c>
      <c r="AN919" t="s">
        <v>2428</v>
      </c>
      <c r="AO919" t="s">
        <v>12225</v>
      </c>
      <c r="AP919" t="s">
        <v>7024</v>
      </c>
      <c r="AT919" s="184">
        <v>33409</v>
      </c>
      <c r="AU919" t="s">
        <v>12226</v>
      </c>
      <c r="AV919">
        <v>15</v>
      </c>
      <c r="AW919" s="184">
        <v>38744</v>
      </c>
      <c r="AX919" t="s">
        <v>12227</v>
      </c>
      <c r="AY919">
        <v>50</v>
      </c>
      <c r="AZ919" s="184">
        <v>35816</v>
      </c>
      <c r="BA919" t="s">
        <v>12228</v>
      </c>
      <c r="BB919">
        <v>100</v>
      </c>
      <c r="BC919">
        <v>21</v>
      </c>
      <c r="BD919">
        <v>725</v>
      </c>
      <c r="BE919">
        <v>1991</v>
      </c>
      <c r="BF919">
        <v>11</v>
      </c>
      <c r="BI919">
        <v>7</v>
      </c>
      <c r="BJ919">
        <v>34</v>
      </c>
      <c r="BK919">
        <v>2</v>
      </c>
      <c r="BP919" s="184"/>
    </row>
    <row r="920" spans="1:68">
      <c r="A920">
        <v>100351950</v>
      </c>
      <c r="B920">
        <v>5772991</v>
      </c>
      <c r="C920" t="s">
        <v>7018</v>
      </c>
      <c r="D920" t="s">
        <v>595</v>
      </c>
      <c r="E920" s="184">
        <v>43881</v>
      </c>
      <c r="G920" s="184"/>
      <c r="I920" s="184"/>
      <c r="K920" s="184"/>
      <c r="M920" s="184"/>
      <c r="O920" s="184"/>
      <c r="P920" t="s">
        <v>7045</v>
      </c>
      <c r="Q920" t="s">
        <v>7160</v>
      </c>
      <c r="R920" s="184"/>
      <c r="U920" t="s">
        <v>7130</v>
      </c>
      <c r="X920" t="s">
        <v>12221</v>
      </c>
      <c r="Z920">
        <v>5772991</v>
      </c>
      <c r="AA920" t="s">
        <v>7031</v>
      </c>
      <c r="AB920" t="s">
        <v>2863</v>
      </c>
      <c r="AC920" t="s">
        <v>7469</v>
      </c>
      <c r="AD920" t="s">
        <v>12221</v>
      </c>
      <c r="AF920" t="s">
        <v>12222</v>
      </c>
      <c r="AG920" t="s">
        <v>12222</v>
      </c>
      <c r="AI920" t="s">
        <v>12223</v>
      </c>
      <c r="AM920" t="s">
        <v>12224</v>
      </c>
      <c r="AN920" t="s">
        <v>2428</v>
      </c>
      <c r="AO920" t="s">
        <v>12225</v>
      </c>
      <c r="AP920" t="s">
        <v>7024</v>
      </c>
      <c r="AT920" s="184"/>
      <c r="AW920" s="184"/>
      <c r="AZ920" s="184"/>
      <c r="BP920" s="184"/>
    </row>
    <row r="921" spans="1:68">
      <c r="A921">
        <v>5788120</v>
      </c>
      <c r="B921">
        <v>5788120</v>
      </c>
      <c r="C921" t="s">
        <v>7018</v>
      </c>
      <c r="E921" s="184"/>
      <c r="G921" s="184"/>
      <c r="I921" s="184"/>
      <c r="K921" s="184"/>
      <c r="L921" t="s">
        <v>595</v>
      </c>
      <c r="M921" s="184">
        <v>44265</v>
      </c>
      <c r="O921" s="184"/>
      <c r="P921" t="s">
        <v>7045</v>
      </c>
      <c r="Q921" t="s">
        <v>7194</v>
      </c>
      <c r="R921" s="184">
        <v>17807</v>
      </c>
      <c r="S921">
        <v>75</v>
      </c>
      <c r="U921" t="s">
        <v>7667</v>
      </c>
      <c r="V921" t="s">
        <v>2687</v>
      </c>
      <c r="W921" t="s">
        <v>2049</v>
      </c>
      <c r="X921" t="s">
        <v>12229</v>
      </c>
      <c r="AF921" t="s">
        <v>12230</v>
      </c>
      <c r="AG921" t="s">
        <v>2687</v>
      </c>
      <c r="AI921" t="s">
        <v>12231</v>
      </c>
      <c r="AM921" t="s">
        <v>4213</v>
      </c>
      <c r="AN921" t="s">
        <v>2046</v>
      </c>
      <c r="AO921" t="s">
        <v>12232</v>
      </c>
      <c r="AP921" t="s">
        <v>7024</v>
      </c>
      <c r="AQ921" t="s">
        <v>12233</v>
      </c>
      <c r="AT921" s="184">
        <v>33414</v>
      </c>
      <c r="AU921" t="s">
        <v>12234</v>
      </c>
      <c r="AV921">
        <v>15</v>
      </c>
      <c r="AW921" s="184">
        <v>45405</v>
      </c>
      <c r="AX921" t="s">
        <v>7742</v>
      </c>
      <c r="AY921">
        <v>200</v>
      </c>
      <c r="AZ921" s="184">
        <v>45405</v>
      </c>
      <c r="BA921" t="s">
        <v>7742</v>
      </c>
      <c r="BB921">
        <v>200</v>
      </c>
      <c r="BC921">
        <v>77</v>
      </c>
      <c r="BD921">
        <v>1820</v>
      </c>
      <c r="BE921">
        <v>1991</v>
      </c>
      <c r="BF921">
        <v>28</v>
      </c>
      <c r="BG921">
        <v>3</v>
      </c>
      <c r="BH921">
        <v>600</v>
      </c>
      <c r="BI921">
        <v>26</v>
      </c>
      <c r="BJ921">
        <v>34</v>
      </c>
      <c r="BK921">
        <v>14</v>
      </c>
      <c r="BP921" s="184"/>
    </row>
    <row r="922" spans="1:68">
      <c r="A922">
        <v>5789839</v>
      </c>
      <c r="B922">
        <v>5789839</v>
      </c>
      <c r="C922" t="s">
        <v>7018</v>
      </c>
      <c r="D922" t="s">
        <v>595</v>
      </c>
      <c r="E922" s="184">
        <v>44167</v>
      </c>
      <c r="G922" s="184"/>
      <c r="K922" s="184"/>
      <c r="O922" s="184"/>
      <c r="P922" t="s">
        <v>7045</v>
      </c>
      <c r="Q922" t="s">
        <v>7020</v>
      </c>
      <c r="R922" s="184">
        <v>13552</v>
      </c>
      <c r="S922">
        <v>87</v>
      </c>
      <c r="U922" t="s">
        <v>7031</v>
      </c>
      <c r="V922" t="s">
        <v>5791</v>
      </c>
      <c r="W922" t="s">
        <v>4013</v>
      </c>
      <c r="X922" t="s">
        <v>4951</v>
      </c>
      <c r="AF922" t="s">
        <v>12235</v>
      </c>
      <c r="AG922" t="s">
        <v>5791</v>
      </c>
      <c r="AI922" t="s">
        <v>12236</v>
      </c>
      <c r="AM922" t="s">
        <v>12237</v>
      </c>
      <c r="AN922" t="s">
        <v>2129</v>
      </c>
      <c r="AO922" t="s">
        <v>12238</v>
      </c>
      <c r="AP922" t="s">
        <v>7024</v>
      </c>
      <c r="AQ922" t="s">
        <v>12239</v>
      </c>
      <c r="AT922" s="184">
        <v>33414</v>
      </c>
      <c r="AU922" t="s">
        <v>12240</v>
      </c>
      <c r="AV922">
        <v>15</v>
      </c>
      <c r="AW922" s="184">
        <v>41975</v>
      </c>
      <c r="AX922" t="s">
        <v>12241</v>
      </c>
      <c r="AY922">
        <v>25</v>
      </c>
      <c r="AZ922" s="184">
        <v>38429</v>
      </c>
      <c r="BA922" t="s">
        <v>12242</v>
      </c>
      <c r="BB922">
        <v>60</v>
      </c>
      <c r="BC922">
        <v>24</v>
      </c>
      <c r="BD922">
        <v>220</v>
      </c>
      <c r="BE922">
        <v>1991</v>
      </c>
      <c r="BF922">
        <v>9</v>
      </c>
      <c r="BI922">
        <v>8</v>
      </c>
      <c r="BJ922">
        <v>34</v>
      </c>
      <c r="BK922">
        <v>2</v>
      </c>
      <c r="BP922" s="184"/>
    </row>
    <row r="923" spans="1:68">
      <c r="A923">
        <v>5794334</v>
      </c>
      <c r="B923">
        <v>5794334</v>
      </c>
      <c r="C923" t="s">
        <v>7018</v>
      </c>
      <c r="E923" s="184"/>
      <c r="I923" s="184"/>
      <c r="J923" t="s">
        <v>595</v>
      </c>
      <c r="K923" s="184">
        <v>41257</v>
      </c>
      <c r="O923" s="184"/>
      <c r="P923" t="s">
        <v>7686</v>
      </c>
      <c r="Q923" t="s">
        <v>7020</v>
      </c>
      <c r="R923" s="184">
        <v>15158</v>
      </c>
      <c r="S923">
        <v>82</v>
      </c>
      <c r="U923" t="s">
        <v>7094</v>
      </c>
      <c r="V923" t="s">
        <v>3468</v>
      </c>
      <c r="X923" t="s">
        <v>5477</v>
      </c>
      <c r="AF923" t="s">
        <v>12243</v>
      </c>
      <c r="AG923" t="s">
        <v>3468</v>
      </c>
      <c r="AI923" t="s">
        <v>12244</v>
      </c>
      <c r="AM923" t="s">
        <v>5478</v>
      </c>
      <c r="AN923" t="s">
        <v>2112</v>
      </c>
      <c r="AO923" t="s">
        <v>12245</v>
      </c>
      <c r="AP923" t="s">
        <v>7024</v>
      </c>
      <c r="AQ923" t="s">
        <v>12246</v>
      </c>
      <c r="AR923" t="s">
        <v>12247</v>
      </c>
      <c r="AT923" s="184">
        <v>33416</v>
      </c>
      <c r="AU923" t="s">
        <v>12248</v>
      </c>
      <c r="AV923">
        <v>15</v>
      </c>
      <c r="AW923" s="184">
        <v>45334</v>
      </c>
      <c r="AX923" t="s">
        <v>7749</v>
      </c>
      <c r="AY923">
        <v>7000</v>
      </c>
      <c r="AZ923" s="184">
        <v>45334</v>
      </c>
      <c r="BA923" t="s">
        <v>7749</v>
      </c>
      <c r="BB923">
        <v>7000</v>
      </c>
      <c r="BC923">
        <v>95</v>
      </c>
      <c r="BD923">
        <v>88329</v>
      </c>
      <c r="BE923">
        <v>1991</v>
      </c>
      <c r="BF923">
        <v>39</v>
      </c>
      <c r="BG923">
        <v>3</v>
      </c>
      <c r="BH923">
        <v>19431</v>
      </c>
      <c r="BI923">
        <v>32</v>
      </c>
      <c r="BJ923">
        <v>34</v>
      </c>
      <c r="BK923">
        <v>19</v>
      </c>
      <c r="BP923" s="184"/>
    </row>
    <row r="924" spans="1:68">
      <c r="A924">
        <v>5797733</v>
      </c>
      <c r="B924">
        <v>5797733</v>
      </c>
      <c r="C924" t="s">
        <v>7018</v>
      </c>
      <c r="D924" t="s">
        <v>595</v>
      </c>
      <c r="E924" s="184">
        <v>43857</v>
      </c>
      <c r="I924" s="184"/>
      <c r="K924" s="184"/>
      <c r="O924" s="184"/>
      <c r="P924" t="s">
        <v>7045</v>
      </c>
      <c r="Q924" t="s">
        <v>7454</v>
      </c>
      <c r="R924" s="184">
        <v>17406</v>
      </c>
      <c r="S924">
        <v>76</v>
      </c>
      <c r="U924" t="s">
        <v>7130</v>
      </c>
      <c r="V924" t="s">
        <v>2954</v>
      </c>
      <c r="X924" t="s">
        <v>3175</v>
      </c>
      <c r="AF924" t="s">
        <v>12249</v>
      </c>
      <c r="AG924" t="s">
        <v>2954</v>
      </c>
      <c r="AI924" t="s">
        <v>12250</v>
      </c>
      <c r="AM924" t="s">
        <v>4538</v>
      </c>
      <c r="AN924" t="s">
        <v>2299</v>
      </c>
      <c r="AO924" t="s">
        <v>12251</v>
      </c>
      <c r="AP924" t="s">
        <v>7024</v>
      </c>
      <c r="AT924" s="184">
        <v>33417</v>
      </c>
      <c r="AU924" t="s">
        <v>12252</v>
      </c>
      <c r="AV924">
        <v>25</v>
      </c>
      <c r="AW924" s="184">
        <v>41570</v>
      </c>
      <c r="AX924" t="s">
        <v>12253</v>
      </c>
      <c r="AY924">
        <v>25</v>
      </c>
      <c r="AZ924" s="184">
        <v>40688</v>
      </c>
      <c r="BA924" t="s">
        <v>12254</v>
      </c>
      <c r="BB924">
        <v>87</v>
      </c>
      <c r="BC924">
        <v>36</v>
      </c>
      <c r="BD924">
        <v>502</v>
      </c>
      <c r="BE924">
        <v>1991</v>
      </c>
      <c r="BF924">
        <v>17</v>
      </c>
      <c r="BI924">
        <v>12</v>
      </c>
      <c r="BJ924">
        <v>34</v>
      </c>
      <c r="BK924">
        <v>6</v>
      </c>
      <c r="BP924" s="184"/>
    </row>
    <row r="925" spans="1:68">
      <c r="A925">
        <v>5800081</v>
      </c>
      <c r="B925">
        <v>5800081</v>
      </c>
      <c r="C925" t="s">
        <v>7018</v>
      </c>
      <c r="D925" t="s">
        <v>595</v>
      </c>
      <c r="E925" s="184">
        <v>44073</v>
      </c>
      <c r="G925" s="184"/>
      <c r="K925" s="184"/>
      <c r="O925" s="184"/>
      <c r="P925" t="s">
        <v>7045</v>
      </c>
      <c r="Q925" t="s">
        <v>7374</v>
      </c>
      <c r="R925" s="184">
        <v>16151</v>
      </c>
      <c r="S925">
        <v>80</v>
      </c>
      <c r="U925" t="s">
        <v>7076</v>
      </c>
      <c r="V925" t="s">
        <v>3095</v>
      </c>
      <c r="W925" t="s">
        <v>7356</v>
      </c>
      <c r="X925" t="s">
        <v>12255</v>
      </c>
      <c r="AF925" t="s">
        <v>12256</v>
      </c>
      <c r="AG925" t="s">
        <v>3095</v>
      </c>
      <c r="AI925" t="s">
        <v>12257</v>
      </c>
      <c r="AM925" t="s">
        <v>4567</v>
      </c>
      <c r="AN925" t="s">
        <v>2081</v>
      </c>
      <c r="AO925" t="s">
        <v>12258</v>
      </c>
      <c r="AP925" t="s">
        <v>7024</v>
      </c>
      <c r="AT925" s="184">
        <v>33417</v>
      </c>
      <c r="AU925" t="s">
        <v>12259</v>
      </c>
      <c r="AV925">
        <v>15</v>
      </c>
      <c r="AW925" s="184">
        <v>43893</v>
      </c>
      <c r="AX925" t="s">
        <v>12260</v>
      </c>
      <c r="AY925">
        <v>50</v>
      </c>
      <c r="AZ925" s="184">
        <v>39451</v>
      </c>
      <c r="BA925" t="s">
        <v>12261</v>
      </c>
      <c r="BB925">
        <v>60</v>
      </c>
      <c r="BC925">
        <v>80</v>
      </c>
      <c r="BD925">
        <v>1526</v>
      </c>
      <c r="BE925">
        <v>1991</v>
      </c>
      <c r="BF925">
        <v>47</v>
      </c>
      <c r="BI925">
        <v>27</v>
      </c>
      <c r="BJ925">
        <v>34</v>
      </c>
      <c r="BK925">
        <v>10</v>
      </c>
      <c r="BP925" s="184"/>
    </row>
    <row r="926" spans="1:68">
      <c r="A926">
        <v>5820121</v>
      </c>
      <c r="B926">
        <v>5820121</v>
      </c>
      <c r="C926" t="s">
        <v>7018</v>
      </c>
      <c r="D926" t="s">
        <v>595</v>
      </c>
      <c r="E926" s="184">
        <v>43851</v>
      </c>
      <c r="G926" s="184"/>
      <c r="K926" s="184"/>
      <c r="O926" s="184"/>
      <c r="P926" t="s">
        <v>7045</v>
      </c>
      <c r="Q926" t="s">
        <v>7160</v>
      </c>
      <c r="R926" s="184">
        <v>17868</v>
      </c>
      <c r="S926">
        <v>75</v>
      </c>
      <c r="U926" t="s">
        <v>7031</v>
      </c>
      <c r="V926" t="s">
        <v>2511</v>
      </c>
      <c r="X926" t="s">
        <v>4529</v>
      </c>
      <c r="AF926" t="s">
        <v>12262</v>
      </c>
      <c r="AG926" t="s">
        <v>2511</v>
      </c>
      <c r="AI926" t="s">
        <v>12263</v>
      </c>
      <c r="AM926" t="s">
        <v>3321</v>
      </c>
      <c r="AN926" t="s">
        <v>2203</v>
      </c>
      <c r="AO926" t="s">
        <v>12264</v>
      </c>
      <c r="AP926" t="s">
        <v>7024</v>
      </c>
      <c r="AQ926" t="s">
        <v>12265</v>
      </c>
      <c r="AT926" s="184">
        <v>33429</v>
      </c>
      <c r="AU926" t="s">
        <v>12266</v>
      </c>
      <c r="AV926">
        <v>20</v>
      </c>
      <c r="AW926" s="184">
        <v>43097</v>
      </c>
      <c r="AX926" t="s">
        <v>12267</v>
      </c>
      <c r="AY926">
        <v>25</v>
      </c>
      <c r="AZ926" s="184">
        <v>41540</v>
      </c>
      <c r="BA926" t="s">
        <v>12268</v>
      </c>
      <c r="BB926">
        <v>35</v>
      </c>
      <c r="BC926">
        <v>53</v>
      </c>
      <c r="BD926">
        <v>630</v>
      </c>
      <c r="BE926">
        <v>1992</v>
      </c>
      <c r="BF926">
        <v>31</v>
      </c>
      <c r="BI926">
        <v>18</v>
      </c>
      <c r="BJ926">
        <v>34</v>
      </c>
      <c r="BK926">
        <v>8</v>
      </c>
      <c r="BM926" t="s">
        <v>595</v>
      </c>
      <c r="BN926" t="s">
        <v>595</v>
      </c>
      <c r="BP926" s="184"/>
    </row>
    <row r="927" spans="1:68">
      <c r="A927">
        <v>5829627</v>
      </c>
      <c r="B927">
        <v>5829627</v>
      </c>
      <c r="C927" t="s">
        <v>7018</v>
      </c>
      <c r="D927" t="s">
        <v>595</v>
      </c>
      <c r="E927" s="184">
        <v>43951</v>
      </c>
      <c r="G927" s="184"/>
      <c r="K927" s="184"/>
      <c r="O927" s="184"/>
      <c r="P927" t="s">
        <v>7045</v>
      </c>
      <c r="Q927" t="s">
        <v>7383</v>
      </c>
      <c r="R927" s="184">
        <v>17899</v>
      </c>
      <c r="S927">
        <v>75</v>
      </c>
      <c r="U927" t="s">
        <v>7076</v>
      </c>
      <c r="V927" t="s">
        <v>3683</v>
      </c>
      <c r="W927" t="s">
        <v>7356</v>
      </c>
      <c r="X927" t="s">
        <v>12269</v>
      </c>
      <c r="AF927" t="s">
        <v>12270</v>
      </c>
      <c r="AG927" t="s">
        <v>3683</v>
      </c>
      <c r="AI927" t="s">
        <v>12271</v>
      </c>
      <c r="AM927" t="s">
        <v>3524</v>
      </c>
      <c r="AN927" t="s">
        <v>2162</v>
      </c>
      <c r="AO927" t="s">
        <v>12272</v>
      </c>
      <c r="AP927" t="s">
        <v>7024</v>
      </c>
      <c r="AQ927" t="s">
        <v>12273</v>
      </c>
      <c r="AT927" s="184">
        <v>33436</v>
      </c>
      <c r="AU927" t="s">
        <v>12274</v>
      </c>
      <c r="AV927">
        <v>25</v>
      </c>
      <c r="AW927" s="184">
        <v>43860</v>
      </c>
      <c r="AX927" t="s">
        <v>12275</v>
      </c>
      <c r="AY927">
        <v>25</v>
      </c>
      <c r="AZ927" s="184">
        <v>36395</v>
      </c>
      <c r="BA927" t="s">
        <v>12276</v>
      </c>
      <c r="BB927">
        <v>35</v>
      </c>
      <c r="BC927">
        <v>77</v>
      </c>
      <c r="BD927">
        <v>820</v>
      </c>
      <c r="BE927">
        <v>1992</v>
      </c>
      <c r="BF927">
        <v>30</v>
      </c>
      <c r="BI927">
        <v>26</v>
      </c>
      <c r="BJ927">
        <v>34</v>
      </c>
      <c r="BK927">
        <v>9</v>
      </c>
      <c r="BP927" s="184"/>
    </row>
    <row r="928" spans="1:68">
      <c r="A928">
        <v>5832399</v>
      </c>
      <c r="B928">
        <v>5832399</v>
      </c>
      <c r="C928" t="s">
        <v>7018</v>
      </c>
      <c r="E928" s="184"/>
      <c r="G928" s="184"/>
      <c r="I928" s="184"/>
      <c r="J928" t="s">
        <v>595</v>
      </c>
      <c r="K928" s="184">
        <v>37438</v>
      </c>
      <c r="P928" t="s">
        <v>7029</v>
      </c>
      <c r="Q928" t="s">
        <v>7030</v>
      </c>
      <c r="R928" s="184">
        <v>21551</v>
      </c>
      <c r="S928">
        <v>65</v>
      </c>
      <c r="U928" t="s">
        <v>7031</v>
      </c>
      <c r="V928" t="s">
        <v>2511</v>
      </c>
      <c r="X928" t="s">
        <v>12277</v>
      </c>
      <c r="Y928" t="s">
        <v>7047</v>
      </c>
      <c r="AF928" t="s">
        <v>6086</v>
      </c>
      <c r="AG928" t="s">
        <v>2511</v>
      </c>
      <c r="AI928" t="s">
        <v>12278</v>
      </c>
      <c r="AM928" t="s">
        <v>7840</v>
      </c>
      <c r="AN928" t="s">
        <v>2089</v>
      </c>
      <c r="AO928" t="s">
        <v>12279</v>
      </c>
      <c r="AP928" t="s">
        <v>7024</v>
      </c>
      <c r="AQ928" t="s">
        <v>12280</v>
      </c>
      <c r="AR928" t="s">
        <v>12281</v>
      </c>
      <c r="AT928" s="184">
        <v>33441</v>
      </c>
      <c r="AU928" t="s">
        <v>12274</v>
      </c>
      <c r="AV928">
        <v>25</v>
      </c>
      <c r="AW928" s="184">
        <v>45225</v>
      </c>
      <c r="AX928" t="s">
        <v>7596</v>
      </c>
      <c r="AY928">
        <v>500</v>
      </c>
      <c r="AZ928" s="184">
        <v>45225</v>
      </c>
      <c r="BA928" t="s">
        <v>7596</v>
      </c>
      <c r="BB928">
        <v>500</v>
      </c>
      <c r="BC928">
        <v>95</v>
      </c>
      <c r="BD928">
        <v>8250</v>
      </c>
      <c r="BE928">
        <v>1992</v>
      </c>
      <c r="BF928">
        <v>42</v>
      </c>
      <c r="BG928">
        <v>2</v>
      </c>
      <c r="BH928">
        <v>1000</v>
      </c>
      <c r="BI928">
        <v>32</v>
      </c>
      <c r="BJ928">
        <v>34</v>
      </c>
      <c r="BK928">
        <v>29</v>
      </c>
      <c r="BN928" t="s">
        <v>595</v>
      </c>
      <c r="BP928" s="184"/>
    </row>
    <row r="929" spans="1:68">
      <c r="A929">
        <v>5834726</v>
      </c>
      <c r="B929">
        <v>5834726</v>
      </c>
      <c r="C929" t="s">
        <v>7018</v>
      </c>
      <c r="E929" s="184"/>
      <c r="G929" s="184"/>
      <c r="J929" t="s">
        <v>595</v>
      </c>
      <c r="K929" s="184">
        <v>43607</v>
      </c>
      <c r="O929" s="184"/>
      <c r="P929" t="s">
        <v>7045</v>
      </c>
      <c r="Q929" t="s">
        <v>7454</v>
      </c>
      <c r="R929" s="184">
        <v>9939</v>
      </c>
      <c r="S929">
        <v>97</v>
      </c>
      <c r="U929" t="s">
        <v>7031</v>
      </c>
      <c r="V929" t="s">
        <v>12282</v>
      </c>
      <c r="W929" t="s">
        <v>7246</v>
      </c>
      <c r="X929" t="s">
        <v>5695</v>
      </c>
      <c r="Z929">
        <v>101113504</v>
      </c>
      <c r="AB929" t="s">
        <v>3043</v>
      </c>
      <c r="AD929" t="s">
        <v>5695</v>
      </c>
      <c r="AF929" t="s">
        <v>6265</v>
      </c>
      <c r="AG929" t="s">
        <v>12282</v>
      </c>
      <c r="AI929" t="s">
        <v>12283</v>
      </c>
      <c r="AM929" t="s">
        <v>12284</v>
      </c>
      <c r="AN929" t="s">
        <v>2055</v>
      </c>
      <c r="AO929" t="s">
        <v>12285</v>
      </c>
      <c r="AP929" t="s">
        <v>7024</v>
      </c>
      <c r="AT929" s="184">
        <v>33441</v>
      </c>
      <c r="AU929" t="s">
        <v>12274</v>
      </c>
      <c r="AV929">
        <v>25</v>
      </c>
      <c r="AW929" s="184">
        <v>43959</v>
      </c>
      <c r="AX929" t="s">
        <v>8257</v>
      </c>
      <c r="AY929">
        <v>911.85</v>
      </c>
      <c r="AZ929" s="184">
        <v>43959</v>
      </c>
      <c r="BA929" t="s">
        <v>8257</v>
      </c>
      <c r="BB929">
        <v>911.85</v>
      </c>
      <c r="BC929">
        <v>53</v>
      </c>
      <c r="BD929">
        <v>2026.85</v>
      </c>
      <c r="BE929">
        <v>1992</v>
      </c>
      <c r="BF929">
        <v>27</v>
      </c>
      <c r="BI929">
        <v>18</v>
      </c>
      <c r="BJ929">
        <v>34</v>
      </c>
      <c r="BK929">
        <v>8</v>
      </c>
      <c r="BO929" t="s">
        <v>595</v>
      </c>
      <c r="BP929" s="184">
        <v>43578</v>
      </c>
    </row>
    <row r="930" spans="1:68">
      <c r="A930">
        <v>5836705</v>
      </c>
      <c r="B930">
        <v>5836705</v>
      </c>
      <c r="C930" t="s">
        <v>7018</v>
      </c>
      <c r="E930" s="184"/>
      <c r="G930" s="184"/>
      <c r="I930" s="184"/>
      <c r="J930" t="s">
        <v>595</v>
      </c>
      <c r="K930" s="184">
        <v>44168</v>
      </c>
      <c r="O930" s="184"/>
      <c r="P930" t="s">
        <v>7029</v>
      </c>
      <c r="Q930" t="s">
        <v>7374</v>
      </c>
      <c r="R930" s="184">
        <v>14315</v>
      </c>
      <c r="S930">
        <v>85</v>
      </c>
      <c r="U930" t="s">
        <v>7076</v>
      </c>
      <c r="V930" t="s">
        <v>3131</v>
      </c>
      <c r="W930" t="s">
        <v>4139</v>
      </c>
      <c r="X930" t="s">
        <v>3603</v>
      </c>
      <c r="AF930" t="s">
        <v>12286</v>
      </c>
      <c r="AG930" t="s">
        <v>3131</v>
      </c>
      <c r="AI930" t="s">
        <v>12287</v>
      </c>
      <c r="AM930" t="s">
        <v>12288</v>
      </c>
      <c r="AN930" t="s">
        <v>2081</v>
      </c>
      <c r="AO930" t="s">
        <v>12289</v>
      </c>
      <c r="AP930" t="s">
        <v>7024</v>
      </c>
      <c r="AQ930" t="s">
        <v>12290</v>
      </c>
      <c r="AR930" t="s">
        <v>12291</v>
      </c>
      <c r="AT930" s="184">
        <v>33442</v>
      </c>
      <c r="AU930" t="s">
        <v>12292</v>
      </c>
      <c r="AV930">
        <v>15</v>
      </c>
      <c r="AW930" s="184">
        <v>44895</v>
      </c>
      <c r="AX930" t="s">
        <v>12293</v>
      </c>
      <c r="AY930">
        <v>500</v>
      </c>
      <c r="AZ930" s="184">
        <v>44767</v>
      </c>
      <c r="BA930" t="s">
        <v>12294</v>
      </c>
      <c r="BB930">
        <v>1000</v>
      </c>
      <c r="BC930">
        <v>89</v>
      </c>
      <c r="BD930">
        <v>9408</v>
      </c>
      <c r="BE930">
        <v>1992</v>
      </c>
      <c r="BF930">
        <v>48</v>
      </c>
      <c r="BG930">
        <v>2</v>
      </c>
      <c r="BH930">
        <v>1500</v>
      </c>
      <c r="BI930">
        <v>30</v>
      </c>
      <c r="BJ930">
        <v>34</v>
      </c>
      <c r="BK930">
        <v>23</v>
      </c>
      <c r="BP930" s="184"/>
    </row>
    <row r="931" spans="1:68">
      <c r="A931">
        <v>5840269</v>
      </c>
      <c r="B931">
        <v>5840269</v>
      </c>
      <c r="C931" t="s">
        <v>7018</v>
      </c>
      <c r="E931" s="184"/>
      <c r="G931" s="184"/>
      <c r="I931" s="184"/>
      <c r="J931" t="s">
        <v>595</v>
      </c>
      <c r="K931" s="184"/>
      <c r="O931" s="184"/>
      <c r="P931" t="s">
        <v>7045</v>
      </c>
      <c r="Q931" t="s">
        <v>7030</v>
      </c>
      <c r="R931" s="184"/>
      <c r="U931" t="s">
        <v>7130</v>
      </c>
      <c r="V931" t="s">
        <v>5400</v>
      </c>
      <c r="W931" t="s">
        <v>3226</v>
      </c>
      <c r="X931" t="s">
        <v>12295</v>
      </c>
      <c r="AF931" t="s">
        <v>6686</v>
      </c>
      <c r="AG931" t="s">
        <v>12296</v>
      </c>
      <c r="AI931" t="s">
        <v>12297</v>
      </c>
      <c r="AM931" t="s">
        <v>3181</v>
      </c>
      <c r="AN931" t="s">
        <v>2094</v>
      </c>
      <c r="AO931" t="s">
        <v>12298</v>
      </c>
      <c r="AP931" t="s">
        <v>7024</v>
      </c>
      <c r="AT931" s="184">
        <v>32653</v>
      </c>
      <c r="AU931" t="s">
        <v>9321</v>
      </c>
      <c r="AV931">
        <v>19.95</v>
      </c>
      <c r="AW931" s="184">
        <v>37552</v>
      </c>
      <c r="AX931" t="s">
        <v>12299</v>
      </c>
      <c r="AY931">
        <v>20</v>
      </c>
      <c r="AZ931" s="184">
        <v>33053</v>
      </c>
      <c r="BA931" t="s">
        <v>12300</v>
      </c>
      <c r="BB931">
        <v>25</v>
      </c>
      <c r="BC931">
        <v>23</v>
      </c>
      <c r="BD931">
        <v>136.94999999999999</v>
      </c>
      <c r="BE931">
        <v>1989</v>
      </c>
      <c r="BF931">
        <v>8</v>
      </c>
      <c r="BI931">
        <v>8</v>
      </c>
      <c r="BJ931">
        <v>36</v>
      </c>
      <c r="BK931">
        <v>3</v>
      </c>
      <c r="BL931" t="s">
        <v>595</v>
      </c>
      <c r="BM931" t="s">
        <v>595</v>
      </c>
      <c r="BO931" t="s">
        <v>595</v>
      </c>
      <c r="BP931" s="184">
        <v>39905</v>
      </c>
    </row>
    <row r="932" spans="1:68">
      <c r="A932">
        <v>5862230</v>
      </c>
      <c r="B932">
        <v>5862230</v>
      </c>
      <c r="C932" t="s">
        <v>7018</v>
      </c>
      <c r="D932" t="s">
        <v>595</v>
      </c>
      <c r="E932" s="184">
        <v>43866</v>
      </c>
      <c r="G932" s="184"/>
      <c r="I932" s="184"/>
      <c r="K932" s="184"/>
      <c r="O932" s="184"/>
      <c r="P932" t="s">
        <v>7019</v>
      </c>
      <c r="Q932" t="s">
        <v>7383</v>
      </c>
      <c r="R932" s="184">
        <v>18172</v>
      </c>
      <c r="S932">
        <v>74</v>
      </c>
      <c r="U932" t="s">
        <v>7031</v>
      </c>
      <c r="V932" t="s">
        <v>3254</v>
      </c>
      <c r="X932" t="s">
        <v>3120</v>
      </c>
      <c r="Z932">
        <v>100025876</v>
      </c>
      <c r="AB932" t="s">
        <v>12301</v>
      </c>
      <c r="AD932" t="s">
        <v>3120</v>
      </c>
      <c r="AF932" t="s">
        <v>12302</v>
      </c>
      <c r="AG932" t="s">
        <v>12303</v>
      </c>
      <c r="AI932" t="s">
        <v>12304</v>
      </c>
      <c r="AM932" t="s">
        <v>2974</v>
      </c>
      <c r="AN932" t="s">
        <v>2185</v>
      </c>
      <c r="AO932" t="s">
        <v>12305</v>
      </c>
      <c r="AP932" t="s">
        <v>7024</v>
      </c>
      <c r="AQ932" t="s">
        <v>12306</v>
      </c>
      <c r="AT932" s="184">
        <v>33451</v>
      </c>
      <c r="AU932" t="s">
        <v>12307</v>
      </c>
      <c r="AV932">
        <v>15</v>
      </c>
      <c r="AW932" s="184">
        <v>44894</v>
      </c>
      <c r="AX932" t="s">
        <v>12308</v>
      </c>
      <c r="AY932">
        <v>35</v>
      </c>
      <c r="AZ932" s="184">
        <v>44851</v>
      </c>
      <c r="BA932" t="s">
        <v>12309</v>
      </c>
      <c r="BB932">
        <v>87</v>
      </c>
      <c r="BC932">
        <v>86</v>
      </c>
      <c r="BD932">
        <v>1652</v>
      </c>
      <c r="BE932">
        <v>1992</v>
      </c>
      <c r="BF932">
        <v>50</v>
      </c>
      <c r="BG932">
        <v>2</v>
      </c>
      <c r="BH932">
        <v>122</v>
      </c>
      <c r="BI932">
        <v>29</v>
      </c>
      <c r="BJ932">
        <v>34</v>
      </c>
      <c r="BK932">
        <v>14</v>
      </c>
      <c r="BP932" s="184"/>
    </row>
    <row r="933" spans="1:68">
      <c r="A933">
        <v>100025876</v>
      </c>
      <c r="B933">
        <v>5862230</v>
      </c>
      <c r="C933" t="s">
        <v>7018</v>
      </c>
      <c r="D933" t="s">
        <v>595</v>
      </c>
      <c r="E933" s="184">
        <v>43866</v>
      </c>
      <c r="G933" s="184"/>
      <c r="I933" s="184"/>
      <c r="K933" s="184"/>
      <c r="O933" s="184"/>
      <c r="P933" t="s">
        <v>7019</v>
      </c>
      <c r="Q933" t="s">
        <v>7383</v>
      </c>
      <c r="R933" s="184">
        <v>18384</v>
      </c>
      <c r="S933">
        <v>74</v>
      </c>
      <c r="V933" t="s">
        <v>12301</v>
      </c>
      <c r="X933" t="s">
        <v>3120</v>
      </c>
      <c r="Z933">
        <v>5862230</v>
      </c>
      <c r="AA933" t="s">
        <v>7031</v>
      </c>
      <c r="AB933" t="s">
        <v>3254</v>
      </c>
      <c r="AD933" t="s">
        <v>3120</v>
      </c>
      <c r="AF933" t="s">
        <v>12302</v>
      </c>
      <c r="AG933" t="s">
        <v>12303</v>
      </c>
      <c r="AI933" t="s">
        <v>12304</v>
      </c>
      <c r="AM933" t="s">
        <v>2974</v>
      </c>
      <c r="AN933" t="s">
        <v>2185</v>
      </c>
      <c r="AO933" t="s">
        <v>12305</v>
      </c>
      <c r="AP933" t="s">
        <v>7024</v>
      </c>
      <c r="AT933" s="184"/>
      <c r="AW933" s="184"/>
      <c r="AZ933" s="184"/>
      <c r="BP933" s="184"/>
    </row>
    <row r="934" spans="1:68">
      <c r="A934">
        <v>5872544</v>
      </c>
      <c r="B934">
        <v>5872544</v>
      </c>
      <c r="C934" t="s">
        <v>7018</v>
      </c>
      <c r="E934" s="184"/>
      <c r="G934" s="184"/>
      <c r="I934" s="184"/>
      <c r="J934" t="s">
        <v>595</v>
      </c>
      <c r="K934" s="184">
        <v>44637</v>
      </c>
      <c r="O934" s="184"/>
      <c r="P934" t="s">
        <v>7029</v>
      </c>
      <c r="Q934" t="s">
        <v>7020</v>
      </c>
      <c r="R934" s="184">
        <v>15738</v>
      </c>
      <c r="S934">
        <v>81</v>
      </c>
      <c r="U934" t="s">
        <v>8046</v>
      </c>
      <c r="V934" t="s">
        <v>2697</v>
      </c>
      <c r="W934" t="s">
        <v>2963</v>
      </c>
      <c r="X934" t="s">
        <v>12310</v>
      </c>
      <c r="AF934" t="s">
        <v>12311</v>
      </c>
      <c r="AG934" t="s">
        <v>2697</v>
      </c>
      <c r="AI934" t="s">
        <v>12312</v>
      </c>
      <c r="AM934" t="s">
        <v>12313</v>
      </c>
      <c r="AN934" t="s">
        <v>2112</v>
      </c>
      <c r="AO934" t="s">
        <v>12314</v>
      </c>
      <c r="AP934" t="s">
        <v>7024</v>
      </c>
      <c r="AQ934" t="s">
        <v>12315</v>
      </c>
      <c r="AR934" t="s">
        <v>12316</v>
      </c>
      <c r="AT934" s="184">
        <v>33452</v>
      </c>
      <c r="AU934" t="s">
        <v>12317</v>
      </c>
      <c r="AV934">
        <v>15</v>
      </c>
      <c r="AW934" s="184">
        <v>45223</v>
      </c>
      <c r="AX934" t="s">
        <v>7382</v>
      </c>
      <c r="AY934">
        <v>200</v>
      </c>
      <c r="AZ934" s="184">
        <v>44788</v>
      </c>
      <c r="BA934" t="s">
        <v>12318</v>
      </c>
      <c r="BB934">
        <v>275</v>
      </c>
      <c r="BC934">
        <v>98</v>
      </c>
      <c r="BD934">
        <v>6235</v>
      </c>
      <c r="BE934">
        <v>1992</v>
      </c>
      <c r="BF934">
        <v>61</v>
      </c>
      <c r="BG934">
        <v>3</v>
      </c>
      <c r="BH934">
        <v>700</v>
      </c>
      <c r="BI934">
        <v>33</v>
      </c>
      <c r="BJ934">
        <v>34</v>
      </c>
      <c r="BK934">
        <v>33</v>
      </c>
      <c r="BP934" s="184"/>
    </row>
    <row r="935" spans="1:68">
      <c r="A935">
        <v>5884804</v>
      </c>
      <c r="B935">
        <v>5884804</v>
      </c>
      <c r="C935" t="s">
        <v>7018</v>
      </c>
      <c r="D935" t="s">
        <v>595</v>
      </c>
      <c r="E935" s="184">
        <v>43857</v>
      </c>
      <c r="G935" s="184"/>
      <c r="I935" s="184"/>
      <c r="K935" s="184"/>
      <c r="O935" s="184"/>
      <c r="P935" t="s">
        <v>7045</v>
      </c>
      <c r="Q935" t="s">
        <v>7383</v>
      </c>
      <c r="R935" s="184">
        <v>17746</v>
      </c>
      <c r="S935">
        <v>75</v>
      </c>
      <c r="U935" t="s">
        <v>7031</v>
      </c>
      <c r="V935" t="s">
        <v>4539</v>
      </c>
      <c r="X935" t="s">
        <v>4540</v>
      </c>
      <c r="Z935">
        <v>100025971</v>
      </c>
      <c r="AB935" t="s">
        <v>4647</v>
      </c>
      <c r="AD935" t="s">
        <v>4540</v>
      </c>
      <c r="AF935" t="s">
        <v>12319</v>
      </c>
      <c r="AG935" t="s">
        <v>12320</v>
      </c>
      <c r="AI935" t="s">
        <v>12321</v>
      </c>
      <c r="AM935" t="s">
        <v>12322</v>
      </c>
      <c r="AN935" t="s">
        <v>2313</v>
      </c>
      <c r="AO935" t="s">
        <v>12323</v>
      </c>
      <c r="AP935" t="s">
        <v>7024</v>
      </c>
      <c r="AQ935" t="s">
        <v>12324</v>
      </c>
      <c r="AT935" s="184">
        <v>33455</v>
      </c>
      <c r="AU935" t="s">
        <v>12325</v>
      </c>
      <c r="AV935">
        <v>25</v>
      </c>
      <c r="AW935" s="184">
        <v>45048</v>
      </c>
      <c r="AX935" t="s">
        <v>10223</v>
      </c>
      <c r="AY935">
        <v>200</v>
      </c>
      <c r="AZ935" s="184">
        <v>41758</v>
      </c>
      <c r="BA935" t="s">
        <v>12326</v>
      </c>
      <c r="BB935">
        <v>300</v>
      </c>
      <c r="BC935">
        <v>98</v>
      </c>
      <c r="BD935">
        <v>9390</v>
      </c>
      <c r="BE935">
        <v>1992</v>
      </c>
      <c r="BF935">
        <v>53</v>
      </c>
      <c r="BG935">
        <v>1</v>
      </c>
      <c r="BH935">
        <v>200</v>
      </c>
      <c r="BI935">
        <v>33</v>
      </c>
      <c r="BJ935">
        <v>34</v>
      </c>
      <c r="BK935">
        <v>33</v>
      </c>
      <c r="BP935" s="184"/>
    </row>
    <row r="936" spans="1:68">
      <c r="A936">
        <v>100025971</v>
      </c>
      <c r="B936">
        <v>5884804</v>
      </c>
      <c r="C936" t="s">
        <v>7018</v>
      </c>
      <c r="D936" t="s">
        <v>595</v>
      </c>
      <c r="E936" s="184">
        <v>43857</v>
      </c>
      <c r="G936" s="184"/>
      <c r="I936" s="184"/>
      <c r="K936" s="184"/>
      <c r="O936" s="184"/>
      <c r="P936" t="s">
        <v>7045</v>
      </c>
      <c r="Q936" t="s">
        <v>7383</v>
      </c>
      <c r="R936" s="184">
        <v>18142</v>
      </c>
      <c r="S936">
        <v>74</v>
      </c>
      <c r="V936" t="s">
        <v>4647</v>
      </c>
      <c r="X936" t="s">
        <v>4540</v>
      </c>
      <c r="Z936">
        <v>5884804</v>
      </c>
      <c r="AA936" t="s">
        <v>7031</v>
      </c>
      <c r="AB936" t="s">
        <v>4539</v>
      </c>
      <c r="AD936" t="s">
        <v>4540</v>
      </c>
      <c r="AF936" t="s">
        <v>12319</v>
      </c>
      <c r="AG936" t="s">
        <v>12320</v>
      </c>
      <c r="AI936" t="s">
        <v>12321</v>
      </c>
      <c r="AM936" t="s">
        <v>12322</v>
      </c>
      <c r="AN936" t="s">
        <v>2313</v>
      </c>
      <c r="AO936" t="s">
        <v>12323</v>
      </c>
      <c r="AP936" t="s">
        <v>7024</v>
      </c>
      <c r="AT936" s="184"/>
      <c r="AW936" s="184"/>
      <c r="AZ936" s="184"/>
      <c r="BP936" s="184"/>
    </row>
    <row r="937" spans="1:68">
      <c r="A937">
        <v>5889761</v>
      </c>
      <c r="B937">
        <v>5889761</v>
      </c>
      <c r="C937" t="s">
        <v>7018</v>
      </c>
      <c r="D937" t="s">
        <v>595</v>
      </c>
      <c r="E937" s="184">
        <v>43837</v>
      </c>
      <c r="G937" s="184"/>
      <c r="I937" s="184"/>
      <c r="K937" s="184"/>
      <c r="O937" s="184"/>
      <c r="P937" t="s">
        <v>7045</v>
      </c>
      <c r="Q937" t="s">
        <v>7383</v>
      </c>
      <c r="R937" s="184">
        <v>19937</v>
      </c>
      <c r="S937">
        <v>69</v>
      </c>
      <c r="U937" t="s">
        <v>7076</v>
      </c>
      <c r="V937" t="s">
        <v>12327</v>
      </c>
      <c r="W937" t="s">
        <v>7396</v>
      </c>
      <c r="X937" t="s">
        <v>12328</v>
      </c>
      <c r="AF937" t="s">
        <v>12329</v>
      </c>
      <c r="AG937" t="s">
        <v>12327</v>
      </c>
      <c r="AI937" t="s">
        <v>12330</v>
      </c>
      <c r="AM937" t="s">
        <v>8802</v>
      </c>
      <c r="AN937" t="s">
        <v>2064</v>
      </c>
      <c r="AO937" t="s">
        <v>12331</v>
      </c>
      <c r="AP937" t="s">
        <v>7024</v>
      </c>
      <c r="AQ937" t="s">
        <v>12332</v>
      </c>
      <c r="AR937" t="s">
        <v>12333</v>
      </c>
      <c r="AT937" s="184">
        <v>33456</v>
      </c>
      <c r="AU937" t="s">
        <v>12334</v>
      </c>
      <c r="AV937">
        <v>15</v>
      </c>
      <c r="AW937" s="184">
        <v>45406</v>
      </c>
      <c r="AX937" t="s">
        <v>7429</v>
      </c>
      <c r="AY937">
        <v>15</v>
      </c>
      <c r="AZ937" s="184">
        <v>40259</v>
      </c>
      <c r="BA937" t="s">
        <v>12335</v>
      </c>
      <c r="BB937">
        <v>60</v>
      </c>
      <c r="BC937">
        <v>53</v>
      </c>
      <c r="BD937">
        <v>2251</v>
      </c>
      <c r="BE937">
        <v>1992</v>
      </c>
      <c r="BF937">
        <v>154</v>
      </c>
      <c r="BG937">
        <v>25</v>
      </c>
      <c r="BH937">
        <v>371</v>
      </c>
      <c r="BI937">
        <v>18</v>
      </c>
      <c r="BJ937">
        <v>34</v>
      </c>
      <c r="BK937">
        <v>13</v>
      </c>
      <c r="BP937" s="184"/>
    </row>
    <row r="938" spans="1:68">
      <c r="A938">
        <v>5895941</v>
      </c>
      <c r="B938">
        <v>5895941</v>
      </c>
      <c r="C938" t="s">
        <v>7018</v>
      </c>
      <c r="D938" t="s">
        <v>595</v>
      </c>
      <c r="E938" s="184">
        <v>43647</v>
      </c>
      <c r="K938" s="184"/>
      <c r="O938" s="184"/>
      <c r="P938" t="s">
        <v>7045</v>
      </c>
      <c r="Q938" t="s">
        <v>7020</v>
      </c>
      <c r="R938" s="184">
        <v>16079</v>
      </c>
      <c r="S938">
        <v>80</v>
      </c>
      <c r="V938" t="s">
        <v>3499</v>
      </c>
      <c r="X938" t="s">
        <v>3500</v>
      </c>
      <c r="AF938" t="s">
        <v>12336</v>
      </c>
      <c r="AG938" t="s">
        <v>3499</v>
      </c>
      <c r="AI938" t="s">
        <v>12337</v>
      </c>
      <c r="AM938" t="s">
        <v>3372</v>
      </c>
      <c r="AN938" t="s">
        <v>2129</v>
      </c>
      <c r="AO938" t="s">
        <v>12338</v>
      </c>
      <c r="AP938" t="s">
        <v>7024</v>
      </c>
      <c r="AT938" s="184">
        <v>33457</v>
      </c>
      <c r="AU938" t="s">
        <v>12339</v>
      </c>
      <c r="AV938">
        <v>15</v>
      </c>
      <c r="AW938" s="184">
        <v>43887</v>
      </c>
      <c r="AX938" t="s">
        <v>12340</v>
      </c>
      <c r="AY938">
        <v>100</v>
      </c>
      <c r="AZ938" s="184">
        <v>43887</v>
      </c>
      <c r="BA938" t="s">
        <v>12340</v>
      </c>
      <c r="BB938">
        <v>100</v>
      </c>
      <c r="BC938">
        <v>45</v>
      </c>
      <c r="BD938">
        <v>515</v>
      </c>
      <c r="BE938">
        <v>1992</v>
      </c>
      <c r="BF938">
        <v>17</v>
      </c>
      <c r="BI938">
        <v>15</v>
      </c>
      <c r="BJ938">
        <v>34</v>
      </c>
      <c r="BK938">
        <v>7</v>
      </c>
      <c r="BP938" s="184"/>
    </row>
    <row r="939" spans="1:68">
      <c r="A939">
        <v>5915632</v>
      </c>
      <c r="B939">
        <v>5915632</v>
      </c>
      <c r="C939" t="s">
        <v>7018</v>
      </c>
      <c r="D939" t="s">
        <v>595</v>
      </c>
      <c r="E939" s="184">
        <v>43655</v>
      </c>
      <c r="G939" s="184"/>
      <c r="K939" s="184"/>
      <c r="O939" s="184"/>
      <c r="P939" t="s">
        <v>7045</v>
      </c>
      <c r="Q939" t="s">
        <v>7030</v>
      </c>
      <c r="R939" s="184">
        <v>17472</v>
      </c>
      <c r="S939">
        <v>76</v>
      </c>
      <c r="U939" t="s">
        <v>7130</v>
      </c>
      <c r="V939" t="s">
        <v>3617</v>
      </c>
      <c r="W939" t="s">
        <v>3226</v>
      </c>
      <c r="X939" t="s">
        <v>3618</v>
      </c>
      <c r="Z939">
        <v>100026124</v>
      </c>
      <c r="AA939" t="s">
        <v>7130</v>
      </c>
      <c r="AB939" t="s">
        <v>2518</v>
      </c>
      <c r="AD939" t="s">
        <v>3618</v>
      </c>
      <c r="AF939" t="s">
        <v>12341</v>
      </c>
      <c r="AG939" t="s">
        <v>12342</v>
      </c>
      <c r="AI939" t="s">
        <v>12343</v>
      </c>
      <c r="AM939" t="s">
        <v>3279</v>
      </c>
      <c r="AN939" t="s">
        <v>2094</v>
      </c>
      <c r="AO939" t="s">
        <v>12344</v>
      </c>
      <c r="AP939" t="s">
        <v>7024</v>
      </c>
      <c r="AQ939" t="s">
        <v>12345</v>
      </c>
      <c r="AR939" t="s">
        <v>12346</v>
      </c>
      <c r="AT939" s="184">
        <v>33463</v>
      </c>
      <c r="AU939" t="s">
        <v>12266</v>
      </c>
      <c r="AV939">
        <v>20</v>
      </c>
      <c r="AW939" s="184">
        <v>44838</v>
      </c>
      <c r="AX939" t="s">
        <v>12347</v>
      </c>
      <c r="AY939">
        <v>25</v>
      </c>
      <c r="AZ939" s="184">
        <v>44838</v>
      </c>
      <c r="BA939" t="s">
        <v>12347</v>
      </c>
      <c r="BB939">
        <v>25</v>
      </c>
      <c r="BC939">
        <v>39</v>
      </c>
      <c r="BD939">
        <v>380</v>
      </c>
      <c r="BE939">
        <v>1992</v>
      </c>
      <c r="BF939">
        <v>19</v>
      </c>
      <c r="BG939">
        <v>2</v>
      </c>
      <c r="BH939">
        <v>50</v>
      </c>
      <c r="BI939">
        <v>13</v>
      </c>
      <c r="BJ939">
        <v>34</v>
      </c>
      <c r="BK939">
        <v>7</v>
      </c>
      <c r="BP939" s="184"/>
    </row>
    <row r="940" spans="1:68">
      <c r="A940">
        <v>100026124</v>
      </c>
      <c r="B940">
        <v>5915632</v>
      </c>
      <c r="C940" t="s">
        <v>7018</v>
      </c>
      <c r="D940" t="s">
        <v>595</v>
      </c>
      <c r="E940" s="184">
        <v>43655</v>
      </c>
      <c r="G940" s="184"/>
      <c r="K940" s="184"/>
      <c r="O940" s="184"/>
      <c r="P940" t="s">
        <v>7045</v>
      </c>
      <c r="Q940" t="s">
        <v>7030</v>
      </c>
      <c r="R940" s="184">
        <v>17472</v>
      </c>
      <c r="S940">
        <v>76</v>
      </c>
      <c r="U940" t="s">
        <v>7130</v>
      </c>
      <c r="V940" t="s">
        <v>2518</v>
      </c>
      <c r="X940" t="s">
        <v>3618</v>
      </c>
      <c r="Z940">
        <v>5915632</v>
      </c>
      <c r="AA940" t="s">
        <v>7130</v>
      </c>
      <c r="AB940" t="s">
        <v>3617</v>
      </c>
      <c r="AC940" t="s">
        <v>3226</v>
      </c>
      <c r="AD940" t="s">
        <v>3618</v>
      </c>
      <c r="AF940" t="s">
        <v>12341</v>
      </c>
      <c r="AG940" t="s">
        <v>12342</v>
      </c>
      <c r="AI940" t="s">
        <v>12343</v>
      </c>
      <c r="AM940" t="s">
        <v>3279</v>
      </c>
      <c r="AN940" t="s">
        <v>2094</v>
      </c>
      <c r="AO940" t="s">
        <v>12344</v>
      </c>
      <c r="AP940" t="s">
        <v>7024</v>
      </c>
      <c r="AQ940" t="s">
        <v>12348</v>
      </c>
      <c r="AT940" s="184"/>
      <c r="AW940" s="184"/>
      <c r="AZ940" s="184"/>
      <c r="BP940" s="184"/>
    </row>
    <row r="941" spans="1:68">
      <c r="A941">
        <v>5916028</v>
      </c>
      <c r="B941">
        <v>5916028</v>
      </c>
      <c r="C941" t="s">
        <v>7018</v>
      </c>
      <c r="E941" s="184"/>
      <c r="G941" s="184"/>
      <c r="I941" s="184"/>
      <c r="J941" t="s">
        <v>595</v>
      </c>
      <c r="K941" s="184">
        <v>40332</v>
      </c>
      <c r="O941" s="184"/>
      <c r="P941" t="s">
        <v>7029</v>
      </c>
      <c r="Q941" t="s">
        <v>7374</v>
      </c>
      <c r="R941" s="184">
        <v>14550</v>
      </c>
      <c r="S941">
        <v>84</v>
      </c>
      <c r="U941" t="s">
        <v>7031</v>
      </c>
      <c r="V941" t="s">
        <v>2982</v>
      </c>
      <c r="W941" t="s">
        <v>3522</v>
      </c>
      <c r="X941" t="s">
        <v>12349</v>
      </c>
      <c r="Z941">
        <v>100026129</v>
      </c>
      <c r="AA941" t="s">
        <v>7130</v>
      </c>
      <c r="AB941" t="s">
        <v>10327</v>
      </c>
      <c r="AD941" t="s">
        <v>12349</v>
      </c>
      <c r="AF941" t="s">
        <v>12350</v>
      </c>
      <c r="AG941" t="s">
        <v>12351</v>
      </c>
      <c r="AI941" t="s">
        <v>12352</v>
      </c>
      <c r="AM941" t="s">
        <v>4567</v>
      </c>
      <c r="AN941" t="s">
        <v>2081</v>
      </c>
      <c r="AO941" t="s">
        <v>12353</v>
      </c>
      <c r="AP941" t="s">
        <v>7024</v>
      </c>
      <c r="AQ941" t="s">
        <v>12354</v>
      </c>
      <c r="AT941" s="184">
        <v>33463</v>
      </c>
      <c r="AU941" t="s">
        <v>12355</v>
      </c>
      <c r="AV941">
        <v>25</v>
      </c>
      <c r="AW941" s="184">
        <v>45161</v>
      </c>
      <c r="AX941" t="s">
        <v>11643</v>
      </c>
      <c r="AY941">
        <v>1000</v>
      </c>
      <c r="AZ941" s="184">
        <v>45161</v>
      </c>
      <c r="BA941" t="s">
        <v>11643</v>
      </c>
      <c r="BB941">
        <v>1000</v>
      </c>
      <c r="BC941">
        <v>98</v>
      </c>
      <c r="BD941">
        <v>14310</v>
      </c>
      <c r="BE941">
        <v>1992</v>
      </c>
      <c r="BF941">
        <v>41</v>
      </c>
      <c r="BG941">
        <v>2</v>
      </c>
      <c r="BH941">
        <v>2000</v>
      </c>
      <c r="BI941">
        <v>33</v>
      </c>
      <c r="BJ941">
        <v>34</v>
      </c>
      <c r="BK941">
        <v>33</v>
      </c>
      <c r="BP941" s="184"/>
    </row>
    <row r="942" spans="1:68">
      <c r="A942">
        <v>100026129</v>
      </c>
      <c r="B942">
        <v>5916028</v>
      </c>
      <c r="C942" t="s">
        <v>7018</v>
      </c>
      <c r="E942" s="184"/>
      <c r="G942" s="184"/>
      <c r="I942" s="184"/>
      <c r="J942" t="s">
        <v>595</v>
      </c>
      <c r="K942" s="184">
        <v>43649</v>
      </c>
      <c r="O942" s="184"/>
      <c r="P942" t="s">
        <v>7029</v>
      </c>
      <c r="Q942" t="s">
        <v>7374</v>
      </c>
      <c r="R942" s="184">
        <v>16103</v>
      </c>
      <c r="S942">
        <v>80</v>
      </c>
      <c r="U942" t="s">
        <v>7130</v>
      </c>
      <c r="V942" t="s">
        <v>10327</v>
      </c>
      <c r="X942" t="s">
        <v>12349</v>
      </c>
      <c r="Z942">
        <v>5916028</v>
      </c>
      <c r="AA942" t="s">
        <v>7031</v>
      </c>
      <c r="AB942" t="s">
        <v>2982</v>
      </c>
      <c r="AC942" t="s">
        <v>3522</v>
      </c>
      <c r="AD942" t="s">
        <v>12349</v>
      </c>
      <c r="AF942" t="s">
        <v>12350</v>
      </c>
      <c r="AG942" t="s">
        <v>12351</v>
      </c>
      <c r="AI942" t="s">
        <v>12352</v>
      </c>
      <c r="AM942" t="s">
        <v>4567</v>
      </c>
      <c r="AN942" t="s">
        <v>2081</v>
      </c>
      <c r="AO942" t="s">
        <v>12353</v>
      </c>
      <c r="AP942" t="s">
        <v>7024</v>
      </c>
      <c r="AT942" s="184"/>
      <c r="AW942" s="184"/>
      <c r="AZ942" s="184"/>
      <c r="BP942" s="184"/>
    </row>
    <row r="943" spans="1:68">
      <c r="A943">
        <v>5930227</v>
      </c>
      <c r="B943">
        <v>5930227</v>
      </c>
      <c r="C943" t="s">
        <v>7018</v>
      </c>
      <c r="D943" t="s">
        <v>595</v>
      </c>
      <c r="E943" s="184">
        <v>44073</v>
      </c>
      <c r="G943" s="184"/>
      <c r="I943" s="184"/>
      <c r="K943" s="184"/>
      <c r="O943" s="184"/>
      <c r="P943" t="s">
        <v>7045</v>
      </c>
      <c r="Q943" t="s">
        <v>7020</v>
      </c>
      <c r="R943" s="184">
        <v>16869</v>
      </c>
      <c r="S943">
        <v>78</v>
      </c>
      <c r="V943" t="s">
        <v>4024</v>
      </c>
      <c r="W943" t="s">
        <v>7046</v>
      </c>
      <c r="X943" t="s">
        <v>12356</v>
      </c>
      <c r="AF943" t="s">
        <v>12357</v>
      </c>
      <c r="AG943" t="s">
        <v>4024</v>
      </c>
      <c r="AI943" t="s">
        <v>12358</v>
      </c>
      <c r="AM943" t="s">
        <v>12359</v>
      </c>
      <c r="AN943" t="s">
        <v>2112</v>
      </c>
      <c r="AO943" t="s">
        <v>12360</v>
      </c>
      <c r="AP943" t="s">
        <v>7024</v>
      </c>
      <c r="AQ943" t="s">
        <v>12361</v>
      </c>
      <c r="AR943" t="s">
        <v>12362</v>
      </c>
      <c r="AT943" s="184">
        <v>33375</v>
      </c>
      <c r="AU943" t="s">
        <v>12363</v>
      </c>
      <c r="AV943">
        <v>20</v>
      </c>
      <c r="AW943" s="184">
        <v>45398</v>
      </c>
      <c r="AX943" t="s">
        <v>12364</v>
      </c>
      <c r="AY943">
        <v>50</v>
      </c>
      <c r="AZ943" s="184">
        <v>42496</v>
      </c>
      <c r="BA943" t="s">
        <v>12365</v>
      </c>
      <c r="BB943">
        <v>87</v>
      </c>
      <c r="BC943">
        <v>71</v>
      </c>
      <c r="BD943">
        <v>917</v>
      </c>
      <c r="BE943">
        <v>1991</v>
      </c>
      <c r="BF943">
        <v>28</v>
      </c>
      <c r="BG943">
        <v>1</v>
      </c>
      <c r="BH943">
        <v>50</v>
      </c>
      <c r="BI943">
        <v>24</v>
      </c>
      <c r="BJ943">
        <v>34</v>
      </c>
      <c r="BK943">
        <v>9</v>
      </c>
      <c r="BP943" s="184"/>
    </row>
    <row r="944" spans="1:68">
      <c r="A944">
        <v>5933296</v>
      </c>
      <c r="B944">
        <v>5933296</v>
      </c>
      <c r="C944" t="s">
        <v>7018</v>
      </c>
      <c r="D944" t="s">
        <v>595</v>
      </c>
      <c r="E944" s="184">
        <v>44104</v>
      </c>
      <c r="G944" s="184"/>
      <c r="I944" s="184"/>
      <c r="K944" s="184"/>
      <c r="O944" s="184"/>
      <c r="P944" t="s">
        <v>7045</v>
      </c>
      <c r="Q944" t="s">
        <v>7383</v>
      </c>
      <c r="R944" s="184">
        <v>16289</v>
      </c>
      <c r="S944">
        <v>79</v>
      </c>
      <c r="U944" t="s">
        <v>7076</v>
      </c>
      <c r="V944" t="s">
        <v>2903</v>
      </c>
      <c r="X944" t="s">
        <v>12366</v>
      </c>
      <c r="AF944" t="s">
        <v>12367</v>
      </c>
      <c r="AG944" t="s">
        <v>2903</v>
      </c>
      <c r="AI944" t="s">
        <v>12368</v>
      </c>
      <c r="AM944" t="s">
        <v>3815</v>
      </c>
      <c r="AN944" t="s">
        <v>2059</v>
      </c>
      <c r="AO944" t="s">
        <v>12369</v>
      </c>
      <c r="AP944" t="s">
        <v>7024</v>
      </c>
      <c r="AQ944" t="s">
        <v>12370</v>
      </c>
      <c r="AR944" t="s">
        <v>12371</v>
      </c>
      <c r="AT944" s="184">
        <v>33473</v>
      </c>
      <c r="AU944" t="s">
        <v>12372</v>
      </c>
      <c r="AV944">
        <v>25</v>
      </c>
      <c r="AW944" s="184">
        <v>45261</v>
      </c>
      <c r="AX944" t="s">
        <v>12373</v>
      </c>
      <c r="AY944">
        <v>50</v>
      </c>
      <c r="AZ944" s="184">
        <v>41354</v>
      </c>
      <c r="BA944" t="s">
        <v>12374</v>
      </c>
      <c r="BB944">
        <v>75</v>
      </c>
      <c r="BC944">
        <v>83</v>
      </c>
      <c r="BD944">
        <v>2305</v>
      </c>
      <c r="BE944">
        <v>1992</v>
      </c>
      <c r="BF944">
        <v>58</v>
      </c>
      <c r="BG944">
        <v>3</v>
      </c>
      <c r="BH944">
        <v>150</v>
      </c>
      <c r="BI944">
        <v>28</v>
      </c>
      <c r="BJ944">
        <v>34</v>
      </c>
      <c r="BK944">
        <v>22</v>
      </c>
      <c r="BN944" t="s">
        <v>595</v>
      </c>
      <c r="BP944" s="184"/>
    </row>
    <row r="945" spans="1:68">
      <c r="A945">
        <v>5980677</v>
      </c>
      <c r="B945">
        <v>5980677</v>
      </c>
      <c r="C945" t="s">
        <v>7018</v>
      </c>
      <c r="E945" s="184"/>
      <c r="G945" s="184"/>
      <c r="I945" s="184"/>
      <c r="K945" s="184"/>
      <c r="N945" t="s">
        <v>595</v>
      </c>
      <c r="O945" s="184">
        <v>39608</v>
      </c>
      <c r="P945" t="s">
        <v>7045</v>
      </c>
      <c r="Q945" t="s">
        <v>7020</v>
      </c>
      <c r="R945" s="184">
        <v>14907</v>
      </c>
      <c r="S945">
        <v>83</v>
      </c>
      <c r="U945" t="s">
        <v>7032</v>
      </c>
      <c r="V945" t="s">
        <v>2863</v>
      </c>
      <c r="W945" t="s">
        <v>7246</v>
      </c>
      <c r="X945" t="s">
        <v>2948</v>
      </c>
      <c r="AF945" t="s">
        <v>12375</v>
      </c>
      <c r="AG945" t="s">
        <v>2863</v>
      </c>
      <c r="AI945" t="s">
        <v>12376</v>
      </c>
      <c r="AM945" t="s">
        <v>2860</v>
      </c>
      <c r="AN945" t="s">
        <v>2112</v>
      </c>
      <c r="AO945" t="s">
        <v>12377</v>
      </c>
      <c r="AP945" t="s">
        <v>7024</v>
      </c>
      <c r="AQ945" t="s">
        <v>12378</v>
      </c>
      <c r="AT945" s="184">
        <v>33477</v>
      </c>
      <c r="AU945" t="s">
        <v>12210</v>
      </c>
      <c r="AV945">
        <v>15</v>
      </c>
      <c r="AW945" s="184">
        <v>45421</v>
      </c>
      <c r="AX945" t="s">
        <v>7422</v>
      </c>
      <c r="AY945">
        <v>10</v>
      </c>
      <c r="AZ945" s="184">
        <v>41639</v>
      </c>
      <c r="BA945" t="s">
        <v>7707</v>
      </c>
      <c r="BB945">
        <v>10000</v>
      </c>
      <c r="BC945">
        <v>80</v>
      </c>
      <c r="BD945">
        <v>15496.3</v>
      </c>
      <c r="BE945">
        <v>1992</v>
      </c>
      <c r="BF945">
        <v>61</v>
      </c>
      <c r="BG945">
        <v>24</v>
      </c>
      <c r="BH945">
        <v>240</v>
      </c>
      <c r="BI945">
        <v>27</v>
      </c>
      <c r="BJ945">
        <v>34</v>
      </c>
      <c r="BK945">
        <v>11</v>
      </c>
      <c r="BP945" s="184"/>
    </row>
    <row r="946" spans="1:68">
      <c r="A946">
        <v>5982566</v>
      </c>
      <c r="B946">
        <v>5982566</v>
      </c>
      <c r="C946" t="s">
        <v>7018</v>
      </c>
      <c r="D946" t="s">
        <v>595</v>
      </c>
      <c r="E946" s="184">
        <v>43851</v>
      </c>
      <c r="G946" s="184"/>
      <c r="I946" s="184"/>
      <c r="K946" s="184"/>
      <c r="O946" s="184"/>
      <c r="P946" t="s">
        <v>7045</v>
      </c>
      <c r="Q946" t="s">
        <v>7030</v>
      </c>
      <c r="R946" s="184">
        <v>12949</v>
      </c>
      <c r="S946">
        <v>88</v>
      </c>
      <c r="U946" t="s">
        <v>7076</v>
      </c>
      <c r="V946" t="s">
        <v>2718</v>
      </c>
      <c r="X946" t="s">
        <v>3661</v>
      </c>
      <c r="AF946" t="s">
        <v>12379</v>
      </c>
      <c r="AG946" t="s">
        <v>2718</v>
      </c>
      <c r="AI946" t="s">
        <v>12380</v>
      </c>
      <c r="AM946" t="s">
        <v>12381</v>
      </c>
      <c r="AN946" t="s">
        <v>2638</v>
      </c>
      <c r="AO946" t="s">
        <v>12382</v>
      </c>
      <c r="AP946" t="s">
        <v>7024</v>
      </c>
      <c r="AQ946" t="s">
        <v>12383</v>
      </c>
      <c r="AR946" t="s">
        <v>12384</v>
      </c>
      <c r="AT946" s="184">
        <v>33480</v>
      </c>
      <c r="AU946" t="s">
        <v>12385</v>
      </c>
      <c r="AV946">
        <v>15</v>
      </c>
      <c r="AW946" s="184">
        <v>43377</v>
      </c>
      <c r="AX946" t="s">
        <v>12386</v>
      </c>
      <c r="AY946">
        <v>25</v>
      </c>
      <c r="AZ946" s="184">
        <v>43377</v>
      </c>
      <c r="BA946" t="s">
        <v>12386</v>
      </c>
      <c r="BB946">
        <v>25</v>
      </c>
      <c r="BC946">
        <v>33</v>
      </c>
      <c r="BD946">
        <v>197</v>
      </c>
      <c r="BE946">
        <v>1992</v>
      </c>
      <c r="BF946">
        <v>17</v>
      </c>
      <c r="BI946">
        <v>11</v>
      </c>
      <c r="BJ946">
        <v>34</v>
      </c>
      <c r="BK946">
        <v>5</v>
      </c>
      <c r="BN946" t="s">
        <v>595</v>
      </c>
      <c r="BP946" s="184"/>
    </row>
    <row r="947" spans="1:68">
      <c r="A947">
        <v>5999370</v>
      </c>
      <c r="B947">
        <v>5999370</v>
      </c>
      <c r="C947" t="s">
        <v>7018</v>
      </c>
      <c r="D947" t="s">
        <v>595</v>
      </c>
      <c r="E947" s="184">
        <v>43970</v>
      </c>
      <c r="G947" s="184"/>
      <c r="I947" s="184"/>
      <c r="K947" s="184"/>
      <c r="O947" s="184"/>
      <c r="P947" t="s">
        <v>7045</v>
      </c>
      <c r="Q947" t="s">
        <v>7262</v>
      </c>
      <c r="R947" s="184">
        <v>16653</v>
      </c>
      <c r="S947">
        <v>78</v>
      </c>
      <c r="U947" t="s">
        <v>7031</v>
      </c>
      <c r="V947" t="s">
        <v>2863</v>
      </c>
      <c r="W947" t="s">
        <v>3226</v>
      </c>
      <c r="X947" t="s">
        <v>4685</v>
      </c>
      <c r="AF947" t="s">
        <v>12387</v>
      </c>
      <c r="AG947" t="s">
        <v>2863</v>
      </c>
      <c r="AI947" t="s">
        <v>12388</v>
      </c>
      <c r="AM947" t="s">
        <v>2679</v>
      </c>
      <c r="AN947" t="s">
        <v>2318</v>
      </c>
      <c r="AO947" t="s">
        <v>12389</v>
      </c>
      <c r="AP947" t="s">
        <v>7024</v>
      </c>
      <c r="AQ947" t="s">
        <v>12390</v>
      </c>
      <c r="AT947" s="184">
        <v>33486</v>
      </c>
      <c r="AU947" t="s">
        <v>12391</v>
      </c>
      <c r="AV947">
        <v>25</v>
      </c>
      <c r="AW947" s="184">
        <v>45345</v>
      </c>
      <c r="AX947" t="s">
        <v>12392</v>
      </c>
      <c r="AY947">
        <v>200</v>
      </c>
      <c r="AZ947" s="184">
        <v>45345</v>
      </c>
      <c r="BA947" t="s">
        <v>12392</v>
      </c>
      <c r="BB947">
        <v>200</v>
      </c>
      <c r="BC947">
        <v>92</v>
      </c>
      <c r="BD947">
        <v>6480</v>
      </c>
      <c r="BE947">
        <v>1992</v>
      </c>
      <c r="BF947">
        <v>82</v>
      </c>
      <c r="BG947">
        <v>4</v>
      </c>
      <c r="BH947">
        <v>700</v>
      </c>
      <c r="BI947">
        <v>31</v>
      </c>
      <c r="BJ947">
        <v>34</v>
      </c>
      <c r="BK947">
        <v>19</v>
      </c>
      <c r="BP947" s="184"/>
    </row>
    <row r="948" spans="1:68">
      <c r="A948">
        <v>6001176</v>
      </c>
      <c r="B948">
        <v>6001176</v>
      </c>
      <c r="C948" t="s">
        <v>7018</v>
      </c>
      <c r="D948" t="s">
        <v>595</v>
      </c>
      <c r="E948" s="184">
        <v>44167</v>
      </c>
      <c r="G948" s="184"/>
      <c r="K948" s="184"/>
      <c r="O948" s="184"/>
      <c r="P948" t="s">
        <v>7045</v>
      </c>
      <c r="Q948" t="s">
        <v>7194</v>
      </c>
      <c r="R948" s="184">
        <v>13873</v>
      </c>
      <c r="S948">
        <v>86</v>
      </c>
      <c r="U948" t="s">
        <v>7076</v>
      </c>
      <c r="V948" t="s">
        <v>12393</v>
      </c>
      <c r="X948" t="s">
        <v>4956</v>
      </c>
      <c r="AF948" t="s">
        <v>12394</v>
      </c>
      <c r="AG948" t="s">
        <v>12393</v>
      </c>
      <c r="AI948" t="s">
        <v>12395</v>
      </c>
      <c r="AM948" t="s">
        <v>12396</v>
      </c>
      <c r="AN948" t="s">
        <v>2046</v>
      </c>
      <c r="AO948" t="s">
        <v>12397</v>
      </c>
      <c r="AP948" t="s">
        <v>7024</v>
      </c>
      <c r="AT948" s="184">
        <v>33486</v>
      </c>
      <c r="AU948" t="s">
        <v>12398</v>
      </c>
      <c r="AV948">
        <v>15</v>
      </c>
      <c r="AW948" s="184">
        <v>43826</v>
      </c>
      <c r="AX948" t="s">
        <v>12399</v>
      </c>
      <c r="AY948">
        <v>25</v>
      </c>
      <c r="AZ948" s="184">
        <v>43826</v>
      </c>
      <c r="BA948" t="s">
        <v>12399</v>
      </c>
      <c r="BB948">
        <v>25</v>
      </c>
      <c r="BC948">
        <v>18</v>
      </c>
      <c r="BD948">
        <v>155</v>
      </c>
      <c r="BE948">
        <v>1992</v>
      </c>
      <c r="BF948">
        <v>7</v>
      </c>
      <c r="BI948">
        <v>6</v>
      </c>
      <c r="BJ948">
        <v>34</v>
      </c>
      <c r="BK948">
        <v>2</v>
      </c>
      <c r="BP948" s="184"/>
    </row>
    <row r="949" spans="1:68">
      <c r="A949">
        <v>6002372</v>
      </c>
      <c r="B949">
        <v>6002372</v>
      </c>
      <c r="C949" t="s">
        <v>7018</v>
      </c>
      <c r="E949" s="184"/>
      <c r="I949" s="184"/>
      <c r="J949" t="s">
        <v>595</v>
      </c>
      <c r="K949" s="184">
        <v>43640</v>
      </c>
      <c r="O949" s="184"/>
      <c r="P949" t="s">
        <v>7084</v>
      </c>
      <c r="Q949" t="s">
        <v>7020</v>
      </c>
      <c r="R949" s="184">
        <v>7717</v>
      </c>
      <c r="S949">
        <v>103</v>
      </c>
      <c r="U949" t="s">
        <v>7076</v>
      </c>
      <c r="V949" t="s">
        <v>4136</v>
      </c>
      <c r="X949" t="s">
        <v>12400</v>
      </c>
      <c r="AF949" t="s">
        <v>6011</v>
      </c>
      <c r="AG949" t="s">
        <v>12401</v>
      </c>
      <c r="AI949" t="s">
        <v>12402</v>
      </c>
      <c r="AM949" t="s">
        <v>12403</v>
      </c>
      <c r="AN949" t="s">
        <v>2465</v>
      </c>
      <c r="AO949" t="s">
        <v>12404</v>
      </c>
      <c r="AP949" t="s">
        <v>7024</v>
      </c>
      <c r="AT949" s="184">
        <v>33487</v>
      </c>
      <c r="AU949" t="s">
        <v>12405</v>
      </c>
      <c r="AV949">
        <v>15</v>
      </c>
      <c r="AW949" s="184">
        <v>43787</v>
      </c>
      <c r="AX949" t="s">
        <v>8257</v>
      </c>
      <c r="AY949">
        <v>10600</v>
      </c>
      <c r="AZ949" s="184">
        <v>43787</v>
      </c>
      <c r="BA949" t="s">
        <v>8257</v>
      </c>
      <c r="BB949">
        <v>10600</v>
      </c>
      <c r="BC949">
        <v>39</v>
      </c>
      <c r="BD949">
        <v>10775</v>
      </c>
      <c r="BE949">
        <v>1992</v>
      </c>
      <c r="BF949">
        <v>17</v>
      </c>
      <c r="BI949">
        <v>13</v>
      </c>
      <c r="BJ949">
        <v>34</v>
      </c>
      <c r="BK949">
        <v>8</v>
      </c>
      <c r="BO949" t="s">
        <v>595</v>
      </c>
      <c r="BP949" s="184">
        <v>42968</v>
      </c>
    </row>
    <row r="950" spans="1:68">
      <c r="A950">
        <v>6019129</v>
      </c>
      <c r="B950">
        <v>6019129</v>
      </c>
      <c r="C950" t="s">
        <v>7018</v>
      </c>
      <c r="D950" t="s">
        <v>595</v>
      </c>
      <c r="E950" s="184">
        <v>43955</v>
      </c>
      <c r="I950" s="184"/>
      <c r="K950" s="184"/>
      <c r="O950" s="184"/>
      <c r="P950" t="s">
        <v>7045</v>
      </c>
      <c r="Q950" t="s">
        <v>7383</v>
      </c>
      <c r="R950" s="184">
        <v>14554</v>
      </c>
      <c r="S950">
        <v>84</v>
      </c>
      <c r="U950" t="s">
        <v>7031</v>
      </c>
      <c r="V950" t="s">
        <v>3103</v>
      </c>
      <c r="W950" t="s">
        <v>2963</v>
      </c>
      <c r="X950" t="s">
        <v>12406</v>
      </c>
      <c r="AF950" t="s">
        <v>12407</v>
      </c>
      <c r="AG950" t="s">
        <v>3103</v>
      </c>
      <c r="AI950" t="s">
        <v>12408</v>
      </c>
      <c r="AM950" t="s">
        <v>12409</v>
      </c>
      <c r="AN950" t="s">
        <v>2059</v>
      </c>
      <c r="AO950" t="s">
        <v>12410</v>
      </c>
      <c r="AP950" t="s">
        <v>7024</v>
      </c>
      <c r="AT950" s="184">
        <v>33490</v>
      </c>
      <c r="AU950" t="s">
        <v>12411</v>
      </c>
      <c r="AV950">
        <v>15</v>
      </c>
      <c r="AW950" s="184">
        <v>45093</v>
      </c>
      <c r="AX950" t="s">
        <v>10696</v>
      </c>
      <c r="AY950">
        <v>60</v>
      </c>
      <c r="AZ950" s="184">
        <v>45093</v>
      </c>
      <c r="BA950" t="s">
        <v>10696</v>
      </c>
      <c r="BB950">
        <v>60</v>
      </c>
      <c r="BC950">
        <v>98</v>
      </c>
      <c r="BD950">
        <v>1330</v>
      </c>
      <c r="BE950">
        <v>1992</v>
      </c>
      <c r="BF950">
        <v>55</v>
      </c>
      <c r="BG950">
        <v>2</v>
      </c>
      <c r="BH950">
        <v>120</v>
      </c>
      <c r="BI950">
        <v>33</v>
      </c>
      <c r="BJ950">
        <v>34</v>
      </c>
      <c r="BK950">
        <v>33</v>
      </c>
      <c r="BP950" s="184"/>
    </row>
    <row r="951" spans="1:68">
      <c r="A951">
        <v>6021497</v>
      </c>
      <c r="B951">
        <v>6021497</v>
      </c>
      <c r="C951" t="s">
        <v>7018</v>
      </c>
      <c r="E951" s="184"/>
      <c r="I951" s="184"/>
      <c r="K951" s="184"/>
      <c r="N951" t="s">
        <v>595</v>
      </c>
      <c r="O951" s="184">
        <v>38868</v>
      </c>
      <c r="P951" t="s">
        <v>7045</v>
      </c>
      <c r="Q951" t="s">
        <v>7262</v>
      </c>
      <c r="R951" s="184">
        <v>15666</v>
      </c>
      <c r="S951">
        <v>81</v>
      </c>
      <c r="U951" t="s">
        <v>7031</v>
      </c>
      <c r="V951" t="s">
        <v>5690</v>
      </c>
      <c r="W951" t="s">
        <v>2963</v>
      </c>
      <c r="X951" t="s">
        <v>12412</v>
      </c>
      <c r="Y951" t="s">
        <v>7047</v>
      </c>
      <c r="AF951" t="s">
        <v>6016</v>
      </c>
      <c r="AG951" t="s">
        <v>5690</v>
      </c>
      <c r="AI951" t="s">
        <v>12413</v>
      </c>
      <c r="AM951" t="s">
        <v>3354</v>
      </c>
      <c r="AN951" t="s">
        <v>2106</v>
      </c>
      <c r="AO951" t="s">
        <v>12414</v>
      </c>
      <c r="AP951" t="s">
        <v>7024</v>
      </c>
      <c r="AQ951" t="s">
        <v>12415</v>
      </c>
      <c r="AT951" s="184">
        <v>33491</v>
      </c>
      <c r="AU951" t="s">
        <v>12416</v>
      </c>
      <c r="AV951">
        <v>25</v>
      </c>
      <c r="AW951" s="184">
        <v>45057</v>
      </c>
      <c r="AX951" t="s">
        <v>7665</v>
      </c>
      <c r="AY951">
        <v>25</v>
      </c>
      <c r="AZ951" s="184">
        <v>38868</v>
      </c>
      <c r="BA951" t="s">
        <v>8406</v>
      </c>
      <c r="BB951">
        <v>10000</v>
      </c>
      <c r="BC951">
        <v>62</v>
      </c>
      <c r="BD951">
        <v>10660</v>
      </c>
      <c r="BE951">
        <v>1992</v>
      </c>
      <c r="BF951">
        <v>30</v>
      </c>
      <c r="BG951">
        <v>2</v>
      </c>
      <c r="BH951">
        <v>50</v>
      </c>
      <c r="BI951">
        <v>21</v>
      </c>
      <c r="BJ951">
        <v>34</v>
      </c>
      <c r="BK951">
        <v>15</v>
      </c>
      <c r="BN951" t="s">
        <v>595</v>
      </c>
      <c r="BP951" s="184"/>
    </row>
    <row r="952" spans="1:68">
      <c r="A952">
        <v>6021521</v>
      </c>
      <c r="B952">
        <v>6021521</v>
      </c>
      <c r="C952" t="s">
        <v>7018</v>
      </c>
      <c r="D952" t="s">
        <v>595</v>
      </c>
      <c r="E952" s="184">
        <v>43690</v>
      </c>
      <c r="G952" s="184"/>
      <c r="I952" s="184"/>
      <c r="K952" s="184"/>
      <c r="O952" s="184"/>
      <c r="P952" t="s">
        <v>7045</v>
      </c>
      <c r="Q952" t="s">
        <v>7383</v>
      </c>
      <c r="R952" s="184">
        <v>18841</v>
      </c>
      <c r="S952">
        <v>72</v>
      </c>
      <c r="U952" t="s">
        <v>7076</v>
      </c>
      <c r="V952" t="s">
        <v>3715</v>
      </c>
      <c r="W952" t="s">
        <v>3226</v>
      </c>
      <c r="X952" t="s">
        <v>3716</v>
      </c>
      <c r="AF952" t="s">
        <v>12417</v>
      </c>
      <c r="AG952" t="s">
        <v>3715</v>
      </c>
      <c r="AI952" t="s">
        <v>12418</v>
      </c>
      <c r="AM952" t="s">
        <v>3717</v>
      </c>
      <c r="AN952" t="s">
        <v>2059</v>
      </c>
      <c r="AO952" t="s">
        <v>12419</v>
      </c>
      <c r="AP952" t="s">
        <v>7024</v>
      </c>
      <c r="AQ952" t="s">
        <v>12420</v>
      </c>
      <c r="AT952" s="184">
        <v>33491</v>
      </c>
      <c r="AU952" t="s">
        <v>12421</v>
      </c>
      <c r="AV952">
        <v>15</v>
      </c>
      <c r="AW952" s="184">
        <v>45417</v>
      </c>
      <c r="AX952" t="s">
        <v>7422</v>
      </c>
      <c r="AY952">
        <v>20</v>
      </c>
      <c r="AZ952" s="184">
        <v>41583</v>
      </c>
      <c r="BA952" t="s">
        <v>12422</v>
      </c>
      <c r="BB952">
        <v>100</v>
      </c>
      <c r="BC952">
        <v>89</v>
      </c>
      <c r="BD952">
        <v>4364</v>
      </c>
      <c r="BE952">
        <v>1992</v>
      </c>
      <c r="BF952">
        <v>171</v>
      </c>
      <c r="BG952">
        <v>24</v>
      </c>
      <c r="BH952">
        <v>480</v>
      </c>
      <c r="BI952">
        <v>30</v>
      </c>
      <c r="BJ952">
        <v>34</v>
      </c>
      <c r="BK952">
        <v>17</v>
      </c>
      <c r="BP952" s="184"/>
    </row>
    <row r="953" spans="1:68">
      <c r="A953">
        <v>6027403</v>
      </c>
      <c r="B953">
        <v>6027403</v>
      </c>
      <c r="C953" t="s">
        <v>7018</v>
      </c>
      <c r="E953" s="184"/>
      <c r="G953" s="184"/>
      <c r="I953" s="184"/>
      <c r="K953" s="184"/>
      <c r="N953" t="s">
        <v>595</v>
      </c>
      <c r="O953" s="184">
        <v>39980</v>
      </c>
      <c r="P953" t="s">
        <v>7045</v>
      </c>
      <c r="Q953" t="s">
        <v>7383</v>
      </c>
      <c r="R953" s="184">
        <v>9266</v>
      </c>
      <c r="S953">
        <v>99</v>
      </c>
      <c r="U953" t="s">
        <v>7076</v>
      </c>
      <c r="V953" t="s">
        <v>3468</v>
      </c>
      <c r="X953" t="s">
        <v>5596</v>
      </c>
      <c r="AF953" t="s">
        <v>12423</v>
      </c>
      <c r="AG953" t="s">
        <v>12424</v>
      </c>
      <c r="AI953" t="s">
        <v>12425</v>
      </c>
      <c r="AJ953" t="s">
        <v>12426</v>
      </c>
      <c r="AM953" t="s">
        <v>5597</v>
      </c>
      <c r="AN953" t="s">
        <v>2059</v>
      </c>
      <c r="AO953">
        <v>44074</v>
      </c>
      <c r="AP953" t="s">
        <v>7024</v>
      </c>
      <c r="AT953" s="184">
        <v>33491</v>
      </c>
      <c r="AU953" t="s">
        <v>12427</v>
      </c>
      <c r="AV953">
        <v>25</v>
      </c>
      <c r="AW953" s="184">
        <v>40949</v>
      </c>
      <c r="AX953" t="s">
        <v>7075</v>
      </c>
      <c r="AY953">
        <v>20000</v>
      </c>
      <c r="AZ953" s="184">
        <v>40949</v>
      </c>
      <c r="BA953" t="s">
        <v>7075</v>
      </c>
      <c r="BB953">
        <v>20000</v>
      </c>
      <c r="BC953">
        <v>62</v>
      </c>
      <c r="BD953">
        <v>32340</v>
      </c>
      <c r="BE953">
        <v>1992</v>
      </c>
      <c r="BF953">
        <v>34</v>
      </c>
      <c r="BI953">
        <v>21</v>
      </c>
      <c r="BJ953">
        <v>34</v>
      </c>
      <c r="BK953">
        <v>19</v>
      </c>
      <c r="BO953" t="s">
        <v>595</v>
      </c>
      <c r="BP953" s="184">
        <v>41284</v>
      </c>
    </row>
    <row r="954" spans="1:68">
      <c r="A954">
        <v>6060552</v>
      </c>
      <c r="B954">
        <v>6060552</v>
      </c>
      <c r="C954" t="s">
        <v>7018</v>
      </c>
      <c r="E954" s="184"/>
      <c r="G954" s="184"/>
      <c r="I954" s="184"/>
      <c r="J954" t="s">
        <v>595</v>
      </c>
      <c r="K954" s="184">
        <v>43649</v>
      </c>
      <c r="O954" s="184"/>
      <c r="P954" t="s">
        <v>7045</v>
      </c>
      <c r="Q954" t="s">
        <v>7383</v>
      </c>
      <c r="R954" s="184">
        <v>10024</v>
      </c>
      <c r="S954">
        <v>96</v>
      </c>
      <c r="U954" t="s">
        <v>7076</v>
      </c>
      <c r="V954" t="s">
        <v>2669</v>
      </c>
      <c r="X954" t="s">
        <v>3466</v>
      </c>
      <c r="AF954" t="s">
        <v>6444</v>
      </c>
      <c r="AG954" t="s">
        <v>2669</v>
      </c>
      <c r="AI954" t="s">
        <v>12428</v>
      </c>
      <c r="AM954" t="s">
        <v>3529</v>
      </c>
      <c r="AN954" t="s">
        <v>2072</v>
      </c>
      <c r="AO954" t="s">
        <v>12429</v>
      </c>
      <c r="AP954" t="s">
        <v>7024</v>
      </c>
      <c r="AT954" s="184">
        <v>33493</v>
      </c>
      <c r="AU954" t="s">
        <v>12430</v>
      </c>
      <c r="AV954">
        <v>15</v>
      </c>
      <c r="AW954" s="184">
        <v>43983</v>
      </c>
      <c r="AX954" t="s">
        <v>12431</v>
      </c>
      <c r="AY954">
        <v>15</v>
      </c>
      <c r="AZ954" s="184">
        <v>34515</v>
      </c>
      <c r="BA954" t="s">
        <v>12432</v>
      </c>
      <c r="BB954">
        <v>60</v>
      </c>
      <c r="BC954">
        <v>77</v>
      </c>
      <c r="BD954">
        <v>1000</v>
      </c>
      <c r="BE954">
        <v>1992</v>
      </c>
      <c r="BF954">
        <v>56</v>
      </c>
      <c r="BI954">
        <v>26</v>
      </c>
      <c r="BJ954">
        <v>34</v>
      </c>
      <c r="BK954">
        <v>16</v>
      </c>
      <c r="BP954" s="184"/>
    </row>
    <row r="955" spans="1:68">
      <c r="A955">
        <v>6061204</v>
      </c>
      <c r="B955">
        <v>6061204</v>
      </c>
      <c r="C955" t="s">
        <v>7018</v>
      </c>
      <c r="E955" s="184"/>
      <c r="G955" s="184"/>
      <c r="I955" s="184"/>
      <c r="J955" t="s">
        <v>595</v>
      </c>
      <c r="K955" s="184">
        <v>41969</v>
      </c>
      <c r="O955" s="184"/>
      <c r="P955" t="s">
        <v>7045</v>
      </c>
      <c r="Q955" t="s">
        <v>7383</v>
      </c>
      <c r="R955" s="184">
        <v>19146</v>
      </c>
      <c r="S955">
        <v>71</v>
      </c>
      <c r="U955" t="s">
        <v>7076</v>
      </c>
      <c r="V955" t="s">
        <v>11458</v>
      </c>
      <c r="X955" t="s">
        <v>2988</v>
      </c>
      <c r="AF955" t="s">
        <v>6289</v>
      </c>
      <c r="AG955" t="s">
        <v>11458</v>
      </c>
      <c r="AI955" t="s">
        <v>12433</v>
      </c>
      <c r="AM955" t="s">
        <v>5800</v>
      </c>
      <c r="AN955" t="s">
        <v>2144</v>
      </c>
      <c r="AO955" t="s">
        <v>12434</v>
      </c>
      <c r="AP955" t="s">
        <v>7024</v>
      </c>
      <c r="AQ955" t="s">
        <v>12435</v>
      </c>
      <c r="AT955" s="184">
        <v>33493</v>
      </c>
      <c r="AU955" t="s">
        <v>12436</v>
      </c>
      <c r="AV955">
        <v>15</v>
      </c>
      <c r="AW955" s="184">
        <v>45388</v>
      </c>
      <c r="AX955" t="s">
        <v>12437</v>
      </c>
      <c r="AY955">
        <v>36.75</v>
      </c>
      <c r="AZ955" s="184">
        <v>43427</v>
      </c>
      <c r="BA955" t="s">
        <v>12438</v>
      </c>
      <c r="BB955">
        <v>100</v>
      </c>
      <c r="BC955">
        <v>100</v>
      </c>
      <c r="BD955">
        <v>2430.5</v>
      </c>
      <c r="BE955">
        <v>1992</v>
      </c>
      <c r="BF955">
        <v>87</v>
      </c>
      <c r="BG955">
        <v>7</v>
      </c>
      <c r="BH955">
        <v>295.5</v>
      </c>
      <c r="BI955">
        <v>34</v>
      </c>
      <c r="BJ955">
        <v>34</v>
      </c>
      <c r="BK955">
        <v>34</v>
      </c>
      <c r="BP955" s="184"/>
    </row>
    <row r="956" spans="1:68">
      <c r="A956">
        <v>6070205</v>
      </c>
      <c r="B956">
        <v>6070205</v>
      </c>
      <c r="C956" t="s">
        <v>7018</v>
      </c>
      <c r="D956" t="s">
        <v>595</v>
      </c>
      <c r="E956" s="184">
        <v>44070</v>
      </c>
      <c r="G956" s="184"/>
      <c r="I956" s="184"/>
      <c r="K956" s="184"/>
      <c r="O956" s="184"/>
      <c r="P956" t="s">
        <v>7045</v>
      </c>
      <c r="Q956" t="s">
        <v>7383</v>
      </c>
      <c r="R956" s="184">
        <v>17421</v>
      </c>
      <c r="S956">
        <v>76</v>
      </c>
      <c r="U956" t="s">
        <v>7031</v>
      </c>
      <c r="V956" t="s">
        <v>4363</v>
      </c>
      <c r="W956" t="s">
        <v>5006</v>
      </c>
      <c r="X956" t="s">
        <v>12439</v>
      </c>
      <c r="AF956" t="s">
        <v>12440</v>
      </c>
      <c r="AG956" t="s">
        <v>4363</v>
      </c>
      <c r="AI956" t="s">
        <v>12441</v>
      </c>
      <c r="AM956" t="s">
        <v>12442</v>
      </c>
      <c r="AN956" t="s">
        <v>2313</v>
      </c>
      <c r="AO956" t="s">
        <v>12443</v>
      </c>
      <c r="AP956" t="s">
        <v>7024</v>
      </c>
      <c r="AQ956" t="s">
        <v>12444</v>
      </c>
      <c r="AT956" s="184">
        <v>33493</v>
      </c>
      <c r="AU956" t="s">
        <v>12445</v>
      </c>
      <c r="AV956">
        <v>15</v>
      </c>
      <c r="AW956" s="184">
        <v>45407</v>
      </c>
      <c r="AX956" t="s">
        <v>9748</v>
      </c>
      <c r="AY956">
        <v>50</v>
      </c>
      <c r="AZ956" s="184">
        <v>45033</v>
      </c>
      <c r="BA956" t="s">
        <v>12446</v>
      </c>
      <c r="BB956">
        <v>100</v>
      </c>
      <c r="BC956">
        <v>89</v>
      </c>
      <c r="BD956">
        <v>1835</v>
      </c>
      <c r="BE956">
        <v>1992</v>
      </c>
      <c r="BF956">
        <v>41</v>
      </c>
      <c r="BG956">
        <v>2</v>
      </c>
      <c r="BH956">
        <v>150</v>
      </c>
      <c r="BI956">
        <v>30</v>
      </c>
      <c r="BJ956">
        <v>34</v>
      </c>
      <c r="BK956">
        <v>13</v>
      </c>
    </row>
    <row r="957" spans="1:68">
      <c r="A957">
        <v>6071112</v>
      </c>
      <c r="B957">
        <v>6071112</v>
      </c>
      <c r="C957" t="s">
        <v>7018</v>
      </c>
      <c r="D957" t="s">
        <v>595</v>
      </c>
      <c r="E957" s="184">
        <v>44104</v>
      </c>
      <c r="G957" s="184"/>
      <c r="I957" s="184"/>
      <c r="K957" s="184"/>
      <c r="M957" s="184"/>
      <c r="O957" s="184"/>
      <c r="P957" t="s">
        <v>7045</v>
      </c>
      <c r="Q957" t="s">
        <v>7383</v>
      </c>
      <c r="R957" s="184">
        <v>21641</v>
      </c>
      <c r="S957">
        <v>65</v>
      </c>
      <c r="U957" t="s">
        <v>7031</v>
      </c>
      <c r="V957" t="s">
        <v>2511</v>
      </c>
      <c r="X957" t="s">
        <v>12447</v>
      </c>
      <c r="AF957" t="s">
        <v>12448</v>
      </c>
      <c r="AG957" t="s">
        <v>2511</v>
      </c>
      <c r="AI957" t="s">
        <v>12449</v>
      </c>
      <c r="AM957" t="s">
        <v>3526</v>
      </c>
      <c r="AN957" t="s">
        <v>2059</v>
      </c>
      <c r="AO957" t="s">
        <v>12450</v>
      </c>
      <c r="AP957" t="s">
        <v>7024</v>
      </c>
      <c r="AQ957" t="s">
        <v>12451</v>
      </c>
      <c r="AT957" s="184">
        <v>33493</v>
      </c>
      <c r="AU957" t="s">
        <v>12452</v>
      </c>
      <c r="AV957">
        <v>25</v>
      </c>
      <c r="AW957" s="184">
        <v>45369</v>
      </c>
      <c r="AX957" t="s">
        <v>11903</v>
      </c>
      <c r="AY957">
        <v>50</v>
      </c>
      <c r="AZ957" s="184">
        <v>37089</v>
      </c>
      <c r="BA957" t="s">
        <v>12453</v>
      </c>
      <c r="BB957">
        <v>55</v>
      </c>
      <c r="BC957">
        <v>100</v>
      </c>
      <c r="BD957">
        <v>4845</v>
      </c>
      <c r="BE957">
        <v>1992</v>
      </c>
      <c r="BF957">
        <v>141</v>
      </c>
      <c r="BG957">
        <v>9</v>
      </c>
      <c r="BH957">
        <v>450</v>
      </c>
      <c r="BI957">
        <v>34</v>
      </c>
      <c r="BJ957">
        <v>34</v>
      </c>
      <c r="BK957">
        <v>34</v>
      </c>
      <c r="BP957" s="184"/>
    </row>
    <row r="958" spans="1:68">
      <c r="A958">
        <v>6075519</v>
      </c>
      <c r="B958">
        <v>6075519</v>
      </c>
      <c r="C958" t="s">
        <v>7018</v>
      </c>
      <c r="E958" s="184"/>
      <c r="G958" s="184"/>
      <c r="I958" s="184"/>
      <c r="J958" t="s">
        <v>595</v>
      </c>
      <c r="K958" s="184">
        <v>37434</v>
      </c>
      <c r="M958" s="184"/>
      <c r="O958" s="184"/>
      <c r="P958" t="s">
        <v>7045</v>
      </c>
      <c r="Q958" t="s">
        <v>7160</v>
      </c>
      <c r="R958" s="184">
        <v>16356</v>
      </c>
      <c r="S958">
        <v>79</v>
      </c>
      <c r="U958" t="s">
        <v>7031</v>
      </c>
      <c r="V958" t="s">
        <v>3689</v>
      </c>
      <c r="W958" t="s">
        <v>4327</v>
      </c>
      <c r="X958" t="s">
        <v>3852</v>
      </c>
      <c r="AF958" t="s">
        <v>6500</v>
      </c>
      <c r="AG958" t="s">
        <v>3689</v>
      </c>
      <c r="AI958" t="s">
        <v>12454</v>
      </c>
      <c r="AM958" t="s">
        <v>2781</v>
      </c>
      <c r="AN958" t="s">
        <v>2176</v>
      </c>
      <c r="AO958" t="s">
        <v>12455</v>
      </c>
      <c r="AP958" t="s">
        <v>7024</v>
      </c>
      <c r="AT958" s="184">
        <v>33494</v>
      </c>
      <c r="AU958" t="s">
        <v>12456</v>
      </c>
      <c r="AV958">
        <v>25</v>
      </c>
      <c r="AW958" s="184">
        <v>45315</v>
      </c>
      <c r="AX958" t="s">
        <v>12457</v>
      </c>
      <c r="AY958">
        <v>50</v>
      </c>
      <c r="AZ958" s="184">
        <v>40526</v>
      </c>
      <c r="BA958" t="s">
        <v>7461</v>
      </c>
      <c r="BB958">
        <v>60</v>
      </c>
      <c r="BC958">
        <v>59</v>
      </c>
      <c r="BD958">
        <v>960</v>
      </c>
      <c r="BE958">
        <v>1992</v>
      </c>
      <c r="BF958">
        <v>22</v>
      </c>
      <c r="BG958">
        <v>2</v>
      </c>
      <c r="BH958">
        <v>100</v>
      </c>
      <c r="BI958">
        <v>20</v>
      </c>
      <c r="BJ958">
        <v>34</v>
      </c>
      <c r="BK958">
        <v>7</v>
      </c>
      <c r="BP958" s="184"/>
    </row>
    <row r="959" spans="1:68">
      <c r="A959">
        <v>6081004</v>
      </c>
      <c r="B959">
        <v>6081004</v>
      </c>
      <c r="C959" t="s">
        <v>7018</v>
      </c>
      <c r="E959" s="184"/>
      <c r="G959" s="184"/>
      <c r="I959" s="184"/>
      <c r="J959" t="s">
        <v>595</v>
      </c>
      <c r="K959" s="184">
        <v>41088</v>
      </c>
      <c r="M959" s="184"/>
      <c r="O959" s="184"/>
      <c r="P959" t="s">
        <v>7045</v>
      </c>
      <c r="Q959" t="s">
        <v>7383</v>
      </c>
      <c r="R959" s="184">
        <v>18146</v>
      </c>
      <c r="S959">
        <v>74</v>
      </c>
      <c r="U959" t="s">
        <v>7031</v>
      </c>
      <c r="V959" t="s">
        <v>2697</v>
      </c>
      <c r="X959" t="s">
        <v>7086</v>
      </c>
      <c r="AF959" t="s">
        <v>6378</v>
      </c>
      <c r="AG959" t="s">
        <v>2697</v>
      </c>
      <c r="AI959" t="s">
        <v>12458</v>
      </c>
      <c r="AM959" t="s">
        <v>3815</v>
      </c>
      <c r="AN959" t="s">
        <v>2059</v>
      </c>
      <c r="AO959" t="s">
        <v>12459</v>
      </c>
      <c r="AP959" t="s">
        <v>7024</v>
      </c>
      <c r="AT959" s="184">
        <v>33494</v>
      </c>
      <c r="AU959" t="s">
        <v>12460</v>
      </c>
      <c r="AV959">
        <v>25</v>
      </c>
      <c r="AW959" s="184">
        <v>45037</v>
      </c>
      <c r="AX959" t="s">
        <v>12461</v>
      </c>
      <c r="AY959">
        <v>60</v>
      </c>
      <c r="AZ959" s="184">
        <v>45037</v>
      </c>
      <c r="BA959" t="s">
        <v>12461</v>
      </c>
      <c r="BB959">
        <v>60</v>
      </c>
      <c r="BC959">
        <v>65</v>
      </c>
      <c r="BD959">
        <v>1320</v>
      </c>
      <c r="BE959">
        <v>1992</v>
      </c>
      <c r="BF959">
        <v>42</v>
      </c>
      <c r="BG959">
        <v>1</v>
      </c>
      <c r="BH959">
        <v>60</v>
      </c>
      <c r="BI959">
        <v>22</v>
      </c>
      <c r="BJ959">
        <v>34</v>
      </c>
      <c r="BK959">
        <v>7</v>
      </c>
      <c r="BP959" s="184"/>
    </row>
    <row r="960" spans="1:68">
      <c r="A960">
        <v>6094049</v>
      </c>
      <c r="B960">
        <v>6094049</v>
      </c>
      <c r="C960" t="s">
        <v>7018</v>
      </c>
      <c r="D960" t="s">
        <v>595</v>
      </c>
      <c r="E960" s="184">
        <v>43808</v>
      </c>
      <c r="G960" s="184"/>
      <c r="I960" s="184"/>
      <c r="K960" s="184"/>
      <c r="M960" s="184"/>
      <c r="O960" s="184"/>
      <c r="P960" t="s">
        <v>7045</v>
      </c>
      <c r="Q960" t="s">
        <v>7030</v>
      </c>
      <c r="R960" s="184">
        <v>17112</v>
      </c>
      <c r="S960">
        <v>77</v>
      </c>
      <c r="U960" t="s">
        <v>7076</v>
      </c>
      <c r="V960" t="s">
        <v>3381</v>
      </c>
      <c r="W960" t="s">
        <v>115</v>
      </c>
      <c r="X960" t="s">
        <v>4440</v>
      </c>
      <c r="AF960" t="s">
        <v>12462</v>
      </c>
      <c r="AG960" t="s">
        <v>3381</v>
      </c>
      <c r="AI960" t="s">
        <v>12463</v>
      </c>
      <c r="AM960" t="s">
        <v>3495</v>
      </c>
      <c r="AN960" t="s">
        <v>2201</v>
      </c>
      <c r="AO960" t="s">
        <v>12464</v>
      </c>
      <c r="AP960" t="s">
        <v>7024</v>
      </c>
      <c r="AQ960" t="s">
        <v>12465</v>
      </c>
      <c r="AT960" s="184">
        <v>33497</v>
      </c>
      <c r="AU960" t="s">
        <v>12466</v>
      </c>
      <c r="AV960">
        <v>15</v>
      </c>
      <c r="AW960" s="184">
        <v>45399</v>
      </c>
      <c r="AX960" t="s">
        <v>7429</v>
      </c>
      <c r="AY960">
        <v>20</v>
      </c>
      <c r="AZ960" s="184">
        <v>41316</v>
      </c>
      <c r="BA960" t="s">
        <v>12467</v>
      </c>
      <c r="BB960">
        <v>60</v>
      </c>
      <c r="BC960">
        <v>92</v>
      </c>
      <c r="BD960">
        <v>2080</v>
      </c>
      <c r="BE960">
        <v>1992</v>
      </c>
      <c r="BF960">
        <v>88</v>
      </c>
      <c r="BG960">
        <v>24</v>
      </c>
      <c r="BH960">
        <v>480</v>
      </c>
      <c r="BI960">
        <v>31</v>
      </c>
      <c r="BJ960">
        <v>34</v>
      </c>
      <c r="BK960">
        <v>14</v>
      </c>
      <c r="BP960" s="184"/>
    </row>
    <row r="961" spans="1:68">
      <c r="A961">
        <v>6098883</v>
      </c>
      <c r="B961">
        <v>6098883</v>
      </c>
      <c r="C961" t="s">
        <v>7018</v>
      </c>
      <c r="E961" s="184"/>
      <c r="F961" t="s">
        <v>595</v>
      </c>
      <c r="G961" s="184">
        <v>43801</v>
      </c>
      <c r="I961" s="184"/>
      <c r="K961" s="184"/>
      <c r="M961" s="184"/>
      <c r="O961" s="184"/>
      <c r="P961" t="s">
        <v>7045</v>
      </c>
      <c r="Q961" t="s">
        <v>7030</v>
      </c>
      <c r="R961" s="184">
        <v>20121</v>
      </c>
      <c r="S961">
        <v>69</v>
      </c>
      <c r="U961" t="s">
        <v>7130</v>
      </c>
      <c r="V961" t="s">
        <v>3875</v>
      </c>
      <c r="W961" t="s">
        <v>3226</v>
      </c>
      <c r="X961" t="s">
        <v>4315</v>
      </c>
      <c r="AF961" t="s">
        <v>12468</v>
      </c>
      <c r="AG961" t="s">
        <v>3875</v>
      </c>
      <c r="AI961" t="s">
        <v>12469</v>
      </c>
      <c r="AM961" t="s">
        <v>4316</v>
      </c>
      <c r="AN961" t="s">
        <v>2089</v>
      </c>
      <c r="AO961" t="s">
        <v>12470</v>
      </c>
      <c r="AP961" t="s">
        <v>7024</v>
      </c>
      <c r="AT961" s="184">
        <v>33497</v>
      </c>
      <c r="AU961" t="s">
        <v>12471</v>
      </c>
      <c r="AV961">
        <v>15</v>
      </c>
      <c r="AW961" s="184">
        <v>45002</v>
      </c>
      <c r="AX961" t="s">
        <v>10302</v>
      </c>
      <c r="AY961">
        <v>75</v>
      </c>
      <c r="AZ961" s="184">
        <v>42810</v>
      </c>
      <c r="BA961" t="s">
        <v>12472</v>
      </c>
      <c r="BB961">
        <v>100</v>
      </c>
      <c r="BC961">
        <v>89</v>
      </c>
      <c r="BD961">
        <v>3032</v>
      </c>
      <c r="BE961">
        <v>1992</v>
      </c>
      <c r="BF961">
        <v>52</v>
      </c>
      <c r="BG961">
        <v>1</v>
      </c>
      <c r="BH961">
        <v>75</v>
      </c>
      <c r="BI961">
        <v>30</v>
      </c>
      <c r="BJ961">
        <v>34</v>
      </c>
      <c r="BK961">
        <v>15</v>
      </c>
    </row>
    <row r="962" spans="1:68">
      <c r="A962">
        <v>6098933</v>
      </c>
      <c r="B962">
        <v>6098933</v>
      </c>
      <c r="C962" t="s">
        <v>7018</v>
      </c>
      <c r="E962" s="184"/>
      <c r="F962" t="s">
        <v>595</v>
      </c>
      <c r="G962" s="184">
        <v>43731</v>
      </c>
      <c r="I962" s="184"/>
      <c r="K962" s="184"/>
      <c r="M962" s="184"/>
      <c r="O962" s="184"/>
      <c r="P962" t="s">
        <v>7045</v>
      </c>
      <c r="Q962" t="s">
        <v>7454</v>
      </c>
      <c r="R962" s="184">
        <v>13394</v>
      </c>
      <c r="S962">
        <v>87</v>
      </c>
      <c r="V962" t="s">
        <v>3740</v>
      </c>
      <c r="W962" t="s">
        <v>4382</v>
      </c>
      <c r="X962" t="s">
        <v>3917</v>
      </c>
      <c r="AF962" t="s">
        <v>12473</v>
      </c>
      <c r="AG962" t="s">
        <v>3740</v>
      </c>
      <c r="AI962" t="s">
        <v>12474</v>
      </c>
      <c r="AM962" t="s">
        <v>8368</v>
      </c>
      <c r="AN962" t="s">
        <v>2055</v>
      </c>
      <c r="AO962" t="s">
        <v>12475</v>
      </c>
      <c r="AP962" t="s">
        <v>7024</v>
      </c>
      <c r="AQ962" t="s">
        <v>12476</v>
      </c>
      <c r="AT962" s="184">
        <v>33497</v>
      </c>
      <c r="AU962" t="s">
        <v>12477</v>
      </c>
      <c r="AV962">
        <v>32</v>
      </c>
      <c r="AW962" s="184">
        <v>44061</v>
      </c>
      <c r="AX962" t="s">
        <v>12478</v>
      </c>
      <c r="AY962">
        <v>50</v>
      </c>
      <c r="AZ962" s="184">
        <v>43966</v>
      </c>
      <c r="BA962" t="s">
        <v>12479</v>
      </c>
      <c r="BB962">
        <v>100</v>
      </c>
      <c r="BC962">
        <v>89</v>
      </c>
      <c r="BD962">
        <v>8665</v>
      </c>
      <c r="BE962">
        <v>1992</v>
      </c>
      <c r="BF962">
        <v>130</v>
      </c>
      <c r="BI962">
        <v>30</v>
      </c>
      <c r="BJ962">
        <v>34</v>
      </c>
      <c r="BK962">
        <v>30</v>
      </c>
      <c r="BO962" t="s">
        <v>595</v>
      </c>
      <c r="BP962" s="184"/>
    </row>
    <row r="963" spans="1:68">
      <c r="A963">
        <v>6099519</v>
      </c>
      <c r="B963">
        <v>6099519</v>
      </c>
      <c r="C963" t="s">
        <v>7018</v>
      </c>
      <c r="E963" s="184"/>
      <c r="G963" s="184"/>
      <c r="I963" s="184"/>
      <c r="K963" s="184"/>
      <c r="L963" t="s">
        <v>595</v>
      </c>
      <c r="M963" s="184">
        <v>45293</v>
      </c>
      <c r="O963" s="184"/>
      <c r="P963" t="s">
        <v>7029</v>
      </c>
      <c r="Q963" t="s">
        <v>7020</v>
      </c>
      <c r="R963" s="184">
        <v>17647</v>
      </c>
      <c r="S963">
        <v>76</v>
      </c>
      <c r="V963" t="s">
        <v>3101</v>
      </c>
      <c r="W963" t="s">
        <v>7046</v>
      </c>
      <c r="X963" t="s">
        <v>3569</v>
      </c>
      <c r="Z963">
        <v>100026708</v>
      </c>
      <c r="AB963" t="s">
        <v>2871</v>
      </c>
      <c r="AD963" t="s">
        <v>12480</v>
      </c>
      <c r="AF963" t="s">
        <v>12481</v>
      </c>
      <c r="AG963" t="s">
        <v>12482</v>
      </c>
      <c r="AI963" t="s">
        <v>12483</v>
      </c>
      <c r="AM963" t="s">
        <v>12484</v>
      </c>
      <c r="AN963" t="s">
        <v>2052</v>
      </c>
      <c r="AO963" t="s">
        <v>12485</v>
      </c>
      <c r="AP963" t="s">
        <v>7024</v>
      </c>
      <c r="AQ963" t="s">
        <v>12486</v>
      </c>
      <c r="AT963" s="184">
        <v>31273</v>
      </c>
      <c r="AU963" t="s">
        <v>12487</v>
      </c>
      <c r="AV963">
        <v>35</v>
      </c>
      <c r="AW963" s="184">
        <v>45286</v>
      </c>
      <c r="AX963" t="s">
        <v>7382</v>
      </c>
      <c r="AY963">
        <v>500</v>
      </c>
      <c r="AZ963" s="184">
        <v>43108</v>
      </c>
      <c r="BA963" t="s">
        <v>12488</v>
      </c>
      <c r="BB963">
        <v>600</v>
      </c>
      <c r="BC963">
        <v>85</v>
      </c>
      <c r="BD963">
        <v>17950</v>
      </c>
      <c r="BE963">
        <v>1986</v>
      </c>
      <c r="BF963">
        <v>47</v>
      </c>
      <c r="BG963">
        <v>2</v>
      </c>
      <c r="BH963">
        <v>1000</v>
      </c>
      <c r="BI963">
        <v>34</v>
      </c>
      <c r="BJ963">
        <v>40</v>
      </c>
      <c r="BK963">
        <v>10</v>
      </c>
      <c r="BL963" t="s">
        <v>595</v>
      </c>
      <c r="BM963" t="s">
        <v>595</v>
      </c>
      <c r="BP963" s="184"/>
    </row>
    <row r="964" spans="1:68">
      <c r="A964">
        <v>100026708</v>
      </c>
      <c r="B964">
        <v>6099519</v>
      </c>
      <c r="C964" t="s">
        <v>7018</v>
      </c>
      <c r="E964" s="184"/>
      <c r="I964" s="184"/>
      <c r="K964" s="184"/>
      <c r="L964" t="s">
        <v>595</v>
      </c>
      <c r="M964" s="184">
        <v>45293</v>
      </c>
      <c r="O964" s="184"/>
      <c r="P964" t="s">
        <v>7029</v>
      </c>
      <c r="Q964" t="s">
        <v>7020</v>
      </c>
      <c r="R964" s="184">
        <v>16912</v>
      </c>
      <c r="S964">
        <v>78</v>
      </c>
      <c r="V964" t="s">
        <v>2871</v>
      </c>
      <c r="X964" t="s">
        <v>12480</v>
      </c>
      <c r="Z964">
        <v>6099519</v>
      </c>
      <c r="AB964" t="s">
        <v>3101</v>
      </c>
      <c r="AC964" t="s">
        <v>7046</v>
      </c>
      <c r="AD964" t="s">
        <v>3569</v>
      </c>
      <c r="AF964" t="s">
        <v>12481</v>
      </c>
      <c r="AG964" t="s">
        <v>12482</v>
      </c>
      <c r="AI964" t="s">
        <v>12483</v>
      </c>
      <c r="AM964" t="s">
        <v>12484</v>
      </c>
      <c r="AN964" t="s">
        <v>2052</v>
      </c>
      <c r="AO964" t="s">
        <v>12485</v>
      </c>
      <c r="AP964" t="s">
        <v>7024</v>
      </c>
      <c r="AQ964" t="s">
        <v>12489</v>
      </c>
      <c r="AT964" s="184"/>
      <c r="AW964" s="184"/>
      <c r="AZ964" s="184"/>
      <c r="BL964" t="s">
        <v>595</v>
      </c>
      <c r="BM964" t="s">
        <v>595</v>
      </c>
      <c r="BP964" s="184"/>
    </row>
    <row r="965" spans="1:68">
      <c r="A965">
        <v>6114102</v>
      </c>
      <c r="B965">
        <v>6114102</v>
      </c>
      <c r="C965" t="s">
        <v>7018</v>
      </c>
      <c r="E965" s="184"/>
      <c r="I965" s="184"/>
      <c r="J965" t="s">
        <v>595</v>
      </c>
      <c r="K965" s="184">
        <v>38513</v>
      </c>
      <c r="O965" s="184"/>
      <c r="P965" t="s">
        <v>7045</v>
      </c>
      <c r="Q965" t="s">
        <v>7030</v>
      </c>
      <c r="R965" s="184">
        <v>21276</v>
      </c>
      <c r="S965">
        <v>66</v>
      </c>
      <c r="U965" t="s">
        <v>7076</v>
      </c>
      <c r="V965" t="s">
        <v>2609</v>
      </c>
      <c r="X965" t="s">
        <v>12490</v>
      </c>
      <c r="AF965" t="s">
        <v>5991</v>
      </c>
      <c r="AG965" t="s">
        <v>2609</v>
      </c>
      <c r="AI965" t="s">
        <v>12491</v>
      </c>
      <c r="AM965" t="s">
        <v>5922</v>
      </c>
      <c r="AN965" t="s">
        <v>2638</v>
      </c>
      <c r="AO965" t="s">
        <v>12492</v>
      </c>
      <c r="AP965" t="s">
        <v>7024</v>
      </c>
      <c r="AQ965" t="s">
        <v>12493</v>
      </c>
      <c r="AT965" s="184">
        <v>33507</v>
      </c>
      <c r="AU965" t="s">
        <v>11980</v>
      </c>
      <c r="AV965">
        <v>19.95</v>
      </c>
      <c r="AW965" s="184">
        <v>45411</v>
      </c>
      <c r="AX965" t="s">
        <v>7414</v>
      </c>
      <c r="AY965">
        <v>50</v>
      </c>
      <c r="AZ965" s="184">
        <v>39080</v>
      </c>
      <c r="BA965" t="s">
        <v>12494</v>
      </c>
      <c r="BB965">
        <v>100</v>
      </c>
      <c r="BC965">
        <v>100</v>
      </c>
      <c r="BD965">
        <v>14264.95</v>
      </c>
      <c r="BE965">
        <v>1992</v>
      </c>
      <c r="BF965">
        <v>368</v>
      </c>
      <c r="BG965">
        <v>25</v>
      </c>
      <c r="BH965">
        <v>1225</v>
      </c>
      <c r="BI965">
        <v>34</v>
      </c>
      <c r="BJ965">
        <v>34</v>
      </c>
      <c r="BK965">
        <v>34</v>
      </c>
    </row>
    <row r="966" spans="1:68">
      <c r="A966">
        <v>6130801</v>
      </c>
      <c r="B966">
        <v>6130801</v>
      </c>
      <c r="C966" t="s">
        <v>7018</v>
      </c>
      <c r="E966" s="184"/>
      <c r="G966" s="184"/>
      <c r="H966" t="s">
        <v>595</v>
      </c>
      <c r="I966" s="184">
        <v>44070</v>
      </c>
      <c r="K966" s="184"/>
      <c r="O966" s="184"/>
      <c r="P966" t="s">
        <v>7045</v>
      </c>
      <c r="Q966" t="s">
        <v>7383</v>
      </c>
      <c r="R966" s="184">
        <v>19782</v>
      </c>
      <c r="S966">
        <v>70</v>
      </c>
      <c r="U966" t="s">
        <v>7076</v>
      </c>
      <c r="V966" t="s">
        <v>3584</v>
      </c>
      <c r="X966" t="s">
        <v>4897</v>
      </c>
      <c r="AF966" t="s">
        <v>12495</v>
      </c>
      <c r="AG966" t="s">
        <v>3584</v>
      </c>
      <c r="AI966" t="s">
        <v>12496</v>
      </c>
      <c r="AM966" t="s">
        <v>4898</v>
      </c>
      <c r="AN966" t="s">
        <v>2072</v>
      </c>
      <c r="AO966" t="s">
        <v>12497</v>
      </c>
      <c r="AP966" t="s">
        <v>7024</v>
      </c>
      <c r="AQ966" t="s">
        <v>12498</v>
      </c>
      <c r="AT966" s="184">
        <v>33498</v>
      </c>
      <c r="AU966" t="s">
        <v>12436</v>
      </c>
      <c r="AV966">
        <v>15</v>
      </c>
      <c r="AW966" s="184">
        <v>44649</v>
      </c>
      <c r="AX966" t="s">
        <v>12499</v>
      </c>
      <c r="AY966">
        <v>20</v>
      </c>
      <c r="AZ966" s="184">
        <v>38924</v>
      </c>
      <c r="BA966" t="s">
        <v>12500</v>
      </c>
      <c r="BB966">
        <v>100</v>
      </c>
      <c r="BC966">
        <v>62</v>
      </c>
      <c r="BD966">
        <v>980</v>
      </c>
      <c r="BE966">
        <v>1992</v>
      </c>
      <c r="BF966">
        <v>36</v>
      </c>
      <c r="BI966">
        <v>21</v>
      </c>
      <c r="BJ966">
        <v>34</v>
      </c>
      <c r="BK966">
        <v>9</v>
      </c>
      <c r="BN966" t="s">
        <v>595</v>
      </c>
      <c r="BP966" s="184"/>
    </row>
    <row r="967" spans="1:68">
      <c r="A967">
        <v>6136501</v>
      </c>
      <c r="B967">
        <v>6136501</v>
      </c>
      <c r="C967" t="s">
        <v>7018</v>
      </c>
      <c r="E967" s="184"/>
      <c r="G967" s="184"/>
      <c r="I967" s="184"/>
      <c r="K967" s="184"/>
      <c r="N967" t="s">
        <v>595</v>
      </c>
      <c r="O967" s="184">
        <v>39070</v>
      </c>
      <c r="P967" t="s">
        <v>7045</v>
      </c>
      <c r="Q967" t="s">
        <v>7494</v>
      </c>
      <c r="R967" s="184">
        <v>13787</v>
      </c>
      <c r="S967">
        <v>86</v>
      </c>
      <c r="U967" t="s">
        <v>7031</v>
      </c>
      <c r="V967" t="s">
        <v>2511</v>
      </c>
      <c r="W967" t="s">
        <v>2963</v>
      </c>
      <c r="X967" t="s">
        <v>5280</v>
      </c>
      <c r="Z967">
        <v>100026815</v>
      </c>
      <c r="AA967" t="s">
        <v>7130</v>
      </c>
      <c r="AB967" t="s">
        <v>5537</v>
      </c>
      <c r="AC967" t="s">
        <v>8224</v>
      </c>
      <c r="AD967" t="s">
        <v>5280</v>
      </c>
      <c r="AF967" t="s">
        <v>12501</v>
      </c>
      <c r="AG967" t="s">
        <v>12502</v>
      </c>
      <c r="AI967" t="s">
        <v>12503</v>
      </c>
      <c r="AM967" t="s">
        <v>3996</v>
      </c>
      <c r="AN967" t="s">
        <v>2174</v>
      </c>
      <c r="AO967" t="s">
        <v>12504</v>
      </c>
      <c r="AP967" t="s">
        <v>7024</v>
      </c>
      <c r="AQ967" t="s">
        <v>12505</v>
      </c>
      <c r="AT967" s="184">
        <v>33498</v>
      </c>
      <c r="AU967" t="s">
        <v>12506</v>
      </c>
      <c r="AV967">
        <v>15</v>
      </c>
      <c r="AW967" s="184">
        <v>45402</v>
      </c>
      <c r="AX967" t="s">
        <v>7429</v>
      </c>
      <c r="AY967">
        <v>36</v>
      </c>
      <c r="AZ967" s="184">
        <v>42657</v>
      </c>
      <c r="BA967" t="s">
        <v>7267</v>
      </c>
      <c r="BB967">
        <v>15000</v>
      </c>
      <c r="BC967">
        <v>98</v>
      </c>
      <c r="BD967">
        <v>45875</v>
      </c>
      <c r="BE967">
        <v>1992</v>
      </c>
      <c r="BF967">
        <v>188</v>
      </c>
      <c r="BG967">
        <v>24</v>
      </c>
      <c r="BH967">
        <v>878</v>
      </c>
      <c r="BI967">
        <v>33</v>
      </c>
      <c r="BJ967">
        <v>34</v>
      </c>
      <c r="BK967">
        <v>30</v>
      </c>
      <c r="BP967" s="184"/>
    </row>
    <row r="968" spans="1:68">
      <c r="A968">
        <v>100026815</v>
      </c>
      <c r="B968">
        <v>6136501</v>
      </c>
      <c r="C968" t="s">
        <v>7018</v>
      </c>
      <c r="E968" s="184"/>
      <c r="G968" s="184"/>
      <c r="I968" s="184"/>
      <c r="K968" s="184"/>
      <c r="N968" t="s">
        <v>595</v>
      </c>
      <c r="O968" s="184">
        <v>39070</v>
      </c>
      <c r="P968" t="s">
        <v>7045</v>
      </c>
      <c r="Q968" t="s">
        <v>7494</v>
      </c>
      <c r="R968" s="184">
        <v>13787</v>
      </c>
      <c r="S968">
        <v>86</v>
      </c>
      <c r="U968" t="s">
        <v>7130</v>
      </c>
      <c r="V968" t="s">
        <v>5537</v>
      </c>
      <c r="W968" t="s">
        <v>8224</v>
      </c>
      <c r="X968" t="s">
        <v>5280</v>
      </c>
      <c r="Z968">
        <v>6136501</v>
      </c>
      <c r="AA968" t="s">
        <v>7031</v>
      </c>
      <c r="AB968" t="s">
        <v>2511</v>
      </c>
      <c r="AC968" t="s">
        <v>2963</v>
      </c>
      <c r="AD968" t="s">
        <v>5280</v>
      </c>
      <c r="AF968" t="s">
        <v>12501</v>
      </c>
      <c r="AG968" t="s">
        <v>12502</v>
      </c>
      <c r="AI968" t="s">
        <v>12503</v>
      </c>
      <c r="AM968" t="s">
        <v>3996</v>
      </c>
      <c r="AN968" t="s">
        <v>2174</v>
      </c>
      <c r="AO968" t="s">
        <v>12504</v>
      </c>
      <c r="AP968" t="s">
        <v>7024</v>
      </c>
      <c r="AT968" s="184"/>
      <c r="AW968" s="184"/>
      <c r="AZ968" s="184"/>
      <c r="BP968" s="184"/>
    </row>
    <row r="969" spans="1:68">
      <c r="A969">
        <v>6146831</v>
      </c>
      <c r="B969">
        <v>6146831</v>
      </c>
      <c r="C969" t="s">
        <v>7018</v>
      </c>
      <c r="D969" t="s">
        <v>595</v>
      </c>
      <c r="E969" s="184">
        <v>44313</v>
      </c>
      <c r="G969" s="184"/>
      <c r="I969" s="184"/>
      <c r="K969" s="184"/>
      <c r="O969" s="184"/>
      <c r="P969" t="s">
        <v>7045</v>
      </c>
      <c r="Q969" t="s">
        <v>7454</v>
      </c>
      <c r="R969" s="184">
        <v>15676</v>
      </c>
      <c r="S969">
        <v>81</v>
      </c>
      <c r="U969" t="s">
        <v>7130</v>
      </c>
      <c r="V969" t="s">
        <v>2609</v>
      </c>
      <c r="W969" t="s">
        <v>3226</v>
      </c>
      <c r="X969" t="s">
        <v>12507</v>
      </c>
      <c r="AF969" t="s">
        <v>12508</v>
      </c>
      <c r="AG969" t="s">
        <v>2609</v>
      </c>
      <c r="AI969" t="s">
        <v>12509</v>
      </c>
      <c r="AM969" t="s">
        <v>3958</v>
      </c>
      <c r="AN969" t="s">
        <v>2055</v>
      </c>
      <c r="AO969" t="s">
        <v>12510</v>
      </c>
      <c r="AP969" t="s">
        <v>7024</v>
      </c>
      <c r="AQ969" t="s">
        <v>12511</v>
      </c>
      <c r="AR969" t="s">
        <v>12512</v>
      </c>
      <c r="AT969" s="184">
        <v>33499</v>
      </c>
      <c r="AU969" t="s">
        <v>12513</v>
      </c>
      <c r="AV969">
        <v>15</v>
      </c>
      <c r="AW969" s="184">
        <v>45229</v>
      </c>
      <c r="AX969" t="s">
        <v>8133</v>
      </c>
      <c r="AY969">
        <v>15</v>
      </c>
      <c r="AZ969" s="184">
        <v>38014</v>
      </c>
      <c r="BA969" t="s">
        <v>12514</v>
      </c>
      <c r="BB969">
        <v>60</v>
      </c>
      <c r="BC969">
        <v>53</v>
      </c>
      <c r="BD969">
        <v>645</v>
      </c>
      <c r="BE969">
        <v>1992</v>
      </c>
      <c r="BF969">
        <v>22</v>
      </c>
      <c r="BG969">
        <v>2</v>
      </c>
      <c r="BH969">
        <v>50</v>
      </c>
      <c r="BI969">
        <v>18</v>
      </c>
      <c r="BJ969">
        <v>34</v>
      </c>
      <c r="BK969">
        <v>9</v>
      </c>
      <c r="BN969" t="s">
        <v>595</v>
      </c>
    </row>
    <row r="970" spans="1:68">
      <c r="A970">
        <v>6154546</v>
      </c>
      <c r="B970">
        <v>6154546</v>
      </c>
      <c r="C970" t="s">
        <v>7018</v>
      </c>
      <c r="E970" s="184"/>
      <c r="G970" s="184"/>
      <c r="I970" s="184"/>
      <c r="J970" t="s">
        <v>595</v>
      </c>
      <c r="K970" s="184">
        <v>42201</v>
      </c>
      <c r="O970" s="184"/>
      <c r="P970" t="s">
        <v>7045</v>
      </c>
      <c r="Q970" t="s">
        <v>7383</v>
      </c>
      <c r="R970" s="184">
        <v>19572</v>
      </c>
      <c r="S970">
        <v>70</v>
      </c>
      <c r="U970" t="s">
        <v>7031</v>
      </c>
      <c r="V970" t="s">
        <v>2724</v>
      </c>
      <c r="X970" t="s">
        <v>12515</v>
      </c>
      <c r="Z970">
        <v>100026881</v>
      </c>
      <c r="AA970" t="s">
        <v>7076</v>
      </c>
      <c r="AB970" t="s">
        <v>3008</v>
      </c>
      <c r="AD970" t="s">
        <v>12516</v>
      </c>
      <c r="AF970" t="s">
        <v>12517</v>
      </c>
      <c r="AG970" t="s">
        <v>12518</v>
      </c>
      <c r="AI970" t="s">
        <v>12519</v>
      </c>
      <c r="AM970" t="s">
        <v>3153</v>
      </c>
      <c r="AN970" t="s">
        <v>2313</v>
      </c>
      <c r="AO970" t="s">
        <v>12520</v>
      </c>
      <c r="AP970" t="s">
        <v>7024</v>
      </c>
      <c r="AQ970" t="s">
        <v>12521</v>
      </c>
      <c r="AT970" s="184">
        <v>33499</v>
      </c>
      <c r="AU970" t="s">
        <v>12522</v>
      </c>
      <c r="AV970">
        <v>15</v>
      </c>
      <c r="AW970" s="184">
        <v>42665</v>
      </c>
      <c r="AX970" t="s">
        <v>7959</v>
      </c>
      <c r="AY970">
        <v>250</v>
      </c>
      <c r="AZ970" s="184">
        <v>42665</v>
      </c>
      <c r="BA970" t="s">
        <v>7959</v>
      </c>
      <c r="BB970">
        <v>250</v>
      </c>
      <c r="BC970">
        <v>33</v>
      </c>
      <c r="BD970">
        <v>1530</v>
      </c>
      <c r="BE970">
        <v>1992</v>
      </c>
      <c r="BF970">
        <v>13</v>
      </c>
      <c r="BI970">
        <v>11</v>
      </c>
      <c r="BJ970">
        <v>34</v>
      </c>
      <c r="BK970">
        <v>10</v>
      </c>
      <c r="BN970" t="s">
        <v>595</v>
      </c>
      <c r="BP970" s="184"/>
    </row>
    <row r="971" spans="1:68">
      <c r="A971">
        <v>100026881</v>
      </c>
      <c r="B971">
        <v>6154546</v>
      </c>
      <c r="C971" t="s">
        <v>7018</v>
      </c>
      <c r="E971" s="184"/>
      <c r="G971" s="184"/>
      <c r="I971" s="184"/>
      <c r="J971" t="s">
        <v>595</v>
      </c>
      <c r="K971" s="184">
        <v>42201</v>
      </c>
      <c r="O971" s="184"/>
      <c r="P971" t="s">
        <v>7045</v>
      </c>
      <c r="Q971" t="s">
        <v>7383</v>
      </c>
      <c r="R971" s="184">
        <v>20911</v>
      </c>
      <c r="S971">
        <v>67</v>
      </c>
      <c r="U971" t="s">
        <v>7076</v>
      </c>
      <c r="V971" t="s">
        <v>3008</v>
      </c>
      <c r="X971" t="s">
        <v>12516</v>
      </c>
      <c r="Z971">
        <v>6154546</v>
      </c>
      <c r="AA971" t="s">
        <v>7031</v>
      </c>
      <c r="AB971" t="s">
        <v>2724</v>
      </c>
      <c r="AD971" t="s">
        <v>12515</v>
      </c>
      <c r="AF971" t="s">
        <v>12517</v>
      </c>
      <c r="AG971" t="s">
        <v>12518</v>
      </c>
      <c r="AI971" t="s">
        <v>12519</v>
      </c>
      <c r="AM971" t="s">
        <v>3153</v>
      </c>
      <c r="AN971" t="s">
        <v>2313</v>
      </c>
      <c r="AO971" t="s">
        <v>12520</v>
      </c>
      <c r="AP971" t="s">
        <v>7024</v>
      </c>
      <c r="AT971" s="184"/>
      <c r="AW971" s="184"/>
      <c r="AZ971" s="184"/>
    </row>
    <row r="972" spans="1:68">
      <c r="A972">
        <v>6168579</v>
      </c>
      <c r="B972">
        <v>6168579</v>
      </c>
      <c r="C972" t="s">
        <v>7018</v>
      </c>
      <c r="D972" t="s">
        <v>595</v>
      </c>
      <c r="E972" s="184">
        <v>43970</v>
      </c>
      <c r="G972" s="184"/>
      <c r="I972" s="184"/>
      <c r="K972" s="184"/>
      <c r="O972" s="184"/>
      <c r="P972" t="s">
        <v>7045</v>
      </c>
      <c r="Q972" t="s">
        <v>7160</v>
      </c>
      <c r="R972" s="184">
        <v>23681</v>
      </c>
      <c r="S972">
        <v>59</v>
      </c>
      <c r="U972" t="s">
        <v>7094</v>
      </c>
      <c r="V972" t="s">
        <v>3187</v>
      </c>
      <c r="X972" t="s">
        <v>12523</v>
      </c>
      <c r="AF972" t="s">
        <v>12524</v>
      </c>
      <c r="AG972" t="s">
        <v>3187</v>
      </c>
      <c r="AI972" t="s">
        <v>12525</v>
      </c>
      <c r="AM972" t="s">
        <v>2766</v>
      </c>
      <c r="AN972" t="s">
        <v>2176</v>
      </c>
      <c r="AO972" t="s">
        <v>12526</v>
      </c>
      <c r="AP972" t="s">
        <v>7024</v>
      </c>
      <c r="AQ972" t="s">
        <v>12527</v>
      </c>
      <c r="AR972" t="s">
        <v>12528</v>
      </c>
      <c r="AT972" s="184">
        <v>33501</v>
      </c>
      <c r="AU972" t="s">
        <v>12529</v>
      </c>
      <c r="AV972">
        <v>25</v>
      </c>
      <c r="AW972" s="184">
        <v>45159</v>
      </c>
      <c r="AX972" t="s">
        <v>9182</v>
      </c>
      <c r="AY972">
        <v>25</v>
      </c>
      <c r="AZ972" s="184">
        <v>43367</v>
      </c>
      <c r="BA972" t="s">
        <v>12530</v>
      </c>
      <c r="BB972">
        <v>87</v>
      </c>
      <c r="BC972">
        <v>98</v>
      </c>
      <c r="BD972">
        <v>1809</v>
      </c>
      <c r="BE972">
        <v>1992</v>
      </c>
      <c r="BF972">
        <v>72</v>
      </c>
      <c r="BG972">
        <v>4</v>
      </c>
      <c r="BH972">
        <v>150</v>
      </c>
      <c r="BI972">
        <v>33</v>
      </c>
      <c r="BJ972">
        <v>34</v>
      </c>
      <c r="BK972">
        <v>33</v>
      </c>
      <c r="BP972" s="184"/>
    </row>
    <row r="973" spans="1:68">
      <c r="A973">
        <v>6192629</v>
      </c>
      <c r="B973">
        <v>6192629</v>
      </c>
      <c r="C973" t="s">
        <v>7018</v>
      </c>
      <c r="D973" t="s">
        <v>595</v>
      </c>
      <c r="E973" s="184">
        <v>44104</v>
      </c>
      <c r="G973" s="184"/>
      <c r="I973" s="184"/>
      <c r="K973" s="184"/>
      <c r="O973" s="184"/>
      <c r="P973" t="s">
        <v>7045</v>
      </c>
      <c r="Q973" t="s">
        <v>7383</v>
      </c>
      <c r="R973" s="184">
        <v>18445</v>
      </c>
      <c r="S973">
        <v>73</v>
      </c>
      <c r="U973" t="s">
        <v>7031</v>
      </c>
      <c r="V973" t="s">
        <v>2614</v>
      </c>
      <c r="X973" t="s">
        <v>4923</v>
      </c>
      <c r="Z973">
        <v>100027029</v>
      </c>
      <c r="AA973" t="s">
        <v>7130</v>
      </c>
      <c r="AB973" t="s">
        <v>12531</v>
      </c>
      <c r="AD973" t="s">
        <v>4923</v>
      </c>
      <c r="AF973" t="s">
        <v>12532</v>
      </c>
      <c r="AG973" t="s">
        <v>12533</v>
      </c>
      <c r="AI973" t="s">
        <v>12534</v>
      </c>
      <c r="AM973" t="s">
        <v>3761</v>
      </c>
      <c r="AN973" t="s">
        <v>2059</v>
      </c>
      <c r="AO973" t="s">
        <v>12535</v>
      </c>
      <c r="AP973" t="s">
        <v>7024</v>
      </c>
      <c r="AQ973" t="s">
        <v>12536</v>
      </c>
      <c r="AR973" t="s">
        <v>12537</v>
      </c>
      <c r="AT973" s="184">
        <v>33514</v>
      </c>
      <c r="AU973" t="s">
        <v>11980</v>
      </c>
      <c r="AV973">
        <v>19.95</v>
      </c>
      <c r="AW973" s="184">
        <v>45278</v>
      </c>
      <c r="AX973" t="s">
        <v>9097</v>
      </c>
      <c r="AY973">
        <v>75</v>
      </c>
      <c r="AZ973" s="184">
        <v>45278</v>
      </c>
      <c r="BA973" t="s">
        <v>9097</v>
      </c>
      <c r="BB973">
        <v>75</v>
      </c>
      <c r="BC973">
        <v>42</v>
      </c>
      <c r="BD973">
        <v>1059.95</v>
      </c>
      <c r="BE973">
        <v>1992</v>
      </c>
      <c r="BF973">
        <v>30</v>
      </c>
      <c r="BG973">
        <v>6</v>
      </c>
      <c r="BH973">
        <v>260</v>
      </c>
      <c r="BI973">
        <v>14</v>
      </c>
      <c r="BJ973">
        <v>34</v>
      </c>
      <c r="BK973">
        <v>6</v>
      </c>
      <c r="BP973" s="184"/>
    </row>
    <row r="974" spans="1:68">
      <c r="A974">
        <v>100027029</v>
      </c>
      <c r="B974">
        <v>6192629</v>
      </c>
      <c r="C974" t="s">
        <v>7018</v>
      </c>
      <c r="D974" t="s">
        <v>595</v>
      </c>
      <c r="E974" s="184">
        <v>44104</v>
      </c>
      <c r="G974" s="184"/>
      <c r="I974" s="184"/>
      <c r="K974" s="184"/>
      <c r="O974" s="184"/>
      <c r="P974" t="s">
        <v>7045</v>
      </c>
      <c r="Q974" t="s">
        <v>7383</v>
      </c>
      <c r="R974" s="184">
        <v>17899</v>
      </c>
      <c r="S974">
        <v>75</v>
      </c>
      <c r="U974" t="s">
        <v>7130</v>
      </c>
      <c r="V974" t="s">
        <v>12531</v>
      </c>
      <c r="X974" t="s">
        <v>4923</v>
      </c>
      <c r="Z974">
        <v>6192629</v>
      </c>
      <c r="AA974" t="s">
        <v>7031</v>
      </c>
      <c r="AB974" t="s">
        <v>2614</v>
      </c>
      <c r="AD974" t="s">
        <v>4923</v>
      </c>
      <c r="AF974" t="s">
        <v>12532</v>
      </c>
      <c r="AG974" t="s">
        <v>12533</v>
      </c>
      <c r="AI974" t="s">
        <v>12534</v>
      </c>
      <c r="AM974" t="s">
        <v>3761</v>
      </c>
      <c r="AN974" t="s">
        <v>2059</v>
      </c>
      <c r="AO974" t="s">
        <v>12535</v>
      </c>
      <c r="AP974" t="s">
        <v>7024</v>
      </c>
      <c r="AQ974" t="s">
        <v>12538</v>
      </c>
      <c r="AT974" s="184"/>
      <c r="AW974" s="184"/>
      <c r="AZ974" s="184"/>
      <c r="BP974" s="184"/>
    </row>
    <row r="975" spans="1:68">
      <c r="A975">
        <v>6201784</v>
      </c>
      <c r="B975">
        <v>6201784</v>
      </c>
      <c r="C975" t="s">
        <v>7018</v>
      </c>
      <c r="E975" s="184"/>
      <c r="I975" s="184"/>
      <c r="J975" t="s">
        <v>595</v>
      </c>
      <c r="K975" s="184">
        <v>43640</v>
      </c>
      <c r="O975" s="184"/>
      <c r="P975" t="s">
        <v>7045</v>
      </c>
      <c r="Q975" t="s">
        <v>7160</v>
      </c>
      <c r="R975" s="184">
        <v>15342</v>
      </c>
      <c r="S975">
        <v>82</v>
      </c>
      <c r="U975" t="s">
        <v>7031</v>
      </c>
      <c r="V975" t="s">
        <v>2851</v>
      </c>
      <c r="X975" t="s">
        <v>3036</v>
      </c>
      <c r="AF975" t="s">
        <v>6300</v>
      </c>
      <c r="AG975" t="s">
        <v>2851</v>
      </c>
      <c r="AI975" t="s">
        <v>12539</v>
      </c>
      <c r="AM975" t="s">
        <v>3037</v>
      </c>
      <c r="AN975" t="s">
        <v>2176</v>
      </c>
      <c r="AO975" t="s">
        <v>12540</v>
      </c>
      <c r="AP975" t="s">
        <v>7024</v>
      </c>
      <c r="AQ975" t="s">
        <v>12541</v>
      </c>
      <c r="AR975" t="s">
        <v>12542</v>
      </c>
      <c r="AT975" s="184">
        <v>33506</v>
      </c>
      <c r="AU975" t="s">
        <v>12186</v>
      </c>
      <c r="AV975">
        <v>25</v>
      </c>
      <c r="AW975" s="184">
        <v>44699</v>
      </c>
      <c r="AX975" t="s">
        <v>12543</v>
      </c>
      <c r="AY975">
        <v>40</v>
      </c>
      <c r="AZ975" s="184">
        <v>35545</v>
      </c>
      <c r="BA975" t="s">
        <v>12544</v>
      </c>
      <c r="BB975">
        <v>50</v>
      </c>
      <c r="BC975">
        <v>92</v>
      </c>
      <c r="BD975">
        <v>1865</v>
      </c>
      <c r="BE975">
        <v>1992</v>
      </c>
      <c r="BF975">
        <v>60</v>
      </c>
      <c r="BG975">
        <v>1</v>
      </c>
      <c r="BH975">
        <v>40</v>
      </c>
      <c r="BI975">
        <v>31</v>
      </c>
      <c r="BJ975">
        <v>34</v>
      </c>
      <c r="BK975">
        <v>29</v>
      </c>
      <c r="BP975" s="184"/>
    </row>
    <row r="976" spans="1:68">
      <c r="A976">
        <v>6211643</v>
      </c>
      <c r="B976">
        <v>6211643</v>
      </c>
      <c r="C976" t="s">
        <v>7018</v>
      </c>
      <c r="E976" s="184"/>
      <c r="G976" s="184"/>
      <c r="I976" s="184"/>
      <c r="J976" t="s">
        <v>595</v>
      </c>
      <c r="K976" s="184">
        <v>45278</v>
      </c>
      <c r="O976" s="184"/>
      <c r="P976" t="s">
        <v>7045</v>
      </c>
      <c r="Q976" t="s">
        <v>7262</v>
      </c>
      <c r="R976" s="184">
        <v>15106</v>
      </c>
      <c r="S976">
        <v>83</v>
      </c>
      <c r="U976" t="s">
        <v>7076</v>
      </c>
      <c r="V976" t="s">
        <v>3400</v>
      </c>
      <c r="X976" t="s">
        <v>12545</v>
      </c>
      <c r="AF976" t="s">
        <v>12546</v>
      </c>
      <c r="AG976" t="s">
        <v>3400</v>
      </c>
      <c r="AI976" t="s">
        <v>12547</v>
      </c>
      <c r="AM976" t="s">
        <v>12548</v>
      </c>
      <c r="AN976" t="s">
        <v>2069</v>
      </c>
      <c r="AO976" t="s">
        <v>12549</v>
      </c>
      <c r="AP976" t="s">
        <v>7024</v>
      </c>
      <c r="AT976" s="184">
        <v>33508</v>
      </c>
      <c r="AU976" t="s">
        <v>12421</v>
      </c>
      <c r="AV976">
        <v>40</v>
      </c>
      <c r="AW976" s="184">
        <v>43418</v>
      </c>
      <c r="AX976" t="s">
        <v>7493</v>
      </c>
      <c r="AY976">
        <v>500</v>
      </c>
      <c r="AZ976" s="184">
        <v>42718</v>
      </c>
      <c r="BA976" t="s">
        <v>12550</v>
      </c>
      <c r="BB976">
        <v>750</v>
      </c>
      <c r="BC976">
        <v>65</v>
      </c>
      <c r="BD976">
        <v>4790</v>
      </c>
      <c r="BE976">
        <v>1992</v>
      </c>
      <c r="BF976">
        <v>28</v>
      </c>
      <c r="BI976">
        <v>22</v>
      </c>
      <c r="BJ976">
        <v>34</v>
      </c>
      <c r="BK976">
        <v>7</v>
      </c>
      <c r="BO976" t="s">
        <v>595</v>
      </c>
      <c r="BP976" s="184">
        <v>44924</v>
      </c>
    </row>
    <row r="977" spans="1:68">
      <c r="A977">
        <v>6215685</v>
      </c>
      <c r="B977">
        <v>6215685</v>
      </c>
      <c r="C977" t="s">
        <v>7018</v>
      </c>
      <c r="E977" s="184"/>
      <c r="G977" s="184"/>
      <c r="I977" s="184"/>
      <c r="J977" t="s">
        <v>595</v>
      </c>
      <c r="K977" s="184">
        <v>41967</v>
      </c>
      <c r="O977" s="184"/>
      <c r="P977" t="s">
        <v>7045</v>
      </c>
      <c r="Q977" t="s">
        <v>7020</v>
      </c>
      <c r="R977" s="184">
        <v>15584</v>
      </c>
      <c r="S977">
        <v>81</v>
      </c>
      <c r="U977" t="s">
        <v>7031</v>
      </c>
      <c r="V977" t="s">
        <v>5842</v>
      </c>
      <c r="W977" t="s">
        <v>7963</v>
      </c>
      <c r="X977" t="s">
        <v>9795</v>
      </c>
      <c r="Z977">
        <v>100027138</v>
      </c>
      <c r="AA977" t="s">
        <v>7130</v>
      </c>
      <c r="AB977" t="s">
        <v>12359</v>
      </c>
      <c r="AD977" t="s">
        <v>9795</v>
      </c>
      <c r="AF977" t="s">
        <v>12551</v>
      </c>
      <c r="AG977" t="s">
        <v>12552</v>
      </c>
      <c r="AI977" t="s">
        <v>12553</v>
      </c>
      <c r="AM977" t="s">
        <v>2722</v>
      </c>
      <c r="AN977" t="s">
        <v>2240</v>
      </c>
      <c r="AO977" t="s">
        <v>12554</v>
      </c>
      <c r="AP977" t="s">
        <v>7024</v>
      </c>
      <c r="AQ977" t="s">
        <v>12555</v>
      </c>
      <c r="AT977" s="184">
        <v>33511</v>
      </c>
      <c r="AU977" t="s">
        <v>12556</v>
      </c>
      <c r="AV977">
        <v>25</v>
      </c>
      <c r="AW977" s="184">
        <v>45273</v>
      </c>
      <c r="AX977" t="s">
        <v>7515</v>
      </c>
      <c r="AY977">
        <v>50</v>
      </c>
      <c r="AZ977" s="184">
        <v>43388</v>
      </c>
      <c r="BA977" t="s">
        <v>12557</v>
      </c>
      <c r="BB977">
        <v>75</v>
      </c>
      <c r="BC977">
        <v>95</v>
      </c>
      <c r="BD977">
        <v>2125</v>
      </c>
      <c r="BE977">
        <v>1992</v>
      </c>
      <c r="BF977">
        <v>52</v>
      </c>
      <c r="BG977">
        <v>2</v>
      </c>
      <c r="BH977">
        <v>100</v>
      </c>
      <c r="BI977">
        <v>32</v>
      </c>
      <c r="BJ977">
        <v>34</v>
      </c>
      <c r="BK977">
        <v>30</v>
      </c>
      <c r="BP977" s="184"/>
    </row>
    <row r="978" spans="1:68">
      <c r="A978">
        <v>100027138</v>
      </c>
      <c r="B978">
        <v>6215685</v>
      </c>
      <c r="C978" t="s">
        <v>7018</v>
      </c>
      <c r="E978" s="184"/>
      <c r="I978" s="184"/>
      <c r="J978" t="s">
        <v>595</v>
      </c>
      <c r="K978" s="184">
        <v>41967</v>
      </c>
      <c r="O978" s="184"/>
      <c r="P978" t="s">
        <v>7045</v>
      </c>
      <c r="Q978" t="s">
        <v>7020</v>
      </c>
      <c r="R978" s="184">
        <v>17133</v>
      </c>
      <c r="S978">
        <v>77</v>
      </c>
      <c r="U978" t="s">
        <v>7130</v>
      </c>
      <c r="V978" t="s">
        <v>12359</v>
      </c>
      <c r="X978" t="s">
        <v>9795</v>
      </c>
      <c r="Z978">
        <v>6215685</v>
      </c>
      <c r="AA978" t="s">
        <v>7031</v>
      </c>
      <c r="AB978" t="s">
        <v>5842</v>
      </c>
      <c r="AC978" t="s">
        <v>7963</v>
      </c>
      <c r="AD978" t="s">
        <v>9795</v>
      </c>
      <c r="AF978" t="s">
        <v>12551</v>
      </c>
      <c r="AG978" t="s">
        <v>12552</v>
      </c>
      <c r="AI978" t="s">
        <v>12553</v>
      </c>
      <c r="AM978" t="s">
        <v>2722</v>
      </c>
      <c r="AN978" t="s">
        <v>2240</v>
      </c>
      <c r="AO978" t="s">
        <v>12554</v>
      </c>
      <c r="AP978" t="s">
        <v>7024</v>
      </c>
      <c r="AQ978" t="s">
        <v>12558</v>
      </c>
      <c r="AT978" s="184"/>
      <c r="AW978" s="184"/>
      <c r="AZ978" s="184"/>
      <c r="BP978" s="184"/>
    </row>
    <row r="979" spans="1:68">
      <c r="A979">
        <v>6221063</v>
      </c>
      <c r="B979">
        <v>6221063</v>
      </c>
      <c r="C979" t="s">
        <v>7018</v>
      </c>
      <c r="D979" t="s">
        <v>595</v>
      </c>
      <c r="E979" s="184">
        <v>43745</v>
      </c>
      <c r="G979" s="184"/>
      <c r="I979" s="184"/>
      <c r="K979" s="184"/>
      <c r="O979" s="184"/>
      <c r="P979" t="s">
        <v>7045</v>
      </c>
      <c r="Q979" t="s">
        <v>7454</v>
      </c>
      <c r="R979" s="184">
        <v>18839</v>
      </c>
      <c r="S979">
        <v>72</v>
      </c>
      <c r="U979" t="s">
        <v>7076</v>
      </c>
      <c r="V979" t="s">
        <v>3072</v>
      </c>
      <c r="X979" t="s">
        <v>4099</v>
      </c>
      <c r="AF979" t="s">
        <v>12559</v>
      </c>
      <c r="AG979" t="s">
        <v>3072</v>
      </c>
      <c r="AI979" t="s">
        <v>12560</v>
      </c>
      <c r="AM979" t="s">
        <v>3347</v>
      </c>
      <c r="AN979" t="s">
        <v>2055</v>
      </c>
      <c r="AO979" t="s">
        <v>12561</v>
      </c>
      <c r="AP979" t="s">
        <v>7024</v>
      </c>
      <c r="AQ979" t="s">
        <v>12562</v>
      </c>
      <c r="AR979" t="s">
        <v>12563</v>
      </c>
      <c r="AT979" s="184">
        <v>33522</v>
      </c>
      <c r="AU979" t="s">
        <v>11980</v>
      </c>
      <c r="AV979">
        <v>19.95</v>
      </c>
      <c r="AW979" s="184">
        <v>45392</v>
      </c>
      <c r="AX979" t="s">
        <v>9576</v>
      </c>
      <c r="AY979">
        <v>36.75</v>
      </c>
      <c r="AZ979" s="184">
        <v>45392</v>
      </c>
      <c r="BA979" t="s">
        <v>9576</v>
      </c>
      <c r="BB979">
        <v>36.75</v>
      </c>
      <c r="BC979">
        <v>89</v>
      </c>
      <c r="BD979">
        <v>1051.5</v>
      </c>
      <c r="BE979">
        <v>1992</v>
      </c>
      <c r="BF979">
        <v>42</v>
      </c>
      <c r="BG979">
        <v>2</v>
      </c>
      <c r="BH979">
        <v>71.75</v>
      </c>
      <c r="BI979">
        <v>30</v>
      </c>
      <c r="BJ979">
        <v>34</v>
      </c>
      <c r="BK979">
        <v>24</v>
      </c>
      <c r="BP979" s="184"/>
    </row>
    <row r="980" spans="1:68">
      <c r="A980">
        <v>6235642</v>
      </c>
      <c r="B980">
        <v>6235642</v>
      </c>
      <c r="C980" t="s">
        <v>7018</v>
      </c>
      <c r="E980" s="184"/>
      <c r="G980" s="184"/>
      <c r="H980" t="s">
        <v>595</v>
      </c>
      <c r="I980" s="184">
        <v>44168</v>
      </c>
      <c r="K980" s="184"/>
      <c r="O980" s="184"/>
      <c r="P980" t="s">
        <v>7019</v>
      </c>
      <c r="Q980" t="s">
        <v>7160</v>
      </c>
      <c r="R980" s="184">
        <v>16497</v>
      </c>
      <c r="S980">
        <v>79</v>
      </c>
      <c r="U980" t="s">
        <v>7031</v>
      </c>
      <c r="V980" t="s">
        <v>3134</v>
      </c>
      <c r="X980" t="s">
        <v>4116</v>
      </c>
      <c r="AF980" t="s">
        <v>12564</v>
      </c>
      <c r="AG980" t="s">
        <v>3134</v>
      </c>
      <c r="AI980" t="s">
        <v>12565</v>
      </c>
      <c r="AM980" t="s">
        <v>3470</v>
      </c>
      <c r="AN980" t="s">
        <v>2176</v>
      </c>
      <c r="AO980" t="s">
        <v>12566</v>
      </c>
      <c r="AP980" t="s">
        <v>7024</v>
      </c>
      <c r="AQ980" t="s">
        <v>12567</v>
      </c>
      <c r="AR980" t="s">
        <v>12568</v>
      </c>
      <c r="AT980" s="184">
        <v>33518</v>
      </c>
      <c r="AU980" t="s">
        <v>12569</v>
      </c>
      <c r="AV980">
        <v>25</v>
      </c>
      <c r="AW980" s="184">
        <v>37900</v>
      </c>
      <c r="AX980" t="s">
        <v>12570</v>
      </c>
      <c r="AY980">
        <v>60</v>
      </c>
      <c r="AZ980" s="184">
        <v>37900</v>
      </c>
      <c r="BA980" t="s">
        <v>12570</v>
      </c>
      <c r="BB980">
        <v>60</v>
      </c>
      <c r="BC980">
        <v>24</v>
      </c>
      <c r="BD980">
        <v>275</v>
      </c>
      <c r="BE980">
        <v>1992</v>
      </c>
      <c r="BF980">
        <v>10</v>
      </c>
      <c r="BI980">
        <v>8</v>
      </c>
      <c r="BJ980">
        <v>34</v>
      </c>
      <c r="BK980">
        <v>5</v>
      </c>
      <c r="BP980" s="184"/>
    </row>
    <row r="981" spans="1:68">
      <c r="A981">
        <v>6243299</v>
      </c>
      <c r="B981">
        <v>6243299</v>
      </c>
      <c r="C981" t="s">
        <v>7018</v>
      </c>
      <c r="E981" s="184"/>
      <c r="G981" s="184"/>
      <c r="I981" s="184"/>
      <c r="J981" t="s">
        <v>595</v>
      </c>
      <c r="K981" s="184">
        <v>42521</v>
      </c>
      <c r="O981" s="184"/>
      <c r="P981" t="s">
        <v>7045</v>
      </c>
      <c r="Q981" t="s">
        <v>7374</v>
      </c>
      <c r="R981" s="184">
        <v>19884</v>
      </c>
      <c r="S981">
        <v>69</v>
      </c>
      <c r="U981" t="s">
        <v>7031</v>
      </c>
      <c r="V981" t="s">
        <v>12571</v>
      </c>
      <c r="W981" t="s">
        <v>7356</v>
      </c>
      <c r="X981" t="s">
        <v>12572</v>
      </c>
      <c r="AF981" t="s">
        <v>6320</v>
      </c>
      <c r="AG981" t="s">
        <v>12571</v>
      </c>
      <c r="AI981" t="s">
        <v>12573</v>
      </c>
      <c r="AM981" t="s">
        <v>12574</v>
      </c>
      <c r="AN981" t="s">
        <v>2081</v>
      </c>
      <c r="AO981" t="s">
        <v>12575</v>
      </c>
      <c r="AP981" t="s">
        <v>7024</v>
      </c>
      <c r="AQ981" t="s">
        <v>12576</v>
      </c>
      <c r="AT981" s="184">
        <v>33529</v>
      </c>
      <c r="AU981" t="s">
        <v>11980</v>
      </c>
      <c r="AV981">
        <v>19.95</v>
      </c>
      <c r="AW981" s="184">
        <v>45299</v>
      </c>
      <c r="AX981" t="s">
        <v>12577</v>
      </c>
      <c r="AY981">
        <v>100</v>
      </c>
      <c r="AZ981" s="184">
        <v>44895</v>
      </c>
      <c r="BA981" t="s">
        <v>9030</v>
      </c>
      <c r="BB981">
        <v>257.5</v>
      </c>
      <c r="BC981">
        <v>68</v>
      </c>
      <c r="BD981">
        <v>2731.45</v>
      </c>
      <c r="BE981">
        <v>1992</v>
      </c>
      <c r="BF981">
        <v>33</v>
      </c>
      <c r="BG981">
        <v>3</v>
      </c>
      <c r="BH981">
        <v>457.5</v>
      </c>
      <c r="BI981">
        <v>23</v>
      </c>
      <c r="BJ981">
        <v>34</v>
      </c>
      <c r="BK981">
        <v>8</v>
      </c>
      <c r="BP981" s="184"/>
    </row>
    <row r="982" spans="1:68">
      <c r="A982">
        <v>6255293</v>
      </c>
      <c r="B982">
        <v>6255293</v>
      </c>
      <c r="C982" t="s">
        <v>7018</v>
      </c>
      <c r="E982" s="184"/>
      <c r="G982" s="184"/>
      <c r="I982" s="184"/>
      <c r="J982" t="s">
        <v>595</v>
      </c>
      <c r="K982" s="184">
        <v>42960</v>
      </c>
      <c r="O982" s="184"/>
      <c r="P982" t="s">
        <v>7045</v>
      </c>
      <c r="Q982" t="s">
        <v>7374</v>
      </c>
      <c r="R982" s="184">
        <v>23285</v>
      </c>
      <c r="S982">
        <v>60</v>
      </c>
      <c r="U982" t="s">
        <v>7031</v>
      </c>
      <c r="V982" t="s">
        <v>4587</v>
      </c>
      <c r="X982" t="s">
        <v>12578</v>
      </c>
      <c r="Z982">
        <v>101073126</v>
      </c>
      <c r="AA982" t="s">
        <v>7130</v>
      </c>
      <c r="AB982" t="s">
        <v>2718</v>
      </c>
      <c r="AD982" t="s">
        <v>12578</v>
      </c>
      <c r="AF982" t="s">
        <v>12579</v>
      </c>
      <c r="AG982" t="s">
        <v>12580</v>
      </c>
      <c r="AI982" t="s">
        <v>12581</v>
      </c>
      <c r="AM982" t="s">
        <v>12582</v>
      </c>
      <c r="AN982" t="s">
        <v>2081</v>
      </c>
      <c r="AO982" t="s">
        <v>12583</v>
      </c>
      <c r="AP982" t="s">
        <v>7024</v>
      </c>
      <c r="AQ982" t="s">
        <v>12584</v>
      </c>
      <c r="AR982" t="s">
        <v>12585</v>
      </c>
      <c r="AT982" s="184">
        <v>33519</v>
      </c>
      <c r="AU982" t="s">
        <v>12586</v>
      </c>
      <c r="AV982">
        <v>15</v>
      </c>
      <c r="AW982" s="184">
        <v>45125</v>
      </c>
      <c r="AX982" t="s">
        <v>7832</v>
      </c>
      <c r="AY982">
        <v>100</v>
      </c>
      <c r="AZ982" s="184">
        <v>45125</v>
      </c>
      <c r="BA982" t="s">
        <v>7832</v>
      </c>
      <c r="BB982">
        <v>100</v>
      </c>
      <c r="BC982">
        <v>98</v>
      </c>
      <c r="BD982">
        <v>1190</v>
      </c>
      <c r="BE982">
        <v>1992</v>
      </c>
      <c r="BF982">
        <v>36</v>
      </c>
      <c r="BG982">
        <v>2</v>
      </c>
      <c r="BH982">
        <v>200</v>
      </c>
      <c r="BI982">
        <v>33</v>
      </c>
      <c r="BJ982">
        <v>34</v>
      </c>
      <c r="BK982">
        <v>33</v>
      </c>
      <c r="BP982" s="184"/>
    </row>
    <row r="983" spans="1:68">
      <c r="A983">
        <v>6255855</v>
      </c>
      <c r="B983">
        <v>6255855</v>
      </c>
      <c r="C983" t="s">
        <v>7018</v>
      </c>
      <c r="D983" t="s">
        <v>595</v>
      </c>
      <c r="E983" s="184">
        <v>43970</v>
      </c>
      <c r="G983" s="184"/>
      <c r="I983" s="184"/>
      <c r="K983" s="184"/>
      <c r="O983" s="184"/>
      <c r="P983" t="s">
        <v>7045</v>
      </c>
      <c r="Q983" t="s">
        <v>7020</v>
      </c>
      <c r="R983" s="184">
        <v>21064</v>
      </c>
      <c r="S983">
        <v>66</v>
      </c>
      <c r="V983" t="s">
        <v>3223</v>
      </c>
      <c r="W983" t="s">
        <v>3332</v>
      </c>
      <c r="X983" t="s">
        <v>12587</v>
      </c>
      <c r="AF983" t="s">
        <v>12588</v>
      </c>
      <c r="AG983" t="s">
        <v>3223</v>
      </c>
      <c r="AI983" t="s">
        <v>12589</v>
      </c>
      <c r="AM983" t="s">
        <v>12590</v>
      </c>
      <c r="AN983" t="s">
        <v>2112</v>
      </c>
      <c r="AO983" t="s">
        <v>12591</v>
      </c>
      <c r="AP983" t="s">
        <v>7024</v>
      </c>
      <c r="AQ983" t="s">
        <v>12592</v>
      </c>
      <c r="AT983" s="184">
        <v>33519</v>
      </c>
      <c r="AU983" t="s">
        <v>12593</v>
      </c>
      <c r="AV983">
        <v>15</v>
      </c>
      <c r="AW983" s="184">
        <v>45089</v>
      </c>
      <c r="AX983" t="s">
        <v>12594</v>
      </c>
      <c r="AY983">
        <v>100</v>
      </c>
      <c r="AZ983" s="184">
        <v>42926</v>
      </c>
      <c r="BA983" t="s">
        <v>12595</v>
      </c>
      <c r="BB983">
        <v>150</v>
      </c>
      <c r="BC983">
        <v>89</v>
      </c>
      <c r="BD983">
        <v>3040</v>
      </c>
      <c r="BE983">
        <v>1992</v>
      </c>
      <c r="BF983">
        <v>37</v>
      </c>
      <c r="BG983">
        <v>2</v>
      </c>
      <c r="BH983">
        <v>200</v>
      </c>
      <c r="BI983">
        <v>30</v>
      </c>
      <c r="BJ983">
        <v>34</v>
      </c>
      <c r="BK983">
        <v>18</v>
      </c>
      <c r="BP983" s="184"/>
    </row>
    <row r="984" spans="1:68">
      <c r="A984">
        <v>6259923</v>
      </c>
      <c r="B984">
        <v>6259923</v>
      </c>
      <c r="C984" t="s">
        <v>7018</v>
      </c>
      <c r="E984" s="184"/>
      <c r="G984" s="184"/>
      <c r="I984" s="184"/>
      <c r="K984" s="184"/>
      <c r="N984" t="s">
        <v>595</v>
      </c>
      <c r="O984" s="184">
        <v>40535</v>
      </c>
      <c r="P984" t="s">
        <v>7019</v>
      </c>
      <c r="Q984" t="s">
        <v>7020</v>
      </c>
      <c r="R984" s="184">
        <v>9463</v>
      </c>
      <c r="S984">
        <v>98</v>
      </c>
      <c r="U984" t="s">
        <v>7130</v>
      </c>
      <c r="V984" t="s">
        <v>12596</v>
      </c>
      <c r="X984" t="s">
        <v>4031</v>
      </c>
      <c r="Z984">
        <v>100177705</v>
      </c>
      <c r="AA984" t="s">
        <v>7031</v>
      </c>
      <c r="AB984" t="s">
        <v>3623</v>
      </c>
      <c r="AD984" t="s">
        <v>4031</v>
      </c>
      <c r="AF984" t="s">
        <v>12597</v>
      </c>
      <c r="AG984" t="s">
        <v>12598</v>
      </c>
      <c r="AI984" t="s">
        <v>12599</v>
      </c>
      <c r="AM984" t="s">
        <v>3441</v>
      </c>
      <c r="AN984" t="s">
        <v>2255</v>
      </c>
      <c r="AO984">
        <v>5091</v>
      </c>
      <c r="AP984" t="s">
        <v>7024</v>
      </c>
      <c r="AT984" s="184">
        <v>33519</v>
      </c>
      <c r="AU984" t="s">
        <v>12600</v>
      </c>
      <c r="AV984">
        <v>15</v>
      </c>
      <c r="AW984" s="184">
        <v>42348</v>
      </c>
      <c r="AX984" t="s">
        <v>12601</v>
      </c>
      <c r="AY984">
        <v>200</v>
      </c>
      <c r="AZ984" s="184">
        <v>40535</v>
      </c>
      <c r="BA984" t="s">
        <v>7415</v>
      </c>
      <c r="BB984">
        <v>100000</v>
      </c>
      <c r="BC984">
        <v>48</v>
      </c>
      <c r="BD984">
        <v>102805</v>
      </c>
      <c r="BE984">
        <v>1992</v>
      </c>
      <c r="BF984">
        <v>37</v>
      </c>
      <c r="BI984">
        <v>16</v>
      </c>
      <c r="BJ984">
        <v>34</v>
      </c>
      <c r="BK984">
        <v>4</v>
      </c>
      <c r="BO984" t="s">
        <v>595</v>
      </c>
      <c r="BP984" s="184">
        <v>42567</v>
      </c>
    </row>
    <row r="985" spans="1:68">
      <c r="A985">
        <v>100177705</v>
      </c>
      <c r="B985">
        <v>6259923</v>
      </c>
      <c r="C985" t="s">
        <v>7018</v>
      </c>
      <c r="E985" s="184"/>
      <c r="G985" s="184"/>
      <c r="I985" s="184"/>
      <c r="K985" s="184"/>
      <c r="N985" t="s">
        <v>595</v>
      </c>
      <c r="O985" s="184">
        <v>40535</v>
      </c>
      <c r="P985" t="s">
        <v>7019</v>
      </c>
      <c r="Q985" t="s">
        <v>7020</v>
      </c>
      <c r="R985" s="184">
        <v>8428</v>
      </c>
      <c r="S985">
        <v>101</v>
      </c>
      <c r="U985" t="s">
        <v>7031</v>
      </c>
      <c r="V985" t="s">
        <v>3623</v>
      </c>
      <c r="X985" t="s">
        <v>4031</v>
      </c>
      <c r="Z985">
        <v>6259923</v>
      </c>
      <c r="AA985" t="s">
        <v>7130</v>
      </c>
      <c r="AB985" t="s">
        <v>12596</v>
      </c>
      <c r="AD985" t="s">
        <v>4031</v>
      </c>
      <c r="AF985" t="s">
        <v>12597</v>
      </c>
      <c r="AG985" t="s">
        <v>12598</v>
      </c>
      <c r="AI985" t="s">
        <v>12599</v>
      </c>
      <c r="AM985" t="s">
        <v>3441</v>
      </c>
      <c r="AN985" t="s">
        <v>2255</v>
      </c>
      <c r="AO985">
        <v>5091</v>
      </c>
      <c r="AP985" t="s">
        <v>7024</v>
      </c>
      <c r="AT985" s="184"/>
      <c r="AW985" s="184"/>
      <c r="AZ985" s="184"/>
      <c r="BO985" t="s">
        <v>595</v>
      </c>
      <c r="BP985" s="184">
        <v>41754</v>
      </c>
    </row>
    <row r="986" spans="1:68">
      <c r="A986">
        <v>6265995</v>
      </c>
      <c r="B986">
        <v>6265995</v>
      </c>
      <c r="C986" t="s">
        <v>7018</v>
      </c>
      <c r="D986" t="s">
        <v>595</v>
      </c>
      <c r="E986" s="184">
        <v>43647</v>
      </c>
      <c r="G986" s="184"/>
      <c r="I986" s="184"/>
      <c r="K986" s="184"/>
      <c r="O986" s="184"/>
      <c r="P986" t="s">
        <v>7045</v>
      </c>
      <c r="Q986" t="s">
        <v>7383</v>
      </c>
      <c r="R986" s="184">
        <v>18994</v>
      </c>
      <c r="S986">
        <v>72</v>
      </c>
      <c r="U986" t="s">
        <v>7031</v>
      </c>
      <c r="V986" t="s">
        <v>3502</v>
      </c>
      <c r="W986" t="s">
        <v>3332</v>
      </c>
      <c r="X986" t="s">
        <v>3503</v>
      </c>
      <c r="Z986">
        <v>100434924</v>
      </c>
      <c r="AA986" t="s">
        <v>7130</v>
      </c>
      <c r="AB986" t="s">
        <v>10122</v>
      </c>
      <c r="AD986" t="s">
        <v>3503</v>
      </c>
      <c r="AF986" t="s">
        <v>12602</v>
      </c>
      <c r="AG986" t="s">
        <v>12603</v>
      </c>
      <c r="AI986" t="s">
        <v>12604</v>
      </c>
      <c r="AM986" t="s">
        <v>3488</v>
      </c>
      <c r="AN986" t="s">
        <v>2072</v>
      </c>
      <c r="AO986" t="s">
        <v>12605</v>
      </c>
      <c r="AP986" t="s">
        <v>7024</v>
      </c>
      <c r="AQ986" t="s">
        <v>12606</v>
      </c>
      <c r="AR986" t="s">
        <v>12607</v>
      </c>
      <c r="AT986" s="184">
        <v>33520</v>
      </c>
      <c r="AU986" t="s">
        <v>12608</v>
      </c>
      <c r="AV986">
        <v>15</v>
      </c>
      <c r="AW986" s="184">
        <v>44620</v>
      </c>
      <c r="AX986" t="s">
        <v>12609</v>
      </c>
      <c r="AY986">
        <v>50</v>
      </c>
      <c r="AZ986" s="184">
        <v>43515</v>
      </c>
      <c r="BA986" t="s">
        <v>12610</v>
      </c>
      <c r="BB986">
        <v>100</v>
      </c>
      <c r="BC986">
        <v>80</v>
      </c>
      <c r="BD986">
        <v>1457</v>
      </c>
      <c r="BE986">
        <v>1992</v>
      </c>
      <c r="BF986">
        <v>33</v>
      </c>
      <c r="BI986">
        <v>27</v>
      </c>
      <c r="BJ986">
        <v>34</v>
      </c>
      <c r="BK986">
        <v>9</v>
      </c>
      <c r="BN986" t="s">
        <v>595</v>
      </c>
      <c r="BP986" s="184"/>
    </row>
    <row r="987" spans="1:68">
      <c r="A987">
        <v>6278089</v>
      </c>
      <c r="B987">
        <v>6278089</v>
      </c>
      <c r="C987" t="s">
        <v>7018</v>
      </c>
      <c r="D987" t="s">
        <v>595</v>
      </c>
      <c r="E987" s="184">
        <v>45125</v>
      </c>
      <c r="G987" s="184"/>
      <c r="I987" s="184"/>
      <c r="K987" s="184"/>
      <c r="O987" s="184"/>
      <c r="P987" t="s">
        <v>7045</v>
      </c>
      <c r="Q987" t="s">
        <v>7383</v>
      </c>
      <c r="R987" s="184">
        <v>14238</v>
      </c>
      <c r="S987">
        <v>85</v>
      </c>
      <c r="U987" t="s">
        <v>7031</v>
      </c>
      <c r="V987" t="s">
        <v>3360</v>
      </c>
      <c r="X987" t="s">
        <v>2702</v>
      </c>
      <c r="Z987">
        <v>100027330</v>
      </c>
      <c r="AB987" t="s">
        <v>12611</v>
      </c>
      <c r="AD987" t="s">
        <v>2702</v>
      </c>
      <c r="AF987" t="s">
        <v>12612</v>
      </c>
      <c r="AG987" t="s">
        <v>12613</v>
      </c>
      <c r="AI987" t="s">
        <v>12614</v>
      </c>
      <c r="AM987" t="s">
        <v>12615</v>
      </c>
      <c r="AN987" t="s">
        <v>2072</v>
      </c>
      <c r="AO987" t="s">
        <v>12616</v>
      </c>
      <c r="AP987" t="s">
        <v>7024</v>
      </c>
      <c r="AQ987" t="s">
        <v>12617</v>
      </c>
      <c r="AT987" s="184">
        <v>33521</v>
      </c>
      <c r="AU987" t="s">
        <v>12618</v>
      </c>
      <c r="AV987">
        <v>15</v>
      </c>
      <c r="AW987" s="184">
        <v>45098</v>
      </c>
      <c r="AX987" t="s">
        <v>12619</v>
      </c>
      <c r="AY987">
        <v>55</v>
      </c>
      <c r="AZ987" s="184">
        <v>45098</v>
      </c>
      <c r="BA987" t="s">
        <v>12619</v>
      </c>
      <c r="BB987">
        <v>55</v>
      </c>
      <c r="BC987">
        <v>30</v>
      </c>
      <c r="BD987">
        <v>300</v>
      </c>
      <c r="BE987">
        <v>1992</v>
      </c>
      <c r="BF987">
        <v>10</v>
      </c>
      <c r="BG987">
        <v>2</v>
      </c>
      <c r="BH987">
        <v>95</v>
      </c>
      <c r="BI987">
        <v>10</v>
      </c>
      <c r="BJ987">
        <v>34</v>
      </c>
      <c r="BK987">
        <v>7</v>
      </c>
      <c r="BN987" t="s">
        <v>595</v>
      </c>
      <c r="BP987" s="184"/>
    </row>
    <row r="988" spans="1:68">
      <c r="A988">
        <v>100027330</v>
      </c>
      <c r="B988">
        <v>6278089</v>
      </c>
      <c r="C988" t="s">
        <v>7018</v>
      </c>
      <c r="D988" t="s">
        <v>595</v>
      </c>
      <c r="E988" s="184">
        <v>45125</v>
      </c>
      <c r="G988" s="184"/>
      <c r="I988" s="184"/>
      <c r="K988" s="184"/>
      <c r="O988" s="184"/>
      <c r="P988" t="s">
        <v>7045</v>
      </c>
      <c r="Q988" t="s">
        <v>7383</v>
      </c>
      <c r="R988" s="184">
        <v>14780</v>
      </c>
      <c r="S988">
        <v>83</v>
      </c>
      <c r="V988" t="s">
        <v>12611</v>
      </c>
      <c r="X988" t="s">
        <v>2702</v>
      </c>
      <c r="Z988">
        <v>6278089</v>
      </c>
      <c r="AA988" t="s">
        <v>7031</v>
      </c>
      <c r="AB988" t="s">
        <v>3360</v>
      </c>
      <c r="AD988" t="s">
        <v>2702</v>
      </c>
      <c r="AF988" t="s">
        <v>12612</v>
      </c>
      <c r="AG988" t="s">
        <v>12613</v>
      </c>
      <c r="AI988" t="s">
        <v>12614</v>
      </c>
      <c r="AM988" t="s">
        <v>12615</v>
      </c>
      <c r="AN988" t="s">
        <v>2072</v>
      </c>
      <c r="AO988" t="s">
        <v>12616</v>
      </c>
      <c r="AP988" t="s">
        <v>7024</v>
      </c>
      <c r="AT988" s="184"/>
      <c r="AW988" s="184"/>
      <c r="AZ988" s="184"/>
      <c r="BP988" s="184"/>
    </row>
    <row r="989" spans="1:68">
      <c r="A989">
        <v>6284509</v>
      </c>
      <c r="B989">
        <v>6284509</v>
      </c>
      <c r="C989" t="s">
        <v>7018</v>
      </c>
      <c r="E989" s="184"/>
      <c r="G989" s="184"/>
      <c r="I989" s="184"/>
      <c r="J989" t="s">
        <v>595</v>
      </c>
      <c r="K989" s="184">
        <v>45009</v>
      </c>
      <c r="O989" s="184"/>
      <c r="P989" t="s">
        <v>7045</v>
      </c>
      <c r="Q989" t="s">
        <v>7160</v>
      </c>
      <c r="R989" s="184">
        <v>17533</v>
      </c>
      <c r="S989">
        <v>76</v>
      </c>
      <c r="U989" t="s">
        <v>7031</v>
      </c>
      <c r="V989" t="s">
        <v>12620</v>
      </c>
      <c r="X989" t="s">
        <v>3092</v>
      </c>
      <c r="Z989">
        <v>100370040</v>
      </c>
      <c r="AB989" t="s">
        <v>3411</v>
      </c>
      <c r="AD989" t="s">
        <v>3092</v>
      </c>
      <c r="AF989" t="s">
        <v>12621</v>
      </c>
      <c r="AG989" t="s">
        <v>12622</v>
      </c>
      <c r="AI989" t="s">
        <v>12623</v>
      </c>
      <c r="AM989" t="s">
        <v>12624</v>
      </c>
      <c r="AN989" t="s">
        <v>4637</v>
      </c>
      <c r="AO989" t="s">
        <v>12625</v>
      </c>
      <c r="AP989" t="s">
        <v>7024</v>
      </c>
      <c r="AQ989" t="s">
        <v>12626</v>
      </c>
      <c r="AT989" s="184">
        <v>33522</v>
      </c>
      <c r="AU989" t="s">
        <v>12627</v>
      </c>
      <c r="AV989">
        <v>45</v>
      </c>
      <c r="AW989" s="184">
        <v>45174</v>
      </c>
      <c r="AX989" t="s">
        <v>12628</v>
      </c>
      <c r="AY989">
        <v>100</v>
      </c>
      <c r="AZ989" s="184">
        <v>45174</v>
      </c>
      <c r="BA989" t="s">
        <v>12628</v>
      </c>
      <c r="BB989">
        <v>100</v>
      </c>
      <c r="BC989">
        <v>98</v>
      </c>
      <c r="BD989">
        <v>3315</v>
      </c>
      <c r="BE989">
        <v>1992</v>
      </c>
      <c r="BF989">
        <v>52</v>
      </c>
      <c r="BG989">
        <v>2</v>
      </c>
      <c r="BH989">
        <v>200</v>
      </c>
      <c r="BI989">
        <v>33</v>
      </c>
      <c r="BJ989">
        <v>34</v>
      </c>
      <c r="BK989">
        <v>33</v>
      </c>
    </row>
    <row r="990" spans="1:68">
      <c r="A990">
        <v>100370040</v>
      </c>
      <c r="B990">
        <v>6284509</v>
      </c>
      <c r="C990" t="s">
        <v>7018</v>
      </c>
      <c r="E990" s="184"/>
      <c r="G990" s="184"/>
      <c r="I990" s="184"/>
      <c r="J990" t="s">
        <v>595</v>
      </c>
      <c r="K990" s="184">
        <v>45009</v>
      </c>
      <c r="P990" t="s">
        <v>7045</v>
      </c>
      <c r="Q990" t="s">
        <v>7160</v>
      </c>
      <c r="R990" s="184">
        <v>19623</v>
      </c>
      <c r="S990">
        <v>70</v>
      </c>
      <c r="V990" t="s">
        <v>3411</v>
      </c>
      <c r="X990" t="s">
        <v>3092</v>
      </c>
      <c r="Z990">
        <v>6284509</v>
      </c>
      <c r="AA990" t="s">
        <v>7031</v>
      </c>
      <c r="AB990" t="s">
        <v>12620</v>
      </c>
      <c r="AD990" t="s">
        <v>3092</v>
      </c>
      <c r="AF990" t="s">
        <v>12621</v>
      </c>
      <c r="AG990" t="s">
        <v>12622</v>
      </c>
      <c r="AI990" t="s">
        <v>12623</v>
      </c>
      <c r="AM990" t="s">
        <v>12624</v>
      </c>
      <c r="AN990" t="s">
        <v>4637</v>
      </c>
      <c r="AO990" t="s">
        <v>12625</v>
      </c>
      <c r="AP990" t="s">
        <v>7024</v>
      </c>
      <c r="AQ990" t="s">
        <v>12626</v>
      </c>
      <c r="AT990" s="184">
        <v>45088</v>
      </c>
      <c r="AU990" t="s">
        <v>12629</v>
      </c>
      <c r="AV990">
        <v>100</v>
      </c>
      <c r="AW990" s="184">
        <v>45088</v>
      </c>
      <c r="AX990" t="s">
        <v>12629</v>
      </c>
      <c r="AY990">
        <v>100</v>
      </c>
      <c r="AZ990" s="184">
        <v>45088</v>
      </c>
      <c r="BA990" t="s">
        <v>12629</v>
      </c>
      <c r="BB990">
        <v>100</v>
      </c>
      <c r="BC990">
        <v>50</v>
      </c>
      <c r="BD990">
        <v>100</v>
      </c>
      <c r="BE990">
        <v>2023</v>
      </c>
      <c r="BF990">
        <v>1</v>
      </c>
      <c r="BG990">
        <v>1</v>
      </c>
      <c r="BH990">
        <v>100</v>
      </c>
      <c r="BI990">
        <v>1</v>
      </c>
      <c r="BJ990">
        <v>2</v>
      </c>
      <c r="BK990">
        <v>1</v>
      </c>
      <c r="BP990" s="184"/>
    </row>
    <row r="991" spans="1:68">
      <c r="A991">
        <v>6309710</v>
      </c>
      <c r="B991">
        <v>6309710</v>
      </c>
      <c r="C991" t="s">
        <v>7018</v>
      </c>
      <c r="E991" s="184"/>
      <c r="F991" t="s">
        <v>595</v>
      </c>
      <c r="G991" s="184">
        <v>44073</v>
      </c>
      <c r="H991" t="s">
        <v>595</v>
      </c>
      <c r="I991" s="184">
        <v>44073</v>
      </c>
      <c r="K991" s="184"/>
      <c r="P991" t="s">
        <v>7045</v>
      </c>
      <c r="Q991" t="s">
        <v>7383</v>
      </c>
      <c r="R991" s="184">
        <v>12057</v>
      </c>
      <c r="S991">
        <v>91</v>
      </c>
      <c r="V991" t="s">
        <v>4926</v>
      </c>
      <c r="X991" t="s">
        <v>4927</v>
      </c>
      <c r="Z991">
        <v>100027424</v>
      </c>
      <c r="AB991" t="s">
        <v>2845</v>
      </c>
      <c r="AD991" t="s">
        <v>4927</v>
      </c>
      <c r="AF991" t="s">
        <v>12630</v>
      </c>
      <c r="AG991" t="s">
        <v>12631</v>
      </c>
      <c r="AI991" t="s">
        <v>12632</v>
      </c>
      <c r="AM991" t="s">
        <v>4928</v>
      </c>
      <c r="AN991" t="s">
        <v>2313</v>
      </c>
      <c r="AO991" t="s">
        <v>12633</v>
      </c>
      <c r="AP991" t="s">
        <v>7024</v>
      </c>
      <c r="AT991" s="184">
        <v>33528</v>
      </c>
      <c r="AU991" t="s">
        <v>12634</v>
      </c>
      <c r="AV991">
        <v>15</v>
      </c>
      <c r="AW991" s="184">
        <v>44916</v>
      </c>
      <c r="AX991" t="s">
        <v>7405</v>
      </c>
      <c r="AY991">
        <v>25</v>
      </c>
      <c r="AZ991" s="184">
        <v>44916</v>
      </c>
      <c r="BA991" t="s">
        <v>7405</v>
      </c>
      <c r="BB991">
        <v>25</v>
      </c>
      <c r="BC991">
        <v>48</v>
      </c>
      <c r="BD991">
        <v>480</v>
      </c>
      <c r="BE991">
        <v>1992</v>
      </c>
      <c r="BF991">
        <v>24</v>
      </c>
      <c r="BG991">
        <v>1</v>
      </c>
      <c r="BH991">
        <v>25</v>
      </c>
      <c r="BI991">
        <v>16</v>
      </c>
      <c r="BJ991">
        <v>34</v>
      </c>
      <c r="BK991">
        <v>5</v>
      </c>
      <c r="BN991" t="s">
        <v>595</v>
      </c>
      <c r="BP991" s="184"/>
    </row>
    <row r="992" spans="1:68">
      <c r="A992">
        <v>100027424</v>
      </c>
      <c r="B992">
        <v>6309710</v>
      </c>
      <c r="C992" t="s">
        <v>7018</v>
      </c>
      <c r="E992" s="184"/>
      <c r="F992" t="s">
        <v>595</v>
      </c>
      <c r="G992" s="184">
        <v>44073</v>
      </c>
      <c r="H992" t="s">
        <v>595</v>
      </c>
      <c r="I992" s="184">
        <v>44073</v>
      </c>
      <c r="K992" s="184"/>
      <c r="P992" t="s">
        <v>7045</v>
      </c>
      <c r="Q992" t="s">
        <v>7383</v>
      </c>
      <c r="R992" s="184">
        <v>12000</v>
      </c>
      <c r="S992">
        <v>91</v>
      </c>
      <c r="V992" t="s">
        <v>2845</v>
      </c>
      <c r="X992" t="s">
        <v>4927</v>
      </c>
      <c r="Z992">
        <v>6309710</v>
      </c>
      <c r="AB992" t="s">
        <v>4926</v>
      </c>
      <c r="AD992" t="s">
        <v>4927</v>
      </c>
      <c r="AF992" t="s">
        <v>12630</v>
      </c>
      <c r="AG992" t="s">
        <v>12631</v>
      </c>
      <c r="AI992" t="s">
        <v>12632</v>
      </c>
      <c r="AM992" t="s">
        <v>4928</v>
      </c>
      <c r="AN992" t="s">
        <v>2313</v>
      </c>
      <c r="AO992" t="s">
        <v>12633</v>
      </c>
      <c r="AP992" t="s">
        <v>7024</v>
      </c>
      <c r="AT992" s="184"/>
      <c r="AW992" s="184"/>
      <c r="AZ992" s="184"/>
      <c r="BP992" s="184"/>
    </row>
    <row r="993" spans="1:68">
      <c r="A993">
        <v>6319743</v>
      </c>
      <c r="B993">
        <v>6319743</v>
      </c>
      <c r="C993" t="s">
        <v>7018</v>
      </c>
      <c r="D993" t="s">
        <v>595</v>
      </c>
      <c r="E993" s="184">
        <v>44167</v>
      </c>
      <c r="F993" t="s">
        <v>595</v>
      </c>
      <c r="G993" s="184">
        <v>44649</v>
      </c>
      <c r="I993" s="184"/>
      <c r="K993" s="184"/>
      <c r="P993" t="s">
        <v>7019</v>
      </c>
      <c r="Q993" t="s">
        <v>7030</v>
      </c>
      <c r="R993" s="184">
        <v>17626</v>
      </c>
      <c r="S993">
        <v>76</v>
      </c>
      <c r="U993" t="s">
        <v>7076</v>
      </c>
      <c r="V993" t="s">
        <v>2602</v>
      </c>
      <c r="X993" t="s">
        <v>4620</v>
      </c>
      <c r="AF993" t="s">
        <v>12635</v>
      </c>
      <c r="AG993" t="s">
        <v>2602</v>
      </c>
      <c r="AI993" t="s">
        <v>12636</v>
      </c>
      <c r="AM993" t="s">
        <v>12637</v>
      </c>
      <c r="AN993" t="s">
        <v>2201</v>
      </c>
      <c r="AO993" t="s">
        <v>12638</v>
      </c>
      <c r="AP993" t="s">
        <v>7024</v>
      </c>
      <c r="AQ993" t="s">
        <v>12639</v>
      </c>
      <c r="AT993" s="184">
        <v>33529</v>
      </c>
      <c r="AU993" t="s">
        <v>12640</v>
      </c>
      <c r="AV993">
        <v>15</v>
      </c>
      <c r="AW993" s="184">
        <v>45097</v>
      </c>
      <c r="AX993" t="s">
        <v>12641</v>
      </c>
      <c r="AY993">
        <v>60</v>
      </c>
      <c r="AZ993" s="184">
        <v>45097</v>
      </c>
      <c r="BA993" t="s">
        <v>12641</v>
      </c>
      <c r="BB993">
        <v>60</v>
      </c>
      <c r="BC993">
        <v>74</v>
      </c>
      <c r="BD993">
        <v>1065</v>
      </c>
      <c r="BE993">
        <v>1992</v>
      </c>
      <c r="BF993">
        <v>43</v>
      </c>
      <c r="BG993">
        <v>2</v>
      </c>
      <c r="BH993">
        <v>85</v>
      </c>
      <c r="BI993">
        <v>25</v>
      </c>
      <c r="BJ993">
        <v>34</v>
      </c>
      <c r="BK993">
        <v>16</v>
      </c>
      <c r="BP993" s="184"/>
    </row>
    <row r="994" spans="1:68">
      <c r="A994">
        <v>6320568</v>
      </c>
      <c r="B994">
        <v>6320568</v>
      </c>
      <c r="C994" t="s">
        <v>7018</v>
      </c>
      <c r="E994" s="184"/>
      <c r="G994" s="184"/>
      <c r="I994" s="184"/>
      <c r="J994" t="s">
        <v>595</v>
      </c>
      <c r="K994" s="184">
        <v>37434</v>
      </c>
      <c r="O994" s="184"/>
      <c r="P994" t="s">
        <v>7045</v>
      </c>
      <c r="Q994" t="s">
        <v>7030</v>
      </c>
      <c r="R994" s="184">
        <v>19191</v>
      </c>
      <c r="S994">
        <v>71</v>
      </c>
      <c r="U994" t="s">
        <v>7031</v>
      </c>
      <c r="V994" t="s">
        <v>12642</v>
      </c>
      <c r="W994" t="s">
        <v>3226</v>
      </c>
      <c r="X994" t="s">
        <v>2657</v>
      </c>
      <c r="AF994" t="s">
        <v>6673</v>
      </c>
      <c r="AG994" t="s">
        <v>12642</v>
      </c>
      <c r="AI994" t="s">
        <v>12643</v>
      </c>
      <c r="AM994" t="s">
        <v>3415</v>
      </c>
      <c r="AN994" t="s">
        <v>2094</v>
      </c>
      <c r="AO994" t="s">
        <v>12644</v>
      </c>
      <c r="AP994" t="s">
        <v>7024</v>
      </c>
      <c r="AQ994" t="s">
        <v>12645</v>
      </c>
      <c r="AT994" s="184">
        <v>33529</v>
      </c>
      <c r="AU994" t="s">
        <v>12646</v>
      </c>
      <c r="AV994">
        <v>15</v>
      </c>
      <c r="AW994" s="184">
        <v>44278</v>
      </c>
      <c r="AX994" t="s">
        <v>12647</v>
      </c>
      <c r="AY994">
        <v>60</v>
      </c>
      <c r="AZ994" s="184">
        <v>44278</v>
      </c>
      <c r="BA994" t="s">
        <v>12647</v>
      </c>
      <c r="BB994">
        <v>60</v>
      </c>
      <c r="BC994">
        <v>18</v>
      </c>
      <c r="BD994">
        <v>245</v>
      </c>
      <c r="BE994">
        <v>1992</v>
      </c>
      <c r="BF994">
        <v>6</v>
      </c>
      <c r="BI994">
        <v>6</v>
      </c>
      <c r="BJ994">
        <v>34</v>
      </c>
      <c r="BK994">
        <v>3</v>
      </c>
      <c r="BN994" t="s">
        <v>595</v>
      </c>
      <c r="BP994" s="184"/>
    </row>
    <row r="995" spans="1:68">
      <c r="A995">
        <v>6323257</v>
      </c>
      <c r="B995">
        <v>6323257</v>
      </c>
      <c r="C995" t="s">
        <v>7018</v>
      </c>
      <c r="E995" s="184"/>
      <c r="G995" s="184"/>
      <c r="I995" s="184"/>
      <c r="J995" t="s">
        <v>595</v>
      </c>
      <c r="K995" s="184">
        <v>37818</v>
      </c>
      <c r="O995" s="184"/>
      <c r="P995" t="s">
        <v>7019</v>
      </c>
      <c r="Q995" t="s">
        <v>7160</v>
      </c>
      <c r="R995" s="184">
        <v>17899</v>
      </c>
      <c r="S995">
        <v>75</v>
      </c>
      <c r="U995" t="s">
        <v>7031</v>
      </c>
      <c r="V995" t="s">
        <v>2982</v>
      </c>
      <c r="W995" t="s">
        <v>7356</v>
      </c>
      <c r="X995" t="s">
        <v>3569</v>
      </c>
      <c r="Z995">
        <v>100027490</v>
      </c>
      <c r="AA995" t="s">
        <v>7130</v>
      </c>
      <c r="AB995" t="s">
        <v>3478</v>
      </c>
      <c r="AD995" t="s">
        <v>3569</v>
      </c>
      <c r="AF995" t="s">
        <v>6472</v>
      </c>
      <c r="AG995" t="s">
        <v>12648</v>
      </c>
      <c r="AI995" t="s">
        <v>12649</v>
      </c>
      <c r="AM995" t="s">
        <v>12650</v>
      </c>
      <c r="AN995" t="s">
        <v>2203</v>
      </c>
      <c r="AO995" t="s">
        <v>12651</v>
      </c>
      <c r="AP995" t="s">
        <v>7024</v>
      </c>
      <c r="AQ995" t="s">
        <v>12652</v>
      </c>
      <c r="AT995" s="184">
        <v>33529</v>
      </c>
      <c r="AU995" t="s">
        <v>12653</v>
      </c>
      <c r="AV995">
        <v>65</v>
      </c>
      <c r="AW995" s="184">
        <v>39286</v>
      </c>
      <c r="AX995" t="s">
        <v>12654</v>
      </c>
      <c r="AY995">
        <v>60</v>
      </c>
      <c r="AZ995" s="184">
        <v>35538</v>
      </c>
      <c r="BA995" t="s">
        <v>12655</v>
      </c>
      <c r="BB995">
        <v>100</v>
      </c>
      <c r="BC995">
        <v>36</v>
      </c>
      <c r="BD995">
        <v>875</v>
      </c>
      <c r="BE995">
        <v>1992</v>
      </c>
      <c r="BF995">
        <v>15</v>
      </c>
      <c r="BI995">
        <v>12</v>
      </c>
      <c r="BJ995">
        <v>34</v>
      </c>
      <c r="BK995">
        <v>7</v>
      </c>
      <c r="BP995" s="184"/>
    </row>
    <row r="996" spans="1:68">
      <c r="A996">
        <v>100027490</v>
      </c>
      <c r="B996">
        <v>6323257</v>
      </c>
      <c r="C996" t="s">
        <v>7018</v>
      </c>
      <c r="E996" s="184"/>
      <c r="G996" s="184"/>
      <c r="I996" s="184"/>
      <c r="J996" t="s">
        <v>595</v>
      </c>
      <c r="K996" s="184">
        <v>37818</v>
      </c>
      <c r="O996" s="184"/>
      <c r="P996" t="s">
        <v>7019</v>
      </c>
      <c r="Q996" t="s">
        <v>7160</v>
      </c>
      <c r="R996" s="184"/>
      <c r="U996" t="s">
        <v>7130</v>
      </c>
      <c r="V996" t="s">
        <v>3478</v>
      </c>
      <c r="X996" t="s">
        <v>3569</v>
      </c>
      <c r="Z996">
        <v>6323257</v>
      </c>
      <c r="AA996" t="s">
        <v>7031</v>
      </c>
      <c r="AB996" t="s">
        <v>2982</v>
      </c>
      <c r="AC996" t="s">
        <v>7356</v>
      </c>
      <c r="AD996" t="s">
        <v>3569</v>
      </c>
      <c r="AF996" t="s">
        <v>6472</v>
      </c>
      <c r="AG996" t="s">
        <v>12648</v>
      </c>
      <c r="AI996" t="s">
        <v>12649</v>
      </c>
      <c r="AM996" t="s">
        <v>12650</v>
      </c>
      <c r="AN996" t="s">
        <v>2203</v>
      </c>
      <c r="AO996" t="s">
        <v>12651</v>
      </c>
      <c r="AP996" t="s">
        <v>7024</v>
      </c>
      <c r="AT996" s="184"/>
      <c r="AW996" s="184"/>
      <c r="AZ996" s="184"/>
      <c r="BP996" s="184"/>
    </row>
    <row r="997" spans="1:68">
      <c r="A997">
        <v>6329387</v>
      </c>
      <c r="B997">
        <v>6329387</v>
      </c>
      <c r="C997" t="s">
        <v>7018</v>
      </c>
      <c r="D997" t="s">
        <v>595</v>
      </c>
      <c r="E997" s="184">
        <v>44070</v>
      </c>
      <c r="G997" s="184"/>
      <c r="I997" s="184"/>
      <c r="K997" s="184"/>
      <c r="O997" s="184"/>
      <c r="P997" t="s">
        <v>7045</v>
      </c>
      <c r="Q997" t="s">
        <v>7383</v>
      </c>
      <c r="R997" s="184">
        <v>13332</v>
      </c>
      <c r="S997">
        <v>87</v>
      </c>
      <c r="U997" t="s">
        <v>7076</v>
      </c>
      <c r="V997" t="s">
        <v>3288</v>
      </c>
      <c r="X997" t="s">
        <v>4873</v>
      </c>
      <c r="AF997" t="s">
        <v>12656</v>
      </c>
      <c r="AG997" t="s">
        <v>3288</v>
      </c>
      <c r="AI997" t="s">
        <v>12657</v>
      </c>
      <c r="AM997" t="s">
        <v>4874</v>
      </c>
      <c r="AN997" t="s">
        <v>2144</v>
      </c>
      <c r="AO997">
        <v>46156</v>
      </c>
      <c r="AP997" t="s">
        <v>7024</v>
      </c>
      <c r="AT997" s="184">
        <v>33532</v>
      </c>
      <c r="AU997" t="s">
        <v>12658</v>
      </c>
      <c r="AV997">
        <v>15</v>
      </c>
      <c r="AW997" s="184">
        <v>37838</v>
      </c>
      <c r="AX997" t="s">
        <v>10650</v>
      </c>
      <c r="AY997">
        <v>35</v>
      </c>
      <c r="AZ997" s="184">
        <v>37838</v>
      </c>
      <c r="BA997" t="s">
        <v>10650</v>
      </c>
      <c r="BB997">
        <v>35</v>
      </c>
      <c r="BC997">
        <v>39</v>
      </c>
      <c r="BD997">
        <v>440</v>
      </c>
      <c r="BE997">
        <v>1992</v>
      </c>
      <c r="BF997">
        <v>19</v>
      </c>
      <c r="BI997">
        <v>13</v>
      </c>
      <c r="BJ997">
        <v>34</v>
      </c>
      <c r="BK997">
        <v>13</v>
      </c>
      <c r="BP997" s="184"/>
    </row>
    <row r="998" spans="1:68">
      <c r="A998">
        <v>6353171</v>
      </c>
      <c r="B998">
        <v>6353171</v>
      </c>
      <c r="C998" t="s">
        <v>7018</v>
      </c>
      <c r="D998" t="s">
        <v>595</v>
      </c>
      <c r="E998" s="184">
        <v>43892</v>
      </c>
      <c r="G998" s="184"/>
      <c r="I998" s="184"/>
      <c r="K998" s="184"/>
      <c r="O998" s="184"/>
      <c r="P998" t="s">
        <v>7045</v>
      </c>
      <c r="Q998" t="s">
        <v>7262</v>
      </c>
      <c r="R998" s="184">
        <v>9430</v>
      </c>
      <c r="S998">
        <v>98</v>
      </c>
      <c r="V998" t="s">
        <v>2532</v>
      </c>
      <c r="X998" t="s">
        <v>12659</v>
      </c>
      <c r="Z998">
        <v>100812256</v>
      </c>
      <c r="AB998" t="s">
        <v>3336</v>
      </c>
      <c r="AD998" t="s">
        <v>12659</v>
      </c>
      <c r="AF998" t="s">
        <v>12660</v>
      </c>
      <c r="AG998" t="s">
        <v>12661</v>
      </c>
      <c r="AI998" t="s">
        <v>12662</v>
      </c>
      <c r="AM998" t="s">
        <v>12663</v>
      </c>
      <c r="AN998" t="s">
        <v>2069</v>
      </c>
      <c r="AO998" t="s">
        <v>12664</v>
      </c>
      <c r="AP998" t="s">
        <v>7024</v>
      </c>
      <c r="AQ998" t="s">
        <v>12665</v>
      </c>
      <c r="AT998" s="184">
        <v>33534</v>
      </c>
      <c r="AU998" t="s">
        <v>12666</v>
      </c>
      <c r="AV998">
        <v>15</v>
      </c>
      <c r="AW998" s="184">
        <v>45131</v>
      </c>
      <c r="AX998" t="s">
        <v>8299</v>
      </c>
      <c r="AY998">
        <v>100</v>
      </c>
      <c r="AZ998" s="184">
        <v>45131</v>
      </c>
      <c r="BA998" t="s">
        <v>8299</v>
      </c>
      <c r="BB998">
        <v>100</v>
      </c>
      <c r="BC998">
        <v>83</v>
      </c>
      <c r="BD998">
        <v>1326</v>
      </c>
      <c r="BE998">
        <v>1992</v>
      </c>
      <c r="BF998">
        <v>28</v>
      </c>
      <c r="BG998">
        <v>1</v>
      </c>
      <c r="BH998">
        <v>100</v>
      </c>
      <c r="BI998">
        <v>28</v>
      </c>
      <c r="BJ998">
        <v>34</v>
      </c>
      <c r="BK998">
        <v>11</v>
      </c>
    </row>
    <row r="999" spans="1:68">
      <c r="A999">
        <v>6358964</v>
      </c>
      <c r="B999">
        <v>6358964</v>
      </c>
      <c r="C999" t="s">
        <v>7018</v>
      </c>
      <c r="D999" t="s">
        <v>595</v>
      </c>
      <c r="E999" s="184">
        <v>43613</v>
      </c>
      <c r="G999" s="184"/>
      <c r="I999" s="184"/>
      <c r="K999" s="184"/>
      <c r="O999" s="184"/>
      <c r="P999" t="s">
        <v>7045</v>
      </c>
      <c r="Q999" t="s">
        <v>7383</v>
      </c>
      <c r="R999" s="184">
        <v>20329</v>
      </c>
      <c r="S999">
        <v>68</v>
      </c>
      <c r="U999" t="s">
        <v>7076</v>
      </c>
      <c r="V999" t="s">
        <v>2876</v>
      </c>
      <c r="W999" t="s">
        <v>7407</v>
      </c>
      <c r="X999" t="s">
        <v>2877</v>
      </c>
      <c r="AF999" t="s">
        <v>12667</v>
      </c>
      <c r="AG999" t="s">
        <v>2876</v>
      </c>
      <c r="AI999" t="s">
        <v>12668</v>
      </c>
      <c r="AM999" t="s">
        <v>2878</v>
      </c>
      <c r="AN999" t="s">
        <v>2313</v>
      </c>
      <c r="AO999" t="s">
        <v>12669</v>
      </c>
      <c r="AP999" t="s">
        <v>7024</v>
      </c>
      <c r="AQ999" t="s">
        <v>12670</v>
      </c>
      <c r="AR999" t="s">
        <v>12671</v>
      </c>
      <c r="AT999" s="184">
        <v>33534</v>
      </c>
      <c r="AU999" t="s">
        <v>12672</v>
      </c>
      <c r="AV999">
        <v>15</v>
      </c>
      <c r="AW999" s="184">
        <v>45408</v>
      </c>
      <c r="AX999" t="s">
        <v>8271</v>
      </c>
      <c r="AY999">
        <v>36.75</v>
      </c>
      <c r="AZ999" s="184">
        <v>39489</v>
      </c>
      <c r="BA999" t="s">
        <v>12673</v>
      </c>
      <c r="BB999">
        <v>115</v>
      </c>
      <c r="BC999">
        <v>95</v>
      </c>
      <c r="BD999">
        <v>2925.25</v>
      </c>
      <c r="BE999">
        <v>1992</v>
      </c>
      <c r="BF999">
        <v>68</v>
      </c>
      <c r="BG999">
        <v>4</v>
      </c>
      <c r="BH999">
        <v>174.25</v>
      </c>
      <c r="BI999">
        <v>32</v>
      </c>
      <c r="BJ999">
        <v>34</v>
      </c>
      <c r="BK999">
        <v>23</v>
      </c>
      <c r="BP999" s="184"/>
    </row>
    <row r="1000" spans="1:68">
      <c r="A1000">
        <v>6365381</v>
      </c>
      <c r="B1000">
        <v>6365381</v>
      </c>
      <c r="C1000" t="s">
        <v>7018</v>
      </c>
      <c r="E1000" s="184"/>
      <c r="I1000" s="184"/>
      <c r="J1000" t="s">
        <v>595</v>
      </c>
      <c r="K1000" s="184">
        <v>44438</v>
      </c>
      <c r="O1000" s="184"/>
      <c r="P1000" t="s">
        <v>7045</v>
      </c>
      <c r="Q1000" t="s">
        <v>7454</v>
      </c>
      <c r="R1000" s="184">
        <v>20048</v>
      </c>
      <c r="S1000">
        <v>69</v>
      </c>
      <c r="V1000" t="s">
        <v>3304</v>
      </c>
      <c r="X1000" t="s">
        <v>12674</v>
      </c>
      <c r="AF1000" t="s">
        <v>12675</v>
      </c>
      <c r="AG1000" t="s">
        <v>3304</v>
      </c>
      <c r="AI1000" t="s">
        <v>12676</v>
      </c>
      <c r="AM1000" t="s">
        <v>2608</v>
      </c>
      <c r="AN1000" t="s">
        <v>2299</v>
      </c>
      <c r="AO1000" t="s">
        <v>12677</v>
      </c>
      <c r="AP1000" t="s">
        <v>7024</v>
      </c>
      <c r="AT1000" s="184">
        <v>33536</v>
      </c>
      <c r="AU1000" t="s">
        <v>12678</v>
      </c>
      <c r="AV1000">
        <v>15</v>
      </c>
      <c r="AW1000" s="184">
        <v>43734</v>
      </c>
      <c r="AX1000" t="s">
        <v>12679</v>
      </c>
      <c r="AY1000">
        <v>25</v>
      </c>
      <c r="AZ1000" s="184">
        <v>42660</v>
      </c>
      <c r="BA1000" t="s">
        <v>12680</v>
      </c>
      <c r="BB1000">
        <v>60</v>
      </c>
      <c r="BC1000">
        <v>15</v>
      </c>
      <c r="BD1000">
        <v>190</v>
      </c>
      <c r="BE1000">
        <v>1992</v>
      </c>
      <c r="BF1000">
        <v>7</v>
      </c>
      <c r="BI1000">
        <v>5</v>
      </c>
      <c r="BJ1000">
        <v>34</v>
      </c>
      <c r="BK1000">
        <v>2</v>
      </c>
      <c r="BP1000" s="184"/>
    </row>
    <row r="1001" spans="1:68">
      <c r="A1001">
        <v>6365597</v>
      </c>
      <c r="B1001">
        <v>6365597</v>
      </c>
      <c r="C1001" t="s">
        <v>7018</v>
      </c>
      <c r="E1001" s="184"/>
      <c r="G1001" s="184"/>
      <c r="I1001" s="184"/>
      <c r="J1001" t="s">
        <v>595</v>
      </c>
      <c r="K1001" s="184">
        <v>37438</v>
      </c>
      <c r="O1001" s="184"/>
      <c r="P1001" t="s">
        <v>7029</v>
      </c>
      <c r="Q1001" t="s">
        <v>7383</v>
      </c>
      <c r="R1001" s="184">
        <v>18328</v>
      </c>
      <c r="S1001">
        <v>74</v>
      </c>
      <c r="U1001" t="s">
        <v>7031</v>
      </c>
      <c r="V1001" t="s">
        <v>2511</v>
      </c>
      <c r="W1001" t="s">
        <v>3332</v>
      </c>
      <c r="X1001" t="s">
        <v>5552</v>
      </c>
      <c r="Z1001">
        <v>100027697</v>
      </c>
      <c r="AA1001" t="s">
        <v>7130</v>
      </c>
      <c r="AB1001" t="s">
        <v>4210</v>
      </c>
      <c r="AD1001" t="s">
        <v>5552</v>
      </c>
      <c r="AF1001" t="s">
        <v>12681</v>
      </c>
      <c r="AG1001" t="s">
        <v>12682</v>
      </c>
      <c r="AI1001" t="s">
        <v>12683</v>
      </c>
      <c r="AM1001" t="s">
        <v>3010</v>
      </c>
      <c r="AN1001" t="s">
        <v>2059</v>
      </c>
      <c r="AO1001" t="s">
        <v>12684</v>
      </c>
      <c r="AP1001" t="s">
        <v>7024</v>
      </c>
      <c r="AQ1001" t="s">
        <v>12685</v>
      </c>
      <c r="AR1001" t="s">
        <v>12686</v>
      </c>
      <c r="AT1001" s="184">
        <v>33536</v>
      </c>
      <c r="AU1001" t="s">
        <v>12687</v>
      </c>
      <c r="AV1001">
        <v>65</v>
      </c>
      <c r="AW1001" s="184">
        <v>45406</v>
      </c>
      <c r="AX1001" t="s">
        <v>12688</v>
      </c>
      <c r="AY1001">
        <v>500</v>
      </c>
      <c r="AZ1001" s="184">
        <v>38561</v>
      </c>
      <c r="BA1001" t="s">
        <v>12689</v>
      </c>
      <c r="BB1001">
        <v>4370</v>
      </c>
      <c r="BC1001">
        <v>86</v>
      </c>
      <c r="BD1001">
        <v>45305</v>
      </c>
      <c r="BE1001">
        <v>1992</v>
      </c>
      <c r="BF1001">
        <v>34</v>
      </c>
      <c r="BG1001">
        <v>3</v>
      </c>
      <c r="BH1001">
        <v>2000</v>
      </c>
      <c r="BI1001">
        <v>29</v>
      </c>
      <c r="BJ1001">
        <v>34</v>
      </c>
      <c r="BK1001">
        <v>13</v>
      </c>
      <c r="BN1001" t="s">
        <v>595</v>
      </c>
      <c r="BP1001" s="184"/>
    </row>
    <row r="1002" spans="1:68">
      <c r="A1002">
        <v>100027697</v>
      </c>
      <c r="B1002">
        <v>6365597</v>
      </c>
      <c r="C1002" t="s">
        <v>7018</v>
      </c>
      <c r="E1002" s="184"/>
      <c r="I1002" s="184"/>
      <c r="J1002" t="s">
        <v>595</v>
      </c>
      <c r="K1002" s="184">
        <v>37438</v>
      </c>
      <c r="O1002" s="184"/>
      <c r="P1002" t="s">
        <v>7029</v>
      </c>
      <c r="Q1002" t="s">
        <v>7383</v>
      </c>
      <c r="R1002" s="184">
        <v>18401</v>
      </c>
      <c r="S1002">
        <v>73</v>
      </c>
      <c r="U1002" t="s">
        <v>7130</v>
      </c>
      <c r="V1002" t="s">
        <v>4210</v>
      </c>
      <c r="X1002" t="s">
        <v>5552</v>
      </c>
      <c r="Z1002">
        <v>6365597</v>
      </c>
      <c r="AA1002" t="s">
        <v>7031</v>
      </c>
      <c r="AB1002" t="s">
        <v>2511</v>
      </c>
      <c r="AC1002" t="s">
        <v>3332</v>
      </c>
      <c r="AD1002" t="s">
        <v>5552</v>
      </c>
      <c r="AF1002" t="s">
        <v>12681</v>
      </c>
      <c r="AG1002" t="s">
        <v>12682</v>
      </c>
      <c r="AI1002" t="s">
        <v>12683</v>
      </c>
      <c r="AM1002" t="s">
        <v>3010</v>
      </c>
      <c r="AN1002" t="s">
        <v>2059</v>
      </c>
      <c r="AO1002" t="s">
        <v>12684</v>
      </c>
      <c r="AP1002" t="s">
        <v>7024</v>
      </c>
      <c r="AT1002" s="184"/>
      <c r="AW1002" s="184"/>
      <c r="AZ1002" s="184"/>
      <c r="BP1002" s="184"/>
    </row>
    <row r="1003" spans="1:68">
      <c r="A1003">
        <v>6387484</v>
      </c>
      <c r="B1003">
        <v>6387484</v>
      </c>
      <c r="C1003" t="s">
        <v>7018</v>
      </c>
      <c r="E1003" s="184"/>
      <c r="G1003" s="184"/>
      <c r="I1003" s="184"/>
      <c r="J1003" t="s">
        <v>595</v>
      </c>
      <c r="K1003" s="184">
        <v>43690</v>
      </c>
      <c r="O1003" s="184"/>
      <c r="P1003" t="s">
        <v>7084</v>
      </c>
      <c r="Q1003" t="s">
        <v>7194</v>
      </c>
      <c r="R1003" s="184">
        <v>15342</v>
      </c>
      <c r="S1003">
        <v>82</v>
      </c>
      <c r="V1003" t="s">
        <v>5495</v>
      </c>
      <c r="W1003" t="s">
        <v>7067</v>
      </c>
      <c r="X1003" t="s">
        <v>5496</v>
      </c>
      <c r="AF1003" t="s">
        <v>12690</v>
      </c>
      <c r="AG1003" t="s">
        <v>12691</v>
      </c>
      <c r="AI1003" t="s">
        <v>12692</v>
      </c>
      <c r="AJ1003" t="s">
        <v>12693</v>
      </c>
      <c r="AM1003" t="s">
        <v>5497</v>
      </c>
      <c r="AN1003" t="s">
        <v>2046</v>
      </c>
      <c r="AO1003" t="s">
        <v>12694</v>
      </c>
      <c r="AP1003" t="s">
        <v>7024</v>
      </c>
      <c r="AQ1003" t="s">
        <v>12695</v>
      </c>
      <c r="AT1003" s="184">
        <v>33549</v>
      </c>
      <c r="AU1003" t="s">
        <v>11980</v>
      </c>
      <c r="AV1003">
        <v>19.95</v>
      </c>
      <c r="AW1003" s="184">
        <v>43752</v>
      </c>
      <c r="AX1003" t="s">
        <v>8257</v>
      </c>
      <c r="AY1003">
        <v>55200</v>
      </c>
      <c r="AZ1003" s="184">
        <v>43752</v>
      </c>
      <c r="BA1003" t="s">
        <v>8257</v>
      </c>
      <c r="BB1003">
        <v>55200</v>
      </c>
      <c r="BC1003">
        <v>71</v>
      </c>
      <c r="BD1003">
        <v>56854.95</v>
      </c>
      <c r="BE1003">
        <v>1992</v>
      </c>
      <c r="BF1003">
        <v>32</v>
      </c>
      <c r="BI1003">
        <v>24</v>
      </c>
      <c r="BJ1003">
        <v>34</v>
      </c>
      <c r="BK1003">
        <v>16</v>
      </c>
      <c r="BN1003" t="s">
        <v>595</v>
      </c>
      <c r="BO1003" t="s">
        <v>595</v>
      </c>
      <c r="BP1003" s="184">
        <v>43690</v>
      </c>
    </row>
    <row r="1004" spans="1:68">
      <c r="A1004">
        <v>6395271</v>
      </c>
      <c r="B1004">
        <v>6395271</v>
      </c>
      <c r="C1004" t="s">
        <v>7018</v>
      </c>
      <c r="D1004" t="s">
        <v>595</v>
      </c>
      <c r="E1004" s="184">
        <v>44104</v>
      </c>
      <c r="G1004" s="184"/>
      <c r="I1004" s="184"/>
      <c r="K1004" s="184"/>
      <c r="O1004" s="184"/>
      <c r="P1004" t="s">
        <v>7045</v>
      </c>
      <c r="Q1004" t="s">
        <v>7454</v>
      </c>
      <c r="R1004" s="184">
        <v>9772</v>
      </c>
      <c r="S1004">
        <v>97</v>
      </c>
      <c r="U1004" t="s">
        <v>7031</v>
      </c>
      <c r="V1004" t="s">
        <v>2532</v>
      </c>
      <c r="W1004" t="s">
        <v>3332</v>
      </c>
      <c r="X1004" t="s">
        <v>8075</v>
      </c>
      <c r="AF1004" t="s">
        <v>12696</v>
      </c>
      <c r="AG1004" t="s">
        <v>2532</v>
      </c>
      <c r="AI1004" t="s">
        <v>12697</v>
      </c>
      <c r="AM1004" t="s">
        <v>3905</v>
      </c>
      <c r="AN1004" t="s">
        <v>2055</v>
      </c>
      <c r="AO1004" t="s">
        <v>12698</v>
      </c>
      <c r="AP1004" t="s">
        <v>7024</v>
      </c>
      <c r="AQ1004" t="s">
        <v>12699</v>
      </c>
      <c r="AR1004" t="s">
        <v>12700</v>
      </c>
      <c r="AT1004" s="184">
        <v>33546</v>
      </c>
      <c r="AU1004" t="s">
        <v>11855</v>
      </c>
      <c r="AV1004">
        <v>15</v>
      </c>
      <c r="AW1004" s="184">
        <v>43977</v>
      </c>
      <c r="AX1004" t="s">
        <v>12701</v>
      </c>
      <c r="AY1004">
        <v>40</v>
      </c>
      <c r="AZ1004" s="184">
        <v>42817</v>
      </c>
      <c r="BA1004" t="s">
        <v>7765</v>
      </c>
      <c r="BB1004">
        <v>50</v>
      </c>
      <c r="BC1004">
        <v>80</v>
      </c>
      <c r="BD1004">
        <v>1669</v>
      </c>
      <c r="BE1004">
        <v>1992</v>
      </c>
      <c r="BF1004">
        <v>49</v>
      </c>
      <c r="BI1004">
        <v>27</v>
      </c>
      <c r="BJ1004">
        <v>34</v>
      </c>
      <c r="BK1004">
        <v>25</v>
      </c>
      <c r="BN1004" t="s">
        <v>595</v>
      </c>
    </row>
    <row r="1005" spans="1:68">
      <c r="A1005">
        <v>6403182</v>
      </c>
      <c r="B1005">
        <v>6403182</v>
      </c>
      <c r="C1005" t="s">
        <v>7018</v>
      </c>
      <c r="D1005" t="s">
        <v>595</v>
      </c>
      <c r="E1005" s="184">
        <v>43864</v>
      </c>
      <c r="G1005" s="184"/>
      <c r="I1005" s="184"/>
      <c r="K1005" s="184"/>
      <c r="O1005" s="184"/>
      <c r="P1005" t="s">
        <v>7045</v>
      </c>
      <c r="Q1005" t="s">
        <v>7160</v>
      </c>
      <c r="R1005" s="184">
        <v>9648</v>
      </c>
      <c r="S1005">
        <v>97</v>
      </c>
      <c r="U1005" t="s">
        <v>7031</v>
      </c>
      <c r="V1005" t="s">
        <v>2863</v>
      </c>
      <c r="W1005" t="s">
        <v>2963</v>
      </c>
      <c r="X1005" t="s">
        <v>4693</v>
      </c>
      <c r="Z1005">
        <v>100180110</v>
      </c>
      <c r="AB1005" t="s">
        <v>3098</v>
      </c>
      <c r="AD1005" t="s">
        <v>4693</v>
      </c>
      <c r="AF1005" t="s">
        <v>12702</v>
      </c>
      <c r="AG1005" t="s">
        <v>2863</v>
      </c>
      <c r="AI1005" t="s">
        <v>12703</v>
      </c>
      <c r="AM1005" t="s">
        <v>4694</v>
      </c>
      <c r="AN1005" t="s">
        <v>2176</v>
      </c>
      <c r="AO1005" t="s">
        <v>12704</v>
      </c>
      <c r="AP1005" t="s">
        <v>7024</v>
      </c>
      <c r="AT1005" s="184">
        <v>33549</v>
      </c>
      <c r="AU1005" t="s">
        <v>12705</v>
      </c>
      <c r="AV1005">
        <v>15</v>
      </c>
      <c r="AW1005" s="184">
        <v>40060</v>
      </c>
      <c r="AX1005" t="s">
        <v>12706</v>
      </c>
      <c r="AY1005">
        <v>20</v>
      </c>
      <c r="AZ1005" s="184">
        <v>36250</v>
      </c>
      <c r="BA1005" t="s">
        <v>12707</v>
      </c>
      <c r="BB1005">
        <v>60</v>
      </c>
      <c r="BC1005">
        <v>48</v>
      </c>
      <c r="BD1005">
        <v>291</v>
      </c>
      <c r="BE1005">
        <v>1992</v>
      </c>
      <c r="BF1005">
        <v>22</v>
      </c>
      <c r="BI1005">
        <v>16</v>
      </c>
      <c r="BJ1005">
        <v>34</v>
      </c>
      <c r="BK1005">
        <v>13</v>
      </c>
      <c r="BP1005" s="184"/>
    </row>
    <row r="1006" spans="1:68">
      <c r="A1006">
        <v>6414502</v>
      </c>
      <c r="B1006">
        <v>6414502</v>
      </c>
      <c r="C1006" t="s">
        <v>7018</v>
      </c>
      <c r="E1006" s="184"/>
      <c r="G1006" s="184"/>
      <c r="H1006" t="s">
        <v>595</v>
      </c>
      <c r="I1006" s="184">
        <v>44299</v>
      </c>
      <c r="K1006" s="184"/>
      <c r="O1006" s="184"/>
      <c r="P1006" t="s">
        <v>7045</v>
      </c>
      <c r="Q1006" t="s">
        <v>7383</v>
      </c>
      <c r="R1006" s="184">
        <v>12855</v>
      </c>
      <c r="S1006">
        <v>89</v>
      </c>
      <c r="U1006" t="s">
        <v>7031</v>
      </c>
      <c r="V1006" t="s">
        <v>2511</v>
      </c>
      <c r="W1006" t="s">
        <v>7469</v>
      </c>
      <c r="X1006" t="s">
        <v>5068</v>
      </c>
      <c r="Z1006">
        <v>100027942</v>
      </c>
      <c r="AA1006" t="s">
        <v>7130</v>
      </c>
      <c r="AB1006" t="s">
        <v>2593</v>
      </c>
      <c r="AC1006" t="s">
        <v>7743</v>
      </c>
      <c r="AD1006" t="s">
        <v>5068</v>
      </c>
      <c r="AF1006" t="s">
        <v>12708</v>
      </c>
      <c r="AG1006" t="s">
        <v>12709</v>
      </c>
      <c r="AI1006" t="s">
        <v>12710</v>
      </c>
      <c r="AM1006" t="s">
        <v>12711</v>
      </c>
      <c r="AN1006" t="s">
        <v>2059</v>
      </c>
      <c r="AO1006" t="s">
        <v>12712</v>
      </c>
      <c r="AP1006" t="s">
        <v>7024</v>
      </c>
      <c r="AQ1006" t="s">
        <v>12713</v>
      </c>
      <c r="AR1006" t="s">
        <v>12714</v>
      </c>
      <c r="AT1006" s="184">
        <v>33554</v>
      </c>
      <c r="AU1006" t="s">
        <v>12705</v>
      </c>
      <c r="AV1006">
        <v>15</v>
      </c>
      <c r="AW1006" s="184">
        <v>45012</v>
      </c>
      <c r="AX1006" t="s">
        <v>12715</v>
      </c>
      <c r="AY1006">
        <v>50</v>
      </c>
      <c r="AZ1006" s="184">
        <v>44987</v>
      </c>
      <c r="BA1006" t="s">
        <v>7044</v>
      </c>
      <c r="BB1006">
        <v>10000</v>
      </c>
      <c r="BC1006">
        <v>80</v>
      </c>
      <c r="BD1006">
        <v>22007</v>
      </c>
      <c r="BE1006">
        <v>1992</v>
      </c>
      <c r="BF1006">
        <v>36</v>
      </c>
      <c r="BG1006">
        <v>2</v>
      </c>
      <c r="BH1006">
        <v>10050</v>
      </c>
      <c r="BI1006">
        <v>27</v>
      </c>
      <c r="BJ1006">
        <v>34</v>
      </c>
      <c r="BK1006">
        <v>17</v>
      </c>
      <c r="BN1006" t="s">
        <v>595</v>
      </c>
      <c r="BP1006" s="184"/>
    </row>
    <row r="1007" spans="1:68">
      <c r="A1007">
        <v>100027942</v>
      </c>
      <c r="B1007">
        <v>6414502</v>
      </c>
      <c r="C1007" t="s">
        <v>7018</v>
      </c>
      <c r="E1007" s="184"/>
      <c r="G1007" s="184"/>
      <c r="H1007" t="s">
        <v>595</v>
      </c>
      <c r="I1007" s="184">
        <v>44299</v>
      </c>
      <c r="K1007" s="184"/>
      <c r="N1007" t="s">
        <v>595</v>
      </c>
      <c r="O1007" s="184">
        <v>41900</v>
      </c>
      <c r="P1007" t="s">
        <v>7045</v>
      </c>
      <c r="Q1007" t="s">
        <v>7383</v>
      </c>
      <c r="R1007" s="184">
        <v>12700</v>
      </c>
      <c r="S1007">
        <v>89</v>
      </c>
      <c r="U1007" t="s">
        <v>7130</v>
      </c>
      <c r="V1007" t="s">
        <v>2593</v>
      </c>
      <c r="W1007" t="s">
        <v>7743</v>
      </c>
      <c r="X1007" t="s">
        <v>5068</v>
      </c>
      <c r="Z1007">
        <v>6414502</v>
      </c>
      <c r="AA1007" t="s">
        <v>7031</v>
      </c>
      <c r="AB1007" t="s">
        <v>2511</v>
      </c>
      <c r="AC1007" t="s">
        <v>7469</v>
      </c>
      <c r="AD1007" t="s">
        <v>5068</v>
      </c>
      <c r="AF1007" t="s">
        <v>12708</v>
      </c>
      <c r="AG1007" t="s">
        <v>12709</v>
      </c>
      <c r="AI1007" t="s">
        <v>12710</v>
      </c>
      <c r="AM1007" t="s">
        <v>12711</v>
      </c>
      <c r="AN1007" t="s">
        <v>2059</v>
      </c>
      <c r="AO1007" t="s">
        <v>12712</v>
      </c>
      <c r="AP1007" t="s">
        <v>7024</v>
      </c>
      <c r="AQ1007" t="s">
        <v>12716</v>
      </c>
      <c r="AR1007" t="s">
        <v>12717</v>
      </c>
      <c r="AT1007" s="184">
        <v>44887</v>
      </c>
      <c r="AU1007" t="s">
        <v>12718</v>
      </c>
      <c r="AV1007">
        <v>50</v>
      </c>
      <c r="AW1007" s="184">
        <v>44907</v>
      </c>
      <c r="AX1007" t="s">
        <v>12719</v>
      </c>
      <c r="AY1007">
        <v>25</v>
      </c>
      <c r="AZ1007" s="184">
        <v>44887</v>
      </c>
      <c r="BA1007" t="s">
        <v>12718</v>
      </c>
      <c r="BB1007">
        <v>50</v>
      </c>
      <c r="BC1007">
        <v>34</v>
      </c>
      <c r="BD1007">
        <v>150</v>
      </c>
      <c r="BE1007">
        <v>2023</v>
      </c>
      <c r="BF1007">
        <v>5</v>
      </c>
      <c r="BG1007">
        <v>5</v>
      </c>
      <c r="BH1007">
        <v>150</v>
      </c>
      <c r="BI1007">
        <v>1</v>
      </c>
      <c r="BJ1007">
        <v>3</v>
      </c>
      <c r="BK1007">
        <v>1</v>
      </c>
      <c r="BP1007" s="184"/>
    </row>
    <row r="1008" spans="1:68">
      <c r="A1008">
        <v>6425359</v>
      </c>
      <c r="B1008">
        <v>6425359</v>
      </c>
      <c r="C1008" t="s">
        <v>7018</v>
      </c>
      <c r="E1008" s="184"/>
      <c r="G1008" s="184"/>
      <c r="I1008" s="184"/>
      <c r="J1008" t="s">
        <v>595</v>
      </c>
      <c r="K1008" s="184">
        <v>43641</v>
      </c>
      <c r="O1008" s="184"/>
      <c r="P1008" t="s">
        <v>7019</v>
      </c>
      <c r="Q1008" t="s">
        <v>7383</v>
      </c>
      <c r="R1008" s="184">
        <v>15705</v>
      </c>
      <c r="S1008">
        <v>81</v>
      </c>
      <c r="U1008" t="s">
        <v>7076</v>
      </c>
      <c r="V1008" t="s">
        <v>3043</v>
      </c>
      <c r="X1008" t="s">
        <v>3044</v>
      </c>
      <c r="AF1008" t="s">
        <v>6562</v>
      </c>
      <c r="AG1008" t="s">
        <v>3043</v>
      </c>
      <c r="AI1008" t="s">
        <v>12720</v>
      </c>
      <c r="AM1008" t="s">
        <v>3045</v>
      </c>
      <c r="AN1008" t="s">
        <v>2118</v>
      </c>
      <c r="AO1008" t="s">
        <v>12721</v>
      </c>
      <c r="AP1008" t="s">
        <v>7024</v>
      </c>
      <c r="AT1008" s="184">
        <v>33556</v>
      </c>
      <c r="AU1008" t="s">
        <v>12722</v>
      </c>
      <c r="AV1008">
        <v>15</v>
      </c>
      <c r="AW1008" s="184">
        <v>44768</v>
      </c>
      <c r="AX1008" t="s">
        <v>12723</v>
      </c>
      <c r="AY1008">
        <v>60</v>
      </c>
      <c r="AZ1008" s="184">
        <v>44768</v>
      </c>
      <c r="BA1008" t="s">
        <v>12723</v>
      </c>
      <c r="BB1008">
        <v>60</v>
      </c>
      <c r="BC1008">
        <v>74</v>
      </c>
      <c r="BD1008">
        <v>755</v>
      </c>
      <c r="BE1008">
        <v>1992</v>
      </c>
      <c r="BF1008">
        <v>31</v>
      </c>
      <c r="BG1008">
        <v>1</v>
      </c>
      <c r="BH1008">
        <v>60</v>
      </c>
      <c r="BI1008">
        <v>25</v>
      </c>
      <c r="BJ1008">
        <v>34</v>
      </c>
      <c r="BK1008">
        <v>7</v>
      </c>
    </row>
    <row r="1009" spans="1:68">
      <c r="A1009">
        <v>6428247</v>
      </c>
      <c r="B1009">
        <v>6428247</v>
      </c>
      <c r="C1009" t="s">
        <v>7018</v>
      </c>
      <c r="D1009" t="s">
        <v>595</v>
      </c>
      <c r="E1009" s="184">
        <v>45152</v>
      </c>
      <c r="G1009" s="184"/>
      <c r="I1009" s="184"/>
      <c r="K1009" s="184"/>
      <c r="O1009" s="184"/>
      <c r="P1009" t="s">
        <v>7045</v>
      </c>
      <c r="Q1009" t="s">
        <v>7383</v>
      </c>
      <c r="R1009" s="184">
        <v>17555</v>
      </c>
      <c r="S1009">
        <v>76</v>
      </c>
      <c r="U1009" t="s">
        <v>7032</v>
      </c>
      <c r="V1009" t="s">
        <v>3103</v>
      </c>
      <c r="W1009" t="s">
        <v>7107</v>
      </c>
      <c r="X1009" t="s">
        <v>3563</v>
      </c>
      <c r="Z1009">
        <v>100027989</v>
      </c>
      <c r="AB1009" t="s">
        <v>3011</v>
      </c>
      <c r="AD1009" t="s">
        <v>3563</v>
      </c>
      <c r="AF1009" t="s">
        <v>12724</v>
      </c>
      <c r="AG1009" t="s">
        <v>12725</v>
      </c>
      <c r="AI1009" t="s">
        <v>12726</v>
      </c>
      <c r="AM1009" t="s">
        <v>3345</v>
      </c>
      <c r="AN1009" t="s">
        <v>2274</v>
      </c>
      <c r="AO1009" t="s">
        <v>12727</v>
      </c>
      <c r="AP1009" t="s">
        <v>7024</v>
      </c>
      <c r="AQ1009" t="s">
        <v>12728</v>
      </c>
      <c r="AT1009" s="184">
        <v>33556</v>
      </c>
      <c r="AU1009" t="s">
        <v>12729</v>
      </c>
      <c r="AV1009">
        <v>15</v>
      </c>
      <c r="AW1009" s="184">
        <v>45365</v>
      </c>
      <c r="AX1009" t="s">
        <v>12730</v>
      </c>
      <c r="AY1009">
        <v>25</v>
      </c>
      <c r="AZ1009" s="184">
        <v>34001</v>
      </c>
      <c r="BA1009" t="s">
        <v>12731</v>
      </c>
      <c r="BB1009">
        <v>100</v>
      </c>
      <c r="BC1009">
        <v>36</v>
      </c>
      <c r="BD1009">
        <v>485</v>
      </c>
      <c r="BE1009">
        <v>1992</v>
      </c>
      <c r="BF1009">
        <v>13</v>
      </c>
      <c r="BG1009">
        <v>2</v>
      </c>
      <c r="BH1009">
        <v>50</v>
      </c>
      <c r="BI1009">
        <v>12</v>
      </c>
      <c r="BJ1009">
        <v>34</v>
      </c>
      <c r="BK1009">
        <v>5</v>
      </c>
      <c r="BP1009" s="184"/>
    </row>
    <row r="1010" spans="1:68">
      <c r="A1010">
        <v>100027989</v>
      </c>
      <c r="B1010">
        <v>6428247</v>
      </c>
      <c r="C1010" t="s">
        <v>7018</v>
      </c>
      <c r="D1010" t="s">
        <v>595</v>
      </c>
      <c r="E1010" s="184">
        <v>45152</v>
      </c>
      <c r="G1010" s="184"/>
      <c r="I1010" s="184"/>
      <c r="K1010" s="184"/>
      <c r="O1010" s="184"/>
      <c r="P1010" t="s">
        <v>7045</v>
      </c>
      <c r="Q1010" t="s">
        <v>7383</v>
      </c>
      <c r="R1010" s="184">
        <v>18120</v>
      </c>
      <c r="S1010">
        <v>74</v>
      </c>
      <c r="V1010" t="s">
        <v>3011</v>
      </c>
      <c r="X1010" t="s">
        <v>3563</v>
      </c>
      <c r="Z1010">
        <v>6428247</v>
      </c>
      <c r="AA1010" t="s">
        <v>7032</v>
      </c>
      <c r="AB1010" t="s">
        <v>3103</v>
      </c>
      <c r="AC1010" t="s">
        <v>7107</v>
      </c>
      <c r="AD1010" t="s">
        <v>3563</v>
      </c>
      <c r="AF1010" t="s">
        <v>12724</v>
      </c>
      <c r="AG1010" t="s">
        <v>12725</v>
      </c>
      <c r="AI1010" t="s">
        <v>12726</v>
      </c>
      <c r="AM1010" t="s">
        <v>3345</v>
      </c>
      <c r="AN1010" t="s">
        <v>2274</v>
      </c>
      <c r="AO1010" t="s">
        <v>12727</v>
      </c>
      <c r="AP1010" t="s">
        <v>7024</v>
      </c>
      <c r="AT1010" s="184"/>
      <c r="AW1010" s="184"/>
      <c r="AZ1010" s="184"/>
      <c r="BP1010" s="184"/>
    </row>
    <row r="1011" spans="1:68">
      <c r="A1011">
        <v>6444798</v>
      </c>
      <c r="B1011">
        <v>6444798</v>
      </c>
      <c r="C1011" t="s">
        <v>7018</v>
      </c>
      <c r="D1011" t="s">
        <v>595</v>
      </c>
      <c r="E1011" s="184">
        <v>45141</v>
      </c>
      <c r="G1011" s="184"/>
      <c r="I1011" s="184"/>
      <c r="K1011" s="184"/>
      <c r="O1011" s="184"/>
      <c r="P1011" t="s">
        <v>7045</v>
      </c>
      <c r="Q1011" t="s">
        <v>7262</v>
      </c>
      <c r="R1011" s="184">
        <v>16923</v>
      </c>
      <c r="S1011">
        <v>78</v>
      </c>
      <c r="V1011" t="s">
        <v>4330</v>
      </c>
      <c r="X1011" t="s">
        <v>12732</v>
      </c>
      <c r="Z1011">
        <v>100180118</v>
      </c>
      <c r="AB1011" t="s">
        <v>4539</v>
      </c>
      <c r="AD1011" t="s">
        <v>12732</v>
      </c>
      <c r="AF1011" t="s">
        <v>12733</v>
      </c>
      <c r="AG1011" t="s">
        <v>4330</v>
      </c>
      <c r="AI1011" t="s">
        <v>12734</v>
      </c>
      <c r="AJ1011" t="s">
        <v>12735</v>
      </c>
      <c r="AM1011" t="s">
        <v>12736</v>
      </c>
      <c r="AN1011" t="s">
        <v>2069</v>
      </c>
      <c r="AO1011" t="s">
        <v>12737</v>
      </c>
      <c r="AP1011" t="s">
        <v>7024</v>
      </c>
      <c r="AQ1011" t="s">
        <v>12738</v>
      </c>
      <c r="AT1011" s="184">
        <v>33560</v>
      </c>
      <c r="AU1011" t="s">
        <v>12739</v>
      </c>
      <c r="AV1011">
        <v>15</v>
      </c>
      <c r="AW1011" s="184">
        <v>45351</v>
      </c>
      <c r="AX1011" t="s">
        <v>12740</v>
      </c>
      <c r="AY1011">
        <v>150</v>
      </c>
      <c r="AZ1011" s="184">
        <v>45351</v>
      </c>
      <c r="BA1011" t="s">
        <v>12740</v>
      </c>
      <c r="BB1011">
        <v>150</v>
      </c>
      <c r="BC1011">
        <v>80</v>
      </c>
      <c r="BD1011">
        <v>1875</v>
      </c>
      <c r="BE1011">
        <v>1992</v>
      </c>
      <c r="BF1011">
        <v>29</v>
      </c>
      <c r="BG1011">
        <v>2</v>
      </c>
      <c r="BH1011">
        <v>300</v>
      </c>
      <c r="BI1011">
        <v>27</v>
      </c>
      <c r="BJ1011">
        <v>34</v>
      </c>
      <c r="BK1011">
        <v>15</v>
      </c>
    </row>
    <row r="1012" spans="1:68">
      <c r="A1012">
        <v>100180118</v>
      </c>
      <c r="B1012">
        <v>6444798</v>
      </c>
      <c r="C1012" t="s">
        <v>7018</v>
      </c>
      <c r="D1012" t="s">
        <v>595</v>
      </c>
      <c r="E1012" s="184">
        <v>45141</v>
      </c>
      <c r="G1012" s="184"/>
      <c r="I1012" s="184"/>
      <c r="K1012" s="184"/>
      <c r="O1012" s="184"/>
      <c r="P1012" t="s">
        <v>7045</v>
      </c>
      <c r="Q1012" t="s">
        <v>7262</v>
      </c>
      <c r="R1012" s="184">
        <v>16952</v>
      </c>
      <c r="S1012">
        <v>77</v>
      </c>
      <c r="V1012" t="s">
        <v>4539</v>
      </c>
      <c r="X1012" t="s">
        <v>12732</v>
      </c>
      <c r="Z1012">
        <v>6444798</v>
      </c>
      <c r="AB1012" t="s">
        <v>4330</v>
      </c>
      <c r="AD1012" t="s">
        <v>12732</v>
      </c>
      <c r="AF1012" t="s">
        <v>12733</v>
      </c>
      <c r="AG1012" t="s">
        <v>4330</v>
      </c>
      <c r="AI1012" t="s">
        <v>12734</v>
      </c>
      <c r="AJ1012" t="s">
        <v>12735</v>
      </c>
      <c r="AM1012" t="s">
        <v>12736</v>
      </c>
      <c r="AN1012" t="s">
        <v>2069</v>
      </c>
      <c r="AO1012" t="s">
        <v>12737</v>
      </c>
      <c r="AP1012" t="s">
        <v>7024</v>
      </c>
      <c r="AQ1012" t="s">
        <v>12741</v>
      </c>
      <c r="AT1012" s="184"/>
      <c r="AW1012" s="184"/>
      <c r="AZ1012" s="184"/>
      <c r="BO1012" t="s">
        <v>595</v>
      </c>
      <c r="BP1012" s="184"/>
    </row>
    <row r="1013" spans="1:68">
      <c r="A1013">
        <v>6453963</v>
      </c>
      <c r="B1013">
        <v>6453963</v>
      </c>
      <c r="C1013" t="s">
        <v>7018</v>
      </c>
      <c r="E1013" s="184"/>
      <c r="G1013" s="184"/>
      <c r="J1013" t="s">
        <v>595</v>
      </c>
      <c r="K1013" s="184">
        <v>41964</v>
      </c>
      <c r="O1013" s="184"/>
      <c r="P1013" t="s">
        <v>7045</v>
      </c>
      <c r="Q1013" t="s">
        <v>7383</v>
      </c>
      <c r="R1013" s="184">
        <v>19268</v>
      </c>
      <c r="S1013">
        <v>71</v>
      </c>
      <c r="U1013" t="s">
        <v>7031</v>
      </c>
      <c r="V1013" t="s">
        <v>2697</v>
      </c>
      <c r="W1013" t="s">
        <v>7695</v>
      </c>
      <c r="X1013" t="s">
        <v>12742</v>
      </c>
      <c r="Z1013">
        <v>100028098</v>
      </c>
      <c r="AA1013" t="s">
        <v>7031</v>
      </c>
      <c r="AB1013" t="s">
        <v>2660</v>
      </c>
      <c r="AD1013" t="s">
        <v>12742</v>
      </c>
      <c r="AF1013" t="s">
        <v>12743</v>
      </c>
      <c r="AG1013" t="s">
        <v>12744</v>
      </c>
      <c r="AI1013" t="s">
        <v>12745</v>
      </c>
      <c r="AM1013" t="s">
        <v>3298</v>
      </c>
      <c r="AN1013" t="s">
        <v>2274</v>
      </c>
      <c r="AO1013" t="s">
        <v>12746</v>
      </c>
      <c r="AP1013" t="s">
        <v>7024</v>
      </c>
      <c r="AQ1013" t="s">
        <v>12747</v>
      </c>
      <c r="AR1013" t="s">
        <v>12748</v>
      </c>
      <c r="AT1013" s="184">
        <v>33563</v>
      </c>
      <c r="AU1013" t="s">
        <v>12749</v>
      </c>
      <c r="AV1013">
        <v>15</v>
      </c>
      <c r="AW1013" s="184">
        <v>44473</v>
      </c>
      <c r="AX1013" t="s">
        <v>12750</v>
      </c>
      <c r="AY1013">
        <v>300</v>
      </c>
      <c r="AZ1013" s="184">
        <v>44473</v>
      </c>
      <c r="BA1013" t="s">
        <v>12750</v>
      </c>
      <c r="BB1013">
        <v>300</v>
      </c>
      <c r="BC1013">
        <v>86</v>
      </c>
      <c r="BD1013">
        <v>5195</v>
      </c>
      <c r="BE1013">
        <v>1992</v>
      </c>
      <c r="BF1013">
        <v>32</v>
      </c>
      <c r="BI1013">
        <v>29</v>
      </c>
      <c r="BJ1013">
        <v>34</v>
      </c>
      <c r="BK1013">
        <v>27</v>
      </c>
    </row>
    <row r="1014" spans="1:68">
      <c r="A1014">
        <v>100028098</v>
      </c>
      <c r="B1014">
        <v>6453963</v>
      </c>
      <c r="C1014" t="s">
        <v>7018</v>
      </c>
      <c r="E1014" s="184"/>
      <c r="G1014" s="184"/>
      <c r="I1014" s="184"/>
      <c r="J1014" t="s">
        <v>595</v>
      </c>
      <c r="K1014" s="184">
        <v>41964</v>
      </c>
      <c r="O1014" s="184"/>
      <c r="P1014" t="s">
        <v>7045</v>
      </c>
      <c r="Q1014" t="s">
        <v>7383</v>
      </c>
      <c r="R1014" s="184">
        <v>18507</v>
      </c>
      <c r="S1014">
        <v>73</v>
      </c>
      <c r="U1014" t="s">
        <v>7031</v>
      </c>
      <c r="V1014" t="s">
        <v>2660</v>
      </c>
      <c r="X1014" t="s">
        <v>12742</v>
      </c>
      <c r="Z1014">
        <v>6453963</v>
      </c>
      <c r="AA1014" t="s">
        <v>7031</v>
      </c>
      <c r="AB1014" t="s">
        <v>2697</v>
      </c>
      <c r="AC1014" t="s">
        <v>7695</v>
      </c>
      <c r="AD1014" t="s">
        <v>12742</v>
      </c>
      <c r="AF1014" t="s">
        <v>12743</v>
      </c>
      <c r="AG1014" t="s">
        <v>12744</v>
      </c>
      <c r="AI1014" t="s">
        <v>12745</v>
      </c>
      <c r="AM1014" t="s">
        <v>3298</v>
      </c>
      <c r="AN1014" t="s">
        <v>2274</v>
      </c>
      <c r="AO1014" t="s">
        <v>12746</v>
      </c>
      <c r="AP1014" t="s">
        <v>7024</v>
      </c>
      <c r="AQ1014" t="s">
        <v>12747</v>
      </c>
      <c r="AT1014" s="184">
        <v>44872</v>
      </c>
      <c r="AU1014" t="s">
        <v>12751</v>
      </c>
      <c r="AV1014">
        <v>250</v>
      </c>
      <c r="AW1014" s="184">
        <v>45229</v>
      </c>
      <c r="AX1014" t="s">
        <v>8185</v>
      </c>
      <c r="AY1014">
        <v>250</v>
      </c>
      <c r="AZ1014" s="184">
        <v>45229</v>
      </c>
      <c r="BA1014" t="s">
        <v>8185</v>
      </c>
      <c r="BB1014">
        <v>250</v>
      </c>
      <c r="BC1014">
        <v>67</v>
      </c>
      <c r="BD1014">
        <v>500</v>
      </c>
      <c r="BE1014">
        <v>2023</v>
      </c>
      <c r="BF1014">
        <v>2</v>
      </c>
      <c r="BG1014">
        <v>2</v>
      </c>
      <c r="BH1014">
        <v>500</v>
      </c>
      <c r="BI1014">
        <v>2</v>
      </c>
      <c r="BJ1014">
        <v>3</v>
      </c>
      <c r="BK1014">
        <v>2</v>
      </c>
      <c r="BP1014" s="184"/>
    </row>
    <row r="1015" spans="1:68">
      <c r="A1015">
        <v>6458145</v>
      </c>
      <c r="B1015">
        <v>6458145</v>
      </c>
      <c r="C1015" t="s">
        <v>7018</v>
      </c>
      <c r="E1015" s="184"/>
      <c r="G1015" s="184"/>
      <c r="I1015" s="184"/>
      <c r="J1015" t="s">
        <v>595</v>
      </c>
      <c r="K1015" s="184">
        <v>44104</v>
      </c>
      <c r="O1015" s="184"/>
      <c r="P1015" t="s">
        <v>7045</v>
      </c>
      <c r="Q1015" t="s">
        <v>7494</v>
      </c>
      <c r="R1015" s="184">
        <v>19968</v>
      </c>
      <c r="S1015">
        <v>69</v>
      </c>
      <c r="V1015" t="s">
        <v>3986</v>
      </c>
      <c r="X1015" t="s">
        <v>12752</v>
      </c>
      <c r="Z1015">
        <v>100028115</v>
      </c>
      <c r="AB1015" t="s">
        <v>7952</v>
      </c>
      <c r="AD1015" t="s">
        <v>12752</v>
      </c>
      <c r="AF1015" t="s">
        <v>12753</v>
      </c>
      <c r="AG1015" t="s">
        <v>12754</v>
      </c>
      <c r="AI1015" t="s">
        <v>12755</v>
      </c>
      <c r="AM1015" t="s">
        <v>3371</v>
      </c>
      <c r="AN1015" t="s">
        <v>2174</v>
      </c>
      <c r="AO1015" t="s">
        <v>12756</v>
      </c>
      <c r="AP1015" t="s">
        <v>7024</v>
      </c>
      <c r="AQ1015" t="s">
        <v>12757</v>
      </c>
      <c r="AR1015" t="s">
        <v>12758</v>
      </c>
      <c r="AT1015" s="184">
        <v>33564</v>
      </c>
      <c r="AU1015" t="s">
        <v>12759</v>
      </c>
      <c r="AV1015">
        <v>100</v>
      </c>
      <c r="AW1015" s="184">
        <v>45286</v>
      </c>
      <c r="AX1015" t="s">
        <v>7807</v>
      </c>
      <c r="AY1015">
        <v>200</v>
      </c>
      <c r="AZ1015" s="184">
        <v>40535</v>
      </c>
      <c r="BA1015" t="s">
        <v>12760</v>
      </c>
      <c r="BB1015">
        <v>400</v>
      </c>
      <c r="BC1015">
        <v>65</v>
      </c>
      <c r="BD1015">
        <v>6250</v>
      </c>
      <c r="BE1015">
        <v>1992</v>
      </c>
      <c r="BF1015">
        <v>32</v>
      </c>
      <c r="BG1015">
        <v>2</v>
      </c>
      <c r="BH1015">
        <v>400</v>
      </c>
      <c r="BI1015">
        <v>22</v>
      </c>
      <c r="BJ1015">
        <v>34</v>
      </c>
      <c r="BK1015">
        <v>7</v>
      </c>
      <c r="BP1015" s="184"/>
    </row>
    <row r="1016" spans="1:68">
      <c r="A1016">
        <v>100028115</v>
      </c>
      <c r="B1016">
        <v>6458145</v>
      </c>
      <c r="C1016" t="s">
        <v>7018</v>
      </c>
      <c r="E1016" s="184"/>
      <c r="G1016" s="184"/>
      <c r="I1016" s="184"/>
      <c r="J1016" t="s">
        <v>595</v>
      </c>
      <c r="K1016" s="184">
        <v>44104</v>
      </c>
      <c r="O1016" s="184"/>
      <c r="P1016" t="s">
        <v>7045</v>
      </c>
      <c r="Q1016" t="s">
        <v>7494</v>
      </c>
      <c r="R1016" s="184">
        <v>19845</v>
      </c>
      <c r="S1016">
        <v>70</v>
      </c>
      <c r="V1016" t="s">
        <v>7952</v>
      </c>
      <c r="X1016" t="s">
        <v>12752</v>
      </c>
      <c r="Z1016">
        <v>6458145</v>
      </c>
      <c r="AB1016" t="s">
        <v>3986</v>
      </c>
      <c r="AD1016" t="s">
        <v>12752</v>
      </c>
      <c r="AF1016" t="s">
        <v>12753</v>
      </c>
      <c r="AG1016" t="s">
        <v>12754</v>
      </c>
      <c r="AI1016" t="s">
        <v>12755</v>
      </c>
      <c r="AM1016" t="s">
        <v>3371</v>
      </c>
      <c r="AN1016" t="s">
        <v>2174</v>
      </c>
      <c r="AO1016" t="s">
        <v>12756</v>
      </c>
      <c r="AP1016" t="s">
        <v>7024</v>
      </c>
      <c r="AQ1016" t="s">
        <v>12761</v>
      </c>
      <c r="AT1016" s="184"/>
      <c r="AW1016" s="184"/>
      <c r="AZ1016" s="184"/>
    </row>
    <row r="1017" spans="1:68">
      <c r="A1017">
        <v>6473599</v>
      </c>
      <c r="B1017">
        <v>6473599</v>
      </c>
      <c r="C1017" t="s">
        <v>7018</v>
      </c>
      <c r="D1017" t="s">
        <v>595</v>
      </c>
      <c r="E1017" s="184">
        <v>44328</v>
      </c>
      <c r="G1017" s="184"/>
      <c r="H1017" t="s">
        <v>595</v>
      </c>
      <c r="I1017" s="184">
        <v>44328</v>
      </c>
      <c r="K1017" s="184"/>
      <c r="O1017" s="184"/>
      <c r="P1017" t="s">
        <v>7045</v>
      </c>
      <c r="Q1017" t="s">
        <v>7374</v>
      </c>
      <c r="R1017" s="184">
        <v>21492</v>
      </c>
      <c r="S1017">
        <v>65</v>
      </c>
      <c r="U1017" t="s">
        <v>7130</v>
      </c>
      <c r="V1017" t="s">
        <v>3901</v>
      </c>
      <c r="X1017" t="s">
        <v>12762</v>
      </c>
      <c r="AF1017" t="s">
        <v>12763</v>
      </c>
      <c r="AG1017" t="s">
        <v>3901</v>
      </c>
      <c r="AI1017" t="s">
        <v>12764</v>
      </c>
      <c r="AM1017" t="s">
        <v>12765</v>
      </c>
      <c r="AN1017" t="s">
        <v>2081</v>
      </c>
      <c r="AO1017" t="s">
        <v>12766</v>
      </c>
      <c r="AP1017" t="s">
        <v>7024</v>
      </c>
      <c r="AQ1017" t="s">
        <v>12767</v>
      </c>
      <c r="AT1017" s="184">
        <v>33567</v>
      </c>
      <c r="AU1017" t="s">
        <v>12768</v>
      </c>
      <c r="AV1017">
        <v>15</v>
      </c>
      <c r="AW1017" s="184">
        <v>42943</v>
      </c>
      <c r="AX1017" t="s">
        <v>12769</v>
      </c>
      <c r="AY1017">
        <v>25</v>
      </c>
      <c r="AZ1017" s="184">
        <v>42943</v>
      </c>
      <c r="BA1017" t="s">
        <v>12769</v>
      </c>
      <c r="BB1017">
        <v>25</v>
      </c>
      <c r="BC1017">
        <v>24</v>
      </c>
      <c r="BD1017">
        <v>140</v>
      </c>
      <c r="BE1017">
        <v>1992</v>
      </c>
      <c r="BF1017">
        <v>8</v>
      </c>
      <c r="BI1017">
        <v>8</v>
      </c>
      <c r="BJ1017">
        <v>34</v>
      </c>
      <c r="BK1017">
        <v>3</v>
      </c>
      <c r="BN1017" t="s">
        <v>595</v>
      </c>
      <c r="BP1017" s="184"/>
    </row>
    <row r="1018" spans="1:68">
      <c r="A1018">
        <v>6486278</v>
      </c>
      <c r="B1018">
        <v>6486278</v>
      </c>
      <c r="C1018" t="s">
        <v>7018</v>
      </c>
      <c r="E1018" s="184"/>
      <c r="G1018" s="184"/>
      <c r="I1018" s="184"/>
      <c r="K1018" s="184"/>
      <c r="N1018" t="s">
        <v>595</v>
      </c>
      <c r="O1018" s="184">
        <v>43220</v>
      </c>
      <c r="P1018" t="s">
        <v>7045</v>
      </c>
      <c r="Q1018" t="s">
        <v>7020</v>
      </c>
      <c r="R1018" s="184">
        <v>17958</v>
      </c>
      <c r="S1018">
        <v>75</v>
      </c>
      <c r="U1018" t="s">
        <v>7076</v>
      </c>
      <c r="V1018" t="s">
        <v>3008</v>
      </c>
      <c r="W1018" t="s">
        <v>2316</v>
      </c>
      <c r="X1018" t="s">
        <v>5870</v>
      </c>
      <c r="AF1018" t="s">
        <v>12770</v>
      </c>
      <c r="AG1018" t="s">
        <v>3008</v>
      </c>
      <c r="AI1018" t="s">
        <v>12771</v>
      </c>
      <c r="AM1018" t="s">
        <v>2860</v>
      </c>
      <c r="AN1018" t="s">
        <v>2112</v>
      </c>
      <c r="AO1018" t="s">
        <v>12772</v>
      </c>
      <c r="AP1018" t="s">
        <v>7024</v>
      </c>
      <c r="AQ1018" t="s">
        <v>12773</v>
      </c>
      <c r="AT1018" s="184">
        <v>33571</v>
      </c>
      <c r="AU1018" t="s">
        <v>12774</v>
      </c>
      <c r="AV1018">
        <v>25</v>
      </c>
      <c r="AW1018" s="184">
        <v>45317</v>
      </c>
      <c r="AX1018" t="s">
        <v>9445</v>
      </c>
      <c r="AY1018">
        <v>65</v>
      </c>
      <c r="AZ1018" s="184">
        <v>43220</v>
      </c>
      <c r="BA1018" t="s">
        <v>8929</v>
      </c>
      <c r="BB1018">
        <v>15000</v>
      </c>
      <c r="BC1018">
        <v>86</v>
      </c>
      <c r="BD1018">
        <v>16705</v>
      </c>
      <c r="BE1018">
        <v>1992</v>
      </c>
      <c r="BF1018">
        <v>36</v>
      </c>
      <c r="BG1018">
        <v>2</v>
      </c>
      <c r="BH1018">
        <v>130</v>
      </c>
      <c r="BI1018">
        <v>29</v>
      </c>
      <c r="BJ1018">
        <v>34</v>
      </c>
      <c r="BK1018">
        <v>13</v>
      </c>
      <c r="BP1018" s="184"/>
    </row>
    <row r="1019" spans="1:68">
      <c r="A1019">
        <v>6488001</v>
      </c>
      <c r="B1019">
        <v>6488001</v>
      </c>
      <c r="C1019" t="s">
        <v>7018</v>
      </c>
      <c r="D1019" t="s">
        <v>595</v>
      </c>
      <c r="E1019" s="184">
        <v>43864</v>
      </c>
      <c r="G1019" s="184"/>
      <c r="I1019" s="184"/>
      <c r="K1019" s="184"/>
      <c r="O1019" s="184"/>
      <c r="P1019" t="s">
        <v>7045</v>
      </c>
      <c r="Q1019" t="s">
        <v>7262</v>
      </c>
      <c r="R1019" s="184">
        <v>17168</v>
      </c>
      <c r="S1019">
        <v>77</v>
      </c>
      <c r="U1019" t="s">
        <v>7076</v>
      </c>
      <c r="V1019" t="s">
        <v>4175</v>
      </c>
      <c r="X1019" t="s">
        <v>4699</v>
      </c>
      <c r="AF1019" t="s">
        <v>12775</v>
      </c>
      <c r="AG1019" t="s">
        <v>4175</v>
      </c>
      <c r="AI1019" t="s">
        <v>12776</v>
      </c>
      <c r="AM1019" t="s">
        <v>2616</v>
      </c>
      <c r="AN1019" t="s">
        <v>2069</v>
      </c>
      <c r="AO1019" t="s">
        <v>12777</v>
      </c>
      <c r="AP1019" t="s">
        <v>7024</v>
      </c>
      <c r="AQ1019" t="s">
        <v>12778</v>
      </c>
      <c r="AT1019" s="184">
        <v>33574</v>
      </c>
      <c r="AU1019" t="s">
        <v>12749</v>
      </c>
      <c r="AV1019">
        <v>15</v>
      </c>
      <c r="AW1019" s="184">
        <v>43670</v>
      </c>
      <c r="AX1019" t="s">
        <v>12779</v>
      </c>
      <c r="AY1019">
        <v>50</v>
      </c>
      <c r="AZ1019" s="184">
        <v>41781</v>
      </c>
      <c r="BA1019" t="s">
        <v>12780</v>
      </c>
      <c r="BB1019">
        <v>100</v>
      </c>
      <c r="BC1019">
        <v>33</v>
      </c>
      <c r="BD1019">
        <v>890</v>
      </c>
      <c r="BE1019">
        <v>1992</v>
      </c>
      <c r="BF1019">
        <v>12</v>
      </c>
      <c r="BI1019">
        <v>11</v>
      </c>
      <c r="BJ1019">
        <v>34</v>
      </c>
      <c r="BK1019">
        <v>6</v>
      </c>
      <c r="BP1019" s="184"/>
    </row>
    <row r="1020" spans="1:68">
      <c r="A1020">
        <v>6532576</v>
      </c>
      <c r="B1020">
        <v>6532576</v>
      </c>
      <c r="C1020" t="s">
        <v>7018</v>
      </c>
      <c r="E1020" s="184"/>
      <c r="G1020" s="184"/>
      <c r="I1020" s="184"/>
      <c r="J1020" t="s">
        <v>595</v>
      </c>
      <c r="K1020" s="184">
        <v>43641</v>
      </c>
      <c r="O1020" s="184"/>
      <c r="P1020" t="s">
        <v>7045</v>
      </c>
      <c r="Q1020" t="s">
        <v>7262</v>
      </c>
      <c r="R1020" s="184">
        <v>21245</v>
      </c>
      <c r="S1020">
        <v>66</v>
      </c>
      <c r="V1020" t="s">
        <v>3114</v>
      </c>
      <c r="W1020" t="s">
        <v>5006</v>
      </c>
      <c r="X1020" t="s">
        <v>3115</v>
      </c>
      <c r="Z1020">
        <v>100028554</v>
      </c>
      <c r="AB1020" t="s">
        <v>5610</v>
      </c>
      <c r="AD1020" t="s">
        <v>3115</v>
      </c>
      <c r="AF1020" t="s">
        <v>6159</v>
      </c>
      <c r="AG1020" t="s">
        <v>12781</v>
      </c>
      <c r="AI1020" t="s">
        <v>12782</v>
      </c>
      <c r="AM1020" t="s">
        <v>3116</v>
      </c>
      <c r="AN1020" t="s">
        <v>2106</v>
      </c>
      <c r="AO1020" t="s">
        <v>12783</v>
      </c>
      <c r="AP1020" t="s">
        <v>7024</v>
      </c>
      <c r="AQ1020" t="s">
        <v>12784</v>
      </c>
      <c r="AT1020" s="184">
        <v>33609</v>
      </c>
      <c r="AU1020" t="s">
        <v>12785</v>
      </c>
      <c r="AV1020">
        <v>15</v>
      </c>
      <c r="AW1020" s="184">
        <v>42940</v>
      </c>
      <c r="AX1020" t="s">
        <v>12786</v>
      </c>
      <c r="AY1020">
        <v>250</v>
      </c>
      <c r="AZ1020" s="184">
        <v>42940</v>
      </c>
      <c r="BA1020" t="s">
        <v>12786</v>
      </c>
      <c r="BB1020">
        <v>250</v>
      </c>
      <c r="BC1020">
        <v>76</v>
      </c>
      <c r="BD1020">
        <v>3682</v>
      </c>
      <c r="BE1020">
        <v>1992</v>
      </c>
      <c r="BF1020">
        <v>42</v>
      </c>
      <c r="BI1020">
        <v>25</v>
      </c>
      <c r="BJ1020">
        <v>33</v>
      </c>
      <c r="BK1020">
        <v>24</v>
      </c>
      <c r="BP1020" s="184"/>
    </row>
    <row r="1021" spans="1:68">
      <c r="A1021">
        <v>100028554</v>
      </c>
      <c r="B1021">
        <v>6532576</v>
      </c>
      <c r="C1021" t="s">
        <v>7018</v>
      </c>
      <c r="E1021" s="184"/>
      <c r="G1021" s="184"/>
      <c r="I1021" s="184"/>
      <c r="J1021" t="s">
        <v>595</v>
      </c>
      <c r="K1021" s="184">
        <v>43641</v>
      </c>
      <c r="O1021" s="184"/>
      <c r="P1021" t="s">
        <v>7045</v>
      </c>
      <c r="Q1021" t="s">
        <v>7262</v>
      </c>
      <c r="R1021" s="184">
        <v>22160</v>
      </c>
      <c r="S1021">
        <v>63</v>
      </c>
      <c r="V1021" t="s">
        <v>5610</v>
      </c>
      <c r="X1021" t="s">
        <v>3115</v>
      </c>
      <c r="Z1021">
        <v>6532576</v>
      </c>
      <c r="AB1021" t="s">
        <v>3114</v>
      </c>
      <c r="AC1021" t="s">
        <v>5006</v>
      </c>
      <c r="AD1021" t="s">
        <v>3115</v>
      </c>
      <c r="AF1021" t="s">
        <v>6159</v>
      </c>
      <c r="AG1021" t="s">
        <v>12781</v>
      </c>
      <c r="AI1021" t="s">
        <v>12782</v>
      </c>
      <c r="AM1021" t="s">
        <v>3116</v>
      </c>
      <c r="AN1021" t="s">
        <v>2106</v>
      </c>
      <c r="AO1021" t="s">
        <v>12783</v>
      </c>
      <c r="AP1021" t="s">
        <v>7024</v>
      </c>
      <c r="AQ1021" t="s">
        <v>12787</v>
      </c>
      <c r="AT1021" s="184">
        <v>44443</v>
      </c>
      <c r="AU1021" t="s">
        <v>7714</v>
      </c>
      <c r="AV1021">
        <v>100</v>
      </c>
      <c r="AW1021" s="184">
        <v>45399</v>
      </c>
      <c r="AX1021" t="s">
        <v>7168</v>
      </c>
      <c r="AY1021">
        <v>157.5</v>
      </c>
      <c r="AZ1021" s="184">
        <v>45399</v>
      </c>
      <c r="BA1021" t="s">
        <v>7168</v>
      </c>
      <c r="BB1021">
        <v>157.5</v>
      </c>
      <c r="BC1021">
        <v>75</v>
      </c>
      <c r="BD1021">
        <v>357.5</v>
      </c>
      <c r="BE1021">
        <v>2022</v>
      </c>
      <c r="BF1021">
        <v>3</v>
      </c>
      <c r="BG1021">
        <v>1</v>
      </c>
      <c r="BH1021">
        <v>157.5</v>
      </c>
      <c r="BI1021">
        <v>3</v>
      </c>
      <c r="BJ1021">
        <v>4</v>
      </c>
      <c r="BK1021">
        <v>2</v>
      </c>
      <c r="BP1021" s="184"/>
    </row>
    <row r="1022" spans="1:68">
      <c r="A1022">
        <v>6542658</v>
      </c>
      <c r="B1022">
        <v>6542658</v>
      </c>
      <c r="C1022" t="s">
        <v>7018</v>
      </c>
      <c r="E1022" s="184"/>
      <c r="G1022" s="184"/>
      <c r="I1022" s="184"/>
      <c r="J1022" t="s">
        <v>595</v>
      </c>
      <c r="K1022" s="184">
        <v>43881</v>
      </c>
      <c r="O1022" s="184"/>
      <c r="P1022" t="s">
        <v>7045</v>
      </c>
      <c r="Q1022" t="s">
        <v>7262</v>
      </c>
      <c r="R1022" s="184">
        <v>10653</v>
      </c>
      <c r="S1022">
        <v>95</v>
      </c>
      <c r="V1022" t="s">
        <v>2832</v>
      </c>
      <c r="W1022" t="s">
        <v>8224</v>
      </c>
      <c r="X1022" t="s">
        <v>12788</v>
      </c>
      <c r="Y1022" t="s">
        <v>7431</v>
      </c>
      <c r="Z1022">
        <v>100028596</v>
      </c>
      <c r="AB1022" t="s">
        <v>5116</v>
      </c>
      <c r="AC1022" t="s">
        <v>4013</v>
      </c>
      <c r="AD1022" t="s">
        <v>12789</v>
      </c>
      <c r="AF1022" t="s">
        <v>6439</v>
      </c>
      <c r="AG1022" t="s">
        <v>2832</v>
      </c>
      <c r="AI1022" t="s">
        <v>12790</v>
      </c>
      <c r="AM1022" t="s">
        <v>11727</v>
      </c>
      <c r="AN1022" t="s">
        <v>2219</v>
      </c>
      <c r="AO1022">
        <v>19971</v>
      </c>
      <c r="AP1022" t="s">
        <v>7024</v>
      </c>
      <c r="AQ1022" t="s">
        <v>12791</v>
      </c>
      <c r="AT1022" s="184">
        <v>33611</v>
      </c>
      <c r="AU1022" t="s">
        <v>12792</v>
      </c>
      <c r="AV1022">
        <v>15</v>
      </c>
      <c r="AW1022" s="184">
        <v>45386</v>
      </c>
      <c r="AX1022" t="s">
        <v>9576</v>
      </c>
      <c r="AY1022">
        <v>25</v>
      </c>
      <c r="AZ1022" s="184">
        <v>41199</v>
      </c>
      <c r="BA1022" t="s">
        <v>12793</v>
      </c>
      <c r="BB1022">
        <v>60</v>
      </c>
      <c r="BC1022">
        <v>85</v>
      </c>
      <c r="BD1022">
        <v>1228</v>
      </c>
      <c r="BE1022">
        <v>1992</v>
      </c>
      <c r="BF1022">
        <v>48</v>
      </c>
      <c r="BG1022">
        <v>4</v>
      </c>
      <c r="BH1022">
        <v>125</v>
      </c>
      <c r="BI1022">
        <v>28</v>
      </c>
      <c r="BJ1022">
        <v>33</v>
      </c>
      <c r="BK1022">
        <v>11</v>
      </c>
      <c r="BP1022" s="184"/>
    </row>
    <row r="1023" spans="1:68">
      <c r="A1023">
        <v>6542989</v>
      </c>
      <c r="B1023">
        <v>6542989</v>
      </c>
      <c r="C1023" t="s">
        <v>7018</v>
      </c>
      <c r="E1023" s="184"/>
      <c r="G1023" s="184"/>
      <c r="I1023" s="184"/>
      <c r="J1023" t="s">
        <v>595</v>
      </c>
      <c r="K1023" s="184">
        <v>41957</v>
      </c>
      <c r="O1023" s="184"/>
      <c r="P1023" t="s">
        <v>7045</v>
      </c>
      <c r="Q1023" t="s">
        <v>7383</v>
      </c>
      <c r="R1023" s="184">
        <v>16619</v>
      </c>
      <c r="S1023">
        <v>78</v>
      </c>
      <c r="U1023" t="s">
        <v>7031</v>
      </c>
      <c r="V1023" t="s">
        <v>2832</v>
      </c>
      <c r="W1023" t="s">
        <v>5006</v>
      </c>
      <c r="X1023" t="s">
        <v>12794</v>
      </c>
      <c r="Z1023">
        <v>100028602</v>
      </c>
      <c r="AA1023" t="s">
        <v>7130</v>
      </c>
      <c r="AB1023" t="s">
        <v>12795</v>
      </c>
      <c r="AD1023" t="s">
        <v>12794</v>
      </c>
      <c r="AF1023" t="s">
        <v>12796</v>
      </c>
      <c r="AG1023" t="s">
        <v>12797</v>
      </c>
      <c r="AI1023" t="s">
        <v>12798</v>
      </c>
      <c r="AM1023" t="s">
        <v>2737</v>
      </c>
      <c r="AN1023" t="s">
        <v>2059</v>
      </c>
      <c r="AO1023" t="s">
        <v>12799</v>
      </c>
      <c r="AP1023" t="s">
        <v>7024</v>
      </c>
      <c r="AQ1023" t="s">
        <v>12800</v>
      </c>
      <c r="AR1023" t="s">
        <v>12801</v>
      </c>
      <c r="AT1023" s="184">
        <v>33611</v>
      </c>
      <c r="AU1023" t="s">
        <v>12802</v>
      </c>
      <c r="AV1023">
        <v>15</v>
      </c>
      <c r="AW1023" s="184">
        <v>43994</v>
      </c>
      <c r="AX1023" t="s">
        <v>12803</v>
      </c>
      <c r="AY1023">
        <v>35</v>
      </c>
      <c r="AZ1023" s="184">
        <v>42221</v>
      </c>
      <c r="BA1023" t="s">
        <v>12804</v>
      </c>
      <c r="BB1023">
        <v>3830</v>
      </c>
      <c r="BC1023">
        <v>79</v>
      </c>
      <c r="BD1023">
        <v>6855</v>
      </c>
      <c r="BE1023">
        <v>1992</v>
      </c>
      <c r="BF1023">
        <v>108</v>
      </c>
      <c r="BI1023">
        <v>26</v>
      </c>
      <c r="BJ1023">
        <v>33</v>
      </c>
      <c r="BK1023">
        <v>25</v>
      </c>
      <c r="BP1023" s="184"/>
    </row>
    <row r="1024" spans="1:68">
      <c r="A1024">
        <v>100028602</v>
      </c>
      <c r="B1024">
        <v>6542989</v>
      </c>
      <c r="C1024" t="s">
        <v>7018</v>
      </c>
      <c r="E1024" s="184"/>
      <c r="G1024" s="184"/>
      <c r="I1024" s="184"/>
      <c r="J1024" t="s">
        <v>595</v>
      </c>
      <c r="K1024" s="184">
        <v>41957</v>
      </c>
      <c r="P1024" t="s">
        <v>7045</v>
      </c>
      <c r="Q1024" t="s">
        <v>7383</v>
      </c>
      <c r="R1024" s="184">
        <v>16834</v>
      </c>
      <c r="S1024">
        <v>78</v>
      </c>
      <c r="U1024" t="s">
        <v>7130</v>
      </c>
      <c r="V1024" t="s">
        <v>12795</v>
      </c>
      <c r="X1024" t="s">
        <v>12794</v>
      </c>
      <c r="Z1024">
        <v>6542989</v>
      </c>
      <c r="AA1024" t="s">
        <v>7031</v>
      </c>
      <c r="AB1024" t="s">
        <v>2832</v>
      </c>
      <c r="AC1024" t="s">
        <v>5006</v>
      </c>
      <c r="AD1024" t="s">
        <v>12794</v>
      </c>
      <c r="AF1024" t="s">
        <v>12796</v>
      </c>
      <c r="AG1024" t="s">
        <v>12797</v>
      </c>
      <c r="AI1024" t="s">
        <v>12798</v>
      </c>
      <c r="AM1024" t="s">
        <v>2737</v>
      </c>
      <c r="AN1024" t="s">
        <v>2059</v>
      </c>
      <c r="AO1024" t="s">
        <v>12799</v>
      </c>
      <c r="AP1024" t="s">
        <v>7024</v>
      </c>
      <c r="AQ1024" t="s">
        <v>12805</v>
      </c>
      <c r="AT1024" s="184"/>
      <c r="AW1024" s="184"/>
      <c r="AZ1024" s="184"/>
      <c r="BP1024" s="184"/>
    </row>
    <row r="1025" spans="1:68">
      <c r="A1025">
        <v>6547392</v>
      </c>
      <c r="B1025">
        <v>6547392</v>
      </c>
      <c r="C1025" t="s">
        <v>7018</v>
      </c>
      <c r="E1025" s="184"/>
      <c r="F1025" t="s">
        <v>595</v>
      </c>
      <c r="G1025" s="184">
        <v>43892</v>
      </c>
      <c r="I1025" s="184"/>
      <c r="K1025" s="184"/>
      <c r="O1025" s="184"/>
      <c r="P1025" t="s">
        <v>7045</v>
      </c>
      <c r="Q1025" t="s">
        <v>7262</v>
      </c>
      <c r="R1025" s="184">
        <v>20090</v>
      </c>
      <c r="S1025">
        <v>69</v>
      </c>
      <c r="U1025" t="s">
        <v>7076</v>
      </c>
      <c r="V1025" t="s">
        <v>12806</v>
      </c>
      <c r="X1025" t="s">
        <v>12807</v>
      </c>
      <c r="AF1025" t="s">
        <v>12808</v>
      </c>
      <c r="AG1025" t="s">
        <v>12806</v>
      </c>
      <c r="AI1025" t="s">
        <v>12809</v>
      </c>
      <c r="AM1025" t="s">
        <v>4497</v>
      </c>
      <c r="AN1025" t="s">
        <v>2069</v>
      </c>
      <c r="AO1025" t="s">
        <v>12810</v>
      </c>
      <c r="AP1025" t="s">
        <v>7024</v>
      </c>
      <c r="AQ1025" t="s">
        <v>12811</v>
      </c>
      <c r="AR1025" t="s">
        <v>12812</v>
      </c>
      <c r="AT1025" s="184">
        <v>33612</v>
      </c>
      <c r="AU1025" t="s">
        <v>12813</v>
      </c>
      <c r="AV1025">
        <v>15</v>
      </c>
      <c r="AW1025" s="184">
        <v>45405</v>
      </c>
      <c r="AX1025" t="s">
        <v>7168</v>
      </c>
      <c r="AY1025">
        <v>25</v>
      </c>
      <c r="AZ1025" s="184">
        <v>42018</v>
      </c>
      <c r="BA1025" t="s">
        <v>12814</v>
      </c>
      <c r="BB1025">
        <v>60</v>
      </c>
      <c r="BC1025">
        <v>58</v>
      </c>
      <c r="BD1025">
        <v>490.1</v>
      </c>
      <c r="BE1025">
        <v>1992</v>
      </c>
      <c r="BF1025">
        <v>30</v>
      </c>
      <c r="BG1025">
        <v>3</v>
      </c>
      <c r="BH1025">
        <v>60</v>
      </c>
      <c r="BI1025">
        <v>19</v>
      </c>
      <c r="BJ1025">
        <v>33</v>
      </c>
      <c r="BK1025">
        <v>7</v>
      </c>
    </row>
    <row r="1026" spans="1:68">
      <c r="A1026">
        <v>6555569</v>
      </c>
      <c r="B1026">
        <v>6555569</v>
      </c>
      <c r="C1026" t="s">
        <v>7018</v>
      </c>
      <c r="D1026" t="s">
        <v>595</v>
      </c>
      <c r="E1026" s="184">
        <v>44167</v>
      </c>
      <c r="G1026" s="184"/>
      <c r="I1026" s="184"/>
      <c r="K1026" s="184"/>
      <c r="O1026" s="184"/>
      <c r="P1026" t="s">
        <v>7045</v>
      </c>
      <c r="Q1026" t="s">
        <v>7160</v>
      </c>
      <c r="R1026" s="184">
        <v>11995</v>
      </c>
      <c r="S1026">
        <v>91</v>
      </c>
      <c r="U1026" t="s">
        <v>7031</v>
      </c>
      <c r="V1026" t="s">
        <v>3689</v>
      </c>
      <c r="W1026" t="s">
        <v>7469</v>
      </c>
      <c r="X1026" t="s">
        <v>3646</v>
      </c>
      <c r="Y1026" t="s">
        <v>7431</v>
      </c>
      <c r="AF1026" t="s">
        <v>12815</v>
      </c>
      <c r="AG1026" t="s">
        <v>3689</v>
      </c>
      <c r="AI1026" t="s">
        <v>12816</v>
      </c>
      <c r="AM1026" t="s">
        <v>12817</v>
      </c>
      <c r="AN1026" t="s">
        <v>2395</v>
      </c>
      <c r="AO1026" t="s">
        <v>12818</v>
      </c>
      <c r="AP1026" t="s">
        <v>7024</v>
      </c>
      <c r="AQ1026" t="s">
        <v>12819</v>
      </c>
      <c r="AR1026" t="s">
        <v>12820</v>
      </c>
      <c r="AT1026" s="184">
        <v>33613</v>
      </c>
      <c r="AU1026" t="s">
        <v>12821</v>
      </c>
      <c r="AV1026">
        <v>10</v>
      </c>
      <c r="AW1026" s="184">
        <v>44440</v>
      </c>
      <c r="AX1026" t="s">
        <v>12822</v>
      </c>
      <c r="AY1026">
        <v>25</v>
      </c>
      <c r="AZ1026" s="184">
        <v>35269</v>
      </c>
      <c r="BA1026" t="s">
        <v>12823</v>
      </c>
      <c r="BB1026">
        <v>60</v>
      </c>
      <c r="BC1026">
        <v>37</v>
      </c>
      <c r="BD1026">
        <v>755</v>
      </c>
      <c r="BE1026">
        <v>1992</v>
      </c>
      <c r="BF1026">
        <v>26</v>
      </c>
      <c r="BI1026">
        <v>12</v>
      </c>
      <c r="BJ1026">
        <v>33</v>
      </c>
      <c r="BK1026">
        <v>6</v>
      </c>
      <c r="BN1026" t="s">
        <v>595</v>
      </c>
      <c r="BP1026" s="184"/>
    </row>
    <row r="1027" spans="1:68">
      <c r="A1027">
        <v>6562623</v>
      </c>
      <c r="B1027">
        <v>6562623</v>
      </c>
      <c r="C1027" t="s">
        <v>7018</v>
      </c>
      <c r="E1027" s="184"/>
      <c r="G1027" s="184"/>
      <c r="I1027" s="184"/>
      <c r="J1027" t="s">
        <v>595</v>
      </c>
      <c r="K1027" s="184">
        <v>44313</v>
      </c>
      <c r="O1027" s="184"/>
      <c r="P1027" t="s">
        <v>7045</v>
      </c>
      <c r="Q1027" t="s">
        <v>7262</v>
      </c>
      <c r="R1027" s="184">
        <v>16933</v>
      </c>
      <c r="S1027">
        <v>78</v>
      </c>
      <c r="U1027" t="s">
        <v>7130</v>
      </c>
      <c r="V1027" t="s">
        <v>8558</v>
      </c>
      <c r="X1027" t="s">
        <v>12824</v>
      </c>
      <c r="Z1027">
        <v>100028672</v>
      </c>
      <c r="AB1027" t="s">
        <v>2821</v>
      </c>
      <c r="AD1027" t="s">
        <v>12824</v>
      </c>
      <c r="AF1027" t="s">
        <v>12825</v>
      </c>
      <c r="AG1027" t="s">
        <v>12826</v>
      </c>
      <c r="AI1027" t="s">
        <v>12827</v>
      </c>
      <c r="AM1027" t="s">
        <v>10430</v>
      </c>
      <c r="AN1027" t="s">
        <v>65</v>
      </c>
      <c r="AO1027" t="s">
        <v>12828</v>
      </c>
      <c r="AP1027" t="s">
        <v>7024</v>
      </c>
      <c r="AQ1027" t="s">
        <v>12829</v>
      </c>
      <c r="AT1027" s="184">
        <v>36077</v>
      </c>
      <c r="AU1027" t="s">
        <v>12830</v>
      </c>
      <c r="AV1027">
        <v>25</v>
      </c>
      <c r="AW1027" s="184">
        <v>45408</v>
      </c>
      <c r="AX1027" t="s">
        <v>9437</v>
      </c>
      <c r="AY1027">
        <v>50</v>
      </c>
      <c r="AZ1027" s="184">
        <v>45408</v>
      </c>
      <c r="BA1027" t="s">
        <v>9437</v>
      </c>
      <c r="BB1027">
        <v>50</v>
      </c>
      <c r="BC1027">
        <v>100</v>
      </c>
      <c r="BD1027">
        <v>940</v>
      </c>
      <c r="BE1027">
        <v>1999</v>
      </c>
      <c r="BF1027">
        <v>29</v>
      </c>
      <c r="BG1027">
        <v>3</v>
      </c>
      <c r="BH1027">
        <v>150</v>
      </c>
      <c r="BI1027">
        <v>27</v>
      </c>
      <c r="BJ1027">
        <v>27</v>
      </c>
      <c r="BK1027">
        <v>27</v>
      </c>
      <c r="BP1027" s="184"/>
    </row>
    <row r="1028" spans="1:68">
      <c r="A1028">
        <v>100028672</v>
      </c>
      <c r="B1028">
        <v>6562623</v>
      </c>
      <c r="C1028" t="s">
        <v>7018</v>
      </c>
      <c r="E1028" s="184"/>
      <c r="G1028" s="184"/>
      <c r="I1028" s="184"/>
      <c r="J1028" t="s">
        <v>595</v>
      </c>
      <c r="K1028" s="184">
        <v>44313</v>
      </c>
      <c r="O1028" s="184"/>
      <c r="P1028" t="s">
        <v>7045</v>
      </c>
      <c r="Q1028" t="s">
        <v>7262</v>
      </c>
      <c r="R1028" s="184">
        <v>17354</v>
      </c>
      <c r="S1028">
        <v>76</v>
      </c>
      <c r="V1028" t="s">
        <v>2821</v>
      </c>
      <c r="X1028" t="s">
        <v>12824</v>
      </c>
      <c r="Z1028">
        <v>6562623</v>
      </c>
      <c r="AA1028" t="s">
        <v>7130</v>
      </c>
      <c r="AB1028" t="s">
        <v>8558</v>
      </c>
      <c r="AD1028" t="s">
        <v>12824</v>
      </c>
      <c r="AF1028" t="s">
        <v>12825</v>
      </c>
      <c r="AG1028" t="s">
        <v>12826</v>
      </c>
      <c r="AI1028" t="s">
        <v>12827</v>
      </c>
      <c r="AM1028" t="s">
        <v>10430</v>
      </c>
      <c r="AN1028" t="s">
        <v>65</v>
      </c>
      <c r="AO1028" t="s">
        <v>12828</v>
      </c>
      <c r="AP1028" t="s">
        <v>7024</v>
      </c>
      <c r="AT1028" s="184"/>
      <c r="AW1028" s="184"/>
      <c r="AZ1028" s="184"/>
      <c r="BP1028" s="184"/>
    </row>
    <row r="1029" spans="1:68">
      <c r="A1029">
        <v>6562912</v>
      </c>
      <c r="B1029">
        <v>6562912</v>
      </c>
      <c r="C1029" t="s">
        <v>7018</v>
      </c>
      <c r="E1029" s="184"/>
      <c r="H1029" t="s">
        <v>595</v>
      </c>
      <c r="I1029" s="184">
        <v>45042</v>
      </c>
      <c r="J1029" t="s">
        <v>595</v>
      </c>
      <c r="K1029" s="184">
        <v>37439</v>
      </c>
      <c r="O1029" s="184"/>
      <c r="P1029" t="s">
        <v>7029</v>
      </c>
      <c r="Q1029" t="s">
        <v>7374</v>
      </c>
      <c r="R1029" s="184">
        <v>19788</v>
      </c>
      <c r="S1029">
        <v>70</v>
      </c>
      <c r="U1029" t="s">
        <v>7032</v>
      </c>
      <c r="V1029" t="s">
        <v>12831</v>
      </c>
      <c r="X1029" t="s">
        <v>12832</v>
      </c>
      <c r="Z1029">
        <v>100028676</v>
      </c>
      <c r="AA1029" t="s">
        <v>7031</v>
      </c>
      <c r="AB1029" t="s">
        <v>3783</v>
      </c>
      <c r="AC1029" t="s">
        <v>3332</v>
      </c>
      <c r="AD1029" t="s">
        <v>12832</v>
      </c>
      <c r="AF1029" t="s">
        <v>6759</v>
      </c>
      <c r="AG1029" t="s">
        <v>12833</v>
      </c>
      <c r="AI1029" t="s">
        <v>12834</v>
      </c>
      <c r="AM1029" t="s">
        <v>12835</v>
      </c>
      <c r="AN1029" t="s">
        <v>2081</v>
      </c>
      <c r="AO1029" t="s">
        <v>12836</v>
      </c>
      <c r="AP1029" t="s">
        <v>7024</v>
      </c>
      <c r="AT1029" s="184"/>
      <c r="AW1029" s="184"/>
      <c r="AZ1029" s="184"/>
      <c r="BP1029" s="184"/>
    </row>
    <row r="1030" spans="1:68">
      <c r="A1030">
        <v>100028676</v>
      </c>
      <c r="B1030">
        <v>6562912</v>
      </c>
      <c r="C1030" t="s">
        <v>7018</v>
      </c>
      <c r="E1030" s="184"/>
      <c r="G1030" s="184"/>
      <c r="H1030" t="s">
        <v>595</v>
      </c>
      <c r="I1030" s="184">
        <v>45042</v>
      </c>
      <c r="J1030" t="s">
        <v>595</v>
      </c>
      <c r="K1030" s="184">
        <v>43649</v>
      </c>
      <c r="O1030" s="184"/>
      <c r="P1030" t="s">
        <v>7029</v>
      </c>
      <c r="Q1030" t="s">
        <v>7374</v>
      </c>
      <c r="R1030" s="184">
        <v>19319</v>
      </c>
      <c r="S1030">
        <v>71</v>
      </c>
      <c r="U1030" t="s">
        <v>7031</v>
      </c>
      <c r="V1030" t="s">
        <v>3783</v>
      </c>
      <c r="W1030" t="s">
        <v>3332</v>
      </c>
      <c r="X1030" t="s">
        <v>12832</v>
      </c>
      <c r="Z1030">
        <v>6562912</v>
      </c>
      <c r="AA1030" t="s">
        <v>7032</v>
      </c>
      <c r="AB1030" t="s">
        <v>12831</v>
      </c>
      <c r="AD1030" t="s">
        <v>12832</v>
      </c>
      <c r="AF1030" t="s">
        <v>6759</v>
      </c>
      <c r="AG1030" t="s">
        <v>12833</v>
      </c>
      <c r="AI1030" t="s">
        <v>12834</v>
      </c>
      <c r="AM1030" t="s">
        <v>12835</v>
      </c>
      <c r="AN1030" t="s">
        <v>2081</v>
      </c>
      <c r="AO1030" t="s">
        <v>12836</v>
      </c>
      <c r="AP1030" t="s">
        <v>7024</v>
      </c>
      <c r="AQ1030" t="s">
        <v>12837</v>
      </c>
      <c r="AT1030" s="184">
        <v>44196</v>
      </c>
      <c r="AU1030" t="s">
        <v>12838</v>
      </c>
      <c r="AV1030">
        <v>1000</v>
      </c>
      <c r="AW1030" s="184">
        <v>44196</v>
      </c>
      <c r="AX1030" t="s">
        <v>12838</v>
      </c>
      <c r="AY1030">
        <v>1000</v>
      </c>
      <c r="AZ1030" s="184">
        <v>44196</v>
      </c>
      <c r="BA1030" t="s">
        <v>12838</v>
      </c>
      <c r="BB1030">
        <v>1000</v>
      </c>
      <c r="BC1030">
        <v>20</v>
      </c>
      <c r="BD1030">
        <v>1000</v>
      </c>
      <c r="BE1030">
        <v>2021</v>
      </c>
      <c r="BF1030">
        <v>1</v>
      </c>
      <c r="BI1030">
        <v>1</v>
      </c>
      <c r="BJ1030">
        <v>5</v>
      </c>
      <c r="BK1030">
        <v>1</v>
      </c>
      <c r="BP1030" s="184"/>
    </row>
    <row r="1031" spans="1:68">
      <c r="A1031">
        <v>6575815</v>
      </c>
      <c r="B1031">
        <v>6575815</v>
      </c>
      <c r="C1031" t="s">
        <v>7018</v>
      </c>
      <c r="E1031" s="184"/>
      <c r="G1031" s="184"/>
      <c r="I1031" s="184"/>
      <c r="J1031" t="s">
        <v>595</v>
      </c>
      <c r="K1031" s="184">
        <v>42711</v>
      </c>
      <c r="O1031" s="184"/>
      <c r="P1031" t="s">
        <v>7029</v>
      </c>
      <c r="Q1031" t="s">
        <v>7383</v>
      </c>
      <c r="R1031" s="184">
        <v>10230</v>
      </c>
      <c r="S1031">
        <v>96</v>
      </c>
      <c r="U1031" t="s">
        <v>7130</v>
      </c>
      <c r="V1031" t="s">
        <v>3101</v>
      </c>
      <c r="W1031" t="s">
        <v>7067</v>
      </c>
      <c r="X1031" t="s">
        <v>5770</v>
      </c>
      <c r="Z1031">
        <v>100180138</v>
      </c>
      <c r="AA1031" t="s">
        <v>7032</v>
      </c>
      <c r="AB1031" t="s">
        <v>4093</v>
      </c>
      <c r="AC1031" t="s">
        <v>7407</v>
      </c>
      <c r="AD1031" t="s">
        <v>5770</v>
      </c>
      <c r="AF1031" t="s">
        <v>12839</v>
      </c>
      <c r="AG1031" t="s">
        <v>3101</v>
      </c>
      <c r="AI1031" t="s">
        <v>12840</v>
      </c>
      <c r="AM1031" t="s">
        <v>3488</v>
      </c>
      <c r="AN1031" t="s">
        <v>2072</v>
      </c>
      <c r="AO1031">
        <v>48104</v>
      </c>
      <c r="AP1031" t="s">
        <v>7024</v>
      </c>
      <c r="AT1031" s="184">
        <v>33616</v>
      </c>
      <c r="AU1031" t="s">
        <v>12841</v>
      </c>
      <c r="AV1031">
        <v>25</v>
      </c>
      <c r="AW1031" s="184">
        <v>44865</v>
      </c>
      <c r="AX1031" t="s">
        <v>12842</v>
      </c>
      <c r="AY1031">
        <v>100</v>
      </c>
      <c r="AZ1031" s="184">
        <v>42697</v>
      </c>
      <c r="BA1031" t="s">
        <v>12843</v>
      </c>
      <c r="BB1031">
        <v>1000</v>
      </c>
      <c r="BC1031">
        <v>94</v>
      </c>
      <c r="BD1031">
        <v>24015</v>
      </c>
      <c r="BE1031">
        <v>1992</v>
      </c>
      <c r="BF1031">
        <v>158</v>
      </c>
      <c r="BG1031">
        <v>7</v>
      </c>
      <c r="BH1031">
        <v>700</v>
      </c>
      <c r="BI1031">
        <v>31</v>
      </c>
      <c r="BJ1031">
        <v>33</v>
      </c>
      <c r="BK1031">
        <v>31</v>
      </c>
      <c r="BO1031" t="s">
        <v>595</v>
      </c>
      <c r="BP1031" s="184"/>
    </row>
    <row r="1032" spans="1:68">
      <c r="A1032">
        <v>6590178</v>
      </c>
      <c r="B1032">
        <v>6590178</v>
      </c>
      <c r="C1032" t="s">
        <v>7018</v>
      </c>
      <c r="D1032" t="s">
        <v>595</v>
      </c>
      <c r="E1032" s="184">
        <v>43955</v>
      </c>
      <c r="G1032" s="184"/>
      <c r="K1032" s="184"/>
      <c r="P1032" t="s">
        <v>7045</v>
      </c>
      <c r="Q1032" t="s">
        <v>7262</v>
      </c>
      <c r="R1032" s="184">
        <v>23478</v>
      </c>
      <c r="S1032">
        <v>60</v>
      </c>
      <c r="U1032" t="s">
        <v>7031</v>
      </c>
      <c r="V1032" t="s">
        <v>12844</v>
      </c>
      <c r="W1032" t="s">
        <v>7046</v>
      </c>
      <c r="X1032" t="s">
        <v>12845</v>
      </c>
      <c r="AF1032" t="s">
        <v>12846</v>
      </c>
      <c r="AG1032" t="s">
        <v>12844</v>
      </c>
      <c r="AI1032" t="s">
        <v>12847</v>
      </c>
      <c r="AM1032" t="s">
        <v>4861</v>
      </c>
      <c r="AN1032" t="s">
        <v>2069</v>
      </c>
      <c r="AO1032" t="s">
        <v>12848</v>
      </c>
      <c r="AP1032" t="s">
        <v>7024</v>
      </c>
      <c r="AQ1032" t="s">
        <v>12849</v>
      </c>
      <c r="AT1032" s="184">
        <v>33618</v>
      </c>
      <c r="AU1032" t="s">
        <v>12850</v>
      </c>
      <c r="AV1032">
        <v>10</v>
      </c>
      <c r="AW1032" s="184">
        <v>45336</v>
      </c>
      <c r="AX1032" t="s">
        <v>7168</v>
      </c>
      <c r="AY1032">
        <v>36.75</v>
      </c>
      <c r="AZ1032" s="184">
        <v>45336</v>
      </c>
      <c r="BA1032" t="s">
        <v>7168</v>
      </c>
      <c r="BB1032">
        <v>36.75</v>
      </c>
      <c r="BC1032">
        <v>94</v>
      </c>
      <c r="BD1032">
        <v>1168.75</v>
      </c>
      <c r="BE1032">
        <v>1992</v>
      </c>
      <c r="BF1032">
        <v>35</v>
      </c>
      <c r="BG1032">
        <v>2</v>
      </c>
      <c r="BH1032">
        <v>71.75</v>
      </c>
      <c r="BI1032">
        <v>31</v>
      </c>
      <c r="BJ1032">
        <v>33</v>
      </c>
      <c r="BK1032">
        <v>20</v>
      </c>
      <c r="BP1032" s="184"/>
    </row>
    <row r="1033" spans="1:68">
      <c r="A1033">
        <v>6596050</v>
      </c>
      <c r="B1033">
        <v>6596050</v>
      </c>
      <c r="C1033" t="s">
        <v>7018</v>
      </c>
      <c r="D1033" t="s">
        <v>595</v>
      </c>
      <c r="E1033" s="184">
        <v>43745</v>
      </c>
      <c r="G1033" s="184"/>
      <c r="I1033" s="184"/>
      <c r="K1033" s="184"/>
      <c r="O1033" s="184"/>
      <c r="P1033" t="s">
        <v>7045</v>
      </c>
      <c r="Q1033" t="s">
        <v>7454</v>
      </c>
      <c r="R1033" s="184">
        <v>18841</v>
      </c>
      <c r="S1033">
        <v>72</v>
      </c>
      <c r="U1033" t="s">
        <v>7031</v>
      </c>
      <c r="V1033" t="s">
        <v>3217</v>
      </c>
      <c r="X1033" t="s">
        <v>4100</v>
      </c>
      <c r="Z1033">
        <v>99863474</v>
      </c>
      <c r="AB1033" t="s">
        <v>9290</v>
      </c>
      <c r="AD1033" t="s">
        <v>12851</v>
      </c>
      <c r="AF1033" t="s">
        <v>12852</v>
      </c>
      <c r="AG1033" t="s">
        <v>12853</v>
      </c>
      <c r="AI1033" t="s">
        <v>12854</v>
      </c>
      <c r="AM1033" t="s">
        <v>4101</v>
      </c>
      <c r="AN1033" t="s">
        <v>2299</v>
      </c>
      <c r="AO1033" t="s">
        <v>12855</v>
      </c>
      <c r="AP1033" t="s">
        <v>7024</v>
      </c>
      <c r="AQ1033" t="s">
        <v>12856</v>
      </c>
      <c r="AR1033" t="s">
        <v>12857</v>
      </c>
      <c r="AT1033" s="184">
        <v>33619</v>
      </c>
      <c r="AU1033" t="s">
        <v>12858</v>
      </c>
      <c r="AV1033">
        <v>15</v>
      </c>
      <c r="AW1033" s="184">
        <v>44175</v>
      </c>
      <c r="AX1033" t="s">
        <v>12859</v>
      </c>
      <c r="AY1033">
        <v>35</v>
      </c>
      <c r="AZ1033" s="184">
        <v>38663</v>
      </c>
      <c r="BA1033" t="s">
        <v>12860</v>
      </c>
      <c r="BB1033">
        <v>60</v>
      </c>
      <c r="BC1033">
        <v>70</v>
      </c>
      <c r="BD1033">
        <v>905</v>
      </c>
      <c r="BE1033">
        <v>1992</v>
      </c>
      <c r="BF1033">
        <v>40</v>
      </c>
      <c r="BI1033">
        <v>23</v>
      </c>
      <c r="BJ1033">
        <v>33</v>
      </c>
      <c r="BK1033">
        <v>10</v>
      </c>
      <c r="BP1033" s="184"/>
    </row>
    <row r="1034" spans="1:68">
      <c r="A1034">
        <v>6612113</v>
      </c>
      <c r="B1034">
        <v>6612113</v>
      </c>
      <c r="C1034" t="s">
        <v>7018</v>
      </c>
      <c r="D1034" t="s">
        <v>595</v>
      </c>
      <c r="E1034" s="184">
        <v>43640</v>
      </c>
      <c r="G1034" s="184"/>
      <c r="I1034" s="184"/>
      <c r="K1034" s="184"/>
      <c r="O1034" s="184"/>
      <c r="P1034" t="s">
        <v>7045</v>
      </c>
      <c r="Q1034" t="s">
        <v>7030</v>
      </c>
      <c r="R1034" s="184">
        <v>17900</v>
      </c>
      <c r="S1034">
        <v>75</v>
      </c>
      <c r="U1034" t="s">
        <v>7076</v>
      </c>
      <c r="V1034" t="s">
        <v>2733</v>
      </c>
      <c r="W1034" t="s">
        <v>3332</v>
      </c>
      <c r="X1034" t="s">
        <v>2975</v>
      </c>
      <c r="AF1034" t="s">
        <v>12861</v>
      </c>
      <c r="AG1034" t="s">
        <v>2733</v>
      </c>
      <c r="AI1034" t="s">
        <v>12862</v>
      </c>
      <c r="AM1034" t="s">
        <v>2976</v>
      </c>
      <c r="AN1034" t="s">
        <v>2094</v>
      </c>
      <c r="AO1034" t="s">
        <v>12863</v>
      </c>
      <c r="AP1034" t="s">
        <v>7024</v>
      </c>
      <c r="AQ1034" t="s">
        <v>12864</v>
      </c>
      <c r="AT1034" s="184">
        <v>33624</v>
      </c>
      <c r="AU1034" t="s">
        <v>12865</v>
      </c>
      <c r="AV1034">
        <v>15</v>
      </c>
      <c r="AW1034" s="184">
        <v>45295</v>
      </c>
      <c r="AX1034" t="s">
        <v>7684</v>
      </c>
      <c r="AY1034">
        <v>35</v>
      </c>
      <c r="AZ1034" s="184">
        <v>43774</v>
      </c>
      <c r="BA1034" t="s">
        <v>12866</v>
      </c>
      <c r="BB1034">
        <v>200</v>
      </c>
      <c r="BC1034">
        <v>85</v>
      </c>
      <c r="BD1034">
        <v>1235</v>
      </c>
      <c r="BE1034">
        <v>1992</v>
      </c>
      <c r="BF1034">
        <v>38</v>
      </c>
      <c r="BG1034">
        <v>4</v>
      </c>
      <c r="BH1034">
        <v>170</v>
      </c>
      <c r="BI1034">
        <v>28</v>
      </c>
      <c r="BJ1034">
        <v>33</v>
      </c>
      <c r="BK1034">
        <v>9</v>
      </c>
      <c r="BN1034" t="s">
        <v>595</v>
      </c>
      <c r="BP1034" s="184"/>
    </row>
    <row r="1035" spans="1:68">
      <c r="A1035">
        <v>6621486</v>
      </c>
      <c r="B1035">
        <v>6621486</v>
      </c>
      <c r="C1035" t="s">
        <v>7018</v>
      </c>
      <c r="D1035" t="s">
        <v>595</v>
      </c>
      <c r="E1035" s="184">
        <v>44119</v>
      </c>
      <c r="G1035" s="184"/>
      <c r="K1035" s="184"/>
      <c r="O1035" s="184"/>
      <c r="P1035" t="s">
        <v>7045</v>
      </c>
      <c r="Q1035" t="s">
        <v>7383</v>
      </c>
      <c r="R1035" s="184">
        <v>17564</v>
      </c>
      <c r="S1035">
        <v>76</v>
      </c>
      <c r="V1035" t="s">
        <v>3317</v>
      </c>
      <c r="W1035" t="s">
        <v>4152</v>
      </c>
      <c r="X1035" t="s">
        <v>12867</v>
      </c>
      <c r="Z1035">
        <v>100028960</v>
      </c>
      <c r="AB1035" t="s">
        <v>12868</v>
      </c>
      <c r="AD1035" t="s">
        <v>12867</v>
      </c>
      <c r="AF1035" t="s">
        <v>12869</v>
      </c>
      <c r="AG1035" t="s">
        <v>12870</v>
      </c>
      <c r="AI1035" t="s">
        <v>12871</v>
      </c>
      <c r="AM1035" t="s">
        <v>3400</v>
      </c>
      <c r="AN1035" t="s">
        <v>2313</v>
      </c>
      <c r="AO1035" t="s">
        <v>12872</v>
      </c>
      <c r="AP1035" t="s">
        <v>7024</v>
      </c>
      <c r="AQ1035" t="s">
        <v>12873</v>
      </c>
      <c r="AT1035" s="184">
        <v>33624</v>
      </c>
      <c r="AU1035" t="s">
        <v>12813</v>
      </c>
      <c r="AV1035">
        <v>15</v>
      </c>
      <c r="AW1035" s="184">
        <v>45152</v>
      </c>
      <c r="AX1035" t="s">
        <v>8960</v>
      </c>
      <c r="AY1035">
        <v>100</v>
      </c>
      <c r="AZ1035" s="184">
        <v>45152</v>
      </c>
      <c r="BA1035" t="s">
        <v>8960</v>
      </c>
      <c r="BB1035">
        <v>100</v>
      </c>
      <c r="BC1035">
        <v>91</v>
      </c>
      <c r="BD1035">
        <v>1483.94</v>
      </c>
      <c r="BE1035">
        <v>1992</v>
      </c>
      <c r="BF1035">
        <v>53</v>
      </c>
      <c r="BG1035">
        <v>2</v>
      </c>
      <c r="BH1035">
        <v>200</v>
      </c>
      <c r="BI1035">
        <v>30</v>
      </c>
      <c r="BJ1035">
        <v>33</v>
      </c>
      <c r="BK1035">
        <v>26</v>
      </c>
      <c r="BP1035" s="184"/>
    </row>
    <row r="1036" spans="1:68">
      <c r="A1036">
        <v>100028960</v>
      </c>
      <c r="B1036">
        <v>6621486</v>
      </c>
      <c r="C1036" t="s">
        <v>7018</v>
      </c>
      <c r="D1036" t="s">
        <v>595</v>
      </c>
      <c r="E1036" s="184">
        <v>44119</v>
      </c>
      <c r="G1036" s="184"/>
      <c r="K1036" s="184"/>
      <c r="O1036" s="184"/>
      <c r="P1036" t="s">
        <v>7045</v>
      </c>
      <c r="Q1036" t="s">
        <v>7383</v>
      </c>
      <c r="R1036" s="184">
        <v>16794</v>
      </c>
      <c r="S1036">
        <v>78</v>
      </c>
      <c r="V1036" t="s">
        <v>12868</v>
      </c>
      <c r="X1036" t="s">
        <v>12867</v>
      </c>
      <c r="Z1036">
        <v>6621486</v>
      </c>
      <c r="AB1036" t="s">
        <v>3317</v>
      </c>
      <c r="AC1036" t="s">
        <v>4152</v>
      </c>
      <c r="AD1036" t="s">
        <v>12867</v>
      </c>
      <c r="AF1036" t="s">
        <v>12869</v>
      </c>
      <c r="AG1036" t="s">
        <v>12870</v>
      </c>
      <c r="AI1036" t="s">
        <v>12871</v>
      </c>
      <c r="AM1036" t="s">
        <v>3400</v>
      </c>
      <c r="AN1036" t="s">
        <v>2313</v>
      </c>
      <c r="AO1036" t="s">
        <v>12872</v>
      </c>
      <c r="AP1036" t="s">
        <v>7024</v>
      </c>
      <c r="AT1036" s="184"/>
      <c r="AW1036" s="184"/>
      <c r="AZ1036" s="184"/>
      <c r="BP1036" s="184"/>
    </row>
    <row r="1037" spans="1:68">
      <c r="A1037">
        <v>6635817</v>
      </c>
      <c r="B1037">
        <v>6635817</v>
      </c>
      <c r="C1037" t="s">
        <v>7018</v>
      </c>
      <c r="D1037" t="s">
        <v>595</v>
      </c>
      <c r="E1037" s="184">
        <v>43879</v>
      </c>
      <c r="G1037" s="184"/>
      <c r="K1037" s="184"/>
      <c r="O1037" s="184"/>
      <c r="P1037" t="s">
        <v>7029</v>
      </c>
      <c r="Q1037" t="s">
        <v>7262</v>
      </c>
      <c r="R1037" s="184">
        <v>19906</v>
      </c>
      <c r="S1037">
        <v>69</v>
      </c>
      <c r="U1037" t="s">
        <v>7031</v>
      </c>
      <c r="V1037" t="s">
        <v>5351</v>
      </c>
      <c r="W1037" t="s">
        <v>7384</v>
      </c>
      <c r="X1037" t="s">
        <v>8364</v>
      </c>
      <c r="AF1037" t="s">
        <v>12874</v>
      </c>
      <c r="AG1037" t="s">
        <v>5351</v>
      </c>
      <c r="AI1037" t="s">
        <v>12875</v>
      </c>
      <c r="AM1037" t="s">
        <v>12876</v>
      </c>
      <c r="AN1037" t="s">
        <v>2106</v>
      </c>
      <c r="AO1037" t="s">
        <v>12877</v>
      </c>
      <c r="AP1037" t="s">
        <v>7024</v>
      </c>
      <c r="AQ1037" t="s">
        <v>12878</v>
      </c>
      <c r="AR1037" t="s">
        <v>12879</v>
      </c>
      <c r="AT1037" s="184">
        <v>33627</v>
      </c>
      <c r="AU1037" t="s">
        <v>12880</v>
      </c>
      <c r="AV1037">
        <v>15</v>
      </c>
      <c r="AW1037" s="184">
        <v>45414</v>
      </c>
      <c r="AX1037" t="s">
        <v>7422</v>
      </c>
      <c r="AY1037">
        <v>25</v>
      </c>
      <c r="AZ1037" s="184">
        <v>44541</v>
      </c>
      <c r="BA1037" t="s">
        <v>7714</v>
      </c>
      <c r="BB1037">
        <v>275</v>
      </c>
      <c r="BC1037">
        <v>49</v>
      </c>
      <c r="BD1037">
        <v>3665</v>
      </c>
      <c r="BE1037">
        <v>1992</v>
      </c>
      <c r="BF1037">
        <v>67</v>
      </c>
      <c r="BG1037">
        <v>22</v>
      </c>
      <c r="BH1037">
        <v>1150</v>
      </c>
      <c r="BI1037">
        <v>16</v>
      </c>
      <c r="BJ1037">
        <v>33</v>
      </c>
      <c r="BK1037">
        <v>15</v>
      </c>
      <c r="BP1037" s="184"/>
    </row>
    <row r="1038" spans="1:68">
      <c r="A1038">
        <v>6636450</v>
      </c>
      <c r="B1038">
        <v>6636450</v>
      </c>
      <c r="C1038" t="s">
        <v>7018</v>
      </c>
      <c r="D1038" t="s">
        <v>595</v>
      </c>
      <c r="E1038" s="184">
        <v>44104</v>
      </c>
      <c r="G1038" s="184"/>
      <c r="K1038" s="184"/>
      <c r="O1038" s="184"/>
      <c r="P1038" t="s">
        <v>7045</v>
      </c>
      <c r="Q1038" t="s">
        <v>7160</v>
      </c>
      <c r="R1038" s="184">
        <v>15088</v>
      </c>
      <c r="S1038">
        <v>83</v>
      </c>
      <c r="U1038" t="s">
        <v>7031</v>
      </c>
      <c r="V1038" t="s">
        <v>3384</v>
      </c>
      <c r="W1038" t="s">
        <v>3951</v>
      </c>
      <c r="X1038" t="s">
        <v>2706</v>
      </c>
      <c r="AF1038" t="s">
        <v>12881</v>
      </c>
      <c r="AG1038" t="s">
        <v>3384</v>
      </c>
      <c r="AI1038" t="s">
        <v>12882</v>
      </c>
      <c r="AM1038" t="s">
        <v>2869</v>
      </c>
      <c r="AN1038" t="s">
        <v>2413</v>
      </c>
      <c r="AO1038" t="s">
        <v>12883</v>
      </c>
      <c r="AP1038" t="s">
        <v>7024</v>
      </c>
      <c r="AQ1038" t="s">
        <v>12884</v>
      </c>
      <c r="AR1038" t="s">
        <v>12885</v>
      </c>
      <c r="AT1038" s="184">
        <v>33627</v>
      </c>
      <c r="AU1038" t="s">
        <v>12886</v>
      </c>
      <c r="AV1038">
        <v>15</v>
      </c>
      <c r="AW1038" s="184">
        <v>45366</v>
      </c>
      <c r="AX1038" t="s">
        <v>12887</v>
      </c>
      <c r="AY1038">
        <v>35</v>
      </c>
      <c r="AZ1038" s="184">
        <v>39421</v>
      </c>
      <c r="BA1038" t="s">
        <v>12888</v>
      </c>
      <c r="BB1038">
        <v>100</v>
      </c>
      <c r="BC1038">
        <v>70</v>
      </c>
      <c r="BD1038">
        <v>1065</v>
      </c>
      <c r="BE1038">
        <v>1992</v>
      </c>
      <c r="BF1038">
        <v>32</v>
      </c>
      <c r="BG1038">
        <v>1</v>
      </c>
      <c r="BH1038">
        <v>35</v>
      </c>
      <c r="BI1038">
        <v>23</v>
      </c>
      <c r="BJ1038">
        <v>33</v>
      </c>
      <c r="BK1038">
        <v>8</v>
      </c>
      <c r="BP1038" s="184"/>
    </row>
    <row r="1039" spans="1:68">
      <c r="A1039">
        <v>6660377</v>
      </c>
      <c r="B1039">
        <v>6660377</v>
      </c>
      <c r="C1039" t="s">
        <v>7018</v>
      </c>
      <c r="E1039" s="184"/>
      <c r="G1039" s="184"/>
      <c r="I1039" s="184"/>
      <c r="J1039" t="s">
        <v>595</v>
      </c>
      <c r="K1039" s="184">
        <v>40787</v>
      </c>
      <c r="O1039" s="184"/>
      <c r="P1039" t="s">
        <v>7045</v>
      </c>
      <c r="Q1039" t="s">
        <v>7383</v>
      </c>
      <c r="R1039" s="184">
        <v>9922</v>
      </c>
      <c r="S1039">
        <v>97</v>
      </c>
      <c r="U1039" t="s">
        <v>7076</v>
      </c>
      <c r="V1039" t="s">
        <v>12889</v>
      </c>
      <c r="W1039" t="s">
        <v>4210</v>
      </c>
      <c r="X1039" t="s">
        <v>3353</v>
      </c>
      <c r="AF1039" t="s">
        <v>6394</v>
      </c>
      <c r="AG1039" t="s">
        <v>12889</v>
      </c>
      <c r="AI1039" t="s">
        <v>12890</v>
      </c>
      <c r="AM1039" t="s">
        <v>12891</v>
      </c>
      <c r="AN1039" t="s">
        <v>2313</v>
      </c>
      <c r="AO1039" t="s">
        <v>12892</v>
      </c>
      <c r="AP1039" t="s">
        <v>7024</v>
      </c>
      <c r="AT1039" s="184">
        <v>33637</v>
      </c>
      <c r="AU1039" t="s">
        <v>12893</v>
      </c>
      <c r="AV1039">
        <v>25</v>
      </c>
      <c r="AW1039" s="184">
        <v>44669</v>
      </c>
      <c r="AX1039" t="s">
        <v>7093</v>
      </c>
      <c r="AY1039">
        <v>3000</v>
      </c>
      <c r="AZ1039" s="184">
        <v>44669</v>
      </c>
      <c r="BA1039" t="s">
        <v>7093</v>
      </c>
      <c r="BB1039">
        <v>3000</v>
      </c>
      <c r="BC1039">
        <v>67</v>
      </c>
      <c r="BD1039">
        <v>4205</v>
      </c>
      <c r="BE1039">
        <v>1992</v>
      </c>
      <c r="BF1039">
        <v>27</v>
      </c>
      <c r="BG1039">
        <v>1</v>
      </c>
      <c r="BH1039">
        <v>3000</v>
      </c>
      <c r="BI1039">
        <v>22</v>
      </c>
      <c r="BJ1039">
        <v>33</v>
      </c>
      <c r="BK1039">
        <v>18</v>
      </c>
      <c r="BO1039" t="s">
        <v>595</v>
      </c>
      <c r="BP1039" s="184">
        <v>43917</v>
      </c>
    </row>
    <row r="1040" spans="1:68">
      <c r="A1040">
        <v>6663173</v>
      </c>
      <c r="B1040">
        <v>6663173</v>
      </c>
      <c r="C1040" t="s">
        <v>7018</v>
      </c>
      <c r="D1040" t="s">
        <v>595</v>
      </c>
      <c r="E1040" s="184">
        <v>43647</v>
      </c>
      <c r="G1040" s="184"/>
      <c r="I1040" s="184"/>
      <c r="K1040" s="184"/>
      <c r="O1040" s="184"/>
      <c r="P1040" t="s">
        <v>7045</v>
      </c>
      <c r="Q1040" t="s">
        <v>7383</v>
      </c>
      <c r="R1040" s="184">
        <v>15646</v>
      </c>
      <c r="S1040">
        <v>81</v>
      </c>
      <c r="U1040" t="s">
        <v>7076</v>
      </c>
      <c r="V1040" t="s">
        <v>2602</v>
      </c>
      <c r="W1040" t="s">
        <v>5006</v>
      </c>
      <c r="X1040" t="s">
        <v>2706</v>
      </c>
      <c r="AF1040" t="s">
        <v>12894</v>
      </c>
      <c r="AG1040" t="s">
        <v>2602</v>
      </c>
      <c r="AI1040" t="s">
        <v>12895</v>
      </c>
      <c r="AM1040" t="s">
        <v>3319</v>
      </c>
      <c r="AN1040" t="s">
        <v>2072</v>
      </c>
      <c r="AO1040" t="s">
        <v>12896</v>
      </c>
      <c r="AP1040" t="s">
        <v>7024</v>
      </c>
      <c r="AT1040" s="184">
        <v>33638</v>
      </c>
      <c r="AU1040" t="s">
        <v>12897</v>
      </c>
      <c r="AV1040">
        <v>15</v>
      </c>
      <c r="AW1040" s="184">
        <v>45041</v>
      </c>
      <c r="AX1040" t="s">
        <v>12898</v>
      </c>
      <c r="AY1040">
        <v>35</v>
      </c>
      <c r="AZ1040" s="184">
        <v>42472</v>
      </c>
      <c r="BA1040" t="s">
        <v>12899</v>
      </c>
      <c r="BB1040">
        <v>40</v>
      </c>
      <c r="BC1040">
        <v>76</v>
      </c>
      <c r="BD1040">
        <v>935</v>
      </c>
      <c r="BE1040">
        <v>1992</v>
      </c>
      <c r="BF1040">
        <v>48</v>
      </c>
      <c r="BG1040">
        <v>2</v>
      </c>
      <c r="BH1040">
        <v>60</v>
      </c>
      <c r="BI1040">
        <v>25</v>
      </c>
      <c r="BJ1040">
        <v>33</v>
      </c>
      <c r="BK1040">
        <v>13</v>
      </c>
      <c r="BP1040" s="184"/>
    </row>
    <row r="1041" spans="1:68">
      <c r="A1041">
        <v>6666804</v>
      </c>
      <c r="B1041">
        <v>6666804</v>
      </c>
      <c r="C1041" t="s">
        <v>7018</v>
      </c>
      <c r="E1041" s="184"/>
      <c r="G1041" s="184"/>
      <c r="I1041" s="184"/>
      <c r="J1041" t="s">
        <v>595</v>
      </c>
      <c r="K1041" s="184">
        <v>37435</v>
      </c>
      <c r="O1041" s="184"/>
      <c r="P1041" t="s">
        <v>7029</v>
      </c>
      <c r="Q1041" t="s">
        <v>7262</v>
      </c>
      <c r="R1041" s="184">
        <v>22067</v>
      </c>
      <c r="S1041">
        <v>63</v>
      </c>
      <c r="U1041" t="s">
        <v>7031</v>
      </c>
      <c r="V1041" t="s">
        <v>2898</v>
      </c>
      <c r="W1041" t="s">
        <v>7356</v>
      </c>
      <c r="X1041" t="s">
        <v>5453</v>
      </c>
      <c r="Z1041">
        <v>100029148</v>
      </c>
      <c r="AA1041" t="s">
        <v>7130</v>
      </c>
      <c r="AB1041" t="s">
        <v>3302</v>
      </c>
      <c r="AC1041" t="s">
        <v>4382</v>
      </c>
      <c r="AD1041" t="s">
        <v>5453</v>
      </c>
      <c r="AF1041" t="s">
        <v>12900</v>
      </c>
      <c r="AG1041" t="s">
        <v>12901</v>
      </c>
      <c r="AI1041" t="s">
        <v>12902</v>
      </c>
      <c r="AM1041" t="s">
        <v>2730</v>
      </c>
      <c r="AN1041" t="s">
        <v>2069</v>
      </c>
      <c r="AO1041" t="s">
        <v>12903</v>
      </c>
      <c r="AP1041" t="s">
        <v>7024</v>
      </c>
      <c r="AQ1041" t="s">
        <v>12904</v>
      </c>
      <c r="AR1041" t="s">
        <v>12905</v>
      </c>
      <c r="AT1041" s="184">
        <v>33639</v>
      </c>
      <c r="AU1041" t="s">
        <v>12906</v>
      </c>
      <c r="AV1041">
        <v>30</v>
      </c>
      <c r="AW1041" s="184">
        <v>45358</v>
      </c>
      <c r="AX1041" t="s">
        <v>12907</v>
      </c>
      <c r="AY1041">
        <v>1000</v>
      </c>
      <c r="AZ1041" s="184">
        <v>40899</v>
      </c>
      <c r="BA1041" t="s">
        <v>12908</v>
      </c>
      <c r="BB1041">
        <v>10000</v>
      </c>
      <c r="BC1041">
        <v>82</v>
      </c>
      <c r="BD1041">
        <v>95167.75</v>
      </c>
      <c r="BE1041">
        <v>1992</v>
      </c>
      <c r="BF1041">
        <v>49</v>
      </c>
      <c r="BG1041">
        <v>1</v>
      </c>
      <c r="BH1041">
        <v>1000</v>
      </c>
      <c r="BI1041">
        <v>27</v>
      </c>
      <c r="BJ1041">
        <v>33</v>
      </c>
      <c r="BK1041">
        <v>11</v>
      </c>
      <c r="BN1041" t="s">
        <v>595</v>
      </c>
      <c r="BP1041" s="184"/>
    </row>
    <row r="1042" spans="1:68">
      <c r="A1042">
        <v>100029148</v>
      </c>
      <c r="B1042">
        <v>6666804</v>
      </c>
      <c r="C1042" t="s">
        <v>7018</v>
      </c>
      <c r="E1042" s="184"/>
      <c r="G1042" s="184"/>
      <c r="I1042" s="184"/>
      <c r="J1042" t="s">
        <v>595</v>
      </c>
      <c r="K1042" s="184">
        <v>37435</v>
      </c>
      <c r="O1042" s="184"/>
      <c r="P1042" t="s">
        <v>7029</v>
      </c>
      <c r="Q1042" t="s">
        <v>7262</v>
      </c>
      <c r="R1042" s="184">
        <v>21983</v>
      </c>
      <c r="S1042">
        <v>64</v>
      </c>
      <c r="U1042" t="s">
        <v>7130</v>
      </c>
      <c r="V1042" t="s">
        <v>3302</v>
      </c>
      <c r="W1042" t="s">
        <v>4382</v>
      </c>
      <c r="X1042" t="s">
        <v>5453</v>
      </c>
      <c r="Z1042">
        <v>6666804</v>
      </c>
      <c r="AA1042" t="s">
        <v>7031</v>
      </c>
      <c r="AB1042" t="s">
        <v>2898</v>
      </c>
      <c r="AC1042" t="s">
        <v>7356</v>
      </c>
      <c r="AD1042" t="s">
        <v>5453</v>
      </c>
      <c r="AF1042" t="s">
        <v>12900</v>
      </c>
      <c r="AG1042" t="s">
        <v>12901</v>
      </c>
      <c r="AI1042" t="s">
        <v>12902</v>
      </c>
      <c r="AM1042" t="s">
        <v>2730</v>
      </c>
      <c r="AN1042" t="s">
        <v>2069</v>
      </c>
      <c r="AO1042" t="s">
        <v>12903</v>
      </c>
      <c r="AP1042" t="s">
        <v>7024</v>
      </c>
      <c r="AT1042" s="184"/>
      <c r="AW1042" s="184"/>
      <c r="AZ1042" s="184"/>
    </row>
    <row r="1043" spans="1:68">
      <c r="A1043">
        <v>6669386</v>
      </c>
      <c r="B1043">
        <v>6669386</v>
      </c>
      <c r="C1043" t="s">
        <v>7018</v>
      </c>
      <c r="E1043" s="184"/>
      <c r="G1043" s="184"/>
      <c r="I1043" s="184"/>
      <c r="J1043" t="s">
        <v>595</v>
      </c>
      <c r="K1043" s="184">
        <v>42221</v>
      </c>
      <c r="O1043" s="184"/>
      <c r="P1043" t="s">
        <v>7045</v>
      </c>
      <c r="Q1043" t="s">
        <v>7262</v>
      </c>
      <c r="R1043" s="184">
        <v>18476</v>
      </c>
      <c r="S1043">
        <v>73</v>
      </c>
      <c r="V1043" t="s">
        <v>4210</v>
      </c>
      <c r="X1043" t="s">
        <v>3054</v>
      </c>
      <c r="Z1043">
        <v>100029162</v>
      </c>
      <c r="AB1043" t="s">
        <v>2612</v>
      </c>
      <c r="AD1043" t="s">
        <v>3054</v>
      </c>
      <c r="AF1043" t="s">
        <v>6584</v>
      </c>
      <c r="AG1043" t="s">
        <v>12909</v>
      </c>
      <c r="AI1043" t="s">
        <v>12910</v>
      </c>
      <c r="AM1043" t="s">
        <v>2726</v>
      </c>
      <c r="AN1043" t="s">
        <v>65</v>
      </c>
      <c r="AO1043" t="s">
        <v>12911</v>
      </c>
      <c r="AP1043" t="s">
        <v>7024</v>
      </c>
      <c r="AQ1043" t="s">
        <v>12912</v>
      </c>
      <c r="AT1043" s="184">
        <v>33639</v>
      </c>
      <c r="AU1043" t="s">
        <v>12913</v>
      </c>
      <c r="AV1043">
        <v>15</v>
      </c>
      <c r="AW1043" s="184">
        <v>45314</v>
      </c>
      <c r="AX1043" t="s">
        <v>7168</v>
      </c>
      <c r="AY1043">
        <v>100</v>
      </c>
      <c r="AZ1043" s="184">
        <v>45024</v>
      </c>
      <c r="BA1043" t="s">
        <v>12914</v>
      </c>
      <c r="BB1043">
        <v>105</v>
      </c>
      <c r="BC1043">
        <v>40</v>
      </c>
      <c r="BD1043">
        <v>1423.75</v>
      </c>
      <c r="BE1043">
        <v>1992</v>
      </c>
      <c r="BF1043">
        <v>22</v>
      </c>
      <c r="BG1043">
        <v>5</v>
      </c>
      <c r="BH1043">
        <v>433.75</v>
      </c>
      <c r="BI1043">
        <v>13</v>
      </c>
      <c r="BJ1043">
        <v>33</v>
      </c>
      <c r="BK1043">
        <v>11</v>
      </c>
      <c r="BP1043" s="184"/>
    </row>
    <row r="1044" spans="1:68">
      <c r="A1044">
        <v>100029162</v>
      </c>
      <c r="B1044">
        <v>6669386</v>
      </c>
      <c r="C1044" t="s">
        <v>7018</v>
      </c>
      <c r="E1044" s="184"/>
      <c r="G1044" s="184"/>
      <c r="I1044" s="184"/>
      <c r="J1044" t="s">
        <v>595</v>
      </c>
      <c r="K1044" s="184">
        <v>43654</v>
      </c>
      <c r="O1044" s="184"/>
      <c r="P1044" t="s">
        <v>7045</v>
      </c>
      <c r="Q1044" t="s">
        <v>7262</v>
      </c>
      <c r="R1044" s="184">
        <v>17564</v>
      </c>
      <c r="S1044">
        <v>76</v>
      </c>
      <c r="V1044" t="s">
        <v>2612</v>
      </c>
      <c r="X1044" t="s">
        <v>3054</v>
      </c>
      <c r="Z1044">
        <v>6669386</v>
      </c>
      <c r="AB1044" t="s">
        <v>4210</v>
      </c>
      <c r="AD1044" t="s">
        <v>3054</v>
      </c>
      <c r="AF1044" t="s">
        <v>6584</v>
      </c>
      <c r="AG1044" t="s">
        <v>12909</v>
      </c>
      <c r="AI1044" t="s">
        <v>12910</v>
      </c>
      <c r="AM1044" t="s">
        <v>2726</v>
      </c>
      <c r="AN1044" t="s">
        <v>65</v>
      </c>
      <c r="AO1044" t="s">
        <v>12911</v>
      </c>
      <c r="AP1044" t="s">
        <v>7024</v>
      </c>
      <c r="AQ1044" t="s">
        <v>12915</v>
      </c>
      <c r="AT1044" s="184"/>
      <c r="AW1044" s="184"/>
      <c r="AZ1044" s="184"/>
      <c r="BP1044" s="184"/>
    </row>
    <row r="1045" spans="1:68">
      <c r="A1045">
        <v>6673313</v>
      </c>
      <c r="B1045">
        <v>6673313</v>
      </c>
      <c r="C1045" t="s">
        <v>7018</v>
      </c>
      <c r="D1045" t="s">
        <v>595</v>
      </c>
      <c r="E1045" s="184">
        <v>45153</v>
      </c>
      <c r="G1045" s="184"/>
      <c r="I1045" s="184"/>
      <c r="K1045" s="184"/>
      <c r="O1045" s="184"/>
      <c r="P1045" t="s">
        <v>7045</v>
      </c>
      <c r="Q1045" t="s">
        <v>7383</v>
      </c>
      <c r="R1045" s="184">
        <v>14682</v>
      </c>
      <c r="S1045">
        <v>84</v>
      </c>
      <c r="U1045" t="s">
        <v>7076</v>
      </c>
      <c r="V1045" t="s">
        <v>4032</v>
      </c>
      <c r="W1045" t="s">
        <v>7560</v>
      </c>
      <c r="X1045" t="s">
        <v>12916</v>
      </c>
      <c r="AF1045" t="s">
        <v>12917</v>
      </c>
      <c r="AG1045" t="s">
        <v>4032</v>
      </c>
      <c r="AI1045" t="s">
        <v>12918</v>
      </c>
      <c r="AM1045" t="s">
        <v>4558</v>
      </c>
      <c r="AN1045" t="s">
        <v>2072</v>
      </c>
      <c r="AO1045" t="s">
        <v>12919</v>
      </c>
      <c r="AP1045" t="s">
        <v>7024</v>
      </c>
      <c r="AQ1045" t="s">
        <v>12920</v>
      </c>
      <c r="AT1045" s="184">
        <v>33640</v>
      </c>
      <c r="AU1045" t="s">
        <v>12921</v>
      </c>
      <c r="AV1045">
        <v>30</v>
      </c>
      <c r="AW1045" s="184">
        <v>44980</v>
      </c>
      <c r="AX1045" t="s">
        <v>12922</v>
      </c>
      <c r="AY1045">
        <v>25</v>
      </c>
      <c r="AZ1045" s="184">
        <v>33640</v>
      </c>
      <c r="BA1045" t="s">
        <v>12921</v>
      </c>
      <c r="BB1045">
        <v>30</v>
      </c>
      <c r="BC1045">
        <v>22</v>
      </c>
      <c r="BD1045">
        <v>160</v>
      </c>
      <c r="BE1045">
        <v>1992</v>
      </c>
      <c r="BF1045">
        <v>7</v>
      </c>
      <c r="BG1045">
        <v>1</v>
      </c>
      <c r="BH1045">
        <v>25</v>
      </c>
      <c r="BI1045">
        <v>7</v>
      </c>
      <c r="BJ1045">
        <v>33</v>
      </c>
      <c r="BK1045">
        <v>5</v>
      </c>
      <c r="BP1045" s="184"/>
    </row>
    <row r="1046" spans="1:68">
      <c r="A1046">
        <v>6675672</v>
      </c>
      <c r="B1046">
        <v>6675672</v>
      </c>
      <c r="C1046" t="s">
        <v>7018</v>
      </c>
      <c r="E1046" s="184"/>
      <c r="F1046" t="s">
        <v>595</v>
      </c>
      <c r="G1046" s="184">
        <v>43647</v>
      </c>
      <c r="K1046" s="184"/>
      <c r="O1046" s="184"/>
      <c r="P1046" t="s">
        <v>7045</v>
      </c>
      <c r="Q1046" t="s">
        <v>7020</v>
      </c>
      <c r="R1046" s="184">
        <v>7512</v>
      </c>
      <c r="S1046">
        <v>103</v>
      </c>
      <c r="U1046" t="s">
        <v>7130</v>
      </c>
      <c r="V1046" t="s">
        <v>3101</v>
      </c>
      <c r="W1046" t="s">
        <v>8224</v>
      </c>
      <c r="X1046" t="s">
        <v>3086</v>
      </c>
      <c r="AF1046" t="s">
        <v>12923</v>
      </c>
      <c r="AG1046" t="s">
        <v>3101</v>
      </c>
      <c r="AI1046" t="s">
        <v>12924</v>
      </c>
      <c r="AM1046" t="s">
        <v>3087</v>
      </c>
      <c r="AN1046" t="s">
        <v>2240</v>
      </c>
      <c r="AO1046" t="s">
        <v>12925</v>
      </c>
      <c r="AP1046" t="s">
        <v>7024</v>
      </c>
      <c r="AT1046" s="184">
        <v>33640</v>
      </c>
      <c r="AU1046" t="s">
        <v>12926</v>
      </c>
      <c r="AV1046">
        <v>20</v>
      </c>
      <c r="AW1046" s="184">
        <v>41997</v>
      </c>
      <c r="AX1046" t="s">
        <v>12927</v>
      </c>
      <c r="AY1046">
        <v>25</v>
      </c>
      <c r="AZ1046" s="184">
        <v>33947</v>
      </c>
      <c r="BA1046" t="s">
        <v>12928</v>
      </c>
      <c r="BB1046">
        <v>60</v>
      </c>
      <c r="BC1046">
        <v>22</v>
      </c>
      <c r="BD1046">
        <v>425</v>
      </c>
      <c r="BE1046">
        <v>1992</v>
      </c>
      <c r="BF1046">
        <v>15</v>
      </c>
      <c r="BI1046">
        <v>7</v>
      </c>
      <c r="BJ1046">
        <v>33</v>
      </c>
      <c r="BK1046">
        <v>2</v>
      </c>
      <c r="BP1046" s="184"/>
    </row>
    <row r="1047" spans="1:68">
      <c r="A1047">
        <v>6675862</v>
      </c>
      <c r="B1047">
        <v>6675862</v>
      </c>
      <c r="C1047" t="s">
        <v>7018</v>
      </c>
      <c r="E1047" s="184"/>
      <c r="F1047" t="s">
        <v>595</v>
      </c>
      <c r="G1047" s="184">
        <v>43864</v>
      </c>
      <c r="K1047" s="184"/>
      <c r="O1047" s="184"/>
      <c r="P1047" t="s">
        <v>7045</v>
      </c>
      <c r="Q1047" t="s">
        <v>7262</v>
      </c>
      <c r="R1047" s="184">
        <v>13162</v>
      </c>
      <c r="S1047">
        <v>88</v>
      </c>
      <c r="V1047" t="s">
        <v>4664</v>
      </c>
      <c r="W1047" t="s">
        <v>4139</v>
      </c>
      <c r="X1047" t="s">
        <v>4665</v>
      </c>
      <c r="Z1047">
        <v>100029188</v>
      </c>
      <c r="AA1047" t="s">
        <v>7032</v>
      </c>
      <c r="AB1047" t="s">
        <v>2558</v>
      </c>
      <c r="AD1047" t="s">
        <v>4665</v>
      </c>
      <c r="AF1047" t="s">
        <v>12929</v>
      </c>
      <c r="AG1047" t="s">
        <v>12930</v>
      </c>
      <c r="AI1047" t="s">
        <v>12931</v>
      </c>
      <c r="AM1047" t="s">
        <v>2679</v>
      </c>
      <c r="AN1047" t="s">
        <v>2318</v>
      </c>
      <c r="AO1047" t="s">
        <v>12932</v>
      </c>
      <c r="AP1047" t="s">
        <v>7024</v>
      </c>
      <c r="AT1047" s="184">
        <v>33640</v>
      </c>
      <c r="AU1047" t="s">
        <v>12933</v>
      </c>
      <c r="AV1047">
        <v>15</v>
      </c>
      <c r="AW1047" s="184">
        <v>44699</v>
      </c>
      <c r="AX1047" t="s">
        <v>12934</v>
      </c>
      <c r="AY1047">
        <v>125</v>
      </c>
      <c r="AZ1047" s="184">
        <v>44699</v>
      </c>
      <c r="BA1047" t="s">
        <v>12934</v>
      </c>
      <c r="BB1047">
        <v>125</v>
      </c>
      <c r="BC1047">
        <v>61</v>
      </c>
      <c r="BD1047">
        <v>2616.1</v>
      </c>
      <c r="BE1047">
        <v>1992</v>
      </c>
      <c r="BF1047">
        <v>35</v>
      </c>
      <c r="BG1047">
        <v>1</v>
      </c>
      <c r="BH1047">
        <v>125</v>
      </c>
      <c r="BI1047">
        <v>20</v>
      </c>
      <c r="BJ1047">
        <v>33</v>
      </c>
      <c r="BK1047">
        <v>11</v>
      </c>
      <c r="BP1047" s="184"/>
    </row>
    <row r="1048" spans="1:68">
      <c r="A1048">
        <v>100029188</v>
      </c>
      <c r="B1048">
        <v>6675862</v>
      </c>
      <c r="C1048" t="s">
        <v>7018</v>
      </c>
      <c r="E1048" s="184"/>
      <c r="F1048" t="s">
        <v>595</v>
      </c>
      <c r="G1048" s="184">
        <v>43864</v>
      </c>
      <c r="K1048" s="184"/>
      <c r="O1048" s="184"/>
      <c r="P1048" t="s">
        <v>7045</v>
      </c>
      <c r="Q1048" t="s">
        <v>7262</v>
      </c>
      <c r="R1048" s="184">
        <v>10455</v>
      </c>
      <c r="S1048">
        <v>95</v>
      </c>
      <c r="U1048" t="s">
        <v>7032</v>
      </c>
      <c r="V1048" t="s">
        <v>2558</v>
      </c>
      <c r="X1048" t="s">
        <v>4665</v>
      </c>
      <c r="Z1048">
        <v>6675862</v>
      </c>
      <c r="AB1048" t="s">
        <v>4664</v>
      </c>
      <c r="AC1048" t="s">
        <v>4139</v>
      </c>
      <c r="AD1048" t="s">
        <v>4665</v>
      </c>
      <c r="AF1048" t="s">
        <v>12929</v>
      </c>
      <c r="AG1048" t="s">
        <v>12930</v>
      </c>
      <c r="AI1048" t="s">
        <v>12931</v>
      </c>
      <c r="AM1048" t="s">
        <v>2679</v>
      </c>
      <c r="AN1048" t="s">
        <v>2318</v>
      </c>
      <c r="AO1048" t="s">
        <v>12932</v>
      </c>
      <c r="AP1048" t="s">
        <v>7024</v>
      </c>
      <c r="AQ1048" t="s">
        <v>12935</v>
      </c>
      <c r="AT1048" s="184"/>
      <c r="AW1048" s="184"/>
      <c r="AZ1048" s="184"/>
      <c r="BP1048" s="184"/>
    </row>
    <row r="1049" spans="1:68">
      <c r="A1049">
        <v>6709570</v>
      </c>
      <c r="B1049">
        <v>6709570</v>
      </c>
      <c r="C1049" t="s">
        <v>7018</v>
      </c>
      <c r="E1049" s="184"/>
      <c r="G1049" s="184"/>
      <c r="I1049" s="184"/>
      <c r="J1049" t="s">
        <v>595</v>
      </c>
      <c r="K1049" s="184">
        <v>45324</v>
      </c>
      <c r="O1049" s="184"/>
      <c r="P1049" t="s">
        <v>7084</v>
      </c>
      <c r="Q1049" t="s">
        <v>7383</v>
      </c>
      <c r="R1049" s="184">
        <v>10999</v>
      </c>
      <c r="S1049">
        <v>94</v>
      </c>
      <c r="U1049" t="s">
        <v>7094</v>
      </c>
      <c r="V1049" t="s">
        <v>2705</v>
      </c>
      <c r="X1049" t="s">
        <v>12936</v>
      </c>
      <c r="AF1049" t="s">
        <v>12937</v>
      </c>
      <c r="AG1049" t="s">
        <v>2705</v>
      </c>
      <c r="AI1049" t="s">
        <v>12938</v>
      </c>
      <c r="AM1049" t="s">
        <v>3357</v>
      </c>
      <c r="AN1049" t="s">
        <v>2185</v>
      </c>
      <c r="AO1049" t="s">
        <v>12939</v>
      </c>
      <c r="AP1049" t="s">
        <v>7024</v>
      </c>
      <c r="AT1049" s="184">
        <v>33645</v>
      </c>
      <c r="AU1049" t="s">
        <v>12940</v>
      </c>
      <c r="AV1049">
        <v>15</v>
      </c>
      <c r="AW1049" s="184">
        <v>45342</v>
      </c>
      <c r="AX1049" t="s">
        <v>7296</v>
      </c>
      <c r="AY1049">
        <v>444548.01</v>
      </c>
      <c r="AZ1049" s="184">
        <v>45342</v>
      </c>
      <c r="BA1049" t="s">
        <v>7296</v>
      </c>
      <c r="BB1049">
        <v>444548.01</v>
      </c>
      <c r="BC1049">
        <v>97</v>
      </c>
      <c r="BD1049">
        <v>447048.01</v>
      </c>
      <c r="BE1049">
        <v>1992</v>
      </c>
      <c r="BF1049">
        <v>141</v>
      </c>
      <c r="BG1049">
        <v>10</v>
      </c>
      <c r="BH1049">
        <v>444620.01</v>
      </c>
      <c r="BI1049">
        <v>32</v>
      </c>
      <c r="BJ1049">
        <v>33</v>
      </c>
      <c r="BK1049">
        <v>17</v>
      </c>
      <c r="BO1049" t="s">
        <v>595</v>
      </c>
      <c r="BP1049" s="184">
        <v>44932</v>
      </c>
    </row>
    <row r="1050" spans="1:68">
      <c r="A1050">
        <v>6726921</v>
      </c>
      <c r="B1050">
        <v>6726921</v>
      </c>
      <c r="C1050" t="s">
        <v>7018</v>
      </c>
      <c r="D1050" t="s">
        <v>595</v>
      </c>
      <c r="E1050" s="184">
        <v>43955</v>
      </c>
      <c r="G1050" s="184"/>
      <c r="I1050" s="184"/>
      <c r="K1050" s="184"/>
      <c r="O1050" s="184"/>
      <c r="P1050" t="s">
        <v>7045</v>
      </c>
      <c r="Q1050" t="s">
        <v>7454</v>
      </c>
      <c r="R1050" s="184">
        <v>12889</v>
      </c>
      <c r="S1050">
        <v>89</v>
      </c>
      <c r="U1050" t="s">
        <v>7076</v>
      </c>
      <c r="V1050" t="s">
        <v>3468</v>
      </c>
      <c r="X1050" t="s">
        <v>2615</v>
      </c>
      <c r="AF1050" t="s">
        <v>12941</v>
      </c>
      <c r="AG1050" t="s">
        <v>3468</v>
      </c>
      <c r="AI1050" t="s">
        <v>12942</v>
      </c>
      <c r="AM1050" t="s">
        <v>3855</v>
      </c>
      <c r="AN1050" t="s">
        <v>2055</v>
      </c>
      <c r="AO1050" t="s">
        <v>12943</v>
      </c>
      <c r="AP1050" t="s">
        <v>7024</v>
      </c>
      <c r="AQ1050" t="s">
        <v>12944</v>
      </c>
      <c r="AR1050" t="s">
        <v>12945</v>
      </c>
      <c r="AT1050" s="184">
        <v>33646</v>
      </c>
      <c r="AU1050" t="s">
        <v>12946</v>
      </c>
      <c r="AV1050">
        <v>15</v>
      </c>
      <c r="AW1050" s="184">
        <v>45383</v>
      </c>
      <c r="AX1050" t="s">
        <v>12947</v>
      </c>
      <c r="AY1050">
        <v>35</v>
      </c>
      <c r="AZ1050" s="184">
        <v>45383</v>
      </c>
      <c r="BA1050" t="s">
        <v>12947</v>
      </c>
      <c r="BB1050">
        <v>35</v>
      </c>
      <c r="BC1050">
        <v>94</v>
      </c>
      <c r="BD1050">
        <v>1601</v>
      </c>
      <c r="BE1050">
        <v>1992</v>
      </c>
      <c r="BF1050">
        <v>61</v>
      </c>
      <c r="BG1050">
        <v>6</v>
      </c>
      <c r="BH1050">
        <v>200</v>
      </c>
      <c r="BI1050">
        <v>31</v>
      </c>
      <c r="BJ1050">
        <v>33</v>
      </c>
      <c r="BK1050">
        <v>17</v>
      </c>
      <c r="BP1050" s="184"/>
    </row>
    <row r="1051" spans="1:68">
      <c r="A1051">
        <v>6734073</v>
      </c>
      <c r="B1051">
        <v>6734073</v>
      </c>
      <c r="C1051" t="s">
        <v>7018</v>
      </c>
      <c r="D1051" t="s">
        <v>595</v>
      </c>
      <c r="E1051" s="184">
        <v>43647</v>
      </c>
      <c r="G1051" s="184"/>
      <c r="I1051" s="184"/>
      <c r="K1051" s="184"/>
      <c r="O1051" s="184"/>
      <c r="P1051" t="s">
        <v>7045</v>
      </c>
      <c r="Q1051" t="s">
        <v>7383</v>
      </c>
      <c r="R1051" s="184">
        <v>20090</v>
      </c>
      <c r="S1051">
        <v>69</v>
      </c>
      <c r="U1051" t="s">
        <v>7076</v>
      </c>
      <c r="V1051" t="s">
        <v>3504</v>
      </c>
      <c r="X1051" t="s">
        <v>2988</v>
      </c>
      <c r="AF1051" t="s">
        <v>12948</v>
      </c>
      <c r="AG1051" t="s">
        <v>3504</v>
      </c>
      <c r="AI1051" t="s">
        <v>12949</v>
      </c>
      <c r="AM1051" t="s">
        <v>3505</v>
      </c>
      <c r="AN1051" t="s">
        <v>2144</v>
      </c>
      <c r="AO1051" t="s">
        <v>12950</v>
      </c>
      <c r="AP1051" t="s">
        <v>7024</v>
      </c>
      <c r="AQ1051" t="s">
        <v>12951</v>
      </c>
      <c r="AT1051" s="184">
        <v>33646</v>
      </c>
      <c r="AU1051" t="s">
        <v>12952</v>
      </c>
      <c r="AV1051">
        <v>15</v>
      </c>
      <c r="AW1051" s="184">
        <v>45090</v>
      </c>
      <c r="AX1051" t="s">
        <v>12953</v>
      </c>
      <c r="AY1051">
        <v>50</v>
      </c>
      <c r="AZ1051" s="184">
        <v>43903</v>
      </c>
      <c r="BA1051" t="s">
        <v>12954</v>
      </c>
      <c r="BB1051">
        <v>150</v>
      </c>
      <c r="BC1051">
        <v>91</v>
      </c>
      <c r="BD1051">
        <v>2852</v>
      </c>
      <c r="BE1051">
        <v>1992</v>
      </c>
      <c r="BF1051">
        <v>65</v>
      </c>
      <c r="BG1051">
        <v>2</v>
      </c>
      <c r="BH1051">
        <v>100</v>
      </c>
      <c r="BI1051">
        <v>30</v>
      </c>
      <c r="BJ1051">
        <v>33</v>
      </c>
      <c r="BK1051">
        <v>17</v>
      </c>
      <c r="BM1051" t="s">
        <v>595</v>
      </c>
      <c r="BP1051" s="184"/>
    </row>
    <row r="1052" spans="1:68">
      <c r="A1052">
        <v>6746713</v>
      </c>
      <c r="B1052">
        <v>6746713</v>
      </c>
      <c r="C1052" t="s">
        <v>7018</v>
      </c>
      <c r="D1052" t="s">
        <v>595</v>
      </c>
      <c r="E1052" s="184">
        <v>44167</v>
      </c>
      <c r="G1052" s="184"/>
      <c r="I1052" s="184"/>
      <c r="K1052" s="184"/>
      <c r="O1052" s="184"/>
      <c r="P1052" t="s">
        <v>7029</v>
      </c>
      <c r="Q1052" t="s">
        <v>7374</v>
      </c>
      <c r="R1052" s="184">
        <v>18233</v>
      </c>
      <c r="S1052">
        <v>74</v>
      </c>
      <c r="U1052" t="s">
        <v>7031</v>
      </c>
      <c r="V1052" t="s">
        <v>2871</v>
      </c>
      <c r="W1052" t="s">
        <v>4139</v>
      </c>
      <c r="X1052" t="s">
        <v>12955</v>
      </c>
      <c r="AF1052" t="s">
        <v>12956</v>
      </c>
      <c r="AG1052" t="s">
        <v>2871</v>
      </c>
      <c r="AI1052" t="s">
        <v>12957</v>
      </c>
      <c r="AM1052" t="s">
        <v>12958</v>
      </c>
      <c r="AN1052" t="s">
        <v>2081</v>
      </c>
      <c r="AO1052" t="s">
        <v>12959</v>
      </c>
      <c r="AP1052" t="s">
        <v>7024</v>
      </c>
      <c r="AQ1052" t="s">
        <v>12960</v>
      </c>
      <c r="AT1052" s="184">
        <v>31477</v>
      </c>
      <c r="AU1052" t="s">
        <v>12961</v>
      </c>
      <c r="AV1052">
        <v>22</v>
      </c>
      <c r="AW1052" s="184">
        <v>44852</v>
      </c>
      <c r="AX1052" t="s">
        <v>12962</v>
      </c>
      <c r="AY1052">
        <v>1000</v>
      </c>
      <c r="AZ1052" s="184">
        <v>44852</v>
      </c>
      <c r="BA1052" t="s">
        <v>12962</v>
      </c>
      <c r="BB1052">
        <v>1000</v>
      </c>
      <c r="BC1052">
        <v>80</v>
      </c>
      <c r="BD1052">
        <v>7756</v>
      </c>
      <c r="BE1052">
        <v>1986</v>
      </c>
      <c r="BF1052">
        <v>38</v>
      </c>
      <c r="BG1052">
        <v>1</v>
      </c>
      <c r="BH1052">
        <v>1000</v>
      </c>
      <c r="BI1052">
        <v>31</v>
      </c>
      <c r="BJ1052">
        <v>39</v>
      </c>
      <c r="BK1052">
        <v>9</v>
      </c>
      <c r="BP1052" s="184"/>
    </row>
    <row r="1053" spans="1:68">
      <c r="A1053">
        <v>6755649</v>
      </c>
      <c r="B1053">
        <v>6755649</v>
      </c>
      <c r="C1053" t="s">
        <v>7018</v>
      </c>
      <c r="D1053" t="s">
        <v>595</v>
      </c>
      <c r="E1053" s="184">
        <v>44073</v>
      </c>
      <c r="G1053" s="184"/>
      <c r="I1053" s="184"/>
      <c r="K1053" s="184"/>
      <c r="O1053" s="184"/>
      <c r="P1053" t="s">
        <v>7045</v>
      </c>
      <c r="Q1053" t="s">
        <v>7383</v>
      </c>
      <c r="R1053" s="184">
        <v>12213</v>
      </c>
      <c r="S1053">
        <v>90</v>
      </c>
      <c r="U1053" t="s">
        <v>7031</v>
      </c>
      <c r="V1053" t="s">
        <v>2904</v>
      </c>
      <c r="X1053" t="s">
        <v>3639</v>
      </c>
      <c r="AF1053" t="s">
        <v>12963</v>
      </c>
      <c r="AG1053" t="s">
        <v>2904</v>
      </c>
      <c r="AI1053" t="s">
        <v>12964</v>
      </c>
      <c r="AM1053" t="s">
        <v>4258</v>
      </c>
      <c r="AN1053" t="s">
        <v>2162</v>
      </c>
      <c r="AO1053" t="s">
        <v>12965</v>
      </c>
      <c r="AP1053" t="s">
        <v>7024</v>
      </c>
      <c r="AQ1053" t="s">
        <v>12966</v>
      </c>
      <c r="AT1053" s="184">
        <v>33641</v>
      </c>
      <c r="AU1053" t="s">
        <v>12967</v>
      </c>
      <c r="AV1053">
        <v>15</v>
      </c>
      <c r="AW1053" s="184">
        <v>44496</v>
      </c>
      <c r="AX1053" t="s">
        <v>12968</v>
      </c>
      <c r="AY1053">
        <v>10</v>
      </c>
      <c r="AZ1053" s="184">
        <v>43151</v>
      </c>
      <c r="BA1053" t="s">
        <v>12969</v>
      </c>
      <c r="BB1053">
        <v>60</v>
      </c>
      <c r="BC1053">
        <v>85</v>
      </c>
      <c r="BD1053">
        <v>570</v>
      </c>
      <c r="BE1053">
        <v>1992</v>
      </c>
      <c r="BF1053">
        <v>33</v>
      </c>
      <c r="BI1053">
        <v>28</v>
      </c>
      <c r="BJ1053">
        <v>33</v>
      </c>
      <c r="BK1053">
        <v>24</v>
      </c>
      <c r="BP1053" s="184"/>
    </row>
    <row r="1054" spans="1:68">
      <c r="A1054">
        <v>6756258</v>
      </c>
      <c r="B1054">
        <v>6756258</v>
      </c>
      <c r="C1054" t="s">
        <v>7018</v>
      </c>
      <c r="D1054" t="s">
        <v>595</v>
      </c>
      <c r="E1054" s="184">
        <v>45148</v>
      </c>
      <c r="G1054" s="184"/>
      <c r="K1054" s="184"/>
      <c r="P1054" t="s">
        <v>7045</v>
      </c>
      <c r="Q1054" t="s">
        <v>7494</v>
      </c>
      <c r="R1054" s="184">
        <v>18243</v>
      </c>
      <c r="S1054">
        <v>74</v>
      </c>
      <c r="U1054" t="s">
        <v>7076</v>
      </c>
      <c r="V1054" t="s">
        <v>2733</v>
      </c>
      <c r="X1054" t="s">
        <v>12970</v>
      </c>
      <c r="AF1054" t="s">
        <v>12971</v>
      </c>
      <c r="AG1054" t="s">
        <v>2733</v>
      </c>
      <c r="AI1054" t="s">
        <v>12972</v>
      </c>
      <c r="AM1054" t="s">
        <v>3996</v>
      </c>
      <c r="AN1054" t="s">
        <v>2174</v>
      </c>
      <c r="AO1054" t="s">
        <v>12973</v>
      </c>
      <c r="AP1054" t="s">
        <v>7024</v>
      </c>
      <c r="AT1054" s="184">
        <v>33652</v>
      </c>
      <c r="AU1054" t="s">
        <v>12974</v>
      </c>
      <c r="AV1054">
        <v>15</v>
      </c>
      <c r="AW1054" s="184">
        <v>43836</v>
      </c>
      <c r="AX1054" t="s">
        <v>12975</v>
      </c>
      <c r="AY1054">
        <v>50</v>
      </c>
      <c r="AZ1054" s="184">
        <v>42599</v>
      </c>
      <c r="BA1054" t="s">
        <v>12976</v>
      </c>
      <c r="BB1054">
        <v>60</v>
      </c>
      <c r="BC1054">
        <v>16</v>
      </c>
      <c r="BD1054">
        <v>150</v>
      </c>
      <c r="BE1054">
        <v>1992</v>
      </c>
      <c r="BF1054">
        <v>5</v>
      </c>
      <c r="BI1054">
        <v>5</v>
      </c>
      <c r="BJ1054">
        <v>33</v>
      </c>
      <c r="BK1054">
        <v>1</v>
      </c>
      <c r="BP1054" s="184"/>
    </row>
    <row r="1055" spans="1:68">
      <c r="A1055">
        <v>6759955</v>
      </c>
      <c r="B1055">
        <v>6759955</v>
      </c>
      <c r="C1055" t="s">
        <v>7018</v>
      </c>
      <c r="D1055" t="s">
        <v>595</v>
      </c>
      <c r="E1055" s="184">
        <v>44167</v>
      </c>
      <c r="G1055" s="184"/>
      <c r="I1055" s="184"/>
      <c r="K1055" s="184"/>
      <c r="O1055" s="184"/>
      <c r="P1055" t="s">
        <v>7045</v>
      </c>
      <c r="Q1055" t="s">
        <v>7262</v>
      </c>
      <c r="R1055" s="184">
        <v>16558</v>
      </c>
      <c r="S1055">
        <v>79</v>
      </c>
      <c r="U1055" t="s">
        <v>7032</v>
      </c>
      <c r="V1055" t="s">
        <v>3288</v>
      </c>
      <c r="W1055" t="s">
        <v>4013</v>
      </c>
      <c r="X1055" t="s">
        <v>12977</v>
      </c>
      <c r="AF1055" t="s">
        <v>12978</v>
      </c>
      <c r="AG1055" t="s">
        <v>3288</v>
      </c>
      <c r="AI1055" t="s">
        <v>12979</v>
      </c>
      <c r="AM1055" t="s">
        <v>2679</v>
      </c>
      <c r="AN1055" t="s">
        <v>2318</v>
      </c>
      <c r="AO1055" t="s">
        <v>12980</v>
      </c>
      <c r="AP1055" t="s">
        <v>7024</v>
      </c>
      <c r="AQ1055" t="s">
        <v>12981</v>
      </c>
      <c r="AR1055" t="s">
        <v>12982</v>
      </c>
      <c r="AT1055" s="184">
        <v>33652</v>
      </c>
      <c r="AU1055" t="s">
        <v>12983</v>
      </c>
      <c r="AV1055">
        <v>15</v>
      </c>
      <c r="AW1055" s="184">
        <v>45301</v>
      </c>
      <c r="AX1055" t="s">
        <v>7092</v>
      </c>
      <c r="AY1055">
        <v>100</v>
      </c>
      <c r="AZ1055" s="184">
        <v>39969</v>
      </c>
      <c r="BA1055" t="s">
        <v>12984</v>
      </c>
      <c r="BB1055">
        <v>200</v>
      </c>
      <c r="BC1055">
        <v>82</v>
      </c>
      <c r="BD1055">
        <v>2900</v>
      </c>
      <c r="BE1055">
        <v>1992</v>
      </c>
      <c r="BF1055">
        <v>34</v>
      </c>
      <c r="BG1055">
        <v>2</v>
      </c>
      <c r="BH1055">
        <v>200</v>
      </c>
      <c r="BI1055">
        <v>27</v>
      </c>
      <c r="BJ1055">
        <v>33</v>
      </c>
      <c r="BK1055">
        <v>12</v>
      </c>
    </row>
    <row r="1056" spans="1:68">
      <c r="A1056">
        <v>6769020</v>
      </c>
      <c r="B1056">
        <v>6769020</v>
      </c>
      <c r="C1056" t="s">
        <v>7018</v>
      </c>
      <c r="D1056" t="s">
        <v>595</v>
      </c>
      <c r="E1056" s="184">
        <v>44070</v>
      </c>
      <c r="G1056" s="184"/>
      <c r="I1056" s="184"/>
      <c r="K1056" s="184"/>
      <c r="O1056" s="184"/>
      <c r="P1056" t="s">
        <v>7045</v>
      </c>
      <c r="Q1056" t="s">
        <v>7262</v>
      </c>
      <c r="R1056" s="184">
        <v>23924</v>
      </c>
      <c r="S1056">
        <v>58</v>
      </c>
      <c r="U1056" t="s">
        <v>7031</v>
      </c>
      <c r="V1056" t="s">
        <v>7169</v>
      </c>
      <c r="W1056" t="s">
        <v>4327</v>
      </c>
      <c r="X1056" t="s">
        <v>12985</v>
      </c>
      <c r="AF1056" t="s">
        <v>12986</v>
      </c>
      <c r="AG1056" t="s">
        <v>7169</v>
      </c>
      <c r="AI1056" t="s">
        <v>12987</v>
      </c>
      <c r="AM1056" t="s">
        <v>10790</v>
      </c>
      <c r="AN1056" t="s">
        <v>2106</v>
      </c>
      <c r="AO1056" t="s">
        <v>12988</v>
      </c>
      <c r="AP1056" t="s">
        <v>7024</v>
      </c>
      <c r="AQ1056" t="s">
        <v>12989</v>
      </c>
      <c r="AT1056" s="184">
        <v>33653</v>
      </c>
      <c r="AU1056" t="s">
        <v>12990</v>
      </c>
      <c r="AV1056">
        <v>15</v>
      </c>
      <c r="AW1056" s="184">
        <v>42090</v>
      </c>
      <c r="AX1056" t="s">
        <v>12991</v>
      </c>
      <c r="AY1056">
        <v>65</v>
      </c>
      <c r="AZ1056" s="184">
        <v>42065</v>
      </c>
      <c r="BA1056" t="s">
        <v>12992</v>
      </c>
      <c r="BB1056">
        <v>100</v>
      </c>
      <c r="BC1056">
        <v>43</v>
      </c>
      <c r="BD1056">
        <v>1025</v>
      </c>
      <c r="BE1056">
        <v>1992</v>
      </c>
      <c r="BF1056">
        <v>32</v>
      </c>
      <c r="BI1056">
        <v>14</v>
      </c>
      <c r="BJ1056">
        <v>33</v>
      </c>
      <c r="BK1056">
        <v>9</v>
      </c>
      <c r="BP1056" s="184"/>
    </row>
    <row r="1057" spans="1:68">
      <c r="A1057">
        <v>6770937</v>
      </c>
      <c r="B1057">
        <v>6770937</v>
      </c>
      <c r="C1057" t="s">
        <v>7018</v>
      </c>
      <c r="E1057" s="184"/>
      <c r="G1057" s="184"/>
      <c r="I1057" s="184"/>
      <c r="J1057" t="s">
        <v>595</v>
      </c>
      <c r="K1057" s="184">
        <v>44691</v>
      </c>
      <c r="O1057" s="184"/>
      <c r="P1057" t="s">
        <v>7045</v>
      </c>
      <c r="Q1057" t="s">
        <v>7030</v>
      </c>
      <c r="R1057" s="184">
        <v>12749</v>
      </c>
      <c r="S1057">
        <v>89</v>
      </c>
      <c r="U1057" t="s">
        <v>7031</v>
      </c>
      <c r="V1057" t="s">
        <v>2697</v>
      </c>
      <c r="W1057" t="s">
        <v>5006</v>
      </c>
      <c r="X1057" t="s">
        <v>12993</v>
      </c>
      <c r="AF1057" t="s">
        <v>12994</v>
      </c>
      <c r="AG1057" t="s">
        <v>2697</v>
      </c>
      <c r="AI1057" t="s">
        <v>12995</v>
      </c>
      <c r="AM1057" t="s">
        <v>12996</v>
      </c>
      <c r="AN1057" t="s">
        <v>2638</v>
      </c>
      <c r="AO1057" t="s">
        <v>12997</v>
      </c>
      <c r="AP1057" t="s">
        <v>7024</v>
      </c>
      <c r="AT1057" s="184">
        <v>33653</v>
      </c>
      <c r="AU1057" t="s">
        <v>8532</v>
      </c>
      <c r="AV1057">
        <v>25</v>
      </c>
      <c r="AW1057" s="184">
        <v>45294</v>
      </c>
      <c r="AX1057" t="s">
        <v>7296</v>
      </c>
      <c r="AY1057">
        <v>3636.87</v>
      </c>
      <c r="AZ1057" s="184">
        <v>44718</v>
      </c>
      <c r="BA1057" t="s">
        <v>7093</v>
      </c>
      <c r="BB1057">
        <v>33500</v>
      </c>
      <c r="BC1057">
        <v>97</v>
      </c>
      <c r="BD1057">
        <v>44506.87</v>
      </c>
      <c r="BE1057">
        <v>1992</v>
      </c>
      <c r="BF1057">
        <v>90</v>
      </c>
      <c r="BG1057">
        <v>2</v>
      </c>
      <c r="BH1057">
        <v>37136.870000000003</v>
      </c>
      <c r="BI1057">
        <v>32</v>
      </c>
      <c r="BJ1057">
        <v>33</v>
      </c>
      <c r="BK1057">
        <v>31</v>
      </c>
      <c r="BO1057" t="s">
        <v>595</v>
      </c>
      <c r="BP1057" s="184">
        <v>44546</v>
      </c>
    </row>
    <row r="1058" spans="1:68">
      <c r="A1058">
        <v>6792758</v>
      </c>
      <c r="B1058">
        <v>6792758</v>
      </c>
      <c r="C1058" t="s">
        <v>7018</v>
      </c>
      <c r="E1058" s="184"/>
      <c r="G1058" s="184"/>
      <c r="I1058" s="184"/>
      <c r="J1058" t="s">
        <v>595</v>
      </c>
      <c r="K1058" s="184">
        <v>37714</v>
      </c>
      <c r="O1058" s="184"/>
      <c r="P1058" t="s">
        <v>7045</v>
      </c>
      <c r="Q1058" t="s">
        <v>7262</v>
      </c>
      <c r="R1058" s="184">
        <v>20091</v>
      </c>
      <c r="S1058">
        <v>69</v>
      </c>
      <c r="U1058" t="s">
        <v>7031</v>
      </c>
      <c r="V1058" t="s">
        <v>12998</v>
      </c>
      <c r="W1058" t="s">
        <v>3522</v>
      </c>
      <c r="X1058" t="s">
        <v>8232</v>
      </c>
      <c r="AF1058" t="s">
        <v>6483</v>
      </c>
      <c r="AG1058" t="s">
        <v>12998</v>
      </c>
      <c r="AI1058" t="s">
        <v>12999</v>
      </c>
      <c r="AM1058" t="s">
        <v>13000</v>
      </c>
      <c r="AN1058" t="s">
        <v>2106</v>
      </c>
      <c r="AO1058" t="s">
        <v>13001</v>
      </c>
      <c r="AP1058" t="s">
        <v>7024</v>
      </c>
      <c r="AQ1058" t="s">
        <v>13002</v>
      </c>
      <c r="AR1058" t="s">
        <v>13003</v>
      </c>
      <c r="AT1058" s="184">
        <v>33660</v>
      </c>
      <c r="AU1058" t="s">
        <v>12865</v>
      </c>
      <c r="AV1058">
        <v>15</v>
      </c>
      <c r="AW1058" s="184">
        <v>44733</v>
      </c>
      <c r="AX1058" t="s">
        <v>13004</v>
      </c>
      <c r="AY1058">
        <v>30</v>
      </c>
      <c r="AZ1058" s="184">
        <v>44372</v>
      </c>
      <c r="BA1058" t="s">
        <v>13005</v>
      </c>
      <c r="BB1058">
        <v>60</v>
      </c>
      <c r="BC1058">
        <v>52</v>
      </c>
      <c r="BD1058">
        <v>1004.95</v>
      </c>
      <c r="BE1058">
        <v>1992</v>
      </c>
      <c r="BF1058">
        <v>39</v>
      </c>
      <c r="BG1058">
        <v>1</v>
      </c>
      <c r="BH1058">
        <v>30</v>
      </c>
      <c r="BI1058">
        <v>17</v>
      </c>
      <c r="BJ1058">
        <v>33</v>
      </c>
      <c r="BK1058">
        <v>5</v>
      </c>
      <c r="BN1058" t="s">
        <v>595</v>
      </c>
      <c r="BO1058" t="s">
        <v>595</v>
      </c>
      <c r="BP1058" s="184">
        <v>45297</v>
      </c>
    </row>
    <row r="1059" spans="1:68">
      <c r="A1059">
        <v>100029703</v>
      </c>
      <c r="B1059">
        <v>6812903</v>
      </c>
      <c r="C1059" t="s">
        <v>7018</v>
      </c>
      <c r="E1059" s="184"/>
      <c r="G1059" s="184"/>
      <c r="I1059" s="184"/>
      <c r="K1059" s="184"/>
      <c r="N1059" t="s">
        <v>595</v>
      </c>
      <c r="O1059" s="184">
        <v>38803</v>
      </c>
      <c r="P1059" t="s">
        <v>7045</v>
      </c>
      <c r="Q1059" t="s">
        <v>7262</v>
      </c>
      <c r="R1059" s="184">
        <v>9712</v>
      </c>
      <c r="S1059">
        <v>97</v>
      </c>
      <c r="U1059" t="s">
        <v>7130</v>
      </c>
      <c r="V1059" t="s">
        <v>5661</v>
      </c>
      <c r="W1059" t="s">
        <v>2058</v>
      </c>
      <c r="X1059" t="s">
        <v>5662</v>
      </c>
      <c r="Z1059">
        <v>6812903</v>
      </c>
      <c r="AA1059" t="s">
        <v>7032</v>
      </c>
      <c r="AB1059" t="s">
        <v>2571</v>
      </c>
      <c r="AD1059" t="s">
        <v>5662</v>
      </c>
      <c r="AF1059" t="s">
        <v>13006</v>
      </c>
      <c r="AG1059" t="s">
        <v>13007</v>
      </c>
      <c r="AI1059" t="s">
        <v>13008</v>
      </c>
      <c r="AM1059" t="s">
        <v>2656</v>
      </c>
      <c r="AN1059" t="s">
        <v>65</v>
      </c>
      <c r="AO1059" t="s">
        <v>13009</v>
      </c>
      <c r="AP1059" t="s">
        <v>7024</v>
      </c>
      <c r="AT1059" s="184"/>
      <c r="AW1059" s="184"/>
      <c r="AZ1059" s="184"/>
      <c r="BP1059" s="184"/>
    </row>
    <row r="1060" spans="1:68">
      <c r="A1060">
        <v>6830913</v>
      </c>
      <c r="B1060">
        <v>6830913</v>
      </c>
      <c r="C1060" t="s">
        <v>7018</v>
      </c>
      <c r="E1060" s="184"/>
      <c r="G1060" s="184"/>
      <c r="I1060" s="184"/>
      <c r="J1060" t="s">
        <v>595</v>
      </c>
      <c r="K1060" s="184">
        <v>37439</v>
      </c>
      <c r="O1060" s="184"/>
      <c r="P1060" t="s">
        <v>7084</v>
      </c>
      <c r="Q1060" t="s">
        <v>7020</v>
      </c>
      <c r="R1060" s="184">
        <v>13820</v>
      </c>
      <c r="S1060">
        <v>86</v>
      </c>
      <c r="U1060" t="s">
        <v>7076</v>
      </c>
      <c r="V1060" t="s">
        <v>2795</v>
      </c>
      <c r="X1060" t="s">
        <v>5357</v>
      </c>
      <c r="AF1060" t="s">
        <v>13010</v>
      </c>
      <c r="AG1060" t="s">
        <v>2795</v>
      </c>
      <c r="AI1060" t="s">
        <v>13011</v>
      </c>
      <c r="AM1060" t="s">
        <v>13012</v>
      </c>
      <c r="AN1060" t="s">
        <v>2052</v>
      </c>
      <c r="AO1060">
        <v>1244</v>
      </c>
      <c r="AP1060" t="s">
        <v>7024</v>
      </c>
      <c r="AQ1060" t="s">
        <v>13013</v>
      </c>
      <c r="AR1060" t="s">
        <v>13014</v>
      </c>
      <c r="AT1060" s="184">
        <v>33669</v>
      </c>
      <c r="AU1060" t="s">
        <v>13015</v>
      </c>
      <c r="AV1060">
        <v>15</v>
      </c>
      <c r="AW1060" s="184">
        <v>45348</v>
      </c>
      <c r="AX1060" t="s">
        <v>13016</v>
      </c>
      <c r="AY1060">
        <v>2500</v>
      </c>
      <c r="AZ1060" s="184">
        <v>37026</v>
      </c>
      <c r="BA1060" t="s">
        <v>13017</v>
      </c>
      <c r="BB1060">
        <v>25334.81</v>
      </c>
      <c r="BC1060">
        <v>94</v>
      </c>
      <c r="BD1060">
        <v>366819.43</v>
      </c>
      <c r="BE1060">
        <v>1992</v>
      </c>
      <c r="BF1060">
        <v>91</v>
      </c>
      <c r="BG1060">
        <v>6</v>
      </c>
      <c r="BH1060">
        <v>13408.95</v>
      </c>
      <c r="BI1060">
        <v>31</v>
      </c>
      <c r="BJ1060">
        <v>33</v>
      </c>
      <c r="BK1060">
        <v>30</v>
      </c>
      <c r="BP1060" s="184"/>
    </row>
    <row r="1061" spans="1:68">
      <c r="A1061">
        <v>6869143</v>
      </c>
      <c r="B1061">
        <v>6869143</v>
      </c>
      <c r="C1061" t="s">
        <v>7018</v>
      </c>
      <c r="D1061" t="s">
        <v>595</v>
      </c>
      <c r="E1061" s="184">
        <v>44073</v>
      </c>
      <c r="G1061" s="184"/>
      <c r="I1061" s="184"/>
      <c r="K1061" s="184"/>
      <c r="O1061" s="184"/>
      <c r="P1061" t="s">
        <v>7045</v>
      </c>
      <c r="Q1061" t="s">
        <v>7774</v>
      </c>
      <c r="R1061" s="184">
        <v>17058</v>
      </c>
      <c r="S1061">
        <v>77</v>
      </c>
      <c r="U1061" t="s">
        <v>7031</v>
      </c>
      <c r="V1061" t="s">
        <v>3347</v>
      </c>
      <c r="X1061" t="s">
        <v>9976</v>
      </c>
      <c r="AF1061" t="s">
        <v>13018</v>
      </c>
      <c r="AG1061" t="s">
        <v>3347</v>
      </c>
      <c r="AI1061" t="s">
        <v>13019</v>
      </c>
      <c r="AM1061" t="s">
        <v>13020</v>
      </c>
      <c r="AN1061" t="s">
        <v>2077</v>
      </c>
      <c r="AO1061" t="s">
        <v>13021</v>
      </c>
      <c r="AP1061" t="s">
        <v>7024</v>
      </c>
      <c r="AQ1061" t="s">
        <v>13022</v>
      </c>
      <c r="AR1061" t="s">
        <v>13023</v>
      </c>
      <c r="AT1061" s="184">
        <v>33682</v>
      </c>
      <c r="AU1061" t="s">
        <v>13024</v>
      </c>
      <c r="AV1061">
        <v>19.95</v>
      </c>
      <c r="AW1061" s="184">
        <v>45043</v>
      </c>
      <c r="AX1061" t="s">
        <v>13025</v>
      </c>
      <c r="AY1061">
        <v>100</v>
      </c>
      <c r="AZ1061" s="184">
        <v>44561</v>
      </c>
      <c r="BA1061" t="s">
        <v>9028</v>
      </c>
      <c r="BB1061">
        <v>200</v>
      </c>
      <c r="BC1061">
        <v>79</v>
      </c>
      <c r="BD1061">
        <v>2339.9499999999998</v>
      </c>
      <c r="BE1061">
        <v>1992</v>
      </c>
      <c r="BF1061">
        <v>34</v>
      </c>
      <c r="BG1061">
        <v>3</v>
      </c>
      <c r="BH1061">
        <v>250</v>
      </c>
      <c r="BI1061">
        <v>26</v>
      </c>
      <c r="BJ1061">
        <v>33</v>
      </c>
      <c r="BK1061">
        <v>11</v>
      </c>
    </row>
    <row r="1062" spans="1:68">
      <c r="A1062">
        <v>6896930</v>
      </c>
      <c r="B1062">
        <v>6896930</v>
      </c>
      <c r="C1062" t="s">
        <v>7018</v>
      </c>
      <c r="D1062" t="s">
        <v>595</v>
      </c>
      <c r="E1062" s="184">
        <v>43647</v>
      </c>
      <c r="G1062" s="184"/>
      <c r="I1062" s="184"/>
      <c r="K1062" s="184"/>
      <c r="O1062" s="184"/>
      <c r="P1062" t="s">
        <v>7045</v>
      </c>
      <c r="Q1062" t="s">
        <v>7383</v>
      </c>
      <c r="R1062" s="184">
        <v>14489</v>
      </c>
      <c r="S1062">
        <v>84</v>
      </c>
      <c r="U1062" t="s">
        <v>7076</v>
      </c>
      <c r="V1062" t="s">
        <v>3101</v>
      </c>
      <c r="X1062" t="s">
        <v>2772</v>
      </c>
      <c r="AF1062" t="s">
        <v>13026</v>
      </c>
      <c r="AG1062" t="s">
        <v>3101</v>
      </c>
      <c r="AI1062" t="s">
        <v>13027</v>
      </c>
      <c r="AM1062" t="s">
        <v>3093</v>
      </c>
      <c r="AN1062" t="s">
        <v>2313</v>
      </c>
      <c r="AO1062" t="s">
        <v>13028</v>
      </c>
      <c r="AP1062" t="s">
        <v>7024</v>
      </c>
      <c r="AT1062" s="184">
        <v>33676</v>
      </c>
      <c r="AU1062" t="s">
        <v>12946</v>
      </c>
      <c r="AV1062">
        <v>15</v>
      </c>
      <c r="AW1062" s="184">
        <v>42898</v>
      </c>
      <c r="AX1062" t="s">
        <v>13029</v>
      </c>
      <c r="AY1062">
        <v>25</v>
      </c>
      <c r="AZ1062" s="184">
        <v>38183</v>
      </c>
      <c r="BA1062" t="s">
        <v>13030</v>
      </c>
      <c r="BB1062">
        <v>50</v>
      </c>
      <c r="BC1062">
        <v>64</v>
      </c>
      <c r="BD1062">
        <v>785</v>
      </c>
      <c r="BE1062">
        <v>1992</v>
      </c>
      <c r="BF1062">
        <v>36</v>
      </c>
      <c r="BI1062">
        <v>21</v>
      </c>
      <c r="BJ1062">
        <v>33</v>
      </c>
      <c r="BK1062">
        <v>9</v>
      </c>
      <c r="BP1062" s="184"/>
    </row>
    <row r="1063" spans="1:68">
      <c r="A1063">
        <v>6904395</v>
      </c>
      <c r="B1063">
        <v>6904395</v>
      </c>
      <c r="C1063" t="s">
        <v>13031</v>
      </c>
      <c r="E1063" s="184"/>
      <c r="G1063" s="184"/>
      <c r="I1063" s="184"/>
      <c r="J1063" t="s">
        <v>595</v>
      </c>
      <c r="K1063" s="184">
        <v>41128</v>
      </c>
      <c r="O1063" s="184"/>
      <c r="Q1063" t="s">
        <v>7194</v>
      </c>
      <c r="R1063" s="184"/>
      <c r="Z1063">
        <v>100174713</v>
      </c>
      <c r="AA1063" t="s">
        <v>7130</v>
      </c>
      <c r="AB1063" t="s">
        <v>2602</v>
      </c>
      <c r="AC1063" t="s">
        <v>7695</v>
      </c>
      <c r="AD1063" t="s">
        <v>5394</v>
      </c>
      <c r="AH1063" t="s">
        <v>13032</v>
      </c>
      <c r="AI1063" t="s">
        <v>13033</v>
      </c>
      <c r="AM1063" t="s">
        <v>5097</v>
      </c>
      <c r="AN1063" t="s">
        <v>2046</v>
      </c>
      <c r="AO1063">
        <v>34236</v>
      </c>
      <c r="AP1063" t="s">
        <v>7024</v>
      </c>
      <c r="AT1063" s="184">
        <v>33679</v>
      </c>
      <c r="AU1063" t="s">
        <v>13034</v>
      </c>
      <c r="AV1063">
        <v>50</v>
      </c>
      <c r="AW1063" s="184">
        <v>41128</v>
      </c>
      <c r="AX1063" t="s">
        <v>13035</v>
      </c>
      <c r="AY1063">
        <v>100000</v>
      </c>
      <c r="AZ1063" s="184">
        <v>41128</v>
      </c>
      <c r="BA1063" t="s">
        <v>13035</v>
      </c>
      <c r="BB1063">
        <v>100000</v>
      </c>
      <c r="BC1063">
        <v>61</v>
      </c>
      <c r="BD1063">
        <v>156500</v>
      </c>
      <c r="BE1063">
        <v>1992</v>
      </c>
      <c r="BF1063">
        <v>28</v>
      </c>
      <c r="BI1063">
        <v>20</v>
      </c>
      <c r="BJ1063">
        <v>33</v>
      </c>
      <c r="BK1063">
        <v>19</v>
      </c>
      <c r="BP1063" s="184"/>
    </row>
    <row r="1064" spans="1:68">
      <c r="A1064">
        <v>6921324</v>
      </c>
      <c r="B1064">
        <v>6921324</v>
      </c>
      <c r="C1064" t="s">
        <v>7018</v>
      </c>
      <c r="D1064" t="s">
        <v>595</v>
      </c>
      <c r="E1064" s="184">
        <v>43955</v>
      </c>
      <c r="G1064" s="184"/>
      <c r="I1064" s="184"/>
      <c r="K1064" s="184"/>
      <c r="O1064" s="184"/>
      <c r="P1064" t="s">
        <v>7045</v>
      </c>
      <c r="Q1064" t="s">
        <v>7020</v>
      </c>
      <c r="R1064" s="184">
        <v>20029</v>
      </c>
      <c r="S1064">
        <v>69</v>
      </c>
      <c r="U1064" t="s">
        <v>7130</v>
      </c>
      <c r="V1064" t="s">
        <v>5446</v>
      </c>
      <c r="X1064" t="s">
        <v>13036</v>
      </c>
      <c r="AF1064" t="s">
        <v>13037</v>
      </c>
      <c r="AG1064" t="s">
        <v>5446</v>
      </c>
      <c r="AI1064" t="s">
        <v>13038</v>
      </c>
      <c r="AM1064" t="s">
        <v>13039</v>
      </c>
      <c r="AN1064" t="s">
        <v>2112</v>
      </c>
      <c r="AO1064" t="s">
        <v>13040</v>
      </c>
      <c r="AP1064" t="s">
        <v>7024</v>
      </c>
      <c r="AT1064" s="184">
        <v>33680</v>
      </c>
      <c r="AU1064" t="s">
        <v>13041</v>
      </c>
      <c r="AV1064">
        <v>15</v>
      </c>
      <c r="AW1064" s="184">
        <v>42913</v>
      </c>
      <c r="AX1064" t="s">
        <v>13042</v>
      </c>
      <c r="AY1064">
        <v>35</v>
      </c>
      <c r="AZ1064" s="184">
        <v>42913</v>
      </c>
      <c r="BA1064" t="s">
        <v>13042</v>
      </c>
      <c r="BB1064">
        <v>35</v>
      </c>
      <c r="BC1064">
        <v>64</v>
      </c>
      <c r="BD1064">
        <v>955</v>
      </c>
      <c r="BE1064">
        <v>1992</v>
      </c>
      <c r="BF1064">
        <v>29</v>
      </c>
      <c r="BI1064">
        <v>21</v>
      </c>
      <c r="BJ1064">
        <v>33</v>
      </c>
      <c r="BK1064">
        <v>9</v>
      </c>
      <c r="BP1064" s="184"/>
    </row>
    <row r="1065" spans="1:68">
      <c r="A1065">
        <v>6935092</v>
      </c>
      <c r="B1065">
        <v>6935092</v>
      </c>
      <c r="C1065" t="s">
        <v>7018</v>
      </c>
      <c r="D1065" t="s">
        <v>595</v>
      </c>
      <c r="E1065" s="184">
        <v>44120</v>
      </c>
      <c r="G1065" s="184"/>
      <c r="I1065" s="184"/>
      <c r="K1065" s="184"/>
      <c r="O1065" s="184"/>
      <c r="P1065" t="s">
        <v>7045</v>
      </c>
      <c r="Q1065" t="s">
        <v>7020</v>
      </c>
      <c r="R1065" s="184">
        <v>16147</v>
      </c>
      <c r="S1065">
        <v>80</v>
      </c>
      <c r="U1065" t="s">
        <v>7076</v>
      </c>
      <c r="V1065" t="s">
        <v>2733</v>
      </c>
      <c r="X1065" t="s">
        <v>13043</v>
      </c>
      <c r="AF1065" t="s">
        <v>13044</v>
      </c>
      <c r="AG1065" t="s">
        <v>2733</v>
      </c>
      <c r="AI1065" t="s">
        <v>13045</v>
      </c>
      <c r="AM1065" t="s">
        <v>3308</v>
      </c>
      <c r="AN1065" t="s">
        <v>2112</v>
      </c>
      <c r="AO1065" t="s">
        <v>13046</v>
      </c>
      <c r="AP1065" t="s">
        <v>7024</v>
      </c>
      <c r="AT1065" s="184">
        <v>33682</v>
      </c>
      <c r="AU1065" t="s">
        <v>13047</v>
      </c>
      <c r="AV1065">
        <v>15</v>
      </c>
      <c r="AW1065" s="184">
        <v>44011</v>
      </c>
      <c r="AX1065" t="s">
        <v>13048</v>
      </c>
      <c r="AY1065">
        <v>75</v>
      </c>
      <c r="AZ1065" s="184">
        <v>44011</v>
      </c>
      <c r="BA1065" t="s">
        <v>13048</v>
      </c>
      <c r="BB1065">
        <v>75</v>
      </c>
      <c r="BC1065">
        <v>79</v>
      </c>
      <c r="BD1065">
        <v>925</v>
      </c>
      <c r="BE1065">
        <v>1992</v>
      </c>
      <c r="BF1065">
        <v>30</v>
      </c>
      <c r="BI1065">
        <v>26</v>
      </c>
      <c r="BJ1065">
        <v>33</v>
      </c>
      <c r="BK1065">
        <v>14</v>
      </c>
      <c r="BP1065" s="184"/>
    </row>
    <row r="1066" spans="1:68">
      <c r="A1066">
        <v>6943427</v>
      </c>
      <c r="B1066">
        <v>6943427</v>
      </c>
      <c r="C1066" t="s">
        <v>7018</v>
      </c>
      <c r="E1066" s="184"/>
      <c r="F1066" t="s">
        <v>595</v>
      </c>
      <c r="G1066" s="184">
        <v>43731</v>
      </c>
      <c r="I1066" s="184"/>
      <c r="K1066" s="184"/>
      <c r="O1066" s="184"/>
      <c r="P1066" t="s">
        <v>7045</v>
      </c>
      <c r="Q1066" t="s">
        <v>7383</v>
      </c>
      <c r="R1066" s="184">
        <v>19603</v>
      </c>
      <c r="S1066">
        <v>70</v>
      </c>
      <c r="U1066" t="s">
        <v>7130</v>
      </c>
      <c r="V1066" t="s">
        <v>3919</v>
      </c>
      <c r="W1066" t="s">
        <v>4139</v>
      </c>
      <c r="X1066" t="s">
        <v>3920</v>
      </c>
      <c r="AF1066" t="s">
        <v>13049</v>
      </c>
      <c r="AG1066" t="s">
        <v>3919</v>
      </c>
      <c r="AI1066" t="s">
        <v>13050</v>
      </c>
      <c r="AM1066" t="s">
        <v>3921</v>
      </c>
      <c r="AN1066" t="s">
        <v>2059</v>
      </c>
      <c r="AO1066" t="s">
        <v>13051</v>
      </c>
      <c r="AP1066" t="s">
        <v>7024</v>
      </c>
      <c r="AQ1066" t="s">
        <v>13052</v>
      </c>
      <c r="AR1066" t="s">
        <v>13053</v>
      </c>
      <c r="AT1066" s="184">
        <v>33683</v>
      </c>
      <c r="AU1066" t="s">
        <v>13054</v>
      </c>
      <c r="AV1066">
        <v>25</v>
      </c>
      <c r="AW1066" s="184">
        <v>45421</v>
      </c>
      <c r="AX1066" t="s">
        <v>7422</v>
      </c>
      <c r="AY1066">
        <v>15</v>
      </c>
      <c r="AZ1066" s="184">
        <v>35811</v>
      </c>
      <c r="BA1066" t="s">
        <v>13055</v>
      </c>
      <c r="BB1066">
        <v>50</v>
      </c>
      <c r="BC1066">
        <v>73</v>
      </c>
      <c r="BD1066">
        <v>1496</v>
      </c>
      <c r="BE1066">
        <v>1992</v>
      </c>
      <c r="BF1066">
        <v>138</v>
      </c>
      <c r="BG1066">
        <v>11</v>
      </c>
      <c r="BH1066">
        <v>141</v>
      </c>
      <c r="BI1066">
        <v>24</v>
      </c>
      <c r="BJ1066">
        <v>33</v>
      </c>
      <c r="BK1066">
        <v>12</v>
      </c>
      <c r="BP1066" s="184"/>
    </row>
    <row r="1067" spans="1:68">
      <c r="A1067">
        <v>6949655</v>
      </c>
      <c r="B1067">
        <v>6949655</v>
      </c>
      <c r="C1067" t="s">
        <v>7018</v>
      </c>
      <c r="D1067" t="s">
        <v>595</v>
      </c>
      <c r="E1067" s="184">
        <v>43808</v>
      </c>
      <c r="G1067" s="184"/>
      <c r="I1067" s="184"/>
      <c r="K1067" s="184"/>
      <c r="O1067" s="184"/>
      <c r="P1067" t="s">
        <v>7045</v>
      </c>
      <c r="Q1067" t="s">
        <v>7374</v>
      </c>
      <c r="R1067" s="184">
        <v>18403</v>
      </c>
      <c r="S1067">
        <v>73</v>
      </c>
      <c r="U1067" t="s">
        <v>7031</v>
      </c>
      <c r="V1067" t="s">
        <v>2871</v>
      </c>
      <c r="X1067" t="s">
        <v>4441</v>
      </c>
      <c r="AF1067" t="s">
        <v>13056</v>
      </c>
      <c r="AG1067" t="s">
        <v>2871</v>
      </c>
      <c r="AI1067" t="s">
        <v>13057</v>
      </c>
      <c r="AM1067" t="s">
        <v>2797</v>
      </c>
      <c r="AN1067" t="s">
        <v>2081</v>
      </c>
      <c r="AO1067" t="s">
        <v>13058</v>
      </c>
      <c r="AP1067" t="s">
        <v>7024</v>
      </c>
      <c r="AQ1067" t="s">
        <v>13059</v>
      </c>
      <c r="AR1067" t="s">
        <v>13060</v>
      </c>
      <c r="AT1067" s="184">
        <v>33691</v>
      </c>
      <c r="AU1067" t="s">
        <v>13024</v>
      </c>
      <c r="AV1067">
        <v>19.95</v>
      </c>
      <c r="AW1067" s="184">
        <v>43473</v>
      </c>
      <c r="AX1067" t="s">
        <v>13061</v>
      </c>
      <c r="AY1067">
        <v>15</v>
      </c>
      <c r="AZ1067" s="184">
        <v>39770</v>
      </c>
      <c r="BA1067" t="s">
        <v>13062</v>
      </c>
      <c r="BB1067">
        <v>60</v>
      </c>
      <c r="BC1067">
        <v>55</v>
      </c>
      <c r="BD1067">
        <v>889.95</v>
      </c>
      <c r="BE1067">
        <v>1992</v>
      </c>
      <c r="BF1067">
        <v>32</v>
      </c>
      <c r="BI1067">
        <v>18</v>
      </c>
      <c r="BJ1067">
        <v>33</v>
      </c>
      <c r="BK1067">
        <v>5</v>
      </c>
      <c r="BP1067" s="184"/>
    </row>
    <row r="1068" spans="1:68">
      <c r="A1068">
        <v>6958193</v>
      </c>
      <c r="B1068">
        <v>6958193</v>
      </c>
      <c r="C1068" t="s">
        <v>7018</v>
      </c>
      <c r="D1068" t="s">
        <v>595</v>
      </c>
      <c r="E1068" s="184">
        <v>43657</v>
      </c>
      <c r="G1068" s="184"/>
      <c r="I1068" s="184"/>
      <c r="K1068" s="184"/>
      <c r="O1068" s="184"/>
      <c r="P1068" t="s">
        <v>7045</v>
      </c>
      <c r="Q1068" t="s">
        <v>7383</v>
      </c>
      <c r="R1068" s="184">
        <v>17426</v>
      </c>
      <c r="S1068">
        <v>76</v>
      </c>
      <c r="U1068" t="s">
        <v>7076</v>
      </c>
      <c r="V1068" t="s">
        <v>3098</v>
      </c>
      <c r="W1068" t="s">
        <v>7469</v>
      </c>
      <c r="X1068" t="s">
        <v>3639</v>
      </c>
      <c r="AF1068" t="s">
        <v>13063</v>
      </c>
      <c r="AG1068" t="s">
        <v>3098</v>
      </c>
      <c r="AI1068" t="s">
        <v>13064</v>
      </c>
      <c r="AM1068" t="s">
        <v>3640</v>
      </c>
      <c r="AN1068" t="s">
        <v>2313</v>
      </c>
      <c r="AO1068" t="s">
        <v>13065</v>
      </c>
      <c r="AP1068" t="s">
        <v>7024</v>
      </c>
      <c r="AT1068" s="184">
        <v>33689</v>
      </c>
      <c r="AU1068" t="s">
        <v>13034</v>
      </c>
      <c r="AV1068">
        <v>15</v>
      </c>
      <c r="AW1068" s="184">
        <v>43649</v>
      </c>
      <c r="AX1068" t="s">
        <v>13066</v>
      </c>
      <c r="AY1068">
        <v>25</v>
      </c>
      <c r="AZ1068" s="184">
        <v>43649</v>
      </c>
      <c r="BA1068" t="s">
        <v>13066</v>
      </c>
      <c r="BB1068">
        <v>25</v>
      </c>
      <c r="BC1068">
        <v>34</v>
      </c>
      <c r="BD1068">
        <v>163</v>
      </c>
      <c r="BE1068">
        <v>1992</v>
      </c>
      <c r="BF1068">
        <v>13</v>
      </c>
      <c r="BI1068">
        <v>11</v>
      </c>
      <c r="BJ1068">
        <v>33</v>
      </c>
      <c r="BK1068">
        <v>3</v>
      </c>
      <c r="BP1068" s="184"/>
    </row>
    <row r="1069" spans="1:68">
      <c r="A1069">
        <v>6968853</v>
      </c>
      <c r="B1069">
        <v>6968853</v>
      </c>
      <c r="C1069" t="s">
        <v>7018</v>
      </c>
      <c r="D1069" t="s">
        <v>595</v>
      </c>
      <c r="E1069" s="184">
        <v>43647</v>
      </c>
      <c r="G1069" s="184"/>
      <c r="I1069" s="184"/>
      <c r="K1069" s="184"/>
      <c r="O1069" s="184"/>
      <c r="P1069" t="s">
        <v>7045</v>
      </c>
      <c r="Q1069" t="s">
        <v>7020</v>
      </c>
      <c r="R1069" s="184">
        <v>10718</v>
      </c>
      <c r="S1069">
        <v>95</v>
      </c>
      <c r="U1069" t="s">
        <v>7076</v>
      </c>
      <c r="V1069" t="s">
        <v>3506</v>
      </c>
      <c r="W1069" t="s">
        <v>7560</v>
      </c>
      <c r="X1069" t="s">
        <v>3507</v>
      </c>
      <c r="AF1069" t="s">
        <v>13067</v>
      </c>
      <c r="AG1069" t="s">
        <v>3506</v>
      </c>
      <c r="AI1069" t="s">
        <v>13068</v>
      </c>
      <c r="AM1069" t="s">
        <v>3508</v>
      </c>
      <c r="AN1069" t="s">
        <v>2112</v>
      </c>
      <c r="AO1069" t="s">
        <v>13069</v>
      </c>
      <c r="AP1069" t="s">
        <v>7024</v>
      </c>
      <c r="AT1069" s="184">
        <v>33691</v>
      </c>
      <c r="AU1069" t="s">
        <v>13024</v>
      </c>
      <c r="AV1069">
        <v>19.95</v>
      </c>
      <c r="AW1069" s="184">
        <v>44221</v>
      </c>
      <c r="AX1069" t="s">
        <v>9415</v>
      </c>
      <c r="AY1069">
        <v>25</v>
      </c>
      <c r="AZ1069" s="184">
        <v>34774</v>
      </c>
      <c r="BA1069" t="s">
        <v>13070</v>
      </c>
      <c r="BB1069">
        <v>60</v>
      </c>
      <c r="BC1069">
        <v>43</v>
      </c>
      <c r="BD1069">
        <v>449.9</v>
      </c>
      <c r="BE1069">
        <v>1992</v>
      </c>
      <c r="BF1069">
        <v>22</v>
      </c>
      <c r="BI1069">
        <v>14</v>
      </c>
      <c r="BJ1069">
        <v>33</v>
      </c>
      <c r="BK1069">
        <v>4</v>
      </c>
      <c r="BL1069" t="s">
        <v>595</v>
      </c>
      <c r="BN1069" t="s">
        <v>595</v>
      </c>
    </row>
    <row r="1070" spans="1:68">
      <c r="A1070">
        <v>6980544</v>
      </c>
      <c r="B1070">
        <v>6980544</v>
      </c>
      <c r="C1070" t="s">
        <v>7018</v>
      </c>
      <c r="E1070" s="184"/>
      <c r="G1070" s="184"/>
      <c r="I1070" s="184"/>
      <c r="J1070" t="s">
        <v>595</v>
      </c>
      <c r="K1070" s="184">
        <v>43753</v>
      </c>
      <c r="O1070" s="184"/>
      <c r="P1070" t="s">
        <v>7045</v>
      </c>
      <c r="Q1070" t="s">
        <v>7383</v>
      </c>
      <c r="R1070" s="184">
        <v>18295</v>
      </c>
      <c r="S1070">
        <v>74</v>
      </c>
      <c r="V1070" t="s">
        <v>2523</v>
      </c>
      <c r="W1070" t="s">
        <v>3237</v>
      </c>
      <c r="X1070" t="s">
        <v>4188</v>
      </c>
      <c r="AF1070" t="s">
        <v>6271</v>
      </c>
      <c r="AG1070" t="s">
        <v>2523</v>
      </c>
      <c r="AI1070" t="s">
        <v>13071</v>
      </c>
      <c r="AM1070" t="s">
        <v>3082</v>
      </c>
      <c r="AN1070" t="s">
        <v>2313</v>
      </c>
      <c r="AO1070" t="s">
        <v>13072</v>
      </c>
      <c r="AP1070" t="s">
        <v>7024</v>
      </c>
      <c r="AQ1070" t="s">
        <v>13073</v>
      </c>
      <c r="AT1070" s="184">
        <v>33696</v>
      </c>
      <c r="AU1070" t="s">
        <v>13024</v>
      </c>
      <c r="AV1070">
        <v>19.95</v>
      </c>
      <c r="AW1070" s="184">
        <v>45047</v>
      </c>
      <c r="AX1070" t="s">
        <v>13074</v>
      </c>
      <c r="AY1070">
        <v>125</v>
      </c>
      <c r="AZ1070" s="184">
        <v>45047</v>
      </c>
      <c r="BA1070" t="s">
        <v>13074</v>
      </c>
      <c r="BB1070">
        <v>125</v>
      </c>
      <c r="BC1070">
        <v>94</v>
      </c>
      <c r="BD1070">
        <v>2554.9499999999998</v>
      </c>
      <c r="BE1070">
        <v>1992</v>
      </c>
      <c r="BF1070">
        <v>40</v>
      </c>
      <c r="BG1070">
        <v>3</v>
      </c>
      <c r="BH1070">
        <v>175</v>
      </c>
      <c r="BI1070">
        <v>31</v>
      </c>
      <c r="BJ1070">
        <v>33</v>
      </c>
      <c r="BK1070">
        <v>16</v>
      </c>
      <c r="BP1070" s="184"/>
    </row>
    <row r="1071" spans="1:68">
      <c r="A1071">
        <v>6984942</v>
      </c>
      <c r="B1071">
        <v>6984942</v>
      </c>
      <c r="C1071" t="s">
        <v>7018</v>
      </c>
      <c r="D1071" t="s">
        <v>595</v>
      </c>
      <c r="E1071" s="184">
        <v>44104</v>
      </c>
      <c r="G1071" s="184"/>
      <c r="I1071" s="184"/>
      <c r="K1071" s="184"/>
      <c r="O1071" s="184"/>
      <c r="P1071" t="s">
        <v>7045</v>
      </c>
      <c r="Q1071" t="s">
        <v>7020</v>
      </c>
      <c r="R1071" s="184">
        <v>18841</v>
      </c>
      <c r="S1071">
        <v>72</v>
      </c>
      <c r="U1071" t="s">
        <v>7031</v>
      </c>
      <c r="V1071" t="s">
        <v>3228</v>
      </c>
      <c r="X1071" t="s">
        <v>2999</v>
      </c>
      <c r="Z1071">
        <v>100030120</v>
      </c>
      <c r="AA1071" t="s">
        <v>7130</v>
      </c>
      <c r="AB1071" t="s">
        <v>13075</v>
      </c>
      <c r="AD1071" t="s">
        <v>2999</v>
      </c>
      <c r="AF1071" t="s">
        <v>13076</v>
      </c>
      <c r="AG1071" t="s">
        <v>13077</v>
      </c>
      <c r="AI1071" t="s">
        <v>13078</v>
      </c>
      <c r="AM1071" t="s">
        <v>4101</v>
      </c>
      <c r="AN1071" t="s">
        <v>2465</v>
      </c>
      <c r="AO1071" t="s">
        <v>13079</v>
      </c>
      <c r="AP1071" t="s">
        <v>7024</v>
      </c>
      <c r="AQ1071" t="s">
        <v>13080</v>
      </c>
      <c r="AT1071" s="184">
        <v>33696</v>
      </c>
      <c r="AU1071" t="s">
        <v>13024</v>
      </c>
      <c r="AV1071">
        <v>19.95</v>
      </c>
      <c r="AW1071" s="184">
        <v>44320</v>
      </c>
      <c r="AX1071" t="s">
        <v>7714</v>
      </c>
      <c r="AY1071">
        <v>15</v>
      </c>
      <c r="AZ1071" s="184">
        <v>43465</v>
      </c>
      <c r="BA1071" t="s">
        <v>13081</v>
      </c>
      <c r="BB1071">
        <v>100</v>
      </c>
      <c r="BC1071">
        <v>43</v>
      </c>
      <c r="BD1071">
        <v>769.95</v>
      </c>
      <c r="BE1071">
        <v>1992</v>
      </c>
      <c r="BF1071">
        <v>16</v>
      </c>
      <c r="BI1071">
        <v>14</v>
      </c>
      <c r="BJ1071">
        <v>33</v>
      </c>
      <c r="BK1071">
        <v>5</v>
      </c>
      <c r="BP1071" s="184"/>
    </row>
    <row r="1072" spans="1:68">
      <c r="A1072">
        <v>100030120</v>
      </c>
      <c r="B1072">
        <v>6984942</v>
      </c>
      <c r="C1072" t="s">
        <v>7018</v>
      </c>
      <c r="D1072" t="s">
        <v>595</v>
      </c>
      <c r="E1072" s="184">
        <v>44104</v>
      </c>
      <c r="G1072" s="184"/>
      <c r="I1072" s="184"/>
      <c r="K1072" s="184"/>
      <c r="O1072" s="184"/>
      <c r="P1072" t="s">
        <v>7045</v>
      </c>
      <c r="Q1072" t="s">
        <v>7020</v>
      </c>
      <c r="R1072" s="184">
        <v>18233</v>
      </c>
      <c r="S1072">
        <v>74</v>
      </c>
      <c r="U1072" t="s">
        <v>7130</v>
      </c>
      <c r="V1072" t="s">
        <v>13075</v>
      </c>
      <c r="X1072" t="s">
        <v>2999</v>
      </c>
      <c r="Z1072">
        <v>6984942</v>
      </c>
      <c r="AA1072" t="s">
        <v>7031</v>
      </c>
      <c r="AB1072" t="s">
        <v>3228</v>
      </c>
      <c r="AD1072" t="s">
        <v>2999</v>
      </c>
      <c r="AF1072" t="s">
        <v>13076</v>
      </c>
      <c r="AG1072" t="s">
        <v>13077</v>
      </c>
      <c r="AI1072" t="s">
        <v>13078</v>
      </c>
      <c r="AM1072" t="s">
        <v>4101</v>
      </c>
      <c r="AN1072" t="s">
        <v>2465</v>
      </c>
      <c r="AO1072" t="s">
        <v>13079</v>
      </c>
      <c r="AP1072" t="s">
        <v>7024</v>
      </c>
      <c r="AQ1072" t="s">
        <v>13082</v>
      </c>
      <c r="AT1072" s="184"/>
      <c r="AW1072" s="184"/>
      <c r="AZ1072" s="184"/>
      <c r="BP1072" s="184"/>
    </row>
    <row r="1073" spans="1:68">
      <c r="A1073">
        <v>7026735</v>
      </c>
      <c r="B1073">
        <v>7026735</v>
      </c>
      <c r="C1073" t="s">
        <v>7018</v>
      </c>
      <c r="E1073" s="184"/>
      <c r="G1073" s="184"/>
      <c r="I1073" s="184"/>
      <c r="K1073" s="184"/>
      <c r="N1073" t="s">
        <v>595</v>
      </c>
      <c r="O1073" s="184">
        <v>38292</v>
      </c>
      <c r="P1073" t="s">
        <v>7045</v>
      </c>
      <c r="Q1073" t="s">
        <v>7262</v>
      </c>
      <c r="R1073" s="184">
        <v>11393</v>
      </c>
      <c r="S1073">
        <v>93</v>
      </c>
      <c r="U1073" t="s">
        <v>7130</v>
      </c>
      <c r="V1073" t="s">
        <v>5540</v>
      </c>
      <c r="W1073" t="s">
        <v>7046</v>
      </c>
      <c r="X1073" t="s">
        <v>5541</v>
      </c>
      <c r="Z1073">
        <v>100180192</v>
      </c>
      <c r="AA1073" t="s">
        <v>7031</v>
      </c>
      <c r="AB1073" t="s">
        <v>3061</v>
      </c>
      <c r="AC1073" t="s">
        <v>7107</v>
      </c>
      <c r="AD1073" t="s">
        <v>5541</v>
      </c>
      <c r="AF1073" t="s">
        <v>13083</v>
      </c>
      <c r="AG1073" t="s">
        <v>5540</v>
      </c>
      <c r="AI1073" t="s">
        <v>13084</v>
      </c>
      <c r="AM1073" t="s">
        <v>5542</v>
      </c>
      <c r="AN1073" t="s">
        <v>2106</v>
      </c>
      <c r="AO1073" t="s">
        <v>13085</v>
      </c>
      <c r="AP1073" t="s">
        <v>7024</v>
      </c>
      <c r="AT1073" s="184">
        <v>33696</v>
      </c>
      <c r="AU1073" t="s">
        <v>13024</v>
      </c>
      <c r="AV1073">
        <v>19.95</v>
      </c>
      <c r="AW1073" s="184">
        <v>41691</v>
      </c>
      <c r="AX1073" t="s">
        <v>13086</v>
      </c>
      <c r="AY1073">
        <v>1000</v>
      </c>
      <c r="AZ1073" s="184">
        <v>39056</v>
      </c>
      <c r="BA1073" t="s">
        <v>9364</v>
      </c>
      <c r="BB1073">
        <v>10000</v>
      </c>
      <c r="BC1073">
        <v>61</v>
      </c>
      <c r="BD1073">
        <v>42264.95</v>
      </c>
      <c r="BE1073">
        <v>1992</v>
      </c>
      <c r="BF1073">
        <v>32</v>
      </c>
      <c r="BI1073">
        <v>20</v>
      </c>
      <c r="BJ1073">
        <v>33</v>
      </c>
      <c r="BK1073">
        <v>16</v>
      </c>
      <c r="BP1073" s="184"/>
    </row>
    <row r="1074" spans="1:68">
      <c r="A1074">
        <v>100180192</v>
      </c>
      <c r="B1074">
        <v>7026735</v>
      </c>
      <c r="C1074" t="s">
        <v>7018</v>
      </c>
      <c r="E1074" s="184"/>
      <c r="G1074" s="184"/>
      <c r="I1074" s="184"/>
      <c r="K1074" s="184"/>
      <c r="N1074" t="s">
        <v>595</v>
      </c>
      <c r="O1074" s="184">
        <v>38292</v>
      </c>
      <c r="P1074" t="s">
        <v>7045</v>
      </c>
      <c r="Q1074" t="s">
        <v>7262</v>
      </c>
      <c r="R1074" s="184">
        <v>11405</v>
      </c>
      <c r="S1074">
        <v>93</v>
      </c>
      <c r="U1074" t="s">
        <v>7031</v>
      </c>
      <c r="V1074" t="s">
        <v>3061</v>
      </c>
      <c r="W1074" t="s">
        <v>7107</v>
      </c>
      <c r="X1074" t="s">
        <v>5541</v>
      </c>
      <c r="Z1074">
        <v>7026735</v>
      </c>
      <c r="AA1074" t="s">
        <v>7130</v>
      </c>
      <c r="AB1074" t="s">
        <v>5540</v>
      </c>
      <c r="AC1074" t="s">
        <v>7046</v>
      </c>
      <c r="AD1074" t="s">
        <v>5541</v>
      </c>
      <c r="AF1074" t="s">
        <v>13083</v>
      </c>
      <c r="AG1074" t="s">
        <v>5540</v>
      </c>
      <c r="AI1074" t="s">
        <v>13084</v>
      </c>
      <c r="AM1074" t="s">
        <v>5542</v>
      </c>
      <c r="AN1074" t="s">
        <v>2106</v>
      </c>
      <c r="AO1074" t="s">
        <v>13085</v>
      </c>
      <c r="AP1074" t="s">
        <v>7024</v>
      </c>
      <c r="AT1074" s="184"/>
      <c r="AW1074" s="184"/>
      <c r="AZ1074" s="184"/>
      <c r="BO1074" t="s">
        <v>595</v>
      </c>
      <c r="BP1074" s="184">
        <v>39691</v>
      </c>
    </row>
    <row r="1075" spans="1:68">
      <c r="A1075">
        <v>7051485</v>
      </c>
      <c r="B1075">
        <v>7051485</v>
      </c>
      <c r="C1075" t="s">
        <v>7018</v>
      </c>
      <c r="E1075" s="184"/>
      <c r="F1075" t="s">
        <v>595</v>
      </c>
      <c r="G1075" s="184">
        <v>43731</v>
      </c>
      <c r="I1075" s="184"/>
      <c r="K1075" s="184"/>
      <c r="O1075" s="184"/>
      <c r="P1075" t="s">
        <v>7019</v>
      </c>
      <c r="Q1075" t="s">
        <v>7160</v>
      </c>
      <c r="R1075" s="184">
        <v>29830</v>
      </c>
      <c r="S1075">
        <v>42</v>
      </c>
      <c r="U1075" t="s">
        <v>7031</v>
      </c>
      <c r="V1075" t="s">
        <v>3922</v>
      </c>
      <c r="X1075" t="s">
        <v>3923</v>
      </c>
      <c r="Z1075">
        <v>100030174</v>
      </c>
      <c r="AA1075" t="s">
        <v>7130</v>
      </c>
      <c r="AB1075" t="s">
        <v>2580</v>
      </c>
      <c r="AD1075" t="s">
        <v>3923</v>
      </c>
      <c r="AF1075" t="s">
        <v>13087</v>
      </c>
      <c r="AG1075" t="s">
        <v>13088</v>
      </c>
      <c r="AI1075" t="s">
        <v>13089</v>
      </c>
      <c r="AM1075" t="s">
        <v>3924</v>
      </c>
      <c r="AN1075" t="s">
        <v>2413</v>
      </c>
      <c r="AO1075" t="s">
        <v>13090</v>
      </c>
      <c r="AP1075" t="s">
        <v>7024</v>
      </c>
      <c r="AQ1075" t="s">
        <v>13091</v>
      </c>
      <c r="AR1075" t="s">
        <v>13092</v>
      </c>
      <c r="AT1075" s="184">
        <v>33696</v>
      </c>
      <c r="AU1075" t="s">
        <v>13024</v>
      </c>
      <c r="AV1075">
        <v>19.95</v>
      </c>
      <c r="AW1075" s="184">
        <v>44264</v>
      </c>
      <c r="AX1075" t="s">
        <v>13093</v>
      </c>
      <c r="AY1075">
        <v>60</v>
      </c>
      <c r="AZ1075" s="184">
        <v>44264</v>
      </c>
      <c r="BA1075" t="s">
        <v>13093</v>
      </c>
      <c r="BB1075">
        <v>60</v>
      </c>
      <c r="BC1075">
        <v>79</v>
      </c>
      <c r="BD1075">
        <v>999.9</v>
      </c>
      <c r="BE1075">
        <v>1992</v>
      </c>
      <c r="BF1075">
        <v>29</v>
      </c>
      <c r="BI1075">
        <v>26</v>
      </c>
      <c r="BJ1075">
        <v>33</v>
      </c>
      <c r="BK1075">
        <v>20</v>
      </c>
      <c r="BP1075" s="184"/>
    </row>
    <row r="1076" spans="1:68">
      <c r="A1076">
        <v>100030174</v>
      </c>
      <c r="B1076">
        <v>7051485</v>
      </c>
      <c r="C1076" t="s">
        <v>7018</v>
      </c>
      <c r="E1076" s="184"/>
      <c r="F1076" t="s">
        <v>595</v>
      </c>
      <c r="G1076" s="184">
        <v>43731</v>
      </c>
      <c r="I1076" s="184"/>
      <c r="K1076" s="184"/>
      <c r="O1076" s="184"/>
      <c r="P1076" t="s">
        <v>7019</v>
      </c>
      <c r="Q1076" t="s">
        <v>7160</v>
      </c>
      <c r="R1076" s="184">
        <v>20821</v>
      </c>
      <c r="S1076">
        <v>67</v>
      </c>
      <c r="U1076" t="s">
        <v>7130</v>
      </c>
      <c r="V1076" t="s">
        <v>2580</v>
      </c>
      <c r="X1076" t="s">
        <v>3923</v>
      </c>
      <c r="Z1076">
        <v>7051485</v>
      </c>
      <c r="AA1076" t="s">
        <v>7031</v>
      </c>
      <c r="AB1076" t="s">
        <v>3922</v>
      </c>
      <c r="AD1076" t="s">
        <v>3923</v>
      </c>
      <c r="AF1076" t="s">
        <v>13087</v>
      </c>
      <c r="AG1076" t="s">
        <v>13088</v>
      </c>
      <c r="AI1076" t="s">
        <v>13089</v>
      </c>
      <c r="AM1076" t="s">
        <v>3924</v>
      </c>
      <c r="AN1076" t="s">
        <v>2413</v>
      </c>
      <c r="AO1076" t="s">
        <v>13090</v>
      </c>
      <c r="AP1076" t="s">
        <v>7024</v>
      </c>
      <c r="AQ1076" t="s">
        <v>13094</v>
      </c>
      <c r="AT1076" s="184"/>
      <c r="AW1076" s="184"/>
      <c r="AZ1076" s="184"/>
      <c r="BP1076" s="184"/>
    </row>
    <row r="1077" spans="1:68">
      <c r="A1077">
        <v>7068570</v>
      </c>
      <c r="B1077">
        <v>7068570</v>
      </c>
      <c r="C1077" t="s">
        <v>7018</v>
      </c>
      <c r="E1077" s="184"/>
      <c r="F1077" t="s">
        <v>595</v>
      </c>
      <c r="G1077" s="184">
        <v>45145</v>
      </c>
      <c r="I1077" s="184"/>
      <c r="K1077" s="184"/>
      <c r="O1077" s="184"/>
      <c r="P1077" t="s">
        <v>7019</v>
      </c>
      <c r="Q1077" t="s">
        <v>7383</v>
      </c>
      <c r="R1077" s="184">
        <v>24000</v>
      </c>
      <c r="S1077">
        <v>58</v>
      </c>
      <c r="U1077" t="s">
        <v>7130</v>
      </c>
      <c r="V1077" t="s">
        <v>13095</v>
      </c>
      <c r="X1077" t="s">
        <v>13096</v>
      </c>
      <c r="AF1077" t="s">
        <v>13097</v>
      </c>
      <c r="AG1077" t="s">
        <v>13095</v>
      </c>
      <c r="AI1077" t="s">
        <v>13098</v>
      </c>
      <c r="AM1077" t="s">
        <v>4764</v>
      </c>
      <c r="AN1077" t="s">
        <v>2144</v>
      </c>
      <c r="AO1077" t="s">
        <v>13099</v>
      </c>
      <c r="AP1077" t="s">
        <v>7024</v>
      </c>
      <c r="AQ1077" t="s">
        <v>13100</v>
      </c>
      <c r="AT1077" s="184">
        <v>33696</v>
      </c>
      <c r="AU1077" t="s">
        <v>13101</v>
      </c>
      <c r="AV1077">
        <v>15</v>
      </c>
      <c r="AW1077" s="184">
        <v>45348</v>
      </c>
      <c r="AX1077" t="s">
        <v>9700</v>
      </c>
      <c r="AY1077">
        <v>60</v>
      </c>
      <c r="AZ1077" s="184">
        <v>45348</v>
      </c>
      <c r="BA1077" t="s">
        <v>9700</v>
      </c>
      <c r="BB1077">
        <v>60</v>
      </c>
      <c r="BC1077">
        <v>40</v>
      </c>
      <c r="BD1077">
        <v>389.97</v>
      </c>
      <c r="BE1077">
        <v>1992</v>
      </c>
      <c r="BF1077">
        <v>14</v>
      </c>
      <c r="BG1077">
        <v>2</v>
      </c>
      <c r="BH1077">
        <v>85</v>
      </c>
      <c r="BI1077">
        <v>13</v>
      </c>
      <c r="BJ1077">
        <v>33</v>
      </c>
      <c r="BK1077">
        <v>5</v>
      </c>
      <c r="BP1077" s="184"/>
    </row>
    <row r="1078" spans="1:68">
      <c r="A1078">
        <v>7071582</v>
      </c>
      <c r="B1078">
        <v>7071582</v>
      </c>
      <c r="C1078" t="s">
        <v>7018</v>
      </c>
      <c r="E1078" s="184"/>
      <c r="F1078" t="s">
        <v>595</v>
      </c>
      <c r="G1078" s="184">
        <v>43731</v>
      </c>
      <c r="I1078" s="184"/>
      <c r="K1078" s="184"/>
      <c r="O1078" s="184"/>
      <c r="P1078" t="s">
        <v>7045</v>
      </c>
      <c r="Q1078" t="s">
        <v>7383</v>
      </c>
      <c r="R1078" s="184">
        <v>15301</v>
      </c>
      <c r="S1078">
        <v>82</v>
      </c>
      <c r="U1078" t="s">
        <v>7031</v>
      </c>
      <c r="V1078" t="s">
        <v>2597</v>
      </c>
      <c r="W1078" t="s">
        <v>2049</v>
      </c>
      <c r="X1078" t="s">
        <v>3925</v>
      </c>
      <c r="Z1078">
        <v>100030223</v>
      </c>
      <c r="AB1078" t="s">
        <v>5102</v>
      </c>
      <c r="AC1078" t="s">
        <v>205</v>
      </c>
      <c r="AD1078" t="s">
        <v>3925</v>
      </c>
      <c r="AF1078" t="s">
        <v>13102</v>
      </c>
      <c r="AG1078" t="s">
        <v>13103</v>
      </c>
      <c r="AI1078" t="s">
        <v>13104</v>
      </c>
      <c r="AM1078" t="s">
        <v>3926</v>
      </c>
      <c r="AN1078" t="s">
        <v>2059</v>
      </c>
      <c r="AO1078" t="s">
        <v>13105</v>
      </c>
      <c r="AP1078" t="s">
        <v>7024</v>
      </c>
      <c r="AQ1078" t="s">
        <v>13106</v>
      </c>
      <c r="AT1078" s="184">
        <v>33700</v>
      </c>
      <c r="AU1078" t="s">
        <v>13101</v>
      </c>
      <c r="AV1078">
        <v>15</v>
      </c>
      <c r="AW1078" s="184">
        <v>45042</v>
      </c>
      <c r="AX1078" t="s">
        <v>10223</v>
      </c>
      <c r="AY1078">
        <v>50</v>
      </c>
      <c r="AZ1078" s="184">
        <v>45042</v>
      </c>
      <c r="BA1078" t="s">
        <v>10223</v>
      </c>
      <c r="BB1078">
        <v>50</v>
      </c>
      <c r="BC1078">
        <v>94</v>
      </c>
      <c r="BD1078">
        <v>1455</v>
      </c>
      <c r="BE1078">
        <v>1992</v>
      </c>
      <c r="BF1078">
        <v>40</v>
      </c>
      <c r="BG1078">
        <v>2</v>
      </c>
      <c r="BH1078">
        <v>100</v>
      </c>
      <c r="BI1078">
        <v>31</v>
      </c>
      <c r="BJ1078">
        <v>33</v>
      </c>
      <c r="BK1078">
        <v>24</v>
      </c>
      <c r="BP1078" s="184"/>
    </row>
    <row r="1079" spans="1:68">
      <c r="A1079">
        <v>100030223</v>
      </c>
      <c r="B1079">
        <v>7071582</v>
      </c>
      <c r="C1079" t="s">
        <v>7018</v>
      </c>
      <c r="E1079" s="184"/>
      <c r="F1079" t="s">
        <v>595</v>
      </c>
      <c r="G1079" s="184">
        <v>43731</v>
      </c>
      <c r="K1079" s="184"/>
      <c r="O1079" s="184"/>
      <c r="P1079" t="s">
        <v>7045</v>
      </c>
      <c r="Q1079" t="s">
        <v>7383</v>
      </c>
      <c r="R1079" s="184">
        <v>15311</v>
      </c>
      <c r="S1079">
        <v>82</v>
      </c>
      <c r="V1079" t="s">
        <v>5102</v>
      </c>
      <c r="W1079" t="s">
        <v>205</v>
      </c>
      <c r="X1079" t="s">
        <v>3925</v>
      </c>
      <c r="Z1079">
        <v>7071582</v>
      </c>
      <c r="AA1079" t="s">
        <v>7031</v>
      </c>
      <c r="AB1079" t="s">
        <v>2597</v>
      </c>
      <c r="AC1079" t="s">
        <v>2049</v>
      </c>
      <c r="AD1079" t="s">
        <v>3925</v>
      </c>
      <c r="AF1079" t="s">
        <v>13102</v>
      </c>
      <c r="AG1079" t="s">
        <v>13103</v>
      </c>
      <c r="AI1079" t="s">
        <v>13104</v>
      </c>
      <c r="AM1079" t="s">
        <v>3926</v>
      </c>
      <c r="AN1079" t="s">
        <v>2059</v>
      </c>
      <c r="AO1079" t="s">
        <v>13105</v>
      </c>
      <c r="AP1079" t="s">
        <v>7024</v>
      </c>
      <c r="AT1079" s="184"/>
      <c r="AW1079" s="184"/>
      <c r="AZ1079" s="184"/>
    </row>
    <row r="1080" spans="1:68">
      <c r="A1080">
        <v>7108764</v>
      </c>
      <c r="B1080">
        <v>7108764</v>
      </c>
      <c r="C1080" t="s">
        <v>7018</v>
      </c>
      <c r="D1080" t="s">
        <v>595</v>
      </c>
      <c r="E1080" s="184">
        <v>44104</v>
      </c>
      <c r="G1080" s="184"/>
      <c r="I1080" s="184"/>
      <c r="K1080" s="184"/>
      <c r="O1080" s="184"/>
      <c r="P1080" t="s">
        <v>7045</v>
      </c>
      <c r="Q1080" t="s">
        <v>7454</v>
      </c>
      <c r="R1080" s="184">
        <v>17533</v>
      </c>
      <c r="S1080">
        <v>76</v>
      </c>
      <c r="U1080" t="s">
        <v>7031</v>
      </c>
      <c r="V1080" t="s">
        <v>3825</v>
      </c>
      <c r="X1080" t="s">
        <v>13107</v>
      </c>
      <c r="AF1080" t="s">
        <v>13108</v>
      </c>
      <c r="AG1080" t="s">
        <v>3825</v>
      </c>
      <c r="AI1080" t="s">
        <v>13109</v>
      </c>
      <c r="AM1080" t="s">
        <v>13110</v>
      </c>
      <c r="AN1080" t="s">
        <v>2055</v>
      </c>
      <c r="AO1080" t="s">
        <v>13111</v>
      </c>
      <c r="AP1080" t="s">
        <v>7024</v>
      </c>
      <c r="AQ1080" t="s">
        <v>13112</v>
      </c>
      <c r="AR1080" t="s">
        <v>13113</v>
      </c>
      <c r="AT1080" s="184">
        <v>33703</v>
      </c>
      <c r="AU1080" t="s">
        <v>13024</v>
      </c>
      <c r="AV1080">
        <v>19.95</v>
      </c>
      <c r="AW1080" s="184">
        <v>45281</v>
      </c>
      <c r="AX1080" t="s">
        <v>10022</v>
      </c>
      <c r="AY1080">
        <v>35</v>
      </c>
      <c r="AZ1080" s="184">
        <v>34824</v>
      </c>
      <c r="BA1080" t="s">
        <v>13114</v>
      </c>
      <c r="BB1080">
        <v>130</v>
      </c>
      <c r="BC1080">
        <v>91</v>
      </c>
      <c r="BD1080">
        <v>1464.95</v>
      </c>
      <c r="BE1080">
        <v>1992</v>
      </c>
      <c r="BF1080">
        <v>41</v>
      </c>
      <c r="BG1080">
        <v>5</v>
      </c>
      <c r="BH1080">
        <v>175</v>
      </c>
      <c r="BI1080">
        <v>30</v>
      </c>
      <c r="BJ1080">
        <v>33</v>
      </c>
      <c r="BK1080">
        <v>24</v>
      </c>
      <c r="BN1080" t="s">
        <v>595</v>
      </c>
      <c r="BP1080" s="184"/>
    </row>
    <row r="1081" spans="1:68">
      <c r="A1081">
        <v>7219728</v>
      </c>
      <c r="B1081">
        <v>7219728</v>
      </c>
      <c r="C1081" t="s">
        <v>7018</v>
      </c>
      <c r="D1081" t="s">
        <v>595</v>
      </c>
      <c r="E1081" s="184">
        <v>44073</v>
      </c>
      <c r="G1081" s="184"/>
      <c r="I1081" s="184"/>
      <c r="K1081" s="184"/>
      <c r="O1081" s="184"/>
      <c r="P1081" t="s">
        <v>7045</v>
      </c>
      <c r="Q1081" t="s">
        <v>7020</v>
      </c>
      <c r="R1081" s="184">
        <v>12342</v>
      </c>
      <c r="S1081">
        <v>90</v>
      </c>
      <c r="V1081" t="s">
        <v>4000</v>
      </c>
      <c r="X1081" t="s">
        <v>13115</v>
      </c>
      <c r="AF1081" t="s">
        <v>13116</v>
      </c>
      <c r="AG1081" t="s">
        <v>4000</v>
      </c>
      <c r="AI1081" t="s">
        <v>13117</v>
      </c>
      <c r="AM1081" t="s">
        <v>13118</v>
      </c>
      <c r="AN1081" t="s">
        <v>2112</v>
      </c>
      <c r="AO1081" t="s">
        <v>13119</v>
      </c>
      <c r="AP1081" t="s">
        <v>7024</v>
      </c>
      <c r="AT1081" s="184">
        <v>33709</v>
      </c>
      <c r="AU1081" t="s">
        <v>13120</v>
      </c>
      <c r="AV1081">
        <v>65</v>
      </c>
      <c r="AW1081" s="184">
        <v>45125</v>
      </c>
      <c r="AX1081" t="s">
        <v>8104</v>
      </c>
      <c r="AY1081">
        <v>100</v>
      </c>
      <c r="AZ1081" s="184">
        <v>37468</v>
      </c>
      <c r="BA1081" t="s">
        <v>13121</v>
      </c>
      <c r="BB1081">
        <v>300</v>
      </c>
      <c r="BC1081">
        <v>91</v>
      </c>
      <c r="BD1081">
        <v>7790</v>
      </c>
      <c r="BE1081">
        <v>1992</v>
      </c>
      <c r="BF1081">
        <v>59</v>
      </c>
      <c r="BG1081">
        <v>2</v>
      </c>
      <c r="BH1081">
        <v>200</v>
      </c>
      <c r="BI1081">
        <v>30</v>
      </c>
      <c r="BJ1081">
        <v>33</v>
      </c>
      <c r="BK1081">
        <v>17</v>
      </c>
      <c r="BP1081" s="184"/>
    </row>
    <row r="1082" spans="1:68">
      <c r="A1082">
        <v>7225212</v>
      </c>
      <c r="B1082">
        <v>7225212</v>
      </c>
      <c r="C1082" t="s">
        <v>7018</v>
      </c>
      <c r="E1082" s="184"/>
      <c r="G1082" s="184"/>
      <c r="I1082" s="184"/>
      <c r="K1082" s="184"/>
      <c r="N1082" t="s">
        <v>595</v>
      </c>
      <c r="O1082" s="184">
        <v>43375</v>
      </c>
      <c r="P1082" t="s">
        <v>7045</v>
      </c>
      <c r="Q1082" t="s">
        <v>7383</v>
      </c>
      <c r="R1082" s="184">
        <v>11621</v>
      </c>
      <c r="S1082">
        <v>92</v>
      </c>
      <c r="U1082" t="s">
        <v>7076</v>
      </c>
      <c r="V1082" t="s">
        <v>2528</v>
      </c>
      <c r="X1082" t="s">
        <v>2529</v>
      </c>
      <c r="AF1082" t="s">
        <v>6028</v>
      </c>
      <c r="AG1082" t="s">
        <v>2528</v>
      </c>
      <c r="AI1082" t="s">
        <v>13122</v>
      </c>
      <c r="AM1082" t="s">
        <v>3357</v>
      </c>
      <c r="AN1082" t="s">
        <v>2185</v>
      </c>
      <c r="AO1082" t="s">
        <v>13123</v>
      </c>
      <c r="AP1082" t="s">
        <v>7024</v>
      </c>
      <c r="AT1082" s="184">
        <v>33710</v>
      </c>
      <c r="AU1082" t="s">
        <v>13124</v>
      </c>
      <c r="AV1082">
        <v>15</v>
      </c>
      <c r="AW1082" s="184">
        <v>45295</v>
      </c>
      <c r="AX1082" t="s">
        <v>13125</v>
      </c>
      <c r="AY1082">
        <v>10</v>
      </c>
      <c r="AZ1082" s="184">
        <v>43384</v>
      </c>
      <c r="BA1082" t="s">
        <v>9427</v>
      </c>
      <c r="BB1082">
        <v>10000</v>
      </c>
      <c r="BC1082">
        <v>76</v>
      </c>
      <c r="BD1082">
        <v>10391</v>
      </c>
      <c r="BE1082">
        <v>1992</v>
      </c>
      <c r="BF1082">
        <v>37</v>
      </c>
      <c r="BG1082">
        <v>3</v>
      </c>
      <c r="BH1082">
        <v>35</v>
      </c>
      <c r="BI1082">
        <v>25</v>
      </c>
      <c r="BJ1082">
        <v>33</v>
      </c>
      <c r="BK1082">
        <v>9</v>
      </c>
      <c r="BP1082" s="184"/>
    </row>
    <row r="1083" spans="1:68">
      <c r="A1083">
        <v>7250749</v>
      </c>
      <c r="B1083">
        <v>7250749</v>
      </c>
      <c r="C1083" t="s">
        <v>7018</v>
      </c>
      <c r="D1083" t="s">
        <v>595</v>
      </c>
      <c r="E1083" s="184">
        <v>43857</v>
      </c>
      <c r="G1083" s="184"/>
      <c r="I1083" s="184"/>
      <c r="K1083" s="184"/>
      <c r="O1083" s="184"/>
      <c r="P1083" t="s">
        <v>7045</v>
      </c>
      <c r="Q1083" t="s">
        <v>7374</v>
      </c>
      <c r="R1083" s="184">
        <v>18568</v>
      </c>
      <c r="S1083">
        <v>73</v>
      </c>
      <c r="U1083" t="s">
        <v>7031</v>
      </c>
      <c r="V1083" t="s">
        <v>4542</v>
      </c>
      <c r="X1083" t="s">
        <v>4543</v>
      </c>
      <c r="Z1083">
        <v>100030533</v>
      </c>
      <c r="AB1083" t="s">
        <v>13126</v>
      </c>
      <c r="AD1083" t="s">
        <v>4543</v>
      </c>
      <c r="AF1083" t="s">
        <v>13127</v>
      </c>
      <c r="AG1083" t="s">
        <v>13128</v>
      </c>
      <c r="AI1083" t="s">
        <v>13129</v>
      </c>
      <c r="AM1083" t="s">
        <v>4544</v>
      </c>
      <c r="AN1083" t="s">
        <v>2526</v>
      </c>
      <c r="AO1083" t="s">
        <v>13130</v>
      </c>
      <c r="AP1083" t="s">
        <v>7024</v>
      </c>
      <c r="AQ1083" t="s">
        <v>13131</v>
      </c>
      <c r="AR1083" t="s">
        <v>13132</v>
      </c>
      <c r="AT1083" s="184">
        <v>33714</v>
      </c>
      <c r="AU1083" t="s">
        <v>13133</v>
      </c>
      <c r="AV1083">
        <v>15</v>
      </c>
      <c r="AW1083" s="184">
        <v>45309</v>
      </c>
      <c r="AX1083" t="s">
        <v>13134</v>
      </c>
      <c r="AY1083">
        <v>50</v>
      </c>
      <c r="AZ1083" s="184">
        <v>43507</v>
      </c>
      <c r="BA1083" t="s">
        <v>13135</v>
      </c>
      <c r="BB1083">
        <v>75</v>
      </c>
      <c r="BC1083">
        <v>79</v>
      </c>
      <c r="BD1083">
        <v>1365</v>
      </c>
      <c r="BE1083">
        <v>1992</v>
      </c>
      <c r="BF1083">
        <v>34</v>
      </c>
      <c r="BG1083">
        <v>2</v>
      </c>
      <c r="BH1083">
        <v>100</v>
      </c>
      <c r="BI1083">
        <v>26</v>
      </c>
      <c r="BJ1083">
        <v>33</v>
      </c>
      <c r="BK1083">
        <v>15</v>
      </c>
      <c r="BP1083" s="184"/>
    </row>
    <row r="1084" spans="1:68">
      <c r="A1084">
        <v>100030533</v>
      </c>
      <c r="B1084">
        <v>7250749</v>
      </c>
      <c r="C1084" t="s">
        <v>7018</v>
      </c>
      <c r="D1084" t="s">
        <v>595</v>
      </c>
      <c r="E1084" s="184">
        <v>43857</v>
      </c>
      <c r="G1084" s="184"/>
      <c r="I1084" s="184"/>
      <c r="K1084" s="184"/>
      <c r="O1084" s="184"/>
      <c r="P1084" t="s">
        <v>7045</v>
      </c>
      <c r="Q1084" t="s">
        <v>7374</v>
      </c>
      <c r="R1084" s="184">
        <v>18810</v>
      </c>
      <c r="S1084">
        <v>72</v>
      </c>
      <c r="V1084" t="s">
        <v>13126</v>
      </c>
      <c r="X1084" t="s">
        <v>4543</v>
      </c>
      <c r="Z1084">
        <v>7250749</v>
      </c>
      <c r="AA1084" t="s">
        <v>7031</v>
      </c>
      <c r="AB1084" t="s">
        <v>4542</v>
      </c>
      <c r="AD1084" t="s">
        <v>4543</v>
      </c>
      <c r="AF1084" t="s">
        <v>13127</v>
      </c>
      <c r="AG1084" t="s">
        <v>13128</v>
      </c>
      <c r="AI1084" t="s">
        <v>13129</v>
      </c>
      <c r="AM1084" t="s">
        <v>4544</v>
      </c>
      <c r="AN1084" t="s">
        <v>2526</v>
      </c>
      <c r="AO1084" t="s">
        <v>13130</v>
      </c>
      <c r="AP1084" t="s">
        <v>7024</v>
      </c>
      <c r="AT1084" s="184"/>
      <c r="AW1084" s="184"/>
      <c r="AZ1084" s="184"/>
    </row>
    <row r="1085" spans="1:68">
      <c r="A1085">
        <v>7277783</v>
      </c>
      <c r="B1085">
        <v>7277783</v>
      </c>
      <c r="C1085" t="s">
        <v>7018</v>
      </c>
      <c r="D1085" t="s">
        <v>595</v>
      </c>
      <c r="E1085" s="184">
        <v>43851</v>
      </c>
      <c r="G1085" s="184"/>
      <c r="I1085" s="184"/>
      <c r="K1085" s="184"/>
      <c r="O1085" s="184"/>
      <c r="P1085" t="s">
        <v>7045</v>
      </c>
      <c r="Q1085" t="s">
        <v>7160</v>
      </c>
      <c r="R1085" s="184">
        <v>17306</v>
      </c>
      <c r="S1085">
        <v>76</v>
      </c>
      <c r="V1085" t="s">
        <v>2871</v>
      </c>
      <c r="W1085" t="s">
        <v>3830</v>
      </c>
      <c r="X1085" t="s">
        <v>4531</v>
      </c>
      <c r="Z1085">
        <v>100030602</v>
      </c>
      <c r="AB1085" t="s">
        <v>3504</v>
      </c>
      <c r="AD1085" t="s">
        <v>4531</v>
      </c>
      <c r="AF1085" t="s">
        <v>13136</v>
      </c>
      <c r="AG1085" t="s">
        <v>13137</v>
      </c>
      <c r="AI1085" t="s">
        <v>13138</v>
      </c>
      <c r="AM1085" t="s">
        <v>3975</v>
      </c>
      <c r="AN1085" t="s">
        <v>2413</v>
      </c>
      <c r="AO1085" t="s">
        <v>13139</v>
      </c>
      <c r="AP1085" t="s">
        <v>7024</v>
      </c>
      <c r="AQ1085" t="s">
        <v>13140</v>
      </c>
      <c r="AT1085" s="184">
        <v>33715</v>
      </c>
      <c r="AU1085" t="s">
        <v>13141</v>
      </c>
      <c r="AV1085">
        <v>25</v>
      </c>
      <c r="AW1085" s="184">
        <v>45124</v>
      </c>
      <c r="AX1085" t="s">
        <v>13142</v>
      </c>
      <c r="AY1085">
        <v>50</v>
      </c>
      <c r="AZ1085" s="184">
        <v>44300</v>
      </c>
      <c r="BA1085" t="s">
        <v>13143</v>
      </c>
      <c r="BB1085">
        <v>60</v>
      </c>
      <c r="BC1085">
        <v>64</v>
      </c>
      <c r="BD1085">
        <v>777.07</v>
      </c>
      <c r="BE1085">
        <v>1992</v>
      </c>
      <c r="BF1085">
        <v>29</v>
      </c>
      <c r="BG1085">
        <v>1</v>
      </c>
      <c r="BH1085">
        <v>50</v>
      </c>
      <c r="BI1085">
        <v>21</v>
      </c>
      <c r="BJ1085">
        <v>33</v>
      </c>
      <c r="BK1085">
        <v>8</v>
      </c>
      <c r="BP1085" s="184"/>
    </row>
    <row r="1086" spans="1:68">
      <c r="A1086">
        <v>100030602</v>
      </c>
      <c r="B1086">
        <v>7277783</v>
      </c>
      <c r="C1086" t="s">
        <v>7018</v>
      </c>
      <c r="D1086" t="s">
        <v>595</v>
      </c>
      <c r="E1086" s="184">
        <v>43851</v>
      </c>
      <c r="G1086" s="184"/>
      <c r="I1086" s="184"/>
      <c r="K1086" s="184"/>
      <c r="O1086" s="184"/>
      <c r="P1086" t="s">
        <v>7045</v>
      </c>
      <c r="Q1086" t="s">
        <v>7160</v>
      </c>
      <c r="R1086" s="184">
        <v>17958</v>
      </c>
      <c r="S1086">
        <v>75</v>
      </c>
      <c r="V1086" t="s">
        <v>3504</v>
      </c>
      <c r="X1086" t="s">
        <v>4531</v>
      </c>
      <c r="Z1086">
        <v>7277783</v>
      </c>
      <c r="AB1086" t="s">
        <v>2871</v>
      </c>
      <c r="AC1086" t="s">
        <v>3830</v>
      </c>
      <c r="AD1086" t="s">
        <v>4531</v>
      </c>
      <c r="AF1086" t="s">
        <v>13136</v>
      </c>
      <c r="AG1086" t="s">
        <v>13137</v>
      </c>
      <c r="AI1086" t="s">
        <v>13138</v>
      </c>
      <c r="AM1086" t="s">
        <v>3975</v>
      </c>
      <c r="AN1086" t="s">
        <v>2413</v>
      </c>
      <c r="AO1086" t="s">
        <v>13139</v>
      </c>
      <c r="AP1086" t="s">
        <v>7024</v>
      </c>
      <c r="AQ1086" t="s">
        <v>13140</v>
      </c>
      <c r="AT1086" s="184"/>
      <c r="AW1086" s="184"/>
      <c r="AZ1086" s="184"/>
      <c r="BP1086" s="184"/>
    </row>
    <row r="1087" spans="1:68">
      <c r="A1087">
        <v>7301450</v>
      </c>
      <c r="B1087">
        <v>7301450</v>
      </c>
      <c r="C1087" t="s">
        <v>7018</v>
      </c>
      <c r="E1087" s="184"/>
      <c r="F1087" t="s">
        <v>595</v>
      </c>
      <c r="G1087" s="184">
        <v>44104</v>
      </c>
      <c r="I1087" s="184"/>
      <c r="K1087" s="184"/>
      <c r="O1087" s="184"/>
      <c r="P1087" t="s">
        <v>7045</v>
      </c>
      <c r="Q1087" t="s">
        <v>7160</v>
      </c>
      <c r="R1087" s="184">
        <v>21855</v>
      </c>
      <c r="S1087">
        <v>64</v>
      </c>
      <c r="U1087" t="s">
        <v>7031</v>
      </c>
      <c r="V1087" t="s">
        <v>4587</v>
      </c>
      <c r="X1087" t="s">
        <v>13144</v>
      </c>
      <c r="AF1087" t="s">
        <v>13145</v>
      </c>
      <c r="AG1087" t="s">
        <v>4587</v>
      </c>
      <c r="AI1087" t="s">
        <v>13146</v>
      </c>
      <c r="AM1087" t="s">
        <v>13147</v>
      </c>
      <c r="AN1087" t="s">
        <v>2413</v>
      </c>
      <c r="AO1087" t="s">
        <v>13148</v>
      </c>
      <c r="AP1087" t="s">
        <v>7024</v>
      </c>
      <c r="AQ1087" t="s">
        <v>13149</v>
      </c>
      <c r="AR1087" t="s">
        <v>13150</v>
      </c>
      <c r="AT1087" s="184">
        <v>33717</v>
      </c>
      <c r="AU1087" t="s">
        <v>13141</v>
      </c>
      <c r="AV1087">
        <v>15</v>
      </c>
      <c r="AW1087" s="184">
        <v>45342</v>
      </c>
      <c r="AX1087" t="s">
        <v>12457</v>
      </c>
      <c r="AY1087">
        <v>50</v>
      </c>
      <c r="AZ1087" s="184">
        <v>41299</v>
      </c>
      <c r="BA1087" t="s">
        <v>13151</v>
      </c>
      <c r="BB1087">
        <v>250</v>
      </c>
      <c r="BC1087">
        <v>100</v>
      </c>
      <c r="BD1087">
        <v>4649</v>
      </c>
      <c r="BE1087">
        <v>1992</v>
      </c>
      <c r="BF1087">
        <v>87</v>
      </c>
      <c r="BG1087">
        <v>4</v>
      </c>
      <c r="BH1087">
        <v>175</v>
      </c>
      <c r="BI1087">
        <v>33</v>
      </c>
      <c r="BJ1087">
        <v>33</v>
      </c>
      <c r="BK1087">
        <v>33</v>
      </c>
      <c r="BP1087" s="184"/>
    </row>
    <row r="1088" spans="1:68">
      <c r="A1088">
        <v>7301609</v>
      </c>
      <c r="B1088">
        <v>7301609</v>
      </c>
      <c r="C1088" t="s">
        <v>7018</v>
      </c>
      <c r="E1088" s="184"/>
      <c r="G1088" s="184"/>
      <c r="I1088" s="184"/>
      <c r="J1088" t="s">
        <v>595</v>
      </c>
      <c r="K1088" s="184">
        <v>42886</v>
      </c>
      <c r="O1088" s="184"/>
      <c r="P1088" t="s">
        <v>7045</v>
      </c>
      <c r="Q1088" t="s">
        <v>7020</v>
      </c>
      <c r="R1088" s="184">
        <v>18568</v>
      </c>
      <c r="S1088">
        <v>73</v>
      </c>
      <c r="U1088" t="s">
        <v>7076</v>
      </c>
      <c r="V1088" t="s">
        <v>3095</v>
      </c>
      <c r="X1088" t="s">
        <v>13152</v>
      </c>
      <c r="AF1088" t="s">
        <v>6048</v>
      </c>
      <c r="AG1088" t="s">
        <v>3095</v>
      </c>
      <c r="AI1088" t="s">
        <v>13153</v>
      </c>
      <c r="AM1088" t="s">
        <v>13154</v>
      </c>
      <c r="AN1088" t="s">
        <v>2112</v>
      </c>
      <c r="AO1088" t="s">
        <v>13155</v>
      </c>
      <c r="AP1088" t="s">
        <v>7024</v>
      </c>
      <c r="AQ1088" t="s">
        <v>13156</v>
      </c>
      <c r="AR1088" t="s">
        <v>13157</v>
      </c>
      <c r="AT1088" s="184">
        <v>33717</v>
      </c>
      <c r="AU1088" t="s">
        <v>13158</v>
      </c>
      <c r="AV1088">
        <v>25</v>
      </c>
      <c r="AW1088" s="184">
        <v>45422</v>
      </c>
      <c r="AX1088" t="s">
        <v>7422</v>
      </c>
      <c r="AY1088">
        <v>42</v>
      </c>
      <c r="AZ1088" s="184">
        <v>43733</v>
      </c>
      <c r="BA1088" t="s">
        <v>13159</v>
      </c>
      <c r="BB1088">
        <v>500</v>
      </c>
      <c r="BC1088">
        <v>100</v>
      </c>
      <c r="BD1088">
        <v>12480</v>
      </c>
      <c r="BE1088">
        <v>1992</v>
      </c>
      <c r="BF1088">
        <v>215</v>
      </c>
      <c r="BG1088">
        <v>28</v>
      </c>
      <c r="BH1088">
        <v>1428</v>
      </c>
      <c r="BI1088">
        <v>33</v>
      </c>
      <c r="BJ1088">
        <v>33</v>
      </c>
      <c r="BK1088">
        <v>33</v>
      </c>
      <c r="BP1088" s="184"/>
    </row>
    <row r="1089" spans="1:68">
      <c r="A1089">
        <v>7318686</v>
      </c>
      <c r="B1089">
        <v>7318686</v>
      </c>
      <c r="C1089" t="s">
        <v>7018</v>
      </c>
      <c r="D1089" t="s">
        <v>595</v>
      </c>
      <c r="E1089" s="184">
        <v>43647</v>
      </c>
      <c r="G1089" s="184"/>
      <c r="I1089" s="184"/>
      <c r="K1089" s="184"/>
      <c r="O1089" s="184"/>
      <c r="P1089" t="s">
        <v>7045</v>
      </c>
      <c r="Q1089" t="s">
        <v>7383</v>
      </c>
      <c r="R1089" s="184">
        <v>20437</v>
      </c>
      <c r="S1089">
        <v>68</v>
      </c>
      <c r="U1089" t="s">
        <v>7094</v>
      </c>
      <c r="V1089" t="s">
        <v>2954</v>
      </c>
      <c r="W1089" t="s">
        <v>4152</v>
      </c>
      <c r="X1089" t="s">
        <v>3509</v>
      </c>
      <c r="AF1089" t="s">
        <v>13160</v>
      </c>
      <c r="AG1089" t="s">
        <v>2954</v>
      </c>
      <c r="AI1089" t="s">
        <v>13161</v>
      </c>
      <c r="AM1089" t="s">
        <v>3510</v>
      </c>
      <c r="AN1089" t="s">
        <v>2185</v>
      </c>
      <c r="AO1089" t="s">
        <v>13162</v>
      </c>
      <c r="AP1089" t="s">
        <v>7024</v>
      </c>
      <c r="AT1089" s="184">
        <v>33721</v>
      </c>
      <c r="AU1089" t="s">
        <v>13163</v>
      </c>
      <c r="AV1089">
        <v>15</v>
      </c>
      <c r="AW1089" s="184">
        <v>44123</v>
      </c>
      <c r="AX1089" t="s">
        <v>13164</v>
      </c>
      <c r="AY1089">
        <v>5</v>
      </c>
      <c r="AZ1089" s="184">
        <v>34029</v>
      </c>
      <c r="BA1089" t="s">
        <v>13165</v>
      </c>
      <c r="BB1089">
        <v>60</v>
      </c>
      <c r="BC1089">
        <v>40</v>
      </c>
      <c r="BD1089">
        <v>127</v>
      </c>
      <c r="BE1089">
        <v>1992</v>
      </c>
      <c r="BF1089">
        <v>13</v>
      </c>
      <c r="BI1089">
        <v>13</v>
      </c>
      <c r="BJ1089">
        <v>33</v>
      </c>
      <c r="BK1089">
        <v>3</v>
      </c>
    </row>
    <row r="1090" spans="1:68">
      <c r="A1090">
        <v>7322688</v>
      </c>
      <c r="B1090">
        <v>7322688</v>
      </c>
      <c r="C1090" t="s">
        <v>7018</v>
      </c>
      <c r="D1090" t="s">
        <v>595</v>
      </c>
      <c r="E1090" s="184">
        <v>45181</v>
      </c>
      <c r="G1090" s="184"/>
      <c r="I1090" s="184"/>
      <c r="K1090" s="184"/>
      <c r="O1090" s="184"/>
      <c r="P1090" t="s">
        <v>7045</v>
      </c>
      <c r="Q1090" t="s">
        <v>7454</v>
      </c>
      <c r="R1090" s="184">
        <v>16893</v>
      </c>
      <c r="S1090">
        <v>78</v>
      </c>
      <c r="U1090" t="s">
        <v>7076</v>
      </c>
      <c r="V1090" t="s">
        <v>2718</v>
      </c>
      <c r="X1090" t="s">
        <v>13166</v>
      </c>
      <c r="AF1090" t="s">
        <v>13167</v>
      </c>
      <c r="AG1090" t="s">
        <v>2718</v>
      </c>
      <c r="AI1090" t="s">
        <v>13168</v>
      </c>
      <c r="AM1090" t="s">
        <v>4788</v>
      </c>
      <c r="AN1090" t="s">
        <v>2055</v>
      </c>
      <c r="AO1090" t="s">
        <v>13169</v>
      </c>
      <c r="AP1090" t="s">
        <v>7024</v>
      </c>
      <c r="AQ1090" t="s">
        <v>13170</v>
      </c>
      <c r="AT1090" s="184">
        <v>33723</v>
      </c>
      <c r="AU1090" t="s">
        <v>13158</v>
      </c>
      <c r="AV1090">
        <v>15</v>
      </c>
      <c r="AW1090" s="184">
        <v>45336</v>
      </c>
      <c r="AX1090" t="s">
        <v>13171</v>
      </c>
      <c r="AY1090">
        <v>5</v>
      </c>
      <c r="AZ1090" s="184">
        <v>43815</v>
      </c>
      <c r="BA1090" t="s">
        <v>13172</v>
      </c>
      <c r="BB1090">
        <v>60</v>
      </c>
      <c r="BC1090">
        <v>58</v>
      </c>
      <c r="BD1090">
        <v>475</v>
      </c>
      <c r="BE1090">
        <v>1992</v>
      </c>
      <c r="BF1090">
        <v>21</v>
      </c>
      <c r="BG1090">
        <v>3</v>
      </c>
      <c r="BH1090">
        <v>40</v>
      </c>
      <c r="BI1090">
        <v>19</v>
      </c>
      <c r="BJ1090">
        <v>33</v>
      </c>
      <c r="BK1090">
        <v>8</v>
      </c>
    </row>
    <row r="1091" spans="1:68">
      <c r="A1091">
        <v>7331937</v>
      </c>
      <c r="B1091">
        <v>7331937</v>
      </c>
      <c r="C1091" t="s">
        <v>7018</v>
      </c>
      <c r="E1091" s="184"/>
      <c r="G1091" s="184"/>
      <c r="I1091" s="184"/>
      <c r="J1091" t="s">
        <v>595</v>
      </c>
      <c r="K1091" s="184">
        <v>40932</v>
      </c>
      <c r="O1091" s="184"/>
      <c r="P1091" t="s">
        <v>7029</v>
      </c>
      <c r="Q1091" t="s">
        <v>7262</v>
      </c>
      <c r="R1091" s="184">
        <v>22765</v>
      </c>
      <c r="S1091">
        <v>62</v>
      </c>
      <c r="U1091" t="s">
        <v>7076</v>
      </c>
      <c r="V1091" t="s">
        <v>3336</v>
      </c>
      <c r="W1091" t="s">
        <v>7107</v>
      </c>
      <c r="X1091" t="s">
        <v>13173</v>
      </c>
      <c r="AF1091" t="s">
        <v>6072</v>
      </c>
      <c r="AG1091" t="s">
        <v>3336</v>
      </c>
      <c r="AI1091" t="s">
        <v>13174</v>
      </c>
      <c r="AM1091" t="s">
        <v>13175</v>
      </c>
      <c r="AN1091" t="s">
        <v>2069</v>
      </c>
      <c r="AO1091" t="s">
        <v>13176</v>
      </c>
      <c r="AP1091" t="s">
        <v>7024</v>
      </c>
      <c r="AQ1091" t="s">
        <v>13177</v>
      </c>
      <c r="AR1091" t="s">
        <v>13178</v>
      </c>
      <c r="AT1091" s="184">
        <v>33723</v>
      </c>
      <c r="AU1091" t="s">
        <v>13179</v>
      </c>
      <c r="AV1091">
        <v>15</v>
      </c>
      <c r="AW1091" s="184">
        <v>44558</v>
      </c>
      <c r="AX1091" t="s">
        <v>9028</v>
      </c>
      <c r="AY1091">
        <v>1000</v>
      </c>
      <c r="AZ1091" s="184">
        <v>44558</v>
      </c>
      <c r="BA1091" t="s">
        <v>9028</v>
      </c>
      <c r="BB1091">
        <v>1000</v>
      </c>
      <c r="BC1091">
        <v>67</v>
      </c>
      <c r="BD1091">
        <v>9770</v>
      </c>
      <c r="BE1091">
        <v>1992</v>
      </c>
      <c r="BF1091">
        <v>31</v>
      </c>
      <c r="BI1091">
        <v>22</v>
      </c>
      <c r="BJ1091">
        <v>33</v>
      </c>
      <c r="BK1091">
        <v>8</v>
      </c>
      <c r="BP1091" s="184"/>
    </row>
    <row r="1092" spans="1:68">
      <c r="A1092">
        <v>7372071</v>
      </c>
      <c r="B1092">
        <v>7372071</v>
      </c>
      <c r="C1092" t="s">
        <v>7018</v>
      </c>
      <c r="E1092" s="184"/>
      <c r="G1092" s="184"/>
      <c r="I1092" s="184"/>
      <c r="K1092" s="184"/>
      <c r="N1092" t="s">
        <v>595</v>
      </c>
      <c r="O1092" s="184">
        <v>42705</v>
      </c>
      <c r="P1092" t="s">
        <v>7029</v>
      </c>
      <c r="Q1092" t="s">
        <v>7383</v>
      </c>
      <c r="R1092" s="184">
        <v>9910</v>
      </c>
      <c r="S1092">
        <v>97</v>
      </c>
      <c r="U1092" t="s">
        <v>7076</v>
      </c>
      <c r="V1092" t="s">
        <v>5638</v>
      </c>
      <c r="W1092" t="s">
        <v>4152</v>
      </c>
      <c r="X1092" t="s">
        <v>13180</v>
      </c>
      <c r="AF1092" t="s">
        <v>13181</v>
      </c>
      <c r="AG1092" t="s">
        <v>5638</v>
      </c>
      <c r="AI1092" t="s">
        <v>13182</v>
      </c>
      <c r="AM1092" t="s">
        <v>4206</v>
      </c>
      <c r="AN1092" t="s">
        <v>2072</v>
      </c>
      <c r="AO1092" t="s">
        <v>13183</v>
      </c>
      <c r="AP1092" t="s">
        <v>7024</v>
      </c>
      <c r="AT1092" s="184">
        <v>33732</v>
      </c>
      <c r="AU1092" t="s">
        <v>13184</v>
      </c>
      <c r="AV1092">
        <v>15</v>
      </c>
      <c r="AW1092" s="184">
        <v>44343</v>
      </c>
      <c r="AX1092" t="s">
        <v>13185</v>
      </c>
      <c r="AY1092">
        <v>1000</v>
      </c>
      <c r="AZ1092" s="184">
        <v>42705</v>
      </c>
      <c r="BA1092" t="s">
        <v>7267</v>
      </c>
      <c r="BB1092">
        <v>25000</v>
      </c>
      <c r="BC1092">
        <v>88</v>
      </c>
      <c r="BD1092">
        <v>28675</v>
      </c>
      <c r="BE1092">
        <v>1992</v>
      </c>
      <c r="BF1092">
        <v>46</v>
      </c>
      <c r="BI1092">
        <v>29</v>
      </c>
      <c r="BJ1092">
        <v>33</v>
      </c>
      <c r="BK1092">
        <v>28</v>
      </c>
      <c r="BP1092" s="184"/>
    </row>
    <row r="1093" spans="1:68">
      <c r="A1093">
        <v>7382641</v>
      </c>
      <c r="B1093">
        <v>7382641</v>
      </c>
      <c r="C1093" t="s">
        <v>7018</v>
      </c>
      <c r="D1093" t="s">
        <v>595</v>
      </c>
      <c r="E1093" s="184">
        <v>44328</v>
      </c>
      <c r="G1093" s="184"/>
      <c r="I1093" s="184"/>
      <c r="K1093" s="184"/>
      <c r="O1093" s="184"/>
      <c r="P1093" t="s">
        <v>7045</v>
      </c>
      <c r="Q1093" t="s">
        <v>7383</v>
      </c>
      <c r="R1093" s="184">
        <v>17503</v>
      </c>
      <c r="S1093">
        <v>76</v>
      </c>
      <c r="U1093" t="s">
        <v>7031</v>
      </c>
      <c r="V1093" t="s">
        <v>3103</v>
      </c>
      <c r="W1093" t="s">
        <v>2049</v>
      </c>
      <c r="X1093" t="s">
        <v>13186</v>
      </c>
      <c r="AF1093" t="s">
        <v>13187</v>
      </c>
      <c r="AG1093" t="s">
        <v>3103</v>
      </c>
      <c r="AI1093" t="s">
        <v>13188</v>
      </c>
      <c r="AM1093" t="s">
        <v>4031</v>
      </c>
      <c r="AN1093" t="s">
        <v>2059</v>
      </c>
      <c r="AO1093" t="s">
        <v>13189</v>
      </c>
      <c r="AP1093" t="s">
        <v>7024</v>
      </c>
      <c r="AQ1093" t="s">
        <v>13190</v>
      </c>
      <c r="AR1093" t="s">
        <v>13191</v>
      </c>
      <c r="AT1093" s="184">
        <v>33735</v>
      </c>
      <c r="AU1093" t="s">
        <v>13192</v>
      </c>
      <c r="AV1093">
        <v>15</v>
      </c>
      <c r="AW1093" s="184">
        <v>44767</v>
      </c>
      <c r="AX1093" t="s">
        <v>13193</v>
      </c>
      <c r="AY1093">
        <v>25</v>
      </c>
      <c r="AZ1093" s="184">
        <v>41729</v>
      </c>
      <c r="BA1093" t="s">
        <v>13194</v>
      </c>
      <c r="BB1093">
        <v>50</v>
      </c>
      <c r="BC1093">
        <v>70</v>
      </c>
      <c r="BD1093">
        <v>910</v>
      </c>
      <c r="BE1093">
        <v>1992</v>
      </c>
      <c r="BF1093">
        <v>30</v>
      </c>
      <c r="BG1093">
        <v>1</v>
      </c>
      <c r="BH1093">
        <v>25</v>
      </c>
      <c r="BI1093">
        <v>23</v>
      </c>
      <c r="BJ1093">
        <v>33</v>
      </c>
      <c r="BK1093">
        <v>6</v>
      </c>
      <c r="BP1093" s="184"/>
    </row>
    <row r="1094" spans="1:68">
      <c r="A1094">
        <v>7395908</v>
      </c>
      <c r="B1094">
        <v>7395908</v>
      </c>
      <c r="C1094" t="s">
        <v>7018</v>
      </c>
      <c r="E1094" s="184"/>
      <c r="G1094" s="184"/>
      <c r="I1094" s="184"/>
      <c r="J1094" t="s">
        <v>595</v>
      </c>
      <c r="K1094" s="184">
        <v>41957</v>
      </c>
      <c r="O1094" s="184"/>
      <c r="P1094" t="s">
        <v>7019</v>
      </c>
      <c r="Q1094" t="s">
        <v>7383</v>
      </c>
      <c r="R1094" s="184">
        <v>11139</v>
      </c>
      <c r="S1094">
        <v>93</v>
      </c>
      <c r="U1094" t="s">
        <v>7076</v>
      </c>
      <c r="V1094" t="s">
        <v>5400</v>
      </c>
      <c r="X1094" t="s">
        <v>13195</v>
      </c>
      <c r="AF1094" t="s">
        <v>6536</v>
      </c>
      <c r="AG1094" t="s">
        <v>5400</v>
      </c>
      <c r="AI1094" t="s">
        <v>13196</v>
      </c>
      <c r="AM1094" t="s">
        <v>3488</v>
      </c>
      <c r="AN1094" t="s">
        <v>2072</v>
      </c>
      <c r="AO1094" t="s">
        <v>13197</v>
      </c>
      <c r="AP1094" t="s">
        <v>7024</v>
      </c>
      <c r="AQ1094" t="s">
        <v>13198</v>
      </c>
      <c r="AR1094" t="s">
        <v>13199</v>
      </c>
      <c r="AT1094" s="184">
        <v>33736</v>
      </c>
      <c r="AU1094" t="s">
        <v>13200</v>
      </c>
      <c r="AV1094">
        <v>15</v>
      </c>
      <c r="AW1094" s="184">
        <v>42627</v>
      </c>
      <c r="AX1094" t="s">
        <v>13201</v>
      </c>
      <c r="AY1094">
        <v>15</v>
      </c>
      <c r="AZ1094" s="184">
        <v>40904</v>
      </c>
      <c r="BA1094" t="s">
        <v>13202</v>
      </c>
      <c r="BB1094">
        <v>60</v>
      </c>
      <c r="BC1094">
        <v>70</v>
      </c>
      <c r="BD1094">
        <v>670</v>
      </c>
      <c r="BE1094">
        <v>1992</v>
      </c>
      <c r="BF1094">
        <v>29</v>
      </c>
      <c r="BI1094">
        <v>23</v>
      </c>
      <c r="BJ1094">
        <v>33</v>
      </c>
      <c r="BK1094">
        <v>15</v>
      </c>
      <c r="BN1094" t="s">
        <v>595</v>
      </c>
      <c r="BP1094" s="184"/>
    </row>
    <row r="1095" spans="1:68">
      <c r="A1095">
        <v>7411457</v>
      </c>
      <c r="B1095">
        <v>7411457</v>
      </c>
      <c r="C1095" t="s">
        <v>7018</v>
      </c>
      <c r="E1095" s="184"/>
      <c r="G1095" s="184"/>
      <c r="I1095" s="184"/>
      <c r="J1095" t="s">
        <v>595</v>
      </c>
      <c r="K1095" s="184">
        <v>43745</v>
      </c>
      <c r="O1095" s="184"/>
      <c r="P1095" t="s">
        <v>7045</v>
      </c>
      <c r="Q1095" t="s">
        <v>7454</v>
      </c>
      <c r="R1095" s="184">
        <v>17838</v>
      </c>
      <c r="S1095">
        <v>75</v>
      </c>
      <c r="U1095" t="s">
        <v>7031</v>
      </c>
      <c r="V1095" t="s">
        <v>3689</v>
      </c>
      <c r="X1095" t="s">
        <v>4066</v>
      </c>
      <c r="Z1095">
        <v>100030977</v>
      </c>
      <c r="AA1095" t="s">
        <v>7076</v>
      </c>
      <c r="AB1095" t="s">
        <v>3293</v>
      </c>
      <c r="AD1095" t="s">
        <v>4066</v>
      </c>
      <c r="AF1095" t="s">
        <v>13203</v>
      </c>
      <c r="AG1095" t="s">
        <v>13204</v>
      </c>
      <c r="AI1095" t="s">
        <v>13205</v>
      </c>
      <c r="AM1095" t="s">
        <v>4067</v>
      </c>
      <c r="AN1095" t="s">
        <v>2055</v>
      </c>
      <c r="AO1095" t="s">
        <v>13206</v>
      </c>
      <c r="AP1095" t="s">
        <v>7024</v>
      </c>
      <c r="AQ1095" t="s">
        <v>13207</v>
      </c>
      <c r="AR1095" t="s">
        <v>13208</v>
      </c>
      <c r="AT1095" s="184">
        <v>33737</v>
      </c>
      <c r="AU1095" t="s">
        <v>13209</v>
      </c>
      <c r="AV1095">
        <v>15</v>
      </c>
      <c r="AW1095" s="184">
        <v>45006</v>
      </c>
      <c r="AX1095" t="s">
        <v>13210</v>
      </c>
      <c r="AY1095">
        <v>100</v>
      </c>
      <c r="AZ1095" s="184">
        <v>39185</v>
      </c>
      <c r="BA1095" t="s">
        <v>13211</v>
      </c>
      <c r="BB1095">
        <v>200</v>
      </c>
      <c r="BC1095">
        <v>85</v>
      </c>
      <c r="BD1095">
        <v>3895</v>
      </c>
      <c r="BE1095">
        <v>1992</v>
      </c>
      <c r="BF1095">
        <v>74</v>
      </c>
      <c r="BG1095">
        <v>1</v>
      </c>
      <c r="BH1095">
        <v>100</v>
      </c>
      <c r="BI1095">
        <v>28</v>
      </c>
      <c r="BJ1095">
        <v>33</v>
      </c>
      <c r="BK1095">
        <v>19</v>
      </c>
      <c r="BP1095" s="184"/>
    </row>
    <row r="1096" spans="1:68">
      <c r="A1096">
        <v>100030977</v>
      </c>
      <c r="B1096">
        <v>7411457</v>
      </c>
      <c r="C1096" t="s">
        <v>7018</v>
      </c>
      <c r="E1096" s="184"/>
      <c r="G1096" s="184"/>
      <c r="I1096" s="184"/>
      <c r="J1096" t="s">
        <v>595</v>
      </c>
      <c r="K1096" s="184">
        <v>43745</v>
      </c>
      <c r="O1096" s="184"/>
      <c r="P1096" t="s">
        <v>7045</v>
      </c>
      <c r="Q1096" t="s">
        <v>7454</v>
      </c>
      <c r="R1096" s="184">
        <v>17838</v>
      </c>
      <c r="S1096">
        <v>75</v>
      </c>
      <c r="U1096" t="s">
        <v>7076</v>
      </c>
      <c r="V1096" t="s">
        <v>3293</v>
      </c>
      <c r="X1096" t="s">
        <v>4066</v>
      </c>
      <c r="Z1096">
        <v>7411457</v>
      </c>
      <c r="AA1096" t="s">
        <v>7031</v>
      </c>
      <c r="AB1096" t="s">
        <v>3689</v>
      </c>
      <c r="AD1096" t="s">
        <v>4066</v>
      </c>
      <c r="AF1096" t="s">
        <v>13203</v>
      </c>
      <c r="AG1096" t="s">
        <v>13204</v>
      </c>
      <c r="AI1096" t="s">
        <v>13205</v>
      </c>
      <c r="AM1096" t="s">
        <v>4067</v>
      </c>
      <c r="AN1096" t="s">
        <v>2055</v>
      </c>
      <c r="AO1096" t="s">
        <v>13206</v>
      </c>
      <c r="AP1096" t="s">
        <v>7024</v>
      </c>
      <c r="AQ1096" t="s">
        <v>13207</v>
      </c>
      <c r="AR1096" t="s">
        <v>13212</v>
      </c>
      <c r="AT1096" s="184">
        <v>45258</v>
      </c>
      <c r="AU1096" t="s">
        <v>13213</v>
      </c>
      <c r="AV1096">
        <v>25</v>
      </c>
      <c r="AW1096" s="184">
        <v>45258</v>
      </c>
      <c r="AX1096" t="s">
        <v>13213</v>
      </c>
      <c r="AY1096">
        <v>25</v>
      </c>
      <c r="AZ1096" s="184">
        <v>45258</v>
      </c>
      <c r="BA1096" t="s">
        <v>13213</v>
      </c>
      <c r="BB1096">
        <v>25</v>
      </c>
      <c r="BC1096">
        <v>50</v>
      </c>
      <c r="BD1096">
        <v>25</v>
      </c>
      <c r="BE1096">
        <v>2024</v>
      </c>
      <c r="BF1096">
        <v>1</v>
      </c>
      <c r="BG1096">
        <v>1</v>
      </c>
      <c r="BH1096">
        <v>25</v>
      </c>
      <c r="BI1096">
        <v>1</v>
      </c>
      <c r="BJ1096">
        <v>2</v>
      </c>
      <c r="BK1096">
        <v>1</v>
      </c>
      <c r="BP1096" s="184"/>
    </row>
    <row r="1097" spans="1:68">
      <c r="A1097">
        <v>7422553</v>
      </c>
      <c r="B1097">
        <v>7422553</v>
      </c>
      <c r="C1097" t="s">
        <v>7018</v>
      </c>
      <c r="E1097" s="184"/>
      <c r="G1097" s="184"/>
      <c r="H1097" t="s">
        <v>595</v>
      </c>
      <c r="I1097" s="184">
        <v>44025</v>
      </c>
      <c r="K1097" s="184"/>
      <c r="O1097" s="184"/>
      <c r="P1097" t="s">
        <v>7045</v>
      </c>
      <c r="Q1097" t="s">
        <v>7262</v>
      </c>
      <c r="R1097" s="184">
        <v>12141</v>
      </c>
      <c r="S1097">
        <v>91</v>
      </c>
      <c r="U1097" t="s">
        <v>7031</v>
      </c>
      <c r="V1097" t="s">
        <v>2697</v>
      </c>
      <c r="X1097" t="s">
        <v>4835</v>
      </c>
      <c r="Z1097">
        <v>100031004</v>
      </c>
      <c r="AA1097" t="s">
        <v>7076</v>
      </c>
      <c r="AB1097" t="s">
        <v>3131</v>
      </c>
      <c r="AD1097" t="s">
        <v>13214</v>
      </c>
      <c r="AF1097" t="s">
        <v>13215</v>
      </c>
      <c r="AG1097" t="s">
        <v>13216</v>
      </c>
      <c r="AI1097" t="s">
        <v>13217</v>
      </c>
      <c r="AM1097" t="s">
        <v>3352</v>
      </c>
      <c r="AN1097" t="s">
        <v>2106</v>
      </c>
      <c r="AO1097" t="s">
        <v>13218</v>
      </c>
      <c r="AP1097" t="s">
        <v>7024</v>
      </c>
      <c r="AQ1097" t="s">
        <v>13219</v>
      </c>
      <c r="AR1097" t="s">
        <v>13220</v>
      </c>
      <c r="AT1097" s="184">
        <v>33738</v>
      </c>
      <c r="AU1097" t="s">
        <v>13015</v>
      </c>
      <c r="AV1097">
        <v>15</v>
      </c>
      <c r="AW1097" s="184">
        <v>43941</v>
      </c>
      <c r="AX1097" t="s">
        <v>13221</v>
      </c>
      <c r="AY1097">
        <v>87</v>
      </c>
      <c r="AZ1097" s="184">
        <v>43941</v>
      </c>
      <c r="BA1097" t="s">
        <v>13221</v>
      </c>
      <c r="BB1097">
        <v>87</v>
      </c>
      <c r="BC1097">
        <v>43</v>
      </c>
      <c r="BD1097">
        <v>759</v>
      </c>
      <c r="BE1097">
        <v>1992</v>
      </c>
      <c r="BF1097">
        <v>15</v>
      </c>
      <c r="BI1097">
        <v>14</v>
      </c>
      <c r="BJ1097">
        <v>33</v>
      </c>
      <c r="BK1097">
        <v>4</v>
      </c>
      <c r="BN1097" t="s">
        <v>595</v>
      </c>
      <c r="BP1097" s="184"/>
    </row>
    <row r="1098" spans="1:68">
      <c r="A1098">
        <v>100031004</v>
      </c>
      <c r="B1098">
        <v>7422553</v>
      </c>
      <c r="C1098" t="s">
        <v>7018</v>
      </c>
      <c r="E1098" s="184"/>
      <c r="G1098" s="184"/>
      <c r="H1098" t="s">
        <v>595</v>
      </c>
      <c r="I1098" s="184">
        <v>44025</v>
      </c>
      <c r="K1098" s="184"/>
      <c r="O1098" s="184"/>
      <c r="P1098" t="s">
        <v>7045</v>
      </c>
      <c r="Q1098" t="s">
        <v>7262</v>
      </c>
      <c r="R1098" s="184">
        <v>12114</v>
      </c>
      <c r="S1098">
        <v>91</v>
      </c>
      <c r="U1098" t="s">
        <v>7076</v>
      </c>
      <c r="V1098" t="s">
        <v>3131</v>
      </c>
      <c r="X1098" t="s">
        <v>13214</v>
      </c>
      <c r="Z1098">
        <v>7422553</v>
      </c>
      <c r="AA1098" t="s">
        <v>7031</v>
      </c>
      <c r="AB1098" t="s">
        <v>2697</v>
      </c>
      <c r="AD1098" t="s">
        <v>4835</v>
      </c>
      <c r="AF1098" t="s">
        <v>13215</v>
      </c>
      <c r="AG1098" t="s">
        <v>13216</v>
      </c>
      <c r="AI1098" t="s">
        <v>13217</v>
      </c>
      <c r="AM1098" t="s">
        <v>3352</v>
      </c>
      <c r="AN1098" t="s">
        <v>2106</v>
      </c>
      <c r="AO1098" t="s">
        <v>13218</v>
      </c>
      <c r="AP1098" t="s">
        <v>7024</v>
      </c>
      <c r="AT1098" s="184"/>
      <c r="AW1098" s="184"/>
      <c r="AZ1098" s="184"/>
      <c r="BP1098" s="184"/>
    </row>
    <row r="1099" spans="1:68">
      <c r="A1099">
        <v>7432834</v>
      </c>
      <c r="B1099">
        <v>7432834</v>
      </c>
      <c r="C1099" t="s">
        <v>7018</v>
      </c>
      <c r="E1099" s="184"/>
      <c r="G1099" s="184"/>
      <c r="I1099" s="184"/>
      <c r="J1099" t="s">
        <v>595</v>
      </c>
      <c r="K1099" s="184">
        <v>41711</v>
      </c>
      <c r="O1099" s="184"/>
      <c r="P1099" t="s">
        <v>7019</v>
      </c>
      <c r="Q1099" t="s">
        <v>7494</v>
      </c>
      <c r="R1099" s="184">
        <v>15152</v>
      </c>
      <c r="S1099">
        <v>82</v>
      </c>
      <c r="U1099" t="s">
        <v>7076</v>
      </c>
      <c r="V1099" t="s">
        <v>13222</v>
      </c>
      <c r="W1099" t="s">
        <v>7396</v>
      </c>
      <c r="X1099" t="s">
        <v>13223</v>
      </c>
      <c r="AF1099" t="s">
        <v>6245</v>
      </c>
      <c r="AG1099" t="s">
        <v>13224</v>
      </c>
      <c r="AI1099" t="s">
        <v>13225</v>
      </c>
      <c r="AM1099" t="s">
        <v>13226</v>
      </c>
      <c r="AN1099" t="s">
        <v>2174</v>
      </c>
      <c r="AO1099" t="s">
        <v>13227</v>
      </c>
      <c r="AP1099" t="s">
        <v>7024</v>
      </c>
      <c r="AQ1099" t="s">
        <v>13228</v>
      </c>
      <c r="AR1099" t="s">
        <v>13229</v>
      </c>
      <c r="AT1099" s="184">
        <v>33738</v>
      </c>
      <c r="AU1099" t="s">
        <v>13230</v>
      </c>
      <c r="AV1099">
        <v>25</v>
      </c>
      <c r="AW1099" s="184">
        <v>42671</v>
      </c>
      <c r="AX1099" t="s">
        <v>13231</v>
      </c>
      <c r="AY1099">
        <v>100</v>
      </c>
      <c r="AZ1099" s="184">
        <v>42206</v>
      </c>
      <c r="BA1099" t="s">
        <v>13232</v>
      </c>
      <c r="BB1099">
        <v>150</v>
      </c>
      <c r="BC1099">
        <v>73</v>
      </c>
      <c r="BD1099">
        <v>2205.25</v>
      </c>
      <c r="BE1099">
        <v>1992</v>
      </c>
      <c r="BF1099">
        <v>68</v>
      </c>
      <c r="BI1099">
        <v>24</v>
      </c>
      <c r="BJ1099">
        <v>33</v>
      </c>
      <c r="BK1099">
        <v>22</v>
      </c>
      <c r="BN1099" t="s">
        <v>595</v>
      </c>
      <c r="BO1099" t="s">
        <v>595</v>
      </c>
      <c r="BP1099" s="184"/>
    </row>
    <row r="1100" spans="1:68">
      <c r="A1100">
        <v>7438518</v>
      </c>
      <c r="B1100">
        <v>7438518</v>
      </c>
      <c r="C1100" t="s">
        <v>7018</v>
      </c>
      <c r="E1100" s="184"/>
      <c r="F1100" t="s">
        <v>595</v>
      </c>
      <c r="G1100" s="184">
        <v>43647</v>
      </c>
      <c r="K1100" s="184"/>
      <c r="O1100" s="184"/>
      <c r="P1100" t="s">
        <v>7045</v>
      </c>
      <c r="Q1100" t="s">
        <v>7030</v>
      </c>
      <c r="R1100" s="184">
        <v>12894</v>
      </c>
      <c r="S1100">
        <v>89</v>
      </c>
      <c r="U1100" t="s">
        <v>7076</v>
      </c>
      <c r="V1100" t="s">
        <v>3290</v>
      </c>
      <c r="W1100" t="s">
        <v>7407</v>
      </c>
      <c r="X1100" t="s">
        <v>3405</v>
      </c>
      <c r="AF1100" t="s">
        <v>13233</v>
      </c>
      <c r="AG1100" t="s">
        <v>3290</v>
      </c>
      <c r="AI1100" t="s">
        <v>13234</v>
      </c>
      <c r="AM1100" t="s">
        <v>7900</v>
      </c>
      <c r="AN1100" t="s">
        <v>2094</v>
      </c>
      <c r="AO1100" t="s">
        <v>13235</v>
      </c>
      <c r="AP1100" t="s">
        <v>7024</v>
      </c>
      <c r="AT1100" s="184">
        <v>33739</v>
      </c>
      <c r="AU1100" t="s">
        <v>13236</v>
      </c>
      <c r="AV1100">
        <v>15</v>
      </c>
      <c r="AW1100" s="184">
        <v>44620</v>
      </c>
      <c r="AX1100" t="s">
        <v>13237</v>
      </c>
      <c r="AY1100">
        <v>25</v>
      </c>
      <c r="AZ1100" s="184">
        <v>44620</v>
      </c>
      <c r="BA1100" t="s">
        <v>13237</v>
      </c>
      <c r="BB1100">
        <v>25</v>
      </c>
      <c r="BC1100">
        <v>46</v>
      </c>
      <c r="BD1100">
        <v>300</v>
      </c>
      <c r="BE1100">
        <v>1992</v>
      </c>
      <c r="BF1100">
        <v>18</v>
      </c>
      <c r="BI1100">
        <v>15</v>
      </c>
      <c r="BJ1100">
        <v>33</v>
      </c>
      <c r="BK1100">
        <v>4</v>
      </c>
      <c r="BP1100" s="184"/>
    </row>
    <row r="1101" spans="1:68">
      <c r="A1101">
        <v>7464852</v>
      </c>
      <c r="B1101">
        <v>7464852</v>
      </c>
      <c r="C1101" t="s">
        <v>7018</v>
      </c>
      <c r="E1101" s="184"/>
      <c r="G1101" s="184"/>
      <c r="I1101" s="184"/>
      <c r="J1101" t="s">
        <v>595</v>
      </c>
      <c r="K1101" s="184">
        <v>44699</v>
      </c>
      <c r="O1101" s="184"/>
      <c r="P1101" t="s">
        <v>7045</v>
      </c>
      <c r="Q1101" t="s">
        <v>7374</v>
      </c>
      <c r="R1101" s="184">
        <v>20972</v>
      </c>
      <c r="S1101">
        <v>66</v>
      </c>
      <c r="U1101" t="s">
        <v>7076</v>
      </c>
      <c r="V1101" t="s">
        <v>13238</v>
      </c>
      <c r="X1101" t="s">
        <v>13239</v>
      </c>
      <c r="AF1101" t="s">
        <v>13240</v>
      </c>
      <c r="AG1101" t="s">
        <v>13238</v>
      </c>
      <c r="AI1101" t="s">
        <v>13241</v>
      </c>
      <c r="AM1101" t="s">
        <v>13242</v>
      </c>
      <c r="AN1101" t="s">
        <v>2081</v>
      </c>
      <c r="AO1101" t="s">
        <v>13243</v>
      </c>
      <c r="AP1101" t="s">
        <v>7024</v>
      </c>
      <c r="AQ1101" t="s">
        <v>13244</v>
      </c>
      <c r="AR1101" t="s">
        <v>13245</v>
      </c>
      <c r="AT1101" s="184">
        <v>33743</v>
      </c>
      <c r="AU1101" t="s">
        <v>13246</v>
      </c>
      <c r="AV1101">
        <v>15</v>
      </c>
      <c r="AW1101" s="184">
        <v>45056</v>
      </c>
      <c r="AX1101" t="s">
        <v>10138</v>
      </c>
      <c r="AY1101">
        <v>35</v>
      </c>
      <c r="AZ1101" s="184">
        <v>36706</v>
      </c>
      <c r="BA1101" t="s">
        <v>13247</v>
      </c>
      <c r="BB1101">
        <v>100</v>
      </c>
      <c r="BC1101">
        <v>94</v>
      </c>
      <c r="BD1101">
        <v>1375</v>
      </c>
      <c r="BE1101">
        <v>1992</v>
      </c>
      <c r="BF1101">
        <v>40</v>
      </c>
      <c r="BG1101">
        <v>1</v>
      </c>
      <c r="BH1101">
        <v>35</v>
      </c>
      <c r="BI1101">
        <v>31</v>
      </c>
      <c r="BJ1101">
        <v>33</v>
      </c>
      <c r="BK1101">
        <v>22</v>
      </c>
      <c r="BN1101" t="s">
        <v>595</v>
      </c>
      <c r="BP1101" s="184"/>
    </row>
    <row r="1102" spans="1:68">
      <c r="A1102">
        <v>7486350</v>
      </c>
      <c r="B1102">
        <v>7486350</v>
      </c>
      <c r="C1102" t="s">
        <v>7018</v>
      </c>
      <c r="D1102" t="s">
        <v>595</v>
      </c>
      <c r="E1102" s="184">
        <v>44104</v>
      </c>
      <c r="G1102" s="184"/>
      <c r="I1102" s="184"/>
      <c r="K1102" s="184"/>
      <c r="O1102" s="184"/>
      <c r="P1102" t="s">
        <v>7045</v>
      </c>
      <c r="Q1102" t="s">
        <v>7020</v>
      </c>
      <c r="R1102" s="184">
        <v>20241</v>
      </c>
      <c r="S1102">
        <v>68</v>
      </c>
      <c r="U1102" t="s">
        <v>7076</v>
      </c>
      <c r="V1102" t="s">
        <v>13248</v>
      </c>
      <c r="X1102" t="s">
        <v>5622</v>
      </c>
      <c r="AF1102" t="s">
        <v>13249</v>
      </c>
      <c r="AG1102" t="s">
        <v>13248</v>
      </c>
      <c r="AI1102" t="s">
        <v>13250</v>
      </c>
      <c r="AM1102" t="s">
        <v>3130</v>
      </c>
      <c r="AN1102" t="s">
        <v>2052</v>
      </c>
      <c r="AO1102" t="s">
        <v>13251</v>
      </c>
      <c r="AP1102" t="s">
        <v>7024</v>
      </c>
      <c r="AT1102" s="184">
        <v>33745</v>
      </c>
      <c r="AU1102" t="s">
        <v>8532</v>
      </c>
      <c r="AV1102">
        <v>25</v>
      </c>
      <c r="AW1102" s="184">
        <v>44932</v>
      </c>
      <c r="AX1102" t="s">
        <v>13252</v>
      </c>
      <c r="AY1102">
        <v>25</v>
      </c>
      <c r="AZ1102" s="184">
        <v>34974</v>
      </c>
      <c r="BA1102" t="s">
        <v>13253</v>
      </c>
      <c r="BB1102">
        <v>60</v>
      </c>
      <c r="BC1102">
        <v>52</v>
      </c>
      <c r="BD1102">
        <v>655</v>
      </c>
      <c r="BE1102">
        <v>1992</v>
      </c>
      <c r="BF1102">
        <v>28</v>
      </c>
      <c r="BG1102">
        <v>1</v>
      </c>
      <c r="BH1102">
        <v>25</v>
      </c>
      <c r="BI1102">
        <v>17</v>
      </c>
      <c r="BJ1102">
        <v>33</v>
      </c>
      <c r="BK1102">
        <v>5</v>
      </c>
      <c r="BP1102" s="184"/>
    </row>
    <row r="1103" spans="1:68">
      <c r="A1103">
        <v>7503071</v>
      </c>
      <c r="B1103">
        <v>7503071</v>
      </c>
      <c r="C1103" t="s">
        <v>7018</v>
      </c>
      <c r="E1103" s="184"/>
      <c r="I1103" s="184"/>
      <c r="J1103" t="s">
        <v>595</v>
      </c>
      <c r="K1103" s="184">
        <v>37438</v>
      </c>
      <c r="O1103" s="184"/>
      <c r="P1103" t="s">
        <v>7045</v>
      </c>
      <c r="Q1103" t="s">
        <v>7160</v>
      </c>
      <c r="R1103" s="184">
        <v>12724</v>
      </c>
      <c r="S1103">
        <v>89</v>
      </c>
      <c r="U1103" t="s">
        <v>7130</v>
      </c>
      <c r="V1103" t="s">
        <v>5535</v>
      </c>
      <c r="X1103" t="s">
        <v>2578</v>
      </c>
      <c r="Z1103">
        <v>100180245</v>
      </c>
      <c r="AA1103" t="s">
        <v>7032</v>
      </c>
      <c r="AB1103" t="s">
        <v>4499</v>
      </c>
      <c r="AC1103" t="s">
        <v>7248</v>
      </c>
      <c r="AD1103" t="s">
        <v>2578</v>
      </c>
      <c r="AE1103" t="s">
        <v>8154</v>
      </c>
      <c r="AF1103" t="s">
        <v>13254</v>
      </c>
      <c r="AG1103" t="s">
        <v>5535</v>
      </c>
      <c r="AI1103" t="s">
        <v>13255</v>
      </c>
      <c r="AM1103" t="s">
        <v>2802</v>
      </c>
      <c r="AN1103" t="s">
        <v>2176</v>
      </c>
      <c r="AO1103" t="s">
        <v>13256</v>
      </c>
      <c r="AP1103" t="s">
        <v>7024</v>
      </c>
      <c r="AT1103" s="184">
        <v>33750</v>
      </c>
      <c r="AU1103" t="s">
        <v>13257</v>
      </c>
      <c r="AV1103">
        <v>25</v>
      </c>
      <c r="AW1103" s="184">
        <v>43362</v>
      </c>
      <c r="AX1103" t="s">
        <v>13258</v>
      </c>
      <c r="AY1103">
        <v>500</v>
      </c>
      <c r="AZ1103" s="184">
        <v>37986</v>
      </c>
      <c r="BA1103" t="s">
        <v>13259</v>
      </c>
      <c r="BB1103">
        <v>3000</v>
      </c>
      <c r="BC1103">
        <v>82</v>
      </c>
      <c r="BD1103">
        <v>44115</v>
      </c>
      <c r="BE1103">
        <v>1992</v>
      </c>
      <c r="BF1103">
        <v>79</v>
      </c>
      <c r="BI1103">
        <v>27</v>
      </c>
      <c r="BJ1103">
        <v>33</v>
      </c>
      <c r="BK1103">
        <v>27</v>
      </c>
      <c r="BP1103" s="184"/>
    </row>
    <row r="1104" spans="1:68">
      <c r="A1104">
        <v>100180245</v>
      </c>
      <c r="B1104">
        <v>7503071</v>
      </c>
      <c r="C1104" t="s">
        <v>7018</v>
      </c>
      <c r="E1104" s="184"/>
      <c r="G1104" s="184"/>
      <c r="I1104" s="184"/>
      <c r="J1104" t="s">
        <v>595</v>
      </c>
      <c r="K1104" s="184">
        <v>37438</v>
      </c>
      <c r="P1104" t="s">
        <v>7045</v>
      </c>
      <c r="Q1104" t="s">
        <v>7160</v>
      </c>
      <c r="R1104" s="184">
        <v>12742</v>
      </c>
      <c r="S1104">
        <v>89</v>
      </c>
      <c r="U1104" t="s">
        <v>7032</v>
      </c>
      <c r="V1104" t="s">
        <v>4499</v>
      </c>
      <c r="W1104" t="s">
        <v>7248</v>
      </c>
      <c r="X1104" t="s">
        <v>2578</v>
      </c>
      <c r="Y1104" t="s">
        <v>8154</v>
      </c>
      <c r="Z1104">
        <v>7503071</v>
      </c>
      <c r="AA1104" t="s">
        <v>7130</v>
      </c>
      <c r="AB1104" t="s">
        <v>5535</v>
      </c>
      <c r="AD1104" t="s">
        <v>2578</v>
      </c>
      <c r="AF1104" t="s">
        <v>13254</v>
      </c>
      <c r="AG1104" t="s">
        <v>5535</v>
      </c>
      <c r="AI1104" t="s">
        <v>13255</v>
      </c>
      <c r="AM1104" t="s">
        <v>2802</v>
      </c>
      <c r="AN1104" t="s">
        <v>2176</v>
      </c>
      <c r="AO1104" t="s">
        <v>13256</v>
      </c>
      <c r="AP1104" t="s">
        <v>7024</v>
      </c>
      <c r="AQ1104" t="s">
        <v>13260</v>
      </c>
      <c r="AT1104" s="184"/>
      <c r="AW1104" s="184"/>
      <c r="AZ1104" s="184"/>
      <c r="BO1104" t="s">
        <v>595</v>
      </c>
      <c r="BP1104" s="184">
        <v>42151</v>
      </c>
    </row>
    <row r="1105" spans="1:68">
      <c r="A1105">
        <v>7544802</v>
      </c>
      <c r="B1105">
        <v>7544802</v>
      </c>
      <c r="C1105" t="s">
        <v>7018</v>
      </c>
      <c r="D1105" t="s">
        <v>595</v>
      </c>
      <c r="E1105" s="184">
        <v>44455</v>
      </c>
      <c r="G1105" s="184"/>
      <c r="I1105" s="184"/>
      <c r="K1105" s="184"/>
      <c r="O1105" s="184"/>
      <c r="P1105" t="s">
        <v>7045</v>
      </c>
      <c r="Q1105" t="s">
        <v>7374</v>
      </c>
      <c r="R1105" s="184">
        <v>16006</v>
      </c>
      <c r="S1105">
        <v>80</v>
      </c>
      <c r="V1105" t="s">
        <v>3103</v>
      </c>
      <c r="X1105" t="s">
        <v>13261</v>
      </c>
      <c r="Z1105">
        <v>100031412</v>
      </c>
      <c r="AB1105" t="s">
        <v>13262</v>
      </c>
      <c r="AD1105" t="s">
        <v>13261</v>
      </c>
      <c r="AF1105" t="s">
        <v>13263</v>
      </c>
      <c r="AG1105" t="s">
        <v>13264</v>
      </c>
      <c r="AI1105" t="s">
        <v>13265</v>
      </c>
      <c r="AM1105" t="s">
        <v>13266</v>
      </c>
      <c r="AN1105" t="s">
        <v>2081</v>
      </c>
      <c r="AO1105" t="s">
        <v>13267</v>
      </c>
      <c r="AP1105" t="s">
        <v>7024</v>
      </c>
      <c r="AT1105" s="184">
        <v>33757</v>
      </c>
      <c r="AU1105" t="s">
        <v>13268</v>
      </c>
      <c r="AV1105">
        <v>25</v>
      </c>
      <c r="AW1105" s="184">
        <v>42143</v>
      </c>
      <c r="AX1105" t="s">
        <v>13269</v>
      </c>
      <c r="AY1105">
        <v>50</v>
      </c>
      <c r="AZ1105" s="184">
        <v>42143</v>
      </c>
      <c r="BA1105" t="s">
        <v>13269</v>
      </c>
      <c r="BB1105">
        <v>50</v>
      </c>
      <c r="BC1105">
        <v>16</v>
      </c>
      <c r="BD1105">
        <v>175</v>
      </c>
      <c r="BE1105">
        <v>1992</v>
      </c>
      <c r="BF1105">
        <v>5</v>
      </c>
      <c r="BI1105">
        <v>5</v>
      </c>
      <c r="BJ1105">
        <v>33</v>
      </c>
      <c r="BK1105">
        <v>1</v>
      </c>
      <c r="BP1105" s="184"/>
    </row>
    <row r="1106" spans="1:68">
      <c r="A1106">
        <v>100031412</v>
      </c>
      <c r="B1106">
        <v>7544802</v>
      </c>
      <c r="C1106" t="s">
        <v>7018</v>
      </c>
      <c r="D1106" t="s">
        <v>595</v>
      </c>
      <c r="E1106" s="184">
        <v>44455</v>
      </c>
      <c r="G1106" s="184"/>
      <c r="I1106" s="184"/>
      <c r="K1106" s="184"/>
      <c r="O1106" s="184"/>
      <c r="P1106" t="s">
        <v>7045</v>
      </c>
      <c r="Q1106" t="s">
        <v>7374</v>
      </c>
      <c r="R1106" s="184">
        <v>15434</v>
      </c>
      <c r="S1106">
        <v>82</v>
      </c>
      <c r="V1106" t="s">
        <v>13262</v>
      </c>
      <c r="X1106" t="s">
        <v>13261</v>
      </c>
      <c r="Z1106">
        <v>7544802</v>
      </c>
      <c r="AB1106" t="s">
        <v>3103</v>
      </c>
      <c r="AD1106" t="s">
        <v>13261</v>
      </c>
      <c r="AF1106" t="s">
        <v>13263</v>
      </c>
      <c r="AG1106" t="s">
        <v>13264</v>
      </c>
      <c r="AI1106" t="s">
        <v>13265</v>
      </c>
      <c r="AM1106" t="s">
        <v>13266</v>
      </c>
      <c r="AN1106" t="s">
        <v>2081</v>
      </c>
      <c r="AO1106" t="s">
        <v>13267</v>
      </c>
      <c r="AP1106" t="s">
        <v>7024</v>
      </c>
      <c r="AT1106" s="184"/>
      <c r="AW1106" s="184"/>
      <c r="AZ1106" s="184"/>
      <c r="BP1106" s="184"/>
    </row>
    <row r="1107" spans="1:68">
      <c r="A1107">
        <v>7569403</v>
      </c>
      <c r="B1107">
        <v>7569403</v>
      </c>
      <c r="C1107" t="s">
        <v>7018</v>
      </c>
      <c r="E1107" s="184"/>
      <c r="G1107" s="184"/>
      <c r="I1107" s="184"/>
      <c r="J1107" t="s">
        <v>595</v>
      </c>
      <c r="K1107" s="184">
        <v>43731</v>
      </c>
      <c r="O1107" s="184"/>
      <c r="P1107" t="s">
        <v>7029</v>
      </c>
      <c r="Q1107" t="s">
        <v>7020</v>
      </c>
      <c r="R1107" s="184">
        <v>18295</v>
      </c>
      <c r="S1107">
        <v>74</v>
      </c>
      <c r="U1107" t="s">
        <v>7031</v>
      </c>
      <c r="V1107" t="s">
        <v>3254</v>
      </c>
      <c r="W1107" t="s">
        <v>3830</v>
      </c>
      <c r="X1107" t="s">
        <v>3816</v>
      </c>
      <c r="Z1107">
        <v>100031491</v>
      </c>
      <c r="AB1107" t="s">
        <v>3101</v>
      </c>
      <c r="AD1107" t="s">
        <v>3816</v>
      </c>
      <c r="AF1107" t="s">
        <v>6162</v>
      </c>
      <c r="AG1107" t="s">
        <v>13270</v>
      </c>
      <c r="AI1107" t="s">
        <v>13271</v>
      </c>
      <c r="AM1107" t="s">
        <v>3817</v>
      </c>
      <c r="AN1107" t="s">
        <v>2052</v>
      </c>
      <c r="AO1107" t="s">
        <v>13272</v>
      </c>
      <c r="AP1107" t="s">
        <v>7024</v>
      </c>
      <c r="AQ1107" t="s">
        <v>13273</v>
      </c>
      <c r="AT1107" s="184">
        <v>33760</v>
      </c>
      <c r="AU1107" t="s">
        <v>13141</v>
      </c>
      <c r="AV1107">
        <v>15</v>
      </c>
      <c r="AW1107" s="184">
        <v>44992</v>
      </c>
      <c r="AX1107" t="s">
        <v>9531</v>
      </c>
      <c r="AY1107">
        <v>1500</v>
      </c>
      <c r="AZ1107" s="184">
        <v>44992</v>
      </c>
      <c r="BA1107" t="s">
        <v>9531</v>
      </c>
      <c r="BB1107">
        <v>1500</v>
      </c>
      <c r="BC1107">
        <v>91</v>
      </c>
      <c r="BD1107">
        <v>6365</v>
      </c>
      <c r="BE1107">
        <v>1992</v>
      </c>
      <c r="BF1107">
        <v>63</v>
      </c>
      <c r="BG1107">
        <v>1</v>
      </c>
      <c r="BH1107">
        <v>1500</v>
      </c>
      <c r="BI1107">
        <v>30</v>
      </c>
      <c r="BJ1107">
        <v>33</v>
      </c>
      <c r="BK1107">
        <v>28</v>
      </c>
      <c r="BN1107" t="s">
        <v>595</v>
      </c>
      <c r="BP1107" s="184"/>
    </row>
    <row r="1108" spans="1:68">
      <c r="A1108">
        <v>100031491</v>
      </c>
      <c r="B1108">
        <v>7569403</v>
      </c>
      <c r="C1108" t="s">
        <v>7018</v>
      </c>
      <c r="E1108" s="184"/>
      <c r="G1108" s="184"/>
      <c r="I1108" s="184"/>
      <c r="J1108" t="s">
        <v>595</v>
      </c>
      <c r="K1108" s="184">
        <v>43731</v>
      </c>
      <c r="O1108" s="184"/>
      <c r="P1108" t="s">
        <v>7029</v>
      </c>
      <c r="Q1108" t="s">
        <v>7020</v>
      </c>
      <c r="R1108" s="184">
        <v>19603</v>
      </c>
      <c r="S1108">
        <v>70</v>
      </c>
      <c r="V1108" t="s">
        <v>3101</v>
      </c>
      <c r="X1108" t="s">
        <v>3816</v>
      </c>
      <c r="Z1108">
        <v>7569403</v>
      </c>
      <c r="AA1108" t="s">
        <v>7031</v>
      </c>
      <c r="AB1108" t="s">
        <v>3254</v>
      </c>
      <c r="AC1108" t="s">
        <v>3830</v>
      </c>
      <c r="AD1108" t="s">
        <v>3816</v>
      </c>
      <c r="AF1108" t="s">
        <v>6162</v>
      </c>
      <c r="AG1108" t="s">
        <v>13270</v>
      </c>
      <c r="AI1108" t="s">
        <v>13271</v>
      </c>
      <c r="AM1108" t="s">
        <v>3817</v>
      </c>
      <c r="AN1108" t="s">
        <v>2052</v>
      </c>
      <c r="AO1108" t="s">
        <v>13272</v>
      </c>
      <c r="AP1108" t="s">
        <v>7024</v>
      </c>
      <c r="AT1108" s="184"/>
      <c r="AW1108" s="184"/>
      <c r="AZ1108" s="184"/>
      <c r="BP1108" s="184"/>
    </row>
    <row r="1109" spans="1:68">
      <c r="A1109">
        <v>7578982</v>
      </c>
      <c r="B1109">
        <v>7578982</v>
      </c>
      <c r="C1109" t="s">
        <v>7018</v>
      </c>
      <c r="E1109" s="184"/>
      <c r="G1109" s="184"/>
      <c r="I1109" s="184"/>
      <c r="J1109" t="s">
        <v>595</v>
      </c>
      <c r="K1109" s="184">
        <v>43970</v>
      </c>
      <c r="O1109" s="184"/>
      <c r="P1109" t="s">
        <v>7019</v>
      </c>
      <c r="Q1109" t="s">
        <v>7020</v>
      </c>
      <c r="R1109" s="184">
        <v>15339</v>
      </c>
      <c r="S1109">
        <v>82</v>
      </c>
      <c r="V1109" t="s">
        <v>3072</v>
      </c>
      <c r="X1109" t="s">
        <v>13274</v>
      </c>
      <c r="AF1109" t="s">
        <v>13275</v>
      </c>
      <c r="AG1109" t="s">
        <v>3072</v>
      </c>
      <c r="AI1109" t="s">
        <v>13276</v>
      </c>
      <c r="AM1109" t="s">
        <v>13277</v>
      </c>
      <c r="AN1109" t="s">
        <v>2465</v>
      </c>
      <c r="AO1109" t="s">
        <v>13278</v>
      </c>
      <c r="AP1109" t="s">
        <v>7024</v>
      </c>
      <c r="AT1109" s="184">
        <v>33764</v>
      </c>
      <c r="AU1109" t="s">
        <v>13279</v>
      </c>
      <c r="AV1109">
        <v>15</v>
      </c>
      <c r="AW1109" s="184">
        <v>45299</v>
      </c>
      <c r="AX1109" t="s">
        <v>13280</v>
      </c>
      <c r="AY1109">
        <v>30</v>
      </c>
      <c r="AZ1109" s="184">
        <v>44964</v>
      </c>
      <c r="BA1109" t="s">
        <v>13281</v>
      </c>
      <c r="BB1109">
        <v>60</v>
      </c>
      <c r="BC1109">
        <v>94</v>
      </c>
      <c r="BD1109">
        <v>1745</v>
      </c>
      <c r="BE1109">
        <v>1992</v>
      </c>
      <c r="BF1109">
        <v>85</v>
      </c>
      <c r="BG1109">
        <v>3</v>
      </c>
      <c r="BH1109">
        <v>120</v>
      </c>
      <c r="BI1109">
        <v>31</v>
      </c>
      <c r="BJ1109">
        <v>33</v>
      </c>
      <c r="BK1109">
        <v>24</v>
      </c>
      <c r="BP1109" s="184"/>
    </row>
    <row r="1110" spans="1:68">
      <c r="A1110">
        <v>7599764</v>
      </c>
      <c r="B1110">
        <v>7599764</v>
      </c>
      <c r="C1110" t="s">
        <v>7018</v>
      </c>
      <c r="E1110" s="184"/>
      <c r="G1110" s="184"/>
      <c r="I1110" s="184"/>
      <c r="J1110" t="s">
        <v>595</v>
      </c>
      <c r="K1110" s="184">
        <v>38726</v>
      </c>
      <c r="O1110" s="184"/>
      <c r="P1110" t="s">
        <v>7045</v>
      </c>
      <c r="Q1110" t="s">
        <v>7374</v>
      </c>
      <c r="R1110" s="184">
        <v>13187</v>
      </c>
      <c r="S1110">
        <v>88</v>
      </c>
      <c r="U1110" t="s">
        <v>7076</v>
      </c>
      <c r="V1110" t="s">
        <v>3043</v>
      </c>
      <c r="W1110" t="s">
        <v>4139</v>
      </c>
      <c r="X1110" t="s">
        <v>3938</v>
      </c>
      <c r="AF1110" t="s">
        <v>6063</v>
      </c>
      <c r="AG1110" t="s">
        <v>3043</v>
      </c>
      <c r="AI1110" t="s">
        <v>13282</v>
      </c>
      <c r="AM1110" t="s">
        <v>4393</v>
      </c>
      <c r="AN1110" t="s">
        <v>2081</v>
      </c>
      <c r="AO1110" t="s">
        <v>13283</v>
      </c>
      <c r="AP1110" t="s">
        <v>7024</v>
      </c>
      <c r="AQ1110" t="s">
        <v>13284</v>
      </c>
      <c r="AR1110" t="s">
        <v>13285</v>
      </c>
      <c r="AT1110" s="184">
        <v>33764</v>
      </c>
      <c r="AU1110" t="s">
        <v>13286</v>
      </c>
      <c r="AV1110">
        <v>25</v>
      </c>
      <c r="AW1110" s="184">
        <v>43201</v>
      </c>
      <c r="AX1110" t="s">
        <v>13287</v>
      </c>
      <c r="AY1110">
        <v>100</v>
      </c>
      <c r="AZ1110" s="184">
        <v>43097</v>
      </c>
      <c r="BA1110" t="s">
        <v>13288</v>
      </c>
      <c r="BB1110">
        <v>1000</v>
      </c>
      <c r="BC1110">
        <v>70</v>
      </c>
      <c r="BD1110">
        <v>8610</v>
      </c>
      <c r="BE1110">
        <v>1992</v>
      </c>
      <c r="BF1110">
        <v>37</v>
      </c>
      <c r="BI1110">
        <v>23</v>
      </c>
      <c r="BJ1110">
        <v>33</v>
      </c>
      <c r="BK1110">
        <v>10</v>
      </c>
      <c r="BP1110" s="184"/>
    </row>
    <row r="1111" spans="1:68">
      <c r="A1111">
        <v>7623085</v>
      </c>
      <c r="B1111">
        <v>7623085</v>
      </c>
      <c r="C1111" t="s">
        <v>7018</v>
      </c>
      <c r="D1111" t="s">
        <v>595</v>
      </c>
      <c r="E1111" s="184">
        <v>45120</v>
      </c>
      <c r="G1111" s="184"/>
      <c r="I1111" s="184"/>
      <c r="K1111" s="184"/>
      <c r="O1111" s="184"/>
      <c r="P1111" t="s">
        <v>7045</v>
      </c>
      <c r="Q1111" t="s">
        <v>7020</v>
      </c>
      <c r="R1111" s="184">
        <v>20852</v>
      </c>
      <c r="S1111">
        <v>67</v>
      </c>
      <c r="U1111" t="s">
        <v>7031</v>
      </c>
      <c r="V1111" t="s">
        <v>2511</v>
      </c>
      <c r="X1111" t="s">
        <v>13289</v>
      </c>
      <c r="AF1111" t="s">
        <v>13290</v>
      </c>
      <c r="AG1111" t="s">
        <v>2511</v>
      </c>
      <c r="AI1111" t="s">
        <v>13291</v>
      </c>
      <c r="AM1111" t="s">
        <v>13292</v>
      </c>
      <c r="AN1111" t="s">
        <v>2112</v>
      </c>
      <c r="AO1111" t="s">
        <v>13293</v>
      </c>
      <c r="AP1111" t="s">
        <v>7024</v>
      </c>
      <c r="AT1111" s="184">
        <v>33765</v>
      </c>
      <c r="AU1111" t="s">
        <v>13294</v>
      </c>
      <c r="AV1111">
        <v>15</v>
      </c>
      <c r="AW1111" s="184">
        <v>45180</v>
      </c>
      <c r="AX1111" t="s">
        <v>10732</v>
      </c>
      <c r="AY1111">
        <v>35</v>
      </c>
      <c r="AZ1111" s="184">
        <v>45180</v>
      </c>
      <c r="BA1111" t="s">
        <v>10732</v>
      </c>
      <c r="BB1111">
        <v>35</v>
      </c>
      <c r="BC1111">
        <v>19</v>
      </c>
      <c r="BD1111">
        <v>185</v>
      </c>
      <c r="BE1111">
        <v>1992</v>
      </c>
      <c r="BF1111">
        <v>7</v>
      </c>
      <c r="BG1111">
        <v>2</v>
      </c>
      <c r="BH1111">
        <v>70</v>
      </c>
      <c r="BI1111">
        <v>6</v>
      </c>
      <c r="BJ1111">
        <v>33</v>
      </c>
      <c r="BK1111">
        <v>2</v>
      </c>
      <c r="BP1111" s="184"/>
    </row>
    <row r="1112" spans="1:68">
      <c r="A1112">
        <v>7641665</v>
      </c>
      <c r="B1112">
        <v>7641665</v>
      </c>
      <c r="C1112" t="s">
        <v>7018</v>
      </c>
      <c r="E1112" s="184"/>
      <c r="G1112" s="184"/>
      <c r="I1112" s="184"/>
      <c r="J1112" t="s">
        <v>595</v>
      </c>
      <c r="K1112" s="184">
        <v>43761</v>
      </c>
      <c r="O1112" s="184"/>
      <c r="P1112" t="s">
        <v>7045</v>
      </c>
      <c r="Q1112" t="s">
        <v>7383</v>
      </c>
      <c r="R1112" s="184">
        <v>14678</v>
      </c>
      <c r="S1112">
        <v>84</v>
      </c>
      <c r="V1112" t="s">
        <v>2602</v>
      </c>
      <c r="W1112" t="s">
        <v>2049</v>
      </c>
      <c r="X1112" t="s">
        <v>3969</v>
      </c>
      <c r="Z1112">
        <v>100180270</v>
      </c>
      <c r="AB1112" t="s">
        <v>2775</v>
      </c>
      <c r="AC1112" t="s">
        <v>205</v>
      </c>
      <c r="AD1112" t="s">
        <v>3969</v>
      </c>
      <c r="AF1112" t="s">
        <v>6648</v>
      </c>
      <c r="AG1112" t="s">
        <v>2602</v>
      </c>
      <c r="AI1112" t="s">
        <v>13295</v>
      </c>
      <c r="AM1112" t="s">
        <v>4195</v>
      </c>
      <c r="AN1112" t="s">
        <v>2059</v>
      </c>
      <c r="AO1112" t="s">
        <v>13296</v>
      </c>
      <c r="AP1112" t="s">
        <v>7024</v>
      </c>
      <c r="AT1112" s="184">
        <v>33767</v>
      </c>
      <c r="AU1112" t="s">
        <v>13297</v>
      </c>
      <c r="AV1112">
        <v>15</v>
      </c>
      <c r="AW1112" s="184">
        <v>45384</v>
      </c>
      <c r="AX1112" t="s">
        <v>13298</v>
      </c>
      <c r="AY1112">
        <v>25</v>
      </c>
      <c r="AZ1112" s="184">
        <v>39636</v>
      </c>
      <c r="BA1112" t="s">
        <v>13299</v>
      </c>
      <c r="BB1112">
        <v>60</v>
      </c>
      <c r="BC1112">
        <v>37</v>
      </c>
      <c r="BD1112">
        <v>340</v>
      </c>
      <c r="BE1112">
        <v>1992</v>
      </c>
      <c r="BF1112">
        <v>17</v>
      </c>
      <c r="BG1112">
        <v>2</v>
      </c>
      <c r="BH1112">
        <v>50</v>
      </c>
      <c r="BI1112">
        <v>12</v>
      </c>
      <c r="BJ1112">
        <v>33</v>
      </c>
      <c r="BK1112">
        <v>4</v>
      </c>
      <c r="BP1112" s="184"/>
    </row>
    <row r="1113" spans="1:68">
      <c r="A1113">
        <v>7644867</v>
      </c>
      <c r="B1113">
        <v>7644867</v>
      </c>
      <c r="C1113" t="s">
        <v>7018</v>
      </c>
      <c r="D1113" t="s">
        <v>595</v>
      </c>
      <c r="E1113" s="184">
        <v>43864</v>
      </c>
      <c r="G1113" s="184"/>
      <c r="I1113" s="184"/>
      <c r="K1113" s="184"/>
      <c r="O1113" s="184"/>
      <c r="P1113" t="s">
        <v>7045</v>
      </c>
      <c r="Q1113" t="s">
        <v>7160</v>
      </c>
      <c r="R1113" s="184">
        <v>20424</v>
      </c>
      <c r="S1113">
        <v>68</v>
      </c>
      <c r="U1113" t="s">
        <v>7031</v>
      </c>
      <c r="V1113" t="s">
        <v>2697</v>
      </c>
      <c r="W1113" t="s">
        <v>2963</v>
      </c>
      <c r="X1113" t="s">
        <v>4184</v>
      </c>
      <c r="AF1113" t="s">
        <v>13300</v>
      </c>
      <c r="AG1113" t="s">
        <v>2697</v>
      </c>
      <c r="AI1113" t="s">
        <v>13301</v>
      </c>
      <c r="AM1113" t="s">
        <v>4695</v>
      </c>
      <c r="AN1113" t="s">
        <v>2176</v>
      </c>
      <c r="AO1113" t="s">
        <v>13302</v>
      </c>
      <c r="AP1113" t="s">
        <v>7024</v>
      </c>
      <c r="AQ1113" t="s">
        <v>13303</v>
      </c>
      <c r="AR1113" t="s">
        <v>13304</v>
      </c>
      <c r="AT1113" s="184">
        <v>33767</v>
      </c>
      <c r="AU1113" t="s">
        <v>13305</v>
      </c>
      <c r="AV1113">
        <v>15</v>
      </c>
      <c r="AW1113" s="184">
        <v>45400</v>
      </c>
      <c r="AX1113" t="s">
        <v>7429</v>
      </c>
      <c r="AY1113">
        <v>10</v>
      </c>
      <c r="AZ1113" s="184">
        <v>41926</v>
      </c>
      <c r="BA1113" t="s">
        <v>13306</v>
      </c>
      <c r="BB1113">
        <v>100</v>
      </c>
      <c r="BC1113">
        <v>94</v>
      </c>
      <c r="BD1113">
        <v>2280</v>
      </c>
      <c r="BE1113">
        <v>1992</v>
      </c>
      <c r="BF1113">
        <v>131</v>
      </c>
      <c r="BG1113">
        <v>24</v>
      </c>
      <c r="BH1113">
        <v>240</v>
      </c>
      <c r="BI1113">
        <v>31</v>
      </c>
      <c r="BJ1113">
        <v>33</v>
      </c>
      <c r="BK1113">
        <v>26</v>
      </c>
      <c r="BP1113" s="184"/>
    </row>
    <row r="1114" spans="1:68">
      <c r="A1114">
        <v>7675796</v>
      </c>
      <c r="B1114">
        <v>7675796</v>
      </c>
      <c r="C1114" t="s">
        <v>7018</v>
      </c>
      <c r="D1114" t="s">
        <v>595</v>
      </c>
      <c r="E1114" s="184">
        <v>44168</v>
      </c>
      <c r="G1114" s="184"/>
      <c r="H1114" t="s">
        <v>595</v>
      </c>
      <c r="I1114" s="184">
        <v>44168</v>
      </c>
      <c r="K1114" s="184"/>
      <c r="O1114" s="184"/>
      <c r="P1114" t="s">
        <v>7045</v>
      </c>
      <c r="Q1114" t="s">
        <v>7454</v>
      </c>
      <c r="R1114" s="184">
        <v>18688</v>
      </c>
      <c r="S1114">
        <v>73</v>
      </c>
      <c r="U1114" t="s">
        <v>7076</v>
      </c>
      <c r="V1114" t="s">
        <v>11136</v>
      </c>
      <c r="X1114" t="s">
        <v>13307</v>
      </c>
      <c r="Z1114">
        <v>100031810</v>
      </c>
      <c r="AB1114" t="s">
        <v>2665</v>
      </c>
      <c r="AD1114" t="s">
        <v>13307</v>
      </c>
      <c r="AF1114" t="s">
        <v>13308</v>
      </c>
      <c r="AG1114" t="s">
        <v>13309</v>
      </c>
      <c r="AI1114" t="s">
        <v>13310</v>
      </c>
      <c r="AM1114" t="s">
        <v>13311</v>
      </c>
      <c r="AN1114" t="s">
        <v>2055</v>
      </c>
      <c r="AO1114" t="s">
        <v>13312</v>
      </c>
      <c r="AP1114" t="s">
        <v>7024</v>
      </c>
      <c r="AQ1114" t="s">
        <v>13313</v>
      </c>
      <c r="AR1114" t="s">
        <v>13314</v>
      </c>
      <c r="AT1114" s="184">
        <v>33773</v>
      </c>
      <c r="AU1114" t="s">
        <v>13315</v>
      </c>
      <c r="AV1114">
        <v>15</v>
      </c>
      <c r="AW1114" s="184">
        <v>45104</v>
      </c>
      <c r="AX1114" t="s">
        <v>13316</v>
      </c>
      <c r="AY1114">
        <v>35</v>
      </c>
      <c r="AZ1114" s="184">
        <v>43573</v>
      </c>
      <c r="BA1114" t="s">
        <v>10786</v>
      </c>
      <c r="BB1114">
        <v>87</v>
      </c>
      <c r="BC1114">
        <v>67</v>
      </c>
      <c r="BD1114">
        <v>872</v>
      </c>
      <c r="BE1114">
        <v>1992</v>
      </c>
      <c r="BF1114">
        <v>30</v>
      </c>
      <c r="BG1114">
        <v>1</v>
      </c>
      <c r="BH1114">
        <v>35</v>
      </c>
      <c r="BI1114">
        <v>22</v>
      </c>
      <c r="BJ1114">
        <v>33</v>
      </c>
      <c r="BK1114">
        <v>10</v>
      </c>
      <c r="BP1114" s="184"/>
    </row>
    <row r="1115" spans="1:68">
      <c r="A1115">
        <v>100031810</v>
      </c>
      <c r="B1115">
        <v>7675796</v>
      </c>
      <c r="C1115" t="s">
        <v>7018</v>
      </c>
      <c r="D1115" t="s">
        <v>595</v>
      </c>
      <c r="E1115" s="184">
        <v>44168</v>
      </c>
      <c r="G1115" s="184"/>
      <c r="H1115" t="s">
        <v>595</v>
      </c>
      <c r="I1115" s="184">
        <v>44168</v>
      </c>
      <c r="K1115" s="184"/>
      <c r="O1115" s="184"/>
      <c r="P1115" t="s">
        <v>7045</v>
      </c>
      <c r="Q1115" t="s">
        <v>7454</v>
      </c>
      <c r="R1115" s="184">
        <v>17751</v>
      </c>
      <c r="S1115">
        <v>75</v>
      </c>
      <c r="V1115" t="s">
        <v>2665</v>
      </c>
      <c r="X1115" t="s">
        <v>13307</v>
      </c>
      <c r="Z1115">
        <v>7675796</v>
      </c>
      <c r="AA1115" t="s">
        <v>7076</v>
      </c>
      <c r="AB1115" t="s">
        <v>11136</v>
      </c>
      <c r="AD1115" t="s">
        <v>13307</v>
      </c>
      <c r="AF1115" t="s">
        <v>13308</v>
      </c>
      <c r="AG1115" t="s">
        <v>13309</v>
      </c>
      <c r="AI1115" t="s">
        <v>13310</v>
      </c>
      <c r="AM1115" t="s">
        <v>13311</v>
      </c>
      <c r="AN1115" t="s">
        <v>2055</v>
      </c>
      <c r="AO1115" t="s">
        <v>13312</v>
      </c>
      <c r="AP1115" t="s">
        <v>7024</v>
      </c>
      <c r="AT1115" s="184"/>
      <c r="AW1115" s="184"/>
      <c r="AZ1115" s="184"/>
    </row>
    <row r="1116" spans="1:68">
      <c r="A1116">
        <v>7696305</v>
      </c>
      <c r="B1116">
        <v>7696305</v>
      </c>
      <c r="C1116" t="s">
        <v>7018</v>
      </c>
      <c r="D1116" t="s">
        <v>595</v>
      </c>
      <c r="E1116" s="184">
        <v>43642</v>
      </c>
      <c r="G1116" s="184"/>
      <c r="I1116" s="184"/>
      <c r="K1116" s="184"/>
      <c r="O1116" s="184"/>
      <c r="P1116" t="s">
        <v>7045</v>
      </c>
      <c r="Q1116" t="s">
        <v>7262</v>
      </c>
      <c r="R1116" s="184">
        <v>29160</v>
      </c>
      <c r="S1116">
        <v>44</v>
      </c>
      <c r="U1116" t="s">
        <v>7076</v>
      </c>
      <c r="V1116" t="s">
        <v>3192</v>
      </c>
      <c r="W1116" t="s">
        <v>2963</v>
      </c>
      <c r="X1116" t="s">
        <v>3193</v>
      </c>
      <c r="AF1116" t="s">
        <v>13317</v>
      </c>
      <c r="AG1116" t="s">
        <v>3192</v>
      </c>
      <c r="AI1116" t="s">
        <v>13318</v>
      </c>
      <c r="AM1116" t="s">
        <v>3194</v>
      </c>
      <c r="AN1116" t="s">
        <v>2106</v>
      </c>
      <c r="AO1116" t="s">
        <v>13319</v>
      </c>
      <c r="AP1116" t="s">
        <v>7024</v>
      </c>
      <c r="AT1116" s="184">
        <v>33780</v>
      </c>
      <c r="AU1116" t="s">
        <v>13320</v>
      </c>
      <c r="AV1116">
        <v>15</v>
      </c>
      <c r="AW1116" s="184">
        <v>44579</v>
      </c>
      <c r="AX1116" t="s">
        <v>13321</v>
      </c>
      <c r="AY1116">
        <v>50</v>
      </c>
      <c r="AZ1116" s="184">
        <v>44579</v>
      </c>
      <c r="BA1116" t="s">
        <v>13321</v>
      </c>
      <c r="BB1116">
        <v>50</v>
      </c>
      <c r="BC1116">
        <v>67</v>
      </c>
      <c r="BD1116">
        <v>1310</v>
      </c>
      <c r="BE1116">
        <v>1992</v>
      </c>
      <c r="BF1116">
        <v>35</v>
      </c>
      <c r="BI1116">
        <v>22</v>
      </c>
      <c r="BJ1116">
        <v>33</v>
      </c>
      <c r="BK1116">
        <v>8</v>
      </c>
      <c r="BP1116" s="184"/>
    </row>
    <row r="1117" spans="1:68">
      <c r="A1117">
        <v>7699218</v>
      </c>
      <c r="B1117">
        <v>7699218</v>
      </c>
      <c r="C1117" t="s">
        <v>7018</v>
      </c>
      <c r="E1117" s="184"/>
      <c r="G1117" s="184"/>
      <c r="I1117" s="184"/>
      <c r="J1117" t="s">
        <v>595</v>
      </c>
      <c r="K1117" s="184">
        <v>41358</v>
      </c>
      <c r="N1117" t="s">
        <v>595</v>
      </c>
      <c r="O1117" s="184">
        <v>36722</v>
      </c>
      <c r="P1117" t="s">
        <v>7045</v>
      </c>
      <c r="Q1117" t="s">
        <v>7030</v>
      </c>
      <c r="R1117" s="184">
        <v>9210</v>
      </c>
      <c r="S1117">
        <v>99</v>
      </c>
      <c r="U1117" t="s">
        <v>7076</v>
      </c>
      <c r="V1117" t="s">
        <v>13322</v>
      </c>
      <c r="W1117" t="s">
        <v>7384</v>
      </c>
      <c r="X1117" t="s">
        <v>2772</v>
      </c>
      <c r="AF1117" t="s">
        <v>6029</v>
      </c>
      <c r="AG1117" t="s">
        <v>13322</v>
      </c>
      <c r="AI1117" t="s">
        <v>13323</v>
      </c>
      <c r="AM1117" t="s">
        <v>3662</v>
      </c>
      <c r="AN1117" t="s">
        <v>2094</v>
      </c>
      <c r="AO1117" t="s">
        <v>13324</v>
      </c>
      <c r="AP1117" t="s">
        <v>7024</v>
      </c>
      <c r="AT1117" s="184">
        <v>33781</v>
      </c>
      <c r="AU1117" t="s">
        <v>13286</v>
      </c>
      <c r="AV1117">
        <v>15</v>
      </c>
      <c r="AW1117" s="184">
        <v>40477</v>
      </c>
      <c r="AX1117" t="s">
        <v>13325</v>
      </c>
      <c r="AY1117">
        <v>100</v>
      </c>
      <c r="AZ1117" s="184">
        <v>36722</v>
      </c>
      <c r="BA1117" t="s">
        <v>7530</v>
      </c>
      <c r="BB1117">
        <v>10000</v>
      </c>
      <c r="BC1117">
        <v>22</v>
      </c>
      <c r="BD1117">
        <v>10290</v>
      </c>
      <c r="BE1117">
        <v>1992</v>
      </c>
      <c r="BF1117">
        <v>8</v>
      </c>
      <c r="BI1117">
        <v>7</v>
      </c>
      <c r="BJ1117">
        <v>33</v>
      </c>
      <c r="BK1117">
        <v>3</v>
      </c>
      <c r="BM1117" t="s">
        <v>595</v>
      </c>
      <c r="BO1117" t="s">
        <v>595</v>
      </c>
      <c r="BP1117" s="184">
        <v>44196</v>
      </c>
    </row>
    <row r="1118" spans="1:68">
      <c r="A1118">
        <v>7703556</v>
      </c>
      <c r="B1118">
        <v>7703556</v>
      </c>
      <c r="C1118" t="s">
        <v>7018</v>
      </c>
      <c r="D1118" t="s">
        <v>595</v>
      </c>
      <c r="E1118" s="184">
        <v>45138</v>
      </c>
      <c r="G1118" s="184"/>
      <c r="I1118" s="184"/>
      <c r="K1118" s="184"/>
      <c r="O1118" s="184"/>
      <c r="P1118" t="s">
        <v>7045</v>
      </c>
      <c r="Q1118" t="s">
        <v>7383</v>
      </c>
      <c r="R1118" s="184">
        <v>26085</v>
      </c>
      <c r="S1118">
        <v>52</v>
      </c>
      <c r="U1118" t="s">
        <v>7031</v>
      </c>
      <c r="V1118" t="s">
        <v>2832</v>
      </c>
      <c r="X1118" t="s">
        <v>13326</v>
      </c>
      <c r="Y1118" t="s">
        <v>7941</v>
      </c>
      <c r="AF1118" t="s">
        <v>13327</v>
      </c>
      <c r="AG1118" t="s">
        <v>2832</v>
      </c>
      <c r="AI1118" t="s">
        <v>13328</v>
      </c>
      <c r="AM1118" t="s">
        <v>3815</v>
      </c>
      <c r="AN1118" t="s">
        <v>2059</v>
      </c>
      <c r="AO1118" t="s">
        <v>13329</v>
      </c>
      <c r="AP1118" t="s">
        <v>7024</v>
      </c>
      <c r="AQ1118" t="s">
        <v>13330</v>
      </c>
      <c r="AR1118" t="s">
        <v>13331</v>
      </c>
      <c r="AT1118" s="184">
        <v>33784</v>
      </c>
      <c r="AU1118" t="s">
        <v>13332</v>
      </c>
      <c r="AV1118">
        <v>15</v>
      </c>
      <c r="AW1118" s="184">
        <v>45397</v>
      </c>
      <c r="AX1118" t="s">
        <v>13333</v>
      </c>
      <c r="AY1118">
        <v>35</v>
      </c>
      <c r="AZ1118" s="184">
        <v>34961</v>
      </c>
      <c r="BA1118" t="s">
        <v>13334</v>
      </c>
      <c r="BB1118">
        <v>65</v>
      </c>
      <c r="BC1118">
        <v>97</v>
      </c>
      <c r="BD1118">
        <v>1627</v>
      </c>
      <c r="BE1118">
        <v>1992</v>
      </c>
      <c r="BF1118">
        <v>61</v>
      </c>
      <c r="BG1118">
        <v>3</v>
      </c>
      <c r="BH1118">
        <v>90</v>
      </c>
      <c r="BI1118">
        <v>32</v>
      </c>
      <c r="BJ1118">
        <v>33</v>
      </c>
      <c r="BK1118">
        <v>19</v>
      </c>
      <c r="BN1118" t="s">
        <v>595</v>
      </c>
      <c r="BP1118" s="184"/>
    </row>
    <row r="1119" spans="1:68">
      <c r="A1119">
        <v>7705684</v>
      </c>
      <c r="B1119">
        <v>7705684</v>
      </c>
      <c r="C1119" t="s">
        <v>7018</v>
      </c>
      <c r="E1119" s="184"/>
      <c r="F1119" t="s">
        <v>595</v>
      </c>
      <c r="G1119" s="184">
        <v>43731</v>
      </c>
      <c r="I1119" s="184"/>
      <c r="K1119" s="184"/>
      <c r="P1119" t="s">
        <v>7045</v>
      </c>
      <c r="Q1119" t="s">
        <v>7494</v>
      </c>
      <c r="R1119" s="184">
        <v>11936</v>
      </c>
      <c r="S1119">
        <v>91</v>
      </c>
      <c r="V1119" t="s">
        <v>3053</v>
      </c>
      <c r="W1119" t="s">
        <v>2049</v>
      </c>
      <c r="X1119" t="s">
        <v>3927</v>
      </c>
      <c r="Z1119">
        <v>100180276</v>
      </c>
      <c r="AB1119" t="s">
        <v>2511</v>
      </c>
      <c r="AC1119" t="s">
        <v>7248</v>
      </c>
      <c r="AD1119" t="s">
        <v>3927</v>
      </c>
      <c r="AF1119" t="s">
        <v>13335</v>
      </c>
      <c r="AG1119" t="s">
        <v>3053</v>
      </c>
      <c r="AI1119" t="s">
        <v>13336</v>
      </c>
      <c r="AJ1119" t="s">
        <v>13337</v>
      </c>
      <c r="AM1119" t="s">
        <v>4006</v>
      </c>
      <c r="AN1119" t="s">
        <v>2174</v>
      </c>
      <c r="AO1119" t="s">
        <v>13338</v>
      </c>
      <c r="AP1119" t="s">
        <v>7024</v>
      </c>
      <c r="AQ1119" t="s">
        <v>13339</v>
      </c>
      <c r="AT1119" s="184">
        <v>33785</v>
      </c>
      <c r="AU1119" t="s">
        <v>13340</v>
      </c>
      <c r="AV1119">
        <v>15</v>
      </c>
      <c r="AW1119" s="184">
        <v>44420</v>
      </c>
      <c r="AX1119" t="s">
        <v>13341</v>
      </c>
      <c r="AY1119">
        <v>40</v>
      </c>
      <c r="AZ1119" s="184">
        <v>44420</v>
      </c>
      <c r="BA1119" t="s">
        <v>13341</v>
      </c>
      <c r="BB1119">
        <v>40</v>
      </c>
      <c r="BC1119">
        <v>52</v>
      </c>
      <c r="BD1119">
        <v>305</v>
      </c>
      <c r="BE1119">
        <v>1992</v>
      </c>
      <c r="BF1119">
        <v>18</v>
      </c>
      <c r="BI1119">
        <v>17</v>
      </c>
      <c r="BJ1119">
        <v>33</v>
      </c>
      <c r="BK1119">
        <v>5</v>
      </c>
    </row>
    <row r="1120" spans="1:68">
      <c r="A1120">
        <v>100180276</v>
      </c>
      <c r="B1120">
        <v>7705684</v>
      </c>
      <c r="C1120" t="s">
        <v>7018</v>
      </c>
      <c r="E1120" s="184"/>
      <c r="F1120" t="s">
        <v>595</v>
      </c>
      <c r="G1120" s="184">
        <v>43731</v>
      </c>
      <c r="I1120" s="184"/>
      <c r="K1120" s="184"/>
      <c r="O1120" s="184"/>
      <c r="P1120" t="s">
        <v>7045</v>
      </c>
      <c r="Q1120" t="s">
        <v>7494</v>
      </c>
      <c r="R1120" s="184">
        <v>10684</v>
      </c>
      <c r="S1120">
        <v>95</v>
      </c>
      <c r="V1120" t="s">
        <v>2511</v>
      </c>
      <c r="W1120" t="s">
        <v>7248</v>
      </c>
      <c r="X1120" t="s">
        <v>3927</v>
      </c>
      <c r="Z1120">
        <v>7705684</v>
      </c>
      <c r="AB1120" t="s">
        <v>3053</v>
      </c>
      <c r="AC1120" t="s">
        <v>2049</v>
      </c>
      <c r="AD1120" t="s">
        <v>3927</v>
      </c>
      <c r="AF1120" t="s">
        <v>13335</v>
      </c>
      <c r="AG1120" t="s">
        <v>3053</v>
      </c>
      <c r="AI1120" t="s">
        <v>13336</v>
      </c>
      <c r="AJ1120" t="s">
        <v>13337</v>
      </c>
      <c r="AM1120" t="s">
        <v>4006</v>
      </c>
      <c r="AN1120" t="s">
        <v>2174</v>
      </c>
      <c r="AO1120" t="s">
        <v>13338</v>
      </c>
      <c r="AP1120" t="s">
        <v>7024</v>
      </c>
      <c r="AQ1120" t="s">
        <v>13342</v>
      </c>
      <c r="AT1120" s="184"/>
      <c r="AW1120" s="184"/>
      <c r="AZ1120" s="184"/>
      <c r="BO1120" t="s">
        <v>595</v>
      </c>
      <c r="BP1120" s="184"/>
    </row>
    <row r="1121" spans="1:68">
      <c r="A1121">
        <v>7721368</v>
      </c>
      <c r="B1121">
        <v>7721368</v>
      </c>
      <c r="C1121" t="s">
        <v>7018</v>
      </c>
      <c r="D1121" t="s">
        <v>595</v>
      </c>
      <c r="E1121" s="184">
        <v>45120</v>
      </c>
      <c r="G1121" s="184"/>
      <c r="K1121" s="184"/>
      <c r="O1121" s="184"/>
      <c r="P1121" t="s">
        <v>7045</v>
      </c>
      <c r="Q1121" t="s">
        <v>7262</v>
      </c>
      <c r="R1121" s="184">
        <v>24542</v>
      </c>
      <c r="S1121">
        <v>57</v>
      </c>
      <c r="U1121" t="s">
        <v>7031</v>
      </c>
      <c r="V1121" t="s">
        <v>3981</v>
      </c>
      <c r="X1121" t="s">
        <v>13343</v>
      </c>
      <c r="AF1121" t="s">
        <v>13344</v>
      </c>
      <c r="AG1121" t="s">
        <v>3981</v>
      </c>
      <c r="AI1121" t="s">
        <v>13345</v>
      </c>
      <c r="AM1121" t="s">
        <v>13346</v>
      </c>
      <c r="AN1121" t="s">
        <v>2106</v>
      </c>
      <c r="AO1121" t="s">
        <v>13347</v>
      </c>
      <c r="AP1121" t="s">
        <v>7024</v>
      </c>
      <c r="AQ1121" t="s">
        <v>13348</v>
      </c>
      <c r="AT1121" s="184">
        <v>33798</v>
      </c>
      <c r="AU1121" t="s">
        <v>13349</v>
      </c>
      <c r="AV1121">
        <v>15</v>
      </c>
      <c r="AW1121" s="184">
        <v>45091</v>
      </c>
      <c r="AX1121" t="s">
        <v>13350</v>
      </c>
      <c r="AY1121">
        <v>50</v>
      </c>
      <c r="AZ1121" s="184">
        <v>43369</v>
      </c>
      <c r="BA1121" t="s">
        <v>13351</v>
      </c>
      <c r="BB1121">
        <v>60</v>
      </c>
      <c r="BC1121">
        <v>25</v>
      </c>
      <c r="BD1121">
        <v>234.91</v>
      </c>
      <c r="BE1121">
        <v>1993</v>
      </c>
      <c r="BF1121">
        <v>8</v>
      </c>
      <c r="BG1121">
        <v>2</v>
      </c>
      <c r="BH1121">
        <v>75</v>
      </c>
      <c r="BI1121">
        <v>8</v>
      </c>
      <c r="BJ1121">
        <v>33</v>
      </c>
      <c r="BK1121">
        <v>3</v>
      </c>
      <c r="BP1121" s="184"/>
    </row>
    <row r="1122" spans="1:68">
      <c r="A1122">
        <v>7741242</v>
      </c>
      <c r="B1122">
        <v>7741242</v>
      </c>
      <c r="C1122" t="s">
        <v>7018</v>
      </c>
      <c r="D1122" t="s">
        <v>595</v>
      </c>
      <c r="E1122" s="184">
        <v>45153</v>
      </c>
      <c r="G1122" s="184"/>
      <c r="K1122" s="184"/>
      <c r="O1122" s="184"/>
      <c r="P1122" t="s">
        <v>7045</v>
      </c>
      <c r="Q1122" t="s">
        <v>7383</v>
      </c>
      <c r="R1122" s="184">
        <v>19633</v>
      </c>
      <c r="S1122">
        <v>70</v>
      </c>
      <c r="U1122" t="s">
        <v>7076</v>
      </c>
      <c r="V1122" t="s">
        <v>4599</v>
      </c>
      <c r="W1122" t="s">
        <v>4139</v>
      </c>
      <c r="X1122" t="s">
        <v>3266</v>
      </c>
      <c r="AF1122" t="s">
        <v>13352</v>
      </c>
      <c r="AG1122" t="s">
        <v>4599</v>
      </c>
      <c r="AI1122" t="s">
        <v>13353</v>
      </c>
      <c r="AM1122" t="s">
        <v>13354</v>
      </c>
      <c r="AN1122" t="s">
        <v>2185</v>
      </c>
      <c r="AO1122" t="s">
        <v>13355</v>
      </c>
      <c r="AP1122" t="s">
        <v>7024</v>
      </c>
      <c r="AQ1122" t="s">
        <v>13356</v>
      </c>
      <c r="AT1122" s="184">
        <v>33801</v>
      </c>
      <c r="AU1122" t="s">
        <v>13357</v>
      </c>
      <c r="AV1122">
        <v>20</v>
      </c>
      <c r="AW1122" s="184">
        <v>45383</v>
      </c>
      <c r="AX1122" t="s">
        <v>7578</v>
      </c>
      <c r="AY1122">
        <v>35</v>
      </c>
      <c r="AZ1122" s="184">
        <v>40184</v>
      </c>
      <c r="BA1122" t="s">
        <v>13358</v>
      </c>
      <c r="BB1122">
        <v>100</v>
      </c>
      <c r="BC1122">
        <v>73</v>
      </c>
      <c r="BD1122">
        <v>1442</v>
      </c>
      <c r="BE1122">
        <v>1993</v>
      </c>
      <c r="BF1122">
        <v>40</v>
      </c>
      <c r="BG1122">
        <v>2</v>
      </c>
      <c r="BH1122">
        <v>70</v>
      </c>
      <c r="BI1122">
        <v>24</v>
      </c>
      <c r="BJ1122">
        <v>33</v>
      </c>
      <c r="BK1122">
        <v>10</v>
      </c>
      <c r="BP1122" s="184"/>
    </row>
    <row r="1123" spans="1:68">
      <c r="A1123">
        <v>7747389</v>
      </c>
      <c r="B1123">
        <v>7747389</v>
      </c>
      <c r="C1123" t="s">
        <v>7018</v>
      </c>
      <c r="D1123" t="s">
        <v>595</v>
      </c>
      <c r="E1123" s="184">
        <v>44104</v>
      </c>
      <c r="G1123" s="184"/>
      <c r="K1123" s="184"/>
      <c r="O1123" s="184"/>
      <c r="P1123" t="s">
        <v>7045</v>
      </c>
      <c r="Q1123" t="s">
        <v>7160</v>
      </c>
      <c r="R1123" s="184">
        <v>14998</v>
      </c>
      <c r="S1123">
        <v>83</v>
      </c>
      <c r="U1123" t="s">
        <v>7094</v>
      </c>
      <c r="V1123" t="s">
        <v>2989</v>
      </c>
      <c r="W1123" t="s">
        <v>5006</v>
      </c>
      <c r="X1123" t="s">
        <v>13359</v>
      </c>
      <c r="AF1123" t="s">
        <v>13360</v>
      </c>
      <c r="AG1123" t="s">
        <v>2989</v>
      </c>
      <c r="AI1123" t="s">
        <v>13361</v>
      </c>
      <c r="AM1123" t="s">
        <v>13362</v>
      </c>
      <c r="AN1123" t="s">
        <v>2413</v>
      </c>
      <c r="AO1123" t="s">
        <v>13363</v>
      </c>
      <c r="AP1123" t="s">
        <v>7024</v>
      </c>
      <c r="AQ1123" t="s">
        <v>13364</v>
      </c>
      <c r="AT1123" s="184">
        <v>33802</v>
      </c>
      <c r="AU1123" t="s">
        <v>13365</v>
      </c>
      <c r="AV1123">
        <v>15</v>
      </c>
      <c r="AW1123" s="184">
        <v>45418</v>
      </c>
      <c r="AX1123" t="s">
        <v>9437</v>
      </c>
      <c r="AY1123">
        <v>90</v>
      </c>
      <c r="AZ1123" s="184">
        <v>45418</v>
      </c>
      <c r="BA1123" t="s">
        <v>9437</v>
      </c>
      <c r="BB1123">
        <v>90</v>
      </c>
      <c r="BC1123">
        <v>100</v>
      </c>
      <c r="BD1123">
        <v>5649</v>
      </c>
      <c r="BE1123">
        <v>1993</v>
      </c>
      <c r="BF1123">
        <v>167</v>
      </c>
      <c r="BG1123">
        <v>12</v>
      </c>
      <c r="BH1123">
        <v>880</v>
      </c>
      <c r="BI1123">
        <v>33</v>
      </c>
      <c r="BJ1123">
        <v>33</v>
      </c>
      <c r="BK1123">
        <v>33</v>
      </c>
      <c r="BP1123" s="184"/>
    </row>
    <row r="1124" spans="1:68">
      <c r="A1124">
        <v>7755408</v>
      </c>
      <c r="B1124">
        <v>7755408</v>
      </c>
      <c r="C1124" t="s">
        <v>7018</v>
      </c>
      <c r="D1124" t="s">
        <v>595</v>
      </c>
      <c r="E1124" s="184">
        <v>43815</v>
      </c>
      <c r="G1124" s="184"/>
      <c r="I1124" s="184"/>
      <c r="K1124" s="184"/>
      <c r="O1124" s="184"/>
      <c r="P1124" t="s">
        <v>7045</v>
      </c>
      <c r="Q1124" t="s">
        <v>7374</v>
      </c>
      <c r="R1124" s="184">
        <v>20821</v>
      </c>
      <c r="S1124">
        <v>67</v>
      </c>
      <c r="U1124" t="s">
        <v>7094</v>
      </c>
      <c r="V1124" t="s">
        <v>2733</v>
      </c>
      <c r="X1124" t="s">
        <v>4466</v>
      </c>
      <c r="AF1124" t="s">
        <v>13366</v>
      </c>
      <c r="AG1124" t="s">
        <v>2733</v>
      </c>
      <c r="AI1124" t="s">
        <v>13367</v>
      </c>
      <c r="AM1124" t="s">
        <v>13368</v>
      </c>
      <c r="AN1124" t="s">
        <v>2526</v>
      </c>
      <c r="AO1124" t="s">
        <v>13369</v>
      </c>
      <c r="AP1124" t="s">
        <v>7024</v>
      </c>
      <c r="AT1124" s="184">
        <v>33805</v>
      </c>
      <c r="AU1124" t="s">
        <v>13370</v>
      </c>
      <c r="AV1124">
        <v>25</v>
      </c>
      <c r="AW1124" s="184">
        <v>45408</v>
      </c>
      <c r="AX1124" t="s">
        <v>13371</v>
      </c>
      <c r="AY1124">
        <v>10</v>
      </c>
      <c r="AZ1124" s="184">
        <v>45132</v>
      </c>
      <c r="BA1124" t="s">
        <v>13372</v>
      </c>
      <c r="BB1124">
        <v>35</v>
      </c>
      <c r="BC1124">
        <v>100</v>
      </c>
      <c r="BD1124">
        <v>1272</v>
      </c>
      <c r="BE1124">
        <v>1993</v>
      </c>
      <c r="BF1124">
        <v>66</v>
      </c>
      <c r="BG1124">
        <v>7</v>
      </c>
      <c r="BH1124">
        <v>140</v>
      </c>
      <c r="BI1124">
        <v>33</v>
      </c>
      <c r="BJ1124">
        <v>33</v>
      </c>
      <c r="BK1124">
        <v>33</v>
      </c>
      <c r="BP1124" s="184"/>
    </row>
    <row r="1125" spans="1:68">
      <c r="A1125">
        <v>7764905</v>
      </c>
      <c r="B1125">
        <v>7764905</v>
      </c>
      <c r="C1125" t="s">
        <v>7018</v>
      </c>
      <c r="E1125" s="184"/>
      <c r="G1125" s="184"/>
      <c r="I1125" s="184"/>
      <c r="J1125" t="s">
        <v>595</v>
      </c>
      <c r="K1125" s="184">
        <v>41969</v>
      </c>
      <c r="P1125" t="s">
        <v>7045</v>
      </c>
      <c r="Q1125" t="s">
        <v>7262</v>
      </c>
      <c r="R1125" s="184">
        <v>21502</v>
      </c>
      <c r="S1125">
        <v>65</v>
      </c>
      <c r="U1125" t="s">
        <v>7076</v>
      </c>
      <c r="V1125" t="s">
        <v>3801</v>
      </c>
      <c r="W1125" t="s">
        <v>3332</v>
      </c>
      <c r="X1125" t="s">
        <v>13373</v>
      </c>
      <c r="AF1125" t="s">
        <v>6454</v>
      </c>
      <c r="AG1125" t="s">
        <v>3801</v>
      </c>
      <c r="AI1125" t="s">
        <v>13374</v>
      </c>
      <c r="AM1125" t="s">
        <v>12105</v>
      </c>
      <c r="AN1125" t="s">
        <v>2069</v>
      </c>
      <c r="AO1125" t="s">
        <v>13375</v>
      </c>
      <c r="AP1125" t="s">
        <v>7024</v>
      </c>
      <c r="AQ1125" t="s">
        <v>13376</v>
      </c>
      <c r="AR1125" t="s">
        <v>13377</v>
      </c>
      <c r="AT1125" s="184">
        <v>33807</v>
      </c>
      <c r="AU1125" t="s">
        <v>13365</v>
      </c>
      <c r="AV1125">
        <v>25</v>
      </c>
      <c r="AW1125" s="184">
        <v>45317</v>
      </c>
      <c r="AX1125" t="s">
        <v>13378</v>
      </c>
      <c r="AY1125">
        <v>100</v>
      </c>
      <c r="AZ1125" s="184">
        <v>45317</v>
      </c>
      <c r="BA1125" t="s">
        <v>13378</v>
      </c>
      <c r="BB1125">
        <v>100</v>
      </c>
      <c r="BC1125">
        <v>49</v>
      </c>
      <c r="BD1125">
        <v>1040</v>
      </c>
      <c r="BE1125">
        <v>1993</v>
      </c>
      <c r="BF1125">
        <v>18</v>
      </c>
      <c r="BG1125">
        <v>1</v>
      </c>
      <c r="BH1125">
        <v>100</v>
      </c>
      <c r="BI1125">
        <v>16</v>
      </c>
      <c r="BJ1125">
        <v>33</v>
      </c>
      <c r="BK1125">
        <v>6</v>
      </c>
      <c r="BP1125" s="184"/>
    </row>
    <row r="1126" spans="1:68">
      <c r="A1126">
        <v>7767205</v>
      </c>
      <c r="B1126">
        <v>7767205</v>
      </c>
      <c r="C1126" t="s">
        <v>7018</v>
      </c>
      <c r="E1126" s="184"/>
      <c r="G1126" s="184"/>
      <c r="I1126" s="184"/>
      <c r="J1126" t="s">
        <v>595</v>
      </c>
      <c r="K1126" s="184">
        <v>44152</v>
      </c>
      <c r="O1126" s="184"/>
      <c r="P1126" t="s">
        <v>7045</v>
      </c>
      <c r="Q1126" t="s">
        <v>7383</v>
      </c>
      <c r="R1126" s="184">
        <v>12854</v>
      </c>
      <c r="S1126">
        <v>89</v>
      </c>
      <c r="U1126" t="s">
        <v>7031</v>
      </c>
      <c r="V1126" t="s">
        <v>4254</v>
      </c>
      <c r="X1126" t="s">
        <v>13379</v>
      </c>
      <c r="AF1126" t="s">
        <v>13380</v>
      </c>
      <c r="AG1126" t="s">
        <v>4254</v>
      </c>
      <c r="AI1126" t="s">
        <v>13381</v>
      </c>
      <c r="AM1126" t="s">
        <v>13382</v>
      </c>
      <c r="AN1126" t="s">
        <v>2313</v>
      </c>
      <c r="AO1126" t="s">
        <v>13383</v>
      </c>
      <c r="AP1126" t="s">
        <v>7024</v>
      </c>
      <c r="AQ1126" t="s">
        <v>13384</v>
      </c>
      <c r="AT1126" s="184">
        <v>33807</v>
      </c>
      <c r="AU1126" t="s">
        <v>13385</v>
      </c>
      <c r="AV1126">
        <v>15</v>
      </c>
      <c r="AW1126" s="184">
        <v>45381</v>
      </c>
      <c r="AX1126" t="s">
        <v>13386</v>
      </c>
      <c r="AY1126">
        <v>105</v>
      </c>
      <c r="AZ1126" s="184">
        <v>45337</v>
      </c>
      <c r="BA1126" t="s">
        <v>13387</v>
      </c>
      <c r="BB1126">
        <v>250</v>
      </c>
      <c r="BC1126">
        <v>100</v>
      </c>
      <c r="BD1126">
        <v>4410</v>
      </c>
      <c r="BE1126">
        <v>1993</v>
      </c>
      <c r="BF1126">
        <v>36</v>
      </c>
      <c r="BG1126">
        <v>4</v>
      </c>
      <c r="BH1126">
        <v>660</v>
      </c>
      <c r="BI1126">
        <v>33</v>
      </c>
      <c r="BJ1126">
        <v>33</v>
      </c>
      <c r="BK1126">
        <v>33</v>
      </c>
    </row>
    <row r="1127" spans="1:68">
      <c r="A1127">
        <v>7773898</v>
      </c>
      <c r="B1127">
        <v>7773898</v>
      </c>
      <c r="C1127" t="s">
        <v>7018</v>
      </c>
      <c r="E1127" s="184"/>
      <c r="F1127" t="s">
        <v>595</v>
      </c>
      <c r="G1127" s="184">
        <v>43647</v>
      </c>
      <c r="I1127" s="184"/>
      <c r="K1127" s="184"/>
      <c r="O1127" s="184"/>
      <c r="P1127" t="s">
        <v>7045</v>
      </c>
      <c r="Q1127" t="s">
        <v>7383</v>
      </c>
      <c r="R1127" s="184">
        <v>19078</v>
      </c>
      <c r="S1127">
        <v>72</v>
      </c>
      <c r="U1127" t="s">
        <v>7031</v>
      </c>
      <c r="V1127" t="s">
        <v>2979</v>
      </c>
      <c r="W1127" t="s">
        <v>3332</v>
      </c>
      <c r="X1127" t="s">
        <v>3407</v>
      </c>
      <c r="AF1127" t="s">
        <v>13388</v>
      </c>
      <c r="AG1127" t="s">
        <v>2979</v>
      </c>
      <c r="AI1127" t="s">
        <v>13389</v>
      </c>
      <c r="AM1127" t="s">
        <v>3408</v>
      </c>
      <c r="AN1127" t="s">
        <v>2313</v>
      </c>
      <c r="AO1127" t="s">
        <v>13390</v>
      </c>
      <c r="AP1127" t="s">
        <v>7024</v>
      </c>
      <c r="AT1127" s="184">
        <v>33809</v>
      </c>
      <c r="AU1127" t="s">
        <v>13124</v>
      </c>
      <c r="AV1127">
        <v>15</v>
      </c>
      <c r="AW1127" s="184">
        <v>44825</v>
      </c>
      <c r="AX1127" t="s">
        <v>13391</v>
      </c>
      <c r="AY1127">
        <v>10</v>
      </c>
      <c r="AZ1127" s="184">
        <v>44397</v>
      </c>
      <c r="BA1127" t="s">
        <v>13392</v>
      </c>
      <c r="BB1127">
        <v>30</v>
      </c>
      <c r="BC1127">
        <v>70</v>
      </c>
      <c r="BD1127">
        <v>515</v>
      </c>
      <c r="BE1127">
        <v>1993</v>
      </c>
      <c r="BF1127">
        <v>31</v>
      </c>
      <c r="BG1127">
        <v>2</v>
      </c>
      <c r="BH1127">
        <v>20</v>
      </c>
      <c r="BI1127">
        <v>23</v>
      </c>
      <c r="BJ1127">
        <v>33</v>
      </c>
      <c r="BK1127">
        <v>12</v>
      </c>
      <c r="BP1127" s="184"/>
    </row>
    <row r="1128" spans="1:68">
      <c r="A1128">
        <v>7800741</v>
      </c>
      <c r="B1128">
        <v>7800741</v>
      </c>
      <c r="C1128" t="s">
        <v>7018</v>
      </c>
      <c r="E1128" s="184"/>
      <c r="F1128" t="s">
        <v>595</v>
      </c>
      <c r="G1128" s="184">
        <v>44167</v>
      </c>
      <c r="I1128" s="184"/>
      <c r="K1128" s="184"/>
      <c r="O1128" s="184"/>
      <c r="P1128" t="s">
        <v>7045</v>
      </c>
      <c r="Q1128" t="s">
        <v>7160</v>
      </c>
      <c r="R1128" s="184">
        <v>17807</v>
      </c>
      <c r="S1128">
        <v>75</v>
      </c>
      <c r="U1128" t="s">
        <v>7031</v>
      </c>
      <c r="V1128" t="s">
        <v>3162</v>
      </c>
      <c r="X1128" t="s">
        <v>13393</v>
      </c>
      <c r="AF1128" t="s">
        <v>13394</v>
      </c>
      <c r="AG1128" t="s">
        <v>3162</v>
      </c>
      <c r="AI1128" t="s">
        <v>13395</v>
      </c>
      <c r="AM1128" t="s">
        <v>13396</v>
      </c>
      <c r="AN1128" t="s">
        <v>2395</v>
      </c>
      <c r="AO1128" t="s">
        <v>13397</v>
      </c>
      <c r="AP1128" t="s">
        <v>7024</v>
      </c>
      <c r="AT1128" s="184">
        <v>33819</v>
      </c>
      <c r="AU1128" t="s">
        <v>13349</v>
      </c>
      <c r="AV1128">
        <v>25</v>
      </c>
      <c r="AW1128" s="184">
        <v>45187</v>
      </c>
      <c r="AX1128" t="s">
        <v>10696</v>
      </c>
      <c r="AY1128">
        <v>30</v>
      </c>
      <c r="AZ1128" s="184">
        <v>38491</v>
      </c>
      <c r="BA1128" t="s">
        <v>13398</v>
      </c>
      <c r="BB1128">
        <v>87</v>
      </c>
      <c r="BC1128">
        <v>67</v>
      </c>
      <c r="BD1128">
        <v>787</v>
      </c>
      <c r="BE1128">
        <v>1993</v>
      </c>
      <c r="BF1128">
        <v>24</v>
      </c>
      <c r="BG1128">
        <v>1</v>
      </c>
      <c r="BH1128">
        <v>30</v>
      </c>
      <c r="BI1128">
        <v>22</v>
      </c>
      <c r="BJ1128">
        <v>33</v>
      </c>
      <c r="BK1128">
        <v>11</v>
      </c>
      <c r="BP1128" s="184"/>
    </row>
    <row r="1129" spans="1:68">
      <c r="A1129">
        <v>7828049</v>
      </c>
      <c r="B1129">
        <v>7828049</v>
      </c>
      <c r="C1129" t="s">
        <v>7018</v>
      </c>
      <c r="D1129" t="s">
        <v>595</v>
      </c>
      <c r="E1129" s="184">
        <v>44104</v>
      </c>
      <c r="G1129" s="184"/>
      <c r="I1129" s="184"/>
      <c r="K1129" s="184"/>
      <c r="O1129" s="184"/>
      <c r="P1129" t="s">
        <v>7045</v>
      </c>
      <c r="Q1129" t="s">
        <v>7494</v>
      </c>
      <c r="R1129" s="184">
        <v>12883</v>
      </c>
      <c r="S1129">
        <v>89</v>
      </c>
      <c r="U1129" t="s">
        <v>7031</v>
      </c>
      <c r="V1129" t="s">
        <v>3103</v>
      </c>
      <c r="W1129" t="s">
        <v>3226</v>
      </c>
      <c r="X1129" t="s">
        <v>13399</v>
      </c>
      <c r="AF1129" t="s">
        <v>13400</v>
      </c>
      <c r="AG1129" t="s">
        <v>3103</v>
      </c>
      <c r="AI1129" t="s">
        <v>13401</v>
      </c>
      <c r="AM1129" t="s">
        <v>2612</v>
      </c>
      <c r="AN1129" t="s">
        <v>2174</v>
      </c>
      <c r="AO1129" t="s">
        <v>13402</v>
      </c>
      <c r="AP1129" t="s">
        <v>7024</v>
      </c>
      <c r="AQ1129" t="s">
        <v>13403</v>
      </c>
      <c r="AT1129" s="184">
        <v>33827</v>
      </c>
      <c r="AU1129" t="s">
        <v>13404</v>
      </c>
      <c r="AV1129">
        <v>15</v>
      </c>
      <c r="AW1129" s="184">
        <v>44354</v>
      </c>
      <c r="AX1129" t="s">
        <v>13405</v>
      </c>
      <c r="AY1129">
        <v>25</v>
      </c>
      <c r="AZ1129" s="184">
        <v>43921</v>
      </c>
      <c r="BA1129" t="s">
        <v>13406</v>
      </c>
      <c r="BB1129">
        <v>30</v>
      </c>
      <c r="BC1129">
        <v>91</v>
      </c>
      <c r="BD1129">
        <v>815</v>
      </c>
      <c r="BE1129">
        <v>1993</v>
      </c>
      <c r="BF1129">
        <v>41</v>
      </c>
      <c r="BI1129">
        <v>30</v>
      </c>
      <c r="BJ1129">
        <v>33</v>
      </c>
      <c r="BK1129">
        <v>30</v>
      </c>
      <c r="BP1129" s="184"/>
    </row>
    <row r="1130" spans="1:68">
      <c r="A1130">
        <v>7857253</v>
      </c>
      <c r="B1130">
        <v>7857253</v>
      </c>
      <c r="C1130" t="s">
        <v>7018</v>
      </c>
      <c r="D1130" t="s">
        <v>595</v>
      </c>
      <c r="E1130" s="184">
        <v>44073</v>
      </c>
      <c r="G1130" s="184"/>
      <c r="K1130" s="184"/>
      <c r="O1130" s="184"/>
      <c r="P1130" t="s">
        <v>7045</v>
      </c>
      <c r="Q1130" t="s">
        <v>7160</v>
      </c>
      <c r="R1130" s="184">
        <v>18994</v>
      </c>
      <c r="S1130">
        <v>72</v>
      </c>
      <c r="U1130" t="s">
        <v>7130</v>
      </c>
      <c r="V1130" t="s">
        <v>4300</v>
      </c>
      <c r="W1130" t="s">
        <v>7268</v>
      </c>
      <c r="X1130" t="s">
        <v>13407</v>
      </c>
      <c r="AF1130" t="s">
        <v>13408</v>
      </c>
      <c r="AG1130" t="s">
        <v>4300</v>
      </c>
      <c r="AI1130" t="s">
        <v>13409</v>
      </c>
      <c r="AM1130" t="s">
        <v>13410</v>
      </c>
      <c r="AN1130" t="s">
        <v>2413</v>
      </c>
      <c r="AO1130" t="s">
        <v>13411</v>
      </c>
      <c r="AP1130" t="s">
        <v>7024</v>
      </c>
      <c r="AQ1130" t="s">
        <v>13412</v>
      </c>
      <c r="AT1130" s="184">
        <v>33833</v>
      </c>
      <c r="AU1130" t="s">
        <v>13413</v>
      </c>
      <c r="AV1130">
        <v>15</v>
      </c>
      <c r="AW1130" s="184">
        <v>45341</v>
      </c>
      <c r="AX1130" t="s">
        <v>13414</v>
      </c>
      <c r="AY1130">
        <v>10</v>
      </c>
      <c r="AZ1130" s="184">
        <v>39993</v>
      </c>
      <c r="BA1130" t="s">
        <v>13415</v>
      </c>
      <c r="BB1130">
        <v>60</v>
      </c>
      <c r="BC1130">
        <v>91</v>
      </c>
      <c r="BD1130">
        <v>1302</v>
      </c>
      <c r="BE1130">
        <v>1993</v>
      </c>
      <c r="BF1130">
        <v>45</v>
      </c>
      <c r="BG1130">
        <v>2</v>
      </c>
      <c r="BH1130">
        <v>45</v>
      </c>
      <c r="BI1130">
        <v>30</v>
      </c>
      <c r="BJ1130">
        <v>33</v>
      </c>
      <c r="BK1130">
        <v>13</v>
      </c>
      <c r="BP1130" s="184"/>
    </row>
    <row r="1131" spans="1:68">
      <c r="A1131">
        <v>7859143</v>
      </c>
      <c r="B1131">
        <v>7859143</v>
      </c>
      <c r="C1131" t="s">
        <v>7018</v>
      </c>
      <c r="E1131" s="184"/>
      <c r="G1131" s="184"/>
      <c r="I1131" s="184"/>
      <c r="J1131" t="s">
        <v>595</v>
      </c>
      <c r="K1131" s="184">
        <v>39514</v>
      </c>
      <c r="O1131" s="184"/>
      <c r="P1131" t="s">
        <v>7045</v>
      </c>
      <c r="Q1131" t="s">
        <v>7194</v>
      </c>
      <c r="R1131" s="184">
        <v>15827</v>
      </c>
      <c r="S1131">
        <v>81</v>
      </c>
      <c r="U1131" t="s">
        <v>7031</v>
      </c>
      <c r="V1131" t="s">
        <v>2851</v>
      </c>
      <c r="W1131" t="s">
        <v>7469</v>
      </c>
      <c r="X1131" t="s">
        <v>13416</v>
      </c>
      <c r="AF1131" t="s">
        <v>6479</v>
      </c>
      <c r="AG1131" t="s">
        <v>2851</v>
      </c>
      <c r="AI1131" t="s">
        <v>13417</v>
      </c>
      <c r="AJ1131" t="s">
        <v>13418</v>
      </c>
      <c r="AM1131" t="s">
        <v>5517</v>
      </c>
      <c r="AN1131" t="s">
        <v>4512</v>
      </c>
      <c r="AO1131" t="s">
        <v>13419</v>
      </c>
      <c r="AP1131" t="s">
        <v>7024</v>
      </c>
      <c r="AQ1131" t="s">
        <v>13420</v>
      </c>
      <c r="AR1131" t="s">
        <v>13421</v>
      </c>
      <c r="AT1131" s="184">
        <v>33833</v>
      </c>
      <c r="AU1131" t="s">
        <v>13422</v>
      </c>
      <c r="AV1131">
        <v>15</v>
      </c>
      <c r="AW1131" s="184">
        <v>44302</v>
      </c>
      <c r="AX1131" t="s">
        <v>13423</v>
      </c>
      <c r="AY1131">
        <v>25</v>
      </c>
      <c r="AZ1131" s="184">
        <v>44302</v>
      </c>
      <c r="BA1131" t="s">
        <v>13423</v>
      </c>
      <c r="BB1131">
        <v>25</v>
      </c>
      <c r="BC1131">
        <v>82</v>
      </c>
      <c r="BD1131">
        <v>875</v>
      </c>
      <c r="BE1131">
        <v>1993</v>
      </c>
      <c r="BF1131">
        <v>37</v>
      </c>
      <c r="BI1131">
        <v>27</v>
      </c>
      <c r="BJ1131">
        <v>33</v>
      </c>
      <c r="BK1131">
        <v>20</v>
      </c>
      <c r="BP1131" s="184"/>
    </row>
    <row r="1132" spans="1:68">
      <c r="A1132">
        <v>7868722</v>
      </c>
      <c r="B1132">
        <v>7868722</v>
      </c>
      <c r="C1132" t="s">
        <v>7018</v>
      </c>
      <c r="E1132" s="184"/>
      <c r="F1132" t="s">
        <v>595</v>
      </c>
      <c r="G1132" s="184">
        <v>43731</v>
      </c>
      <c r="I1132" s="184"/>
      <c r="K1132" s="184"/>
      <c r="O1132" s="184"/>
      <c r="P1132" t="s">
        <v>7045</v>
      </c>
      <c r="Q1132" t="s">
        <v>7383</v>
      </c>
      <c r="R1132" s="184">
        <v>27303</v>
      </c>
      <c r="S1132">
        <v>49</v>
      </c>
      <c r="U1132" t="s">
        <v>7031</v>
      </c>
      <c r="V1132" t="s">
        <v>3103</v>
      </c>
      <c r="W1132" t="s">
        <v>3226</v>
      </c>
      <c r="X1132" t="s">
        <v>3928</v>
      </c>
      <c r="AF1132" t="s">
        <v>13424</v>
      </c>
      <c r="AG1132" t="s">
        <v>3103</v>
      </c>
      <c r="AI1132" t="s">
        <v>13425</v>
      </c>
      <c r="AM1132" t="s">
        <v>3761</v>
      </c>
      <c r="AN1132" t="s">
        <v>2059</v>
      </c>
      <c r="AO1132" t="s">
        <v>13426</v>
      </c>
      <c r="AP1132" t="s">
        <v>7024</v>
      </c>
      <c r="AT1132" s="184">
        <v>33834</v>
      </c>
      <c r="AU1132" t="s">
        <v>13427</v>
      </c>
      <c r="AV1132">
        <v>15</v>
      </c>
      <c r="AW1132" s="184">
        <v>44973</v>
      </c>
      <c r="AX1132" t="s">
        <v>8057</v>
      </c>
      <c r="AY1132">
        <v>200</v>
      </c>
      <c r="AZ1132" s="184">
        <v>44973</v>
      </c>
      <c r="BA1132" t="s">
        <v>8057</v>
      </c>
      <c r="BB1132">
        <v>200</v>
      </c>
      <c r="BC1132">
        <v>49</v>
      </c>
      <c r="BD1132">
        <v>1202</v>
      </c>
      <c r="BE1132">
        <v>1993</v>
      </c>
      <c r="BF1132">
        <v>21</v>
      </c>
      <c r="BG1132">
        <v>2</v>
      </c>
      <c r="BH1132">
        <v>300</v>
      </c>
      <c r="BI1132">
        <v>16</v>
      </c>
      <c r="BJ1132">
        <v>33</v>
      </c>
      <c r="BK1132">
        <v>12</v>
      </c>
      <c r="BP1132" s="184"/>
    </row>
    <row r="1133" spans="1:68">
      <c r="A1133">
        <v>7870058</v>
      </c>
      <c r="B1133">
        <v>7870058</v>
      </c>
      <c r="C1133" t="s">
        <v>7018</v>
      </c>
      <c r="D1133" t="s">
        <v>595</v>
      </c>
      <c r="E1133" s="184">
        <v>44167</v>
      </c>
      <c r="G1133" s="184"/>
      <c r="I1133" s="184"/>
      <c r="K1133" s="184"/>
      <c r="O1133" s="184"/>
      <c r="P1133" t="s">
        <v>7045</v>
      </c>
      <c r="Q1133" t="s">
        <v>7383</v>
      </c>
      <c r="R1133" s="184">
        <v>13394</v>
      </c>
      <c r="S1133">
        <v>87</v>
      </c>
      <c r="U1133" t="s">
        <v>7076</v>
      </c>
      <c r="V1133" t="s">
        <v>3565</v>
      </c>
      <c r="X1133" t="s">
        <v>2936</v>
      </c>
      <c r="AF1133" t="s">
        <v>13428</v>
      </c>
      <c r="AG1133" t="s">
        <v>3565</v>
      </c>
      <c r="AI1133" t="s">
        <v>13429</v>
      </c>
      <c r="AM1133" t="s">
        <v>3783</v>
      </c>
      <c r="AN1133" t="s">
        <v>2139</v>
      </c>
      <c r="AO1133" t="s">
        <v>13430</v>
      </c>
      <c r="AP1133" t="s">
        <v>7024</v>
      </c>
      <c r="AQ1133" t="s">
        <v>13431</v>
      </c>
      <c r="AT1133" s="184">
        <v>33834</v>
      </c>
      <c r="AU1133" t="s">
        <v>13432</v>
      </c>
      <c r="AV1133">
        <v>15</v>
      </c>
      <c r="AW1133" s="184">
        <v>45131</v>
      </c>
      <c r="AX1133" t="s">
        <v>13433</v>
      </c>
      <c r="AY1133">
        <v>35</v>
      </c>
      <c r="AZ1133" s="184">
        <v>44123</v>
      </c>
      <c r="BA1133" t="s">
        <v>13434</v>
      </c>
      <c r="BB1133">
        <v>87</v>
      </c>
      <c r="BC1133">
        <v>91</v>
      </c>
      <c r="BD1133">
        <v>2199</v>
      </c>
      <c r="BE1133">
        <v>1993</v>
      </c>
      <c r="BF1133">
        <v>95</v>
      </c>
      <c r="BG1133">
        <v>1</v>
      </c>
      <c r="BH1133">
        <v>35</v>
      </c>
      <c r="BI1133">
        <v>30</v>
      </c>
      <c r="BJ1133">
        <v>33</v>
      </c>
      <c r="BK1133">
        <v>29</v>
      </c>
      <c r="BP1133" s="184"/>
    </row>
    <row r="1134" spans="1:68">
      <c r="A1134">
        <v>7871437</v>
      </c>
      <c r="B1134">
        <v>7871437</v>
      </c>
      <c r="C1134" t="s">
        <v>7018</v>
      </c>
      <c r="E1134" s="184"/>
      <c r="I1134" s="184"/>
      <c r="J1134" t="s">
        <v>595</v>
      </c>
      <c r="K1134" s="184">
        <v>44104</v>
      </c>
      <c r="O1134" s="184"/>
      <c r="P1134" t="s">
        <v>7045</v>
      </c>
      <c r="Q1134" t="s">
        <v>7374</v>
      </c>
      <c r="R1134" s="184">
        <v>12455</v>
      </c>
      <c r="S1134">
        <v>90</v>
      </c>
      <c r="U1134" t="s">
        <v>7032</v>
      </c>
      <c r="V1134" t="s">
        <v>2739</v>
      </c>
      <c r="X1134" t="s">
        <v>13435</v>
      </c>
      <c r="Z1134">
        <v>100032381</v>
      </c>
      <c r="AA1134" t="s">
        <v>7130</v>
      </c>
      <c r="AB1134" t="s">
        <v>2593</v>
      </c>
      <c r="AD1134" t="s">
        <v>13435</v>
      </c>
      <c r="AF1134" t="s">
        <v>13436</v>
      </c>
      <c r="AG1134" t="s">
        <v>13437</v>
      </c>
      <c r="AI1134" t="s">
        <v>13438</v>
      </c>
      <c r="AM1134" t="s">
        <v>13439</v>
      </c>
      <c r="AN1134" t="s">
        <v>2081</v>
      </c>
      <c r="AO1134" t="s">
        <v>13440</v>
      </c>
      <c r="AP1134" t="s">
        <v>7024</v>
      </c>
      <c r="AQ1134" t="s">
        <v>13441</v>
      </c>
      <c r="AR1134" t="s">
        <v>13442</v>
      </c>
      <c r="AT1134" s="184">
        <v>33834</v>
      </c>
      <c r="AU1134" t="s">
        <v>13443</v>
      </c>
      <c r="AV1134">
        <v>25</v>
      </c>
      <c r="AW1134" s="184">
        <v>43074</v>
      </c>
      <c r="AX1134" t="s">
        <v>13444</v>
      </c>
      <c r="AY1134">
        <v>2000</v>
      </c>
      <c r="AZ1134" s="184">
        <v>43074</v>
      </c>
      <c r="BA1134" t="s">
        <v>13444</v>
      </c>
      <c r="BB1134">
        <v>2000</v>
      </c>
      <c r="BC1134">
        <v>55</v>
      </c>
      <c r="BD1134">
        <v>3530</v>
      </c>
      <c r="BE1134">
        <v>1993</v>
      </c>
      <c r="BF1134">
        <v>28</v>
      </c>
      <c r="BI1134">
        <v>18</v>
      </c>
      <c r="BJ1134">
        <v>33</v>
      </c>
      <c r="BK1134">
        <v>7</v>
      </c>
      <c r="BP1134" s="184"/>
    </row>
    <row r="1135" spans="1:68">
      <c r="A1135">
        <v>100032381</v>
      </c>
      <c r="B1135">
        <v>7871437</v>
      </c>
      <c r="C1135" t="s">
        <v>7018</v>
      </c>
      <c r="E1135" s="184"/>
      <c r="G1135" s="184"/>
      <c r="I1135" s="184"/>
      <c r="J1135" t="s">
        <v>595</v>
      </c>
      <c r="K1135" s="184">
        <v>44104</v>
      </c>
      <c r="O1135" s="184"/>
      <c r="P1135" t="s">
        <v>7045</v>
      </c>
      <c r="Q1135" t="s">
        <v>7374</v>
      </c>
      <c r="R1135" s="184">
        <v>12875</v>
      </c>
      <c r="S1135">
        <v>89</v>
      </c>
      <c r="U1135" t="s">
        <v>7130</v>
      </c>
      <c r="V1135" t="s">
        <v>2593</v>
      </c>
      <c r="X1135" t="s">
        <v>13435</v>
      </c>
      <c r="Z1135">
        <v>7871437</v>
      </c>
      <c r="AA1135" t="s">
        <v>7032</v>
      </c>
      <c r="AB1135" t="s">
        <v>2739</v>
      </c>
      <c r="AD1135" t="s">
        <v>13435</v>
      </c>
      <c r="AF1135" t="s">
        <v>13436</v>
      </c>
      <c r="AG1135" t="s">
        <v>13437</v>
      </c>
      <c r="AI1135" t="s">
        <v>13438</v>
      </c>
      <c r="AM1135" t="s">
        <v>13439</v>
      </c>
      <c r="AN1135" t="s">
        <v>2081</v>
      </c>
      <c r="AO1135" t="s">
        <v>13440</v>
      </c>
      <c r="AP1135" t="s">
        <v>7024</v>
      </c>
      <c r="AT1135" s="184"/>
      <c r="AW1135" s="184"/>
      <c r="AZ1135" s="184"/>
      <c r="BP1135" s="184"/>
    </row>
    <row r="1136" spans="1:68">
      <c r="A1136">
        <v>7883176</v>
      </c>
      <c r="B1136">
        <v>7883176</v>
      </c>
      <c r="C1136" t="s">
        <v>7018</v>
      </c>
      <c r="D1136" t="s">
        <v>595</v>
      </c>
      <c r="E1136" s="184">
        <v>44168</v>
      </c>
      <c r="G1136" s="184"/>
      <c r="I1136" s="184"/>
      <c r="K1136" s="184"/>
      <c r="O1136" s="184"/>
      <c r="P1136" t="s">
        <v>7045</v>
      </c>
      <c r="Q1136" t="s">
        <v>7030</v>
      </c>
      <c r="R1136" s="184">
        <v>17467</v>
      </c>
      <c r="S1136">
        <v>76</v>
      </c>
      <c r="U1136" t="s">
        <v>7076</v>
      </c>
      <c r="V1136" t="s">
        <v>3043</v>
      </c>
      <c r="W1136" t="s">
        <v>4013</v>
      </c>
      <c r="X1136" t="s">
        <v>13445</v>
      </c>
      <c r="AF1136" t="s">
        <v>13446</v>
      </c>
      <c r="AG1136" t="s">
        <v>3043</v>
      </c>
      <c r="AI1136" t="s">
        <v>13447</v>
      </c>
      <c r="AM1136" t="s">
        <v>2564</v>
      </c>
      <c r="AN1136" t="s">
        <v>2089</v>
      </c>
      <c r="AO1136" t="s">
        <v>13448</v>
      </c>
      <c r="AP1136" t="s">
        <v>7024</v>
      </c>
      <c r="AQ1136" t="s">
        <v>13449</v>
      </c>
      <c r="AT1136" s="184">
        <v>33835</v>
      </c>
      <c r="AU1136" t="s">
        <v>13450</v>
      </c>
      <c r="AV1136">
        <v>15</v>
      </c>
      <c r="AW1136" s="184">
        <v>45329</v>
      </c>
      <c r="AX1136" t="s">
        <v>9445</v>
      </c>
      <c r="AY1136">
        <v>55</v>
      </c>
      <c r="AZ1136" s="184">
        <v>44949</v>
      </c>
      <c r="BA1136" t="s">
        <v>12114</v>
      </c>
      <c r="BB1136">
        <v>75</v>
      </c>
      <c r="BC1136">
        <v>82</v>
      </c>
      <c r="BD1136">
        <v>1547</v>
      </c>
      <c r="BE1136">
        <v>1993</v>
      </c>
      <c r="BF1136">
        <v>33</v>
      </c>
      <c r="BG1136">
        <v>4</v>
      </c>
      <c r="BH1136">
        <v>225</v>
      </c>
      <c r="BI1136">
        <v>27</v>
      </c>
      <c r="BJ1136">
        <v>33</v>
      </c>
      <c r="BK1136">
        <v>6</v>
      </c>
      <c r="BP1136" s="184"/>
    </row>
    <row r="1137" spans="1:68">
      <c r="A1137">
        <v>7901093</v>
      </c>
      <c r="B1137">
        <v>7901093</v>
      </c>
      <c r="C1137" t="s">
        <v>7018</v>
      </c>
      <c r="D1137" t="s">
        <v>595</v>
      </c>
      <c r="E1137" s="184">
        <v>43642</v>
      </c>
      <c r="G1137" s="184"/>
      <c r="I1137" s="184"/>
      <c r="K1137" s="184"/>
      <c r="O1137" s="184"/>
      <c r="P1137" t="s">
        <v>7045</v>
      </c>
      <c r="Q1137" t="s">
        <v>7262</v>
      </c>
      <c r="R1137" s="184">
        <v>17287</v>
      </c>
      <c r="S1137">
        <v>77</v>
      </c>
      <c r="U1137" t="s">
        <v>7031</v>
      </c>
      <c r="V1137" t="s">
        <v>2992</v>
      </c>
      <c r="W1137" t="s">
        <v>7246</v>
      </c>
      <c r="X1137" t="s">
        <v>3195</v>
      </c>
      <c r="Z1137">
        <v>100032463</v>
      </c>
      <c r="AB1137" t="s">
        <v>2958</v>
      </c>
      <c r="AD1137" t="s">
        <v>3195</v>
      </c>
      <c r="AF1137" t="s">
        <v>13451</v>
      </c>
      <c r="AG1137" t="s">
        <v>13452</v>
      </c>
      <c r="AI1137" t="s">
        <v>13453</v>
      </c>
      <c r="AM1137" t="s">
        <v>3196</v>
      </c>
      <c r="AN1137" t="s">
        <v>2106</v>
      </c>
      <c r="AO1137" t="s">
        <v>13454</v>
      </c>
      <c r="AP1137" t="s">
        <v>7024</v>
      </c>
      <c r="AQ1137" t="s">
        <v>13455</v>
      </c>
      <c r="AR1137" t="s">
        <v>13456</v>
      </c>
      <c r="AT1137" s="184">
        <v>33840</v>
      </c>
      <c r="AU1137" t="s">
        <v>13457</v>
      </c>
      <c r="AV1137">
        <v>15</v>
      </c>
      <c r="AW1137" s="184">
        <v>45296</v>
      </c>
      <c r="AX1137" t="s">
        <v>7339</v>
      </c>
      <c r="AY1137">
        <v>100</v>
      </c>
      <c r="AZ1137" s="184">
        <v>45296</v>
      </c>
      <c r="BA1137" t="s">
        <v>7339</v>
      </c>
      <c r="BB1137">
        <v>100</v>
      </c>
      <c r="BC1137">
        <v>85</v>
      </c>
      <c r="BD1137">
        <v>1590</v>
      </c>
      <c r="BE1137">
        <v>1993</v>
      </c>
      <c r="BF1137">
        <v>35</v>
      </c>
      <c r="BG1137">
        <v>2</v>
      </c>
      <c r="BH1137">
        <v>200</v>
      </c>
      <c r="BI1137">
        <v>28</v>
      </c>
      <c r="BJ1137">
        <v>33</v>
      </c>
      <c r="BK1137">
        <v>8</v>
      </c>
      <c r="BN1137" t="s">
        <v>595</v>
      </c>
      <c r="BP1137" s="184"/>
    </row>
    <row r="1138" spans="1:68">
      <c r="A1138">
        <v>100032463</v>
      </c>
      <c r="B1138">
        <v>7901093</v>
      </c>
      <c r="C1138" t="s">
        <v>7018</v>
      </c>
      <c r="D1138" t="s">
        <v>595</v>
      </c>
      <c r="E1138" s="184">
        <v>43642</v>
      </c>
      <c r="G1138" s="184"/>
      <c r="I1138" s="184"/>
      <c r="K1138" s="184"/>
      <c r="O1138" s="184"/>
      <c r="P1138" t="s">
        <v>7045</v>
      </c>
      <c r="Q1138" t="s">
        <v>7262</v>
      </c>
      <c r="R1138" s="184">
        <v>18963</v>
      </c>
      <c r="S1138">
        <v>72</v>
      </c>
      <c r="V1138" t="s">
        <v>2958</v>
      </c>
      <c r="X1138" t="s">
        <v>3195</v>
      </c>
      <c r="Z1138">
        <v>7901093</v>
      </c>
      <c r="AA1138" t="s">
        <v>7031</v>
      </c>
      <c r="AB1138" t="s">
        <v>2992</v>
      </c>
      <c r="AC1138" t="s">
        <v>7246</v>
      </c>
      <c r="AD1138" t="s">
        <v>3195</v>
      </c>
      <c r="AF1138" t="s">
        <v>13451</v>
      </c>
      <c r="AG1138" t="s">
        <v>13452</v>
      </c>
      <c r="AI1138" t="s">
        <v>13453</v>
      </c>
      <c r="AM1138" t="s">
        <v>3196</v>
      </c>
      <c r="AN1138" t="s">
        <v>2106</v>
      </c>
      <c r="AO1138" t="s">
        <v>13454</v>
      </c>
      <c r="AP1138" t="s">
        <v>7024</v>
      </c>
      <c r="AT1138" s="184"/>
      <c r="AW1138" s="184"/>
      <c r="AZ1138" s="184"/>
    </row>
    <row r="1139" spans="1:68">
      <c r="A1139">
        <v>7904576</v>
      </c>
      <c r="B1139">
        <v>7904576</v>
      </c>
      <c r="C1139" t="s">
        <v>7018</v>
      </c>
      <c r="E1139" s="184"/>
      <c r="G1139" s="184"/>
      <c r="I1139" s="184"/>
      <c r="K1139" s="184"/>
      <c r="N1139" t="s">
        <v>595</v>
      </c>
      <c r="O1139" s="184">
        <v>40565</v>
      </c>
      <c r="P1139" t="s">
        <v>7045</v>
      </c>
      <c r="Q1139" t="s">
        <v>7262</v>
      </c>
      <c r="R1139" s="184">
        <v>16326</v>
      </c>
      <c r="S1139">
        <v>79</v>
      </c>
      <c r="U1139" t="s">
        <v>7031</v>
      </c>
      <c r="V1139" t="s">
        <v>4587</v>
      </c>
      <c r="X1139" t="s">
        <v>5492</v>
      </c>
      <c r="AF1139" t="s">
        <v>13458</v>
      </c>
      <c r="AG1139" t="s">
        <v>4587</v>
      </c>
      <c r="AI1139" t="s">
        <v>13459</v>
      </c>
      <c r="AM1139" t="s">
        <v>5493</v>
      </c>
      <c r="AN1139" t="s">
        <v>2069</v>
      </c>
      <c r="AO1139" t="s">
        <v>13460</v>
      </c>
      <c r="AP1139" t="s">
        <v>7024</v>
      </c>
      <c r="AQ1139" t="s">
        <v>13461</v>
      </c>
      <c r="AT1139" s="184">
        <v>33840</v>
      </c>
      <c r="AU1139" t="s">
        <v>13462</v>
      </c>
      <c r="AV1139">
        <v>15</v>
      </c>
      <c r="AW1139" s="184">
        <v>42632</v>
      </c>
      <c r="AX1139" t="s">
        <v>7267</v>
      </c>
      <c r="AY1139">
        <v>5000</v>
      </c>
      <c r="AZ1139" s="184">
        <v>41953</v>
      </c>
      <c r="BA1139" t="s">
        <v>7042</v>
      </c>
      <c r="BB1139">
        <v>10000</v>
      </c>
      <c r="BC1139">
        <v>70</v>
      </c>
      <c r="BD1139">
        <v>58090</v>
      </c>
      <c r="BE1139">
        <v>1993</v>
      </c>
      <c r="BF1139">
        <v>52</v>
      </c>
      <c r="BI1139">
        <v>23</v>
      </c>
      <c r="BJ1139">
        <v>33</v>
      </c>
      <c r="BK1139">
        <v>16</v>
      </c>
      <c r="BM1139" t="s">
        <v>595</v>
      </c>
      <c r="BP1139" s="184"/>
    </row>
    <row r="1140" spans="1:68">
      <c r="A1140">
        <v>7925100</v>
      </c>
      <c r="B1140">
        <v>7925100</v>
      </c>
      <c r="C1140" t="s">
        <v>7018</v>
      </c>
      <c r="D1140" t="s">
        <v>595</v>
      </c>
      <c r="E1140" s="184">
        <v>43801</v>
      </c>
      <c r="G1140" s="184"/>
      <c r="I1140" s="184"/>
      <c r="K1140" s="184"/>
      <c r="O1140" s="184"/>
      <c r="P1140" t="s">
        <v>7045</v>
      </c>
      <c r="Q1140" t="s">
        <v>7160</v>
      </c>
      <c r="R1140" s="184">
        <v>17400</v>
      </c>
      <c r="S1140">
        <v>76</v>
      </c>
      <c r="U1140" t="s">
        <v>7076</v>
      </c>
      <c r="V1140" t="s">
        <v>3235</v>
      </c>
      <c r="W1140" t="s">
        <v>3332</v>
      </c>
      <c r="X1140" t="s">
        <v>3006</v>
      </c>
      <c r="AF1140" t="s">
        <v>13463</v>
      </c>
      <c r="AG1140" t="s">
        <v>3235</v>
      </c>
      <c r="AI1140" t="s">
        <v>13464</v>
      </c>
      <c r="AM1140" t="s">
        <v>13465</v>
      </c>
      <c r="AN1140" t="s">
        <v>2176</v>
      </c>
      <c r="AO1140" t="s">
        <v>13466</v>
      </c>
      <c r="AP1140" t="s">
        <v>7024</v>
      </c>
      <c r="AQ1140" t="s">
        <v>13467</v>
      </c>
      <c r="AT1140" s="184">
        <v>33842</v>
      </c>
      <c r="AU1140" t="s">
        <v>13468</v>
      </c>
      <c r="AV1140">
        <v>5</v>
      </c>
      <c r="AW1140" s="184">
        <v>44658</v>
      </c>
      <c r="AX1140" t="s">
        <v>13469</v>
      </c>
      <c r="AY1140">
        <v>40</v>
      </c>
      <c r="AZ1140" s="184">
        <v>44658</v>
      </c>
      <c r="BA1140" t="s">
        <v>13469</v>
      </c>
      <c r="BB1140">
        <v>40</v>
      </c>
      <c r="BC1140">
        <v>43</v>
      </c>
      <c r="BD1140">
        <v>234</v>
      </c>
      <c r="BE1140">
        <v>1993</v>
      </c>
      <c r="BF1140">
        <v>20</v>
      </c>
      <c r="BI1140">
        <v>14</v>
      </c>
      <c r="BJ1140">
        <v>33</v>
      </c>
      <c r="BK1140">
        <v>3</v>
      </c>
      <c r="BO1140" t="s">
        <v>595</v>
      </c>
      <c r="BP1140" s="184"/>
    </row>
    <row r="1141" spans="1:68">
      <c r="A1141">
        <v>7982879</v>
      </c>
      <c r="B1141">
        <v>7982879</v>
      </c>
      <c r="C1141" t="s">
        <v>7018</v>
      </c>
      <c r="E1141" s="184"/>
      <c r="G1141" s="184"/>
      <c r="J1141" t="s">
        <v>595</v>
      </c>
      <c r="K1141" s="184">
        <v>41145</v>
      </c>
      <c r="O1141" s="184"/>
      <c r="P1141" t="s">
        <v>7045</v>
      </c>
      <c r="Q1141" t="s">
        <v>7454</v>
      </c>
      <c r="R1141" s="184"/>
      <c r="U1141" t="s">
        <v>7031</v>
      </c>
      <c r="V1141" t="s">
        <v>2851</v>
      </c>
      <c r="W1141" t="s">
        <v>7356</v>
      </c>
      <c r="X1141" t="s">
        <v>13470</v>
      </c>
      <c r="AF1141" t="s">
        <v>6702</v>
      </c>
      <c r="AG1141" t="s">
        <v>2851</v>
      </c>
      <c r="AI1141" t="s">
        <v>13471</v>
      </c>
      <c r="AM1141" t="s">
        <v>13472</v>
      </c>
      <c r="AN1141" t="s">
        <v>2299</v>
      </c>
      <c r="AO1141" t="s">
        <v>13473</v>
      </c>
      <c r="AP1141" t="s">
        <v>7024</v>
      </c>
      <c r="AQ1141" t="s">
        <v>13474</v>
      </c>
      <c r="AR1141" t="s">
        <v>13475</v>
      </c>
      <c r="AT1141" s="184">
        <v>33848</v>
      </c>
      <c r="AU1141" t="s">
        <v>13476</v>
      </c>
      <c r="AV1141">
        <v>15</v>
      </c>
      <c r="AW1141" s="184">
        <v>36801</v>
      </c>
      <c r="AX1141" t="s">
        <v>13477</v>
      </c>
      <c r="AY1141">
        <v>25</v>
      </c>
      <c r="AZ1141" s="184">
        <v>36801</v>
      </c>
      <c r="BA1141" t="s">
        <v>13477</v>
      </c>
      <c r="BB1141">
        <v>25</v>
      </c>
      <c r="BC1141">
        <v>16</v>
      </c>
      <c r="BD1141">
        <v>95</v>
      </c>
      <c r="BE1141">
        <v>1993</v>
      </c>
      <c r="BF1141">
        <v>5</v>
      </c>
      <c r="BI1141">
        <v>5</v>
      </c>
      <c r="BJ1141">
        <v>33</v>
      </c>
      <c r="BK1141">
        <v>4</v>
      </c>
      <c r="BM1141" t="s">
        <v>595</v>
      </c>
    </row>
    <row r="1142" spans="1:68">
      <c r="A1142">
        <v>8036378</v>
      </c>
      <c r="B1142">
        <v>8036378</v>
      </c>
      <c r="C1142" t="s">
        <v>7018</v>
      </c>
      <c r="D1142" t="s">
        <v>595</v>
      </c>
      <c r="E1142" s="184">
        <v>43801</v>
      </c>
      <c r="G1142" s="184"/>
      <c r="I1142" s="184"/>
      <c r="K1142" s="184"/>
      <c r="O1142" s="184"/>
      <c r="P1142" t="s">
        <v>7029</v>
      </c>
      <c r="Q1142" t="s">
        <v>7374</v>
      </c>
      <c r="R1142" s="184">
        <v>16862</v>
      </c>
      <c r="S1142">
        <v>78</v>
      </c>
      <c r="U1142" t="s">
        <v>7094</v>
      </c>
      <c r="V1142" t="s">
        <v>3043</v>
      </c>
      <c r="W1142" t="s">
        <v>3332</v>
      </c>
      <c r="X1142" t="s">
        <v>4352</v>
      </c>
      <c r="AF1142" t="s">
        <v>13478</v>
      </c>
      <c r="AG1142" t="s">
        <v>3043</v>
      </c>
      <c r="AI1142" t="s">
        <v>13479</v>
      </c>
      <c r="AM1142" t="s">
        <v>4312</v>
      </c>
      <c r="AN1142" t="s">
        <v>2081</v>
      </c>
      <c r="AO1142" t="s">
        <v>13480</v>
      </c>
      <c r="AP1142" t="s">
        <v>7024</v>
      </c>
      <c r="AQ1142" t="s">
        <v>13481</v>
      </c>
      <c r="AR1142" t="s">
        <v>13482</v>
      </c>
      <c r="AT1142" s="184">
        <v>33855</v>
      </c>
      <c r="AU1142" t="s">
        <v>13483</v>
      </c>
      <c r="AV1142">
        <v>15</v>
      </c>
      <c r="AW1142" s="184">
        <v>45014</v>
      </c>
      <c r="AX1142" t="s">
        <v>13484</v>
      </c>
      <c r="AY1142">
        <v>1000</v>
      </c>
      <c r="AZ1142" s="184">
        <v>45014</v>
      </c>
      <c r="BA1142" t="s">
        <v>13484</v>
      </c>
      <c r="BB1142">
        <v>1000</v>
      </c>
      <c r="BC1142">
        <v>91</v>
      </c>
      <c r="BD1142">
        <v>8998</v>
      </c>
      <c r="BE1142">
        <v>1993</v>
      </c>
      <c r="BF1142">
        <v>56</v>
      </c>
      <c r="BG1142">
        <v>1</v>
      </c>
      <c r="BH1142">
        <v>1000</v>
      </c>
      <c r="BI1142">
        <v>30</v>
      </c>
      <c r="BJ1142">
        <v>33</v>
      </c>
      <c r="BK1142">
        <v>25</v>
      </c>
      <c r="BP1142" s="184"/>
    </row>
    <row r="1143" spans="1:68">
      <c r="A1143">
        <v>8039687</v>
      </c>
      <c r="B1143">
        <v>8039687</v>
      </c>
      <c r="C1143" t="s">
        <v>7018</v>
      </c>
      <c r="E1143" s="184"/>
      <c r="G1143" s="184"/>
      <c r="I1143" s="184"/>
      <c r="K1143" s="184"/>
      <c r="N1143" t="s">
        <v>595</v>
      </c>
      <c r="O1143" s="184">
        <v>39612</v>
      </c>
      <c r="P1143" t="s">
        <v>7045</v>
      </c>
      <c r="Q1143" t="s">
        <v>7194</v>
      </c>
      <c r="R1143" s="184">
        <v>9801</v>
      </c>
      <c r="S1143">
        <v>97</v>
      </c>
      <c r="U1143" t="s">
        <v>7130</v>
      </c>
      <c r="V1143" t="s">
        <v>2804</v>
      </c>
      <c r="W1143" t="s">
        <v>3332</v>
      </c>
      <c r="X1143" t="s">
        <v>13485</v>
      </c>
      <c r="AF1143" t="s">
        <v>6113</v>
      </c>
      <c r="AG1143" t="s">
        <v>13486</v>
      </c>
      <c r="AI1143" t="s">
        <v>13487</v>
      </c>
      <c r="AM1143" t="s">
        <v>4405</v>
      </c>
      <c r="AN1143" t="s">
        <v>2046</v>
      </c>
      <c r="AO1143" t="s">
        <v>13488</v>
      </c>
      <c r="AP1143" t="s">
        <v>7024</v>
      </c>
      <c r="AT1143" s="184">
        <v>33855</v>
      </c>
      <c r="AU1143" t="s">
        <v>13489</v>
      </c>
      <c r="AV1143">
        <v>15</v>
      </c>
      <c r="AW1143" s="184">
        <v>39822</v>
      </c>
      <c r="AX1143" t="s">
        <v>13490</v>
      </c>
      <c r="AY1143">
        <v>10</v>
      </c>
      <c r="AZ1143" s="184">
        <v>39616</v>
      </c>
      <c r="BA1143" t="s">
        <v>8812</v>
      </c>
      <c r="BB1143">
        <v>4767.1000000000004</v>
      </c>
      <c r="BC1143">
        <v>52</v>
      </c>
      <c r="BD1143">
        <v>5297.1</v>
      </c>
      <c r="BE1143">
        <v>1993</v>
      </c>
      <c r="BF1143">
        <v>53</v>
      </c>
      <c r="BI1143">
        <v>17</v>
      </c>
      <c r="BJ1143">
        <v>33</v>
      </c>
      <c r="BK1143">
        <v>11</v>
      </c>
      <c r="BL1143" t="s">
        <v>595</v>
      </c>
      <c r="BM1143" t="s">
        <v>595</v>
      </c>
      <c r="BO1143" t="s">
        <v>595</v>
      </c>
      <c r="BP1143" s="184">
        <v>40469</v>
      </c>
    </row>
    <row r="1144" spans="1:68">
      <c r="A1144">
        <v>8051872</v>
      </c>
      <c r="B1144">
        <v>8051872</v>
      </c>
      <c r="C1144" t="s">
        <v>7018</v>
      </c>
      <c r="E1144" s="184"/>
      <c r="I1144" s="184"/>
      <c r="J1144" t="s">
        <v>595</v>
      </c>
      <c r="K1144" s="184">
        <v>41414</v>
      </c>
      <c r="O1144" s="184"/>
      <c r="P1144" t="s">
        <v>7029</v>
      </c>
      <c r="Q1144" t="s">
        <v>7020</v>
      </c>
      <c r="R1144" s="184">
        <v>14977</v>
      </c>
      <c r="S1144">
        <v>83</v>
      </c>
      <c r="U1144" t="s">
        <v>7076</v>
      </c>
      <c r="V1144" t="s">
        <v>3478</v>
      </c>
      <c r="X1144" t="s">
        <v>13491</v>
      </c>
      <c r="AF1144" t="s">
        <v>6081</v>
      </c>
      <c r="AG1144" t="s">
        <v>3478</v>
      </c>
      <c r="AI1144" t="s">
        <v>13492</v>
      </c>
      <c r="AM1144" t="s">
        <v>3004</v>
      </c>
      <c r="AN1144" t="s">
        <v>2112</v>
      </c>
      <c r="AO1144" t="s">
        <v>13493</v>
      </c>
      <c r="AP1144" t="s">
        <v>7024</v>
      </c>
      <c r="AQ1144" t="s">
        <v>13494</v>
      </c>
      <c r="AR1144" t="s">
        <v>13495</v>
      </c>
      <c r="AT1144" s="184">
        <v>33856</v>
      </c>
      <c r="AU1144" t="s">
        <v>13496</v>
      </c>
      <c r="AV1144">
        <v>15</v>
      </c>
      <c r="AW1144" s="184">
        <v>45267</v>
      </c>
      <c r="AX1144" t="s">
        <v>7558</v>
      </c>
      <c r="AY1144">
        <v>1100</v>
      </c>
      <c r="AZ1144" s="184">
        <v>45267</v>
      </c>
      <c r="BA1144" t="s">
        <v>7558</v>
      </c>
      <c r="BB1144">
        <v>1100</v>
      </c>
      <c r="BC1144">
        <v>88</v>
      </c>
      <c r="BD1144">
        <v>10075</v>
      </c>
      <c r="BE1144">
        <v>1993</v>
      </c>
      <c r="BF1144">
        <v>64</v>
      </c>
      <c r="BG1144">
        <v>2</v>
      </c>
      <c r="BH1144">
        <v>2100</v>
      </c>
      <c r="BI1144">
        <v>29</v>
      </c>
      <c r="BJ1144">
        <v>33</v>
      </c>
      <c r="BK1144">
        <v>23</v>
      </c>
      <c r="BP1144" s="184"/>
    </row>
    <row r="1145" spans="1:68">
      <c r="A1145">
        <v>8058224</v>
      </c>
      <c r="B1145">
        <v>8058224</v>
      </c>
      <c r="C1145" t="s">
        <v>7018</v>
      </c>
      <c r="D1145" t="s">
        <v>595</v>
      </c>
      <c r="E1145" s="184">
        <v>43642</v>
      </c>
      <c r="G1145" s="184"/>
      <c r="I1145" s="184"/>
      <c r="K1145" s="184"/>
      <c r="O1145" s="184"/>
      <c r="P1145" t="s">
        <v>7045</v>
      </c>
      <c r="Q1145" t="s">
        <v>7020</v>
      </c>
      <c r="R1145" s="184">
        <v>13787</v>
      </c>
      <c r="S1145">
        <v>86</v>
      </c>
      <c r="U1145" t="s">
        <v>7031</v>
      </c>
      <c r="V1145" t="s">
        <v>2851</v>
      </c>
      <c r="X1145" t="s">
        <v>3197</v>
      </c>
      <c r="Z1145">
        <v>100032755</v>
      </c>
      <c r="AA1145" t="s">
        <v>7076</v>
      </c>
      <c r="AB1145" t="s">
        <v>4545</v>
      </c>
      <c r="AD1145" t="s">
        <v>3197</v>
      </c>
      <c r="AF1145" t="s">
        <v>13497</v>
      </c>
      <c r="AG1145" t="s">
        <v>13498</v>
      </c>
      <c r="AI1145" t="s">
        <v>13499</v>
      </c>
      <c r="AM1145" t="s">
        <v>3198</v>
      </c>
      <c r="AN1145" t="s">
        <v>2112</v>
      </c>
      <c r="AO1145" t="s">
        <v>13500</v>
      </c>
      <c r="AP1145" t="s">
        <v>7024</v>
      </c>
      <c r="AT1145" s="184">
        <v>33856</v>
      </c>
      <c r="AU1145" t="s">
        <v>13501</v>
      </c>
      <c r="AV1145">
        <v>15</v>
      </c>
      <c r="AW1145" s="184">
        <v>43616</v>
      </c>
      <c r="AX1145" t="s">
        <v>13502</v>
      </c>
      <c r="AY1145">
        <v>15</v>
      </c>
      <c r="AZ1145" s="184">
        <v>36948</v>
      </c>
      <c r="BA1145" t="s">
        <v>13503</v>
      </c>
      <c r="BB1145">
        <v>18</v>
      </c>
      <c r="BC1145">
        <v>34</v>
      </c>
      <c r="BD1145">
        <v>168</v>
      </c>
      <c r="BE1145">
        <v>1993</v>
      </c>
      <c r="BF1145">
        <v>11</v>
      </c>
      <c r="BI1145">
        <v>11</v>
      </c>
      <c r="BJ1145">
        <v>33</v>
      </c>
      <c r="BK1145">
        <v>2</v>
      </c>
      <c r="BP1145" s="184"/>
    </row>
    <row r="1146" spans="1:68">
      <c r="A1146">
        <v>100032755</v>
      </c>
      <c r="B1146">
        <v>8058224</v>
      </c>
      <c r="C1146" t="s">
        <v>7018</v>
      </c>
      <c r="D1146" t="s">
        <v>595</v>
      </c>
      <c r="E1146" s="184">
        <v>43642</v>
      </c>
      <c r="G1146" s="184"/>
      <c r="I1146" s="184"/>
      <c r="K1146" s="184"/>
      <c r="O1146" s="184"/>
      <c r="P1146" t="s">
        <v>7045</v>
      </c>
      <c r="Q1146" t="s">
        <v>7020</v>
      </c>
      <c r="R1146" s="184">
        <v>15572</v>
      </c>
      <c r="S1146">
        <v>81</v>
      </c>
      <c r="U1146" t="s">
        <v>7076</v>
      </c>
      <c r="V1146" t="s">
        <v>4545</v>
      </c>
      <c r="X1146" t="s">
        <v>3197</v>
      </c>
      <c r="Z1146">
        <v>8058224</v>
      </c>
      <c r="AA1146" t="s">
        <v>7031</v>
      </c>
      <c r="AB1146" t="s">
        <v>2851</v>
      </c>
      <c r="AD1146" t="s">
        <v>3197</v>
      </c>
      <c r="AF1146" t="s">
        <v>13497</v>
      </c>
      <c r="AG1146" t="s">
        <v>13498</v>
      </c>
      <c r="AI1146" t="s">
        <v>13499</v>
      </c>
      <c r="AM1146" t="s">
        <v>3198</v>
      </c>
      <c r="AN1146" t="s">
        <v>2112</v>
      </c>
      <c r="AO1146" t="s">
        <v>13500</v>
      </c>
      <c r="AP1146" t="s">
        <v>7024</v>
      </c>
      <c r="AQ1146" t="s">
        <v>13504</v>
      </c>
      <c r="AT1146" s="184"/>
      <c r="AW1146" s="184"/>
      <c r="AZ1146" s="184"/>
      <c r="BP1146" s="184"/>
    </row>
    <row r="1147" spans="1:68">
      <c r="A1147">
        <v>8060527</v>
      </c>
      <c r="B1147">
        <v>8060527</v>
      </c>
      <c r="C1147" t="s">
        <v>7018</v>
      </c>
      <c r="D1147" t="s">
        <v>595</v>
      </c>
      <c r="E1147" s="184">
        <v>45166</v>
      </c>
      <c r="G1147" s="184"/>
      <c r="I1147" s="184"/>
      <c r="K1147" s="184"/>
      <c r="O1147" s="184"/>
      <c r="P1147" t="s">
        <v>7045</v>
      </c>
      <c r="Q1147" t="s">
        <v>7383</v>
      </c>
      <c r="R1147" s="184">
        <v>23529</v>
      </c>
      <c r="S1147">
        <v>59</v>
      </c>
      <c r="U1147" t="s">
        <v>7094</v>
      </c>
      <c r="V1147" t="s">
        <v>13505</v>
      </c>
      <c r="W1147" t="s">
        <v>3226</v>
      </c>
      <c r="X1147" t="s">
        <v>13506</v>
      </c>
      <c r="AF1147" t="s">
        <v>13507</v>
      </c>
      <c r="AG1147" t="s">
        <v>13505</v>
      </c>
      <c r="AI1147" t="s">
        <v>13508</v>
      </c>
      <c r="AM1147" t="s">
        <v>9683</v>
      </c>
      <c r="AN1147" t="s">
        <v>2419</v>
      </c>
      <c r="AO1147" t="s">
        <v>13509</v>
      </c>
      <c r="AP1147" t="s">
        <v>7024</v>
      </c>
      <c r="AQ1147" t="s">
        <v>13510</v>
      </c>
      <c r="AT1147" s="184">
        <v>33856</v>
      </c>
      <c r="AU1147" t="s">
        <v>13511</v>
      </c>
      <c r="AV1147">
        <v>15</v>
      </c>
      <c r="AW1147" s="184">
        <v>45149</v>
      </c>
      <c r="AX1147" t="s">
        <v>7159</v>
      </c>
      <c r="AY1147">
        <v>165</v>
      </c>
      <c r="AZ1147" s="184">
        <v>45149</v>
      </c>
      <c r="BA1147" t="s">
        <v>7159</v>
      </c>
      <c r="BB1147">
        <v>165</v>
      </c>
      <c r="BC1147">
        <v>97</v>
      </c>
      <c r="BD1147">
        <v>2431</v>
      </c>
      <c r="BE1147">
        <v>1993</v>
      </c>
      <c r="BF1147">
        <v>37</v>
      </c>
      <c r="BG1147">
        <v>2</v>
      </c>
      <c r="BH1147">
        <v>330</v>
      </c>
      <c r="BI1147">
        <v>32</v>
      </c>
      <c r="BJ1147">
        <v>33</v>
      </c>
      <c r="BK1147">
        <v>32</v>
      </c>
      <c r="BP1147" s="184"/>
    </row>
    <row r="1148" spans="1:68">
      <c r="A1148">
        <v>8076143</v>
      </c>
      <c r="B1148">
        <v>8076143</v>
      </c>
      <c r="C1148" t="s">
        <v>7018</v>
      </c>
      <c r="D1148" t="s">
        <v>595</v>
      </c>
      <c r="E1148" s="184">
        <v>44441</v>
      </c>
      <c r="G1148" s="184"/>
      <c r="I1148" s="184"/>
      <c r="K1148" s="184"/>
      <c r="O1148" s="184"/>
      <c r="P1148" t="s">
        <v>7045</v>
      </c>
      <c r="Q1148" t="s">
        <v>7383</v>
      </c>
      <c r="R1148" s="184">
        <v>17458</v>
      </c>
      <c r="S1148">
        <v>76</v>
      </c>
      <c r="U1148" t="s">
        <v>7076</v>
      </c>
      <c r="V1148" t="s">
        <v>3444</v>
      </c>
      <c r="W1148" t="s">
        <v>7356</v>
      </c>
      <c r="X1148" t="s">
        <v>13512</v>
      </c>
      <c r="AF1148" t="s">
        <v>13513</v>
      </c>
      <c r="AG1148" t="s">
        <v>3444</v>
      </c>
      <c r="AI1148" t="s">
        <v>13514</v>
      </c>
      <c r="AM1148" t="s">
        <v>3498</v>
      </c>
      <c r="AN1148" t="s">
        <v>2162</v>
      </c>
      <c r="AO1148" t="s">
        <v>13515</v>
      </c>
      <c r="AP1148" t="s">
        <v>7024</v>
      </c>
      <c r="AQ1148" t="s">
        <v>13516</v>
      </c>
      <c r="AT1148" s="184">
        <v>33856</v>
      </c>
      <c r="AU1148" t="s">
        <v>13517</v>
      </c>
      <c r="AV1148">
        <v>15</v>
      </c>
      <c r="AW1148" s="184">
        <v>45114</v>
      </c>
      <c r="AX1148" t="s">
        <v>13518</v>
      </c>
      <c r="AY1148">
        <v>25</v>
      </c>
      <c r="AZ1148" s="184">
        <v>44098</v>
      </c>
      <c r="BA1148" t="s">
        <v>9633</v>
      </c>
      <c r="BB1148">
        <v>60</v>
      </c>
      <c r="BC1148">
        <v>19</v>
      </c>
      <c r="BD1148">
        <v>180</v>
      </c>
      <c r="BE1148">
        <v>1993</v>
      </c>
      <c r="BF1148">
        <v>7</v>
      </c>
      <c r="BG1148">
        <v>1</v>
      </c>
      <c r="BH1148">
        <v>25</v>
      </c>
      <c r="BI1148">
        <v>6</v>
      </c>
      <c r="BJ1148">
        <v>33</v>
      </c>
      <c r="BK1148">
        <v>3</v>
      </c>
      <c r="BP1148" s="184"/>
    </row>
    <row r="1149" spans="1:68">
      <c r="A1149">
        <v>8078982</v>
      </c>
      <c r="B1149">
        <v>8078982</v>
      </c>
      <c r="C1149" t="s">
        <v>7018</v>
      </c>
      <c r="E1149" s="184"/>
      <c r="F1149" t="s">
        <v>595</v>
      </c>
      <c r="G1149" s="184">
        <v>44313</v>
      </c>
      <c r="I1149" s="184"/>
      <c r="K1149" s="184"/>
      <c r="O1149" s="184"/>
      <c r="P1149" t="s">
        <v>7045</v>
      </c>
      <c r="Q1149" t="s">
        <v>7262</v>
      </c>
      <c r="R1149" s="184">
        <v>15178</v>
      </c>
      <c r="S1149">
        <v>82</v>
      </c>
      <c r="U1149" t="s">
        <v>7031</v>
      </c>
      <c r="V1149" t="s">
        <v>3373</v>
      </c>
      <c r="W1149" t="s">
        <v>3830</v>
      </c>
      <c r="X1149" t="s">
        <v>3259</v>
      </c>
      <c r="AF1149" t="s">
        <v>13519</v>
      </c>
      <c r="AG1149" t="s">
        <v>3373</v>
      </c>
      <c r="AI1149" t="s">
        <v>13520</v>
      </c>
      <c r="AM1149" t="s">
        <v>10712</v>
      </c>
      <c r="AN1149" t="s">
        <v>2069</v>
      </c>
      <c r="AO1149" t="s">
        <v>13521</v>
      </c>
      <c r="AP1149" t="s">
        <v>7024</v>
      </c>
      <c r="AT1149" s="184">
        <v>33858</v>
      </c>
      <c r="AU1149" t="s">
        <v>13496</v>
      </c>
      <c r="AV1149">
        <v>15</v>
      </c>
      <c r="AW1149" s="184">
        <v>45090</v>
      </c>
      <c r="AX1149" t="s">
        <v>7159</v>
      </c>
      <c r="AY1149">
        <v>200</v>
      </c>
      <c r="AZ1149" s="184">
        <v>45090</v>
      </c>
      <c r="BA1149" t="s">
        <v>7159</v>
      </c>
      <c r="BB1149">
        <v>200</v>
      </c>
      <c r="BC1149">
        <v>94</v>
      </c>
      <c r="BD1149">
        <v>2390</v>
      </c>
      <c r="BE1149">
        <v>1993</v>
      </c>
      <c r="BF1149">
        <v>36</v>
      </c>
      <c r="BG1149">
        <v>2</v>
      </c>
      <c r="BH1149">
        <v>400</v>
      </c>
      <c r="BI1149">
        <v>31</v>
      </c>
      <c r="BJ1149">
        <v>33</v>
      </c>
      <c r="BK1149">
        <v>25</v>
      </c>
      <c r="BP1149" s="184"/>
    </row>
    <row r="1150" spans="1:68">
      <c r="A1150">
        <v>8084402</v>
      </c>
      <c r="B1150">
        <v>8084402</v>
      </c>
      <c r="C1150" t="s">
        <v>7018</v>
      </c>
      <c r="D1150" t="s">
        <v>595</v>
      </c>
      <c r="E1150" s="184">
        <v>44313</v>
      </c>
      <c r="G1150" s="184"/>
      <c r="I1150" s="184"/>
      <c r="K1150" s="184"/>
      <c r="O1150" s="184"/>
      <c r="P1150" t="s">
        <v>7019</v>
      </c>
      <c r="Q1150" t="s">
        <v>7494</v>
      </c>
      <c r="R1150" s="184">
        <v>17076</v>
      </c>
      <c r="S1150">
        <v>77</v>
      </c>
      <c r="U1150" t="s">
        <v>7076</v>
      </c>
      <c r="V1150" t="s">
        <v>13522</v>
      </c>
      <c r="W1150" t="s">
        <v>4139</v>
      </c>
      <c r="X1150" t="s">
        <v>5863</v>
      </c>
      <c r="AF1150" t="s">
        <v>13523</v>
      </c>
      <c r="AG1150" t="s">
        <v>13522</v>
      </c>
      <c r="AI1150" t="s">
        <v>13524</v>
      </c>
      <c r="AM1150" t="s">
        <v>13525</v>
      </c>
      <c r="AN1150" t="s">
        <v>2174</v>
      </c>
      <c r="AO1150" t="s">
        <v>13526</v>
      </c>
      <c r="AP1150" t="s">
        <v>7024</v>
      </c>
      <c r="AT1150" s="184">
        <v>33858</v>
      </c>
      <c r="AU1150" t="s">
        <v>13527</v>
      </c>
      <c r="AV1150">
        <v>15</v>
      </c>
      <c r="AW1150" s="184">
        <v>40133</v>
      </c>
      <c r="AX1150" t="s">
        <v>13528</v>
      </c>
      <c r="AY1150">
        <v>60</v>
      </c>
      <c r="AZ1150" s="184">
        <v>40133</v>
      </c>
      <c r="BA1150" t="s">
        <v>13528</v>
      </c>
      <c r="BB1150">
        <v>60</v>
      </c>
      <c r="BC1150">
        <v>55</v>
      </c>
      <c r="BD1150">
        <v>659.95</v>
      </c>
      <c r="BE1150">
        <v>1993</v>
      </c>
      <c r="BF1150">
        <v>39</v>
      </c>
      <c r="BI1150">
        <v>18</v>
      </c>
      <c r="BJ1150">
        <v>33</v>
      </c>
      <c r="BK1150">
        <v>18</v>
      </c>
      <c r="BP1150" s="184"/>
    </row>
    <row r="1151" spans="1:68">
      <c r="A1151">
        <v>8116311</v>
      </c>
      <c r="B1151">
        <v>8116311</v>
      </c>
      <c r="C1151" t="s">
        <v>7018</v>
      </c>
      <c r="D1151" t="s">
        <v>595</v>
      </c>
      <c r="E1151" s="184">
        <v>44484</v>
      </c>
      <c r="G1151" s="184"/>
      <c r="I1151" s="184"/>
      <c r="K1151" s="184"/>
      <c r="O1151" s="184"/>
      <c r="P1151" t="s">
        <v>7045</v>
      </c>
      <c r="Q1151" t="s">
        <v>7160</v>
      </c>
      <c r="R1151" s="184">
        <v>19582</v>
      </c>
      <c r="S1151">
        <v>70</v>
      </c>
      <c r="V1151" t="s">
        <v>5692</v>
      </c>
      <c r="W1151" t="s">
        <v>7384</v>
      </c>
      <c r="X1151" t="s">
        <v>13529</v>
      </c>
      <c r="AF1151" t="s">
        <v>13530</v>
      </c>
      <c r="AG1151" t="s">
        <v>5692</v>
      </c>
      <c r="AI1151" t="s">
        <v>13531</v>
      </c>
      <c r="AM1151" t="s">
        <v>13532</v>
      </c>
      <c r="AN1151" t="s">
        <v>2446</v>
      </c>
      <c r="AO1151" t="s">
        <v>13533</v>
      </c>
      <c r="AP1151" t="s">
        <v>7024</v>
      </c>
      <c r="AT1151" s="184">
        <v>33862</v>
      </c>
      <c r="AU1151" t="s">
        <v>13534</v>
      </c>
      <c r="AV1151">
        <v>15</v>
      </c>
      <c r="AW1151" s="184">
        <v>42866</v>
      </c>
      <c r="AX1151" t="s">
        <v>13535</v>
      </c>
      <c r="AY1151">
        <v>46</v>
      </c>
      <c r="AZ1151" s="184">
        <v>40151</v>
      </c>
      <c r="BA1151" t="s">
        <v>13536</v>
      </c>
      <c r="BB1151">
        <v>60</v>
      </c>
      <c r="BC1151">
        <v>16</v>
      </c>
      <c r="BD1151">
        <v>281</v>
      </c>
      <c r="BE1151">
        <v>1993</v>
      </c>
      <c r="BF1151">
        <v>7</v>
      </c>
      <c r="BI1151">
        <v>5</v>
      </c>
      <c r="BJ1151">
        <v>33</v>
      </c>
      <c r="BK1151">
        <v>2</v>
      </c>
      <c r="BP1151" s="184"/>
    </row>
    <row r="1152" spans="1:68">
      <c r="A1152">
        <v>8130544</v>
      </c>
      <c r="B1152">
        <v>8130544</v>
      </c>
      <c r="C1152" t="s">
        <v>7018</v>
      </c>
      <c r="E1152" s="184"/>
      <c r="G1152" s="184"/>
      <c r="I1152" s="184"/>
      <c r="J1152" t="s">
        <v>595</v>
      </c>
      <c r="K1152" s="184">
        <v>43171</v>
      </c>
      <c r="O1152" s="184"/>
      <c r="P1152" t="s">
        <v>7045</v>
      </c>
      <c r="Q1152" t="s">
        <v>7383</v>
      </c>
      <c r="R1152" s="184">
        <v>15300</v>
      </c>
      <c r="S1152">
        <v>82</v>
      </c>
      <c r="U1152" t="s">
        <v>7031</v>
      </c>
      <c r="V1152" t="s">
        <v>2541</v>
      </c>
      <c r="W1152" t="s">
        <v>4013</v>
      </c>
      <c r="X1152" t="s">
        <v>2962</v>
      </c>
      <c r="AF1152" t="s">
        <v>6083</v>
      </c>
      <c r="AG1152" t="s">
        <v>2541</v>
      </c>
      <c r="AI1152" t="s">
        <v>13537</v>
      </c>
      <c r="AM1152" t="s">
        <v>13538</v>
      </c>
      <c r="AN1152" t="s">
        <v>2274</v>
      </c>
      <c r="AO1152" t="s">
        <v>13539</v>
      </c>
      <c r="AP1152" t="s">
        <v>7024</v>
      </c>
      <c r="AQ1152" t="s">
        <v>13540</v>
      </c>
      <c r="AR1152" t="s">
        <v>13541</v>
      </c>
      <c r="AT1152" s="184">
        <v>33861</v>
      </c>
      <c r="AU1152" t="s">
        <v>13542</v>
      </c>
      <c r="AV1152">
        <v>30</v>
      </c>
      <c r="AW1152" s="184">
        <v>45315</v>
      </c>
      <c r="AX1152" t="s">
        <v>7596</v>
      </c>
      <c r="AY1152">
        <v>500</v>
      </c>
      <c r="AZ1152" s="184">
        <v>45315</v>
      </c>
      <c r="BA1152" t="s">
        <v>7596</v>
      </c>
      <c r="BB1152">
        <v>500</v>
      </c>
      <c r="BC1152">
        <v>85</v>
      </c>
      <c r="BD1152">
        <v>8540</v>
      </c>
      <c r="BE1152">
        <v>1993</v>
      </c>
      <c r="BF1152">
        <v>43</v>
      </c>
      <c r="BG1152">
        <v>2</v>
      </c>
      <c r="BH1152">
        <v>900</v>
      </c>
      <c r="BI1152">
        <v>28</v>
      </c>
      <c r="BJ1152">
        <v>33</v>
      </c>
      <c r="BK1152">
        <v>14</v>
      </c>
      <c r="BP1152" s="184"/>
    </row>
    <row r="1153" spans="1:68">
      <c r="A1153">
        <v>8132102</v>
      </c>
      <c r="B1153">
        <v>8132102</v>
      </c>
      <c r="C1153" t="s">
        <v>7018</v>
      </c>
      <c r="E1153" s="184"/>
      <c r="G1153" s="184"/>
      <c r="I1153" s="184"/>
      <c r="J1153" t="s">
        <v>595</v>
      </c>
      <c r="K1153" s="184">
        <v>37868</v>
      </c>
      <c r="O1153" s="184"/>
      <c r="P1153" t="s">
        <v>7686</v>
      </c>
      <c r="Q1153" t="s">
        <v>7262</v>
      </c>
      <c r="R1153" s="184">
        <v>15175</v>
      </c>
      <c r="S1153">
        <v>82</v>
      </c>
      <c r="V1153" t="s">
        <v>4826</v>
      </c>
      <c r="X1153" t="s">
        <v>4827</v>
      </c>
      <c r="AF1153" t="s">
        <v>13543</v>
      </c>
      <c r="AG1153" t="s">
        <v>4826</v>
      </c>
      <c r="AI1153" t="s">
        <v>13544</v>
      </c>
      <c r="AM1153" t="s">
        <v>3205</v>
      </c>
      <c r="AN1153" t="s">
        <v>2106</v>
      </c>
      <c r="AO1153" t="s">
        <v>13545</v>
      </c>
      <c r="AP1153" t="s">
        <v>7024</v>
      </c>
      <c r="AQ1153" t="s">
        <v>13546</v>
      </c>
      <c r="AR1153" t="s">
        <v>13547</v>
      </c>
      <c r="AT1153" s="184">
        <v>33863</v>
      </c>
      <c r="AU1153" t="s">
        <v>13548</v>
      </c>
      <c r="AV1153">
        <v>15</v>
      </c>
      <c r="AW1153" s="184">
        <v>45274</v>
      </c>
      <c r="AX1153" t="s">
        <v>7749</v>
      </c>
      <c r="AY1153">
        <v>5000</v>
      </c>
      <c r="AZ1153" s="184">
        <v>44216</v>
      </c>
      <c r="BA1153" t="s">
        <v>13549</v>
      </c>
      <c r="BB1153">
        <v>100000</v>
      </c>
      <c r="BC1153">
        <v>73</v>
      </c>
      <c r="BD1153">
        <v>163700</v>
      </c>
      <c r="BE1153">
        <v>1993</v>
      </c>
      <c r="BF1153">
        <v>30</v>
      </c>
      <c r="BG1153">
        <v>1</v>
      </c>
      <c r="BH1153">
        <v>5000</v>
      </c>
      <c r="BI1153">
        <v>24</v>
      </c>
      <c r="BJ1153">
        <v>33</v>
      </c>
      <c r="BK1153">
        <v>7</v>
      </c>
      <c r="BM1153" t="s">
        <v>595</v>
      </c>
      <c r="BN1153" t="s">
        <v>595</v>
      </c>
      <c r="BP1153" s="184"/>
    </row>
    <row r="1154" spans="1:68">
      <c r="A1154">
        <v>8133803</v>
      </c>
      <c r="B1154">
        <v>8133803</v>
      </c>
      <c r="C1154" t="s">
        <v>7018</v>
      </c>
      <c r="D1154" t="s">
        <v>595</v>
      </c>
      <c r="E1154" s="184">
        <v>43642</v>
      </c>
      <c r="G1154" s="184"/>
      <c r="I1154" s="184"/>
      <c r="K1154" s="184"/>
      <c r="O1154" s="184"/>
      <c r="P1154" t="s">
        <v>7045</v>
      </c>
      <c r="Q1154" t="s">
        <v>7383</v>
      </c>
      <c r="R1154" s="184">
        <v>16335</v>
      </c>
      <c r="S1154">
        <v>79</v>
      </c>
      <c r="U1154" t="s">
        <v>7076</v>
      </c>
      <c r="V1154" t="s">
        <v>2669</v>
      </c>
      <c r="W1154" t="s">
        <v>3332</v>
      </c>
      <c r="X1154" t="s">
        <v>3199</v>
      </c>
      <c r="AF1154" t="s">
        <v>13550</v>
      </c>
      <c r="AG1154" t="s">
        <v>2669</v>
      </c>
      <c r="AI1154" t="s">
        <v>13551</v>
      </c>
      <c r="AM1154" t="s">
        <v>3200</v>
      </c>
      <c r="AN1154" t="s">
        <v>2274</v>
      </c>
      <c r="AO1154" t="s">
        <v>13552</v>
      </c>
      <c r="AP1154" t="s">
        <v>7024</v>
      </c>
      <c r="AQ1154" t="s">
        <v>13553</v>
      </c>
      <c r="AR1154" t="s">
        <v>13554</v>
      </c>
      <c r="AT1154" s="184">
        <v>33863</v>
      </c>
      <c r="AU1154" t="s">
        <v>13555</v>
      </c>
      <c r="AV1154">
        <v>15</v>
      </c>
      <c r="AW1154" s="184">
        <v>38565</v>
      </c>
      <c r="AX1154" t="s">
        <v>13556</v>
      </c>
      <c r="AY1154">
        <v>25</v>
      </c>
      <c r="AZ1154" s="184">
        <v>38565</v>
      </c>
      <c r="BA1154" t="s">
        <v>13556</v>
      </c>
      <c r="BB1154">
        <v>25</v>
      </c>
      <c r="BC1154">
        <v>28</v>
      </c>
      <c r="BD1154">
        <v>235</v>
      </c>
      <c r="BE1154">
        <v>1993</v>
      </c>
      <c r="BF1154">
        <v>15</v>
      </c>
      <c r="BI1154">
        <v>9</v>
      </c>
      <c r="BJ1154">
        <v>33</v>
      </c>
      <c r="BK1154">
        <v>3</v>
      </c>
      <c r="BP1154" s="184"/>
    </row>
    <row r="1155" spans="1:68">
      <c r="A1155">
        <v>8134512</v>
      </c>
      <c r="B1155">
        <v>8134512</v>
      </c>
      <c r="C1155" t="s">
        <v>7018</v>
      </c>
      <c r="E1155" s="184"/>
      <c r="G1155" s="184"/>
      <c r="I1155" s="184"/>
      <c r="J1155" t="s">
        <v>595</v>
      </c>
      <c r="K1155" s="184">
        <v>45159</v>
      </c>
      <c r="O1155" s="184"/>
      <c r="P1155" t="s">
        <v>7045</v>
      </c>
      <c r="Q1155" t="s">
        <v>7160</v>
      </c>
      <c r="R1155" s="184">
        <v>23743</v>
      </c>
      <c r="S1155">
        <v>59</v>
      </c>
      <c r="V1155" t="s">
        <v>3228</v>
      </c>
      <c r="X1155" t="s">
        <v>13557</v>
      </c>
      <c r="Z1155">
        <v>100032940</v>
      </c>
      <c r="AB1155" t="s">
        <v>3435</v>
      </c>
      <c r="AD1155" t="s">
        <v>13557</v>
      </c>
      <c r="AF1155" t="s">
        <v>13558</v>
      </c>
      <c r="AG1155" t="s">
        <v>13559</v>
      </c>
      <c r="AI1155" t="s">
        <v>13560</v>
      </c>
      <c r="AJ1155" t="s">
        <v>13561</v>
      </c>
      <c r="AM1155" t="s">
        <v>3037</v>
      </c>
      <c r="AN1155" t="s">
        <v>2176</v>
      </c>
      <c r="AO1155">
        <v>28451</v>
      </c>
      <c r="AP1155" t="s">
        <v>7024</v>
      </c>
      <c r="AQ1155" t="s">
        <v>13562</v>
      </c>
      <c r="AT1155" s="184">
        <v>33863</v>
      </c>
      <c r="AU1155" t="s">
        <v>13542</v>
      </c>
      <c r="AV1155">
        <v>15</v>
      </c>
      <c r="AW1155" s="184">
        <v>40469</v>
      </c>
      <c r="AX1155" t="s">
        <v>13563</v>
      </c>
      <c r="AY1155">
        <v>25</v>
      </c>
      <c r="AZ1155" s="184">
        <v>40469</v>
      </c>
      <c r="BA1155" t="s">
        <v>13563</v>
      </c>
      <c r="BB1155">
        <v>25</v>
      </c>
      <c r="BC1155">
        <v>49</v>
      </c>
      <c r="BD1155">
        <v>415</v>
      </c>
      <c r="BE1155">
        <v>1993</v>
      </c>
      <c r="BF1155">
        <v>18</v>
      </c>
      <c r="BI1155">
        <v>16</v>
      </c>
      <c r="BJ1155">
        <v>33</v>
      </c>
      <c r="BK1155">
        <v>9</v>
      </c>
      <c r="BP1155" s="184"/>
    </row>
    <row r="1156" spans="1:68">
      <c r="A1156">
        <v>100032940</v>
      </c>
      <c r="B1156">
        <v>8134512</v>
      </c>
      <c r="C1156" t="s">
        <v>7018</v>
      </c>
      <c r="E1156" s="184"/>
      <c r="G1156" s="184"/>
      <c r="I1156" s="184"/>
      <c r="J1156" t="s">
        <v>595</v>
      </c>
      <c r="K1156" s="184">
        <v>45159</v>
      </c>
      <c r="O1156" s="184"/>
      <c r="P1156" t="s">
        <v>7045</v>
      </c>
      <c r="Q1156" t="s">
        <v>7160</v>
      </c>
      <c r="R1156" s="184"/>
      <c r="V1156" t="s">
        <v>3435</v>
      </c>
      <c r="X1156" t="s">
        <v>13557</v>
      </c>
      <c r="Z1156">
        <v>8134512</v>
      </c>
      <c r="AB1156" t="s">
        <v>3228</v>
      </c>
      <c r="AD1156" t="s">
        <v>13557</v>
      </c>
      <c r="AF1156" t="s">
        <v>13558</v>
      </c>
      <c r="AG1156" t="s">
        <v>13559</v>
      </c>
      <c r="AI1156" t="s">
        <v>13560</v>
      </c>
      <c r="AJ1156" t="s">
        <v>13561</v>
      </c>
      <c r="AM1156" t="s">
        <v>3037</v>
      </c>
      <c r="AN1156" t="s">
        <v>2176</v>
      </c>
      <c r="AO1156">
        <v>28451</v>
      </c>
      <c r="AP1156" t="s">
        <v>7024</v>
      </c>
      <c r="AT1156" s="184"/>
      <c r="AW1156" s="184"/>
      <c r="AZ1156" s="184"/>
      <c r="BP1156" s="184"/>
    </row>
    <row r="1157" spans="1:68">
      <c r="A1157">
        <v>8144487</v>
      </c>
      <c r="B1157">
        <v>8144487</v>
      </c>
      <c r="C1157" t="s">
        <v>7018</v>
      </c>
      <c r="E1157" s="184"/>
      <c r="G1157" s="184"/>
      <c r="I1157" s="184"/>
      <c r="J1157" t="s">
        <v>595</v>
      </c>
      <c r="K1157" s="184">
        <v>37483</v>
      </c>
      <c r="P1157" t="s">
        <v>7084</v>
      </c>
      <c r="Q1157" t="s">
        <v>7160</v>
      </c>
      <c r="R1157" s="184">
        <v>13271</v>
      </c>
      <c r="S1157">
        <v>88</v>
      </c>
      <c r="U1157" t="s">
        <v>7076</v>
      </c>
      <c r="V1157" t="s">
        <v>2648</v>
      </c>
      <c r="W1157" t="s">
        <v>3332</v>
      </c>
      <c r="X1157" t="s">
        <v>5462</v>
      </c>
      <c r="AF1157" t="s">
        <v>13564</v>
      </c>
      <c r="AG1157" t="s">
        <v>2648</v>
      </c>
      <c r="AI1157" t="s">
        <v>13565</v>
      </c>
      <c r="AM1157" t="s">
        <v>5463</v>
      </c>
      <c r="AN1157" t="s">
        <v>2395</v>
      </c>
      <c r="AO1157" t="s">
        <v>13566</v>
      </c>
      <c r="AP1157" t="s">
        <v>7024</v>
      </c>
      <c r="AQ1157" t="s">
        <v>13567</v>
      </c>
      <c r="AR1157" t="s">
        <v>13568</v>
      </c>
      <c r="AT1157" s="184">
        <v>33863</v>
      </c>
      <c r="AU1157" t="s">
        <v>13489</v>
      </c>
      <c r="AV1157">
        <v>15</v>
      </c>
      <c r="AW1157" s="184">
        <v>44231</v>
      </c>
      <c r="AX1157" t="s">
        <v>7309</v>
      </c>
      <c r="AY1157">
        <v>819.58</v>
      </c>
      <c r="AZ1157" s="184">
        <v>43810</v>
      </c>
      <c r="BA1157" t="s">
        <v>8257</v>
      </c>
      <c r="BB1157">
        <v>30571.41</v>
      </c>
      <c r="BC1157">
        <v>76</v>
      </c>
      <c r="BD1157">
        <v>74323.81</v>
      </c>
      <c r="BE1157">
        <v>1993</v>
      </c>
      <c r="BF1157">
        <v>64</v>
      </c>
      <c r="BI1157">
        <v>25</v>
      </c>
      <c r="BJ1157">
        <v>33</v>
      </c>
      <c r="BK1157">
        <v>22</v>
      </c>
      <c r="BN1157" t="s">
        <v>595</v>
      </c>
      <c r="BO1157" t="s">
        <v>595</v>
      </c>
      <c r="BP1157" s="184">
        <v>43476</v>
      </c>
    </row>
    <row r="1158" spans="1:68">
      <c r="A1158">
        <v>8154866</v>
      </c>
      <c r="B1158">
        <v>8154866</v>
      </c>
      <c r="C1158" t="s">
        <v>7018</v>
      </c>
      <c r="D1158" t="s">
        <v>595</v>
      </c>
      <c r="E1158" s="184">
        <v>45145</v>
      </c>
      <c r="G1158" s="184"/>
      <c r="I1158" s="184"/>
      <c r="K1158" s="184"/>
      <c r="O1158" s="184"/>
      <c r="P1158" t="s">
        <v>7045</v>
      </c>
      <c r="Q1158" t="s">
        <v>7383</v>
      </c>
      <c r="R1158" s="184">
        <v>22798</v>
      </c>
      <c r="S1158">
        <v>61</v>
      </c>
      <c r="U1158" t="s">
        <v>7031</v>
      </c>
      <c r="V1158" t="s">
        <v>3689</v>
      </c>
      <c r="W1158" t="s">
        <v>7407</v>
      </c>
      <c r="X1158" t="s">
        <v>13569</v>
      </c>
      <c r="AF1158" t="s">
        <v>13570</v>
      </c>
      <c r="AG1158" t="s">
        <v>3689</v>
      </c>
      <c r="AI1158" t="s">
        <v>13571</v>
      </c>
      <c r="AM1158" t="s">
        <v>4928</v>
      </c>
      <c r="AN1158" t="s">
        <v>2313</v>
      </c>
      <c r="AO1158" t="s">
        <v>13572</v>
      </c>
      <c r="AP1158" t="s">
        <v>7024</v>
      </c>
      <c r="AQ1158" t="s">
        <v>13573</v>
      </c>
      <c r="AR1158" t="s">
        <v>13574</v>
      </c>
      <c r="AT1158" s="184">
        <v>33863</v>
      </c>
      <c r="AU1158" t="s">
        <v>13575</v>
      </c>
      <c r="AV1158">
        <v>90</v>
      </c>
      <c r="AW1158" s="184">
        <v>45343</v>
      </c>
      <c r="AX1158" t="s">
        <v>10070</v>
      </c>
      <c r="AY1158">
        <v>200</v>
      </c>
      <c r="AZ1158" s="184">
        <v>45343</v>
      </c>
      <c r="BA1158" t="s">
        <v>10070</v>
      </c>
      <c r="BB1158">
        <v>200</v>
      </c>
      <c r="BC1158">
        <v>88</v>
      </c>
      <c r="BD1158">
        <v>3174</v>
      </c>
      <c r="BE1158">
        <v>1993</v>
      </c>
      <c r="BF1158">
        <v>32</v>
      </c>
      <c r="BG1158">
        <v>2</v>
      </c>
      <c r="BH1158">
        <v>400</v>
      </c>
      <c r="BI1158">
        <v>29</v>
      </c>
      <c r="BJ1158">
        <v>33</v>
      </c>
      <c r="BK1158">
        <v>13</v>
      </c>
      <c r="BP1158" s="184"/>
    </row>
    <row r="1159" spans="1:68">
      <c r="A1159">
        <v>8214884</v>
      </c>
      <c r="B1159">
        <v>8214884</v>
      </c>
      <c r="C1159" t="s">
        <v>7018</v>
      </c>
      <c r="D1159" t="s">
        <v>595</v>
      </c>
      <c r="E1159" s="184">
        <v>43864</v>
      </c>
      <c r="G1159" s="184"/>
      <c r="I1159" s="184"/>
      <c r="K1159" s="184"/>
      <c r="O1159" s="184"/>
      <c r="P1159" t="s">
        <v>7045</v>
      </c>
      <c r="Q1159" t="s">
        <v>7383</v>
      </c>
      <c r="R1159" s="184">
        <v>18354</v>
      </c>
      <c r="S1159">
        <v>74</v>
      </c>
      <c r="U1159" t="s">
        <v>7076</v>
      </c>
      <c r="V1159" t="s">
        <v>3043</v>
      </c>
      <c r="X1159" t="s">
        <v>4688</v>
      </c>
      <c r="AF1159" t="s">
        <v>13576</v>
      </c>
      <c r="AG1159" t="s">
        <v>3043</v>
      </c>
      <c r="AI1159" t="s">
        <v>13577</v>
      </c>
      <c r="AM1159" t="s">
        <v>4689</v>
      </c>
      <c r="AN1159" t="s">
        <v>2064</v>
      </c>
      <c r="AO1159" t="s">
        <v>13578</v>
      </c>
      <c r="AP1159" t="s">
        <v>7024</v>
      </c>
      <c r="AT1159" s="184">
        <v>33868</v>
      </c>
      <c r="AU1159" t="s">
        <v>13517</v>
      </c>
      <c r="AV1159">
        <v>15</v>
      </c>
      <c r="AW1159" s="184">
        <v>45188</v>
      </c>
      <c r="AX1159" t="s">
        <v>13579</v>
      </c>
      <c r="AY1159">
        <v>50</v>
      </c>
      <c r="AZ1159" s="184">
        <v>45188</v>
      </c>
      <c r="BA1159" t="s">
        <v>13579</v>
      </c>
      <c r="BB1159">
        <v>50</v>
      </c>
      <c r="BC1159">
        <v>97</v>
      </c>
      <c r="BD1159">
        <v>2655</v>
      </c>
      <c r="BE1159">
        <v>1993</v>
      </c>
      <c r="BF1159">
        <v>88</v>
      </c>
      <c r="BG1159">
        <v>6</v>
      </c>
      <c r="BH1159">
        <v>300</v>
      </c>
      <c r="BI1159">
        <v>32</v>
      </c>
      <c r="BJ1159">
        <v>33</v>
      </c>
      <c r="BK1159">
        <v>32</v>
      </c>
      <c r="BP1159" s="184"/>
    </row>
    <row r="1160" spans="1:68">
      <c r="A1160">
        <v>8216764</v>
      </c>
      <c r="B1160">
        <v>8216764</v>
      </c>
      <c r="C1160" t="s">
        <v>7018</v>
      </c>
      <c r="E1160" s="184"/>
      <c r="G1160" s="184"/>
      <c r="I1160" s="184"/>
      <c r="J1160" t="s">
        <v>595</v>
      </c>
      <c r="K1160" s="184">
        <v>43801</v>
      </c>
      <c r="O1160" s="184"/>
      <c r="P1160" t="s">
        <v>7029</v>
      </c>
      <c r="Q1160" t="s">
        <v>7194</v>
      </c>
      <c r="R1160" s="184">
        <v>10113</v>
      </c>
      <c r="S1160">
        <v>96</v>
      </c>
      <c r="U1160" t="s">
        <v>7031</v>
      </c>
      <c r="V1160" t="s">
        <v>2863</v>
      </c>
      <c r="W1160" t="s">
        <v>4152</v>
      </c>
      <c r="X1160" t="s">
        <v>4291</v>
      </c>
      <c r="AF1160" t="s">
        <v>6226</v>
      </c>
      <c r="AG1160" t="s">
        <v>2863</v>
      </c>
      <c r="AI1160" t="s">
        <v>13580</v>
      </c>
      <c r="AM1160" t="s">
        <v>4292</v>
      </c>
      <c r="AN1160" t="s">
        <v>2046</v>
      </c>
      <c r="AO1160" t="s">
        <v>13581</v>
      </c>
      <c r="AP1160" t="s">
        <v>7024</v>
      </c>
      <c r="AT1160" s="184">
        <v>33868</v>
      </c>
      <c r="AU1160" t="s">
        <v>13582</v>
      </c>
      <c r="AV1160">
        <v>15</v>
      </c>
      <c r="AW1160" s="184">
        <v>44551</v>
      </c>
      <c r="AX1160" t="s">
        <v>13583</v>
      </c>
      <c r="AY1160">
        <v>500</v>
      </c>
      <c r="AZ1160" s="184">
        <v>44551</v>
      </c>
      <c r="BA1160" t="s">
        <v>13583</v>
      </c>
      <c r="BB1160">
        <v>500</v>
      </c>
      <c r="BC1160">
        <v>31</v>
      </c>
      <c r="BD1160">
        <v>3970</v>
      </c>
      <c r="BE1160">
        <v>1993</v>
      </c>
      <c r="BF1160">
        <v>15</v>
      </c>
      <c r="BI1160">
        <v>10</v>
      </c>
      <c r="BJ1160">
        <v>33</v>
      </c>
      <c r="BK1160">
        <v>6</v>
      </c>
      <c r="BP1160" s="184"/>
    </row>
    <row r="1161" spans="1:68">
      <c r="A1161">
        <v>8224271</v>
      </c>
      <c r="B1161">
        <v>8224271</v>
      </c>
      <c r="C1161" t="s">
        <v>7018</v>
      </c>
      <c r="D1161" t="s">
        <v>595</v>
      </c>
      <c r="E1161" s="184">
        <v>44073</v>
      </c>
      <c r="G1161" s="184"/>
      <c r="H1161" t="s">
        <v>595</v>
      </c>
      <c r="I1161" s="184">
        <v>44073</v>
      </c>
      <c r="K1161" s="184"/>
      <c r="O1161" s="184"/>
      <c r="P1161" t="s">
        <v>7045</v>
      </c>
      <c r="Q1161" t="s">
        <v>7383</v>
      </c>
      <c r="R1161" s="184">
        <v>15694</v>
      </c>
      <c r="S1161">
        <v>81</v>
      </c>
      <c r="U1161" t="s">
        <v>7076</v>
      </c>
      <c r="V1161" t="s">
        <v>4929</v>
      </c>
      <c r="W1161" t="s">
        <v>5006</v>
      </c>
      <c r="X1161" t="s">
        <v>4930</v>
      </c>
      <c r="AF1161" t="s">
        <v>13584</v>
      </c>
      <c r="AG1161" t="s">
        <v>4929</v>
      </c>
      <c r="AI1161" t="s">
        <v>13585</v>
      </c>
      <c r="AM1161" t="s">
        <v>2830</v>
      </c>
      <c r="AN1161" t="s">
        <v>2185</v>
      </c>
      <c r="AO1161" t="s">
        <v>13586</v>
      </c>
      <c r="AP1161" t="s">
        <v>7024</v>
      </c>
      <c r="AQ1161" t="s">
        <v>13587</v>
      </c>
      <c r="AR1161" t="s">
        <v>13588</v>
      </c>
      <c r="AT1161" s="184">
        <v>33868</v>
      </c>
      <c r="AU1161" t="s">
        <v>13555</v>
      </c>
      <c r="AV1161">
        <v>15</v>
      </c>
      <c r="AW1161" s="184">
        <v>45083</v>
      </c>
      <c r="AX1161" t="s">
        <v>13589</v>
      </c>
      <c r="AY1161">
        <v>50</v>
      </c>
      <c r="AZ1161" s="184">
        <v>45083</v>
      </c>
      <c r="BA1161" t="s">
        <v>13589</v>
      </c>
      <c r="BB1161">
        <v>50</v>
      </c>
      <c r="BC1161">
        <v>55</v>
      </c>
      <c r="BD1161">
        <v>785</v>
      </c>
      <c r="BE1161">
        <v>1993</v>
      </c>
      <c r="BF1161">
        <v>23</v>
      </c>
      <c r="BG1161">
        <v>2</v>
      </c>
      <c r="BH1161">
        <v>85</v>
      </c>
      <c r="BI1161">
        <v>18</v>
      </c>
      <c r="BJ1161">
        <v>33</v>
      </c>
      <c r="BK1161">
        <v>5</v>
      </c>
      <c r="BP1161" s="184"/>
    </row>
    <row r="1162" spans="1:68">
      <c r="A1162">
        <v>8225666</v>
      </c>
      <c r="B1162">
        <v>8225666</v>
      </c>
      <c r="C1162" t="s">
        <v>7018</v>
      </c>
      <c r="D1162" t="s">
        <v>595</v>
      </c>
      <c r="E1162" s="184">
        <v>45147</v>
      </c>
      <c r="G1162" s="184"/>
      <c r="I1162" s="184"/>
      <c r="K1162" s="184"/>
      <c r="O1162" s="184"/>
      <c r="P1162" t="s">
        <v>7045</v>
      </c>
      <c r="Q1162" t="s">
        <v>7383</v>
      </c>
      <c r="R1162" s="184">
        <v>25223</v>
      </c>
      <c r="S1162">
        <v>55</v>
      </c>
      <c r="U1162" t="s">
        <v>7031</v>
      </c>
      <c r="V1162" t="s">
        <v>13590</v>
      </c>
      <c r="X1162" t="s">
        <v>13591</v>
      </c>
      <c r="AF1162" t="s">
        <v>13592</v>
      </c>
      <c r="AG1162" t="s">
        <v>13590</v>
      </c>
      <c r="AI1162" t="s">
        <v>13593</v>
      </c>
      <c r="AM1162" t="s">
        <v>3544</v>
      </c>
      <c r="AN1162" t="s">
        <v>2185</v>
      </c>
      <c r="AO1162" t="s">
        <v>13594</v>
      </c>
      <c r="AP1162" t="s">
        <v>7024</v>
      </c>
      <c r="AQ1162" t="s">
        <v>13595</v>
      </c>
      <c r="AT1162" s="184">
        <v>33868</v>
      </c>
      <c r="AU1162" t="s">
        <v>13432</v>
      </c>
      <c r="AV1162">
        <v>30</v>
      </c>
      <c r="AW1162" s="184">
        <v>45344</v>
      </c>
      <c r="AX1162" t="s">
        <v>13596</v>
      </c>
      <c r="AY1162">
        <v>90</v>
      </c>
      <c r="AZ1162" s="184">
        <v>45344</v>
      </c>
      <c r="BA1162" t="s">
        <v>13596</v>
      </c>
      <c r="BB1162">
        <v>90</v>
      </c>
      <c r="BC1162">
        <v>88</v>
      </c>
      <c r="BD1162">
        <v>1404</v>
      </c>
      <c r="BE1162">
        <v>1993</v>
      </c>
      <c r="BF1162">
        <v>30</v>
      </c>
      <c r="BG1162">
        <v>2</v>
      </c>
      <c r="BH1162">
        <v>180</v>
      </c>
      <c r="BI1162">
        <v>29</v>
      </c>
      <c r="BJ1162">
        <v>33</v>
      </c>
      <c r="BK1162">
        <v>18</v>
      </c>
      <c r="BP1162" s="184"/>
    </row>
    <row r="1163" spans="1:68">
      <c r="A1163">
        <v>8236903</v>
      </c>
      <c r="B1163">
        <v>8236903</v>
      </c>
      <c r="C1163" t="s">
        <v>7018</v>
      </c>
      <c r="E1163" s="184"/>
      <c r="G1163" s="184"/>
      <c r="J1163" t="s">
        <v>595</v>
      </c>
      <c r="K1163" s="184"/>
      <c r="P1163" t="s">
        <v>7045</v>
      </c>
      <c r="Q1163" t="s">
        <v>7374</v>
      </c>
      <c r="R1163" s="184">
        <v>23593</v>
      </c>
      <c r="S1163">
        <v>59</v>
      </c>
      <c r="U1163" t="s">
        <v>7076</v>
      </c>
      <c r="V1163" t="s">
        <v>2903</v>
      </c>
      <c r="W1163" t="s">
        <v>8224</v>
      </c>
      <c r="X1163" t="s">
        <v>13597</v>
      </c>
      <c r="AF1163" t="s">
        <v>13598</v>
      </c>
      <c r="AG1163" t="s">
        <v>2903</v>
      </c>
      <c r="AI1163" t="s">
        <v>13599</v>
      </c>
      <c r="AM1163" t="s">
        <v>4268</v>
      </c>
      <c r="AN1163" t="s">
        <v>2081</v>
      </c>
      <c r="AO1163" t="s">
        <v>13600</v>
      </c>
      <c r="AP1163" t="s">
        <v>7024</v>
      </c>
      <c r="AQ1163" t="s">
        <v>13601</v>
      </c>
      <c r="AR1163" t="s">
        <v>13602</v>
      </c>
      <c r="AT1163" s="184">
        <v>34267</v>
      </c>
      <c r="AU1163" t="s">
        <v>13603</v>
      </c>
      <c r="AV1163">
        <v>500</v>
      </c>
      <c r="AW1163" s="184">
        <v>43348</v>
      </c>
      <c r="AX1163" t="s">
        <v>13604</v>
      </c>
      <c r="AY1163">
        <v>50000</v>
      </c>
      <c r="AZ1163" s="184">
        <v>43348</v>
      </c>
      <c r="BA1163" t="s">
        <v>13604</v>
      </c>
      <c r="BB1163">
        <v>50000</v>
      </c>
      <c r="BC1163">
        <v>50</v>
      </c>
      <c r="BD1163">
        <v>233975</v>
      </c>
      <c r="BE1163">
        <v>1994</v>
      </c>
      <c r="BF1163">
        <v>28</v>
      </c>
      <c r="BI1163">
        <v>16</v>
      </c>
      <c r="BJ1163">
        <v>32</v>
      </c>
      <c r="BK1163">
        <v>10</v>
      </c>
    </row>
    <row r="1164" spans="1:68">
      <c r="A1164">
        <v>8247249</v>
      </c>
      <c r="B1164">
        <v>8247249</v>
      </c>
      <c r="C1164" t="s">
        <v>7018</v>
      </c>
      <c r="E1164" s="184"/>
      <c r="G1164" s="184"/>
      <c r="J1164" t="s">
        <v>595</v>
      </c>
      <c r="K1164" s="184">
        <v>42711</v>
      </c>
      <c r="O1164" s="184"/>
      <c r="P1164" t="s">
        <v>7045</v>
      </c>
      <c r="Q1164" t="s">
        <v>7020</v>
      </c>
      <c r="R1164" s="184">
        <v>19115</v>
      </c>
      <c r="S1164">
        <v>72</v>
      </c>
      <c r="U1164" t="s">
        <v>7130</v>
      </c>
      <c r="V1164" t="s">
        <v>3409</v>
      </c>
      <c r="W1164" t="s">
        <v>4327</v>
      </c>
      <c r="X1164" t="s">
        <v>13605</v>
      </c>
      <c r="AF1164" t="s">
        <v>6173</v>
      </c>
      <c r="AG1164" t="s">
        <v>3409</v>
      </c>
      <c r="AI1164" t="s">
        <v>13606</v>
      </c>
      <c r="AM1164" t="s">
        <v>13175</v>
      </c>
      <c r="AN1164" t="s">
        <v>2112</v>
      </c>
      <c r="AO1164" t="s">
        <v>13607</v>
      </c>
      <c r="AP1164" t="s">
        <v>7024</v>
      </c>
      <c r="AQ1164" t="s">
        <v>13608</v>
      </c>
      <c r="AT1164" s="184">
        <v>33878</v>
      </c>
      <c r="AU1164" t="s">
        <v>13609</v>
      </c>
      <c r="AV1164">
        <v>15</v>
      </c>
      <c r="AW1164" s="184">
        <v>44830</v>
      </c>
      <c r="AX1164" t="s">
        <v>13610</v>
      </c>
      <c r="AY1164">
        <v>25</v>
      </c>
      <c r="AZ1164" s="184">
        <v>38986</v>
      </c>
      <c r="BA1164" t="s">
        <v>13611</v>
      </c>
      <c r="BB1164">
        <v>150</v>
      </c>
      <c r="BC1164">
        <v>91</v>
      </c>
      <c r="BD1164">
        <v>3377</v>
      </c>
      <c r="BE1164">
        <v>1993</v>
      </c>
      <c r="BF1164">
        <v>48</v>
      </c>
      <c r="BG1164">
        <v>1</v>
      </c>
      <c r="BH1164">
        <v>25</v>
      </c>
      <c r="BI1164">
        <v>30</v>
      </c>
      <c r="BJ1164">
        <v>33</v>
      </c>
      <c r="BK1164">
        <v>27</v>
      </c>
      <c r="BP1164" s="184"/>
    </row>
    <row r="1165" spans="1:68">
      <c r="A1165">
        <v>8282121</v>
      </c>
      <c r="B1165">
        <v>8282121</v>
      </c>
      <c r="C1165" t="s">
        <v>7018</v>
      </c>
      <c r="D1165" t="s">
        <v>595</v>
      </c>
      <c r="E1165" s="184">
        <v>44438</v>
      </c>
      <c r="G1165" s="184"/>
      <c r="I1165" s="184"/>
      <c r="K1165" s="184"/>
      <c r="O1165" s="184"/>
      <c r="P1165" t="s">
        <v>7045</v>
      </c>
      <c r="Q1165" t="s">
        <v>7020</v>
      </c>
      <c r="R1165" s="184">
        <v>12568</v>
      </c>
      <c r="S1165">
        <v>89</v>
      </c>
      <c r="U1165" t="s">
        <v>7031</v>
      </c>
      <c r="V1165" t="s">
        <v>3134</v>
      </c>
      <c r="X1165" t="s">
        <v>13612</v>
      </c>
      <c r="Z1165">
        <v>100033259</v>
      </c>
      <c r="AB1165" t="s">
        <v>3444</v>
      </c>
      <c r="AD1165" t="s">
        <v>13612</v>
      </c>
      <c r="AF1165" t="s">
        <v>13613</v>
      </c>
      <c r="AG1165" t="s">
        <v>13614</v>
      </c>
      <c r="AI1165" t="s">
        <v>13615</v>
      </c>
      <c r="AM1165" t="s">
        <v>10682</v>
      </c>
      <c r="AN1165" t="s">
        <v>2112</v>
      </c>
      <c r="AO1165" t="s">
        <v>13616</v>
      </c>
      <c r="AP1165" t="s">
        <v>7024</v>
      </c>
      <c r="AQ1165" t="s">
        <v>13617</v>
      </c>
      <c r="AR1165" t="s">
        <v>13618</v>
      </c>
      <c r="AT1165" s="184">
        <v>33883</v>
      </c>
      <c r="AU1165" t="s">
        <v>13619</v>
      </c>
      <c r="AV1165">
        <v>15</v>
      </c>
      <c r="AW1165" s="184">
        <v>44412</v>
      </c>
      <c r="AX1165" t="s">
        <v>13620</v>
      </c>
      <c r="AY1165">
        <v>35</v>
      </c>
      <c r="AZ1165" s="184">
        <v>44412</v>
      </c>
      <c r="BA1165" t="s">
        <v>13620</v>
      </c>
      <c r="BB1165">
        <v>35</v>
      </c>
      <c r="BC1165">
        <v>25</v>
      </c>
      <c r="BD1165">
        <v>280</v>
      </c>
      <c r="BE1165">
        <v>1993</v>
      </c>
      <c r="BF1165">
        <v>10</v>
      </c>
      <c r="BI1165">
        <v>8</v>
      </c>
      <c r="BJ1165">
        <v>33</v>
      </c>
      <c r="BK1165">
        <v>3</v>
      </c>
      <c r="BP1165" s="184"/>
    </row>
    <row r="1166" spans="1:68">
      <c r="A1166">
        <v>100033259</v>
      </c>
      <c r="B1166">
        <v>8282121</v>
      </c>
      <c r="C1166" t="s">
        <v>7018</v>
      </c>
      <c r="D1166" t="s">
        <v>595</v>
      </c>
      <c r="E1166" s="184">
        <v>44438</v>
      </c>
      <c r="G1166" s="184"/>
      <c r="K1166" s="184"/>
      <c r="O1166" s="184"/>
      <c r="P1166" t="s">
        <v>7045</v>
      </c>
      <c r="Q1166" t="s">
        <v>7020</v>
      </c>
      <c r="R1166" s="184">
        <v>16204</v>
      </c>
      <c r="S1166">
        <v>80</v>
      </c>
      <c r="V1166" t="s">
        <v>3444</v>
      </c>
      <c r="X1166" t="s">
        <v>13612</v>
      </c>
      <c r="Z1166">
        <v>8282121</v>
      </c>
      <c r="AA1166" t="s">
        <v>7031</v>
      </c>
      <c r="AB1166" t="s">
        <v>3134</v>
      </c>
      <c r="AD1166" t="s">
        <v>13612</v>
      </c>
      <c r="AF1166" t="s">
        <v>13613</v>
      </c>
      <c r="AG1166" t="s">
        <v>13614</v>
      </c>
      <c r="AI1166" t="s">
        <v>13615</v>
      </c>
      <c r="AM1166" t="s">
        <v>10682</v>
      </c>
      <c r="AN1166" t="s">
        <v>2112</v>
      </c>
      <c r="AO1166" t="s">
        <v>13616</v>
      </c>
      <c r="AP1166" t="s">
        <v>7024</v>
      </c>
      <c r="AT1166" s="184"/>
      <c r="AW1166" s="184"/>
      <c r="AZ1166" s="184"/>
      <c r="BP1166" s="184"/>
    </row>
    <row r="1167" spans="1:68">
      <c r="A1167">
        <v>8286387</v>
      </c>
      <c r="B1167">
        <v>8286387</v>
      </c>
      <c r="C1167" t="s">
        <v>7018</v>
      </c>
      <c r="E1167" s="184"/>
      <c r="G1167" s="184"/>
      <c r="I1167" s="184"/>
      <c r="J1167" t="s">
        <v>595</v>
      </c>
      <c r="K1167" s="184">
        <v>42795</v>
      </c>
      <c r="O1167" s="184"/>
      <c r="P1167" t="s">
        <v>7029</v>
      </c>
      <c r="Q1167" t="s">
        <v>7383</v>
      </c>
      <c r="R1167" s="184">
        <v>19664</v>
      </c>
      <c r="S1167">
        <v>70</v>
      </c>
      <c r="U1167" t="s">
        <v>7130</v>
      </c>
      <c r="V1167" t="s">
        <v>3192</v>
      </c>
      <c r="X1167" t="s">
        <v>5843</v>
      </c>
      <c r="Z1167">
        <v>100033277</v>
      </c>
      <c r="AA1167" t="s">
        <v>7032</v>
      </c>
      <c r="AB1167" t="s">
        <v>5842</v>
      </c>
      <c r="AD1167" t="s">
        <v>5843</v>
      </c>
      <c r="AF1167" t="s">
        <v>13621</v>
      </c>
      <c r="AG1167" t="s">
        <v>13622</v>
      </c>
      <c r="AI1167" t="s">
        <v>13623</v>
      </c>
      <c r="AM1167" t="s">
        <v>5844</v>
      </c>
      <c r="AN1167" t="s">
        <v>2072</v>
      </c>
      <c r="AO1167" t="s">
        <v>13624</v>
      </c>
      <c r="AP1167" t="s">
        <v>7024</v>
      </c>
      <c r="AQ1167" t="s">
        <v>13625</v>
      </c>
      <c r="AT1167" s="184">
        <v>33884</v>
      </c>
      <c r="AU1167" t="s">
        <v>13626</v>
      </c>
      <c r="AV1167">
        <v>15</v>
      </c>
      <c r="AW1167" s="184">
        <v>45301</v>
      </c>
      <c r="AX1167" t="s">
        <v>7382</v>
      </c>
      <c r="AY1167">
        <v>1000</v>
      </c>
      <c r="AZ1167" s="184">
        <v>40549</v>
      </c>
      <c r="BA1167" t="s">
        <v>13627</v>
      </c>
      <c r="BB1167">
        <v>1200</v>
      </c>
      <c r="BC1167">
        <v>88</v>
      </c>
      <c r="BD1167">
        <v>19029</v>
      </c>
      <c r="BE1167">
        <v>1993</v>
      </c>
      <c r="BF1167">
        <v>38</v>
      </c>
      <c r="BG1167">
        <v>2</v>
      </c>
      <c r="BH1167">
        <v>2000</v>
      </c>
      <c r="BI1167">
        <v>29</v>
      </c>
      <c r="BJ1167">
        <v>33</v>
      </c>
      <c r="BK1167">
        <v>16</v>
      </c>
      <c r="BP1167" s="184"/>
    </row>
    <row r="1168" spans="1:68">
      <c r="A1168">
        <v>100033277</v>
      </c>
      <c r="B1168">
        <v>8286387</v>
      </c>
      <c r="C1168" t="s">
        <v>7018</v>
      </c>
      <c r="E1168" s="184"/>
      <c r="G1168" s="184"/>
      <c r="I1168" s="184"/>
      <c r="J1168" t="s">
        <v>595</v>
      </c>
      <c r="K1168" s="184">
        <v>43656</v>
      </c>
      <c r="O1168" s="184"/>
      <c r="P1168" t="s">
        <v>7029</v>
      </c>
      <c r="Q1168" t="s">
        <v>7383</v>
      </c>
      <c r="R1168" s="184">
        <v>19664</v>
      </c>
      <c r="S1168">
        <v>70</v>
      </c>
      <c r="U1168" t="s">
        <v>7032</v>
      </c>
      <c r="V1168" t="s">
        <v>5842</v>
      </c>
      <c r="X1168" t="s">
        <v>5843</v>
      </c>
      <c r="Z1168">
        <v>8286387</v>
      </c>
      <c r="AA1168" t="s">
        <v>7130</v>
      </c>
      <c r="AB1168" t="s">
        <v>3192</v>
      </c>
      <c r="AD1168" t="s">
        <v>5843</v>
      </c>
      <c r="AF1168" t="s">
        <v>13621</v>
      </c>
      <c r="AG1168" t="s">
        <v>13622</v>
      </c>
      <c r="AI1168" t="s">
        <v>13623</v>
      </c>
      <c r="AM1168" t="s">
        <v>5844</v>
      </c>
      <c r="AN1168" t="s">
        <v>2072</v>
      </c>
      <c r="AO1168" t="s">
        <v>13624</v>
      </c>
      <c r="AP1168" t="s">
        <v>7024</v>
      </c>
      <c r="AQ1168" t="s">
        <v>13628</v>
      </c>
      <c r="AT1168" s="184">
        <v>43802</v>
      </c>
      <c r="AU1168" t="s">
        <v>13629</v>
      </c>
      <c r="AV1168">
        <v>1000</v>
      </c>
      <c r="AW1168" s="184">
        <v>44190</v>
      </c>
      <c r="AX1168" t="s">
        <v>13630</v>
      </c>
      <c r="AY1168">
        <v>1000</v>
      </c>
      <c r="AZ1168" s="184">
        <v>44190</v>
      </c>
      <c r="BA1168" t="s">
        <v>13630</v>
      </c>
      <c r="BB1168">
        <v>1000</v>
      </c>
      <c r="BC1168">
        <v>34</v>
      </c>
      <c r="BD1168">
        <v>2000</v>
      </c>
      <c r="BE1168">
        <v>2020</v>
      </c>
      <c r="BF1168">
        <v>2</v>
      </c>
      <c r="BI1168">
        <v>2</v>
      </c>
      <c r="BJ1168">
        <v>6</v>
      </c>
      <c r="BK1168">
        <v>2</v>
      </c>
      <c r="BP1168" s="184"/>
    </row>
    <row r="1169" spans="1:68">
      <c r="A1169">
        <v>8287161</v>
      </c>
      <c r="B1169">
        <v>8287161</v>
      </c>
      <c r="C1169" t="s">
        <v>7018</v>
      </c>
      <c r="D1169" t="s">
        <v>595</v>
      </c>
      <c r="E1169" s="184">
        <v>44104</v>
      </c>
      <c r="G1169" s="184"/>
      <c r="I1169" s="184"/>
      <c r="K1169" s="184"/>
      <c r="O1169" s="184"/>
      <c r="P1169" t="s">
        <v>7019</v>
      </c>
      <c r="Q1169" t="s">
        <v>7383</v>
      </c>
      <c r="R1169" s="184">
        <v>17485</v>
      </c>
      <c r="S1169">
        <v>76</v>
      </c>
      <c r="U1169" t="s">
        <v>7076</v>
      </c>
      <c r="V1169" t="s">
        <v>9117</v>
      </c>
      <c r="W1169" t="s">
        <v>7067</v>
      </c>
      <c r="X1169" t="s">
        <v>13631</v>
      </c>
      <c r="AF1169" t="s">
        <v>13632</v>
      </c>
      <c r="AG1169" t="s">
        <v>9117</v>
      </c>
      <c r="AI1169" t="s">
        <v>13633</v>
      </c>
      <c r="AM1169" t="s">
        <v>13634</v>
      </c>
      <c r="AN1169" t="s">
        <v>2059</v>
      </c>
      <c r="AO1169" t="s">
        <v>13635</v>
      </c>
      <c r="AP1169" t="s">
        <v>7024</v>
      </c>
      <c r="AQ1169" t="s">
        <v>13636</v>
      </c>
      <c r="AT1169" s="184">
        <v>33884</v>
      </c>
      <c r="AU1169" t="s">
        <v>13637</v>
      </c>
      <c r="AV1169">
        <v>15</v>
      </c>
      <c r="AW1169" s="184">
        <v>45412</v>
      </c>
      <c r="AX1169" t="s">
        <v>9437</v>
      </c>
      <c r="AY1169">
        <v>75</v>
      </c>
      <c r="AZ1169" s="184">
        <v>45412</v>
      </c>
      <c r="BA1169" t="s">
        <v>9437</v>
      </c>
      <c r="BB1169">
        <v>75</v>
      </c>
      <c r="BC1169">
        <v>61</v>
      </c>
      <c r="BD1169">
        <v>846</v>
      </c>
      <c r="BE1169">
        <v>1993</v>
      </c>
      <c r="BF1169">
        <v>29</v>
      </c>
      <c r="BG1169">
        <v>2</v>
      </c>
      <c r="BH1169">
        <v>150</v>
      </c>
      <c r="BI1169">
        <v>20</v>
      </c>
      <c r="BJ1169">
        <v>33</v>
      </c>
      <c r="BK1169">
        <v>6</v>
      </c>
      <c r="BP1169" s="184"/>
    </row>
    <row r="1170" spans="1:68">
      <c r="A1170">
        <v>8297277</v>
      </c>
      <c r="B1170">
        <v>8297277</v>
      </c>
      <c r="C1170" t="s">
        <v>7018</v>
      </c>
      <c r="D1170" t="s">
        <v>595</v>
      </c>
      <c r="E1170" s="184">
        <v>43892</v>
      </c>
      <c r="G1170" s="184"/>
      <c r="I1170" s="184"/>
      <c r="K1170" s="184"/>
      <c r="O1170" s="184"/>
      <c r="P1170" t="s">
        <v>7029</v>
      </c>
      <c r="Q1170" t="s">
        <v>7160</v>
      </c>
      <c r="R1170" s="184">
        <v>20180</v>
      </c>
      <c r="S1170">
        <v>69</v>
      </c>
      <c r="U1170" t="s">
        <v>7076</v>
      </c>
      <c r="V1170" t="s">
        <v>3547</v>
      </c>
      <c r="X1170" t="s">
        <v>13638</v>
      </c>
      <c r="AF1170" t="s">
        <v>13639</v>
      </c>
      <c r="AG1170" t="s">
        <v>3547</v>
      </c>
      <c r="AI1170" t="s">
        <v>13640</v>
      </c>
      <c r="AM1170" t="s">
        <v>13641</v>
      </c>
      <c r="AN1170" t="s">
        <v>2395</v>
      </c>
      <c r="AO1170" t="s">
        <v>13642</v>
      </c>
      <c r="AP1170" t="s">
        <v>7024</v>
      </c>
      <c r="AQ1170" t="s">
        <v>13643</v>
      </c>
      <c r="AR1170" t="s">
        <v>13644</v>
      </c>
      <c r="AT1170" s="184">
        <v>33885</v>
      </c>
      <c r="AU1170" t="s">
        <v>13645</v>
      </c>
      <c r="AV1170">
        <v>15</v>
      </c>
      <c r="AW1170" s="184">
        <v>44078</v>
      </c>
      <c r="AX1170" t="s">
        <v>13646</v>
      </c>
      <c r="AY1170">
        <v>1000</v>
      </c>
      <c r="AZ1170" s="184">
        <v>44078</v>
      </c>
      <c r="BA1170" t="s">
        <v>13646</v>
      </c>
      <c r="BB1170">
        <v>1000</v>
      </c>
      <c r="BC1170">
        <v>55</v>
      </c>
      <c r="BD1170">
        <v>4055</v>
      </c>
      <c r="BE1170">
        <v>1993</v>
      </c>
      <c r="BF1170">
        <v>23</v>
      </c>
      <c r="BI1170">
        <v>18</v>
      </c>
      <c r="BJ1170">
        <v>33</v>
      </c>
      <c r="BK1170">
        <v>17</v>
      </c>
      <c r="BP1170" s="184"/>
    </row>
    <row r="1171" spans="1:68">
      <c r="A1171">
        <v>8308017</v>
      </c>
      <c r="B1171">
        <v>8308017</v>
      </c>
      <c r="C1171" t="s">
        <v>7018</v>
      </c>
      <c r="D1171" t="s">
        <v>595</v>
      </c>
      <c r="E1171" s="184">
        <v>44167</v>
      </c>
      <c r="G1171" s="184"/>
      <c r="I1171" s="184"/>
      <c r="K1171" s="184"/>
      <c r="P1171" t="s">
        <v>7045</v>
      </c>
      <c r="Q1171" t="s">
        <v>7383</v>
      </c>
      <c r="R1171" s="184">
        <v>18513</v>
      </c>
      <c r="S1171">
        <v>73</v>
      </c>
      <c r="U1171" t="s">
        <v>7076</v>
      </c>
      <c r="V1171" t="s">
        <v>13647</v>
      </c>
      <c r="X1171" t="s">
        <v>13648</v>
      </c>
      <c r="AF1171" t="s">
        <v>13649</v>
      </c>
      <c r="AG1171" t="s">
        <v>13647</v>
      </c>
      <c r="AI1171" t="s">
        <v>13650</v>
      </c>
      <c r="AM1171" t="s">
        <v>13651</v>
      </c>
      <c r="AN1171" t="s">
        <v>2313</v>
      </c>
      <c r="AO1171" t="s">
        <v>13652</v>
      </c>
      <c r="AP1171" t="s">
        <v>7024</v>
      </c>
      <c r="AT1171" s="184">
        <v>33885</v>
      </c>
      <c r="AU1171" t="s">
        <v>13637</v>
      </c>
      <c r="AV1171">
        <v>20</v>
      </c>
      <c r="AW1171" s="184">
        <v>45210</v>
      </c>
      <c r="AX1171" t="s">
        <v>7053</v>
      </c>
      <c r="AY1171">
        <v>100</v>
      </c>
      <c r="AZ1171" s="184">
        <v>45210</v>
      </c>
      <c r="BA1171" t="s">
        <v>7053</v>
      </c>
      <c r="BB1171">
        <v>100</v>
      </c>
      <c r="BC1171">
        <v>64</v>
      </c>
      <c r="BD1171">
        <v>1325</v>
      </c>
      <c r="BE1171">
        <v>1993</v>
      </c>
      <c r="BF1171">
        <v>34</v>
      </c>
      <c r="BG1171">
        <v>2</v>
      </c>
      <c r="BH1171">
        <v>140</v>
      </c>
      <c r="BI1171">
        <v>21</v>
      </c>
      <c r="BJ1171">
        <v>33</v>
      </c>
      <c r="BK1171">
        <v>16</v>
      </c>
    </row>
    <row r="1172" spans="1:68">
      <c r="A1172">
        <v>8327272</v>
      </c>
      <c r="B1172">
        <v>8327272</v>
      </c>
      <c r="C1172" t="s">
        <v>7018</v>
      </c>
      <c r="D1172" t="s">
        <v>595</v>
      </c>
      <c r="E1172" s="184">
        <v>44167</v>
      </c>
      <c r="G1172" s="184"/>
      <c r="I1172" s="184"/>
      <c r="K1172" s="184"/>
      <c r="O1172" s="184"/>
      <c r="P1172" t="s">
        <v>7045</v>
      </c>
      <c r="Q1172" t="s">
        <v>7374</v>
      </c>
      <c r="R1172" s="184">
        <v>20180</v>
      </c>
      <c r="S1172">
        <v>69</v>
      </c>
      <c r="U1172" t="s">
        <v>7237</v>
      </c>
      <c r="V1172" t="s">
        <v>2898</v>
      </c>
      <c r="X1172" t="s">
        <v>13653</v>
      </c>
      <c r="AF1172" t="s">
        <v>13654</v>
      </c>
      <c r="AG1172" t="s">
        <v>2898</v>
      </c>
      <c r="AI1172" t="s">
        <v>13655</v>
      </c>
      <c r="AM1172" t="s">
        <v>3109</v>
      </c>
      <c r="AN1172" t="s">
        <v>2081</v>
      </c>
      <c r="AO1172" t="s">
        <v>13656</v>
      </c>
      <c r="AP1172" t="s">
        <v>7024</v>
      </c>
      <c r="AQ1172" t="s">
        <v>13657</v>
      </c>
      <c r="AT1172" s="184">
        <v>33886</v>
      </c>
      <c r="AU1172" t="s">
        <v>13658</v>
      </c>
      <c r="AV1172">
        <v>15</v>
      </c>
      <c r="AW1172" s="184">
        <v>45363</v>
      </c>
      <c r="AX1172" t="s">
        <v>13659</v>
      </c>
      <c r="AY1172">
        <v>100</v>
      </c>
      <c r="AZ1172" s="184">
        <v>45363</v>
      </c>
      <c r="BA1172" t="s">
        <v>13659</v>
      </c>
      <c r="BB1172">
        <v>100</v>
      </c>
      <c r="BC1172">
        <v>91</v>
      </c>
      <c r="BD1172">
        <v>2030</v>
      </c>
      <c r="BE1172">
        <v>1993</v>
      </c>
      <c r="BF1172">
        <v>66</v>
      </c>
      <c r="BG1172">
        <v>1</v>
      </c>
      <c r="BH1172">
        <v>100</v>
      </c>
      <c r="BI1172">
        <v>30</v>
      </c>
      <c r="BJ1172">
        <v>33</v>
      </c>
      <c r="BK1172">
        <v>27</v>
      </c>
      <c r="BP1172" s="184"/>
    </row>
    <row r="1173" spans="1:68">
      <c r="A1173">
        <v>8349714</v>
      </c>
      <c r="B1173">
        <v>8349714</v>
      </c>
      <c r="C1173" t="s">
        <v>7018</v>
      </c>
      <c r="E1173" s="184"/>
      <c r="G1173" s="184"/>
      <c r="I1173" s="184"/>
      <c r="J1173" t="s">
        <v>595</v>
      </c>
      <c r="K1173" s="184">
        <v>37433</v>
      </c>
      <c r="O1173" s="184"/>
      <c r="P1173" t="s">
        <v>7045</v>
      </c>
      <c r="Q1173" t="s">
        <v>7160</v>
      </c>
      <c r="R1173" s="184">
        <v>18233</v>
      </c>
      <c r="S1173">
        <v>74</v>
      </c>
      <c r="U1173" t="s">
        <v>7031</v>
      </c>
      <c r="V1173" t="s">
        <v>2898</v>
      </c>
      <c r="W1173" t="s">
        <v>7268</v>
      </c>
      <c r="X1173" t="s">
        <v>13660</v>
      </c>
      <c r="Z1173">
        <v>100033443</v>
      </c>
      <c r="AA1173" t="s">
        <v>7130</v>
      </c>
      <c r="AB1173" t="s">
        <v>2718</v>
      </c>
      <c r="AD1173" t="s">
        <v>13660</v>
      </c>
      <c r="AF1173" t="s">
        <v>13661</v>
      </c>
      <c r="AG1173" t="s">
        <v>13662</v>
      </c>
      <c r="AI1173" t="s">
        <v>13663</v>
      </c>
      <c r="AM1173" t="s">
        <v>13664</v>
      </c>
      <c r="AN1173" t="s">
        <v>2413</v>
      </c>
      <c r="AO1173" t="s">
        <v>13665</v>
      </c>
      <c r="AP1173" t="s">
        <v>7024</v>
      </c>
      <c r="AQ1173" t="s">
        <v>13666</v>
      </c>
      <c r="AT1173" s="184">
        <v>33890</v>
      </c>
      <c r="AU1173" t="s">
        <v>13667</v>
      </c>
      <c r="AV1173">
        <v>25</v>
      </c>
      <c r="AW1173" s="184">
        <v>45128</v>
      </c>
      <c r="AX1173" t="s">
        <v>8104</v>
      </c>
      <c r="AY1173">
        <v>100</v>
      </c>
      <c r="AZ1173" s="184">
        <v>45128</v>
      </c>
      <c r="BA1173" t="s">
        <v>8104</v>
      </c>
      <c r="BB1173">
        <v>100</v>
      </c>
      <c r="BC1173">
        <v>91</v>
      </c>
      <c r="BD1173">
        <v>3940</v>
      </c>
      <c r="BE1173">
        <v>1993</v>
      </c>
      <c r="BF1173">
        <v>58</v>
      </c>
      <c r="BG1173">
        <v>5</v>
      </c>
      <c r="BH1173">
        <v>500</v>
      </c>
      <c r="BI1173">
        <v>30</v>
      </c>
      <c r="BJ1173">
        <v>33</v>
      </c>
      <c r="BK1173">
        <v>15</v>
      </c>
      <c r="BN1173" t="s">
        <v>595</v>
      </c>
      <c r="BP1173" s="184"/>
    </row>
    <row r="1174" spans="1:68">
      <c r="A1174">
        <v>100033443</v>
      </c>
      <c r="B1174">
        <v>8349714</v>
      </c>
      <c r="C1174" t="s">
        <v>7018</v>
      </c>
      <c r="E1174" s="184"/>
      <c r="G1174" s="184"/>
      <c r="I1174" s="184"/>
      <c r="J1174" t="s">
        <v>595</v>
      </c>
      <c r="K1174" s="184">
        <v>37433</v>
      </c>
      <c r="O1174" s="184"/>
      <c r="P1174" t="s">
        <v>7045</v>
      </c>
      <c r="Q1174" t="s">
        <v>7160</v>
      </c>
      <c r="R1174" s="184">
        <v>18233</v>
      </c>
      <c r="S1174">
        <v>74</v>
      </c>
      <c r="U1174" t="s">
        <v>7130</v>
      </c>
      <c r="V1174" t="s">
        <v>2718</v>
      </c>
      <c r="X1174" t="s">
        <v>13660</v>
      </c>
      <c r="Z1174">
        <v>8349714</v>
      </c>
      <c r="AA1174" t="s">
        <v>7031</v>
      </c>
      <c r="AB1174" t="s">
        <v>2898</v>
      </c>
      <c r="AC1174" t="s">
        <v>7268</v>
      </c>
      <c r="AD1174" t="s">
        <v>13660</v>
      </c>
      <c r="AF1174" t="s">
        <v>13661</v>
      </c>
      <c r="AG1174" t="s">
        <v>13662</v>
      </c>
      <c r="AI1174" t="s">
        <v>13663</v>
      </c>
      <c r="AM1174" t="s">
        <v>13664</v>
      </c>
      <c r="AN1174" t="s">
        <v>2413</v>
      </c>
      <c r="AO1174" t="s">
        <v>13665</v>
      </c>
      <c r="AP1174" t="s">
        <v>7024</v>
      </c>
      <c r="AT1174" s="184"/>
      <c r="AW1174" s="184"/>
      <c r="AZ1174" s="184"/>
      <c r="BP1174" s="184"/>
    </row>
    <row r="1175" spans="1:68">
      <c r="A1175">
        <v>8357774</v>
      </c>
      <c r="B1175">
        <v>8357774</v>
      </c>
      <c r="C1175" t="s">
        <v>7018</v>
      </c>
      <c r="D1175" t="s">
        <v>595</v>
      </c>
      <c r="E1175" s="184">
        <v>43647</v>
      </c>
      <c r="G1175" s="184"/>
      <c r="I1175" s="184"/>
      <c r="K1175" s="184"/>
      <c r="O1175" s="184"/>
      <c r="P1175" t="s">
        <v>7045</v>
      </c>
      <c r="Q1175" t="s">
        <v>7383</v>
      </c>
      <c r="R1175" s="184">
        <v>15144</v>
      </c>
      <c r="S1175">
        <v>82</v>
      </c>
      <c r="U1175" t="s">
        <v>7031</v>
      </c>
      <c r="V1175" t="s">
        <v>3511</v>
      </c>
      <c r="W1175" t="s">
        <v>8224</v>
      </c>
      <c r="X1175" t="s">
        <v>3512</v>
      </c>
      <c r="AF1175" t="s">
        <v>13668</v>
      </c>
      <c r="AG1175" t="s">
        <v>3511</v>
      </c>
      <c r="AI1175" t="s">
        <v>13669</v>
      </c>
      <c r="AM1175" t="s">
        <v>3513</v>
      </c>
      <c r="AN1175" t="s">
        <v>2419</v>
      </c>
      <c r="AO1175" t="s">
        <v>13670</v>
      </c>
      <c r="AP1175" t="s">
        <v>7024</v>
      </c>
      <c r="AQ1175" t="s">
        <v>13671</v>
      </c>
      <c r="AR1175" t="s">
        <v>13672</v>
      </c>
      <c r="AT1175" s="184">
        <v>33892</v>
      </c>
      <c r="AU1175" t="s">
        <v>13673</v>
      </c>
      <c r="AV1175">
        <v>20</v>
      </c>
      <c r="AW1175" s="184">
        <v>45345</v>
      </c>
      <c r="AX1175" t="s">
        <v>13674</v>
      </c>
      <c r="AY1175">
        <v>20</v>
      </c>
      <c r="AZ1175" s="184">
        <v>43103</v>
      </c>
      <c r="BA1175" t="s">
        <v>13675</v>
      </c>
      <c r="BB1175">
        <v>50</v>
      </c>
      <c r="BC1175">
        <v>88</v>
      </c>
      <c r="BD1175">
        <v>1651</v>
      </c>
      <c r="BE1175">
        <v>1993</v>
      </c>
      <c r="BF1175">
        <v>54</v>
      </c>
      <c r="BG1175">
        <v>4</v>
      </c>
      <c r="BH1175">
        <v>115</v>
      </c>
      <c r="BI1175">
        <v>29</v>
      </c>
      <c r="BJ1175">
        <v>33</v>
      </c>
      <c r="BK1175">
        <v>18</v>
      </c>
      <c r="BP1175" s="184"/>
    </row>
    <row r="1176" spans="1:68">
      <c r="A1176">
        <v>8365942</v>
      </c>
      <c r="B1176">
        <v>8365942</v>
      </c>
      <c r="C1176" t="s">
        <v>7018</v>
      </c>
      <c r="D1176" t="s">
        <v>595</v>
      </c>
      <c r="E1176" s="184">
        <v>44070</v>
      </c>
      <c r="G1176" s="184"/>
      <c r="I1176" s="184"/>
      <c r="K1176" s="184"/>
      <c r="O1176" s="184"/>
      <c r="P1176" t="s">
        <v>7019</v>
      </c>
      <c r="Q1176" t="s">
        <v>7020</v>
      </c>
      <c r="R1176" s="184">
        <v>13320</v>
      </c>
      <c r="S1176">
        <v>87</v>
      </c>
      <c r="V1176" t="s">
        <v>2992</v>
      </c>
      <c r="W1176" t="s">
        <v>205</v>
      </c>
      <c r="X1176" t="s">
        <v>13676</v>
      </c>
      <c r="Z1176">
        <v>100033497</v>
      </c>
      <c r="AB1176" t="s">
        <v>3098</v>
      </c>
      <c r="AD1176" t="s">
        <v>13676</v>
      </c>
      <c r="AF1176" t="s">
        <v>13677</v>
      </c>
      <c r="AG1176" t="s">
        <v>13678</v>
      </c>
      <c r="AI1176" t="s">
        <v>13679</v>
      </c>
      <c r="AM1176" t="s">
        <v>13680</v>
      </c>
      <c r="AN1176" t="s">
        <v>2112</v>
      </c>
      <c r="AO1176" t="s">
        <v>13681</v>
      </c>
      <c r="AP1176" t="s">
        <v>7024</v>
      </c>
      <c r="AQ1176" t="s">
        <v>13682</v>
      </c>
      <c r="AT1176" s="184">
        <v>33893</v>
      </c>
      <c r="AU1176" t="s">
        <v>13673</v>
      </c>
      <c r="AV1176">
        <v>25</v>
      </c>
      <c r="AW1176" s="184">
        <v>44769</v>
      </c>
      <c r="AX1176" t="s">
        <v>13683</v>
      </c>
      <c r="AY1176">
        <v>60</v>
      </c>
      <c r="AZ1176" s="184">
        <v>44769</v>
      </c>
      <c r="BA1176" t="s">
        <v>13683</v>
      </c>
      <c r="BB1176">
        <v>60</v>
      </c>
      <c r="BC1176">
        <v>43</v>
      </c>
      <c r="BD1176">
        <v>763</v>
      </c>
      <c r="BE1176">
        <v>1993</v>
      </c>
      <c r="BF1176">
        <v>20</v>
      </c>
      <c r="BG1176">
        <v>1</v>
      </c>
      <c r="BH1176">
        <v>60</v>
      </c>
      <c r="BI1176">
        <v>14</v>
      </c>
      <c r="BJ1176">
        <v>33</v>
      </c>
      <c r="BK1176">
        <v>3</v>
      </c>
      <c r="BP1176" s="184"/>
    </row>
    <row r="1177" spans="1:68">
      <c r="A1177">
        <v>100033497</v>
      </c>
      <c r="B1177">
        <v>8365942</v>
      </c>
      <c r="C1177" t="s">
        <v>7018</v>
      </c>
      <c r="D1177" t="s">
        <v>595</v>
      </c>
      <c r="E1177" s="184">
        <v>44070</v>
      </c>
      <c r="G1177" s="184"/>
      <c r="I1177" s="184"/>
      <c r="K1177" s="184"/>
      <c r="O1177" s="184"/>
      <c r="P1177" t="s">
        <v>7019</v>
      </c>
      <c r="Q1177" t="s">
        <v>7020</v>
      </c>
      <c r="R1177" s="184">
        <v>13818</v>
      </c>
      <c r="S1177">
        <v>86</v>
      </c>
      <c r="V1177" t="s">
        <v>3098</v>
      </c>
      <c r="X1177" t="s">
        <v>13676</v>
      </c>
      <c r="Z1177">
        <v>8365942</v>
      </c>
      <c r="AB1177" t="s">
        <v>2992</v>
      </c>
      <c r="AC1177" t="s">
        <v>205</v>
      </c>
      <c r="AD1177" t="s">
        <v>13676</v>
      </c>
      <c r="AF1177" t="s">
        <v>13677</v>
      </c>
      <c r="AG1177" t="s">
        <v>13678</v>
      </c>
      <c r="AI1177" t="s">
        <v>13679</v>
      </c>
      <c r="AM1177" t="s">
        <v>13680</v>
      </c>
      <c r="AN1177" t="s">
        <v>2112</v>
      </c>
      <c r="AO1177" t="s">
        <v>13681</v>
      </c>
      <c r="AP1177" t="s">
        <v>7024</v>
      </c>
      <c r="AQ1177" t="s">
        <v>13684</v>
      </c>
      <c r="AT1177" s="184"/>
      <c r="AW1177" s="184"/>
      <c r="AZ1177" s="184"/>
      <c r="BP1177" s="184"/>
    </row>
    <row r="1178" spans="1:68">
      <c r="A1178">
        <v>100033498</v>
      </c>
      <c r="B1178">
        <v>8365942</v>
      </c>
      <c r="C1178" t="s">
        <v>7018</v>
      </c>
      <c r="D1178" t="s">
        <v>595</v>
      </c>
      <c r="E1178" s="184">
        <v>44070</v>
      </c>
      <c r="I1178" s="184"/>
      <c r="K1178" s="184"/>
      <c r="O1178" s="184"/>
      <c r="P1178" t="s">
        <v>7019</v>
      </c>
      <c r="Q1178" t="s">
        <v>7020</v>
      </c>
      <c r="R1178" s="184"/>
      <c r="U1178" t="s">
        <v>7076</v>
      </c>
      <c r="V1178" t="s">
        <v>13685</v>
      </c>
      <c r="X1178" t="s">
        <v>13676</v>
      </c>
      <c r="Z1178">
        <v>8365942</v>
      </c>
      <c r="AB1178" t="s">
        <v>2992</v>
      </c>
      <c r="AC1178" t="s">
        <v>205</v>
      </c>
      <c r="AD1178" t="s">
        <v>13676</v>
      </c>
      <c r="AF1178" t="s">
        <v>13677</v>
      </c>
      <c r="AG1178" t="s">
        <v>13678</v>
      </c>
      <c r="AI1178" t="s">
        <v>13679</v>
      </c>
      <c r="AM1178" t="s">
        <v>13680</v>
      </c>
      <c r="AN1178" t="s">
        <v>2112</v>
      </c>
      <c r="AO1178" t="s">
        <v>13681</v>
      </c>
      <c r="AP1178" t="s">
        <v>7024</v>
      </c>
      <c r="AQ1178" t="s">
        <v>13686</v>
      </c>
      <c r="AT1178" s="184"/>
      <c r="AW1178" s="184"/>
      <c r="AZ1178" s="184"/>
      <c r="BP1178" s="184"/>
    </row>
    <row r="1179" spans="1:68">
      <c r="A1179">
        <v>8385288</v>
      </c>
      <c r="B1179">
        <v>8385288</v>
      </c>
      <c r="C1179" t="s">
        <v>7018</v>
      </c>
      <c r="D1179" t="s">
        <v>595</v>
      </c>
      <c r="E1179" s="184">
        <v>44302</v>
      </c>
      <c r="G1179" s="184"/>
      <c r="H1179" t="s">
        <v>595</v>
      </c>
      <c r="I1179" s="184">
        <v>44302</v>
      </c>
      <c r="K1179" s="184"/>
      <c r="O1179" s="184"/>
      <c r="P1179" t="s">
        <v>7045</v>
      </c>
      <c r="Q1179" t="s">
        <v>7160</v>
      </c>
      <c r="R1179" s="184">
        <v>19421</v>
      </c>
      <c r="S1179">
        <v>71</v>
      </c>
      <c r="V1179" t="s">
        <v>11075</v>
      </c>
      <c r="W1179" t="s">
        <v>4327</v>
      </c>
      <c r="X1179" t="s">
        <v>5072</v>
      </c>
      <c r="Z1179">
        <v>100605233</v>
      </c>
      <c r="AB1179" t="s">
        <v>2832</v>
      </c>
      <c r="AC1179" t="s">
        <v>7046</v>
      </c>
      <c r="AD1179" t="s">
        <v>5072</v>
      </c>
      <c r="AF1179" t="s">
        <v>13687</v>
      </c>
      <c r="AG1179" t="s">
        <v>13688</v>
      </c>
      <c r="AI1179" t="s">
        <v>13689</v>
      </c>
      <c r="AM1179" t="s">
        <v>13690</v>
      </c>
      <c r="AN1179" t="s">
        <v>2395</v>
      </c>
      <c r="AO1179" t="s">
        <v>13691</v>
      </c>
      <c r="AP1179" t="s">
        <v>7024</v>
      </c>
      <c r="AQ1179" t="s">
        <v>13692</v>
      </c>
      <c r="AR1179" t="s">
        <v>13693</v>
      </c>
      <c r="AT1179" s="184">
        <v>33899</v>
      </c>
      <c r="AU1179" t="s">
        <v>13024</v>
      </c>
      <c r="AV1179">
        <v>19.95</v>
      </c>
      <c r="AW1179" s="184">
        <v>44967</v>
      </c>
      <c r="AX1179" t="s">
        <v>13694</v>
      </c>
      <c r="AY1179">
        <v>20</v>
      </c>
      <c r="AZ1179" s="184">
        <v>39006</v>
      </c>
      <c r="BA1179" t="s">
        <v>13695</v>
      </c>
      <c r="BB1179">
        <v>60</v>
      </c>
      <c r="BC1179">
        <v>37</v>
      </c>
      <c r="BD1179">
        <v>374.92</v>
      </c>
      <c r="BE1179">
        <v>1993</v>
      </c>
      <c r="BF1179">
        <v>15</v>
      </c>
      <c r="BG1179">
        <v>1</v>
      </c>
      <c r="BH1179">
        <v>20</v>
      </c>
      <c r="BI1179">
        <v>12</v>
      </c>
      <c r="BJ1179">
        <v>33</v>
      </c>
      <c r="BK1179">
        <v>3</v>
      </c>
      <c r="BP1179" s="184"/>
    </row>
    <row r="1180" spans="1:68">
      <c r="A1180">
        <v>100605233</v>
      </c>
      <c r="B1180">
        <v>8385288</v>
      </c>
      <c r="C1180" t="s">
        <v>7018</v>
      </c>
      <c r="D1180" t="s">
        <v>595</v>
      </c>
      <c r="E1180" s="184">
        <v>44302</v>
      </c>
      <c r="G1180" s="184"/>
      <c r="H1180" t="s">
        <v>595</v>
      </c>
      <c r="I1180" s="184">
        <v>44302</v>
      </c>
      <c r="K1180" s="184"/>
      <c r="O1180" s="184"/>
      <c r="P1180" t="s">
        <v>7045</v>
      </c>
      <c r="Q1180" t="s">
        <v>7160</v>
      </c>
      <c r="R1180" s="184">
        <v>22858</v>
      </c>
      <c r="S1180">
        <v>61</v>
      </c>
      <c r="V1180" t="s">
        <v>2832</v>
      </c>
      <c r="W1180" t="s">
        <v>7046</v>
      </c>
      <c r="X1180" t="s">
        <v>5072</v>
      </c>
      <c r="Z1180">
        <v>8385288</v>
      </c>
      <c r="AB1180" t="s">
        <v>11075</v>
      </c>
      <c r="AC1180" t="s">
        <v>4327</v>
      </c>
      <c r="AD1180" t="s">
        <v>5072</v>
      </c>
      <c r="AF1180" t="s">
        <v>13687</v>
      </c>
      <c r="AG1180" t="s">
        <v>13688</v>
      </c>
      <c r="AI1180" t="s">
        <v>13689</v>
      </c>
      <c r="AM1180" t="s">
        <v>13690</v>
      </c>
      <c r="AN1180" t="s">
        <v>2395</v>
      </c>
      <c r="AO1180" t="s">
        <v>13691</v>
      </c>
      <c r="AP1180" t="s">
        <v>7024</v>
      </c>
      <c r="AQ1180" t="s">
        <v>13696</v>
      </c>
      <c r="AT1180" s="184"/>
      <c r="AW1180" s="184"/>
      <c r="AZ1180" s="184"/>
      <c r="BP1180" s="184"/>
    </row>
    <row r="1181" spans="1:68">
      <c r="A1181">
        <v>8399339</v>
      </c>
      <c r="B1181">
        <v>8399339</v>
      </c>
      <c r="C1181" t="s">
        <v>7018</v>
      </c>
      <c r="D1181" t="s">
        <v>595</v>
      </c>
      <c r="E1181" s="184">
        <v>44167</v>
      </c>
      <c r="G1181" s="184"/>
      <c r="I1181" s="184"/>
      <c r="K1181" s="184"/>
      <c r="O1181" s="184"/>
      <c r="P1181" t="s">
        <v>7045</v>
      </c>
      <c r="Q1181" t="s">
        <v>7160</v>
      </c>
      <c r="R1181" s="184">
        <v>17491</v>
      </c>
      <c r="S1181">
        <v>76</v>
      </c>
      <c r="U1181" t="s">
        <v>13697</v>
      </c>
      <c r="V1181" t="s">
        <v>2832</v>
      </c>
      <c r="W1181" t="s">
        <v>3951</v>
      </c>
      <c r="X1181" t="s">
        <v>13698</v>
      </c>
      <c r="Y1181" t="s">
        <v>7431</v>
      </c>
      <c r="AF1181" t="s">
        <v>13699</v>
      </c>
      <c r="AG1181" t="s">
        <v>2832</v>
      </c>
      <c r="AI1181" t="s">
        <v>13700</v>
      </c>
      <c r="AM1181" t="s">
        <v>13701</v>
      </c>
      <c r="AN1181" t="s">
        <v>2176</v>
      </c>
      <c r="AO1181" t="s">
        <v>13702</v>
      </c>
      <c r="AP1181" t="s">
        <v>7024</v>
      </c>
      <c r="AQ1181" t="s">
        <v>13703</v>
      </c>
      <c r="AT1181" s="184">
        <v>33896</v>
      </c>
      <c r="AU1181" t="s">
        <v>13704</v>
      </c>
      <c r="AV1181">
        <v>15</v>
      </c>
      <c r="AW1181" s="184">
        <v>45154</v>
      </c>
      <c r="AX1181" t="s">
        <v>8299</v>
      </c>
      <c r="AY1181">
        <v>100</v>
      </c>
      <c r="AZ1181" s="184">
        <v>45154</v>
      </c>
      <c r="BA1181" t="s">
        <v>8299</v>
      </c>
      <c r="BB1181">
        <v>100</v>
      </c>
      <c r="BC1181">
        <v>61</v>
      </c>
      <c r="BD1181">
        <v>1085</v>
      </c>
      <c r="BE1181">
        <v>1993</v>
      </c>
      <c r="BF1181">
        <v>25</v>
      </c>
      <c r="BG1181">
        <v>2</v>
      </c>
      <c r="BH1181">
        <v>200</v>
      </c>
      <c r="BI1181">
        <v>20</v>
      </c>
      <c r="BJ1181">
        <v>33</v>
      </c>
      <c r="BK1181">
        <v>6</v>
      </c>
      <c r="BP1181" s="184"/>
    </row>
    <row r="1182" spans="1:68">
      <c r="A1182">
        <v>8413254</v>
      </c>
      <c r="B1182">
        <v>8413254</v>
      </c>
      <c r="C1182" t="s">
        <v>7018</v>
      </c>
      <c r="E1182" s="184"/>
      <c r="G1182" s="184"/>
      <c r="I1182" s="184"/>
      <c r="J1182" t="s">
        <v>595</v>
      </c>
      <c r="K1182" s="184">
        <v>45176</v>
      </c>
      <c r="O1182" s="184"/>
      <c r="P1182" t="s">
        <v>7045</v>
      </c>
      <c r="Q1182" t="s">
        <v>7262</v>
      </c>
      <c r="R1182" s="184">
        <v>23433</v>
      </c>
      <c r="S1182">
        <v>60</v>
      </c>
      <c r="U1182" t="s">
        <v>7076</v>
      </c>
      <c r="V1182" t="s">
        <v>3574</v>
      </c>
      <c r="X1182" t="s">
        <v>13705</v>
      </c>
      <c r="AF1182" t="s">
        <v>13706</v>
      </c>
      <c r="AG1182" t="s">
        <v>3574</v>
      </c>
      <c r="AI1182" t="s">
        <v>13707</v>
      </c>
      <c r="AM1182" t="s">
        <v>5619</v>
      </c>
      <c r="AN1182" t="s">
        <v>2106</v>
      </c>
      <c r="AO1182" t="s">
        <v>13708</v>
      </c>
      <c r="AP1182" t="s">
        <v>7024</v>
      </c>
      <c r="AT1182" s="184">
        <v>33896</v>
      </c>
      <c r="AU1182" t="s">
        <v>13542</v>
      </c>
      <c r="AV1182">
        <v>15</v>
      </c>
      <c r="AW1182" s="184">
        <v>45308</v>
      </c>
      <c r="AX1182" t="s">
        <v>13134</v>
      </c>
      <c r="AY1182">
        <v>50</v>
      </c>
      <c r="AZ1182" s="184">
        <v>43112</v>
      </c>
      <c r="BA1182" t="s">
        <v>13709</v>
      </c>
      <c r="BB1182">
        <v>60</v>
      </c>
      <c r="BC1182">
        <v>85</v>
      </c>
      <c r="BD1182">
        <v>1179</v>
      </c>
      <c r="BE1182">
        <v>1993</v>
      </c>
      <c r="BF1182">
        <v>50</v>
      </c>
      <c r="BG1182">
        <v>2</v>
      </c>
      <c r="BH1182">
        <v>100</v>
      </c>
      <c r="BI1182">
        <v>28</v>
      </c>
      <c r="BJ1182">
        <v>33</v>
      </c>
      <c r="BK1182">
        <v>9</v>
      </c>
      <c r="BP1182" s="184"/>
    </row>
    <row r="1183" spans="1:68">
      <c r="A1183">
        <v>8418469</v>
      </c>
      <c r="B1183">
        <v>8418469</v>
      </c>
      <c r="C1183" t="s">
        <v>7018</v>
      </c>
      <c r="D1183" t="s">
        <v>595</v>
      </c>
      <c r="E1183" s="184">
        <v>43970</v>
      </c>
      <c r="G1183" s="184"/>
      <c r="I1183" s="184"/>
      <c r="K1183" s="184"/>
      <c r="O1183" s="184"/>
      <c r="P1183" t="s">
        <v>7045</v>
      </c>
      <c r="Q1183" t="s">
        <v>7020</v>
      </c>
      <c r="R1183" s="184">
        <v>20880</v>
      </c>
      <c r="S1183">
        <v>67</v>
      </c>
      <c r="U1183" t="s">
        <v>7031</v>
      </c>
      <c r="V1183" t="s">
        <v>2541</v>
      </c>
      <c r="W1183" t="s">
        <v>4139</v>
      </c>
      <c r="X1183" t="s">
        <v>13710</v>
      </c>
      <c r="Z1183">
        <v>100033614</v>
      </c>
      <c r="AB1183" t="s">
        <v>2718</v>
      </c>
      <c r="AD1183" t="s">
        <v>13710</v>
      </c>
      <c r="AF1183" t="s">
        <v>13711</v>
      </c>
      <c r="AG1183" t="s">
        <v>13712</v>
      </c>
      <c r="AI1183" t="s">
        <v>13713</v>
      </c>
      <c r="AM1183" t="s">
        <v>13714</v>
      </c>
      <c r="AN1183" t="s">
        <v>2129</v>
      </c>
      <c r="AO1183" t="s">
        <v>13715</v>
      </c>
      <c r="AP1183" t="s">
        <v>7024</v>
      </c>
      <c r="AQ1183" t="s">
        <v>13716</v>
      </c>
      <c r="AR1183" t="s">
        <v>13717</v>
      </c>
      <c r="AT1183" s="184">
        <v>33897</v>
      </c>
      <c r="AU1183" t="s">
        <v>13718</v>
      </c>
      <c r="AV1183">
        <v>25</v>
      </c>
      <c r="AW1183" s="184">
        <v>45260</v>
      </c>
      <c r="AX1183" t="s">
        <v>11761</v>
      </c>
      <c r="AY1183">
        <v>100</v>
      </c>
      <c r="AZ1183" s="184">
        <v>45260</v>
      </c>
      <c r="BA1183" t="s">
        <v>11761</v>
      </c>
      <c r="BB1183">
        <v>100</v>
      </c>
      <c r="BC1183">
        <v>94</v>
      </c>
      <c r="BD1183">
        <v>2265</v>
      </c>
      <c r="BE1183">
        <v>1993</v>
      </c>
      <c r="BF1183">
        <v>32</v>
      </c>
      <c r="BG1183">
        <v>2</v>
      </c>
      <c r="BH1183">
        <v>200</v>
      </c>
      <c r="BI1183">
        <v>31</v>
      </c>
      <c r="BJ1183">
        <v>33</v>
      </c>
      <c r="BK1183">
        <v>22</v>
      </c>
      <c r="BN1183" t="s">
        <v>595</v>
      </c>
      <c r="BP1183" s="184"/>
    </row>
    <row r="1184" spans="1:68">
      <c r="A1184">
        <v>100033614</v>
      </c>
      <c r="B1184">
        <v>8418469</v>
      </c>
      <c r="C1184" t="s">
        <v>7018</v>
      </c>
      <c r="D1184" t="s">
        <v>595</v>
      </c>
      <c r="E1184" s="184">
        <v>43970</v>
      </c>
      <c r="G1184" s="184"/>
      <c r="I1184" s="184"/>
      <c r="K1184" s="184"/>
      <c r="O1184" s="184"/>
      <c r="P1184" t="s">
        <v>7045</v>
      </c>
      <c r="Q1184" t="s">
        <v>7020</v>
      </c>
      <c r="R1184" s="184">
        <v>20668</v>
      </c>
      <c r="S1184">
        <v>67</v>
      </c>
      <c r="V1184" t="s">
        <v>2718</v>
      </c>
      <c r="X1184" t="s">
        <v>13710</v>
      </c>
      <c r="Z1184">
        <v>8418469</v>
      </c>
      <c r="AA1184" t="s">
        <v>7031</v>
      </c>
      <c r="AB1184" t="s">
        <v>2541</v>
      </c>
      <c r="AC1184" t="s">
        <v>4139</v>
      </c>
      <c r="AD1184" t="s">
        <v>13710</v>
      </c>
      <c r="AF1184" t="s">
        <v>13711</v>
      </c>
      <c r="AG1184" t="s">
        <v>13712</v>
      </c>
      <c r="AI1184" t="s">
        <v>13713</v>
      </c>
      <c r="AM1184" t="s">
        <v>13714</v>
      </c>
      <c r="AN1184" t="s">
        <v>2129</v>
      </c>
      <c r="AO1184" t="s">
        <v>13715</v>
      </c>
      <c r="AP1184" t="s">
        <v>7024</v>
      </c>
      <c r="AT1184" s="184"/>
      <c r="AW1184" s="184"/>
      <c r="AZ1184" s="184"/>
      <c r="BP1184" s="184"/>
    </row>
    <row r="1185" spans="1:68">
      <c r="A1185">
        <v>8423337</v>
      </c>
      <c r="B1185">
        <v>8423337</v>
      </c>
      <c r="C1185" t="s">
        <v>7018</v>
      </c>
      <c r="E1185" s="184"/>
      <c r="G1185" s="184"/>
      <c r="I1185" s="184"/>
      <c r="J1185" t="s">
        <v>595</v>
      </c>
      <c r="K1185" s="184">
        <v>45411</v>
      </c>
      <c r="O1185" s="184"/>
      <c r="P1185" t="s">
        <v>7045</v>
      </c>
      <c r="Q1185" t="s">
        <v>7160</v>
      </c>
      <c r="R1185" s="184">
        <v>14950</v>
      </c>
      <c r="S1185">
        <v>83</v>
      </c>
      <c r="U1185" t="s">
        <v>7031</v>
      </c>
      <c r="V1185" t="s">
        <v>3632</v>
      </c>
      <c r="W1185" t="s">
        <v>4152</v>
      </c>
      <c r="X1185" t="s">
        <v>13719</v>
      </c>
      <c r="AF1185" t="s">
        <v>13720</v>
      </c>
      <c r="AG1185" t="s">
        <v>3632</v>
      </c>
      <c r="AI1185" t="s">
        <v>13721</v>
      </c>
      <c r="AM1185" t="s">
        <v>4966</v>
      </c>
      <c r="AN1185" t="s">
        <v>2395</v>
      </c>
      <c r="AO1185" t="s">
        <v>13722</v>
      </c>
      <c r="AP1185" t="s">
        <v>7024</v>
      </c>
      <c r="AQ1185" t="s">
        <v>13723</v>
      </c>
      <c r="AT1185" s="184">
        <v>33899</v>
      </c>
      <c r="AU1185" t="s">
        <v>13718</v>
      </c>
      <c r="AV1185">
        <v>15</v>
      </c>
      <c r="AW1185" s="184">
        <v>45274</v>
      </c>
      <c r="AX1185" t="s">
        <v>13724</v>
      </c>
      <c r="AY1185">
        <v>500</v>
      </c>
      <c r="AZ1185" s="184">
        <v>45274</v>
      </c>
      <c r="BA1185" t="s">
        <v>13724</v>
      </c>
      <c r="BB1185">
        <v>500</v>
      </c>
      <c r="BC1185">
        <v>94</v>
      </c>
      <c r="BD1185">
        <v>10110</v>
      </c>
      <c r="BE1185">
        <v>1993</v>
      </c>
      <c r="BF1185">
        <v>47</v>
      </c>
      <c r="BG1185">
        <v>2</v>
      </c>
      <c r="BH1185">
        <v>1000</v>
      </c>
      <c r="BI1185">
        <v>31</v>
      </c>
      <c r="BJ1185">
        <v>33</v>
      </c>
      <c r="BK1185">
        <v>30</v>
      </c>
      <c r="BP1185" s="184"/>
    </row>
    <row r="1186" spans="1:68">
      <c r="A1186">
        <v>8425522</v>
      </c>
      <c r="B1186">
        <v>8425522</v>
      </c>
      <c r="C1186" t="s">
        <v>7018</v>
      </c>
      <c r="D1186" t="s">
        <v>595</v>
      </c>
      <c r="E1186" s="184">
        <v>44104</v>
      </c>
      <c r="G1186" s="184"/>
      <c r="K1186" s="184"/>
      <c r="O1186" s="184"/>
      <c r="P1186" t="s">
        <v>7045</v>
      </c>
      <c r="Q1186" t="s">
        <v>7383</v>
      </c>
      <c r="R1186" s="184">
        <v>15704</v>
      </c>
      <c r="S1186">
        <v>81</v>
      </c>
      <c r="U1186" t="s">
        <v>7031</v>
      </c>
      <c r="V1186" t="s">
        <v>2665</v>
      </c>
      <c r="W1186" t="s">
        <v>7588</v>
      </c>
      <c r="X1186" t="s">
        <v>5911</v>
      </c>
      <c r="AF1186" t="s">
        <v>13725</v>
      </c>
      <c r="AG1186" t="s">
        <v>2665</v>
      </c>
      <c r="AI1186" t="s">
        <v>13726</v>
      </c>
      <c r="AJ1186" t="s">
        <v>13727</v>
      </c>
      <c r="AM1186" t="s">
        <v>4101</v>
      </c>
      <c r="AN1186" t="s">
        <v>2059</v>
      </c>
      <c r="AO1186" t="s">
        <v>13728</v>
      </c>
      <c r="AP1186" t="s">
        <v>7024</v>
      </c>
      <c r="AQ1186" t="s">
        <v>13729</v>
      </c>
      <c r="AT1186" s="184">
        <v>33899</v>
      </c>
      <c r="AU1186" t="s">
        <v>13489</v>
      </c>
      <c r="AV1186">
        <v>25</v>
      </c>
      <c r="AW1186" s="184">
        <v>45281</v>
      </c>
      <c r="AX1186" t="s">
        <v>13730</v>
      </c>
      <c r="AY1186">
        <v>50</v>
      </c>
      <c r="AZ1186" s="184">
        <v>39489</v>
      </c>
      <c r="BA1186" t="s">
        <v>13731</v>
      </c>
      <c r="BB1186">
        <v>87</v>
      </c>
      <c r="BC1186">
        <v>97</v>
      </c>
      <c r="BD1186">
        <v>3179</v>
      </c>
      <c r="BE1186">
        <v>1993</v>
      </c>
      <c r="BF1186">
        <v>63</v>
      </c>
      <c r="BG1186">
        <v>3</v>
      </c>
      <c r="BH1186">
        <v>200</v>
      </c>
      <c r="BI1186">
        <v>32</v>
      </c>
      <c r="BJ1186">
        <v>33</v>
      </c>
      <c r="BK1186">
        <v>32</v>
      </c>
      <c r="BP1186" s="184"/>
    </row>
    <row r="1187" spans="1:68">
      <c r="A1187">
        <v>8444697</v>
      </c>
      <c r="B1187">
        <v>8444697</v>
      </c>
      <c r="C1187" t="s">
        <v>7018</v>
      </c>
      <c r="D1187" t="s">
        <v>595</v>
      </c>
      <c r="E1187" s="184">
        <v>44104</v>
      </c>
      <c r="G1187" s="184"/>
      <c r="I1187" s="184"/>
      <c r="K1187" s="184"/>
      <c r="O1187" s="184"/>
      <c r="P1187" t="s">
        <v>7029</v>
      </c>
      <c r="Q1187" t="s">
        <v>7262</v>
      </c>
      <c r="R1187" s="184">
        <v>12833</v>
      </c>
      <c r="S1187">
        <v>89</v>
      </c>
      <c r="U1187" t="s">
        <v>7031</v>
      </c>
      <c r="V1187" t="s">
        <v>2511</v>
      </c>
      <c r="X1187" t="s">
        <v>13732</v>
      </c>
      <c r="Z1187">
        <v>100033675</v>
      </c>
      <c r="AA1187" t="s">
        <v>7130</v>
      </c>
      <c r="AB1187" t="s">
        <v>2609</v>
      </c>
      <c r="AD1187" t="s">
        <v>13732</v>
      </c>
      <c r="AF1187" t="s">
        <v>13733</v>
      </c>
      <c r="AG1187" t="s">
        <v>13734</v>
      </c>
      <c r="AI1187" t="s">
        <v>13735</v>
      </c>
      <c r="AJ1187" t="s">
        <v>13736</v>
      </c>
      <c r="AM1187" t="s">
        <v>13737</v>
      </c>
      <c r="AN1187" t="s">
        <v>2106</v>
      </c>
      <c r="AO1187" t="s">
        <v>13738</v>
      </c>
      <c r="AP1187" t="s">
        <v>7024</v>
      </c>
      <c r="AQ1187" t="s">
        <v>13739</v>
      </c>
      <c r="AR1187" t="s">
        <v>13740</v>
      </c>
      <c r="AT1187" s="184">
        <v>33904</v>
      </c>
      <c r="AU1187" t="s">
        <v>13741</v>
      </c>
      <c r="AV1187">
        <v>115</v>
      </c>
      <c r="AW1187" s="184">
        <v>45278</v>
      </c>
      <c r="AX1187" t="s">
        <v>7749</v>
      </c>
      <c r="AY1187">
        <v>3500</v>
      </c>
      <c r="AZ1187" s="184">
        <v>38586</v>
      </c>
      <c r="BA1187" t="s">
        <v>13742</v>
      </c>
      <c r="BB1187">
        <v>5000</v>
      </c>
      <c r="BC1187">
        <v>79</v>
      </c>
      <c r="BD1187">
        <v>57565</v>
      </c>
      <c r="BE1187">
        <v>1993</v>
      </c>
      <c r="BF1187">
        <v>28</v>
      </c>
      <c r="BG1187">
        <v>2</v>
      </c>
      <c r="BH1187">
        <v>7000</v>
      </c>
      <c r="BI1187">
        <v>26</v>
      </c>
      <c r="BJ1187">
        <v>33</v>
      </c>
      <c r="BK1187">
        <v>11</v>
      </c>
      <c r="BP1187" s="184"/>
    </row>
    <row r="1188" spans="1:68">
      <c r="A1188">
        <v>100033675</v>
      </c>
      <c r="B1188">
        <v>8444697</v>
      </c>
      <c r="C1188" t="s">
        <v>7018</v>
      </c>
      <c r="D1188" t="s">
        <v>595</v>
      </c>
      <c r="E1188" s="184">
        <v>44104</v>
      </c>
      <c r="G1188" s="184"/>
      <c r="I1188" s="184"/>
      <c r="K1188" s="184"/>
      <c r="O1188" s="184"/>
      <c r="P1188" t="s">
        <v>7029</v>
      </c>
      <c r="Q1188" t="s">
        <v>7262</v>
      </c>
      <c r="R1188" s="184">
        <v>12015</v>
      </c>
      <c r="S1188">
        <v>91</v>
      </c>
      <c r="U1188" t="s">
        <v>7130</v>
      </c>
      <c r="V1188" t="s">
        <v>2609</v>
      </c>
      <c r="X1188" t="s">
        <v>13732</v>
      </c>
      <c r="Z1188">
        <v>8444697</v>
      </c>
      <c r="AA1188" t="s">
        <v>7031</v>
      </c>
      <c r="AB1188" t="s">
        <v>2511</v>
      </c>
      <c r="AD1188" t="s">
        <v>13732</v>
      </c>
      <c r="AF1188" t="s">
        <v>13733</v>
      </c>
      <c r="AG1188" t="s">
        <v>13734</v>
      </c>
      <c r="AI1188" t="s">
        <v>13735</v>
      </c>
      <c r="AJ1188" t="s">
        <v>13736</v>
      </c>
      <c r="AM1188" t="s">
        <v>13737</v>
      </c>
      <c r="AN1188" t="s">
        <v>2106</v>
      </c>
      <c r="AO1188" t="s">
        <v>13738</v>
      </c>
      <c r="AP1188" t="s">
        <v>7024</v>
      </c>
      <c r="AQ1188" t="s">
        <v>13743</v>
      </c>
      <c r="AT1188" s="184"/>
      <c r="AW1188" s="184"/>
      <c r="AZ1188" s="184"/>
      <c r="BP1188" s="184"/>
    </row>
    <row r="1189" spans="1:68">
      <c r="A1189">
        <v>8453268</v>
      </c>
      <c r="B1189">
        <v>8453268</v>
      </c>
      <c r="C1189" t="s">
        <v>7018</v>
      </c>
      <c r="E1189" s="184"/>
      <c r="G1189" s="184"/>
      <c r="I1189" s="184"/>
      <c r="K1189" s="184"/>
      <c r="N1189" t="s">
        <v>595</v>
      </c>
      <c r="O1189" s="184">
        <v>39622</v>
      </c>
      <c r="P1189" t="s">
        <v>7045</v>
      </c>
      <c r="Q1189" t="s">
        <v>7383</v>
      </c>
      <c r="R1189" s="184">
        <v>9103</v>
      </c>
      <c r="S1189">
        <v>99</v>
      </c>
      <c r="U1189" t="s">
        <v>7031</v>
      </c>
      <c r="V1189" t="s">
        <v>3246</v>
      </c>
      <c r="W1189" t="s">
        <v>3226</v>
      </c>
      <c r="X1189" t="s">
        <v>5880</v>
      </c>
      <c r="AF1189" t="s">
        <v>13744</v>
      </c>
      <c r="AG1189" t="s">
        <v>3246</v>
      </c>
      <c r="AI1189" t="s">
        <v>13745</v>
      </c>
      <c r="AM1189" t="s">
        <v>11536</v>
      </c>
      <c r="AN1189" t="s">
        <v>2313</v>
      </c>
      <c r="AO1189" t="s">
        <v>13746</v>
      </c>
      <c r="AP1189" t="s">
        <v>7024</v>
      </c>
      <c r="AT1189" s="184">
        <v>33903</v>
      </c>
      <c r="AU1189" t="s">
        <v>13747</v>
      </c>
      <c r="AV1189">
        <v>15</v>
      </c>
      <c r="AW1189" s="184">
        <v>43822</v>
      </c>
      <c r="AX1189" t="s">
        <v>13748</v>
      </c>
      <c r="AY1189">
        <v>100</v>
      </c>
      <c r="AZ1189" s="184">
        <v>39622</v>
      </c>
      <c r="BA1189" t="s">
        <v>8812</v>
      </c>
      <c r="BB1189">
        <v>9812</v>
      </c>
      <c r="BC1189">
        <v>46</v>
      </c>
      <c r="BD1189">
        <v>15997</v>
      </c>
      <c r="BE1189">
        <v>1993</v>
      </c>
      <c r="BF1189">
        <v>59</v>
      </c>
      <c r="BI1189">
        <v>15</v>
      </c>
      <c r="BJ1189">
        <v>33</v>
      </c>
      <c r="BK1189">
        <v>14</v>
      </c>
      <c r="BP1189" s="184"/>
    </row>
    <row r="1190" spans="1:68">
      <c r="A1190">
        <v>8461238</v>
      </c>
      <c r="B1190">
        <v>8461238</v>
      </c>
      <c r="C1190" t="s">
        <v>7018</v>
      </c>
      <c r="E1190" s="184"/>
      <c r="G1190" s="184"/>
      <c r="I1190" s="184"/>
      <c r="K1190" s="184"/>
      <c r="N1190" t="s">
        <v>595</v>
      </c>
      <c r="O1190" s="184">
        <v>37471</v>
      </c>
      <c r="P1190" t="s">
        <v>7045</v>
      </c>
      <c r="Q1190" t="s">
        <v>7030</v>
      </c>
      <c r="R1190" s="184">
        <v>11550</v>
      </c>
      <c r="S1190">
        <v>92</v>
      </c>
      <c r="U1190" t="s">
        <v>7076</v>
      </c>
      <c r="V1190" t="s">
        <v>5657</v>
      </c>
      <c r="X1190" t="s">
        <v>5658</v>
      </c>
      <c r="Z1190">
        <v>100180352</v>
      </c>
      <c r="AA1190" t="s">
        <v>7031</v>
      </c>
      <c r="AB1190" t="s">
        <v>2551</v>
      </c>
      <c r="AC1190" t="s">
        <v>7046</v>
      </c>
      <c r="AD1190" t="s">
        <v>13749</v>
      </c>
      <c r="AF1190" t="s">
        <v>13750</v>
      </c>
      <c r="AG1190" t="s">
        <v>13751</v>
      </c>
      <c r="AI1190" t="s">
        <v>13752</v>
      </c>
      <c r="AM1190" t="s">
        <v>5659</v>
      </c>
      <c r="AN1190" t="s">
        <v>2089</v>
      </c>
      <c r="AO1190" t="s">
        <v>13753</v>
      </c>
      <c r="AP1190" t="s">
        <v>7024</v>
      </c>
      <c r="AT1190" s="184">
        <v>33907</v>
      </c>
      <c r="AU1190" t="s">
        <v>13754</v>
      </c>
      <c r="AV1190">
        <v>25</v>
      </c>
      <c r="AW1190" s="184">
        <v>39640</v>
      </c>
      <c r="AX1190" t="s">
        <v>13755</v>
      </c>
      <c r="AY1190">
        <v>50</v>
      </c>
      <c r="AZ1190" s="184">
        <v>37471</v>
      </c>
      <c r="BA1190" t="s">
        <v>7180</v>
      </c>
      <c r="BB1190">
        <v>25000</v>
      </c>
      <c r="BC1190">
        <v>37</v>
      </c>
      <c r="BD1190">
        <v>25900</v>
      </c>
      <c r="BE1190">
        <v>1993</v>
      </c>
      <c r="BF1190">
        <v>19</v>
      </c>
      <c r="BI1190">
        <v>12</v>
      </c>
      <c r="BJ1190">
        <v>33</v>
      </c>
      <c r="BK1190">
        <v>5</v>
      </c>
      <c r="BO1190" t="s">
        <v>595</v>
      </c>
      <c r="BP1190" s="184">
        <v>43321</v>
      </c>
    </row>
    <row r="1191" spans="1:68">
      <c r="A1191">
        <v>8473696</v>
      </c>
      <c r="B1191">
        <v>8473696</v>
      </c>
      <c r="C1191" t="s">
        <v>7018</v>
      </c>
      <c r="D1191" t="s">
        <v>595</v>
      </c>
      <c r="E1191" s="184">
        <v>44046</v>
      </c>
      <c r="G1191" s="184"/>
      <c r="I1191" s="184"/>
      <c r="K1191" s="184"/>
      <c r="O1191" s="184"/>
      <c r="P1191" t="s">
        <v>7045</v>
      </c>
      <c r="Q1191" t="s">
        <v>7383</v>
      </c>
      <c r="R1191" s="184">
        <v>21732</v>
      </c>
      <c r="S1191">
        <v>64</v>
      </c>
      <c r="U1191" t="s">
        <v>7076</v>
      </c>
      <c r="V1191" t="s">
        <v>3184</v>
      </c>
      <c r="X1191" t="s">
        <v>13756</v>
      </c>
      <c r="AF1191" t="s">
        <v>13757</v>
      </c>
      <c r="AG1191" t="s">
        <v>3184</v>
      </c>
      <c r="AI1191" t="s">
        <v>13758</v>
      </c>
      <c r="AM1191" t="s">
        <v>13759</v>
      </c>
      <c r="AN1191" t="s">
        <v>2313</v>
      </c>
      <c r="AO1191" t="s">
        <v>13760</v>
      </c>
      <c r="AP1191" t="s">
        <v>7024</v>
      </c>
      <c r="AQ1191" t="s">
        <v>13761</v>
      </c>
      <c r="AR1191" t="s">
        <v>13762</v>
      </c>
      <c r="AT1191" s="184">
        <v>33913</v>
      </c>
      <c r="AU1191" t="s">
        <v>13763</v>
      </c>
      <c r="AV1191">
        <v>15</v>
      </c>
      <c r="AW1191" s="184">
        <v>45422</v>
      </c>
      <c r="AX1191" t="s">
        <v>7422</v>
      </c>
      <c r="AY1191">
        <v>45</v>
      </c>
      <c r="AZ1191" s="184">
        <v>40073</v>
      </c>
      <c r="BA1191" t="s">
        <v>7516</v>
      </c>
      <c r="BB1191">
        <v>200</v>
      </c>
      <c r="BC1191">
        <v>82</v>
      </c>
      <c r="BD1191">
        <v>9080</v>
      </c>
      <c r="BE1191">
        <v>1993</v>
      </c>
      <c r="BF1191">
        <v>192</v>
      </c>
      <c r="BG1191">
        <v>24</v>
      </c>
      <c r="BH1191">
        <v>1080</v>
      </c>
      <c r="BI1191">
        <v>27</v>
      </c>
      <c r="BJ1191">
        <v>33</v>
      </c>
      <c r="BK1191">
        <v>18</v>
      </c>
      <c r="BN1191" t="s">
        <v>595</v>
      </c>
      <c r="BP1191" s="184"/>
    </row>
    <row r="1192" spans="1:68">
      <c r="A1192">
        <v>8485443</v>
      </c>
      <c r="B1192">
        <v>8485443</v>
      </c>
      <c r="C1192" t="s">
        <v>7018</v>
      </c>
      <c r="D1192" t="s">
        <v>595</v>
      </c>
      <c r="E1192" s="184">
        <v>43879</v>
      </c>
      <c r="G1192" s="184"/>
      <c r="I1192" s="184"/>
      <c r="K1192" s="184"/>
      <c r="O1192" s="184"/>
      <c r="P1192" t="s">
        <v>7019</v>
      </c>
      <c r="Q1192" t="s">
        <v>7160</v>
      </c>
      <c r="R1192" s="184">
        <v>12134</v>
      </c>
      <c r="S1192">
        <v>91</v>
      </c>
      <c r="U1192" t="s">
        <v>7032</v>
      </c>
      <c r="V1192" t="s">
        <v>2541</v>
      </c>
      <c r="W1192" t="s">
        <v>7407</v>
      </c>
      <c r="X1192" t="s">
        <v>5818</v>
      </c>
      <c r="AF1192" t="s">
        <v>13764</v>
      </c>
      <c r="AG1192" t="s">
        <v>2541</v>
      </c>
      <c r="AI1192" t="s">
        <v>13765</v>
      </c>
      <c r="AM1192" t="s">
        <v>13766</v>
      </c>
      <c r="AN1192" t="s">
        <v>2176</v>
      </c>
      <c r="AO1192" t="s">
        <v>13767</v>
      </c>
      <c r="AP1192" t="s">
        <v>7024</v>
      </c>
      <c r="AQ1192" t="s">
        <v>13768</v>
      </c>
      <c r="AR1192" t="s">
        <v>13769</v>
      </c>
      <c r="AT1192" s="184">
        <v>33917</v>
      </c>
      <c r="AU1192" t="s">
        <v>13770</v>
      </c>
      <c r="AV1192">
        <v>20</v>
      </c>
      <c r="AW1192" s="184">
        <v>44768</v>
      </c>
      <c r="AX1192" t="s">
        <v>12723</v>
      </c>
      <c r="AY1192">
        <v>60</v>
      </c>
      <c r="AZ1192" s="184">
        <v>42901</v>
      </c>
      <c r="BA1192" t="s">
        <v>13771</v>
      </c>
      <c r="BB1192">
        <v>87</v>
      </c>
      <c r="BC1192">
        <v>85</v>
      </c>
      <c r="BD1192">
        <v>1313</v>
      </c>
      <c r="BE1192">
        <v>1993</v>
      </c>
      <c r="BF1192">
        <v>41</v>
      </c>
      <c r="BG1192">
        <v>1</v>
      </c>
      <c r="BH1192">
        <v>60</v>
      </c>
      <c r="BI1192">
        <v>28</v>
      </c>
      <c r="BJ1192">
        <v>33</v>
      </c>
      <c r="BK1192">
        <v>16</v>
      </c>
      <c r="BP1192" s="184"/>
    </row>
    <row r="1193" spans="1:68">
      <c r="A1193">
        <v>8498313</v>
      </c>
      <c r="B1193">
        <v>8498313</v>
      </c>
      <c r="C1193" t="s">
        <v>7018</v>
      </c>
      <c r="D1193" t="s">
        <v>595</v>
      </c>
      <c r="E1193" s="184">
        <v>44236</v>
      </c>
      <c r="G1193" s="184"/>
      <c r="I1193" s="184"/>
      <c r="K1193" s="184"/>
      <c r="O1193" s="184"/>
      <c r="P1193" t="s">
        <v>7045</v>
      </c>
      <c r="Q1193" t="s">
        <v>7194</v>
      </c>
      <c r="R1193" s="184">
        <v>11574</v>
      </c>
      <c r="S1193">
        <v>92</v>
      </c>
      <c r="U1193" t="s">
        <v>7130</v>
      </c>
      <c r="V1193" t="s">
        <v>2602</v>
      </c>
      <c r="X1193" t="s">
        <v>2899</v>
      </c>
      <c r="AF1193" t="s">
        <v>13772</v>
      </c>
      <c r="AG1193" t="s">
        <v>2602</v>
      </c>
      <c r="AI1193" t="s">
        <v>13773</v>
      </c>
      <c r="AM1193" t="s">
        <v>4201</v>
      </c>
      <c r="AN1193" t="s">
        <v>2046</v>
      </c>
      <c r="AO1193" t="s">
        <v>13774</v>
      </c>
      <c r="AP1193" t="s">
        <v>7024</v>
      </c>
      <c r="AQ1193" t="s">
        <v>13775</v>
      </c>
      <c r="AT1193" s="184">
        <v>33918</v>
      </c>
      <c r="AU1193" t="s">
        <v>13770</v>
      </c>
      <c r="AV1193">
        <v>15</v>
      </c>
      <c r="AW1193" s="184">
        <v>45315</v>
      </c>
      <c r="AX1193" t="s">
        <v>13776</v>
      </c>
      <c r="AY1193">
        <v>25</v>
      </c>
      <c r="AZ1193" s="184">
        <v>43507</v>
      </c>
      <c r="BA1193" t="s">
        <v>13777</v>
      </c>
      <c r="BB1193">
        <v>60</v>
      </c>
      <c r="BC1193">
        <v>70</v>
      </c>
      <c r="BD1193">
        <v>875</v>
      </c>
      <c r="BE1193">
        <v>1993</v>
      </c>
      <c r="BF1193">
        <v>39</v>
      </c>
      <c r="BG1193">
        <v>6</v>
      </c>
      <c r="BH1193">
        <v>140</v>
      </c>
      <c r="BI1193">
        <v>23</v>
      </c>
      <c r="BJ1193">
        <v>33</v>
      </c>
      <c r="BK1193">
        <v>13</v>
      </c>
      <c r="BP1193" s="184"/>
    </row>
    <row r="1194" spans="1:68">
      <c r="A1194">
        <v>8502320</v>
      </c>
      <c r="B1194">
        <v>8502320</v>
      </c>
      <c r="C1194" t="s">
        <v>7018</v>
      </c>
      <c r="E1194" s="184"/>
      <c r="G1194" s="184"/>
      <c r="I1194" s="184"/>
      <c r="J1194" t="s">
        <v>595</v>
      </c>
      <c r="K1194" s="184">
        <v>42758</v>
      </c>
      <c r="O1194" s="184"/>
      <c r="P1194" t="s">
        <v>7045</v>
      </c>
      <c r="Q1194" t="s">
        <v>7454</v>
      </c>
      <c r="R1194" s="184">
        <v>20389</v>
      </c>
      <c r="S1194">
        <v>68</v>
      </c>
      <c r="U1194" t="s">
        <v>7031</v>
      </c>
      <c r="V1194" t="s">
        <v>2665</v>
      </c>
      <c r="W1194" t="s">
        <v>7384</v>
      </c>
      <c r="X1194" t="s">
        <v>13778</v>
      </c>
      <c r="Z1194">
        <v>100033818</v>
      </c>
      <c r="AA1194" t="s">
        <v>7130</v>
      </c>
      <c r="AB1194" t="s">
        <v>3220</v>
      </c>
      <c r="AD1194" t="s">
        <v>13778</v>
      </c>
      <c r="AF1194" t="s">
        <v>6671</v>
      </c>
      <c r="AG1194" t="s">
        <v>13779</v>
      </c>
      <c r="AI1194" t="s">
        <v>13780</v>
      </c>
      <c r="AM1194" t="s">
        <v>13781</v>
      </c>
      <c r="AN1194" t="s">
        <v>2299</v>
      </c>
      <c r="AO1194">
        <v>97753</v>
      </c>
      <c r="AP1194" t="s">
        <v>7024</v>
      </c>
      <c r="AQ1194" t="s">
        <v>13782</v>
      </c>
      <c r="AR1194" t="s">
        <v>13783</v>
      </c>
      <c r="AT1194" s="184">
        <v>33918</v>
      </c>
      <c r="AU1194" t="s">
        <v>13784</v>
      </c>
      <c r="AV1194">
        <v>15</v>
      </c>
      <c r="AW1194" s="184">
        <v>35436</v>
      </c>
      <c r="AX1194" t="s">
        <v>13785</v>
      </c>
      <c r="AY1194">
        <v>15</v>
      </c>
      <c r="AZ1194" s="184">
        <v>34212</v>
      </c>
      <c r="BA1194" t="s">
        <v>13786</v>
      </c>
      <c r="BB1194">
        <v>60</v>
      </c>
      <c r="BC1194">
        <v>19</v>
      </c>
      <c r="BD1194">
        <v>190</v>
      </c>
      <c r="BE1194">
        <v>1993</v>
      </c>
      <c r="BF1194">
        <v>7</v>
      </c>
      <c r="BI1194">
        <v>6</v>
      </c>
      <c r="BJ1194">
        <v>33</v>
      </c>
      <c r="BK1194">
        <v>6</v>
      </c>
      <c r="BP1194" s="184"/>
    </row>
    <row r="1195" spans="1:68">
      <c r="A1195">
        <v>8510075</v>
      </c>
      <c r="B1195">
        <v>8510075</v>
      </c>
      <c r="C1195" t="s">
        <v>7018</v>
      </c>
      <c r="E1195" s="184"/>
      <c r="F1195" t="s">
        <v>595</v>
      </c>
      <c r="G1195" s="184">
        <v>44104</v>
      </c>
      <c r="K1195" s="184"/>
      <c r="O1195" s="184"/>
      <c r="P1195" t="s">
        <v>7045</v>
      </c>
      <c r="Q1195" t="s">
        <v>7020</v>
      </c>
      <c r="R1195" s="184">
        <v>15162</v>
      </c>
      <c r="S1195">
        <v>82</v>
      </c>
      <c r="U1195" t="s">
        <v>7032</v>
      </c>
      <c r="V1195" t="s">
        <v>5280</v>
      </c>
      <c r="X1195" t="s">
        <v>13787</v>
      </c>
      <c r="AF1195" t="s">
        <v>13788</v>
      </c>
      <c r="AG1195" t="s">
        <v>5280</v>
      </c>
      <c r="AI1195" t="s">
        <v>13789</v>
      </c>
      <c r="AM1195" t="s">
        <v>13790</v>
      </c>
      <c r="AN1195" t="s">
        <v>2052</v>
      </c>
      <c r="AO1195" t="s">
        <v>13791</v>
      </c>
      <c r="AP1195" t="s">
        <v>7024</v>
      </c>
      <c r="AQ1195" t="s">
        <v>13792</v>
      </c>
      <c r="AR1195" t="s">
        <v>13793</v>
      </c>
      <c r="AT1195" s="184">
        <v>33918</v>
      </c>
      <c r="AU1195" t="s">
        <v>13794</v>
      </c>
      <c r="AV1195">
        <v>15</v>
      </c>
      <c r="AW1195" s="184">
        <v>45330</v>
      </c>
      <c r="AX1195" t="s">
        <v>10070</v>
      </c>
      <c r="AY1195">
        <v>150</v>
      </c>
      <c r="AZ1195" s="184">
        <v>45330</v>
      </c>
      <c r="BA1195" t="s">
        <v>10070</v>
      </c>
      <c r="BB1195">
        <v>150</v>
      </c>
      <c r="BC1195">
        <v>70</v>
      </c>
      <c r="BD1195">
        <v>2005</v>
      </c>
      <c r="BE1195">
        <v>1993</v>
      </c>
      <c r="BF1195">
        <v>37</v>
      </c>
      <c r="BG1195">
        <v>3</v>
      </c>
      <c r="BH1195">
        <v>300</v>
      </c>
      <c r="BI1195">
        <v>23</v>
      </c>
      <c r="BJ1195">
        <v>33</v>
      </c>
      <c r="BK1195">
        <v>5</v>
      </c>
      <c r="BP1195" s="184"/>
    </row>
    <row r="1196" spans="1:68">
      <c r="A1196">
        <v>8533523</v>
      </c>
      <c r="B1196">
        <v>8533523</v>
      </c>
      <c r="C1196" t="s">
        <v>7018</v>
      </c>
      <c r="E1196" s="184"/>
      <c r="G1196" s="184"/>
      <c r="I1196" s="184"/>
      <c r="J1196" t="s">
        <v>595</v>
      </c>
      <c r="K1196" s="184">
        <v>44313</v>
      </c>
      <c r="O1196" s="184"/>
      <c r="P1196" t="s">
        <v>7045</v>
      </c>
      <c r="Q1196" t="s">
        <v>7374</v>
      </c>
      <c r="R1196" s="184">
        <v>11492</v>
      </c>
      <c r="S1196">
        <v>92</v>
      </c>
      <c r="U1196" t="s">
        <v>7130</v>
      </c>
      <c r="V1196" t="s">
        <v>13795</v>
      </c>
      <c r="X1196" t="s">
        <v>13796</v>
      </c>
      <c r="AF1196" t="s">
        <v>13797</v>
      </c>
      <c r="AG1196" t="s">
        <v>13795</v>
      </c>
      <c r="AI1196" t="s">
        <v>13798</v>
      </c>
      <c r="AM1196" t="s">
        <v>13799</v>
      </c>
      <c r="AN1196" t="s">
        <v>2081</v>
      </c>
      <c r="AO1196" t="s">
        <v>13800</v>
      </c>
      <c r="AP1196" t="s">
        <v>7024</v>
      </c>
      <c r="AT1196" s="184">
        <v>33924</v>
      </c>
      <c r="AU1196" t="s">
        <v>13801</v>
      </c>
      <c r="AV1196">
        <v>15</v>
      </c>
      <c r="AW1196" s="184">
        <v>44424</v>
      </c>
      <c r="AX1196" t="s">
        <v>13802</v>
      </c>
      <c r="AY1196">
        <v>35</v>
      </c>
      <c r="AZ1196" s="184">
        <v>44424</v>
      </c>
      <c r="BA1196" t="s">
        <v>13802</v>
      </c>
      <c r="BB1196">
        <v>35</v>
      </c>
      <c r="BC1196">
        <v>61</v>
      </c>
      <c r="BD1196">
        <v>565</v>
      </c>
      <c r="BE1196">
        <v>1993</v>
      </c>
      <c r="BF1196">
        <v>23</v>
      </c>
      <c r="BI1196">
        <v>20</v>
      </c>
      <c r="BJ1196">
        <v>33</v>
      </c>
      <c r="BK1196">
        <v>10</v>
      </c>
      <c r="BP1196" s="184"/>
    </row>
    <row r="1197" spans="1:68">
      <c r="A1197">
        <v>8548984</v>
      </c>
      <c r="B1197">
        <v>8548984</v>
      </c>
      <c r="C1197" t="s">
        <v>7018</v>
      </c>
      <c r="D1197" t="s">
        <v>595</v>
      </c>
      <c r="E1197" s="184">
        <v>43614</v>
      </c>
      <c r="G1197" s="184"/>
      <c r="I1197" s="184"/>
      <c r="K1197" s="184"/>
      <c r="O1197" s="184"/>
      <c r="P1197" t="s">
        <v>7045</v>
      </c>
      <c r="Q1197" t="s">
        <v>7383</v>
      </c>
      <c r="R1197" s="184">
        <v>20333</v>
      </c>
      <c r="S1197">
        <v>68</v>
      </c>
      <c r="V1197" t="s">
        <v>2879</v>
      </c>
      <c r="X1197" t="s">
        <v>2880</v>
      </c>
      <c r="AF1197" t="s">
        <v>13803</v>
      </c>
      <c r="AG1197" t="s">
        <v>2879</v>
      </c>
      <c r="AI1197" t="s">
        <v>13804</v>
      </c>
      <c r="AM1197" t="s">
        <v>2881</v>
      </c>
      <c r="AN1197" t="s">
        <v>2162</v>
      </c>
      <c r="AO1197" t="s">
        <v>13805</v>
      </c>
      <c r="AP1197" t="s">
        <v>7024</v>
      </c>
      <c r="AQ1197" t="s">
        <v>13806</v>
      </c>
      <c r="AT1197" s="184">
        <v>33924</v>
      </c>
      <c r="AU1197" t="s">
        <v>13807</v>
      </c>
      <c r="AV1197">
        <v>15</v>
      </c>
      <c r="AW1197" s="184">
        <v>43592</v>
      </c>
      <c r="AX1197" t="s">
        <v>13808</v>
      </c>
      <c r="AY1197">
        <v>25</v>
      </c>
      <c r="AZ1197" s="184">
        <v>43263</v>
      </c>
      <c r="BA1197" t="s">
        <v>13809</v>
      </c>
      <c r="BB1197">
        <v>60</v>
      </c>
      <c r="BC1197">
        <v>25</v>
      </c>
      <c r="BD1197">
        <v>315</v>
      </c>
      <c r="BE1197">
        <v>1993</v>
      </c>
      <c r="BF1197">
        <v>10</v>
      </c>
      <c r="BI1197">
        <v>8</v>
      </c>
      <c r="BJ1197">
        <v>33</v>
      </c>
      <c r="BK1197">
        <v>4</v>
      </c>
      <c r="BP1197" s="184"/>
    </row>
    <row r="1198" spans="1:68">
      <c r="A1198">
        <v>8565459</v>
      </c>
      <c r="B1198">
        <v>8565459</v>
      </c>
      <c r="C1198" t="s">
        <v>7018</v>
      </c>
      <c r="E1198" s="184"/>
      <c r="G1198" s="184"/>
      <c r="I1198" s="184"/>
      <c r="K1198" s="184"/>
      <c r="N1198" t="s">
        <v>595</v>
      </c>
      <c r="O1198" s="184">
        <v>37585</v>
      </c>
      <c r="P1198" t="s">
        <v>7045</v>
      </c>
      <c r="Q1198" t="s">
        <v>7020</v>
      </c>
      <c r="R1198" s="184">
        <v>8798</v>
      </c>
      <c r="S1198">
        <v>100</v>
      </c>
      <c r="U1198" t="s">
        <v>7076</v>
      </c>
      <c r="V1198" t="s">
        <v>2705</v>
      </c>
      <c r="W1198" t="s">
        <v>2918</v>
      </c>
      <c r="X1198" t="s">
        <v>2814</v>
      </c>
      <c r="AF1198" t="s">
        <v>13810</v>
      </c>
      <c r="AG1198" t="s">
        <v>13811</v>
      </c>
      <c r="AI1198" t="s">
        <v>13812</v>
      </c>
      <c r="AM1198" t="s">
        <v>3000</v>
      </c>
      <c r="AN1198" t="s">
        <v>2052</v>
      </c>
      <c r="AO1198" t="s">
        <v>13813</v>
      </c>
      <c r="AP1198" t="s">
        <v>7024</v>
      </c>
      <c r="AQ1198" t="s">
        <v>13814</v>
      </c>
      <c r="AT1198" s="184">
        <v>33924</v>
      </c>
      <c r="AU1198" t="s">
        <v>13815</v>
      </c>
      <c r="AV1198">
        <v>15</v>
      </c>
      <c r="AW1198" s="184">
        <v>41831</v>
      </c>
      <c r="AX1198" t="s">
        <v>13816</v>
      </c>
      <c r="AY1198">
        <v>25</v>
      </c>
      <c r="AZ1198" s="184">
        <v>37586</v>
      </c>
      <c r="BA1198" t="s">
        <v>7180</v>
      </c>
      <c r="BB1198">
        <v>10000</v>
      </c>
      <c r="BC1198">
        <v>70</v>
      </c>
      <c r="BD1198">
        <v>12590</v>
      </c>
      <c r="BE1198">
        <v>1993</v>
      </c>
      <c r="BF1198">
        <v>86</v>
      </c>
      <c r="BI1198">
        <v>23</v>
      </c>
      <c r="BJ1198">
        <v>33</v>
      </c>
      <c r="BK1198">
        <v>23</v>
      </c>
      <c r="BO1198" t="s">
        <v>595</v>
      </c>
      <c r="BP1198" s="184">
        <v>42220</v>
      </c>
    </row>
    <row r="1199" spans="1:68">
      <c r="A1199">
        <v>8591729</v>
      </c>
      <c r="B1199">
        <v>8591729</v>
      </c>
      <c r="C1199" t="s">
        <v>7018</v>
      </c>
      <c r="D1199" t="s">
        <v>595</v>
      </c>
      <c r="E1199" s="184">
        <v>43642</v>
      </c>
      <c r="G1199" s="184"/>
      <c r="I1199" s="184"/>
      <c r="K1199" s="184"/>
      <c r="O1199" s="184"/>
      <c r="P1199" t="s">
        <v>7019</v>
      </c>
      <c r="Q1199" t="s">
        <v>7383</v>
      </c>
      <c r="R1199" s="184">
        <v>12563</v>
      </c>
      <c r="S1199">
        <v>89</v>
      </c>
      <c r="U1199" t="s">
        <v>7031</v>
      </c>
      <c r="V1199" t="s">
        <v>3201</v>
      </c>
      <c r="W1199" t="s">
        <v>3226</v>
      </c>
      <c r="X1199" t="s">
        <v>3202</v>
      </c>
      <c r="AF1199" t="s">
        <v>13817</v>
      </c>
      <c r="AG1199" t="s">
        <v>3201</v>
      </c>
      <c r="AI1199" t="s">
        <v>13818</v>
      </c>
      <c r="AM1199" t="s">
        <v>3203</v>
      </c>
      <c r="AN1199" t="s">
        <v>2313</v>
      </c>
      <c r="AO1199" t="s">
        <v>13819</v>
      </c>
      <c r="AP1199" t="s">
        <v>7024</v>
      </c>
      <c r="AT1199" s="184">
        <v>33928</v>
      </c>
      <c r="AU1199" t="s">
        <v>13770</v>
      </c>
      <c r="AV1199">
        <v>15</v>
      </c>
      <c r="AW1199" s="184">
        <v>45181</v>
      </c>
      <c r="AX1199" t="s">
        <v>13820</v>
      </c>
      <c r="AY1199">
        <v>10</v>
      </c>
      <c r="AZ1199" s="184">
        <v>44313</v>
      </c>
      <c r="BA1199" t="s">
        <v>13821</v>
      </c>
      <c r="BB1199">
        <v>60</v>
      </c>
      <c r="BC1199">
        <v>61</v>
      </c>
      <c r="BD1199">
        <v>810</v>
      </c>
      <c r="BE1199">
        <v>1993</v>
      </c>
      <c r="BF1199">
        <v>28</v>
      </c>
      <c r="BG1199">
        <v>2</v>
      </c>
      <c r="BH1199">
        <v>20</v>
      </c>
      <c r="BI1199">
        <v>20</v>
      </c>
      <c r="BJ1199">
        <v>33</v>
      </c>
      <c r="BK1199">
        <v>5</v>
      </c>
      <c r="BP1199" s="184"/>
    </row>
    <row r="1200" spans="1:68">
      <c r="A1200">
        <v>8595571</v>
      </c>
      <c r="B1200">
        <v>8595571</v>
      </c>
      <c r="C1200" t="s">
        <v>7018</v>
      </c>
      <c r="E1200" s="184"/>
      <c r="G1200" s="184"/>
      <c r="J1200" t="s">
        <v>595</v>
      </c>
      <c r="K1200" s="184">
        <v>39195</v>
      </c>
      <c r="O1200" s="184"/>
      <c r="P1200" t="s">
        <v>7045</v>
      </c>
      <c r="Q1200" t="s">
        <v>7774</v>
      </c>
      <c r="R1200" s="184">
        <v>20607</v>
      </c>
      <c r="S1200">
        <v>67</v>
      </c>
      <c r="V1200" t="s">
        <v>2724</v>
      </c>
      <c r="X1200" t="s">
        <v>13822</v>
      </c>
      <c r="Z1200">
        <v>100180369</v>
      </c>
      <c r="AB1200" t="s">
        <v>13823</v>
      </c>
      <c r="AD1200" t="s">
        <v>13822</v>
      </c>
      <c r="AF1200" t="s">
        <v>13824</v>
      </c>
      <c r="AG1200" t="s">
        <v>2724</v>
      </c>
      <c r="AI1200" t="s">
        <v>13825</v>
      </c>
      <c r="AM1200" t="s">
        <v>13826</v>
      </c>
      <c r="AN1200" t="s">
        <v>2290</v>
      </c>
      <c r="AO1200" t="s">
        <v>13827</v>
      </c>
      <c r="AP1200" t="s">
        <v>7024</v>
      </c>
      <c r="AQ1200" t="s">
        <v>13828</v>
      </c>
      <c r="AR1200" t="s">
        <v>13829</v>
      </c>
      <c r="AT1200" s="184">
        <v>33928</v>
      </c>
      <c r="AU1200" t="s">
        <v>13830</v>
      </c>
      <c r="AV1200">
        <v>25</v>
      </c>
      <c r="AW1200" s="184">
        <v>45126</v>
      </c>
      <c r="AX1200" t="s">
        <v>13831</v>
      </c>
      <c r="AY1200">
        <v>100</v>
      </c>
      <c r="AZ1200" s="184">
        <v>45126</v>
      </c>
      <c r="BA1200" t="s">
        <v>13831</v>
      </c>
      <c r="BB1200">
        <v>100</v>
      </c>
      <c r="BC1200">
        <v>76</v>
      </c>
      <c r="BD1200">
        <v>1245</v>
      </c>
      <c r="BE1200">
        <v>1993</v>
      </c>
      <c r="BF1200">
        <v>30</v>
      </c>
      <c r="BG1200">
        <v>2</v>
      </c>
      <c r="BH1200">
        <v>200</v>
      </c>
      <c r="BI1200">
        <v>25</v>
      </c>
      <c r="BJ1200">
        <v>33</v>
      </c>
      <c r="BK1200">
        <v>6</v>
      </c>
      <c r="BP1200" s="184"/>
    </row>
    <row r="1201" spans="1:68">
      <c r="A1201">
        <v>100180369</v>
      </c>
      <c r="B1201">
        <v>8595571</v>
      </c>
      <c r="C1201" t="s">
        <v>7018</v>
      </c>
      <c r="E1201" s="184"/>
      <c r="G1201" s="184"/>
      <c r="I1201" s="184"/>
      <c r="J1201" t="s">
        <v>595</v>
      </c>
      <c r="K1201" s="184">
        <v>42848</v>
      </c>
      <c r="O1201" s="184"/>
      <c r="P1201" t="s">
        <v>7045</v>
      </c>
      <c r="Q1201" t="s">
        <v>7774</v>
      </c>
      <c r="R1201" s="184">
        <v>22479</v>
      </c>
      <c r="S1201">
        <v>62</v>
      </c>
      <c r="V1201" t="s">
        <v>13823</v>
      </c>
      <c r="X1201" t="s">
        <v>13822</v>
      </c>
      <c r="Z1201">
        <v>8595571</v>
      </c>
      <c r="AB1201" t="s">
        <v>2724</v>
      </c>
      <c r="AD1201" t="s">
        <v>13822</v>
      </c>
      <c r="AF1201" t="s">
        <v>13824</v>
      </c>
      <c r="AG1201" t="s">
        <v>2724</v>
      </c>
      <c r="AI1201" t="s">
        <v>13825</v>
      </c>
      <c r="AM1201" t="s">
        <v>13826</v>
      </c>
      <c r="AN1201" t="s">
        <v>2290</v>
      </c>
      <c r="AO1201" t="s">
        <v>13827</v>
      </c>
      <c r="AP1201" t="s">
        <v>7024</v>
      </c>
      <c r="AQ1201" t="s">
        <v>13832</v>
      </c>
      <c r="AT1201" s="184"/>
      <c r="AW1201" s="184"/>
      <c r="AZ1201" s="184"/>
      <c r="BO1201" t="s">
        <v>595</v>
      </c>
      <c r="BP1201" s="184"/>
    </row>
    <row r="1202" spans="1:68">
      <c r="A1202">
        <v>8602633</v>
      </c>
      <c r="B1202">
        <v>8602633</v>
      </c>
      <c r="C1202" t="s">
        <v>7018</v>
      </c>
      <c r="E1202" s="184"/>
      <c r="G1202" s="184"/>
      <c r="I1202" s="184"/>
      <c r="J1202" t="s">
        <v>595</v>
      </c>
      <c r="K1202" s="184">
        <v>39987</v>
      </c>
      <c r="O1202" s="184"/>
      <c r="P1202" t="s">
        <v>7045</v>
      </c>
      <c r="Q1202" t="s">
        <v>7262</v>
      </c>
      <c r="R1202" s="184">
        <v>19784</v>
      </c>
      <c r="S1202">
        <v>70</v>
      </c>
      <c r="V1202" t="s">
        <v>3299</v>
      </c>
      <c r="X1202" t="s">
        <v>4691</v>
      </c>
      <c r="Z1202">
        <v>100034107</v>
      </c>
      <c r="AB1202" t="s">
        <v>5316</v>
      </c>
      <c r="AD1202" t="s">
        <v>13833</v>
      </c>
      <c r="AF1202" t="s">
        <v>6306</v>
      </c>
      <c r="AG1202" t="s">
        <v>13834</v>
      </c>
      <c r="AI1202" t="s">
        <v>13835</v>
      </c>
      <c r="AM1202" t="s">
        <v>13836</v>
      </c>
      <c r="AN1202" t="s">
        <v>65</v>
      </c>
      <c r="AO1202" t="s">
        <v>13837</v>
      </c>
      <c r="AP1202" t="s">
        <v>7024</v>
      </c>
      <c r="AQ1202" t="s">
        <v>13838</v>
      </c>
      <c r="AT1202" s="184">
        <v>33931</v>
      </c>
      <c r="AU1202" t="s">
        <v>13839</v>
      </c>
      <c r="AV1202">
        <v>15</v>
      </c>
      <c r="AW1202" s="184">
        <v>45166</v>
      </c>
      <c r="AX1202" t="s">
        <v>10732</v>
      </c>
      <c r="AY1202">
        <v>25</v>
      </c>
      <c r="AZ1202" s="184">
        <v>40861</v>
      </c>
      <c r="BA1202" t="s">
        <v>13840</v>
      </c>
      <c r="BB1202">
        <v>500</v>
      </c>
      <c r="BC1202">
        <v>79</v>
      </c>
      <c r="BD1202">
        <v>1785</v>
      </c>
      <c r="BE1202">
        <v>1993</v>
      </c>
      <c r="BF1202">
        <v>30</v>
      </c>
      <c r="BG1202">
        <v>2</v>
      </c>
      <c r="BH1202">
        <v>50</v>
      </c>
      <c r="BI1202">
        <v>26</v>
      </c>
      <c r="BJ1202">
        <v>33</v>
      </c>
      <c r="BK1202">
        <v>9</v>
      </c>
      <c r="BN1202" t="s">
        <v>595</v>
      </c>
      <c r="BP1202" s="184"/>
    </row>
    <row r="1203" spans="1:68">
      <c r="A1203">
        <v>100034107</v>
      </c>
      <c r="B1203">
        <v>8602633</v>
      </c>
      <c r="C1203" t="s">
        <v>7018</v>
      </c>
      <c r="E1203" s="184"/>
      <c r="G1203" s="184"/>
      <c r="I1203" s="184"/>
      <c r="J1203" t="s">
        <v>595</v>
      </c>
      <c r="K1203" s="184">
        <v>43656</v>
      </c>
      <c r="O1203" s="184"/>
      <c r="P1203" t="s">
        <v>7045</v>
      </c>
      <c r="Q1203" t="s">
        <v>7262</v>
      </c>
      <c r="R1203" s="184"/>
      <c r="V1203" t="s">
        <v>5316</v>
      </c>
      <c r="X1203" t="s">
        <v>13833</v>
      </c>
      <c r="Z1203">
        <v>8602633</v>
      </c>
      <c r="AB1203" t="s">
        <v>3299</v>
      </c>
      <c r="AD1203" t="s">
        <v>4691</v>
      </c>
      <c r="AF1203" t="s">
        <v>6306</v>
      </c>
      <c r="AG1203" t="s">
        <v>13834</v>
      </c>
      <c r="AI1203" t="s">
        <v>13835</v>
      </c>
      <c r="AM1203" t="s">
        <v>13836</v>
      </c>
      <c r="AN1203" t="s">
        <v>65</v>
      </c>
      <c r="AO1203" t="s">
        <v>13837</v>
      </c>
      <c r="AP1203" t="s">
        <v>7024</v>
      </c>
      <c r="AT1203" s="184"/>
      <c r="AW1203" s="184"/>
      <c r="AZ1203" s="184"/>
      <c r="BP1203" s="184"/>
    </row>
    <row r="1204" spans="1:68">
      <c r="A1204">
        <v>8617771</v>
      </c>
      <c r="B1204">
        <v>8617771</v>
      </c>
      <c r="C1204" t="s">
        <v>7018</v>
      </c>
      <c r="E1204" s="184"/>
      <c r="F1204" t="s">
        <v>595</v>
      </c>
      <c r="G1204" s="184">
        <v>44073</v>
      </c>
      <c r="I1204" s="184"/>
      <c r="K1204" s="184"/>
      <c r="O1204" s="184"/>
      <c r="P1204" t="s">
        <v>7045</v>
      </c>
      <c r="Q1204" t="s">
        <v>7454</v>
      </c>
      <c r="R1204" s="184">
        <v>16902</v>
      </c>
      <c r="S1204">
        <v>78</v>
      </c>
      <c r="U1204" t="s">
        <v>7076</v>
      </c>
      <c r="V1204" t="s">
        <v>13841</v>
      </c>
      <c r="W1204" t="s">
        <v>3226</v>
      </c>
      <c r="X1204" t="s">
        <v>13842</v>
      </c>
      <c r="AF1204" t="s">
        <v>13843</v>
      </c>
      <c r="AG1204" t="s">
        <v>13841</v>
      </c>
      <c r="AI1204" t="s">
        <v>13844</v>
      </c>
      <c r="AM1204" t="s">
        <v>13845</v>
      </c>
      <c r="AN1204" t="s">
        <v>2299</v>
      </c>
      <c r="AO1204" t="s">
        <v>13846</v>
      </c>
      <c r="AP1204" t="s">
        <v>7024</v>
      </c>
      <c r="AQ1204" t="s">
        <v>13847</v>
      </c>
      <c r="AR1204" t="s">
        <v>13848</v>
      </c>
      <c r="AT1204" s="184">
        <v>33938</v>
      </c>
      <c r="AU1204" t="s">
        <v>13801</v>
      </c>
      <c r="AV1204">
        <v>25</v>
      </c>
      <c r="AW1204" s="184">
        <v>45295</v>
      </c>
      <c r="AX1204" t="s">
        <v>7168</v>
      </c>
      <c r="AY1204">
        <v>52.5</v>
      </c>
      <c r="AZ1204" s="184">
        <v>44914</v>
      </c>
      <c r="BA1204" t="s">
        <v>13849</v>
      </c>
      <c r="BB1204">
        <v>100</v>
      </c>
      <c r="BC1204">
        <v>91</v>
      </c>
      <c r="BD1204">
        <v>2142.5</v>
      </c>
      <c r="BE1204">
        <v>1993</v>
      </c>
      <c r="BF1204">
        <v>49</v>
      </c>
      <c r="BG1204">
        <v>2</v>
      </c>
      <c r="BH1204">
        <v>152.5</v>
      </c>
      <c r="BI1204">
        <v>30</v>
      </c>
      <c r="BJ1204">
        <v>33</v>
      </c>
      <c r="BK1204">
        <v>26</v>
      </c>
    </row>
    <row r="1205" spans="1:68">
      <c r="A1205">
        <v>8652083</v>
      </c>
      <c r="B1205">
        <v>8652083</v>
      </c>
      <c r="C1205" t="s">
        <v>7018</v>
      </c>
      <c r="E1205" s="184"/>
      <c r="F1205" t="s">
        <v>595</v>
      </c>
      <c r="G1205" s="184">
        <v>44108</v>
      </c>
      <c r="I1205" s="184"/>
      <c r="K1205" s="184"/>
      <c r="O1205" s="184"/>
      <c r="P1205" t="s">
        <v>7045</v>
      </c>
      <c r="Q1205" t="s">
        <v>7454</v>
      </c>
      <c r="R1205" s="184">
        <v>19054</v>
      </c>
      <c r="S1205">
        <v>72</v>
      </c>
      <c r="U1205" t="s">
        <v>7076</v>
      </c>
      <c r="V1205" t="s">
        <v>3419</v>
      </c>
      <c r="W1205" t="s">
        <v>4139</v>
      </c>
      <c r="X1205" t="s">
        <v>13850</v>
      </c>
      <c r="AF1205" t="s">
        <v>13851</v>
      </c>
      <c r="AG1205" t="s">
        <v>3419</v>
      </c>
      <c r="AI1205" t="s">
        <v>13852</v>
      </c>
      <c r="AM1205" t="s">
        <v>3750</v>
      </c>
      <c r="AN1205" t="s">
        <v>2055</v>
      </c>
      <c r="AO1205" t="s">
        <v>13853</v>
      </c>
      <c r="AP1205" t="s">
        <v>7024</v>
      </c>
      <c r="AQ1205" t="s">
        <v>13854</v>
      </c>
      <c r="AT1205" s="184">
        <v>33945</v>
      </c>
      <c r="AU1205" t="s">
        <v>13855</v>
      </c>
      <c r="AV1205">
        <v>15</v>
      </c>
      <c r="AW1205" s="184">
        <v>45253</v>
      </c>
      <c r="AX1205" t="s">
        <v>13856</v>
      </c>
      <c r="AY1205">
        <v>50</v>
      </c>
      <c r="AZ1205" s="184">
        <v>45253</v>
      </c>
      <c r="BA1205" t="s">
        <v>13856</v>
      </c>
      <c r="BB1205">
        <v>50</v>
      </c>
      <c r="BC1205">
        <v>52</v>
      </c>
      <c r="BD1205">
        <v>855</v>
      </c>
      <c r="BE1205">
        <v>1993</v>
      </c>
      <c r="BF1205">
        <v>32</v>
      </c>
      <c r="BG1205">
        <v>4</v>
      </c>
      <c r="BH1205">
        <v>200</v>
      </c>
      <c r="BI1205">
        <v>17</v>
      </c>
      <c r="BJ1205">
        <v>33</v>
      </c>
      <c r="BK1205">
        <v>10</v>
      </c>
      <c r="BP1205" s="184"/>
    </row>
    <row r="1206" spans="1:68">
      <c r="A1206">
        <v>8652224</v>
      </c>
      <c r="B1206">
        <v>8652224</v>
      </c>
      <c r="C1206" t="s">
        <v>7018</v>
      </c>
      <c r="D1206" t="s">
        <v>595</v>
      </c>
      <c r="E1206" s="184">
        <v>43642</v>
      </c>
      <c r="G1206" s="184"/>
      <c r="I1206" s="184"/>
      <c r="K1206" s="184"/>
      <c r="O1206" s="184"/>
      <c r="P1206" t="s">
        <v>7045</v>
      </c>
      <c r="Q1206" t="s">
        <v>7262</v>
      </c>
      <c r="R1206" s="184">
        <v>19477</v>
      </c>
      <c r="S1206">
        <v>71</v>
      </c>
      <c r="U1206" t="s">
        <v>7237</v>
      </c>
      <c r="V1206" t="s">
        <v>2511</v>
      </c>
      <c r="W1206" t="s">
        <v>4327</v>
      </c>
      <c r="X1206" t="s">
        <v>3204</v>
      </c>
      <c r="AF1206" t="s">
        <v>13857</v>
      </c>
      <c r="AG1206" t="s">
        <v>2511</v>
      </c>
      <c r="AI1206" t="s">
        <v>13858</v>
      </c>
      <c r="AM1206" t="s">
        <v>13859</v>
      </c>
      <c r="AN1206" t="s">
        <v>2106</v>
      </c>
      <c r="AO1206" t="s">
        <v>13860</v>
      </c>
      <c r="AP1206" t="s">
        <v>7024</v>
      </c>
      <c r="AQ1206" t="s">
        <v>13861</v>
      </c>
      <c r="AT1206" s="184">
        <v>33945</v>
      </c>
      <c r="AU1206" t="s">
        <v>13862</v>
      </c>
      <c r="AV1206">
        <v>15</v>
      </c>
      <c r="AW1206" s="184">
        <v>43465</v>
      </c>
      <c r="AX1206" t="s">
        <v>13863</v>
      </c>
      <c r="AY1206">
        <v>15</v>
      </c>
      <c r="AZ1206" s="184">
        <v>43465</v>
      </c>
      <c r="BA1206" t="s">
        <v>13863</v>
      </c>
      <c r="BB1206">
        <v>15</v>
      </c>
      <c r="BC1206">
        <v>31</v>
      </c>
      <c r="BD1206">
        <v>133</v>
      </c>
      <c r="BE1206">
        <v>1993</v>
      </c>
      <c r="BF1206">
        <v>12</v>
      </c>
      <c r="BI1206">
        <v>10</v>
      </c>
      <c r="BJ1206">
        <v>33</v>
      </c>
      <c r="BK1206">
        <v>7</v>
      </c>
      <c r="BP1206" s="184"/>
    </row>
    <row r="1207" spans="1:68">
      <c r="A1207">
        <v>8689663</v>
      </c>
      <c r="B1207">
        <v>8689663</v>
      </c>
      <c r="C1207" t="s">
        <v>7018</v>
      </c>
      <c r="E1207" s="184"/>
      <c r="G1207" s="184"/>
      <c r="I1207" s="184"/>
      <c r="J1207" t="s">
        <v>595</v>
      </c>
      <c r="K1207" s="184">
        <v>37438</v>
      </c>
      <c r="P1207" t="s">
        <v>7045</v>
      </c>
      <c r="Q1207" t="s">
        <v>7160</v>
      </c>
      <c r="R1207" s="184">
        <v>20342</v>
      </c>
      <c r="S1207">
        <v>68</v>
      </c>
      <c r="U1207" t="s">
        <v>7031</v>
      </c>
      <c r="V1207" t="s">
        <v>2832</v>
      </c>
      <c r="W1207" t="s">
        <v>7246</v>
      </c>
      <c r="X1207" t="s">
        <v>13864</v>
      </c>
      <c r="Z1207">
        <v>100034377</v>
      </c>
      <c r="AA1207" t="s">
        <v>7130</v>
      </c>
      <c r="AB1207" t="s">
        <v>4599</v>
      </c>
      <c r="AD1207" t="s">
        <v>13864</v>
      </c>
      <c r="AF1207" t="s">
        <v>13865</v>
      </c>
      <c r="AG1207" t="s">
        <v>13866</v>
      </c>
      <c r="AI1207" t="s">
        <v>13867</v>
      </c>
      <c r="AM1207" t="s">
        <v>13868</v>
      </c>
      <c r="AN1207" t="s">
        <v>4637</v>
      </c>
      <c r="AO1207" t="s">
        <v>13869</v>
      </c>
      <c r="AP1207" t="s">
        <v>7024</v>
      </c>
      <c r="AQ1207" t="s">
        <v>13870</v>
      </c>
      <c r="AR1207" t="s">
        <v>13871</v>
      </c>
      <c r="AT1207" s="184">
        <v>33948</v>
      </c>
      <c r="AU1207" t="s">
        <v>13872</v>
      </c>
      <c r="AV1207">
        <v>15</v>
      </c>
      <c r="AW1207" s="184">
        <v>40171</v>
      </c>
      <c r="AX1207" t="s">
        <v>11724</v>
      </c>
      <c r="AY1207">
        <v>50</v>
      </c>
      <c r="AZ1207" s="184">
        <v>38713</v>
      </c>
      <c r="BA1207" t="s">
        <v>13873</v>
      </c>
      <c r="BB1207">
        <v>150</v>
      </c>
      <c r="BC1207">
        <v>46</v>
      </c>
      <c r="BD1207">
        <v>1585</v>
      </c>
      <c r="BE1207">
        <v>1993</v>
      </c>
      <c r="BF1207">
        <v>31</v>
      </c>
      <c r="BI1207">
        <v>15</v>
      </c>
      <c r="BJ1207">
        <v>33</v>
      </c>
      <c r="BK1207">
        <v>7</v>
      </c>
      <c r="BP1207" s="184"/>
    </row>
    <row r="1208" spans="1:68">
      <c r="A1208">
        <v>100034377</v>
      </c>
      <c r="B1208">
        <v>8689663</v>
      </c>
      <c r="C1208" t="s">
        <v>7018</v>
      </c>
      <c r="E1208" s="184"/>
      <c r="G1208" s="184"/>
      <c r="I1208" s="184"/>
      <c r="J1208" t="s">
        <v>595</v>
      </c>
      <c r="K1208" s="184">
        <v>43654</v>
      </c>
      <c r="P1208" t="s">
        <v>7045</v>
      </c>
      <c r="Q1208" t="s">
        <v>7160</v>
      </c>
      <c r="R1208" s="184">
        <v>21757</v>
      </c>
      <c r="S1208">
        <v>64</v>
      </c>
      <c r="U1208" t="s">
        <v>7130</v>
      </c>
      <c r="V1208" t="s">
        <v>4599</v>
      </c>
      <c r="X1208" t="s">
        <v>13864</v>
      </c>
      <c r="Z1208">
        <v>8689663</v>
      </c>
      <c r="AA1208" t="s">
        <v>7031</v>
      </c>
      <c r="AB1208" t="s">
        <v>2832</v>
      </c>
      <c r="AC1208" t="s">
        <v>7246</v>
      </c>
      <c r="AD1208" t="s">
        <v>13864</v>
      </c>
      <c r="AF1208" t="s">
        <v>13865</v>
      </c>
      <c r="AG1208" t="s">
        <v>13866</v>
      </c>
      <c r="AI1208" t="s">
        <v>13867</v>
      </c>
      <c r="AM1208" t="s">
        <v>13868</v>
      </c>
      <c r="AN1208" t="s">
        <v>4637</v>
      </c>
      <c r="AO1208" t="s">
        <v>13869</v>
      </c>
      <c r="AP1208" t="s">
        <v>7024</v>
      </c>
      <c r="AQ1208" t="s">
        <v>13874</v>
      </c>
      <c r="AT1208" s="184"/>
      <c r="AW1208" s="184"/>
      <c r="AZ1208" s="184"/>
      <c r="BP1208" s="184"/>
    </row>
    <row r="1209" spans="1:68">
      <c r="A1209">
        <v>8695736</v>
      </c>
      <c r="B1209">
        <v>8695736</v>
      </c>
      <c r="C1209" t="s">
        <v>7018</v>
      </c>
      <c r="E1209" s="184"/>
      <c r="F1209" t="s">
        <v>595</v>
      </c>
      <c r="G1209" s="184">
        <v>43745</v>
      </c>
      <c r="K1209" s="184"/>
      <c r="O1209" s="184"/>
      <c r="P1209" t="s">
        <v>7045</v>
      </c>
      <c r="Q1209" t="s">
        <v>7454</v>
      </c>
      <c r="R1209" s="184">
        <v>13957</v>
      </c>
      <c r="S1209">
        <v>86</v>
      </c>
      <c r="U1209" t="s">
        <v>7076</v>
      </c>
      <c r="V1209" t="s">
        <v>3131</v>
      </c>
      <c r="W1209" t="s">
        <v>7407</v>
      </c>
      <c r="X1209" t="s">
        <v>4075</v>
      </c>
      <c r="AF1209" t="s">
        <v>13875</v>
      </c>
      <c r="AG1209" t="s">
        <v>3131</v>
      </c>
      <c r="AI1209" t="s">
        <v>13876</v>
      </c>
      <c r="AM1209" t="s">
        <v>4076</v>
      </c>
      <c r="AN1209" t="s">
        <v>2055</v>
      </c>
      <c r="AO1209" t="s">
        <v>13877</v>
      </c>
      <c r="AP1209" t="s">
        <v>7024</v>
      </c>
      <c r="AQ1209" t="s">
        <v>13878</v>
      </c>
      <c r="AT1209" s="184">
        <v>33948</v>
      </c>
      <c r="AU1209" t="s">
        <v>13879</v>
      </c>
      <c r="AV1209">
        <v>25</v>
      </c>
      <c r="AW1209" s="184">
        <v>45295</v>
      </c>
      <c r="AX1209" t="s">
        <v>13880</v>
      </c>
      <c r="AY1209">
        <v>300</v>
      </c>
      <c r="AZ1209" s="184">
        <v>45295</v>
      </c>
      <c r="BA1209" t="s">
        <v>13880</v>
      </c>
      <c r="BB1209">
        <v>300</v>
      </c>
      <c r="BC1209">
        <v>94</v>
      </c>
      <c r="BD1209">
        <v>4670</v>
      </c>
      <c r="BE1209">
        <v>1993</v>
      </c>
      <c r="BF1209">
        <v>64</v>
      </c>
      <c r="BG1209">
        <v>3</v>
      </c>
      <c r="BH1209">
        <v>650</v>
      </c>
      <c r="BI1209">
        <v>31</v>
      </c>
      <c r="BJ1209">
        <v>33</v>
      </c>
      <c r="BK1209">
        <v>29</v>
      </c>
      <c r="BP1209" s="184"/>
    </row>
    <row r="1210" spans="1:68">
      <c r="A1210">
        <v>8700536</v>
      </c>
      <c r="B1210">
        <v>8700536</v>
      </c>
      <c r="C1210" t="s">
        <v>7018</v>
      </c>
      <c r="D1210" t="s">
        <v>595</v>
      </c>
      <c r="E1210" s="184">
        <v>44168</v>
      </c>
      <c r="F1210" t="s">
        <v>595</v>
      </c>
      <c r="G1210" s="184">
        <v>45399</v>
      </c>
      <c r="I1210" s="184"/>
      <c r="K1210" s="184"/>
      <c r="O1210" s="184"/>
      <c r="P1210" t="s">
        <v>7045</v>
      </c>
      <c r="Q1210" t="s">
        <v>7374</v>
      </c>
      <c r="R1210" s="184">
        <v>16803</v>
      </c>
      <c r="S1210">
        <v>78</v>
      </c>
      <c r="U1210" t="s">
        <v>7031</v>
      </c>
      <c r="V1210" t="s">
        <v>3047</v>
      </c>
      <c r="W1210" t="s">
        <v>7560</v>
      </c>
      <c r="X1210" t="s">
        <v>13881</v>
      </c>
      <c r="AF1210" t="s">
        <v>13882</v>
      </c>
      <c r="AG1210" t="s">
        <v>3047</v>
      </c>
      <c r="AI1210" t="s">
        <v>13883</v>
      </c>
      <c r="AM1210" t="s">
        <v>5817</v>
      </c>
      <c r="AN1210" t="s">
        <v>2081</v>
      </c>
      <c r="AO1210" t="s">
        <v>13884</v>
      </c>
      <c r="AP1210" t="s">
        <v>7024</v>
      </c>
      <c r="AQ1210" t="s">
        <v>13885</v>
      </c>
      <c r="AT1210" s="184">
        <v>33949</v>
      </c>
      <c r="AU1210" t="s">
        <v>13886</v>
      </c>
      <c r="AV1210">
        <v>10</v>
      </c>
      <c r="AW1210" s="184">
        <v>45159</v>
      </c>
      <c r="AX1210" t="s">
        <v>13887</v>
      </c>
      <c r="AY1210">
        <v>25</v>
      </c>
      <c r="AZ1210" s="184">
        <v>45159</v>
      </c>
      <c r="BA1210" t="s">
        <v>13887</v>
      </c>
      <c r="BB1210">
        <v>25</v>
      </c>
      <c r="BC1210">
        <v>43</v>
      </c>
      <c r="BD1210">
        <v>312</v>
      </c>
      <c r="BE1210">
        <v>1993</v>
      </c>
      <c r="BF1210">
        <v>19</v>
      </c>
      <c r="BG1210">
        <v>1</v>
      </c>
      <c r="BH1210">
        <v>25</v>
      </c>
      <c r="BI1210">
        <v>14</v>
      </c>
      <c r="BJ1210">
        <v>33</v>
      </c>
      <c r="BK1210">
        <v>4</v>
      </c>
      <c r="BP1210" s="184"/>
    </row>
    <row r="1211" spans="1:68">
      <c r="A1211">
        <v>8729238</v>
      </c>
      <c r="B1211">
        <v>8729238</v>
      </c>
      <c r="C1211" t="s">
        <v>7018</v>
      </c>
      <c r="D1211" t="s">
        <v>595</v>
      </c>
      <c r="E1211" s="184">
        <v>45141</v>
      </c>
      <c r="G1211" s="184"/>
      <c r="I1211" s="184"/>
      <c r="K1211" s="184"/>
      <c r="O1211" s="184"/>
      <c r="P1211" t="s">
        <v>7045</v>
      </c>
      <c r="Q1211" t="s">
        <v>7383</v>
      </c>
      <c r="R1211" s="184">
        <v>22455</v>
      </c>
      <c r="S1211">
        <v>62</v>
      </c>
      <c r="U1211" t="s">
        <v>7076</v>
      </c>
      <c r="V1211" t="s">
        <v>3478</v>
      </c>
      <c r="X1211" t="s">
        <v>13888</v>
      </c>
      <c r="AF1211" t="s">
        <v>13889</v>
      </c>
      <c r="AG1211" t="s">
        <v>3478</v>
      </c>
      <c r="AI1211" t="s">
        <v>13890</v>
      </c>
      <c r="AM1211" t="s">
        <v>4650</v>
      </c>
      <c r="AN1211" t="s">
        <v>2313</v>
      </c>
      <c r="AO1211" t="s">
        <v>13891</v>
      </c>
      <c r="AP1211" t="s">
        <v>7024</v>
      </c>
      <c r="AQ1211" t="s">
        <v>13892</v>
      </c>
      <c r="AT1211" s="184">
        <v>33954</v>
      </c>
      <c r="AU1211" t="s">
        <v>13893</v>
      </c>
      <c r="AV1211">
        <v>15</v>
      </c>
      <c r="AW1211" s="184">
        <v>45188</v>
      </c>
      <c r="AX1211" t="s">
        <v>7821</v>
      </c>
      <c r="AY1211">
        <v>35</v>
      </c>
      <c r="AZ1211" s="184">
        <v>37879</v>
      </c>
      <c r="BA1211" t="s">
        <v>13894</v>
      </c>
      <c r="BB1211">
        <v>150</v>
      </c>
      <c r="BC1211">
        <v>97</v>
      </c>
      <c r="BD1211">
        <v>3815</v>
      </c>
      <c r="BE1211">
        <v>1993</v>
      </c>
      <c r="BF1211">
        <v>79</v>
      </c>
      <c r="BG1211">
        <v>4</v>
      </c>
      <c r="BH1211">
        <v>125</v>
      </c>
      <c r="BI1211">
        <v>32</v>
      </c>
      <c r="BJ1211">
        <v>33</v>
      </c>
      <c r="BK1211">
        <v>32</v>
      </c>
      <c r="BN1211" t="s">
        <v>595</v>
      </c>
      <c r="BP1211" s="184"/>
    </row>
    <row r="1212" spans="1:68">
      <c r="A1212">
        <v>8732265</v>
      </c>
      <c r="B1212">
        <v>8732265</v>
      </c>
      <c r="C1212" t="s">
        <v>7018</v>
      </c>
      <c r="D1212" t="s">
        <v>595</v>
      </c>
      <c r="E1212" s="184">
        <v>43773</v>
      </c>
      <c r="G1212" s="184"/>
      <c r="I1212" s="184"/>
      <c r="K1212" s="184"/>
      <c r="O1212" s="184"/>
      <c r="P1212" t="s">
        <v>7045</v>
      </c>
      <c r="Q1212" t="s">
        <v>7194</v>
      </c>
      <c r="R1212" s="184">
        <v>17453</v>
      </c>
      <c r="S1212">
        <v>76</v>
      </c>
      <c r="U1212" t="s">
        <v>7031</v>
      </c>
      <c r="V1212" t="s">
        <v>4254</v>
      </c>
      <c r="X1212" t="s">
        <v>4255</v>
      </c>
      <c r="Z1212">
        <v>100319030</v>
      </c>
      <c r="AA1212" t="s">
        <v>7076</v>
      </c>
      <c r="AB1212" t="s">
        <v>5568</v>
      </c>
      <c r="AD1212" t="s">
        <v>4255</v>
      </c>
      <c r="AF1212" t="s">
        <v>13895</v>
      </c>
      <c r="AG1212" t="s">
        <v>13896</v>
      </c>
      <c r="AI1212" t="s">
        <v>13897</v>
      </c>
      <c r="AM1212" t="s">
        <v>4256</v>
      </c>
      <c r="AN1212" t="s">
        <v>2046</v>
      </c>
      <c r="AO1212" t="s">
        <v>13898</v>
      </c>
      <c r="AP1212" t="s">
        <v>7024</v>
      </c>
      <c r="AT1212" s="184">
        <v>33954</v>
      </c>
      <c r="AU1212" t="s">
        <v>13899</v>
      </c>
      <c r="AV1212">
        <v>15</v>
      </c>
      <c r="AW1212" s="184">
        <v>45126</v>
      </c>
      <c r="AX1212" t="s">
        <v>13900</v>
      </c>
      <c r="AY1212">
        <v>100</v>
      </c>
      <c r="AZ1212" s="184">
        <v>45126</v>
      </c>
      <c r="BA1212" t="s">
        <v>13900</v>
      </c>
      <c r="BB1212">
        <v>100</v>
      </c>
      <c r="BC1212">
        <v>79</v>
      </c>
      <c r="BD1212">
        <v>1645</v>
      </c>
      <c r="BE1212">
        <v>1993</v>
      </c>
      <c r="BF1212">
        <v>30</v>
      </c>
      <c r="BG1212">
        <v>3</v>
      </c>
      <c r="BH1212">
        <v>300</v>
      </c>
      <c r="BI1212">
        <v>26</v>
      </c>
      <c r="BJ1212">
        <v>33</v>
      </c>
      <c r="BK1212">
        <v>11</v>
      </c>
      <c r="BP1212" s="184"/>
    </row>
    <row r="1213" spans="1:68">
      <c r="A1213">
        <v>100319030</v>
      </c>
      <c r="B1213">
        <v>8732265</v>
      </c>
      <c r="C1213" t="s">
        <v>7018</v>
      </c>
      <c r="D1213" t="s">
        <v>595</v>
      </c>
      <c r="E1213" s="184">
        <v>43773</v>
      </c>
      <c r="I1213" s="184"/>
      <c r="K1213" s="184"/>
      <c r="O1213" s="184"/>
      <c r="P1213" t="s">
        <v>7045</v>
      </c>
      <c r="Q1213" t="s">
        <v>7194</v>
      </c>
      <c r="R1213" s="184">
        <v>18464</v>
      </c>
      <c r="S1213">
        <v>73</v>
      </c>
      <c r="U1213" t="s">
        <v>7076</v>
      </c>
      <c r="V1213" t="s">
        <v>5568</v>
      </c>
      <c r="X1213" t="s">
        <v>4255</v>
      </c>
      <c r="Z1213">
        <v>8732265</v>
      </c>
      <c r="AA1213" t="s">
        <v>7031</v>
      </c>
      <c r="AB1213" t="s">
        <v>4254</v>
      </c>
      <c r="AD1213" t="s">
        <v>4255</v>
      </c>
      <c r="AF1213" t="s">
        <v>13895</v>
      </c>
      <c r="AG1213" t="s">
        <v>13896</v>
      </c>
      <c r="AI1213" t="s">
        <v>13897</v>
      </c>
      <c r="AM1213" t="s">
        <v>4256</v>
      </c>
      <c r="AN1213" t="s">
        <v>2046</v>
      </c>
      <c r="AO1213" t="s">
        <v>13898</v>
      </c>
      <c r="AP1213" t="s">
        <v>7024</v>
      </c>
      <c r="AT1213" s="184"/>
      <c r="AW1213" s="184"/>
      <c r="AZ1213" s="184"/>
      <c r="BP1213" s="184"/>
    </row>
    <row r="1214" spans="1:68">
      <c r="A1214">
        <v>8740458</v>
      </c>
      <c r="B1214">
        <v>8740458</v>
      </c>
      <c r="C1214" t="s">
        <v>7018</v>
      </c>
      <c r="E1214" s="184"/>
      <c r="G1214" s="184"/>
      <c r="I1214" s="184"/>
      <c r="J1214" t="s">
        <v>595</v>
      </c>
      <c r="K1214" s="184">
        <v>37435</v>
      </c>
      <c r="O1214" s="184"/>
      <c r="P1214" t="s">
        <v>7045</v>
      </c>
      <c r="Q1214" t="s">
        <v>7374</v>
      </c>
      <c r="R1214" s="184">
        <v>13953</v>
      </c>
      <c r="S1214">
        <v>86</v>
      </c>
      <c r="U1214" t="s">
        <v>7031</v>
      </c>
      <c r="V1214" t="s">
        <v>13901</v>
      </c>
      <c r="W1214" t="s">
        <v>7246</v>
      </c>
      <c r="X1214" t="s">
        <v>13902</v>
      </c>
      <c r="AF1214" t="s">
        <v>6303</v>
      </c>
      <c r="AG1214" t="s">
        <v>13901</v>
      </c>
      <c r="AI1214" t="s">
        <v>13903</v>
      </c>
      <c r="AM1214" t="s">
        <v>4297</v>
      </c>
      <c r="AN1214" t="s">
        <v>2526</v>
      </c>
      <c r="AO1214" t="s">
        <v>13904</v>
      </c>
      <c r="AP1214" t="s">
        <v>7024</v>
      </c>
      <c r="AQ1214" t="s">
        <v>13905</v>
      </c>
      <c r="AT1214" s="184">
        <v>33955</v>
      </c>
      <c r="AU1214" t="s">
        <v>13906</v>
      </c>
      <c r="AV1214">
        <v>65</v>
      </c>
      <c r="AW1214" s="184">
        <v>34765</v>
      </c>
      <c r="AX1214" t="s">
        <v>13907</v>
      </c>
      <c r="AY1214">
        <v>250</v>
      </c>
      <c r="AZ1214" s="184">
        <v>34515</v>
      </c>
      <c r="BA1214" t="s">
        <v>13908</v>
      </c>
      <c r="BB1214">
        <v>500</v>
      </c>
      <c r="BC1214">
        <v>13</v>
      </c>
      <c r="BD1214">
        <v>1730</v>
      </c>
      <c r="BE1214">
        <v>1993</v>
      </c>
      <c r="BF1214">
        <v>8</v>
      </c>
      <c r="BI1214">
        <v>4</v>
      </c>
      <c r="BJ1214">
        <v>33</v>
      </c>
      <c r="BK1214">
        <v>4</v>
      </c>
      <c r="BN1214" t="s">
        <v>595</v>
      </c>
      <c r="BP1214" s="184"/>
    </row>
    <row r="1215" spans="1:68">
      <c r="A1215">
        <v>8758112</v>
      </c>
      <c r="B1215">
        <v>8758112</v>
      </c>
      <c r="C1215" t="s">
        <v>7018</v>
      </c>
      <c r="E1215" s="184"/>
      <c r="G1215" s="184"/>
      <c r="H1215" t="s">
        <v>595</v>
      </c>
      <c r="I1215" s="184">
        <v>44389</v>
      </c>
      <c r="K1215" s="184"/>
      <c r="O1215" s="184"/>
      <c r="P1215" t="s">
        <v>7045</v>
      </c>
      <c r="Q1215" t="s">
        <v>7020</v>
      </c>
      <c r="R1215" s="184">
        <v>18019</v>
      </c>
      <c r="S1215">
        <v>75</v>
      </c>
      <c r="U1215" t="s">
        <v>13909</v>
      </c>
      <c r="V1215" t="s">
        <v>2832</v>
      </c>
      <c r="X1215" t="s">
        <v>2582</v>
      </c>
      <c r="AF1215" t="s">
        <v>13910</v>
      </c>
      <c r="AG1215" t="s">
        <v>2832</v>
      </c>
      <c r="AI1215" t="s">
        <v>13911</v>
      </c>
      <c r="AM1215" t="s">
        <v>2860</v>
      </c>
      <c r="AN1215" t="s">
        <v>2112</v>
      </c>
      <c r="AO1215" t="s">
        <v>13912</v>
      </c>
      <c r="AP1215" t="s">
        <v>7024</v>
      </c>
      <c r="AQ1215" t="s">
        <v>13913</v>
      </c>
      <c r="AT1215" s="184">
        <v>33966</v>
      </c>
      <c r="AU1215" t="s">
        <v>13914</v>
      </c>
      <c r="AV1215">
        <v>15</v>
      </c>
      <c r="AW1215" s="184">
        <v>44645</v>
      </c>
      <c r="AX1215" t="s">
        <v>13915</v>
      </c>
      <c r="AY1215">
        <v>50</v>
      </c>
      <c r="AZ1215" s="184">
        <v>44645</v>
      </c>
      <c r="BA1215" t="s">
        <v>13915</v>
      </c>
      <c r="BB1215">
        <v>50</v>
      </c>
      <c r="BC1215">
        <v>76</v>
      </c>
      <c r="BD1215">
        <v>1087</v>
      </c>
      <c r="BE1215">
        <v>1993</v>
      </c>
      <c r="BF1215">
        <v>31</v>
      </c>
      <c r="BI1215">
        <v>25</v>
      </c>
      <c r="BJ1215">
        <v>33</v>
      </c>
      <c r="BK1215">
        <v>13</v>
      </c>
      <c r="BP1215" s="184"/>
    </row>
    <row r="1216" spans="1:68">
      <c r="A1216">
        <v>8776627</v>
      </c>
      <c r="B1216">
        <v>8776627</v>
      </c>
      <c r="C1216" t="s">
        <v>7018</v>
      </c>
      <c r="D1216" t="s">
        <v>595</v>
      </c>
      <c r="E1216" s="184">
        <v>44073</v>
      </c>
      <c r="G1216" s="184"/>
      <c r="I1216" s="184"/>
      <c r="K1216" s="184"/>
      <c r="O1216" s="184"/>
      <c r="P1216" t="s">
        <v>7045</v>
      </c>
      <c r="Q1216" t="s">
        <v>7020</v>
      </c>
      <c r="R1216" s="184">
        <v>19575</v>
      </c>
      <c r="S1216">
        <v>70</v>
      </c>
      <c r="U1216" t="s">
        <v>7031</v>
      </c>
      <c r="V1216" t="s">
        <v>2541</v>
      </c>
      <c r="W1216" t="s">
        <v>3332</v>
      </c>
      <c r="X1216" t="s">
        <v>5082</v>
      </c>
      <c r="AF1216" t="s">
        <v>13916</v>
      </c>
      <c r="AG1216" t="s">
        <v>2541</v>
      </c>
      <c r="AI1216" t="s">
        <v>13917</v>
      </c>
      <c r="AM1216" t="s">
        <v>11700</v>
      </c>
      <c r="AN1216" t="s">
        <v>2240</v>
      </c>
      <c r="AO1216" t="s">
        <v>13918</v>
      </c>
      <c r="AP1216" t="s">
        <v>7024</v>
      </c>
      <c r="AQ1216" t="s">
        <v>13919</v>
      </c>
      <c r="AT1216" s="184">
        <v>33969</v>
      </c>
      <c r="AU1216" t="s">
        <v>13872</v>
      </c>
      <c r="AV1216">
        <v>15</v>
      </c>
      <c r="AW1216" s="184">
        <v>45160</v>
      </c>
      <c r="AX1216" t="s">
        <v>9097</v>
      </c>
      <c r="AY1216">
        <v>75</v>
      </c>
      <c r="AZ1216" s="184">
        <v>45160</v>
      </c>
      <c r="BA1216" t="s">
        <v>9097</v>
      </c>
      <c r="BB1216">
        <v>75</v>
      </c>
      <c r="BC1216">
        <v>91</v>
      </c>
      <c r="BD1216">
        <v>1660</v>
      </c>
      <c r="BE1216">
        <v>1993</v>
      </c>
      <c r="BF1216">
        <v>34</v>
      </c>
      <c r="BG1216">
        <v>2</v>
      </c>
      <c r="BH1216">
        <v>150</v>
      </c>
      <c r="BI1216">
        <v>30</v>
      </c>
      <c r="BJ1216">
        <v>33</v>
      </c>
      <c r="BK1216">
        <v>26</v>
      </c>
      <c r="BN1216" t="s">
        <v>595</v>
      </c>
      <c r="BP1216" s="184"/>
    </row>
    <row r="1217" spans="1:68">
      <c r="A1217">
        <v>8781767</v>
      </c>
      <c r="B1217">
        <v>8781767</v>
      </c>
      <c r="C1217" t="s">
        <v>7018</v>
      </c>
      <c r="D1217" t="s">
        <v>595</v>
      </c>
      <c r="E1217" s="184">
        <v>45195</v>
      </c>
      <c r="G1217" s="184"/>
      <c r="K1217" s="184"/>
      <c r="O1217" s="184"/>
      <c r="P1217" t="s">
        <v>7045</v>
      </c>
      <c r="Q1217" t="s">
        <v>7383</v>
      </c>
      <c r="R1217" s="184">
        <v>23176</v>
      </c>
      <c r="S1217">
        <v>60</v>
      </c>
      <c r="V1217" t="s">
        <v>2511</v>
      </c>
      <c r="X1217" t="s">
        <v>13920</v>
      </c>
      <c r="Z1217">
        <v>100034758</v>
      </c>
      <c r="AB1217" t="s">
        <v>3011</v>
      </c>
      <c r="AD1217" t="s">
        <v>13920</v>
      </c>
      <c r="AF1217" t="s">
        <v>13921</v>
      </c>
      <c r="AG1217" t="s">
        <v>13922</v>
      </c>
      <c r="AI1217" t="s">
        <v>13923</v>
      </c>
      <c r="AM1217" t="s">
        <v>13924</v>
      </c>
      <c r="AN1217" t="s">
        <v>2144</v>
      </c>
      <c r="AO1217" t="s">
        <v>13925</v>
      </c>
      <c r="AP1217" t="s">
        <v>7024</v>
      </c>
      <c r="AT1217" s="184">
        <v>33977</v>
      </c>
      <c r="AU1217" t="s">
        <v>13926</v>
      </c>
      <c r="AV1217">
        <v>15</v>
      </c>
      <c r="AW1217" s="184">
        <v>45203</v>
      </c>
      <c r="AX1217" t="s">
        <v>9097</v>
      </c>
      <c r="AY1217">
        <v>50</v>
      </c>
      <c r="AZ1217" s="184">
        <v>39475</v>
      </c>
      <c r="BA1217" t="s">
        <v>13927</v>
      </c>
      <c r="BB1217">
        <v>87</v>
      </c>
      <c r="BC1217">
        <v>82</v>
      </c>
      <c r="BD1217">
        <v>1778.79</v>
      </c>
      <c r="BE1217">
        <v>1993</v>
      </c>
      <c r="BF1217">
        <v>61</v>
      </c>
      <c r="BG1217">
        <v>1</v>
      </c>
      <c r="BH1217">
        <v>50</v>
      </c>
      <c r="BI1217">
        <v>26</v>
      </c>
      <c r="BJ1217">
        <v>32</v>
      </c>
      <c r="BK1217">
        <v>17</v>
      </c>
      <c r="BP1217" s="184"/>
    </row>
    <row r="1218" spans="1:68">
      <c r="A1218">
        <v>100034758</v>
      </c>
      <c r="B1218">
        <v>8781767</v>
      </c>
      <c r="C1218" t="s">
        <v>7018</v>
      </c>
      <c r="D1218" t="s">
        <v>595</v>
      </c>
      <c r="E1218" s="184">
        <v>45195</v>
      </c>
      <c r="G1218" s="184"/>
      <c r="I1218" s="184"/>
      <c r="K1218" s="184"/>
      <c r="O1218" s="184"/>
      <c r="P1218" t="s">
        <v>7045</v>
      </c>
      <c r="Q1218" t="s">
        <v>7383</v>
      </c>
      <c r="R1218" s="184">
        <v>23003</v>
      </c>
      <c r="S1218">
        <v>61</v>
      </c>
      <c r="V1218" t="s">
        <v>3011</v>
      </c>
      <c r="X1218" t="s">
        <v>13920</v>
      </c>
      <c r="Z1218">
        <v>8781767</v>
      </c>
      <c r="AB1218" t="s">
        <v>2511</v>
      </c>
      <c r="AD1218" t="s">
        <v>13920</v>
      </c>
      <c r="AF1218" t="s">
        <v>13921</v>
      </c>
      <c r="AG1218" t="s">
        <v>13922</v>
      </c>
      <c r="AI1218" t="s">
        <v>13923</v>
      </c>
      <c r="AM1218" t="s">
        <v>13924</v>
      </c>
      <c r="AN1218" t="s">
        <v>2144</v>
      </c>
      <c r="AO1218" t="s">
        <v>13925</v>
      </c>
      <c r="AP1218" t="s">
        <v>7024</v>
      </c>
      <c r="AQ1218" t="s">
        <v>13928</v>
      </c>
      <c r="AT1218" s="184"/>
      <c r="AW1218" s="184"/>
      <c r="AZ1218" s="184"/>
      <c r="BP1218" s="184"/>
    </row>
    <row r="1219" spans="1:68">
      <c r="A1219">
        <v>8786501</v>
      </c>
      <c r="B1219">
        <v>8786501</v>
      </c>
      <c r="C1219" t="s">
        <v>7018</v>
      </c>
      <c r="D1219" t="s">
        <v>595</v>
      </c>
      <c r="E1219" s="184">
        <v>44441</v>
      </c>
      <c r="G1219" s="184"/>
      <c r="I1219" s="184"/>
      <c r="K1219" s="184"/>
      <c r="O1219" s="184"/>
      <c r="P1219" t="s">
        <v>7045</v>
      </c>
      <c r="Q1219" t="s">
        <v>7383</v>
      </c>
      <c r="R1219" s="184">
        <v>16742</v>
      </c>
      <c r="S1219">
        <v>78</v>
      </c>
      <c r="U1219" t="s">
        <v>7076</v>
      </c>
      <c r="V1219" t="s">
        <v>2918</v>
      </c>
      <c r="X1219" t="s">
        <v>13929</v>
      </c>
      <c r="AF1219" t="s">
        <v>13930</v>
      </c>
      <c r="AG1219" t="s">
        <v>2918</v>
      </c>
      <c r="AI1219" t="s">
        <v>13931</v>
      </c>
      <c r="AM1219" t="s">
        <v>13932</v>
      </c>
      <c r="AN1219" t="s">
        <v>2072</v>
      </c>
      <c r="AO1219" t="s">
        <v>13933</v>
      </c>
      <c r="AP1219" t="s">
        <v>7024</v>
      </c>
      <c r="AQ1219" t="s">
        <v>13934</v>
      </c>
      <c r="AT1219" s="184">
        <v>33980</v>
      </c>
      <c r="AU1219" t="s">
        <v>13935</v>
      </c>
      <c r="AV1219">
        <v>15</v>
      </c>
      <c r="AW1219" s="184">
        <v>45138</v>
      </c>
      <c r="AX1219" t="s">
        <v>13936</v>
      </c>
      <c r="AY1219">
        <v>25</v>
      </c>
      <c r="AZ1219" s="184">
        <v>36130</v>
      </c>
      <c r="BA1219" t="s">
        <v>13937</v>
      </c>
      <c r="BB1219">
        <v>70</v>
      </c>
      <c r="BC1219">
        <v>35</v>
      </c>
      <c r="BD1219">
        <v>409.97</v>
      </c>
      <c r="BE1219">
        <v>1993</v>
      </c>
      <c r="BF1219">
        <v>14</v>
      </c>
      <c r="BG1219">
        <v>2</v>
      </c>
      <c r="BH1219">
        <v>50</v>
      </c>
      <c r="BI1219">
        <v>11</v>
      </c>
      <c r="BJ1219">
        <v>32</v>
      </c>
      <c r="BK1219">
        <v>2</v>
      </c>
      <c r="BP1219" s="184"/>
    </row>
    <row r="1220" spans="1:68">
      <c r="A1220">
        <v>8786519</v>
      </c>
      <c r="B1220">
        <v>8786519</v>
      </c>
      <c r="C1220" t="s">
        <v>7018</v>
      </c>
      <c r="E1220" s="184"/>
      <c r="G1220" s="184"/>
      <c r="I1220" s="184"/>
      <c r="J1220" t="s">
        <v>595</v>
      </c>
      <c r="K1220" s="184">
        <v>44073</v>
      </c>
      <c r="O1220" s="184"/>
      <c r="P1220" t="s">
        <v>7045</v>
      </c>
      <c r="Q1220" t="s">
        <v>7262</v>
      </c>
      <c r="R1220" s="184">
        <v>19299</v>
      </c>
      <c r="S1220">
        <v>71</v>
      </c>
      <c r="U1220" t="s">
        <v>7076</v>
      </c>
      <c r="V1220" t="s">
        <v>3220</v>
      </c>
      <c r="X1220" t="s">
        <v>13938</v>
      </c>
      <c r="AF1220" t="s">
        <v>13939</v>
      </c>
      <c r="AG1220" t="s">
        <v>3220</v>
      </c>
      <c r="AI1220" t="s">
        <v>13940</v>
      </c>
      <c r="AM1220" t="s">
        <v>13941</v>
      </c>
      <c r="AN1220" t="s">
        <v>2106</v>
      </c>
      <c r="AO1220" t="s">
        <v>13942</v>
      </c>
      <c r="AP1220" t="s">
        <v>7024</v>
      </c>
      <c r="AT1220" s="184">
        <v>33980</v>
      </c>
      <c r="AU1220" t="s">
        <v>13943</v>
      </c>
      <c r="AV1220">
        <v>15</v>
      </c>
      <c r="AW1220" s="184">
        <v>45057</v>
      </c>
      <c r="AX1220" t="s">
        <v>13944</v>
      </c>
      <c r="AY1220">
        <v>50</v>
      </c>
      <c r="AZ1220" s="184">
        <v>45057</v>
      </c>
      <c r="BA1220" t="s">
        <v>13944</v>
      </c>
      <c r="BB1220">
        <v>50</v>
      </c>
      <c r="BC1220">
        <v>85</v>
      </c>
      <c r="BD1220">
        <v>1100</v>
      </c>
      <c r="BE1220">
        <v>1993</v>
      </c>
      <c r="BF1220">
        <v>44</v>
      </c>
      <c r="BG1220">
        <v>3</v>
      </c>
      <c r="BH1220">
        <v>150</v>
      </c>
      <c r="BI1220">
        <v>27</v>
      </c>
      <c r="BJ1220">
        <v>32</v>
      </c>
      <c r="BK1220">
        <v>11</v>
      </c>
      <c r="BP1220" s="184"/>
    </row>
    <row r="1221" spans="1:68">
      <c r="A1221">
        <v>8802126</v>
      </c>
      <c r="B1221">
        <v>8802126</v>
      </c>
      <c r="C1221" t="s">
        <v>7018</v>
      </c>
      <c r="D1221" t="s">
        <v>595</v>
      </c>
      <c r="E1221" s="184">
        <v>44073</v>
      </c>
      <c r="G1221" s="184"/>
      <c r="I1221" s="184"/>
      <c r="K1221" s="184"/>
      <c r="O1221" s="184"/>
      <c r="P1221" t="s">
        <v>7045</v>
      </c>
      <c r="Q1221" t="s">
        <v>7383</v>
      </c>
      <c r="R1221" s="184">
        <v>11968</v>
      </c>
      <c r="S1221">
        <v>91</v>
      </c>
      <c r="U1221" t="s">
        <v>7031</v>
      </c>
      <c r="V1221" t="s">
        <v>3103</v>
      </c>
      <c r="X1221" t="s">
        <v>13945</v>
      </c>
      <c r="Z1221">
        <v>100467752</v>
      </c>
      <c r="AA1221" t="s">
        <v>7130</v>
      </c>
      <c r="AB1221" t="s">
        <v>2580</v>
      </c>
      <c r="AD1221" t="s">
        <v>13945</v>
      </c>
      <c r="AF1221" t="s">
        <v>13946</v>
      </c>
      <c r="AG1221" t="s">
        <v>13947</v>
      </c>
      <c r="AI1221" t="s">
        <v>13948</v>
      </c>
      <c r="AM1221" t="s">
        <v>13949</v>
      </c>
      <c r="AN1221" t="s">
        <v>2144</v>
      </c>
      <c r="AO1221" t="s">
        <v>13950</v>
      </c>
      <c r="AP1221" t="s">
        <v>7024</v>
      </c>
      <c r="AT1221" s="184">
        <v>33969</v>
      </c>
      <c r="AU1221" t="s">
        <v>13951</v>
      </c>
      <c r="AV1221">
        <v>15</v>
      </c>
      <c r="AW1221" s="184">
        <v>45103</v>
      </c>
      <c r="AX1221" t="s">
        <v>7159</v>
      </c>
      <c r="AY1221">
        <v>50</v>
      </c>
      <c r="AZ1221" s="184">
        <v>44799</v>
      </c>
      <c r="BA1221" t="s">
        <v>13952</v>
      </c>
      <c r="BB1221">
        <v>100</v>
      </c>
      <c r="BC1221">
        <v>37</v>
      </c>
      <c r="BD1221">
        <v>720</v>
      </c>
      <c r="BE1221">
        <v>1993</v>
      </c>
      <c r="BF1221">
        <v>15</v>
      </c>
      <c r="BG1221">
        <v>2</v>
      </c>
      <c r="BH1221">
        <v>150</v>
      </c>
      <c r="BI1221">
        <v>12</v>
      </c>
      <c r="BJ1221">
        <v>33</v>
      </c>
      <c r="BK1221">
        <v>5</v>
      </c>
      <c r="BP1221" s="184"/>
    </row>
    <row r="1222" spans="1:68">
      <c r="A1222">
        <v>100467752</v>
      </c>
      <c r="B1222">
        <v>8802126</v>
      </c>
      <c r="C1222" t="s">
        <v>7018</v>
      </c>
      <c r="D1222" t="s">
        <v>595</v>
      </c>
      <c r="E1222" s="184">
        <v>44073</v>
      </c>
      <c r="G1222" s="184"/>
      <c r="K1222" s="184"/>
      <c r="O1222" s="184"/>
      <c r="P1222" t="s">
        <v>7045</v>
      </c>
      <c r="Q1222" t="s">
        <v>7383</v>
      </c>
      <c r="R1222" s="184">
        <v>15592</v>
      </c>
      <c r="S1222">
        <v>81</v>
      </c>
      <c r="U1222" t="s">
        <v>7130</v>
      </c>
      <c r="V1222" t="s">
        <v>2580</v>
      </c>
      <c r="X1222" t="s">
        <v>13945</v>
      </c>
      <c r="Z1222">
        <v>8802126</v>
      </c>
      <c r="AA1222" t="s">
        <v>7031</v>
      </c>
      <c r="AB1222" t="s">
        <v>3103</v>
      </c>
      <c r="AD1222" t="s">
        <v>13945</v>
      </c>
      <c r="AF1222" t="s">
        <v>13946</v>
      </c>
      <c r="AG1222" t="s">
        <v>13947</v>
      </c>
      <c r="AI1222" t="s">
        <v>13948</v>
      </c>
      <c r="AM1222" t="s">
        <v>13949</v>
      </c>
      <c r="AN1222" t="s">
        <v>2144</v>
      </c>
      <c r="AO1222" t="s">
        <v>13950</v>
      </c>
      <c r="AP1222" t="s">
        <v>7024</v>
      </c>
      <c r="AQ1222" t="s">
        <v>13953</v>
      </c>
      <c r="AT1222" s="184"/>
      <c r="AW1222" s="184"/>
      <c r="AZ1222" s="184"/>
      <c r="BP1222" s="184"/>
    </row>
    <row r="1223" spans="1:68">
      <c r="A1223">
        <v>8850398</v>
      </c>
      <c r="B1223">
        <v>8850398</v>
      </c>
      <c r="C1223" t="s">
        <v>7018</v>
      </c>
      <c r="E1223" s="184"/>
      <c r="G1223" s="184"/>
      <c r="J1223" t="s">
        <v>595</v>
      </c>
      <c r="K1223" s="184">
        <v>40945</v>
      </c>
      <c r="O1223" s="184"/>
      <c r="P1223" t="s">
        <v>7019</v>
      </c>
      <c r="Q1223" t="s">
        <v>7160</v>
      </c>
      <c r="R1223" s="184">
        <v>18567</v>
      </c>
      <c r="S1223">
        <v>73</v>
      </c>
      <c r="V1223" t="s">
        <v>2786</v>
      </c>
      <c r="X1223" t="s">
        <v>3938</v>
      </c>
      <c r="AF1223" t="s">
        <v>6601</v>
      </c>
      <c r="AG1223" t="s">
        <v>2786</v>
      </c>
      <c r="AI1223" t="s">
        <v>13954</v>
      </c>
      <c r="AM1223" t="s">
        <v>13955</v>
      </c>
      <c r="AN1223" t="s">
        <v>2395</v>
      </c>
      <c r="AO1223">
        <v>30707</v>
      </c>
      <c r="AP1223" t="s">
        <v>7024</v>
      </c>
      <c r="AQ1223" t="s">
        <v>13956</v>
      </c>
      <c r="AR1223" t="s">
        <v>13957</v>
      </c>
      <c r="AT1223" s="184">
        <v>33988</v>
      </c>
      <c r="AU1223" t="s">
        <v>13958</v>
      </c>
      <c r="AV1223">
        <v>15</v>
      </c>
      <c r="AW1223" s="184">
        <v>40925</v>
      </c>
      <c r="AX1223" t="s">
        <v>13959</v>
      </c>
      <c r="AY1223">
        <v>25</v>
      </c>
      <c r="AZ1223" s="184">
        <v>40925</v>
      </c>
      <c r="BA1223" t="s">
        <v>13202</v>
      </c>
      <c r="BB1223">
        <v>60</v>
      </c>
      <c r="BC1223">
        <v>25</v>
      </c>
      <c r="BD1223">
        <v>455</v>
      </c>
      <c r="BE1223">
        <v>1993</v>
      </c>
      <c r="BF1223">
        <v>15</v>
      </c>
      <c r="BI1223">
        <v>8</v>
      </c>
      <c r="BJ1223">
        <v>32</v>
      </c>
      <c r="BK1223">
        <v>3</v>
      </c>
      <c r="BP1223" s="184"/>
    </row>
    <row r="1224" spans="1:68">
      <c r="A1224">
        <v>8856452</v>
      </c>
      <c r="B1224">
        <v>8856452</v>
      </c>
      <c r="C1224" t="s">
        <v>7018</v>
      </c>
      <c r="E1224" s="184"/>
      <c r="G1224" s="184"/>
      <c r="K1224" s="184"/>
      <c r="N1224" t="s">
        <v>595</v>
      </c>
      <c r="O1224" s="184">
        <v>36887</v>
      </c>
      <c r="P1224" t="s">
        <v>7045</v>
      </c>
      <c r="Q1224" t="s">
        <v>7374</v>
      </c>
      <c r="R1224" s="184">
        <v>10169</v>
      </c>
      <c r="S1224">
        <v>96</v>
      </c>
      <c r="U1224" t="s">
        <v>7076</v>
      </c>
      <c r="V1224" t="s">
        <v>5466</v>
      </c>
      <c r="X1224" t="s">
        <v>5465</v>
      </c>
      <c r="Z1224">
        <v>100180399</v>
      </c>
      <c r="AA1224" t="s">
        <v>7031</v>
      </c>
      <c r="AB1224" t="s">
        <v>3632</v>
      </c>
      <c r="AD1224" t="s">
        <v>5465</v>
      </c>
      <c r="AF1224" t="s">
        <v>13960</v>
      </c>
      <c r="AG1224" t="s">
        <v>5466</v>
      </c>
      <c r="AI1224" t="s">
        <v>13961</v>
      </c>
      <c r="AM1224" t="s">
        <v>4551</v>
      </c>
      <c r="AN1224" t="s">
        <v>2081</v>
      </c>
      <c r="AO1224" t="s">
        <v>13962</v>
      </c>
      <c r="AP1224" t="s">
        <v>7024</v>
      </c>
      <c r="AT1224" s="184">
        <v>33990</v>
      </c>
      <c r="AU1224" t="s">
        <v>13963</v>
      </c>
      <c r="AV1224">
        <v>15</v>
      </c>
      <c r="AW1224" s="184">
        <v>41166</v>
      </c>
      <c r="AX1224" t="s">
        <v>13964</v>
      </c>
      <c r="AY1224">
        <v>15</v>
      </c>
      <c r="AZ1224" s="184">
        <v>36887</v>
      </c>
      <c r="BA1224" t="s">
        <v>8173</v>
      </c>
      <c r="BB1224">
        <v>14522.25</v>
      </c>
      <c r="BC1224">
        <v>41</v>
      </c>
      <c r="BD1224">
        <v>66857.45</v>
      </c>
      <c r="BE1224">
        <v>1993</v>
      </c>
      <c r="BF1224">
        <v>17</v>
      </c>
      <c r="BI1224">
        <v>13</v>
      </c>
      <c r="BJ1224">
        <v>32</v>
      </c>
      <c r="BK1224">
        <v>8</v>
      </c>
      <c r="BL1224" t="s">
        <v>595</v>
      </c>
      <c r="BM1224" t="s">
        <v>595</v>
      </c>
      <c r="BN1224" t="s">
        <v>595</v>
      </c>
      <c r="BO1224" t="s">
        <v>595</v>
      </c>
      <c r="BP1224" s="184">
        <v>43852</v>
      </c>
    </row>
    <row r="1225" spans="1:68">
      <c r="A1225">
        <v>100180399</v>
      </c>
      <c r="B1225">
        <v>8856452</v>
      </c>
      <c r="C1225" t="s">
        <v>7018</v>
      </c>
      <c r="E1225" s="184"/>
      <c r="G1225" s="184"/>
      <c r="I1225" s="184"/>
      <c r="K1225" s="184"/>
      <c r="N1225" t="s">
        <v>595</v>
      </c>
      <c r="O1225" s="184">
        <v>36887</v>
      </c>
      <c r="P1225" t="s">
        <v>7045</v>
      </c>
      <c r="Q1225" t="s">
        <v>7374</v>
      </c>
      <c r="R1225" s="184">
        <v>10179</v>
      </c>
      <c r="S1225">
        <v>96</v>
      </c>
      <c r="U1225" t="s">
        <v>7031</v>
      </c>
      <c r="V1225" t="s">
        <v>3632</v>
      </c>
      <c r="X1225" t="s">
        <v>5465</v>
      </c>
      <c r="Z1225">
        <v>8856452</v>
      </c>
      <c r="AA1225" t="s">
        <v>7076</v>
      </c>
      <c r="AB1225" t="s">
        <v>5466</v>
      </c>
      <c r="AD1225" t="s">
        <v>5465</v>
      </c>
      <c r="AF1225" t="s">
        <v>13960</v>
      </c>
      <c r="AG1225" t="s">
        <v>5466</v>
      </c>
      <c r="AI1225" t="s">
        <v>13961</v>
      </c>
      <c r="AM1225" t="s">
        <v>4551</v>
      </c>
      <c r="AN1225" t="s">
        <v>2081</v>
      </c>
      <c r="AO1225" t="s">
        <v>13962</v>
      </c>
      <c r="AP1225" t="s">
        <v>7024</v>
      </c>
      <c r="AQ1225" t="s">
        <v>13965</v>
      </c>
      <c r="AT1225" s="184"/>
      <c r="AW1225" s="184"/>
      <c r="AZ1225" s="184"/>
      <c r="BL1225" t="s">
        <v>595</v>
      </c>
      <c r="BN1225" t="s">
        <v>595</v>
      </c>
      <c r="BO1225" t="s">
        <v>595</v>
      </c>
      <c r="BP1225" s="184">
        <v>42021</v>
      </c>
    </row>
    <row r="1226" spans="1:68">
      <c r="A1226">
        <v>8878134</v>
      </c>
      <c r="B1226">
        <v>8878134</v>
      </c>
      <c r="C1226" t="s">
        <v>7018</v>
      </c>
      <c r="D1226" t="s">
        <v>595</v>
      </c>
      <c r="E1226" s="184">
        <v>44313</v>
      </c>
      <c r="I1226" s="184"/>
      <c r="K1226" s="184"/>
      <c r="O1226" s="184"/>
      <c r="P1226" t="s">
        <v>7029</v>
      </c>
      <c r="Q1226" t="s">
        <v>7383</v>
      </c>
      <c r="R1226" s="184">
        <v>18249</v>
      </c>
      <c r="S1226">
        <v>74</v>
      </c>
      <c r="V1226" t="s">
        <v>3011</v>
      </c>
      <c r="X1226" t="s">
        <v>13966</v>
      </c>
      <c r="AF1226" t="s">
        <v>13967</v>
      </c>
      <c r="AG1226" t="s">
        <v>3011</v>
      </c>
      <c r="AI1226" t="s">
        <v>13968</v>
      </c>
      <c r="AM1226" t="s">
        <v>5049</v>
      </c>
      <c r="AN1226" t="s">
        <v>2139</v>
      </c>
      <c r="AO1226" t="s">
        <v>13969</v>
      </c>
      <c r="AP1226" t="s">
        <v>7024</v>
      </c>
      <c r="AQ1226" t="s">
        <v>13970</v>
      </c>
      <c r="AT1226" s="184">
        <v>33991</v>
      </c>
      <c r="AU1226" t="s">
        <v>13971</v>
      </c>
      <c r="AV1226">
        <v>15</v>
      </c>
      <c r="AW1226" s="184">
        <v>45307</v>
      </c>
      <c r="AX1226" t="s">
        <v>13972</v>
      </c>
      <c r="AY1226">
        <v>100</v>
      </c>
      <c r="AZ1226" s="184">
        <v>44901</v>
      </c>
      <c r="BA1226" t="s">
        <v>13973</v>
      </c>
      <c r="BB1226">
        <v>1000</v>
      </c>
      <c r="BC1226">
        <v>29</v>
      </c>
      <c r="BD1226">
        <v>1630</v>
      </c>
      <c r="BE1226">
        <v>1993</v>
      </c>
      <c r="BF1226">
        <v>15</v>
      </c>
      <c r="BG1226">
        <v>4</v>
      </c>
      <c r="BH1226">
        <v>1250</v>
      </c>
      <c r="BI1226">
        <v>9</v>
      </c>
      <c r="BJ1226">
        <v>32</v>
      </c>
      <c r="BK1226">
        <v>5</v>
      </c>
      <c r="BP1226" s="184"/>
    </row>
    <row r="1227" spans="1:68">
      <c r="A1227">
        <v>8892523</v>
      </c>
      <c r="B1227">
        <v>8892523</v>
      </c>
      <c r="C1227" t="s">
        <v>7018</v>
      </c>
      <c r="D1227" t="s">
        <v>595</v>
      </c>
      <c r="E1227" s="184">
        <v>43745</v>
      </c>
      <c r="G1227" s="184"/>
      <c r="I1227" s="184"/>
      <c r="K1227" s="184"/>
      <c r="O1227" s="184"/>
      <c r="P1227" t="s">
        <v>7045</v>
      </c>
      <c r="Q1227" t="s">
        <v>7454</v>
      </c>
      <c r="R1227" s="184">
        <v>21367</v>
      </c>
      <c r="S1227">
        <v>65</v>
      </c>
      <c r="U1227" t="s">
        <v>7076</v>
      </c>
      <c r="V1227" t="s">
        <v>2671</v>
      </c>
      <c r="W1227" t="s">
        <v>7407</v>
      </c>
      <c r="X1227" t="s">
        <v>4102</v>
      </c>
      <c r="AF1227" t="s">
        <v>13974</v>
      </c>
      <c r="AG1227" t="s">
        <v>2671</v>
      </c>
      <c r="AI1227" t="s">
        <v>13975</v>
      </c>
      <c r="AM1227" t="s">
        <v>4101</v>
      </c>
      <c r="AN1227" t="s">
        <v>2299</v>
      </c>
      <c r="AO1227" t="s">
        <v>13976</v>
      </c>
      <c r="AP1227" t="s">
        <v>7024</v>
      </c>
      <c r="AQ1227" t="s">
        <v>13977</v>
      </c>
      <c r="AR1227" t="s">
        <v>13978</v>
      </c>
      <c r="AT1227" s="184">
        <v>33994</v>
      </c>
      <c r="AU1227" t="s">
        <v>13979</v>
      </c>
      <c r="AV1227">
        <v>15</v>
      </c>
      <c r="AW1227" s="184">
        <v>44925</v>
      </c>
      <c r="AX1227" t="s">
        <v>13980</v>
      </c>
      <c r="AY1227">
        <v>25</v>
      </c>
      <c r="AZ1227" s="184">
        <v>39085</v>
      </c>
      <c r="BA1227" t="s">
        <v>13981</v>
      </c>
      <c r="BB1227">
        <v>35</v>
      </c>
      <c r="BC1227">
        <v>88</v>
      </c>
      <c r="BD1227">
        <v>925</v>
      </c>
      <c r="BE1227">
        <v>1993</v>
      </c>
      <c r="BF1227">
        <v>37</v>
      </c>
      <c r="BG1227">
        <v>1</v>
      </c>
      <c r="BH1227">
        <v>25</v>
      </c>
      <c r="BI1227">
        <v>28</v>
      </c>
      <c r="BJ1227">
        <v>32</v>
      </c>
      <c r="BK1227">
        <v>16</v>
      </c>
    </row>
    <row r="1228" spans="1:68">
      <c r="A1228">
        <v>8896326</v>
      </c>
      <c r="B1228">
        <v>8896326</v>
      </c>
      <c r="C1228" t="s">
        <v>7018</v>
      </c>
      <c r="D1228" t="s">
        <v>595</v>
      </c>
      <c r="E1228" s="184">
        <v>45195</v>
      </c>
      <c r="G1228" s="184"/>
      <c r="I1228" s="184"/>
      <c r="K1228" s="184"/>
      <c r="O1228" s="184"/>
      <c r="P1228" t="s">
        <v>7045</v>
      </c>
      <c r="Q1228" t="s">
        <v>7030</v>
      </c>
      <c r="R1228" s="184">
        <v>23012</v>
      </c>
      <c r="S1228">
        <v>61</v>
      </c>
      <c r="V1228" t="s">
        <v>2671</v>
      </c>
      <c r="X1228" t="s">
        <v>13982</v>
      </c>
      <c r="AF1228" t="s">
        <v>13983</v>
      </c>
      <c r="AG1228" t="s">
        <v>2671</v>
      </c>
      <c r="AI1228" t="s">
        <v>13984</v>
      </c>
      <c r="AM1228" t="s">
        <v>2564</v>
      </c>
      <c r="AN1228" t="s">
        <v>2089</v>
      </c>
      <c r="AO1228" t="s">
        <v>13985</v>
      </c>
      <c r="AP1228" t="s">
        <v>7024</v>
      </c>
      <c r="AQ1228" t="s">
        <v>13986</v>
      </c>
      <c r="AT1228" s="184">
        <v>33994</v>
      </c>
      <c r="AU1228" t="s">
        <v>13987</v>
      </c>
      <c r="AV1228">
        <v>15</v>
      </c>
      <c r="AW1228" s="184">
        <v>45407</v>
      </c>
      <c r="AX1228" t="s">
        <v>13674</v>
      </c>
      <c r="AY1228">
        <v>25</v>
      </c>
      <c r="AZ1228" s="184">
        <v>42465</v>
      </c>
      <c r="BA1228" t="s">
        <v>13988</v>
      </c>
      <c r="BB1228">
        <v>60</v>
      </c>
      <c r="BC1228">
        <v>82</v>
      </c>
      <c r="BD1228">
        <v>1201</v>
      </c>
      <c r="BE1228">
        <v>1993</v>
      </c>
      <c r="BF1228">
        <v>54</v>
      </c>
      <c r="BG1228">
        <v>9</v>
      </c>
      <c r="BH1228">
        <v>210</v>
      </c>
      <c r="BI1228">
        <v>26</v>
      </c>
      <c r="BJ1228">
        <v>32</v>
      </c>
      <c r="BK1228">
        <v>17</v>
      </c>
      <c r="BP1228" s="184"/>
    </row>
    <row r="1229" spans="1:68">
      <c r="A1229">
        <v>8919474</v>
      </c>
      <c r="B1229">
        <v>8919474</v>
      </c>
      <c r="C1229" t="s">
        <v>7018</v>
      </c>
      <c r="D1229" t="s">
        <v>595</v>
      </c>
      <c r="E1229" s="184">
        <v>43773</v>
      </c>
      <c r="G1229" s="184"/>
      <c r="I1229" s="184"/>
      <c r="K1229" s="184"/>
      <c r="O1229" s="184"/>
      <c r="P1229" t="s">
        <v>7045</v>
      </c>
      <c r="Q1229" t="s">
        <v>7374</v>
      </c>
      <c r="R1229" s="184">
        <v>9910</v>
      </c>
      <c r="S1229">
        <v>97</v>
      </c>
      <c r="V1229" t="s">
        <v>4257</v>
      </c>
      <c r="X1229" t="s">
        <v>2657</v>
      </c>
      <c r="AF1229" t="s">
        <v>13989</v>
      </c>
      <c r="AG1229" t="s">
        <v>4257</v>
      </c>
      <c r="AI1229" t="s">
        <v>13990</v>
      </c>
      <c r="AM1229" t="s">
        <v>4258</v>
      </c>
      <c r="AN1229" t="s">
        <v>2081</v>
      </c>
      <c r="AO1229" t="s">
        <v>13991</v>
      </c>
      <c r="AP1229" t="s">
        <v>7024</v>
      </c>
      <c r="AQ1229" t="s">
        <v>13992</v>
      </c>
      <c r="AT1229" s="184">
        <v>33995</v>
      </c>
      <c r="AU1229" t="s">
        <v>13987</v>
      </c>
      <c r="AV1229">
        <v>15</v>
      </c>
      <c r="AW1229" s="184">
        <v>45412</v>
      </c>
      <c r="AX1229" t="s">
        <v>7429</v>
      </c>
      <c r="AY1229">
        <v>15</v>
      </c>
      <c r="AZ1229" s="184">
        <v>38855</v>
      </c>
      <c r="BA1229" t="s">
        <v>13993</v>
      </c>
      <c r="BB1229">
        <v>200</v>
      </c>
      <c r="BC1229">
        <v>100</v>
      </c>
      <c r="BD1229">
        <v>3250</v>
      </c>
      <c r="BE1229">
        <v>1993</v>
      </c>
      <c r="BF1229">
        <v>67</v>
      </c>
      <c r="BG1229">
        <v>26</v>
      </c>
      <c r="BH1229">
        <v>510</v>
      </c>
      <c r="BI1229">
        <v>32</v>
      </c>
      <c r="BJ1229">
        <v>32</v>
      </c>
      <c r="BK1229">
        <v>32</v>
      </c>
      <c r="BM1229" t="s">
        <v>595</v>
      </c>
      <c r="BP1229" s="184"/>
    </row>
    <row r="1230" spans="1:68">
      <c r="A1230">
        <v>8929341</v>
      </c>
      <c r="B1230">
        <v>8929341</v>
      </c>
      <c r="C1230" t="s">
        <v>7018</v>
      </c>
      <c r="D1230" t="s">
        <v>595</v>
      </c>
      <c r="E1230" s="184">
        <v>43640</v>
      </c>
      <c r="G1230" s="184"/>
      <c r="I1230" s="184"/>
      <c r="K1230" s="184"/>
      <c r="O1230" s="184"/>
      <c r="P1230" t="s">
        <v>7045</v>
      </c>
      <c r="Q1230" t="s">
        <v>7383</v>
      </c>
      <c r="R1230" s="184">
        <v>18598</v>
      </c>
      <c r="S1230">
        <v>73</v>
      </c>
      <c r="U1230" t="s">
        <v>7130</v>
      </c>
      <c r="V1230" t="s">
        <v>2733</v>
      </c>
      <c r="X1230" t="s">
        <v>2977</v>
      </c>
      <c r="Z1230">
        <v>100035185</v>
      </c>
      <c r="AA1230" t="s">
        <v>7031</v>
      </c>
      <c r="AB1230" t="s">
        <v>4879</v>
      </c>
      <c r="AD1230" t="s">
        <v>2977</v>
      </c>
      <c r="AF1230" t="s">
        <v>13994</v>
      </c>
      <c r="AG1230" t="s">
        <v>13995</v>
      </c>
      <c r="AI1230" t="s">
        <v>13996</v>
      </c>
      <c r="AM1230" t="s">
        <v>2978</v>
      </c>
      <c r="AN1230" t="s">
        <v>2162</v>
      </c>
      <c r="AO1230" t="s">
        <v>13997</v>
      </c>
      <c r="AP1230" t="s">
        <v>7024</v>
      </c>
      <c r="AQ1230" t="s">
        <v>13998</v>
      </c>
      <c r="AR1230" t="s">
        <v>13999</v>
      </c>
      <c r="AT1230" s="184">
        <v>33995</v>
      </c>
      <c r="AU1230" t="s">
        <v>14000</v>
      </c>
      <c r="AV1230">
        <v>25</v>
      </c>
      <c r="AW1230" s="184">
        <v>45125</v>
      </c>
      <c r="AX1230" t="s">
        <v>10413</v>
      </c>
      <c r="AY1230">
        <v>15</v>
      </c>
      <c r="AZ1230" s="184">
        <v>44196</v>
      </c>
      <c r="BA1230" t="s">
        <v>14001</v>
      </c>
      <c r="BB1230">
        <v>50</v>
      </c>
      <c r="BC1230">
        <v>66</v>
      </c>
      <c r="BD1230">
        <v>715</v>
      </c>
      <c r="BE1230">
        <v>1993</v>
      </c>
      <c r="BF1230">
        <v>30</v>
      </c>
      <c r="BG1230">
        <v>1</v>
      </c>
      <c r="BH1230">
        <v>15</v>
      </c>
      <c r="BI1230">
        <v>21</v>
      </c>
      <c r="BJ1230">
        <v>32</v>
      </c>
      <c r="BK1230">
        <v>7</v>
      </c>
      <c r="BP1230" s="184"/>
    </row>
    <row r="1231" spans="1:68">
      <c r="A1231">
        <v>100035185</v>
      </c>
      <c r="B1231">
        <v>8929341</v>
      </c>
      <c r="C1231" t="s">
        <v>7018</v>
      </c>
      <c r="D1231" t="s">
        <v>595</v>
      </c>
      <c r="E1231" s="184">
        <v>43640</v>
      </c>
      <c r="G1231" s="184"/>
      <c r="I1231" s="184"/>
      <c r="K1231" s="184"/>
      <c r="O1231" s="184"/>
      <c r="P1231" t="s">
        <v>7045</v>
      </c>
      <c r="Q1231" t="s">
        <v>7383</v>
      </c>
      <c r="R1231" s="184">
        <v>16721</v>
      </c>
      <c r="S1231">
        <v>78</v>
      </c>
      <c r="U1231" t="s">
        <v>7031</v>
      </c>
      <c r="V1231" t="s">
        <v>4879</v>
      </c>
      <c r="X1231" t="s">
        <v>2977</v>
      </c>
      <c r="Z1231">
        <v>8929341</v>
      </c>
      <c r="AA1231" t="s">
        <v>7130</v>
      </c>
      <c r="AB1231" t="s">
        <v>2733</v>
      </c>
      <c r="AD1231" t="s">
        <v>2977</v>
      </c>
      <c r="AF1231" t="s">
        <v>13994</v>
      </c>
      <c r="AG1231" t="s">
        <v>13995</v>
      </c>
      <c r="AI1231" t="s">
        <v>13996</v>
      </c>
      <c r="AM1231" t="s">
        <v>2978</v>
      </c>
      <c r="AN1231" t="s">
        <v>2162</v>
      </c>
      <c r="AO1231" t="s">
        <v>13997</v>
      </c>
      <c r="AP1231" t="s">
        <v>7024</v>
      </c>
      <c r="AT1231" s="184"/>
      <c r="AW1231" s="184"/>
      <c r="AZ1231" s="184"/>
      <c r="BP1231" s="184"/>
    </row>
    <row r="1232" spans="1:68">
      <c r="A1232">
        <v>8932642</v>
      </c>
      <c r="B1232">
        <v>8932642</v>
      </c>
      <c r="C1232" t="s">
        <v>7018</v>
      </c>
      <c r="D1232" t="s">
        <v>595</v>
      </c>
      <c r="E1232" s="184">
        <v>43745</v>
      </c>
      <c r="G1232" s="184"/>
      <c r="I1232" s="184"/>
      <c r="K1232" s="184"/>
      <c r="O1232" s="184"/>
      <c r="P1232" t="s">
        <v>7045</v>
      </c>
      <c r="Q1232" t="s">
        <v>7020</v>
      </c>
      <c r="R1232" s="184">
        <v>19437</v>
      </c>
      <c r="S1232">
        <v>71</v>
      </c>
      <c r="U1232" t="s">
        <v>7076</v>
      </c>
      <c r="V1232" t="s">
        <v>3478</v>
      </c>
      <c r="X1232" t="s">
        <v>4103</v>
      </c>
      <c r="AF1232" t="s">
        <v>14002</v>
      </c>
      <c r="AG1232" t="s">
        <v>3478</v>
      </c>
      <c r="AI1232" t="s">
        <v>14003</v>
      </c>
      <c r="AM1232" t="s">
        <v>4104</v>
      </c>
      <c r="AN1232" t="s">
        <v>2465</v>
      </c>
      <c r="AO1232" t="s">
        <v>14004</v>
      </c>
      <c r="AP1232" t="s">
        <v>7024</v>
      </c>
      <c r="AQ1232" t="s">
        <v>14005</v>
      </c>
      <c r="AT1232" s="184">
        <v>33995</v>
      </c>
      <c r="AU1232" t="s">
        <v>14006</v>
      </c>
      <c r="AV1232">
        <v>25</v>
      </c>
      <c r="AW1232" s="184">
        <v>44204</v>
      </c>
      <c r="AX1232" t="s">
        <v>14007</v>
      </c>
      <c r="AY1232">
        <v>25</v>
      </c>
      <c r="AZ1232" s="184">
        <v>44204</v>
      </c>
      <c r="BA1232" t="s">
        <v>14007</v>
      </c>
      <c r="BB1232">
        <v>25</v>
      </c>
      <c r="BC1232">
        <v>60</v>
      </c>
      <c r="BD1232">
        <v>590</v>
      </c>
      <c r="BE1232">
        <v>1993</v>
      </c>
      <c r="BF1232">
        <v>24</v>
      </c>
      <c r="BI1232">
        <v>19</v>
      </c>
      <c r="BJ1232">
        <v>32</v>
      </c>
      <c r="BK1232">
        <v>10</v>
      </c>
      <c r="BP1232" s="184"/>
    </row>
    <row r="1233" spans="1:68">
      <c r="A1233">
        <v>8938672</v>
      </c>
      <c r="B1233">
        <v>8938672</v>
      </c>
      <c r="C1233" t="s">
        <v>7018</v>
      </c>
      <c r="D1233" t="s">
        <v>595</v>
      </c>
      <c r="E1233" s="184">
        <v>43745</v>
      </c>
      <c r="I1233" s="184"/>
      <c r="K1233" s="184"/>
      <c r="O1233" s="184"/>
      <c r="P1233" t="s">
        <v>7045</v>
      </c>
      <c r="Q1233" t="s">
        <v>7454</v>
      </c>
      <c r="R1233" s="184">
        <v>18933</v>
      </c>
      <c r="S1233">
        <v>72</v>
      </c>
      <c r="U1233" t="s">
        <v>7031</v>
      </c>
      <c r="V1233" t="s">
        <v>4105</v>
      </c>
      <c r="X1233" t="s">
        <v>4106</v>
      </c>
      <c r="AF1233" t="s">
        <v>14008</v>
      </c>
      <c r="AG1233" t="s">
        <v>4105</v>
      </c>
      <c r="AI1233" t="s">
        <v>14009</v>
      </c>
      <c r="AM1233" t="s">
        <v>4107</v>
      </c>
      <c r="AN1233" t="s">
        <v>2055</v>
      </c>
      <c r="AO1233" t="s">
        <v>14010</v>
      </c>
      <c r="AP1233" t="s">
        <v>7024</v>
      </c>
      <c r="AT1233" s="184">
        <v>33995</v>
      </c>
      <c r="AU1233" t="s">
        <v>14011</v>
      </c>
      <c r="AV1233">
        <v>15</v>
      </c>
      <c r="AW1233" s="184">
        <v>44448</v>
      </c>
      <c r="AX1233" t="s">
        <v>14012</v>
      </c>
      <c r="AY1233">
        <v>50</v>
      </c>
      <c r="AZ1233" s="184">
        <v>40248</v>
      </c>
      <c r="BA1233" t="s">
        <v>14013</v>
      </c>
      <c r="BB1233">
        <v>87</v>
      </c>
      <c r="BC1233">
        <v>82</v>
      </c>
      <c r="BD1233">
        <v>1437</v>
      </c>
      <c r="BE1233">
        <v>1993</v>
      </c>
      <c r="BF1233">
        <v>38</v>
      </c>
      <c r="BI1233">
        <v>26</v>
      </c>
      <c r="BJ1233">
        <v>32</v>
      </c>
      <c r="BK1233">
        <v>14</v>
      </c>
      <c r="BP1233" s="184"/>
    </row>
    <row r="1234" spans="1:68">
      <c r="A1234">
        <v>8967747</v>
      </c>
      <c r="B1234">
        <v>8967747</v>
      </c>
      <c r="C1234" t="s">
        <v>7018</v>
      </c>
      <c r="D1234" t="s">
        <v>595</v>
      </c>
      <c r="E1234" s="184">
        <v>43892</v>
      </c>
      <c r="G1234" s="184"/>
      <c r="I1234" s="184"/>
      <c r="K1234" s="184"/>
      <c r="O1234" s="184"/>
      <c r="P1234" t="s">
        <v>7045</v>
      </c>
      <c r="Q1234" t="s">
        <v>7194</v>
      </c>
      <c r="R1234" s="184">
        <v>15036</v>
      </c>
      <c r="S1234">
        <v>83</v>
      </c>
      <c r="V1234" t="s">
        <v>3400</v>
      </c>
      <c r="X1234" t="s">
        <v>14014</v>
      </c>
      <c r="AF1234" t="s">
        <v>14015</v>
      </c>
      <c r="AG1234" t="s">
        <v>3400</v>
      </c>
      <c r="AI1234" t="s">
        <v>14016</v>
      </c>
      <c r="AM1234" t="s">
        <v>14017</v>
      </c>
      <c r="AN1234" t="s">
        <v>4512</v>
      </c>
      <c r="AO1234" t="s">
        <v>14018</v>
      </c>
      <c r="AP1234" t="s">
        <v>7024</v>
      </c>
      <c r="AT1234" s="184">
        <v>33997</v>
      </c>
      <c r="AU1234" t="s">
        <v>14019</v>
      </c>
      <c r="AV1234">
        <v>30</v>
      </c>
      <c r="AW1234" s="184">
        <v>44470</v>
      </c>
      <c r="AX1234" t="s">
        <v>14020</v>
      </c>
      <c r="AY1234">
        <v>50</v>
      </c>
      <c r="AZ1234" s="184">
        <v>40379</v>
      </c>
      <c r="BA1234" t="s">
        <v>14021</v>
      </c>
      <c r="BB1234">
        <v>200</v>
      </c>
      <c r="BC1234">
        <v>60</v>
      </c>
      <c r="BD1234">
        <v>1645</v>
      </c>
      <c r="BE1234">
        <v>1993</v>
      </c>
      <c r="BF1234">
        <v>24</v>
      </c>
      <c r="BI1234">
        <v>19</v>
      </c>
      <c r="BJ1234">
        <v>32</v>
      </c>
      <c r="BK1234">
        <v>7</v>
      </c>
      <c r="BP1234" s="184"/>
    </row>
    <row r="1235" spans="1:68">
      <c r="A1235">
        <v>8994444</v>
      </c>
      <c r="B1235">
        <v>8994444</v>
      </c>
      <c r="C1235" t="s">
        <v>7018</v>
      </c>
      <c r="D1235" t="s">
        <v>595</v>
      </c>
      <c r="E1235" s="184">
        <v>45148</v>
      </c>
      <c r="G1235" s="184"/>
      <c r="I1235" s="184"/>
      <c r="K1235" s="184"/>
      <c r="O1235" s="184"/>
      <c r="P1235" t="s">
        <v>7045</v>
      </c>
      <c r="Q1235" t="s">
        <v>7262</v>
      </c>
      <c r="R1235" s="184">
        <v>16686</v>
      </c>
      <c r="S1235">
        <v>78</v>
      </c>
      <c r="V1235" t="s">
        <v>2541</v>
      </c>
      <c r="W1235" t="s">
        <v>205</v>
      </c>
      <c r="X1235" t="s">
        <v>14022</v>
      </c>
      <c r="Y1235" t="s">
        <v>7941</v>
      </c>
      <c r="Z1235">
        <v>100331708</v>
      </c>
      <c r="AA1235" t="s">
        <v>7076</v>
      </c>
      <c r="AB1235" t="s">
        <v>3011</v>
      </c>
      <c r="AD1235" t="s">
        <v>14022</v>
      </c>
      <c r="AF1235" t="s">
        <v>14023</v>
      </c>
      <c r="AG1235" t="s">
        <v>14024</v>
      </c>
      <c r="AI1235" t="s">
        <v>14025</v>
      </c>
      <c r="AM1235" t="s">
        <v>14026</v>
      </c>
      <c r="AN1235" t="s">
        <v>2069</v>
      </c>
      <c r="AO1235" t="s">
        <v>14027</v>
      </c>
      <c r="AP1235" t="s">
        <v>7024</v>
      </c>
      <c r="AQ1235" t="s">
        <v>14028</v>
      </c>
      <c r="AT1235" s="184">
        <v>34006</v>
      </c>
      <c r="AU1235" t="s">
        <v>14029</v>
      </c>
      <c r="AV1235">
        <v>19.95</v>
      </c>
      <c r="AW1235" s="184">
        <v>45279</v>
      </c>
      <c r="AX1235" t="s">
        <v>14030</v>
      </c>
      <c r="AY1235">
        <v>10</v>
      </c>
      <c r="AZ1235" s="184">
        <v>36150</v>
      </c>
      <c r="BA1235" t="s">
        <v>14031</v>
      </c>
      <c r="BB1235">
        <v>25</v>
      </c>
      <c r="BC1235">
        <v>19</v>
      </c>
      <c r="BD1235">
        <v>159.9</v>
      </c>
      <c r="BE1235">
        <v>1993</v>
      </c>
      <c r="BF1235">
        <v>8</v>
      </c>
      <c r="BG1235">
        <v>2</v>
      </c>
      <c r="BH1235">
        <v>30</v>
      </c>
      <c r="BI1235">
        <v>6</v>
      </c>
      <c r="BJ1235">
        <v>32</v>
      </c>
      <c r="BK1235">
        <v>3</v>
      </c>
      <c r="BP1235" s="184"/>
    </row>
    <row r="1236" spans="1:68">
      <c r="A1236">
        <v>100331708</v>
      </c>
      <c r="B1236">
        <v>8994444</v>
      </c>
      <c r="C1236" t="s">
        <v>7018</v>
      </c>
      <c r="D1236" t="s">
        <v>595</v>
      </c>
      <c r="E1236" s="184">
        <v>45148</v>
      </c>
      <c r="G1236" s="184"/>
      <c r="K1236" s="184"/>
      <c r="O1236" s="184"/>
      <c r="P1236" t="s">
        <v>7045</v>
      </c>
      <c r="Q1236" t="s">
        <v>7262</v>
      </c>
      <c r="R1236" s="184">
        <v>18295</v>
      </c>
      <c r="S1236">
        <v>74</v>
      </c>
      <c r="U1236" t="s">
        <v>7076</v>
      </c>
      <c r="V1236" t="s">
        <v>3011</v>
      </c>
      <c r="X1236" t="s">
        <v>14022</v>
      </c>
      <c r="Z1236">
        <v>8994444</v>
      </c>
      <c r="AB1236" t="s">
        <v>2541</v>
      </c>
      <c r="AC1236" t="s">
        <v>205</v>
      </c>
      <c r="AD1236" t="s">
        <v>14022</v>
      </c>
      <c r="AE1236" t="s">
        <v>7941</v>
      </c>
      <c r="AF1236" t="s">
        <v>14023</v>
      </c>
      <c r="AG1236" t="s">
        <v>14024</v>
      </c>
      <c r="AI1236" t="s">
        <v>14025</v>
      </c>
      <c r="AM1236" t="s">
        <v>14026</v>
      </c>
      <c r="AN1236" t="s">
        <v>2069</v>
      </c>
      <c r="AO1236" t="s">
        <v>14027</v>
      </c>
      <c r="AP1236" t="s">
        <v>7024</v>
      </c>
      <c r="AQ1236" t="s">
        <v>14032</v>
      </c>
      <c r="AR1236" t="s">
        <v>14033</v>
      </c>
      <c r="AT1236" s="184">
        <v>43811</v>
      </c>
      <c r="AU1236" t="s">
        <v>14034</v>
      </c>
      <c r="AV1236">
        <v>19.95</v>
      </c>
      <c r="AW1236" s="184">
        <v>44547</v>
      </c>
      <c r="AX1236" t="s">
        <v>14035</v>
      </c>
      <c r="AY1236">
        <v>60</v>
      </c>
      <c r="AZ1236" s="184">
        <v>44547</v>
      </c>
      <c r="BA1236" t="s">
        <v>14035</v>
      </c>
      <c r="BB1236">
        <v>60</v>
      </c>
      <c r="BC1236">
        <v>50</v>
      </c>
      <c r="BD1236">
        <v>139.94999999999999</v>
      </c>
      <c r="BE1236">
        <v>2020</v>
      </c>
      <c r="BF1236">
        <v>3</v>
      </c>
      <c r="BI1236">
        <v>3</v>
      </c>
      <c r="BJ1236">
        <v>6</v>
      </c>
      <c r="BK1236">
        <v>3</v>
      </c>
      <c r="BP1236" s="184"/>
    </row>
    <row r="1237" spans="1:68">
      <c r="A1237">
        <v>8996472</v>
      </c>
      <c r="B1237">
        <v>8996472</v>
      </c>
      <c r="C1237" t="s">
        <v>7018</v>
      </c>
      <c r="D1237" t="s">
        <v>595</v>
      </c>
      <c r="E1237" s="184">
        <v>44073</v>
      </c>
      <c r="G1237" s="184"/>
      <c r="K1237" s="184"/>
      <c r="O1237" s="184"/>
      <c r="P1237" t="s">
        <v>7045</v>
      </c>
      <c r="Q1237" t="s">
        <v>7454</v>
      </c>
      <c r="R1237" s="184">
        <v>18264</v>
      </c>
      <c r="S1237">
        <v>74</v>
      </c>
      <c r="V1237" t="s">
        <v>14036</v>
      </c>
      <c r="X1237" t="s">
        <v>14037</v>
      </c>
      <c r="Z1237">
        <v>100968017</v>
      </c>
      <c r="AB1237" t="s">
        <v>14038</v>
      </c>
      <c r="AD1237" t="s">
        <v>14037</v>
      </c>
      <c r="AF1237" t="s">
        <v>14039</v>
      </c>
      <c r="AG1237" t="s">
        <v>14040</v>
      </c>
      <c r="AI1237" t="s">
        <v>14041</v>
      </c>
      <c r="AM1237" t="s">
        <v>14042</v>
      </c>
      <c r="AN1237" t="s">
        <v>2299</v>
      </c>
      <c r="AO1237" t="s">
        <v>14043</v>
      </c>
      <c r="AP1237" t="s">
        <v>7024</v>
      </c>
      <c r="AQ1237" t="s">
        <v>14044</v>
      </c>
      <c r="AR1237" t="s">
        <v>14045</v>
      </c>
      <c r="AT1237" s="184">
        <v>34003</v>
      </c>
      <c r="AU1237" t="s">
        <v>14046</v>
      </c>
      <c r="AV1237">
        <v>50</v>
      </c>
      <c r="AW1237" s="184">
        <v>44268</v>
      </c>
      <c r="AX1237" t="s">
        <v>12647</v>
      </c>
      <c r="AY1237">
        <v>100</v>
      </c>
      <c r="AZ1237" s="184">
        <v>44268</v>
      </c>
      <c r="BA1237" t="s">
        <v>12647</v>
      </c>
      <c r="BB1237">
        <v>100</v>
      </c>
      <c r="BC1237">
        <v>41</v>
      </c>
      <c r="BD1237">
        <v>638</v>
      </c>
      <c r="BE1237">
        <v>1993</v>
      </c>
      <c r="BF1237">
        <v>21</v>
      </c>
      <c r="BI1237">
        <v>13</v>
      </c>
      <c r="BJ1237">
        <v>32</v>
      </c>
      <c r="BK1237">
        <v>4</v>
      </c>
      <c r="BL1237" t="s">
        <v>595</v>
      </c>
      <c r="BP1237" s="184"/>
    </row>
    <row r="1238" spans="1:68">
      <c r="A1238">
        <v>8997967</v>
      </c>
      <c r="B1238">
        <v>8997967</v>
      </c>
      <c r="C1238" t="s">
        <v>7018</v>
      </c>
      <c r="D1238" t="s">
        <v>595</v>
      </c>
      <c r="E1238" s="184">
        <v>44167</v>
      </c>
      <c r="G1238" s="184"/>
      <c r="K1238" s="184"/>
      <c r="O1238" s="184"/>
      <c r="P1238" t="s">
        <v>7045</v>
      </c>
      <c r="Q1238" t="s">
        <v>7020</v>
      </c>
      <c r="R1238" s="184">
        <v>12667</v>
      </c>
      <c r="S1238">
        <v>89</v>
      </c>
      <c r="U1238" t="s">
        <v>7031</v>
      </c>
      <c r="V1238" t="s">
        <v>14047</v>
      </c>
      <c r="X1238" t="s">
        <v>14048</v>
      </c>
      <c r="Z1238">
        <v>100572140</v>
      </c>
      <c r="AA1238" t="s">
        <v>7130</v>
      </c>
      <c r="AB1238" t="s">
        <v>2586</v>
      </c>
      <c r="AC1238" t="s">
        <v>3951</v>
      </c>
      <c r="AD1238" t="s">
        <v>14048</v>
      </c>
      <c r="AF1238" t="s">
        <v>14049</v>
      </c>
      <c r="AG1238" t="s">
        <v>14050</v>
      </c>
      <c r="AI1238" t="s">
        <v>14051</v>
      </c>
      <c r="AM1238" t="s">
        <v>14052</v>
      </c>
      <c r="AN1238" t="s">
        <v>2206</v>
      </c>
      <c r="AO1238" t="s">
        <v>14053</v>
      </c>
      <c r="AP1238" t="s">
        <v>7024</v>
      </c>
      <c r="AQ1238" t="s">
        <v>14054</v>
      </c>
      <c r="AT1238" s="184">
        <v>34002</v>
      </c>
      <c r="AU1238" t="s">
        <v>14055</v>
      </c>
      <c r="AV1238">
        <v>15</v>
      </c>
      <c r="AW1238" s="184">
        <v>44987</v>
      </c>
      <c r="AX1238" t="s">
        <v>14056</v>
      </c>
      <c r="AY1238">
        <v>25</v>
      </c>
      <c r="AZ1238" s="184">
        <v>43776</v>
      </c>
      <c r="BA1238" t="s">
        <v>14057</v>
      </c>
      <c r="BB1238">
        <v>35</v>
      </c>
      <c r="BC1238">
        <v>75</v>
      </c>
      <c r="BD1238">
        <v>668</v>
      </c>
      <c r="BE1238">
        <v>1993</v>
      </c>
      <c r="BF1238">
        <v>36</v>
      </c>
      <c r="BG1238">
        <v>1</v>
      </c>
      <c r="BH1238">
        <v>25</v>
      </c>
      <c r="BI1238">
        <v>24</v>
      </c>
      <c r="BJ1238">
        <v>32</v>
      </c>
      <c r="BK1238">
        <v>16</v>
      </c>
      <c r="BP1238" s="184"/>
    </row>
    <row r="1239" spans="1:68">
      <c r="A1239">
        <v>100572140</v>
      </c>
      <c r="B1239">
        <v>8997967</v>
      </c>
      <c r="C1239" t="s">
        <v>7018</v>
      </c>
      <c r="D1239" t="s">
        <v>595</v>
      </c>
      <c r="E1239" s="184">
        <v>44167</v>
      </c>
      <c r="G1239" s="184"/>
      <c r="I1239" s="184"/>
      <c r="K1239" s="184"/>
      <c r="O1239" s="184"/>
      <c r="P1239" t="s">
        <v>7045</v>
      </c>
      <c r="Q1239" t="s">
        <v>7020</v>
      </c>
      <c r="R1239" s="184">
        <v>13798</v>
      </c>
      <c r="S1239">
        <v>86</v>
      </c>
      <c r="U1239" t="s">
        <v>7130</v>
      </c>
      <c r="V1239" t="s">
        <v>2586</v>
      </c>
      <c r="W1239" t="s">
        <v>3951</v>
      </c>
      <c r="X1239" t="s">
        <v>14048</v>
      </c>
      <c r="Z1239">
        <v>8997967</v>
      </c>
      <c r="AA1239" t="s">
        <v>7031</v>
      </c>
      <c r="AB1239" t="s">
        <v>14047</v>
      </c>
      <c r="AD1239" t="s">
        <v>14048</v>
      </c>
      <c r="AF1239" t="s">
        <v>14049</v>
      </c>
      <c r="AG1239" t="s">
        <v>14050</v>
      </c>
      <c r="AI1239" t="s">
        <v>14051</v>
      </c>
      <c r="AM1239" t="s">
        <v>14052</v>
      </c>
      <c r="AN1239" t="s">
        <v>2206</v>
      </c>
      <c r="AO1239" t="s">
        <v>14053</v>
      </c>
      <c r="AP1239" t="s">
        <v>7024</v>
      </c>
      <c r="AQ1239" t="s">
        <v>14058</v>
      </c>
      <c r="AT1239" s="184">
        <v>45309</v>
      </c>
      <c r="AU1239" t="s">
        <v>7832</v>
      </c>
      <c r="AV1239">
        <v>26.25</v>
      </c>
      <c r="AW1239" s="184">
        <v>45309</v>
      </c>
      <c r="AX1239" t="s">
        <v>7832</v>
      </c>
      <c r="AY1239">
        <v>26.25</v>
      </c>
      <c r="AZ1239" s="184">
        <v>45309</v>
      </c>
      <c r="BA1239" t="s">
        <v>7832</v>
      </c>
      <c r="BB1239">
        <v>26.25</v>
      </c>
      <c r="BC1239">
        <v>100</v>
      </c>
      <c r="BD1239">
        <v>26.25</v>
      </c>
      <c r="BE1239">
        <v>2024</v>
      </c>
      <c r="BF1239">
        <v>1</v>
      </c>
      <c r="BG1239">
        <v>1</v>
      </c>
      <c r="BH1239">
        <v>26.25</v>
      </c>
      <c r="BI1239">
        <v>1</v>
      </c>
      <c r="BJ1239">
        <v>1</v>
      </c>
      <c r="BK1239">
        <v>1</v>
      </c>
      <c r="BP1239" s="184"/>
    </row>
    <row r="1240" spans="1:68">
      <c r="A1240">
        <v>9001272</v>
      </c>
      <c r="B1240">
        <v>9001272</v>
      </c>
      <c r="C1240" t="s">
        <v>7018</v>
      </c>
      <c r="E1240" s="184"/>
      <c r="G1240" s="184"/>
      <c r="J1240" t="s">
        <v>595</v>
      </c>
      <c r="K1240" s="184">
        <v>43731</v>
      </c>
      <c r="O1240" s="184"/>
      <c r="P1240" t="s">
        <v>7045</v>
      </c>
      <c r="Q1240" t="s">
        <v>7494</v>
      </c>
      <c r="R1240" s="184">
        <v>19915</v>
      </c>
      <c r="S1240">
        <v>69</v>
      </c>
      <c r="V1240" t="s">
        <v>3838</v>
      </c>
      <c r="W1240" t="s">
        <v>3740</v>
      </c>
      <c r="X1240" t="s">
        <v>3839</v>
      </c>
      <c r="AF1240" t="s">
        <v>14059</v>
      </c>
      <c r="AG1240" t="s">
        <v>3838</v>
      </c>
      <c r="AI1240" t="s">
        <v>14060</v>
      </c>
      <c r="AM1240" t="s">
        <v>3840</v>
      </c>
      <c r="AN1240" t="s">
        <v>2484</v>
      </c>
      <c r="AO1240" t="s">
        <v>14061</v>
      </c>
      <c r="AP1240" t="s">
        <v>7024</v>
      </c>
      <c r="AQ1240" t="s">
        <v>14062</v>
      </c>
      <c r="AT1240" s="184">
        <v>34002</v>
      </c>
      <c r="AU1240" t="s">
        <v>13935</v>
      </c>
      <c r="AV1240">
        <v>15</v>
      </c>
      <c r="AW1240" s="184">
        <v>45412</v>
      </c>
      <c r="AX1240" t="s">
        <v>7429</v>
      </c>
      <c r="AY1240">
        <v>15</v>
      </c>
      <c r="AZ1240" s="184">
        <v>44282</v>
      </c>
      <c r="BA1240" t="s">
        <v>14063</v>
      </c>
      <c r="BB1240">
        <v>100</v>
      </c>
      <c r="BC1240">
        <v>82</v>
      </c>
      <c r="BD1240">
        <v>1390</v>
      </c>
      <c r="BE1240">
        <v>1993</v>
      </c>
      <c r="BF1240">
        <v>53</v>
      </c>
      <c r="BG1240">
        <v>24</v>
      </c>
      <c r="BH1240">
        <v>400</v>
      </c>
      <c r="BI1240">
        <v>26</v>
      </c>
      <c r="BJ1240">
        <v>32</v>
      </c>
      <c r="BK1240">
        <v>14</v>
      </c>
      <c r="BP1240" s="184"/>
    </row>
    <row r="1241" spans="1:68">
      <c r="A1241">
        <v>9014143</v>
      </c>
      <c r="B1241">
        <v>9014143</v>
      </c>
      <c r="C1241" t="s">
        <v>7018</v>
      </c>
      <c r="D1241" t="s">
        <v>595</v>
      </c>
      <c r="E1241" s="184">
        <v>43829</v>
      </c>
      <c r="G1241" s="184"/>
      <c r="I1241" s="184"/>
      <c r="K1241" s="184"/>
      <c r="O1241" s="184"/>
      <c r="P1241" t="s">
        <v>7045</v>
      </c>
      <c r="Q1241" t="s">
        <v>7194</v>
      </c>
      <c r="R1241" s="184">
        <v>20515</v>
      </c>
      <c r="S1241">
        <v>68</v>
      </c>
      <c r="U1241" t="s">
        <v>7076</v>
      </c>
      <c r="V1241" t="s">
        <v>3545</v>
      </c>
      <c r="X1241" t="s">
        <v>14064</v>
      </c>
      <c r="AF1241" t="s">
        <v>14065</v>
      </c>
      <c r="AG1241" t="s">
        <v>3545</v>
      </c>
      <c r="AI1241" t="s">
        <v>14066</v>
      </c>
      <c r="AM1241" t="s">
        <v>14067</v>
      </c>
      <c r="AN1241" t="s">
        <v>2046</v>
      </c>
      <c r="AO1241" t="s">
        <v>14068</v>
      </c>
      <c r="AP1241" t="s">
        <v>7024</v>
      </c>
      <c r="AT1241" s="184">
        <v>34004</v>
      </c>
      <c r="AU1241" t="s">
        <v>14069</v>
      </c>
      <c r="AV1241">
        <v>15</v>
      </c>
      <c r="AW1241" s="184">
        <v>44571</v>
      </c>
      <c r="AX1241" t="s">
        <v>14070</v>
      </c>
      <c r="AY1241">
        <v>25</v>
      </c>
      <c r="AZ1241" s="184">
        <v>43759</v>
      </c>
      <c r="BA1241" t="s">
        <v>14071</v>
      </c>
      <c r="BB1241">
        <v>60</v>
      </c>
      <c r="BC1241">
        <v>66</v>
      </c>
      <c r="BD1241">
        <v>680</v>
      </c>
      <c r="BE1241">
        <v>1993</v>
      </c>
      <c r="BF1241">
        <v>28</v>
      </c>
      <c r="BI1241">
        <v>21</v>
      </c>
      <c r="BJ1241">
        <v>32</v>
      </c>
      <c r="BK1241">
        <v>7</v>
      </c>
      <c r="BP1241" s="184"/>
    </row>
    <row r="1242" spans="1:68">
      <c r="A1242">
        <v>9040015</v>
      </c>
      <c r="B1242">
        <v>9040015</v>
      </c>
      <c r="C1242" t="s">
        <v>7018</v>
      </c>
      <c r="D1242" t="s">
        <v>595</v>
      </c>
      <c r="E1242" s="184">
        <v>44065</v>
      </c>
      <c r="G1242" s="184"/>
      <c r="I1242" s="184"/>
      <c r="K1242" s="184"/>
      <c r="O1242" s="184"/>
      <c r="P1242" t="s">
        <v>7045</v>
      </c>
      <c r="Q1242" t="s">
        <v>7383</v>
      </c>
      <c r="R1242" s="184">
        <v>17539</v>
      </c>
      <c r="S1242">
        <v>76</v>
      </c>
      <c r="U1242" t="s">
        <v>7130</v>
      </c>
      <c r="V1242" t="s">
        <v>14072</v>
      </c>
      <c r="W1242" t="s">
        <v>7246</v>
      </c>
      <c r="X1242" t="s">
        <v>14073</v>
      </c>
      <c r="AF1242" t="s">
        <v>14074</v>
      </c>
      <c r="AG1242" t="s">
        <v>14072</v>
      </c>
      <c r="AI1242" t="s">
        <v>14075</v>
      </c>
      <c r="AM1242" t="s">
        <v>14076</v>
      </c>
      <c r="AN1242" t="s">
        <v>2162</v>
      </c>
      <c r="AO1242" t="s">
        <v>14077</v>
      </c>
      <c r="AP1242" t="s">
        <v>7024</v>
      </c>
      <c r="AQ1242" t="s">
        <v>14078</v>
      </c>
      <c r="AR1242" t="s">
        <v>14079</v>
      </c>
      <c r="AT1242" s="184">
        <v>34009</v>
      </c>
      <c r="AU1242" t="s">
        <v>14080</v>
      </c>
      <c r="AV1242">
        <v>15</v>
      </c>
      <c r="AW1242" s="184">
        <v>45303</v>
      </c>
      <c r="AX1242" t="s">
        <v>11384</v>
      </c>
      <c r="AY1242">
        <v>35</v>
      </c>
      <c r="AZ1242" s="184">
        <v>44176</v>
      </c>
      <c r="BA1242" t="s">
        <v>14081</v>
      </c>
      <c r="BB1242">
        <v>60</v>
      </c>
      <c r="BC1242">
        <v>57</v>
      </c>
      <c r="BD1242">
        <v>645</v>
      </c>
      <c r="BE1242">
        <v>1993</v>
      </c>
      <c r="BF1242">
        <v>23</v>
      </c>
      <c r="BG1242">
        <v>1</v>
      </c>
      <c r="BH1242">
        <v>35</v>
      </c>
      <c r="BI1242">
        <v>18</v>
      </c>
      <c r="BJ1242">
        <v>32</v>
      </c>
      <c r="BK1242">
        <v>5</v>
      </c>
      <c r="BN1242" t="s">
        <v>595</v>
      </c>
      <c r="BP1242" s="184"/>
    </row>
    <row r="1243" spans="1:68">
      <c r="A1243">
        <v>100174739</v>
      </c>
      <c r="B1243">
        <v>9077769</v>
      </c>
      <c r="C1243" t="s">
        <v>13031</v>
      </c>
      <c r="E1243" s="184"/>
      <c r="G1243" s="184"/>
      <c r="I1243" s="184"/>
      <c r="J1243" t="s">
        <v>595</v>
      </c>
      <c r="K1243" s="184">
        <v>41453</v>
      </c>
      <c r="O1243" s="184"/>
      <c r="Q1243" t="s">
        <v>7383</v>
      </c>
      <c r="R1243" s="184">
        <v>15268</v>
      </c>
      <c r="S1243">
        <v>82</v>
      </c>
      <c r="U1243" t="s">
        <v>7076</v>
      </c>
      <c r="V1243" t="s">
        <v>2718</v>
      </c>
      <c r="W1243" t="s">
        <v>3226</v>
      </c>
      <c r="X1243" t="s">
        <v>5586</v>
      </c>
      <c r="Z1243">
        <v>9077769</v>
      </c>
      <c r="AH1243" t="s">
        <v>14082</v>
      </c>
      <c r="AI1243" t="s">
        <v>14083</v>
      </c>
      <c r="AM1243" t="s">
        <v>3345</v>
      </c>
      <c r="AN1243" t="s">
        <v>2274</v>
      </c>
      <c r="AO1243" t="s">
        <v>14084</v>
      </c>
      <c r="AP1243" t="s">
        <v>7024</v>
      </c>
      <c r="AT1243" s="184"/>
      <c r="AW1243" s="184"/>
      <c r="AZ1243" s="184"/>
      <c r="BO1243" t="s">
        <v>595</v>
      </c>
      <c r="BP1243" s="184">
        <v>40699</v>
      </c>
    </row>
    <row r="1244" spans="1:68">
      <c r="A1244">
        <v>9109398</v>
      </c>
      <c r="B1244">
        <v>9109398</v>
      </c>
      <c r="C1244" t="s">
        <v>7018</v>
      </c>
      <c r="D1244" t="s">
        <v>595</v>
      </c>
      <c r="E1244" s="184">
        <v>45195</v>
      </c>
      <c r="G1244" s="184"/>
      <c r="K1244" s="184"/>
      <c r="O1244" s="184"/>
      <c r="P1244" t="s">
        <v>7045</v>
      </c>
      <c r="Q1244" t="s">
        <v>7454</v>
      </c>
      <c r="R1244" s="184">
        <v>12905</v>
      </c>
      <c r="S1244">
        <v>89</v>
      </c>
      <c r="V1244" t="s">
        <v>2718</v>
      </c>
      <c r="W1244" t="s">
        <v>2049</v>
      </c>
      <c r="X1244" t="s">
        <v>14085</v>
      </c>
      <c r="Z1244">
        <v>100180426</v>
      </c>
      <c r="AB1244" t="s">
        <v>5544</v>
      </c>
      <c r="AC1244" t="s">
        <v>8224</v>
      </c>
      <c r="AD1244" t="s">
        <v>14085</v>
      </c>
      <c r="AF1244" t="s">
        <v>14086</v>
      </c>
      <c r="AG1244" t="s">
        <v>2718</v>
      </c>
      <c r="AI1244" t="s">
        <v>14087</v>
      </c>
      <c r="AJ1244" t="s">
        <v>14088</v>
      </c>
      <c r="AM1244" t="s">
        <v>14089</v>
      </c>
      <c r="AN1244" t="s">
        <v>2299</v>
      </c>
      <c r="AO1244" t="s">
        <v>14090</v>
      </c>
      <c r="AP1244" t="s">
        <v>7024</v>
      </c>
      <c r="AQ1244" t="s">
        <v>14091</v>
      </c>
      <c r="AR1244" t="s">
        <v>14092</v>
      </c>
      <c r="AT1244" s="184">
        <v>34024</v>
      </c>
      <c r="AU1244" t="s">
        <v>14093</v>
      </c>
      <c r="AV1244">
        <v>25</v>
      </c>
      <c r="AW1244" s="184">
        <v>45397</v>
      </c>
      <c r="AX1244" t="s">
        <v>7429</v>
      </c>
      <c r="AY1244">
        <v>20</v>
      </c>
      <c r="AZ1244" s="184">
        <v>35121</v>
      </c>
      <c r="BA1244" t="s">
        <v>14094</v>
      </c>
      <c r="BB1244">
        <v>55</v>
      </c>
      <c r="BC1244">
        <v>100</v>
      </c>
      <c r="BD1244">
        <v>3842</v>
      </c>
      <c r="BE1244">
        <v>1993</v>
      </c>
      <c r="BF1244">
        <v>216</v>
      </c>
      <c r="BG1244">
        <v>24</v>
      </c>
      <c r="BH1244">
        <v>480</v>
      </c>
      <c r="BI1244">
        <v>32</v>
      </c>
      <c r="BJ1244">
        <v>32</v>
      </c>
      <c r="BK1244">
        <v>32</v>
      </c>
      <c r="BN1244" t="s">
        <v>595</v>
      </c>
      <c r="BP1244" s="184"/>
    </row>
    <row r="1245" spans="1:68">
      <c r="A1245">
        <v>100180426</v>
      </c>
      <c r="B1245">
        <v>9109398</v>
      </c>
      <c r="C1245" t="s">
        <v>7018</v>
      </c>
      <c r="D1245" t="s">
        <v>595</v>
      </c>
      <c r="E1245" s="184">
        <v>45195</v>
      </c>
      <c r="G1245" s="184"/>
      <c r="I1245" s="184"/>
      <c r="K1245" s="184"/>
      <c r="O1245" s="184"/>
      <c r="P1245" t="s">
        <v>7045</v>
      </c>
      <c r="Q1245" t="s">
        <v>7454</v>
      </c>
      <c r="R1245" s="184">
        <v>12931</v>
      </c>
      <c r="S1245">
        <v>88</v>
      </c>
      <c r="V1245" t="s">
        <v>5544</v>
      </c>
      <c r="W1245" t="s">
        <v>8224</v>
      </c>
      <c r="X1245" t="s">
        <v>14085</v>
      </c>
      <c r="Z1245">
        <v>9109398</v>
      </c>
      <c r="AB1245" t="s">
        <v>2718</v>
      </c>
      <c r="AC1245" t="s">
        <v>2049</v>
      </c>
      <c r="AD1245" t="s">
        <v>14085</v>
      </c>
      <c r="AF1245" t="s">
        <v>14086</v>
      </c>
      <c r="AG1245" t="s">
        <v>2718</v>
      </c>
      <c r="AI1245" t="s">
        <v>14087</v>
      </c>
      <c r="AJ1245" t="s">
        <v>14088</v>
      </c>
      <c r="AM1245" t="s">
        <v>14089</v>
      </c>
      <c r="AN1245" t="s">
        <v>2299</v>
      </c>
      <c r="AO1245" t="s">
        <v>14090</v>
      </c>
      <c r="AP1245" t="s">
        <v>7024</v>
      </c>
      <c r="AT1245" s="184"/>
      <c r="AW1245" s="184"/>
      <c r="AZ1245" s="184"/>
      <c r="BO1245" t="s">
        <v>595</v>
      </c>
      <c r="BP1245" s="184"/>
    </row>
    <row r="1246" spans="1:68">
      <c r="A1246">
        <v>9116427</v>
      </c>
      <c r="B1246">
        <v>9116427</v>
      </c>
      <c r="C1246" t="s">
        <v>13031</v>
      </c>
      <c r="E1246" s="184"/>
      <c r="G1246" s="184"/>
      <c r="I1246" s="184"/>
      <c r="J1246" t="s">
        <v>595</v>
      </c>
      <c r="K1246" s="184">
        <v>41255</v>
      </c>
      <c r="O1246" s="184"/>
      <c r="Q1246" t="s">
        <v>7262</v>
      </c>
      <c r="R1246" s="184"/>
      <c r="Z1246">
        <v>100174740</v>
      </c>
      <c r="AA1246" t="s">
        <v>7076</v>
      </c>
      <c r="AB1246" t="s">
        <v>10327</v>
      </c>
      <c r="AD1246" t="s">
        <v>14095</v>
      </c>
      <c r="AH1246" t="s">
        <v>6347</v>
      </c>
      <c r="AI1246" t="s">
        <v>14096</v>
      </c>
      <c r="AM1246" t="s">
        <v>14097</v>
      </c>
      <c r="AN1246" t="s">
        <v>65</v>
      </c>
      <c r="AO1246" t="s">
        <v>14098</v>
      </c>
      <c r="AP1246" t="s">
        <v>7024</v>
      </c>
      <c r="AT1246" s="184">
        <v>34029</v>
      </c>
      <c r="AU1246" t="s">
        <v>14099</v>
      </c>
      <c r="AV1246">
        <v>15</v>
      </c>
      <c r="AW1246" s="184">
        <v>41255</v>
      </c>
      <c r="AX1246" t="s">
        <v>14100</v>
      </c>
      <c r="AY1246">
        <v>300</v>
      </c>
      <c r="AZ1246" s="184">
        <v>41255</v>
      </c>
      <c r="BA1246" t="s">
        <v>14100</v>
      </c>
      <c r="BB1246">
        <v>300</v>
      </c>
      <c r="BC1246">
        <v>41</v>
      </c>
      <c r="BD1246">
        <v>1410</v>
      </c>
      <c r="BE1246">
        <v>1993</v>
      </c>
      <c r="BF1246">
        <v>19</v>
      </c>
      <c r="BI1246">
        <v>13</v>
      </c>
      <c r="BJ1246">
        <v>32</v>
      </c>
      <c r="BK1246">
        <v>7</v>
      </c>
      <c r="BP1246" s="184"/>
    </row>
    <row r="1247" spans="1:68">
      <c r="A1247">
        <v>9127168</v>
      </c>
      <c r="B1247">
        <v>9127168</v>
      </c>
      <c r="C1247" t="s">
        <v>7018</v>
      </c>
      <c r="D1247" t="s">
        <v>595</v>
      </c>
      <c r="E1247" s="184">
        <v>44438</v>
      </c>
      <c r="G1247" s="184"/>
      <c r="I1247" s="184"/>
      <c r="K1247" s="184"/>
      <c r="O1247" s="184"/>
      <c r="P1247" t="s">
        <v>7045</v>
      </c>
      <c r="Q1247" t="s">
        <v>7160</v>
      </c>
      <c r="R1247" s="184">
        <v>20408</v>
      </c>
      <c r="S1247">
        <v>68</v>
      </c>
      <c r="U1247" t="s">
        <v>7130</v>
      </c>
      <c r="V1247" t="s">
        <v>3981</v>
      </c>
      <c r="W1247" t="s">
        <v>7067</v>
      </c>
      <c r="X1247" t="s">
        <v>14101</v>
      </c>
      <c r="AF1247" t="s">
        <v>14102</v>
      </c>
      <c r="AG1247" t="s">
        <v>3981</v>
      </c>
      <c r="AI1247" t="s">
        <v>14103</v>
      </c>
      <c r="AM1247" t="s">
        <v>14104</v>
      </c>
      <c r="AN1247" t="s">
        <v>2176</v>
      </c>
      <c r="AO1247" t="s">
        <v>14105</v>
      </c>
      <c r="AP1247" t="s">
        <v>7024</v>
      </c>
      <c r="AQ1247" t="s">
        <v>14106</v>
      </c>
      <c r="AT1247" s="184">
        <v>34031</v>
      </c>
      <c r="AU1247" t="s">
        <v>14093</v>
      </c>
      <c r="AV1247">
        <v>15</v>
      </c>
      <c r="AW1247" s="184">
        <v>43817</v>
      </c>
      <c r="AX1247" t="s">
        <v>14107</v>
      </c>
      <c r="AY1247">
        <v>25</v>
      </c>
      <c r="AZ1247" s="184">
        <v>35244</v>
      </c>
      <c r="BA1247" t="s">
        <v>14108</v>
      </c>
      <c r="BB1247">
        <v>35</v>
      </c>
      <c r="BC1247">
        <v>25</v>
      </c>
      <c r="BD1247">
        <v>200</v>
      </c>
      <c r="BE1247">
        <v>1993</v>
      </c>
      <c r="BF1247">
        <v>9</v>
      </c>
      <c r="BI1247">
        <v>8</v>
      </c>
      <c r="BJ1247">
        <v>32</v>
      </c>
      <c r="BK1247">
        <v>5</v>
      </c>
      <c r="BN1247" t="s">
        <v>595</v>
      </c>
      <c r="BP1247" s="184"/>
    </row>
    <row r="1248" spans="1:68">
      <c r="A1248">
        <v>9224478</v>
      </c>
      <c r="B1248">
        <v>9224478</v>
      </c>
      <c r="C1248" t="s">
        <v>7018</v>
      </c>
      <c r="E1248" s="184"/>
      <c r="G1248" s="184"/>
      <c r="I1248" s="184"/>
      <c r="J1248" t="s">
        <v>595</v>
      </c>
      <c r="K1248" s="184">
        <v>41281</v>
      </c>
      <c r="O1248" s="184"/>
      <c r="P1248" t="s">
        <v>7045</v>
      </c>
      <c r="Q1248" t="s">
        <v>7383</v>
      </c>
      <c r="R1248" s="184">
        <v>18902</v>
      </c>
      <c r="S1248">
        <v>72</v>
      </c>
      <c r="V1248" t="s">
        <v>2786</v>
      </c>
      <c r="X1248" t="s">
        <v>14109</v>
      </c>
      <c r="Z1248">
        <v>100035919</v>
      </c>
      <c r="AB1248" t="s">
        <v>2602</v>
      </c>
      <c r="AD1248" t="s">
        <v>14109</v>
      </c>
      <c r="AF1248" t="s">
        <v>6429</v>
      </c>
      <c r="AG1248" t="s">
        <v>14110</v>
      </c>
      <c r="AI1248" t="s">
        <v>14111</v>
      </c>
      <c r="AM1248" t="s">
        <v>14112</v>
      </c>
      <c r="AN1248" t="s">
        <v>2144</v>
      </c>
      <c r="AO1248" t="s">
        <v>14113</v>
      </c>
      <c r="AP1248" t="s">
        <v>7024</v>
      </c>
      <c r="AQ1248" t="s">
        <v>14114</v>
      </c>
      <c r="AR1248" t="s">
        <v>14115</v>
      </c>
      <c r="AT1248" s="184">
        <v>34053</v>
      </c>
      <c r="AU1248" t="s">
        <v>14029</v>
      </c>
      <c r="AV1248">
        <v>19.95</v>
      </c>
      <c r="AW1248" s="184">
        <v>45343</v>
      </c>
      <c r="AX1248" t="s">
        <v>14116</v>
      </c>
      <c r="AY1248">
        <v>50</v>
      </c>
      <c r="AZ1248" s="184">
        <v>38075</v>
      </c>
      <c r="BA1248" t="s">
        <v>14117</v>
      </c>
      <c r="BB1248">
        <v>87</v>
      </c>
      <c r="BC1248">
        <v>69</v>
      </c>
      <c r="BD1248">
        <v>1261.95</v>
      </c>
      <c r="BE1248">
        <v>1993</v>
      </c>
      <c r="BF1248">
        <v>26</v>
      </c>
      <c r="BG1248">
        <v>2</v>
      </c>
      <c r="BH1248">
        <v>100</v>
      </c>
      <c r="BI1248">
        <v>22</v>
      </c>
      <c r="BJ1248">
        <v>32</v>
      </c>
      <c r="BK1248">
        <v>13</v>
      </c>
      <c r="BP1248" s="184"/>
    </row>
    <row r="1249" spans="1:68">
      <c r="A1249">
        <v>100035919</v>
      </c>
      <c r="B1249">
        <v>9224478</v>
      </c>
      <c r="C1249" t="s">
        <v>7018</v>
      </c>
      <c r="E1249" s="184"/>
      <c r="G1249" s="184"/>
      <c r="I1249" s="184"/>
      <c r="J1249" t="s">
        <v>595</v>
      </c>
      <c r="K1249" s="184">
        <v>44273</v>
      </c>
      <c r="O1249" s="184"/>
      <c r="P1249" t="s">
        <v>7045</v>
      </c>
      <c r="Q1249" t="s">
        <v>7383</v>
      </c>
      <c r="R1249" s="184">
        <v>17930</v>
      </c>
      <c r="S1249">
        <v>75</v>
      </c>
      <c r="V1249" t="s">
        <v>2602</v>
      </c>
      <c r="X1249" t="s">
        <v>14109</v>
      </c>
      <c r="Z1249">
        <v>9224478</v>
      </c>
      <c r="AB1249" t="s">
        <v>2786</v>
      </c>
      <c r="AD1249" t="s">
        <v>14109</v>
      </c>
      <c r="AF1249" t="s">
        <v>6429</v>
      </c>
      <c r="AG1249" t="s">
        <v>14110</v>
      </c>
      <c r="AI1249" t="s">
        <v>14111</v>
      </c>
      <c r="AM1249" t="s">
        <v>14112</v>
      </c>
      <c r="AN1249" t="s">
        <v>2144</v>
      </c>
      <c r="AO1249" t="s">
        <v>14113</v>
      </c>
      <c r="AP1249" t="s">
        <v>7024</v>
      </c>
      <c r="AT1249" s="184"/>
      <c r="AW1249" s="184"/>
      <c r="AZ1249" s="184"/>
      <c r="BP1249" s="184"/>
    </row>
    <row r="1250" spans="1:68">
      <c r="A1250">
        <v>9252305</v>
      </c>
      <c r="B1250">
        <v>9252305</v>
      </c>
      <c r="C1250" t="s">
        <v>7018</v>
      </c>
      <c r="E1250" s="184"/>
      <c r="F1250" t="s">
        <v>595</v>
      </c>
      <c r="G1250" s="184">
        <v>43647</v>
      </c>
      <c r="I1250" s="184"/>
      <c r="K1250" s="184"/>
      <c r="O1250" s="184"/>
      <c r="P1250" t="s">
        <v>7019</v>
      </c>
      <c r="Q1250" t="s">
        <v>7383</v>
      </c>
      <c r="R1250" s="184">
        <v>17958</v>
      </c>
      <c r="S1250">
        <v>75</v>
      </c>
      <c r="U1250" t="s">
        <v>7130</v>
      </c>
      <c r="V1250" t="s">
        <v>3593</v>
      </c>
      <c r="X1250" t="s">
        <v>3594</v>
      </c>
      <c r="AF1250" t="s">
        <v>14118</v>
      </c>
      <c r="AG1250" t="s">
        <v>3593</v>
      </c>
      <c r="AI1250" t="s">
        <v>14119</v>
      </c>
      <c r="AM1250" t="s">
        <v>3595</v>
      </c>
      <c r="AN1250" t="s">
        <v>2072</v>
      </c>
      <c r="AO1250" t="s">
        <v>14120</v>
      </c>
      <c r="AP1250" t="s">
        <v>7024</v>
      </c>
      <c r="AT1250" s="184">
        <v>34053</v>
      </c>
      <c r="AU1250" t="s">
        <v>14029</v>
      </c>
      <c r="AV1250">
        <v>19.95</v>
      </c>
      <c r="AW1250" s="184">
        <v>45345</v>
      </c>
      <c r="AX1250" t="s">
        <v>13371</v>
      </c>
      <c r="AY1250">
        <v>30</v>
      </c>
      <c r="AZ1250" s="184">
        <v>44517</v>
      </c>
      <c r="BA1250" t="s">
        <v>14121</v>
      </c>
      <c r="BB1250">
        <v>60</v>
      </c>
      <c r="BC1250">
        <v>69</v>
      </c>
      <c r="BD1250">
        <v>1159.95</v>
      </c>
      <c r="BE1250">
        <v>1993</v>
      </c>
      <c r="BF1250">
        <v>52</v>
      </c>
      <c r="BG1250">
        <v>5</v>
      </c>
      <c r="BH1250">
        <v>140</v>
      </c>
      <c r="BI1250">
        <v>22</v>
      </c>
      <c r="BJ1250">
        <v>32</v>
      </c>
      <c r="BK1250">
        <v>20</v>
      </c>
      <c r="BP1250" s="184"/>
    </row>
    <row r="1251" spans="1:68">
      <c r="A1251">
        <v>9264151</v>
      </c>
      <c r="B1251">
        <v>9264151</v>
      </c>
      <c r="C1251" t="s">
        <v>7018</v>
      </c>
      <c r="E1251" s="184"/>
      <c r="G1251" s="184"/>
      <c r="I1251" s="184"/>
      <c r="J1251" t="s">
        <v>595</v>
      </c>
      <c r="K1251" s="184">
        <v>44167</v>
      </c>
      <c r="O1251" s="184"/>
      <c r="P1251" t="s">
        <v>7045</v>
      </c>
      <c r="Q1251" t="s">
        <v>7374</v>
      </c>
      <c r="R1251" s="184">
        <v>14246</v>
      </c>
      <c r="S1251">
        <v>85</v>
      </c>
      <c r="V1251" t="s">
        <v>3317</v>
      </c>
      <c r="X1251" t="s">
        <v>2999</v>
      </c>
      <c r="AF1251" t="s">
        <v>14122</v>
      </c>
      <c r="AG1251" t="s">
        <v>3317</v>
      </c>
      <c r="AI1251" t="s">
        <v>14123</v>
      </c>
      <c r="AM1251" t="s">
        <v>14124</v>
      </c>
      <c r="AN1251" t="s">
        <v>2081</v>
      </c>
      <c r="AO1251" t="s">
        <v>14125</v>
      </c>
      <c r="AP1251" t="s">
        <v>7024</v>
      </c>
      <c r="AQ1251" t="s">
        <v>14126</v>
      </c>
      <c r="AR1251" t="s">
        <v>14127</v>
      </c>
      <c r="AT1251" s="184">
        <v>34053</v>
      </c>
      <c r="AU1251" t="s">
        <v>14029</v>
      </c>
      <c r="AV1251">
        <v>19.95</v>
      </c>
      <c r="AW1251" s="184">
        <v>45313</v>
      </c>
      <c r="AX1251" t="s">
        <v>7832</v>
      </c>
      <c r="AY1251">
        <v>210</v>
      </c>
      <c r="AZ1251" s="184">
        <v>45313</v>
      </c>
      <c r="BA1251" t="s">
        <v>7832</v>
      </c>
      <c r="BB1251">
        <v>210</v>
      </c>
      <c r="BC1251">
        <v>69</v>
      </c>
      <c r="BD1251">
        <v>1719.95</v>
      </c>
      <c r="BE1251">
        <v>1993</v>
      </c>
      <c r="BF1251">
        <v>26</v>
      </c>
      <c r="BG1251">
        <v>2</v>
      </c>
      <c r="BH1251">
        <v>310</v>
      </c>
      <c r="BI1251">
        <v>22</v>
      </c>
      <c r="BJ1251">
        <v>32</v>
      </c>
      <c r="BK1251">
        <v>11</v>
      </c>
      <c r="BP1251" s="184"/>
    </row>
    <row r="1252" spans="1:68">
      <c r="A1252">
        <v>9281767</v>
      </c>
      <c r="B1252">
        <v>9281767</v>
      </c>
      <c r="C1252" t="s">
        <v>7018</v>
      </c>
      <c r="D1252" t="s">
        <v>595</v>
      </c>
      <c r="E1252" s="184">
        <v>43642</v>
      </c>
      <c r="G1252" s="184"/>
      <c r="I1252" s="184"/>
      <c r="K1252" s="184"/>
      <c r="O1252" s="184"/>
      <c r="P1252" t="s">
        <v>7045</v>
      </c>
      <c r="Q1252" t="s">
        <v>7262</v>
      </c>
      <c r="R1252" s="184">
        <v>19845</v>
      </c>
      <c r="S1252">
        <v>70</v>
      </c>
      <c r="U1252" t="s">
        <v>7031</v>
      </c>
      <c r="V1252" t="s">
        <v>3206</v>
      </c>
      <c r="X1252" t="s">
        <v>3207</v>
      </c>
      <c r="AF1252" t="s">
        <v>14128</v>
      </c>
      <c r="AG1252" t="s">
        <v>3206</v>
      </c>
      <c r="AI1252" t="s">
        <v>14129</v>
      </c>
      <c r="AM1252" t="s">
        <v>3208</v>
      </c>
      <c r="AN1252" t="s">
        <v>2106</v>
      </c>
      <c r="AO1252" t="s">
        <v>14130</v>
      </c>
      <c r="AP1252" t="s">
        <v>7024</v>
      </c>
      <c r="AT1252" s="184">
        <v>34053</v>
      </c>
      <c r="AU1252" t="s">
        <v>14029</v>
      </c>
      <c r="AV1252">
        <v>19.95</v>
      </c>
      <c r="AW1252" s="184">
        <v>42843</v>
      </c>
      <c r="AX1252" t="s">
        <v>14131</v>
      </c>
      <c r="AY1252">
        <v>15</v>
      </c>
      <c r="AZ1252" s="184">
        <v>34053</v>
      </c>
      <c r="BA1252" t="s">
        <v>14029</v>
      </c>
      <c r="BB1252">
        <v>19.95</v>
      </c>
      <c r="BC1252">
        <v>41</v>
      </c>
      <c r="BD1252">
        <v>229.95</v>
      </c>
      <c r="BE1252">
        <v>1993</v>
      </c>
      <c r="BF1252">
        <v>15</v>
      </c>
      <c r="BI1252">
        <v>13</v>
      </c>
      <c r="BJ1252">
        <v>32</v>
      </c>
      <c r="BK1252">
        <v>6</v>
      </c>
      <c r="BP1252" s="184"/>
    </row>
    <row r="1253" spans="1:68">
      <c r="A1253">
        <v>9294802</v>
      </c>
      <c r="B1253">
        <v>9294802</v>
      </c>
      <c r="C1253" t="s">
        <v>7018</v>
      </c>
      <c r="E1253" s="184"/>
      <c r="G1253" s="184"/>
      <c r="I1253" s="184"/>
      <c r="K1253" s="184"/>
      <c r="N1253" t="s">
        <v>595</v>
      </c>
      <c r="O1253" s="184">
        <v>38349</v>
      </c>
      <c r="P1253" t="s">
        <v>7045</v>
      </c>
      <c r="Q1253" t="s">
        <v>7160</v>
      </c>
      <c r="R1253" s="184">
        <v>10775</v>
      </c>
      <c r="S1253">
        <v>94</v>
      </c>
      <c r="U1253" t="s">
        <v>7076</v>
      </c>
      <c r="V1253" t="s">
        <v>5446</v>
      </c>
      <c r="W1253" t="s">
        <v>14132</v>
      </c>
      <c r="X1253" t="s">
        <v>5541</v>
      </c>
      <c r="AF1253" t="s">
        <v>6020</v>
      </c>
      <c r="AG1253" t="s">
        <v>5446</v>
      </c>
      <c r="AI1253" t="s">
        <v>14133</v>
      </c>
      <c r="AJ1253" t="s">
        <v>14134</v>
      </c>
      <c r="AM1253" t="s">
        <v>5800</v>
      </c>
      <c r="AN1253" t="s">
        <v>2413</v>
      </c>
      <c r="AO1253" t="s">
        <v>14135</v>
      </c>
      <c r="AP1253" t="s">
        <v>7024</v>
      </c>
      <c r="AT1253" s="184">
        <v>34045</v>
      </c>
      <c r="AU1253" t="s">
        <v>14136</v>
      </c>
      <c r="AV1253">
        <v>15</v>
      </c>
      <c r="AW1253" s="184">
        <v>41276</v>
      </c>
      <c r="AX1253" t="s">
        <v>14137</v>
      </c>
      <c r="AY1253">
        <v>35</v>
      </c>
      <c r="AZ1253" s="184">
        <v>38349</v>
      </c>
      <c r="BA1253" t="s">
        <v>8001</v>
      </c>
      <c r="BB1253">
        <v>10000</v>
      </c>
      <c r="BC1253">
        <v>35</v>
      </c>
      <c r="BD1253">
        <v>10415</v>
      </c>
      <c r="BE1253">
        <v>1993</v>
      </c>
      <c r="BF1253">
        <v>15</v>
      </c>
      <c r="BI1253">
        <v>11</v>
      </c>
      <c r="BJ1253">
        <v>32</v>
      </c>
      <c r="BK1253">
        <v>3</v>
      </c>
      <c r="BO1253" t="s">
        <v>595</v>
      </c>
      <c r="BP1253" s="184">
        <v>43985</v>
      </c>
    </row>
    <row r="1254" spans="1:68">
      <c r="A1254">
        <v>9303470</v>
      </c>
      <c r="B1254">
        <v>9303470</v>
      </c>
      <c r="C1254" t="s">
        <v>7018</v>
      </c>
      <c r="E1254" s="184"/>
      <c r="G1254" s="184"/>
      <c r="I1254" s="184"/>
      <c r="J1254" t="s">
        <v>595</v>
      </c>
      <c r="K1254" s="184">
        <v>42711</v>
      </c>
      <c r="O1254" s="184"/>
      <c r="P1254" t="s">
        <v>7045</v>
      </c>
      <c r="Q1254" t="s">
        <v>7262</v>
      </c>
      <c r="R1254" s="184">
        <v>15168</v>
      </c>
      <c r="S1254">
        <v>82</v>
      </c>
      <c r="U1254" t="s">
        <v>7032</v>
      </c>
      <c r="V1254" t="s">
        <v>2551</v>
      </c>
      <c r="X1254" t="s">
        <v>14138</v>
      </c>
      <c r="AF1254" t="s">
        <v>6599</v>
      </c>
      <c r="AG1254" t="s">
        <v>2551</v>
      </c>
      <c r="AI1254" t="s">
        <v>14139</v>
      </c>
      <c r="AJ1254" t="s">
        <v>14140</v>
      </c>
      <c r="AM1254" t="s">
        <v>14141</v>
      </c>
      <c r="AN1254" t="s">
        <v>2069</v>
      </c>
      <c r="AO1254" t="s">
        <v>14142</v>
      </c>
      <c r="AP1254" t="s">
        <v>7024</v>
      </c>
      <c r="AT1254" s="184">
        <v>34046</v>
      </c>
      <c r="AU1254" t="s">
        <v>14143</v>
      </c>
      <c r="AV1254">
        <v>15</v>
      </c>
      <c r="AW1254" s="184">
        <v>44452</v>
      </c>
      <c r="AX1254" t="s">
        <v>14144</v>
      </c>
      <c r="AY1254">
        <v>75</v>
      </c>
      <c r="AZ1254" s="184">
        <v>42738</v>
      </c>
      <c r="BA1254" t="s">
        <v>14145</v>
      </c>
      <c r="BB1254">
        <v>100</v>
      </c>
      <c r="BC1254">
        <v>38</v>
      </c>
      <c r="BD1254">
        <v>620</v>
      </c>
      <c r="BE1254">
        <v>1993</v>
      </c>
      <c r="BF1254">
        <v>13</v>
      </c>
      <c r="BI1254">
        <v>12</v>
      </c>
      <c r="BJ1254">
        <v>32</v>
      </c>
      <c r="BK1254">
        <v>4</v>
      </c>
      <c r="BO1254" t="s">
        <v>595</v>
      </c>
      <c r="BP1254" s="184"/>
    </row>
    <row r="1255" spans="1:68">
      <c r="A1255">
        <v>9313651</v>
      </c>
      <c r="B1255">
        <v>9313651</v>
      </c>
      <c r="C1255" t="s">
        <v>7018</v>
      </c>
      <c r="E1255" s="184"/>
      <c r="G1255" s="184"/>
      <c r="I1255" s="184"/>
      <c r="J1255" t="s">
        <v>595</v>
      </c>
      <c r="K1255" s="184">
        <v>43711</v>
      </c>
      <c r="O1255" s="184"/>
      <c r="P1255" t="s">
        <v>7045</v>
      </c>
      <c r="Q1255" t="s">
        <v>7494</v>
      </c>
      <c r="R1255" s="184">
        <v>17807</v>
      </c>
      <c r="S1255">
        <v>75</v>
      </c>
      <c r="U1255" t="s">
        <v>7130</v>
      </c>
      <c r="V1255" t="s">
        <v>3272</v>
      </c>
      <c r="W1255" t="s">
        <v>7560</v>
      </c>
      <c r="X1255" t="s">
        <v>3762</v>
      </c>
      <c r="AF1255" t="s">
        <v>6638</v>
      </c>
      <c r="AG1255" t="s">
        <v>3272</v>
      </c>
      <c r="AI1255" t="s">
        <v>14146</v>
      </c>
      <c r="AM1255" t="s">
        <v>3763</v>
      </c>
      <c r="AN1255" t="s">
        <v>2484</v>
      </c>
      <c r="AO1255">
        <v>74112</v>
      </c>
      <c r="AP1255" t="s">
        <v>7024</v>
      </c>
      <c r="AQ1255" t="s">
        <v>14147</v>
      </c>
      <c r="AR1255" t="s">
        <v>14148</v>
      </c>
      <c r="AT1255" s="184">
        <v>34047</v>
      </c>
      <c r="AU1255" t="s">
        <v>14149</v>
      </c>
      <c r="AV1255">
        <v>15</v>
      </c>
      <c r="AW1255" s="184">
        <v>45092</v>
      </c>
      <c r="AX1255" t="s">
        <v>12641</v>
      </c>
      <c r="AY1255">
        <v>25</v>
      </c>
      <c r="AZ1255" s="184">
        <v>45092</v>
      </c>
      <c r="BA1255" t="s">
        <v>12641</v>
      </c>
      <c r="BB1255">
        <v>25</v>
      </c>
      <c r="BC1255">
        <v>54</v>
      </c>
      <c r="BD1255">
        <v>407</v>
      </c>
      <c r="BE1255">
        <v>1993</v>
      </c>
      <c r="BF1255">
        <v>21</v>
      </c>
      <c r="BG1255">
        <v>3</v>
      </c>
      <c r="BH1255">
        <v>55</v>
      </c>
      <c r="BI1255">
        <v>17</v>
      </c>
      <c r="BJ1255">
        <v>32</v>
      </c>
      <c r="BK1255">
        <v>15</v>
      </c>
      <c r="BP1255" s="184"/>
    </row>
    <row r="1256" spans="1:68">
      <c r="A1256">
        <v>9318551</v>
      </c>
      <c r="B1256">
        <v>9318551</v>
      </c>
      <c r="C1256" t="s">
        <v>7018</v>
      </c>
      <c r="D1256" t="s">
        <v>595</v>
      </c>
      <c r="E1256" s="184">
        <v>44119</v>
      </c>
      <c r="G1256" s="184"/>
      <c r="I1256" s="184"/>
      <c r="K1256" s="184"/>
      <c r="O1256" s="184"/>
      <c r="P1256" t="s">
        <v>7045</v>
      </c>
      <c r="Q1256" t="s">
        <v>7030</v>
      </c>
      <c r="R1256" s="184">
        <v>15847</v>
      </c>
      <c r="S1256">
        <v>80</v>
      </c>
      <c r="V1256" t="s">
        <v>2661</v>
      </c>
      <c r="W1256" t="s">
        <v>4139</v>
      </c>
      <c r="X1256" t="s">
        <v>14150</v>
      </c>
      <c r="Z1256">
        <v>100036057</v>
      </c>
      <c r="AB1256" t="s">
        <v>3554</v>
      </c>
      <c r="AC1256" t="s">
        <v>7963</v>
      </c>
      <c r="AD1256" t="s">
        <v>14150</v>
      </c>
      <c r="AF1256" t="s">
        <v>14151</v>
      </c>
      <c r="AG1256" t="s">
        <v>14152</v>
      </c>
      <c r="AI1256" t="s">
        <v>14153</v>
      </c>
      <c r="AM1256" t="s">
        <v>4424</v>
      </c>
      <c r="AN1256" t="s">
        <v>2089</v>
      </c>
      <c r="AO1256" t="s">
        <v>14154</v>
      </c>
      <c r="AP1256" t="s">
        <v>7024</v>
      </c>
      <c r="AQ1256" t="s">
        <v>14155</v>
      </c>
      <c r="AT1256" s="184">
        <v>34047</v>
      </c>
      <c r="AU1256" t="s">
        <v>14156</v>
      </c>
      <c r="AV1256">
        <v>15</v>
      </c>
      <c r="AW1256" s="184">
        <v>44938</v>
      </c>
      <c r="AX1256" t="s">
        <v>14157</v>
      </c>
      <c r="AY1256">
        <v>35</v>
      </c>
      <c r="AZ1256" s="184">
        <v>40709</v>
      </c>
      <c r="BA1256" t="s">
        <v>14158</v>
      </c>
      <c r="BB1256">
        <v>50</v>
      </c>
      <c r="BC1256">
        <v>88</v>
      </c>
      <c r="BD1256">
        <v>1457</v>
      </c>
      <c r="BE1256">
        <v>1993</v>
      </c>
      <c r="BF1256">
        <v>47</v>
      </c>
      <c r="BG1256">
        <v>1</v>
      </c>
      <c r="BH1256">
        <v>35</v>
      </c>
      <c r="BI1256">
        <v>28</v>
      </c>
      <c r="BJ1256">
        <v>32</v>
      </c>
      <c r="BK1256">
        <v>19</v>
      </c>
      <c r="BN1256" t="s">
        <v>595</v>
      </c>
      <c r="BP1256" s="184"/>
    </row>
    <row r="1257" spans="1:68">
      <c r="A1257">
        <v>100036057</v>
      </c>
      <c r="B1257">
        <v>9318551</v>
      </c>
      <c r="C1257" t="s">
        <v>7018</v>
      </c>
      <c r="D1257" t="s">
        <v>595</v>
      </c>
      <c r="E1257" s="184">
        <v>44119</v>
      </c>
      <c r="G1257" s="184"/>
      <c r="I1257" s="184"/>
      <c r="K1257" s="184"/>
      <c r="O1257" s="184"/>
      <c r="P1257" t="s">
        <v>7045</v>
      </c>
      <c r="Q1257" t="s">
        <v>7030</v>
      </c>
      <c r="R1257" s="184">
        <v>16859</v>
      </c>
      <c r="S1257">
        <v>78</v>
      </c>
      <c r="V1257" t="s">
        <v>3554</v>
      </c>
      <c r="W1257" t="s">
        <v>7963</v>
      </c>
      <c r="X1257" t="s">
        <v>14150</v>
      </c>
      <c r="Z1257">
        <v>9318551</v>
      </c>
      <c r="AB1257" t="s">
        <v>2661</v>
      </c>
      <c r="AC1257" t="s">
        <v>4139</v>
      </c>
      <c r="AD1257" t="s">
        <v>14150</v>
      </c>
      <c r="AF1257" t="s">
        <v>14151</v>
      </c>
      <c r="AG1257" t="s">
        <v>14152</v>
      </c>
      <c r="AI1257" t="s">
        <v>14153</v>
      </c>
      <c r="AM1257" t="s">
        <v>4424</v>
      </c>
      <c r="AN1257" t="s">
        <v>2089</v>
      </c>
      <c r="AO1257" t="s">
        <v>14154</v>
      </c>
      <c r="AP1257" t="s">
        <v>7024</v>
      </c>
      <c r="AT1257" s="184"/>
      <c r="AW1257" s="184"/>
      <c r="AZ1257" s="184"/>
      <c r="BP1257" s="184"/>
    </row>
    <row r="1258" spans="1:68">
      <c r="A1258">
        <v>9320110</v>
      </c>
      <c r="B1258">
        <v>9320110</v>
      </c>
      <c r="C1258" t="s">
        <v>7018</v>
      </c>
      <c r="D1258" t="s">
        <v>595</v>
      </c>
      <c r="E1258" s="184">
        <v>44065</v>
      </c>
      <c r="G1258" s="184"/>
      <c r="H1258" t="s">
        <v>595</v>
      </c>
      <c r="I1258" s="184">
        <v>44065</v>
      </c>
      <c r="K1258" s="184"/>
      <c r="O1258" s="184"/>
      <c r="P1258" t="s">
        <v>7045</v>
      </c>
      <c r="Q1258" t="s">
        <v>7383</v>
      </c>
      <c r="R1258" s="184">
        <v>20972</v>
      </c>
      <c r="S1258">
        <v>66</v>
      </c>
      <c r="U1258" t="s">
        <v>7031</v>
      </c>
      <c r="V1258" t="s">
        <v>4847</v>
      </c>
      <c r="W1258" t="s">
        <v>3830</v>
      </c>
      <c r="X1258" t="s">
        <v>4848</v>
      </c>
      <c r="AF1258" t="s">
        <v>14159</v>
      </c>
      <c r="AG1258" t="s">
        <v>4847</v>
      </c>
      <c r="AI1258" t="s">
        <v>14160</v>
      </c>
      <c r="AM1258" t="s">
        <v>4849</v>
      </c>
      <c r="AN1258" t="s">
        <v>2059</v>
      </c>
      <c r="AO1258" t="s">
        <v>14161</v>
      </c>
      <c r="AP1258" t="s">
        <v>7024</v>
      </c>
      <c r="AQ1258" t="s">
        <v>14162</v>
      </c>
      <c r="AR1258" t="s">
        <v>14163</v>
      </c>
      <c r="AT1258" s="184">
        <v>34047</v>
      </c>
      <c r="AU1258" t="s">
        <v>14149</v>
      </c>
      <c r="AV1258">
        <v>15</v>
      </c>
      <c r="AW1258" s="184">
        <v>45029</v>
      </c>
      <c r="AX1258" t="s">
        <v>14164</v>
      </c>
      <c r="AY1258">
        <v>100</v>
      </c>
      <c r="AZ1258" s="184">
        <v>45029</v>
      </c>
      <c r="BA1258" t="s">
        <v>14164</v>
      </c>
      <c r="BB1258">
        <v>100</v>
      </c>
      <c r="BC1258">
        <v>88</v>
      </c>
      <c r="BD1258">
        <v>1060</v>
      </c>
      <c r="BE1258">
        <v>1993</v>
      </c>
      <c r="BF1258">
        <v>31</v>
      </c>
      <c r="BG1258">
        <v>3</v>
      </c>
      <c r="BH1258">
        <v>200</v>
      </c>
      <c r="BI1258">
        <v>28</v>
      </c>
      <c r="BJ1258">
        <v>32</v>
      </c>
      <c r="BK1258">
        <v>20</v>
      </c>
      <c r="BP1258" s="184"/>
    </row>
    <row r="1259" spans="1:68">
      <c r="A1259">
        <v>9339201</v>
      </c>
      <c r="B1259">
        <v>9339201</v>
      </c>
      <c r="C1259" t="s">
        <v>7018</v>
      </c>
      <c r="D1259" t="s">
        <v>595</v>
      </c>
      <c r="E1259" s="184">
        <v>43669</v>
      </c>
      <c r="G1259" s="184"/>
      <c r="I1259" s="184"/>
      <c r="K1259" s="184"/>
      <c r="O1259" s="184"/>
      <c r="P1259" t="s">
        <v>7045</v>
      </c>
      <c r="Q1259" t="s">
        <v>7262</v>
      </c>
      <c r="R1259" s="184">
        <v>18938</v>
      </c>
      <c r="S1259">
        <v>72</v>
      </c>
      <c r="U1259" t="s">
        <v>7130</v>
      </c>
      <c r="V1259" t="s">
        <v>2825</v>
      </c>
      <c r="X1259" t="s">
        <v>14165</v>
      </c>
      <c r="AF1259" t="s">
        <v>14166</v>
      </c>
      <c r="AG1259" t="s">
        <v>2825</v>
      </c>
      <c r="AI1259" t="s">
        <v>14167</v>
      </c>
      <c r="AM1259" t="s">
        <v>14168</v>
      </c>
      <c r="AN1259" t="s">
        <v>2106</v>
      </c>
      <c r="AO1259" t="s">
        <v>14169</v>
      </c>
      <c r="AP1259" t="s">
        <v>7024</v>
      </c>
      <c r="AQ1259" t="s">
        <v>14170</v>
      </c>
      <c r="AR1259" t="s">
        <v>14171</v>
      </c>
      <c r="AT1259" s="184">
        <v>34051</v>
      </c>
      <c r="AU1259" t="s">
        <v>14172</v>
      </c>
      <c r="AV1259">
        <v>15</v>
      </c>
      <c r="AW1259" s="184">
        <v>45065</v>
      </c>
      <c r="AX1259" t="s">
        <v>14173</v>
      </c>
      <c r="AY1259">
        <v>30</v>
      </c>
      <c r="AZ1259" s="184">
        <v>39930</v>
      </c>
      <c r="BA1259" t="s">
        <v>14174</v>
      </c>
      <c r="BB1259">
        <v>50</v>
      </c>
      <c r="BC1259">
        <v>82</v>
      </c>
      <c r="BD1259">
        <v>1110</v>
      </c>
      <c r="BE1259">
        <v>1993</v>
      </c>
      <c r="BF1259">
        <v>55</v>
      </c>
      <c r="BG1259">
        <v>4</v>
      </c>
      <c r="BH1259">
        <v>120</v>
      </c>
      <c r="BI1259">
        <v>26</v>
      </c>
      <c r="BJ1259">
        <v>32</v>
      </c>
      <c r="BK1259">
        <v>18</v>
      </c>
      <c r="BP1259" s="184"/>
    </row>
    <row r="1260" spans="1:68">
      <c r="A1260">
        <v>9358763</v>
      </c>
      <c r="B1260">
        <v>9358763</v>
      </c>
      <c r="C1260" t="s">
        <v>7018</v>
      </c>
      <c r="E1260" s="184"/>
      <c r="G1260" s="184"/>
      <c r="H1260" t="s">
        <v>595</v>
      </c>
      <c r="I1260" s="184">
        <v>44328</v>
      </c>
      <c r="K1260" s="184"/>
      <c r="O1260" s="184"/>
      <c r="P1260" t="s">
        <v>7045</v>
      </c>
      <c r="Q1260" t="s">
        <v>7383</v>
      </c>
      <c r="R1260" s="184">
        <v>15031</v>
      </c>
      <c r="S1260">
        <v>83</v>
      </c>
      <c r="V1260" t="s">
        <v>5791</v>
      </c>
      <c r="X1260" t="s">
        <v>14175</v>
      </c>
      <c r="Z1260">
        <v>100705022</v>
      </c>
      <c r="AB1260" t="s">
        <v>3011</v>
      </c>
      <c r="AD1260" t="s">
        <v>14175</v>
      </c>
      <c r="AF1260" t="s">
        <v>14176</v>
      </c>
      <c r="AG1260" t="s">
        <v>14177</v>
      </c>
      <c r="AI1260" t="s">
        <v>14178</v>
      </c>
      <c r="AM1260" t="s">
        <v>5887</v>
      </c>
      <c r="AN1260" t="s">
        <v>2313</v>
      </c>
      <c r="AO1260" t="s">
        <v>14179</v>
      </c>
      <c r="AP1260" t="s">
        <v>7024</v>
      </c>
      <c r="AQ1260" t="s">
        <v>14180</v>
      </c>
      <c r="AR1260" t="s">
        <v>14181</v>
      </c>
      <c r="AT1260" s="184">
        <v>34060</v>
      </c>
      <c r="AU1260" t="s">
        <v>14029</v>
      </c>
      <c r="AV1260">
        <v>19.95</v>
      </c>
      <c r="AW1260" s="184">
        <v>45258</v>
      </c>
      <c r="AX1260" t="s">
        <v>7596</v>
      </c>
      <c r="AY1260">
        <v>50</v>
      </c>
      <c r="AZ1260" s="184">
        <v>42607</v>
      </c>
      <c r="BA1260" t="s">
        <v>14182</v>
      </c>
      <c r="BB1260">
        <v>100</v>
      </c>
      <c r="BC1260">
        <v>75</v>
      </c>
      <c r="BD1260">
        <v>1489.95</v>
      </c>
      <c r="BE1260">
        <v>1993</v>
      </c>
      <c r="BF1260">
        <v>41</v>
      </c>
      <c r="BG1260">
        <v>3</v>
      </c>
      <c r="BH1260">
        <v>150</v>
      </c>
      <c r="BI1260">
        <v>24</v>
      </c>
      <c r="BJ1260">
        <v>32</v>
      </c>
      <c r="BK1260">
        <v>10</v>
      </c>
    </row>
    <row r="1261" spans="1:68">
      <c r="A1261">
        <v>9420282</v>
      </c>
      <c r="B1261">
        <v>9420282</v>
      </c>
      <c r="C1261" t="s">
        <v>7018</v>
      </c>
      <c r="D1261" t="s">
        <v>595</v>
      </c>
      <c r="E1261" s="184">
        <v>43647</v>
      </c>
      <c r="G1261" s="184"/>
      <c r="I1261" s="184"/>
      <c r="K1261" s="184"/>
      <c r="O1261" s="184"/>
      <c r="P1261" t="s">
        <v>7019</v>
      </c>
      <c r="Q1261" t="s">
        <v>7030</v>
      </c>
      <c r="R1261" s="184">
        <v>17199</v>
      </c>
      <c r="S1261">
        <v>77</v>
      </c>
      <c r="V1261" t="s">
        <v>2586</v>
      </c>
      <c r="W1261" t="s">
        <v>3522</v>
      </c>
      <c r="X1261" t="s">
        <v>3514</v>
      </c>
      <c r="AF1261" t="s">
        <v>14183</v>
      </c>
      <c r="AG1261" t="s">
        <v>2586</v>
      </c>
      <c r="AI1261" t="s">
        <v>14184</v>
      </c>
      <c r="AM1261" t="s">
        <v>3515</v>
      </c>
      <c r="AN1261" t="s">
        <v>2638</v>
      </c>
      <c r="AO1261" t="s">
        <v>14185</v>
      </c>
      <c r="AP1261" t="s">
        <v>7024</v>
      </c>
      <c r="AT1261" s="184">
        <v>34051</v>
      </c>
      <c r="AU1261" t="s">
        <v>14186</v>
      </c>
      <c r="AV1261">
        <v>15</v>
      </c>
      <c r="AW1261" s="184">
        <v>45383</v>
      </c>
      <c r="AX1261" t="s">
        <v>14187</v>
      </c>
      <c r="AY1261">
        <v>30</v>
      </c>
      <c r="AZ1261" s="184">
        <v>44735</v>
      </c>
      <c r="BA1261" t="s">
        <v>11995</v>
      </c>
      <c r="BB1261">
        <v>60</v>
      </c>
      <c r="BC1261">
        <v>75</v>
      </c>
      <c r="BD1261">
        <v>1205</v>
      </c>
      <c r="BE1261">
        <v>1993</v>
      </c>
      <c r="BF1261">
        <v>42</v>
      </c>
      <c r="BG1261">
        <v>5</v>
      </c>
      <c r="BH1261">
        <v>145</v>
      </c>
      <c r="BI1261">
        <v>24</v>
      </c>
      <c r="BJ1261">
        <v>32</v>
      </c>
      <c r="BK1261">
        <v>12</v>
      </c>
      <c r="BP1261" s="184"/>
    </row>
    <row r="1262" spans="1:68">
      <c r="A1262">
        <v>9421611</v>
      </c>
      <c r="B1262">
        <v>9421611</v>
      </c>
      <c r="C1262" t="s">
        <v>7018</v>
      </c>
      <c r="E1262" s="184"/>
      <c r="G1262" s="184"/>
      <c r="J1262" t="s">
        <v>595</v>
      </c>
      <c r="K1262" s="184">
        <v>37438</v>
      </c>
      <c r="O1262" s="184"/>
      <c r="P1262" t="s">
        <v>7045</v>
      </c>
      <c r="Q1262" t="s">
        <v>7160</v>
      </c>
      <c r="R1262" s="184">
        <v>14916</v>
      </c>
      <c r="S1262">
        <v>83</v>
      </c>
      <c r="U1262" t="s">
        <v>7130</v>
      </c>
      <c r="V1262" t="s">
        <v>4330</v>
      </c>
      <c r="W1262" t="s">
        <v>7384</v>
      </c>
      <c r="X1262" t="s">
        <v>2706</v>
      </c>
      <c r="Z1262">
        <v>100180448</v>
      </c>
      <c r="AA1262" t="s">
        <v>7031</v>
      </c>
      <c r="AB1262" t="s">
        <v>2889</v>
      </c>
      <c r="AC1262" t="s">
        <v>8224</v>
      </c>
      <c r="AD1262" t="s">
        <v>2706</v>
      </c>
      <c r="AF1262" t="s">
        <v>6100</v>
      </c>
      <c r="AG1262" t="s">
        <v>4330</v>
      </c>
      <c r="AI1262" t="s">
        <v>14188</v>
      </c>
      <c r="AM1262" t="s">
        <v>2998</v>
      </c>
      <c r="AN1262" t="s">
        <v>2176</v>
      </c>
      <c r="AO1262" t="s">
        <v>14189</v>
      </c>
      <c r="AP1262" t="s">
        <v>7024</v>
      </c>
      <c r="AQ1262" t="s">
        <v>14190</v>
      </c>
      <c r="AT1262" s="184">
        <v>34058</v>
      </c>
      <c r="AU1262" t="s">
        <v>14191</v>
      </c>
      <c r="AV1262">
        <v>15</v>
      </c>
      <c r="AW1262" s="184">
        <v>45250</v>
      </c>
      <c r="AX1262" t="s">
        <v>7596</v>
      </c>
      <c r="AY1262">
        <v>100</v>
      </c>
      <c r="AZ1262" s="184">
        <v>42502</v>
      </c>
      <c r="BA1262" t="s">
        <v>14192</v>
      </c>
      <c r="BB1262">
        <v>1000</v>
      </c>
      <c r="BC1262">
        <v>97</v>
      </c>
      <c r="BD1262">
        <v>6201</v>
      </c>
      <c r="BE1262">
        <v>1993</v>
      </c>
      <c r="BF1262">
        <v>55</v>
      </c>
      <c r="BG1262">
        <v>2</v>
      </c>
      <c r="BH1262">
        <v>200</v>
      </c>
      <c r="BI1262">
        <v>31</v>
      </c>
      <c r="BJ1262">
        <v>32</v>
      </c>
      <c r="BK1262">
        <v>31</v>
      </c>
      <c r="BM1262" t="s">
        <v>595</v>
      </c>
      <c r="BN1262" t="s">
        <v>595</v>
      </c>
      <c r="BP1262" s="184"/>
    </row>
    <row r="1263" spans="1:68">
      <c r="A1263">
        <v>100180448</v>
      </c>
      <c r="B1263">
        <v>9421611</v>
      </c>
      <c r="C1263" t="s">
        <v>7018</v>
      </c>
      <c r="E1263" s="184"/>
      <c r="G1263" s="184"/>
      <c r="J1263" t="s">
        <v>595</v>
      </c>
      <c r="K1263" s="184">
        <v>37438</v>
      </c>
      <c r="O1263" s="184"/>
      <c r="P1263" t="s">
        <v>7045</v>
      </c>
      <c r="Q1263" t="s">
        <v>7160</v>
      </c>
      <c r="R1263" s="184">
        <v>11315</v>
      </c>
      <c r="S1263">
        <v>93</v>
      </c>
      <c r="U1263" t="s">
        <v>7031</v>
      </c>
      <c r="V1263" t="s">
        <v>2889</v>
      </c>
      <c r="W1263" t="s">
        <v>8224</v>
      </c>
      <c r="X1263" t="s">
        <v>2706</v>
      </c>
      <c r="Z1263">
        <v>9421611</v>
      </c>
      <c r="AA1263" t="s">
        <v>7130</v>
      </c>
      <c r="AB1263" t="s">
        <v>4330</v>
      </c>
      <c r="AC1263" t="s">
        <v>7384</v>
      </c>
      <c r="AD1263" t="s">
        <v>2706</v>
      </c>
      <c r="AF1263" t="s">
        <v>6100</v>
      </c>
      <c r="AG1263" t="s">
        <v>4330</v>
      </c>
      <c r="AI1263" t="s">
        <v>14188</v>
      </c>
      <c r="AM1263" t="s">
        <v>2998</v>
      </c>
      <c r="AN1263" t="s">
        <v>2176</v>
      </c>
      <c r="AO1263" t="s">
        <v>14189</v>
      </c>
      <c r="AP1263" t="s">
        <v>7024</v>
      </c>
      <c r="AT1263" s="184"/>
      <c r="AW1263" s="184"/>
      <c r="AZ1263" s="184"/>
      <c r="BO1263" t="s">
        <v>595</v>
      </c>
      <c r="BP1263" s="184">
        <v>43360</v>
      </c>
    </row>
    <row r="1264" spans="1:68">
      <c r="A1264">
        <v>9428426</v>
      </c>
      <c r="B1264">
        <v>9428426</v>
      </c>
      <c r="C1264" t="s">
        <v>7018</v>
      </c>
      <c r="E1264" s="184"/>
      <c r="F1264" t="s">
        <v>595</v>
      </c>
      <c r="G1264" s="184">
        <v>43731</v>
      </c>
      <c r="K1264" s="184"/>
      <c r="O1264" s="184"/>
      <c r="P1264" t="s">
        <v>7045</v>
      </c>
      <c r="Q1264" t="s">
        <v>7494</v>
      </c>
      <c r="R1264" s="184">
        <v>14334</v>
      </c>
      <c r="S1264">
        <v>85</v>
      </c>
      <c r="U1264" t="s">
        <v>7031</v>
      </c>
      <c r="V1264" t="s">
        <v>3930</v>
      </c>
      <c r="W1264" t="s">
        <v>2058</v>
      </c>
      <c r="X1264" t="s">
        <v>3931</v>
      </c>
      <c r="AF1264" t="s">
        <v>14193</v>
      </c>
      <c r="AG1264" t="s">
        <v>3930</v>
      </c>
      <c r="AI1264" t="s">
        <v>14194</v>
      </c>
      <c r="AM1264" t="s">
        <v>3932</v>
      </c>
      <c r="AN1264" t="s">
        <v>2174</v>
      </c>
      <c r="AO1264" t="s">
        <v>14195</v>
      </c>
      <c r="AP1264" t="s">
        <v>7024</v>
      </c>
      <c r="AQ1264" t="s">
        <v>14196</v>
      </c>
      <c r="AR1264" t="s">
        <v>14197</v>
      </c>
      <c r="AT1264" s="184">
        <v>34060</v>
      </c>
      <c r="AU1264" t="s">
        <v>14198</v>
      </c>
      <c r="AV1264">
        <v>25</v>
      </c>
      <c r="AW1264" s="184">
        <v>44924</v>
      </c>
      <c r="AX1264" t="s">
        <v>14199</v>
      </c>
      <c r="AY1264">
        <v>25</v>
      </c>
      <c r="AZ1264" s="184">
        <v>43830</v>
      </c>
      <c r="BA1264" t="s">
        <v>14200</v>
      </c>
      <c r="BB1264">
        <v>600</v>
      </c>
      <c r="BC1264">
        <v>57</v>
      </c>
      <c r="BD1264">
        <v>1570</v>
      </c>
      <c r="BE1264">
        <v>1993</v>
      </c>
      <c r="BF1264">
        <v>27</v>
      </c>
      <c r="BG1264">
        <v>1</v>
      </c>
      <c r="BH1264">
        <v>25</v>
      </c>
      <c r="BI1264">
        <v>18</v>
      </c>
      <c r="BJ1264">
        <v>32</v>
      </c>
      <c r="BK1264">
        <v>5</v>
      </c>
    </row>
    <row r="1265" spans="1:68">
      <c r="A1265">
        <v>9474883</v>
      </c>
      <c r="B1265">
        <v>9474883</v>
      </c>
      <c r="C1265" t="s">
        <v>7018</v>
      </c>
      <c r="E1265" s="184"/>
      <c r="G1265" s="184"/>
      <c r="J1265" t="s">
        <v>595</v>
      </c>
      <c r="K1265" s="184">
        <v>44167</v>
      </c>
      <c r="O1265" s="184"/>
      <c r="P1265" t="s">
        <v>7045</v>
      </c>
      <c r="Q1265" t="s">
        <v>7383</v>
      </c>
      <c r="R1265" s="184">
        <v>16729</v>
      </c>
      <c r="S1265">
        <v>78</v>
      </c>
      <c r="U1265" t="s">
        <v>7076</v>
      </c>
      <c r="V1265" t="s">
        <v>3209</v>
      </c>
      <c r="W1265" t="s">
        <v>5006</v>
      </c>
      <c r="X1265" t="s">
        <v>3210</v>
      </c>
      <c r="AF1265" t="s">
        <v>14201</v>
      </c>
      <c r="AG1265" t="s">
        <v>3209</v>
      </c>
      <c r="AI1265" t="s">
        <v>14202</v>
      </c>
      <c r="AM1265" t="s">
        <v>3211</v>
      </c>
      <c r="AN1265" t="s">
        <v>2313</v>
      </c>
      <c r="AO1265" t="s">
        <v>14203</v>
      </c>
      <c r="AP1265" t="s">
        <v>7024</v>
      </c>
      <c r="AQ1265" t="s">
        <v>14204</v>
      </c>
      <c r="AT1265" s="184">
        <v>34066</v>
      </c>
      <c r="AU1265" t="s">
        <v>14198</v>
      </c>
      <c r="AV1265">
        <v>15</v>
      </c>
      <c r="AW1265" s="184">
        <v>45044</v>
      </c>
      <c r="AX1265" t="s">
        <v>12914</v>
      </c>
      <c r="AY1265">
        <v>50</v>
      </c>
      <c r="AZ1265" s="184">
        <v>45044</v>
      </c>
      <c r="BA1265" t="s">
        <v>12914</v>
      </c>
      <c r="BB1265">
        <v>50</v>
      </c>
      <c r="BC1265">
        <v>91</v>
      </c>
      <c r="BD1265">
        <v>1559</v>
      </c>
      <c r="BE1265">
        <v>1993</v>
      </c>
      <c r="BF1265">
        <v>51</v>
      </c>
      <c r="BG1265">
        <v>2</v>
      </c>
      <c r="BH1265">
        <v>100</v>
      </c>
      <c r="BI1265">
        <v>29</v>
      </c>
      <c r="BJ1265">
        <v>32</v>
      </c>
      <c r="BK1265">
        <v>20</v>
      </c>
    </row>
    <row r="1266" spans="1:68">
      <c r="A1266">
        <v>9493479</v>
      </c>
      <c r="B1266">
        <v>9493479</v>
      </c>
      <c r="C1266" t="s">
        <v>7018</v>
      </c>
      <c r="E1266" s="184"/>
      <c r="G1266" s="184"/>
      <c r="I1266" s="184"/>
      <c r="K1266" s="184"/>
      <c r="N1266" t="s">
        <v>595</v>
      </c>
      <c r="O1266" s="184">
        <v>40151</v>
      </c>
      <c r="P1266" t="s">
        <v>7045</v>
      </c>
      <c r="Q1266" t="s">
        <v>7194</v>
      </c>
      <c r="R1266" s="184">
        <v>14447</v>
      </c>
      <c r="S1266">
        <v>84</v>
      </c>
      <c r="U1266" t="s">
        <v>7130</v>
      </c>
      <c r="V1266" t="s">
        <v>3468</v>
      </c>
      <c r="W1266" t="s">
        <v>2586</v>
      </c>
      <c r="X1266" t="s">
        <v>2855</v>
      </c>
      <c r="AF1266" t="s">
        <v>14205</v>
      </c>
      <c r="AG1266" t="s">
        <v>3468</v>
      </c>
      <c r="AI1266" t="s">
        <v>14206</v>
      </c>
      <c r="AM1266" t="s">
        <v>2856</v>
      </c>
      <c r="AN1266" t="s">
        <v>2046</v>
      </c>
      <c r="AO1266" t="s">
        <v>14207</v>
      </c>
      <c r="AP1266" t="s">
        <v>7024</v>
      </c>
      <c r="AQ1266" t="s">
        <v>14208</v>
      </c>
      <c r="AT1266" s="184">
        <v>34074</v>
      </c>
      <c r="AU1266" t="s">
        <v>14149</v>
      </c>
      <c r="AV1266">
        <v>25</v>
      </c>
      <c r="AW1266" s="184">
        <v>43074</v>
      </c>
      <c r="AX1266" t="s">
        <v>10539</v>
      </c>
      <c r="AY1266">
        <v>200</v>
      </c>
      <c r="AZ1266" s="184">
        <v>42321</v>
      </c>
      <c r="BA1266" t="s">
        <v>7100</v>
      </c>
      <c r="BB1266">
        <v>10000</v>
      </c>
      <c r="BC1266">
        <v>54</v>
      </c>
      <c r="BD1266">
        <v>54650</v>
      </c>
      <c r="BE1266">
        <v>1993</v>
      </c>
      <c r="BF1266">
        <v>19</v>
      </c>
      <c r="BI1266">
        <v>17</v>
      </c>
      <c r="BJ1266">
        <v>32</v>
      </c>
      <c r="BK1266">
        <v>12</v>
      </c>
      <c r="BM1266" t="s">
        <v>595</v>
      </c>
      <c r="BP1266" s="184"/>
    </row>
    <row r="1267" spans="1:68">
      <c r="A1267">
        <v>9494162</v>
      </c>
      <c r="B1267">
        <v>9494162</v>
      </c>
      <c r="C1267" t="s">
        <v>7018</v>
      </c>
      <c r="D1267" t="s">
        <v>595</v>
      </c>
      <c r="E1267" s="184">
        <v>44104</v>
      </c>
      <c r="G1267" s="184"/>
      <c r="I1267" s="184"/>
      <c r="K1267" s="184"/>
      <c r="O1267" s="184"/>
      <c r="P1267" t="s">
        <v>7019</v>
      </c>
      <c r="Q1267" t="s">
        <v>7160</v>
      </c>
      <c r="R1267" s="184">
        <v>17868</v>
      </c>
      <c r="S1267">
        <v>75</v>
      </c>
      <c r="U1267" t="s">
        <v>7031</v>
      </c>
      <c r="V1267" t="s">
        <v>2771</v>
      </c>
      <c r="W1267" t="s">
        <v>4139</v>
      </c>
      <c r="X1267" t="s">
        <v>14209</v>
      </c>
      <c r="AF1267" t="s">
        <v>14210</v>
      </c>
      <c r="AG1267" t="s">
        <v>2771</v>
      </c>
      <c r="AI1267" t="s">
        <v>14211</v>
      </c>
      <c r="AM1267" t="s">
        <v>14212</v>
      </c>
      <c r="AN1267" t="s">
        <v>2446</v>
      </c>
      <c r="AO1267" t="s">
        <v>14213</v>
      </c>
      <c r="AP1267" t="s">
        <v>7024</v>
      </c>
      <c r="AQ1267" t="s">
        <v>14214</v>
      </c>
      <c r="AR1267" t="s">
        <v>14215</v>
      </c>
      <c r="AT1267" s="184">
        <v>34074</v>
      </c>
      <c r="AU1267" t="s">
        <v>14172</v>
      </c>
      <c r="AV1267">
        <v>15</v>
      </c>
      <c r="AW1267" s="184">
        <v>45155</v>
      </c>
      <c r="AX1267" t="s">
        <v>14216</v>
      </c>
      <c r="AY1267">
        <v>50</v>
      </c>
      <c r="AZ1267" s="184">
        <v>40301</v>
      </c>
      <c r="BA1267" t="s">
        <v>14217</v>
      </c>
      <c r="BB1267">
        <v>175</v>
      </c>
      <c r="BC1267">
        <v>85</v>
      </c>
      <c r="BD1267">
        <v>1921.97</v>
      </c>
      <c r="BE1267">
        <v>1993</v>
      </c>
      <c r="BF1267">
        <v>70</v>
      </c>
      <c r="BG1267">
        <v>2</v>
      </c>
      <c r="BH1267">
        <v>100</v>
      </c>
      <c r="BI1267">
        <v>27</v>
      </c>
      <c r="BJ1267">
        <v>32</v>
      </c>
      <c r="BK1267">
        <v>15</v>
      </c>
      <c r="BP1267" s="184"/>
    </row>
    <row r="1268" spans="1:68">
      <c r="A1268">
        <v>9505710</v>
      </c>
      <c r="B1268">
        <v>9505710</v>
      </c>
      <c r="C1268" t="s">
        <v>7018</v>
      </c>
      <c r="E1268" s="184"/>
      <c r="F1268" t="s">
        <v>595</v>
      </c>
      <c r="G1268" s="184">
        <v>45167</v>
      </c>
      <c r="I1268" s="184"/>
      <c r="K1268" s="184"/>
      <c r="O1268" s="184"/>
      <c r="P1268" t="s">
        <v>7045</v>
      </c>
      <c r="Q1268" t="s">
        <v>7383</v>
      </c>
      <c r="R1268" s="184">
        <v>20597</v>
      </c>
      <c r="S1268">
        <v>67</v>
      </c>
      <c r="V1268" t="s">
        <v>3411</v>
      </c>
      <c r="X1268" t="s">
        <v>4739</v>
      </c>
      <c r="AF1268" t="s">
        <v>14218</v>
      </c>
      <c r="AG1268" t="s">
        <v>3411</v>
      </c>
      <c r="AI1268" t="s">
        <v>14219</v>
      </c>
      <c r="AM1268" t="s">
        <v>2830</v>
      </c>
      <c r="AN1268" t="s">
        <v>2185</v>
      </c>
      <c r="AO1268" t="s">
        <v>14220</v>
      </c>
      <c r="AP1268" t="s">
        <v>7024</v>
      </c>
      <c r="AQ1268" t="s">
        <v>14221</v>
      </c>
      <c r="AT1268" s="184">
        <v>34078</v>
      </c>
      <c r="AU1268" t="s">
        <v>14222</v>
      </c>
      <c r="AV1268">
        <v>15</v>
      </c>
      <c r="AW1268" s="184">
        <v>45274</v>
      </c>
      <c r="AX1268" t="s">
        <v>11811</v>
      </c>
      <c r="AY1268">
        <v>200</v>
      </c>
      <c r="AZ1268" s="184">
        <v>45274</v>
      </c>
      <c r="BA1268" t="s">
        <v>11811</v>
      </c>
      <c r="BB1268">
        <v>200</v>
      </c>
      <c r="BC1268">
        <v>16</v>
      </c>
      <c r="BD1268">
        <v>446</v>
      </c>
      <c r="BE1268">
        <v>1993</v>
      </c>
      <c r="BF1268">
        <v>8</v>
      </c>
      <c r="BG1268">
        <v>3</v>
      </c>
      <c r="BH1268">
        <v>310</v>
      </c>
      <c r="BI1268">
        <v>5</v>
      </c>
      <c r="BJ1268">
        <v>32</v>
      </c>
      <c r="BK1268">
        <v>2</v>
      </c>
      <c r="BP1268" s="184"/>
    </row>
    <row r="1269" spans="1:68">
      <c r="A1269">
        <v>9525866</v>
      </c>
      <c r="B1269">
        <v>9525866</v>
      </c>
      <c r="C1269" t="s">
        <v>13031</v>
      </c>
      <c r="E1269" s="184"/>
      <c r="G1269" s="184"/>
      <c r="I1269" s="184"/>
      <c r="J1269" t="s">
        <v>595</v>
      </c>
      <c r="K1269" s="184">
        <v>41913</v>
      </c>
      <c r="O1269" s="184"/>
      <c r="Q1269" t="s">
        <v>7494</v>
      </c>
      <c r="R1269" s="184"/>
      <c r="Z1269">
        <v>100174748</v>
      </c>
      <c r="AA1269" t="s">
        <v>7032</v>
      </c>
      <c r="AB1269" t="s">
        <v>3165</v>
      </c>
      <c r="AD1269" t="s">
        <v>14223</v>
      </c>
      <c r="AH1269" t="s">
        <v>6342</v>
      </c>
      <c r="AI1269" t="s">
        <v>14224</v>
      </c>
      <c r="AM1269" t="s">
        <v>14225</v>
      </c>
      <c r="AN1269" t="s">
        <v>2174</v>
      </c>
      <c r="AO1269" t="s">
        <v>14226</v>
      </c>
      <c r="AP1269" t="s">
        <v>7024</v>
      </c>
      <c r="AT1269" s="184">
        <v>34079</v>
      </c>
      <c r="AU1269" t="s">
        <v>14227</v>
      </c>
      <c r="AV1269">
        <v>25</v>
      </c>
      <c r="AW1269" s="184">
        <v>41913</v>
      </c>
      <c r="AX1269" t="s">
        <v>14228</v>
      </c>
      <c r="AY1269">
        <v>1000</v>
      </c>
      <c r="AZ1269" s="184">
        <v>41913</v>
      </c>
      <c r="BA1269" t="s">
        <v>14228</v>
      </c>
      <c r="BB1269">
        <v>1000</v>
      </c>
      <c r="BC1269">
        <v>22</v>
      </c>
      <c r="BD1269">
        <v>1450</v>
      </c>
      <c r="BE1269">
        <v>1993</v>
      </c>
      <c r="BF1269">
        <v>8</v>
      </c>
      <c r="BI1269">
        <v>7</v>
      </c>
      <c r="BJ1269">
        <v>32</v>
      </c>
      <c r="BK1269">
        <v>6</v>
      </c>
      <c r="BP1269" s="184"/>
    </row>
    <row r="1270" spans="1:68">
      <c r="A1270">
        <v>9550070</v>
      </c>
      <c r="B1270">
        <v>9550070</v>
      </c>
      <c r="C1270" t="s">
        <v>7018</v>
      </c>
      <c r="D1270" t="s">
        <v>595</v>
      </c>
      <c r="E1270" s="184">
        <v>44104</v>
      </c>
      <c r="G1270" s="184"/>
      <c r="I1270" s="184"/>
      <c r="K1270" s="184"/>
      <c r="O1270" s="184"/>
      <c r="P1270" t="s">
        <v>7045</v>
      </c>
      <c r="Q1270" t="s">
        <v>7383</v>
      </c>
      <c r="R1270" s="184">
        <v>14469</v>
      </c>
      <c r="S1270">
        <v>84</v>
      </c>
      <c r="U1270" t="s">
        <v>7031</v>
      </c>
      <c r="V1270" t="s">
        <v>2541</v>
      </c>
      <c r="X1270" t="s">
        <v>14229</v>
      </c>
      <c r="AF1270" t="s">
        <v>14230</v>
      </c>
      <c r="AG1270" t="s">
        <v>2541</v>
      </c>
      <c r="AI1270" t="s">
        <v>14231</v>
      </c>
      <c r="AM1270" t="s">
        <v>14232</v>
      </c>
      <c r="AN1270" t="s">
        <v>2059</v>
      </c>
      <c r="AO1270" t="s">
        <v>14233</v>
      </c>
      <c r="AP1270" t="s">
        <v>7024</v>
      </c>
      <c r="AQ1270" t="s">
        <v>14234</v>
      </c>
      <c r="AR1270" t="s">
        <v>14235</v>
      </c>
      <c r="AT1270" s="184">
        <v>34088</v>
      </c>
      <c r="AU1270" t="s">
        <v>14029</v>
      </c>
      <c r="AV1270">
        <v>15</v>
      </c>
      <c r="AW1270" s="184">
        <v>41907</v>
      </c>
      <c r="AX1270" t="s">
        <v>14236</v>
      </c>
      <c r="AY1270">
        <v>10</v>
      </c>
      <c r="AZ1270" s="184">
        <v>39815</v>
      </c>
      <c r="BA1270" t="s">
        <v>14237</v>
      </c>
      <c r="BB1270">
        <v>60</v>
      </c>
      <c r="BC1270">
        <v>35</v>
      </c>
      <c r="BD1270">
        <v>540</v>
      </c>
      <c r="BE1270">
        <v>1993</v>
      </c>
      <c r="BF1270">
        <v>41</v>
      </c>
      <c r="BI1270">
        <v>11</v>
      </c>
      <c r="BJ1270">
        <v>32</v>
      </c>
      <c r="BK1270">
        <v>7</v>
      </c>
      <c r="BP1270" s="184"/>
    </row>
    <row r="1271" spans="1:68">
      <c r="A1271">
        <v>9557349</v>
      </c>
      <c r="B1271">
        <v>9557349</v>
      </c>
      <c r="C1271" t="s">
        <v>7018</v>
      </c>
      <c r="D1271" t="s">
        <v>595</v>
      </c>
      <c r="E1271" s="184">
        <v>43881</v>
      </c>
      <c r="G1271" s="184"/>
      <c r="I1271" s="184"/>
      <c r="K1271" s="184"/>
      <c r="O1271" s="184"/>
      <c r="P1271" t="s">
        <v>7045</v>
      </c>
      <c r="Q1271" t="s">
        <v>7262</v>
      </c>
      <c r="R1271" s="184">
        <v>11440</v>
      </c>
      <c r="S1271">
        <v>93</v>
      </c>
      <c r="U1271" t="s">
        <v>7076</v>
      </c>
      <c r="V1271" t="s">
        <v>4210</v>
      </c>
      <c r="W1271" t="s">
        <v>7046</v>
      </c>
      <c r="X1271" t="s">
        <v>3227</v>
      </c>
      <c r="AF1271" t="s">
        <v>14238</v>
      </c>
      <c r="AG1271" t="s">
        <v>4210</v>
      </c>
      <c r="AI1271" t="s">
        <v>14239</v>
      </c>
      <c r="AM1271" t="s">
        <v>14240</v>
      </c>
      <c r="AN1271" t="s">
        <v>2069</v>
      </c>
      <c r="AO1271" t="s">
        <v>14241</v>
      </c>
      <c r="AP1271" t="s">
        <v>7024</v>
      </c>
      <c r="AQ1271" t="s">
        <v>14242</v>
      </c>
      <c r="AT1271" s="184">
        <v>34087</v>
      </c>
      <c r="AU1271" t="s">
        <v>14243</v>
      </c>
      <c r="AV1271">
        <v>15</v>
      </c>
      <c r="AW1271" s="184">
        <v>43866</v>
      </c>
      <c r="AX1271" t="s">
        <v>14244</v>
      </c>
      <c r="AY1271">
        <v>25</v>
      </c>
      <c r="AZ1271" s="184">
        <v>39426</v>
      </c>
      <c r="BA1271" t="s">
        <v>13731</v>
      </c>
      <c r="BB1271">
        <v>60</v>
      </c>
      <c r="BC1271">
        <v>69</v>
      </c>
      <c r="BD1271">
        <v>720</v>
      </c>
      <c r="BE1271">
        <v>1993</v>
      </c>
      <c r="BF1271">
        <v>30</v>
      </c>
      <c r="BI1271">
        <v>22</v>
      </c>
      <c r="BJ1271">
        <v>32</v>
      </c>
      <c r="BK1271">
        <v>11</v>
      </c>
      <c r="BL1271" t="s">
        <v>595</v>
      </c>
      <c r="BN1271" t="s">
        <v>595</v>
      </c>
    </row>
    <row r="1272" spans="1:68">
      <c r="A1272">
        <v>9559923</v>
      </c>
      <c r="B1272">
        <v>9559923</v>
      </c>
      <c r="C1272" t="s">
        <v>7018</v>
      </c>
      <c r="E1272" s="184"/>
      <c r="G1272" s="184"/>
      <c r="I1272" s="184"/>
      <c r="J1272" t="s">
        <v>595</v>
      </c>
      <c r="K1272" s="184">
        <v>40787</v>
      </c>
      <c r="O1272" s="184"/>
      <c r="P1272" t="s">
        <v>7045</v>
      </c>
      <c r="Q1272" t="s">
        <v>7383</v>
      </c>
      <c r="R1272" s="184">
        <v>15027</v>
      </c>
      <c r="S1272">
        <v>83</v>
      </c>
      <c r="U1272" t="s">
        <v>7076</v>
      </c>
      <c r="V1272" t="s">
        <v>3131</v>
      </c>
      <c r="X1272" t="s">
        <v>14245</v>
      </c>
      <c r="AF1272" t="s">
        <v>14246</v>
      </c>
      <c r="AG1272" t="s">
        <v>3131</v>
      </c>
      <c r="AI1272" t="s">
        <v>14247</v>
      </c>
      <c r="AM1272" t="s">
        <v>3488</v>
      </c>
      <c r="AN1272" t="s">
        <v>2072</v>
      </c>
      <c r="AO1272" t="s">
        <v>14248</v>
      </c>
      <c r="AP1272" t="s">
        <v>7024</v>
      </c>
      <c r="AQ1272" t="s">
        <v>14249</v>
      </c>
      <c r="AR1272" t="s">
        <v>14250</v>
      </c>
      <c r="AT1272" s="184">
        <v>34089</v>
      </c>
      <c r="AU1272" t="s">
        <v>14251</v>
      </c>
      <c r="AV1272">
        <v>30</v>
      </c>
      <c r="AW1272" s="184">
        <v>45426</v>
      </c>
      <c r="AX1272" t="s">
        <v>7422</v>
      </c>
      <c r="AY1272">
        <v>20</v>
      </c>
      <c r="AZ1272" s="184">
        <v>43985</v>
      </c>
      <c r="BA1272" t="s">
        <v>14252</v>
      </c>
      <c r="BB1272">
        <v>1000</v>
      </c>
      <c r="BC1272">
        <v>66</v>
      </c>
      <c r="BD1272">
        <v>6948</v>
      </c>
      <c r="BE1272">
        <v>1993</v>
      </c>
      <c r="BF1272">
        <v>101</v>
      </c>
      <c r="BG1272">
        <v>25</v>
      </c>
      <c r="BH1272">
        <v>580</v>
      </c>
      <c r="BI1272">
        <v>21</v>
      </c>
      <c r="BJ1272">
        <v>32</v>
      </c>
      <c r="BK1272">
        <v>19</v>
      </c>
    </row>
    <row r="1273" spans="1:68">
      <c r="A1273">
        <v>9571332</v>
      </c>
      <c r="B1273">
        <v>9571332</v>
      </c>
      <c r="C1273" t="s">
        <v>7018</v>
      </c>
      <c r="E1273" s="184"/>
      <c r="G1273" s="184"/>
      <c r="I1273" s="184"/>
      <c r="J1273" t="s">
        <v>595</v>
      </c>
      <c r="K1273" s="184">
        <v>44441</v>
      </c>
      <c r="O1273" s="184"/>
      <c r="P1273" t="s">
        <v>7045</v>
      </c>
      <c r="Q1273" t="s">
        <v>7383</v>
      </c>
      <c r="R1273" s="184">
        <v>19014</v>
      </c>
      <c r="S1273">
        <v>72</v>
      </c>
      <c r="U1273" t="s">
        <v>7130</v>
      </c>
      <c r="V1273" t="s">
        <v>3317</v>
      </c>
      <c r="W1273" t="s">
        <v>3332</v>
      </c>
      <c r="X1273" t="s">
        <v>4116</v>
      </c>
      <c r="AF1273" t="s">
        <v>14253</v>
      </c>
      <c r="AG1273" t="s">
        <v>3317</v>
      </c>
      <c r="AI1273" t="s">
        <v>14254</v>
      </c>
      <c r="AM1273" t="s">
        <v>14255</v>
      </c>
      <c r="AN1273" t="s">
        <v>2274</v>
      </c>
      <c r="AO1273" t="s">
        <v>14256</v>
      </c>
      <c r="AP1273" t="s">
        <v>7024</v>
      </c>
      <c r="AQ1273" t="s">
        <v>14257</v>
      </c>
      <c r="AR1273" t="s">
        <v>14258</v>
      </c>
      <c r="AT1273" s="184">
        <v>34094</v>
      </c>
      <c r="AU1273" t="s">
        <v>14259</v>
      </c>
      <c r="AV1273">
        <v>15</v>
      </c>
      <c r="AW1273" s="184">
        <v>45037</v>
      </c>
      <c r="AX1273" t="s">
        <v>12594</v>
      </c>
      <c r="AY1273">
        <v>150</v>
      </c>
      <c r="AZ1273" s="184">
        <v>45037</v>
      </c>
      <c r="BA1273" t="s">
        <v>12594</v>
      </c>
      <c r="BB1273">
        <v>150</v>
      </c>
      <c r="BC1273">
        <v>25</v>
      </c>
      <c r="BD1273">
        <v>1065</v>
      </c>
      <c r="BE1273">
        <v>1993</v>
      </c>
      <c r="BF1273">
        <v>10</v>
      </c>
      <c r="BG1273">
        <v>3</v>
      </c>
      <c r="BH1273">
        <v>450</v>
      </c>
      <c r="BI1273">
        <v>8</v>
      </c>
      <c r="BJ1273">
        <v>32</v>
      </c>
      <c r="BK1273">
        <v>7</v>
      </c>
      <c r="BP1273" s="184"/>
    </row>
    <row r="1274" spans="1:68">
      <c r="A1274">
        <v>9610106</v>
      </c>
      <c r="B1274">
        <v>9610106</v>
      </c>
      <c r="C1274" t="s">
        <v>7018</v>
      </c>
      <c r="E1274" s="184"/>
      <c r="G1274" s="184"/>
      <c r="I1274" s="184"/>
      <c r="J1274" t="s">
        <v>595</v>
      </c>
      <c r="K1274" s="184">
        <v>41817</v>
      </c>
      <c r="O1274" s="184"/>
      <c r="P1274" t="s">
        <v>7045</v>
      </c>
      <c r="Q1274" t="s">
        <v>7194</v>
      </c>
      <c r="R1274" s="184">
        <v>19146</v>
      </c>
      <c r="S1274">
        <v>71</v>
      </c>
      <c r="U1274" t="s">
        <v>7076</v>
      </c>
      <c r="V1274" t="s">
        <v>2602</v>
      </c>
      <c r="W1274" t="s">
        <v>2316</v>
      </c>
      <c r="X1274" t="s">
        <v>4228</v>
      </c>
      <c r="Z1274">
        <v>100036629</v>
      </c>
      <c r="AA1274" t="s">
        <v>7031</v>
      </c>
      <c r="AB1274" t="s">
        <v>10421</v>
      </c>
      <c r="AC1274" t="s">
        <v>205</v>
      </c>
      <c r="AD1274" t="s">
        <v>4228</v>
      </c>
      <c r="AF1274" t="s">
        <v>6209</v>
      </c>
      <c r="AG1274" t="s">
        <v>14260</v>
      </c>
      <c r="AI1274" t="s">
        <v>14261</v>
      </c>
      <c r="AM1274" t="s">
        <v>14262</v>
      </c>
      <c r="AN1274" t="s">
        <v>2046</v>
      </c>
      <c r="AO1274" t="s">
        <v>14263</v>
      </c>
      <c r="AP1274" t="s">
        <v>7024</v>
      </c>
      <c r="AQ1274" t="s">
        <v>14264</v>
      </c>
      <c r="AR1274" t="s">
        <v>14265</v>
      </c>
      <c r="AT1274" s="184">
        <v>34108</v>
      </c>
      <c r="AU1274" t="s">
        <v>14266</v>
      </c>
      <c r="AV1274">
        <v>30</v>
      </c>
      <c r="AW1274" s="184">
        <v>44960</v>
      </c>
      <c r="AX1274" t="s">
        <v>14267</v>
      </c>
      <c r="AY1274">
        <v>200</v>
      </c>
      <c r="AZ1274" s="184">
        <v>44960</v>
      </c>
      <c r="BA1274" t="s">
        <v>14267</v>
      </c>
      <c r="BB1274">
        <v>200</v>
      </c>
      <c r="BC1274">
        <v>82</v>
      </c>
      <c r="BD1274">
        <v>3284</v>
      </c>
      <c r="BE1274">
        <v>1993</v>
      </c>
      <c r="BF1274">
        <v>33</v>
      </c>
      <c r="BG1274">
        <v>1</v>
      </c>
      <c r="BH1274">
        <v>200</v>
      </c>
      <c r="BI1274">
        <v>26</v>
      </c>
      <c r="BJ1274">
        <v>32</v>
      </c>
      <c r="BK1274">
        <v>11</v>
      </c>
      <c r="BN1274" t="s">
        <v>595</v>
      </c>
      <c r="BP1274" s="184"/>
    </row>
    <row r="1275" spans="1:68">
      <c r="A1275">
        <v>100036629</v>
      </c>
      <c r="B1275">
        <v>9610106</v>
      </c>
      <c r="C1275" t="s">
        <v>7018</v>
      </c>
      <c r="E1275" s="184"/>
      <c r="G1275" s="184"/>
      <c r="I1275" s="184"/>
      <c r="J1275" t="s">
        <v>595</v>
      </c>
      <c r="K1275" s="184">
        <v>41817</v>
      </c>
      <c r="O1275" s="184"/>
      <c r="P1275" t="s">
        <v>7045</v>
      </c>
      <c r="Q1275" t="s">
        <v>7194</v>
      </c>
      <c r="R1275" s="184">
        <v>19664</v>
      </c>
      <c r="S1275">
        <v>70</v>
      </c>
      <c r="U1275" t="s">
        <v>7031</v>
      </c>
      <c r="V1275" t="s">
        <v>10421</v>
      </c>
      <c r="W1275" t="s">
        <v>205</v>
      </c>
      <c r="X1275" t="s">
        <v>4228</v>
      </c>
      <c r="Z1275">
        <v>9610106</v>
      </c>
      <c r="AA1275" t="s">
        <v>7076</v>
      </c>
      <c r="AB1275" t="s">
        <v>2602</v>
      </c>
      <c r="AC1275" t="s">
        <v>2316</v>
      </c>
      <c r="AD1275" t="s">
        <v>4228</v>
      </c>
      <c r="AF1275" t="s">
        <v>6209</v>
      </c>
      <c r="AG1275" t="s">
        <v>14260</v>
      </c>
      <c r="AI1275" t="s">
        <v>14261</v>
      </c>
      <c r="AM1275" t="s">
        <v>14262</v>
      </c>
      <c r="AN1275" t="s">
        <v>2046</v>
      </c>
      <c r="AO1275" t="s">
        <v>14263</v>
      </c>
      <c r="AP1275" t="s">
        <v>7024</v>
      </c>
      <c r="AT1275" s="184"/>
      <c r="AW1275" s="184"/>
      <c r="AZ1275" s="184"/>
      <c r="BP1275" s="184"/>
    </row>
    <row r="1276" spans="1:68">
      <c r="A1276">
        <v>9617580</v>
      </c>
      <c r="B1276">
        <v>9617580</v>
      </c>
      <c r="C1276" t="s">
        <v>7018</v>
      </c>
      <c r="D1276" t="s">
        <v>595</v>
      </c>
      <c r="E1276" s="184">
        <v>45148</v>
      </c>
      <c r="G1276" s="184"/>
      <c r="I1276" s="184"/>
      <c r="K1276" s="184"/>
      <c r="O1276" s="184"/>
      <c r="P1276" t="s">
        <v>7045</v>
      </c>
      <c r="Q1276" t="s">
        <v>7383</v>
      </c>
      <c r="R1276" s="184">
        <v>22781</v>
      </c>
      <c r="S1276">
        <v>62</v>
      </c>
      <c r="V1276" t="s">
        <v>14268</v>
      </c>
      <c r="W1276" t="s">
        <v>4327</v>
      </c>
      <c r="X1276" t="s">
        <v>14269</v>
      </c>
      <c r="Z1276">
        <v>100036655</v>
      </c>
      <c r="AB1276" t="s">
        <v>14270</v>
      </c>
      <c r="AD1276" t="s">
        <v>14269</v>
      </c>
      <c r="AF1276" t="s">
        <v>14271</v>
      </c>
      <c r="AG1276" t="s">
        <v>14272</v>
      </c>
      <c r="AI1276" t="s">
        <v>14273</v>
      </c>
      <c r="AM1276" t="s">
        <v>14274</v>
      </c>
      <c r="AN1276" t="s">
        <v>2313</v>
      </c>
      <c r="AO1276" t="s">
        <v>14275</v>
      </c>
      <c r="AP1276" t="s">
        <v>7024</v>
      </c>
      <c r="AQ1276" t="s">
        <v>14276</v>
      </c>
      <c r="AT1276" s="184">
        <v>34110</v>
      </c>
      <c r="AU1276" t="s">
        <v>14277</v>
      </c>
      <c r="AV1276">
        <v>25</v>
      </c>
      <c r="AW1276" s="184">
        <v>45093</v>
      </c>
      <c r="AX1276" t="s">
        <v>7159</v>
      </c>
      <c r="AY1276">
        <v>100</v>
      </c>
      <c r="AZ1276" s="184">
        <v>45093</v>
      </c>
      <c r="BA1276" t="s">
        <v>7159</v>
      </c>
      <c r="BB1276">
        <v>100</v>
      </c>
      <c r="BC1276">
        <v>66</v>
      </c>
      <c r="BD1276">
        <v>1506.97</v>
      </c>
      <c r="BE1276">
        <v>1993</v>
      </c>
      <c r="BF1276">
        <v>26</v>
      </c>
      <c r="BG1276">
        <v>3</v>
      </c>
      <c r="BH1276">
        <v>275</v>
      </c>
      <c r="BI1276">
        <v>21</v>
      </c>
      <c r="BJ1276">
        <v>32</v>
      </c>
      <c r="BK1276">
        <v>6</v>
      </c>
      <c r="BP1276" s="184"/>
    </row>
    <row r="1277" spans="1:68">
      <c r="A1277">
        <v>100036655</v>
      </c>
      <c r="B1277">
        <v>9617580</v>
      </c>
      <c r="C1277" t="s">
        <v>7018</v>
      </c>
      <c r="D1277" t="s">
        <v>595</v>
      </c>
      <c r="E1277" s="184">
        <v>45148</v>
      </c>
      <c r="G1277" s="184"/>
      <c r="I1277" s="184"/>
      <c r="K1277" s="184"/>
      <c r="O1277" s="184"/>
      <c r="P1277" t="s">
        <v>7045</v>
      </c>
      <c r="Q1277" t="s">
        <v>7383</v>
      </c>
      <c r="R1277" s="184">
        <v>23383</v>
      </c>
      <c r="S1277">
        <v>60</v>
      </c>
      <c r="V1277" t="s">
        <v>14270</v>
      </c>
      <c r="X1277" t="s">
        <v>14269</v>
      </c>
      <c r="Z1277">
        <v>9617580</v>
      </c>
      <c r="AB1277" t="s">
        <v>14268</v>
      </c>
      <c r="AC1277" t="s">
        <v>4327</v>
      </c>
      <c r="AD1277" t="s">
        <v>14269</v>
      </c>
      <c r="AF1277" t="s">
        <v>14271</v>
      </c>
      <c r="AG1277" t="s">
        <v>14272</v>
      </c>
      <c r="AI1277" t="s">
        <v>14273</v>
      </c>
      <c r="AM1277" t="s">
        <v>14274</v>
      </c>
      <c r="AN1277" t="s">
        <v>2313</v>
      </c>
      <c r="AO1277" t="s">
        <v>14275</v>
      </c>
      <c r="AP1277" t="s">
        <v>7024</v>
      </c>
      <c r="AT1277" s="184"/>
      <c r="AW1277" s="184"/>
      <c r="AZ1277" s="184"/>
      <c r="BP1277" s="184"/>
    </row>
    <row r="1278" spans="1:68">
      <c r="A1278">
        <v>9621715</v>
      </c>
      <c r="B1278">
        <v>9621715</v>
      </c>
      <c r="C1278" t="s">
        <v>13031</v>
      </c>
      <c r="E1278" s="184"/>
      <c r="G1278" s="184"/>
      <c r="I1278" s="184"/>
      <c r="J1278" t="s">
        <v>595</v>
      </c>
      <c r="K1278" s="184">
        <v>40415</v>
      </c>
      <c r="O1278" s="184"/>
      <c r="Q1278" t="s">
        <v>7374</v>
      </c>
      <c r="R1278" s="184"/>
      <c r="Z1278">
        <v>100174752</v>
      </c>
      <c r="AA1278" t="s">
        <v>7130</v>
      </c>
      <c r="AB1278" t="s">
        <v>14278</v>
      </c>
      <c r="AD1278" t="s">
        <v>3625</v>
      </c>
      <c r="AH1278" t="s">
        <v>14279</v>
      </c>
      <c r="AI1278" t="s">
        <v>14280</v>
      </c>
      <c r="AM1278" t="s">
        <v>5322</v>
      </c>
      <c r="AN1278" t="s">
        <v>2081</v>
      </c>
      <c r="AO1278" t="s">
        <v>14281</v>
      </c>
      <c r="AP1278" t="s">
        <v>7024</v>
      </c>
      <c r="AT1278" s="184">
        <v>34110</v>
      </c>
      <c r="AU1278" t="s">
        <v>14282</v>
      </c>
      <c r="AV1278">
        <v>25</v>
      </c>
      <c r="AW1278" s="184">
        <v>40415</v>
      </c>
      <c r="AX1278" t="s">
        <v>14283</v>
      </c>
      <c r="AY1278">
        <v>3600</v>
      </c>
      <c r="AZ1278" s="184">
        <v>40081</v>
      </c>
      <c r="BA1278" t="s">
        <v>14284</v>
      </c>
      <c r="BB1278">
        <v>600000</v>
      </c>
      <c r="BC1278">
        <v>41</v>
      </c>
      <c r="BD1278">
        <v>766039.08</v>
      </c>
      <c r="BE1278">
        <v>1993</v>
      </c>
      <c r="BF1278">
        <v>45</v>
      </c>
      <c r="BI1278">
        <v>13</v>
      </c>
      <c r="BJ1278">
        <v>32</v>
      </c>
      <c r="BK1278">
        <v>10</v>
      </c>
      <c r="BM1278" t="s">
        <v>595</v>
      </c>
      <c r="BP1278" s="184"/>
    </row>
    <row r="1279" spans="1:68">
      <c r="A1279">
        <v>9629080</v>
      </c>
      <c r="B1279">
        <v>9629080</v>
      </c>
      <c r="C1279" t="s">
        <v>7018</v>
      </c>
      <c r="D1279" t="s">
        <v>595</v>
      </c>
      <c r="E1279" s="184">
        <v>43642</v>
      </c>
      <c r="G1279" s="184"/>
      <c r="K1279" s="184"/>
      <c r="O1279" s="184"/>
      <c r="P1279" t="s">
        <v>7045</v>
      </c>
      <c r="Q1279" t="s">
        <v>7030</v>
      </c>
      <c r="R1279" s="184">
        <v>13909</v>
      </c>
      <c r="S1279">
        <v>86</v>
      </c>
      <c r="U1279" t="s">
        <v>14285</v>
      </c>
      <c r="V1279" t="s">
        <v>2863</v>
      </c>
      <c r="W1279" t="s">
        <v>7396</v>
      </c>
      <c r="X1279" t="s">
        <v>3212</v>
      </c>
      <c r="Y1279" t="s">
        <v>14286</v>
      </c>
      <c r="Z1279">
        <v>100036687</v>
      </c>
      <c r="AB1279" t="s">
        <v>2523</v>
      </c>
      <c r="AD1279" t="s">
        <v>3212</v>
      </c>
      <c r="AF1279" t="s">
        <v>14287</v>
      </c>
      <c r="AG1279" t="s">
        <v>14288</v>
      </c>
      <c r="AI1279" t="s">
        <v>14289</v>
      </c>
      <c r="AM1279" t="s">
        <v>3240</v>
      </c>
      <c r="AN1279" t="s">
        <v>2094</v>
      </c>
      <c r="AO1279" t="s">
        <v>14290</v>
      </c>
      <c r="AP1279" t="s">
        <v>7024</v>
      </c>
      <c r="AQ1279" t="s">
        <v>14291</v>
      </c>
      <c r="AT1279" s="184">
        <v>34110</v>
      </c>
      <c r="AU1279" t="s">
        <v>14292</v>
      </c>
      <c r="AV1279">
        <v>15</v>
      </c>
      <c r="AW1279" s="184">
        <v>43937</v>
      </c>
      <c r="AX1279" t="s">
        <v>14293</v>
      </c>
      <c r="AY1279">
        <v>35</v>
      </c>
      <c r="AZ1279" s="184">
        <v>36826</v>
      </c>
      <c r="BA1279" t="s">
        <v>14294</v>
      </c>
      <c r="BB1279">
        <v>60</v>
      </c>
      <c r="BC1279">
        <v>54</v>
      </c>
      <c r="BD1279">
        <v>620.16</v>
      </c>
      <c r="BE1279">
        <v>1993</v>
      </c>
      <c r="BF1279">
        <v>19</v>
      </c>
      <c r="BI1279">
        <v>17</v>
      </c>
      <c r="BJ1279">
        <v>32</v>
      </c>
      <c r="BK1279">
        <v>10</v>
      </c>
      <c r="BP1279" s="184"/>
    </row>
    <row r="1280" spans="1:68">
      <c r="A1280">
        <v>100036687</v>
      </c>
      <c r="B1280">
        <v>9629080</v>
      </c>
      <c r="C1280" t="s">
        <v>7018</v>
      </c>
      <c r="D1280" t="s">
        <v>595</v>
      </c>
      <c r="E1280" s="184">
        <v>43642</v>
      </c>
      <c r="G1280" s="184"/>
      <c r="K1280" s="184"/>
      <c r="O1280" s="184"/>
      <c r="P1280" t="s">
        <v>7045</v>
      </c>
      <c r="Q1280" t="s">
        <v>7030</v>
      </c>
      <c r="R1280" s="184">
        <v>16554</v>
      </c>
      <c r="S1280">
        <v>79</v>
      </c>
      <c r="V1280" t="s">
        <v>2523</v>
      </c>
      <c r="X1280" t="s">
        <v>3212</v>
      </c>
      <c r="Z1280">
        <v>9629080</v>
      </c>
      <c r="AA1280" t="s">
        <v>14285</v>
      </c>
      <c r="AB1280" t="s">
        <v>2863</v>
      </c>
      <c r="AC1280" t="s">
        <v>7396</v>
      </c>
      <c r="AD1280" t="s">
        <v>3212</v>
      </c>
      <c r="AE1280" t="s">
        <v>14286</v>
      </c>
      <c r="AF1280" t="s">
        <v>14287</v>
      </c>
      <c r="AG1280" t="s">
        <v>14288</v>
      </c>
      <c r="AI1280" t="s">
        <v>14289</v>
      </c>
      <c r="AM1280" t="s">
        <v>3240</v>
      </c>
      <c r="AN1280" t="s">
        <v>2094</v>
      </c>
      <c r="AO1280" t="s">
        <v>14290</v>
      </c>
      <c r="AP1280" t="s">
        <v>7024</v>
      </c>
      <c r="AT1280" s="184"/>
      <c r="AW1280" s="184"/>
      <c r="AZ1280" s="184"/>
    </row>
    <row r="1281" spans="1:68">
      <c r="A1281">
        <v>9660606</v>
      </c>
      <c r="B1281">
        <v>9660606</v>
      </c>
      <c r="C1281" t="s">
        <v>7018</v>
      </c>
      <c r="D1281" t="s">
        <v>595</v>
      </c>
      <c r="E1281" s="184">
        <v>44167</v>
      </c>
      <c r="G1281" s="184"/>
      <c r="I1281" s="184"/>
      <c r="K1281" s="184"/>
      <c r="O1281" s="184"/>
      <c r="P1281" t="s">
        <v>7045</v>
      </c>
      <c r="Q1281" t="s">
        <v>7262</v>
      </c>
      <c r="R1281" s="184">
        <v>17685</v>
      </c>
      <c r="S1281">
        <v>75</v>
      </c>
      <c r="U1281" t="s">
        <v>7076</v>
      </c>
      <c r="V1281" t="s">
        <v>2523</v>
      </c>
      <c r="W1281" t="s">
        <v>3237</v>
      </c>
      <c r="X1281" t="s">
        <v>14295</v>
      </c>
      <c r="AF1281" t="s">
        <v>14296</v>
      </c>
      <c r="AG1281" t="s">
        <v>2523</v>
      </c>
      <c r="AI1281" t="s">
        <v>14297</v>
      </c>
      <c r="AM1281" t="s">
        <v>14298</v>
      </c>
      <c r="AN1281" t="s">
        <v>65</v>
      </c>
      <c r="AO1281" t="s">
        <v>14299</v>
      </c>
      <c r="AP1281" t="s">
        <v>7024</v>
      </c>
      <c r="AQ1281" t="s">
        <v>14300</v>
      </c>
      <c r="AR1281" t="s">
        <v>14301</v>
      </c>
      <c r="AT1281" s="184">
        <v>34115</v>
      </c>
      <c r="AU1281" t="s">
        <v>14302</v>
      </c>
      <c r="AV1281">
        <v>25</v>
      </c>
      <c r="AW1281" s="184">
        <v>45369</v>
      </c>
      <c r="AX1281" t="s">
        <v>10707</v>
      </c>
      <c r="AY1281">
        <v>50</v>
      </c>
      <c r="AZ1281" s="184">
        <v>40358</v>
      </c>
      <c r="BA1281" t="s">
        <v>14303</v>
      </c>
      <c r="BB1281">
        <v>60</v>
      </c>
      <c r="BC1281">
        <v>97</v>
      </c>
      <c r="BD1281">
        <v>2317</v>
      </c>
      <c r="BE1281">
        <v>1993</v>
      </c>
      <c r="BF1281">
        <v>77</v>
      </c>
      <c r="BG1281">
        <v>2</v>
      </c>
      <c r="BH1281">
        <v>100</v>
      </c>
      <c r="BI1281">
        <v>31</v>
      </c>
      <c r="BJ1281">
        <v>32</v>
      </c>
      <c r="BK1281">
        <v>19</v>
      </c>
      <c r="BP1281" s="184"/>
    </row>
    <row r="1282" spans="1:68">
      <c r="A1282">
        <v>9662800</v>
      </c>
      <c r="B1282">
        <v>9662800</v>
      </c>
      <c r="C1282" t="s">
        <v>7018</v>
      </c>
      <c r="E1282" s="184"/>
      <c r="G1282" s="184"/>
      <c r="I1282" s="184"/>
      <c r="J1282" t="s">
        <v>595</v>
      </c>
      <c r="K1282" s="184">
        <v>41718</v>
      </c>
      <c r="O1282" s="184"/>
      <c r="P1282" t="s">
        <v>7045</v>
      </c>
      <c r="Q1282" t="s">
        <v>7194</v>
      </c>
      <c r="R1282" s="184">
        <v>17182</v>
      </c>
      <c r="S1282">
        <v>77</v>
      </c>
      <c r="U1282" t="s">
        <v>7031</v>
      </c>
      <c r="V1282" t="s">
        <v>2551</v>
      </c>
      <c r="W1282" t="s">
        <v>4013</v>
      </c>
      <c r="X1282" t="s">
        <v>14304</v>
      </c>
      <c r="AF1282" t="s">
        <v>6077</v>
      </c>
      <c r="AG1282" t="s">
        <v>2551</v>
      </c>
      <c r="AI1282" t="s">
        <v>14305</v>
      </c>
      <c r="AM1282" t="s">
        <v>14306</v>
      </c>
      <c r="AN1282" t="s">
        <v>2046</v>
      </c>
      <c r="AO1282" t="s">
        <v>14307</v>
      </c>
      <c r="AP1282" t="s">
        <v>7024</v>
      </c>
      <c r="AQ1282" t="s">
        <v>14308</v>
      </c>
      <c r="AT1282" s="184">
        <v>34116</v>
      </c>
      <c r="AU1282" t="s">
        <v>14309</v>
      </c>
      <c r="AV1282">
        <v>15</v>
      </c>
      <c r="AW1282" s="184">
        <v>45286</v>
      </c>
      <c r="AX1282" t="s">
        <v>14310</v>
      </c>
      <c r="AY1282">
        <v>100</v>
      </c>
      <c r="AZ1282" s="184">
        <v>42829</v>
      </c>
      <c r="BA1282" t="s">
        <v>14311</v>
      </c>
      <c r="BB1282">
        <v>300</v>
      </c>
      <c r="BC1282">
        <v>97</v>
      </c>
      <c r="BD1282">
        <v>9130</v>
      </c>
      <c r="BE1282">
        <v>1993</v>
      </c>
      <c r="BF1282">
        <v>89</v>
      </c>
      <c r="BG1282">
        <v>7</v>
      </c>
      <c r="BH1282">
        <v>800</v>
      </c>
      <c r="BI1282">
        <v>31</v>
      </c>
      <c r="BJ1282">
        <v>32</v>
      </c>
      <c r="BK1282">
        <v>31</v>
      </c>
      <c r="BP1282" s="184"/>
    </row>
    <row r="1283" spans="1:68">
      <c r="A1283">
        <v>9683384</v>
      </c>
      <c r="B1283">
        <v>9683384</v>
      </c>
      <c r="C1283" t="s">
        <v>7018</v>
      </c>
      <c r="D1283" t="s">
        <v>595</v>
      </c>
      <c r="E1283" s="184">
        <v>43642</v>
      </c>
      <c r="G1283" s="184"/>
      <c r="I1283" s="184"/>
      <c r="K1283" s="184"/>
      <c r="O1283" s="184"/>
      <c r="P1283" t="s">
        <v>7045</v>
      </c>
      <c r="Q1283" t="s">
        <v>7020</v>
      </c>
      <c r="R1283" s="184">
        <v>13881</v>
      </c>
      <c r="S1283">
        <v>86</v>
      </c>
      <c r="U1283" t="s">
        <v>7031</v>
      </c>
      <c r="V1283" t="s">
        <v>2879</v>
      </c>
      <c r="X1283" t="s">
        <v>3214</v>
      </c>
      <c r="AF1283" t="s">
        <v>14312</v>
      </c>
      <c r="AG1283" t="s">
        <v>2879</v>
      </c>
      <c r="AI1283" t="s">
        <v>14313</v>
      </c>
      <c r="AM1283" t="s">
        <v>3215</v>
      </c>
      <c r="AN1283" t="s">
        <v>2129</v>
      </c>
      <c r="AO1283" t="s">
        <v>14314</v>
      </c>
      <c r="AP1283" t="s">
        <v>7024</v>
      </c>
      <c r="AT1283" s="184">
        <v>34122</v>
      </c>
      <c r="AU1283" t="s">
        <v>14315</v>
      </c>
      <c r="AV1283">
        <v>25</v>
      </c>
      <c r="AW1283" s="184">
        <v>45272</v>
      </c>
      <c r="AX1283" t="s">
        <v>11384</v>
      </c>
      <c r="AY1283">
        <v>35</v>
      </c>
      <c r="AZ1283" s="184">
        <v>45272</v>
      </c>
      <c r="BA1283" t="s">
        <v>11384</v>
      </c>
      <c r="BB1283">
        <v>35</v>
      </c>
      <c r="BC1283">
        <v>85</v>
      </c>
      <c r="BD1283">
        <v>955</v>
      </c>
      <c r="BE1283">
        <v>1993</v>
      </c>
      <c r="BF1283">
        <v>33</v>
      </c>
      <c r="BG1283">
        <v>3</v>
      </c>
      <c r="BH1283">
        <v>105</v>
      </c>
      <c r="BI1283">
        <v>27</v>
      </c>
      <c r="BJ1283">
        <v>32</v>
      </c>
      <c r="BK1283">
        <v>12</v>
      </c>
      <c r="BP1283" s="184"/>
    </row>
    <row r="1284" spans="1:68">
      <c r="A1284">
        <v>9701574</v>
      </c>
      <c r="B1284">
        <v>9701574</v>
      </c>
      <c r="C1284" t="s">
        <v>7018</v>
      </c>
      <c r="E1284" s="184"/>
      <c r="G1284" s="184"/>
      <c r="I1284" s="184"/>
      <c r="K1284" s="184"/>
      <c r="N1284" t="s">
        <v>595</v>
      </c>
      <c r="O1284" s="184">
        <v>43318</v>
      </c>
      <c r="P1284" t="s">
        <v>7045</v>
      </c>
      <c r="Q1284" t="s">
        <v>7454</v>
      </c>
      <c r="R1284" s="184">
        <v>16700</v>
      </c>
      <c r="S1284">
        <v>78</v>
      </c>
      <c r="U1284" t="s">
        <v>7031</v>
      </c>
      <c r="V1284" t="s">
        <v>2541</v>
      </c>
      <c r="W1284" t="s">
        <v>7268</v>
      </c>
      <c r="X1284" t="s">
        <v>2542</v>
      </c>
      <c r="AF1284" t="s">
        <v>14316</v>
      </c>
      <c r="AG1284" t="s">
        <v>2541</v>
      </c>
      <c r="AI1284" t="s">
        <v>14317</v>
      </c>
      <c r="AM1284" t="s">
        <v>2543</v>
      </c>
      <c r="AN1284" t="s">
        <v>2055</v>
      </c>
      <c r="AO1284" t="s">
        <v>14318</v>
      </c>
      <c r="AP1284" t="s">
        <v>7024</v>
      </c>
      <c r="AT1284" s="184">
        <v>34127</v>
      </c>
      <c r="AU1284" t="s">
        <v>14319</v>
      </c>
      <c r="AV1284">
        <v>25</v>
      </c>
      <c r="AW1284" s="184">
        <v>45322</v>
      </c>
      <c r="AX1284" t="s">
        <v>12049</v>
      </c>
      <c r="AY1284">
        <v>100</v>
      </c>
      <c r="AZ1284" s="184">
        <v>43383</v>
      </c>
      <c r="BA1284" t="s">
        <v>9427</v>
      </c>
      <c r="BB1284">
        <v>26240</v>
      </c>
      <c r="BC1284">
        <v>91</v>
      </c>
      <c r="BD1284">
        <v>28629</v>
      </c>
      <c r="BE1284">
        <v>1993</v>
      </c>
      <c r="BF1284">
        <v>42</v>
      </c>
      <c r="BG1284">
        <v>4</v>
      </c>
      <c r="BH1284">
        <v>305</v>
      </c>
      <c r="BI1284">
        <v>29</v>
      </c>
      <c r="BJ1284">
        <v>32</v>
      </c>
      <c r="BK1284">
        <v>14</v>
      </c>
      <c r="BP1284" s="184"/>
    </row>
    <row r="1285" spans="1:68">
      <c r="A1285">
        <v>9703356</v>
      </c>
      <c r="B1285">
        <v>9703356</v>
      </c>
      <c r="C1285" t="s">
        <v>7018</v>
      </c>
      <c r="D1285" t="s">
        <v>595</v>
      </c>
      <c r="E1285" s="184">
        <v>44154</v>
      </c>
      <c r="G1285" s="184"/>
      <c r="I1285" s="184"/>
      <c r="K1285" s="184"/>
      <c r="O1285" s="184"/>
      <c r="P1285" t="s">
        <v>7045</v>
      </c>
      <c r="Q1285" t="s">
        <v>7160</v>
      </c>
      <c r="R1285" s="184">
        <v>13084</v>
      </c>
      <c r="S1285">
        <v>88</v>
      </c>
      <c r="V1285" t="s">
        <v>3235</v>
      </c>
      <c r="X1285" t="s">
        <v>14320</v>
      </c>
      <c r="AF1285" t="s">
        <v>14321</v>
      </c>
      <c r="AG1285" t="s">
        <v>3235</v>
      </c>
      <c r="AI1285" t="s">
        <v>14322</v>
      </c>
      <c r="AM1285" t="s">
        <v>2781</v>
      </c>
      <c r="AN1285" t="s">
        <v>2176</v>
      </c>
      <c r="AO1285" t="s">
        <v>14323</v>
      </c>
      <c r="AP1285" t="s">
        <v>7024</v>
      </c>
      <c r="AT1285" s="184">
        <v>34130</v>
      </c>
      <c r="AU1285" t="s">
        <v>14324</v>
      </c>
      <c r="AV1285">
        <v>25</v>
      </c>
      <c r="AW1285" s="184">
        <v>44823</v>
      </c>
      <c r="AX1285" t="s">
        <v>14325</v>
      </c>
      <c r="AY1285">
        <v>150</v>
      </c>
      <c r="AZ1285" s="184">
        <v>44823</v>
      </c>
      <c r="BA1285" t="s">
        <v>14325</v>
      </c>
      <c r="BB1285">
        <v>150</v>
      </c>
      <c r="BC1285">
        <v>91</v>
      </c>
      <c r="BD1285">
        <v>1672</v>
      </c>
      <c r="BE1285">
        <v>1993</v>
      </c>
      <c r="BF1285">
        <v>31</v>
      </c>
      <c r="BG1285">
        <v>2</v>
      </c>
      <c r="BH1285">
        <v>250</v>
      </c>
      <c r="BI1285">
        <v>29</v>
      </c>
      <c r="BJ1285">
        <v>32</v>
      </c>
      <c r="BK1285">
        <v>19</v>
      </c>
      <c r="BP1285" s="184"/>
    </row>
    <row r="1286" spans="1:68">
      <c r="A1286">
        <v>9713603</v>
      </c>
      <c r="B1286">
        <v>9713603</v>
      </c>
      <c r="C1286" t="s">
        <v>7018</v>
      </c>
      <c r="E1286" s="184"/>
      <c r="G1286" s="184"/>
      <c r="I1286" s="184"/>
      <c r="J1286" t="s">
        <v>595</v>
      </c>
      <c r="K1286" s="184">
        <v>38474</v>
      </c>
      <c r="O1286" s="184"/>
      <c r="P1286" t="s">
        <v>7084</v>
      </c>
      <c r="Q1286" t="s">
        <v>7374</v>
      </c>
      <c r="R1286" s="184">
        <v>12236</v>
      </c>
      <c r="S1286">
        <v>90</v>
      </c>
      <c r="U1286" t="s">
        <v>7031</v>
      </c>
      <c r="V1286" t="s">
        <v>14326</v>
      </c>
      <c r="W1286" t="s">
        <v>4152</v>
      </c>
      <c r="X1286" t="s">
        <v>14327</v>
      </c>
      <c r="AF1286" t="s">
        <v>6251</v>
      </c>
      <c r="AG1286" t="s">
        <v>14326</v>
      </c>
      <c r="AI1286" t="s">
        <v>14328</v>
      </c>
      <c r="AM1286" t="s">
        <v>14329</v>
      </c>
      <c r="AN1286" t="s">
        <v>2081</v>
      </c>
      <c r="AO1286" t="s">
        <v>14330</v>
      </c>
      <c r="AP1286" t="s">
        <v>7024</v>
      </c>
      <c r="AQ1286" t="s">
        <v>14331</v>
      </c>
      <c r="AR1286" t="s">
        <v>14332</v>
      </c>
      <c r="AT1286" s="184">
        <v>34128</v>
      </c>
      <c r="AU1286" t="s">
        <v>14333</v>
      </c>
      <c r="AV1286">
        <v>25</v>
      </c>
      <c r="AW1286" s="184">
        <v>43984</v>
      </c>
      <c r="AX1286" t="s">
        <v>8257</v>
      </c>
      <c r="AY1286">
        <v>100000</v>
      </c>
      <c r="AZ1286" s="184">
        <v>43984</v>
      </c>
      <c r="BA1286" t="s">
        <v>8257</v>
      </c>
      <c r="BB1286">
        <v>100000</v>
      </c>
      <c r="BC1286">
        <v>60</v>
      </c>
      <c r="BD1286">
        <v>102145</v>
      </c>
      <c r="BE1286">
        <v>1993</v>
      </c>
      <c r="BF1286">
        <v>33</v>
      </c>
      <c r="BI1286">
        <v>19</v>
      </c>
      <c r="BJ1286">
        <v>32</v>
      </c>
      <c r="BK1286">
        <v>7</v>
      </c>
      <c r="BO1286" t="s">
        <v>595</v>
      </c>
      <c r="BP1286" s="184">
        <v>43610</v>
      </c>
    </row>
    <row r="1287" spans="1:68">
      <c r="A1287">
        <v>9725854</v>
      </c>
      <c r="B1287">
        <v>9725854</v>
      </c>
      <c r="C1287" t="s">
        <v>13031</v>
      </c>
      <c r="E1287" s="184"/>
      <c r="G1287" s="184"/>
      <c r="I1287" s="184"/>
      <c r="J1287" t="s">
        <v>595</v>
      </c>
      <c r="K1287" s="184">
        <v>41444</v>
      </c>
      <c r="O1287" s="184"/>
      <c r="Q1287" t="s">
        <v>7262</v>
      </c>
      <c r="R1287" s="184"/>
      <c r="Z1287">
        <v>100174754</v>
      </c>
      <c r="AA1287" t="s">
        <v>7031</v>
      </c>
      <c r="AB1287" t="s">
        <v>3360</v>
      </c>
      <c r="AD1287" t="s">
        <v>14334</v>
      </c>
      <c r="AH1287" t="s">
        <v>6632</v>
      </c>
      <c r="AI1287" t="s">
        <v>14335</v>
      </c>
      <c r="AM1287" t="s">
        <v>7283</v>
      </c>
      <c r="AN1287" t="s">
        <v>2106</v>
      </c>
      <c r="AO1287" t="s">
        <v>14336</v>
      </c>
      <c r="AP1287" t="s">
        <v>7024</v>
      </c>
      <c r="AT1287" s="184">
        <v>34129</v>
      </c>
      <c r="AU1287" t="s">
        <v>14337</v>
      </c>
      <c r="AV1287">
        <v>15</v>
      </c>
      <c r="AW1287" s="184">
        <v>41444</v>
      </c>
      <c r="AX1287" t="s">
        <v>13035</v>
      </c>
      <c r="AY1287">
        <v>282.14</v>
      </c>
      <c r="AZ1287" s="184">
        <v>41444</v>
      </c>
      <c r="BA1287" t="s">
        <v>13035</v>
      </c>
      <c r="BB1287">
        <v>282.14</v>
      </c>
      <c r="BC1287">
        <v>10</v>
      </c>
      <c r="BD1287">
        <v>322.14</v>
      </c>
      <c r="BE1287">
        <v>1993</v>
      </c>
      <c r="BF1287">
        <v>3</v>
      </c>
      <c r="BI1287">
        <v>3</v>
      </c>
      <c r="BJ1287">
        <v>32</v>
      </c>
      <c r="BK1287">
        <v>1</v>
      </c>
    </row>
    <row r="1288" spans="1:68">
      <c r="A1288">
        <v>9759721</v>
      </c>
      <c r="B1288">
        <v>9759721</v>
      </c>
      <c r="C1288" t="s">
        <v>7018</v>
      </c>
      <c r="E1288" s="184"/>
      <c r="F1288" t="s">
        <v>595</v>
      </c>
      <c r="G1288" s="184">
        <v>43731</v>
      </c>
      <c r="I1288" s="184"/>
      <c r="K1288" s="184"/>
      <c r="O1288" s="184"/>
      <c r="P1288" t="s">
        <v>7019</v>
      </c>
      <c r="Q1288" t="s">
        <v>7383</v>
      </c>
      <c r="R1288" s="184">
        <v>20526</v>
      </c>
      <c r="S1288">
        <v>68</v>
      </c>
      <c r="U1288" t="s">
        <v>7076</v>
      </c>
      <c r="V1288" t="s">
        <v>3147</v>
      </c>
      <c r="X1288" t="s">
        <v>3933</v>
      </c>
      <c r="AF1288" t="s">
        <v>14338</v>
      </c>
      <c r="AG1288" t="s">
        <v>3147</v>
      </c>
      <c r="AI1288" t="s">
        <v>14339</v>
      </c>
      <c r="AM1288" t="s">
        <v>3934</v>
      </c>
      <c r="AN1288" t="s">
        <v>2059</v>
      </c>
      <c r="AO1288" t="s">
        <v>14340</v>
      </c>
      <c r="AP1288" t="s">
        <v>7024</v>
      </c>
      <c r="AQ1288" t="s">
        <v>14341</v>
      </c>
      <c r="AR1288" t="s">
        <v>14342</v>
      </c>
      <c r="AT1288" s="184">
        <v>34134</v>
      </c>
      <c r="AU1288" t="s">
        <v>14343</v>
      </c>
      <c r="AV1288">
        <v>20</v>
      </c>
      <c r="AW1288" s="184">
        <v>45184</v>
      </c>
      <c r="AX1288" t="s">
        <v>10966</v>
      </c>
      <c r="AY1288">
        <v>60</v>
      </c>
      <c r="AZ1288" s="184">
        <v>45184</v>
      </c>
      <c r="BA1288" t="s">
        <v>10966</v>
      </c>
      <c r="BB1288">
        <v>60</v>
      </c>
      <c r="BC1288">
        <v>66</v>
      </c>
      <c r="BD1288">
        <v>995</v>
      </c>
      <c r="BE1288">
        <v>1993</v>
      </c>
      <c r="BF1288">
        <v>29</v>
      </c>
      <c r="BG1288">
        <v>2</v>
      </c>
      <c r="BH1288">
        <v>85</v>
      </c>
      <c r="BI1288">
        <v>21</v>
      </c>
      <c r="BJ1288">
        <v>32</v>
      </c>
      <c r="BK1288">
        <v>5</v>
      </c>
      <c r="BP1288" s="184"/>
    </row>
    <row r="1289" spans="1:68">
      <c r="A1289">
        <v>9777251</v>
      </c>
      <c r="B1289">
        <v>9777251</v>
      </c>
      <c r="C1289" t="s">
        <v>7018</v>
      </c>
      <c r="D1289" t="s">
        <v>595</v>
      </c>
      <c r="E1289" s="184">
        <v>43808</v>
      </c>
      <c r="G1289" s="184"/>
      <c r="I1289" s="184"/>
      <c r="K1289" s="184"/>
      <c r="O1289" s="184"/>
      <c r="P1289" t="s">
        <v>7019</v>
      </c>
      <c r="Q1289" t="s">
        <v>7374</v>
      </c>
      <c r="R1289" s="184">
        <v>11914</v>
      </c>
      <c r="S1289">
        <v>91</v>
      </c>
      <c r="U1289" t="s">
        <v>7031</v>
      </c>
      <c r="V1289" t="s">
        <v>2697</v>
      </c>
      <c r="W1289" t="s">
        <v>3226</v>
      </c>
      <c r="X1289" t="s">
        <v>4442</v>
      </c>
      <c r="AF1289" t="s">
        <v>14344</v>
      </c>
      <c r="AG1289" t="s">
        <v>2697</v>
      </c>
      <c r="AI1289" t="s">
        <v>14345</v>
      </c>
      <c r="AM1289" t="s">
        <v>4443</v>
      </c>
      <c r="AN1289" t="s">
        <v>2081</v>
      </c>
      <c r="AO1289" t="s">
        <v>14346</v>
      </c>
      <c r="AP1289" t="s">
        <v>7024</v>
      </c>
      <c r="AQ1289" t="s">
        <v>14347</v>
      </c>
      <c r="AR1289" t="s">
        <v>14348</v>
      </c>
      <c r="AT1289" s="184">
        <v>34134</v>
      </c>
      <c r="AU1289" t="s">
        <v>14349</v>
      </c>
      <c r="AV1289">
        <v>25</v>
      </c>
      <c r="AW1289" s="184">
        <v>44179</v>
      </c>
      <c r="AX1289" t="s">
        <v>14350</v>
      </c>
      <c r="AY1289">
        <v>20</v>
      </c>
      <c r="AZ1289" s="184">
        <v>43369</v>
      </c>
      <c r="BA1289" t="s">
        <v>8727</v>
      </c>
      <c r="BB1289">
        <v>60</v>
      </c>
      <c r="BC1289">
        <v>88</v>
      </c>
      <c r="BD1289">
        <v>1601</v>
      </c>
      <c r="BE1289">
        <v>1993</v>
      </c>
      <c r="BF1289">
        <v>100</v>
      </c>
      <c r="BI1289">
        <v>28</v>
      </c>
      <c r="BJ1289">
        <v>32</v>
      </c>
      <c r="BK1289">
        <v>28</v>
      </c>
    </row>
    <row r="1290" spans="1:68">
      <c r="A1290">
        <v>9802620</v>
      </c>
      <c r="B1290">
        <v>9802620</v>
      </c>
      <c r="C1290" t="s">
        <v>7018</v>
      </c>
      <c r="D1290" t="s">
        <v>595</v>
      </c>
      <c r="E1290" s="184">
        <v>44167</v>
      </c>
      <c r="G1290" s="184"/>
      <c r="I1290" s="184"/>
      <c r="K1290" s="184"/>
      <c r="O1290" s="184"/>
      <c r="P1290" t="s">
        <v>7045</v>
      </c>
      <c r="Q1290" t="s">
        <v>7194</v>
      </c>
      <c r="R1290" s="184">
        <v>15889</v>
      </c>
      <c r="S1290">
        <v>80</v>
      </c>
      <c r="U1290" t="s">
        <v>7130</v>
      </c>
      <c r="V1290" t="s">
        <v>2903</v>
      </c>
      <c r="W1290" t="s">
        <v>5006</v>
      </c>
      <c r="X1290" t="s">
        <v>14351</v>
      </c>
      <c r="AF1290" t="s">
        <v>14352</v>
      </c>
      <c r="AG1290" t="s">
        <v>2903</v>
      </c>
      <c r="AI1290" t="s">
        <v>14353</v>
      </c>
      <c r="AM1290" t="s">
        <v>14354</v>
      </c>
      <c r="AN1290" t="s">
        <v>2046</v>
      </c>
      <c r="AO1290" t="s">
        <v>14355</v>
      </c>
      <c r="AP1290" t="s">
        <v>7024</v>
      </c>
      <c r="AQ1290" t="s">
        <v>14356</v>
      </c>
      <c r="AR1290" t="s">
        <v>14357</v>
      </c>
      <c r="AT1290" s="184">
        <v>34137</v>
      </c>
      <c r="AU1290" t="s">
        <v>14358</v>
      </c>
      <c r="AV1290">
        <v>30</v>
      </c>
      <c r="AW1290" s="184">
        <v>44397</v>
      </c>
      <c r="AX1290" t="s">
        <v>14359</v>
      </c>
      <c r="AY1290">
        <v>35</v>
      </c>
      <c r="AZ1290" s="184">
        <v>42507</v>
      </c>
      <c r="BA1290" t="s">
        <v>14360</v>
      </c>
      <c r="BB1290">
        <v>100</v>
      </c>
      <c r="BC1290">
        <v>41</v>
      </c>
      <c r="BD1290">
        <v>670</v>
      </c>
      <c r="BE1290">
        <v>1993</v>
      </c>
      <c r="BF1290">
        <v>19</v>
      </c>
      <c r="BI1290">
        <v>13</v>
      </c>
      <c r="BJ1290">
        <v>32</v>
      </c>
      <c r="BK1290">
        <v>7</v>
      </c>
      <c r="BP1290" s="184"/>
    </row>
    <row r="1291" spans="1:68">
      <c r="A1291">
        <v>9838574</v>
      </c>
      <c r="B1291">
        <v>9838574</v>
      </c>
      <c r="C1291" t="s">
        <v>7018</v>
      </c>
      <c r="D1291" t="s">
        <v>595</v>
      </c>
      <c r="E1291" s="184">
        <v>44070</v>
      </c>
      <c r="G1291" s="184"/>
      <c r="I1291" s="184"/>
      <c r="K1291" s="184"/>
      <c r="P1291" t="s">
        <v>7045</v>
      </c>
      <c r="Q1291" t="s">
        <v>7383</v>
      </c>
      <c r="R1291" s="184">
        <v>22022</v>
      </c>
      <c r="S1291">
        <v>64</v>
      </c>
      <c r="U1291" t="s">
        <v>7076</v>
      </c>
      <c r="V1291" t="s">
        <v>3288</v>
      </c>
      <c r="W1291" t="s">
        <v>2049</v>
      </c>
      <c r="X1291" t="s">
        <v>14361</v>
      </c>
      <c r="AF1291" t="s">
        <v>14362</v>
      </c>
      <c r="AG1291" t="s">
        <v>3288</v>
      </c>
      <c r="AI1291" t="s">
        <v>14363</v>
      </c>
      <c r="AM1291" t="s">
        <v>14364</v>
      </c>
      <c r="AN1291" t="s">
        <v>2313</v>
      </c>
      <c r="AO1291" t="s">
        <v>14365</v>
      </c>
      <c r="AP1291" t="s">
        <v>7024</v>
      </c>
      <c r="AT1291" s="184">
        <v>34145</v>
      </c>
      <c r="AU1291" t="s">
        <v>14366</v>
      </c>
      <c r="AV1291">
        <v>15</v>
      </c>
      <c r="AW1291" s="184">
        <v>45063</v>
      </c>
      <c r="AX1291" t="s">
        <v>7937</v>
      </c>
      <c r="AY1291">
        <v>35</v>
      </c>
      <c r="AZ1291" s="184">
        <v>44642</v>
      </c>
      <c r="BA1291" t="s">
        <v>14367</v>
      </c>
      <c r="BB1291">
        <v>50</v>
      </c>
      <c r="BC1291">
        <v>97</v>
      </c>
      <c r="BD1291">
        <v>1035</v>
      </c>
      <c r="BE1291">
        <v>1993</v>
      </c>
      <c r="BF1291">
        <v>42</v>
      </c>
      <c r="BG1291">
        <v>2</v>
      </c>
      <c r="BH1291">
        <v>70</v>
      </c>
      <c r="BI1291">
        <v>31</v>
      </c>
      <c r="BJ1291">
        <v>32</v>
      </c>
      <c r="BK1291">
        <v>31</v>
      </c>
    </row>
    <row r="1292" spans="1:68">
      <c r="A1292">
        <v>9840364</v>
      </c>
      <c r="B1292">
        <v>9840364</v>
      </c>
      <c r="C1292" t="s">
        <v>7018</v>
      </c>
      <c r="D1292" t="s">
        <v>595</v>
      </c>
      <c r="E1292" s="184">
        <v>44152</v>
      </c>
      <c r="G1292" s="184"/>
      <c r="I1292" s="184"/>
      <c r="K1292" s="184"/>
      <c r="O1292" s="184"/>
      <c r="P1292" t="s">
        <v>7045</v>
      </c>
      <c r="Q1292" t="s">
        <v>7383</v>
      </c>
      <c r="R1292" s="184">
        <v>18933</v>
      </c>
      <c r="S1292">
        <v>72</v>
      </c>
      <c r="U1292" t="s">
        <v>7130</v>
      </c>
      <c r="V1292" t="s">
        <v>14072</v>
      </c>
      <c r="X1292" t="s">
        <v>14368</v>
      </c>
      <c r="Z1292">
        <v>100037374</v>
      </c>
      <c r="AA1292" t="s">
        <v>7031</v>
      </c>
      <c r="AB1292" t="s">
        <v>2898</v>
      </c>
      <c r="AD1292" t="s">
        <v>14368</v>
      </c>
      <c r="AF1292" t="s">
        <v>14369</v>
      </c>
      <c r="AG1292" t="s">
        <v>14370</v>
      </c>
      <c r="AI1292" t="s">
        <v>14371</v>
      </c>
      <c r="AM1292" t="s">
        <v>3498</v>
      </c>
      <c r="AN1292" t="s">
        <v>2162</v>
      </c>
      <c r="AO1292" t="s">
        <v>14372</v>
      </c>
      <c r="AP1292" t="s">
        <v>7024</v>
      </c>
      <c r="AQ1292" t="s">
        <v>14373</v>
      </c>
      <c r="AR1292" t="s">
        <v>14374</v>
      </c>
      <c r="AT1292" s="184">
        <v>34145</v>
      </c>
      <c r="AU1292" t="s">
        <v>14337</v>
      </c>
      <c r="AV1292">
        <v>25</v>
      </c>
      <c r="AW1292" s="184">
        <v>45411</v>
      </c>
      <c r="AX1292" t="s">
        <v>7414</v>
      </c>
      <c r="AY1292">
        <v>8</v>
      </c>
      <c r="AZ1292" s="184">
        <v>35222</v>
      </c>
      <c r="BA1292" t="s">
        <v>14375</v>
      </c>
      <c r="BB1292">
        <v>100</v>
      </c>
      <c r="BC1292">
        <v>79</v>
      </c>
      <c r="BD1292">
        <v>2223</v>
      </c>
      <c r="BE1292">
        <v>1993</v>
      </c>
      <c r="BF1292">
        <v>92</v>
      </c>
      <c r="BG1292">
        <v>24</v>
      </c>
      <c r="BH1292">
        <v>192</v>
      </c>
      <c r="BI1292">
        <v>25</v>
      </c>
      <c r="BJ1292">
        <v>32</v>
      </c>
      <c r="BK1292">
        <v>8</v>
      </c>
      <c r="BN1292" t="s">
        <v>595</v>
      </c>
      <c r="BP1292" s="184"/>
    </row>
    <row r="1293" spans="1:68">
      <c r="A1293">
        <v>100037374</v>
      </c>
      <c r="B1293">
        <v>9840364</v>
      </c>
      <c r="C1293" t="s">
        <v>7018</v>
      </c>
      <c r="D1293" t="s">
        <v>595</v>
      </c>
      <c r="E1293" s="184">
        <v>44152</v>
      </c>
      <c r="G1293" s="184"/>
      <c r="I1293" s="184"/>
      <c r="K1293" s="184"/>
      <c r="O1293" s="184"/>
      <c r="P1293" t="s">
        <v>7045</v>
      </c>
      <c r="Q1293" t="s">
        <v>7383</v>
      </c>
      <c r="R1293" s="184">
        <v>17899</v>
      </c>
      <c r="S1293">
        <v>75</v>
      </c>
      <c r="U1293" t="s">
        <v>7031</v>
      </c>
      <c r="V1293" t="s">
        <v>2898</v>
      </c>
      <c r="X1293" t="s">
        <v>14368</v>
      </c>
      <c r="Z1293">
        <v>9840364</v>
      </c>
      <c r="AA1293" t="s">
        <v>7130</v>
      </c>
      <c r="AB1293" t="s">
        <v>14072</v>
      </c>
      <c r="AD1293" t="s">
        <v>14368</v>
      </c>
      <c r="AF1293" t="s">
        <v>14369</v>
      </c>
      <c r="AG1293" t="s">
        <v>14370</v>
      </c>
      <c r="AI1293" t="s">
        <v>14371</v>
      </c>
      <c r="AM1293" t="s">
        <v>3498</v>
      </c>
      <c r="AN1293" t="s">
        <v>2162</v>
      </c>
      <c r="AO1293" t="s">
        <v>14372</v>
      </c>
      <c r="AP1293" t="s">
        <v>7024</v>
      </c>
      <c r="AQ1293" t="s">
        <v>14376</v>
      </c>
      <c r="AT1293" s="184"/>
      <c r="AW1293" s="184"/>
      <c r="AZ1293" s="184"/>
      <c r="BP1293" s="184"/>
    </row>
    <row r="1294" spans="1:68">
      <c r="A1294">
        <v>9847807</v>
      </c>
      <c r="B1294">
        <v>9847807</v>
      </c>
      <c r="C1294" t="s">
        <v>7018</v>
      </c>
      <c r="E1294" s="184"/>
      <c r="G1294" s="184"/>
      <c r="I1294" s="184"/>
      <c r="J1294" t="s">
        <v>595</v>
      </c>
      <c r="K1294" s="184">
        <v>44231</v>
      </c>
      <c r="O1294" s="184"/>
      <c r="P1294" t="s">
        <v>7045</v>
      </c>
      <c r="Q1294" t="s">
        <v>7454</v>
      </c>
      <c r="R1294" s="184">
        <v>16958</v>
      </c>
      <c r="S1294">
        <v>77</v>
      </c>
      <c r="V1294" t="s">
        <v>2871</v>
      </c>
      <c r="X1294" t="s">
        <v>14377</v>
      </c>
      <c r="Z1294">
        <v>100037400</v>
      </c>
      <c r="AB1294" t="s">
        <v>3230</v>
      </c>
      <c r="AD1294" t="s">
        <v>14377</v>
      </c>
      <c r="AF1294" t="s">
        <v>14378</v>
      </c>
      <c r="AG1294" t="s">
        <v>14379</v>
      </c>
      <c r="AI1294" t="s">
        <v>14380</v>
      </c>
      <c r="AM1294" t="s">
        <v>14381</v>
      </c>
      <c r="AN1294" t="s">
        <v>2055</v>
      </c>
      <c r="AO1294" t="s">
        <v>14382</v>
      </c>
      <c r="AP1294" t="s">
        <v>7024</v>
      </c>
      <c r="AQ1294" t="s">
        <v>14383</v>
      </c>
      <c r="AR1294" t="s">
        <v>14384</v>
      </c>
      <c r="AT1294" s="184">
        <v>34148</v>
      </c>
      <c r="AU1294" t="s">
        <v>14385</v>
      </c>
      <c r="AV1294">
        <v>15</v>
      </c>
      <c r="AW1294" s="184">
        <v>45213</v>
      </c>
      <c r="AX1294" t="s">
        <v>7832</v>
      </c>
      <c r="AY1294">
        <v>100</v>
      </c>
      <c r="AZ1294" s="184">
        <v>45213</v>
      </c>
      <c r="BA1294" t="s">
        <v>7832</v>
      </c>
      <c r="BB1294">
        <v>100</v>
      </c>
      <c r="BC1294">
        <v>75</v>
      </c>
      <c r="BD1294">
        <v>2465</v>
      </c>
      <c r="BE1294">
        <v>1993</v>
      </c>
      <c r="BF1294">
        <v>35</v>
      </c>
      <c r="BG1294">
        <v>6</v>
      </c>
      <c r="BH1294">
        <v>500</v>
      </c>
      <c r="BI1294">
        <v>24</v>
      </c>
      <c r="BJ1294">
        <v>32</v>
      </c>
      <c r="BK1294">
        <v>14</v>
      </c>
      <c r="BP1294" s="184"/>
    </row>
    <row r="1295" spans="1:68">
      <c r="A1295">
        <v>100037400</v>
      </c>
      <c r="B1295">
        <v>9847807</v>
      </c>
      <c r="C1295" t="s">
        <v>7018</v>
      </c>
      <c r="E1295" s="184"/>
      <c r="G1295" s="184"/>
      <c r="I1295" s="184"/>
      <c r="J1295" t="s">
        <v>595</v>
      </c>
      <c r="K1295" s="184">
        <v>44231</v>
      </c>
      <c r="O1295" s="184"/>
      <c r="P1295" t="s">
        <v>7045</v>
      </c>
      <c r="Q1295" t="s">
        <v>7454</v>
      </c>
      <c r="R1295" s="184">
        <v>17502</v>
      </c>
      <c r="S1295">
        <v>76</v>
      </c>
      <c r="V1295" t="s">
        <v>3230</v>
      </c>
      <c r="X1295" t="s">
        <v>14377</v>
      </c>
      <c r="Z1295">
        <v>9847807</v>
      </c>
      <c r="AB1295" t="s">
        <v>2871</v>
      </c>
      <c r="AD1295" t="s">
        <v>14377</v>
      </c>
      <c r="AF1295" t="s">
        <v>14378</v>
      </c>
      <c r="AG1295" t="s">
        <v>14379</v>
      </c>
      <c r="AI1295" t="s">
        <v>14380</v>
      </c>
      <c r="AM1295" t="s">
        <v>14381</v>
      </c>
      <c r="AN1295" t="s">
        <v>2055</v>
      </c>
      <c r="AO1295" t="s">
        <v>14382</v>
      </c>
      <c r="AP1295" t="s">
        <v>7024</v>
      </c>
      <c r="AT1295" s="184"/>
      <c r="AW1295" s="184"/>
      <c r="AZ1295" s="184"/>
    </row>
    <row r="1296" spans="1:68">
      <c r="A1296">
        <v>9866963</v>
      </c>
      <c r="B1296">
        <v>9866963</v>
      </c>
      <c r="C1296" t="s">
        <v>7018</v>
      </c>
      <c r="D1296" t="s">
        <v>595</v>
      </c>
      <c r="E1296" s="184">
        <v>45182</v>
      </c>
      <c r="G1296" s="184"/>
      <c r="I1296" s="184"/>
      <c r="K1296" s="184"/>
      <c r="O1296" s="184"/>
      <c r="P1296" t="s">
        <v>7045</v>
      </c>
      <c r="Q1296" t="s">
        <v>7374</v>
      </c>
      <c r="R1296" s="184">
        <v>22596</v>
      </c>
      <c r="S1296">
        <v>62</v>
      </c>
      <c r="V1296" t="s">
        <v>3232</v>
      </c>
      <c r="W1296" t="s">
        <v>4152</v>
      </c>
      <c r="X1296" t="s">
        <v>14386</v>
      </c>
      <c r="AF1296" t="s">
        <v>14387</v>
      </c>
      <c r="AG1296" t="s">
        <v>3232</v>
      </c>
      <c r="AI1296" t="s">
        <v>14388</v>
      </c>
      <c r="AM1296" t="s">
        <v>5526</v>
      </c>
      <c r="AN1296" t="s">
        <v>2081</v>
      </c>
      <c r="AO1296" t="s">
        <v>14389</v>
      </c>
      <c r="AP1296" t="s">
        <v>7024</v>
      </c>
      <c r="AQ1296" t="s">
        <v>14390</v>
      </c>
      <c r="AT1296" s="184">
        <v>34177</v>
      </c>
      <c r="AU1296" t="s">
        <v>14029</v>
      </c>
      <c r="AV1296">
        <v>19.95</v>
      </c>
      <c r="AW1296" s="184">
        <v>42779</v>
      </c>
      <c r="AX1296" t="s">
        <v>14391</v>
      </c>
      <c r="AY1296">
        <v>25</v>
      </c>
      <c r="AZ1296" s="184">
        <v>42779</v>
      </c>
      <c r="BA1296" t="s">
        <v>14391</v>
      </c>
      <c r="BB1296">
        <v>25</v>
      </c>
      <c r="BC1296">
        <v>32</v>
      </c>
      <c r="BD1296">
        <v>244.95</v>
      </c>
      <c r="BE1296">
        <v>1994</v>
      </c>
      <c r="BF1296">
        <v>10</v>
      </c>
      <c r="BI1296">
        <v>10</v>
      </c>
      <c r="BJ1296">
        <v>32</v>
      </c>
      <c r="BK1296">
        <v>3</v>
      </c>
      <c r="BP1296" s="184"/>
    </row>
    <row r="1297" spans="1:68">
      <c r="A1297">
        <v>9894643</v>
      </c>
      <c r="B1297">
        <v>9894643</v>
      </c>
      <c r="C1297" t="s">
        <v>7018</v>
      </c>
      <c r="E1297" s="184"/>
      <c r="F1297" t="s">
        <v>595</v>
      </c>
      <c r="G1297" s="184">
        <v>43647</v>
      </c>
      <c r="K1297" s="184"/>
      <c r="O1297" s="184"/>
      <c r="P1297" t="s">
        <v>7045</v>
      </c>
      <c r="Q1297" t="s">
        <v>7262</v>
      </c>
      <c r="R1297" s="184">
        <v>16904</v>
      </c>
      <c r="S1297">
        <v>78</v>
      </c>
      <c r="U1297" t="s">
        <v>7076</v>
      </c>
      <c r="V1297" t="s">
        <v>3409</v>
      </c>
      <c r="X1297" t="s">
        <v>3410</v>
      </c>
      <c r="AF1297" t="s">
        <v>14392</v>
      </c>
      <c r="AG1297" t="s">
        <v>3409</v>
      </c>
      <c r="AI1297" t="s">
        <v>14393</v>
      </c>
      <c r="AM1297" t="s">
        <v>3134</v>
      </c>
      <c r="AN1297" t="s">
        <v>2106</v>
      </c>
      <c r="AO1297" t="s">
        <v>14394</v>
      </c>
      <c r="AP1297" t="s">
        <v>7024</v>
      </c>
      <c r="AQ1297" t="s">
        <v>14395</v>
      </c>
      <c r="AT1297" s="184">
        <v>34156</v>
      </c>
      <c r="AU1297" t="s">
        <v>14396</v>
      </c>
      <c r="AV1297">
        <v>15</v>
      </c>
      <c r="AW1297" s="184">
        <v>45161</v>
      </c>
      <c r="AX1297" t="s">
        <v>10732</v>
      </c>
      <c r="AY1297">
        <v>35</v>
      </c>
      <c r="AZ1297" s="184">
        <v>35908</v>
      </c>
      <c r="BA1297" t="s">
        <v>14397</v>
      </c>
      <c r="BB1297">
        <v>87</v>
      </c>
      <c r="BC1297">
        <v>94</v>
      </c>
      <c r="BD1297">
        <v>1922</v>
      </c>
      <c r="BE1297">
        <v>1994</v>
      </c>
      <c r="BF1297">
        <v>75</v>
      </c>
      <c r="BG1297">
        <v>4</v>
      </c>
      <c r="BH1297">
        <v>140</v>
      </c>
      <c r="BI1297">
        <v>30</v>
      </c>
      <c r="BJ1297">
        <v>32</v>
      </c>
      <c r="BK1297">
        <v>23</v>
      </c>
      <c r="BP1297" s="184"/>
    </row>
    <row r="1298" spans="1:68">
      <c r="A1298">
        <v>9897919</v>
      </c>
      <c r="B1298">
        <v>9897919</v>
      </c>
      <c r="C1298" t="s">
        <v>7018</v>
      </c>
      <c r="D1298" t="s">
        <v>595</v>
      </c>
      <c r="E1298" s="184">
        <v>44167</v>
      </c>
      <c r="G1298" s="184"/>
      <c r="I1298" s="184"/>
      <c r="K1298" s="184"/>
      <c r="O1298" s="184"/>
      <c r="P1298" t="s">
        <v>7045</v>
      </c>
      <c r="Q1298" t="s">
        <v>7030</v>
      </c>
      <c r="R1298" s="184">
        <v>18841</v>
      </c>
      <c r="S1298">
        <v>72</v>
      </c>
      <c r="U1298" t="s">
        <v>7031</v>
      </c>
      <c r="V1298" t="s">
        <v>2832</v>
      </c>
      <c r="W1298" t="s">
        <v>7355</v>
      </c>
      <c r="X1298" t="s">
        <v>4387</v>
      </c>
      <c r="Z1298">
        <v>100572138</v>
      </c>
      <c r="AB1298" t="s">
        <v>2733</v>
      </c>
      <c r="AD1298" t="s">
        <v>4387</v>
      </c>
      <c r="AF1298" t="s">
        <v>14398</v>
      </c>
      <c r="AG1298" t="s">
        <v>14399</v>
      </c>
      <c r="AI1298" t="s">
        <v>8825</v>
      </c>
      <c r="AM1298" t="s">
        <v>14400</v>
      </c>
      <c r="AN1298" t="s">
        <v>2201</v>
      </c>
      <c r="AO1298" t="s">
        <v>14401</v>
      </c>
      <c r="AP1298" t="s">
        <v>7024</v>
      </c>
      <c r="AT1298" s="184">
        <v>34156</v>
      </c>
      <c r="AU1298" t="s">
        <v>14402</v>
      </c>
      <c r="AV1298">
        <v>15</v>
      </c>
      <c r="AW1298" s="184">
        <v>36052</v>
      </c>
      <c r="AX1298" t="s">
        <v>14403</v>
      </c>
      <c r="AY1298">
        <v>25</v>
      </c>
      <c r="AZ1298" s="184">
        <v>36052</v>
      </c>
      <c r="BA1298" t="s">
        <v>14403</v>
      </c>
      <c r="BB1298">
        <v>25</v>
      </c>
      <c r="BC1298">
        <v>19</v>
      </c>
      <c r="BD1298">
        <v>165</v>
      </c>
      <c r="BE1298">
        <v>1994</v>
      </c>
      <c r="BF1298">
        <v>10</v>
      </c>
      <c r="BI1298">
        <v>6</v>
      </c>
      <c r="BJ1298">
        <v>32</v>
      </c>
      <c r="BK1298">
        <v>6</v>
      </c>
      <c r="BP1298" s="184"/>
    </row>
    <row r="1299" spans="1:68">
      <c r="A1299">
        <v>100572138</v>
      </c>
      <c r="B1299">
        <v>9897919</v>
      </c>
      <c r="C1299" t="s">
        <v>7018</v>
      </c>
      <c r="D1299" t="s">
        <v>595</v>
      </c>
      <c r="E1299" s="184">
        <v>44167</v>
      </c>
      <c r="G1299" s="184"/>
      <c r="I1299" s="184"/>
      <c r="K1299" s="184"/>
      <c r="O1299" s="184"/>
      <c r="P1299" t="s">
        <v>7045</v>
      </c>
      <c r="Q1299" t="s">
        <v>7030</v>
      </c>
      <c r="R1299" s="184"/>
      <c r="V1299" t="s">
        <v>2733</v>
      </c>
      <c r="X1299" t="s">
        <v>4387</v>
      </c>
      <c r="Z1299">
        <v>9897919</v>
      </c>
      <c r="AA1299" t="s">
        <v>7031</v>
      </c>
      <c r="AB1299" t="s">
        <v>2832</v>
      </c>
      <c r="AC1299" t="s">
        <v>7355</v>
      </c>
      <c r="AD1299" t="s">
        <v>4387</v>
      </c>
      <c r="AF1299" t="s">
        <v>14398</v>
      </c>
      <c r="AG1299" t="s">
        <v>14399</v>
      </c>
      <c r="AI1299" t="s">
        <v>8825</v>
      </c>
      <c r="AM1299" t="s">
        <v>14400</v>
      </c>
      <c r="AN1299" t="s">
        <v>2201</v>
      </c>
      <c r="AO1299" t="s">
        <v>14401</v>
      </c>
      <c r="AP1299" t="s">
        <v>7024</v>
      </c>
      <c r="AT1299" s="184"/>
      <c r="AW1299" s="184"/>
      <c r="AZ1299" s="184"/>
      <c r="BP1299" s="184"/>
    </row>
    <row r="1300" spans="1:68">
      <c r="A1300">
        <v>9913724</v>
      </c>
      <c r="B1300">
        <v>9913724</v>
      </c>
      <c r="C1300" t="s">
        <v>7018</v>
      </c>
      <c r="D1300" t="s">
        <v>595</v>
      </c>
      <c r="E1300" s="184">
        <v>44168</v>
      </c>
      <c r="G1300" s="184"/>
      <c r="H1300" t="s">
        <v>595</v>
      </c>
      <c r="I1300" s="184">
        <v>44168</v>
      </c>
      <c r="K1300" s="184"/>
      <c r="O1300" s="184"/>
      <c r="P1300" t="s">
        <v>7019</v>
      </c>
      <c r="Q1300" t="s">
        <v>7030</v>
      </c>
      <c r="R1300" s="184">
        <v>21702</v>
      </c>
      <c r="S1300">
        <v>64</v>
      </c>
      <c r="V1300" t="s">
        <v>2758</v>
      </c>
      <c r="W1300" t="s">
        <v>2049</v>
      </c>
      <c r="X1300" t="s">
        <v>4671</v>
      </c>
      <c r="AF1300" t="s">
        <v>14404</v>
      </c>
      <c r="AG1300" t="s">
        <v>2758</v>
      </c>
      <c r="AI1300" t="s">
        <v>14405</v>
      </c>
      <c r="AM1300" t="s">
        <v>14406</v>
      </c>
      <c r="AN1300" t="s">
        <v>2201</v>
      </c>
      <c r="AO1300" t="s">
        <v>14407</v>
      </c>
      <c r="AP1300" t="s">
        <v>7024</v>
      </c>
      <c r="AT1300" s="184">
        <v>34150</v>
      </c>
      <c r="AU1300" t="s">
        <v>14408</v>
      </c>
      <c r="AV1300">
        <v>25</v>
      </c>
      <c r="AW1300" s="184">
        <v>44684</v>
      </c>
      <c r="AX1300" t="s">
        <v>14409</v>
      </c>
      <c r="AY1300">
        <v>87</v>
      </c>
      <c r="AZ1300" s="184">
        <v>44684</v>
      </c>
      <c r="BA1300" t="s">
        <v>14409</v>
      </c>
      <c r="BB1300">
        <v>87</v>
      </c>
      <c r="BC1300">
        <v>57</v>
      </c>
      <c r="BD1300">
        <v>1205</v>
      </c>
      <c r="BE1300">
        <v>1993</v>
      </c>
      <c r="BF1300">
        <v>20</v>
      </c>
      <c r="BG1300">
        <v>1</v>
      </c>
      <c r="BH1300">
        <v>87</v>
      </c>
      <c r="BI1300">
        <v>18</v>
      </c>
      <c r="BJ1300">
        <v>32</v>
      </c>
      <c r="BK1300">
        <v>5</v>
      </c>
      <c r="BP1300" s="184"/>
    </row>
    <row r="1301" spans="1:68">
      <c r="A1301">
        <v>9957069</v>
      </c>
      <c r="B1301">
        <v>9957069</v>
      </c>
      <c r="C1301" t="s">
        <v>7018</v>
      </c>
      <c r="E1301" s="184"/>
      <c r="G1301" s="184"/>
      <c r="I1301" s="184"/>
      <c r="J1301" t="s">
        <v>595</v>
      </c>
      <c r="K1301" s="184">
        <v>44104</v>
      </c>
      <c r="O1301" s="184"/>
      <c r="P1301" t="s">
        <v>7045</v>
      </c>
      <c r="Q1301" t="s">
        <v>7494</v>
      </c>
      <c r="R1301" s="184">
        <v>15779</v>
      </c>
      <c r="S1301">
        <v>81</v>
      </c>
      <c r="U1301" t="s">
        <v>7130</v>
      </c>
      <c r="V1301" t="s">
        <v>2876</v>
      </c>
      <c r="W1301" t="s">
        <v>7963</v>
      </c>
      <c r="X1301" t="s">
        <v>14410</v>
      </c>
      <c r="AF1301" t="s">
        <v>14411</v>
      </c>
      <c r="AG1301" t="s">
        <v>2876</v>
      </c>
      <c r="AI1301" t="s">
        <v>14412</v>
      </c>
      <c r="AM1301" t="s">
        <v>14413</v>
      </c>
      <c r="AN1301" t="s">
        <v>2174</v>
      </c>
      <c r="AO1301" t="s">
        <v>14414</v>
      </c>
      <c r="AP1301" t="s">
        <v>7024</v>
      </c>
      <c r="AQ1301" t="s">
        <v>14415</v>
      </c>
      <c r="AT1301" s="184">
        <v>34164</v>
      </c>
      <c r="AU1301" t="s">
        <v>14416</v>
      </c>
      <c r="AV1301">
        <v>25</v>
      </c>
      <c r="AW1301" s="184">
        <v>45021</v>
      </c>
      <c r="AX1301" t="s">
        <v>12715</v>
      </c>
      <c r="AY1301">
        <v>50</v>
      </c>
      <c r="AZ1301" s="184">
        <v>43628</v>
      </c>
      <c r="BA1301" t="s">
        <v>14417</v>
      </c>
      <c r="BB1301">
        <v>100</v>
      </c>
      <c r="BC1301">
        <v>72</v>
      </c>
      <c r="BD1301">
        <v>1300</v>
      </c>
      <c r="BE1301">
        <v>1994</v>
      </c>
      <c r="BF1301">
        <v>26</v>
      </c>
      <c r="BG1301">
        <v>2</v>
      </c>
      <c r="BH1301">
        <v>100</v>
      </c>
      <c r="BI1301">
        <v>23</v>
      </c>
      <c r="BJ1301">
        <v>32</v>
      </c>
      <c r="BK1301">
        <v>8</v>
      </c>
      <c r="BP1301" s="184"/>
    </row>
    <row r="1302" spans="1:68">
      <c r="A1302">
        <v>9959362</v>
      </c>
      <c r="B1302">
        <v>9959362</v>
      </c>
      <c r="C1302" t="s">
        <v>7018</v>
      </c>
      <c r="E1302" s="184"/>
      <c r="F1302" t="s">
        <v>595</v>
      </c>
      <c r="G1302" s="184">
        <v>43731</v>
      </c>
      <c r="K1302" s="184"/>
      <c r="O1302" s="184"/>
      <c r="P1302" t="s">
        <v>7045</v>
      </c>
      <c r="Q1302" t="s">
        <v>7494</v>
      </c>
      <c r="R1302" s="184">
        <v>12645</v>
      </c>
      <c r="S1302">
        <v>89</v>
      </c>
      <c r="U1302" t="s">
        <v>7130</v>
      </c>
      <c r="V1302" t="s">
        <v>3935</v>
      </c>
      <c r="W1302" t="s">
        <v>4152</v>
      </c>
      <c r="X1302" t="s">
        <v>3936</v>
      </c>
      <c r="AF1302" t="s">
        <v>14418</v>
      </c>
      <c r="AG1302" t="s">
        <v>3935</v>
      </c>
      <c r="AI1302" t="s">
        <v>14419</v>
      </c>
      <c r="AM1302" t="s">
        <v>3937</v>
      </c>
      <c r="AN1302" t="s">
        <v>2174</v>
      </c>
      <c r="AO1302" t="s">
        <v>14420</v>
      </c>
      <c r="AP1302" t="s">
        <v>7024</v>
      </c>
      <c r="AQ1302" t="s">
        <v>14421</v>
      </c>
      <c r="AR1302" t="s">
        <v>14422</v>
      </c>
      <c r="AT1302" s="184">
        <v>34164</v>
      </c>
      <c r="AU1302" t="s">
        <v>14423</v>
      </c>
      <c r="AV1302">
        <v>25</v>
      </c>
      <c r="AW1302" s="184">
        <v>44621</v>
      </c>
      <c r="AX1302" t="s">
        <v>14424</v>
      </c>
      <c r="AY1302">
        <v>100</v>
      </c>
      <c r="AZ1302" s="184">
        <v>38663</v>
      </c>
      <c r="BA1302" t="s">
        <v>14425</v>
      </c>
      <c r="BB1302">
        <v>250</v>
      </c>
      <c r="BC1302">
        <v>75</v>
      </c>
      <c r="BD1302">
        <v>1709</v>
      </c>
      <c r="BE1302">
        <v>1994</v>
      </c>
      <c r="BF1302">
        <v>32</v>
      </c>
      <c r="BI1302">
        <v>24</v>
      </c>
      <c r="BJ1302">
        <v>32</v>
      </c>
      <c r="BK1302">
        <v>11</v>
      </c>
    </row>
    <row r="1303" spans="1:68">
      <c r="A1303">
        <v>9998139</v>
      </c>
      <c r="B1303">
        <v>9998139</v>
      </c>
      <c r="C1303" t="s">
        <v>7018</v>
      </c>
      <c r="D1303" t="s">
        <v>595</v>
      </c>
      <c r="E1303" s="184">
        <v>43711</v>
      </c>
      <c r="G1303" s="184"/>
      <c r="I1303" s="184"/>
      <c r="K1303" s="184"/>
      <c r="O1303" s="184"/>
      <c r="P1303" t="s">
        <v>7045</v>
      </c>
      <c r="Q1303" t="s">
        <v>7383</v>
      </c>
      <c r="R1303" s="184">
        <v>19845</v>
      </c>
      <c r="S1303">
        <v>70</v>
      </c>
      <c r="U1303" t="s">
        <v>7076</v>
      </c>
      <c r="V1303" t="s">
        <v>3147</v>
      </c>
      <c r="W1303" t="s">
        <v>7067</v>
      </c>
      <c r="X1303" t="s">
        <v>3766</v>
      </c>
      <c r="AF1303" t="s">
        <v>14426</v>
      </c>
      <c r="AG1303" t="s">
        <v>3147</v>
      </c>
      <c r="AI1303" t="s">
        <v>14427</v>
      </c>
      <c r="AM1303" t="s">
        <v>3767</v>
      </c>
      <c r="AN1303" t="s">
        <v>2059</v>
      </c>
      <c r="AO1303" t="s">
        <v>14428</v>
      </c>
      <c r="AP1303" t="s">
        <v>7024</v>
      </c>
      <c r="AQ1303" t="s">
        <v>14429</v>
      </c>
      <c r="AR1303" t="s">
        <v>14430</v>
      </c>
      <c r="AT1303" s="184">
        <v>34169</v>
      </c>
      <c r="AU1303" t="s">
        <v>14431</v>
      </c>
      <c r="AV1303">
        <v>20</v>
      </c>
      <c r="AW1303" s="184">
        <v>45259</v>
      </c>
      <c r="AX1303" t="s">
        <v>14432</v>
      </c>
      <c r="AY1303">
        <v>10</v>
      </c>
      <c r="AZ1303" s="184">
        <v>39542</v>
      </c>
      <c r="BA1303" t="s">
        <v>14433</v>
      </c>
      <c r="BB1303">
        <v>50</v>
      </c>
      <c r="BC1303">
        <v>82</v>
      </c>
      <c r="BD1303">
        <v>1185.75</v>
      </c>
      <c r="BE1303">
        <v>1994</v>
      </c>
      <c r="BF1303">
        <v>36</v>
      </c>
      <c r="BG1303">
        <v>3</v>
      </c>
      <c r="BH1303">
        <v>50.75</v>
      </c>
      <c r="BI1303">
        <v>26</v>
      </c>
      <c r="BJ1303">
        <v>32</v>
      </c>
      <c r="BK1303">
        <v>8</v>
      </c>
    </row>
    <row r="1304" spans="1:68">
      <c r="A1304">
        <v>10078236</v>
      </c>
      <c r="B1304">
        <v>10078236</v>
      </c>
      <c r="C1304" t="s">
        <v>7018</v>
      </c>
      <c r="E1304" s="184"/>
      <c r="F1304" t="s">
        <v>595</v>
      </c>
      <c r="G1304" s="184">
        <v>43731</v>
      </c>
      <c r="I1304" s="184"/>
      <c r="K1304" s="184"/>
      <c r="O1304" s="184"/>
      <c r="P1304" t="s">
        <v>7045</v>
      </c>
      <c r="Q1304" t="s">
        <v>7020</v>
      </c>
      <c r="R1304" s="184">
        <v>15841</v>
      </c>
      <c r="S1304">
        <v>81</v>
      </c>
      <c r="U1304" t="s">
        <v>7031</v>
      </c>
      <c r="V1304" t="s">
        <v>3318</v>
      </c>
      <c r="W1304" t="s">
        <v>8146</v>
      </c>
      <c r="X1304" t="s">
        <v>3938</v>
      </c>
      <c r="AF1304" t="s">
        <v>14434</v>
      </c>
      <c r="AG1304" t="s">
        <v>3318</v>
      </c>
      <c r="AI1304" t="s">
        <v>14435</v>
      </c>
      <c r="AM1304" t="s">
        <v>3939</v>
      </c>
      <c r="AN1304" t="s">
        <v>2052</v>
      </c>
      <c r="AO1304">
        <v>1007</v>
      </c>
      <c r="AP1304" t="s">
        <v>7024</v>
      </c>
      <c r="AQ1304" t="s">
        <v>14436</v>
      </c>
      <c r="AT1304" s="184">
        <v>34193</v>
      </c>
      <c r="AU1304" t="s">
        <v>14437</v>
      </c>
      <c r="AV1304">
        <v>25</v>
      </c>
      <c r="AW1304" s="184">
        <v>40081</v>
      </c>
      <c r="AX1304" t="s">
        <v>14438</v>
      </c>
      <c r="AY1304">
        <v>35</v>
      </c>
      <c r="AZ1304" s="184">
        <v>36558</v>
      </c>
      <c r="BA1304" t="s">
        <v>14439</v>
      </c>
      <c r="BB1304">
        <v>55</v>
      </c>
      <c r="BC1304">
        <v>54</v>
      </c>
      <c r="BD1304">
        <v>1655</v>
      </c>
      <c r="BE1304">
        <v>1994</v>
      </c>
      <c r="BF1304">
        <v>47</v>
      </c>
      <c r="BI1304">
        <v>17</v>
      </c>
      <c r="BJ1304">
        <v>32</v>
      </c>
      <c r="BK1304">
        <v>17</v>
      </c>
    </row>
    <row r="1305" spans="1:68">
      <c r="A1305">
        <v>10089126</v>
      </c>
      <c r="B1305">
        <v>10089126</v>
      </c>
      <c r="C1305" t="s">
        <v>7018</v>
      </c>
      <c r="D1305" t="s">
        <v>595</v>
      </c>
      <c r="E1305" s="184">
        <v>43857</v>
      </c>
      <c r="G1305" s="184"/>
      <c r="I1305" s="184"/>
      <c r="K1305" s="184"/>
      <c r="O1305" s="184"/>
      <c r="P1305" t="s">
        <v>7045</v>
      </c>
      <c r="Q1305" t="s">
        <v>7383</v>
      </c>
      <c r="R1305" s="184">
        <v>19662</v>
      </c>
      <c r="S1305">
        <v>70</v>
      </c>
      <c r="U1305" t="s">
        <v>7076</v>
      </c>
      <c r="V1305" t="s">
        <v>4545</v>
      </c>
      <c r="W1305" t="s">
        <v>3522</v>
      </c>
      <c r="X1305" t="s">
        <v>4546</v>
      </c>
      <c r="AF1305" t="s">
        <v>14440</v>
      </c>
      <c r="AG1305" t="s">
        <v>4545</v>
      </c>
      <c r="AI1305" t="s">
        <v>14441</v>
      </c>
      <c r="AM1305" t="s">
        <v>4547</v>
      </c>
      <c r="AN1305" t="s">
        <v>2313</v>
      </c>
      <c r="AO1305" t="s">
        <v>14442</v>
      </c>
      <c r="AP1305" t="s">
        <v>7024</v>
      </c>
      <c r="AQ1305" t="s">
        <v>14443</v>
      </c>
      <c r="AT1305" s="184">
        <v>34194</v>
      </c>
      <c r="AU1305" t="s">
        <v>14444</v>
      </c>
      <c r="AV1305">
        <v>15</v>
      </c>
      <c r="AW1305" s="184">
        <v>41996</v>
      </c>
      <c r="AX1305" t="s">
        <v>14445</v>
      </c>
      <c r="AY1305">
        <v>25</v>
      </c>
      <c r="AZ1305" s="184">
        <v>41996</v>
      </c>
      <c r="BA1305" t="s">
        <v>14445</v>
      </c>
      <c r="BB1305">
        <v>25</v>
      </c>
      <c r="BC1305">
        <v>22</v>
      </c>
      <c r="BD1305">
        <v>160</v>
      </c>
      <c r="BE1305">
        <v>1994</v>
      </c>
      <c r="BF1305">
        <v>8</v>
      </c>
      <c r="BI1305">
        <v>7</v>
      </c>
      <c r="BJ1305">
        <v>32</v>
      </c>
      <c r="BK1305">
        <v>3</v>
      </c>
      <c r="BP1305" s="184"/>
    </row>
    <row r="1306" spans="1:68">
      <c r="A1306">
        <v>10090090</v>
      </c>
      <c r="B1306">
        <v>10090090</v>
      </c>
      <c r="C1306" t="s">
        <v>7018</v>
      </c>
      <c r="D1306" t="s">
        <v>595</v>
      </c>
      <c r="E1306" s="184">
        <v>45195</v>
      </c>
      <c r="G1306" s="184"/>
      <c r="I1306" s="184"/>
      <c r="K1306" s="184"/>
      <c r="O1306" s="184"/>
      <c r="P1306" t="s">
        <v>7045</v>
      </c>
      <c r="Q1306" t="s">
        <v>7383</v>
      </c>
      <c r="R1306" s="184">
        <v>23937</v>
      </c>
      <c r="S1306">
        <v>58</v>
      </c>
      <c r="U1306" t="s">
        <v>7076</v>
      </c>
      <c r="V1306" t="s">
        <v>7952</v>
      </c>
      <c r="W1306" t="s">
        <v>4382</v>
      </c>
      <c r="X1306" t="s">
        <v>14446</v>
      </c>
      <c r="AF1306" t="s">
        <v>14447</v>
      </c>
      <c r="AG1306" t="s">
        <v>7952</v>
      </c>
      <c r="AI1306" t="s">
        <v>14448</v>
      </c>
      <c r="AM1306" t="s">
        <v>2703</v>
      </c>
      <c r="AN1306" t="s">
        <v>2064</v>
      </c>
      <c r="AO1306" t="s">
        <v>14449</v>
      </c>
      <c r="AP1306" t="s">
        <v>7024</v>
      </c>
      <c r="AQ1306" t="s">
        <v>14450</v>
      </c>
      <c r="AT1306" s="184">
        <v>34194</v>
      </c>
      <c r="AU1306" t="s">
        <v>14451</v>
      </c>
      <c r="AV1306">
        <v>25</v>
      </c>
      <c r="AW1306" s="184">
        <v>45186</v>
      </c>
      <c r="AX1306" t="s">
        <v>11161</v>
      </c>
      <c r="AY1306">
        <v>25</v>
      </c>
      <c r="AZ1306" s="184">
        <v>34512</v>
      </c>
      <c r="BA1306" t="s">
        <v>14452</v>
      </c>
      <c r="BB1306">
        <v>60</v>
      </c>
      <c r="BC1306">
        <v>22</v>
      </c>
      <c r="BD1306">
        <v>605</v>
      </c>
      <c r="BE1306">
        <v>1994</v>
      </c>
      <c r="BF1306">
        <v>21</v>
      </c>
      <c r="BG1306">
        <v>1</v>
      </c>
      <c r="BH1306">
        <v>25</v>
      </c>
      <c r="BI1306">
        <v>7</v>
      </c>
      <c r="BJ1306">
        <v>32</v>
      </c>
      <c r="BK1306">
        <v>5</v>
      </c>
    </row>
    <row r="1307" spans="1:68">
      <c r="A1307">
        <v>10091643</v>
      </c>
      <c r="B1307">
        <v>10091643</v>
      </c>
      <c r="C1307" t="s">
        <v>7018</v>
      </c>
      <c r="E1307" s="184"/>
      <c r="G1307" s="184"/>
      <c r="I1307" s="184"/>
      <c r="J1307" t="s">
        <v>595</v>
      </c>
      <c r="K1307" s="184">
        <v>43508</v>
      </c>
      <c r="O1307" s="184"/>
      <c r="P1307" t="s">
        <v>7045</v>
      </c>
      <c r="Q1307" t="s">
        <v>7383</v>
      </c>
      <c r="R1307" s="184">
        <v>10604</v>
      </c>
      <c r="S1307">
        <v>95</v>
      </c>
      <c r="U1307" t="s">
        <v>7130</v>
      </c>
      <c r="V1307" t="s">
        <v>2701</v>
      </c>
      <c r="X1307" t="s">
        <v>14453</v>
      </c>
      <c r="Z1307">
        <v>100180509</v>
      </c>
      <c r="AB1307" t="s">
        <v>2511</v>
      </c>
      <c r="AC1307" t="s">
        <v>7248</v>
      </c>
      <c r="AD1307" t="s">
        <v>14453</v>
      </c>
      <c r="AF1307" t="s">
        <v>6111</v>
      </c>
      <c r="AG1307" t="s">
        <v>2701</v>
      </c>
      <c r="AI1307" t="s">
        <v>14454</v>
      </c>
      <c r="AM1307" t="s">
        <v>2703</v>
      </c>
      <c r="AN1307" t="s">
        <v>2064</v>
      </c>
      <c r="AO1307" t="s">
        <v>14455</v>
      </c>
      <c r="AP1307" t="s">
        <v>7024</v>
      </c>
      <c r="AQ1307" t="s">
        <v>14456</v>
      </c>
      <c r="AR1307" t="s">
        <v>14457</v>
      </c>
      <c r="AT1307" s="184">
        <v>34198</v>
      </c>
      <c r="AU1307" t="s">
        <v>14458</v>
      </c>
      <c r="AV1307">
        <v>15</v>
      </c>
      <c r="AW1307" s="184">
        <v>45408</v>
      </c>
      <c r="AX1307" t="s">
        <v>8483</v>
      </c>
      <c r="AY1307">
        <v>35</v>
      </c>
      <c r="AZ1307" s="184">
        <v>43299</v>
      </c>
      <c r="BA1307" t="s">
        <v>14459</v>
      </c>
      <c r="BB1307">
        <v>250</v>
      </c>
      <c r="BC1307">
        <v>97</v>
      </c>
      <c r="BD1307">
        <v>6976</v>
      </c>
      <c r="BE1307">
        <v>1994</v>
      </c>
      <c r="BF1307">
        <v>247</v>
      </c>
      <c r="BG1307">
        <v>24</v>
      </c>
      <c r="BH1307">
        <v>840</v>
      </c>
      <c r="BI1307">
        <v>31</v>
      </c>
      <c r="BJ1307">
        <v>32</v>
      </c>
      <c r="BK1307">
        <v>29</v>
      </c>
      <c r="BP1307" s="184"/>
    </row>
    <row r="1308" spans="1:68">
      <c r="A1308">
        <v>100180509</v>
      </c>
      <c r="B1308">
        <v>10091643</v>
      </c>
      <c r="C1308" t="s">
        <v>7018</v>
      </c>
      <c r="E1308" s="184"/>
      <c r="G1308" s="184"/>
      <c r="I1308" s="184"/>
      <c r="J1308" t="s">
        <v>595</v>
      </c>
      <c r="K1308" s="184">
        <v>43508</v>
      </c>
      <c r="O1308" s="184"/>
      <c r="P1308" t="s">
        <v>7045</v>
      </c>
      <c r="Q1308" t="s">
        <v>7383</v>
      </c>
      <c r="R1308" s="184">
        <v>11749</v>
      </c>
      <c r="S1308">
        <v>92</v>
      </c>
      <c r="V1308" t="s">
        <v>2511</v>
      </c>
      <c r="W1308" t="s">
        <v>7248</v>
      </c>
      <c r="X1308" t="s">
        <v>14453</v>
      </c>
      <c r="Z1308">
        <v>10091643</v>
      </c>
      <c r="AA1308" t="s">
        <v>7130</v>
      </c>
      <c r="AB1308" t="s">
        <v>2701</v>
      </c>
      <c r="AD1308" t="s">
        <v>14453</v>
      </c>
      <c r="AF1308" t="s">
        <v>6111</v>
      </c>
      <c r="AG1308" t="s">
        <v>2701</v>
      </c>
      <c r="AI1308" t="s">
        <v>14454</v>
      </c>
      <c r="AM1308" t="s">
        <v>2703</v>
      </c>
      <c r="AN1308" t="s">
        <v>2064</v>
      </c>
      <c r="AO1308" t="s">
        <v>14455</v>
      </c>
      <c r="AP1308" t="s">
        <v>7024</v>
      </c>
      <c r="AT1308" s="184"/>
      <c r="AW1308" s="184"/>
      <c r="AZ1308" s="184"/>
      <c r="BO1308" t="s">
        <v>595</v>
      </c>
      <c r="BP1308" s="184"/>
    </row>
    <row r="1309" spans="1:68">
      <c r="A1309">
        <v>10102150</v>
      </c>
      <c r="B1309">
        <v>10102150</v>
      </c>
      <c r="C1309" t="s">
        <v>7018</v>
      </c>
      <c r="D1309" t="s">
        <v>595</v>
      </c>
      <c r="E1309" s="184">
        <v>43773</v>
      </c>
      <c r="G1309" s="184"/>
      <c r="I1309" s="184"/>
      <c r="K1309" s="184"/>
      <c r="M1309" s="184"/>
      <c r="O1309" s="184"/>
      <c r="P1309" t="s">
        <v>7045</v>
      </c>
      <c r="Q1309" t="s">
        <v>7374</v>
      </c>
      <c r="R1309" s="184">
        <v>10250</v>
      </c>
      <c r="S1309">
        <v>96</v>
      </c>
      <c r="U1309" t="s">
        <v>7130</v>
      </c>
      <c r="V1309" t="s">
        <v>3101</v>
      </c>
      <c r="W1309" t="s">
        <v>4382</v>
      </c>
      <c r="X1309" t="s">
        <v>4259</v>
      </c>
      <c r="AF1309" t="s">
        <v>14460</v>
      </c>
      <c r="AG1309" t="s">
        <v>3101</v>
      </c>
      <c r="AI1309" t="s">
        <v>14461</v>
      </c>
      <c r="AM1309" t="s">
        <v>2806</v>
      </c>
      <c r="AN1309" t="s">
        <v>2081</v>
      </c>
      <c r="AO1309" t="s">
        <v>14462</v>
      </c>
      <c r="AP1309" t="s">
        <v>7024</v>
      </c>
      <c r="AT1309" s="184">
        <v>34197</v>
      </c>
      <c r="AU1309" t="s">
        <v>14463</v>
      </c>
      <c r="AV1309">
        <v>25</v>
      </c>
      <c r="AW1309" s="184">
        <v>43846</v>
      </c>
      <c r="AX1309" t="s">
        <v>14244</v>
      </c>
      <c r="AY1309">
        <v>100</v>
      </c>
      <c r="AZ1309" s="184">
        <v>43846</v>
      </c>
      <c r="BA1309" t="s">
        <v>14244</v>
      </c>
      <c r="BB1309">
        <v>100</v>
      </c>
      <c r="BC1309">
        <v>69</v>
      </c>
      <c r="BD1309">
        <v>1535</v>
      </c>
      <c r="BE1309">
        <v>1994</v>
      </c>
      <c r="BF1309">
        <v>30</v>
      </c>
      <c r="BI1309">
        <v>22</v>
      </c>
      <c r="BJ1309">
        <v>32</v>
      </c>
      <c r="BK1309">
        <v>17</v>
      </c>
    </row>
    <row r="1310" spans="1:68">
      <c r="A1310">
        <v>100037883</v>
      </c>
      <c r="B1310">
        <v>10103414</v>
      </c>
      <c r="C1310" t="s">
        <v>7018</v>
      </c>
      <c r="E1310" s="184"/>
      <c r="G1310" s="184"/>
      <c r="I1310" s="184"/>
      <c r="K1310" s="184"/>
      <c r="N1310" t="s">
        <v>595</v>
      </c>
      <c r="O1310" s="184">
        <v>40681</v>
      </c>
      <c r="P1310" t="s">
        <v>7045</v>
      </c>
      <c r="Q1310" t="s">
        <v>7454</v>
      </c>
      <c r="R1310" s="184"/>
      <c r="U1310" t="s">
        <v>7130</v>
      </c>
      <c r="V1310" t="s">
        <v>5849</v>
      </c>
      <c r="X1310" t="s">
        <v>5695</v>
      </c>
      <c r="Z1310">
        <v>10103414</v>
      </c>
      <c r="AA1310" t="s">
        <v>7031</v>
      </c>
      <c r="AB1310" t="s">
        <v>5849</v>
      </c>
      <c r="AC1310" t="s">
        <v>4139</v>
      </c>
      <c r="AD1310" t="s">
        <v>5695</v>
      </c>
      <c r="AF1310" t="s">
        <v>14464</v>
      </c>
      <c r="AG1310" t="s">
        <v>14465</v>
      </c>
      <c r="AI1310" t="s">
        <v>14466</v>
      </c>
      <c r="AJ1310" t="s">
        <v>7071</v>
      </c>
      <c r="AM1310" t="s">
        <v>5850</v>
      </c>
      <c r="AN1310" t="s">
        <v>2055</v>
      </c>
      <c r="AO1310" t="s">
        <v>14467</v>
      </c>
      <c r="AP1310" t="s">
        <v>7024</v>
      </c>
      <c r="AQ1310" t="s">
        <v>14468</v>
      </c>
      <c r="AR1310" t="s">
        <v>14469</v>
      </c>
      <c r="AT1310" s="184"/>
      <c r="AW1310" s="184"/>
      <c r="AZ1310" s="184"/>
      <c r="BO1310" t="s">
        <v>595</v>
      </c>
    </row>
    <row r="1311" spans="1:68">
      <c r="A1311">
        <v>10109650</v>
      </c>
      <c r="B1311">
        <v>10109650</v>
      </c>
      <c r="C1311" t="s">
        <v>7018</v>
      </c>
      <c r="D1311" t="s">
        <v>595</v>
      </c>
      <c r="E1311" s="184">
        <v>43647</v>
      </c>
      <c r="G1311" s="184"/>
      <c r="I1311" s="184"/>
      <c r="K1311" s="184"/>
      <c r="O1311" s="184"/>
      <c r="P1311" t="s">
        <v>7045</v>
      </c>
      <c r="Q1311" t="s">
        <v>7020</v>
      </c>
      <c r="R1311" s="184">
        <v>16601</v>
      </c>
      <c r="S1311">
        <v>78</v>
      </c>
      <c r="V1311" t="s">
        <v>14470</v>
      </c>
      <c r="W1311" t="s">
        <v>205</v>
      </c>
      <c r="X1311" t="s">
        <v>3175</v>
      </c>
      <c r="Z1311">
        <v>100037896</v>
      </c>
      <c r="AB1311" t="s">
        <v>5414</v>
      </c>
      <c r="AC1311" t="s">
        <v>7396</v>
      </c>
      <c r="AD1311" t="s">
        <v>3175</v>
      </c>
      <c r="AF1311" t="s">
        <v>14471</v>
      </c>
      <c r="AG1311" t="s">
        <v>14472</v>
      </c>
      <c r="AI1311" t="s">
        <v>14473</v>
      </c>
      <c r="AM1311" t="s">
        <v>3517</v>
      </c>
      <c r="AN1311" t="s">
        <v>2240</v>
      </c>
      <c r="AO1311" t="s">
        <v>14474</v>
      </c>
      <c r="AP1311" t="s">
        <v>7024</v>
      </c>
      <c r="AQ1311" t="s">
        <v>14475</v>
      </c>
      <c r="AR1311" t="s">
        <v>14476</v>
      </c>
      <c r="AT1311" s="184">
        <v>34198</v>
      </c>
      <c r="AU1311" t="s">
        <v>14463</v>
      </c>
      <c r="AV1311">
        <v>25</v>
      </c>
      <c r="AW1311" s="184">
        <v>45328</v>
      </c>
      <c r="AX1311" t="s">
        <v>7168</v>
      </c>
      <c r="AY1311">
        <v>262.5</v>
      </c>
      <c r="AZ1311" s="184">
        <v>44160</v>
      </c>
      <c r="BA1311" t="s">
        <v>14477</v>
      </c>
      <c r="BB1311">
        <v>900</v>
      </c>
      <c r="BC1311">
        <v>79</v>
      </c>
      <c r="BD1311">
        <v>5172.5</v>
      </c>
      <c r="BE1311">
        <v>1994</v>
      </c>
      <c r="BF1311">
        <v>49</v>
      </c>
      <c r="BG1311">
        <v>2</v>
      </c>
      <c r="BH1311">
        <v>512.5</v>
      </c>
      <c r="BI1311">
        <v>25</v>
      </c>
      <c r="BJ1311">
        <v>32</v>
      </c>
      <c r="BK1311">
        <v>14</v>
      </c>
      <c r="BP1311" s="184"/>
    </row>
    <row r="1312" spans="1:68">
      <c r="A1312">
        <v>100037896</v>
      </c>
      <c r="B1312">
        <v>10109650</v>
      </c>
      <c r="C1312" t="s">
        <v>7018</v>
      </c>
      <c r="D1312" t="s">
        <v>595</v>
      </c>
      <c r="E1312" s="184">
        <v>43647</v>
      </c>
      <c r="G1312" s="184"/>
      <c r="K1312" s="184"/>
      <c r="O1312" s="184"/>
      <c r="P1312" t="s">
        <v>7045</v>
      </c>
      <c r="Q1312" t="s">
        <v>7020</v>
      </c>
      <c r="R1312" s="184">
        <v>16589</v>
      </c>
      <c r="S1312">
        <v>78</v>
      </c>
      <c r="V1312" t="s">
        <v>5414</v>
      </c>
      <c r="W1312" t="s">
        <v>7396</v>
      </c>
      <c r="X1312" t="s">
        <v>3175</v>
      </c>
      <c r="Z1312">
        <v>10109650</v>
      </c>
      <c r="AB1312" t="s">
        <v>14470</v>
      </c>
      <c r="AC1312" t="s">
        <v>205</v>
      </c>
      <c r="AD1312" t="s">
        <v>3175</v>
      </c>
      <c r="AF1312" t="s">
        <v>14471</v>
      </c>
      <c r="AG1312" t="s">
        <v>14472</v>
      </c>
      <c r="AI1312" t="s">
        <v>14473</v>
      </c>
      <c r="AM1312" t="s">
        <v>3517</v>
      </c>
      <c r="AN1312" t="s">
        <v>2240</v>
      </c>
      <c r="AO1312" t="s">
        <v>14474</v>
      </c>
      <c r="AP1312" t="s">
        <v>7024</v>
      </c>
      <c r="AT1312" s="184"/>
      <c r="AW1312" s="184"/>
      <c r="AZ1312" s="184"/>
      <c r="BP1312" s="184"/>
    </row>
    <row r="1313" spans="1:68">
      <c r="A1313">
        <v>100037900</v>
      </c>
      <c r="B1313">
        <v>10110336</v>
      </c>
      <c r="C1313" t="s">
        <v>7018</v>
      </c>
      <c r="E1313" s="184"/>
      <c r="G1313" s="184"/>
      <c r="K1313" s="184"/>
      <c r="N1313" t="s">
        <v>595</v>
      </c>
      <c r="O1313" s="184">
        <v>41458</v>
      </c>
      <c r="P1313" t="s">
        <v>7045</v>
      </c>
      <c r="Q1313" t="s">
        <v>7262</v>
      </c>
      <c r="R1313" s="184">
        <v>11275</v>
      </c>
      <c r="S1313">
        <v>93</v>
      </c>
      <c r="U1313" t="s">
        <v>7130</v>
      </c>
      <c r="V1313" t="s">
        <v>3510</v>
      </c>
      <c r="W1313" t="s">
        <v>7396</v>
      </c>
      <c r="X1313" t="s">
        <v>2706</v>
      </c>
      <c r="Z1313">
        <v>10110336</v>
      </c>
      <c r="AA1313" t="s">
        <v>7031</v>
      </c>
      <c r="AB1313" t="s">
        <v>2851</v>
      </c>
      <c r="AC1313" t="s">
        <v>2963</v>
      </c>
      <c r="AD1313" t="s">
        <v>2706</v>
      </c>
      <c r="AF1313" t="s">
        <v>14478</v>
      </c>
      <c r="AG1313" t="s">
        <v>14479</v>
      </c>
      <c r="AI1313" t="s">
        <v>14480</v>
      </c>
      <c r="AM1313" t="s">
        <v>5764</v>
      </c>
      <c r="AN1313" t="s">
        <v>65</v>
      </c>
      <c r="AO1313" t="s">
        <v>14481</v>
      </c>
      <c r="AP1313" t="s">
        <v>7024</v>
      </c>
      <c r="AT1313" s="184"/>
      <c r="AW1313" s="184"/>
      <c r="AZ1313" s="184"/>
      <c r="BP1313" s="184"/>
    </row>
    <row r="1314" spans="1:68">
      <c r="A1314">
        <v>10116135</v>
      </c>
      <c r="B1314">
        <v>10116135</v>
      </c>
      <c r="C1314" t="s">
        <v>7018</v>
      </c>
      <c r="D1314" t="s">
        <v>595</v>
      </c>
      <c r="E1314" s="184">
        <v>44073</v>
      </c>
      <c r="G1314" s="184"/>
      <c r="I1314" s="184"/>
      <c r="K1314" s="184"/>
      <c r="M1314" s="184"/>
      <c r="O1314" s="184"/>
      <c r="P1314" t="s">
        <v>7045</v>
      </c>
      <c r="Q1314" t="s">
        <v>7383</v>
      </c>
      <c r="R1314" s="184">
        <v>15865</v>
      </c>
      <c r="S1314">
        <v>80</v>
      </c>
      <c r="U1314" t="s">
        <v>7031</v>
      </c>
      <c r="V1314" t="s">
        <v>3889</v>
      </c>
      <c r="X1314" t="s">
        <v>14482</v>
      </c>
      <c r="AF1314" t="s">
        <v>14483</v>
      </c>
      <c r="AG1314" t="s">
        <v>3889</v>
      </c>
      <c r="AI1314" t="s">
        <v>14484</v>
      </c>
      <c r="AM1314" t="s">
        <v>14485</v>
      </c>
      <c r="AN1314" t="s">
        <v>2419</v>
      </c>
      <c r="AO1314" t="s">
        <v>14486</v>
      </c>
      <c r="AP1314" t="s">
        <v>7024</v>
      </c>
      <c r="AQ1314" t="s">
        <v>14487</v>
      </c>
      <c r="AR1314" t="s">
        <v>14488</v>
      </c>
      <c r="AT1314" s="184">
        <v>34199</v>
      </c>
      <c r="AU1314" t="s">
        <v>14489</v>
      </c>
      <c r="AV1314">
        <v>20</v>
      </c>
      <c r="AW1314" s="184">
        <v>45005</v>
      </c>
      <c r="AX1314" t="s">
        <v>14490</v>
      </c>
      <c r="AY1314">
        <v>75</v>
      </c>
      <c r="AZ1314" s="184">
        <v>37945</v>
      </c>
      <c r="BA1314" t="s">
        <v>14491</v>
      </c>
      <c r="BB1314">
        <v>125</v>
      </c>
      <c r="BC1314">
        <v>88</v>
      </c>
      <c r="BD1314">
        <v>1847</v>
      </c>
      <c r="BE1314">
        <v>1994</v>
      </c>
      <c r="BF1314">
        <v>43</v>
      </c>
      <c r="BG1314">
        <v>1</v>
      </c>
      <c r="BH1314">
        <v>75</v>
      </c>
      <c r="BI1314">
        <v>28</v>
      </c>
      <c r="BJ1314">
        <v>32</v>
      </c>
      <c r="BK1314">
        <v>13</v>
      </c>
      <c r="BP1314" s="184"/>
    </row>
    <row r="1315" spans="1:68">
      <c r="A1315">
        <v>10129187</v>
      </c>
      <c r="B1315">
        <v>10129187</v>
      </c>
      <c r="C1315" t="s">
        <v>7018</v>
      </c>
      <c r="E1315" s="184"/>
      <c r="G1315" s="184"/>
      <c r="I1315" s="184"/>
      <c r="K1315" s="184"/>
      <c r="M1315" s="184"/>
      <c r="N1315" t="s">
        <v>595</v>
      </c>
      <c r="O1315" s="184">
        <v>42198</v>
      </c>
      <c r="P1315" t="s">
        <v>7045</v>
      </c>
      <c r="Q1315" t="s">
        <v>7383</v>
      </c>
      <c r="R1315" s="184">
        <v>17553</v>
      </c>
      <c r="S1315">
        <v>76</v>
      </c>
      <c r="U1315" t="s">
        <v>7130</v>
      </c>
      <c r="V1315" t="s">
        <v>3293</v>
      </c>
      <c r="X1315" t="s">
        <v>5640</v>
      </c>
      <c r="Z1315">
        <v>100037957</v>
      </c>
      <c r="AA1315" t="s">
        <v>7031</v>
      </c>
      <c r="AB1315" t="s">
        <v>2697</v>
      </c>
      <c r="AD1315" t="s">
        <v>5640</v>
      </c>
      <c r="AF1315" t="s">
        <v>14492</v>
      </c>
      <c r="AG1315" t="s">
        <v>14493</v>
      </c>
      <c r="AI1315" t="s">
        <v>14494</v>
      </c>
      <c r="AM1315" t="s">
        <v>3987</v>
      </c>
      <c r="AN1315" t="s">
        <v>2313</v>
      </c>
      <c r="AO1315" t="s">
        <v>14495</v>
      </c>
      <c r="AP1315" t="s">
        <v>7024</v>
      </c>
      <c r="AQ1315" t="s">
        <v>14496</v>
      </c>
      <c r="AT1315" s="184">
        <v>34200</v>
      </c>
      <c r="AU1315" t="s">
        <v>14497</v>
      </c>
      <c r="AV1315">
        <v>15</v>
      </c>
      <c r="AW1315" s="184">
        <v>45093</v>
      </c>
      <c r="AX1315" t="s">
        <v>14498</v>
      </c>
      <c r="AY1315">
        <v>50</v>
      </c>
      <c r="AZ1315" s="184">
        <v>42198</v>
      </c>
      <c r="BA1315" t="s">
        <v>7100</v>
      </c>
      <c r="BB1315">
        <v>25000</v>
      </c>
      <c r="BC1315">
        <v>94</v>
      </c>
      <c r="BD1315">
        <v>27220</v>
      </c>
      <c r="BE1315">
        <v>1994</v>
      </c>
      <c r="BF1315">
        <v>55</v>
      </c>
      <c r="BG1315">
        <v>2</v>
      </c>
      <c r="BH1315">
        <v>100</v>
      </c>
      <c r="BI1315">
        <v>30</v>
      </c>
      <c r="BJ1315">
        <v>32</v>
      </c>
      <c r="BK1315">
        <v>23</v>
      </c>
      <c r="BP1315" s="184"/>
    </row>
    <row r="1316" spans="1:68">
      <c r="A1316">
        <v>100037957</v>
      </c>
      <c r="B1316">
        <v>10129187</v>
      </c>
      <c r="C1316" t="s">
        <v>7018</v>
      </c>
      <c r="E1316" s="184"/>
      <c r="G1316" s="184"/>
      <c r="I1316" s="184"/>
      <c r="K1316" s="184"/>
      <c r="M1316" s="184"/>
      <c r="N1316" t="s">
        <v>595</v>
      </c>
      <c r="O1316" s="184">
        <v>42198</v>
      </c>
      <c r="P1316" t="s">
        <v>7045</v>
      </c>
      <c r="Q1316" t="s">
        <v>7383</v>
      </c>
      <c r="R1316" s="184">
        <v>17481</v>
      </c>
      <c r="S1316">
        <v>76</v>
      </c>
      <c r="U1316" t="s">
        <v>7031</v>
      </c>
      <c r="V1316" t="s">
        <v>2697</v>
      </c>
      <c r="X1316" t="s">
        <v>5640</v>
      </c>
      <c r="Z1316">
        <v>10129187</v>
      </c>
      <c r="AA1316" t="s">
        <v>7130</v>
      </c>
      <c r="AB1316" t="s">
        <v>3293</v>
      </c>
      <c r="AD1316" t="s">
        <v>5640</v>
      </c>
      <c r="AF1316" t="s">
        <v>14492</v>
      </c>
      <c r="AG1316" t="s">
        <v>14493</v>
      </c>
      <c r="AI1316" t="s">
        <v>14494</v>
      </c>
      <c r="AM1316" t="s">
        <v>3987</v>
      </c>
      <c r="AN1316" t="s">
        <v>2313</v>
      </c>
      <c r="AO1316" t="s">
        <v>14495</v>
      </c>
      <c r="AP1316" t="s">
        <v>7024</v>
      </c>
      <c r="AQ1316" t="s">
        <v>14499</v>
      </c>
      <c r="AT1316" s="184"/>
      <c r="AW1316" s="184"/>
      <c r="AZ1316" s="184"/>
      <c r="BP1316" s="184"/>
    </row>
    <row r="1317" spans="1:68">
      <c r="A1317">
        <v>10134609</v>
      </c>
      <c r="B1317">
        <v>10134609</v>
      </c>
      <c r="C1317" t="s">
        <v>7018</v>
      </c>
      <c r="E1317" s="184"/>
      <c r="G1317" s="184"/>
      <c r="K1317" s="184"/>
      <c r="N1317" t="s">
        <v>595</v>
      </c>
      <c r="O1317" s="184">
        <v>41537</v>
      </c>
      <c r="P1317" t="s">
        <v>7045</v>
      </c>
      <c r="Q1317" t="s">
        <v>7383</v>
      </c>
      <c r="R1317" s="184">
        <v>13885</v>
      </c>
      <c r="S1317">
        <v>86</v>
      </c>
      <c r="U1317" t="s">
        <v>7130</v>
      </c>
      <c r="V1317" t="s">
        <v>5249</v>
      </c>
      <c r="W1317" t="s">
        <v>7085</v>
      </c>
      <c r="X1317" t="s">
        <v>5627</v>
      </c>
      <c r="AF1317" t="s">
        <v>14500</v>
      </c>
      <c r="AG1317" t="s">
        <v>5249</v>
      </c>
      <c r="AI1317" t="s">
        <v>14501</v>
      </c>
      <c r="AM1317" t="s">
        <v>5628</v>
      </c>
      <c r="AN1317" t="s">
        <v>2064</v>
      </c>
      <c r="AO1317" t="s">
        <v>14502</v>
      </c>
      <c r="AP1317" t="s">
        <v>7024</v>
      </c>
      <c r="AT1317" s="184">
        <v>34200</v>
      </c>
      <c r="AU1317" t="s">
        <v>14497</v>
      </c>
      <c r="AV1317">
        <v>5</v>
      </c>
      <c r="AW1317" s="184">
        <v>45408</v>
      </c>
      <c r="AX1317" t="s">
        <v>8483</v>
      </c>
      <c r="AY1317">
        <v>15</v>
      </c>
      <c r="AZ1317" s="184">
        <v>41541</v>
      </c>
      <c r="BA1317" t="s">
        <v>7707</v>
      </c>
      <c r="BB1317">
        <v>25000</v>
      </c>
      <c r="BC1317">
        <v>100</v>
      </c>
      <c r="BD1317">
        <v>29948</v>
      </c>
      <c r="BE1317">
        <v>1994</v>
      </c>
      <c r="BF1317">
        <v>193</v>
      </c>
      <c r="BG1317">
        <v>24</v>
      </c>
      <c r="BH1317">
        <v>360</v>
      </c>
      <c r="BI1317">
        <v>32</v>
      </c>
      <c r="BJ1317">
        <v>32</v>
      </c>
      <c r="BK1317">
        <v>32</v>
      </c>
      <c r="BP1317" s="184"/>
    </row>
    <row r="1318" spans="1:68">
      <c r="A1318">
        <v>10136026</v>
      </c>
      <c r="B1318">
        <v>10136026</v>
      </c>
      <c r="C1318" t="s">
        <v>7018</v>
      </c>
      <c r="D1318" t="s">
        <v>595</v>
      </c>
      <c r="E1318" s="184">
        <v>44073</v>
      </c>
      <c r="G1318" s="184"/>
      <c r="K1318" s="184"/>
      <c r="O1318" s="184"/>
      <c r="P1318" t="s">
        <v>7045</v>
      </c>
      <c r="Q1318" t="s">
        <v>7383</v>
      </c>
      <c r="R1318" s="184">
        <v>18488</v>
      </c>
      <c r="S1318">
        <v>73</v>
      </c>
      <c r="U1318" t="s">
        <v>7076</v>
      </c>
      <c r="V1318" t="s">
        <v>3223</v>
      </c>
      <c r="X1318" t="s">
        <v>14503</v>
      </c>
      <c r="AF1318" t="s">
        <v>14504</v>
      </c>
      <c r="AG1318" t="s">
        <v>3223</v>
      </c>
      <c r="AI1318" t="s">
        <v>14505</v>
      </c>
      <c r="AM1318" t="s">
        <v>14506</v>
      </c>
      <c r="AN1318" t="s">
        <v>2274</v>
      </c>
      <c r="AO1318" t="s">
        <v>14507</v>
      </c>
      <c r="AP1318" t="s">
        <v>7024</v>
      </c>
      <c r="AT1318" s="184">
        <v>34200</v>
      </c>
      <c r="AU1318" t="s">
        <v>14508</v>
      </c>
      <c r="AV1318">
        <v>25</v>
      </c>
      <c r="AW1318" s="184">
        <v>45378</v>
      </c>
      <c r="AX1318" t="s">
        <v>9421</v>
      </c>
      <c r="AY1318">
        <v>25</v>
      </c>
      <c r="AZ1318" s="184">
        <v>45378</v>
      </c>
      <c r="BA1318" t="s">
        <v>9421</v>
      </c>
      <c r="BB1318">
        <v>25</v>
      </c>
      <c r="BC1318">
        <v>85</v>
      </c>
      <c r="BD1318">
        <v>740</v>
      </c>
      <c r="BE1318">
        <v>1994</v>
      </c>
      <c r="BF1318">
        <v>30</v>
      </c>
      <c r="BG1318">
        <v>3</v>
      </c>
      <c r="BH1318">
        <v>75</v>
      </c>
      <c r="BI1318">
        <v>27</v>
      </c>
      <c r="BJ1318">
        <v>32</v>
      </c>
      <c r="BK1318">
        <v>19</v>
      </c>
      <c r="BP1318" s="184"/>
    </row>
    <row r="1319" spans="1:68">
      <c r="A1319">
        <v>10136448</v>
      </c>
      <c r="B1319">
        <v>10136448</v>
      </c>
      <c r="C1319" t="s">
        <v>7018</v>
      </c>
      <c r="D1319" t="s">
        <v>595</v>
      </c>
      <c r="E1319" s="184">
        <v>43682</v>
      </c>
      <c r="G1319" s="184"/>
      <c r="K1319" s="184"/>
      <c r="O1319" s="184"/>
      <c r="P1319" t="s">
        <v>7045</v>
      </c>
      <c r="Q1319" t="s">
        <v>7383</v>
      </c>
      <c r="R1319" s="184">
        <v>19937</v>
      </c>
      <c r="S1319">
        <v>69</v>
      </c>
      <c r="U1319" t="s">
        <v>7031</v>
      </c>
      <c r="V1319" t="s">
        <v>3692</v>
      </c>
      <c r="X1319" t="s">
        <v>3693</v>
      </c>
      <c r="AF1319" t="s">
        <v>14509</v>
      </c>
      <c r="AG1319" t="s">
        <v>3692</v>
      </c>
      <c r="AI1319" t="s">
        <v>14510</v>
      </c>
      <c r="AM1319" t="s">
        <v>3694</v>
      </c>
      <c r="AN1319" t="s">
        <v>2313</v>
      </c>
      <c r="AO1319" t="s">
        <v>14511</v>
      </c>
      <c r="AP1319" t="s">
        <v>7024</v>
      </c>
      <c r="AQ1319" t="s">
        <v>14512</v>
      </c>
      <c r="AT1319" s="184">
        <v>34200</v>
      </c>
      <c r="AU1319" t="s">
        <v>14513</v>
      </c>
      <c r="AV1319">
        <v>25</v>
      </c>
      <c r="AW1319" s="184">
        <v>43431</v>
      </c>
      <c r="AX1319" t="s">
        <v>14514</v>
      </c>
      <c r="AY1319">
        <v>100</v>
      </c>
      <c r="AZ1319" s="184">
        <v>41974</v>
      </c>
      <c r="BA1319" t="s">
        <v>14515</v>
      </c>
      <c r="BB1319">
        <v>200</v>
      </c>
      <c r="BC1319">
        <v>41</v>
      </c>
      <c r="BD1319">
        <v>1265</v>
      </c>
      <c r="BE1319">
        <v>1994</v>
      </c>
      <c r="BF1319">
        <v>18</v>
      </c>
      <c r="BI1319">
        <v>13</v>
      </c>
      <c r="BJ1319">
        <v>32</v>
      </c>
      <c r="BK1319">
        <v>8</v>
      </c>
      <c r="BP1319" s="184"/>
    </row>
    <row r="1320" spans="1:68">
      <c r="A1320">
        <v>10141331</v>
      </c>
      <c r="B1320">
        <v>10141331</v>
      </c>
      <c r="C1320" t="s">
        <v>7018</v>
      </c>
      <c r="E1320" s="184"/>
      <c r="F1320" t="s">
        <v>595</v>
      </c>
      <c r="G1320" s="184">
        <v>44104</v>
      </c>
      <c r="I1320" s="184"/>
      <c r="K1320" s="184"/>
      <c r="M1320" s="184"/>
      <c r="O1320" s="184"/>
      <c r="P1320" t="s">
        <v>7045</v>
      </c>
      <c r="Q1320" t="s">
        <v>7383</v>
      </c>
      <c r="R1320" s="184">
        <v>9192</v>
      </c>
      <c r="S1320">
        <v>99</v>
      </c>
      <c r="U1320" t="s">
        <v>14516</v>
      </c>
      <c r="V1320" t="s">
        <v>7588</v>
      </c>
      <c r="W1320" t="s">
        <v>3360</v>
      </c>
      <c r="X1320" t="s">
        <v>14517</v>
      </c>
      <c r="AF1320" t="s">
        <v>14518</v>
      </c>
      <c r="AG1320" t="s">
        <v>14519</v>
      </c>
      <c r="AI1320" t="s">
        <v>14520</v>
      </c>
      <c r="AM1320" t="s">
        <v>14521</v>
      </c>
      <c r="AN1320" t="s">
        <v>2059</v>
      </c>
      <c r="AO1320" t="s">
        <v>14522</v>
      </c>
      <c r="AP1320" t="s">
        <v>7024</v>
      </c>
      <c r="AT1320" s="184">
        <v>34204</v>
      </c>
      <c r="AU1320" t="s">
        <v>14523</v>
      </c>
      <c r="AV1320">
        <v>15</v>
      </c>
      <c r="AW1320" s="184">
        <v>43672</v>
      </c>
      <c r="AX1320" t="s">
        <v>14524</v>
      </c>
      <c r="AY1320">
        <v>15</v>
      </c>
      <c r="AZ1320" s="184">
        <v>41381</v>
      </c>
      <c r="BA1320" t="s">
        <v>14525</v>
      </c>
      <c r="BB1320">
        <v>60</v>
      </c>
      <c r="BC1320">
        <v>63</v>
      </c>
      <c r="BD1320">
        <v>608</v>
      </c>
      <c r="BE1320">
        <v>1994</v>
      </c>
      <c r="BF1320">
        <v>29</v>
      </c>
      <c r="BI1320">
        <v>20</v>
      </c>
      <c r="BJ1320">
        <v>32</v>
      </c>
      <c r="BK1320">
        <v>8</v>
      </c>
      <c r="BP1320" s="184"/>
    </row>
    <row r="1321" spans="1:68">
      <c r="A1321">
        <v>10155208</v>
      </c>
      <c r="B1321">
        <v>10155208</v>
      </c>
      <c r="C1321" t="s">
        <v>7018</v>
      </c>
      <c r="D1321" t="s">
        <v>595</v>
      </c>
      <c r="E1321" s="184">
        <v>44438</v>
      </c>
      <c r="G1321" s="184"/>
      <c r="I1321" s="184"/>
      <c r="K1321" s="184"/>
      <c r="O1321" s="184"/>
      <c r="P1321" t="s">
        <v>7045</v>
      </c>
      <c r="Q1321" t="s">
        <v>7383</v>
      </c>
      <c r="R1321" s="184">
        <v>19176</v>
      </c>
      <c r="S1321">
        <v>71</v>
      </c>
      <c r="U1321" t="s">
        <v>7031</v>
      </c>
      <c r="V1321" t="s">
        <v>2622</v>
      </c>
      <c r="X1321" t="s">
        <v>2623</v>
      </c>
      <c r="Z1321">
        <v>100038038</v>
      </c>
      <c r="AA1321" t="s">
        <v>7076</v>
      </c>
      <c r="AB1321" t="s">
        <v>3147</v>
      </c>
      <c r="AC1321" t="s">
        <v>14526</v>
      </c>
      <c r="AD1321" t="s">
        <v>14527</v>
      </c>
      <c r="AF1321" t="s">
        <v>14528</v>
      </c>
      <c r="AG1321" t="s">
        <v>14529</v>
      </c>
      <c r="AI1321" t="s">
        <v>14530</v>
      </c>
      <c r="AM1321" t="s">
        <v>2624</v>
      </c>
      <c r="AN1321" t="s">
        <v>2274</v>
      </c>
      <c r="AO1321" t="s">
        <v>14531</v>
      </c>
      <c r="AP1321" t="s">
        <v>7024</v>
      </c>
      <c r="AQ1321" t="s">
        <v>14532</v>
      </c>
      <c r="AT1321" s="184">
        <v>34155</v>
      </c>
      <c r="AU1321" t="s">
        <v>14029</v>
      </c>
      <c r="AV1321">
        <v>15</v>
      </c>
      <c r="AW1321" s="184">
        <v>45411</v>
      </c>
      <c r="AX1321" t="s">
        <v>11616</v>
      </c>
      <c r="AY1321">
        <v>50</v>
      </c>
      <c r="AZ1321" s="184">
        <v>37425</v>
      </c>
      <c r="BA1321" t="s">
        <v>14533</v>
      </c>
      <c r="BB1321">
        <v>65</v>
      </c>
      <c r="BC1321">
        <v>50</v>
      </c>
      <c r="BD1321">
        <v>705</v>
      </c>
      <c r="BE1321">
        <v>1994</v>
      </c>
      <c r="BF1321">
        <v>17</v>
      </c>
      <c r="BG1321">
        <v>3</v>
      </c>
      <c r="BH1321">
        <v>150</v>
      </c>
      <c r="BI1321">
        <v>16</v>
      </c>
      <c r="BJ1321">
        <v>32</v>
      </c>
      <c r="BK1321">
        <v>6</v>
      </c>
      <c r="BP1321" s="184"/>
    </row>
    <row r="1322" spans="1:68">
      <c r="A1322">
        <v>100038038</v>
      </c>
      <c r="B1322">
        <v>10155208</v>
      </c>
      <c r="C1322" t="s">
        <v>7018</v>
      </c>
      <c r="D1322" t="s">
        <v>595</v>
      </c>
      <c r="E1322" s="184">
        <v>44438</v>
      </c>
      <c r="G1322" s="184"/>
      <c r="I1322" s="184"/>
      <c r="K1322" s="184"/>
      <c r="M1322" s="184"/>
      <c r="O1322" s="184"/>
      <c r="P1322" t="s">
        <v>7045</v>
      </c>
      <c r="Q1322" t="s">
        <v>7383</v>
      </c>
      <c r="R1322" s="184">
        <v>19176</v>
      </c>
      <c r="S1322">
        <v>71</v>
      </c>
      <c r="U1322" t="s">
        <v>7076</v>
      </c>
      <c r="V1322" t="s">
        <v>3147</v>
      </c>
      <c r="W1322" t="s">
        <v>14526</v>
      </c>
      <c r="X1322" t="s">
        <v>14527</v>
      </c>
      <c r="Z1322">
        <v>10155208</v>
      </c>
      <c r="AA1322" t="s">
        <v>7031</v>
      </c>
      <c r="AB1322" t="s">
        <v>2622</v>
      </c>
      <c r="AD1322" t="s">
        <v>2623</v>
      </c>
      <c r="AF1322" t="s">
        <v>14528</v>
      </c>
      <c r="AG1322" t="s">
        <v>14529</v>
      </c>
      <c r="AI1322" t="s">
        <v>14530</v>
      </c>
      <c r="AM1322" t="s">
        <v>2624</v>
      </c>
      <c r="AN1322" t="s">
        <v>2274</v>
      </c>
      <c r="AO1322" t="s">
        <v>14531</v>
      </c>
      <c r="AP1322" t="s">
        <v>7024</v>
      </c>
      <c r="AT1322" s="184"/>
      <c r="AW1322" s="184"/>
      <c r="AZ1322" s="184"/>
    </row>
    <row r="1323" spans="1:68">
      <c r="A1323">
        <v>10162378</v>
      </c>
      <c r="B1323">
        <v>10162378</v>
      </c>
      <c r="C1323" t="s">
        <v>7018</v>
      </c>
      <c r="D1323" t="s">
        <v>595</v>
      </c>
      <c r="E1323" s="184">
        <v>44068</v>
      </c>
      <c r="G1323" s="184"/>
      <c r="I1323" s="184"/>
      <c r="K1323" s="184"/>
      <c r="O1323" s="184"/>
      <c r="P1323" t="s">
        <v>7045</v>
      </c>
      <c r="Q1323" t="s">
        <v>7454</v>
      </c>
      <c r="R1323" s="184">
        <v>18994</v>
      </c>
      <c r="S1323">
        <v>72</v>
      </c>
      <c r="U1323" t="s">
        <v>7076</v>
      </c>
      <c r="V1323" t="s">
        <v>4916</v>
      </c>
      <c r="X1323" t="s">
        <v>14534</v>
      </c>
      <c r="AF1323" t="s">
        <v>14535</v>
      </c>
      <c r="AG1323" t="s">
        <v>4916</v>
      </c>
      <c r="AI1323" t="s">
        <v>14536</v>
      </c>
      <c r="AM1323" t="s">
        <v>5009</v>
      </c>
      <c r="AN1323" t="s">
        <v>2055</v>
      </c>
      <c r="AO1323" t="s">
        <v>14537</v>
      </c>
      <c r="AP1323" t="s">
        <v>7024</v>
      </c>
      <c r="AQ1323" t="s">
        <v>14538</v>
      </c>
      <c r="AT1323" s="184">
        <v>34206</v>
      </c>
      <c r="AU1323" t="s">
        <v>14539</v>
      </c>
      <c r="AV1323">
        <v>15</v>
      </c>
      <c r="AW1323" s="184">
        <v>45035</v>
      </c>
      <c r="AX1323" t="s">
        <v>14540</v>
      </c>
      <c r="AY1323">
        <v>35</v>
      </c>
      <c r="AZ1323" s="184">
        <v>45035</v>
      </c>
      <c r="BA1323" t="s">
        <v>14540</v>
      </c>
      <c r="BB1323">
        <v>35</v>
      </c>
      <c r="BC1323">
        <v>50</v>
      </c>
      <c r="BD1323">
        <v>549</v>
      </c>
      <c r="BE1323">
        <v>1994</v>
      </c>
      <c r="BF1323">
        <v>23</v>
      </c>
      <c r="BG1323">
        <v>1</v>
      </c>
      <c r="BH1323">
        <v>35</v>
      </c>
      <c r="BI1323">
        <v>16</v>
      </c>
      <c r="BJ1323">
        <v>32</v>
      </c>
      <c r="BK1323">
        <v>9</v>
      </c>
      <c r="BP1323" s="184"/>
    </row>
    <row r="1324" spans="1:68">
      <c r="A1324">
        <v>10166593</v>
      </c>
      <c r="B1324">
        <v>10166593</v>
      </c>
      <c r="C1324" t="s">
        <v>7018</v>
      </c>
      <c r="D1324" t="s">
        <v>595</v>
      </c>
      <c r="E1324" s="184">
        <v>43636</v>
      </c>
      <c r="G1324" s="184"/>
      <c r="I1324" s="184"/>
      <c r="K1324" s="184"/>
      <c r="O1324" s="184"/>
      <c r="P1324" t="s">
        <v>7019</v>
      </c>
      <c r="Q1324" t="s">
        <v>7383</v>
      </c>
      <c r="R1324" s="184">
        <v>19146</v>
      </c>
      <c r="S1324">
        <v>71</v>
      </c>
      <c r="T1324" t="s">
        <v>2536</v>
      </c>
      <c r="U1324" t="s">
        <v>7031</v>
      </c>
      <c r="V1324" t="s">
        <v>2961</v>
      </c>
      <c r="W1324" t="s">
        <v>3332</v>
      </c>
      <c r="X1324" t="s">
        <v>2962</v>
      </c>
      <c r="AF1324" t="s">
        <v>14541</v>
      </c>
      <c r="AG1324" t="s">
        <v>2961</v>
      </c>
      <c r="AI1324" t="s">
        <v>14542</v>
      </c>
      <c r="AM1324" t="s">
        <v>2888</v>
      </c>
      <c r="AN1324" t="s">
        <v>2274</v>
      </c>
      <c r="AO1324" t="s">
        <v>14543</v>
      </c>
      <c r="AP1324" t="s">
        <v>7024</v>
      </c>
      <c r="AQ1324" t="s">
        <v>14544</v>
      </c>
      <c r="AR1324" t="s">
        <v>14545</v>
      </c>
      <c r="AT1324" s="184">
        <v>34207</v>
      </c>
      <c r="AU1324" t="s">
        <v>14546</v>
      </c>
      <c r="AV1324">
        <v>25</v>
      </c>
      <c r="AW1324" s="184">
        <v>43863</v>
      </c>
      <c r="AX1324" t="s">
        <v>14547</v>
      </c>
      <c r="AY1324">
        <v>50</v>
      </c>
      <c r="AZ1324" s="184">
        <v>40617</v>
      </c>
      <c r="BA1324" t="s">
        <v>14548</v>
      </c>
      <c r="BB1324">
        <v>100</v>
      </c>
      <c r="BC1324">
        <v>60</v>
      </c>
      <c r="BD1324">
        <v>1574</v>
      </c>
      <c r="BE1324">
        <v>1994</v>
      </c>
      <c r="BF1324">
        <v>41</v>
      </c>
      <c r="BI1324">
        <v>19</v>
      </c>
      <c r="BJ1324">
        <v>32</v>
      </c>
      <c r="BK1324">
        <v>6</v>
      </c>
      <c r="BP1324" s="184"/>
    </row>
    <row r="1325" spans="1:68">
      <c r="A1325">
        <v>10169472</v>
      </c>
      <c r="B1325">
        <v>10169472</v>
      </c>
      <c r="C1325" t="s">
        <v>7018</v>
      </c>
      <c r="E1325" s="184"/>
      <c r="G1325" s="184"/>
      <c r="I1325" s="184"/>
      <c r="J1325" t="s">
        <v>595</v>
      </c>
      <c r="K1325" s="184">
        <v>39240</v>
      </c>
      <c r="O1325" s="184"/>
      <c r="P1325" t="s">
        <v>7045</v>
      </c>
      <c r="Q1325" t="s">
        <v>7194</v>
      </c>
      <c r="R1325" s="184">
        <v>13045</v>
      </c>
      <c r="S1325">
        <v>88</v>
      </c>
      <c r="U1325" t="s">
        <v>7032</v>
      </c>
      <c r="V1325" t="s">
        <v>3951</v>
      </c>
      <c r="W1325" t="s">
        <v>3951</v>
      </c>
      <c r="X1325" t="s">
        <v>14549</v>
      </c>
      <c r="AF1325" t="s">
        <v>6679</v>
      </c>
      <c r="AG1325" t="s">
        <v>14550</v>
      </c>
      <c r="AI1325" t="s">
        <v>14551</v>
      </c>
      <c r="AM1325" t="s">
        <v>4266</v>
      </c>
      <c r="AN1325" t="s">
        <v>2046</v>
      </c>
      <c r="AO1325" t="s">
        <v>14552</v>
      </c>
      <c r="AP1325" t="s">
        <v>7024</v>
      </c>
      <c r="AT1325" s="184">
        <v>34207</v>
      </c>
      <c r="AU1325" t="s">
        <v>14553</v>
      </c>
      <c r="AV1325">
        <v>15</v>
      </c>
      <c r="AW1325" s="184">
        <v>39517</v>
      </c>
      <c r="AX1325" t="s">
        <v>14554</v>
      </c>
      <c r="AY1325">
        <v>15</v>
      </c>
      <c r="AZ1325" s="184">
        <v>36056</v>
      </c>
      <c r="BA1325" t="s">
        <v>14555</v>
      </c>
      <c r="BB1325">
        <v>25</v>
      </c>
      <c r="BC1325">
        <v>22</v>
      </c>
      <c r="BD1325">
        <v>160</v>
      </c>
      <c r="BE1325">
        <v>1994</v>
      </c>
      <c r="BF1325">
        <v>11</v>
      </c>
      <c r="BI1325">
        <v>7</v>
      </c>
      <c r="BJ1325">
        <v>32</v>
      </c>
      <c r="BK1325">
        <v>2</v>
      </c>
      <c r="BP1325" s="184"/>
    </row>
    <row r="1326" spans="1:68">
      <c r="A1326">
        <v>10169720</v>
      </c>
      <c r="B1326">
        <v>10169720</v>
      </c>
      <c r="C1326" t="s">
        <v>7018</v>
      </c>
      <c r="E1326" s="184"/>
      <c r="F1326" t="s">
        <v>595</v>
      </c>
      <c r="G1326" s="184">
        <v>43731</v>
      </c>
      <c r="I1326" s="184"/>
      <c r="K1326" s="184"/>
      <c r="O1326" s="184"/>
      <c r="P1326" t="s">
        <v>7045</v>
      </c>
      <c r="Q1326" t="s">
        <v>7160</v>
      </c>
      <c r="R1326" s="184">
        <v>18019</v>
      </c>
      <c r="S1326">
        <v>75</v>
      </c>
      <c r="U1326" t="s">
        <v>7031</v>
      </c>
      <c r="V1326" t="s">
        <v>3940</v>
      </c>
      <c r="W1326" t="s">
        <v>7963</v>
      </c>
      <c r="X1326" t="s">
        <v>3941</v>
      </c>
      <c r="AF1326" t="s">
        <v>14556</v>
      </c>
      <c r="AG1326" t="s">
        <v>3940</v>
      </c>
      <c r="AI1326" t="s">
        <v>14557</v>
      </c>
      <c r="AM1326" t="s">
        <v>3526</v>
      </c>
      <c r="AN1326" t="s">
        <v>2446</v>
      </c>
      <c r="AO1326" t="s">
        <v>14558</v>
      </c>
      <c r="AP1326" t="s">
        <v>7024</v>
      </c>
      <c r="AQ1326" t="s">
        <v>14559</v>
      </c>
      <c r="AT1326" s="184">
        <v>34206</v>
      </c>
      <c r="AU1326" t="s">
        <v>14560</v>
      </c>
      <c r="AV1326">
        <v>50</v>
      </c>
      <c r="AW1326" s="184">
        <v>45331</v>
      </c>
      <c r="AX1326" t="s">
        <v>10606</v>
      </c>
      <c r="AY1326">
        <v>150</v>
      </c>
      <c r="AZ1326" s="184">
        <v>44099</v>
      </c>
      <c r="BA1326" t="s">
        <v>14561</v>
      </c>
      <c r="BB1326">
        <v>1000</v>
      </c>
      <c r="BC1326">
        <v>94</v>
      </c>
      <c r="BD1326">
        <v>13528</v>
      </c>
      <c r="BE1326">
        <v>1994</v>
      </c>
      <c r="BF1326">
        <v>58</v>
      </c>
      <c r="BG1326">
        <v>5</v>
      </c>
      <c r="BH1326">
        <v>700</v>
      </c>
      <c r="BI1326">
        <v>30</v>
      </c>
      <c r="BJ1326">
        <v>32</v>
      </c>
      <c r="BK1326">
        <v>19</v>
      </c>
      <c r="BP1326" s="184"/>
    </row>
    <row r="1327" spans="1:68">
      <c r="A1327">
        <v>10172955</v>
      </c>
      <c r="B1327">
        <v>10172955</v>
      </c>
      <c r="C1327" t="s">
        <v>7018</v>
      </c>
      <c r="E1327" s="184"/>
      <c r="G1327" s="184"/>
      <c r="I1327" s="184"/>
      <c r="K1327" s="184"/>
      <c r="N1327" t="s">
        <v>595</v>
      </c>
      <c r="O1327" s="184">
        <v>38772</v>
      </c>
      <c r="P1327" t="s">
        <v>7045</v>
      </c>
      <c r="Q1327" t="s">
        <v>7383</v>
      </c>
      <c r="R1327" s="184">
        <v>7090</v>
      </c>
      <c r="S1327">
        <v>104</v>
      </c>
      <c r="U1327" t="s">
        <v>7130</v>
      </c>
      <c r="V1327" t="s">
        <v>7341</v>
      </c>
      <c r="W1327" t="s">
        <v>2049</v>
      </c>
      <c r="X1327" t="s">
        <v>14562</v>
      </c>
      <c r="Z1327">
        <v>100180518</v>
      </c>
      <c r="AA1327" t="s">
        <v>7031</v>
      </c>
      <c r="AB1327" t="s">
        <v>3061</v>
      </c>
      <c r="AC1327" t="s">
        <v>7560</v>
      </c>
      <c r="AD1327" t="s">
        <v>14562</v>
      </c>
      <c r="AF1327" t="s">
        <v>5979</v>
      </c>
      <c r="AG1327" t="s">
        <v>7341</v>
      </c>
      <c r="AI1327" t="s">
        <v>14563</v>
      </c>
      <c r="AM1327" t="s">
        <v>14564</v>
      </c>
      <c r="AN1327" t="s">
        <v>2059</v>
      </c>
      <c r="AO1327" t="s">
        <v>14565</v>
      </c>
      <c r="AP1327" t="s">
        <v>7024</v>
      </c>
      <c r="AT1327" s="184">
        <v>34208</v>
      </c>
      <c r="AU1327" t="s">
        <v>14566</v>
      </c>
      <c r="AV1327">
        <v>15</v>
      </c>
      <c r="AW1327" s="184">
        <v>39373</v>
      </c>
      <c r="AX1327" t="s">
        <v>14567</v>
      </c>
      <c r="AY1327">
        <v>25</v>
      </c>
      <c r="AZ1327" s="184">
        <v>38772</v>
      </c>
      <c r="BA1327" t="s">
        <v>8406</v>
      </c>
      <c r="BB1327">
        <v>12000</v>
      </c>
      <c r="BC1327">
        <v>47</v>
      </c>
      <c r="BD1327">
        <v>12245</v>
      </c>
      <c r="BE1327">
        <v>1994</v>
      </c>
      <c r="BF1327">
        <v>18</v>
      </c>
      <c r="BI1327">
        <v>15</v>
      </c>
      <c r="BJ1327">
        <v>32</v>
      </c>
      <c r="BK1327">
        <v>15</v>
      </c>
      <c r="BM1327" t="s">
        <v>595</v>
      </c>
      <c r="BO1327" t="s">
        <v>595</v>
      </c>
      <c r="BP1327" s="184"/>
    </row>
    <row r="1328" spans="1:68">
      <c r="A1328">
        <v>100180518</v>
      </c>
      <c r="B1328">
        <v>10172955</v>
      </c>
      <c r="C1328" t="s">
        <v>7018</v>
      </c>
      <c r="E1328" s="184"/>
      <c r="G1328" s="184"/>
      <c r="I1328" s="184"/>
      <c r="K1328" s="184"/>
      <c r="N1328" t="s">
        <v>595</v>
      </c>
      <c r="O1328" s="184">
        <v>38772</v>
      </c>
      <c r="P1328" t="s">
        <v>7045</v>
      </c>
      <c r="Q1328" t="s">
        <v>7383</v>
      </c>
      <c r="R1328" s="184">
        <v>7090</v>
      </c>
      <c r="S1328">
        <v>104</v>
      </c>
      <c r="U1328" t="s">
        <v>7031</v>
      </c>
      <c r="V1328" t="s">
        <v>3061</v>
      </c>
      <c r="W1328" t="s">
        <v>7560</v>
      </c>
      <c r="X1328" t="s">
        <v>14562</v>
      </c>
      <c r="Z1328">
        <v>10172955</v>
      </c>
      <c r="AA1328" t="s">
        <v>7130</v>
      </c>
      <c r="AB1328" t="s">
        <v>7341</v>
      </c>
      <c r="AC1328" t="s">
        <v>2049</v>
      </c>
      <c r="AD1328" t="s">
        <v>14562</v>
      </c>
      <c r="AF1328" t="s">
        <v>5979</v>
      </c>
      <c r="AG1328" t="s">
        <v>7341</v>
      </c>
      <c r="AI1328" t="s">
        <v>14563</v>
      </c>
      <c r="AM1328" t="s">
        <v>14564</v>
      </c>
      <c r="AN1328" t="s">
        <v>2059</v>
      </c>
      <c r="AO1328" t="s">
        <v>14565</v>
      </c>
      <c r="AP1328" t="s">
        <v>7024</v>
      </c>
      <c r="AT1328" s="184"/>
      <c r="AW1328" s="184"/>
      <c r="AZ1328" s="184"/>
      <c r="BO1328" t="s">
        <v>595</v>
      </c>
      <c r="BP1328" s="184">
        <v>41536</v>
      </c>
    </row>
    <row r="1329" spans="1:68">
      <c r="A1329">
        <v>10176741</v>
      </c>
      <c r="B1329">
        <v>10176741</v>
      </c>
      <c r="C1329" t="s">
        <v>7018</v>
      </c>
      <c r="E1329" s="184"/>
      <c r="G1329" s="184"/>
      <c r="I1329" s="184"/>
      <c r="J1329" t="s">
        <v>595</v>
      </c>
      <c r="K1329" s="184">
        <v>39535</v>
      </c>
      <c r="O1329" s="184"/>
      <c r="P1329" t="s">
        <v>7045</v>
      </c>
      <c r="Q1329" t="s">
        <v>7383</v>
      </c>
      <c r="R1329" s="184">
        <v>7960</v>
      </c>
      <c r="S1329">
        <v>102</v>
      </c>
      <c r="V1329" t="s">
        <v>2541</v>
      </c>
      <c r="X1329" t="s">
        <v>14568</v>
      </c>
      <c r="Z1329">
        <v>100038109</v>
      </c>
      <c r="AB1329" t="s">
        <v>2918</v>
      </c>
      <c r="AD1329" t="s">
        <v>14568</v>
      </c>
      <c r="AF1329" t="s">
        <v>6548</v>
      </c>
      <c r="AG1329" t="s">
        <v>14569</v>
      </c>
      <c r="AI1329" t="s">
        <v>14570</v>
      </c>
      <c r="AM1329" t="s">
        <v>4528</v>
      </c>
      <c r="AN1329" t="s">
        <v>2139</v>
      </c>
      <c r="AO1329" t="s">
        <v>14571</v>
      </c>
      <c r="AP1329" t="s">
        <v>7024</v>
      </c>
      <c r="AQ1329" t="s">
        <v>14572</v>
      </c>
      <c r="AT1329" s="184">
        <v>34211</v>
      </c>
      <c r="AU1329" t="s">
        <v>14573</v>
      </c>
      <c r="AV1329">
        <v>15</v>
      </c>
      <c r="AW1329" s="184">
        <v>40231</v>
      </c>
      <c r="AX1329" t="s">
        <v>14574</v>
      </c>
      <c r="AY1329">
        <v>25</v>
      </c>
      <c r="AZ1329" s="184">
        <v>40231</v>
      </c>
      <c r="BA1329" t="s">
        <v>14574</v>
      </c>
      <c r="BB1329">
        <v>25</v>
      </c>
      <c r="BC1329">
        <v>57</v>
      </c>
      <c r="BD1329">
        <v>640</v>
      </c>
      <c r="BE1329">
        <v>1994</v>
      </c>
      <c r="BF1329">
        <v>26</v>
      </c>
      <c r="BI1329">
        <v>18</v>
      </c>
      <c r="BJ1329">
        <v>32</v>
      </c>
      <c r="BK1329">
        <v>18</v>
      </c>
      <c r="BN1329" t="s">
        <v>595</v>
      </c>
      <c r="BO1329" t="s">
        <v>595</v>
      </c>
      <c r="BP1329" s="184"/>
    </row>
    <row r="1330" spans="1:68">
      <c r="A1330">
        <v>100038109</v>
      </c>
      <c r="B1330">
        <v>10176741</v>
      </c>
      <c r="C1330" t="s">
        <v>7018</v>
      </c>
      <c r="E1330" s="184"/>
      <c r="G1330" s="184"/>
      <c r="I1330" s="184"/>
      <c r="J1330" t="s">
        <v>595</v>
      </c>
      <c r="K1330" s="184">
        <v>39535</v>
      </c>
      <c r="M1330" s="184"/>
      <c r="O1330" s="184"/>
      <c r="P1330" t="s">
        <v>7045</v>
      </c>
      <c r="Q1330" t="s">
        <v>7383</v>
      </c>
      <c r="R1330" s="184"/>
      <c r="V1330" t="s">
        <v>2918</v>
      </c>
      <c r="X1330" t="s">
        <v>14568</v>
      </c>
      <c r="Z1330">
        <v>10176741</v>
      </c>
      <c r="AB1330" t="s">
        <v>2541</v>
      </c>
      <c r="AD1330" t="s">
        <v>14568</v>
      </c>
      <c r="AF1330" t="s">
        <v>6548</v>
      </c>
      <c r="AG1330" t="s">
        <v>14569</v>
      </c>
      <c r="AI1330" t="s">
        <v>14570</v>
      </c>
      <c r="AM1330" t="s">
        <v>4528</v>
      </c>
      <c r="AN1330" t="s">
        <v>2139</v>
      </c>
      <c r="AO1330" t="s">
        <v>14571</v>
      </c>
      <c r="AP1330" t="s">
        <v>7024</v>
      </c>
      <c r="AT1330" s="184"/>
      <c r="AW1330" s="184"/>
      <c r="AZ1330" s="184"/>
      <c r="BO1330" t="s">
        <v>595</v>
      </c>
    </row>
    <row r="1331" spans="1:68">
      <c r="A1331">
        <v>10177830</v>
      </c>
      <c r="B1331">
        <v>10177830</v>
      </c>
      <c r="C1331" t="s">
        <v>7018</v>
      </c>
      <c r="D1331" t="s">
        <v>595</v>
      </c>
      <c r="E1331" s="184">
        <v>44167</v>
      </c>
      <c r="G1331" s="184"/>
      <c r="I1331" s="184"/>
      <c r="K1331" s="184"/>
      <c r="O1331" s="184"/>
      <c r="P1331" t="s">
        <v>7045</v>
      </c>
      <c r="Q1331" t="s">
        <v>7160</v>
      </c>
      <c r="R1331" s="184">
        <v>20090</v>
      </c>
      <c r="S1331">
        <v>69</v>
      </c>
      <c r="U1331" t="s">
        <v>7076</v>
      </c>
      <c r="V1331" t="s">
        <v>3317</v>
      </c>
      <c r="W1331" t="s">
        <v>3951</v>
      </c>
      <c r="X1331" t="s">
        <v>9758</v>
      </c>
      <c r="AF1331" t="s">
        <v>14575</v>
      </c>
      <c r="AG1331" t="s">
        <v>3317</v>
      </c>
      <c r="AI1331" t="s">
        <v>14576</v>
      </c>
      <c r="AM1331" t="s">
        <v>4359</v>
      </c>
      <c r="AN1331" t="s">
        <v>2203</v>
      </c>
      <c r="AO1331" t="s">
        <v>14577</v>
      </c>
      <c r="AP1331" t="s">
        <v>7024</v>
      </c>
      <c r="AQ1331" t="s">
        <v>14578</v>
      </c>
      <c r="AT1331" s="184">
        <v>34211</v>
      </c>
      <c r="AU1331" t="s">
        <v>14579</v>
      </c>
      <c r="AV1331">
        <v>25</v>
      </c>
      <c r="AW1331" s="184">
        <v>45310</v>
      </c>
      <c r="AX1331" t="s">
        <v>11811</v>
      </c>
      <c r="AY1331">
        <v>100</v>
      </c>
      <c r="AZ1331" s="184">
        <v>45310</v>
      </c>
      <c r="BA1331" t="s">
        <v>11811</v>
      </c>
      <c r="BB1331">
        <v>100</v>
      </c>
      <c r="BC1331">
        <v>79</v>
      </c>
      <c r="BD1331">
        <v>1257</v>
      </c>
      <c r="BE1331">
        <v>1994</v>
      </c>
      <c r="BF1331">
        <v>31</v>
      </c>
      <c r="BG1331">
        <v>2</v>
      </c>
      <c r="BH1331">
        <v>175</v>
      </c>
      <c r="BI1331">
        <v>25</v>
      </c>
      <c r="BJ1331">
        <v>32</v>
      </c>
      <c r="BK1331">
        <v>9</v>
      </c>
      <c r="BP1331" s="184"/>
    </row>
    <row r="1332" spans="1:68">
      <c r="A1332">
        <v>10201846</v>
      </c>
      <c r="B1332">
        <v>10201846</v>
      </c>
      <c r="C1332" t="s">
        <v>7018</v>
      </c>
      <c r="D1332" t="s">
        <v>595</v>
      </c>
      <c r="E1332" s="184">
        <v>44070</v>
      </c>
      <c r="G1332" s="184"/>
      <c r="I1332" s="184"/>
      <c r="K1332" s="184"/>
      <c r="M1332" s="184"/>
      <c r="O1332" s="184"/>
      <c r="P1332" t="s">
        <v>7045</v>
      </c>
      <c r="Q1332" t="s">
        <v>7030</v>
      </c>
      <c r="R1332" s="184">
        <v>18598</v>
      </c>
      <c r="S1332">
        <v>73</v>
      </c>
      <c r="V1332" t="s">
        <v>3463</v>
      </c>
      <c r="W1332" t="s">
        <v>4139</v>
      </c>
      <c r="X1332" t="s">
        <v>3427</v>
      </c>
      <c r="AF1332" t="s">
        <v>14580</v>
      </c>
      <c r="AG1332" t="s">
        <v>3463</v>
      </c>
      <c r="AI1332" t="s">
        <v>14581</v>
      </c>
      <c r="AM1332" t="s">
        <v>14582</v>
      </c>
      <c r="AN1332" t="s">
        <v>2094</v>
      </c>
      <c r="AO1332" t="s">
        <v>14583</v>
      </c>
      <c r="AP1332" t="s">
        <v>7024</v>
      </c>
      <c r="AQ1332" t="s">
        <v>14584</v>
      </c>
      <c r="AR1332" t="s">
        <v>14585</v>
      </c>
      <c r="AT1332" s="184">
        <v>34214</v>
      </c>
      <c r="AU1332" t="s">
        <v>14029</v>
      </c>
      <c r="AV1332">
        <v>19.95</v>
      </c>
      <c r="AW1332" s="184">
        <v>44518</v>
      </c>
      <c r="AX1332" t="s">
        <v>14586</v>
      </c>
      <c r="AY1332">
        <v>100</v>
      </c>
      <c r="AZ1332" s="184">
        <v>44518</v>
      </c>
      <c r="BA1332" t="s">
        <v>14586</v>
      </c>
      <c r="BB1332">
        <v>100</v>
      </c>
      <c r="BC1332">
        <v>79</v>
      </c>
      <c r="BD1332">
        <v>2294.9499999999998</v>
      </c>
      <c r="BE1332">
        <v>1994</v>
      </c>
      <c r="BF1332">
        <v>42</v>
      </c>
      <c r="BI1332">
        <v>25</v>
      </c>
      <c r="BJ1332">
        <v>32</v>
      </c>
      <c r="BK1332">
        <v>12</v>
      </c>
      <c r="BP1332" s="184"/>
    </row>
    <row r="1333" spans="1:68">
      <c r="A1333">
        <v>10208866</v>
      </c>
      <c r="B1333">
        <v>10208866</v>
      </c>
      <c r="C1333" t="s">
        <v>7018</v>
      </c>
      <c r="E1333" s="184"/>
      <c r="G1333" s="184"/>
      <c r="I1333" s="184"/>
      <c r="J1333" t="s">
        <v>595</v>
      </c>
      <c r="K1333" s="184">
        <v>41955</v>
      </c>
      <c r="M1333" s="184"/>
      <c r="O1333" s="184"/>
      <c r="P1333" t="s">
        <v>7045</v>
      </c>
      <c r="Q1333" t="s">
        <v>7262</v>
      </c>
      <c r="R1333" s="184">
        <v>18719</v>
      </c>
      <c r="S1333">
        <v>73</v>
      </c>
      <c r="U1333" t="s">
        <v>7031</v>
      </c>
      <c r="V1333" t="s">
        <v>3908</v>
      </c>
      <c r="X1333" t="s">
        <v>14587</v>
      </c>
      <c r="Z1333">
        <v>100038146</v>
      </c>
      <c r="AA1333" t="s">
        <v>7032</v>
      </c>
      <c r="AB1333" t="s">
        <v>14588</v>
      </c>
      <c r="AD1333" t="s">
        <v>14587</v>
      </c>
      <c r="AF1333" t="s">
        <v>6348</v>
      </c>
      <c r="AG1333" t="s">
        <v>14589</v>
      </c>
      <c r="AI1333" t="s">
        <v>14590</v>
      </c>
      <c r="AM1333" t="s">
        <v>14591</v>
      </c>
      <c r="AN1333" t="s">
        <v>2069</v>
      </c>
      <c r="AO1333" t="s">
        <v>14592</v>
      </c>
      <c r="AP1333" t="s">
        <v>7024</v>
      </c>
      <c r="AQ1333" t="s">
        <v>14593</v>
      </c>
      <c r="AR1333" t="s">
        <v>14594</v>
      </c>
      <c r="AT1333" s="184">
        <v>34214</v>
      </c>
      <c r="AU1333" t="s">
        <v>14029</v>
      </c>
      <c r="AV1333">
        <v>19.95</v>
      </c>
      <c r="AW1333" s="184">
        <v>45152</v>
      </c>
      <c r="AX1333" t="s">
        <v>14595</v>
      </c>
      <c r="AY1333">
        <v>35</v>
      </c>
      <c r="AZ1333" s="184">
        <v>37130</v>
      </c>
      <c r="BA1333" t="s">
        <v>14596</v>
      </c>
      <c r="BB1333">
        <v>87</v>
      </c>
      <c r="BC1333">
        <v>91</v>
      </c>
      <c r="BD1333">
        <v>1726.95</v>
      </c>
      <c r="BE1333">
        <v>1994</v>
      </c>
      <c r="BF1333">
        <v>44</v>
      </c>
      <c r="BG1333">
        <v>3</v>
      </c>
      <c r="BH1333">
        <v>120</v>
      </c>
      <c r="BI1333">
        <v>29</v>
      </c>
      <c r="BJ1333">
        <v>32</v>
      </c>
      <c r="BK1333">
        <v>20</v>
      </c>
      <c r="BP1333" s="184"/>
    </row>
    <row r="1334" spans="1:68">
      <c r="A1334">
        <v>100038146</v>
      </c>
      <c r="B1334">
        <v>10208866</v>
      </c>
      <c r="C1334" t="s">
        <v>7018</v>
      </c>
      <c r="E1334" s="184"/>
      <c r="G1334" s="184"/>
      <c r="I1334" s="184"/>
      <c r="J1334" t="s">
        <v>595</v>
      </c>
      <c r="K1334" s="184">
        <v>41955</v>
      </c>
      <c r="O1334" s="184"/>
      <c r="P1334" t="s">
        <v>7045</v>
      </c>
      <c r="Q1334" t="s">
        <v>7262</v>
      </c>
      <c r="R1334" s="184">
        <v>16923</v>
      </c>
      <c r="S1334">
        <v>78</v>
      </c>
      <c r="U1334" t="s">
        <v>7032</v>
      </c>
      <c r="V1334" t="s">
        <v>14588</v>
      </c>
      <c r="X1334" t="s">
        <v>14587</v>
      </c>
      <c r="Z1334">
        <v>10208866</v>
      </c>
      <c r="AA1334" t="s">
        <v>7031</v>
      </c>
      <c r="AB1334" t="s">
        <v>3908</v>
      </c>
      <c r="AD1334" t="s">
        <v>14587</v>
      </c>
      <c r="AF1334" t="s">
        <v>6348</v>
      </c>
      <c r="AG1334" t="s">
        <v>14589</v>
      </c>
      <c r="AI1334" t="s">
        <v>14590</v>
      </c>
      <c r="AM1334" t="s">
        <v>14591</v>
      </c>
      <c r="AN1334" t="s">
        <v>2069</v>
      </c>
      <c r="AO1334" t="s">
        <v>14592</v>
      </c>
      <c r="AP1334" t="s">
        <v>7024</v>
      </c>
      <c r="AQ1334" t="s">
        <v>14597</v>
      </c>
      <c r="AR1334" t="s">
        <v>14598</v>
      </c>
      <c r="AT1334" s="184"/>
      <c r="AW1334" s="184"/>
      <c r="AZ1334" s="184"/>
      <c r="BP1334" s="184"/>
    </row>
    <row r="1335" spans="1:68">
      <c r="A1335">
        <v>10230928</v>
      </c>
      <c r="B1335">
        <v>10230928</v>
      </c>
      <c r="C1335" t="s">
        <v>7018</v>
      </c>
      <c r="E1335" s="184"/>
      <c r="G1335" s="184"/>
      <c r="H1335" t="s">
        <v>595</v>
      </c>
      <c r="I1335" s="184">
        <v>44067</v>
      </c>
      <c r="K1335" s="184"/>
      <c r="O1335" s="184"/>
      <c r="P1335" t="s">
        <v>7045</v>
      </c>
      <c r="Q1335" t="s">
        <v>7160</v>
      </c>
      <c r="R1335" s="184">
        <v>20432</v>
      </c>
      <c r="S1335">
        <v>68</v>
      </c>
      <c r="V1335" t="s">
        <v>8470</v>
      </c>
      <c r="X1335" t="s">
        <v>4854</v>
      </c>
      <c r="Z1335">
        <v>100038188</v>
      </c>
      <c r="AB1335" t="s">
        <v>4853</v>
      </c>
      <c r="AD1335" t="s">
        <v>4854</v>
      </c>
      <c r="AF1335" t="s">
        <v>14599</v>
      </c>
      <c r="AG1335" t="s">
        <v>14600</v>
      </c>
      <c r="AI1335" t="s">
        <v>14601</v>
      </c>
      <c r="AM1335" t="s">
        <v>14602</v>
      </c>
      <c r="AN1335" t="s">
        <v>2413</v>
      </c>
      <c r="AO1335" t="s">
        <v>14603</v>
      </c>
      <c r="AP1335" t="s">
        <v>7024</v>
      </c>
      <c r="AQ1335" t="s">
        <v>14604</v>
      </c>
      <c r="AT1335" s="184">
        <v>34215</v>
      </c>
      <c r="AU1335" t="s">
        <v>14605</v>
      </c>
      <c r="AV1335">
        <v>15</v>
      </c>
      <c r="AW1335" s="184">
        <v>44551</v>
      </c>
      <c r="AX1335" t="s">
        <v>14606</v>
      </c>
      <c r="AY1335">
        <v>25</v>
      </c>
      <c r="AZ1335" s="184">
        <v>40966</v>
      </c>
      <c r="BA1335" t="s">
        <v>14607</v>
      </c>
      <c r="BB1335">
        <v>60</v>
      </c>
      <c r="BC1335">
        <v>47</v>
      </c>
      <c r="BD1335">
        <v>480</v>
      </c>
      <c r="BE1335">
        <v>1994</v>
      </c>
      <c r="BF1335">
        <v>19</v>
      </c>
      <c r="BI1335">
        <v>15</v>
      </c>
      <c r="BJ1335">
        <v>32</v>
      </c>
      <c r="BK1335">
        <v>6</v>
      </c>
      <c r="BP1335" s="184"/>
    </row>
    <row r="1336" spans="1:68">
      <c r="A1336">
        <v>100038188</v>
      </c>
      <c r="B1336">
        <v>10230928</v>
      </c>
      <c r="C1336" t="s">
        <v>7018</v>
      </c>
      <c r="E1336" s="184"/>
      <c r="G1336" s="184"/>
      <c r="H1336" t="s">
        <v>595</v>
      </c>
      <c r="I1336" s="184">
        <v>44067</v>
      </c>
      <c r="K1336" s="184"/>
      <c r="O1336" s="184"/>
      <c r="P1336" t="s">
        <v>7045</v>
      </c>
      <c r="Q1336" t="s">
        <v>7160</v>
      </c>
      <c r="R1336" s="184">
        <v>21337</v>
      </c>
      <c r="S1336">
        <v>65</v>
      </c>
      <c r="V1336" t="s">
        <v>4853</v>
      </c>
      <c r="X1336" t="s">
        <v>4854</v>
      </c>
      <c r="Z1336">
        <v>10230928</v>
      </c>
      <c r="AB1336" t="s">
        <v>8470</v>
      </c>
      <c r="AD1336" t="s">
        <v>4854</v>
      </c>
      <c r="AF1336" t="s">
        <v>14599</v>
      </c>
      <c r="AG1336" t="s">
        <v>14600</v>
      </c>
      <c r="AI1336" t="s">
        <v>14601</v>
      </c>
      <c r="AM1336" t="s">
        <v>14602</v>
      </c>
      <c r="AN1336" t="s">
        <v>2413</v>
      </c>
      <c r="AO1336" t="s">
        <v>14603</v>
      </c>
      <c r="AP1336" t="s">
        <v>7024</v>
      </c>
      <c r="AT1336" s="184"/>
      <c r="AW1336" s="184"/>
      <c r="AZ1336" s="184"/>
      <c r="BP1336" s="184"/>
    </row>
    <row r="1337" spans="1:68">
      <c r="A1337">
        <v>10251015</v>
      </c>
      <c r="B1337">
        <v>10251015</v>
      </c>
      <c r="C1337" t="s">
        <v>7018</v>
      </c>
      <c r="E1337" s="184"/>
      <c r="G1337" s="184"/>
      <c r="I1337" s="184"/>
      <c r="J1337" t="s">
        <v>595</v>
      </c>
      <c r="K1337" s="184">
        <v>43836</v>
      </c>
      <c r="M1337" s="184"/>
      <c r="O1337" s="184"/>
      <c r="P1337" t="s">
        <v>7045</v>
      </c>
      <c r="Q1337" t="s">
        <v>7374</v>
      </c>
      <c r="R1337" s="184">
        <v>15847</v>
      </c>
      <c r="S1337">
        <v>80</v>
      </c>
      <c r="V1337" t="s">
        <v>2511</v>
      </c>
      <c r="X1337" t="s">
        <v>4094</v>
      </c>
      <c r="Z1337">
        <v>100038215</v>
      </c>
      <c r="AB1337" t="s">
        <v>2995</v>
      </c>
      <c r="AD1337" t="s">
        <v>4094</v>
      </c>
      <c r="AF1337" t="s">
        <v>6407</v>
      </c>
      <c r="AG1337" t="s">
        <v>14608</v>
      </c>
      <c r="AI1337" t="s">
        <v>14609</v>
      </c>
      <c r="AM1337" t="s">
        <v>4362</v>
      </c>
      <c r="AN1337" t="s">
        <v>2081</v>
      </c>
      <c r="AO1337" t="s">
        <v>14610</v>
      </c>
      <c r="AP1337" t="s">
        <v>7024</v>
      </c>
      <c r="AQ1337" t="s">
        <v>14611</v>
      </c>
      <c r="AT1337" s="184">
        <v>34221</v>
      </c>
      <c r="AU1337" t="s">
        <v>14029</v>
      </c>
      <c r="AV1337">
        <v>19.95</v>
      </c>
      <c r="AW1337" s="184">
        <v>45314</v>
      </c>
      <c r="AX1337" t="s">
        <v>14612</v>
      </c>
      <c r="AY1337">
        <v>25</v>
      </c>
      <c r="AZ1337" s="184">
        <v>38827</v>
      </c>
      <c r="BA1337" t="s">
        <v>14613</v>
      </c>
      <c r="BB1337">
        <v>30</v>
      </c>
      <c r="BC1337">
        <v>60</v>
      </c>
      <c r="BD1337">
        <v>1249.95</v>
      </c>
      <c r="BE1337">
        <v>1994</v>
      </c>
      <c r="BF1337">
        <v>50</v>
      </c>
      <c r="BG1337">
        <v>2</v>
      </c>
      <c r="BH1337">
        <v>50</v>
      </c>
      <c r="BI1337">
        <v>19</v>
      </c>
      <c r="BJ1337">
        <v>32</v>
      </c>
      <c r="BK1337">
        <v>17</v>
      </c>
      <c r="BN1337" t="s">
        <v>595</v>
      </c>
      <c r="BP1337" s="184"/>
    </row>
    <row r="1338" spans="1:68">
      <c r="A1338">
        <v>100038215</v>
      </c>
      <c r="B1338">
        <v>10251015</v>
      </c>
      <c r="C1338" t="s">
        <v>7018</v>
      </c>
      <c r="E1338" s="184"/>
      <c r="G1338" s="184"/>
      <c r="I1338" s="184"/>
      <c r="J1338" t="s">
        <v>595</v>
      </c>
      <c r="K1338" s="184">
        <v>43836</v>
      </c>
      <c r="O1338" s="184"/>
      <c r="P1338" t="s">
        <v>7045</v>
      </c>
      <c r="Q1338" t="s">
        <v>7374</v>
      </c>
      <c r="R1338" s="184">
        <v>17137</v>
      </c>
      <c r="S1338">
        <v>77</v>
      </c>
      <c r="V1338" t="s">
        <v>2995</v>
      </c>
      <c r="X1338" t="s">
        <v>4094</v>
      </c>
      <c r="Z1338">
        <v>10251015</v>
      </c>
      <c r="AB1338" t="s">
        <v>2511</v>
      </c>
      <c r="AD1338" t="s">
        <v>4094</v>
      </c>
      <c r="AF1338" t="s">
        <v>6407</v>
      </c>
      <c r="AG1338" t="s">
        <v>14608</v>
      </c>
      <c r="AI1338" t="s">
        <v>14609</v>
      </c>
      <c r="AM1338" t="s">
        <v>4362</v>
      </c>
      <c r="AN1338" t="s">
        <v>2081</v>
      </c>
      <c r="AO1338" t="s">
        <v>14610</v>
      </c>
      <c r="AP1338" t="s">
        <v>7024</v>
      </c>
      <c r="AQ1338" t="s">
        <v>14614</v>
      </c>
      <c r="AT1338" s="184"/>
      <c r="AW1338" s="184"/>
      <c r="AZ1338" s="184"/>
      <c r="BP1338" s="184"/>
    </row>
    <row r="1339" spans="1:68">
      <c r="A1339">
        <v>10267193</v>
      </c>
      <c r="B1339">
        <v>10267193</v>
      </c>
      <c r="C1339" t="s">
        <v>7018</v>
      </c>
      <c r="D1339" t="s">
        <v>595</v>
      </c>
      <c r="E1339" s="184">
        <v>43815</v>
      </c>
      <c r="G1339" s="184"/>
      <c r="I1339" s="184"/>
      <c r="K1339" s="184"/>
      <c r="M1339" s="184"/>
      <c r="O1339" s="184"/>
      <c r="P1339" t="s">
        <v>7045</v>
      </c>
      <c r="Q1339" t="s">
        <v>7374</v>
      </c>
      <c r="R1339" s="184">
        <v>16838</v>
      </c>
      <c r="S1339">
        <v>78</v>
      </c>
      <c r="U1339" t="s">
        <v>7031</v>
      </c>
      <c r="V1339" t="s">
        <v>4363</v>
      </c>
      <c r="X1339" t="s">
        <v>4468</v>
      </c>
      <c r="AF1339" t="s">
        <v>14615</v>
      </c>
      <c r="AG1339" t="s">
        <v>4363</v>
      </c>
      <c r="AI1339" t="s">
        <v>14616</v>
      </c>
      <c r="AM1339" t="s">
        <v>4469</v>
      </c>
      <c r="AN1339" t="s">
        <v>2081</v>
      </c>
      <c r="AO1339" t="s">
        <v>14617</v>
      </c>
      <c r="AP1339" t="s">
        <v>7024</v>
      </c>
      <c r="AQ1339" t="s">
        <v>14618</v>
      </c>
      <c r="AT1339" s="184">
        <v>34219</v>
      </c>
      <c r="AU1339" t="s">
        <v>14619</v>
      </c>
      <c r="AV1339">
        <v>20</v>
      </c>
      <c r="AW1339" s="184">
        <v>43129</v>
      </c>
      <c r="AX1339" t="s">
        <v>14620</v>
      </c>
      <c r="AY1339">
        <v>25</v>
      </c>
      <c r="AZ1339" s="184">
        <v>43129</v>
      </c>
      <c r="BA1339" t="s">
        <v>14620</v>
      </c>
      <c r="BB1339">
        <v>25</v>
      </c>
      <c r="BC1339">
        <v>44</v>
      </c>
      <c r="BD1339">
        <v>339.85</v>
      </c>
      <c r="BE1339">
        <v>1994</v>
      </c>
      <c r="BF1339">
        <v>16</v>
      </c>
      <c r="BI1339">
        <v>14</v>
      </c>
      <c r="BJ1339">
        <v>32</v>
      </c>
      <c r="BK1339">
        <v>4</v>
      </c>
      <c r="BP1339" s="184"/>
    </row>
    <row r="1340" spans="1:68">
      <c r="A1340">
        <v>10291359</v>
      </c>
      <c r="B1340">
        <v>10291359</v>
      </c>
      <c r="C1340" t="s">
        <v>7018</v>
      </c>
      <c r="E1340" s="184"/>
      <c r="G1340" s="184"/>
      <c r="I1340" s="184"/>
      <c r="J1340" t="s">
        <v>595</v>
      </c>
      <c r="K1340" s="184">
        <v>37435</v>
      </c>
      <c r="M1340" s="184"/>
      <c r="O1340" s="184"/>
      <c r="P1340" t="s">
        <v>7045</v>
      </c>
      <c r="Q1340" t="s">
        <v>7020</v>
      </c>
      <c r="R1340" s="184">
        <v>22061</v>
      </c>
      <c r="S1340">
        <v>63</v>
      </c>
      <c r="U1340" t="s">
        <v>7031</v>
      </c>
      <c r="V1340" t="s">
        <v>2832</v>
      </c>
      <c r="W1340" t="s">
        <v>4327</v>
      </c>
      <c r="X1340" t="s">
        <v>14621</v>
      </c>
      <c r="Z1340">
        <v>100219630</v>
      </c>
      <c r="AA1340" t="s">
        <v>7130</v>
      </c>
      <c r="AB1340" t="s">
        <v>2841</v>
      </c>
      <c r="AD1340" t="s">
        <v>14621</v>
      </c>
      <c r="AF1340" t="s">
        <v>14622</v>
      </c>
      <c r="AG1340" t="s">
        <v>14623</v>
      </c>
      <c r="AI1340" t="s">
        <v>14624</v>
      </c>
      <c r="AM1340" t="s">
        <v>14625</v>
      </c>
      <c r="AN1340" t="s">
        <v>2112</v>
      </c>
      <c r="AO1340" t="s">
        <v>14626</v>
      </c>
      <c r="AP1340" t="s">
        <v>7024</v>
      </c>
      <c r="AQ1340" t="s">
        <v>14627</v>
      </c>
      <c r="AT1340" s="184">
        <v>34225</v>
      </c>
      <c r="AU1340" t="s">
        <v>14628</v>
      </c>
      <c r="AV1340">
        <v>20</v>
      </c>
      <c r="AW1340" s="184">
        <v>45310</v>
      </c>
      <c r="AX1340" t="s">
        <v>14629</v>
      </c>
      <c r="AY1340">
        <v>21</v>
      </c>
      <c r="AZ1340" s="184">
        <v>37932</v>
      </c>
      <c r="BA1340" t="s">
        <v>14630</v>
      </c>
      <c r="BB1340">
        <v>250</v>
      </c>
      <c r="BC1340">
        <v>38</v>
      </c>
      <c r="BD1340">
        <v>2697</v>
      </c>
      <c r="BE1340">
        <v>1994</v>
      </c>
      <c r="BF1340">
        <v>33</v>
      </c>
      <c r="BG1340">
        <v>1</v>
      </c>
      <c r="BH1340">
        <v>21</v>
      </c>
      <c r="BI1340">
        <v>12</v>
      </c>
      <c r="BJ1340">
        <v>32</v>
      </c>
      <c r="BK1340">
        <v>8</v>
      </c>
      <c r="BM1340" t="s">
        <v>595</v>
      </c>
      <c r="BP1340" s="184"/>
    </row>
    <row r="1341" spans="1:68">
      <c r="A1341">
        <v>100219630</v>
      </c>
      <c r="B1341">
        <v>10291359</v>
      </c>
      <c r="C1341" t="s">
        <v>7018</v>
      </c>
      <c r="E1341" s="184"/>
      <c r="G1341" s="184"/>
      <c r="I1341" s="184"/>
      <c r="J1341" t="s">
        <v>595</v>
      </c>
      <c r="K1341" s="184">
        <v>43654</v>
      </c>
      <c r="P1341" t="s">
        <v>7045</v>
      </c>
      <c r="Q1341" t="s">
        <v>7020</v>
      </c>
      <c r="R1341" s="184">
        <v>22032</v>
      </c>
      <c r="S1341">
        <v>64</v>
      </c>
      <c r="U1341" t="s">
        <v>7130</v>
      </c>
      <c r="V1341" t="s">
        <v>2841</v>
      </c>
      <c r="X1341" t="s">
        <v>14621</v>
      </c>
      <c r="Z1341">
        <v>10291359</v>
      </c>
      <c r="AA1341" t="s">
        <v>7031</v>
      </c>
      <c r="AB1341" t="s">
        <v>2832</v>
      </c>
      <c r="AC1341" t="s">
        <v>4327</v>
      </c>
      <c r="AD1341" t="s">
        <v>14621</v>
      </c>
      <c r="AF1341" t="s">
        <v>14622</v>
      </c>
      <c r="AG1341" t="s">
        <v>14623</v>
      </c>
      <c r="AI1341" t="s">
        <v>14624</v>
      </c>
      <c r="AM1341" t="s">
        <v>14625</v>
      </c>
      <c r="AN1341" t="s">
        <v>2112</v>
      </c>
      <c r="AO1341" t="s">
        <v>14626</v>
      </c>
      <c r="AP1341" t="s">
        <v>7024</v>
      </c>
      <c r="AT1341" s="184"/>
      <c r="AW1341" s="184"/>
      <c r="AZ1341" s="184"/>
    </row>
    <row r="1342" spans="1:68">
      <c r="A1342">
        <v>10305845</v>
      </c>
      <c r="B1342">
        <v>10305845</v>
      </c>
      <c r="C1342" t="s">
        <v>7018</v>
      </c>
      <c r="E1342" s="184"/>
      <c r="G1342" s="184"/>
      <c r="I1342" s="184"/>
      <c r="J1342" t="s">
        <v>595</v>
      </c>
      <c r="K1342" s="184">
        <v>37438</v>
      </c>
      <c r="O1342" s="184"/>
      <c r="P1342" t="s">
        <v>7045</v>
      </c>
      <c r="Q1342" t="s">
        <v>7262</v>
      </c>
      <c r="R1342" s="184">
        <v>20668</v>
      </c>
      <c r="S1342">
        <v>67</v>
      </c>
      <c r="U1342" t="s">
        <v>7031</v>
      </c>
      <c r="V1342" t="s">
        <v>3562</v>
      </c>
      <c r="X1342" t="s">
        <v>14631</v>
      </c>
      <c r="AF1342" t="s">
        <v>6669</v>
      </c>
      <c r="AG1342" t="s">
        <v>3562</v>
      </c>
      <c r="AI1342" t="s">
        <v>14632</v>
      </c>
      <c r="AM1342" t="s">
        <v>10576</v>
      </c>
      <c r="AN1342" t="s">
        <v>2266</v>
      </c>
      <c r="AO1342" t="s">
        <v>14633</v>
      </c>
      <c r="AP1342" t="s">
        <v>7024</v>
      </c>
      <c r="AQ1342" t="s">
        <v>14634</v>
      </c>
      <c r="AR1342" t="s">
        <v>14635</v>
      </c>
      <c r="AT1342" s="184">
        <v>34225</v>
      </c>
      <c r="AU1342" t="s">
        <v>14636</v>
      </c>
      <c r="AV1342">
        <v>15</v>
      </c>
      <c r="AW1342" s="184">
        <v>36454</v>
      </c>
      <c r="AX1342" t="s">
        <v>14637</v>
      </c>
      <c r="AY1342">
        <v>15</v>
      </c>
      <c r="AZ1342" s="184">
        <v>34858</v>
      </c>
      <c r="BA1342" t="s">
        <v>14638</v>
      </c>
      <c r="BB1342">
        <v>52</v>
      </c>
      <c r="BC1342">
        <v>16</v>
      </c>
      <c r="BD1342">
        <v>192</v>
      </c>
      <c r="BE1342">
        <v>1994</v>
      </c>
      <c r="BF1342">
        <v>7</v>
      </c>
      <c r="BI1342">
        <v>5</v>
      </c>
      <c r="BJ1342">
        <v>32</v>
      </c>
      <c r="BK1342">
        <v>4</v>
      </c>
      <c r="BP1342" s="184"/>
    </row>
    <row r="1343" spans="1:68">
      <c r="A1343">
        <v>10317253</v>
      </c>
      <c r="B1343">
        <v>10317253</v>
      </c>
      <c r="C1343" t="s">
        <v>7018</v>
      </c>
      <c r="D1343" t="s">
        <v>595</v>
      </c>
      <c r="E1343" s="184">
        <v>45195</v>
      </c>
      <c r="G1343" s="184"/>
      <c r="I1343" s="184"/>
      <c r="K1343" s="184"/>
      <c r="M1343" s="184"/>
      <c r="O1343" s="184"/>
      <c r="P1343" t="s">
        <v>7045</v>
      </c>
      <c r="Q1343" t="s">
        <v>7383</v>
      </c>
      <c r="R1343" s="184">
        <v>20760</v>
      </c>
      <c r="S1343">
        <v>67</v>
      </c>
      <c r="V1343" t="s">
        <v>2851</v>
      </c>
      <c r="W1343" t="s">
        <v>7375</v>
      </c>
      <c r="X1343" t="s">
        <v>14639</v>
      </c>
      <c r="AF1343" t="s">
        <v>14640</v>
      </c>
      <c r="AG1343" t="s">
        <v>2851</v>
      </c>
      <c r="AI1343" t="s">
        <v>14641</v>
      </c>
      <c r="AM1343" t="s">
        <v>3082</v>
      </c>
      <c r="AN1343" t="s">
        <v>2313</v>
      </c>
      <c r="AO1343" t="s">
        <v>14642</v>
      </c>
      <c r="AP1343" t="s">
        <v>7024</v>
      </c>
      <c r="AQ1343" t="s">
        <v>14643</v>
      </c>
      <c r="AR1343" t="s">
        <v>14644</v>
      </c>
      <c r="AT1343" s="184">
        <v>34242</v>
      </c>
      <c r="AU1343" t="s">
        <v>14029</v>
      </c>
      <c r="AV1343">
        <v>19.95</v>
      </c>
      <c r="AW1343" s="184">
        <v>45352</v>
      </c>
      <c r="AX1343" t="s">
        <v>7684</v>
      </c>
      <c r="AY1343">
        <v>75</v>
      </c>
      <c r="AZ1343" s="184">
        <v>38694</v>
      </c>
      <c r="BA1343" t="s">
        <v>14645</v>
      </c>
      <c r="BB1343">
        <v>100</v>
      </c>
      <c r="BC1343">
        <v>94</v>
      </c>
      <c r="BD1343">
        <v>2319.9499999999998</v>
      </c>
      <c r="BE1343">
        <v>1994</v>
      </c>
      <c r="BF1343">
        <v>50</v>
      </c>
      <c r="BG1343">
        <v>3</v>
      </c>
      <c r="BH1343">
        <v>200</v>
      </c>
      <c r="BI1343">
        <v>30</v>
      </c>
      <c r="BJ1343">
        <v>32</v>
      </c>
      <c r="BK1343">
        <v>14</v>
      </c>
      <c r="BP1343" s="184"/>
    </row>
    <row r="1344" spans="1:68">
      <c r="A1344">
        <v>10335842</v>
      </c>
      <c r="B1344">
        <v>10335842</v>
      </c>
      <c r="C1344" t="s">
        <v>7018</v>
      </c>
      <c r="E1344" s="184"/>
      <c r="G1344" s="184"/>
      <c r="I1344" s="184"/>
      <c r="K1344" s="184"/>
      <c r="N1344" t="s">
        <v>595</v>
      </c>
      <c r="O1344" s="184">
        <v>39757</v>
      </c>
      <c r="P1344" t="s">
        <v>7045</v>
      </c>
      <c r="Q1344" t="s">
        <v>7383</v>
      </c>
      <c r="R1344" s="184">
        <v>12249</v>
      </c>
      <c r="S1344">
        <v>90</v>
      </c>
      <c r="U1344" t="s">
        <v>7076</v>
      </c>
      <c r="V1344" t="s">
        <v>14646</v>
      </c>
      <c r="X1344" t="s">
        <v>14647</v>
      </c>
      <c r="AF1344" t="s">
        <v>6026</v>
      </c>
      <c r="AG1344" t="s">
        <v>14646</v>
      </c>
      <c r="AI1344" t="s">
        <v>14648</v>
      </c>
      <c r="AM1344" t="s">
        <v>4740</v>
      </c>
      <c r="AN1344" t="s">
        <v>2072</v>
      </c>
      <c r="AO1344" t="s">
        <v>14649</v>
      </c>
      <c r="AP1344" t="s">
        <v>7024</v>
      </c>
      <c r="AT1344" s="184">
        <v>34242</v>
      </c>
      <c r="AU1344" t="s">
        <v>14029</v>
      </c>
      <c r="AV1344">
        <v>19.95</v>
      </c>
      <c r="AW1344" s="184">
        <v>40805</v>
      </c>
      <c r="AX1344" t="s">
        <v>14650</v>
      </c>
      <c r="AY1344">
        <v>25</v>
      </c>
      <c r="AZ1344" s="184">
        <v>39757</v>
      </c>
      <c r="BA1344" t="s">
        <v>8186</v>
      </c>
      <c r="BB1344">
        <v>10000</v>
      </c>
      <c r="BC1344">
        <v>47</v>
      </c>
      <c r="BD1344">
        <v>10366.950000000001</v>
      </c>
      <c r="BE1344">
        <v>1994</v>
      </c>
      <c r="BF1344">
        <v>18</v>
      </c>
      <c r="BI1344">
        <v>15</v>
      </c>
      <c r="BJ1344">
        <v>32</v>
      </c>
      <c r="BK1344">
        <v>12</v>
      </c>
      <c r="BM1344" t="s">
        <v>595</v>
      </c>
      <c r="BO1344" t="s">
        <v>595</v>
      </c>
      <c r="BP1344" s="184">
        <v>44439</v>
      </c>
    </row>
    <row r="1345" spans="1:68">
      <c r="A1345">
        <v>10345890</v>
      </c>
      <c r="B1345">
        <v>10345890</v>
      </c>
      <c r="C1345" t="s">
        <v>7018</v>
      </c>
      <c r="D1345" t="s">
        <v>595</v>
      </c>
      <c r="E1345" s="184">
        <v>43745</v>
      </c>
      <c r="G1345" s="184"/>
      <c r="I1345" s="184"/>
      <c r="K1345" s="184"/>
      <c r="O1345" s="184"/>
      <c r="P1345" t="s">
        <v>7045</v>
      </c>
      <c r="Q1345" t="s">
        <v>7160</v>
      </c>
      <c r="R1345" s="184">
        <v>14648</v>
      </c>
      <c r="S1345">
        <v>84</v>
      </c>
      <c r="U1345" t="s">
        <v>7130</v>
      </c>
      <c r="V1345" t="s">
        <v>4108</v>
      </c>
      <c r="X1345" t="s">
        <v>4109</v>
      </c>
      <c r="AF1345" t="s">
        <v>14651</v>
      </c>
      <c r="AG1345" t="s">
        <v>4108</v>
      </c>
      <c r="AI1345" t="s">
        <v>14652</v>
      </c>
      <c r="AM1345" t="s">
        <v>4091</v>
      </c>
      <c r="AN1345" t="s">
        <v>2446</v>
      </c>
      <c r="AO1345" t="s">
        <v>14653</v>
      </c>
      <c r="AP1345" t="s">
        <v>7024</v>
      </c>
      <c r="AQ1345" t="s">
        <v>14654</v>
      </c>
      <c r="AT1345" s="184">
        <v>34242</v>
      </c>
      <c r="AU1345" t="s">
        <v>14029</v>
      </c>
      <c r="AV1345">
        <v>19.95</v>
      </c>
      <c r="AW1345" s="184">
        <v>45054</v>
      </c>
      <c r="AX1345" t="s">
        <v>14655</v>
      </c>
      <c r="AY1345">
        <v>60</v>
      </c>
      <c r="AZ1345" s="184">
        <v>45054</v>
      </c>
      <c r="BA1345" t="s">
        <v>14655</v>
      </c>
      <c r="BB1345">
        <v>60</v>
      </c>
      <c r="BC1345">
        <v>47</v>
      </c>
      <c r="BD1345">
        <v>507.95</v>
      </c>
      <c r="BE1345">
        <v>1994</v>
      </c>
      <c r="BF1345">
        <v>19</v>
      </c>
      <c r="BG1345">
        <v>1</v>
      </c>
      <c r="BH1345">
        <v>60</v>
      </c>
      <c r="BI1345">
        <v>15</v>
      </c>
      <c r="BJ1345">
        <v>32</v>
      </c>
      <c r="BK1345">
        <v>8</v>
      </c>
      <c r="BN1345" t="s">
        <v>595</v>
      </c>
      <c r="BP1345" s="184"/>
    </row>
    <row r="1346" spans="1:68">
      <c r="A1346">
        <v>10355774</v>
      </c>
      <c r="B1346">
        <v>10355774</v>
      </c>
      <c r="C1346" t="s">
        <v>7018</v>
      </c>
      <c r="D1346" t="s">
        <v>595</v>
      </c>
      <c r="E1346" s="184">
        <v>43879</v>
      </c>
      <c r="G1346" s="184"/>
      <c r="I1346" s="184"/>
      <c r="K1346" s="184"/>
      <c r="O1346" s="184"/>
      <c r="P1346" t="s">
        <v>7045</v>
      </c>
      <c r="Q1346" t="s">
        <v>7494</v>
      </c>
      <c r="R1346" s="184">
        <v>24513</v>
      </c>
      <c r="S1346">
        <v>57</v>
      </c>
      <c r="U1346" t="s">
        <v>7076</v>
      </c>
      <c r="V1346" t="s">
        <v>3872</v>
      </c>
      <c r="X1346" t="s">
        <v>14656</v>
      </c>
      <c r="AF1346" t="s">
        <v>14657</v>
      </c>
      <c r="AG1346" t="s">
        <v>3872</v>
      </c>
      <c r="AI1346" t="s">
        <v>14658</v>
      </c>
      <c r="AM1346" t="s">
        <v>3728</v>
      </c>
      <c r="AN1346" t="s">
        <v>2484</v>
      </c>
      <c r="AO1346" t="s">
        <v>14659</v>
      </c>
      <c r="AP1346" t="s">
        <v>7024</v>
      </c>
      <c r="AQ1346" t="s">
        <v>14660</v>
      </c>
      <c r="AR1346" t="s">
        <v>14661</v>
      </c>
      <c r="AT1346" s="184">
        <v>34226</v>
      </c>
      <c r="AU1346" t="s">
        <v>14662</v>
      </c>
      <c r="AV1346">
        <v>20</v>
      </c>
      <c r="AW1346" s="184">
        <v>45033</v>
      </c>
      <c r="AX1346" t="s">
        <v>14663</v>
      </c>
      <c r="AY1346">
        <v>50</v>
      </c>
      <c r="AZ1346" s="184">
        <v>43278</v>
      </c>
      <c r="BA1346" t="s">
        <v>14664</v>
      </c>
      <c r="BB1346">
        <v>150</v>
      </c>
      <c r="BC1346">
        <v>85</v>
      </c>
      <c r="BD1346">
        <v>2372</v>
      </c>
      <c r="BE1346">
        <v>1994</v>
      </c>
      <c r="BF1346">
        <v>57</v>
      </c>
      <c r="BG1346">
        <v>1</v>
      </c>
      <c r="BH1346">
        <v>50</v>
      </c>
      <c r="BI1346">
        <v>27</v>
      </c>
      <c r="BJ1346">
        <v>32</v>
      </c>
      <c r="BK1346">
        <v>21</v>
      </c>
      <c r="BP1346" s="184"/>
    </row>
    <row r="1347" spans="1:68">
      <c r="A1347">
        <v>10357234</v>
      </c>
      <c r="B1347">
        <v>10357234</v>
      </c>
      <c r="C1347" t="s">
        <v>7018</v>
      </c>
      <c r="E1347" s="184"/>
      <c r="F1347" t="s">
        <v>595</v>
      </c>
      <c r="G1347" s="184">
        <v>43745</v>
      </c>
      <c r="I1347" s="184"/>
      <c r="K1347" s="184"/>
      <c r="O1347" s="184"/>
      <c r="P1347" t="s">
        <v>7045</v>
      </c>
      <c r="Q1347" t="s">
        <v>7020</v>
      </c>
      <c r="R1347" s="184">
        <v>17899</v>
      </c>
      <c r="S1347">
        <v>75</v>
      </c>
      <c r="U1347" t="s">
        <v>7031</v>
      </c>
      <c r="V1347" t="s">
        <v>2898</v>
      </c>
      <c r="X1347" t="s">
        <v>4077</v>
      </c>
      <c r="AF1347" t="s">
        <v>14665</v>
      </c>
      <c r="AG1347" t="s">
        <v>2898</v>
      </c>
      <c r="AI1347" t="s">
        <v>14666</v>
      </c>
      <c r="AM1347" t="s">
        <v>4078</v>
      </c>
      <c r="AN1347" t="s">
        <v>2255</v>
      </c>
      <c r="AO1347" t="s">
        <v>14667</v>
      </c>
      <c r="AP1347" t="s">
        <v>7024</v>
      </c>
      <c r="AT1347" s="184">
        <v>34226</v>
      </c>
      <c r="AU1347" t="s">
        <v>14662</v>
      </c>
      <c r="AV1347">
        <v>25</v>
      </c>
      <c r="AW1347" s="184">
        <v>45209</v>
      </c>
      <c r="AX1347" t="s">
        <v>14668</v>
      </c>
      <c r="AY1347">
        <v>100</v>
      </c>
      <c r="AZ1347" s="184">
        <v>45209</v>
      </c>
      <c r="BA1347" t="s">
        <v>14668</v>
      </c>
      <c r="BB1347">
        <v>100</v>
      </c>
      <c r="BC1347">
        <v>75</v>
      </c>
      <c r="BD1347">
        <v>2300</v>
      </c>
      <c r="BE1347">
        <v>1994</v>
      </c>
      <c r="BF1347">
        <v>33</v>
      </c>
      <c r="BG1347">
        <v>1</v>
      </c>
      <c r="BH1347">
        <v>100</v>
      </c>
      <c r="BI1347">
        <v>24</v>
      </c>
      <c r="BJ1347">
        <v>32</v>
      </c>
      <c r="BK1347">
        <v>13</v>
      </c>
      <c r="BP1347" s="184"/>
    </row>
    <row r="1348" spans="1:68">
      <c r="A1348">
        <v>10357762</v>
      </c>
      <c r="B1348">
        <v>10357762</v>
      </c>
      <c r="C1348" t="s">
        <v>7018</v>
      </c>
      <c r="D1348" t="s">
        <v>595</v>
      </c>
      <c r="E1348" s="184">
        <v>43801</v>
      </c>
      <c r="G1348" s="184"/>
      <c r="I1348" s="184"/>
      <c r="K1348" s="184"/>
      <c r="M1348" s="184"/>
      <c r="O1348" s="184"/>
      <c r="P1348" t="s">
        <v>7045</v>
      </c>
      <c r="Q1348" t="s">
        <v>7374</v>
      </c>
      <c r="R1348" s="184">
        <v>20668</v>
      </c>
      <c r="S1348">
        <v>67</v>
      </c>
      <c r="V1348" t="s">
        <v>3101</v>
      </c>
      <c r="X1348" t="s">
        <v>4353</v>
      </c>
      <c r="Z1348">
        <v>100038415</v>
      </c>
      <c r="AB1348" t="s">
        <v>3371</v>
      </c>
      <c r="AD1348" t="s">
        <v>4353</v>
      </c>
      <c r="AF1348" t="s">
        <v>14669</v>
      </c>
      <c r="AG1348" t="s">
        <v>14670</v>
      </c>
      <c r="AI1348" t="s">
        <v>14671</v>
      </c>
      <c r="AM1348" t="s">
        <v>4354</v>
      </c>
      <c r="AN1348" t="s">
        <v>2081</v>
      </c>
      <c r="AO1348" t="s">
        <v>14672</v>
      </c>
      <c r="AP1348" t="s">
        <v>7024</v>
      </c>
      <c r="AQ1348" t="s">
        <v>14673</v>
      </c>
      <c r="AT1348" s="184">
        <v>34226</v>
      </c>
      <c r="AU1348" t="s">
        <v>14463</v>
      </c>
      <c r="AV1348">
        <v>25</v>
      </c>
      <c r="AW1348" s="184">
        <v>45400</v>
      </c>
      <c r="AX1348" t="s">
        <v>7832</v>
      </c>
      <c r="AY1348">
        <v>52.5</v>
      </c>
      <c r="AZ1348" s="184">
        <v>42479</v>
      </c>
      <c r="BA1348" t="s">
        <v>14674</v>
      </c>
      <c r="BB1348">
        <v>200</v>
      </c>
      <c r="BC1348">
        <v>82</v>
      </c>
      <c r="BD1348">
        <v>3286</v>
      </c>
      <c r="BE1348">
        <v>1994</v>
      </c>
      <c r="BF1348">
        <v>46</v>
      </c>
      <c r="BG1348">
        <v>3</v>
      </c>
      <c r="BH1348">
        <v>155</v>
      </c>
      <c r="BI1348">
        <v>26</v>
      </c>
      <c r="BJ1348">
        <v>32</v>
      </c>
      <c r="BK1348">
        <v>15</v>
      </c>
      <c r="BP1348" s="184"/>
    </row>
    <row r="1349" spans="1:68">
      <c r="A1349">
        <v>100038415</v>
      </c>
      <c r="B1349">
        <v>10357762</v>
      </c>
      <c r="C1349" t="s">
        <v>7018</v>
      </c>
      <c r="D1349" t="s">
        <v>595</v>
      </c>
      <c r="E1349" s="184">
        <v>43801</v>
      </c>
      <c r="G1349" s="184"/>
      <c r="I1349" s="184"/>
      <c r="K1349" s="184"/>
      <c r="O1349" s="184"/>
      <c r="P1349" t="s">
        <v>7045</v>
      </c>
      <c r="Q1349" t="s">
        <v>7374</v>
      </c>
      <c r="R1349" s="184">
        <v>14956</v>
      </c>
      <c r="S1349">
        <v>83</v>
      </c>
      <c r="V1349" t="s">
        <v>3371</v>
      </c>
      <c r="X1349" t="s">
        <v>4353</v>
      </c>
      <c r="Z1349">
        <v>10357762</v>
      </c>
      <c r="AB1349" t="s">
        <v>3101</v>
      </c>
      <c r="AD1349" t="s">
        <v>4353</v>
      </c>
      <c r="AF1349" t="s">
        <v>14669</v>
      </c>
      <c r="AG1349" t="s">
        <v>14670</v>
      </c>
      <c r="AI1349" t="s">
        <v>14671</v>
      </c>
      <c r="AM1349" t="s">
        <v>4354</v>
      </c>
      <c r="AN1349" t="s">
        <v>2081</v>
      </c>
      <c r="AO1349" t="s">
        <v>14672</v>
      </c>
      <c r="AP1349" t="s">
        <v>7024</v>
      </c>
      <c r="AT1349" s="184"/>
      <c r="AW1349" s="184"/>
      <c r="AZ1349" s="184"/>
      <c r="BP1349" s="184"/>
    </row>
    <row r="1350" spans="1:68">
      <c r="A1350">
        <v>10367258</v>
      </c>
      <c r="B1350">
        <v>10367258</v>
      </c>
      <c r="C1350" t="s">
        <v>7018</v>
      </c>
      <c r="E1350" s="184"/>
      <c r="G1350" s="184"/>
      <c r="I1350" s="184"/>
      <c r="J1350" t="s">
        <v>595</v>
      </c>
      <c r="K1350" s="184">
        <v>41260</v>
      </c>
      <c r="M1350" s="184"/>
      <c r="O1350" s="184"/>
      <c r="P1350" t="s">
        <v>7084</v>
      </c>
      <c r="Q1350" t="s">
        <v>7030</v>
      </c>
      <c r="R1350" s="184">
        <v>16427</v>
      </c>
      <c r="S1350">
        <v>79</v>
      </c>
      <c r="U1350" t="s">
        <v>7031</v>
      </c>
      <c r="V1350" t="s">
        <v>4363</v>
      </c>
      <c r="W1350" t="s">
        <v>3226</v>
      </c>
      <c r="X1350" t="s">
        <v>5481</v>
      </c>
      <c r="Z1350">
        <v>100038442</v>
      </c>
      <c r="AA1350" t="s">
        <v>7130</v>
      </c>
      <c r="AB1350" t="s">
        <v>3574</v>
      </c>
      <c r="AC1350" t="s">
        <v>4139</v>
      </c>
      <c r="AD1350" t="s">
        <v>5481</v>
      </c>
      <c r="AF1350" t="s">
        <v>14675</v>
      </c>
      <c r="AG1350" t="s">
        <v>14676</v>
      </c>
      <c r="AI1350" t="s">
        <v>14677</v>
      </c>
      <c r="AM1350" t="s">
        <v>5041</v>
      </c>
      <c r="AN1350" t="s">
        <v>2201</v>
      </c>
      <c r="AO1350" t="s">
        <v>14678</v>
      </c>
      <c r="AP1350" t="s">
        <v>7024</v>
      </c>
      <c r="AQ1350" t="s">
        <v>14679</v>
      </c>
      <c r="AR1350" t="s">
        <v>14680</v>
      </c>
      <c r="AT1350" s="184">
        <v>34227</v>
      </c>
      <c r="AU1350" t="s">
        <v>14681</v>
      </c>
      <c r="AV1350">
        <v>20</v>
      </c>
      <c r="AW1350" s="184">
        <v>45103</v>
      </c>
      <c r="AX1350" t="s">
        <v>14682</v>
      </c>
      <c r="AY1350">
        <v>3000</v>
      </c>
      <c r="AZ1350" s="184">
        <v>42691</v>
      </c>
      <c r="BA1350" t="s">
        <v>14683</v>
      </c>
      <c r="BB1350">
        <v>10000</v>
      </c>
      <c r="BC1350">
        <v>91</v>
      </c>
      <c r="BD1350">
        <v>86162</v>
      </c>
      <c r="BE1350">
        <v>1994</v>
      </c>
      <c r="BF1350">
        <v>41</v>
      </c>
      <c r="BG1350">
        <v>5</v>
      </c>
      <c r="BH1350">
        <v>11050</v>
      </c>
      <c r="BI1350">
        <v>29</v>
      </c>
      <c r="BJ1350">
        <v>32</v>
      </c>
      <c r="BK1350">
        <v>24</v>
      </c>
      <c r="BN1350" t="s">
        <v>595</v>
      </c>
      <c r="BP1350" s="184"/>
    </row>
    <row r="1351" spans="1:68">
      <c r="A1351">
        <v>100038442</v>
      </c>
      <c r="B1351">
        <v>10367258</v>
      </c>
      <c r="C1351" t="s">
        <v>7018</v>
      </c>
      <c r="E1351" s="184"/>
      <c r="G1351" s="184"/>
      <c r="I1351" s="184"/>
      <c r="J1351" t="s">
        <v>595</v>
      </c>
      <c r="K1351" s="184">
        <v>41260</v>
      </c>
      <c r="O1351" s="184"/>
      <c r="P1351" t="s">
        <v>7084</v>
      </c>
      <c r="Q1351" t="s">
        <v>7030</v>
      </c>
      <c r="R1351" s="184">
        <v>16582</v>
      </c>
      <c r="S1351">
        <v>78</v>
      </c>
      <c r="U1351" t="s">
        <v>7130</v>
      </c>
      <c r="V1351" t="s">
        <v>3574</v>
      </c>
      <c r="W1351" t="s">
        <v>4139</v>
      </c>
      <c r="X1351" t="s">
        <v>5481</v>
      </c>
      <c r="Z1351">
        <v>10367258</v>
      </c>
      <c r="AA1351" t="s">
        <v>7031</v>
      </c>
      <c r="AB1351" t="s">
        <v>4363</v>
      </c>
      <c r="AC1351" t="s">
        <v>3226</v>
      </c>
      <c r="AD1351" t="s">
        <v>5481</v>
      </c>
      <c r="AF1351" t="s">
        <v>14675</v>
      </c>
      <c r="AG1351" t="s">
        <v>14676</v>
      </c>
      <c r="AI1351" t="s">
        <v>14677</v>
      </c>
      <c r="AM1351" t="s">
        <v>5041</v>
      </c>
      <c r="AN1351" t="s">
        <v>2201</v>
      </c>
      <c r="AO1351" t="s">
        <v>14678</v>
      </c>
      <c r="AP1351" t="s">
        <v>7024</v>
      </c>
      <c r="AT1351" s="184"/>
      <c r="AW1351" s="184"/>
      <c r="AZ1351" s="184"/>
      <c r="BP1351" s="184"/>
    </row>
    <row r="1352" spans="1:68">
      <c r="A1352">
        <v>10381069</v>
      </c>
      <c r="B1352">
        <v>10381069</v>
      </c>
      <c r="C1352" t="s">
        <v>7018</v>
      </c>
      <c r="E1352" s="184"/>
      <c r="F1352" t="s">
        <v>595</v>
      </c>
      <c r="G1352" s="184">
        <v>44073</v>
      </c>
      <c r="I1352" s="184"/>
      <c r="K1352" s="184"/>
      <c r="O1352" s="184"/>
      <c r="P1352" t="s">
        <v>7045</v>
      </c>
      <c r="Q1352" t="s">
        <v>7383</v>
      </c>
      <c r="R1352" s="184">
        <v>9345</v>
      </c>
      <c r="S1352">
        <v>98</v>
      </c>
      <c r="U1352" t="s">
        <v>7130</v>
      </c>
      <c r="V1352" t="s">
        <v>3444</v>
      </c>
      <c r="X1352" t="s">
        <v>14684</v>
      </c>
      <c r="AF1352" t="s">
        <v>14685</v>
      </c>
      <c r="AG1352" t="s">
        <v>3444</v>
      </c>
      <c r="AI1352" t="s">
        <v>14686</v>
      </c>
      <c r="AJ1352" t="s">
        <v>14687</v>
      </c>
      <c r="AM1352" t="s">
        <v>14688</v>
      </c>
      <c r="AN1352" t="s">
        <v>2313</v>
      </c>
      <c r="AO1352" t="s">
        <v>14689</v>
      </c>
      <c r="AP1352" t="s">
        <v>7024</v>
      </c>
      <c r="AQ1352" t="s">
        <v>14690</v>
      </c>
      <c r="AT1352" s="184">
        <v>34228</v>
      </c>
      <c r="AU1352" t="s">
        <v>14691</v>
      </c>
      <c r="AV1352">
        <v>15</v>
      </c>
      <c r="AW1352" s="184">
        <v>43733</v>
      </c>
      <c r="AX1352" t="s">
        <v>14692</v>
      </c>
      <c r="AY1352">
        <v>25</v>
      </c>
      <c r="AZ1352" s="184">
        <v>43733</v>
      </c>
      <c r="BA1352" t="s">
        <v>14692</v>
      </c>
      <c r="BB1352">
        <v>25</v>
      </c>
      <c r="BC1352">
        <v>85</v>
      </c>
      <c r="BD1352">
        <v>726</v>
      </c>
      <c r="BE1352">
        <v>1994</v>
      </c>
      <c r="BF1352">
        <v>30</v>
      </c>
      <c r="BI1352">
        <v>27</v>
      </c>
      <c r="BJ1352">
        <v>32</v>
      </c>
      <c r="BK1352">
        <v>27</v>
      </c>
      <c r="BN1352" t="s">
        <v>595</v>
      </c>
      <c r="BP1352" s="184"/>
    </row>
    <row r="1353" spans="1:68">
      <c r="A1353">
        <v>10385300</v>
      </c>
      <c r="B1353">
        <v>10385300</v>
      </c>
      <c r="C1353" t="s">
        <v>7018</v>
      </c>
      <c r="D1353" t="s">
        <v>595</v>
      </c>
      <c r="E1353" s="184">
        <v>43808</v>
      </c>
      <c r="G1353" s="184"/>
      <c r="I1353" s="184"/>
      <c r="K1353" s="184"/>
      <c r="O1353" s="184"/>
      <c r="P1353" t="s">
        <v>7045</v>
      </c>
      <c r="Q1353" t="s">
        <v>7374</v>
      </c>
      <c r="R1353" s="184">
        <v>14977</v>
      </c>
      <c r="S1353">
        <v>83</v>
      </c>
      <c r="U1353" t="s">
        <v>7031</v>
      </c>
      <c r="V1353" t="s">
        <v>2612</v>
      </c>
      <c r="W1353" t="s">
        <v>5006</v>
      </c>
      <c r="X1353" t="s">
        <v>4444</v>
      </c>
      <c r="AF1353" t="s">
        <v>14693</v>
      </c>
      <c r="AG1353" t="s">
        <v>2612</v>
      </c>
      <c r="AI1353" t="s">
        <v>14694</v>
      </c>
      <c r="AM1353" t="s">
        <v>4445</v>
      </c>
      <c r="AN1353" t="s">
        <v>2081</v>
      </c>
      <c r="AO1353" t="s">
        <v>14695</v>
      </c>
      <c r="AP1353" t="s">
        <v>7024</v>
      </c>
      <c r="AQ1353" t="s">
        <v>14696</v>
      </c>
      <c r="AT1353" s="184">
        <v>34228</v>
      </c>
      <c r="AU1353" t="s">
        <v>14697</v>
      </c>
      <c r="AV1353">
        <v>50</v>
      </c>
      <c r="AW1353" s="184">
        <v>44462</v>
      </c>
      <c r="AX1353" t="s">
        <v>7714</v>
      </c>
      <c r="AY1353">
        <v>50</v>
      </c>
      <c r="AZ1353" s="184">
        <v>36781</v>
      </c>
      <c r="BA1353" t="s">
        <v>14698</v>
      </c>
      <c r="BB1353">
        <v>75</v>
      </c>
      <c r="BC1353">
        <v>66</v>
      </c>
      <c r="BD1353">
        <v>1295</v>
      </c>
      <c r="BE1353">
        <v>1994</v>
      </c>
      <c r="BF1353">
        <v>27</v>
      </c>
      <c r="BI1353">
        <v>21</v>
      </c>
      <c r="BJ1353">
        <v>32</v>
      </c>
      <c r="BK1353">
        <v>19</v>
      </c>
    </row>
    <row r="1354" spans="1:68">
      <c r="A1354">
        <v>10396208</v>
      </c>
      <c r="B1354">
        <v>10396208</v>
      </c>
      <c r="C1354" t="s">
        <v>7018</v>
      </c>
      <c r="E1354" s="184"/>
      <c r="G1354" s="184"/>
      <c r="I1354" s="184"/>
      <c r="J1354" t="s">
        <v>595</v>
      </c>
      <c r="K1354" s="184">
        <v>44073</v>
      </c>
      <c r="M1354" s="184"/>
      <c r="O1354" s="184"/>
      <c r="P1354" t="s">
        <v>7045</v>
      </c>
      <c r="Q1354" t="s">
        <v>7383</v>
      </c>
      <c r="R1354" s="184">
        <v>11602</v>
      </c>
      <c r="S1354">
        <v>92</v>
      </c>
      <c r="U1354" t="s">
        <v>7076</v>
      </c>
      <c r="V1354" t="s">
        <v>3002</v>
      </c>
      <c r="X1354" t="s">
        <v>14699</v>
      </c>
      <c r="AF1354" t="s">
        <v>14700</v>
      </c>
      <c r="AG1354" t="s">
        <v>3002</v>
      </c>
      <c r="AI1354" t="s">
        <v>14701</v>
      </c>
      <c r="AM1354" t="s">
        <v>3060</v>
      </c>
      <c r="AN1354" t="s">
        <v>2072</v>
      </c>
      <c r="AO1354" t="s">
        <v>14702</v>
      </c>
      <c r="AP1354" t="s">
        <v>7024</v>
      </c>
      <c r="AQ1354" t="s">
        <v>14703</v>
      </c>
      <c r="AT1354" s="184">
        <v>34229</v>
      </c>
      <c r="AU1354" t="s">
        <v>14662</v>
      </c>
      <c r="AV1354">
        <v>15</v>
      </c>
      <c r="AW1354" s="184">
        <v>45103</v>
      </c>
      <c r="AX1354" t="s">
        <v>14704</v>
      </c>
      <c r="AY1354">
        <v>100</v>
      </c>
      <c r="AZ1354" s="184">
        <v>44817</v>
      </c>
      <c r="BA1354" t="s">
        <v>14705</v>
      </c>
      <c r="BB1354">
        <v>200</v>
      </c>
      <c r="BC1354">
        <v>88</v>
      </c>
      <c r="BD1354">
        <v>2387</v>
      </c>
      <c r="BE1354">
        <v>1994</v>
      </c>
      <c r="BF1354">
        <v>43</v>
      </c>
      <c r="BG1354">
        <v>2</v>
      </c>
      <c r="BH1354">
        <v>300</v>
      </c>
      <c r="BI1354">
        <v>28</v>
      </c>
      <c r="BJ1354">
        <v>32</v>
      </c>
      <c r="BK1354">
        <v>12</v>
      </c>
      <c r="BP1354" s="184"/>
    </row>
    <row r="1355" spans="1:68">
      <c r="A1355">
        <v>10418119</v>
      </c>
      <c r="B1355">
        <v>10418119</v>
      </c>
      <c r="C1355" t="s">
        <v>7018</v>
      </c>
      <c r="D1355" t="s">
        <v>595</v>
      </c>
      <c r="E1355" s="184">
        <v>44104</v>
      </c>
      <c r="G1355" s="184"/>
      <c r="I1355" s="184"/>
      <c r="K1355" s="184"/>
      <c r="O1355" s="184"/>
      <c r="P1355" t="s">
        <v>7045</v>
      </c>
      <c r="Q1355" t="s">
        <v>7020</v>
      </c>
      <c r="R1355" s="184">
        <v>20760</v>
      </c>
      <c r="S1355">
        <v>67</v>
      </c>
      <c r="U1355" t="s">
        <v>7031</v>
      </c>
      <c r="V1355" t="s">
        <v>3753</v>
      </c>
      <c r="X1355" t="s">
        <v>14706</v>
      </c>
      <c r="Z1355">
        <v>100541266</v>
      </c>
      <c r="AA1355" t="s">
        <v>7130</v>
      </c>
      <c r="AB1355" t="s">
        <v>2669</v>
      </c>
      <c r="AD1355" t="s">
        <v>14706</v>
      </c>
      <c r="AF1355" t="s">
        <v>14707</v>
      </c>
      <c r="AG1355" t="s">
        <v>14708</v>
      </c>
      <c r="AI1355" t="s">
        <v>14709</v>
      </c>
      <c r="AM1355" t="s">
        <v>14710</v>
      </c>
      <c r="AN1355" t="s">
        <v>2052</v>
      </c>
      <c r="AO1355" t="s">
        <v>14711</v>
      </c>
      <c r="AP1355" t="s">
        <v>7024</v>
      </c>
      <c r="AT1355" s="184">
        <v>34232</v>
      </c>
      <c r="AU1355" t="s">
        <v>14712</v>
      </c>
      <c r="AV1355">
        <v>25</v>
      </c>
      <c r="AW1355" s="184">
        <v>45159</v>
      </c>
      <c r="AX1355" t="s">
        <v>12641</v>
      </c>
      <c r="AY1355">
        <v>35</v>
      </c>
      <c r="AZ1355" s="184">
        <v>35233</v>
      </c>
      <c r="BA1355" t="s">
        <v>14713</v>
      </c>
      <c r="BB1355">
        <v>54</v>
      </c>
      <c r="BC1355">
        <v>97</v>
      </c>
      <c r="BD1355">
        <v>1339</v>
      </c>
      <c r="BE1355">
        <v>1994</v>
      </c>
      <c r="BF1355">
        <v>47</v>
      </c>
      <c r="BG1355">
        <v>2</v>
      </c>
      <c r="BH1355">
        <v>70</v>
      </c>
      <c r="BI1355">
        <v>31</v>
      </c>
      <c r="BJ1355">
        <v>32</v>
      </c>
      <c r="BK1355">
        <v>31</v>
      </c>
      <c r="BP1355" s="184"/>
    </row>
    <row r="1356" spans="1:68">
      <c r="A1356">
        <v>100541266</v>
      </c>
      <c r="B1356">
        <v>10418119</v>
      </c>
      <c r="C1356" t="s">
        <v>7018</v>
      </c>
      <c r="D1356" t="s">
        <v>595</v>
      </c>
      <c r="E1356" s="184">
        <v>44104</v>
      </c>
      <c r="G1356" s="184"/>
      <c r="I1356" s="184"/>
      <c r="K1356" s="184"/>
      <c r="O1356" s="184"/>
      <c r="P1356" t="s">
        <v>7045</v>
      </c>
      <c r="Q1356" t="s">
        <v>7020</v>
      </c>
      <c r="R1356" s="184">
        <v>19465</v>
      </c>
      <c r="S1356">
        <v>71</v>
      </c>
      <c r="U1356" t="s">
        <v>7130</v>
      </c>
      <c r="V1356" t="s">
        <v>2669</v>
      </c>
      <c r="X1356" t="s">
        <v>14706</v>
      </c>
      <c r="Z1356">
        <v>10418119</v>
      </c>
      <c r="AA1356" t="s">
        <v>7031</v>
      </c>
      <c r="AB1356" t="s">
        <v>3753</v>
      </c>
      <c r="AD1356" t="s">
        <v>14706</v>
      </c>
      <c r="AF1356" t="s">
        <v>14707</v>
      </c>
      <c r="AG1356" t="s">
        <v>14708</v>
      </c>
      <c r="AI1356" t="s">
        <v>14709</v>
      </c>
      <c r="AM1356" t="s">
        <v>14710</v>
      </c>
      <c r="AN1356" t="s">
        <v>2052</v>
      </c>
      <c r="AO1356" t="s">
        <v>14711</v>
      </c>
      <c r="AP1356" t="s">
        <v>7024</v>
      </c>
      <c r="AT1356" s="184"/>
      <c r="AW1356" s="184"/>
      <c r="AZ1356" s="184"/>
      <c r="BP1356" s="184"/>
    </row>
    <row r="1357" spans="1:68">
      <c r="A1357">
        <v>10420859</v>
      </c>
      <c r="B1357">
        <v>10420859</v>
      </c>
      <c r="C1357" t="s">
        <v>7018</v>
      </c>
      <c r="D1357" t="s">
        <v>595</v>
      </c>
      <c r="E1357" s="184">
        <v>44073</v>
      </c>
      <c r="G1357" s="184"/>
      <c r="I1357" s="184"/>
      <c r="K1357" s="184"/>
      <c r="M1357" s="184"/>
      <c r="O1357" s="184"/>
      <c r="P1357" t="s">
        <v>7045</v>
      </c>
      <c r="Q1357" t="s">
        <v>7774</v>
      </c>
      <c r="R1357" s="184">
        <v>9894</v>
      </c>
      <c r="S1357">
        <v>97</v>
      </c>
      <c r="U1357" t="s">
        <v>7031</v>
      </c>
      <c r="V1357" t="s">
        <v>4144</v>
      </c>
      <c r="W1357" t="s">
        <v>4013</v>
      </c>
      <c r="X1357" t="s">
        <v>3106</v>
      </c>
      <c r="AF1357" t="s">
        <v>14714</v>
      </c>
      <c r="AG1357" t="s">
        <v>4144</v>
      </c>
      <c r="AI1357" t="s">
        <v>14715</v>
      </c>
      <c r="AM1357" t="s">
        <v>8086</v>
      </c>
      <c r="AN1357" t="s">
        <v>2972</v>
      </c>
      <c r="AO1357" t="s">
        <v>14716</v>
      </c>
      <c r="AP1357" t="s">
        <v>7024</v>
      </c>
      <c r="AQ1357" t="s">
        <v>14717</v>
      </c>
      <c r="AT1357" s="184">
        <v>34232</v>
      </c>
      <c r="AU1357" t="s">
        <v>14718</v>
      </c>
      <c r="AV1357">
        <v>25</v>
      </c>
      <c r="AW1357" s="184">
        <v>43920</v>
      </c>
      <c r="AX1357" t="s">
        <v>14719</v>
      </c>
      <c r="AY1357">
        <v>35</v>
      </c>
      <c r="AZ1357" s="184">
        <v>39066</v>
      </c>
      <c r="BA1357" t="s">
        <v>14720</v>
      </c>
      <c r="BB1357">
        <v>87</v>
      </c>
      <c r="BC1357">
        <v>72</v>
      </c>
      <c r="BD1357">
        <v>1253</v>
      </c>
      <c r="BE1357">
        <v>1994</v>
      </c>
      <c r="BF1357">
        <v>42</v>
      </c>
      <c r="BI1357">
        <v>23</v>
      </c>
      <c r="BJ1357">
        <v>32</v>
      </c>
      <c r="BK1357">
        <v>14</v>
      </c>
    </row>
    <row r="1358" spans="1:68">
      <c r="A1358">
        <v>10422319</v>
      </c>
      <c r="B1358">
        <v>10422319</v>
      </c>
      <c r="C1358" t="s">
        <v>7018</v>
      </c>
      <c r="E1358" s="184"/>
      <c r="G1358" s="184"/>
      <c r="I1358" s="184"/>
      <c r="J1358" t="s">
        <v>595</v>
      </c>
      <c r="K1358" s="184">
        <v>39549</v>
      </c>
      <c r="O1358" s="184"/>
      <c r="P1358" t="s">
        <v>7045</v>
      </c>
      <c r="Q1358" t="s">
        <v>7262</v>
      </c>
      <c r="R1358" s="184">
        <v>21885</v>
      </c>
      <c r="S1358">
        <v>64</v>
      </c>
      <c r="U1358" t="s">
        <v>7031</v>
      </c>
      <c r="V1358" t="s">
        <v>2665</v>
      </c>
      <c r="W1358" t="s">
        <v>2058</v>
      </c>
      <c r="X1358" t="s">
        <v>14721</v>
      </c>
      <c r="Z1358">
        <v>100038607</v>
      </c>
      <c r="AA1358" t="s">
        <v>7130</v>
      </c>
      <c r="AB1358" t="s">
        <v>3043</v>
      </c>
      <c r="AD1358" t="s">
        <v>14721</v>
      </c>
      <c r="AF1358" t="s">
        <v>6195</v>
      </c>
      <c r="AG1358" t="s">
        <v>14722</v>
      </c>
      <c r="AI1358" t="s">
        <v>14723</v>
      </c>
      <c r="AM1358" t="s">
        <v>14724</v>
      </c>
      <c r="AN1358" t="s">
        <v>2069</v>
      </c>
      <c r="AO1358" t="s">
        <v>14725</v>
      </c>
      <c r="AP1358" t="s">
        <v>7024</v>
      </c>
      <c r="AQ1358" t="s">
        <v>14726</v>
      </c>
      <c r="AR1358" t="s">
        <v>14727</v>
      </c>
      <c r="AT1358" s="184">
        <v>34232</v>
      </c>
      <c r="AU1358" t="s">
        <v>14728</v>
      </c>
      <c r="AV1358">
        <v>25</v>
      </c>
      <c r="AW1358" s="184">
        <v>45362</v>
      </c>
      <c r="AX1358" t="s">
        <v>14729</v>
      </c>
      <c r="AY1358">
        <v>250</v>
      </c>
      <c r="AZ1358" s="184">
        <v>44028</v>
      </c>
      <c r="BA1358" t="s">
        <v>14730</v>
      </c>
      <c r="BB1358">
        <v>500</v>
      </c>
      <c r="BC1358">
        <v>82</v>
      </c>
      <c r="BD1358">
        <v>4494</v>
      </c>
      <c r="BE1358">
        <v>1994</v>
      </c>
      <c r="BF1358">
        <v>30</v>
      </c>
      <c r="BG1358">
        <v>2</v>
      </c>
      <c r="BH1358">
        <v>500</v>
      </c>
      <c r="BI1358">
        <v>26</v>
      </c>
      <c r="BJ1358">
        <v>32</v>
      </c>
      <c r="BK1358">
        <v>11</v>
      </c>
      <c r="BP1358" s="184"/>
    </row>
    <row r="1359" spans="1:68">
      <c r="A1359">
        <v>100038607</v>
      </c>
      <c r="B1359">
        <v>10422319</v>
      </c>
      <c r="C1359" t="s">
        <v>7018</v>
      </c>
      <c r="E1359" s="184"/>
      <c r="G1359" s="184"/>
      <c r="I1359" s="184"/>
      <c r="J1359" t="s">
        <v>595</v>
      </c>
      <c r="K1359" s="184">
        <v>43649</v>
      </c>
      <c r="O1359" s="184"/>
      <c r="P1359" t="s">
        <v>7045</v>
      </c>
      <c r="Q1359" t="s">
        <v>7262</v>
      </c>
      <c r="R1359" s="184">
        <v>21186</v>
      </c>
      <c r="S1359">
        <v>66</v>
      </c>
      <c r="U1359" t="s">
        <v>7130</v>
      </c>
      <c r="V1359" t="s">
        <v>3043</v>
      </c>
      <c r="X1359" t="s">
        <v>14721</v>
      </c>
      <c r="Z1359">
        <v>10422319</v>
      </c>
      <c r="AA1359" t="s">
        <v>7031</v>
      </c>
      <c r="AB1359" t="s">
        <v>2665</v>
      </c>
      <c r="AC1359" t="s">
        <v>2058</v>
      </c>
      <c r="AD1359" t="s">
        <v>14721</v>
      </c>
      <c r="AF1359" t="s">
        <v>6195</v>
      </c>
      <c r="AG1359" t="s">
        <v>14722</v>
      </c>
      <c r="AI1359" t="s">
        <v>14723</v>
      </c>
      <c r="AM1359" t="s">
        <v>14724</v>
      </c>
      <c r="AN1359" t="s">
        <v>2069</v>
      </c>
      <c r="AO1359" t="s">
        <v>14725</v>
      </c>
      <c r="AP1359" t="s">
        <v>7024</v>
      </c>
      <c r="AT1359" s="184"/>
      <c r="AW1359" s="184"/>
      <c r="AZ1359" s="184"/>
      <c r="BP1359" s="184"/>
    </row>
    <row r="1360" spans="1:68">
      <c r="A1360">
        <v>10448272</v>
      </c>
      <c r="B1360">
        <v>10448272</v>
      </c>
      <c r="C1360" t="s">
        <v>7018</v>
      </c>
      <c r="D1360" t="s">
        <v>595</v>
      </c>
      <c r="E1360" s="184">
        <v>43808</v>
      </c>
      <c r="G1360" s="184"/>
      <c r="I1360" s="184"/>
      <c r="K1360" s="184"/>
      <c r="M1360" s="184"/>
      <c r="O1360" s="184"/>
      <c r="P1360" t="s">
        <v>7045</v>
      </c>
      <c r="Q1360" t="s">
        <v>7374</v>
      </c>
      <c r="R1360" s="184">
        <v>16834</v>
      </c>
      <c r="S1360">
        <v>78</v>
      </c>
      <c r="V1360" t="s">
        <v>2804</v>
      </c>
      <c r="X1360" t="s">
        <v>3201</v>
      </c>
      <c r="AF1360" t="s">
        <v>14731</v>
      </c>
      <c r="AG1360" t="s">
        <v>2804</v>
      </c>
      <c r="AI1360" t="s">
        <v>14732</v>
      </c>
      <c r="AM1360" t="s">
        <v>4446</v>
      </c>
      <c r="AN1360" t="s">
        <v>2081</v>
      </c>
      <c r="AO1360" t="s">
        <v>14733</v>
      </c>
      <c r="AP1360" t="s">
        <v>7024</v>
      </c>
      <c r="AQ1360" t="s">
        <v>14734</v>
      </c>
      <c r="AT1360" s="184">
        <v>34235</v>
      </c>
      <c r="AU1360" t="s">
        <v>14735</v>
      </c>
      <c r="AV1360">
        <v>15</v>
      </c>
      <c r="AW1360" s="184">
        <v>45007</v>
      </c>
      <c r="AX1360" t="s">
        <v>14736</v>
      </c>
      <c r="AY1360">
        <v>15</v>
      </c>
      <c r="AZ1360" s="184">
        <v>43580</v>
      </c>
      <c r="BA1360" t="s">
        <v>14737</v>
      </c>
      <c r="BB1360">
        <v>25</v>
      </c>
      <c r="BC1360">
        <v>57</v>
      </c>
      <c r="BD1360">
        <v>590</v>
      </c>
      <c r="BE1360">
        <v>1994</v>
      </c>
      <c r="BF1360">
        <v>31</v>
      </c>
      <c r="BG1360">
        <v>1</v>
      </c>
      <c r="BH1360">
        <v>15</v>
      </c>
      <c r="BI1360">
        <v>18</v>
      </c>
      <c r="BJ1360">
        <v>32</v>
      </c>
      <c r="BK1360">
        <v>12</v>
      </c>
    </row>
    <row r="1361" spans="1:68">
      <c r="A1361">
        <v>10465284</v>
      </c>
      <c r="B1361">
        <v>10465284</v>
      </c>
      <c r="C1361" t="s">
        <v>7018</v>
      </c>
      <c r="E1361" s="184"/>
      <c r="G1361" s="184"/>
      <c r="I1361" s="184"/>
      <c r="J1361" t="s">
        <v>595</v>
      </c>
      <c r="K1361" s="184">
        <v>42711</v>
      </c>
      <c r="O1361" s="184"/>
      <c r="P1361" t="s">
        <v>7029</v>
      </c>
      <c r="Q1361" t="s">
        <v>7160</v>
      </c>
      <c r="R1361" s="184">
        <v>12447</v>
      </c>
      <c r="S1361">
        <v>90</v>
      </c>
      <c r="U1361" t="s">
        <v>7076</v>
      </c>
      <c r="V1361" t="s">
        <v>3095</v>
      </c>
      <c r="W1361" t="s">
        <v>4327</v>
      </c>
      <c r="X1361" t="s">
        <v>14738</v>
      </c>
      <c r="AF1361" t="s">
        <v>14739</v>
      </c>
      <c r="AG1361" t="s">
        <v>3095</v>
      </c>
      <c r="AI1361" t="s">
        <v>14740</v>
      </c>
      <c r="AM1361" t="s">
        <v>3989</v>
      </c>
      <c r="AN1361" t="s">
        <v>2413</v>
      </c>
      <c r="AO1361" t="s">
        <v>14741</v>
      </c>
      <c r="AP1361" t="s">
        <v>7024</v>
      </c>
      <c r="AQ1361" t="s">
        <v>14742</v>
      </c>
      <c r="AR1361" t="s">
        <v>14743</v>
      </c>
      <c r="AT1361" s="184">
        <v>34239</v>
      </c>
      <c r="AU1361" t="s">
        <v>14718</v>
      </c>
      <c r="AV1361">
        <v>25</v>
      </c>
      <c r="AW1361" s="184">
        <v>45393</v>
      </c>
      <c r="AX1361" t="s">
        <v>11949</v>
      </c>
      <c r="AY1361">
        <v>1000</v>
      </c>
      <c r="AZ1361" s="184">
        <v>45393</v>
      </c>
      <c r="BA1361" t="s">
        <v>11949</v>
      </c>
      <c r="BB1361">
        <v>1000</v>
      </c>
      <c r="BC1361">
        <v>88</v>
      </c>
      <c r="BD1361">
        <v>8020</v>
      </c>
      <c r="BE1361">
        <v>1994</v>
      </c>
      <c r="BF1361">
        <v>44</v>
      </c>
      <c r="BG1361">
        <v>3</v>
      </c>
      <c r="BH1361">
        <v>2500</v>
      </c>
      <c r="BI1361">
        <v>28</v>
      </c>
      <c r="BJ1361">
        <v>32</v>
      </c>
      <c r="BK1361">
        <v>23</v>
      </c>
    </row>
    <row r="1362" spans="1:68">
      <c r="A1362">
        <v>10500635</v>
      </c>
      <c r="B1362">
        <v>10500635</v>
      </c>
      <c r="C1362" t="s">
        <v>7018</v>
      </c>
      <c r="E1362" s="184"/>
      <c r="G1362" s="184"/>
      <c r="I1362" s="184"/>
      <c r="K1362" s="184"/>
      <c r="N1362" t="s">
        <v>595</v>
      </c>
      <c r="O1362" s="184">
        <v>41639</v>
      </c>
      <c r="P1362" t="s">
        <v>7045</v>
      </c>
      <c r="Q1362" t="s">
        <v>7262</v>
      </c>
      <c r="R1362" s="184">
        <v>17057</v>
      </c>
      <c r="S1362">
        <v>77</v>
      </c>
      <c r="U1362" t="s">
        <v>7076</v>
      </c>
      <c r="V1362" t="s">
        <v>3043</v>
      </c>
      <c r="W1362" t="s">
        <v>2958</v>
      </c>
      <c r="X1362" t="s">
        <v>4363</v>
      </c>
      <c r="Z1362">
        <v>100309600</v>
      </c>
      <c r="AB1362" t="s">
        <v>5435</v>
      </c>
      <c r="AD1362" t="s">
        <v>5436</v>
      </c>
      <c r="AF1362" t="s">
        <v>14744</v>
      </c>
      <c r="AG1362" t="s">
        <v>14745</v>
      </c>
      <c r="AI1362" t="s">
        <v>14746</v>
      </c>
      <c r="AM1362" t="s">
        <v>2679</v>
      </c>
      <c r="AN1362" t="s">
        <v>2318</v>
      </c>
      <c r="AO1362" t="s">
        <v>14747</v>
      </c>
      <c r="AP1362" t="s">
        <v>7024</v>
      </c>
      <c r="AQ1362" t="s">
        <v>14748</v>
      </c>
      <c r="AT1362" s="184">
        <v>34249</v>
      </c>
      <c r="AU1362" t="s">
        <v>14029</v>
      </c>
      <c r="AV1362">
        <v>19.95</v>
      </c>
      <c r="AW1362" s="184">
        <v>45229</v>
      </c>
      <c r="AX1362" t="s">
        <v>7684</v>
      </c>
      <c r="AY1362">
        <v>50</v>
      </c>
      <c r="AZ1362" s="184">
        <v>41639</v>
      </c>
      <c r="BA1362" t="s">
        <v>7707</v>
      </c>
      <c r="BB1362">
        <v>100000</v>
      </c>
      <c r="BC1362">
        <v>85</v>
      </c>
      <c r="BD1362">
        <v>101329.95</v>
      </c>
      <c r="BE1362">
        <v>1994</v>
      </c>
      <c r="BF1362">
        <v>34</v>
      </c>
      <c r="BG1362">
        <v>2</v>
      </c>
      <c r="BH1362">
        <v>100</v>
      </c>
      <c r="BI1362">
        <v>27</v>
      </c>
      <c r="BJ1362">
        <v>32</v>
      </c>
      <c r="BK1362">
        <v>17</v>
      </c>
      <c r="BP1362" s="184"/>
    </row>
    <row r="1363" spans="1:68">
      <c r="A1363">
        <v>100309600</v>
      </c>
      <c r="B1363">
        <v>10500635</v>
      </c>
      <c r="C1363" t="s">
        <v>7018</v>
      </c>
      <c r="E1363" s="184"/>
      <c r="G1363" s="184"/>
      <c r="I1363" s="184"/>
      <c r="J1363" t="s">
        <v>595</v>
      </c>
      <c r="K1363" s="184">
        <v>44460</v>
      </c>
      <c r="N1363" t="s">
        <v>595</v>
      </c>
      <c r="O1363" s="184">
        <v>41639</v>
      </c>
      <c r="P1363" t="s">
        <v>7045</v>
      </c>
      <c r="Q1363" t="s">
        <v>7262</v>
      </c>
      <c r="R1363" s="184">
        <v>19590</v>
      </c>
      <c r="S1363">
        <v>70</v>
      </c>
      <c r="V1363" t="s">
        <v>5435</v>
      </c>
      <c r="X1363" t="s">
        <v>5436</v>
      </c>
      <c r="Z1363">
        <v>10500635</v>
      </c>
      <c r="AA1363" t="s">
        <v>7076</v>
      </c>
      <c r="AB1363" t="s">
        <v>3043</v>
      </c>
      <c r="AC1363" t="s">
        <v>2958</v>
      </c>
      <c r="AD1363" t="s">
        <v>4363</v>
      </c>
      <c r="AF1363" t="s">
        <v>14744</v>
      </c>
      <c r="AG1363" t="s">
        <v>14745</v>
      </c>
      <c r="AI1363" t="s">
        <v>14746</v>
      </c>
      <c r="AM1363" t="s">
        <v>2679</v>
      </c>
      <c r="AN1363" t="s">
        <v>2318</v>
      </c>
      <c r="AO1363" t="s">
        <v>14747</v>
      </c>
      <c r="AP1363" t="s">
        <v>7024</v>
      </c>
      <c r="AT1363" s="184"/>
      <c r="AW1363" s="184"/>
      <c r="AZ1363" s="184"/>
      <c r="BP1363" s="184"/>
    </row>
    <row r="1364" spans="1:68">
      <c r="A1364">
        <v>10532927</v>
      </c>
      <c r="B1364">
        <v>10532927</v>
      </c>
      <c r="C1364" t="s">
        <v>7018</v>
      </c>
      <c r="D1364" t="s">
        <v>595</v>
      </c>
      <c r="E1364" s="184">
        <v>44073</v>
      </c>
      <c r="G1364" s="184"/>
      <c r="I1364" s="184"/>
      <c r="K1364" s="184"/>
      <c r="P1364" t="s">
        <v>7045</v>
      </c>
      <c r="Q1364" t="s">
        <v>7494</v>
      </c>
      <c r="R1364" s="184">
        <v>11173</v>
      </c>
      <c r="S1364">
        <v>93</v>
      </c>
      <c r="U1364" t="s">
        <v>7076</v>
      </c>
      <c r="V1364" t="s">
        <v>2876</v>
      </c>
      <c r="W1364" t="s">
        <v>2049</v>
      </c>
      <c r="X1364" t="s">
        <v>14749</v>
      </c>
      <c r="AF1364" t="s">
        <v>14750</v>
      </c>
      <c r="AG1364" t="s">
        <v>2876</v>
      </c>
      <c r="AI1364" t="s">
        <v>14751</v>
      </c>
      <c r="AM1364" t="s">
        <v>4006</v>
      </c>
      <c r="AN1364" t="s">
        <v>2174</v>
      </c>
      <c r="AO1364" t="s">
        <v>14752</v>
      </c>
      <c r="AP1364" t="s">
        <v>7024</v>
      </c>
      <c r="AQ1364" t="s">
        <v>14753</v>
      </c>
      <c r="AT1364" s="184">
        <v>34255</v>
      </c>
      <c r="AU1364" t="s">
        <v>14754</v>
      </c>
      <c r="AV1364">
        <v>15</v>
      </c>
      <c r="AW1364" s="184">
        <v>45099</v>
      </c>
      <c r="AX1364" t="s">
        <v>14755</v>
      </c>
      <c r="AY1364">
        <v>250</v>
      </c>
      <c r="AZ1364" s="184">
        <v>45099</v>
      </c>
      <c r="BA1364" t="s">
        <v>14755</v>
      </c>
      <c r="BB1364">
        <v>250</v>
      </c>
      <c r="BC1364">
        <v>72</v>
      </c>
      <c r="BD1364">
        <v>1800</v>
      </c>
      <c r="BE1364">
        <v>1994</v>
      </c>
      <c r="BF1364">
        <v>30</v>
      </c>
      <c r="BG1364">
        <v>3</v>
      </c>
      <c r="BH1364">
        <v>525</v>
      </c>
      <c r="BI1364">
        <v>23</v>
      </c>
      <c r="BJ1364">
        <v>32</v>
      </c>
      <c r="BK1364">
        <v>7</v>
      </c>
    </row>
    <row r="1365" spans="1:68">
      <c r="A1365">
        <v>10536928</v>
      </c>
      <c r="B1365">
        <v>10536928</v>
      </c>
      <c r="C1365" t="s">
        <v>7018</v>
      </c>
      <c r="E1365" s="184"/>
      <c r="G1365" s="184"/>
      <c r="I1365" s="184"/>
      <c r="J1365" t="s">
        <v>595</v>
      </c>
      <c r="K1365" s="184">
        <v>38211</v>
      </c>
      <c r="O1365" s="184"/>
      <c r="P1365" t="s">
        <v>7029</v>
      </c>
      <c r="Q1365" t="s">
        <v>7383</v>
      </c>
      <c r="R1365" s="184">
        <v>23676</v>
      </c>
      <c r="S1365">
        <v>59</v>
      </c>
      <c r="U1365" t="s">
        <v>7076</v>
      </c>
      <c r="V1365" t="s">
        <v>2602</v>
      </c>
      <c r="W1365" t="s">
        <v>7560</v>
      </c>
      <c r="X1365" t="s">
        <v>5598</v>
      </c>
      <c r="Z1365">
        <v>100038910</v>
      </c>
      <c r="AA1365" t="s">
        <v>7076</v>
      </c>
      <c r="AB1365" t="s">
        <v>2651</v>
      </c>
      <c r="AD1365" t="s">
        <v>3852</v>
      </c>
      <c r="AF1365" t="s">
        <v>14756</v>
      </c>
      <c r="AG1365" t="s">
        <v>14757</v>
      </c>
      <c r="AI1365" t="s">
        <v>14758</v>
      </c>
      <c r="AM1365" t="s">
        <v>4965</v>
      </c>
      <c r="AN1365" t="s">
        <v>2144</v>
      </c>
      <c r="AO1365" t="s">
        <v>14759</v>
      </c>
      <c r="AP1365" t="s">
        <v>7024</v>
      </c>
      <c r="AQ1365" t="s">
        <v>14760</v>
      </c>
      <c r="AR1365" t="s">
        <v>14761</v>
      </c>
      <c r="AT1365" s="184">
        <v>34250</v>
      </c>
      <c r="AU1365" t="s">
        <v>14762</v>
      </c>
      <c r="AV1365">
        <v>15</v>
      </c>
      <c r="AW1365" s="184">
        <v>45286</v>
      </c>
      <c r="AX1365" t="s">
        <v>7749</v>
      </c>
      <c r="AY1365">
        <v>4200</v>
      </c>
      <c r="AZ1365" s="184">
        <v>42803</v>
      </c>
      <c r="BA1365" t="s">
        <v>14763</v>
      </c>
      <c r="BB1365">
        <v>5000</v>
      </c>
      <c r="BC1365">
        <v>69</v>
      </c>
      <c r="BD1365">
        <v>45416</v>
      </c>
      <c r="BE1365">
        <v>1994</v>
      </c>
      <c r="BF1365">
        <v>33</v>
      </c>
      <c r="BG1365">
        <v>2</v>
      </c>
      <c r="BH1365">
        <v>6700</v>
      </c>
      <c r="BI1365">
        <v>22</v>
      </c>
      <c r="BJ1365">
        <v>32</v>
      </c>
      <c r="BK1365">
        <v>17</v>
      </c>
      <c r="BN1365" t="s">
        <v>595</v>
      </c>
      <c r="BP1365" s="184"/>
    </row>
    <row r="1366" spans="1:68">
      <c r="A1366">
        <v>100038910</v>
      </c>
      <c r="B1366">
        <v>10536928</v>
      </c>
      <c r="C1366" t="s">
        <v>7018</v>
      </c>
      <c r="E1366" s="184"/>
      <c r="G1366" s="184"/>
      <c r="I1366" s="184"/>
      <c r="J1366" t="s">
        <v>595</v>
      </c>
      <c r="K1366" s="184">
        <v>43654</v>
      </c>
      <c r="O1366" s="184"/>
      <c r="P1366" t="s">
        <v>7029</v>
      </c>
      <c r="Q1366" t="s">
        <v>7383</v>
      </c>
      <c r="R1366" s="184">
        <v>18421</v>
      </c>
      <c r="S1366">
        <v>73</v>
      </c>
      <c r="U1366" t="s">
        <v>7076</v>
      </c>
      <c r="V1366" t="s">
        <v>2651</v>
      </c>
      <c r="X1366" t="s">
        <v>3852</v>
      </c>
      <c r="Z1366">
        <v>10536928</v>
      </c>
      <c r="AA1366" t="s">
        <v>7076</v>
      </c>
      <c r="AB1366" t="s">
        <v>2602</v>
      </c>
      <c r="AC1366" t="s">
        <v>7560</v>
      </c>
      <c r="AD1366" t="s">
        <v>5598</v>
      </c>
      <c r="AF1366" t="s">
        <v>14756</v>
      </c>
      <c r="AG1366" t="s">
        <v>14757</v>
      </c>
      <c r="AI1366" t="s">
        <v>14758</v>
      </c>
      <c r="AM1366" t="s">
        <v>4965</v>
      </c>
      <c r="AN1366" t="s">
        <v>2144</v>
      </c>
      <c r="AO1366" t="s">
        <v>14759</v>
      </c>
      <c r="AP1366" t="s">
        <v>7024</v>
      </c>
      <c r="AQ1366" t="s">
        <v>14764</v>
      </c>
      <c r="AT1366" s="184"/>
      <c r="AW1366" s="184"/>
      <c r="AZ1366" s="184"/>
      <c r="BP1366" s="184"/>
    </row>
    <row r="1367" spans="1:68">
      <c r="A1367">
        <v>10545267</v>
      </c>
      <c r="B1367">
        <v>10545267</v>
      </c>
      <c r="C1367" t="s">
        <v>7018</v>
      </c>
      <c r="D1367" t="s">
        <v>595</v>
      </c>
      <c r="E1367" s="184">
        <v>43647</v>
      </c>
      <c r="G1367" s="184"/>
      <c r="I1367" s="184"/>
      <c r="K1367" s="184"/>
      <c r="M1367" s="184"/>
      <c r="O1367" s="184"/>
      <c r="P1367" t="s">
        <v>7045</v>
      </c>
      <c r="Q1367" t="s">
        <v>7020</v>
      </c>
      <c r="R1367" s="184">
        <v>15798</v>
      </c>
      <c r="S1367">
        <v>81</v>
      </c>
      <c r="U1367" t="s">
        <v>7031</v>
      </c>
      <c r="V1367" t="s">
        <v>2863</v>
      </c>
      <c r="W1367" t="s">
        <v>115</v>
      </c>
      <c r="X1367" t="s">
        <v>3518</v>
      </c>
      <c r="AF1367" t="s">
        <v>14765</v>
      </c>
      <c r="AG1367" t="s">
        <v>2863</v>
      </c>
      <c r="AI1367" t="s">
        <v>14766</v>
      </c>
      <c r="AM1367" t="s">
        <v>3519</v>
      </c>
      <c r="AN1367" t="s">
        <v>2112</v>
      </c>
      <c r="AO1367" t="s">
        <v>14767</v>
      </c>
      <c r="AP1367" t="s">
        <v>7024</v>
      </c>
      <c r="AT1367" s="184">
        <v>34254</v>
      </c>
      <c r="AU1367" t="s">
        <v>14768</v>
      </c>
      <c r="AV1367">
        <v>25</v>
      </c>
      <c r="AW1367" s="184">
        <v>44970</v>
      </c>
      <c r="AX1367" t="s">
        <v>14769</v>
      </c>
      <c r="AY1367">
        <v>100</v>
      </c>
      <c r="AZ1367" s="184">
        <v>44608</v>
      </c>
      <c r="BA1367" t="s">
        <v>14770</v>
      </c>
      <c r="BB1367">
        <v>150</v>
      </c>
      <c r="BC1367">
        <v>91</v>
      </c>
      <c r="BD1367">
        <v>2476</v>
      </c>
      <c r="BE1367">
        <v>1994</v>
      </c>
      <c r="BF1367">
        <v>41</v>
      </c>
      <c r="BG1367">
        <v>1</v>
      </c>
      <c r="BH1367">
        <v>100</v>
      </c>
      <c r="BI1367">
        <v>29</v>
      </c>
      <c r="BJ1367">
        <v>32</v>
      </c>
      <c r="BK1367">
        <v>16</v>
      </c>
      <c r="BP1367" s="184"/>
    </row>
    <row r="1368" spans="1:68">
      <c r="A1368">
        <v>10575769</v>
      </c>
      <c r="B1368">
        <v>10575769</v>
      </c>
      <c r="C1368" t="s">
        <v>7018</v>
      </c>
      <c r="D1368" t="s">
        <v>595</v>
      </c>
      <c r="E1368" s="184">
        <v>44328</v>
      </c>
      <c r="G1368" s="184"/>
      <c r="H1368" t="s">
        <v>595</v>
      </c>
      <c r="I1368" s="184">
        <v>44167</v>
      </c>
      <c r="J1368" t="s">
        <v>595</v>
      </c>
      <c r="K1368" s="184">
        <v>44167</v>
      </c>
      <c r="O1368" s="184"/>
      <c r="P1368" t="s">
        <v>7045</v>
      </c>
      <c r="Q1368" t="s">
        <v>7374</v>
      </c>
      <c r="R1368" s="184">
        <v>11871</v>
      </c>
      <c r="S1368">
        <v>91</v>
      </c>
      <c r="U1368" t="s">
        <v>7076</v>
      </c>
      <c r="V1368" t="s">
        <v>2586</v>
      </c>
      <c r="W1368" t="s">
        <v>14771</v>
      </c>
      <c r="X1368" t="s">
        <v>14772</v>
      </c>
      <c r="AF1368" t="s">
        <v>14773</v>
      </c>
      <c r="AG1368" t="s">
        <v>2586</v>
      </c>
      <c r="AI1368" t="s">
        <v>14774</v>
      </c>
      <c r="AM1368" t="s">
        <v>14775</v>
      </c>
      <c r="AN1368" t="s">
        <v>2081</v>
      </c>
      <c r="AO1368" t="s">
        <v>14776</v>
      </c>
      <c r="AP1368" t="s">
        <v>7024</v>
      </c>
      <c r="AT1368" s="184">
        <v>34257</v>
      </c>
      <c r="AU1368" t="s">
        <v>14762</v>
      </c>
      <c r="AV1368">
        <v>15</v>
      </c>
      <c r="AW1368" s="184">
        <v>44312</v>
      </c>
      <c r="AX1368" t="s">
        <v>14777</v>
      </c>
      <c r="AY1368">
        <v>15</v>
      </c>
      <c r="AZ1368" s="184">
        <v>36354</v>
      </c>
      <c r="BA1368" t="s">
        <v>14778</v>
      </c>
      <c r="BB1368">
        <v>25</v>
      </c>
      <c r="BC1368">
        <v>22</v>
      </c>
      <c r="BD1368">
        <v>100</v>
      </c>
      <c r="BE1368">
        <v>1994</v>
      </c>
      <c r="BF1368">
        <v>8</v>
      </c>
      <c r="BI1368">
        <v>7</v>
      </c>
      <c r="BJ1368">
        <v>32</v>
      </c>
      <c r="BK1368">
        <v>4</v>
      </c>
      <c r="BP1368" s="184"/>
    </row>
    <row r="1369" spans="1:68">
      <c r="A1369">
        <v>10605673</v>
      </c>
      <c r="B1369">
        <v>10605673</v>
      </c>
      <c r="C1369" t="s">
        <v>7018</v>
      </c>
      <c r="D1369" t="s">
        <v>595</v>
      </c>
      <c r="E1369" s="184">
        <v>44070</v>
      </c>
      <c r="G1369" s="184"/>
      <c r="I1369" s="184"/>
      <c r="K1369" s="184"/>
      <c r="O1369" s="184"/>
      <c r="P1369" t="s">
        <v>7045</v>
      </c>
      <c r="Q1369" t="s">
        <v>7383</v>
      </c>
      <c r="R1369" s="184">
        <v>21794</v>
      </c>
      <c r="S1369">
        <v>64</v>
      </c>
      <c r="U1369" t="s">
        <v>7031</v>
      </c>
      <c r="V1369" t="s">
        <v>2697</v>
      </c>
      <c r="W1369" t="s">
        <v>3951</v>
      </c>
      <c r="X1369" t="s">
        <v>3716</v>
      </c>
      <c r="Z1369">
        <v>100039101</v>
      </c>
      <c r="AA1369" t="s">
        <v>7130</v>
      </c>
      <c r="AB1369" t="s">
        <v>3317</v>
      </c>
      <c r="AC1369" t="s">
        <v>4327</v>
      </c>
      <c r="AD1369" t="s">
        <v>3716</v>
      </c>
      <c r="AF1369" t="s">
        <v>14779</v>
      </c>
      <c r="AG1369" t="s">
        <v>14780</v>
      </c>
      <c r="AI1369" t="s">
        <v>14781</v>
      </c>
      <c r="AM1369" t="s">
        <v>14782</v>
      </c>
      <c r="AN1369" t="s">
        <v>2419</v>
      </c>
      <c r="AO1369" t="s">
        <v>14783</v>
      </c>
      <c r="AP1369" t="s">
        <v>7024</v>
      </c>
      <c r="AQ1369" t="s">
        <v>14784</v>
      </c>
      <c r="AT1369" s="184">
        <v>34260</v>
      </c>
      <c r="AU1369" t="s">
        <v>14768</v>
      </c>
      <c r="AV1369">
        <v>25</v>
      </c>
      <c r="AW1369" s="184">
        <v>45078</v>
      </c>
      <c r="AX1369" t="s">
        <v>9959</v>
      </c>
      <c r="AY1369">
        <v>100</v>
      </c>
      <c r="AZ1369" s="184">
        <v>45078</v>
      </c>
      <c r="BA1369" t="s">
        <v>9959</v>
      </c>
      <c r="BB1369">
        <v>100</v>
      </c>
      <c r="BC1369">
        <v>94</v>
      </c>
      <c r="BD1369">
        <v>3484.97</v>
      </c>
      <c r="BE1369">
        <v>1994</v>
      </c>
      <c r="BF1369">
        <v>50</v>
      </c>
      <c r="BG1369">
        <v>2</v>
      </c>
      <c r="BH1369">
        <v>200</v>
      </c>
      <c r="BI1369">
        <v>30</v>
      </c>
      <c r="BJ1369">
        <v>32</v>
      </c>
      <c r="BK1369">
        <v>28</v>
      </c>
      <c r="BP1369" s="184"/>
    </row>
    <row r="1370" spans="1:68">
      <c r="A1370">
        <v>100039101</v>
      </c>
      <c r="B1370">
        <v>10605673</v>
      </c>
      <c r="C1370" t="s">
        <v>7018</v>
      </c>
      <c r="D1370" t="s">
        <v>595</v>
      </c>
      <c r="E1370" s="184">
        <v>44070</v>
      </c>
      <c r="G1370" s="184"/>
      <c r="I1370" s="184"/>
      <c r="K1370" s="184"/>
      <c r="M1370" s="184"/>
      <c r="O1370" s="184"/>
      <c r="P1370" t="s">
        <v>7045</v>
      </c>
      <c r="Q1370" t="s">
        <v>7383</v>
      </c>
      <c r="R1370" s="184">
        <v>22591</v>
      </c>
      <c r="S1370">
        <v>62</v>
      </c>
      <c r="U1370" t="s">
        <v>7130</v>
      </c>
      <c r="V1370" t="s">
        <v>3317</v>
      </c>
      <c r="W1370" t="s">
        <v>4327</v>
      </c>
      <c r="X1370" t="s">
        <v>3716</v>
      </c>
      <c r="Z1370">
        <v>10605673</v>
      </c>
      <c r="AA1370" t="s">
        <v>7031</v>
      </c>
      <c r="AB1370" t="s">
        <v>2697</v>
      </c>
      <c r="AC1370" t="s">
        <v>3951</v>
      </c>
      <c r="AD1370" t="s">
        <v>3716</v>
      </c>
      <c r="AF1370" t="s">
        <v>14779</v>
      </c>
      <c r="AG1370" t="s">
        <v>14780</v>
      </c>
      <c r="AI1370" t="s">
        <v>14781</v>
      </c>
      <c r="AM1370" t="s">
        <v>14782</v>
      </c>
      <c r="AN1370" t="s">
        <v>2419</v>
      </c>
      <c r="AO1370" t="s">
        <v>14783</v>
      </c>
      <c r="AP1370" t="s">
        <v>7024</v>
      </c>
      <c r="AT1370" s="184"/>
      <c r="AW1370" s="184"/>
      <c r="AZ1370" s="184"/>
      <c r="BP1370" s="184"/>
    </row>
    <row r="1371" spans="1:68">
      <c r="A1371">
        <v>10609923</v>
      </c>
      <c r="B1371">
        <v>10609923</v>
      </c>
      <c r="C1371" t="s">
        <v>7018</v>
      </c>
      <c r="D1371" t="s">
        <v>595</v>
      </c>
      <c r="E1371" s="184">
        <v>43970</v>
      </c>
      <c r="G1371" s="184"/>
      <c r="I1371" s="184"/>
      <c r="K1371" s="184"/>
      <c r="M1371" s="184"/>
      <c r="O1371" s="184"/>
      <c r="P1371" t="s">
        <v>7045</v>
      </c>
      <c r="Q1371" t="s">
        <v>7194</v>
      </c>
      <c r="R1371" s="184">
        <v>18810</v>
      </c>
      <c r="S1371">
        <v>72</v>
      </c>
      <c r="U1371" t="s">
        <v>7031</v>
      </c>
      <c r="V1371" t="s">
        <v>2979</v>
      </c>
      <c r="W1371" t="s">
        <v>5006</v>
      </c>
      <c r="X1371" t="s">
        <v>14785</v>
      </c>
      <c r="AF1371" t="s">
        <v>14786</v>
      </c>
      <c r="AG1371" t="s">
        <v>2979</v>
      </c>
      <c r="AI1371" t="s">
        <v>14787</v>
      </c>
      <c r="AM1371" t="s">
        <v>4266</v>
      </c>
      <c r="AN1371" t="s">
        <v>2046</v>
      </c>
      <c r="AO1371" t="s">
        <v>14788</v>
      </c>
      <c r="AP1371" t="s">
        <v>7024</v>
      </c>
      <c r="AQ1371" t="s">
        <v>14789</v>
      </c>
      <c r="AT1371" s="184">
        <v>34260</v>
      </c>
      <c r="AU1371" t="s">
        <v>14790</v>
      </c>
      <c r="AV1371">
        <v>50</v>
      </c>
      <c r="AW1371" s="184">
        <v>41932</v>
      </c>
      <c r="AX1371" t="s">
        <v>14791</v>
      </c>
      <c r="AY1371">
        <v>100</v>
      </c>
      <c r="AZ1371" s="184">
        <v>38288</v>
      </c>
      <c r="BA1371" t="s">
        <v>14792</v>
      </c>
      <c r="BB1371">
        <v>250</v>
      </c>
      <c r="BC1371">
        <v>69</v>
      </c>
      <c r="BD1371">
        <v>6907</v>
      </c>
      <c r="BE1371">
        <v>1994</v>
      </c>
      <c r="BF1371">
        <v>100</v>
      </c>
      <c r="BI1371">
        <v>22</v>
      </c>
      <c r="BJ1371">
        <v>32</v>
      </c>
      <c r="BK1371">
        <v>22</v>
      </c>
      <c r="BN1371" t="s">
        <v>595</v>
      </c>
      <c r="BP1371" s="184"/>
    </row>
    <row r="1372" spans="1:68">
      <c r="A1372">
        <v>10612943</v>
      </c>
      <c r="B1372">
        <v>10612943</v>
      </c>
      <c r="C1372" t="s">
        <v>7018</v>
      </c>
      <c r="E1372" s="184"/>
      <c r="G1372" s="184"/>
      <c r="I1372" s="184"/>
      <c r="J1372" t="s">
        <v>595</v>
      </c>
      <c r="K1372" s="184">
        <v>39254</v>
      </c>
      <c r="M1372" s="184"/>
      <c r="O1372" s="184"/>
      <c r="P1372" t="s">
        <v>7045</v>
      </c>
      <c r="Q1372" t="s">
        <v>7194</v>
      </c>
      <c r="R1372" s="184">
        <v>7505</v>
      </c>
      <c r="S1372">
        <v>103</v>
      </c>
      <c r="U1372" t="s">
        <v>7076</v>
      </c>
      <c r="V1372" t="s">
        <v>3095</v>
      </c>
      <c r="W1372" t="s">
        <v>3522</v>
      </c>
      <c r="X1372" t="s">
        <v>5633</v>
      </c>
      <c r="AF1372" t="s">
        <v>6633</v>
      </c>
      <c r="AG1372" t="s">
        <v>3095</v>
      </c>
      <c r="AI1372" t="s">
        <v>14793</v>
      </c>
      <c r="AJ1372" t="s">
        <v>14794</v>
      </c>
      <c r="AM1372" t="s">
        <v>4187</v>
      </c>
      <c r="AN1372" t="s">
        <v>2046</v>
      </c>
      <c r="AO1372" t="s">
        <v>14795</v>
      </c>
      <c r="AP1372" t="s">
        <v>7024</v>
      </c>
      <c r="AT1372" s="184">
        <v>34260</v>
      </c>
      <c r="AU1372" t="s">
        <v>14796</v>
      </c>
      <c r="AV1372">
        <v>25</v>
      </c>
      <c r="AW1372" s="184">
        <v>43472</v>
      </c>
      <c r="AX1372" t="s">
        <v>14797</v>
      </c>
      <c r="AY1372">
        <v>25</v>
      </c>
      <c r="AZ1372" s="184">
        <v>43472</v>
      </c>
      <c r="BA1372" t="s">
        <v>14797</v>
      </c>
      <c r="BB1372">
        <v>25</v>
      </c>
      <c r="BC1372">
        <v>60</v>
      </c>
      <c r="BD1372">
        <v>320</v>
      </c>
      <c r="BE1372">
        <v>1994</v>
      </c>
      <c r="BF1372">
        <v>23</v>
      </c>
      <c r="BI1372">
        <v>19</v>
      </c>
      <c r="BJ1372">
        <v>32</v>
      </c>
      <c r="BK1372">
        <v>6</v>
      </c>
      <c r="BO1372" t="s">
        <v>595</v>
      </c>
    </row>
    <row r="1373" spans="1:68">
      <c r="A1373">
        <v>10627156</v>
      </c>
      <c r="B1373">
        <v>10627156</v>
      </c>
      <c r="C1373" t="s">
        <v>7018</v>
      </c>
      <c r="D1373" t="s">
        <v>595</v>
      </c>
      <c r="E1373" s="184">
        <v>43801</v>
      </c>
      <c r="G1373" s="184"/>
      <c r="I1373" s="184"/>
      <c r="K1373" s="184"/>
      <c r="M1373" s="184"/>
      <c r="O1373" s="184"/>
      <c r="P1373" t="s">
        <v>7045</v>
      </c>
      <c r="Q1373" t="s">
        <v>7194</v>
      </c>
      <c r="R1373" s="184">
        <v>16556</v>
      </c>
      <c r="S1373">
        <v>79</v>
      </c>
      <c r="U1373" t="s">
        <v>7031</v>
      </c>
      <c r="V1373" t="s">
        <v>2851</v>
      </c>
      <c r="W1373" t="s">
        <v>7588</v>
      </c>
      <c r="X1373" t="s">
        <v>4355</v>
      </c>
      <c r="AF1373" t="s">
        <v>14798</v>
      </c>
      <c r="AG1373" t="s">
        <v>2851</v>
      </c>
      <c r="AI1373" t="s">
        <v>14799</v>
      </c>
      <c r="AM1373" t="s">
        <v>4356</v>
      </c>
      <c r="AN1373" t="s">
        <v>2046</v>
      </c>
      <c r="AO1373" t="s">
        <v>14800</v>
      </c>
      <c r="AP1373" t="s">
        <v>7024</v>
      </c>
      <c r="AT1373" s="184">
        <v>34263</v>
      </c>
      <c r="AU1373" t="s">
        <v>14801</v>
      </c>
      <c r="AV1373">
        <v>25</v>
      </c>
      <c r="AW1373" s="184">
        <v>45398</v>
      </c>
      <c r="AX1373" t="s">
        <v>7742</v>
      </c>
      <c r="AY1373">
        <v>100</v>
      </c>
      <c r="AZ1373" s="184">
        <v>43292</v>
      </c>
      <c r="BA1373" t="s">
        <v>14802</v>
      </c>
      <c r="BB1373">
        <v>150</v>
      </c>
      <c r="BC1373">
        <v>60</v>
      </c>
      <c r="BD1373">
        <v>1375</v>
      </c>
      <c r="BE1373">
        <v>1994</v>
      </c>
      <c r="BF1373">
        <v>20</v>
      </c>
      <c r="BG1373">
        <v>2</v>
      </c>
      <c r="BH1373">
        <v>200</v>
      </c>
      <c r="BI1373">
        <v>19</v>
      </c>
      <c r="BJ1373">
        <v>32</v>
      </c>
      <c r="BK1373">
        <v>8</v>
      </c>
      <c r="BP1373" s="184"/>
    </row>
    <row r="1374" spans="1:68">
      <c r="A1374">
        <v>10669414</v>
      </c>
      <c r="B1374">
        <v>10669414</v>
      </c>
      <c r="C1374" t="s">
        <v>7018</v>
      </c>
      <c r="D1374" t="s">
        <v>595</v>
      </c>
      <c r="E1374" s="184">
        <v>45154</v>
      </c>
      <c r="G1374" s="184"/>
      <c r="I1374" s="184"/>
      <c r="K1374" s="184"/>
      <c r="M1374" s="184"/>
      <c r="O1374" s="184"/>
      <c r="P1374" t="s">
        <v>7019</v>
      </c>
      <c r="Q1374" t="s">
        <v>7383</v>
      </c>
      <c r="R1374" s="184">
        <v>17773</v>
      </c>
      <c r="S1374">
        <v>75</v>
      </c>
      <c r="U1374" t="s">
        <v>7031</v>
      </c>
      <c r="V1374" t="s">
        <v>3889</v>
      </c>
      <c r="W1374" t="s">
        <v>4013</v>
      </c>
      <c r="X1374" t="s">
        <v>14803</v>
      </c>
      <c r="AF1374" t="s">
        <v>14804</v>
      </c>
      <c r="AG1374" t="s">
        <v>3889</v>
      </c>
      <c r="AI1374" t="s">
        <v>14805</v>
      </c>
      <c r="AM1374" t="s">
        <v>14806</v>
      </c>
      <c r="AN1374" t="s">
        <v>2072</v>
      </c>
      <c r="AO1374" t="s">
        <v>14807</v>
      </c>
      <c r="AP1374" t="s">
        <v>7024</v>
      </c>
      <c r="AQ1374" t="s">
        <v>14808</v>
      </c>
      <c r="AT1374" s="184">
        <v>34271</v>
      </c>
      <c r="AU1374" t="s">
        <v>14809</v>
      </c>
      <c r="AV1374">
        <v>25</v>
      </c>
      <c r="AW1374" s="184">
        <v>45092</v>
      </c>
      <c r="AX1374" t="s">
        <v>12641</v>
      </c>
      <c r="AY1374">
        <v>60</v>
      </c>
      <c r="AZ1374" s="184">
        <v>45092</v>
      </c>
      <c r="BA1374" t="s">
        <v>12641</v>
      </c>
      <c r="BB1374">
        <v>60</v>
      </c>
      <c r="BC1374">
        <v>22</v>
      </c>
      <c r="BD1374">
        <v>435</v>
      </c>
      <c r="BE1374">
        <v>1994</v>
      </c>
      <c r="BF1374">
        <v>15</v>
      </c>
      <c r="BG1374">
        <v>2</v>
      </c>
      <c r="BH1374">
        <v>85</v>
      </c>
      <c r="BI1374">
        <v>7</v>
      </c>
      <c r="BJ1374">
        <v>32</v>
      </c>
      <c r="BK1374">
        <v>5</v>
      </c>
      <c r="BP1374" s="184"/>
    </row>
    <row r="1375" spans="1:68">
      <c r="A1375">
        <v>10671931</v>
      </c>
      <c r="B1375">
        <v>10671931</v>
      </c>
      <c r="C1375" t="s">
        <v>7018</v>
      </c>
      <c r="E1375" s="184"/>
      <c r="F1375" t="s">
        <v>595</v>
      </c>
      <c r="G1375" s="184">
        <v>43731</v>
      </c>
      <c r="I1375" s="184"/>
      <c r="K1375" s="184"/>
      <c r="O1375" s="184"/>
      <c r="P1375" t="s">
        <v>7045</v>
      </c>
      <c r="Q1375" t="s">
        <v>7454</v>
      </c>
      <c r="R1375" s="184">
        <v>17624</v>
      </c>
      <c r="S1375">
        <v>76</v>
      </c>
      <c r="U1375" t="s">
        <v>7031</v>
      </c>
      <c r="V1375" t="s">
        <v>2724</v>
      </c>
      <c r="X1375" t="s">
        <v>3942</v>
      </c>
      <c r="AF1375" t="s">
        <v>14810</v>
      </c>
      <c r="AG1375" t="s">
        <v>2724</v>
      </c>
      <c r="AI1375" t="s">
        <v>14811</v>
      </c>
      <c r="AM1375" t="s">
        <v>2608</v>
      </c>
      <c r="AN1375" t="s">
        <v>2299</v>
      </c>
      <c r="AO1375" t="s">
        <v>14812</v>
      </c>
      <c r="AP1375" t="s">
        <v>7024</v>
      </c>
      <c r="AT1375" s="184">
        <v>34271</v>
      </c>
      <c r="AU1375" t="s">
        <v>14539</v>
      </c>
      <c r="AV1375">
        <v>10</v>
      </c>
      <c r="AW1375" s="184">
        <v>45411</v>
      </c>
      <c r="AX1375" t="s">
        <v>14813</v>
      </c>
      <c r="AY1375">
        <v>30</v>
      </c>
      <c r="AZ1375" s="184">
        <v>45411</v>
      </c>
      <c r="BA1375" t="s">
        <v>14813</v>
      </c>
      <c r="BB1375">
        <v>30</v>
      </c>
      <c r="BC1375">
        <v>100</v>
      </c>
      <c r="BD1375">
        <v>1170</v>
      </c>
      <c r="BE1375">
        <v>1994</v>
      </c>
      <c r="BF1375">
        <v>57</v>
      </c>
      <c r="BG1375">
        <v>6</v>
      </c>
      <c r="BH1375">
        <v>155</v>
      </c>
      <c r="BI1375">
        <v>32</v>
      </c>
      <c r="BJ1375">
        <v>32</v>
      </c>
      <c r="BK1375">
        <v>32</v>
      </c>
    </row>
    <row r="1376" spans="1:68">
      <c r="A1376">
        <v>10704369</v>
      </c>
      <c r="B1376">
        <v>10704369</v>
      </c>
      <c r="C1376" t="s">
        <v>7018</v>
      </c>
      <c r="E1376" s="184"/>
      <c r="F1376" t="s">
        <v>595</v>
      </c>
      <c r="G1376" s="184">
        <v>45147</v>
      </c>
      <c r="I1376" s="184"/>
      <c r="K1376" s="184"/>
      <c r="M1376" s="184"/>
      <c r="O1376" s="184"/>
      <c r="P1376" t="s">
        <v>7045</v>
      </c>
      <c r="Q1376" t="s">
        <v>7383</v>
      </c>
      <c r="R1376" s="184">
        <v>13527</v>
      </c>
      <c r="S1376">
        <v>87</v>
      </c>
      <c r="U1376" t="s">
        <v>7031</v>
      </c>
      <c r="V1376" t="s">
        <v>3250</v>
      </c>
      <c r="X1376" t="s">
        <v>14814</v>
      </c>
      <c r="Z1376">
        <v>100039376</v>
      </c>
      <c r="AB1376" t="s">
        <v>14815</v>
      </c>
      <c r="AD1376" t="s">
        <v>14814</v>
      </c>
      <c r="AF1376" t="s">
        <v>14816</v>
      </c>
      <c r="AG1376" t="s">
        <v>14817</v>
      </c>
      <c r="AI1376" t="s">
        <v>14818</v>
      </c>
      <c r="AM1376" t="s">
        <v>14819</v>
      </c>
      <c r="AN1376" t="s">
        <v>2072</v>
      </c>
      <c r="AO1376" t="s">
        <v>14820</v>
      </c>
      <c r="AP1376" t="s">
        <v>7024</v>
      </c>
      <c r="AQ1376" t="s">
        <v>14821</v>
      </c>
      <c r="AT1376" s="184">
        <v>34282</v>
      </c>
      <c r="AU1376" t="s">
        <v>14822</v>
      </c>
      <c r="AV1376">
        <v>15</v>
      </c>
      <c r="AW1376" s="184">
        <v>45397</v>
      </c>
      <c r="AX1376" t="s">
        <v>14823</v>
      </c>
      <c r="AY1376">
        <v>25</v>
      </c>
      <c r="AZ1376" s="184">
        <v>45397</v>
      </c>
      <c r="BA1376" t="s">
        <v>14823</v>
      </c>
      <c r="BB1376">
        <v>25</v>
      </c>
      <c r="BC1376">
        <v>29</v>
      </c>
      <c r="BD1376">
        <v>204.97</v>
      </c>
      <c r="BE1376">
        <v>1994</v>
      </c>
      <c r="BF1376">
        <v>9</v>
      </c>
      <c r="BG1376">
        <v>2</v>
      </c>
      <c r="BH1376">
        <v>50</v>
      </c>
      <c r="BI1376">
        <v>9</v>
      </c>
      <c r="BJ1376">
        <v>32</v>
      </c>
      <c r="BK1376">
        <v>5</v>
      </c>
      <c r="BP1376" s="184"/>
    </row>
    <row r="1377" spans="1:68">
      <c r="A1377">
        <v>100039376</v>
      </c>
      <c r="B1377">
        <v>10704369</v>
      </c>
      <c r="C1377" t="s">
        <v>7018</v>
      </c>
      <c r="E1377" s="184"/>
      <c r="F1377" t="s">
        <v>595</v>
      </c>
      <c r="G1377" s="184">
        <v>45147</v>
      </c>
      <c r="I1377" s="184"/>
      <c r="K1377" s="184"/>
      <c r="O1377" s="184"/>
      <c r="P1377" t="s">
        <v>7045</v>
      </c>
      <c r="Q1377" t="s">
        <v>7383</v>
      </c>
      <c r="R1377" s="184">
        <v>16472</v>
      </c>
      <c r="S1377">
        <v>79</v>
      </c>
      <c r="V1377" t="s">
        <v>14815</v>
      </c>
      <c r="X1377" t="s">
        <v>14814</v>
      </c>
      <c r="Z1377">
        <v>10704369</v>
      </c>
      <c r="AA1377" t="s">
        <v>7031</v>
      </c>
      <c r="AB1377" t="s">
        <v>3250</v>
      </c>
      <c r="AD1377" t="s">
        <v>14814</v>
      </c>
      <c r="AF1377" t="s">
        <v>14816</v>
      </c>
      <c r="AG1377" t="s">
        <v>14817</v>
      </c>
      <c r="AI1377" t="s">
        <v>14818</v>
      </c>
      <c r="AM1377" t="s">
        <v>14819</v>
      </c>
      <c r="AN1377" t="s">
        <v>2072</v>
      </c>
      <c r="AO1377" t="s">
        <v>14820</v>
      </c>
      <c r="AP1377" t="s">
        <v>7024</v>
      </c>
      <c r="AT1377" s="184"/>
      <c r="AW1377" s="184"/>
      <c r="AZ1377" s="184"/>
      <c r="BP1377" s="184"/>
    </row>
    <row r="1378" spans="1:68">
      <c r="A1378">
        <v>100039472</v>
      </c>
      <c r="B1378">
        <v>10741395</v>
      </c>
      <c r="C1378" t="s">
        <v>7018</v>
      </c>
      <c r="E1378" s="184"/>
      <c r="G1378" s="184"/>
      <c r="I1378" s="184"/>
      <c r="K1378" s="184"/>
      <c r="M1378" s="184"/>
      <c r="N1378" t="s">
        <v>595</v>
      </c>
      <c r="O1378" s="184">
        <v>41864</v>
      </c>
      <c r="P1378" t="s">
        <v>7045</v>
      </c>
      <c r="Q1378" t="s">
        <v>7383</v>
      </c>
      <c r="R1378" s="184">
        <v>10636</v>
      </c>
      <c r="S1378">
        <v>95</v>
      </c>
      <c r="U1378" t="s">
        <v>7130</v>
      </c>
      <c r="V1378" t="s">
        <v>4943</v>
      </c>
      <c r="W1378" t="s">
        <v>4139</v>
      </c>
      <c r="X1378" t="s">
        <v>2510</v>
      </c>
      <c r="Z1378">
        <v>10741395</v>
      </c>
      <c r="AA1378" t="s">
        <v>7031</v>
      </c>
      <c r="AB1378" t="s">
        <v>2863</v>
      </c>
      <c r="AC1378" t="s">
        <v>4152</v>
      </c>
      <c r="AD1378" t="s">
        <v>2510</v>
      </c>
      <c r="AF1378" t="s">
        <v>14824</v>
      </c>
      <c r="AG1378" t="s">
        <v>2863</v>
      </c>
      <c r="AI1378" t="s">
        <v>14825</v>
      </c>
      <c r="AM1378" t="s">
        <v>2888</v>
      </c>
      <c r="AN1378" t="s">
        <v>2274</v>
      </c>
      <c r="AO1378" t="s">
        <v>14826</v>
      </c>
      <c r="AP1378" t="s">
        <v>7024</v>
      </c>
      <c r="AT1378" s="184"/>
      <c r="AW1378" s="184"/>
      <c r="AZ1378" s="184"/>
      <c r="BO1378" t="s">
        <v>595</v>
      </c>
      <c r="BP1378" s="184">
        <v>44269</v>
      </c>
    </row>
    <row r="1379" spans="1:68">
      <c r="A1379">
        <v>10747939</v>
      </c>
      <c r="B1379">
        <v>10747939</v>
      </c>
      <c r="C1379" t="s">
        <v>7018</v>
      </c>
      <c r="D1379" t="s">
        <v>595</v>
      </c>
      <c r="E1379" s="184">
        <v>44073</v>
      </c>
      <c r="G1379" s="184"/>
      <c r="I1379" s="184"/>
      <c r="K1379" s="184"/>
      <c r="M1379" s="184"/>
      <c r="O1379" s="184"/>
      <c r="P1379" t="s">
        <v>7045</v>
      </c>
      <c r="Q1379" t="s">
        <v>7030</v>
      </c>
      <c r="R1379" s="184">
        <v>9802</v>
      </c>
      <c r="S1379">
        <v>97</v>
      </c>
      <c r="V1379" t="s">
        <v>2660</v>
      </c>
      <c r="X1379" t="s">
        <v>14827</v>
      </c>
      <c r="AF1379" t="s">
        <v>14828</v>
      </c>
      <c r="AG1379" t="s">
        <v>2660</v>
      </c>
      <c r="AI1379" t="s">
        <v>14829</v>
      </c>
      <c r="AM1379" t="s">
        <v>3010</v>
      </c>
      <c r="AN1379" t="s">
        <v>2094</v>
      </c>
      <c r="AO1379" t="s">
        <v>14830</v>
      </c>
      <c r="AP1379" t="s">
        <v>7024</v>
      </c>
      <c r="AT1379" s="184">
        <v>34288</v>
      </c>
      <c r="AU1379" t="s">
        <v>14831</v>
      </c>
      <c r="AV1379">
        <v>25</v>
      </c>
      <c r="AW1379" s="184">
        <v>44573</v>
      </c>
      <c r="AX1379" t="s">
        <v>7340</v>
      </c>
      <c r="AY1379">
        <v>20</v>
      </c>
      <c r="AZ1379" s="184">
        <v>41197</v>
      </c>
      <c r="BA1379" t="s">
        <v>14832</v>
      </c>
      <c r="BB1379">
        <v>60</v>
      </c>
      <c r="BC1379">
        <v>69</v>
      </c>
      <c r="BD1379">
        <v>918</v>
      </c>
      <c r="BE1379">
        <v>1994</v>
      </c>
      <c r="BF1379">
        <v>32</v>
      </c>
      <c r="BI1379">
        <v>22</v>
      </c>
      <c r="BJ1379">
        <v>32</v>
      </c>
      <c r="BK1379">
        <v>6</v>
      </c>
    </row>
    <row r="1380" spans="1:68">
      <c r="A1380">
        <v>10766640</v>
      </c>
      <c r="B1380">
        <v>10766640</v>
      </c>
      <c r="C1380" t="s">
        <v>7018</v>
      </c>
      <c r="D1380" t="s">
        <v>595</v>
      </c>
      <c r="E1380" s="184">
        <v>44123</v>
      </c>
      <c r="G1380" s="184"/>
      <c r="I1380" s="184"/>
      <c r="K1380" s="184"/>
      <c r="M1380" s="184"/>
      <c r="O1380" s="184"/>
      <c r="P1380" t="s">
        <v>7045</v>
      </c>
      <c r="Q1380" t="s">
        <v>7020</v>
      </c>
      <c r="R1380" s="184">
        <v>22834</v>
      </c>
      <c r="S1380">
        <v>61</v>
      </c>
      <c r="V1380" t="s">
        <v>2665</v>
      </c>
      <c r="X1380" t="s">
        <v>2706</v>
      </c>
      <c r="Z1380">
        <v>100039546</v>
      </c>
      <c r="AB1380" t="s">
        <v>3450</v>
      </c>
      <c r="AD1380" t="s">
        <v>2706</v>
      </c>
      <c r="AF1380" t="s">
        <v>14833</v>
      </c>
      <c r="AG1380" t="s">
        <v>14834</v>
      </c>
      <c r="AI1380" t="s">
        <v>14835</v>
      </c>
      <c r="AM1380" t="s">
        <v>5712</v>
      </c>
      <c r="AN1380" t="s">
        <v>2129</v>
      </c>
      <c r="AO1380" t="s">
        <v>14836</v>
      </c>
      <c r="AP1380" t="s">
        <v>7024</v>
      </c>
      <c r="AQ1380" t="s">
        <v>14837</v>
      </c>
      <c r="AT1380" s="184">
        <v>34290</v>
      </c>
      <c r="AU1380" t="s">
        <v>14838</v>
      </c>
      <c r="AV1380">
        <v>15</v>
      </c>
      <c r="AW1380" s="184">
        <v>45210</v>
      </c>
      <c r="AX1380" t="s">
        <v>9008</v>
      </c>
      <c r="AY1380">
        <v>25</v>
      </c>
      <c r="AZ1380" s="184">
        <v>45210</v>
      </c>
      <c r="BA1380" t="s">
        <v>9008</v>
      </c>
      <c r="BB1380">
        <v>25</v>
      </c>
      <c r="BC1380">
        <v>94</v>
      </c>
      <c r="BD1380">
        <v>740</v>
      </c>
      <c r="BE1380">
        <v>1994</v>
      </c>
      <c r="BF1380">
        <v>30</v>
      </c>
      <c r="BG1380">
        <v>2</v>
      </c>
      <c r="BH1380">
        <v>50</v>
      </c>
      <c r="BI1380">
        <v>30</v>
      </c>
      <c r="BJ1380">
        <v>32</v>
      </c>
      <c r="BK1380">
        <v>25</v>
      </c>
      <c r="BP1380" s="184"/>
    </row>
    <row r="1381" spans="1:68">
      <c r="A1381">
        <v>100039546</v>
      </c>
      <c r="B1381">
        <v>10766640</v>
      </c>
      <c r="C1381" t="s">
        <v>7018</v>
      </c>
      <c r="D1381" t="s">
        <v>595</v>
      </c>
      <c r="E1381" s="184">
        <v>44123</v>
      </c>
      <c r="G1381" s="184"/>
      <c r="I1381" s="184"/>
      <c r="K1381" s="184"/>
      <c r="O1381" s="184"/>
      <c r="P1381" t="s">
        <v>7045</v>
      </c>
      <c r="Q1381" t="s">
        <v>7020</v>
      </c>
      <c r="R1381" s="184">
        <v>23743</v>
      </c>
      <c r="S1381">
        <v>59</v>
      </c>
      <c r="V1381" t="s">
        <v>3450</v>
      </c>
      <c r="X1381" t="s">
        <v>2706</v>
      </c>
      <c r="Z1381">
        <v>10766640</v>
      </c>
      <c r="AB1381" t="s">
        <v>2665</v>
      </c>
      <c r="AD1381" t="s">
        <v>2706</v>
      </c>
      <c r="AF1381" t="s">
        <v>14833</v>
      </c>
      <c r="AG1381" t="s">
        <v>14834</v>
      </c>
      <c r="AI1381" t="s">
        <v>14835</v>
      </c>
      <c r="AM1381" t="s">
        <v>5712</v>
      </c>
      <c r="AN1381" t="s">
        <v>2129</v>
      </c>
      <c r="AO1381" t="s">
        <v>14836</v>
      </c>
      <c r="AP1381" t="s">
        <v>7024</v>
      </c>
      <c r="AT1381" s="184"/>
      <c r="AW1381" s="184"/>
      <c r="AZ1381" s="184"/>
    </row>
    <row r="1382" spans="1:68">
      <c r="A1382">
        <v>10767689</v>
      </c>
      <c r="B1382">
        <v>10767689</v>
      </c>
      <c r="C1382" t="s">
        <v>7018</v>
      </c>
      <c r="E1382" s="184"/>
      <c r="F1382" t="s">
        <v>595</v>
      </c>
      <c r="G1382" s="184">
        <v>45071</v>
      </c>
      <c r="I1382" s="184"/>
      <c r="K1382" s="184"/>
      <c r="O1382" s="184"/>
      <c r="P1382" t="s">
        <v>7045</v>
      </c>
      <c r="Q1382" t="s">
        <v>7262</v>
      </c>
      <c r="R1382" s="184">
        <v>15341</v>
      </c>
      <c r="S1382">
        <v>82</v>
      </c>
      <c r="V1382" t="s">
        <v>2724</v>
      </c>
      <c r="W1382" t="s">
        <v>7963</v>
      </c>
      <c r="X1382" t="s">
        <v>3969</v>
      </c>
      <c r="Y1382" t="s">
        <v>14839</v>
      </c>
      <c r="AF1382" t="s">
        <v>14840</v>
      </c>
      <c r="AG1382" t="s">
        <v>2724</v>
      </c>
      <c r="AI1382" t="s">
        <v>14841</v>
      </c>
      <c r="AM1382" t="s">
        <v>14842</v>
      </c>
      <c r="AN1382" t="s">
        <v>2069</v>
      </c>
      <c r="AO1382" t="s">
        <v>14843</v>
      </c>
      <c r="AP1382" t="s">
        <v>7024</v>
      </c>
      <c r="AQ1382" t="s">
        <v>14844</v>
      </c>
      <c r="AT1382" s="184">
        <v>34290</v>
      </c>
      <c r="AU1382" t="s">
        <v>14845</v>
      </c>
      <c r="AV1382">
        <v>20</v>
      </c>
      <c r="AW1382" s="184">
        <v>45175</v>
      </c>
      <c r="AX1382" t="s">
        <v>14846</v>
      </c>
      <c r="AY1382">
        <v>225</v>
      </c>
      <c r="AZ1382" s="184">
        <v>45175</v>
      </c>
      <c r="BA1382" t="s">
        <v>14846</v>
      </c>
      <c r="BB1382">
        <v>225</v>
      </c>
      <c r="BC1382">
        <v>32</v>
      </c>
      <c r="BD1382">
        <v>1154</v>
      </c>
      <c r="BE1382">
        <v>1994</v>
      </c>
      <c r="BF1382">
        <v>16</v>
      </c>
      <c r="BG1382">
        <v>2</v>
      </c>
      <c r="BH1382">
        <v>375</v>
      </c>
      <c r="BI1382">
        <v>10</v>
      </c>
      <c r="BJ1382">
        <v>32</v>
      </c>
      <c r="BK1382">
        <v>6</v>
      </c>
    </row>
    <row r="1383" spans="1:68">
      <c r="A1383">
        <v>11014099</v>
      </c>
      <c r="B1383">
        <v>11014099</v>
      </c>
      <c r="C1383" t="s">
        <v>7018</v>
      </c>
      <c r="D1383" t="s">
        <v>595</v>
      </c>
      <c r="E1383" s="184">
        <v>44073</v>
      </c>
      <c r="G1383" s="184"/>
      <c r="I1383" s="184"/>
      <c r="K1383" s="184"/>
      <c r="O1383" s="184"/>
      <c r="P1383" t="s">
        <v>7045</v>
      </c>
      <c r="Q1383" t="s">
        <v>7383</v>
      </c>
      <c r="R1383" s="184">
        <v>17654</v>
      </c>
      <c r="S1383">
        <v>76</v>
      </c>
      <c r="U1383" t="s">
        <v>7031</v>
      </c>
      <c r="V1383" t="s">
        <v>14847</v>
      </c>
      <c r="W1383" t="s">
        <v>3830</v>
      </c>
      <c r="X1383" t="s">
        <v>4196</v>
      </c>
      <c r="AF1383" t="s">
        <v>14848</v>
      </c>
      <c r="AG1383" t="s">
        <v>14847</v>
      </c>
      <c r="AI1383" t="s">
        <v>14849</v>
      </c>
      <c r="AM1383" t="s">
        <v>14850</v>
      </c>
      <c r="AN1383" t="s">
        <v>2274</v>
      </c>
      <c r="AO1383" t="s">
        <v>14851</v>
      </c>
      <c r="AP1383" t="s">
        <v>7024</v>
      </c>
      <c r="AQ1383" t="s">
        <v>14852</v>
      </c>
      <c r="AR1383" t="s">
        <v>14853</v>
      </c>
      <c r="AT1383" s="184">
        <v>34253</v>
      </c>
      <c r="AU1383" t="s">
        <v>14854</v>
      </c>
      <c r="AV1383">
        <v>15</v>
      </c>
      <c r="AW1383" s="184">
        <v>45103</v>
      </c>
      <c r="AX1383" t="s">
        <v>14855</v>
      </c>
      <c r="AY1383">
        <v>100</v>
      </c>
      <c r="AZ1383" s="184">
        <v>42793</v>
      </c>
      <c r="BA1383" t="s">
        <v>14856</v>
      </c>
      <c r="BB1383">
        <v>135</v>
      </c>
      <c r="BC1383">
        <v>72</v>
      </c>
      <c r="BD1383">
        <v>1676</v>
      </c>
      <c r="BE1383">
        <v>1994</v>
      </c>
      <c r="BF1383">
        <v>34</v>
      </c>
      <c r="BG1383">
        <v>2</v>
      </c>
      <c r="BH1383">
        <v>200</v>
      </c>
      <c r="BI1383">
        <v>23</v>
      </c>
      <c r="BJ1383">
        <v>32</v>
      </c>
      <c r="BK1383">
        <v>11</v>
      </c>
      <c r="BN1383" t="s">
        <v>595</v>
      </c>
      <c r="BP1383" s="184"/>
    </row>
    <row r="1384" spans="1:68">
      <c r="A1384">
        <v>11157062</v>
      </c>
      <c r="B1384">
        <v>11157062</v>
      </c>
      <c r="C1384" t="s">
        <v>7018</v>
      </c>
      <c r="D1384" t="s">
        <v>595</v>
      </c>
      <c r="E1384" s="184">
        <v>44104</v>
      </c>
      <c r="G1384" s="184"/>
      <c r="I1384" s="184"/>
      <c r="K1384" s="184"/>
      <c r="M1384" s="184"/>
      <c r="O1384" s="184"/>
      <c r="P1384" t="s">
        <v>7045</v>
      </c>
      <c r="Q1384" t="s">
        <v>7494</v>
      </c>
      <c r="R1384" s="184">
        <v>11599</v>
      </c>
      <c r="S1384">
        <v>92</v>
      </c>
      <c r="U1384" t="s">
        <v>7031</v>
      </c>
      <c r="V1384" t="s">
        <v>14857</v>
      </c>
      <c r="X1384" t="s">
        <v>14858</v>
      </c>
      <c r="Z1384">
        <v>100039957</v>
      </c>
      <c r="AA1384" t="s">
        <v>7076</v>
      </c>
      <c r="AB1384" t="s">
        <v>2586</v>
      </c>
      <c r="AD1384" t="s">
        <v>14858</v>
      </c>
      <c r="AF1384" t="s">
        <v>14859</v>
      </c>
      <c r="AG1384" t="s">
        <v>14860</v>
      </c>
      <c r="AI1384" t="s">
        <v>14861</v>
      </c>
      <c r="AM1384" t="s">
        <v>3881</v>
      </c>
      <c r="AN1384" t="s">
        <v>2174</v>
      </c>
      <c r="AO1384" t="s">
        <v>14862</v>
      </c>
      <c r="AP1384" t="s">
        <v>7024</v>
      </c>
      <c r="AT1384" s="184">
        <v>34246</v>
      </c>
      <c r="AU1384" t="s">
        <v>14863</v>
      </c>
      <c r="AV1384">
        <v>5</v>
      </c>
      <c r="AW1384" s="184">
        <v>43578</v>
      </c>
      <c r="AX1384" t="s">
        <v>14864</v>
      </c>
      <c r="AY1384">
        <v>35</v>
      </c>
      <c r="AZ1384" s="184">
        <v>43578</v>
      </c>
      <c r="BA1384" t="s">
        <v>14864</v>
      </c>
      <c r="BB1384">
        <v>35</v>
      </c>
      <c r="BC1384">
        <v>44</v>
      </c>
      <c r="BD1384">
        <v>610</v>
      </c>
      <c r="BE1384">
        <v>1994</v>
      </c>
      <c r="BF1384">
        <v>19</v>
      </c>
      <c r="BI1384">
        <v>14</v>
      </c>
      <c r="BJ1384">
        <v>32</v>
      </c>
      <c r="BK1384">
        <v>7</v>
      </c>
    </row>
    <row r="1385" spans="1:68">
      <c r="A1385">
        <v>100039957</v>
      </c>
      <c r="B1385">
        <v>11157062</v>
      </c>
      <c r="C1385" t="s">
        <v>7018</v>
      </c>
      <c r="D1385" t="s">
        <v>595</v>
      </c>
      <c r="E1385" s="184">
        <v>44104</v>
      </c>
      <c r="G1385" s="184"/>
      <c r="I1385" s="184"/>
      <c r="K1385" s="184"/>
      <c r="O1385" s="184"/>
      <c r="P1385" t="s">
        <v>7045</v>
      </c>
      <c r="Q1385" t="s">
        <v>7494</v>
      </c>
      <c r="R1385" s="184">
        <v>15007</v>
      </c>
      <c r="S1385">
        <v>83</v>
      </c>
      <c r="U1385" t="s">
        <v>7076</v>
      </c>
      <c r="V1385" t="s">
        <v>2586</v>
      </c>
      <c r="X1385" t="s">
        <v>14858</v>
      </c>
      <c r="Z1385">
        <v>11157062</v>
      </c>
      <c r="AA1385" t="s">
        <v>7031</v>
      </c>
      <c r="AB1385" t="s">
        <v>14857</v>
      </c>
      <c r="AD1385" t="s">
        <v>14858</v>
      </c>
      <c r="AF1385" t="s">
        <v>14859</v>
      </c>
      <c r="AG1385" t="s">
        <v>14860</v>
      </c>
      <c r="AI1385" t="s">
        <v>14861</v>
      </c>
      <c r="AM1385" t="s">
        <v>3881</v>
      </c>
      <c r="AN1385" t="s">
        <v>2174</v>
      </c>
      <c r="AO1385" t="s">
        <v>14862</v>
      </c>
      <c r="AP1385" t="s">
        <v>7024</v>
      </c>
      <c r="AT1385" s="184"/>
      <c r="AW1385" s="184"/>
      <c r="AZ1385" s="184"/>
      <c r="BP1385" s="184"/>
    </row>
    <row r="1386" spans="1:68">
      <c r="A1386">
        <v>11295177</v>
      </c>
      <c r="B1386">
        <v>11295177</v>
      </c>
      <c r="C1386" t="s">
        <v>7018</v>
      </c>
      <c r="D1386" t="s">
        <v>595</v>
      </c>
      <c r="E1386" s="184">
        <v>43851</v>
      </c>
      <c r="G1386" s="184"/>
      <c r="I1386" s="184"/>
      <c r="K1386" s="184"/>
      <c r="M1386" s="184"/>
      <c r="O1386" s="184"/>
      <c r="P1386" t="s">
        <v>7045</v>
      </c>
      <c r="Q1386" t="s">
        <v>7383</v>
      </c>
      <c r="R1386" s="184">
        <v>15945</v>
      </c>
      <c r="S1386">
        <v>80</v>
      </c>
      <c r="V1386" t="s">
        <v>2851</v>
      </c>
      <c r="X1386" t="s">
        <v>14865</v>
      </c>
      <c r="Z1386">
        <v>100040032</v>
      </c>
      <c r="AB1386" t="s">
        <v>2528</v>
      </c>
      <c r="AD1386" t="s">
        <v>14865</v>
      </c>
      <c r="AF1386" t="s">
        <v>14866</v>
      </c>
      <c r="AG1386" t="s">
        <v>14867</v>
      </c>
      <c r="AI1386" t="s">
        <v>14868</v>
      </c>
      <c r="AM1386" t="s">
        <v>4528</v>
      </c>
      <c r="AN1386" t="s">
        <v>2139</v>
      </c>
      <c r="AO1386" t="s">
        <v>14869</v>
      </c>
      <c r="AP1386" t="s">
        <v>7024</v>
      </c>
      <c r="AT1386" s="184">
        <v>34260</v>
      </c>
      <c r="AU1386" t="s">
        <v>14870</v>
      </c>
      <c r="AV1386">
        <v>15</v>
      </c>
      <c r="AW1386" s="184">
        <v>45349</v>
      </c>
      <c r="AX1386" t="s">
        <v>9213</v>
      </c>
      <c r="AY1386">
        <v>75</v>
      </c>
      <c r="AZ1386" s="184">
        <v>43707</v>
      </c>
      <c r="BA1386" t="s">
        <v>14871</v>
      </c>
      <c r="BB1386">
        <v>87</v>
      </c>
      <c r="BC1386">
        <v>82</v>
      </c>
      <c r="BD1386">
        <v>1307</v>
      </c>
      <c r="BE1386">
        <v>1994</v>
      </c>
      <c r="BF1386">
        <v>41</v>
      </c>
      <c r="BG1386">
        <v>4</v>
      </c>
      <c r="BH1386">
        <v>250</v>
      </c>
      <c r="BI1386">
        <v>26</v>
      </c>
      <c r="BJ1386">
        <v>32</v>
      </c>
      <c r="BK1386">
        <v>13</v>
      </c>
    </row>
    <row r="1387" spans="1:68">
      <c r="A1387">
        <v>100040032</v>
      </c>
      <c r="B1387">
        <v>11295177</v>
      </c>
      <c r="C1387" t="s">
        <v>7018</v>
      </c>
      <c r="D1387" t="s">
        <v>595</v>
      </c>
      <c r="E1387" s="184">
        <v>43851</v>
      </c>
      <c r="G1387" s="184"/>
      <c r="I1387" s="184"/>
      <c r="K1387" s="184"/>
      <c r="O1387" s="184"/>
      <c r="P1387" t="s">
        <v>7045</v>
      </c>
      <c r="Q1387" t="s">
        <v>7383</v>
      </c>
      <c r="R1387" s="184">
        <v>15322</v>
      </c>
      <c r="S1387">
        <v>82</v>
      </c>
      <c r="V1387" t="s">
        <v>2528</v>
      </c>
      <c r="X1387" t="s">
        <v>14865</v>
      </c>
      <c r="Z1387">
        <v>11295177</v>
      </c>
      <c r="AB1387" t="s">
        <v>2851</v>
      </c>
      <c r="AD1387" t="s">
        <v>14865</v>
      </c>
      <c r="AF1387" t="s">
        <v>14866</v>
      </c>
      <c r="AG1387" t="s">
        <v>14867</v>
      </c>
      <c r="AI1387" t="s">
        <v>14868</v>
      </c>
      <c r="AM1387" t="s">
        <v>4528</v>
      </c>
      <c r="AN1387" t="s">
        <v>2139</v>
      </c>
      <c r="AO1387" t="s">
        <v>14869</v>
      </c>
      <c r="AP1387" t="s">
        <v>7024</v>
      </c>
      <c r="AT1387" s="184"/>
      <c r="AW1387" s="184"/>
      <c r="AZ1387" s="184"/>
      <c r="BP1387" s="184"/>
    </row>
    <row r="1388" spans="1:68">
      <c r="A1388">
        <v>11380094</v>
      </c>
      <c r="B1388">
        <v>11380094</v>
      </c>
      <c r="C1388" t="s">
        <v>7018</v>
      </c>
      <c r="D1388" t="s">
        <v>595</v>
      </c>
      <c r="E1388" s="184">
        <v>44167</v>
      </c>
      <c r="G1388" s="184"/>
      <c r="I1388" s="184"/>
      <c r="K1388" s="184"/>
      <c r="O1388" s="184"/>
      <c r="P1388" t="s">
        <v>7045</v>
      </c>
      <c r="Q1388" t="s">
        <v>7030</v>
      </c>
      <c r="R1388" s="184">
        <v>20306</v>
      </c>
      <c r="S1388">
        <v>68</v>
      </c>
      <c r="U1388" t="s">
        <v>7031</v>
      </c>
      <c r="V1388" t="s">
        <v>3246</v>
      </c>
      <c r="W1388" t="s">
        <v>7560</v>
      </c>
      <c r="X1388" t="s">
        <v>14872</v>
      </c>
      <c r="AF1388" t="s">
        <v>14873</v>
      </c>
      <c r="AG1388" t="s">
        <v>3246</v>
      </c>
      <c r="AI1388" t="s">
        <v>14874</v>
      </c>
      <c r="AM1388" t="s">
        <v>14875</v>
      </c>
      <c r="AN1388" t="s">
        <v>2094</v>
      </c>
      <c r="AO1388" t="s">
        <v>14876</v>
      </c>
      <c r="AP1388" t="s">
        <v>7024</v>
      </c>
      <c r="AQ1388" t="s">
        <v>14877</v>
      </c>
      <c r="AR1388" t="s">
        <v>14878</v>
      </c>
      <c r="AT1388" s="184">
        <v>34278</v>
      </c>
      <c r="AU1388" t="s">
        <v>14879</v>
      </c>
      <c r="AV1388">
        <v>18</v>
      </c>
      <c r="AW1388" s="184">
        <v>45136</v>
      </c>
      <c r="AX1388" t="s">
        <v>10138</v>
      </c>
      <c r="AY1388">
        <v>75</v>
      </c>
      <c r="AZ1388" s="184">
        <v>44811</v>
      </c>
      <c r="BA1388" t="s">
        <v>7832</v>
      </c>
      <c r="BB1388">
        <v>100</v>
      </c>
      <c r="BC1388">
        <v>97</v>
      </c>
      <c r="BD1388">
        <v>2060</v>
      </c>
      <c r="BE1388">
        <v>1994</v>
      </c>
      <c r="BF1388">
        <v>47</v>
      </c>
      <c r="BG1388">
        <v>2</v>
      </c>
      <c r="BH1388">
        <v>175</v>
      </c>
      <c r="BI1388">
        <v>31</v>
      </c>
      <c r="BJ1388">
        <v>32</v>
      </c>
      <c r="BK1388">
        <v>31</v>
      </c>
    </row>
    <row r="1389" spans="1:68">
      <c r="A1389">
        <v>11393311</v>
      </c>
      <c r="B1389">
        <v>11393311</v>
      </c>
      <c r="C1389" t="s">
        <v>7018</v>
      </c>
      <c r="D1389" t="s">
        <v>595</v>
      </c>
      <c r="E1389" s="184">
        <v>43745</v>
      </c>
      <c r="G1389" s="184"/>
      <c r="I1389" s="184"/>
      <c r="K1389" s="184"/>
      <c r="O1389" s="184"/>
      <c r="P1389" t="s">
        <v>7045</v>
      </c>
      <c r="Q1389" t="s">
        <v>7383</v>
      </c>
      <c r="R1389" s="184">
        <v>18295</v>
      </c>
      <c r="S1389">
        <v>74</v>
      </c>
      <c r="U1389" t="s">
        <v>7032</v>
      </c>
      <c r="V1389" t="s">
        <v>4155</v>
      </c>
      <c r="W1389" t="s">
        <v>2049</v>
      </c>
      <c r="X1389" t="s">
        <v>4156</v>
      </c>
      <c r="AF1389" t="s">
        <v>14880</v>
      </c>
      <c r="AG1389" t="s">
        <v>4155</v>
      </c>
      <c r="AI1389" t="s">
        <v>14881</v>
      </c>
      <c r="AM1389" t="s">
        <v>14882</v>
      </c>
      <c r="AN1389" t="s">
        <v>2419</v>
      </c>
      <c r="AO1389" t="s">
        <v>14883</v>
      </c>
      <c r="AP1389" t="s">
        <v>7024</v>
      </c>
      <c r="AT1389" s="184">
        <v>34297</v>
      </c>
      <c r="AU1389" t="s">
        <v>14884</v>
      </c>
      <c r="AV1389">
        <v>25</v>
      </c>
      <c r="AW1389" s="184">
        <v>42081</v>
      </c>
      <c r="AX1389" t="s">
        <v>14885</v>
      </c>
      <c r="AY1389">
        <v>1000</v>
      </c>
      <c r="AZ1389" s="184">
        <v>42081</v>
      </c>
      <c r="BA1389" t="s">
        <v>14885</v>
      </c>
      <c r="BB1389">
        <v>1000</v>
      </c>
      <c r="BC1389">
        <v>66</v>
      </c>
      <c r="BD1389">
        <v>16425</v>
      </c>
      <c r="BE1389">
        <v>1994</v>
      </c>
      <c r="BF1389">
        <v>62</v>
      </c>
      <c r="BI1389">
        <v>21</v>
      </c>
      <c r="BJ1389">
        <v>32</v>
      </c>
      <c r="BK1389">
        <v>7</v>
      </c>
    </row>
    <row r="1390" spans="1:68">
      <c r="A1390">
        <v>11393691</v>
      </c>
      <c r="B1390">
        <v>11393691</v>
      </c>
      <c r="C1390" t="s">
        <v>7018</v>
      </c>
      <c r="E1390" s="184"/>
      <c r="F1390" t="s">
        <v>595</v>
      </c>
      <c r="G1390" s="184">
        <v>43731</v>
      </c>
      <c r="I1390" s="184"/>
      <c r="K1390" s="184"/>
      <c r="M1390" s="184"/>
      <c r="O1390" s="184"/>
      <c r="P1390" t="s">
        <v>7045</v>
      </c>
      <c r="Q1390" t="s">
        <v>7454</v>
      </c>
      <c r="R1390" s="184">
        <v>21186</v>
      </c>
      <c r="S1390">
        <v>66</v>
      </c>
      <c r="U1390" t="s">
        <v>7076</v>
      </c>
      <c r="V1390" t="s">
        <v>3943</v>
      </c>
      <c r="X1390" t="s">
        <v>3944</v>
      </c>
      <c r="AF1390" t="s">
        <v>14886</v>
      </c>
      <c r="AG1390" t="s">
        <v>3943</v>
      </c>
      <c r="AI1390" t="s">
        <v>14887</v>
      </c>
      <c r="AM1390" t="s">
        <v>14888</v>
      </c>
      <c r="AN1390" t="s">
        <v>2055</v>
      </c>
      <c r="AO1390" t="s">
        <v>14889</v>
      </c>
      <c r="AP1390" t="s">
        <v>7024</v>
      </c>
      <c r="AQ1390" t="s">
        <v>14890</v>
      </c>
      <c r="AR1390" t="s">
        <v>14891</v>
      </c>
      <c r="AT1390" s="184">
        <v>34302</v>
      </c>
      <c r="AU1390" t="s">
        <v>14884</v>
      </c>
      <c r="AV1390">
        <v>25</v>
      </c>
      <c r="AW1390" s="184">
        <v>45249</v>
      </c>
      <c r="AX1390" t="s">
        <v>9677</v>
      </c>
      <c r="AY1390">
        <v>26.25</v>
      </c>
      <c r="AZ1390" s="184">
        <v>40933</v>
      </c>
      <c r="BA1390" t="s">
        <v>14892</v>
      </c>
      <c r="BB1390">
        <v>87</v>
      </c>
      <c r="BC1390">
        <v>97</v>
      </c>
      <c r="BD1390">
        <v>2210.5</v>
      </c>
      <c r="BE1390">
        <v>1994</v>
      </c>
      <c r="BF1390">
        <v>77</v>
      </c>
      <c r="BG1390">
        <v>5</v>
      </c>
      <c r="BH1390">
        <v>172.5</v>
      </c>
      <c r="BI1390">
        <v>31</v>
      </c>
      <c r="BJ1390">
        <v>32</v>
      </c>
      <c r="BK1390">
        <v>31</v>
      </c>
      <c r="BP1390" s="184"/>
    </row>
    <row r="1391" spans="1:68">
      <c r="A1391">
        <v>11393972</v>
      </c>
      <c r="B1391">
        <v>11393972</v>
      </c>
      <c r="C1391" t="s">
        <v>7018</v>
      </c>
      <c r="D1391" t="s">
        <v>595</v>
      </c>
      <c r="E1391" s="184">
        <v>43642</v>
      </c>
      <c r="G1391" s="184"/>
      <c r="I1391" s="184"/>
      <c r="K1391" s="184"/>
      <c r="M1391" s="184"/>
      <c r="O1391" s="184"/>
      <c r="P1391" t="s">
        <v>7019</v>
      </c>
      <c r="Q1391" t="s">
        <v>7383</v>
      </c>
      <c r="R1391" s="184">
        <v>18810</v>
      </c>
      <c r="S1391">
        <v>72</v>
      </c>
      <c r="U1391" t="s">
        <v>7130</v>
      </c>
      <c r="V1391" t="s">
        <v>2969</v>
      </c>
      <c r="X1391" t="s">
        <v>3216</v>
      </c>
      <c r="AF1391" t="s">
        <v>14893</v>
      </c>
      <c r="AG1391" t="s">
        <v>2969</v>
      </c>
      <c r="AI1391" t="s">
        <v>14894</v>
      </c>
      <c r="AM1391" t="s">
        <v>2624</v>
      </c>
      <c r="AN1391" t="s">
        <v>2144</v>
      </c>
      <c r="AO1391">
        <v>46747</v>
      </c>
      <c r="AP1391" t="s">
        <v>7024</v>
      </c>
      <c r="AT1391" s="184">
        <v>34302</v>
      </c>
      <c r="AU1391" t="s">
        <v>14895</v>
      </c>
      <c r="AV1391">
        <v>25</v>
      </c>
      <c r="AW1391" s="184">
        <v>38708</v>
      </c>
      <c r="AX1391" t="s">
        <v>14896</v>
      </c>
      <c r="AY1391">
        <v>60</v>
      </c>
      <c r="AZ1391" s="184">
        <v>38708</v>
      </c>
      <c r="BA1391" t="s">
        <v>14896</v>
      </c>
      <c r="BB1391">
        <v>60</v>
      </c>
      <c r="BC1391">
        <v>29</v>
      </c>
      <c r="BD1391">
        <v>280</v>
      </c>
      <c r="BE1391">
        <v>1994</v>
      </c>
      <c r="BF1391">
        <v>10</v>
      </c>
      <c r="BI1391">
        <v>9</v>
      </c>
      <c r="BJ1391">
        <v>32</v>
      </c>
      <c r="BK1391">
        <v>5</v>
      </c>
      <c r="BP1391" s="184"/>
    </row>
    <row r="1392" spans="1:68">
      <c r="A1392">
        <v>11406550</v>
      </c>
      <c r="B1392">
        <v>11406550</v>
      </c>
      <c r="C1392" t="s">
        <v>7018</v>
      </c>
      <c r="E1392" s="184"/>
      <c r="G1392" s="184"/>
      <c r="I1392" s="184"/>
      <c r="K1392" s="184"/>
      <c r="M1392" s="184"/>
      <c r="N1392" t="s">
        <v>595</v>
      </c>
      <c r="O1392" s="184">
        <v>40505</v>
      </c>
      <c r="P1392" t="s">
        <v>7029</v>
      </c>
      <c r="Q1392" t="s">
        <v>7194</v>
      </c>
      <c r="R1392" s="184">
        <v>12837</v>
      </c>
      <c r="S1392">
        <v>89</v>
      </c>
      <c r="U1392" t="s">
        <v>7130</v>
      </c>
      <c r="V1392" t="s">
        <v>2523</v>
      </c>
      <c r="X1392" t="s">
        <v>5633</v>
      </c>
      <c r="Z1392">
        <v>100180608</v>
      </c>
      <c r="AA1392" t="s">
        <v>7031</v>
      </c>
      <c r="AB1392" t="s">
        <v>2541</v>
      </c>
      <c r="AD1392" t="s">
        <v>5633</v>
      </c>
      <c r="AF1392" t="s">
        <v>14897</v>
      </c>
      <c r="AG1392" t="s">
        <v>2523</v>
      </c>
      <c r="AI1392" t="s">
        <v>14898</v>
      </c>
      <c r="AM1392" t="s">
        <v>5634</v>
      </c>
      <c r="AN1392" t="s">
        <v>2046</v>
      </c>
      <c r="AO1392" t="s">
        <v>14899</v>
      </c>
      <c r="AP1392" t="s">
        <v>7024</v>
      </c>
      <c r="AT1392" s="184">
        <v>34302</v>
      </c>
      <c r="AU1392" t="s">
        <v>14900</v>
      </c>
      <c r="AV1392">
        <v>15</v>
      </c>
      <c r="AW1392" s="184">
        <v>44410</v>
      </c>
      <c r="AX1392" t="s">
        <v>14901</v>
      </c>
      <c r="AY1392">
        <v>1000</v>
      </c>
      <c r="AZ1392" s="184">
        <v>40504</v>
      </c>
      <c r="BA1392" t="s">
        <v>7415</v>
      </c>
      <c r="BB1392">
        <v>20000</v>
      </c>
      <c r="BC1392">
        <v>47</v>
      </c>
      <c r="BD1392">
        <v>30460</v>
      </c>
      <c r="BE1392">
        <v>1994</v>
      </c>
      <c r="BF1392">
        <v>25</v>
      </c>
      <c r="BI1392">
        <v>15</v>
      </c>
      <c r="BJ1392">
        <v>32</v>
      </c>
      <c r="BK1392">
        <v>9</v>
      </c>
    </row>
    <row r="1393" spans="1:68">
      <c r="A1393">
        <v>11408549</v>
      </c>
      <c r="B1393">
        <v>11408549</v>
      </c>
      <c r="C1393" t="s">
        <v>7018</v>
      </c>
      <c r="E1393" s="184"/>
      <c r="G1393" s="184"/>
      <c r="I1393" s="184"/>
      <c r="J1393" t="s">
        <v>595</v>
      </c>
      <c r="K1393" s="184">
        <v>41319</v>
      </c>
      <c r="M1393" s="184"/>
      <c r="O1393" s="184"/>
      <c r="P1393" t="s">
        <v>7045</v>
      </c>
      <c r="Q1393" t="s">
        <v>7030</v>
      </c>
      <c r="R1393" s="184">
        <v>23102</v>
      </c>
      <c r="S1393">
        <v>61</v>
      </c>
      <c r="U1393" t="s">
        <v>7031</v>
      </c>
      <c r="V1393" t="s">
        <v>4934</v>
      </c>
      <c r="W1393" t="s">
        <v>7107</v>
      </c>
      <c r="X1393" t="s">
        <v>9660</v>
      </c>
      <c r="AF1393" t="s">
        <v>6056</v>
      </c>
      <c r="AG1393" t="s">
        <v>4934</v>
      </c>
      <c r="AI1393" t="s">
        <v>14902</v>
      </c>
      <c r="AM1393" t="s">
        <v>2930</v>
      </c>
      <c r="AN1393" t="s">
        <v>2094</v>
      </c>
      <c r="AO1393" t="s">
        <v>14903</v>
      </c>
      <c r="AP1393" t="s">
        <v>7024</v>
      </c>
      <c r="AQ1393" t="s">
        <v>14904</v>
      </c>
      <c r="AR1393" t="s">
        <v>14905</v>
      </c>
      <c r="AT1393" s="184">
        <v>34303</v>
      </c>
      <c r="AU1393" t="s">
        <v>14906</v>
      </c>
      <c r="AV1393">
        <v>15</v>
      </c>
      <c r="AW1393" s="184">
        <v>45399</v>
      </c>
      <c r="AX1393" t="s">
        <v>7429</v>
      </c>
      <c r="AY1393">
        <v>25</v>
      </c>
      <c r="AZ1393" s="184">
        <v>42346</v>
      </c>
      <c r="BA1393" t="s">
        <v>14907</v>
      </c>
      <c r="BB1393">
        <v>2500</v>
      </c>
      <c r="BC1393">
        <v>85</v>
      </c>
      <c r="BD1393">
        <v>10498</v>
      </c>
      <c r="BE1393">
        <v>1994</v>
      </c>
      <c r="BF1393">
        <v>269</v>
      </c>
      <c r="BG1393">
        <v>24</v>
      </c>
      <c r="BH1393">
        <v>600</v>
      </c>
      <c r="BI1393">
        <v>27</v>
      </c>
      <c r="BJ1393">
        <v>32</v>
      </c>
      <c r="BK1393">
        <v>24</v>
      </c>
      <c r="BP1393" s="184"/>
    </row>
    <row r="1394" spans="1:68">
      <c r="A1394">
        <v>11410628</v>
      </c>
      <c r="B1394">
        <v>11410628</v>
      </c>
      <c r="C1394" t="s">
        <v>7018</v>
      </c>
      <c r="E1394" s="184"/>
      <c r="G1394" s="184"/>
      <c r="H1394" t="s">
        <v>595</v>
      </c>
      <c r="I1394" s="184">
        <v>44502</v>
      </c>
      <c r="J1394" t="s">
        <v>595</v>
      </c>
      <c r="K1394" s="184">
        <v>43971</v>
      </c>
      <c r="M1394" s="184"/>
      <c r="O1394" s="184"/>
      <c r="P1394" t="s">
        <v>7045</v>
      </c>
      <c r="Q1394" t="s">
        <v>7020</v>
      </c>
      <c r="R1394" s="184">
        <v>20455</v>
      </c>
      <c r="S1394">
        <v>68</v>
      </c>
      <c r="V1394" t="s">
        <v>3235</v>
      </c>
      <c r="W1394" t="s">
        <v>5006</v>
      </c>
      <c r="X1394" t="s">
        <v>5152</v>
      </c>
      <c r="Z1394">
        <v>100444088</v>
      </c>
      <c r="AB1394" t="s">
        <v>3728</v>
      </c>
      <c r="AD1394" t="s">
        <v>5152</v>
      </c>
      <c r="AF1394" t="s">
        <v>14908</v>
      </c>
      <c r="AG1394" t="s">
        <v>14909</v>
      </c>
      <c r="AI1394" t="s">
        <v>14910</v>
      </c>
      <c r="AM1394" t="s">
        <v>14911</v>
      </c>
      <c r="AN1394" t="s">
        <v>2465</v>
      </c>
      <c r="AO1394" t="s">
        <v>14912</v>
      </c>
      <c r="AP1394" t="s">
        <v>7024</v>
      </c>
      <c r="AQ1394" t="s">
        <v>14913</v>
      </c>
      <c r="AT1394" s="184">
        <v>34303</v>
      </c>
      <c r="AU1394" t="s">
        <v>14822</v>
      </c>
      <c r="AV1394">
        <v>15</v>
      </c>
      <c r="AW1394" s="184">
        <v>45342</v>
      </c>
      <c r="AX1394" t="s">
        <v>9700</v>
      </c>
      <c r="AY1394">
        <v>25</v>
      </c>
      <c r="AZ1394" s="184">
        <v>42391</v>
      </c>
      <c r="BA1394" t="s">
        <v>14914</v>
      </c>
      <c r="BB1394">
        <v>60</v>
      </c>
      <c r="BC1394">
        <v>91</v>
      </c>
      <c r="BD1394">
        <v>755</v>
      </c>
      <c r="BE1394">
        <v>1994</v>
      </c>
      <c r="BF1394">
        <v>30</v>
      </c>
      <c r="BG1394">
        <v>2</v>
      </c>
      <c r="BH1394">
        <v>50</v>
      </c>
      <c r="BI1394">
        <v>29</v>
      </c>
      <c r="BJ1394">
        <v>32</v>
      </c>
      <c r="BK1394">
        <v>22</v>
      </c>
      <c r="BP1394" s="184"/>
    </row>
    <row r="1395" spans="1:68">
      <c r="A1395">
        <v>100444088</v>
      </c>
      <c r="B1395">
        <v>11410628</v>
      </c>
      <c r="C1395" t="s">
        <v>7018</v>
      </c>
      <c r="E1395" s="184"/>
      <c r="G1395" s="184"/>
      <c r="H1395" t="s">
        <v>595</v>
      </c>
      <c r="I1395" s="184">
        <v>44502</v>
      </c>
      <c r="J1395" t="s">
        <v>595</v>
      </c>
      <c r="K1395" s="184">
        <v>44013</v>
      </c>
      <c r="M1395" s="184"/>
      <c r="P1395" t="s">
        <v>7045</v>
      </c>
      <c r="Q1395" t="s">
        <v>7020</v>
      </c>
      <c r="R1395" s="184">
        <v>20297</v>
      </c>
      <c r="S1395">
        <v>68</v>
      </c>
      <c r="V1395" t="s">
        <v>3728</v>
      </c>
      <c r="X1395" t="s">
        <v>5152</v>
      </c>
      <c r="Z1395">
        <v>11410628</v>
      </c>
      <c r="AB1395" t="s">
        <v>3235</v>
      </c>
      <c r="AC1395" t="s">
        <v>5006</v>
      </c>
      <c r="AD1395" t="s">
        <v>5152</v>
      </c>
      <c r="AF1395" t="s">
        <v>14908</v>
      </c>
      <c r="AG1395" t="s">
        <v>14909</v>
      </c>
      <c r="AI1395" t="s">
        <v>14910</v>
      </c>
      <c r="AM1395" t="s">
        <v>14911</v>
      </c>
      <c r="AN1395" t="s">
        <v>2465</v>
      </c>
      <c r="AO1395" t="s">
        <v>14912</v>
      </c>
      <c r="AP1395" t="s">
        <v>7024</v>
      </c>
      <c r="AT1395" s="184"/>
      <c r="AW1395" s="184"/>
      <c r="AZ1395" s="184"/>
      <c r="BP1395" s="184"/>
    </row>
    <row r="1396" spans="1:68">
      <c r="A1396">
        <v>11411428</v>
      </c>
      <c r="B1396">
        <v>11411428</v>
      </c>
      <c r="C1396" t="s">
        <v>7018</v>
      </c>
      <c r="D1396" t="s">
        <v>595</v>
      </c>
      <c r="E1396" s="184">
        <v>45125</v>
      </c>
      <c r="G1396" s="184"/>
      <c r="I1396" s="184"/>
      <c r="K1396" s="184"/>
      <c r="M1396" s="184"/>
      <c r="O1396" s="184"/>
      <c r="P1396" t="s">
        <v>7045</v>
      </c>
      <c r="Q1396" t="s">
        <v>7020</v>
      </c>
      <c r="R1396" s="184">
        <v>17899</v>
      </c>
      <c r="S1396">
        <v>75</v>
      </c>
      <c r="V1396" t="s">
        <v>14915</v>
      </c>
      <c r="W1396" t="s">
        <v>2963</v>
      </c>
      <c r="X1396" t="s">
        <v>14916</v>
      </c>
      <c r="Z1396">
        <v>100040224</v>
      </c>
      <c r="AB1396" t="s">
        <v>14917</v>
      </c>
      <c r="AC1396" t="s">
        <v>7375</v>
      </c>
      <c r="AD1396" t="s">
        <v>14916</v>
      </c>
      <c r="AF1396" t="s">
        <v>14918</v>
      </c>
      <c r="AG1396" t="s">
        <v>14919</v>
      </c>
      <c r="AI1396" t="s">
        <v>14920</v>
      </c>
      <c r="AM1396" t="s">
        <v>14921</v>
      </c>
      <c r="AN1396" t="s">
        <v>2112</v>
      </c>
      <c r="AO1396" t="s">
        <v>14922</v>
      </c>
      <c r="AP1396" t="s">
        <v>7024</v>
      </c>
      <c r="AQ1396" t="s">
        <v>14923</v>
      </c>
      <c r="AT1396" s="184">
        <v>34303</v>
      </c>
      <c r="AU1396" t="s">
        <v>14924</v>
      </c>
      <c r="AV1396">
        <v>25</v>
      </c>
      <c r="AW1396" s="184">
        <v>44984</v>
      </c>
      <c r="AX1396" t="s">
        <v>12922</v>
      </c>
      <c r="AY1396">
        <v>25</v>
      </c>
      <c r="AZ1396" s="184">
        <v>44984</v>
      </c>
      <c r="BA1396" t="s">
        <v>12922</v>
      </c>
      <c r="BB1396">
        <v>25</v>
      </c>
      <c r="BC1396">
        <v>19</v>
      </c>
      <c r="BD1396">
        <v>139.94999999999999</v>
      </c>
      <c r="BE1396">
        <v>1994</v>
      </c>
      <c r="BF1396">
        <v>6</v>
      </c>
      <c r="BG1396">
        <v>2</v>
      </c>
      <c r="BH1396">
        <v>50</v>
      </c>
      <c r="BI1396">
        <v>6</v>
      </c>
      <c r="BJ1396">
        <v>32</v>
      </c>
      <c r="BK1396">
        <v>2</v>
      </c>
      <c r="BP1396" s="184"/>
    </row>
    <row r="1397" spans="1:68">
      <c r="A1397">
        <v>100040224</v>
      </c>
      <c r="B1397">
        <v>11411428</v>
      </c>
      <c r="C1397" t="s">
        <v>7018</v>
      </c>
      <c r="D1397" t="s">
        <v>595</v>
      </c>
      <c r="E1397" s="184">
        <v>45125</v>
      </c>
      <c r="G1397" s="184"/>
      <c r="I1397" s="184"/>
      <c r="K1397" s="184"/>
      <c r="M1397" s="184"/>
      <c r="O1397" s="184"/>
      <c r="P1397" t="s">
        <v>7045</v>
      </c>
      <c r="Q1397" t="s">
        <v>7020</v>
      </c>
      <c r="R1397" s="184">
        <v>18392</v>
      </c>
      <c r="S1397">
        <v>74</v>
      </c>
      <c r="V1397" t="s">
        <v>14917</v>
      </c>
      <c r="W1397" t="s">
        <v>7375</v>
      </c>
      <c r="X1397" t="s">
        <v>14916</v>
      </c>
      <c r="Z1397">
        <v>11411428</v>
      </c>
      <c r="AB1397" t="s">
        <v>14915</v>
      </c>
      <c r="AC1397" t="s">
        <v>2963</v>
      </c>
      <c r="AD1397" t="s">
        <v>14916</v>
      </c>
      <c r="AF1397" t="s">
        <v>14918</v>
      </c>
      <c r="AG1397" t="s">
        <v>14919</v>
      </c>
      <c r="AI1397" t="s">
        <v>14920</v>
      </c>
      <c r="AM1397" t="s">
        <v>14921</v>
      </c>
      <c r="AN1397" t="s">
        <v>2112</v>
      </c>
      <c r="AO1397" t="s">
        <v>14922</v>
      </c>
      <c r="AP1397" t="s">
        <v>7024</v>
      </c>
      <c r="AT1397" s="184"/>
      <c r="AW1397" s="184"/>
      <c r="AZ1397" s="184"/>
      <c r="BP1397" s="184"/>
    </row>
    <row r="1398" spans="1:68">
      <c r="A1398">
        <v>11412483</v>
      </c>
      <c r="B1398">
        <v>11412483</v>
      </c>
      <c r="C1398" t="s">
        <v>7018</v>
      </c>
      <c r="E1398" s="184"/>
      <c r="F1398" t="s">
        <v>595</v>
      </c>
      <c r="G1398" s="184">
        <v>43731</v>
      </c>
      <c r="I1398" s="184"/>
      <c r="K1398" s="184"/>
      <c r="M1398" s="184"/>
      <c r="O1398" s="184"/>
      <c r="P1398" t="s">
        <v>7045</v>
      </c>
      <c r="Q1398" t="s">
        <v>7454</v>
      </c>
      <c r="R1398" s="184">
        <v>21033</v>
      </c>
      <c r="S1398">
        <v>66</v>
      </c>
      <c r="V1398" t="s">
        <v>3692</v>
      </c>
      <c r="X1398" t="s">
        <v>3945</v>
      </c>
      <c r="Z1398">
        <v>100040229</v>
      </c>
      <c r="AB1398" t="s">
        <v>14268</v>
      </c>
      <c r="AD1398" t="s">
        <v>3945</v>
      </c>
      <c r="AF1398" t="s">
        <v>14925</v>
      </c>
      <c r="AG1398" t="s">
        <v>14926</v>
      </c>
      <c r="AI1398" t="s">
        <v>14927</v>
      </c>
      <c r="AM1398" t="s">
        <v>3946</v>
      </c>
      <c r="AN1398" t="s">
        <v>2055</v>
      </c>
      <c r="AO1398" t="s">
        <v>14928</v>
      </c>
      <c r="AP1398" t="s">
        <v>7024</v>
      </c>
      <c r="AQ1398" t="s">
        <v>14929</v>
      </c>
      <c r="AT1398" s="184">
        <v>34303</v>
      </c>
      <c r="AU1398" t="s">
        <v>14930</v>
      </c>
      <c r="AV1398">
        <v>50</v>
      </c>
      <c r="AW1398" s="184">
        <v>45312</v>
      </c>
      <c r="AX1398" t="s">
        <v>7832</v>
      </c>
      <c r="AY1398">
        <v>150</v>
      </c>
      <c r="AZ1398" s="184">
        <v>39139</v>
      </c>
      <c r="BA1398" t="s">
        <v>14931</v>
      </c>
      <c r="BB1398">
        <v>275</v>
      </c>
      <c r="BC1398">
        <v>85</v>
      </c>
      <c r="BD1398">
        <v>4193</v>
      </c>
      <c r="BE1398">
        <v>1994</v>
      </c>
      <c r="BF1398">
        <v>42</v>
      </c>
      <c r="BG1398">
        <v>2</v>
      </c>
      <c r="BH1398">
        <v>300</v>
      </c>
      <c r="BI1398">
        <v>27</v>
      </c>
      <c r="BJ1398">
        <v>32</v>
      </c>
      <c r="BK1398">
        <v>16</v>
      </c>
      <c r="BP1398" s="184"/>
    </row>
    <row r="1399" spans="1:68">
      <c r="A1399">
        <v>100040229</v>
      </c>
      <c r="B1399">
        <v>11412483</v>
      </c>
      <c r="C1399" t="s">
        <v>7018</v>
      </c>
      <c r="E1399" s="184"/>
      <c r="F1399" t="s">
        <v>595</v>
      </c>
      <c r="G1399" s="184">
        <v>43731</v>
      </c>
      <c r="K1399" s="184"/>
      <c r="M1399" s="184"/>
      <c r="O1399" s="184"/>
      <c r="P1399" t="s">
        <v>7045</v>
      </c>
      <c r="Q1399" t="s">
        <v>7454</v>
      </c>
      <c r="R1399" s="184">
        <v>21033</v>
      </c>
      <c r="S1399">
        <v>66</v>
      </c>
      <c r="V1399" t="s">
        <v>14268</v>
      </c>
      <c r="X1399" t="s">
        <v>3945</v>
      </c>
      <c r="Z1399">
        <v>11412483</v>
      </c>
      <c r="AB1399" t="s">
        <v>3692</v>
      </c>
      <c r="AD1399" t="s">
        <v>3945</v>
      </c>
      <c r="AF1399" t="s">
        <v>14925</v>
      </c>
      <c r="AG1399" t="s">
        <v>14926</v>
      </c>
      <c r="AI1399" t="s">
        <v>14927</v>
      </c>
      <c r="AM1399" t="s">
        <v>3946</v>
      </c>
      <c r="AN1399" t="s">
        <v>2055</v>
      </c>
      <c r="AO1399" t="s">
        <v>14928</v>
      </c>
      <c r="AP1399" t="s">
        <v>7024</v>
      </c>
      <c r="AT1399" s="184"/>
      <c r="AW1399" s="184"/>
      <c r="AZ1399" s="184"/>
      <c r="BP1399" s="184"/>
    </row>
    <row r="1400" spans="1:68">
      <c r="A1400">
        <v>11433810</v>
      </c>
      <c r="B1400">
        <v>11433810</v>
      </c>
      <c r="C1400" t="s">
        <v>7018</v>
      </c>
      <c r="D1400" t="s">
        <v>595</v>
      </c>
      <c r="E1400" s="184">
        <v>45124</v>
      </c>
      <c r="G1400" s="184"/>
      <c r="K1400" s="184"/>
      <c r="O1400" s="184"/>
      <c r="P1400" t="s">
        <v>7045</v>
      </c>
      <c r="Q1400" t="s">
        <v>7020</v>
      </c>
      <c r="R1400" s="184">
        <v>17168</v>
      </c>
      <c r="S1400">
        <v>77</v>
      </c>
      <c r="V1400" t="s">
        <v>4943</v>
      </c>
      <c r="X1400" t="s">
        <v>14932</v>
      </c>
      <c r="AF1400" t="s">
        <v>14933</v>
      </c>
      <c r="AG1400" t="s">
        <v>4943</v>
      </c>
      <c r="AI1400" t="s">
        <v>14934</v>
      </c>
      <c r="AM1400" t="s">
        <v>3084</v>
      </c>
      <c r="AN1400" t="s">
        <v>2465</v>
      </c>
      <c r="AO1400" t="s">
        <v>14935</v>
      </c>
      <c r="AP1400" t="s">
        <v>7024</v>
      </c>
      <c r="AQ1400" t="s">
        <v>14936</v>
      </c>
      <c r="AR1400" t="s">
        <v>14937</v>
      </c>
      <c r="AT1400" s="184">
        <v>34317</v>
      </c>
      <c r="AU1400" t="s">
        <v>14938</v>
      </c>
      <c r="AV1400">
        <v>25</v>
      </c>
      <c r="AW1400" s="184">
        <v>45014</v>
      </c>
      <c r="AX1400" t="s">
        <v>10302</v>
      </c>
      <c r="AY1400">
        <v>75</v>
      </c>
      <c r="AZ1400" s="184">
        <v>45014</v>
      </c>
      <c r="BA1400" t="s">
        <v>10302</v>
      </c>
      <c r="BB1400">
        <v>75</v>
      </c>
      <c r="BC1400">
        <v>19</v>
      </c>
      <c r="BD1400">
        <v>425</v>
      </c>
      <c r="BE1400">
        <v>1994</v>
      </c>
      <c r="BF1400">
        <v>8</v>
      </c>
      <c r="BG1400">
        <v>4</v>
      </c>
      <c r="BH1400">
        <v>275</v>
      </c>
      <c r="BI1400">
        <v>6</v>
      </c>
      <c r="BJ1400">
        <v>32</v>
      </c>
      <c r="BK1400">
        <v>4</v>
      </c>
      <c r="BP1400" s="184"/>
    </row>
    <row r="1401" spans="1:68">
      <c r="A1401">
        <v>11440732</v>
      </c>
      <c r="B1401">
        <v>11440732</v>
      </c>
      <c r="C1401" t="s">
        <v>7018</v>
      </c>
      <c r="E1401" s="184"/>
      <c r="G1401" s="184"/>
      <c r="I1401" s="184"/>
      <c r="J1401" t="s">
        <v>595</v>
      </c>
      <c r="K1401" s="184">
        <v>43881</v>
      </c>
      <c r="M1401" s="184"/>
      <c r="P1401" t="s">
        <v>7029</v>
      </c>
      <c r="Q1401" t="s">
        <v>7160</v>
      </c>
      <c r="R1401" s="184">
        <v>11588</v>
      </c>
      <c r="S1401">
        <v>92</v>
      </c>
      <c r="U1401" t="s">
        <v>7032</v>
      </c>
      <c r="V1401" t="s">
        <v>2898</v>
      </c>
      <c r="W1401" t="s">
        <v>2869</v>
      </c>
      <c r="X1401" t="s">
        <v>4771</v>
      </c>
      <c r="Z1401">
        <v>100040345</v>
      </c>
      <c r="AA1401" t="s">
        <v>7130</v>
      </c>
      <c r="AB1401" t="s">
        <v>3444</v>
      </c>
      <c r="AC1401" t="s">
        <v>14939</v>
      </c>
      <c r="AD1401" t="s">
        <v>4771</v>
      </c>
      <c r="AF1401" t="s">
        <v>6060</v>
      </c>
      <c r="AG1401" t="s">
        <v>14940</v>
      </c>
      <c r="AI1401" t="s">
        <v>14941</v>
      </c>
      <c r="AM1401" t="s">
        <v>2766</v>
      </c>
      <c r="AN1401" t="s">
        <v>2176</v>
      </c>
      <c r="AO1401" t="s">
        <v>14942</v>
      </c>
      <c r="AP1401" t="s">
        <v>7024</v>
      </c>
      <c r="AQ1401" t="s">
        <v>14943</v>
      </c>
      <c r="AR1401" t="s">
        <v>14944</v>
      </c>
      <c r="AT1401" s="184">
        <v>34312</v>
      </c>
      <c r="AU1401" t="s">
        <v>14945</v>
      </c>
      <c r="AV1401">
        <v>25</v>
      </c>
      <c r="AW1401" s="184">
        <v>45278</v>
      </c>
      <c r="AX1401" t="s">
        <v>7558</v>
      </c>
      <c r="AY1401">
        <v>1000</v>
      </c>
      <c r="AZ1401" s="184">
        <v>45278</v>
      </c>
      <c r="BA1401" t="s">
        <v>7558</v>
      </c>
      <c r="BB1401">
        <v>1000</v>
      </c>
      <c r="BC1401">
        <v>69</v>
      </c>
      <c r="BD1401">
        <v>13032</v>
      </c>
      <c r="BE1401">
        <v>1994</v>
      </c>
      <c r="BF1401">
        <v>27</v>
      </c>
      <c r="BG1401">
        <v>2</v>
      </c>
      <c r="BH1401">
        <v>2000</v>
      </c>
      <c r="BI1401">
        <v>22</v>
      </c>
      <c r="BJ1401">
        <v>32</v>
      </c>
      <c r="BK1401">
        <v>6</v>
      </c>
    </row>
    <row r="1402" spans="1:68">
      <c r="A1402">
        <v>100040345</v>
      </c>
      <c r="B1402">
        <v>11440732</v>
      </c>
      <c r="C1402" t="s">
        <v>7018</v>
      </c>
      <c r="E1402" s="184"/>
      <c r="G1402" s="184"/>
      <c r="I1402" s="184"/>
      <c r="J1402" t="s">
        <v>595</v>
      </c>
      <c r="K1402" s="184">
        <v>43881</v>
      </c>
      <c r="M1402" s="184"/>
      <c r="O1402" s="184"/>
      <c r="P1402" t="s">
        <v>7029</v>
      </c>
      <c r="Q1402" t="s">
        <v>7160</v>
      </c>
      <c r="R1402" s="184">
        <v>12347</v>
      </c>
      <c r="S1402">
        <v>90</v>
      </c>
      <c r="U1402" t="s">
        <v>7130</v>
      </c>
      <c r="V1402" t="s">
        <v>3444</v>
      </c>
      <c r="W1402" t="s">
        <v>14939</v>
      </c>
      <c r="X1402" t="s">
        <v>4771</v>
      </c>
      <c r="Z1402">
        <v>11440732</v>
      </c>
      <c r="AA1402" t="s">
        <v>7032</v>
      </c>
      <c r="AB1402" t="s">
        <v>2898</v>
      </c>
      <c r="AC1402" t="s">
        <v>2869</v>
      </c>
      <c r="AD1402" t="s">
        <v>4771</v>
      </c>
      <c r="AF1402" t="s">
        <v>6060</v>
      </c>
      <c r="AG1402" t="s">
        <v>14940</v>
      </c>
      <c r="AI1402" t="s">
        <v>14941</v>
      </c>
      <c r="AM1402" t="s">
        <v>2766</v>
      </c>
      <c r="AN1402" t="s">
        <v>2176</v>
      </c>
      <c r="AO1402" t="s">
        <v>14942</v>
      </c>
      <c r="AP1402" t="s">
        <v>7024</v>
      </c>
      <c r="AQ1402" t="s">
        <v>14946</v>
      </c>
      <c r="AT1402" s="184"/>
      <c r="AW1402" s="184"/>
      <c r="AZ1402" s="184"/>
    </row>
    <row r="1403" spans="1:68">
      <c r="A1403">
        <v>11450905</v>
      </c>
      <c r="B1403">
        <v>11450905</v>
      </c>
      <c r="C1403" t="s">
        <v>7018</v>
      </c>
      <c r="E1403" s="184"/>
      <c r="G1403" s="184"/>
      <c r="I1403" s="184"/>
      <c r="J1403" t="s">
        <v>595</v>
      </c>
      <c r="K1403" s="184">
        <v>41382</v>
      </c>
      <c r="L1403" t="s">
        <v>595</v>
      </c>
      <c r="M1403" s="184">
        <v>44026</v>
      </c>
      <c r="O1403" s="184"/>
      <c r="P1403" t="s">
        <v>7084</v>
      </c>
      <c r="Q1403" t="s">
        <v>7383</v>
      </c>
      <c r="R1403" s="184">
        <v>10441</v>
      </c>
      <c r="S1403">
        <v>95</v>
      </c>
      <c r="U1403" t="s">
        <v>7130</v>
      </c>
      <c r="V1403" t="s">
        <v>3011</v>
      </c>
      <c r="X1403" t="s">
        <v>5875</v>
      </c>
      <c r="AF1403" t="s">
        <v>14947</v>
      </c>
      <c r="AG1403" t="s">
        <v>3011</v>
      </c>
      <c r="AI1403" t="s">
        <v>14948</v>
      </c>
      <c r="AM1403" t="s">
        <v>14949</v>
      </c>
      <c r="AN1403" t="s">
        <v>2064</v>
      </c>
      <c r="AO1403" t="s">
        <v>14950</v>
      </c>
      <c r="AP1403" t="s">
        <v>7024</v>
      </c>
      <c r="AQ1403" t="s">
        <v>14951</v>
      </c>
      <c r="AR1403" t="s">
        <v>14952</v>
      </c>
      <c r="AT1403" s="184">
        <v>34309</v>
      </c>
      <c r="AU1403" t="s">
        <v>14924</v>
      </c>
      <c r="AV1403">
        <v>20</v>
      </c>
      <c r="AW1403" s="184">
        <v>45243</v>
      </c>
      <c r="AX1403" t="s">
        <v>7749</v>
      </c>
      <c r="AY1403">
        <v>7000</v>
      </c>
      <c r="AZ1403" s="184">
        <v>44753</v>
      </c>
      <c r="BA1403" t="s">
        <v>7506</v>
      </c>
      <c r="BB1403">
        <v>10000</v>
      </c>
      <c r="BC1403">
        <v>82</v>
      </c>
      <c r="BD1403">
        <v>46026</v>
      </c>
      <c r="BE1403">
        <v>1994</v>
      </c>
      <c r="BF1403">
        <v>36</v>
      </c>
      <c r="BG1403">
        <v>2</v>
      </c>
      <c r="BH1403">
        <v>17000</v>
      </c>
      <c r="BI1403">
        <v>26</v>
      </c>
      <c r="BJ1403">
        <v>32</v>
      </c>
      <c r="BK1403">
        <v>11</v>
      </c>
      <c r="BN1403" t="s">
        <v>595</v>
      </c>
      <c r="BP1403" s="184"/>
    </row>
    <row r="1404" spans="1:68">
      <c r="A1404">
        <v>11467149</v>
      </c>
      <c r="B1404">
        <v>11467149</v>
      </c>
      <c r="C1404" t="s">
        <v>7018</v>
      </c>
      <c r="D1404" t="s">
        <v>595</v>
      </c>
      <c r="E1404" s="184">
        <v>44073</v>
      </c>
      <c r="G1404" s="184"/>
      <c r="I1404" s="184"/>
      <c r="K1404" s="184"/>
      <c r="M1404" s="184"/>
      <c r="O1404" s="184"/>
      <c r="P1404" t="s">
        <v>7045</v>
      </c>
      <c r="Q1404" t="s">
        <v>7383</v>
      </c>
      <c r="R1404" s="184">
        <v>21551</v>
      </c>
      <c r="S1404">
        <v>65</v>
      </c>
      <c r="V1404" t="s">
        <v>2651</v>
      </c>
      <c r="X1404" t="s">
        <v>14953</v>
      </c>
      <c r="AF1404" t="s">
        <v>14954</v>
      </c>
      <c r="AG1404" t="s">
        <v>2651</v>
      </c>
      <c r="AI1404" t="s">
        <v>14955</v>
      </c>
      <c r="AM1404" t="s">
        <v>5031</v>
      </c>
      <c r="AN1404" t="s">
        <v>2185</v>
      </c>
      <c r="AO1404" t="s">
        <v>14956</v>
      </c>
      <c r="AP1404" t="s">
        <v>7024</v>
      </c>
      <c r="AQ1404" t="s">
        <v>14957</v>
      </c>
      <c r="AR1404" t="s">
        <v>14958</v>
      </c>
      <c r="AT1404" s="184">
        <v>34313</v>
      </c>
      <c r="AU1404" t="s">
        <v>14959</v>
      </c>
      <c r="AV1404">
        <v>15</v>
      </c>
      <c r="AW1404" s="184">
        <v>45341</v>
      </c>
      <c r="AX1404" t="s">
        <v>7972</v>
      </c>
      <c r="AY1404">
        <v>25</v>
      </c>
      <c r="AZ1404" s="184">
        <v>45341</v>
      </c>
      <c r="BA1404" t="s">
        <v>7972</v>
      </c>
      <c r="BB1404">
        <v>25</v>
      </c>
      <c r="BC1404">
        <v>97</v>
      </c>
      <c r="BD1404">
        <v>820</v>
      </c>
      <c r="BE1404">
        <v>1994</v>
      </c>
      <c r="BF1404">
        <v>36</v>
      </c>
      <c r="BG1404">
        <v>2</v>
      </c>
      <c r="BH1404">
        <v>50</v>
      </c>
      <c r="BI1404">
        <v>31</v>
      </c>
      <c r="BJ1404">
        <v>32</v>
      </c>
      <c r="BK1404">
        <v>29</v>
      </c>
      <c r="BP1404" s="184"/>
    </row>
    <row r="1405" spans="1:68">
      <c r="A1405">
        <v>11468162</v>
      </c>
      <c r="B1405">
        <v>11468162</v>
      </c>
      <c r="C1405" t="s">
        <v>7018</v>
      </c>
      <c r="D1405" t="s">
        <v>595</v>
      </c>
      <c r="E1405" s="184">
        <v>43642</v>
      </c>
      <c r="G1405" s="184"/>
      <c r="I1405" s="184"/>
      <c r="K1405" s="184"/>
      <c r="M1405" s="184"/>
      <c r="O1405" s="184"/>
      <c r="P1405" t="s">
        <v>7045</v>
      </c>
      <c r="Q1405" t="s">
        <v>7020</v>
      </c>
      <c r="R1405" s="184">
        <v>12366</v>
      </c>
      <c r="S1405">
        <v>90</v>
      </c>
      <c r="U1405" t="s">
        <v>7031</v>
      </c>
      <c r="V1405" t="s">
        <v>3217</v>
      </c>
      <c r="X1405" t="s">
        <v>3218</v>
      </c>
      <c r="AF1405" t="s">
        <v>14960</v>
      </c>
      <c r="AG1405" t="s">
        <v>3217</v>
      </c>
      <c r="AI1405" t="s">
        <v>14961</v>
      </c>
      <c r="AM1405" t="s">
        <v>3219</v>
      </c>
      <c r="AN1405" t="s">
        <v>2129</v>
      </c>
      <c r="AO1405" t="s">
        <v>14962</v>
      </c>
      <c r="AP1405" t="s">
        <v>7024</v>
      </c>
      <c r="AQ1405" t="s">
        <v>14963</v>
      </c>
      <c r="AR1405" t="s">
        <v>14964</v>
      </c>
      <c r="AT1405" s="184">
        <v>34313</v>
      </c>
      <c r="AU1405" t="s">
        <v>14930</v>
      </c>
      <c r="AV1405">
        <v>50</v>
      </c>
      <c r="AW1405" s="184">
        <v>42832</v>
      </c>
      <c r="AX1405" t="s">
        <v>14311</v>
      </c>
      <c r="AY1405">
        <v>100</v>
      </c>
      <c r="AZ1405" s="184">
        <v>39412</v>
      </c>
      <c r="BA1405" t="s">
        <v>14965</v>
      </c>
      <c r="BB1405">
        <v>250</v>
      </c>
      <c r="BC1405">
        <v>72</v>
      </c>
      <c r="BD1405">
        <v>4725</v>
      </c>
      <c r="BE1405">
        <v>1994</v>
      </c>
      <c r="BF1405">
        <v>37</v>
      </c>
      <c r="BI1405">
        <v>23</v>
      </c>
      <c r="BJ1405">
        <v>32</v>
      </c>
      <c r="BK1405">
        <v>20</v>
      </c>
      <c r="BO1405" t="s">
        <v>595</v>
      </c>
      <c r="BP1405" s="184"/>
    </row>
    <row r="1406" spans="1:68">
      <c r="A1406">
        <v>11494747</v>
      </c>
      <c r="B1406">
        <v>11494747</v>
      </c>
      <c r="C1406" t="s">
        <v>7018</v>
      </c>
      <c r="D1406" t="s">
        <v>595</v>
      </c>
      <c r="E1406" s="184">
        <v>43881</v>
      </c>
      <c r="I1406" s="184"/>
      <c r="K1406" s="184"/>
      <c r="P1406" t="s">
        <v>7045</v>
      </c>
      <c r="Q1406" t="s">
        <v>7160</v>
      </c>
      <c r="R1406" s="184">
        <v>17168</v>
      </c>
      <c r="S1406">
        <v>77</v>
      </c>
      <c r="V1406" t="s">
        <v>2511</v>
      </c>
      <c r="X1406" t="s">
        <v>3828</v>
      </c>
      <c r="AF1406" t="s">
        <v>14966</v>
      </c>
      <c r="AG1406" t="s">
        <v>2511</v>
      </c>
      <c r="AI1406" t="s">
        <v>14967</v>
      </c>
      <c r="AM1406" t="s">
        <v>14968</v>
      </c>
      <c r="AN1406" t="s">
        <v>2203</v>
      </c>
      <c r="AO1406" t="s">
        <v>14969</v>
      </c>
      <c r="AP1406" t="s">
        <v>7024</v>
      </c>
      <c r="AQ1406" t="s">
        <v>14970</v>
      </c>
      <c r="AR1406" t="s">
        <v>14971</v>
      </c>
      <c r="AT1406" s="184">
        <v>34326</v>
      </c>
      <c r="AU1406" t="s">
        <v>14029</v>
      </c>
      <c r="AV1406">
        <v>15</v>
      </c>
      <c r="AW1406" s="184">
        <v>45097</v>
      </c>
      <c r="AX1406" t="s">
        <v>14498</v>
      </c>
      <c r="AY1406">
        <v>50</v>
      </c>
      <c r="AZ1406" s="184">
        <v>42430</v>
      </c>
      <c r="BA1406" t="s">
        <v>14972</v>
      </c>
      <c r="BB1406">
        <v>65</v>
      </c>
      <c r="BC1406">
        <v>69</v>
      </c>
      <c r="BD1406">
        <v>1356</v>
      </c>
      <c r="BE1406">
        <v>1994</v>
      </c>
      <c r="BF1406">
        <v>26</v>
      </c>
      <c r="BG1406">
        <v>3</v>
      </c>
      <c r="BH1406">
        <v>150</v>
      </c>
      <c r="BI1406">
        <v>22</v>
      </c>
      <c r="BJ1406">
        <v>32</v>
      </c>
      <c r="BK1406">
        <v>15</v>
      </c>
    </row>
    <row r="1407" spans="1:68">
      <c r="A1407">
        <v>11539749</v>
      </c>
      <c r="B1407">
        <v>11539749</v>
      </c>
      <c r="C1407" t="s">
        <v>7018</v>
      </c>
      <c r="E1407" s="184"/>
      <c r="G1407" s="184"/>
      <c r="I1407" s="184"/>
      <c r="J1407" t="s">
        <v>595</v>
      </c>
      <c r="K1407" s="184">
        <v>41390</v>
      </c>
      <c r="O1407" s="184"/>
      <c r="P1407" t="s">
        <v>7045</v>
      </c>
      <c r="Q1407" t="s">
        <v>7030</v>
      </c>
      <c r="R1407" s="184">
        <v>12875</v>
      </c>
      <c r="S1407">
        <v>89</v>
      </c>
      <c r="U1407" t="s">
        <v>7076</v>
      </c>
      <c r="V1407" t="s">
        <v>2718</v>
      </c>
      <c r="W1407" t="s">
        <v>4139</v>
      </c>
      <c r="X1407" t="s">
        <v>14973</v>
      </c>
      <c r="AF1407" t="s">
        <v>6309</v>
      </c>
      <c r="AG1407" t="s">
        <v>2718</v>
      </c>
      <c r="AI1407" t="s">
        <v>14974</v>
      </c>
      <c r="AM1407" t="s">
        <v>2897</v>
      </c>
      <c r="AN1407" t="s">
        <v>2089</v>
      </c>
      <c r="AO1407" t="s">
        <v>14975</v>
      </c>
      <c r="AP1407" t="s">
        <v>7024</v>
      </c>
      <c r="AQ1407" t="s">
        <v>14976</v>
      </c>
      <c r="AT1407" s="184">
        <v>34325</v>
      </c>
      <c r="AU1407" t="s">
        <v>14977</v>
      </c>
      <c r="AV1407">
        <v>25</v>
      </c>
      <c r="AW1407" s="184">
        <v>44755</v>
      </c>
      <c r="AX1407" t="s">
        <v>8969</v>
      </c>
      <c r="AY1407">
        <v>50</v>
      </c>
      <c r="AZ1407" s="184">
        <v>38918</v>
      </c>
      <c r="BA1407" t="s">
        <v>14978</v>
      </c>
      <c r="BB1407">
        <v>100</v>
      </c>
      <c r="BC1407">
        <v>72</v>
      </c>
      <c r="BD1407">
        <v>1840</v>
      </c>
      <c r="BE1407">
        <v>1994</v>
      </c>
      <c r="BF1407">
        <v>37</v>
      </c>
      <c r="BG1407">
        <v>1</v>
      </c>
      <c r="BH1407">
        <v>50</v>
      </c>
      <c r="BI1407">
        <v>23</v>
      </c>
      <c r="BJ1407">
        <v>32</v>
      </c>
      <c r="BK1407">
        <v>10</v>
      </c>
      <c r="BN1407" t="s">
        <v>595</v>
      </c>
      <c r="BP1407" s="184"/>
    </row>
    <row r="1408" spans="1:68">
      <c r="A1408">
        <v>11562238</v>
      </c>
      <c r="B1408">
        <v>11562238</v>
      </c>
      <c r="C1408" t="s">
        <v>7018</v>
      </c>
      <c r="D1408" t="s">
        <v>595</v>
      </c>
      <c r="E1408" s="184">
        <v>44073</v>
      </c>
      <c r="G1408" s="184"/>
      <c r="I1408" s="184"/>
      <c r="K1408" s="184"/>
      <c r="M1408" s="184"/>
      <c r="O1408" s="184"/>
      <c r="P1408" t="s">
        <v>7045</v>
      </c>
      <c r="Q1408" t="s">
        <v>7454</v>
      </c>
      <c r="R1408" s="184">
        <v>16495</v>
      </c>
      <c r="S1408">
        <v>79</v>
      </c>
      <c r="V1408" t="s">
        <v>2979</v>
      </c>
      <c r="X1408" t="s">
        <v>14979</v>
      </c>
      <c r="Z1408">
        <v>100040760</v>
      </c>
      <c r="AB1408" t="s">
        <v>14917</v>
      </c>
      <c r="AD1408" t="s">
        <v>14979</v>
      </c>
      <c r="AF1408" t="s">
        <v>14980</v>
      </c>
      <c r="AG1408" t="s">
        <v>14981</v>
      </c>
      <c r="AI1408" t="s">
        <v>14982</v>
      </c>
      <c r="AM1408" t="s">
        <v>3979</v>
      </c>
      <c r="AN1408" t="s">
        <v>2299</v>
      </c>
      <c r="AO1408" t="s">
        <v>14983</v>
      </c>
      <c r="AP1408" t="s">
        <v>7024</v>
      </c>
      <c r="AT1408" s="184">
        <v>34330</v>
      </c>
      <c r="AU1408" t="s">
        <v>14984</v>
      </c>
      <c r="AV1408">
        <v>15</v>
      </c>
      <c r="AW1408" s="184">
        <v>45356</v>
      </c>
      <c r="AX1408" t="s">
        <v>14985</v>
      </c>
      <c r="AY1408">
        <v>200</v>
      </c>
      <c r="AZ1408" s="184">
        <v>45356</v>
      </c>
      <c r="BA1408" t="s">
        <v>14985</v>
      </c>
      <c r="BB1408">
        <v>200</v>
      </c>
      <c r="BC1408">
        <v>94</v>
      </c>
      <c r="BD1408">
        <v>3380</v>
      </c>
      <c r="BE1408">
        <v>1994</v>
      </c>
      <c r="BF1408">
        <v>36</v>
      </c>
      <c r="BG1408">
        <v>2</v>
      </c>
      <c r="BH1408">
        <v>400</v>
      </c>
      <c r="BI1408">
        <v>30</v>
      </c>
      <c r="BJ1408">
        <v>32</v>
      </c>
      <c r="BK1408">
        <v>22</v>
      </c>
      <c r="BP1408" s="184"/>
    </row>
    <row r="1409" spans="1:68">
      <c r="A1409">
        <v>100040760</v>
      </c>
      <c r="B1409">
        <v>11562238</v>
      </c>
      <c r="C1409" t="s">
        <v>7018</v>
      </c>
      <c r="D1409" t="s">
        <v>595</v>
      </c>
      <c r="E1409" s="184">
        <v>44073</v>
      </c>
      <c r="G1409" s="184"/>
      <c r="I1409" s="184"/>
      <c r="K1409" s="184"/>
      <c r="O1409" s="184"/>
      <c r="P1409" t="s">
        <v>7045</v>
      </c>
      <c r="Q1409" t="s">
        <v>7454</v>
      </c>
      <c r="R1409" s="184">
        <v>16525</v>
      </c>
      <c r="S1409">
        <v>79</v>
      </c>
      <c r="V1409" t="s">
        <v>14917</v>
      </c>
      <c r="X1409" t="s">
        <v>14979</v>
      </c>
      <c r="Z1409">
        <v>11562238</v>
      </c>
      <c r="AB1409" t="s">
        <v>2979</v>
      </c>
      <c r="AD1409" t="s">
        <v>14979</v>
      </c>
      <c r="AF1409" t="s">
        <v>14980</v>
      </c>
      <c r="AG1409" t="s">
        <v>14981</v>
      </c>
      <c r="AI1409" t="s">
        <v>14982</v>
      </c>
      <c r="AM1409" t="s">
        <v>3979</v>
      </c>
      <c r="AN1409" t="s">
        <v>2299</v>
      </c>
      <c r="AO1409" t="s">
        <v>14983</v>
      </c>
      <c r="AP1409" t="s">
        <v>7024</v>
      </c>
      <c r="AT1409" s="184"/>
      <c r="AW1409" s="184"/>
      <c r="AZ1409" s="184"/>
      <c r="BP1409" s="184"/>
    </row>
    <row r="1410" spans="1:68">
      <c r="A1410">
        <v>11563913</v>
      </c>
      <c r="B1410">
        <v>11563913</v>
      </c>
      <c r="C1410" t="s">
        <v>7018</v>
      </c>
      <c r="D1410" t="s">
        <v>595</v>
      </c>
      <c r="E1410" s="184">
        <v>44104</v>
      </c>
      <c r="G1410" s="184"/>
      <c r="I1410" s="184"/>
      <c r="K1410" s="184"/>
      <c r="O1410" s="184"/>
      <c r="P1410" t="s">
        <v>7045</v>
      </c>
      <c r="Q1410" t="s">
        <v>7160</v>
      </c>
      <c r="R1410" s="184">
        <v>17593</v>
      </c>
      <c r="S1410">
        <v>76</v>
      </c>
      <c r="U1410" t="s">
        <v>7031</v>
      </c>
      <c r="V1410" t="s">
        <v>2511</v>
      </c>
      <c r="W1410" t="s">
        <v>2963</v>
      </c>
      <c r="X1410" t="s">
        <v>14986</v>
      </c>
      <c r="AF1410" t="s">
        <v>14987</v>
      </c>
      <c r="AG1410" t="s">
        <v>2511</v>
      </c>
      <c r="AI1410" t="s">
        <v>14988</v>
      </c>
      <c r="AM1410" t="s">
        <v>4028</v>
      </c>
      <c r="AN1410" t="s">
        <v>2446</v>
      </c>
      <c r="AO1410" t="s">
        <v>14989</v>
      </c>
      <c r="AP1410" t="s">
        <v>7024</v>
      </c>
      <c r="AQ1410" t="s">
        <v>14990</v>
      </c>
      <c r="AR1410" t="s">
        <v>14991</v>
      </c>
      <c r="AT1410" s="184">
        <v>34330</v>
      </c>
      <c r="AU1410" t="s">
        <v>14992</v>
      </c>
      <c r="AV1410">
        <v>25</v>
      </c>
      <c r="AW1410" s="184">
        <v>45349</v>
      </c>
      <c r="AX1410" t="s">
        <v>14993</v>
      </c>
      <c r="AY1410">
        <v>50</v>
      </c>
      <c r="AZ1410" s="184">
        <v>39472</v>
      </c>
      <c r="BA1410" t="s">
        <v>14994</v>
      </c>
      <c r="BB1410">
        <v>75</v>
      </c>
      <c r="BC1410">
        <v>97</v>
      </c>
      <c r="BD1410">
        <v>1725</v>
      </c>
      <c r="BE1410">
        <v>1994</v>
      </c>
      <c r="BF1410">
        <v>39</v>
      </c>
      <c r="BG1410">
        <v>2</v>
      </c>
      <c r="BH1410">
        <v>100</v>
      </c>
      <c r="BI1410">
        <v>31</v>
      </c>
      <c r="BJ1410">
        <v>32</v>
      </c>
      <c r="BK1410">
        <v>19</v>
      </c>
      <c r="BP1410" s="184"/>
    </row>
    <row r="1411" spans="1:68">
      <c r="A1411">
        <v>11568946</v>
      </c>
      <c r="B1411">
        <v>11568946</v>
      </c>
      <c r="C1411" t="s">
        <v>7018</v>
      </c>
      <c r="D1411" t="s">
        <v>595</v>
      </c>
      <c r="E1411" s="184">
        <v>44167</v>
      </c>
      <c r="G1411" s="184"/>
      <c r="I1411" s="184"/>
      <c r="K1411" s="184"/>
      <c r="O1411" s="184"/>
      <c r="P1411" t="s">
        <v>7045</v>
      </c>
      <c r="Q1411" t="s">
        <v>7383</v>
      </c>
      <c r="R1411" s="184">
        <v>15166</v>
      </c>
      <c r="S1411">
        <v>82</v>
      </c>
      <c r="V1411" t="s">
        <v>3574</v>
      </c>
      <c r="X1411" t="s">
        <v>14995</v>
      </c>
      <c r="Z1411">
        <v>100040794</v>
      </c>
      <c r="AB1411" t="s">
        <v>3306</v>
      </c>
      <c r="AD1411" t="s">
        <v>14995</v>
      </c>
      <c r="AF1411" t="s">
        <v>14996</v>
      </c>
      <c r="AG1411" t="s">
        <v>14997</v>
      </c>
      <c r="AI1411" t="s">
        <v>14998</v>
      </c>
      <c r="AM1411" t="s">
        <v>3476</v>
      </c>
      <c r="AN1411" t="s">
        <v>2185</v>
      </c>
      <c r="AO1411" t="s">
        <v>14999</v>
      </c>
      <c r="AP1411" t="s">
        <v>7024</v>
      </c>
      <c r="AQ1411" t="s">
        <v>15000</v>
      </c>
      <c r="AT1411" s="184">
        <v>34333</v>
      </c>
      <c r="AU1411" t="s">
        <v>14930</v>
      </c>
      <c r="AV1411">
        <v>15</v>
      </c>
      <c r="AW1411" s="184">
        <v>45369</v>
      </c>
      <c r="AX1411" t="s">
        <v>13596</v>
      </c>
      <c r="AY1411">
        <v>75</v>
      </c>
      <c r="AZ1411" s="184">
        <v>45369</v>
      </c>
      <c r="BA1411" t="s">
        <v>13596</v>
      </c>
      <c r="BB1411">
        <v>75</v>
      </c>
      <c r="BC1411">
        <v>100</v>
      </c>
      <c r="BD1411">
        <v>1320</v>
      </c>
      <c r="BE1411">
        <v>1994</v>
      </c>
      <c r="BF1411">
        <v>47</v>
      </c>
      <c r="BG1411">
        <v>2</v>
      </c>
      <c r="BH1411">
        <v>125</v>
      </c>
      <c r="BI1411">
        <v>32</v>
      </c>
      <c r="BJ1411">
        <v>32</v>
      </c>
      <c r="BK1411">
        <v>32</v>
      </c>
      <c r="BP1411" s="184"/>
    </row>
    <row r="1412" spans="1:68">
      <c r="A1412">
        <v>100040794</v>
      </c>
      <c r="B1412">
        <v>11568946</v>
      </c>
      <c r="C1412" t="s">
        <v>7018</v>
      </c>
      <c r="D1412" t="s">
        <v>595</v>
      </c>
      <c r="E1412" s="184">
        <v>44167</v>
      </c>
      <c r="G1412" s="184"/>
      <c r="I1412" s="184"/>
      <c r="K1412" s="184"/>
      <c r="O1412" s="184"/>
      <c r="P1412" t="s">
        <v>7045</v>
      </c>
      <c r="Q1412" t="s">
        <v>7383</v>
      </c>
      <c r="R1412" s="184">
        <v>15706</v>
      </c>
      <c r="S1412">
        <v>81</v>
      </c>
      <c r="V1412" t="s">
        <v>3306</v>
      </c>
      <c r="X1412" t="s">
        <v>14995</v>
      </c>
      <c r="Z1412">
        <v>11568946</v>
      </c>
      <c r="AB1412" t="s">
        <v>3574</v>
      </c>
      <c r="AD1412" t="s">
        <v>14995</v>
      </c>
      <c r="AF1412" t="s">
        <v>14996</v>
      </c>
      <c r="AG1412" t="s">
        <v>14997</v>
      </c>
      <c r="AI1412" t="s">
        <v>14998</v>
      </c>
      <c r="AM1412" t="s">
        <v>3476</v>
      </c>
      <c r="AN1412" t="s">
        <v>2185</v>
      </c>
      <c r="AO1412" t="s">
        <v>14999</v>
      </c>
      <c r="AP1412" t="s">
        <v>7024</v>
      </c>
      <c r="AT1412" s="184"/>
      <c r="AW1412" s="184"/>
      <c r="AZ1412" s="184"/>
      <c r="BP1412" s="184"/>
    </row>
    <row r="1413" spans="1:68">
      <c r="A1413">
        <v>11573532</v>
      </c>
      <c r="B1413">
        <v>11573532</v>
      </c>
      <c r="C1413" t="s">
        <v>7018</v>
      </c>
      <c r="D1413" t="s">
        <v>595</v>
      </c>
      <c r="E1413" s="184">
        <v>43685</v>
      </c>
      <c r="I1413" s="184"/>
      <c r="K1413" s="184"/>
      <c r="M1413" s="184"/>
      <c r="O1413" s="184"/>
      <c r="P1413" t="s">
        <v>7045</v>
      </c>
      <c r="Q1413" t="s">
        <v>7383</v>
      </c>
      <c r="R1413" s="184">
        <v>16430</v>
      </c>
      <c r="S1413">
        <v>79</v>
      </c>
      <c r="U1413" t="s">
        <v>7031</v>
      </c>
      <c r="V1413" t="s">
        <v>3702</v>
      </c>
      <c r="X1413" t="s">
        <v>3703</v>
      </c>
      <c r="AF1413" t="s">
        <v>15001</v>
      </c>
      <c r="AG1413" t="s">
        <v>3702</v>
      </c>
      <c r="AI1413" t="s">
        <v>15002</v>
      </c>
      <c r="AM1413" t="s">
        <v>3704</v>
      </c>
      <c r="AN1413" t="s">
        <v>2144</v>
      </c>
      <c r="AO1413" t="s">
        <v>15003</v>
      </c>
      <c r="AP1413" t="s">
        <v>7024</v>
      </c>
      <c r="AQ1413" t="s">
        <v>15004</v>
      </c>
      <c r="AT1413" s="184">
        <v>34334</v>
      </c>
      <c r="AU1413" t="s">
        <v>15005</v>
      </c>
      <c r="AV1413">
        <v>25</v>
      </c>
      <c r="AW1413" s="184">
        <v>45167</v>
      </c>
      <c r="AX1413" t="s">
        <v>15006</v>
      </c>
      <c r="AY1413">
        <v>200</v>
      </c>
      <c r="AZ1413" s="184">
        <v>45167</v>
      </c>
      <c r="BA1413" t="s">
        <v>15006</v>
      </c>
      <c r="BB1413">
        <v>200</v>
      </c>
      <c r="BC1413">
        <v>91</v>
      </c>
      <c r="BD1413">
        <v>3315</v>
      </c>
      <c r="BE1413">
        <v>1994</v>
      </c>
      <c r="BF1413">
        <v>35</v>
      </c>
      <c r="BG1413">
        <v>2</v>
      </c>
      <c r="BH1413">
        <v>400</v>
      </c>
      <c r="BI1413">
        <v>29</v>
      </c>
      <c r="BJ1413">
        <v>32</v>
      </c>
      <c r="BK1413">
        <v>16</v>
      </c>
      <c r="BP1413" s="184"/>
    </row>
    <row r="1414" spans="1:68">
      <c r="A1414">
        <v>11841251</v>
      </c>
      <c r="B1414">
        <v>11841251</v>
      </c>
      <c r="C1414" t="s">
        <v>7018</v>
      </c>
      <c r="D1414" t="s">
        <v>595</v>
      </c>
      <c r="E1414" s="184">
        <v>44104</v>
      </c>
      <c r="G1414" s="184"/>
      <c r="I1414" s="184"/>
      <c r="K1414" s="184"/>
      <c r="O1414" s="184"/>
      <c r="P1414" t="s">
        <v>7045</v>
      </c>
      <c r="Q1414" t="s">
        <v>7454</v>
      </c>
      <c r="R1414" s="184">
        <v>20911</v>
      </c>
      <c r="S1414">
        <v>67</v>
      </c>
      <c r="U1414" t="s">
        <v>7031</v>
      </c>
      <c r="V1414" t="s">
        <v>3114</v>
      </c>
      <c r="X1414" t="s">
        <v>15007</v>
      </c>
      <c r="AF1414" t="s">
        <v>15008</v>
      </c>
      <c r="AG1414" t="s">
        <v>3114</v>
      </c>
      <c r="AI1414" t="s">
        <v>15009</v>
      </c>
      <c r="AM1414" t="s">
        <v>3855</v>
      </c>
      <c r="AN1414" t="s">
        <v>2055</v>
      </c>
      <c r="AO1414" t="s">
        <v>15010</v>
      </c>
      <c r="AP1414" t="s">
        <v>7024</v>
      </c>
      <c r="AQ1414" t="s">
        <v>15011</v>
      </c>
      <c r="AT1414" s="184">
        <v>34317</v>
      </c>
      <c r="AU1414" t="s">
        <v>15012</v>
      </c>
      <c r="AV1414">
        <v>10</v>
      </c>
      <c r="AW1414" s="184">
        <v>45362</v>
      </c>
      <c r="AX1414" t="s">
        <v>9445</v>
      </c>
      <c r="AY1414">
        <v>50</v>
      </c>
      <c r="AZ1414" s="184">
        <v>43026</v>
      </c>
      <c r="BA1414" t="s">
        <v>15013</v>
      </c>
      <c r="BB1414">
        <v>100</v>
      </c>
      <c r="BC1414">
        <v>63</v>
      </c>
      <c r="BD1414">
        <v>2460</v>
      </c>
      <c r="BE1414">
        <v>1994</v>
      </c>
      <c r="BF1414">
        <v>36</v>
      </c>
      <c r="BG1414">
        <v>2</v>
      </c>
      <c r="BH1414">
        <v>100</v>
      </c>
      <c r="BI1414">
        <v>20</v>
      </c>
      <c r="BJ1414">
        <v>32</v>
      </c>
      <c r="BK1414">
        <v>15</v>
      </c>
      <c r="BN1414" t="s">
        <v>595</v>
      </c>
      <c r="BP1414" s="184"/>
    </row>
    <row r="1415" spans="1:68">
      <c r="A1415">
        <v>12129797</v>
      </c>
      <c r="B1415">
        <v>12129797</v>
      </c>
      <c r="C1415" t="s">
        <v>7018</v>
      </c>
      <c r="D1415" t="s">
        <v>595</v>
      </c>
      <c r="E1415" s="184">
        <v>44073</v>
      </c>
      <c r="G1415" s="184"/>
      <c r="I1415" s="184"/>
      <c r="K1415" s="184"/>
      <c r="M1415" s="184"/>
      <c r="O1415" s="184"/>
      <c r="P1415" t="s">
        <v>7045</v>
      </c>
      <c r="Q1415" t="s">
        <v>7020</v>
      </c>
      <c r="R1415" s="184">
        <v>17593</v>
      </c>
      <c r="S1415">
        <v>76</v>
      </c>
      <c r="V1415" t="s">
        <v>2733</v>
      </c>
      <c r="X1415" t="s">
        <v>15014</v>
      </c>
      <c r="AF1415" t="s">
        <v>15015</v>
      </c>
      <c r="AG1415" t="s">
        <v>2733</v>
      </c>
      <c r="AI1415" t="s">
        <v>15016</v>
      </c>
      <c r="AM1415" t="s">
        <v>15017</v>
      </c>
      <c r="AN1415" t="s">
        <v>2112</v>
      </c>
      <c r="AO1415" t="s">
        <v>15018</v>
      </c>
      <c r="AP1415" t="s">
        <v>7024</v>
      </c>
      <c r="AQ1415" t="s">
        <v>15019</v>
      </c>
      <c r="AR1415" t="s">
        <v>15020</v>
      </c>
      <c r="AT1415" s="184">
        <v>34320</v>
      </c>
      <c r="AU1415" t="s">
        <v>15012</v>
      </c>
      <c r="AV1415">
        <v>10</v>
      </c>
      <c r="AW1415" s="184">
        <v>45194</v>
      </c>
      <c r="AX1415" t="s">
        <v>15021</v>
      </c>
      <c r="AY1415">
        <v>50</v>
      </c>
      <c r="AZ1415" s="184">
        <v>45194</v>
      </c>
      <c r="BA1415" t="s">
        <v>15021</v>
      </c>
      <c r="BB1415">
        <v>50</v>
      </c>
      <c r="BC1415">
        <v>57</v>
      </c>
      <c r="BD1415">
        <v>760</v>
      </c>
      <c r="BE1415">
        <v>1994</v>
      </c>
      <c r="BF1415">
        <v>21</v>
      </c>
      <c r="BG1415">
        <v>2</v>
      </c>
      <c r="BH1415">
        <v>100</v>
      </c>
      <c r="BI1415">
        <v>18</v>
      </c>
      <c r="BJ1415">
        <v>32</v>
      </c>
      <c r="BK1415">
        <v>7</v>
      </c>
      <c r="BP1415" s="184"/>
    </row>
    <row r="1416" spans="1:68">
      <c r="A1416">
        <v>12277505</v>
      </c>
      <c r="B1416">
        <v>12277505</v>
      </c>
      <c r="C1416" t="s">
        <v>7018</v>
      </c>
      <c r="D1416" t="s">
        <v>595</v>
      </c>
      <c r="E1416" s="184">
        <v>45145</v>
      </c>
      <c r="G1416" s="184"/>
      <c r="I1416" s="184"/>
      <c r="K1416" s="184"/>
      <c r="O1416" s="184"/>
      <c r="P1416" t="s">
        <v>7045</v>
      </c>
      <c r="Q1416" t="s">
        <v>7494</v>
      </c>
      <c r="R1416" s="184">
        <v>15170</v>
      </c>
      <c r="S1416">
        <v>82</v>
      </c>
      <c r="V1416" t="s">
        <v>15022</v>
      </c>
      <c r="X1416" t="s">
        <v>3852</v>
      </c>
      <c r="AF1416" t="s">
        <v>15023</v>
      </c>
      <c r="AG1416" t="s">
        <v>15022</v>
      </c>
      <c r="AI1416" t="s">
        <v>15024</v>
      </c>
      <c r="AM1416" t="s">
        <v>15025</v>
      </c>
      <c r="AN1416" t="s">
        <v>2174</v>
      </c>
      <c r="AO1416" t="s">
        <v>15026</v>
      </c>
      <c r="AP1416" t="s">
        <v>7024</v>
      </c>
      <c r="AQ1416" t="s">
        <v>15027</v>
      </c>
      <c r="AT1416" s="184">
        <v>34323</v>
      </c>
      <c r="AU1416" t="s">
        <v>15028</v>
      </c>
      <c r="AV1416">
        <v>2</v>
      </c>
      <c r="AW1416" s="184">
        <v>44985</v>
      </c>
      <c r="AX1416" t="s">
        <v>15029</v>
      </c>
      <c r="AY1416">
        <v>10</v>
      </c>
      <c r="AZ1416" s="184">
        <v>44901</v>
      </c>
      <c r="BA1416" t="s">
        <v>15030</v>
      </c>
      <c r="BB1416">
        <v>25</v>
      </c>
      <c r="BC1416">
        <v>29</v>
      </c>
      <c r="BD1416">
        <v>207</v>
      </c>
      <c r="BE1416">
        <v>1994</v>
      </c>
      <c r="BF1416">
        <v>12</v>
      </c>
      <c r="BG1416">
        <v>3</v>
      </c>
      <c r="BH1416">
        <v>60</v>
      </c>
      <c r="BI1416">
        <v>9</v>
      </c>
      <c r="BJ1416">
        <v>32</v>
      </c>
      <c r="BK1416">
        <v>3</v>
      </c>
      <c r="BP1416" s="184"/>
    </row>
    <row r="1417" spans="1:68">
      <c r="A1417">
        <v>12466835</v>
      </c>
      <c r="B1417">
        <v>12466835</v>
      </c>
      <c r="C1417" t="s">
        <v>7018</v>
      </c>
      <c r="E1417" s="184"/>
      <c r="G1417" s="184"/>
      <c r="I1417" s="184"/>
      <c r="J1417" t="s">
        <v>595</v>
      </c>
      <c r="K1417" s="184">
        <v>39384</v>
      </c>
      <c r="O1417" s="184"/>
      <c r="P1417" t="s">
        <v>7045</v>
      </c>
      <c r="Q1417" t="s">
        <v>7374</v>
      </c>
      <c r="R1417" s="184">
        <v>12182</v>
      </c>
      <c r="S1417">
        <v>91</v>
      </c>
      <c r="U1417" t="s">
        <v>7076</v>
      </c>
      <c r="V1417" t="s">
        <v>4582</v>
      </c>
      <c r="X1417" t="s">
        <v>3938</v>
      </c>
      <c r="AF1417" t="s">
        <v>6156</v>
      </c>
      <c r="AG1417" t="s">
        <v>4582</v>
      </c>
      <c r="AI1417" t="s">
        <v>15031</v>
      </c>
      <c r="AJ1417" t="s">
        <v>15032</v>
      </c>
      <c r="AM1417" t="s">
        <v>15033</v>
      </c>
      <c r="AN1417" t="s">
        <v>2081</v>
      </c>
      <c r="AO1417" t="s">
        <v>15034</v>
      </c>
      <c r="AP1417" t="s">
        <v>7024</v>
      </c>
      <c r="AQ1417" t="s">
        <v>15035</v>
      </c>
      <c r="AR1417" t="s">
        <v>15036</v>
      </c>
      <c r="AT1417" s="184">
        <v>34324</v>
      </c>
      <c r="AU1417" t="s">
        <v>15037</v>
      </c>
      <c r="AV1417">
        <v>10</v>
      </c>
      <c r="AW1417" s="184">
        <v>42850</v>
      </c>
      <c r="AX1417" t="s">
        <v>15038</v>
      </c>
      <c r="AY1417">
        <v>30</v>
      </c>
      <c r="AZ1417" s="184">
        <v>41272</v>
      </c>
      <c r="BA1417" t="s">
        <v>15039</v>
      </c>
      <c r="BB1417">
        <v>100</v>
      </c>
      <c r="BC1417">
        <v>75</v>
      </c>
      <c r="BD1417">
        <v>3765</v>
      </c>
      <c r="BE1417">
        <v>1994</v>
      </c>
      <c r="BF1417">
        <v>139</v>
      </c>
      <c r="BI1417">
        <v>24</v>
      </c>
      <c r="BJ1417">
        <v>32</v>
      </c>
      <c r="BK1417">
        <v>22</v>
      </c>
      <c r="BP1417" s="184"/>
    </row>
    <row r="1418" spans="1:68">
      <c r="A1418">
        <v>12495198</v>
      </c>
      <c r="B1418">
        <v>12495198</v>
      </c>
      <c r="C1418" t="s">
        <v>7018</v>
      </c>
      <c r="D1418" t="s">
        <v>595</v>
      </c>
      <c r="E1418" s="184">
        <v>44167</v>
      </c>
      <c r="G1418" s="184"/>
      <c r="I1418" s="184"/>
      <c r="K1418" s="184"/>
      <c r="O1418" s="184"/>
      <c r="P1418" t="s">
        <v>7045</v>
      </c>
      <c r="Q1418" t="s">
        <v>7030</v>
      </c>
      <c r="R1418" s="184">
        <v>14977</v>
      </c>
      <c r="S1418">
        <v>83</v>
      </c>
      <c r="U1418" t="s">
        <v>7076</v>
      </c>
      <c r="V1418" t="s">
        <v>15040</v>
      </c>
      <c r="X1418" t="s">
        <v>15041</v>
      </c>
      <c r="AF1418" t="s">
        <v>15042</v>
      </c>
      <c r="AG1418" t="s">
        <v>15040</v>
      </c>
      <c r="AI1418" t="s">
        <v>15043</v>
      </c>
      <c r="AM1418" t="s">
        <v>3437</v>
      </c>
      <c r="AN1418" t="s">
        <v>2089</v>
      </c>
      <c r="AO1418" t="s">
        <v>15044</v>
      </c>
      <c r="AP1418" t="s">
        <v>7024</v>
      </c>
      <c r="AQ1418" t="s">
        <v>15045</v>
      </c>
      <c r="AR1418" t="s">
        <v>15046</v>
      </c>
      <c r="AT1418" s="184">
        <v>34324</v>
      </c>
      <c r="AU1418" t="s">
        <v>15047</v>
      </c>
      <c r="AV1418">
        <v>15</v>
      </c>
      <c r="AW1418" s="184">
        <v>43091</v>
      </c>
      <c r="AX1418" t="s">
        <v>15048</v>
      </c>
      <c r="AY1418">
        <v>50</v>
      </c>
      <c r="AZ1418" s="184">
        <v>42369</v>
      </c>
      <c r="BA1418" t="s">
        <v>15049</v>
      </c>
      <c r="BB1418">
        <v>100</v>
      </c>
      <c r="BC1418">
        <v>32</v>
      </c>
      <c r="BD1418">
        <v>782</v>
      </c>
      <c r="BE1418">
        <v>1994</v>
      </c>
      <c r="BF1418">
        <v>15</v>
      </c>
      <c r="BI1418">
        <v>10</v>
      </c>
      <c r="BJ1418">
        <v>32</v>
      </c>
      <c r="BK1418">
        <v>2</v>
      </c>
      <c r="BP1418" s="184"/>
    </row>
    <row r="1419" spans="1:68">
      <c r="A1419">
        <v>12562047</v>
      </c>
      <c r="B1419">
        <v>12562047</v>
      </c>
      <c r="C1419" t="s">
        <v>7018</v>
      </c>
      <c r="E1419" s="184"/>
      <c r="G1419" s="184"/>
      <c r="H1419" t="s">
        <v>595</v>
      </c>
      <c r="I1419" s="184">
        <v>44656</v>
      </c>
      <c r="K1419" s="184"/>
      <c r="M1419" s="184"/>
      <c r="O1419" s="184"/>
      <c r="P1419" t="s">
        <v>7045</v>
      </c>
      <c r="Q1419" t="s">
        <v>7020</v>
      </c>
      <c r="R1419" s="184">
        <v>13180</v>
      </c>
      <c r="S1419">
        <v>88</v>
      </c>
      <c r="V1419" t="s">
        <v>2863</v>
      </c>
      <c r="W1419" t="s">
        <v>5057</v>
      </c>
      <c r="X1419" t="s">
        <v>3081</v>
      </c>
      <c r="Z1419">
        <v>100041219</v>
      </c>
      <c r="AB1419" t="s">
        <v>3545</v>
      </c>
      <c r="AD1419" t="s">
        <v>3081</v>
      </c>
      <c r="AF1419" t="s">
        <v>15050</v>
      </c>
      <c r="AG1419" t="s">
        <v>15051</v>
      </c>
      <c r="AI1419" t="s">
        <v>15052</v>
      </c>
      <c r="AM1419" t="s">
        <v>13292</v>
      </c>
      <c r="AN1419" t="s">
        <v>2112</v>
      </c>
      <c r="AO1419" t="s">
        <v>15053</v>
      </c>
      <c r="AP1419" t="s">
        <v>7024</v>
      </c>
      <c r="AQ1419" t="s">
        <v>15054</v>
      </c>
      <c r="AR1419" t="s">
        <v>15055</v>
      </c>
      <c r="AT1419" s="184">
        <v>34324</v>
      </c>
      <c r="AU1419" t="s">
        <v>15056</v>
      </c>
      <c r="AV1419">
        <v>15</v>
      </c>
      <c r="AW1419" s="184">
        <v>45287</v>
      </c>
      <c r="AX1419" t="s">
        <v>15057</v>
      </c>
      <c r="AY1419">
        <v>150</v>
      </c>
      <c r="AZ1419" s="184">
        <v>41893</v>
      </c>
      <c r="BA1419" t="s">
        <v>15058</v>
      </c>
      <c r="BB1419">
        <v>1000</v>
      </c>
      <c r="BC1419">
        <v>94</v>
      </c>
      <c r="BD1419">
        <v>5721</v>
      </c>
      <c r="BE1419">
        <v>1994</v>
      </c>
      <c r="BF1419">
        <v>41</v>
      </c>
      <c r="BG1419">
        <v>2</v>
      </c>
      <c r="BH1419">
        <v>300</v>
      </c>
      <c r="BI1419">
        <v>30</v>
      </c>
      <c r="BJ1419">
        <v>32</v>
      </c>
      <c r="BK1419">
        <v>29</v>
      </c>
      <c r="BN1419" t="s">
        <v>595</v>
      </c>
      <c r="BP1419" s="184"/>
    </row>
    <row r="1420" spans="1:68">
      <c r="A1420">
        <v>100041219</v>
      </c>
      <c r="B1420">
        <v>12562047</v>
      </c>
      <c r="C1420" t="s">
        <v>7018</v>
      </c>
      <c r="E1420" s="184"/>
      <c r="G1420" s="184"/>
      <c r="H1420" t="s">
        <v>595</v>
      </c>
      <c r="I1420" s="184">
        <v>44656</v>
      </c>
      <c r="K1420" s="184"/>
      <c r="O1420" s="184"/>
      <c r="P1420" t="s">
        <v>7045</v>
      </c>
      <c r="Q1420" t="s">
        <v>7020</v>
      </c>
      <c r="R1420" s="184">
        <v>21960</v>
      </c>
      <c r="S1420">
        <v>64</v>
      </c>
      <c r="V1420" t="s">
        <v>3545</v>
      </c>
      <c r="X1420" t="s">
        <v>3081</v>
      </c>
      <c r="Z1420">
        <v>12562047</v>
      </c>
      <c r="AB1420" t="s">
        <v>2863</v>
      </c>
      <c r="AC1420" t="s">
        <v>5057</v>
      </c>
      <c r="AD1420" t="s">
        <v>3081</v>
      </c>
      <c r="AF1420" t="s">
        <v>15050</v>
      </c>
      <c r="AG1420" t="s">
        <v>15051</v>
      </c>
      <c r="AI1420" t="s">
        <v>15052</v>
      </c>
      <c r="AM1420" t="s">
        <v>13292</v>
      </c>
      <c r="AN1420" t="s">
        <v>2112</v>
      </c>
      <c r="AO1420" t="s">
        <v>15053</v>
      </c>
      <c r="AP1420" t="s">
        <v>7024</v>
      </c>
      <c r="AT1420" s="184"/>
      <c r="AW1420" s="184"/>
      <c r="AZ1420" s="184"/>
    </row>
    <row r="1421" spans="1:68">
      <c r="A1421">
        <v>12620944</v>
      </c>
      <c r="B1421">
        <v>12620944</v>
      </c>
      <c r="C1421" t="s">
        <v>7018</v>
      </c>
      <c r="E1421" s="184"/>
      <c r="G1421" s="184"/>
      <c r="I1421" s="184"/>
      <c r="K1421" s="184"/>
      <c r="N1421" t="s">
        <v>595</v>
      </c>
      <c r="O1421" s="184">
        <v>43726</v>
      </c>
      <c r="P1421" t="s">
        <v>7045</v>
      </c>
      <c r="Q1421" t="s">
        <v>7262</v>
      </c>
      <c r="R1421" s="184">
        <v>14028</v>
      </c>
      <c r="S1421">
        <v>85</v>
      </c>
      <c r="V1421" t="s">
        <v>3793</v>
      </c>
      <c r="X1421" t="s">
        <v>3794</v>
      </c>
      <c r="Z1421">
        <v>100299113</v>
      </c>
      <c r="AB1421" t="s">
        <v>8859</v>
      </c>
      <c r="AC1421" t="s">
        <v>7695</v>
      </c>
      <c r="AD1421" t="s">
        <v>3794</v>
      </c>
      <c r="AF1421" t="s">
        <v>6185</v>
      </c>
      <c r="AG1421" t="s">
        <v>15059</v>
      </c>
      <c r="AI1421" t="s">
        <v>15060</v>
      </c>
      <c r="AM1421" t="s">
        <v>15061</v>
      </c>
      <c r="AN1421" t="s">
        <v>2106</v>
      </c>
      <c r="AO1421" t="s">
        <v>15062</v>
      </c>
      <c r="AP1421" t="s">
        <v>7024</v>
      </c>
      <c r="AT1421" s="184">
        <v>34324</v>
      </c>
      <c r="AU1421" t="s">
        <v>15056</v>
      </c>
      <c r="AV1421">
        <v>15</v>
      </c>
      <c r="AW1421" s="184">
        <v>45337</v>
      </c>
      <c r="AX1421" t="s">
        <v>10070</v>
      </c>
      <c r="AY1421">
        <v>150</v>
      </c>
      <c r="AZ1421" s="184">
        <v>40688</v>
      </c>
      <c r="BA1421" t="s">
        <v>15063</v>
      </c>
      <c r="BB1421">
        <v>250</v>
      </c>
      <c r="BC1421">
        <v>94</v>
      </c>
      <c r="BD1421">
        <v>3840</v>
      </c>
      <c r="BE1421">
        <v>1994</v>
      </c>
      <c r="BF1421">
        <v>49</v>
      </c>
      <c r="BG1421">
        <v>4</v>
      </c>
      <c r="BH1421">
        <v>475</v>
      </c>
      <c r="BI1421">
        <v>30</v>
      </c>
      <c r="BJ1421">
        <v>32</v>
      </c>
      <c r="BK1421">
        <v>19</v>
      </c>
      <c r="BP1421" s="184"/>
    </row>
    <row r="1422" spans="1:68">
      <c r="A1422">
        <v>100299113</v>
      </c>
      <c r="B1422">
        <v>12620944</v>
      </c>
      <c r="C1422" t="s">
        <v>7018</v>
      </c>
      <c r="E1422" s="184"/>
      <c r="G1422" s="184"/>
      <c r="I1422" s="184"/>
      <c r="K1422" s="184"/>
      <c r="M1422" s="184"/>
      <c r="N1422" t="s">
        <v>595</v>
      </c>
      <c r="O1422" s="184">
        <v>43726</v>
      </c>
      <c r="P1422" t="s">
        <v>7045</v>
      </c>
      <c r="Q1422" t="s">
        <v>7262</v>
      </c>
      <c r="R1422" s="184">
        <v>15640</v>
      </c>
      <c r="S1422">
        <v>81</v>
      </c>
      <c r="V1422" t="s">
        <v>8859</v>
      </c>
      <c r="W1422" t="s">
        <v>7695</v>
      </c>
      <c r="X1422" t="s">
        <v>3794</v>
      </c>
      <c r="Z1422">
        <v>12620944</v>
      </c>
      <c r="AB1422" t="s">
        <v>3793</v>
      </c>
      <c r="AD1422" t="s">
        <v>3794</v>
      </c>
      <c r="AF1422" t="s">
        <v>6185</v>
      </c>
      <c r="AG1422" t="s">
        <v>15059</v>
      </c>
      <c r="AI1422" t="s">
        <v>15060</v>
      </c>
      <c r="AM1422" t="s">
        <v>15061</v>
      </c>
      <c r="AN1422" t="s">
        <v>2106</v>
      </c>
      <c r="AO1422" t="s">
        <v>15062</v>
      </c>
      <c r="AP1422" t="s">
        <v>7024</v>
      </c>
      <c r="AT1422" s="184"/>
      <c r="AW1422" s="184"/>
      <c r="AZ1422" s="184"/>
      <c r="BP1422" s="184"/>
    </row>
    <row r="1423" spans="1:68">
      <c r="A1423">
        <v>12660213</v>
      </c>
      <c r="B1423">
        <v>12660213</v>
      </c>
      <c r="C1423" t="s">
        <v>7018</v>
      </c>
      <c r="D1423" t="s">
        <v>595</v>
      </c>
      <c r="E1423" s="184">
        <v>44104</v>
      </c>
      <c r="G1423" s="184"/>
      <c r="H1423" t="s">
        <v>595</v>
      </c>
      <c r="I1423" s="184">
        <v>44109</v>
      </c>
      <c r="K1423" s="184"/>
      <c r="O1423" s="184"/>
      <c r="P1423" t="s">
        <v>7045</v>
      </c>
      <c r="Q1423" t="s">
        <v>7383</v>
      </c>
      <c r="R1423" s="184">
        <v>19176</v>
      </c>
      <c r="S1423">
        <v>71</v>
      </c>
      <c r="V1423" t="s">
        <v>3444</v>
      </c>
      <c r="X1423" t="s">
        <v>5008</v>
      </c>
      <c r="AF1423" t="s">
        <v>15064</v>
      </c>
      <c r="AG1423" t="s">
        <v>3444</v>
      </c>
      <c r="AI1423" t="s">
        <v>15065</v>
      </c>
      <c r="AM1423" t="s">
        <v>2830</v>
      </c>
      <c r="AN1423" t="s">
        <v>2185</v>
      </c>
      <c r="AO1423" t="s">
        <v>15066</v>
      </c>
      <c r="AP1423" t="s">
        <v>7024</v>
      </c>
      <c r="AQ1423" t="s">
        <v>15067</v>
      </c>
      <c r="AT1423" s="184">
        <v>36019</v>
      </c>
      <c r="AU1423" t="s">
        <v>15068</v>
      </c>
      <c r="AV1423">
        <v>60</v>
      </c>
      <c r="AW1423" s="184">
        <v>44291</v>
      </c>
      <c r="AX1423" t="s">
        <v>15069</v>
      </c>
      <c r="AY1423">
        <v>10</v>
      </c>
      <c r="AZ1423" s="184">
        <v>36019</v>
      </c>
      <c r="BA1423" t="s">
        <v>15068</v>
      </c>
      <c r="BB1423">
        <v>60</v>
      </c>
      <c r="BC1423">
        <v>52</v>
      </c>
      <c r="BD1423">
        <v>350</v>
      </c>
      <c r="BE1423">
        <v>1999</v>
      </c>
      <c r="BF1423">
        <v>18</v>
      </c>
      <c r="BI1423">
        <v>14</v>
      </c>
      <c r="BJ1423">
        <v>27</v>
      </c>
      <c r="BK1423">
        <v>6</v>
      </c>
    </row>
    <row r="1424" spans="1:68">
      <c r="A1424">
        <v>12678017</v>
      </c>
      <c r="B1424">
        <v>12678017</v>
      </c>
      <c r="C1424" t="s">
        <v>7018</v>
      </c>
      <c r="D1424" t="s">
        <v>595</v>
      </c>
      <c r="E1424" s="184">
        <v>44073</v>
      </c>
      <c r="G1424" s="184"/>
      <c r="I1424" s="184"/>
      <c r="K1424" s="184"/>
      <c r="O1424" s="184"/>
      <c r="P1424" t="s">
        <v>7045</v>
      </c>
      <c r="Q1424" t="s">
        <v>7262</v>
      </c>
      <c r="R1424" s="184">
        <v>21732</v>
      </c>
      <c r="S1424">
        <v>64</v>
      </c>
      <c r="V1424" t="s">
        <v>8798</v>
      </c>
      <c r="X1424" t="s">
        <v>15070</v>
      </c>
      <c r="Z1424">
        <v>100041343</v>
      </c>
      <c r="AB1424" t="s">
        <v>3283</v>
      </c>
      <c r="AD1424" t="s">
        <v>15070</v>
      </c>
      <c r="AF1424" t="s">
        <v>15071</v>
      </c>
      <c r="AG1424" t="s">
        <v>15072</v>
      </c>
      <c r="AI1424" t="s">
        <v>15073</v>
      </c>
      <c r="AM1424" t="s">
        <v>15074</v>
      </c>
      <c r="AN1424" t="s">
        <v>2106</v>
      </c>
      <c r="AO1424" t="s">
        <v>15075</v>
      </c>
      <c r="AP1424" t="s">
        <v>7024</v>
      </c>
      <c r="AQ1424" t="s">
        <v>15076</v>
      </c>
      <c r="AR1424" t="s">
        <v>15077</v>
      </c>
      <c r="AT1424" s="184">
        <v>34347</v>
      </c>
      <c r="AU1424" t="s">
        <v>15078</v>
      </c>
      <c r="AV1424">
        <v>15</v>
      </c>
      <c r="AW1424" s="184">
        <v>45194</v>
      </c>
      <c r="AX1424" t="s">
        <v>15079</v>
      </c>
      <c r="AY1424">
        <v>50</v>
      </c>
      <c r="AZ1424" s="184">
        <v>42088</v>
      </c>
      <c r="BA1424" t="s">
        <v>15080</v>
      </c>
      <c r="BB1424">
        <v>100</v>
      </c>
      <c r="BC1424">
        <v>75</v>
      </c>
      <c r="BD1424">
        <v>1396</v>
      </c>
      <c r="BE1424">
        <v>1994</v>
      </c>
      <c r="BF1424">
        <v>26</v>
      </c>
      <c r="BG1424">
        <v>2</v>
      </c>
      <c r="BH1424">
        <v>100</v>
      </c>
      <c r="BI1424">
        <v>23</v>
      </c>
      <c r="BJ1424">
        <v>31</v>
      </c>
      <c r="BK1424">
        <v>14</v>
      </c>
      <c r="BP1424" s="184"/>
    </row>
    <row r="1425" spans="1:68">
      <c r="A1425">
        <v>100041343</v>
      </c>
      <c r="B1425">
        <v>12678017</v>
      </c>
      <c r="C1425" t="s">
        <v>7018</v>
      </c>
      <c r="D1425" t="s">
        <v>595</v>
      </c>
      <c r="E1425" s="184">
        <v>44073</v>
      </c>
      <c r="G1425" s="184"/>
      <c r="I1425" s="184"/>
      <c r="K1425" s="184"/>
      <c r="M1425" s="184"/>
      <c r="O1425" s="184"/>
      <c r="P1425" t="s">
        <v>7045</v>
      </c>
      <c r="Q1425" t="s">
        <v>7262</v>
      </c>
      <c r="R1425" s="184">
        <v>17930</v>
      </c>
      <c r="S1425">
        <v>75</v>
      </c>
      <c r="V1425" t="s">
        <v>3283</v>
      </c>
      <c r="X1425" t="s">
        <v>15070</v>
      </c>
      <c r="Z1425">
        <v>12678017</v>
      </c>
      <c r="AB1425" t="s">
        <v>8798</v>
      </c>
      <c r="AD1425" t="s">
        <v>15070</v>
      </c>
      <c r="AF1425" t="s">
        <v>15071</v>
      </c>
      <c r="AG1425" t="s">
        <v>15072</v>
      </c>
      <c r="AI1425" t="s">
        <v>15073</v>
      </c>
      <c r="AM1425" t="s">
        <v>15074</v>
      </c>
      <c r="AN1425" t="s">
        <v>2106</v>
      </c>
      <c r="AO1425" t="s">
        <v>15075</v>
      </c>
      <c r="AP1425" t="s">
        <v>7024</v>
      </c>
      <c r="AT1425" s="184"/>
      <c r="AW1425" s="184"/>
      <c r="AZ1425" s="184"/>
      <c r="BP1425" s="184"/>
    </row>
    <row r="1426" spans="1:68">
      <c r="A1426">
        <v>13013420</v>
      </c>
      <c r="B1426">
        <v>13013420</v>
      </c>
      <c r="C1426" t="s">
        <v>7018</v>
      </c>
      <c r="E1426" s="184"/>
      <c r="G1426" s="184"/>
      <c r="I1426" s="184"/>
      <c r="J1426" t="s">
        <v>595</v>
      </c>
      <c r="K1426" s="184">
        <v>37433</v>
      </c>
      <c r="O1426" s="184"/>
      <c r="P1426" t="s">
        <v>7084</v>
      </c>
      <c r="Q1426" t="s">
        <v>7383</v>
      </c>
      <c r="R1426" s="184">
        <v>8354</v>
      </c>
      <c r="S1426">
        <v>101</v>
      </c>
      <c r="U1426" t="s">
        <v>7076</v>
      </c>
      <c r="V1426" t="s">
        <v>5400</v>
      </c>
      <c r="X1426" t="s">
        <v>15081</v>
      </c>
      <c r="AF1426" t="s">
        <v>6167</v>
      </c>
      <c r="AG1426" t="s">
        <v>5400</v>
      </c>
      <c r="AI1426" t="s">
        <v>15082</v>
      </c>
      <c r="AM1426" t="s">
        <v>15083</v>
      </c>
      <c r="AN1426" t="s">
        <v>2274</v>
      </c>
      <c r="AO1426" t="s">
        <v>15084</v>
      </c>
      <c r="AP1426" t="s">
        <v>7024</v>
      </c>
      <c r="AT1426" s="184">
        <v>34340</v>
      </c>
      <c r="AU1426" t="s">
        <v>15085</v>
      </c>
      <c r="AV1426">
        <v>10</v>
      </c>
      <c r="AW1426" s="184">
        <v>44364</v>
      </c>
      <c r="AX1426" t="s">
        <v>7309</v>
      </c>
      <c r="AY1426">
        <v>80567.48</v>
      </c>
      <c r="AZ1426" s="184">
        <v>44364</v>
      </c>
      <c r="BA1426" t="s">
        <v>7309</v>
      </c>
      <c r="BB1426">
        <v>80567.48</v>
      </c>
      <c r="BC1426">
        <v>88</v>
      </c>
      <c r="BD1426">
        <v>84062.48</v>
      </c>
      <c r="BE1426">
        <v>1994</v>
      </c>
      <c r="BF1426">
        <v>44</v>
      </c>
      <c r="BI1426">
        <v>27</v>
      </c>
      <c r="BJ1426">
        <v>31</v>
      </c>
      <c r="BK1426">
        <v>26</v>
      </c>
      <c r="BO1426" t="s">
        <v>595</v>
      </c>
      <c r="BP1426" s="184">
        <v>43829</v>
      </c>
    </row>
    <row r="1427" spans="1:68">
      <c r="A1427">
        <v>13104260</v>
      </c>
      <c r="B1427">
        <v>13104260</v>
      </c>
      <c r="C1427" t="s">
        <v>7018</v>
      </c>
      <c r="D1427" t="s">
        <v>595</v>
      </c>
      <c r="E1427" s="184">
        <v>43752</v>
      </c>
      <c r="G1427" s="184"/>
      <c r="I1427" s="184"/>
      <c r="K1427" s="184"/>
      <c r="O1427" s="184"/>
      <c r="P1427" t="s">
        <v>7045</v>
      </c>
      <c r="Q1427" t="s">
        <v>7030</v>
      </c>
      <c r="R1427" s="184">
        <v>19725</v>
      </c>
      <c r="S1427">
        <v>70</v>
      </c>
      <c r="U1427" t="s">
        <v>7076</v>
      </c>
      <c r="V1427" t="s">
        <v>3147</v>
      </c>
      <c r="W1427" t="s">
        <v>4139</v>
      </c>
      <c r="X1427" t="s">
        <v>4184</v>
      </c>
      <c r="AF1427" t="s">
        <v>15086</v>
      </c>
      <c r="AG1427" t="s">
        <v>3147</v>
      </c>
      <c r="AI1427" t="s">
        <v>15087</v>
      </c>
      <c r="AM1427" t="s">
        <v>4209</v>
      </c>
      <c r="AN1427" t="s">
        <v>2201</v>
      </c>
      <c r="AO1427" t="s">
        <v>15088</v>
      </c>
      <c r="AP1427" t="s">
        <v>7024</v>
      </c>
      <c r="AQ1427" t="s">
        <v>15089</v>
      </c>
      <c r="AR1427" t="s">
        <v>15090</v>
      </c>
      <c r="AT1427" s="184">
        <v>34352</v>
      </c>
      <c r="AU1427" t="s">
        <v>15091</v>
      </c>
      <c r="AV1427">
        <v>25</v>
      </c>
      <c r="AW1427" s="184">
        <v>44973</v>
      </c>
      <c r="AX1427" t="s">
        <v>15092</v>
      </c>
      <c r="AY1427">
        <v>5</v>
      </c>
      <c r="AZ1427" s="184">
        <v>41922</v>
      </c>
      <c r="BA1427" t="s">
        <v>15093</v>
      </c>
      <c r="BB1427">
        <v>100</v>
      </c>
      <c r="BC1427">
        <v>88</v>
      </c>
      <c r="BD1427">
        <v>2397</v>
      </c>
      <c r="BE1427">
        <v>1994</v>
      </c>
      <c r="BF1427">
        <v>169</v>
      </c>
      <c r="BG1427">
        <v>10</v>
      </c>
      <c r="BH1427">
        <v>50</v>
      </c>
      <c r="BI1427">
        <v>27</v>
      </c>
      <c r="BJ1427">
        <v>31</v>
      </c>
      <c r="BK1427">
        <v>14</v>
      </c>
      <c r="BP1427" s="184"/>
    </row>
    <row r="1428" spans="1:68">
      <c r="A1428">
        <v>13106935</v>
      </c>
      <c r="B1428">
        <v>13106935</v>
      </c>
      <c r="C1428" t="s">
        <v>7018</v>
      </c>
      <c r="D1428" t="s">
        <v>595</v>
      </c>
      <c r="E1428" s="184">
        <v>43642</v>
      </c>
      <c r="G1428" s="184"/>
      <c r="I1428" s="184"/>
      <c r="K1428" s="184"/>
      <c r="O1428" s="184"/>
      <c r="P1428" t="s">
        <v>7045</v>
      </c>
      <c r="Q1428" t="s">
        <v>7383</v>
      </c>
      <c r="R1428" s="184">
        <v>15300</v>
      </c>
      <c r="S1428">
        <v>82</v>
      </c>
      <c r="U1428" t="s">
        <v>7130</v>
      </c>
      <c r="V1428" t="s">
        <v>3220</v>
      </c>
      <c r="W1428" t="s">
        <v>3332</v>
      </c>
      <c r="X1428" t="s">
        <v>3221</v>
      </c>
      <c r="AF1428" t="s">
        <v>15094</v>
      </c>
      <c r="AG1428" t="s">
        <v>3220</v>
      </c>
      <c r="AI1428" t="s">
        <v>15095</v>
      </c>
      <c r="AM1428" t="s">
        <v>3222</v>
      </c>
      <c r="AN1428" t="s">
        <v>2185</v>
      </c>
      <c r="AO1428" t="s">
        <v>15096</v>
      </c>
      <c r="AP1428" t="s">
        <v>7024</v>
      </c>
      <c r="AT1428" s="184">
        <v>34352</v>
      </c>
      <c r="AU1428" t="s">
        <v>15097</v>
      </c>
      <c r="AV1428">
        <v>20</v>
      </c>
      <c r="AW1428" s="184">
        <v>44587</v>
      </c>
      <c r="AX1428" t="s">
        <v>7340</v>
      </c>
      <c r="AY1428">
        <v>250</v>
      </c>
      <c r="AZ1428" s="184">
        <v>44587</v>
      </c>
      <c r="BA1428" t="s">
        <v>7340</v>
      </c>
      <c r="BB1428">
        <v>250</v>
      </c>
      <c r="BC1428">
        <v>78</v>
      </c>
      <c r="BD1428">
        <v>4755</v>
      </c>
      <c r="BE1428">
        <v>1994</v>
      </c>
      <c r="BF1428">
        <v>30</v>
      </c>
      <c r="BI1428">
        <v>24</v>
      </c>
      <c r="BJ1428">
        <v>31</v>
      </c>
      <c r="BK1428">
        <v>7</v>
      </c>
      <c r="BP1428" s="184"/>
    </row>
    <row r="1429" spans="1:68">
      <c r="A1429">
        <v>13124839</v>
      </c>
      <c r="B1429">
        <v>13124839</v>
      </c>
      <c r="C1429" t="s">
        <v>7018</v>
      </c>
      <c r="D1429" t="s">
        <v>595</v>
      </c>
      <c r="E1429" s="184">
        <v>43892</v>
      </c>
      <c r="G1429" s="184"/>
      <c r="I1429" s="184"/>
      <c r="K1429" s="184"/>
      <c r="O1429" s="184"/>
      <c r="P1429" t="s">
        <v>7045</v>
      </c>
      <c r="Q1429" t="s">
        <v>7262</v>
      </c>
      <c r="R1429" s="184">
        <v>13777</v>
      </c>
      <c r="S1429">
        <v>86</v>
      </c>
      <c r="V1429" t="s">
        <v>15098</v>
      </c>
      <c r="W1429" t="s">
        <v>3951</v>
      </c>
      <c r="X1429" t="s">
        <v>15099</v>
      </c>
      <c r="Z1429">
        <v>100041749</v>
      </c>
      <c r="AB1429" t="s">
        <v>2541</v>
      </c>
      <c r="AD1429" t="s">
        <v>15099</v>
      </c>
      <c r="AF1429" t="s">
        <v>15100</v>
      </c>
      <c r="AG1429" t="s">
        <v>15101</v>
      </c>
      <c r="AI1429" t="s">
        <v>15102</v>
      </c>
      <c r="AM1429" t="s">
        <v>5764</v>
      </c>
      <c r="AN1429" t="s">
        <v>65</v>
      </c>
      <c r="AO1429" t="s">
        <v>15103</v>
      </c>
      <c r="AP1429" t="s">
        <v>7024</v>
      </c>
      <c r="AQ1429" t="s">
        <v>15104</v>
      </c>
      <c r="AT1429" s="184">
        <v>34353</v>
      </c>
      <c r="AU1429" t="s">
        <v>15105</v>
      </c>
      <c r="AV1429">
        <v>25</v>
      </c>
      <c r="AW1429" s="184">
        <v>45124</v>
      </c>
      <c r="AX1429" t="s">
        <v>15106</v>
      </c>
      <c r="AY1429">
        <v>50</v>
      </c>
      <c r="AZ1429" s="184">
        <v>44967</v>
      </c>
      <c r="BA1429" t="s">
        <v>15107</v>
      </c>
      <c r="BB1429">
        <v>100</v>
      </c>
      <c r="BC1429">
        <v>81</v>
      </c>
      <c r="BD1429">
        <v>1722</v>
      </c>
      <c r="BE1429">
        <v>1994</v>
      </c>
      <c r="BF1429">
        <v>42</v>
      </c>
      <c r="BG1429">
        <v>4</v>
      </c>
      <c r="BH1429">
        <v>300</v>
      </c>
      <c r="BI1429">
        <v>25</v>
      </c>
      <c r="BJ1429">
        <v>31</v>
      </c>
      <c r="BK1429">
        <v>9</v>
      </c>
      <c r="BP1429" s="184"/>
    </row>
    <row r="1430" spans="1:68">
      <c r="A1430">
        <v>100041749</v>
      </c>
      <c r="B1430">
        <v>13124839</v>
      </c>
      <c r="C1430" t="s">
        <v>7018</v>
      </c>
      <c r="D1430" t="s">
        <v>595</v>
      </c>
      <c r="E1430" s="184">
        <v>43892</v>
      </c>
      <c r="G1430" s="184"/>
      <c r="I1430" s="184"/>
      <c r="K1430" s="184"/>
      <c r="O1430" s="184"/>
      <c r="P1430" t="s">
        <v>7045</v>
      </c>
      <c r="Q1430" t="s">
        <v>7262</v>
      </c>
      <c r="R1430" s="184">
        <v>14746</v>
      </c>
      <c r="S1430">
        <v>84</v>
      </c>
      <c r="V1430" t="s">
        <v>2541</v>
      </c>
      <c r="X1430" t="s">
        <v>15099</v>
      </c>
      <c r="Z1430">
        <v>13124839</v>
      </c>
      <c r="AB1430" t="s">
        <v>15098</v>
      </c>
      <c r="AC1430" t="s">
        <v>3951</v>
      </c>
      <c r="AD1430" t="s">
        <v>15099</v>
      </c>
      <c r="AF1430" t="s">
        <v>15100</v>
      </c>
      <c r="AG1430" t="s">
        <v>15101</v>
      </c>
      <c r="AI1430" t="s">
        <v>15102</v>
      </c>
      <c r="AM1430" t="s">
        <v>5764</v>
      </c>
      <c r="AN1430" t="s">
        <v>65</v>
      </c>
      <c r="AO1430" t="s">
        <v>15103</v>
      </c>
      <c r="AP1430" t="s">
        <v>7024</v>
      </c>
      <c r="AT1430" s="184">
        <v>45393</v>
      </c>
      <c r="AU1430" t="s">
        <v>7524</v>
      </c>
      <c r="AV1430">
        <v>35</v>
      </c>
      <c r="AW1430" s="184">
        <v>45393</v>
      </c>
      <c r="AX1430" t="s">
        <v>7524</v>
      </c>
      <c r="AY1430">
        <v>35</v>
      </c>
      <c r="AZ1430" s="184">
        <v>45393</v>
      </c>
      <c r="BA1430" t="s">
        <v>7524</v>
      </c>
      <c r="BB1430">
        <v>35</v>
      </c>
      <c r="BC1430">
        <v>100</v>
      </c>
      <c r="BD1430">
        <v>35</v>
      </c>
      <c r="BE1430">
        <v>2024</v>
      </c>
      <c r="BF1430">
        <v>1</v>
      </c>
      <c r="BG1430">
        <v>1</v>
      </c>
      <c r="BH1430">
        <v>35</v>
      </c>
      <c r="BI1430">
        <v>1</v>
      </c>
      <c r="BJ1430">
        <v>1</v>
      </c>
      <c r="BK1430">
        <v>1</v>
      </c>
      <c r="BP1430" s="184"/>
    </row>
    <row r="1431" spans="1:68">
      <c r="A1431">
        <v>13125661</v>
      </c>
      <c r="B1431">
        <v>13125661</v>
      </c>
      <c r="C1431" t="s">
        <v>7018</v>
      </c>
      <c r="D1431" t="s">
        <v>595</v>
      </c>
      <c r="E1431" s="184">
        <v>44073</v>
      </c>
      <c r="G1431" s="184"/>
      <c r="I1431" s="184"/>
      <c r="K1431" s="184"/>
      <c r="O1431" s="184"/>
      <c r="P1431" t="s">
        <v>7045</v>
      </c>
      <c r="Q1431" t="s">
        <v>7383</v>
      </c>
      <c r="R1431" s="184">
        <v>10478</v>
      </c>
      <c r="S1431">
        <v>95</v>
      </c>
      <c r="V1431" t="s">
        <v>3360</v>
      </c>
      <c r="X1431" t="s">
        <v>15108</v>
      </c>
      <c r="Y1431" t="s">
        <v>7431</v>
      </c>
      <c r="Z1431">
        <v>100041752</v>
      </c>
      <c r="AB1431" t="s">
        <v>13322</v>
      </c>
      <c r="AD1431" t="s">
        <v>15108</v>
      </c>
      <c r="AF1431" t="s">
        <v>15109</v>
      </c>
      <c r="AG1431" t="s">
        <v>15110</v>
      </c>
      <c r="AI1431" t="s">
        <v>15111</v>
      </c>
      <c r="AM1431" t="s">
        <v>15112</v>
      </c>
      <c r="AN1431" t="s">
        <v>2144</v>
      </c>
      <c r="AO1431" t="s">
        <v>15113</v>
      </c>
      <c r="AP1431" t="s">
        <v>7024</v>
      </c>
      <c r="AQ1431" t="s">
        <v>15114</v>
      </c>
      <c r="AT1431" s="184">
        <v>34353</v>
      </c>
      <c r="AU1431" t="s">
        <v>15115</v>
      </c>
      <c r="AV1431">
        <v>25</v>
      </c>
      <c r="AW1431" s="184">
        <v>45291</v>
      </c>
      <c r="AX1431" t="s">
        <v>10658</v>
      </c>
      <c r="AY1431">
        <v>300</v>
      </c>
      <c r="AZ1431" s="184">
        <v>45291</v>
      </c>
      <c r="BA1431" t="s">
        <v>10658</v>
      </c>
      <c r="BB1431">
        <v>300</v>
      </c>
      <c r="BC1431">
        <v>97</v>
      </c>
      <c r="BD1431">
        <v>3100</v>
      </c>
      <c r="BE1431">
        <v>1994</v>
      </c>
      <c r="BF1431">
        <v>33</v>
      </c>
      <c r="BG1431">
        <v>2</v>
      </c>
      <c r="BH1431">
        <v>400</v>
      </c>
      <c r="BI1431">
        <v>30</v>
      </c>
      <c r="BJ1431">
        <v>31</v>
      </c>
      <c r="BK1431">
        <v>30</v>
      </c>
      <c r="BP1431" s="184"/>
    </row>
    <row r="1432" spans="1:68">
      <c r="A1432">
        <v>100041752</v>
      </c>
      <c r="B1432">
        <v>13125661</v>
      </c>
      <c r="C1432" t="s">
        <v>7018</v>
      </c>
      <c r="D1432" t="s">
        <v>595</v>
      </c>
      <c r="E1432" s="184">
        <v>44073</v>
      </c>
      <c r="G1432" s="184"/>
      <c r="I1432" s="184"/>
      <c r="K1432" s="184"/>
      <c r="M1432" s="184"/>
      <c r="O1432" s="184"/>
      <c r="P1432" t="s">
        <v>7045</v>
      </c>
      <c r="Q1432" t="s">
        <v>7383</v>
      </c>
      <c r="R1432" s="184">
        <v>11346</v>
      </c>
      <c r="S1432">
        <v>93</v>
      </c>
      <c r="V1432" t="s">
        <v>13322</v>
      </c>
      <c r="X1432" t="s">
        <v>15108</v>
      </c>
      <c r="Z1432">
        <v>13125661</v>
      </c>
      <c r="AB1432" t="s">
        <v>3360</v>
      </c>
      <c r="AD1432" t="s">
        <v>15108</v>
      </c>
      <c r="AE1432" t="s">
        <v>7431</v>
      </c>
      <c r="AF1432" t="s">
        <v>15109</v>
      </c>
      <c r="AG1432" t="s">
        <v>15110</v>
      </c>
      <c r="AI1432" t="s">
        <v>15111</v>
      </c>
      <c r="AM1432" t="s">
        <v>15112</v>
      </c>
      <c r="AN1432" t="s">
        <v>2144</v>
      </c>
      <c r="AO1432" t="s">
        <v>15113</v>
      </c>
      <c r="AP1432" t="s">
        <v>7024</v>
      </c>
      <c r="AT1432" s="184"/>
      <c r="AW1432" s="184"/>
      <c r="AZ1432" s="184"/>
      <c r="BP1432" s="184"/>
    </row>
    <row r="1433" spans="1:68">
      <c r="A1433">
        <v>13126669</v>
      </c>
      <c r="B1433">
        <v>13126669</v>
      </c>
      <c r="C1433" t="s">
        <v>7018</v>
      </c>
      <c r="E1433" s="184"/>
      <c r="F1433" t="s">
        <v>595</v>
      </c>
      <c r="G1433" s="184">
        <v>43881</v>
      </c>
      <c r="I1433" s="184"/>
      <c r="K1433" s="184"/>
      <c r="O1433" s="184"/>
      <c r="P1433" t="s">
        <v>7045</v>
      </c>
      <c r="Q1433" t="s">
        <v>7160</v>
      </c>
      <c r="R1433" s="184">
        <v>14382</v>
      </c>
      <c r="S1433">
        <v>84</v>
      </c>
      <c r="U1433" t="s">
        <v>7130</v>
      </c>
      <c r="V1433" t="s">
        <v>15116</v>
      </c>
      <c r="W1433" t="s">
        <v>3830</v>
      </c>
      <c r="X1433" t="s">
        <v>3323</v>
      </c>
      <c r="Y1433" t="s">
        <v>15117</v>
      </c>
      <c r="AF1433" t="s">
        <v>15118</v>
      </c>
      <c r="AG1433" t="s">
        <v>15116</v>
      </c>
      <c r="AI1433" t="s">
        <v>15119</v>
      </c>
      <c r="AM1433" t="s">
        <v>3040</v>
      </c>
      <c r="AN1433" t="s">
        <v>2428</v>
      </c>
      <c r="AO1433" t="s">
        <v>15120</v>
      </c>
      <c r="AP1433" t="s">
        <v>7024</v>
      </c>
      <c r="AQ1433" t="s">
        <v>15121</v>
      </c>
      <c r="AT1433" s="184">
        <v>34353</v>
      </c>
      <c r="AU1433" t="s">
        <v>15122</v>
      </c>
      <c r="AV1433">
        <v>25</v>
      </c>
      <c r="AW1433" s="184">
        <v>43185</v>
      </c>
      <c r="AX1433" t="s">
        <v>15123</v>
      </c>
      <c r="AY1433">
        <v>35</v>
      </c>
      <c r="AZ1433" s="184">
        <v>39273</v>
      </c>
      <c r="BA1433" t="s">
        <v>15124</v>
      </c>
      <c r="BB1433">
        <v>87</v>
      </c>
      <c r="BC1433">
        <v>42</v>
      </c>
      <c r="BD1433">
        <v>789</v>
      </c>
      <c r="BE1433">
        <v>1994</v>
      </c>
      <c r="BF1433">
        <v>19</v>
      </c>
      <c r="BI1433">
        <v>13</v>
      </c>
      <c r="BJ1433">
        <v>31</v>
      </c>
      <c r="BK1433">
        <v>3</v>
      </c>
      <c r="BP1433" s="184"/>
    </row>
    <row r="1434" spans="1:68">
      <c r="A1434">
        <v>13128103</v>
      </c>
      <c r="B1434">
        <v>13128103</v>
      </c>
      <c r="C1434" t="s">
        <v>7018</v>
      </c>
      <c r="D1434" t="s">
        <v>595</v>
      </c>
      <c r="E1434" s="184">
        <v>43745</v>
      </c>
      <c r="G1434" s="184"/>
      <c r="I1434" s="184"/>
      <c r="K1434" s="184"/>
      <c r="O1434" s="184"/>
      <c r="P1434" t="s">
        <v>7045</v>
      </c>
      <c r="Q1434" t="s">
        <v>7383</v>
      </c>
      <c r="R1434" s="184">
        <v>18172</v>
      </c>
      <c r="S1434">
        <v>74</v>
      </c>
      <c r="V1434" t="s">
        <v>3246</v>
      </c>
      <c r="W1434" t="s">
        <v>3226</v>
      </c>
      <c r="X1434" t="s">
        <v>2889</v>
      </c>
      <c r="AF1434" t="s">
        <v>15125</v>
      </c>
      <c r="AG1434" t="s">
        <v>3246</v>
      </c>
      <c r="AI1434" t="s">
        <v>15126</v>
      </c>
      <c r="AM1434" t="s">
        <v>4031</v>
      </c>
      <c r="AN1434" t="s">
        <v>2059</v>
      </c>
      <c r="AO1434" t="s">
        <v>15127</v>
      </c>
      <c r="AP1434" t="s">
        <v>7024</v>
      </c>
      <c r="AQ1434" t="s">
        <v>15128</v>
      </c>
      <c r="AT1434" s="184">
        <v>34353</v>
      </c>
      <c r="AU1434" t="s">
        <v>15129</v>
      </c>
      <c r="AV1434">
        <v>25</v>
      </c>
      <c r="AW1434" s="184">
        <v>45190</v>
      </c>
      <c r="AX1434" t="s">
        <v>7159</v>
      </c>
      <c r="AY1434">
        <v>100</v>
      </c>
      <c r="AZ1434" s="184">
        <v>45190</v>
      </c>
      <c r="BA1434" t="s">
        <v>7159</v>
      </c>
      <c r="BB1434">
        <v>100</v>
      </c>
      <c r="BC1434">
        <v>55</v>
      </c>
      <c r="BD1434">
        <v>1149</v>
      </c>
      <c r="BE1434">
        <v>1994</v>
      </c>
      <c r="BF1434">
        <v>23</v>
      </c>
      <c r="BG1434">
        <v>2</v>
      </c>
      <c r="BH1434">
        <v>200</v>
      </c>
      <c r="BI1434">
        <v>17</v>
      </c>
      <c r="BJ1434">
        <v>31</v>
      </c>
      <c r="BK1434">
        <v>6</v>
      </c>
    </row>
    <row r="1435" spans="1:68">
      <c r="A1435">
        <v>13303003</v>
      </c>
      <c r="B1435">
        <v>13303003</v>
      </c>
      <c r="C1435" t="s">
        <v>7018</v>
      </c>
      <c r="D1435" t="s">
        <v>595</v>
      </c>
      <c r="E1435" s="184">
        <v>44073</v>
      </c>
      <c r="G1435" s="184"/>
      <c r="I1435" s="184"/>
      <c r="K1435" s="184"/>
      <c r="M1435" s="184"/>
      <c r="O1435" s="184"/>
      <c r="P1435" t="s">
        <v>7045</v>
      </c>
      <c r="Q1435" t="s">
        <v>7020</v>
      </c>
      <c r="R1435" s="184">
        <v>14392</v>
      </c>
      <c r="S1435">
        <v>84</v>
      </c>
      <c r="U1435" t="s">
        <v>7031</v>
      </c>
      <c r="V1435" t="s">
        <v>3373</v>
      </c>
      <c r="W1435" t="s">
        <v>7560</v>
      </c>
      <c r="X1435" t="s">
        <v>3224</v>
      </c>
      <c r="AF1435" t="s">
        <v>15130</v>
      </c>
      <c r="AG1435" t="s">
        <v>3373</v>
      </c>
      <c r="AI1435" t="s">
        <v>15131</v>
      </c>
      <c r="AM1435" t="s">
        <v>15132</v>
      </c>
      <c r="AN1435" t="s">
        <v>2240</v>
      </c>
      <c r="AO1435" t="s">
        <v>15133</v>
      </c>
      <c r="AP1435" t="s">
        <v>7024</v>
      </c>
      <c r="AQ1435" t="s">
        <v>15134</v>
      </c>
      <c r="AR1435" t="s">
        <v>15135</v>
      </c>
      <c r="AT1435" s="184">
        <v>34344</v>
      </c>
      <c r="AU1435" t="s">
        <v>15136</v>
      </c>
      <c r="AV1435">
        <v>15</v>
      </c>
      <c r="AW1435" s="184">
        <v>45307</v>
      </c>
      <c r="AX1435" t="s">
        <v>10848</v>
      </c>
      <c r="AY1435">
        <v>100</v>
      </c>
      <c r="AZ1435" s="184">
        <v>45307</v>
      </c>
      <c r="BA1435" t="s">
        <v>10848</v>
      </c>
      <c r="BB1435">
        <v>100</v>
      </c>
      <c r="BC1435">
        <v>71</v>
      </c>
      <c r="BD1435">
        <v>2035</v>
      </c>
      <c r="BE1435">
        <v>1994</v>
      </c>
      <c r="BF1435">
        <v>35</v>
      </c>
      <c r="BG1435">
        <v>2</v>
      </c>
      <c r="BH1435">
        <v>200</v>
      </c>
      <c r="BI1435">
        <v>22</v>
      </c>
      <c r="BJ1435">
        <v>31</v>
      </c>
      <c r="BK1435">
        <v>7</v>
      </c>
      <c r="BP1435" s="184"/>
    </row>
    <row r="1436" spans="1:68">
      <c r="A1436">
        <v>13500715</v>
      </c>
      <c r="B1436">
        <v>13500715</v>
      </c>
      <c r="C1436" t="s">
        <v>7018</v>
      </c>
      <c r="D1436" t="s">
        <v>595</v>
      </c>
      <c r="E1436" s="184">
        <v>43866</v>
      </c>
      <c r="G1436" s="184"/>
      <c r="I1436" s="184"/>
      <c r="K1436" s="184"/>
      <c r="M1436" s="184"/>
      <c r="O1436" s="184"/>
      <c r="P1436" t="s">
        <v>7045</v>
      </c>
      <c r="Q1436" t="s">
        <v>7383</v>
      </c>
      <c r="R1436" s="184">
        <v>17468</v>
      </c>
      <c r="S1436">
        <v>76</v>
      </c>
      <c r="V1436" t="s">
        <v>3496</v>
      </c>
      <c r="X1436" t="s">
        <v>4739</v>
      </c>
      <c r="AF1436" t="s">
        <v>15137</v>
      </c>
      <c r="AG1436" t="s">
        <v>3496</v>
      </c>
      <c r="AI1436" t="s">
        <v>15138</v>
      </c>
      <c r="AM1436" t="s">
        <v>4740</v>
      </c>
      <c r="AN1436" t="s">
        <v>2313</v>
      </c>
      <c r="AO1436" t="s">
        <v>15139</v>
      </c>
      <c r="AP1436" t="s">
        <v>7024</v>
      </c>
      <c r="AQ1436" t="s">
        <v>15140</v>
      </c>
      <c r="AT1436" s="184">
        <v>34347</v>
      </c>
      <c r="AU1436" t="s">
        <v>15141</v>
      </c>
      <c r="AV1436">
        <v>10</v>
      </c>
      <c r="AW1436" s="184">
        <v>45408</v>
      </c>
      <c r="AX1436" t="s">
        <v>8271</v>
      </c>
      <c r="AY1436">
        <v>105</v>
      </c>
      <c r="AZ1436" s="184">
        <v>44495</v>
      </c>
      <c r="BA1436" t="s">
        <v>15142</v>
      </c>
      <c r="BB1436">
        <v>250</v>
      </c>
      <c r="BC1436">
        <v>52</v>
      </c>
      <c r="BD1436">
        <v>3845</v>
      </c>
      <c r="BE1436">
        <v>1994</v>
      </c>
      <c r="BF1436">
        <v>73</v>
      </c>
      <c r="BG1436">
        <v>4</v>
      </c>
      <c r="BH1436">
        <v>410</v>
      </c>
      <c r="BI1436">
        <v>16</v>
      </c>
      <c r="BJ1436">
        <v>31</v>
      </c>
      <c r="BK1436">
        <v>15</v>
      </c>
      <c r="BP1436" s="184"/>
    </row>
    <row r="1437" spans="1:68">
      <c r="A1437">
        <v>13534789</v>
      </c>
      <c r="B1437">
        <v>13534789</v>
      </c>
      <c r="C1437" t="s">
        <v>7018</v>
      </c>
      <c r="E1437" s="184"/>
      <c r="G1437" s="184"/>
      <c r="I1437" s="184"/>
      <c r="J1437" t="s">
        <v>595</v>
      </c>
      <c r="K1437" s="184">
        <v>44453</v>
      </c>
      <c r="M1437" s="184"/>
      <c r="P1437" t="s">
        <v>7029</v>
      </c>
      <c r="Q1437" t="s">
        <v>7262</v>
      </c>
      <c r="R1437" s="184">
        <v>17152</v>
      </c>
      <c r="S1437">
        <v>77</v>
      </c>
      <c r="U1437" t="s">
        <v>7031</v>
      </c>
      <c r="V1437" t="s">
        <v>2697</v>
      </c>
      <c r="W1437" t="s">
        <v>2049</v>
      </c>
      <c r="X1437" t="s">
        <v>15143</v>
      </c>
      <c r="AF1437" t="s">
        <v>15144</v>
      </c>
      <c r="AG1437" t="s">
        <v>2697</v>
      </c>
      <c r="AI1437" t="s">
        <v>15145</v>
      </c>
      <c r="AM1437" t="s">
        <v>15146</v>
      </c>
      <c r="AN1437" t="s">
        <v>2106</v>
      </c>
      <c r="AO1437" t="s">
        <v>15147</v>
      </c>
      <c r="AP1437" t="s">
        <v>7024</v>
      </c>
      <c r="AQ1437" t="s">
        <v>15148</v>
      </c>
      <c r="AR1437" t="s">
        <v>15149</v>
      </c>
      <c r="AT1437" s="184">
        <v>34348</v>
      </c>
      <c r="AU1437" t="s">
        <v>15085</v>
      </c>
      <c r="AV1437">
        <v>15</v>
      </c>
      <c r="AW1437" s="184">
        <v>45300</v>
      </c>
      <c r="AX1437" t="s">
        <v>11643</v>
      </c>
      <c r="AY1437">
        <v>1000</v>
      </c>
      <c r="AZ1437" s="184">
        <v>45300</v>
      </c>
      <c r="BA1437" t="s">
        <v>11643</v>
      </c>
      <c r="BB1437">
        <v>1000</v>
      </c>
      <c r="BC1437">
        <v>59</v>
      </c>
      <c r="BD1437">
        <v>4111</v>
      </c>
      <c r="BE1437">
        <v>1994</v>
      </c>
      <c r="BF1437">
        <v>27</v>
      </c>
      <c r="BG1437">
        <v>2</v>
      </c>
      <c r="BH1437">
        <v>2000</v>
      </c>
      <c r="BI1437">
        <v>18</v>
      </c>
      <c r="BJ1437">
        <v>31</v>
      </c>
      <c r="BK1437">
        <v>6</v>
      </c>
      <c r="BP1437" s="184"/>
    </row>
    <row r="1438" spans="1:68">
      <c r="A1438">
        <v>13547039</v>
      </c>
      <c r="B1438">
        <v>13547039</v>
      </c>
      <c r="C1438" t="s">
        <v>7018</v>
      </c>
      <c r="D1438" t="s">
        <v>595</v>
      </c>
      <c r="E1438" s="184">
        <v>43843</v>
      </c>
      <c r="G1438" s="184"/>
      <c r="H1438" t="s">
        <v>595</v>
      </c>
      <c r="I1438" s="184">
        <v>43843</v>
      </c>
      <c r="K1438" s="184"/>
      <c r="M1438" s="184"/>
      <c r="O1438" s="184"/>
      <c r="P1438" t="s">
        <v>7045</v>
      </c>
      <c r="Q1438" t="s">
        <v>7160</v>
      </c>
      <c r="R1438" s="184">
        <v>18994</v>
      </c>
      <c r="S1438">
        <v>72</v>
      </c>
      <c r="U1438" t="s">
        <v>7031</v>
      </c>
      <c r="V1438" t="s">
        <v>3103</v>
      </c>
      <c r="W1438" t="s">
        <v>7560</v>
      </c>
      <c r="X1438" t="s">
        <v>4510</v>
      </c>
      <c r="Z1438">
        <v>100042018</v>
      </c>
      <c r="AA1438" t="s">
        <v>15150</v>
      </c>
      <c r="AB1438" t="s">
        <v>2602</v>
      </c>
      <c r="AC1438" t="s">
        <v>7963</v>
      </c>
      <c r="AD1438" t="s">
        <v>4510</v>
      </c>
      <c r="AF1438" t="s">
        <v>6145</v>
      </c>
      <c r="AG1438" t="s">
        <v>3103</v>
      </c>
      <c r="AI1438" t="s">
        <v>15151</v>
      </c>
      <c r="AM1438" t="s">
        <v>3470</v>
      </c>
      <c r="AN1438" t="s">
        <v>2176</v>
      </c>
      <c r="AO1438" t="s">
        <v>15152</v>
      </c>
      <c r="AP1438" t="s">
        <v>7024</v>
      </c>
      <c r="AQ1438" t="s">
        <v>15153</v>
      </c>
      <c r="AT1438" s="184">
        <v>34348</v>
      </c>
      <c r="AU1438" t="s">
        <v>15085</v>
      </c>
      <c r="AV1438">
        <v>15</v>
      </c>
      <c r="AW1438" s="184">
        <v>45153</v>
      </c>
      <c r="AX1438" t="s">
        <v>15154</v>
      </c>
      <c r="AY1438">
        <v>105</v>
      </c>
      <c r="AZ1438" s="184">
        <v>38761</v>
      </c>
      <c r="BA1438" t="s">
        <v>15155</v>
      </c>
      <c r="BB1438">
        <v>3750</v>
      </c>
      <c r="BC1438">
        <v>33</v>
      </c>
      <c r="BD1438">
        <v>4540</v>
      </c>
      <c r="BE1438">
        <v>1994</v>
      </c>
      <c r="BF1438">
        <v>24</v>
      </c>
      <c r="BG1438">
        <v>3</v>
      </c>
      <c r="BH1438">
        <v>355</v>
      </c>
      <c r="BI1438">
        <v>10</v>
      </c>
      <c r="BJ1438">
        <v>31</v>
      </c>
      <c r="BK1438">
        <v>4</v>
      </c>
      <c r="BP1438" s="184"/>
    </row>
    <row r="1439" spans="1:68">
      <c r="A1439">
        <v>100042018</v>
      </c>
      <c r="B1439">
        <v>13547039</v>
      </c>
      <c r="C1439" t="s">
        <v>7018</v>
      </c>
      <c r="E1439" s="184"/>
      <c r="G1439" s="184"/>
      <c r="H1439" t="s">
        <v>595</v>
      </c>
      <c r="I1439" s="184">
        <v>43843</v>
      </c>
      <c r="J1439" t="s">
        <v>595</v>
      </c>
      <c r="K1439" s="184">
        <v>43843</v>
      </c>
      <c r="M1439" s="184"/>
      <c r="O1439" s="184"/>
      <c r="P1439" t="s">
        <v>7045</v>
      </c>
      <c r="Q1439" t="s">
        <v>7160</v>
      </c>
      <c r="R1439" s="184">
        <v>7337</v>
      </c>
      <c r="S1439">
        <v>104</v>
      </c>
      <c r="U1439" t="s">
        <v>15150</v>
      </c>
      <c r="V1439" t="s">
        <v>2602</v>
      </c>
      <c r="W1439" t="s">
        <v>7963</v>
      </c>
      <c r="X1439" t="s">
        <v>4510</v>
      </c>
      <c r="Z1439">
        <v>13547039</v>
      </c>
      <c r="AA1439" t="s">
        <v>7031</v>
      </c>
      <c r="AB1439" t="s">
        <v>3103</v>
      </c>
      <c r="AC1439" t="s">
        <v>7560</v>
      </c>
      <c r="AD1439" t="s">
        <v>4510</v>
      </c>
      <c r="AF1439" t="s">
        <v>6145</v>
      </c>
      <c r="AG1439" t="s">
        <v>3103</v>
      </c>
      <c r="AI1439" t="s">
        <v>15151</v>
      </c>
      <c r="AM1439" t="s">
        <v>3470</v>
      </c>
      <c r="AN1439" t="s">
        <v>2176</v>
      </c>
      <c r="AO1439" t="s">
        <v>15152</v>
      </c>
      <c r="AP1439" t="s">
        <v>7024</v>
      </c>
      <c r="AT1439" s="184"/>
      <c r="AW1439" s="184"/>
      <c r="AZ1439" s="184"/>
      <c r="BO1439" t="s">
        <v>595</v>
      </c>
      <c r="BP1439" s="184"/>
    </row>
    <row r="1440" spans="1:68">
      <c r="A1440">
        <v>13594643</v>
      </c>
      <c r="B1440">
        <v>13594643</v>
      </c>
      <c r="C1440" t="s">
        <v>7018</v>
      </c>
      <c r="E1440" s="184"/>
      <c r="G1440" s="184"/>
      <c r="I1440" s="184"/>
      <c r="K1440" s="184"/>
      <c r="N1440" t="s">
        <v>595</v>
      </c>
      <c r="O1440" s="184">
        <v>40477</v>
      </c>
      <c r="P1440" t="s">
        <v>7045</v>
      </c>
      <c r="Q1440" t="s">
        <v>7030</v>
      </c>
      <c r="R1440" s="184">
        <v>8990</v>
      </c>
      <c r="S1440">
        <v>99</v>
      </c>
      <c r="U1440" t="s">
        <v>7130</v>
      </c>
      <c r="V1440" t="s">
        <v>2669</v>
      </c>
      <c r="W1440" t="s">
        <v>7384</v>
      </c>
      <c r="X1440" t="s">
        <v>3339</v>
      </c>
      <c r="AF1440" t="s">
        <v>15156</v>
      </c>
      <c r="AG1440" t="s">
        <v>2669</v>
      </c>
      <c r="AI1440" t="s">
        <v>15157</v>
      </c>
      <c r="AM1440" t="s">
        <v>2873</v>
      </c>
      <c r="AN1440" t="s">
        <v>2094</v>
      </c>
      <c r="AO1440">
        <v>80525</v>
      </c>
      <c r="AP1440" t="s">
        <v>7024</v>
      </c>
      <c r="AT1440" s="184">
        <v>34366</v>
      </c>
      <c r="AU1440" t="s">
        <v>15158</v>
      </c>
      <c r="AV1440">
        <v>25</v>
      </c>
      <c r="AW1440" s="184">
        <v>42731</v>
      </c>
      <c r="AX1440" t="s">
        <v>7267</v>
      </c>
      <c r="AY1440">
        <v>20000</v>
      </c>
      <c r="AZ1440" s="184">
        <v>40515</v>
      </c>
      <c r="BA1440" t="s">
        <v>15159</v>
      </c>
      <c r="BB1440">
        <v>25510.89</v>
      </c>
      <c r="BC1440">
        <v>46</v>
      </c>
      <c r="BD1440">
        <v>70965.89</v>
      </c>
      <c r="BE1440">
        <v>1994</v>
      </c>
      <c r="BF1440">
        <v>15</v>
      </c>
      <c r="BI1440">
        <v>14</v>
      </c>
      <c r="BJ1440">
        <v>31</v>
      </c>
      <c r="BK1440">
        <v>5</v>
      </c>
      <c r="BO1440" t="s">
        <v>595</v>
      </c>
      <c r="BP1440" s="184">
        <v>44662</v>
      </c>
    </row>
    <row r="1441" spans="1:68">
      <c r="A1441">
        <v>13602867</v>
      </c>
      <c r="B1441">
        <v>13602867</v>
      </c>
      <c r="C1441" t="s">
        <v>7018</v>
      </c>
      <c r="E1441" s="184"/>
      <c r="G1441" s="184"/>
      <c r="J1441" t="s">
        <v>595</v>
      </c>
      <c r="K1441" s="184">
        <v>38687</v>
      </c>
      <c r="O1441" s="184"/>
      <c r="P1441" t="s">
        <v>7045</v>
      </c>
      <c r="Q1441" t="s">
        <v>7454</v>
      </c>
      <c r="R1441" s="184">
        <v>11943</v>
      </c>
      <c r="S1441">
        <v>91</v>
      </c>
      <c r="U1441" t="s">
        <v>7032</v>
      </c>
      <c r="V1441" t="s">
        <v>2832</v>
      </c>
      <c r="W1441" t="s">
        <v>7407</v>
      </c>
      <c r="X1441" t="s">
        <v>4634</v>
      </c>
      <c r="Z1441">
        <v>100042106</v>
      </c>
      <c r="AA1441" t="s">
        <v>7031</v>
      </c>
      <c r="AB1441" t="s">
        <v>3825</v>
      </c>
      <c r="AD1441" t="s">
        <v>15160</v>
      </c>
      <c r="AF1441" t="s">
        <v>15161</v>
      </c>
      <c r="AG1441" t="s">
        <v>15162</v>
      </c>
      <c r="AI1441" t="s">
        <v>15163</v>
      </c>
      <c r="AM1441" t="s">
        <v>2608</v>
      </c>
      <c r="AN1441" t="s">
        <v>2299</v>
      </c>
      <c r="AO1441" t="s">
        <v>15164</v>
      </c>
      <c r="AP1441" t="s">
        <v>7024</v>
      </c>
      <c r="AQ1441" t="s">
        <v>15165</v>
      </c>
      <c r="AT1441" s="184">
        <v>34358</v>
      </c>
      <c r="AU1441" t="s">
        <v>15166</v>
      </c>
      <c r="AV1441">
        <v>15</v>
      </c>
      <c r="AW1441" s="184">
        <v>45188</v>
      </c>
      <c r="AX1441" t="s">
        <v>15167</v>
      </c>
      <c r="AY1441">
        <v>200</v>
      </c>
      <c r="AZ1441" s="184">
        <v>45188</v>
      </c>
      <c r="BA1441" t="s">
        <v>15167</v>
      </c>
      <c r="BB1441">
        <v>200</v>
      </c>
      <c r="BC1441">
        <v>91</v>
      </c>
      <c r="BD1441">
        <v>2830</v>
      </c>
      <c r="BE1441">
        <v>1994</v>
      </c>
      <c r="BF1441">
        <v>36</v>
      </c>
      <c r="BG1441">
        <v>2</v>
      </c>
      <c r="BH1441">
        <v>400</v>
      </c>
      <c r="BI1441">
        <v>28</v>
      </c>
      <c r="BJ1441">
        <v>31</v>
      </c>
      <c r="BK1441">
        <v>14</v>
      </c>
      <c r="BN1441" t="s">
        <v>595</v>
      </c>
      <c r="BP1441" s="184"/>
    </row>
    <row r="1442" spans="1:68">
      <c r="A1442">
        <v>100042106</v>
      </c>
      <c r="B1442">
        <v>13602867</v>
      </c>
      <c r="C1442" t="s">
        <v>7018</v>
      </c>
      <c r="E1442" s="184"/>
      <c r="G1442" s="184"/>
      <c r="I1442" s="184"/>
      <c r="J1442" t="s">
        <v>595</v>
      </c>
      <c r="K1442" s="184">
        <v>43649</v>
      </c>
      <c r="O1442" s="184"/>
      <c r="P1442" t="s">
        <v>7045</v>
      </c>
      <c r="Q1442" t="s">
        <v>7454</v>
      </c>
      <c r="R1442" s="184">
        <v>14850</v>
      </c>
      <c r="S1442">
        <v>83</v>
      </c>
      <c r="U1442" t="s">
        <v>7031</v>
      </c>
      <c r="V1442" t="s">
        <v>3825</v>
      </c>
      <c r="X1442" t="s">
        <v>15160</v>
      </c>
      <c r="Z1442">
        <v>13602867</v>
      </c>
      <c r="AA1442" t="s">
        <v>7032</v>
      </c>
      <c r="AB1442" t="s">
        <v>2832</v>
      </c>
      <c r="AC1442" t="s">
        <v>7407</v>
      </c>
      <c r="AD1442" t="s">
        <v>4634</v>
      </c>
      <c r="AF1442" t="s">
        <v>15161</v>
      </c>
      <c r="AG1442" t="s">
        <v>15162</v>
      </c>
      <c r="AI1442" t="s">
        <v>15163</v>
      </c>
      <c r="AM1442" t="s">
        <v>2608</v>
      </c>
      <c r="AN1442" t="s">
        <v>2299</v>
      </c>
      <c r="AO1442" t="s">
        <v>15164</v>
      </c>
      <c r="AP1442" t="s">
        <v>7024</v>
      </c>
      <c r="AQ1442" t="s">
        <v>15168</v>
      </c>
      <c r="AT1442" s="184"/>
      <c r="AW1442" s="184"/>
      <c r="AZ1442" s="184"/>
      <c r="BP1442" s="184"/>
    </row>
    <row r="1443" spans="1:68">
      <c r="A1443">
        <v>13610092</v>
      </c>
      <c r="B1443">
        <v>13610092</v>
      </c>
      <c r="C1443" t="s">
        <v>7018</v>
      </c>
      <c r="D1443" t="s">
        <v>595</v>
      </c>
      <c r="E1443" s="184">
        <v>43640</v>
      </c>
      <c r="G1443" s="184"/>
      <c r="I1443" s="184"/>
      <c r="K1443" s="184"/>
      <c r="O1443" s="184"/>
      <c r="P1443" t="s">
        <v>7045</v>
      </c>
      <c r="Q1443" t="s">
        <v>7383</v>
      </c>
      <c r="R1443" s="184">
        <v>17348</v>
      </c>
      <c r="S1443">
        <v>76</v>
      </c>
      <c r="U1443" t="s">
        <v>7032</v>
      </c>
      <c r="V1443" t="s">
        <v>3008</v>
      </c>
      <c r="W1443" t="s">
        <v>7407</v>
      </c>
      <c r="X1443" t="s">
        <v>2980</v>
      </c>
      <c r="AF1443" t="s">
        <v>15169</v>
      </c>
      <c r="AG1443" t="s">
        <v>3008</v>
      </c>
      <c r="AI1443" t="s">
        <v>15170</v>
      </c>
      <c r="AM1443" t="s">
        <v>2981</v>
      </c>
      <c r="AN1443" t="s">
        <v>2072</v>
      </c>
      <c r="AO1443" t="s">
        <v>15171</v>
      </c>
      <c r="AP1443" t="s">
        <v>7024</v>
      </c>
      <c r="AT1443" s="184">
        <v>34358</v>
      </c>
      <c r="AU1443" t="s">
        <v>15172</v>
      </c>
      <c r="AV1443">
        <v>15</v>
      </c>
      <c r="AW1443" s="184">
        <v>44298</v>
      </c>
      <c r="AX1443" t="s">
        <v>15173</v>
      </c>
      <c r="AY1443">
        <v>50</v>
      </c>
      <c r="AZ1443" s="184">
        <v>40007</v>
      </c>
      <c r="BA1443" t="s">
        <v>15174</v>
      </c>
      <c r="BB1443">
        <v>100</v>
      </c>
      <c r="BC1443">
        <v>36</v>
      </c>
      <c r="BD1443">
        <v>540</v>
      </c>
      <c r="BE1443">
        <v>1994</v>
      </c>
      <c r="BF1443">
        <v>13</v>
      </c>
      <c r="BI1443">
        <v>11</v>
      </c>
      <c r="BJ1443">
        <v>31</v>
      </c>
      <c r="BK1443">
        <v>4</v>
      </c>
      <c r="BP1443" s="184"/>
    </row>
    <row r="1444" spans="1:68">
      <c r="A1444">
        <v>13648134</v>
      </c>
      <c r="B1444">
        <v>13648134</v>
      </c>
      <c r="C1444" t="s">
        <v>7018</v>
      </c>
      <c r="E1444" s="184"/>
      <c r="G1444" s="184"/>
      <c r="I1444" s="184"/>
      <c r="J1444" t="s">
        <v>595</v>
      </c>
      <c r="K1444" s="184">
        <v>41400</v>
      </c>
      <c r="O1444" s="184"/>
      <c r="P1444" t="s">
        <v>7045</v>
      </c>
      <c r="Q1444" t="s">
        <v>7262</v>
      </c>
      <c r="R1444" s="184">
        <v>19480</v>
      </c>
      <c r="S1444">
        <v>71</v>
      </c>
      <c r="U1444" t="s">
        <v>7031</v>
      </c>
      <c r="V1444" t="s">
        <v>2979</v>
      </c>
      <c r="W1444" t="s">
        <v>4139</v>
      </c>
      <c r="X1444" t="s">
        <v>15175</v>
      </c>
      <c r="Z1444">
        <v>100042253</v>
      </c>
      <c r="AA1444" t="s">
        <v>7130</v>
      </c>
      <c r="AB1444" t="s">
        <v>15176</v>
      </c>
      <c r="AC1444" t="s">
        <v>4139</v>
      </c>
      <c r="AD1444" t="s">
        <v>15175</v>
      </c>
      <c r="AF1444" t="s">
        <v>6450</v>
      </c>
      <c r="AG1444" t="s">
        <v>15177</v>
      </c>
      <c r="AI1444" t="s">
        <v>15178</v>
      </c>
      <c r="AM1444" t="s">
        <v>2987</v>
      </c>
      <c r="AN1444" t="s">
        <v>2106</v>
      </c>
      <c r="AO1444" t="s">
        <v>15179</v>
      </c>
      <c r="AP1444" t="s">
        <v>7024</v>
      </c>
      <c r="AQ1444" t="s">
        <v>15180</v>
      </c>
      <c r="AT1444" s="184">
        <v>34365</v>
      </c>
      <c r="AU1444" t="s">
        <v>15181</v>
      </c>
      <c r="AV1444">
        <v>25</v>
      </c>
      <c r="AW1444" s="184">
        <v>45056</v>
      </c>
      <c r="AX1444" t="s">
        <v>13831</v>
      </c>
      <c r="AY1444">
        <v>50</v>
      </c>
      <c r="AZ1444" s="184">
        <v>45056</v>
      </c>
      <c r="BA1444" t="s">
        <v>13831</v>
      </c>
      <c r="BB1444">
        <v>50</v>
      </c>
      <c r="BC1444">
        <v>71</v>
      </c>
      <c r="BD1444">
        <v>1025</v>
      </c>
      <c r="BE1444">
        <v>1994</v>
      </c>
      <c r="BF1444">
        <v>26</v>
      </c>
      <c r="BG1444">
        <v>2</v>
      </c>
      <c r="BH1444">
        <v>75</v>
      </c>
      <c r="BI1444">
        <v>22</v>
      </c>
      <c r="BJ1444">
        <v>31</v>
      </c>
      <c r="BK1444">
        <v>19</v>
      </c>
      <c r="BP1444" s="184"/>
    </row>
    <row r="1445" spans="1:68">
      <c r="A1445">
        <v>100042253</v>
      </c>
      <c r="B1445">
        <v>13648134</v>
      </c>
      <c r="C1445" t="s">
        <v>7018</v>
      </c>
      <c r="E1445" s="184"/>
      <c r="G1445" s="184"/>
      <c r="I1445" s="184"/>
      <c r="J1445" t="s">
        <v>595</v>
      </c>
      <c r="K1445" s="184">
        <v>41400</v>
      </c>
      <c r="O1445" s="184"/>
      <c r="P1445" t="s">
        <v>7045</v>
      </c>
      <c r="Q1445" t="s">
        <v>7262</v>
      </c>
      <c r="R1445" s="184">
        <v>19572</v>
      </c>
      <c r="S1445">
        <v>70</v>
      </c>
      <c r="U1445" t="s">
        <v>7130</v>
      </c>
      <c r="V1445" t="s">
        <v>15176</v>
      </c>
      <c r="W1445" t="s">
        <v>4139</v>
      </c>
      <c r="X1445" t="s">
        <v>15175</v>
      </c>
      <c r="Z1445">
        <v>13648134</v>
      </c>
      <c r="AA1445" t="s">
        <v>7031</v>
      </c>
      <c r="AB1445" t="s">
        <v>2979</v>
      </c>
      <c r="AC1445" t="s">
        <v>4139</v>
      </c>
      <c r="AD1445" t="s">
        <v>15175</v>
      </c>
      <c r="AF1445" t="s">
        <v>6450</v>
      </c>
      <c r="AG1445" t="s">
        <v>15177</v>
      </c>
      <c r="AI1445" t="s">
        <v>15178</v>
      </c>
      <c r="AM1445" t="s">
        <v>2987</v>
      </c>
      <c r="AN1445" t="s">
        <v>2106</v>
      </c>
      <c r="AO1445" t="s">
        <v>15179</v>
      </c>
      <c r="AP1445" t="s">
        <v>7024</v>
      </c>
      <c r="AT1445" s="184"/>
      <c r="AW1445" s="184"/>
      <c r="AZ1445" s="184"/>
      <c r="BP1445" s="184"/>
    </row>
    <row r="1446" spans="1:68">
      <c r="A1446">
        <v>13905559</v>
      </c>
      <c r="B1446">
        <v>13905559</v>
      </c>
      <c r="C1446" t="s">
        <v>7018</v>
      </c>
      <c r="E1446" s="184"/>
      <c r="G1446" s="184"/>
      <c r="I1446" s="184"/>
      <c r="J1446" t="s">
        <v>595</v>
      </c>
      <c r="K1446" s="184">
        <v>37433</v>
      </c>
      <c r="O1446" s="184"/>
      <c r="P1446" t="s">
        <v>7045</v>
      </c>
      <c r="Q1446" t="s">
        <v>7454</v>
      </c>
      <c r="R1446" s="184">
        <v>10625</v>
      </c>
      <c r="S1446">
        <v>95</v>
      </c>
      <c r="U1446" t="s">
        <v>7076</v>
      </c>
      <c r="V1446" t="s">
        <v>2718</v>
      </c>
      <c r="W1446" t="s">
        <v>4327</v>
      </c>
      <c r="X1446" t="s">
        <v>4939</v>
      </c>
      <c r="AF1446" t="s">
        <v>6222</v>
      </c>
      <c r="AG1446" t="s">
        <v>2718</v>
      </c>
      <c r="AI1446" t="s">
        <v>15182</v>
      </c>
      <c r="AJ1446" t="s">
        <v>15183</v>
      </c>
      <c r="AM1446" t="s">
        <v>3611</v>
      </c>
      <c r="AN1446" t="s">
        <v>2055</v>
      </c>
      <c r="AO1446" t="s">
        <v>15184</v>
      </c>
      <c r="AP1446" t="s">
        <v>7024</v>
      </c>
      <c r="AQ1446" t="s">
        <v>15185</v>
      </c>
      <c r="AT1446" s="184">
        <v>34352</v>
      </c>
      <c r="AU1446" t="s">
        <v>15136</v>
      </c>
      <c r="AV1446">
        <v>15</v>
      </c>
      <c r="AW1446" s="184">
        <v>43872</v>
      </c>
      <c r="AX1446" t="s">
        <v>15186</v>
      </c>
      <c r="AY1446">
        <v>100</v>
      </c>
      <c r="AZ1446" s="184">
        <v>35495</v>
      </c>
      <c r="BA1446" t="s">
        <v>15187</v>
      </c>
      <c r="BB1446">
        <v>1000</v>
      </c>
      <c r="BC1446">
        <v>55</v>
      </c>
      <c r="BD1446">
        <v>2555</v>
      </c>
      <c r="BE1446">
        <v>1994</v>
      </c>
      <c r="BF1446">
        <v>22</v>
      </c>
      <c r="BI1446">
        <v>17</v>
      </c>
      <c r="BJ1446">
        <v>31</v>
      </c>
      <c r="BK1446">
        <v>6</v>
      </c>
    </row>
    <row r="1447" spans="1:68">
      <c r="A1447">
        <v>14085179</v>
      </c>
      <c r="B1447">
        <v>14085179</v>
      </c>
      <c r="C1447" t="s">
        <v>7018</v>
      </c>
      <c r="D1447" t="s">
        <v>595</v>
      </c>
      <c r="E1447" s="184">
        <v>44104</v>
      </c>
      <c r="G1447" s="184"/>
      <c r="I1447" s="184"/>
      <c r="K1447" s="184"/>
      <c r="O1447" s="184"/>
      <c r="P1447" t="s">
        <v>7045</v>
      </c>
      <c r="Q1447" t="s">
        <v>7454</v>
      </c>
      <c r="R1447" s="184">
        <v>14988</v>
      </c>
      <c r="S1447">
        <v>83</v>
      </c>
      <c r="U1447" t="s">
        <v>7130</v>
      </c>
      <c r="V1447" t="s">
        <v>3745</v>
      </c>
      <c r="W1447" t="s">
        <v>4139</v>
      </c>
      <c r="X1447" t="s">
        <v>15188</v>
      </c>
      <c r="AF1447" t="s">
        <v>15189</v>
      </c>
      <c r="AG1447" t="s">
        <v>3745</v>
      </c>
      <c r="AI1447" t="s">
        <v>15190</v>
      </c>
      <c r="AM1447" t="s">
        <v>15191</v>
      </c>
      <c r="AN1447" t="s">
        <v>2055</v>
      </c>
      <c r="AO1447" t="s">
        <v>15192</v>
      </c>
      <c r="AP1447" t="s">
        <v>7024</v>
      </c>
      <c r="AQ1447" t="s">
        <v>15193</v>
      </c>
      <c r="AT1447" s="184">
        <v>34355</v>
      </c>
      <c r="AU1447" t="s">
        <v>15085</v>
      </c>
      <c r="AV1447">
        <v>10</v>
      </c>
      <c r="AW1447" s="184">
        <v>45408</v>
      </c>
      <c r="AX1447" t="s">
        <v>8483</v>
      </c>
      <c r="AY1447">
        <v>5</v>
      </c>
      <c r="AZ1447" s="184">
        <v>44319</v>
      </c>
      <c r="BA1447" t="s">
        <v>9333</v>
      </c>
      <c r="BB1447">
        <v>25</v>
      </c>
      <c r="BC1447">
        <v>84</v>
      </c>
      <c r="BD1447">
        <v>865</v>
      </c>
      <c r="BE1447">
        <v>1994</v>
      </c>
      <c r="BF1447">
        <v>82</v>
      </c>
      <c r="BG1447">
        <v>24</v>
      </c>
      <c r="BH1447">
        <v>120</v>
      </c>
      <c r="BI1447">
        <v>26</v>
      </c>
      <c r="BJ1447">
        <v>31</v>
      </c>
      <c r="BK1447">
        <v>10</v>
      </c>
    </row>
    <row r="1448" spans="1:68">
      <c r="A1448">
        <v>14444335</v>
      </c>
      <c r="B1448">
        <v>14444335</v>
      </c>
      <c r="C1448" t="s">
        <v>7018</v>
      </c>
      <c r="E1448" s="184"/>
      <c r="F1448" t="s">
        <v>595</v>
      </c>
      <c r="G1448" s="184">
        <v>43773</v>
      </c>
      <c r="I1448" s="184"/>
      <c r="K1448" s="184"/>
      <c r="P1448" t="s">
        <v>7019</v>
      </c>
      <c r="Q1448" t="s">
        <v>7194</v>
      </c>
      <c r="R1448" s="184">
        <v>17199</v>
      </c>
      <c r="S1448">
        <v>77</v>
      </c>
      <c r="V1448" t="s">
        <v>2602</v>
      </c>
      <c r="X1448" t="s">
        <v>4239</v>
      </c>
      <c r="AF1448" t="s">
        <v>15194</v>
      </c>
      <c r="AG1448" t="s">
        <v>2602</v>
      </c>
      <c r="AI1448" t="s">
        <v>15195</v>
      </c>
      <c r="AJ1448" t="s">
        <v>15196</v>
      </c>
      <c r="AM1448" t="s">
        <v>4240</v>
      </c>
      <c r="AN1448" t="s">
        <v>2046</v>
      </c>
      <c r="AO1448" t="s">
        <v>15197</v>
      </c>
      <c r="AP1448" t="s">
        <v>7024</v>
      </c>
      <c r="AT1448" s="184">
        <v>34359</v>
      </c>
      <c r="AU1448" t="s">
        <v>15198</v>
      </c>
      <c r="AV1448">
        <v>25</v>
      </c>
      <c r="AW1448" s="184">
        <v>44012</v>
      </c>
      <c r="AX1448" t="s">
        <v>15199</v>
      </c>
      <c r="AY1448">
        <v>60</v>
      </c>
      <c r="AZ1448" s="184">
        <v>41634</v>
      </c>
      <c r="BA1448" t="s">
        <v>7273</v>
      </c>
      <c r="BB1448">
        <v>75</v>
      </c>
      <c r="BC1448">
        <v>39</v>
      </c>
      <c r="BD1448">
        <v>770</v>
      </c>
      <c r="BE1448">
        <v>1994</v>
      </c>
      <c r="BF1448">
        <v>22</v>
      </c>
      <c r="BI1448">
        <v>12</v>
      </c>
      <c r="BJ1448">
        <v>31</v>
      </c>
      <c r="BK1448">
        <v>4</v>
      </c>
      <c r="BP1448" s="184"/>
    </row>
    <row r="1449" spans="1:68">
      <c r="A1449">
        <v>14598486</v>
      </c>
      <c r="B1449">
        <v>14598486</v>
      </c>
      <c r="C1449" t="s">
        <v>7018</v>
      </c>
      <c r="D1449" t="s">
        <v>595</v>
      </c>
      <c r="E1449" s="184">
        <v>44073</v>
      </c>
      <c r="G1449" s="184"/>
      <c r="I1449" s="184"/>
      <c r="K1449" s="184"/>
      <c r="M1449" s="184"/>
      <c r="P1449" t="s">
        <v>7045</v>
      </c>
      <c r="Q1449" t="s">
        <v>7020</v>
      </c>
      <c r="R1449" s="184">
        <v>17450</v>
      </c>
      <c r="S1449">
        <v>76</v>
      </c>
      <c r="U1449" t="s">
        <v>7076</v>
      </c>
      <c r="V1449" t="s">
        <v>7290</v>
      </c>
      <c r="X1449" t="s">
        <v>15200</v>
      </c>
      <c r="AF1449" t="s">
        <v>15201</v>
      </c>
      <c r="AG1449" t="s">
        <v>7290</v>
      </c>
      <c r="AI1449" t="s">
        <v>15202</v>
      </c>
      <c r="AM1449" t="s">
        <v>15203</v>
      </c>
      <c r="AN1449" t="s">
        <v>2112</v>
      </c>
      <c r="AO1449" t="s">
        <v>15204</v>
      </c>
      <c r="AP1449" t="s">
        <v>7024</v>
      </c>
      <c r="AQ1449" t="s">
        <v>15205</v>
      </c>
      <c r="AT1449" s="184">
        <v>34366</v>
      </c>
      <c r="AU1449" t="s">
        <v>15206</v>
      </c>
      <c r="AV1449">
        <v>15</v>
      </c>
      <c r="AW1449" s="184">
        <v>38852</v>
      </c>
      <c r="AX1449" t="s">
        <v>15207</v>
      </c>
      <c r="AY1449">
        <v>25</v>
      </c>
      <c r="AZ1449" s="184">
        <v>38852</v>
      </c>
      <c r="BA1449" t="s">
        <v>15207</v>
      </c>
      <c r="BB1449">
        <v>25</v>
      </c>
      <c r="BC1449">
        <v>42</v>
      </c>
      <c r="BD1449">
        <v>355</v>
      </c>
      <c r="BE1449">
        <v>1994</v>
      </c>
      <c r="BF1449">
        <v>19</v>
      </c>
      <c r="BI1449">
        <v>13</v>
      </c>
      <c r="BJ1449">
        <v>31</v>
      </c>
      <c r="BK1449">
        <v>13</v>
      </c>
      <c r="BP1449" s="184"/>
    </row>
    <row r="1450" spans="1:68">
      <c r="A1450">
        <v>14604862</v>
      </c>
      <c r="B1450">
        <v>14604862</v>
      </c>
      <c r="C1450" t="s">
        <v>7018</v>
      </c>
      <c r="D1450" t="s">
        <v>595</v>
      </c>
      <c r="E1450" s="184">
        <v>43619</v>
      </c>
      <c r="G1450" s="184"/>
      <c r="I1450" s="184"/>
      <c r="K1450" s="184"/>
      <c r="M1450" s="184"/>
      <c r="P1450" t="s">
        <v>7019</v>
      </c>
      <c r="Q1450" t="s">
        <v>7020</v>
      </c>
      <c r="R1450" s="184">
        <v>15738</v>
      </c>
      <c r="S1450">
        <v>81</v>
      </c>
      <c r="U1450" t="s">
        <v>7076</v>
      </c>
      <c r="V1450" t="s">
        <v>2882</v>
      </c>
      <c r="W1450" t="s">
        <v>4327</v>
      </c>
      <c r="X1450" t="s">
        <v>2883</v>
      </c>
      <c r="AF1450" t="s">
        <v>15208</v>
      </c>
      <c r="AG1450" t="s">
        <v>2882</v>
      </c>
      <c r="AI1450" t="s">
        <v>15209</v>
      </c>
      <c r="AM1450" t="s">
        <v>2884</v>
      </c>
      <c r="AN1450" t="s">
        <v>2112</v>
      </c>
      <c r="AO1450" t="s">
        <v>15210</v>
      </c>
      <c r="AP1450" t="s">
        <v>7024</v>
      </c>
      <c r="AQ1450" t="s">
        <v>15211</v>
      </c>
      <c r="AT1450" s="184">
        <v>34368</v>
      </c>
      <c r="AU1450" t="s">
        <v>15212</v>
      </c>
      <c r="AV1450">
        <v>20</v>
      </c>
      <c r="AW1450" s="184">
        <v>44193</v>
      </c>
      <c r="AX1450" t="s">
        <v>15213</v>
      </c>
      <c r="AY1450">
        <v>60</v>
      </c>
      <c r="AZ1450" s="184">
        <v>44193</v>
      </c>
      <c r="BA1450" t="s">
        <v>15213</v>
      </c>
      <c r="BB1450">
        <v>60</v>
      </c>
      <c r="BC1450">
        <v>30</v>
      </c>
      <c r="BD1450">
        <v>400</v>
      </c>
      <c r="BE1450">
        <v>1994</v>
      </c>
      <c r="BF1450">
        <v>13</v>
      </c>
      <c r="BI1450">
        <v>9</v>
      </c>
      <c r="BJ1450">
        <v>31</v>
      </c>
      <c r="BK1450">
        <v>3</v>
      </c>
      <c r="BP1450" s="184"/>
    </row>
    <row r="1451" spans="1:68">
      <c r="A1451">
        <v>14617518</v>
      </c>
      <c r="B1451">
        <v>14617518</v>
      </c>
      <c r="C1451" t="s">
        <v>7018</v>
      </c>
      <c r="E1451" s="184"/>
      <c r="F1451" t="s">
        <v>595</v>
      </c>
      <c r="G1451" s="184">
        <v>44167</v>
      </c>
      <c r="I1451" s="184"/>
      <c r="K1451" s="184"/>
      <c r="M1451" s="184"/>
      <c r="O1451" s="184"/>
      <c r="P1451" t="s">
        <v>7045</v>
      </c>
      <c r="Q1451" t="s">
        <v>8385</v>
      </c>
      <c r="R1451" s="184">
        <v>10594</v>
      </c>
      <c r="S1451">
        <v>95</v>
      </c>
      <c r="V1451" t="s">
        <v>3550</v>
      </c>
      <c r="X1451" t="s">
        <v>14095</v>
      </c>
      <c r="AF1451" t="s">
        <v>15214</v>
      </c>
      <c r="AG1451" t="s">
        <v>3550</v>
      </c>
      <c r="AI1451" t="s">
        <v>15215</v>
      </c>
      <c r="AM1451" t="s">
        <v>4842</v>
      </c>
      <c r="AN1451" t="s">
        <v>2181</v>
      </c>
      <c r="AO1451" t="s">
        <v>15216</v>
      </c>
      <c r="AP1451" t="s">
        <v>7024</v>
      </c>
      <c r="AT1451" s="184">
        <v>34373</v>
      </c>
      <c r="AU1451" t="s">
        <v>15217</v>
      </c>
      <c r="AV1451">
        <v>25</v>
      </c>
      <c r="AW1451" s="184">
        <v>38426</v>
      </c>
      <c r="AX1451" t="s">
        <v>15218</v>
      </c>
      <c r="AY1451">
        <v>50</v>
      </c>
      <c r="AZ1451" s="184">
        <v>38089</v>
      </c>
      <c r="BA1451" t="s">
        <v>15219</v>
      </c>
      <c r="BB1451">
        <v>55</v>
      </c>
      <c r="BC1451">
        <v>39</v>
      </c>
      <c r="BD1451">
        <v>580</v>
      </c>
      <c r="BE1451">
        <v>1994</v>
      </c>
      <c r="BF1451">
        <v>17</v>
      </c>
      <c r="BI1451">
        <v>12</v>
      </c>
      <c r="BJ1451">
        <v>31</v>
      </c>
      <c r="BK1451">
        <v>12</v>
      </c>
      <c r="BL1451" t="s">
        <v>595</v>
      </c>
      <c r="BN1451" t="s">
        <v>595</v>
      </c>
      <c r="BP1451" s="184"/>
    </row>
    <row r="1452" spans="1:68">
      <c r="A1452">
        <v>14646947</v>
      </c>
      <c r="B1452">
        <v>14646947</v>
      </c>
      <c r="C1452" t="s">
        <v>7018</v>
      </c>
      <c r="D1452" t="s">
        <v>595</v>
      </c>
      <c r="E1452" s="184">
        <v>43864</v>
      </c>
      <c r="G1452" s="184"/>
      <c r="I1452" s="184"/>
      <c r="K1452" s="184"/>
      <c r="M1452" s="184"/>
      <c r="O1452" s="184"/>
      <c r="P1452" t="s">
        <v>7029</v>
      </c>
      <c r="Q1452" t="s">
        <v>7262</v>
      </c>
      <c r="R1452" s="184">
        <v>17825</v>
      </c>
      <c r="S1452">
        <v>75</v>
      </c>
      <c r="U1452" t="s">
        <v>7031</v>
      </c>
      <c r="V1452" t="s">
        <v>2863</v>
      </c>
      <c r="W1452" t="s">
        <v>7560</v>
      </c>
      <c r="X1452" t="s">
        <v>4700</v>
      </c>
      <c r="AF1452" t="s">
        <v>15220</v>
      </c>
      <c r="AG1452" t="s">
        <v>2863</v>
      </c>
      <c r="AI1452" t="s">
        <v>15221</v>
      </c>
      <c r="AM1452" t="s">
        <v>4701</v>
      </c>
      <c r="AN1452" t="s">
        <v>2069</v>
      </c>
      <c r="AO1452" t="s">
        <v>15222</v>
      </c>
      <c r="AP1452" t="s">
        <v>7024</v>
      </c>
      <c r="AQ1452" t="s">
        <v>15223</v>
      </c>
      <c r="AT1452" s="184">
        <v>34383</v>
      </c>
      <c r="AU1452" t="s">
        <v>15224</v>
      </c>
      <c r="AV1452">
        <v>25</v>
      </c>
      <c r="AW1452" s="184">
        <v>45278</v>
      </c>
      <c r="AX1452" t="s">
        <v>7382</v>
      </c>
      <c r="AY1452">
        <v>1000</v>
      </c>
      <c r="AZ1452" s="184">
        <v>45278</v>
      </c>
      <c r="BA1452" t="s">
        <v>7382</v>
      </c>
      <c r="BB1452">
        <v>1000</v>
      </c>
      <c r="BC1452">
        <v>62</v>
      </c>
      <c r="BD1452">
        <v>3680</v>
      </c>
      <c r="BE1452">
        <v>1994</v>
      </c>
      <c r="BF1452">
        <v>21</v>
      </c>
      <c r="BG1452">
        <v>2</v>
      </c>
      <c r="BH1452">
        <v>2000</v>
      </c>
      <c r="BI1452">
        <v>19</v>
      </c>
      <c r="BJ1452">
        <v>31</v>
      </c>
      <c r="BK1452">
        <v>8</v>
      </c>
      <c r="BP1452" s="184"/>
    </row>
    <row r="1453" spans="1:68">
      <c r="A1453">
        <v>14649487</v>
      </c>
      <c r="B1453">
        <v>14649487</v>
      </c>
      <c r="C1453" t="s">
        <v>7018</v>
      </c>
      <c r="D1453" t="s">
        <v>595</v>
      </c>
      <c r="E1453" s="184">
        <v>44167</v>
      </c>
      <c r="G1453" s="184"/>
      <c r="I1453" s="184"/>
      <c r="K1453" s="184"/>
      <c r="M1453" s="184"/>
      <c r="P1453" t="s">
        <v>7045</v>
      </c>
      <c r="Q1453" t="s">
        <v>7160</v>
      </c>
      <c r="R1453" s="184">
        <v>15471</v>
      </c>
      <c r="S1453">
        <v>82</v>
      </c>
      <c r="U1453" t="s">
        <v>7031</v>
      </c>
      <c r="V1453" t="s">
        <v>15225</v>
      </c>
      <c r="W1453" t="s">
        <v>7469</v>
      </c>
      <c r="X1453" t="s">
        <v>15226</v>
      </c>
      <c r="AF1453" t="s">
        <v>15227</v>
      </c>
      <c r="AG1453" t="s">
        <v>15225</v>
      </c>
      <c r="AI1453" t="s">
        <v>15228</v>
      </c>
      <c r="AM1453" t="s">
        <v>2802</v>
      </c>
      <c r="AN1453" t="s">
        <v>2176</v>
      </c>
      <c r="AO1453" t="s">
        <v>15229</v>
      </c>
      <c r="AP1453" t="s">
        <v>7024</v>
      </c>
      <c r="AQ1453" t="s">
        <v>15230</v>
      </c>
      <c r="AT1453" s="184">
        <v>34383</v>
      </c>
      <c r="AU1453" t="s">
        <v>15231</v>
      </c>
      <c r="AV1453">
        <v>15</v>
      </c>
      <c r="AW1453" s="184">
        <v>44935</v>
      </c>
      <c r="AX1453" t="s">
        <v>15232</v>
      </c>
      <c r="AY1453">
        <v>500</v>
      </c>
      <c r="AZ1453" s="184">
        <v>44935</v>
      </c>
      <c r="BA1453" t="s">
        <v>15232</v>
      </c>
      <c r="BB1453">
        <v>500</v>
      </c>
      <c r="BC1453">
        <v>42</v>
      </c>
      <c r="BD1453">
        <v>1055</v>
      </c>
      <c r="BE1453">
        <v>1994</v>
      </c>
      <c r="BF1453">
        <v>13</v>
      </c>
      <c r="BG1453">
        <v>1</v>
      </c>
      <c r="BH1453">
        <v>500</v>
      </c>
      <c r="BI1453">
        <v>13</v>
      </c>
      <c r="BJ1453">
        <v>31</v>
      </c>
      <c r="BK1453">
        <v>3</v>
      </c>
    </row>
    <row r="1454" spans="1:68">
      <c r="A1454">
        <v>14654016</v>
      </c>
      <c r="B1454">
        <v>14654016</v>
      </c>
      <c r="C1454" t="s">
        <v>7018</v>
      </c>
      <c r="D1454" t="s">
        <v>595</v>
      </c>
      <c r="E1454" s="184">
        <v>43857</v>
      </c>
      <c r="G1454" s="184"/>
      <c r="I1454" s="184"/>
      <c r="K1454" s="184"/>
      <c r="O1454" s="184"/>
      <c r="P1454" t="s">
        <v>7045</v>
      </c>
      <c r="R1454" s="184"/>
      <c r="U1454" t="s">
        <v>7130</v>
      </c>
      <c r="V1454" t="s">
        <v>3179</v>
      </c>
      <c r="X1454" t="s">
        <v>4548</v>
      </c>
      <c r="AF1454" t="s">
        <v>15233</v>
      </c>
      <c r="AG1454" t="s">
        <v>3179</v>
      </c>
      <c r="AI1454" t="s">
        <v>15234</v>
      </c>
      <c r="AM1454" t="s">
        <v>4549</v>
      </c>
      <c r="AN1454" t="s">
        <v>15235</v>
      </c>
      <c r="AO1454" t="s">
        <v>15236</v>
      </c>
      <c r="AP1454" t="s">
        <v>2081</v>
      </c>
      <c r="AQ1454" t="s">
        <v>15237</v>
      </c>
      <c r="AT1454" s="184">
        <v>34388</v>
      </c>
      <c r="AU1454" t="s">
        <v>14900</v>
      </c>
      <c r="AV1454">
        <v>15</v>
      </c>
      <c r="AW1454" s="184">
        <v>43344</v>
      </c>
      <c r="AX1454" t="s">
        <v>7959</v>
      </c>
      <c r="AY1454">
        <v>50</v>
      </c>
      <c r="AZ1454" s="184">
        <v>37902</v>
      </c>
      <c r="BA1454" t="s">
        <v>15238</v>
      </c>
      <c r="BB1454">
        <v>60</v>
      </c>
      <c r="BC1454">
        <v>39</v>
      </c>
      <c r="BD1454">
        <v>535</v>
      </c>
      <c r="BE1454">
        <v>1994</v>
      </c>
      <c r="BF1454">
        <v>16</v>
      </c>
      <c r="BI1454">
        <v>12</v>
      </c>
      <c r="BJ1454">
        <v>31</v>
      </c>
      <c r="BK1454">
        <v>4</v>
      </c>
      <c r="BP1454" s="184"/>
    </row>
    <row r="1455" spans="1:68">
      <c r="A1455">
        <v>100005173</v>
      </c>
      <c r="B1455">
        <v>14654222</v>
      </c>
      <c r="C1455" t="s">
        <v>13031</v>
      </c>
      <c r="E1455" s="184"/>
      <c r="G1455" s="184"/>
      <c r="I1455" s="184"/>
      <c r="J1455" t="s">
        <v>595</v>
      </c>
      <c r="K1455" s="184">
        <v>34388</v>
      </c>
      <c r="M1455" s="184"/>
      <c r="O1455" s="184"/>
      <c r="Q1455" t="s">
        <v>7374</v>
      </c>
      <c r="R1455" s="184"/>
      <c r="V1455" t="s">
        <v>2858</v>
      </c>
      <c r="W1455" t="s">
        <v>7355</v>
      </c>
      <c r="X1455" t="s">
        <v>4184</v>
      </c>
      <c r="Z1455">
        <v>14654222</v>
      </c>
      <c r="AH1455" t="s">
        <v>6335</v>
      </c>
      <c r="AI1455" t="s">
        <v>15239</v>
      </c>
      <c r="AK1455" t="s">
        <v>15240</v>
      </c>
      <c r="AM1455" t="s">
        <v>2534</v>
      </c>
      <c r="AN1455" t="s">
        <v>2081</v>
      </c>
      <c r="AO1455">
        <v>94104</v>
      </c>
      <c r="AP1455" t="s">
        <v>7024</v>
      </c>
      <c r="AT1455" s="184"/>
      <c r="AW1455" s="184"/>
      <c r="AZ1455" s="184"/>
      <c r="BO1455" t="s">
        <v>595</v>
      </c>
      <c r="BP1455" s="184"/>
    </row>
    <row r="1456" spans="1:68">
      <c r="A1456">
        <v>14665095</v>
      </c>
      <c r="B1456">
        <v>14665095</v>
      </c>
      <c r="C1456" t="s">
        <v>7018</v>
      </c>
      <c r="D1456" t="s">
        <v>595</v>
      </c>
      <c r="E1456" s="184">
        <v>43866</v>
      </c>
      <c r="G1456" s="184"/>
      <c r="I1456" s="184"/>
      <c r="K1456" s="184"/>
      <c r="M1456" s="184"/>
      <c r="O1456" s="184"/>
      <c r="P1456" t="s">
        <v>7045</v>
      </c>
      <c r="Q1456" t="s">
        <v>7383</v>
      </c>
      <c r="R1456" s="184">
        <v>20455</v>
      </c>
      <c r="S1456">
        <v>68</v>
      </c>
      <c r="U1456" t="s">
        <v>7076</v>
      </c>
      <c r="V1456" t="s">
        <v>3453</v>
      </c>
      <c r="W1456" t="s">
        <v>4382</v>
      </c>
      <c r="X1456" t="s">
        <v>4741</v>
      </c>
      <c r="AF1456" t="s">
        <v>15241</v>
      </c>
      <c r="AG1456" t="s">
        <v>3453</v>
      </c>
      <c r="AI1456" t="s">
        <v>15242</v>
      </c>
      <c r="AM1456" t="s">
        <v>4742</v>
      </c>
      <c r="AN1456" t="s">
        <v>2072</v>
      </c>
      <c r="AO1456" t="s">
        <v>15243</v>
      </c>
      <c r="AP1456" t="s">
        <v>7024</v>
      </c>
      <c r="AQ1456" t="s">
        <v>15244</v>
      </c>
      <c r="AT1456" s="184">
        <v>34387</v>
      </c>
      <c r="AU1456" t="s">
        <v>15245</v>
      </c>
      <c r="AV1456">
        <v>20</v>
      </c>
      <c r="AW1456" s="184">
        <v>44984</v>
      </c>
      <c r="AX1456" t="s">
        <v>15246</v>
      </c>
      <c r="AY1456">
        <v>50</v>
      </c>
      <c r="AZ1456" s="184">
        <v>42851</v>
      </c>
      <c r="BA1456" t="s">
        <v>15247</v>
      </c>
      <c r="BB1456">
        <v>300</v>
      </c>
      <c r="BC1456">
        <v>42</v>
      </c>
      <c r="BD1456">
        <v>765</v>
      </c>
      <c r="BE1456">
        <v>1994</v>
      </c>
      <c r="BF1456">
        <v>14</v>
      </c>
      <c r="BG1456">
        <v>1</v>
      </c>
      <c r="BH1456">
        <v>50</v>
      </c>
      <c r="BI1456">
        <v>13</v>
      </c>
      <c r="BJ1456">
        <v>31</v>
      </c>
      <c r="BK1456">
        <v>7</v>
      </c>
      <c r="BN1456" t="s">
        <v>595</v>
      </c>
      <c r="BP1456" s="184"/>
    </row>
    <row r="1457" spans="1:68">
      <c r="A1457">
        <v>14666069</v>
      </c>
      <c r="B1457">
        <v>14666069</v>
      </c>
      <c r="C1457" t="s">
        <v>7018</v>
      </c>
      <c r="E1457" s="184"/>
      <c r="F1457" t="s">
        <v>595</v>
      </c>
      <c r="G1457" s="184">
        <v>43647</v>
      </c>
      <c r="I1457" s="184"/>
      <c r="K1457" s="184"/>
      <c r="M1457" s="184"/>
      <c r="O1457" s="184"/>
      <c r="P1457" t="s">
        <v>7045</v>
      </c>
      <c r="Q1457" t="s">
        <v>7020</v>
      </c>
      <c r="R1457" s="184">
        <v>20184</v>
      </c>
      <c r="S1457">
        <v>69</v>
      </c>
      <c r="U1457" t="s">
        <v>7031</v>
      </c>
      <c r="V1457" t="s">
        <v>2697</v>
      </c>
      <c r="X1457" t="s">
        <v>3088</v>
      </c>
      <c r="AF1457" t="s">
        <v>15248</v>
      </c>
      <c r="AG1457" t="s">
        <v>2697</v>
      </c>
      <c r="AI1457" t="s">
        <v>15249</v>
      </c>
      <c r="AM1457" t="s">
        <v>3089</v>
      </c>
      <c r="AN1457" t="s">
        <v>2112</v>
      </c>
      <c r="AO1457" t="s">
        <v>15250</v>
      </c>
      <c r="AP1457" t="s">
        <v>7024</v>
      </c>
      <c r="AT1457" s="184">
        <v>34387</v>
      </c>
      <c r="AU1457" t="s">
        <v>15251</v>
      </c>
      <c r="AV1457">
        <v>15</v>
      </c>
      <c r="AW1457" s="184">
        <v>42739</v>
      </c>
      <c r="AX1457" t="s">
        <v>15252</v>
      </c>
      <c r="AY1457">
        <v>100</v>
      </c>
      <c r="AZ1457" s="184">
        <v>42739</v>
      </c>
      <c r="BA1457" t="s">
        <v>15252</v>
      </c>
      <c r="BB1457">
        <v>100</v>
      </c>
      <c r="BC1457">
        <v>33</v>
      </c>
      <c r="BD1457">
        <v>435</v>
      </c>
      <c r="BE1457">
        <v>1994</v>
      </c>
      <c r="BF1457">
        <v>14</v>
      </c>
      <c r="BI1457">
        <v>10</v>
      </c>
      <c r="BJ1457">
        <v>31</v>
      </c>
      <c r="BK1457">
        <v>7</v>
      </c>
      <c r="BP1457" s="184"/>
    </row>
    <row r="1458" spans="1:68">
      <c r="A1458">
        <v>14668685</v>
      </c>
      <c r="B1458">
        <v>14668685</v>
      </c>
      <c r="C1458" t="s">
        <v>7018</v>
      </c>
      <c r="E1458" s="184"/>
      <c r="G1458" s="184"/>
      <c r="H1458" t="s">
        <v>595</v>
      </c>
      <c r="I1458" s="184">
        <v>44167</v>
      </c>
      <c r="K1458" s="184"/>
      <c r="M1458" s="184"/>
      <c r="O1458" s="184"/>
      <c r="P1458" t="s">
        <v>7045</v>
      </c>
      <c r="Q1458" t="s">
        <v>7383</v>
      </c>
      <c r="R1458" s="184">
        <v>20180</v>
      </c>
      <c r="S1458">
        <v>69</v>
      </c>
      <c r="U1458" t="s">
        <v>7031</v>
      </c>
      <c r="V1458" t="s">
        <v>3393</v>
      </c>
      <c r="X1458" t="s">
        <v>2977</v>
      </c>
      <c r="Z1458">
        <v>100582786</v>
      </c>
      <c r="AB1458" t="s">
        <v>2995</v>
      </c>
      <c r="AD1458" t="s">
        <v>2977</v>
      </c>
      <c r="AF1458" t="s">
        <v>15253</v>
      </c>
      <c r="AG1458" t="s">
        <v>15254</v>
      </c>
      <c r="AI1458" t="s">
        <v>15255</v>
      </c>
      <c r="AM1458" t="s">
        <v>5002</v>
      </c>
      <c r="AN1458" t="s">
        <v>2064</v>
      </c>
      <c r="AO1458" t="s">
        <v>15256</v>
      </c>
      <c r="AP1458" t="s">
        <v>7024</v>
      </c>
      <c r="AQ1458" t="s">
        <v>15257</v>
      </c>
      <c r="AT1458" s="184">
        <v>34388</v>
      </c>
      <c r="AU1458" t="s">
        <v>15258</v>
      </c>
      <c r="AV1458">
        <v>20</v>
      </c>
      <c r="AW1458" s="184">
        <v>44846</v>
      </c>
      <c r="AX1458" t="s">
        <v>15259</v>
      </c>
      <c r="AY1458">
        <v>25</v>
      </c>
      <c r="AZ1458" s="184">
        <v>44846</v>
      </c>
      <c r="BA1458" t="s">
        <v>15259</v>
      </c>
      <c r="BB1458">
        <v>25</v>
      </c>
      <c r="BC1458">
        <v>39</v>
      </c>
      <c r="BD1458">
        <v>285</v>
      </c>
      <c r="BE1458">
        <v>1994</v>
      </c>
      <c r="BF1458">
        <v>15</v>
      </c>
      <c r="BG1458">
        <v>1</v>
      </c>
      <c r="BH1458">
        <v>25</v>
      </c>
      <c r="BI1458">
        <v>12</v>
      </c>
      <c r="BJ1458">
        <v>31</v>
      </c>
      <c r="BK1458">
        <v>4</v>
      </c>
      <c r="BP1458" s="184"/>
    </row>
    <row r="1459" spans="1:68">
      <c r="A1459">
        <v>14669824</v>
      </c>
      <c r="B1459">
        <v>14669824</v>
      </c>
      <c r="C1459" t="s">
        <v>7018</v>
      </c>
      <c r="D1459" t="s">
        <v>595</v>
      </c>
      <c r="E1459" s="184">
        <v>43662</v>
      </c>
      <c r="G1459" s="184"/>
      <c r="I1459" s="184"/>
      <c r="K1459" s="184"/>
      <c r="M1459" s="184"/>
      <c r="O1459" s="184"/>
      <c r="P1459" t="s">
        <v>7045</v>
      </c>
      <c r="Q1459" t="s">
        <v>7383</v>
      </c>
      <c r="R1459" s="184">
        <v>14885</v>
      </c>
      <c r="S1459">
        <v>83</v>
      </c>
      <c r="V1459" t="s">
        <v>3223</v>
      </c>
      <c r="X1459" t="s">
        <v>3224</v>
      </c>
      <c r="Z1459">
        <v>100042771</v>
      </c>
      <c r="AA1459" t="s">
        <v>7031</v>
      </c>
      <c r="AB1459" t="s">
        <v>3114</v>
      </c>
      <c r="AD1459" t="s">
        <v>3224</v>
      </c>
      <c r="AF1459" t="s">
        <v>15260</v>
      </c>
      <c r="AG1459" t="s">
        <v>3223</v>
      </c>
      <c r="AI1459" t="s">
        <v>15261</v>
      </c>
      <c r="AM1459" t="s">
        <v>3225</v>
      </c>
      <c r="AN1459" t="s">
        <v>2072</v>
      </c>
      <c r="AO1459" t="s">
        <v>15262</v>
      </c>
      <c r="AP1459" t="s">
        <v>7024</v>
      </c>
      <c r="AT1459" s="184">
        <v>34388</v>
      </c>
      <c r="AU1459" t="s">
        <v>15263</v>
      </c>
      <c r="AV1459">
        <v>20</v>
      </c>
      <c r="AW1459" s="184">
        <v>45133</v>
      </c>
      <c r="AX1459" t="s">
        <v>8299</v>
      </c>
      <c r="AY1459">
        <v>15</v>
      </c>
      <c r="AZ1459" s="184">
        <v>44307</v>
      </c>
      <c r="BA1459" t="s">
        <v>15264</v>
      </c>
      <c r="BB1459">
        <v>25</v>
      </c>
      <c r="BC1459">
        <v>52</v>
      </c>
      <c r="BD1459">
        <v>375</v>
      </c>
      <c r="BE1459">
        <v>1994</v>
      </c>
      <c r="BF1459">
        <v>20</v>
      </c>
      <c r="BG1459">
        <v>2</v>
      </c>
      <c r="BH1459">
        <v>30</v>
      </c>
      <c r="BI1459">
        <v>16</v>
      </c>
      <c r="BJ1459">
        <v>31</v>
      </c>
      <c r="BK1459">
        <v>9</v>
      </c>
      <c r="BN1459" t="s">
        <v>595</v>
      </c>
      <c r="BP1459" s="184"/>
    </row>
    <row r="1460" spans="1:68">
      <c r="A1460">
        <v>100042771</v>
      </c>
      <c r="B1460">
        <v>14669824</v>
      </c>
      <c r="C1460" t="s">
        <v>7018</v>
      </c>
      <c r="D1460" t="s">
        <v>595</v>
      </c>
      <c r="E1460" s="184">
        <v>43642</v>
      </c>
      <c r="G1460" s="184"/>
      <c r="I1460" s="184"/>
      <c r="K1460" s="184"/>
      <c r="M1460" s="184"/>
      <c r="P1460" t="s">
        <v>7045</v>
      </c>
      <c r="Q1460" t="s">
        <v>7383</v>
      </c>
      <c r="R1460" s="184"/>
      <c r="U1460" t="s">
        <v>7031</v>
      </c>
      <c r="V1460" t="s">
        <v>3114</v>
      </c>
      <c r="X1460" t="s">
        <v>3224</v>
      </c>
      <c r="Z1460">
        <v>14669824</v>
      </c>
      <c r="AB1460" t="s">
        <v>3223</v>
      </c>
      <c r="AD1460" t="s">
        <v>3224</v>
      </c>
      <c r="AF1460" t="s">
        <v>15260</v>
      </c>
      <c r="AG1460" t="s">
        <v>3223</v>
      </c>
      <c r="AI1460" t="s">
        <v>15261</v>
      </c>
      <c r="AM1460" t="s">
        <v>3225</v>
      </c>
      <c r="AN1460" t="s">
        <v>2072</v>
      </c>
      <c r="AO1460" t="s">
        <v>15262</v>
      </c>
      <c r="AP1460" t="s">
        <v>7024</v>
      </c>
      <c r="AT1460" s="184"/>
      <c r="AW1460" s="184"/>
      <c r="AZ1460" s="184"/>
      <c r="BO1460" t="s">
        <v>595</v>
      </c>
      <c r="BP1460" s="184"/>
    </row>
    <row r="1461" spans="1:68">
      <c r="A1461">
        <v>14674402</v>
      </c>
      <c r="B1461">
        <v>14674402</v>
      </c>
      <c r="C1461" t="s">
        <v>7018</v>
      </c>
      <c r="E1461" s="184"/>
      <c r="G1461" s="184"/>
      <c r="H1461" t="s">
        <v>595</v>
      </c>
      <c r="I1461" s="184">
        <v>44194</v>
      </c>
      <c r="K1461" s="184"/>
      <c r="M1461" s="184"/>
      <c r="O1461" s="184"/>
      <c r="P1461" t="s">
        <v>7045</v>
      </c>
      <c r="Q1461" t="s">
        <v>7020</v>
      </c>
      <c r="R1461" s="184">
        <v>23341</v>
      </c>
      <c r="S1461">
        <v>60</v>
      </c>
      <c r="V1461" t="s">
        <v>2876</v>
      </c>
      <c r="X1461" t="s">
        <v>15265</v>
      </c>
      <c r="AF1461" t="s">
        <v>15266</v>
      </c>
      <c r="AG1461" t="s">
        <v>2876</v>
      </c>
      <c r="AI1461" t="s">
        <v>15267</v>
      </c>
      <c r="AM1461" t="s">
        <v>15268</v>
      </c>
      <c r="AN1461" t="s">
        <v>2129</v>
      </c>
      <c r="AO1461" t="s">
        <v>15269</v>
      </c>
      <c r="AP1461" t="s">
        <v>7024</v>
      </c>
      <c r="AT1461" s="184">
        <v>34388</v>
      </c>
      <c r="AU1461" t="s">
        <v>15270</v>
      </c>
      <c r="AV1461">
        <v>25</v>
      </c>
      <c r="AW1461" s="184">
        <v>34388</v>
      </c>
      <c r="AX1461" t="s">
        <v>15270</v>
      </c>
      <c r="AY1461">
        <v>25</v>
      </c>
      <c r="AZ1461" s="184">
        <v>34388</v>
      </c>
      <c r="BA1461" t="s">
        <v>15270</v>
      </c>
      <c r="BB1461">
        <v>25</v>
      </c>
      <c r="BC1461">
        <v>4</v>
      </c>
      <c r="BD1461">
        <v>25</v>
      </c>
      <c r="BE1461">
        <v>1994</v>
      </c>
      <c r="BF1461">
        <v>1</v>
      </c>
      <c r="BI1461">
        <v>1</v>
      </c>
      <c r="BJ1461">
        <v>31</v>
      </c>
      <c r="BK1461">
        <v>1</v>
      </c>
      <c r="BP1461" s="184"/>
    </row>
    <row r="1462" spans="1:68">
      <c r="A1462">
        <v>14686133</v>
      </c>
      <c r="B1462">
        <v>14686133</v>
      </c>
      <c r="C1462" t="s">
        <v>7018</v>
      </c>
      <c r="E1462" s="184"/>
      <c r="G1462" s="184"/>
      <c r="J1462" t="s">
        <v>595</v>
      </c>
      <c r="K1462" s="184">
        <v>44104</v>
      </c>
      <c r="P1462" t="s">
        <v>7045</v>
      </c>
      <c r="Q1462" t="s">
        <v>7020</v>
      </c>
      <c r="R1462" s="184">
        <v>10228</v>
      </c>
      <c r="S1462">
        <v>96</v>
      </c>
      <c r="U1462" t="s">
        <v>7076</v>
      </c>
      <c r="V1462" t="s">
        <v>3101</v>
      </c>
      <c r="W1462" t="s">
        <v>4139</v>
      </c>
      <c r="X1462" t="s">
        <v>15271</v>
      </c>
      <c r="AF1462" t="s">
        <v>15272</v>
      </c>
      <c r="AG1462" t="s">
        <v>3101</v>
      </c>
      <c r="AI1462" t="s">
        <v>15273</v>
      </c>
      <c r="AM1462" t="s">
        <v>15274</v>
      </c>
      <c r="AN1462" t="s">
        <v>2129</v>
      </c>
      <c r="AO1462" t="s">
        <v>15275</v>
      </c>
      <c r="AP1462" t="s">
        <v>7024</v>
      </c>
      <c r="AT1462" s="184">
        <v>34390</v>
      </c>
      <c r="AU1462" t="s">
        <v>15276</v>
      </c>
      <c r="AV1462">
        <v>15</v>
      </c>
      <c r="AW1462" s="184">
        <v>42863</v>
      </c>
      <c r="AX1462" t="s">
        <v>15277</v>
      </c>
      <c r="AY1462">
        <v>25</v>
      </c>
      <c r="AZ1462" s="184">
        <v>42863</v>
      </c>
      <c r="BA1462" t="s">
        <v>15277</v>
      </c>
      <c r="BB1462">
        <v>25</v>
      </c>
      <c r="BC1462">
        <v>62</v>
      </c>
      <c r="BD1462">
        <v>470</v>
      </c>
      <c r="BE1462">
        <v>1994</v>
      </c>
      <c r="BF1462">
        <v>26</v>
      </c>
      <c r="BI1462">
        <v>19</v>
      </c>
      <c r="BJ1462">
        <v>31</v>
      </c>
      <c r="BK1462">
        <v>8</v>
      </c>
      <c r="BP1462" s="184"/>
    </row>
    <row r="1463" spans="1:68">
      <c r="A1463">
        <v>14703623</v>
      </c>
      <c r="B1463">
        <v>14703623</v>
      </c>
      <c r="C1463" t="s">
        <v>7018</v>
      </c>
      <c r="E1463" s="184"/>
      <c r="G1463" s="184"/>
      <c r="I1463" s="184"/>
      <c r="J1463" t="s">
        <v>595</v>
      </c>
      <c r="K1463" s="184">
        <v>41088</v>
      </c>
      <c r="M1463" s="184"/>
      <c r="O1463" s="184"/>
      <c r="P1463" t="s">
        <v>7045</v>
      </c>
      <c r="Q1463" t="s">
        <v>7020</v>
      </c>
      <c r="R1463" s="184">
        <v>9984</v>
      </c>
      <c r="S1463">
        <v>97</v>
      </c>
      <c r="U1463" t="s">
        <v>7130</v>
      </c>
      <c r="V1463" t="s">
        <v>3554</v>
      </c>
      <c r="W1463" t="s">
        <v>7375</v>
      </c>
      <c r="X1463" t="s">
        <v>15278</v>
      </c>
      <c r="AF1463" t="s">
        <v>6401</v>
      </c>
      <c r="AG1463" t="s">
        <v>3554</v>
      </c>
      <c r="AI1463" t="s">
        <v>15279</v>
      </c>
      <c r="AM1463" t="s">
        <v>5002</v>
      </c>
      <c r="AN1463" t="s">
        <v>2465</v>
      </c>
      <c r="AO1463" t="s">
        <v>15280</v>
      </c>
      <c r="AP1463" t="s">
        <v>7024</v>
      </c>
      <c r="AT1463" s="184">
        <v>34393</v>
      </c>
      <c r="AU1463" t="s">
        <v>15258</v>
      </c>
      <c r="AV1463">
        <v>25</v>
      </c>
      <c r="AW1463" s="184">
        <v>44225</v>
      </c>
      <c r="AX1463" t="s">
        <v>15281</v>
      </c>
      <c r="AY1463">
        <v>25</v>
      </c>
      <c r="AZ1463" s="184">
        <v>39449</v>
      </c>
      <c r="BA1463" t="s">
        <v>15282</v>
      </c>
      <c r="BB1463">
        <v>100</v>
      </c>
      <c r="BC1463">
        <v>52</v>
      </c>
      <c r="BD1463">
        <v>1214</v>
      </c>
      <c r="BE1463">
        <v>1994</v>
      </c>
      <c r="BF1463">
        <v>24</v>
      </c>
      <c r="BI1463">
        <v>16</v>
      </c>
      <c r="BJ1463">
        <v>31</v>
      </c>
      <c r="BK1463">
        <v>3</v>
      </c>
      <c r="BP1463" s="184"/>
    </row>
    <row r="1464" spans="1:68">
      <c r="A1464">
        <v>14933907</v>
      </c>
      <c r="B1464">
        <v>14933907</v>
      </c>
      <c r="C1464" t="s">
        <v>7018</v>
      </c>
      <c r="D1464" t="s">
        <v>595</v>
      </c>
      <c r="E1464" s="184">
        <v>44073</v>
      </c>
      <c r="G1464" s="184"/>
      <c r="I1464" s="184"/>
      <c r="K1464" s="184"/>
      <c r="M1464" s="184"/>
      <c r="O1464" s="184"/>
      <c r="P1464" t="s">
        <v>7045</v>
      </c>
      <c r="Q1464" t="s">
        <v>7020</v>
      </c>
      <c r="R1464" s="184">
        <v>19115</v>
      </c>
      <c r="S1464">
        <v>72</v>
      </c>
      <c r="U1464" t="s">
        <v>7031</v>
      </c>
      <c r="V1464" t="s">
        <v>3035</v>
      </c>
      <c r="X1464" t="s">
        <v>15283</v>
      </c>
      <c r="AF1464" t="s">
        <v>15284</v>
      </c>
      <c r="AG1464" t="s">
        <v>3035</v>
      </c>
      <c r="AI1464" t="s">
        <v>15285</v>
      </c>
      <c r="AM1464" t="s">
        <v>2657</v>
      </c>
      <c r="AN1464" t="s">
        <v>2129</v>
      </c>
      <c r="AO1464" t="s">
        <v>15286</v>
      </c>
      <c r="AP1464" t="s">
        <v>7024</v>
      </c>
      <c r="AQ1464" t="s">
        <v>15287</v>
      </c>
      <c r="AT1464" s="184">
        <v>34365</v>
      </c>
      <c r="AU1464" t="s">
        <v>15288</v>
      </c>
      <c r="AV1464">
        <v>10</v>
      </c>
      <c r="AW1464" s="184">
        <v>44279</v>
      </c>
      <c r="AX1464" t="s">
        <v>15289</v>
      </c>
      <c r="AY1464">
        <v>25</v>
      </c>
      <c r="AZ1464" s="184">
        <v>44279</v>
      </c>
      <c r="BA1464" t="s">
        <v>15289</v>
      </c>
      <c r="BB1464">
        <v>25</v>
      </c>
      <c r="BC1464">
        <v>71</v>
      </c>
      <c r="BD1464">
        <v>560</v>
      </c>
      <c r="BE1464">
        <v>1994</v>
      </c>
      <c r="BF1464">
        <v>24</v>
      </c>
      <c r="BI1464">
        <v>22</v>
      </c>
      <c r="BJ1464">
        <v>31</v>
      </c>
      <c r="BK1464">
        <v>13</v>
      </c>
      <c r="BP1464" s="184"/>
    </row>
    <row r="1465" spans="1:68">
      <c r="A1465">
        <v>15058100</v>
      </c>
      <c r="B1465">
        <v>15058100</v>
      </c>
      <c r="C1465" t="s">
        <v>7018</v>
      </c>
      <c r="D1465" t="s">
        <v>595</v>
      </c>
      <c r="E1465" s="184">
        <v>43864</v>
      </c>
      <c r="G1465" s="184"/>
      <c r="I1465" s="184"/>
      <c r="K1465" s="184"/>
      <c r="P1465" t="s">
        <v>7045</v>
      </c>
      <c r="Q1465" t="s">
        <v>7262</v>
      </c>
      <c r="R1465" s="184">
        <v>11354</v>
      </c>
      <c r="S1465">
        <v>93</v>
      </c>
      <c r="V1465" t="s">
        <v>3095</v>
      </c>
      <c r="W1465" t="s">
        <v>4210</v>
      </c>
      <c r="X1465" t="s">
        <v>4671</v>
      </c>
      <c r="AF1465" t="s">
        <v>15290</v>
      </c>
      <c r="AG1465" t="s">
        <v>3095</v>
      </c>
      <c r="AI1465" t="s">
        <v>15291</v>
      </c>
      <c r="AM1465" t="s">
        <v>4672</v>
      </c>
      <c r="AN1465" t="s">
        <v>2219</v>
      </c>
      <c r="AO1465" t="s">
        <v>15292</v>
      </c>
      <c r="AP1465" t="s">
        <v>7024</v>
      </c>
      <c r="AQ1465" t="s">
        <v>15293</v>
      </c>
      <c r="AR1465" t="s">
        <v>15294</v>
      </c>
      <c r="AT1465" s="184">
        <v>34366</v>
      </c>
      <c r="AU1465" t="s">
        <v>15295</v>
      </c>
      <c r="AV1465">
        <v>15</v>
      </c>
      <c r="AW1465" s="184">
        <v>45355</v>
      </c>
      <c r="AX1465" t="s">
        <v>15296</v>
      </c>
      <c r="AY1465">
        <v>75</v>
      </c>
      <c r="AZ1465" s="184">
        <v>42142</v>
      </c>
      <c r="BA1465" t="s">
        <v>15297</v>
      </c>
      <c r="BB1465">
        <v>100</v>
      </c>
      <c r="BC1465">
        <v>97</v>
      </c>
      <c r="BD1465">
        <v>1815</v>
      </c>
      <c r="BE1465">
        <v>1994</v>
      </c>
      <c r="BF1465">
        <v>33</v>
      </c>
      <c r="BG1465">
        <v>2</v>
      </c>
      <c r="BH1465">
        <v>150</v>
      </c>
      <c r="BI1465">
        <v>30</v>
      </c>
      <c r="BJ1465">
        <v>31</v>
      </c>
      <c r="BK1465">
        <v>23</v>
      </c>
      <c r="BN1465" t="s">
        <v>595</v>
      </c>
    </row>
    <row r="1466" spans="1:68">
      <c r="A1466">
        <v>15130776</v>
      </c>
      <c r="B1466">
        <v>15130776</v>
      </c>
      <c r="C1466" t="s">
        <v>7018</v>
      </c>
      <c r="E1466" s="184"/>
      <c r="G1466" s="184"/>
      <c r="I1466" s="184"/>
      <c r="J1466" t="s">
        <v>595</v>
      </c>
      <c r="K1466" s="184">
        <v>39006</v>
      </c>
      <c r="M1466" s="184"/>
      <c r="O1466" s="184"/>
      <c r="P1466" t="s">
        <v>7045</v>
      </c>
      <c r="Q1466" t="s">
        <v>7383</v>
      </c>
      <c r="R1466" s="184">
        <v>11834</v>
      </c>
      <c r="S1466">
        <v>91</v>
      </c>
      <c r="V1466" t="s">
        <v>2742</v>
      </c>
      <c r="X1466" t="s">
        <v>15298</v>
      </c>
      <c r="Z1466">
        <v>100042964</v>
      </c>
      <c r="AA1466" t="s">
        <v>7031</v>
      </c>
      <c r="AB1466" t="s">
        <v>4502</v>
      </c>
      <c r="AD1466" t="s">
        <v>15298</v>
      </c>
      <c r="AF1466" t="s">
        <v>15299</v>
      </c>
      <c r="AG1466" t="s">
        <v>2742</v>
      </c>
      <c r="AI1466" t="s">
        <v>15300</v>
      </c>
      <c r="AM1466" t="s">
        <v>13941</v>
      </c>
      <c r="AN1466" t="s">
        <v>2313</v>
      </c>
      <c r="AO1466" t="s">
        <v>15301</v>
      </c>
      <c r="AP1466" t="s">
        <v>7024</v>
      </c>
      <c r="AT1466" s="184">
        <v>34367</v>
      </c>
      <c r="AU1466" t="s">
        <v>15302</v>
      </c>
      <c r="AV1466">
        <v>15</v>
      </c>
      <c r="AW1466" s="184">
        <v>44888</v>
      </c>
      <c r="AX1466" t="s">
        <v>15303</v>
      </c>
      <c r="AY1466">
        <v>100</v>
      </c>
      <c r="AZ1466" s="184">
        <v>44888</v>
      </c>
      <c r="BA1466" t="s">
        <v>15303</v>
      </c>
      <c r="BB1466">
        <v>100</v>
      </c>
      <c r="BC1466">
        <v>88</v>
      </c>
      <c r="BD1466">
        <v>2305</v>
      </c>
      <c r="BE1466">
        <v>1994</v>
      </c>
      <c r="BF1466">
        <v>60</v>
      </c>
      <c r="BG1466">
        <v>2</v>
      </c>
      <c r="BH1466">
        <v>200</v>
      </c>
      <c r="BI1466">
        <v>27</v>
      </c>
      <c r="BJ1466">
        <v>31</v>
      </c>
      <c r="BK1466">
        <v>18</v>
      </c>
      <c r="BL1466" t="s">
        <v>595</v>
      </c>
      <c r="BM1466" t="s">
        <v>595</v>
      </c>
    </row>
    <row r="1467" spans="1:68">
      <c r="A1467">
        <v>100042964</v>
      </c>
      <c r="B1467">
        <v>15130776</v>
      </c>
      <c r="C1467" t="s">
        <v>7018</v>
      </c>
      <c r="E1467" s="184"/>
      <c r="G1467" s="184"/>
      <c r="I1467" s="184"/>
      <c r="J1467" t="s">
        <v>595</v>
      </c>
      <c r="K1467" s="184">
        <v>43649</v>
      </c>
      <c r="M1467" s="184"/>
      <c r="P1467" t="s">
        <v>7045</v>
      </c>
      <c r="Q1467" t="s">
        <v>7383</v>
      </c>
      <c r="R1467" s="184">
        <v>23377</v>
      </c>
      <c r="S1467">
        <v>60</v>
      </c>
      <c r="U1467" t="s">
        <v>7031</v>
      </c>
      <c r="V1467" t="s">
        <v>4502</v>
      </c>
      <c r="X1467" t="s">
        <v>15298</v>
      </c>
      <c r="Z1467">
        <v>15130776</v>
      </c>
      <c r="AB1467" t="s">
        <v>2742</v>
      </c>
      <c r="AD1467" t="s">
        <v>15298</v>
      </c>
      <c r="AF1467" t="s">
        <v>15299</v>
      </c>
      <c r="AG1467" t="s">
        <v>2742</v>
      </c>
      <c r="AI1467" t="s">
        <v>15300</v>
      </c>
      <c r="AM1467" t="s">
        <v>13941</v>
      </c>
      <c r="AN1467" t="s">
        <v>2313</v>
      </c>
      <c r="AO1467" t="s">
        <v>15301</v>
      </c>
      <c r="AP1467" t="s">
        <v>7024</v>
      </c>
      <c r="AQ1467" t="s">
        <v>15304</v>
      </c>
      <c r="AT1467" s="184"/>
      <c r="AW1467" s="184"/>
      <c r="AZ1467" s="184"/>
      <c r="BL1467" t="s">
        <v>595</v>
      </c>
      <c r="BM1467" t="s">
        <v>595</v>
      </c>
      <c r="BO1467" t="s">
        <v>595</v>
      </c>
    </row>
    <row r="1468" spans="1:68">
      <c r="A1468">
        <v>15174105</v>
      </c>
      <c r="B1468">
        <v>15174105</v>
      </c>
      <c r="C1468" t="s">
        <v>7018</v>
      </c>
      <c r="E1468" s="184"/>
      <c r="G1468" s="184"/>
      <c r="I1468" s="184"/>
      <c r="K1468" s="184"/>
      <c r="L1468" t="s">
        <v>595</v>
      </c>
      <c r="M1468" s="184">
        <v>44573</v>
      </c>
      <c r="O1468" s="184"/>
      <c r="P1468" t="s">
        <v>7045</v>
      </c>
      <c r="Q1468" t="s">
        <v>7374</v>
      </c>
      <c r="R1468" s="184">
        <v>18507</v>
      </c>
      <c r="S1468">
        <v>73</v>
      </c>
      <c r="U1468" t="s">
        <v>7031</v>
      </c>
      <c r="V1468" t="s">
        <v>15305</v>
      </c>
      <c r="X1468" t="s">
        <v>15306</v>
      </c>
      <c r="AF1468" t="s">
        <v>15307</v>
      </c>
      <c r="AG1468" t="s">
        <v>15305</v>
      </c>
      <c r="AI1468" t="s">
        <v>15308</v>
      </c>
      <c r="AM1468" t="s">
        <v>3109</v>
      </c>
      <c r="AN1468" t="s">
        <v>2081</v>
      </c>
      <c r="AO1468" t="s">
        <v>15309</v>
      </c>
      <c r="AP1468" t="s">
        <v>7024</v>
      </c>
      <c r="AQ1468" t="s">
        <v>15310</v>
      </c>
      <c r="AT1468" s="184">
        <v>34368</v>
      </c>
      <c r="AU1468" t="s">
        <v>15311</v>
      </c>
      <c r="AV1468">
        <v>2</v>
      </c>
      <c r="AW1468" s="184">
        <v>45071</v>
      </c>
      <c r="AX1468" t="s">
        <v>10223</v>
      </c>
      <c r="AY1468">
        <v>250</v>
      </c>
      <c r="AZ1468" s="184">
        <v>44666</v>
      </c>
      <c r="BA1468" t="s">
        <v>8747</v>
      </c>
      <c r="BB1468">
        <v>500</v>
      </c>
      <c r="BC1468">
        <v>26</v>
      </c>
      <c r="BD1468">
        <v>882</v>
      </c>
      <c r="BE1468">
        <v>1994</v>
      </c>
      <c r="BF1468">
        <v>8</v>
      </c>
      <c r="BG1468">
        <v>1</v>
      </c>
      <c r="BH1468">
        <v>250</v>
      </c>
      <c r="BI1468">
        <v>8</v>
      </c>
      <c r="BJ1468">
        <v>31</v>
      </c>
      <c r="BK1468">
        <v>3</v>
      </c>
    </row>
    <row r="1469" spans="1:68">
      <c r="A1469">
        <v>15203516</v>
      </c>
      <c r="B1469">
        <v>15203516</v>
      </c>
      <c r="C1469" t="s">
        <v>7018</v>
      </c>
      <c r="D1469" t="s">
        <v>595</v>
      </c>
      <c r="E1469" s="184">
        <v>43642</v>
      </c>
      <c r="G1469" s="184"/>
      <c r="I1469" s="184"/>
      <c r="K1469" s="184"/>
      <c r="M1469" s="184"/>
      <c r="O1469" s="184"/>
      <c r="P1469" t="s">
        <v>7045</v>
      </c>
      <c r="Q1469" t="s">
        <v>7383</v>
      </c>
      <c r="R1469" s="184">
        <v>7407</v>
      </c>
      <c r="S1469">
        <v>104</v>
      </c>
      <c r="U1469" t="s">
        <v>7130</v>
      </c>
      <c r="V1469" t="s">
        <v>3226</v>
      </c>
      <c r="W1469" t="s">
        <v>3830</v>
      </c>
      <c r="X1469" t="s">
        <v>3227</v>
      </c>
      <c r="AF1469" t="s">
        <v>15312</v>
      </c>
      <c r="AG1469" t="s">
        <v>15313</v>
      </c>
      <c r="AI1469" t="s">
        <v>15314</v>
      </c>
      <c r="AM1469" t="s">
        <v>3211</v>
      </c>
      <c r="AN1469" t="s">
        <v>2313</v>
      </c>
      <c r="AO1469" t="s">
        <v>15315</v>
      </c>
      <c r="AP1469" t="s">
        <v>7024</v>
      </c>
      <c r="AT1469" s="184">
        <v>34368</v>
      </c>
      <c r="AU1469" t="s">
        <v>15302</v>
      </c>
      <c r="AV1469">
        <v>2</v>
      </c>
      <c r="AW1469" s="184">
        <v>39653</v>
      </c>
      <c r="AX1469" t="s">
        <v>15316</v>
      </c>
      <c r="AY1469">
        <v>2</v>
      </c>
      <c r="AZ1469" s="184">
        <v>36682</v>
      </c>
      <c r="BA1469" t="s">
        <v>15317</v>
      </c>
      <c r="BB1469">
        <v>25</v>
      </c>
      <c r="BC1469">
        <v>30</v>
      </c>
      <c r="BD1469">
        <v>100</v>
      </c>
      <c r="BE1469">
        <v>1994</v>
      </c>
      <c r="BF1469">
        <v>12</v>
      </c>
      <c r="BI1469">
        <v>9</v>
      </c>
      <c r="BJ1469">
        <v>31</v>
      </c>
      <c r="BK1469">
        <v>3</v>
      </c>
      <c r="BP1469" s="184"/>
    </row>
    <row r="1470" spans="1:68">
      <c r="A1470">
        <v>15203995</v>
      </c>
      <c r="B1470">
        <v>15203995</v>
      </c>
      <c r="C1470" t="s">
        <v>7018</v>
      </c>
      <c r="E1470" s="184"/>
      <c r="G1470" s="184"/>
      <c r="I1470" s="184"/>
      <c r="J1470" t="s">
        <v>595</v>
      </c>
      <c r="K1470" s="184">
        <v>44340</v>
      </c>
      <c r="M1470" s="184"/>
      <c r="O1470" s="184"/>
      <c r="P1470" t="s">
        <v>7045</v>
      </c>
      <c r="Q1470" t="s">
        <v>7160</v>
      </c>
      <c r="R1470" s="184">
        <v>15220</v>
      </c>
      <c r="S1470">
        <v>82</v>
      </c>
      <c r="U1470" t="s">
        <v>7031</v>
      </c>
      <c r="V1470" t="s">
        <v>2863</v>
      </c>
      <c r="W1470" t="s">
        <v>4139</v>
      </c>
      <c r="X1470" t="s">
        <v>3917</v>
      </c>
      <c r="AF1470" t="s">
        <v>15318</v>
      </c>
      <c r="AG1470" t="s">
        <v>2863</v>
      </c>
      <c r="AI1470" t="s">
        <v>15319</v>
      </c>
      <c r="AM1470" t="s">
        <v>4091</v>
      </c>
      <c r="AN1470" t="s">
        <v>2446</v>
      </c>
      <c r="AO1470" t="s">
        <v>15320</v>
      </c>
      <c r="AP1470" t="s">
        <v>7024</v>
      </c>
      <c r="AT1470" s="184">
        <v>34368</v>
      </c>
      <c r="AU1470" t="s">
        <v>15321</v>
      </c>
      <c r="AV1470">
        <v>10</v>
      </c>
      <c r="AW1470" s="184">
        <v>44937</v>
      </c>
      <c r="AX1470" t="s">
        <v>15322</v>
      </c>
      <c r="AY1470">
        <v>40</v>
      </c>
      <c r="AZ1470" s="184">
        <v>44302</v>
      </c>
      <c r="BA1470" t="s">
        <v>15323</v>
      </c>
      <c r="BB1470">
        <v>50</v>
      </c>
      <c r="BC1470">
        <v>65</v>
      </c>
      <c r="BD1470">
        <v>695</v>
      </c>
      <c r="BE1470">
        <v>1994</v>
      </c>
      <c r="BF1470">
        <v>27</v>
      </c>
      <c r="BG1470">
        <v>1</v>
      </c>
      <c r="BH1470">
        <v>40</v>
      </c>
      <c r="BI1470">
        <v>20</v>
      </c>
      <c r="BJ1470">
        <v>31</v>
      </c>
      <c r="BK1470">
        <v>11</v>
      </c>
      <c r="BP1470" s="184"/>
    </row>
    <row r="1471" spans="1:68">
      <c r="A1471">
        <v>15426778</v>
      </c>
      <c r="B1471">
        <v>15426778</v>
      </c>
      <c r="C1471" t="s">
        <v>7018</v>
      </c>
      <c r="E1471" s="184"/>
      <c r="G1471" s="184"/>
      <c r="I1471" s="184"/>
      <c r="J1471" t="s">
        <v>595</v>
      </c>
      <c r="K1471" s="184">
        <v>38742</v>
      </c>
      <c r="M1471" s="184"/>
      <c r="O1471" s="184"/>
      <c r="P1471" t="s">
        <v>7029</v>
      </c>
      <c r="Q1471" t="s">
        <v>7020</v>
      </c>
      <c r="R1471" s="184">
        <v>23468</v>
      </c>
      <c r="S1471">
        <v>60</v>
      </c>
      <c r="U1471" t="s">
        <v>7076</v>
      </c>
      <c r="V1471" t="s">
        <v>2841</v>
      </c>
      <c r="X1471" t="s">
        <v>15324</v>
      </c>
      <c r="Z1471">
        <v>101320059</v>
      </c>
      <c r="AB1471" t="s">
        <v>3908</v>
      </c>
      <c r="AD1471" t="s">
        <v>5891</v>
      </c>
      <c r="AF1471" t="s">
        <v>15325</v>
      </c>
      <c r="AG1471" t="s">
        <v>2841</v>
      </c>
      <c r="AI1471" t="s">
        <v>15326</v>
      </c>
      <c r="AJ1471" t="s">
        <v>15327</v>
      </c>
      <c r="AM1471" t="s">
        <v>3004</v>
      </c>
      <c r="AN1471" t="s">
        <v>2112</v>
      </c>
      <c r="AO1471" t="s">
        <v>15328</v>
      </c>
      <c r="AP1471" t="s">
        <v>7024</v>
      </c>
      <c r="AQ1471" t="s">
        <v>15329</v>
      </c>
      <c r="AR1471" t="s">
        <v>15330</v>
      </c>
      <c r="AT1471" s="184">
        <v>34241</v>
      </c>
      <c r="AU1471" t="s">
        <v>15331</v>
      </c>
      <c r="AV1471">
        <v>25</v>
      </c>
      <c r="AW1471" s="184">
        <v>45296</v>
      </c>
      <c r="AX1471" t="s">
        <v>7749</v>
      </c>
      <c r="AY1471">
        <v>3500</v>
      </c>
      <c r="AZ1471" s="184">
        <v>43073</v>
      </c>
      <c r="BA1471" t="s">
        <v>15332</v>
      </c>
      <c r="BB1471">
        <v>5000</v>
      </c>
      <c r="BC1471">
        <v>54</v>
      </c>
      <c r="BD1471">
        <v>19295</v>
      </c>
      <c r="BE1471">
        <v>1994</v>
      </c>
      <c r="BF1471">
        <v>27</v>
      </c>
      <c r="BG1471">
        <v>2</v>
      </c>
      <c r="BH1471">
        <v>5500</v>
      </c>
      <c r="BI1471">
        <v>17</v>
      </c>
      <c r="BJ1471">
        <v>32</v>
      </c>
      <c r="BK1471">
        <v>3</v>
      </c>
      <c r="BN1471" t="s">
        <v>595</v>
      </c>
    </row>
    <row r="1472" spans="1:68">
      <c r="A1472">
        <v>15699267</v>
      </c>
      <c r="B1472">
        <v>15699267</v>
      </c>
      <c r="C1472" t="s">
        <v>7018</v>
      </c>
      <c r="D1472" t="s">
        <v>595</v>
      </c>
      <c r="E1472" s="184">
        <v>43801</v>
      </c>
      <c r="G1472" s="184"/>
      <c r="I1472" s="184"/>
      <c r="K1472" s="184"/>
      <c r="M1472" s="184"/>
      <c r="P1472" t="s">
        <v>7045</v>
      </c>
      <c r="Q1472" t="s">
        <v>7194</v>
      </c>
      <c r="R1472" s="184">
        <v>18749</v>
      </c>
      <c r="S1472">
        <v>73</v>
      </c>
      <c r="U1472" t="s">
        <v>7076</v>
      </c>
      <c r="V1472" t="s">
        <v>4357</v>
      </c>
      <c r="X1472" t="s">
        <v>4358</v>
      </c>
      <c r="AF1472" t="s">
        <v>15333</v>
      </c>
      <c r="AG1472" t="s">
        <v>4357</v>
      </c>
      <c r="AI1472" t="s">
        <v>15334</v>
      </c>
      <c r="AM1472" t="s">
        <v>4359</v>
      </c>
      <c r="AN1472" t="s">
        <v>2046</v>
      </c>
      <c r="AO1472" t="s">
        <v>15335</v>
      </c>
      <c r="AP1472" t="s">
        <v>7024</v>
      </c>
      <c r="AQ1472" t="s">
        <v>15336</v>
      </c>
      <c r="AT1472" s="184">
        <v>34379</v>
      </c>
      <c r="AU1472" t="s">
        <v>15198</v>
      </c>
      <c r="AV1472">
        <v>15</v>
      </c>
      <c r="AW1472" s="184">
        <v>45344</v>
      </c>
      <c r="AX1472" t="s">
        <v>15337</v>
      </c>
      <c r="AY1472">
        <v>100</v>
      </c>
      <c r="AZ1472" s="184">
        <v>45103</v>
      </c>
      <c r="BA1472" t="s">
        <v>15338</v>
      </c>
      <c r="BB1472">
        <v>150</v>
      </c>
      <c r="BC1472">
        <v>68</v>
      </c>
      <c r="BD1472">
        <v>1579.95</v>
      </c>
      <c r="BE1472">
        <v>1994</v>
      </c>
      <c r="BF1472">
        <v>27</v>
      </c>
      <c r="BG1472">
        <v>5</v>
      </c>
      <c r="BH1472">
        <v>500</v>
      </c>
      <c r="BI1472">
        <v>21</v>
      </c>
      <c r="BJ1472">
        <v>31</v>
      </c>
      <c r="BK1472">
        <v>8</v>
      </c>
      <c r="BN1472" t="s">
        <v>595</v>
      </c>
      <c r="BP1472" s="184"/>
    </row>
    <row r="1473" spans="1:68">
      <c r="A1473">
        <v>15852734</v>
      </c>
      <c r="B1473">
        <v>15852734</v>
      </c>
      <c r="C1473" t="s">
        <v>7018</v>
      </c>
      <c r="D1473" t="s">
        <v>595</v>
      </c>
      <c r="E1473" s="184">
        <v>43642</v>
      </c>
      <c r="G1473" s="184"/>
      <c r="K1473" s="184"/>
      <c r="M1473" s="184"/>
      <c r="O1473" s="184"/>
      <c r="P1473" t="s">
        <v>7045</v>
      </c>
      <c r="Q1473" t="s">
        <v>7030</v>
      </c>
      <c r="R1473" s="184">
        <v>20394</v>
      </c>
      <c r="S1473">
        <v>68</v>
      </c>
      <c r="V1473" t="s">
        <v>3228</v>
      </c>
      <c r="X1473" t="s">
        <v>2706</v>
      </c>
      <c r="AF1473" t="s">
        <v>15339</v>
      </c>
      <c r="AG1473" t="s">
        <v>3228</v>
      </c>
      <c r="AI1473" t="s">
        <v>15340</v>
      </c>
      <c r="AM1473" t="s">
        <v>3229</v>
      </c>
      <c r="AN1473" t="s">
        <v>2094</v>
      </c>
      <c r="AO1473" t="s">
        <v>15341</v>
      </c>
      <c r="AP1473" t="s">
        <v>7024</v>
      </c>
      <c r="AT1473" s="184">
        <v>34381</v>
      </c>
      <c r="AU1473" t="s">
        <v>15321</v>
      </c>
      <c r="AV1473">
        <v>5</v>
      </c>
      <c r="AW1473" s="184">
        <v>45322</v>
      </c>
      <c r="AX1473" t="s">
        <v>11841</v>
      </c>
      <c r="AY1473">
        <v>35</v>
      </c>
      <c r="AZ1473" s="184">
        <v>45322</v>
      </c>
      <c r="BA1473" t="s">
        <v>11841</v>
      </c>
      <c r="BB1473">
        <v>35</v>
      </c>
      <c r="BC1473">
        <v>88</v>
      </c>
      <c r="BD1473">
        <v>894.91</v>
      </c>
      <c r="BE1473">
        <v>1994</v>
      </c>
      <c r="BF1473">
        <v>36</v>
      </c>
      <c r="BG1473">
        <v>2</v>
      </c>
      <c r="BH1473">
        <v>70</v>
      </c>
      <c r="BI1473">
        <v>27</v>
      </c>
      <c r="BJ1473">
        <v>31</v>
      </c>
      <c r="BK1473">
        <v>10</v>
      </c>
      <c r="BP1473" s="184"/>
    </row>
    <row r="1474" spans="1:68">
      <c r="A1474">
        <v>15905383</v>
      </c>
      <c r="B1474">
        <v>15905383</v>
      </c>
      <c r="C1474" t="s">
        <v>7018</v>
      </c>
      <c r="E1474" s="184"/>
      <c r="F1474" t="s">
        <v>595</v>
      </c>
      <c r="G1474" s="184">
        <v>44328</v>
      </c>
      <c r="I1474" s="184"/>
      <c r="K1474" s="184"/>
      <c r="O1474" s="184"/>
      <c r="P1474" t="s">
        <v>7045</v>
      </c>
      <c r="Q1474" t="s">
        <v>7194</v>
      </c>
      <c r="R1474" s="184">
        <v>21577</v>
      </c>
      <c r="S1474">
        <v>65</v>
      </c>
      <c r="U1474" t="s">
        <v>7031</v>
      </c>
      <c r="V1474" t="s">
        <v>2863</v>
      </c>
      <c r="W1474" t="s">
        <v>2316</v>
      </c>
      <c r="X1474" t="s">
        <v>2977</v>
      </c>
      <c r="AF1474" t="s">
        <v>15342</v>
      </c>
      <c r="AG1474" t="s">
        <v>2863</v>
      </c>
      <c r="AI1474" t="s">
        <v>15343</v>
      </c>
      <c r="AM1474" t="s">
        <v>4238</v>
      </c>
      <c r="AN1474" t="s">
        <v>2046</v>
      </c>
      <c r="AO1474" t="s">
        <v>15344</v>
      </c>
      <c r="AP1474" t="s">
        <v>7024</v>
      </c>
      <c r="AQ1474" t="s">
        <v>15345</v>
      </c>
      <c r="AT1474" s="184">
        <v>34383</v>
      </c>
      <c r="AU1474" t="s">
        <v>15346</v>
      </c>
      <c r="AV1474">
        <v>2</v>
      </c>
      <c r="AW1474" s="184">
        <v>45056</v>
      </c>
      <c r="AX1474" t="s">
        <v>15347</v>
      </c>
      <c r="AY1474">
        <v>25</v>
      </c>
      <c r="AZ1474" s="184">
        <v>45056</v>
      </c>
      <c r="BA1474" t="s">
        <v>15347</v>
      </c>
      <c r="BB1474">
        <v>25</v>
      </c>
      <c r="BC1474">
        <v>52</v>
      </c>
      <c r="BD1474">
        <v>372</v>
      </c>
      <c r="BE1474">
        <v>1994</v>
      </c>
      <c r="BF1474">
        <v>19</v>
      </c>
      <c r="BG1474">
        <v>4</v>
      </c>
      <c r="BH1474">
        <v>100</v>
      </c>
      <c r="BI1474">
        <v>16</v>
      </c>
      <c r="BJ1474">
        <v>31</v>
      </c>
      <c r="BK1474">
        <v>7</v>
      </c>
      <c r="BP1474" s="184"/>
    </row>
    <row r="1475" spans="1:68">
      <c r="A1475">
        <v>15974934</v>
      </c>
      <c r="B1475">
        <v>15974934</v>
      </c>
      <c r="C1475" t="s">
        <v>7018</v>
      </c>
      <c r="D1475" t="s">
        <v>595</v>
      </c>
      <c r="E1475" s="184">
        <v>45140</v>
      </c>
      <c r="G1475" s="184"/>
      <c r="I1475" s="184"/>
      <c r="K1475" s="184"/>
      <c r="O1475" s="184"/>
      <c r="P1475" t="s">
        <v>7019</v>
      </c>
      <c r="Q1475" t="s">
        <v>7383</v>
      </c>
      <c r="R1475" s="184">
        <v>23192</v>
      </c>
      <c r="S1475">
        <v>60</v>
      </c>
      <c r="U1475" t="s">
        <v>7031</v>
      </c>
      <c r="V1475" t="s">
        <v>2687</v>
      </c>
      <c r="X1475" t="s">
        <v>15348</v>
      </c>
      <c r="AF1475" t="s">
        <v>15349</v>
      </c>
      <c r="AG1475" t="s">
        <v>2687</v>
      </c>
      <c r="AI1475" t="s">
        <v>15350</v>
      </c>
      <c r="AM1475" t="s">
        <v>15351</v>
      </c>
      <c r="AN1475" t="s">
        <v>2274</v>
      </c>
      <c r="AO1475" t="s">
        <v>15352</v>
      </c>
      <c r="AP1475" t="s">
        <v>7024</v>
      </c>
      <c r="AQ1475" t="s">
        <v>15353</v>
      </c>
      <c r="AT1475" s="184">
        <v>34401</v>
      </c>
      <c r="AU1475" t="s">
        <v>15270</v>
      </c>
      <c r="AV1475">
        <v>15</v>
      </c>
      <c r="AW1475" s="184">
        <v>45142</v>
      </c>
      <c r="AX1475" t="s">
        <v>13433</v>
      </c>
      <c r="AY1475">
        <v>60</v>
      </c>
      <c r="AZ1475" s="184">
        <v>45142</v>
      </c>
      <c r="BA1475" t="s">
        <v>13433</v>
      </c>
      <c r="BB1475">
        <v>60</v>
      </c>
      <c r="BC1475">
        <v>81</v>
      </c>
      <c r="BD1475">
        <v>750</v>
      </c>
      <c r="BE1475">
        <v>1994</v>
      </c>
      <c r="BF1475">
        <v>26</v>
      </c>
      <c r="BG1475">
        <v>2</v>
      </c>
      <c r="BH1475">
        <v>85</v>
      </c>
      <c r="BI1475">
        <v>25</v>
      </c>
      <c r="BJ1475">
        <v>31</v>
      </c>
      <c r="BK1475">
        <v>11</v>
      </c>
      <c r="BP1475" s="184"/>
    </row>
    <row r="1476" spans="1:68">
      <c r="A1476">
        <v>15978315</v>
      </c>
      <c r="B1476">
        <v>15978315</v>
      </c>
      <c r="C1476" t="s">
        <v>7018</v>
      </c>
      <c r="E1476" s="184"/>
      <c r="G1476" s="184"/>
      <c r="I1476" s="184"/>
      <c r="J1476" t="s">
        <v>595</v>
      </c>
      <c r="K1476" s="184">
        <v>41981</v>
      </c>
      <c r="O1476" s="184"/>
      <c r="P1476" t="s">
        <v>7045</v>
      </c>
      <c r="Q1476" t="s">
        <v>7020</v>
      </c>
      <c r="R1476" s="184">
        <v>16794</v>
      </c>
      <c r="S1476">
        <v>78</v>
      </c>
      <c r="U1476" t="s">
        <v>7076</v>
      </c>
      <c r="V1476" t="s">
        <v>2887</v>
      </c>
      <c r="X1476" t="s">
        <v>15354</v>
      </c>
      <c r="Z1476">
        <v>100043291</v>
      </c>
      <c r="AB1476" t="s">
        <v>2871</v>
      </c>
      <c r="AC1476" t="s">
        <v>3226</v>
      </c>
      <c r="AD1476" t="s">
        <v>15355</v>
      </c>
      <c r="AF1476" t="s">
        <v>15356</v>
      </c>
      <c r="AG1476" t="s">
        <v>2887</v>
      </c>
      <c r="AI1476" t="s">
        <v>15357</v>
      </c>
      <c r="AJ1476" t="s">
        <v>15358</v>
      </c>
      <c r="AM1476" t="s">
        <v>3004</v>
      </c>
      <c r="AN1476" t="s">
        <v>2112</v>
      </c>
      <c r="AO1476" t="s">
        <v>15359</v>
      </c>
      <c r="AP1476" t="s">
        <v>7024</v>
      </c>
      <c r="AQ1476" t="s">
        <v>15360</v>
      </c>
      <c r="AT1476" s="184">
        <v>34401</v>
      </c>
      <c r="AU1476" t="s">
        <v>15361</v>
      </c>
      <c r="AV1476">
        <v>15</v>
      </c>
      <c r="AW1476" s="184">
        <v>44908</v>
      </c>
      <c r="AX1476" t="s">
        <v>15362</v>
      </c>
      <c r="AY1476">
        <v>250</v>
      </c>
      <c r="AZ1476" s="184">
        <v>44908</v>
      </c>
      <c r="BA1476" t="s">
        <v>15362</v>
      </c>
      <c r="BB1476">
        <v>250</v>
      </c>
      <c r="BC1476">
        <v>59</v>
      </c>
      <c r="BD1476">
        <v>2195</v>
      </c>
      <c r="BE1476">
        <v>1994</v>
      </c>
      <c r="BF1476">
        <v>20</v>
      </c>
      <c r="BG1476">
        <v>1</v>
      </c>
      <c r="BH1476">
        <v>250</v>
      </c>
      <c r="BI1476">
        <v>18</v>
      </c>
      <c r="BJ1476">
        <v>31</v>
      </c>
      <c r="BK1476">
        <v>6</v>
      </c>
      <c r="BN1476" t="s">
        <v>595</v>
      </c>
      <c r="BP1476" s="184"/>
    </row>
    <row r="1477" spans="1:68">
      <c r="A1477">
        <v>100043291</v>
      </c>
      <c r="B1477">
        <v>15978315</v>
      </c>
      <c r="C1477" t="s">
        <v>7018</v>
      </c>
      <c r="E1477" s="184"/>
      <c r="G1477" s="184"/>
      <c r="I1477" s="184"/>
      <c r="J1477" t="s">
        <v>595</v>
      </c>
      <c r="K1477" s="184">
        <v>43649</v>
      </c>
      <c r="M1477" s="184"/>
      <c r="O1477" s="184"/>
      <c r="P1477" t="s">
        <v>7045</v>
      </c>
      <c r="Q1477" t="s">
        <v>7020</v>
      </c>
      <c r="R1477" s="184">
        <v>13850</v>
      </c>
      <c r="S1477">
        <v>86</v>
      </c>
      <c r="V1477" t="s">
        <v>2871</v>
      </c>
      <c r="W1477" t="s">
        <v>3226</v>
      </c>
      <c r="X1477" t="s">
        <v>15355</v>
      </c>
      <c r="Z1477">
        <v>15978315</v>
      </c>
      <c r="AA1477" t="s">
        <v>7076</v>
      </c>
      <c r="AB1477" t="s">
        <v>2887</v>
      </c>
      <c r="AD1477" t="s">
        <v>15354</v>
      </c>
      <c r="AF1477" t="s">
        <v>15356</v>
      </c>
      <c r="AG1477" t="s">
        <v>2887</v>
      </c>
      <c r="AI1477" t="s">
        <v>15357</v>
      </c>
      <c r="AJ1477" t="s">
        <v>15358</v>
      </c>
      <c r="AM1477" t="s">
        <v>3004</v>
      </c>
      <c r="AN1477" t="s">
        <v>2112</v>
      </c>
      <c r="AO1477" t="s">
        <v>15359</v>
      </c>
      <c r="AP1477" t="s">
        <v>7024</v>
      </c>
      <c r="AT1477" s="184"/>
      <c r="AW1477" s="184"/>
      <c r="AZ1477" s="184"/>
      <c r="BO1477" t="s">
        <v>595</v>
      </c>
      <c r="BP1477" s="184"/>
    </row>
    <row r="1478" spans="1:68">
      <c r="A1478">
        <v>15985732</v>
      </c>
      <c r="B1478">
        <v>15985732</v>
      </c>
      <c r="C1478" t="s">
        <v>7018</v>
      </c>
      <c r="D1478" t="s">
        <v>595</v>
      </c>
      <c r="E1478" s="184">
        <v>44167</v>
      </c>
      <c r="G1478" s="184"/>
      <c r="I1478" s="184"/>
      <c r="K1478" s="184"/>
      <c r="M1478" s="184"/>
      <c r="O1478" s="184"/>
      <c r="P1478" t="s">
        <v>7045</v>
      </c>
      <c r="Q1478" t="s">
        <v>7374</v>
      </c>
      <c r="R1478" s="184">
        <v>17015</v>
      </c>
      <c r="S1478">
        <v>77</v>
      </c>
      <c r="U1478" t="s">
        <v>7076</v>
      </c>
      <c r="V1478" t="s">
        <v>3801</v>
      </c>
      <c r="W1478" t="s">
        <v>8140</v>
      </c>
      <c r="X1478" t="s">
        <v>15363</v>
      </c>
      <c r="AF1478" t="s">
        <v>15364</v>
      </c>
      <c r="AG1478" t="s">
        <v>3801</v>
      </c>
      <c r="AI1478" t="s">
        <v>15365</v>
      </c>
      <c r="AM1478" t="s">
        <v>15366</v>
      </c>
      <c r="AN1478" t="s">
        <v>2081</v>
      </c>
      <c r="AO1478" t="s">
        <v>15367</v>
      </c>
      <c r="AP1478" t="s">
        <v>7024</v>
      </c>
      <c r="AQ1478" t="s">
        <v>15368</v>
      </c>
      <c r="AR1478" t="s">
        <v>15369</v>
      </c>
      <c r="AT1478" s="184">
        <v>34407</v>
      </c>
      <c r="AU1478" t="s">
        <v>15370</v>
      </c>
      <c r="AV1478">
        <v>20</v>
      </c>
      <c r="AW1478" s="184">
        <v>43859</v>
      </c>
      <c r="AX1478" t="s">
        <v>9633</v>
      </c>
      <c r="AY1478">
        <v>25</v>
      </c>
      <c r="AZ1478" s="184">
        <v>43859</v>
      </c>
      <c r="BA1478" t="s">
        <v>9633</v>
      </c>
      <c r="BB1478">
        <v>25</v>
      </c>
      <c r="BC1478">
        <v>30</v>
      </c>
      <c r="BD1478">
        <v>220</v>
      </c>
      <c r="BE1478">
        <v>1994</v>
      </c>
      <c r="BF1478">
        <v>9</v>
      </c>
      <c r="BI1478">
        <v>9</v>
      </c>
      <c r="BJ1478">
        <v>31</v>
      </c>
      <c r="BK1478">
        <v>6</v>
      </c>
      <c r="BN1478" t="s">
        <v>595</v>
      </c>
      <c r="BP1478" s="184"/>
    </row>
    <row r="1479" spans="1:68">
      <c r="A1479">
        <v>16028276</v>
      </c>
      <c r="B1479">
        <v>16028276</v>
      </c>
      <c r="C1479" t="s">
        <v>7018</v>
      </c>
      <c r="D1479" t="s">
        <v>595</v>
      </c>
      <c r="E1479" s="184">
        <v>44152</v>
      </c>
      <c r="G1479" s="184"/>
      <c r="K1479" s="184"/>
      <c r="O1479" s="184"/>
      <c r="P1479" t="s">
        <v>7045</v>
      </c>
      <c r="Q1479" t="s">
        <v>7262</v>
      </c>
      <c r="R1479" s="184">
        <v>13966</v>
      </c>
      <c r="S1479">
        <v>86</v>
      </c>
      <c r="V1479" t="s">
        <v>2580</v>
      </c>
      <c r="W1479" t="s">
        <v>7407</v>
      </c>
      <c r="X1479" t="s">
        <v>15371</v>
      </c>
      <c r="AF1479" t="s">
        <v>15372</v>
      </c>
      <c r="AG1479" t="s">
        <v>2580</v>
      </c>
      <c r="AI1479" t="s">
        <v>15373</v>
      </c>
      <c r="AM1479" t="s">
        <v>2987</v>
      </c>
      <c r="AN1479" t="s">
        <v>2106</v>
      </c>
      <c r="AO1479" t="s">
        <v>15374</v>
      </c>
      <c r="AP1479" t="s">
        <v>7024</v>
      </c>
      <c r="AT1479" s="184">
        <v>34417</v>
      </c>
      <c r="AU1479" t="s">
        <v>15078</v>
      </c>
      <c r="AV1479">
        <v>19.95</v>
      </c>
      <c r="AW1479" s="184">
        <v>45378</v>
      </c>
      <c r="AX1479" t="s">
        <v>7648</v>
      </c>
      <c r="AY1479">
        <v>20</v>
      </c>
      <c r="AZ1479" s="184">
        <v>40039</v>
      </c>
      <c r="BA1479" t="s">
        <v>15375</v>
      </c>
      <c r="BB1479">
        <v>87</v>
      </c>
      <c r="BC1479">
        <v>62</v>
      </c>
      <c r="BD1479">
        <v>2941.95</v>
      </c>
      <c r="BE1479">
        <v>1994</v>
      </c>
      <c r="BF1479">
        <v>139</v>
      </c>
      <c r="BG1479">
        <v>24</v>
      </c>
      <c r="BH1479">
        <v>480</v>
      </c>
      <c r="BI1479">
        <v>19</v>
      </c>
      <c r="BJ1479">
        <v>31</v>
      </c>
      <c r="BK1479">
        <v>13</v>
      </c>
      <c r="BP1479" s="184"/>
    </row>
    <row r="1480" spans="1:68">
      <c r="A1480">
        <v>16062986</v>
      </c>
      <c r="B1480">
        <v>16062986</v>
      </c>
      <c r="C1480" t="s">
        <v>7018</v>
      </c>
      <c r="D1480" t="s">
        <v>595</v>
      </c>
      <c r="E1480" s="184">
        <v>43647</v>
      </c>
      <c r="G1480" s="184"/>
      <c r="I1480" s="184"/>
      <c r="K1480" s="184"/>
      <c r="M1480" s="184"/>
      <c r="O1480" s="184"/>
      <c r="P1480" t="s">
        <v>7045</v>
      </c>
      <c r="Q1480" t="s">
        <v>7383</v>
      </c>
      <c r="R1480" s="184">
        <v>14081</v>
      </c>
      <c r="S1480">
        <v>85</v>
      </c>
      <c r="V1480" t="s">
        <v>2821</v>
      </c>
      <c r="X1480" t="s">
        <v>3520</v>
      </c>
      <c r="Z1480">
        <v>100043429</v>
      </c>
      <c r="AB1480" t="s">
        <v>3293</v>
      </c>
      <c r="AD1480" t="s">
        <v>3520</v>
      </c>
      <c r="AF1480" t="s">
        <v>15376</v>
      </c>
      <c r="AG1480" t="s">
        <v>15377</v>
      </c>
      <c r="AI1480" t="s">
        <v>15378</v>
      </c>
      <c r="AM1480" t="s">
        <v>15379</v>
      </c>
      <c r="AN1480" t="s">
        <v>2162</v>
      </c>
      <c r="AO1480" t="s">
        <v>15380</v>
      </c>
      <c r="AP1480" t="s">
        <v>7024</v>
      </c>
      <c r="AQ1480" t="s">
        <v>15381</v>
      </c>
      <c r="AR1480" t="s">
        <v>15382</v>
      </c>
      <c r="AT1480" s="184">
        <v>34410</v>
      </c>
      <c r="AU1480" t="s">
        <v>15383</v>
      </c>
      <c r="AV1480">
        <v>25</v>
      </c>
      <c r="AW1480" s="184">
        <v>45323</v>
      </c>
      <c r="AX1480" t="s">
        <v>15384</v>
      </c>
      <c r="AY1480">
        <v>50</v>
      </c>
      <c r="AZ1480" s="184">
        <v>42761</v>
      </c>
      <c r="BA1480" t="s">
        <v>15385</v>
      </c>
      <c r="BB1480">
        <v>100</v>
      </c>
      <c r="BC1480">
        <v>75</v>
      </c>
      <c r="BD1480">
        <v>1950</v>
      </c>
      <c r="BE1480">
        <v>1994</v>
      </c>
      <c r="BF1480">
        <v>49</v>
      </c>
      <c r="BG1480">
        <v>5</v>
      </c>
      <c r="BH1480">
        <v>225</v>
      </c>
      <c r="BI1480">
        <v>23</v>
      </c>
      <c r="BJ1480">
        <v>31</v>
      </c>
      <c r="BK1480">
        <v>21</v>
      </c>
      <c r="BN1480" t="s">
        <v>595</v>
      </c>
      <c r="BP1480" s="184"/>
    </row>
    <row r="1481" spans="1:68">
      <c r="A1481">
        <v>100043429</v>
      </c>
      <c r="B1481">
        <v>16062986</v>
      </c>
      <c r="C1481" t="s">
        <v>7018</v>
      </c>
      <c r="D1481" t="s">
        <v>595</v>
      </c>
      <c r="E1481" s="184">
        <v>43647</v>
      </c>
      <c r="G1481" s="184"/>
      <c r="K1481" s="184"/>
      <c r="M1481" s="184"/>
      <c r="O1481" s="184"/>
      <c r="P1481" t="s">
        <v>7045</v>
      </c>
      <c r="Q1481" t="s">
        <v>7383</v>
      </c>
      <c r="R1481" s="184">
        <v>14118</v>
      </c>
      <c r="S1481">
        <v>85</v>
      </c>
      <c r="V1481" t="s">
        <v>3293</v>
      </c>
      <c r="X1481" t="s">
        <v>3520</v>
      </c>
      <c r="Z1481">
        <v>16062986</v>
      </c>
      <c r="AB1481" t="s">
        <v>2821</v>
      </c>
      <c r="AD1481" t="s">
        <v>3520</v>
      </c>
      <c r="AF1481" t="s">
        <v>15376</v>
      </c>
      <c r="AG1481" t="s">
        <v>15377</v>
      </c>
      <c r="AI1481" t="s">
        <v>15378</v>
      </c>
      <c r="AM1481" t="s">
        <v>15379</v>
      </c>
      <c r="AN1481" t="s">
        <v>2162</v>
      </c>
      <c r="AO1481" t="s">
        <v>15380</v>
      </c>
      <c r="AP1481" t="s">
        <v>7024</v>
      </c>
      <c r="AT1481" s="184"/>
      <c r="AW1481" s="184"/>
      <c r="AZ1481" s="184"/>
      <c r="BP1481" s="184"/>
    </row>
    <row r="1482" spans="1:68">
      <c r="A1482">
        <v>16112179</v>
      </c>
      <c r="B1482">
        <v>16112179</v>
      </c>
      <c r="C1482" t="s">
        <v>7018</v>
      </c>
      <c r="E1482" s="184"/>
      <c r="F1482" t="s">
        <v>595</v>
      </c>
      <c r="G1482" s="184">
        <v>44104</v>
      </c>
      <c r="I1482" s="184"/>
      <c r="K1482" s="184"/>
      <c r="M1482" s="184"/>
      <c r="O1482" s="184"/>
      <c r="P1482" t="s">
        <v>7045</v>
      </c>
      <c r="Q1482" t="s">
        <v>7454</v>
      </c>
      <c r="R1482" s="184">
        <v>17470</v>
      </c>
      <c r="S1482">
        <v>76</v>
      </c>
      <c r="V1482" t="s">
        <v>3384</v>
      </c>
      <c r="X1482" t="s">
        <v>15386</v>
      </c>
      <c r="Z1482">
        <v>100043502</v>
      </c>
      <c r="AA1482" t="s">
        <v>7130</v>
      </c>
      <c r="AB1482" t="s">
        <v>3400</v>
      </c>
      <c r="AC1482" t="s">
        <v>4013</v>
      </c>
      <c r="AD1482" t="s">
        <v>15386</v>
      </c>
      <c r="AF1482" t="s">
        <v>15387</v>
      </c>
      <c r="AG1482" t="s">
        <v>15388</v>
      </c>
      <c r="AI1482" t="s">
        <v>15389</v>
      </c>
      <c r="AM1482" t="s">
        <v>2608</v>
      </c>
      <c r="AN1482" t="s">
        <v>2299</v>
      </c>
      <c r="AO1482" t="s">
        <v>15390</v>
      </c>
      <c r="AP1482" t="s">
        <v>7024</v>
      </c>
      <c r="AT1482" s="184">
        <v>34425</v>
      </c>
      <c r="AU1482" t="s">
        <v>15078</v>
      </c>
      <c r="AV1482">
        <v>19.95</v>
      </c>
      <c r="AW1482" s="184">
        <v>43978</v>
      </c>
      <c r="AX1482" t="s">
        <v>15391</v>
      </c>
      <c r="AY1482">
        <v>35</v>
      </c>
      <c r="AZ1482" s="184">
        <v>43978</v>
      </c>
      <c r="BA1482" t="s">
        <v>15391</v>
      </c>
      <c r="BB1482">
        <v>35</v>
      </c>
      <c r="BC1482">
        <v>46</v>
      </c>
      <c r="BD1482">
        <v>464.95</v>
      </c>
      <c r="BE1482">
        <v>1994</v>
      </c>
      <c r="BF1482">
        <v>19</v>
      </c>
      <c r="BI1482">
        <v>14</v>
      </c>
      <c r="BJ1482">
        <v>31</v>
      </c>
      <c r="BK1482">
        <v>4</v>
      </c>
      <c r="BP1482" s="184"/>
    </row>
    <row r="1483" spans="1:68">
      <c r="A1483">
        <v>100043502</v>
      </c>
      <c r="B1483">
        <v>16112179</v>
      </c>
      <c r="C1483" t="s">
        <v>7018</v>
      </c>
      <c r="E1483" s="184"/>
      <c r="F1483" t="s">
        <v>595</v>
      </c>
      <c r="G1483" s="184">
        <v>44104</v>
      </c>
      <c r="I1483" s="184"/>
      <c r="K1483" s="184"/>
      <c r="O1483" s="184"/>
      <c r="P1483" t="s">
        <v>7045</v>
      </c>
      <c r="Q1483" t="s">
        <v>7454</v>
      </c>
      <c r="R1483" s="184">
        <v>17441</v>
      </c>
      <c r="S1483">
        <v>76</v>
      </c>
      <c r="U1483" t="s">
        <v>7130</v>
      </c>
      <c r="V1483" t="s">
        <v>3400</v>
      </c>
      <c r="W1483" t="s">
        <v>4013</v>
      </c>
      <c r="X1483" t="s">
        <v>15386</v>
      </c>
      <c r="Z1483">
        <v>16112179</v>
      </c>
      <c r="AB1483" t="s">
        <v>3384</v>
      </c>
      <c r="AD1483" t="s">
        <v>15386</v>
      </c>
      <c r="AF1483" t="s">
        <v>15387</v>
      </c>
      <c r="AG1483" t="s">
        <v>15388</v>
      </c>
      <c r="AI1483" t="s">
        <v>15389</v>
      </c>
      <c r="AM1483" t="s">
        <v>2608</v>
      </c>
      <c r="AN1483" t="s">
        <v>2299</v>
      </c>
      <c r="AO1483" t="s">
        <v>15390</v>
      </c>
      <c r="AP1483" t="s">
        <v>7024</v>
      </c>
      <c r="AT1483" s="184"/>
      <c r="AW1483" s="184"/>
      <c r="AZ1483" s="184"/>
      <c r="BP1483" s="184"/>
    </row>
    <row r="1484" spans="1:68">
      <c r="A1484">
        <v>16149262</v>
      </c>
      <c r="B1484">
        <v>16149262</v>
      </c>
      <c r="C1484" t="s">
        <v>7018</v>
      </c>
      <c r="D1484" t="s">
        <v>595</v>
      </c>
      <c r="E1484" s="184">
        <v>44104</v>
      </c>
      <c r="G1484" s="184"/>
      <c r="I1484" s="184"/>
      <c r="K1484" s="184"/>
      <c r="M1484" s="184"/>
      <c r="O1484" s="184"/>
      <c r="P1484" t="s">
        <v>7045</v>
      </c>
      <c r="Q1484" t="s">
        <v>7494</v>
      </c>
      <c r="R1484" s="184">
        <v>16954</v>
      </c>
      <c r="S1484">
        <v>77</v>
      </c>
      <c r="U1484" t="s">
        <v>7130</v>
      </c>
      <c r="V1484" t="s">
        <v>2876</v>
      </c>
      <c r="W1484" t="s">
        <v>3830</v>
      </c>
      <c r="X1484" t="s">
        <v>2962</v>
      </c>
      <c r="AF1484" t="s">
        <v>15392</v>
      </c>
      <c r="AG1484" t="s">
        <v>2876</v>
      </c>
      <c r="AI1484" t="s">
        <v>15393</v>
      </c>
      <c r="AM1484" t="s">
        <v>2582</v>
      </c>
      <c r="AN1484" t="s">
        <v>2174</v>
      </c>
      <c r="AO1484" t="s">
        <v>15394</v>
      </c>
      <c r="AP1484" t="s">
        <v>7024</v>
      </c>
      <c r="AT1484" s="184">
        <v>34417</v>
      </c>
      <c r="AU1484" t="s">
        <v>15395</v>
      </c>
      <c r="AV1484">
        <v>25</v>
      </c>
      <c r="AW1484" s="184">
        <v>43759</v>
      </c>
      <c r="AX1484" t="s">
        <v>12866</v>
      </c>
      <c r="AY1484">
        <v>25</v>
      </c>
      <c r="AZ1484" s="184">
        <v>43759</v>
      </c>
      <c r="BA1484" t="s">
        <v>12866</v>
      </c>
      <c r="BB1484">
        <v>25</v>
      </c>
      <c r="BC1484">
        <v>59</v>
      </c>
      <c r="BD1484">
        <v>640</v>
      </c>
      <c r="BE1484">
        <v>1994</v>
      </c>
      <c r="BF1484">
        <v>29</v>
      </c>
      <c r="BI1484">
        <v>18</v>
      </c>
      <c r="BJ1484">
        <v>31</v>
      </c>
      <c r="BK1484">
        <v>13</v>
      </c>
      <c r="BP1484" s="184"/>
    </row>
    <row r="1485" spans="1:68">
      <c r="A1485">
        <v>16153413</v>
      </c>
      <c r="B1485">
        <v>16153413</v>
      </c>
      <c r="C1485" t="s">
        <v>7018</v>
      </c>
      <c r="E1485" s="184"/>
      <c r="G1485" s="184"/>
      <c r="I1485" s="184"/>
      <c r="J1485" t="s">
        <v>595</v>
      </c>
      <c r="K1485" s="184">
        <v>42843</v>
      </c>
      <c r="M1485" s="184"/>
      <c r="O1485" s="184"/>
      <c r="P1485" t="s">
        <v>7045</v>
      </c>
      <c r="Q1485" t="s">
        <v>7262</v>
      </c>
      <c r="R1485" s="184">
        <v>17015</v>
      </c>
      <c r="S1485">
        <v>77</v>
      </c>
      <c r="U1485" t="s">
        <v>7094</v>
      </c>
      <c r="V1485" t="s">
        <v>3584</v>
      </c>
      <c r="X1485" t="s">
        <v>15396</v>
      </c>
      <c r="AF1485" t="s">
        <v>6712</v>
      </c>
      <c r="AG1485" t="s">
        <v>3584</v>
      </c>
      <c r="AI1485" t="s">
        <v>15397</v>
      </c>
      <c r="AM1485" t="s">
        <v>15398</v>
      </c>
      <c r="AN1485" t="s">
        <v>2069</v>
      </c>
      <c r="AO1485" t="s">
        <v>15399</v>
      </c>
      <c r="AP1485" t="s">
        <v>7024</v>
      </c>
      <c r="AT1485" s="184">
        <v>34417</v>
      </c>
      <c r="AU1485" t="s">
        <v>15400</v>
      </c>
      <c r="AV1485">
        <v>20</v>
      </c>
      <c r="AW1485" s="184">
        <v>45139</v>
      </c>
      <c r="AX1485" t="s">
        <v>7245</v>
      </c>
      <c r="AY1485">
        <v>60</v>
      </c>
      <c r="AZ1485" s="184">
        <v>45139</v>
      </c>
      <c r="BA1485" t="s">
        <v>7245</v>
      </c>
      <c r="BB1485">
        <v>60</v>
      </c>
      <c r="BC1485">
        <v>23</v>
      </c>
      <c r="BD1485">
        <v>360</v>
      </c>
      <c r="BE1485">
        <v>1994</v>
      </c>
      <c r="BF1485">
        <v>8</v>
      </c>
      <c r="BG1485">
        <v>2</v>
      </c>
      <c r="BH1485">
        <v>120</v>
      </c>
      <c r="BI1485">
        <v>7</v>
      </c>
      <c r="BJ1485">
        <v>31</v>
      </c>
      <c r="BK1485">
        <v>6</v>
      </c>
      <c r="BP1485" s="184"/>
    </row>
    <row r="1486" spans="1:68">
      <c r="A1486">
        <v>16158222</v>
      </c>
      <c r="B1486">
        <v>16158222</v>
      </c>
      <c r="C1486" t="s">
        <v>7018</v>
      </c>
      <c r="D1486" t="s">
        <v>595</v>
      </c>
      <c r="E1486" s="184">
        <v>43642</v>
      </c>
      <c r="G1486" s="184"/>
      <c r="I1486" s="184"/>
      <c r="K1486" s="184"/>
      <c r="O1486" s="184"/>
      <c r="P1486" t="s">
        <v>7045</v>
      </c>
      <c r="Q1486" t="s">
        <v>7774</v>
      </c>
      <c r="R1486" s="184">
        <v>17838</v>
      </c>
      <c r="S1486">
        <v>75</v>
      </c>
      <c r="U1486" t="s">
        <v>7130</v>
      </c>
      <c r="V1486" t="s">
        <v>3230</v>
      </c>
      <c r="X1486" t="s">
        <v>3231</v>
      </c>
      <c r="AF1486" t="s">
        <v>15401</v>
      </c>
      <c r="AG1486" t="s">
        <v>3230</v>
      </c>
      <c r="AI1486" t="s">
        <v>15402</v>
      </c>
      <c r="AM1486" t="s">
        <v>2853</v>
      </c>
      <c r="AN1486" t="s">
        <v>2077</v>
      </c>
      <c r="AO1486" t="s">
        <v>15403</v>
      </c>
      <c r="AP1486" t="s">
        <v>7024</v>
      </c>
      <c r="AQ1486" t="s">
        <v>15404</v>
      </c>
      <c r="AR1486" t="s">
        <v>15405</v>
      </c>
      <c r="AT1486" s="184">
        <v>34417</v>
      </c>
      <c r="AU1486" t="s">
        <v>15406</v>
      </c>
      <c r="AV1486">
        <v>15</v>
      </c>
      <c r="AW1486" s="184">
        <v>45411</v>
      </c>
      <c r="AX1486" t="s">
        <v>7414</v>
      </c>
      <c r="AY1486">
        <v>15</v>
      </c>
      <c r="AZ1486" s="184">
        <v>37308</v>
      </c>
      <c r="BA1486" t="s">
        <v>15407</v>
      </c>
      <c r="BB1486">
        <v>60</v>
      </c>
      <c r="BC1486">
        <v>100</v>
      </c>
      <c r="BD1486">
        <v>4724.95</v>
      </c>
      <c r="BE1486">
        <v>1994</v>
      </c>
      <c r="BF1486">
        <v>262</v>
      </c>
      <c r="BG1486">
        <v>27</v>
      </c>
      <c r="BH1486">
        <v>510</v>
      </c>
      <c r="BI1486">
        <v>31</v>
      </c>
      <c r="BJ1486">
        <v>31</v>
      </c>
      <c r="BK1486">
        <v>31</v>
      </c>
      <c r="BP1486" s="184"/>
    </row>
    <row r="1487" spans="1:68">
      <c r="A1487">
        <v>16169492</v>
      </c>
      <c r="B1487">
        <v>16169492</v>
      </c>
      <c r="C1487" t="s">
        <v>7018</v>
      </c>
      <c r="E1487" s="184"/>
      <c r="G1487" s="184"/>
      <c r="I1487" s="184"/>
      <c r="K1487" s="184"/>
      <c r="N1487" t="s">
        <v>595</v>
      </c>
      <c r="O1487" s="184">
        <v>41211</v>
      </c>
      <c r="P1487" t="s">
        <v>7045</v>
      </c>
      <c r="Q1487" t="s">
        <v>7454</v>
      </c>
      <c r="R1487" s="184">
        <v>10443</v>
      </c>
      <c r="S1487">
        <v>95</v>
      </c>
      <c r="U1487" t="s">
        <v>7130</v>
      </c>
      <c r="V1487" t="s">
        <v>15408</v>
      </c>
      <c r="W1487" t="s">
        <v>7067</v>
      </c>
      <c r="X1487" t="s">
        <v>15409</v>
      </c>
      <c r="Z1487">
        <v>100180744</v>
      </c>
      <c r="AA1487" t="s">
        <v>7031</v>
      </c>
      <c r="AB1487" t="s">
        <v>2541</v>
      </c>
      <c r="AC1487" t="s">
        <v>2963</v>
      </c>
      <c r="AD1487" t="s">
        <v>15409</v>
      </c>
      <c r="AF1487" t="s">
        <v>6004</v>
      </c>
      <c r="AG1487" t="s">
        <v>15408</v>
      </c>
      <c r="AI1487" t="s">
        <v>15410</v>
      </c>
      <c r="AM1487" t="s">
        <v>3460</v>
      </c>
      <c r="AN1487" t="s">
        <v>2299</v>
      </c>
      <c r="AO1487" t="s">
        <v>15411</v>
      </c>
      <c r="AP1487" t="s">
        <v>7024</v>
      </c>
      <c r="AQ1487" t="s">
        <v>15412</v>
      </c>
      <c r="AT1487" s="184">
        <v>34418</v>
      </c>
      <c r="AU1487" t="s">
        <v>15413</v>
      </c>
      <c r="AV1487">
        <v>15</v>
      </c>
      <c r="AW1487" s="184">
        <v>41211</v>
      </c>
      <c r="AX1487" t="s">
        <v>15414</v>
      </c>
      <c r="AY1487">
        <v>10000</v>
      </c>
      <c r="AZ1487" s="184">
        <v>41211</v>
      </c>
      <c r="BA1487" t="s">
        <v>15414</v>
      </c>
      <c r="BB1487">
        <v>10000</v>
      </c>
      <c r="BC1487">
        <v>42</v>
      </c>
      <c r="BD1487">
        <v>11025</v>
      </c>
      <c r="BE1487">
        <v>1994</v>
      </c>
      <c r="BF1487">
        <v>18</v>
      </c>
      <c r="BI1487">
        <v>13</v>
      </c>
      <c r="BJ1487">
        <v>31</v>
      </c>
      <c r="BK1487">
        <v>7</v>
      </c>
      <c r="BP1487" s="184"/>
    </row>
    <row r="1488" spans="1:68">
      <c r="A1488">
        <v>100180744</v>
      </c>
      <c r="B1488">
        <v>16169492</v>
      </c>
      <c r="C1488" t="s">
        <v>7018</v>
      </c>
      <c r="E1488" s="184"/>
      <c r="G1488" s="184"/>
      <c r="I1488" s="184"/>
      <c r="K1488" s="184"/>
      <c r="N1488" t="s">
        <v>595</v>
      </c>
      <c r="O1488" s="184">
        <v>41211</v>
      </c>
      <c r="P1488" t="s">
        <v>7045</v>
      </c>
      <c r="Q1488" t="s">
        <v>7454</v>
      </c>
      <c r="R1488" s="184">
        <v>9439</v>
      </c>
      <c r="S1488">
        <v>98</v>
      </c>
      <c r="U1488" t="s">
        <v>7031</v>
      </c>
      <c r="V1488" t="s">
        <v>2541</v>
      </c>
      <c r="W1488" t="s">
        <v>2963</v>
      </c>
      <c r="X1488" t="s">
        <v>15409</v>
      </c>
      <c r="Z1488">
        <v>16169492</v>
      </c>
      <c r="AA1488" t="s">
        <v>7130</v>
      </c>
      <c r="AB1488" t="s">
        <v>15408</v>
      </c>
      <c r="AC1488" t="s">
        <v>7067</v>
      </c>
      <c r="AD1488" t="s">
        <v>15409</v>
      </c>
      <c r="AF1488" t="s">
        <v>6004</v>
      </c>
      <c r="AG1488" t="s">
        <v>15408</v>
      </c>
      <c r="AI1488" t="s">
        <v>15410</v>
      </c>
      <c r="AM1488" t="s">
        <v>3460</v>
      </c>
      <c r="AN1488" t="s">
        <v>2299</v>
      </c>
      <c r="AO1488" t="s">
        <v>15411</v>
      </c>
      <c r="AP1488" t="s">
        <v>7024</v>
      </c>
      <c r="AT1488" s="184"/>
      <c r="AW1488" s="184"/>
      <c r="AZ1488" s="184"/>
      <c r="BO1488" t="s">
        <v>595</v>
      </c>
      <c r="BP1488" s="184">
        <v>41507</v>
      </c>
    </row>
    <row r="1489" spans="1:68">
      <c r="A1489">
        <v>16190506</v>
      </c>
      <c r="B1489">
        <v>16190506</v>
      </c>
      <c r="C1489" t="s">
        <v>7018</v>
      </c>
      <c r="E1489" s="184"/>
      <c r="G1489" s="184"/>
      <c r="I1489" s="184"/>
      <c r="J1489" t="s">
        <v>595</v>
      </c>
      <c r="K1489" s="184">
        <v>41957</v>
      </c>
      <c r="O1489" s="184"/>
      <c r="P1489" t="s">
        <v>7045</v>
      </c>
      <c r="Q1489" t="s">
        <v>7374</v>
      </c>
      <c r="R1489" s="184">
        <v>13495</v>
      </c>
      <c r="S1489">
        <v>87</v>
      </c>
      <c r="U1489" t="s">
        <v>7130</v>
      </c>
      <c r="V1489" t="s">
        <v>5400</v>
      </c>
      <c r="W1489" t="s">
        <v>4139</v>
      </c>
      <c r="X1489" t="s">
        <v>15415</v>
      </c>
      <c r="AF1489" t="s">
        <v>6152</v>
      </c>
      <c r="AG1489" t="s">
        <v>5400</v>
      </c>
      <c r="AI1489" t="s">
        <v>15416</v>
      </c>
      <c r="AM1489" t="s">
        <v>15417</v>
      </c>
      <c r="AN1489" t="s">
        <v>2081</v>
      </c>
      <c r="AO1489" t="s">
        <v>15418</v>
      </c>
      <c r="AP1489" t="s">
        <v>7024</v>
      </c>
      <c r="AQ1489" t="s">
        <v>15419</v>
      </c>
      <c r="AR1489" t="s">
        <v>15420</v>
      </c>
      <c r="AT1489" s="184">
        <v>34414</v>
      </c>
      <c r="AU1489" t="s">
        <v>15421</v>
      </c>
      <c r="AV1489">
        <v>25</v>
      </c>
      <c r="AW1489" s="184">
        <v>42996</v>
      </c>
      <c r="AX1489" t="s">
        <v>15422</v>
      </c>
      <c r="AY1489">
        <v>250</v>
      </c>
      <c r="AZ1489" s="184">
        <v>40584</v>
      </c>
      <c r="BA1489" t="s">
        <v>15423</v>
      </c>
      <c r="BB1489">
        <v>500</v>
      </c>
      <c r="BC1489">
        <v>71</v>
      </c>
      <c r="BD1489">
        <v>3835</v>
      </c>
      <c r="BE1489">
        <v>1994</v>
      </c>
      <c r="BF1489">
        <v>38</v>
      </c>
      <c r="BI1489">
        <v>22</v>
      </c>
      <c r="BJ1489">
        <v>31</v>
      </c>
      <c r="BK1489">
        <v>14</v>
      </c>
      <c r="BM1489" t="s">
        <v>595</v>
      </c>
      <c r="BP1489" s="184"/>
    </row>
    <row r="1490" spans="1:68">
      <c r="A1490">
        <v>16201634</v>
      </c>
      <c r="B1490">
        <v>16201634</v>
      </c>
      <c r="C1490" t="s">
        <v>7018</v>
      </c>
      <c r="E1490" s="184"/>
      <c r="G1490" s="184"/>
      <c r="I1490" s="184"/>
      <c r="J1490" t="s">
        <v>595</v>
      </c>
      <c r="K1490" s="184">
        <v>44935</v>
      </c>
      <c r="M1490" s="184"/>
      <c r="O1490" s="184"/>
      <c r="P1490" t="s">
        <v>7045</v>
      </c>
      <c r="Q1490" t="s">
        <v>7383</v>
      </c>
      <c r="R1490" s="184">
        <v>21064</v>
      </c>
      <c r="S1490">
        <v>66</v>
      </c>
      <c r="V1490" t="s">
        <v>3478</v>
      </c>
      <c r="X1490" t="s">
        <v>15424</v>
      </c>
      <c r="AF1490" t="s">
        <v>15425</v>
      </c>
      <c r="AG1490" t="s">
        <v>3478</v>
      </c>
      <c r="AI1490" t="s">
        <v>15426</v>
      </c>
      <c r="AM1490" t="s">
        <v>15427</v>
      </c>
      <c r="AN1490" t="s">
        <v>2072</v>
      </c>
      <c r="AO1490" t="s">
        <v>15428</v>
      </c>
      <c r="AP1490" t="s">
        <v>7024</v>
      </c>
      <c r="AT1490" s="184">
        <v>34414</v>
      </c>
      <c r="AU1490" t="s">
        <v>15429</v>
      </c>
      <c r="AV1490">
        <v>15</v>
      </c>
      <c r="AW1490" s="184">
        <v>43454</v>
      </c>
      <c r="AX1490" t="s">
        <v>10459</v>
      </c>
      <c r="AY1490">
        <v>15</v>
      </c>
      <c r="AZ1490" s="184">
        <v>39927</v>
      </c>
      <c r="BA1490" t="s">
        <v>15430</v>
      </c>
      <c r="BB1490">
        <v>60</v>
      </c>
      <c r="BC1490">
        <v>36</v>
      </c>
      <c r="BD1490">
        <v>334.94</v>
      </c>
      <c r="BE1490">
        <v>1994</v>
      </c>
      <c r="BF1490">
        <v>16</v>
      </c>
      <c r="BI1490">
        <v>11</v>
      </c>
      <c r="BJ1490">
        <v>31</v>
      </c>
      <c r="BK1490">
        <v>3</v>
      </c>
    </row>
    <row r="1491" spans="1:68">
      <c r="A1491">
        <v>16213514</v>
      </c>
      <c r="B1491">
        <v>16213514</v>
      </c>
      <c r="C1491" t="s">
        <v>7018</v>
      </c>
      <c r="E1491" s="184"/>
      <c r="G1491" s="184"/>
      <c r="I1491" s="184"/>
      <c r="J1491" t="s">
        <v>595</v>
      </c>
      <c r="K1491" s="184">
        <v>42479</v>
      </c>
      <c r="M1491" s="184"/>
      <c r="O1491" s="184"/>
      <c r="P1491" t="s">
        <v>7045</v>
      </c>
      <c r="Q1491" t="s">
        <v>7030</v>
      </c>
      <c r="R1491" s="184">
        <v>13058</v>
      </c>
      <c r="S1491">
        <v>88</v>
      </c>
      <c r="U1491" t="s">
        <v>7031</v>
      </c>
      <c r="V1491" t="s">
        <v>15431</v>
      </c>
      <c r="X1491" t="s">
        <v>15432</v>
      </c>
      <c r="Z1491">
        <v>100043748</v>
      </c>
      <c r="AA1491" t="s">
        <v>7130</v>
      </c>
      <c r="AB1491" t="s">
        <v>13841</v>
      </c>
      <c r="AD1491" t="s">
        <v>15432</v>
      </c>
      <c r="AF1491" t="s">
        <v>6237</v>
      </c>
      <c r="AG1491" t="s">
        <v>15433</v>
      </c>
      <c r="AI1491" t="s">
        <v>15434</v>
      </c>
      <c r="AM1491" t="s">
        <v>15435</v>
      </c>
      <c r="AN1491" t="s">
        <v>2089</v>
      </c>
      <c r="AO1491" t="s">
        <v>15436</v>
      </c>
      <c r="AP1491" t="s">
        <v>7024</v>
      </c>
      <c r="AQ1491" t="s">
        <v>15437</v>
      </c>
      <c r="AR1491" t="s">
        <v>15438</v>
      </c>
      <c r="AT1491" s="184">
        <v>34409</v>
      </c>
      <c r="AU1491" t="s">
        <v>15439</v>
      </c>
      <c r="AV1491">
        <v>25</v>
      </c>
      <c r="AW1491" s="184">
        <v>44681</v>
      </c>
      <c r="AX1491" t="s">
        <v>8543</v>
      </c>
      <c r="AY1491">
        <v>150</v>
      </c>
      <c r="AZ1491" s="184">
        <v>44681</v>
      </c>
      <c r="BA1491" t="s">
        <v>8543</v>
      </c>
      <c r="BB1491">
        <v>150</v>
      </c>
      <c r="BC1491">
        <v>88</v>
      </c>
      <c r="BD1491">
        <v>2610</v>
      </c>
      <c r="BE1491">
        <v>1994</v>
      </c>
      <c r="BF1491">
        <v>28</v>
      </c>
      <c r="BG1491">
        <v>1</v>
      </c>
      <c r="BH1491">
        <v>150</v>
      </c>
      <c r="BI1491">
        <v>27</v>
      </c>
      <c r="BJ1491">
        <v>31</v>
      </c>
      <c r="BK1491">
        <v>25</v>
      </c>
      <c r="BP1491" s="184"/>
    </row>
    <row r="1492" spans="1:68">
      <c r="A1492">
        <v>100043748</v>
      </c>
      <c r="B1492">
        <v>16213514</v>
      </c>
      <c r="C1492" t="s">
        <v>7018</v>
      </c>
      <c r="E1492" s="184"/>
      <c r="G1492" s="184"/>
      <c r="I1492" s="184"/>
      <c r="J1492" t="s">
        <v>595</v>
      </c>
      <c r="K1492" s="184">
        <v>43649</v>
      </c>
      <c r="M1492" s="184"/>
      <c r="O1492" s="184"/>
      <c r="P1492" t="s">
        <v>7045</v>
      </c>
      <c r="Q1492" t="s">
        <v>7030</v>
      </c>
      <c r="R1492" s="184">
        <v>23997</v>
      </c>
      <c r="S1492">
        <v>58</v>
      </c>
      <c r="U1492" t="s">
        <v>7130</v>
      </c>
      <c r="V1492" t="s">
        <v>13841</v>
      </c>
      <c r="X1492" t="s">
        <v>15432</v>
      </c>
      <c r="Z1492">
        <v>16213514</v>
      </c>
      <c r="AA1492" t="s">
        <v>7031</v>
      </c>
      <c r="AB1492" t="s">
        <v>15431</v>
      </c>
      <c r="AD1492" t="s">
        <v>15432</v>
      </c>
      <c r="AF1492" t="s">
        <v>6237</v>
      </c>
      <c r="AG1492" t="s">
        <v>15433</v>
      </c>
      <c r="AI1492" t="s">
        <v>15434</v>
      </c>
      <c r="AM1492" t="s">
        <v>15435</v>
      </c>
      <c r="AN1492" t="s">
        <v>2089</v>
      </c>
      <c r="AO1492" t="s">
        <v>15436</v>
      </c>
      <c r="AP1492" t="s">
        <v>7024</v>
      </c>
      <c r="AQ1492" t="s">
        <v>15437</v>
      </c>
      <c r="AT1492" s="184">
        <v>45049</v>
      </c>
      <c r="AU1492" t="s">
        <v>10138</v>
      </c>
      <c r="AV1492">
        <v>150</v>
      </c>
      <c r="AW1492" s="184">
        <v>45049</v>
      </c>
      <c r="AX1492" t="s">
        <v>10138</v>
      </c>
      <c r="AY1492">
        <v>150</v>
      </c>
      <c r="AZ1492" s="184">
        <v>45049</v>
      </c>
      <c r="BA1492" t="s">
        <v>10138</v>
      </c>
      <c r="BB1492">
        <v>150</v>
      </c>
      <c r="BC1492">
        <v>50</v>
      </c>
      <c r="BD1492">
        <v>150</v>
      </c>
      <c r="BE1492">
        <v>2023</v>
      </c>
      <c r="BF1492">
        <v>1</v>
      </c>
      <c r="BG1492">
        <v>1</v>
      </c>
      <c r="BH1492">
        <v>150</v>
      </c>
      <c r="BI1492">
        <v>1</v>
      </c>
      <c r="BJ1492">
        <v>2</v>
      </c>
      <c r="BK1492">
        <v>1</v>
      </c>
      <c r="BP1492" s="184"/>
    </row>
    <row r="1493" spans="1:68">
      <c r="A1493">
        <v>16228322</v>
      </c>
      <c r="B1493">
        <v>16228322</v>
      </c>
      <c r="C1493" t="s">
        <v>7018</v>
      </c>
      <c r="D1493" t="s">
        <v>595</v>
      </c>
      <c r="E1493" s="184">
        <v>45125</v>
      </c>
      <c r="G1493" s="184"/>
      <c r="I1493" s="184"/>
      <c r="K1493" s="184"/>
      <c r="M1493" s="184"/>
      <c r="O1493" s="184"/>
      <c r="P1493" t="s">
        <v>7045</v>
      </c>
      <c r="Q1493" t="s">
        <v>7383</v>
      </c>
      <c r="R1493" s="184">
        <v>14679</v>
      </c>
      <c r="S1493">
        <v>84</v>
      </c>
      <c r="U1493" t="s">
        <v>7130</v>
      </c>
      <c r="V1493" t="s">
        <v>15440</v>
      </c>
      <c r="W1493" t="s">
        <v>3237</v>
      </c>
      <c r="X1493" t="s">
        <v>8377</v>
      </c>
      <c r="Z1493">
        <v>100043799</v>
      </c>
      <c r="AB1493" t="s">
        <v>2511</v>
      </c>
      <c r="AD1493" t="s">
        <v>8377</v>
      </c>
      <c r="AF1493" t="s">
        <v>15441</v>
      </c>
      <c r="AG1493" t="s">
        <v>15442</v>
      </c>
      <c r="AI1493" t="s">
        <v>15443</v>
      </c>
      <c r="AM1493" t="s">
        <v>3380</v>
      </c>
      <c r="AN1493" t="s">
        <v>2072</v>
      </c>
      <c r="AO1493" t="s">
        <v>15444</v>
      </c>
      <c r="AP1493" t="s">
        <v>7024</v>
      </c>
      <c r="AQ1493" t="s">
        <v>15445</v>
      </c>
      <c r="AT1493" s="184">
        <v>34415</v>
      </c>
      <c r="AU1493" t="s">
        <v>15383</v>
      </c>
      <c r="AV1493">
        <v>25</v>
      </c>
      <c r="AW1493" s="184">
        <v>45238</v>
      </c>
      <c r="AX1493" t="s">
        <v>15446</v>
      </c>
      <c r="AY1493">
        <v>15</v>
      </c>
      <c r="AZ1493" s="184">
        <v>45152</v>
      </c>
      <c r="BA1493" t="s">
        <v>15447</v>
      </c>
      <c r="BB1493">
        <v>60</v>
      </c>
      <c r="BC1493">
        <v>23</v>
      </c>
      <c r="BD1493">
        <v>610</v>
      </c>
      <c r="BE1493">
        <v>1994</v>
      </c>
      <c r="BF1493">
        <v>14</v>
      </c>
      <c r="BG1493">
        <v>5</v>
      </c>
      <c r="BH1493">
        <v>215</v>
      </c>
      <c r="BI1493">
        <v>7</v>
      </c>
      <c r="BJ1493">
        <v>31</v>
      </c>
      <c r="BK1493">
        <v>6</v>
      </c>
      <c r="BP1493" s="184"/>
    </row>
    <row r="1494" spans="1:68">
      <c r="A1494">
        <v>100043799</v>
      </c>
      <c r="B1494">
        <v>16228322</v>
      </c>
      <c r="C1494" t="s">
        <v>7018</v>
      </c>
      <c r="D1494" t="s">
        <v>595</v>
      </c>
      <c r="E1494" s="184">
        <v>45125</v>
      </c>
      <c r="G1494" s="184"/>
      <c r="I1494" s="184"/>
      <c r="K1494" s="184"/>
      <c r="O1494" s="184"/>
      <c r="P1494" t="s">
        <v>7045</v>
      </c>
      <c r="Q1494" t="s">
        <v>7383</v>
      </c>
      <c r="R1494" s="184">
        <v>14671</v>
      </c>
      <c r="S1494">
        <v>84</v>
      </c>
      <c r="V1494" t="s">
        <v>2511</v>
      </c>
      <c r="X1494" t="s">
        <v>8377</v>
      </c>
      <c r="Z1494">
        <v>16228322</v>
      </c>
      <c r="AA1494" t="s">
        <v>7130</v>
      </c>
      <c r="AB1494" t="s">
        <v>15440</v>
      </c>
      <c r="AC1494" t="s">
        <v>3237</v>
      </c>
      <c r="AD1494" t="s">
        <v>8377</v>
      </c>
      <c r="AF1494" t="s">
        <v>15441</v>
      </c>
      <c r="AG1494" t="s">
        <v>15442</v>
      </c>
      <c r="AI1494" t="s">
        <v>15443</v>
      </c>
      <c r="AM1494" t="s">
        <v>3380</v>
      </c>
      <c r="AN1494" t="s">
        <v>2072</v>
      </c>
      <c r="AO1494" t="s">
        <v>15444</v>
      </c>
      <c r="AP1494" t="s">
        <v>7024</v>
      </c>
      <c r="AT1494" s="184"/>
      <c r="AW1494" s="184"/>
      <c r="AZ1494" s="184"/>
      <c r="BP1494" s="184"/>
    </row>
    <row r="1495" spans="1:68">
      <c r="A1495">
        <v>16357022</v>
      </c>
      <c r="B1495">
        <v>16357022</v>
      </c>
      <c r="C1495" t="s">
        <v>7018</v>
      </c>
      <c r="D1495" t="s">
        <v>595</v>
      </c>
      <c r="E1495" s="184">
        <v>45112</v>
      </c>
      <c r="I1495" s="184"/>
      <c r="K1495" s="184"/>
      <c r="O1495" s="184"/>
      <c r="P1495" t="s">
        <v>7045</v>
      </c>
      <c r="Q1495" t="s">
        <v>7383</v>
      </c>
      <c r="R1495" s="184">
        <v>23166</v>
      </c>
      <c r="S1495">
        <v>60</v>
      </c>
      <c r="U1495" t="s">
        <v>7031</v>
      </c>
      <c r="V1495" t="s">
        <v>5057</v>
      </c>
      <c r="W1495" t="s">
        <v>2049</v>
      </c>
      <c r="X1495" t="s">
        <v>9020</v>
      </c>
      <c r="AF1495" t="s">
        <v>15448</v>
      </c>
      <c r="AG1495" t="s">
        <v>5057</v>
      </c>
      <c r="AI1495" t="s">
        <v>15449</v>
      </c>
      <c r="AM1495" t="s">
        <v>15450</v>
      </c>
      <c r="AN1495" t="s">
        <v>2185</v>
      </c>
      <c r="AO1495" t="s">
        <v>15451</v>
      </c>
      <c r="AP1495" t="s">
        <v>7024</v>
      </c>
      <c r="AQ1495" t="s">
        <v>15452</v>
      </c>
      <c r="AT1495" s="184">
        <v>34425</v>
      </c>
      <c r="AU1495" t="s">
        <v>15453</v>
      </c>
      <c r="AV1495">
        <v>15</v>
      </c>
      <c r="AW1495" s="184">
        <v>45356</v>
      </c>
      <c r="AX1495" t="s">
        <v>13674</v>
      </c>
      <c r="AY1495">
        <v>5</v>
      </c>
      <c r="AZ1495" s="184">
        <v>42202</v>
      </c>
      <c r="BA1495" t="s">
        <v>12804</v>
      </c>
      <c r="BB1495">
        <v>30</v>
      </c>
      <c r="BC1495">
        <v>91</v>
      </c>
      <c r="BD1495">
        <v>1014</v>
      </c>
      <c r="BE1495">
        <v>1994</v>
      </c>
      <c r="BF1495">
        <v>103</v>
      </c>
      <c r="BG1495">
        <v>6</v>
      </c>
      <c r="BH1495">
        <v>70</v>
      </c>
      <c r="BI1495">
        <v>28</v>
      </c>
      <c r="BJ1495">
        <v>31</v>
      </c>
      <c r="BK1495">
        <v>25</v>
      </c>
      <c r="BP1495" s="184"/>
    </row>
    <row r="1496" spans="1:68">
      <c r="A1496">
        <v>16379430</v>
      </c>
      <c r="B1496">
        <v>16379430</v>
      </c>
      <c r="C1496" t="s">
        <v>7018</v>
      </c>
      <c r="E1496" s="184"/>
      <c r="G1496" s="184"/>
      <c r="H1496" t="s">
        <v>595</v>
      </c>
      <c r="I1496" s="184">
        <v>44428</v>
      </c>
      <c r="K1496" s="184"/>
      <c r="O1496" s="184"/>
      <c r="P1496" t="s">
        <v>7045</v>
      </c>
      <c r="Q1496" t="s">
        <v>7194</v>
      </c>
      <c r="R1496" s="184">
        <v>15188</v>
      </c>
      <c r="S1496">
        <v>82</v>
      </c>
      <c r="U1496" t="s">
        <v>7031</v>
      </c>
      <c r="V1496" t="s">
        <v>2863</v>
      </c>
      <c r="X1496" t="s">
        <v>3250</v>
      </c>
      <c r="AF1496" t="s">
        <v>15454</v>
      </c>
      <c r="AG1496" t="s">
        <v>2863</v>
      </c>
      <c r="AI1496" t="s">
        <v>15455</v>
      </c>
      <c r="AM1496" t="s">
        <v>5130</v>
      </c>
      <c r="AN1496" t="s">
        <v>2046</v>
      </c>
      <c r="AO1496" t="s">
        <v>15456</v>
      </c>
      <c r="AP1496" t="s">
        <v>7024</v>
      </c>
      <c r="AQ1496" t="s">
        <v>15457</v>
      </c>
      <c r="AT1496" s="184">
        <v>34432</v>
      </c>
      <c r="AU1496" t="s">
        <v>15078</v>
      </c>
      <c r="AV1496">
        <v>19.95</v>
      </c>
      <c r="AW1496" s="184">
        <v>44159</v>
      </c>
      <c r="AX1496" t="s">
        <v>15458</v>
      </c>
      <c r="AY1496">
        <v>50</v>
      </c>
      <c r="AZ1496" s="184">
        <v>44159</v>
      </c>
      <c r="BA1496" t="s">
        <v>15458</v>
      </c>
      <c r="BB1496">
        <v>50</v>
      </c>
      <c r="BC1496">
        <v>49</v>
      </c>
      <c r="BD1496">
        <v>512.95000000000005</v>
      </c>
      <c r="BE1496">
        <v>1994</v>
      </c>
      <c r="BF1496">
        <v>17</v>
      </c>
      <c r="BI1496">
        <v>15</v>
      </c>
      <c r="BJ1496">
        <v>31</v>
      </c>
      <c r="BK1496">
        <v>5</v>
      </c>
      <c r="BP1496" s="184"/>
    </row>
    <row r="1497" spans="1:68">
      <c r="A1497">
        <v>16415523</v>
      </c>
      <c r="B1497">
        <v>16415523</v>
      </c>
      <c r="C1497" t="s">
        <v>7018</v>
      </c>
      <c r="D1497" t="s">
        <v>595</v>
      </c>
      <c r="E1497" s="184">
        <v>45141</v>
      </c>
      <c r="G1497" s="184"/>
      <c r="I1497" s="184"/>
      <c r="K1497" s="184"/>
      <c r="M1497" s="184"/>
      <c r="O1497" s="184"/>
      <c r="P1497" t="s">
        <v>7045</v>
      </c>
      <c r="Q1497" t="s">
        <v>7383</v>
      </c>
      <c r="R1497" s="184">
        <v>18806</v>
      </c>
      <c r="S1497">
        <v>72</v>
      </c>
      <c r="U1497" t="s">
        <v>7076</v>
      </c>
      <c r="V1497" t="s">
        <v>3593</v>
      </c>
      <c r="W1497" t="s">
        <v>8140</v>
      </c>
      <c r="X1497" t="s">
        <v>2910</v>
      </c>
      <c r="AF1497" t="s">
        <v>15459</v>
      </c>
      <c r="AG1497" t="s">
        <v>3593</v>
      </c>
      <c r="AI1497" t="s">
        <v>15460</v>
      </c>
      <c r="AM1497" t="s">
        <v>3133</v>
      </c>
      <c r="AN1497" t="s">
        <v>2313</v>
      </c>
      <c r="AO1497" t="s">
        <v>15461</v>
      </c>
      <c r="AP1497" t="s">
        <v>7024</v>
      </c>
      <c r="AQ1497" t="s">
        <v>15462</v>
      </c>
      <c r="AT1497" s="184">
        <v>34435</v>
      </c>
      <c r="AU1497" t="s">
        <v>15463</v>
      </c>
      <c r="AV1497">
        <v>15</v>
      </c>
      <c r="AW1497" s="184">
        <v>45188</v>
      </c>
      <c r="AX1497" t="s">
        <v>15464</v>
      </c>
      <c r="AY1497">
        <v>25</v>
      </c>
      <c r="AZ1497" s="184">
        <v>44767</v>
      </c>
      <c r="BA1497" t="s">
        <v>15465</v>
      </c>
      <c r="BB1497">
        <v>40</v>
      </c>
      <c r="BC1497">
        <v>23</v>
      </c>
      <c r="BD1497">
        <v>185</v>
      </c>
      <c r="BE1497">
        <v>1994</v>
      </c>
      <c r="BF1497">
        <v>7</v>
      </c>
      <c r="BG1497">
        <v>2</v>
      </c>
      <c r="BH1497">
        <v>65</v>
      </c>
      <c r="BI1497">
        <v>7</v>
      </c>
      <c r="BJ1497">
        <v>31</v>
      </c>
      <c r="BK1497">
        <v>5</v>
      </c>
      <c r="BP1497" s="184"/>
    </row>
    <row r="1498" spans="1:68">
      <c r="A1498">
        <v>16438079</v>
      </c>
      <c r="B1498">
        <v>16438079</v>
      </c>
      <c r="C1498" t="s">
        <v>7018</v>
      </c>
      <c r="D1498" t="s">
        <v>595</v>
      </c>
      <c r="E1498" s="184">
        <v>45223</v>
      </c>
      <c r="G1498" s="184"/>
      <c r="I1498" s="184"/>
      <c r="K1498" s="184"/>
      <c r="M1498" s="184"/>
      <c r="O1498" s="184"/>
      <c r="P1498" t="s">
        <v>7045</v>
      </c>
      <c r="Q1498" t="s">
        <v>7494</v>
      </c>
      <c r="R1498" s="184">
        <v>19395</v>
      </c>
      <c r="S1498">
        <v>71</v>
      </c>
      <c r="U1498" t="s">
        <v>7076</v>
      </c>
      <c r="V1498" t="s">
        <v>3593</v>
      </c>
      <c r="W1498" t="s">
        <v>3522</v>
      </c>
      <c r="X1498" t="s">
        <v>8590</v>
      </c>
      <c r="Z1498">
        <v>100977824</v>
      </c>
      <c r="AA1498" t="s">
        <v>7031</v>
      </c>
      <c r="AB1498" t="s">
        <v>3228</v>
      </c>
      <c r="AD1498" t="s">
        <v>3938</v>
      </c>
      <c r="AF1498" t="s">
        <v>15466</v>
      </c>
      <c r="AG1498" t="s">
        <v>15467</v>
      </c>
      <c r="AI1498" t="s">
        <v>15468</v>
      </c>
      <c r="AM1498" t="s">
        <v>15469</v>
      </c>
      <c r="AN1498" t="s">
        <v>2174</v>
      </c>
      <c r="AO1498" t="s">
        <v>15470</v>
      </c>
      <c r="AP1498" t="s">
        <v>7024</v>
      </c>
      <c r="AQ1498" t="s">
        <v>15471</v>
      </c>
      <c r="AT1498" s="184">
        <v>34442</v>
      </c>
      <c r="AU1498" t="s">
        <v>15472</v>
      </c>
      <c r="AV1498">
        <v>25</v>
      </c>
      <c r="AW1498" s="184">
        <v>45315</v>
      </c>
      <c r="AX1498" t="s">
        <v>8152</v>
      </c>
      <c r="AY1498">
        <v>10000</v>
      </c>
      <c r="AZ1498" s="184">
        <v>45315</v>
      </c>
      <c r="BA1498" t="s">
        <v>8152</v>
      </c>
      <c r="BB1498">
        <v>10000</v>
      </c>
      <c r="BC1498">
        <v>75</v>
      </c>
      <c r="BD1498">
        <v>10937</v>
      </c>
      <c r="BE1498">
        <v>1994</v>
      </c>
      <c r="BF1498">
        <v>29</v>
      </c>
      <c r="BG1498">
        <v>2</v>
      </c>
      <c r="BH1498">
        <v>10090</v>
      </c>
      <c r="BI1498">
        <v>23</v>
      </c>
      <c r="BJ1498">
        <v>31</v>
      </c>
      <c r="BK1498">
        <v>10</v>
      </c>
      <c r="BP1498" s="184"/>
    </row>
    <row r="1499" spans="1:68">
      <c r="A1499">
        <v>100977824</v>
      </c>
      <c r="B1499">
        <v>16438079</v>
      </c>
      <c r="C1499" t="s">
        <v>7018</v>
      </c>
      <c r="D1499" t="s">
        <v>595</v>
      </c>
      <c r="E1499" s="184">
        <v>45223</v>
      </c>
      <c r="G1499" s="184"/>
      <c r="I1499" s="184"/>
      <c r="K1499" s="184"/>
      <c r="O1499" s="184"/>
      <c r="P1499" t="s">
        <v>7045</v>
      </c>
      <c r="Q1499" t="s">
        <v>7494</v>
      </c>
      <c r="R1499" s="184">
        <v>21794</v>
      </c>
      <c r="S1499">
        <v>64</v>
      </c>
      <c r="U1499" t="s">
        <v>7031</v>
      </c>
      <c r="V1499" t="s">
        <v>3228</v>
      </c>
      <c r="X1499" t="s">
        <v>3938</v>
      </c>
      <c r="Z1499">
        <v>16438079</v>
      </c>
      <c r="AA1499" t="s">
        <v>7076</v>
      </c>
      <c r="AB1499" t="s">
        <v>3593</v>
      </c>
      <c r="AC1499" t="s">
        <v>3522</v>
      </c>
      <c r="AD1499" t="s">
        <v>8590</v>
      </c>
      <c r="AF1499" t="s">
        <v>15466</v>
      </c>
      <c r="AG1499" t="s">
        <v>15467</v>
      </c>
      <c r="AI1499" t="s">
        <v>15468</v>
      </c>
      <c r="AM1499" t="s">
        <v>15469</v>
      </c>
      <c r="AN1499" t="s">
        <v>2174</v>
      </c>
      <c r="AO1499" t="s">
        <v>15470</v>
      </c>
      <c r="AP1499" t="s">
        <v>7024</v>
      </c>
      <c r="AT1499" s="184"/>
      <c r="AW1499" s="184"/>
      <c r="AZ1499" s="184"/>
      <c r="BP1499" s="184"/>
    </row>
    <row r="1500" spans="1:68">
      <c r="A1500">
        <v>16454878</v>
      </c>
      <c r="B1500">
        <v>16454878</v>
      </c>
      <c r="C1500" t="s">
        <v>7018</v>
      </c>
      <c r="D1500" t="s">
        <v>595</v>
      </c>
      <c r="E1500" s="184">
        <v>45153</v>
      </c>
      <c r="G1500" s="184"/>
      <c r="I1500" s="184"/>
      <c r="K1500" s="184"/>
      <c r="M1500" s="184"/>
      <c r="O1500" s="184"/>
      <c r="P1500" t="s">
        <v>7045</v>
      </c>
      <c r="Q1500" t="s">
        <v>7383</v>
      </c>
      <c r="R1500" s="184">
        <v>24050</v>
      </c>
      <c r="S1500">
        <v>58</v>
      </c>
      <c r="U1500" t="s">
        <v>7076</v>
      </c>
      <c r="V1500" t="s">
        <v>2841</v>
      </c>
      <c r="X1500" t="s">
        <v>2728</v>
      </c>
      <c r="AF1500" t="s">
        <v>15473</v>
      </c>
      <c r="AG1500" t="s">
        <v>2841</v>
      </c>
      <c r="AI1500" t="s">
        <v>15474</v>
      </c>
      <c r="AM1500" t="s">
        <v>15475</v>
      </c>
      <c r="AN1500" t="s">
        <v>2144</v>
      </c>
      <c r="AO1500" t="s">
        <v>15476</v>
      </c>
      <c r="AP1500" t="s">
        <v>7024</v>
      </c>
      <c r="AQ1500" t="s">
        <v>15477</v>
      </c>
      <c r="AT1500" s="184">
        <v>34443</v>
      </c>
      <c r="AU1500" t="s">
        <v>15478</v>
      </c>
      <c r="AV1500">
        <v>20</v>
      </c>
      <c r="AW1500" s="184">
        <v>45342</v>
      </c>
      <c r="AX1500" t="s">
        <v>10915</v>
      </c>
      <c r="AY1500">
        <v>35</v>
      </c>
      <c r="AZ1500" s="184">
        <v>45342</v>
      </c>
      <c r="BA1500" t="s">
        <v>10915</v>
      </c>
      <c r="BB1500">
        <v>35</v>
      </c>
      <c r="BC1500">
        <v>100</v>
      </c>
      <c r="BD1500">
        <v>1075</v>
      </c>
      <c r="BE1500">
        <v>1994</v>
      </c>
      <c r="BF1500">
        <v>36</v>
      </c>
      <c r="BG1500">
        <v>2</v>
      </c>
      <c r="BH1500">
        <v>70</v>
      </c>
      <c r="BI1500">
        <v>31</v>
      </c>
      <c r="BJ1500">
        <v>31</v>
      </c>
      <c r="BK1500">
        <v>31</v>
      </c>
      <c r="BP1500" s="184"/>
    </row>
    <row r="1501" spans="1:68">
      <c r="A1501">
        <v>16475600</v>
      </c>
      <c r="B1501">
        <v>16475600</v>
      </c>
      <c r="C1501" t="s">
        <v>7018</v>
      </c>
      <c r="E1501" s="184"/>
      <c r="G1501" s="184"/>
      <c r="I1501" s="184"/>
      <c r="J1501" t="s">
        <v>595</v>
      </c>
      <c r="K1501" s="184">
        <v>45195</v>
      </c>
      <c r="M1501" s="184"/>
      <c r="P1501" t="s">
        <v>7029</v>
      </c>
      <c r="Q1501" t="s">
        <v>7194</v>
      </c>
      <c r="R1501" s="184">
        <v>14526</v>
      </c>
      <c r="S1501">
        <v>84</v>
      </c>
      <c r="U1501" t="s">
        <v>7094</v>
      </c>
      <c r="V1501" t="s">
        <v>15479</v>
      </c>
      <c r="X1501" t="s">
        <v>15480</v>
      </c>
      <c r="AF1501" t="s">
        <v>15481</v>
      </c>
      <c r="AG1501" t="s">
        <v>15479</v>
      </c>
      <c r="AI1501" t="s">
        <v>15482</v>
      </c>
      <c r="AM1501" t="s">
        <v>15483</v>
      </c>
      <c r="AN1501" t="s">
        <v>2046</v>
      </c>
      <c r="AO1501" t="s">
        <v>15484</v>
      </c>
      <c r="AP1501" t="s">
        <v>7024</v>
      </c>
      <c r="AT1501" s="184">
        <v>34443</v>
      </c>
      <c r="AU1501" t="s">
        <v>15485</v>
      </c>
      <c r="AV1501">
        <v>15</v>
      </c>
      <c r="AW1501" s="184">
        <v>45286</v>
      </c>
      <c r="AX1501" t="s">
        <v>15486</v>
      </c>
      <c r="AY1501">
        <v>3000</v>
      </c>
      <c r="AZ1501" s="184">
        <v>45286</v>
      </c>
      <c r="BA1501" t="s">
        <v>15486</v>
      </c>
      <c r="BB1501">
        <v>3000</v>
      </c>
      <c r="BC1501">
        <v>81</v>
      </c>
      <c r="BD1501">
        <v>4160</v>
      </c>
      <c r="BE1501">
        <v>1994</v>
      </c>
      <c r="BF1501">
        <v>51</v>
      </c>
      <c r="BG1501">
        <v>1</v>
      </c>
      <c r="BH1501">
        <v>3000</v>
      </c>
      <c r="BI1501">
        <v>25</v>
      </c>
      <c r="BJ1501">
        <v>31</v>
      </c>
      <c r="BK1501">
        <v>15</v>
      </c>
      <c r="BO1501" t="s">
        <v>595</v>
      </c>
      <c r="BP1501" s="184">
        <v>45162</v>
      </c>
    </row>
    <row r="1502" spans="1:68">
      <c r="A1502">
        <v>16477820</v>
      </c>
      <c r="B1502">
        <v>16477820</v>
      </c>
      <c r="C1502" t="s">
        <v>7018</v>
      </c>
      <c r="D1502" t="s">
        <v>595</v>
      </c>
      <c r="E1502" s="184">
        <v>44302</v>
      </c>
      <c r="G1502" s="184"/>
      <c r="H1502" t="s">
        <v>595</v>
      </c>
      <c r="I1502" s="184">
        <v>44302</v>
      </c>
      <c r="K1502" s="184"/>
      <c r="O1502" s="184"/>
      <c r="P1502" t="s">
        <v>7045</v>
      </c>
      <c r="Q1502" t="s">
        <v>7020</v>
      </c>
      <c r="R1502" s="184">
        <v>20363</v>
      </c>
      <c r="S1502">
        <v>68</v>
      </c>
      <c r="U1502" t="s">
        <v>7031</v>
      </c>
      <c r="V1502" t="s">
        <v>2879</v>
      </c>
      <c r="X1502" t="s">
        <v>5076</v>
      </c>
      <c r="Z1502">
        <v>100044219</v>
      </c>
      <c r="AA1502" t="s">
        <v>7130</v>
      </c>
      <c r="AB1502" t="s">
        <v>3593</v>
      </c>
      <c r="AD1502" t="s">
        <v>5076</v>
      </c>
      <c r="AF1502" t="s">
        <v>15487</v>
      </c>
      <c r="AG1502" t="s">
        <v>15488</v>
      </c>
      <c r="AI1502" t="s">
        <v>15489</v>
      </c>
      <c r="AM1502" t="s">
        <v>15490</v>
      </c>
      <c r="AN1502" t="s">
        <v>2112</v>
      </c>
      <c r="AO1502" t="s">
        <v>15491</v>
      </c>
      <c r="AP1502" t="s">
        <v>7024</v>
      </c>
      <c r="AQ1502" t="s">
        <v>15492</v>
      </c>
      <c r="AR1502" t="s">
        <v>15493</v>
      </c>
      <c r="AT1502" s="184">
        <v>34445</v>
      </c>
      <c r="AU1502" t="s">
        <v>15494</v>
      </c>
      <c r="AV1502">
        <v>25</v>
      </c>
      <c r="AW1502" s="184">
        <v>45411</v>
      </c>
      <c r="AX1502" t="s">
        <v>15495</v>
      </c>
      <c r="AY1502">
        <v>50</v>
      </c>
      <c r="AZ1502" s="184">
        <v>43839</v>
      </c>
      <c r="BA1502" t="s">
        <v>15496</v>
      </c>
      <c r="BB1502">
        <v>100</v>
      </c>
      <c r="BC1502">
        <v>71</v>
      </c>
      <c r="BD1502">
        <v>1070</v>
      </c>
      <c r="BE1502">
        <v>1994</v>
      </c>
      <c r="BF1502">
        <v>29</v>
      </c>
      <c r="BG1502">
        <v>1</v>
      </c>
      <c r="BH1502">
        <v>50</v>
      </c>
      <c r="BI1502">
        <v>22</v>
      </c>
      <c r="BJ1502">
        <v>31</v>
      </c>
      <c r="BK1502">
        <v>10</v>
      </c>
      <c r="BN1502" t="s">
        <v>595</v>
      </c>
      <c r="BP1502" s="184"/>
    </row>
    <row r="1503" spans="1:68">
      <c r="A1503">
        <v>100044219</v>
      </c>
      <c r="B1503">
        <v>16477820</v>
      </c>
      <c r="C1503" t="s">
        <v>7018</v>
      </c>
      <c r="D1503" t="s">
        <v>595</v>
      </c>
      <c r="E1503" s="184">
        <v>44302</v>
      </c>
      <c r="H1503" t="s">
        <v>595</v>
      </c>
      <c r="I1503" s="184">
        <v>44302</v>
      </c>
      <c r="K1503" s="184"/>
      <c r="M1503" s="184"/>
      <c r="O1503" s="184"/>
      <c r="P1503" t="s">
        <v>7045</v>
      </c>
      <c r="Q1503" t="s">
        <v>7020</v>
      </c>
      <c r="R1503" s="184">
        <v>19419</v>
      </c>
      <c r="S1503">
        <v>71</v>
      </c>
      <c r="U1503" t="s">
        <v>7130</v>
      </c>
      <c r="V1503" t="s">
        <v>3593</v>
      </c>
      <c r="X1503" t="s">
        <v>5076</v>
      </c>
      <c r="Z1503">
        <v>16477820</v>
      </c>
      <c r="AA1503" t="s">
        <v>7031</v>
      </c>
      <c r="AB1503" t="s">
        <v>2879</v>
      </c>
      <c r="AD1503" t="s">
        <v>5076</v>
      </c>
      <c r="AF1503" t="s">
        <v>15487</v>
      </c>
      <c r="AG1503" t="s">
        <v>15488</v>
      </c>
      <c r="AI1503" t="s">
        <v>15489</v>
      </c>
      <c r="AM1503" t="s">
        <v>15490</v>
      </c>
      <c r="AN1503" t="s">
        <v>2112</v>
      </c>
      <c r="AO1503" t="s">
        <v>15491</v>
      </c>
      <c r="AP1503" t="s">
        <v>7024</v>
      </c>
      <c r="AQ1503" t="s">
        <v>15497</v>
      </c>
      <c r="AT1503" s="184"/>
      <c r="AW1503" s="184"/>
      <c r="AZ1503" s="184"/>
      <c r="BP1503" s="184"/>
    </row>
    <row r="1504" spans="1:68">
      <c r="A1504">
        <v>16489213</v>
      </c>
      <c r="B1504">
        <v>16489213</v>
      </c>
      <c r="C1504" t="s">
        <v>7018</v>
      </c>
      <c r="D1504" t="s">
        <v>595</v>
      </c>
      <c r="E1504" s="184">
        <v>43951</v>
      </c>
      <c r="I1504" s="184"/>
      <c r="K1504" s="184"/>
      <c r="M1504" s="184"/>
      <c r="P1504" t="s">
        <v>7045</v>
      </c>
      <c r="Q1504" t="s">
        <v>7262</v>
      </c>
      <c r="R1504" s="184">
        <v>12770</v>
      </c>
      <c r="S1504">
        <v>89</v>
      </c>
      <c r="U1504" t="s">
        <v>7076</v>
      </c>
      <c r="V1504" t="s">
        <v>3043</v>
      </c>
      <c r="X1504" t="s">
        <v>15498</v>
      </c>
      <c r="AF1504" t="s">
        <v>15499</v>
      </c>
      <c r="AG1504" t="s">
        <v>3043</v>
      </c>
      <c r="AI1504" t="s">
        <v>15500</v>
      </c>
      <c r="AM1504" t="s">
        <v>2650</v>
      </c>
      <c r="AN1504" t="s">
        <v>65</v>
      </c>
      <c r="AO1504" t="s">
        <v>15501</v>
      </c>
      <c r="AP1504" t="s">
        <v>7024</v>
      </c>
      <c r="AT1504" s="184">
        <v>34445</v>
      </c>
      <c r="AU1504" t="s">
        <v>15502</v>
      </c>
      <c r="AV1504">
        <v>25</v>
      </c>
      <c r="AW1504" s="184">
        <v>42999</v>
      </c>
      <c r="AX1504" t="s">
        <v>15503</v>
      </c>
      <c r="AY1504">
        <v>25</v>
      </c>
      <c r="AZ1504" s="184">
        <v>41869</v>
      </c>
      <c r="BA1504" t="s">
        <v>15504</v>
      </c>
      <c r="BB1504">
        <v>35</v>
      </c>
      <c r="BC1504">
        <v>71</v>
      </c>
      <c r="BD1504">
        <v>745</v>
      </c>
      <c r="BE1504">
        <v>1994</v>
      </c>
      <c r="BF1504">
        <v>24</v>
      </c>
      <c r="BI1504">
        <v>22</v>
      </c>
      <c r="BJ1504">
        <v>31</v>
      </c>
      <c r="BK1504">
        <v>16</v>
      </c>
      <c r="BP1504" s="184"/>
    </row>
    <row r="1505" spans="1:68">
      <c r="A1505">
        <v>16489429</v>
      </c>
      <c r="B1505">
        <v>16489429</v>
      </c>
      <c r="C1505" t="s">
        <v>7018</v>
      </c>
      <c r="E1505" s="184"/>
      <c r="G1505" s="184"/>
      <c r="I1505" s="184"/>
      <c r="J1505" t="s">
        <v>595</v>
      </c>
      <c r="K1505" s="184">
        <v>43801</v>
      </c>
      <c r="O1505" s="184"/>
      <c r="P1505" t="s">
        <v>7045</v>
      </c>
      <c r="Q1505" t="s">
        <v>7194</v>
      </c>
      <c r="R1505" s="184">
        <v>18393</v>
      </c>
      <c r="S1505">
        <v>74</v>
      </c>
      <c r="V1505" t="s">
        <v>2635</v>
      </c>
      <c r="X1505" t="s">
        <v>3539</v>
      </c>
      <c r="Z1505">
        <v>100044252</v>
      </c>
      <c r="AB1505" t="s">
        <v>15505</v>
      </c>
      <c r="AD1505" t="s">
        <v>3539</v>
      </c>
      <c r="AF1505" t="s">
        <v>6363</v>
      </c>
      <c r="AG1505" t="s">
        <v>15506</v>
      </c>
      <c r="AI1505" t="s">
        <v>15507</v>
      </c>
      <c r="AM1505" t="s">
        <v>4293</v>
      </c>
      <c r="AN1505" t="s">
        <v>2046</v>
      </c>
      <c r="AO1505" t="s">
        <v>15508</v>
      </c>
      <c r="AP1505" t="s">
        <v>7024</v>
      </c>
      <c r="AQ1505" t="s">
        <v>15509</v>
      </c>
      <c r="AT1505" s="184">
        <v>34445</v>
      </c>
      <c r="AU1505" t="s">
        <v>15510</v>
      </c>
      <c r="AV1505">
        <v>25</v>
      </c>
      <c r="AW1505" s="184">
        <v>44910</v>
      </c>
      <c r="AX1505" t="s">
        <v>9792</v>
      </c>
      <c r="AY1505">
        <v>500</v>
      </c>
      <c r="AZ1505" s="184">
        <v>44284</v>
      </c>
      <c r="BA1505" t="s">
        <v>15511</v>
      </c>
      <c r="BB1505">
        <v>1000</v>
      </c>
      <c r="BC1505">
        <v>65</v>
      </c>
      <c r="BD1505">
        <v>3145</v>
      </c>
      <c r="BE1505">
        <v>1994</v>
      </c>
      <c r="BF1505">
        <v>33</v>
      </c>
      <c r="BG1505">
        <v>1</v>
      </c>
      <c r="BH1505">
        <v>500</v>
      </c>
      <c r="BI1505">
        <v>20</v>
      </c>
      <c r="BJ1505">
        <v>31</v>
      </c>
      <c r="BK1505">
        <v>9</v>
      </c>
      <c r="BP1505" s="184"/>
    </row>
    <row r="1506" spans="1:68">
      <c r="A1506">
        <v>100044252</v>
      </c>
      <c r="B1506">
        <v>16489429</v>
      </c>
      <c r="C1506" t="s">
        <v>7018</v>
      </c>
      <c r="E1506" s="184"/>
      <c r="G1506" s="184"/>
      <c r="I1506" s="184"/>
      <c r="J1506" t="s">
        <v>595</v>
      </c>
      <c r="K1506" s="184">
        <v>43801</v>
      </c>
      <c r="O1506" s="184"/>
      <c r="P1506" t="s">
        <v>7045</v>
      </c>
      <c r="Q1506" t="s">
        <v>7194</v>
      </c>
      <c r="R1506" s="184">
        <v>17165</v>
      </c>
      <c r="S1506">
        <v>77</v>
      </c>
      <c r="V1506" t="s">
        <v>15505</v>
      </c>
      <c r="X1506" t="s">
        <v>3539</v>
      </c>
      <c r="Z1506">
        <v>16489429</v>
      </c>
      <c r="AB1506" t="s">
        <v>2635</v>
      </c>
      <c r="AD1506" t="s">
        <v>3539</v>
      </c>
      <c r="AF1506" t="s">
        <v>6363</v>
      </c>
      <c r="AG1506" t="s">
        <v>15506</v>
      </c>
      <c r="AI1506" t="s">
        <v>15507</v>
      </c>
      <c r="AM1506" t="s">
        <v>4293</v>
      </c>
      <c r="AN1506" t="s">
        <v>2046</v>
      </c>
      <c r="AO1506" t="s">
        <v>15508</v>
      </c>
      <c r="AP1506" t="s">
        <v>7024</v>
      </c>
      <c r="AQ1506" t="s">
        <v>15509</v>
      </c>
      <c r="AT1506" s="184">
        <v>33015</v>
      </c>
      <c r="AU1506" t="s">
        <v>10605</v>
      </c>
      <c r="AV1506">
        <v>15</v>
      </c>
      <c r="AW1506" s="184">
        <v>45407</v>
      </c>
      <c r="AX1506" t="s">
        <v>7429</v>
      </c>
      <c r="AY1506">
        <v>25</v>
      </c>
      <c r="AZ1506" s="184">
        <v>33350</v>
      </c>
      <c r="BA1506" t="s">
        <v>15512</v>
      </c>
      <c r="BB1506">
        <v>35</v>
      </c>
      <c r="BC1506">
        <v>12</v>
      </c>
      <c r="BD1506">
        <v>250</v>
      </c>
      <c r="BE1506">
        <v>1990</v>
      </c>
      <c r="BF1506">
        <v>10</v>
      </c>
      <c r="BG1506">
        <v>8</v>
      </c>
      <c r="BH1506">
        <v>200</v>
      </c>
      <c r="BI1506">
        <v>4</v>
      </c>
      <c r="BJ1506">
        <v>35</v>
      </c>
      <c r="BK1506">
        <v>2</v>
      </c>
      <c r="BP1506" s="184"/>
    </row>
    <row r="1507" spans="1:68">
      <c r="A1507">
        <v>16496630</v>
      </c>
      <c r="B1507">
        <v>16496630</v>
      </c>
      <c r="C1507" t="s">
        <v>7018</v>
      </c>
      <c r="E1507" s="184"/>
      <c r="G1507" s="184"/>
      <c r="I1507" s="184"/>
      <c r="J1507" t="s">
        <v>595</v>
      </c>
      <c r="K1507" s="184">
        <v>39017</v>
      </c>
      <c r="O1507" s="184"/>
      <c r="P1507" t="s">
        <v>7084</v>
      </c>
      <c r="Q1507" t="s">
        <v>7194</v>
      </c>
      <c r="R1507" s="184">
        <v>12358</v>
      </c>
      <c r="S1507">
        <v>90</v>
      </c>
      <c r="U1507" t="s">
        <v>7031</v>
      </c>
      <c r="V1507" t="s">
        <v>3373</v>
      </c>
      <c r="W1507" t="s">
        <v>7046</v>
      </c>
      <c r="X1507" t="s">
        <v>5388</v>
      </c>
      <c r="Z1507">
        <v>100044270</v>
      </c>
      <c r="AA1507" t="s">
        <v>7130</v>
      </c>
      <c r="AB1507" t="s">
        <v>4032</v>
      </c>
      <c r="AC1507" t="s">
        <v>3951</v>
      </c>
      <c r="AD1507" t="s">
        <v>5388</v>
      </c>
      <c r="AF1507" t="s">
        <v>15513</v>
      </c>
      <c r="AG1507" t="s">
        <v>3373</v>
      </c>
      <c r="AI1507" t="s">
        <v>15514</v>
      </c>
      <c r="AM1507" t="s">
        <v>5389</v>
      </c>
      <c r="AN1507" t="s">
        <v>2046</v>
      </c>
      <c r="AO1507" t="s">
        <v>15515</v>
      </c>
      <c r="AP1507" t="s">
        <v>7024</v>
      </c>
      <c r="AT1507" s="184">
        <v>34446</v>
      </c>
      <c r="AU1507" t="s">
        <v>15516</v>
      </c>
      <c r="AV1507">
        <v>25</v>
      </c>
      <c r="AW1507" s="184">
        <v>45103</v>
      </c>
      <c r="AX1507" t="s">
        <v>7721</v>
      </c>
      <c r="AY1507">
        <v>25000</v>
      </c>
      <c r="AZ1507" s="184">
        <v>45103</v>
      </c>
      <c r="BA1507" t="s">
        <v>7721</v>
      </c>
      <c r="BB1507">
        <v>1000000</v>
      </c>
      <c r="BC1507">
        <v>94</v>
      </c>
      <c r="BD1507">
        <v>1198681.3</v>
      </c>
      <c r="BE1507">
        <v>1994</v>
      </c>
      <c r="BF1507">
        <v>296</v>
      </c>
      <c r="BG1507">
        <v>2</v>
      </c>
      <c r="BH1507">
        <v>1025000</v>
      </c>
      <c r="BI1507">
        <v>29</v>
      </c>
      <c r="BJ1507">
        <v>31</v>
      </c>
      <c r="BK1507">
        <v>28</v>
      </c>
      <c r="BO1507" t="s">
        <v>595</v>
      </c>
      <c r="BP1507" s="184">
        <v>45033</v>
      </c>
    </row>
    <row r="1508" spans="1:68">
      <c r="A1508">
        <v>100044270</v>
      </c>
      <c r="B1508">
        <v>16496630</v>
      </c>
      <c r="C1508" t="s">
        <v>7018</v>
      </c>
      <c r="E1508" s="184"/>
      <c r="G1508" s="184"/>
      <c r="I1508" s="184"/>
      <c r="J1508" t="s">
        <v>595</v>
      </c>
      <c r="K1508" s="184">
        <v>43649</v>
      </c>
      <c r="O1508" s="184"/>
      <c r="P1508" t="s">
        <v>7084</v>
      </c>
      <c r="Q1508" t="s">
        <v>7194</v>
      </c>
      <c r="R1508" s="184">
        <v>9062</v>
      </c>
      <c r="S1508">
        <v>99</v>
      </c>
      <c r="U1508" t="s">
        <v>7130</v>
      </c>
      <c r="V1508" t="s">
        <v>4032</v>
      </c>
      <c r="W1508" t="s">
        <v>3951</v>
      </c>
      <c r="X1508" t="s">
        <v>5388</v>
      </c>
      <c r="Z1508">
        <v>16496630</v>
      </c>
      <c r="AA1508" t="s">
        <v>7031</v>
      </c>
      <c r="AB1508" t="s">
        <v>3373</v>
      </c>
      <c r="AC1508" t="s">
        <v>7046</v>
      </c>
      <c r="AD1508" t="s">
        <v>5388</v>
      </c>
      <c r="AF1508" t="s">
        <v>15513</v>
      </c>
      <c r="AG1508" t="s">
        <v>3373</v>
      </c>
      <c r="AI1508" t="s">
        <v>15514</v>
      </c>
      <c r="AM1508" t="s">
        <v>5389</v>
      </c>
      <c r="AN1508" t="s">
        <v>2046</v>
      </c>
      <c r="AO1508" t="s">
        <v>15515</v>
      </c>
      <c r="AP1508" t="s">
        <v>7024</v>
      </c>
      <c r="AT1508" s="184">
        <v>43602</v>
      </c>
      <c r="AU1508" t="s">
        <v>15517</v>
      </c>
      <c r="AV1508">
        <v>50</v>
      </c>
      <c r="AW1508" s="184">
        <v>43602</v>
      </c>
      <c r="AX1508" t="s">
        <v>15517</v>
      </c>
      <c r="AY1508">
        <v>50</v>
      </c>
      <c r="AZ1508" s="184">
        <v>43602</v>
      </c>
      <c r="BA1508" t="s">
        <v>15517</v>
      </c>
      <c r="BB1508">
        <v>50</v>
      </c>
      <c r="BC1508">
        <v>17</v>
      </c>
      <c r="BD1508">
        <v>50</v>
      </c>
      <c r="BE1508">
        <v>2019</v>
      </c>
      <c r="BF1508">
        <v>1</v>
      </c>
      <c r="BI1508">
        <v>1</v>
      </c>
      <c r="BJ1508">
        <v>6</v>
      </c>
      <c r="BK1508">
        <v>1</v>
      </c>
      <c r="BO1508" t="s">
        <v>595</v>
      </c>
      <c r="BP1508" s="184">
        <v>43591</v>
      </c>
    </row>
    <row r="1509" spans="1:68">
      <c r="A1509">
        <v>16501876</v>
      </c>
      <c r="B1509">
        <v>16501876</v>
      </c>
      <c r="C1509" t="s">
        <v>7018</v>
      </c>
      <c r="E1509" s="184"/>
      <c r="G1509" s="184"/>
      <c r="I1509" s="184"/>
      <c r="J1509" t="s">
        <v>595</v>
      </c>
      <c r="K1509" s="184">
        <v>43649</v>
      </c>
      <c r="O1509" s="184"/>
      <c r="P1509" t="s">
        <v>7045</v>
      </c>
      <c r="Q1509" t="s">
        <v>7262</v>
      </c>
      <c r="R1509" s="184">
        <v>19893</v>
      </c>
      <c r="S1509">
        <v>69</v>
      </c>
      <c r="U1509" t="s">
        <v>7076</v>
      </c>
      <c r="V1509" t="s">
        <v>3468</v>
      </c>
      <c r="W1509" t="s">
        <v>5006</v>
      </c>
      <c r="X1509" t="s">
        <v>3469</v>
      </c>
      <c r="AF1509" t="s">
        <v>6374</v>
      </c>
      <c r="AG1509" t="s">
        <v>3468</v>
      </c>
      <c r="AI1509" t="s">
        <v>15518</v>
      </c>
      <c r="AM1509" t="s">
        <v>13941</v>
      </c>
      <c r="AN1509" t="s">
        <v>2106</v>
      </c>
      <c r="AO1509" t="s">
        <v>15519</v>
      </c>
      <c r="AP1509" t="s">
        <v>7024</v>
      </c>
      <c r="AQ1509" t="s">
        <v>15520</v>
      </c>
      <c r="AR1509" t="s">
        <v>15521</v>
      </c>
      <c r="AT1509" s="184">
        <v>34446</v>
      </c>
      <c r="AU1509" t="s">
        <v>15472</v>
      </c>
      <c r="AV1509">
        <v>15</v>
      </c>
      <c r="AW1509" s="184">
        <v>44678</v>
      </c>
      <c r="AX1509" t="s">
        <v>15522</v>
      </c>
      <c r="AY1509">
        <v>20</v>
      </c>
      <c r="AZ1509" s="184">
        <v>40241</v>
      </c>
      <c r="BA1509" t="s">
        <v>15523</v>
      </c>
      <c r="BB1509">
        <v>60</v>
      </c>
      <c r="BC1509">
        <v>81</v>
      </c>
      <c r="BD1509">
        <v>1375</v>
      </c>
      <c r="BE1509">
        <v>1994</v>
      </c>
      <c r="BF1509">
        <v>73</v>
      </c>
      <c r="BG1509">
        <v>1</v>
      </c>
      <c r="BH1509">
        <v>20</v>
      </c>
      <c r="BI1509">
        <v>25</v>
      </c>
      <c r="BJ1509">
        <v>31</v>
      </c>
      <c r="BK1509">
        <v>20</v>
      </c>
      <c r="BP1509" s="184"/>
    </row>
    <row r="1510" spans="1:68">
      <c r="A1510">
        <v>16564411</v>
      </c>
      <c r="B1510">
        <v>16564411</v>
      </c>
      <c r="C1510" t="s">
        <v>7018</v>
      </c>
      <c r="D1510" t="s">
        <v>595</v>
      </c>
      <c r="E1510" s="184">
        <v>44438</v>
      </c>
      <c r="G1510" s="184"/>
      <c r="I1510" s="184"/>
      <c r="K1510" s="184"/>
      <c r="M1510" s="184"/>
      <c r="O1510" s="184"/>
      <c r="P1510" t="s">
        <v>7019</v>
      </c>
      <c r="Q1510" t="s">
        <v>7383</v>
      </c>
      <c r="R1510" s="184">
        <v>16727</v>
      </c>
      <c r="S1510">
        <v>78</v>
      </c>
      <c r="U1510" t="s">
        <v>7130</v>
      </c>
      <c r="V1510" t="s">
        <v>4139</v>
      </c>
      <c r="X1510" t="s">
        <v>15524</v>
      </c>
      <c r="AF1510" t="s">
        <v>15525</v>
      </c>
      <c r="AG1510" t="s">
        <v>15526</v>
      </c>
      <c r="AI1510" t="s">
        <v>15527</v>
      </c>
      <c r="AM1510" t="s">
        <v>3953</v>
      </c>
      <c r="AN1510" t="s">
        <v>2059</v>
      </c>
      <c r="AO1510" t="s">
        <v>15528</v>
      </c>
      <c r="AP1510" t="s">
        <v>7024</v>
      </c>
      <c r="AQ1510" t="s">
        <v>15529</v>
      </c>
      <c r="AT1510" s="184">
        <v>34449</v>
      </c>
      <c r="AU1510" t="s">
        <v>15530</v>
      </c>
      <c r="AV1510">
        <v>15</v>
      </c>
      <c r="AW1510" s="184">
        <v>44741</v>
      </c>
      <c r="AX1510" t="s">
        <v>15531</v>
      </c>
      <c r="AY1510">
        <v>25</v>
      </c>
      <c r="AZ1510" s="184">
        <v>43913</v>
      </c>
      <c r="BA1510" t="s">
        <v>15532</v>
      </c>
      <c r="BB1510">
        <v>60</v>
      </c>
      <c r="BC1510">
        <v>23</v>
      </c>
      <c r="BD1510">
        <v>190</v>
      </c>
      <c r="BE1510">
        <v>1994</v>
      </c>
      <c r="BF1510">
        <v>7</v>
      </c>
      <c r="BG1510">
        <v>1</v>
      </c>
      <c r="BH1510">
        <v>25</v>
      </c>
      <c r="BI1510">
        <v>7</v>
      </c>
      <c r="BJ1510">
        <v>31</v>
      </c>
      <c r="BK1510">
        <v>5</v>
      </c>
    </row>
    <row r="1511" spans="1:68">
      <c r="A1511">
        <v>16570038</v>
      </c>
      <c r="B1511">
        <v>16570038</v>
      </c>
      <c r="C1511" t="s">
        <v>7018</v>
      </c>
      <c r="E1511" s="184"/>
      <c r="G1511" s="184"/>
      <c r="I1511" s="184"/>
      <c r="J1511" t="s">
        <v>595</v>
      </c>
      <c r="K1511" s="184">
        <v>41978</v>
      </c>
      <c r="M1511" s="184"/>
      <c r="O1511" s="184"/>
      <c r="P1511" t="s">
        <v>7029</v>
      </c>
      <c r="Q1511" t="s">
        <v>7262</v>
      </c>
      <c r="R1511" s="184">
        <v>22614</v>
      </c>
      <c r="S1511">
        <v>62</v>
      </c>
      <c r="V1511" t="s">
        <v>3981</v>
      </c>
      <c r="X1511" t="s">
        <v>15533</v>
      </c>
      <c r="Z1511">
        <v>101074722</v>
      </c>
      <c r="AB1511" t="s">
        <v>15534</v>
      </c>
      <c r="AD1511" t="s">
        <v>15533</v>
      </c>
      <c r="AF1511" t="s">
        <v>15535</v>
      </c>
      <c r="AG1511" t="s">
        <v>15536</v>
      </c>
      <c r="AI1511" t="s">
        <v>15537</v>
      </c>
      <c r="AM1511" t="s">
        <v>15538</v>
      </c>
      <c r="AN1511" t="s">
        <v>2069</v>
      </c>
      <c r="AO1511" t="s">
        <v>15539</v>
      </c>
      <c r="AP1511" t="s">
        <v>7024</v>
      </c>
      <c r="AQ1511" t="s">
        <v>15540</v>
      </c>
      <c r="AR1511" t="s">
        <v>15541</v>
      </c>
      <c r="AT1511" s="184">
        <v>34446</v>
      </c>
      <c r="AU1511" t="s">
        <v>15542</v>
      </c>
      <c r="AV1511">
        <v>25</v>
      </c>
      <c r="AW1511" s="184">
        <v>44944</v>
      </c>
      <c r="AX1511" t="s">
        <v>15543</v>
      </c>
      <c r="AY1511">
        <v>1500</v>
      </c>
      <c r="AZ1511" s="184">
        <v>44944</v>
      </c>
      <c r="BA1511" t="s">
        <v>15543</v>
      </c>
      <c r="BB1511">
        <v>1500</v>
      </c>
      <c r="BC1511">
        <v>59</v>
      </c>
      <c r="BD1511">
        <v>5890</v>
      </c>
      <c r="BE1511">
        <v>1994</v>
      </c>
      <c r="BF1511">
        <v>25</v>
      </c>
      <c r="BG1511">
        <v>1</v>
      </c>
      <c r="BH1511">
        <v>1500</v>
      </c>
      <c r="BI1511">
        <v>18</v>
      </c>
      <c r="BJ1511">
        <v>31</v>
      </c>
      <c r="BK1511">
        <v>7</v>
      </c>
      <c r="BP1511" s="184"/>
    </row>
    <row r="1512" spans="1:68">
      <c r="A1512">
        <v>16570616</v>
      </c>
      <c r="B1512">
        <v>16570616</v>
      </c>
      <c r="C1512" t="s">
        <v>7018</v>
      </c>
      <c r="E1512" s="184"/>
      <c r="G1512" s="184"/>
      <c r="I1512" s="184"/>
      <c r="J1512" t="s">
        <v>595</v>
      </c>
      <c r="K1512" s="184">
        <v>43641</v>
      </c>
      <c r="O1512" s="184"/>
      <c r="P1512" t="s">
        <v>7019</v>
      </c>
      <c r="Q1512" t="s">
        <v>7383</v>
      </c>
      <c r="R1512" s="184">
        <v>17324</v>
      </c>
      <c r="S1512">
        <v>76</v>
      </c>
      <c r="V1512" t="s">
        <v>2511</v>
      </c>
      <c r="X1512" t="s">
        <v>3117</v>
      </c>
      <c r="Z1512">
        <v>100044342</v>
      </c>
      <c r="AB1512" t="s">
        <v>3317</v>
      </c>
      <c r="AD1512" t="s">
        <v>3117</v>
      </c>
      <c r="AF1512" t="s">
        <v>6535</v>
      </c>
      <c r="AG1512" t="s">
        <v>15544</v>
      </c>
      <c r="AI1512" t="s">
        <v>15545</v>
      </c>
      <c r="AM1512" t="s">
        <v>3118</v>
      </c>
      <c r="AN1512" t="s">
        <v>2274</v>
      </c>
      <c r="AO1512" t="s">
        <v>15546</v>
      </c>
      <c r="AP1512" t="s">
        <v>7024</v>
      </c>
      <c r="AQ1512" t="s">
        <v>15547</v>
      </c>
      <c r="AT1512" s="184">
        <v>34446</v>
      </c>
      <c r="AU1512" t="s">
        <v>15548</v>
      </c>
      <c r="AV1512">
        <v>20</v>
      </c>
      <c r="AW1512" s="184">
        <v>44088</v>
      </c>
      <c r="AX1512" t="s">
        <v>15549</v>
      </c>
      <c r="AY1512">
        <v>60</v>
      </c>
      <c r="AZ1512" s="184">
        <v>42494</v>
      </c>
      <c r="BA1512" t="s">
        <v>15550</v>
      </c>
      <c r="BB1512">
        <v>87</v>
      </c>
      <c r="BC1512">
        <v>59</v>
      </c>
      <c r="BD1512">
        <v>817</v>
      </c>
      <c r="BE1512">
        <v>1994</v>
      </c>
      <c r="BF1512">
        <v>21</v>
      </c>
      <c r="BI1512">
        <v>18</v>
      </c>
      <c r="BJ1512">
        <v>31</v>
      </c>
      <c r="BK1512">
        <v>5</v>
      </c>
      <c r="BP1512" s="184"/>
    </row>
    <row r="1513" spans="1:68">
      <c r="A1513">
        <v>100044342</v>
      </c>
      <c r="B1513">
        <v>16570616</v>
      </c>
      <c r="C1513" t="s">
        <v>7018</v>
      </c>
      <c r="E1513" s="184"/>
      <c r="G1513" s="184"/>
      <c r="I1513" s="184"/>
      <c r="J1513" t="s">
        <v>595</v>
      </c>
      <c r="K1513" s="184">
        <v>43641</v>
      </c>
      <c r="M1513" s="184"/>
      <c r="O1513" s="184"/>
      <c r="P1513" t="s">
        <v>7019</v>
      </c>
      <c r="Q1513" t="s">
        <v>7383</v>
      </c>
      <c r="R1513" s="184">
        <v>16948</v>
      </c>
      <c r="S1513">
        <v>77</v>
      </c>
      <c r="V1513" t="s">
        <v>3317</v>
      </c>
      <c r="X1513" t="s">
        <v>3117</v>
      </c>
      <c r="Z1513">
        <v>16570616</v>
      </c>
      <c r="AB1513" t="s">
        <v>2511</v>
      </c>
      <c r="AD1513" t="s">
        <v>3117</v>
      </c>
      <c r="AF1513" t="s">
        <v>6535</v>
      </c>
      <c r="AG1513" t="s">
        <v>15544</v>
      </c>
      <c r="AI1513" t="s">
        <v>15545</v>
      </c>
      <c r="AM1513" t="s">
        <v>3118</v>
      </c>
      <c r="AN1513" t="s">
        <v>2274</v>
      </c>
      <c r="AO1513" t="s">
        <v>15546</v>
      </c>
      <c r="AP1513" t="s">
        <v>7024</v>
      </c>
      <c r="AT1513" s="184"/>
      <c r="AW1513" s="184"/>
      <c r="AZ1513" s="184"/>
      <c r="BP1513" s="184"/>
    </row>
    <row r="1514" spans="1:68">
      <c r="A1514">
        <v>16572521</v>
      </c>
      <c r="B1514">
        <v>16572521</v>
      </c>
      <c r="C1514" t="s">
        <v>7018</v>
      </c>
      <c r="E1514" s="184"/>
      <c r="G1514" s="184"/>
      <c r="I1514" s="184"/>
      <c r="J1514" t="s">
        <v>595</v>
      </c>
      <c r="K1514" s="184">
        <v>42614</v>
      </c>
      <c r="M1514" s="184"/>
      <c r="O1514" s="184"/>
      <c r="P1514" t="s">
        <v>7045</v>
      </c>
      <c r="Q1514" t="s">
        <v>7030</v>
      </c>
      <c r="R1514" s="184">
        <v>19603</v>
      </c>
      <c r="S1514">
        <v>70</v>
      </c>
      <c r="U1514" t="s">
        <v>7076</v>
      </c>
      <c r="V1514" t="s">
        <v>15551</v>
      </c>
      <c r="X1514" t="s">
        <v>15552</v>
      </c>
      <c r="AF1514" t="s">
        <v>6288</v>
      </c>
      <c r="AG1514" t="s">
        <v>15551</v>
      </c>
      <c r="AI1514" t="s">
        <v>15553</v>
      </c>
      <c r="AM1514" t="s">
        <v>3415</v>
      </c>
      <c r="AN1514" t="s">
        <v>2094</v>
      </c>
      <c r="AO1514" t="s">
        <v>15554</v>
      </c>
      <c r="AP1514" t="s">
        <v>7024</v>
      </c>
      <c r="AQ1514" t="s">
        <v>15555</v>
      </c>
      <c r="AR1514" t="s">
        <v>15556</v>
      </c>
      <c r="AT1514" s="184">
        <v>34446</v>
      </c>
      <c r="AU1514" t="s">
        <v>15557</v>
      </c>
      <c r="AV1514">
        <v>15</v>
      </c>
      <c r="AW1514" s="184">
        <v>45088</v>
      </c>
      <c r="AX1514" t="s">
        <v>15558</v>
      </c>
      <c r="AY1514">
        <v>105</v>
      </c>
      <c r="AZ1514" s="184">
        <v>45088</v>
      </c>
      <c r="BA1514" t="s">
        <v>15558</v>
      </c>
      <c r="BB1514">
        <v>105</v>
      </c>
      <c r="BC1514">
        <v>84</v>
      </c>
      <c r="BD1514">
        <v>2395</v>
      </c>
      <c r="BE1514">
        <v>1994</v>
      </c>
      <c r="BF1514">
        <v>37</v>
      </c>
      <c r="BG1514">
        <v>4</v>
      </c>
      <c r="BH1514">
        <v>360</v>
      </c>
      <c r="BI1514">
        <v>26</v>
      </c>
      <c r="BJ1514">
        <v>31</v>
      </c>
      <c r="BK1514">
        <v>21</v>
      </c>
    </row>
    <row r="1515" spans="1:68">
      <c r="A1515">
        <v>16576647</v>
      </c>
      <c r="B1515">
        <v>16576647</v>
      </c>
      <c r="C1515" t="s">
        <v>7018</v>
      </c>
      <c r="E1515" s="184"/>
      <c r="G1515" s="184"/>
      <c r="I1515" s="184"/>
      <c r="J1515" t="s">
        <v>595</v>
      </c>
      <c r="K1515" s="184">
        <v>37854</v>
      </c>
      <c r="M1515" s="184"/>
      <c r="O1515" s="184"/>
      <c r="P1515" t="s">
        <v>7084</v>
      </c>
      <c r="Q1515" t="s">
        <v>7374</v>
      </c>
      <c r="R1515" s="184">
        <v>24718</v>
      </c>
      <c r="S1515">
        <v>56</v>
      </c>
      <c r="U1515" t="s">
        <v>7031</v>
      </c>
      <c r="V1515" t="s">
        <v>5905</v>
      </c>
      <c r="W1515" t="s">
        <v>5006</v>
      </c>
      <c r="X1515" t="s">
        <v>4858</v>
      </c>
      <c r="Z1515">
        <v>100044364</v>
      </c>
      <c r="AA1515" t="s">
        <v>7130</v>
      </c>
      <c r="AB1515" t="s">
        <v>5320</v>
      </c>
      <c r="AC1515" t="s">
        <v>2049</v>
      </c>
      <c r="AD1515" t="s">
        <v>4858</v>
      </c>
      <c r="AF1515" t="s">
        <v>15559</v>
      </c>
      <c r="AG1515" t="s">
        <v>15560</v>
      </c>
      <c r="AI1515" t="s">
        <v>15561</v>
      </c>
      <c r="AJ1515" t="s">
        <v>15562</v>
      </c>
      <c r="AM1515" t="s">
        <v>2534</v>
      </c>
      <c r="AN1515" t="s">
        <v>2081</v>
      </c>
      <c r="AO1515" t="s">
        <v>15563</v>
      </c>
      <c r="AP1515" t="s">
        <v>7024</v>
      </c>
      <c r="AQ1515" t="s">
        <v>15564</v>
      </c>
      <c r="AT1515" s="184">
        <v>34450</v>
      </c>
      <c r="AU1515" t="s">
        <v>15510</v>
      </c>
      <c r="AV1515">
        <v>25</v>
      </c>
      <c r="AW1515" s="184">
        <v>45390</v>
      </c>
      <c r="AX1515" t="s">
        <v>7333</v>
      </c>
      <c r="AY1515">
        <v>10000</v>
      </c>
      <c r="AZ1515" s="184">
        <v>36516</v>
      </c>
      <c r="BA1515" t="s">
        <v>15565</v>
      </c>
      <c r="BB1515">
        <v>100000</v>
      </c>
      <c r="BC1515">
        <v>88</v>
      </c>
      <c r="BD1515">
        <v>871448.3</v>
      </c>
      <c r="BE1515">
        <v>1994</v>
      </c>
      <c r="BF1515">
        <v>61</v>
      </c>
      <c r="BG1515">
        <v>4</v>
      </c>
      <c r="BH1515">
        <v>52000</v>
      </c>
      <c r="BI1515">
        <v>27</v>
      </c>
      <c r="BJ1515">
        <v>31</v>
      </c>
      <c r="BK1515">
        <v>11</v>
      </c>
      <c r="BP1515" s="184"/>
    </row>
    <row r="1516" spans="1:68">
      <c r="A1516">
        <v>100044364</v>
      </c>
      <c r="B1516">
        <v>16576647</v>
      </c>
      <c r="C1516" t="s">
        <v>7018</v>
      </c>
      <c r="E1516" s="184"/>
      <c r="G1516" s="184"/>
      <c r="I1516" s="184"/>
      <c r="J1516" t="s">
        <v>595</v>
      </c>
      <c r="K1516" s="184">
        <v>37854</v>
      </c>
      <c r="M1516" s="184"/>
      <c r="O1516" s="184"/>
      <c r="P1516" t="s">
        <v>7084</v>
      </c>
      <c r="Q1516" t="s">
        <v>7374</v>
      </c>
      <c r="R1516" s="184">
        <v>24898</v>
      </c>
      <c r="S1516">
        <v>56</v>
      </c>
      <c r="U1516" t="s">
        <v>7130</v>
      </c>
      <c r="V1516" t="s">
        <v>5320</v>
      </c>
      <c r="W1516" t="s">
        <v>2049</v>
      </c>
      <c r="X1516" t="s">
        <v>4858</v>
      </c>
      <c r="Z1516">
        <v>16576647</v>
      </c>
      <c r="AA1516" t="s">
        <v>7031</v>
      </c>
      <c r="AB1516" t="s">
        <v>5905</v>
      </c>
      <c r="AC1516" t="s">
        <v>5006</v>
      </c>
      <c r="AD1516" t="s">
        <v>4858</v>
      </c>
      <c r="AF1516" t="s">
        <v>15559</v>
      </c>
      <c r="AG1516" t="s">
        <v>15560</v>
      </c>
      <c r="AI1516" t="s">
        <v>15561</v>
      </c>
      <c r="AJ1516" t="s">
        <v>15562</v>
      </c>
      <c r="AM1516" t="s">
        <v>2534</v>
      </c>
      <c r="AN1516" t="s">
        <v>2081</v>
      </c>
      <c r="AO1516" t="s">
        <v>15563</v>
      </c>
      <c r="AP1516" t="s">
        <v>7024</v>
      </c>
      <c r="AQ1516" t="s">
        <v>15566</v>
      </c>
      <c r="AR1516" t="s">
        <v>15567</v>
      </c>
      <c r="AT1516" s="184"/>
      <c r="AW1516" s="184"/>
      <c r="AZ1516" s="184"/>
    </row>
    <row r="1517" spans="1:68">
      <c r="A1517">
        <v>16590291</v>
      </c>
      <c r="B1517">
        <v>16590291</v>
      </c>
      <c r="C1517" t="s">
        <v>7018</v>
      </c>
      <c r="D1517" t="s">
        <v>595</v>
      </c>
      <c r="E1517" s="184">
        <v>44104</v>
      </c>
      <c r="G1517" s="184"/>
      <c r="I1517" s="184"/>
      <c r="K1517" s="184"/>
      <c r="M1517" s="184"/>
      <c r="O1517" s="184"/>
      <c r="P1517" t="s">
        <v>7045</v>
      </c>
      <c r="Q1517" t="s">
        <v>7383</v>
      </c>
      <c r="R1517" s="184">
        <v>21306</v>
      </c>
      <c r="S1517">
        <v>66</v>
      </c>
      <c r="V1517" t="s">
        <v>13322</v>
      </c>
      <c r="X1517" t="s">
        <v>3539</v>
      </c>
      <c r="Z1517">
        <v>100044400</v>
      </c>
      <c r="AB1517" t="s">
        <v>4542</v>
      </c>
      <c r="AD1517" t="s">
        <v>2988</v>
      </c>
      <c r="AF1517" t="s">
        <v>15568</v>
      </c>
      <c r="AG1517" t="s">
        <v>15569</v>
      </c>
      <c r="AI1517" t="s">
        <v>15570</v>
      </c>
      <c r="AM1517" t="s">
        <v>15571</v>
      </c>
      <c r="AN1517" t="s">
        <v>2059</v>
      </c>
      <c r="AO1517" t="s">
        <v>15572</v>
      </c>
      <c r="AP1517" t="s">
        <v>7024</v>
      </c>
      <c r="AQ1517" t="s">
        <v>15573</v>
      </c>
      <c r="AT1517" s="184">
        <v>34450</v>
      </c>
      <c r="AU1517" t="s">
        <v>15478</v>
      </c>
      <c r="AV1517">
        <v>20</v>
      </c>
      <c r="AW1517" s="184">
        <v>45036</v>
      </c>
      <c r="AX1517" t="s">
        <v>15574</v>
      </c>
      <c r="AY1517">
        <v>100</v>
      </c>
      <c r="AZ1517" s="184">
        <v>45036</v>
      </c>
      <c r="BA1517" t="s">
        <v>15574</v>
      </c>
      <c r="BB1517">
        <v>100</v>
      </c>
      <c r="BC1517">
        <v>91</v>
      </c>
      <c r="BD1517">
        <v>4150</v>
      </c>
      <c r="BE1517">
        <v>1994</v>
      </c>
      <c r="BF1517">
        <v>55</v>
      </c>
      <c r="BG1517">
        <v>2</v>
      </c>
      <c r="BH1517">
        <v>200</v>
      </c>
      <c r="BI1517">
        <v>28</v>
      </c>
      <c r="BJ1517">
        <v>31</v>
      </c>
      <c r="BK1517">
        <v>25</v>
      </c>
    </row>
    <row r="1518" spans="1:68">
      <c r="A1518">
        <v>100044400</v>
      </c>
      <c r="B1518">
        <v>16590291</v>
      </c>
      <c r="C1518" t="s">
        <v>7018</v>
      </c>
      <c r="D1518" t="s">
        <v>595</v>
      </c>
      <c r="E1518" s="184">
        <v>44104</v>
      </c>
      <c r="G1518" s="184"/>
      <c r="I1518" s="184"/>
      <c r="K1518" s="184"/>
      <c r="M1518" s="184"/>
      <c r="O1518" s="184"/>
      <c r="P1518" t="s">
        <v>7045</v>
      </c>
      <c r="Q1518" t="s">
        <v>7383</v>
      </c>
      <c r="R1518" s="184">
        <v>20607</v>
      </c>
      <c r="S1518">
        <v>67</v>
      </c>
      <c r="V1518" t="s">
        <v>4542</v>
      </c>
      <c r="X1518" t="s">
        <v>2988</v>
      </c>
      <c r="Z1518">
        <v>16590291</v>
      </c>
      <c r="AB1518" t="s">
        <v>13322</v>
      </c>
      <c r="AD1518" t="s">
        <v>3539</v>
      </c>
      <c r="AF1518" t="s">
        <v>15568</v>
      </c>
      <c r="AG1518" t="s">
        <v>15569</v>
      </c>
      <c r="AI1518" t="s">
        <v>15570</v>
      </c>
      <c r="AM1518" t="s">
        <v>15571</v>
      </c>
      <c r="AN1518" t="s">
        <v>2059</v>
      </c>
      <c r="AO1518" t="s">
        <v>15572</v>
      </c>
      <c r="AP1518" t="s">
        <v>7024</v>
      </c>
      <c r="AT1518" s="184"/>
      <c r="AW1518" s="184"/>
      <c r="AZ1518" s="184"/>
      <c r="BP1518" s="184"/>
    </row>
    <row r="1519" spans="1:68">
      <c r="A1519">
        <v>16597197</v>
      </c>
      <c r="B1519">
        <v>16597197</v>
      </c>
      <c r="C1519" t="s">
        <v>7018</v>
      </c>
      <c r="D1519" t="s">
        <v>595</v>
      </c>
      <c r="E1519" s="184">
        <v>44313</v>
      </c>
      <c r="G1519" s="184"/>
      <c r="I1519" s="184"/>
      <c r="K1519" s="184"/>
      <c r="O1519" s="184"/>
      <c r="P1519" t="s">
        <v>7029</v>
      </c>
      <c r="Q1519" t="s">
        <v>7160</v>
      </c>
      <c r="R1519" s="184">
        <v>21459</v>
      </c>
      <c r="S1519">
        <v>65</v>
      </c>
      <c r="U1519" t="s">
        <v>7130</v>
      </c>
      <c r="V1519" t="s">
        <v>15575</v>
      </c>
      <c r="W1519" t="s">
        <v>3332</v>
      </c>
      <c r="X1519" t="s">
        <v>15576</v>
      </c>
      <c r="AF1519" t="s">
        <v>15577</v>
      </c>
      <c r="AG1519" t="s">
        <v>15575</v>
      </c>
      <c r="AI1519" t="s">
        <v>15578</v>
      </c>
      <c r="AM1519" t="s">
        <v>15579</v>
      </c>
      <c r="AN1519" t="s">
        <v>2446</v>
      </c>
      <c r="AO1519" t="s">
        <v>15580</v>
      </c>
      <c r="AP1519" t="s">
        <v>7024</v>
      </c>
      <c r="AQ1519" t="s">
        <v>15581</v>
      </c>
      <c r="AT1519" s="184">
        <v>34452</v>
      </c>
      <c r="AU1519" t="s">
        <v>15582</v>
      </c>
      <c r="AV1519">
        <v>20</v>
      </c>
      <c r="AW1519" s="184">
        <v>45299</v>
      </c>
      <c r="AX1519" t="s">
        <v>15583</v>
      </c>
      <c r="AY1519">
        <v>500</v>
      </c>
      <c r="AZ1519" s="184">
        <v>43080</v>
      </c>
      <c r="BA1519" t="s">
        <v>15584</v>
      </c>
      <c r="BB1519">
        <v>5000</v>
      </c>
      <c r="BC1519">
        <v>84</v>
      </c>
      <c r="BD1519">
        <v>15655</v>
      </c>
      <c r="BE1519">
        <v>1994</v>
      </c>
      <c r="BF1519">
        <v>28</v>
      </c>
      <c r="BG1519">
        <v>2</v>
      </c>
      <c r="BH1519">
        <v>950</v>
      </c>
      <c r="BI1519">
        <v>26</v>
      </c>
      <c r="BJ1519">
        <v>31</v>
      </c>
      <c r="BK1519">
        <v>10</v>
      </c>
      <c r="BP1519" s="184"/>
    </row>
    <row r="1520" spans="1:68">
      <c r="A1520">
        <v>16609588</v>
      </c>
      <c r="B1520">
        <v>16609588</v>
      </c>
      <c r="C1520" t="s">
        <v>7018</v>
      </c>
      <c r="E1520" s="184"/>
      <c r="F1520" t="s">
        <v>595</v>
      </c>
      <c r="G1520" s="184">
        <v>43731</v>
      </c>
      <c r="I1520" s="184"/>
      <c r="K1520" s="184"/>
      <c r="O1520" s="184"/>
      <c r="P1520" t="s">
        <v>7045</v>
      </c>
      <c r="Q1520" t="s">
        <v>7383</v>
      </c>
      <c r="R1520" s="184">
        <v>17481</v>
      </c>
      <c r="S1520">
        <v>76</v>
      </c>
      <c r="V1520" t="s">
        <v>3232</v>
      </c>
      <c r="X1520" t="s">
        <v>3947</v>
      </c>
      <c r="AF1520" t="s">
        <v>15585</v>
      </c>
      <c r="AG1520" t="s">
        <v>3232</v>
      </c>
      <c r="AI1520" t="s">
        <v>15586</v>
      </c>
      <c r="AM1520" t="s">
        <v>3948</v>
      </c>
      <c r="AN1520" t="s">
        <v>2059</v>
      </c>
      <c r="AO1520" t="s">
        <v>15587</v>
      </c>
      <c r="AP1520" t="s">
        <v>7024</v>
      </c>
      <c r="AQ1520" t="s">
        <v>15588</v>
      </c>
      <c r="AR1520" t="s">
        <v>15589</v>
      </c>
      <c r="AT1520" s="184">
        <v>34453</v>
      </c>
      <c r="AU1520" t="s">
        <v>15590</v>
      </c>
      <c r="AV1520">
        <v>25</v>
      </c>
      <c r="AW1520" s="184">
        <v>45412</v>
      </c>
      <c r="AX1520" t="s">
        <v>15591</v>
      </c>
      <c r="AY1520">
        <v>35</v>
      </c>
      <c r="AZ1520" s="184">
        <v>40325</v>
      </c>
      <c r="BA1520" t="s">
        <v>15592</v>
      </c>
      <c r="BB1520">
        <v>65</v>
      </c>
      <c r="BC1520">
        <v>100</v>
      </c>
      <c r="BD1520">
        <v>1525</v>
      </c>
      <c r="BE1520">
        <v>1994</v>
      </c>
      <c r="BF1520">
        <v>53</v>
      </c>
      <c r="BG1520">
        <v>5</v>
      </c>
      <c r="BH1520">
        <v>135</v>
      </c>
      <c r="BI1520">
        <v>31</v>
      </c>
      <c r="BJ1520">
        <v>31</v>
      </c>
      <c r="BK1520">
        <v>31</v>
      </c>
      <c r="BN1520" t="s">
        <v>595</v>
      </c>
      <c r="BP1520" s="184"/>
    </row>
    <row r="1521" spans="1:68">
      <c r="A1521">
        <v>16610933</v>
      </c>
      <c r="B1521">
        <v>16610933</v>
      </c>
      <c r="C1521" t="s">
        <v>7018</v>
      </c>
      <c r="D1521" t="s">
        <v>595</v>
      </c>
      <c r="E1521" s="184">
        <v>43642</v>
      </c>
      <c r="G1521" s="184"/>
      <c r="I1521" s="184"/>
      <c r="K1521" s="184"/>
      <c r="O1521" s="184"/>
      <c r="P1521" t="s">
        <v>7045</v>
      </c>
      <c r="Q1521" t="s">
        <v>7383</v>
      </c>
      <c r="R1521" s="184">
        <v>21064</v>
      </c>
      <c r="S1521">
        <v>66</v>
      </c>
      <c r="U1521" t="s">
        <v>7130</v>
      </c>
      <c r="V1521" t="s">
        <v>15593</v>
      </c>
      <c r="W1521" t="s">
        <v>4382</v>
      </c>
      <c r="X1521" t="s">
        <v>15594</v>
      </c>
      <c r="AF1521" t="s">
        <v>15595</v>
      </c>
      <c r="AG1521" t="s">
        <v>15593</v>
      </c>
      <c r="AI1521" t="s">
        <v>15596</v>
      </c>
      <c r="AM1521" t="s">
        <v>3234</v>
      </c>
      <c r="AN1521" t="s">
        <v>2274</v>
      </c>
      <c r="AO1521" t="s">
        <v>15597</v>
      </c>
      <c r="AP1521" t="s">
        <v>7024</v>
      </c>
      <c r="AQ1521" t="s">
        <v>15598</v>
      </c>
      <c r="AR1521" t="s">
        <v>15599</v>
      </c>
      <c r="AT1521" s="184">
        <v>34453</v>
      </c>
      <c r="AU1521" t="s">
        <v>15600</v>
      </c>
      <c r="AV1521">
        <v>5</v>
      </c>
      <c r="AW1521" s="184">
        <v>45290</v>
      </c>
      <c r="AX1521" t="s">
        <v>7210</v>
      </c>
      <c r="AY1521">
        <v>10</v>
      </c>
      <c r="AZ1521" s="184">
        <v>35835</v>
      </c>
      <c r="BA1521" t="s">
        <v>15601</v>
      </c>
      <c r="BB1521">
        <v>35</v>
      </c>
      <c r="BC1521">
        <v>78</v>
      </c>
      <c r="BD1521">
        <v>889.95</v>
      </c>
      <c r="BE1521">
        <v>1994</v>
      </c>
      <c r="BF1521">
        <v>54</v>
      </c>
      <c r="BG1521">
        <v>8</v>
      </c>
      <c r="BH1521">
        <v>110</v>
      </c>
      <c r="BI1521">
        <v>24</v>
      </c>
      <c r="BJ1521">
        <v>31</v>
      </c>
      <c r="BK1521">
        <v>7</v>
      </c>
      <c r="BP1521" s="184"/>
    </row>
    <row r="1522" spans="1:68">
      <c r="A1522">
        <v>16633828</v>
      </c>
      <c r="B1522">
        <v>16633828</v>
      </c>
      <c r="C1522" t="s">
        <v>7018</v>
      </c>
      <c r="E1522" s="184"/>
      <c r="F1522" t="s">
        <v>595</v>
      </c>
      <c r="G1522" s="184">
        <v>43731</v>
      </c>
      <c r="H1522" t="s">
        <v>595</v>
      </c>
      <c r="I1522" s="184">
        <v>44529</v>
      </c>
      <c r="K1522" s="184"/>
      <c r="N1522" t="s">
        <v>595</v>
      </c>
      <c r="O1522" s="184">
        <v>44568</v>
      </c>
      <c r="P1522" t="s">
        <v>7029</v>
      </c>
      <c r="Q1522" t="s">
        <v>7020</v>
      </c>
      <c r="R1522" s="184">
        <v>17309</v>
      </c>
      <c r="S1522">
        <v>76</v>
      </c>
      <c r="U1522" t="s">
        <v>7031</v>
      </c>
      <c r="V1522" t="s">
        <v>2541</v>
      </c>
      <c r="W1522" t="s">
        <v>2963</v>
      </c>
      <c r="X1522" t="s">
        <v>3949</v>
      </c>
      <c r="Z1522">
        <v>100795174</v>
      </c>
      <c r="AA1522" t="s">
        <v>7130</v>
      </c>
      <c r="AB1522" t="s">
        <v>15602</v>
      </c>
      <c r="AC1522" t="s">
        <v>3226</v>
      </c>
      <c r="AD1522" t="s">
        <v>3949</v>
      </c>
      <c r="AF1522" t="s">
        <v>15603</v>
      </c>
      <c r="AG1522" t="s">
        <v>15604</v>
      </c>
      <c r="AI1522" t="s">
        <v>15605</v>
      </c>
      <c r="AM1522" t="s">
        <v>3950</v>
      </c>
      <c r="AN1522" t="s">
        <v>2465</v>
      </c>
      <c r="AO1522" t="s">
        <v>15606</v>
      </c>
      <c r="AP1522" t="s">
        <v>7024</v>
      </c>
      <c r="AQ1522" t="s">
        <v>15607</v>
      </c>
      <c r="AT1522" s="184">
        <v>34457</v>
      </c>
      <c r="AU1522" t="s">
        <v>15608</v>
      </c>
      <c r="AV1522">
        <v>25</v>
      </c>
      <c r="AW1522" s="184">
        <v>45416</v>
      </c>
      <c r="AX1522" t="s">
        <v>7422</v>
      </c>
      <c r="AY1522">
        <v>20</v>
      </c>
      <c r="AZ1522" s="184">
        <v>45290</v>
      </c>
      <c r="BA1522" t="s">
        <v>15609</v>
      </c>
      <c r="BB1522">
        <v>1000</v>
      </c>
      <c r="BC1522">
        <v>55</v>
      </c>
      <c r="BD1522">
        <v>2237</v>
      </c>
      <c r="BE1522">
        <v>1994</v>
      </c>
      <c r="BF1522">
        <v>36</v>
      </c>
      <c r="BG1522">
        <v>21</v>
      </c>
      <c r="BH1522">
        <v>1710</v>
      </c>
      <c r="BI1522">
        <v>17</v>
      </c>
      <c r="BJ1522">
        <v>31</v>
      </c>
      <c r="BK1522">
        <v>8</v>
      </c>
      <c r="BP1522" s="184"/>
    </row>
    <row r="1523" spans="1:68">
      <c r="A1523">
        <v>16653263</v>
      </c>
      <c r="B1523">
        <v>16653263</v>
      </c>
      <c r="C1523" t="s">
        <v>7018</v>
      </c>
      <c r="E1523" s="184"/>
      <c r="G1523" s="184"/>
      <c r="I1523" s="184"/>
      <c r="J1523" t="s">
        <v>595</v>
      </c>
      <c r="K1523" s="184">
        <v>43773</v>
      </c>
      <c r="O1523" s="184"/>
      <c r="P1523" t="s">
        <v>7045</v>
      </c>
      <c r="Q1523" t="s">
        <v>7374</v>
      </c>
      <c r="R1523" s="184">
        <v>18175</v>
      </c>
      <c r="S1523">
        <v>74</v>
      </c>
      <c r="U1523" t="s">
        <v>7076</v>
      </c>
      <c r="V1523" t="s">
        <v>2733</v>
      </c>
      <c r="W1523" t="s">
        <v>3226</v>
      </c>
      <c r="X1523" t="s">
        <v>4230</v>
      </c>
      <c r="AF1523" t="s">
        <v>6321</v>
      </c>
      <c r="AG1523" t="s">
        <v>2733</v>
      </c>
      <c r="AI1523" t="s">
        <v>15610</v>
      </c>
      <c r="AM1523" t="s">
        <v>4231</v>
      </c>
      <c r="AN1523" t="s">
        <v>2081</v>
      </c>
      <c r="AO1523" t="s">
        <v>15611</v>
      </c>
      <c r="AP1523" t="s">
        <v>7024</v>
      </c>
      <c r="AQ1523" t="s">
        <v>15612</v>
      </c>
      <c r="AT1523" s="184">
        <v>34460</v>
      </c>
      <c r="AU1523" t="s">
        <v>15613</v>
      </c>
      <c r="AV1523">
        <v>15</v>
      </c>
      <c r="AW1523" s="184">
        <v>45147</v>
      </c>
      <c r="AX1523" t="s">
        <v>15614</v>
      </c>
      <c r="AY1523">
        <v>100</v>
      </c>
      <c r="AZ1523" s="184">
        <v>45147</v>
      </c>
      <c r="BA1523" t="s">
        <v>15614</v>
      </c>
      <c r="BB1523">
        <v>100</v>
      </c>
      <c r="BC1523">
        <v>97</v>
      </c>
      <c r="BD1523">
        <v>1860</v>
      </c>
      <c r="BE1523">
        <v>1994</v>
      </c>
      <c r="BF1523">
        <v>71</v>
      </c>
      <c r="BG1523">
        <v>3</v>
      </c>
      <c r="BH1523">
        <v>250</v>
      </c>
      <c r="BI1523">
        <v>30</v>
      </c>
      <c r="BJ1523">
        <v>31</v>
      </c>
      <c r="BK1523">
        <v>30</v>
      </c>
      <c r="BP1523" s="184"/>
    </row>
    <row r="1524" spans="1:68">
      <c r="A1524">
        <v>16657413</v>
      </c>
      <c r="B1524">
        <v>16657413</v>
      </c>
      <c r="C1524" t="s">
        <v>7018</v>
      </c>
      <c r="D1524" t="s">
        <v>595</v>
      </c>
      <c r="E1524" s="184">
        <v>44073</v>
      </c>
      <c r="G1524" s="184"/>
      <c r="I1524" s="184"/>
      <c r="K1524" s="184"/>
      <c r="O1524" s="184"/>
      <c r="P1524" t="s">
        <v>7045</v>
      </c>
      <c r="Q1524" t="s">
        <v>7454</v>
      </c>
      <c r="R1524" s="184">
        <v>20782</v>
      </c>
      <c r="S1524">
        <v>67</v>
      </c>
      <c r="U1524" t="s">
        <v>7031</v>
      </c>
      <c r="V1524" t="s">
        <v>2614</v>
      </c>
      <c r="X1524" t="s">
        <v>15615</v>
      </c>
      <c r="AF1524" t="s">
        <v>15616</v>
      </c>
      <c r="AG1524" t="s">
        <v>2614</v>
      </c>
      <c r="AI1524" t="s">
        <v>15617</v>
      </c>
      <c r="AM1524" t="s">
        <v>2608</v>
      </c>
      <c r="AN1524" t="s">
        <v>2299</v>
      </c>
      <c r="AO1524" t="s">
        <v>15618</v>
      </c>
      <c r="AP1524" t="s">
        <v>7024</v>
      </c>
      <c r="AQ1524" t="s">
        <v>15619</v>
      </c>
      <c r="AT1524" s="184">
        <v>34463</v>
      </c>
      <c r="AU1524" t="s">
        <v>15620</v>
      </c>
      <c r="AV1524">
        <v>25</v>
      </c>
      <c r="AW1524" s="184">
        <v>39128</v>
      </c>
      <c r="AX1524" t="s">
        <v>15621</v>
      </c>
      <c r="AY1524">
        <v>25</v>
      </c>
      <c r="AZ1524" s="184">
        <v>36580</v>
      </c>
      <c r="BA1524" t="s">
        <v>15622</v>
      </c>
      <c r="BB1524">
        <v>180</v>
      </c>
      <c r="BC1524">
        <v>36</v>
      </c>
      <c r="BD1524">
        <v>1910</v>
      </c>
      <c r="BE1524">
        <v>1994</v>
      </c>
      <c r="BF1524">
        <v>31</v>
      </c>
      <c r="BI1524">
        <v>11</v>
      </c>
      <c r="BJ1524">
        <v>31</v>
      </c>
      <c r="BK1524">
        <v>9</v>
      </c>
    </row>
    <row r="1525" spans="1:68">
      <c r="A1525">
        <v>16660334</v>
      </c>
      <c r="B1525">
        <v>16660334</v>
      </c>
      <c r="C1525" t="s">
        <v>7018</v>
      </c>
      <c r="D1525" t="s">
        <v>595</v>
      </c>
      <c r="E1525" s="184">
        <v>43745</v>
      </c>
      <c r="G1525" s="184"/>
      <c r="I1525" s="184"/>
      <c r="K1525" s="184"/>
      <c r="O1525" s="184"/>
      <c r="P1525" t="s">
        <v>7045</v>
      </c>
      <c r="Q1525" t="s">
        <v>7030</v>
      </c>
      <c r="R1525" s="184">
        <v>18994</v>
      </c>
      <c r="S1525">
        <v>72</v>
      </c>
      <c r="U1525" t="s">
        <v>7237</v>
      </c>
      <c r="V1525" t="s">
        <v>2898</v>
      </c>
      <c r="W1525" t="s">
        <v>3226</v>
      </c>
      <c r="X1525" t="s">
        <v>4110</v>
      </c>
      <c r="AF1525" t="s">
        <v>15623</v>
      </c>
      <c r="AG1525" t="s">
        <v>2898</v>
      </c>
      <c r="AI1525" t="s">
        <v>15624</v>
      </c>
      <c r="AM1525" t="s">
        <v>15625</v>
      </c>
      <c r="AN1525" t="s">
        <v>2094</v>
      </c>
      <c r="AO1525" t="s">
        <v>15626</v>
      </c>
      <c r="AP1525" t="s">
        <v>7024</v>
      </c>
      <c r="AT1525" s="184">
        <v>34463</v>
      </c>
      <c r="AU1525" t="s">
        <v>15627</v>
      </c>
      <c r="AV1525">
        <v>20</v>
      </c>
      <c r="AW1525" s="184">
        <v>44953</v>
      </c>
      <c r="AX1525" t="s">
        <v>15628</v>
      </c>
      <c r="AY1525">
        <v>100</v>
      </c>
      <c r="AZ1525" s="184">
        <v>43461</v>
      </c>
      <c r="BA1525" t="s">
        <v>15629</v>
      </c>
      <c r="BB1525">
        <v>350</v>
      </c>
      <c r="BC1525">
        <v>46</v>
      </c>
      <c r="BD1525">
        <v>2116</v>
      </c>
      <c r="BE1525">
        <v>1994</v>
      </c>
      <c r="BF1525">
        <v>17</v>
      </c>
      <c r="BG1525">
        <v>1</v>
      </c>
      <c r="BH1525">
        <v>100</v>
      </c>
      <c r="BI1525">
        <v>14</v>
      </c>
      <c r="BJ1525">
        <v>31</v>
      </c>
      <c r="BK1525">
        <v>4</v>
      </c>
      <c r="BP1525" s="184"/>
    </row>
    <row r="1526" spans="1:68">
      <c r="A1526">
        <v>16665424</v>
      </c>
      <c r="B1526">
        <v>16665424</v>
      </c>
      <c r="C1526" t="s">
        <v>7018</v>
      </c>
      <c r="D1526" t="s">
        <v>595</v>
      </c>
      <c r="E1526" s="184">
        <v>45148</v>
      </c>
      <c r="G1526" s="184"/>
      <c r="I1526" s="184"/>
      <c r="K1526" s="184"/>
      <c r="O1526" s="184"/>
      <c r="P1526" t="s">
        <v>7045</v>
      </c>
      <c r="Q1526" t="s">
        <v>7383</v>
      </c>
      <c r="R1526" s="184">
        <v>22313</v>
      </c>
      <c r="S1526">
        <v>63</v>
      </c>
      <c r="U1526" t="s">
        <v>7031</v>
      </c>
      <c r="V1526" t="s">
        <v>4236</v>
      </c>
      <c r="W1526" t="s">
        <v>7046</v>
      </c>
      <c r="X1526" t="s">
        <v>15630</v>
      </c>
      <c r="AF1526" t="s">
        <v>15631</v>
      </c>
      <c r="AG1526" t="s">
        <v>4236</v>
      </c>
      <c r="AI1526" t="s">
        <v>15632</v>
      </c>
      <c r="AM1526" t="s">
        <v>3308</v>
      </c>
      <c r="AN1526" t="s">
        <v>2313</v>
      </c>
      <c r="AO1526" t="s">
        <v>15633</v>
      </c>
      <c r="AP1526" t="s">
        <v>7024</v>
      </c>
      <c r="AQ1526" t="s">
        <v>15634</v>
      </c>
      <c r="AR1526" t="s">
        <v>15635</v>
      </c>
      <c r="AT1526" s="184">
        <v>34464</v>
      </c>
      <c r="AU1526" t="s">
        <v>15636</v>
      </c>
      <c r="AV1526">
        <v>25</v>
      </c>
      <c r="AW1526" s="184">
        <v>44949</v>
      </c>
      <c r="AX1526" t="s">
        <v>15637</v>
      </c>
      <c r="AY1526">
        <v>100</v>
      </c>
      <c r="AZ1526" s="184">
        <v>44949</v>
      </c>
      <c r="BA1526" t="s">
        <v>15637</v>
      </c>
      <c r="BB1526">
        <v>100</v>
      </c>
      <c r="BC1526">
        <v>97</v>
      </c>
      <c r="BD1526">
        <v>2245</v>
      </c>
      <c r="BE1526">
        <v>1994</v>
      </c>
      <c r="BF1526">
        <v>39</v>
      </c>
      <c r="BG1526">
        <v>1</v>
      </c>
      <c r="BH1526">
        <v>100</v>
      </c>
      <c r="BI1526">
        <v>30</v>
      </c>
      <c r="BJ1526">
        <v>31</v>
      </c>
      <c r="BK1526">
        <v>30</v>
      </c>
      <c r="BP1526" s="184"/>
    </row>
    <row r="1527" spans="1:68">
      <c r="A1527">
        <v>16669004</v>
      </c>
      <c r="B1527">
        <v>16669004</v>
      </c>
      <c r="C1527" t="s">
        <v>7018</v>
      </c>
      <c r="E1527" s="184"/>
      <c r="G1527" s="184"/>
      <c r="I1527" s="184"/>
      <c r="J1527" t="s">
        <v>595</v>
      </c>
      <c r="K1527" s="184">
        <v>38218</v>
      </c>
      <c r="P1527" t="s">
        <v>7045</v>
      </c>
      <c r="Q1527" t="s">
        <v>7383</v>
      </c>
      <c r="R1527" s="184">
        <v>17942</v>
      </c>
      <c r="S1527">
        <v>75</v>
      </c>
      <c r="U1527" t="s">
        <v>7130</v>
      </c>
      <c r="V1527" t="s">
        <v>2586</v>
      </c>
      <c r="X1527" t="s">
        <v>5591</v>
      </c>
      <c r="Z1527">
        <v>100044698</v>
      </c>
      <c r="AA1527" t="s">
        <v>7031</v>
      </c>
      <c r="AB1527" t="s">
        <v>2863</v>
      </c>
      <c r="AC1527" t="s">
        <v>7963</v>
      </c>
      <c r="AD1527" t="s">
        <v>5591</v>
      </c>
      <c r="AF1527" t="s">
        <v>15638</v>
      </c>
      <c r="AG1527" t="s">
        <v>15639</v>
      </c>
      <c r="AI1527" t="s">
        <v>15640</v>
      </c>
      <c r="AM1527" t="s">
        <v>5592</v>
      </c>
      <c r="AN1527" t="s">
        <v>2139</v>
      </c>
      <c r="AO1527">
        <v>67144</v>
      </c>
      <c r="AP1527" t="s">
        <v>7024</v>
      </c>
      <c r="AQ1527" t="s">
        <v>15641</v>
      </c>
      <c r="AT1527" s="184">
        <v>34472</v>
      </c>
      <c r="AU1527" t="s">
        <v>15439</v>
      </c>
      <c r="AV1527">
        <v>250</v>
      </c>
      <c r="AW1527" s="184">
        <v>37425</v>
      </c>
      <c r="AX1527" t="s">
        <v>15642</v>
      </c>
      <c r="AY1527">
        <v>2500</v>
      </c>
      <c r="AZ1527" s="184">
        <v>36286</v>
      </c>
      <c r="BA1527" t="s">
        <v>15643</v>
      </c>
      <c r="BB1527">
        <v>7000</v>
      </c>
      <c r="BC1527">
        <v>30</v>
      </c>
      <c r="BD1527">
        <v>33160</v>
      </c>
      <c r="BE1527">
        <v>1994</v>
      </c>
      <c r="BF1527">
        <v>20</v>
      </c>
      <c r="BI1527">
        <v>9</v>
      </c>
      <c r="BJ1527">
        <v>31</v>
      </c>
      <c r="BK1527">
        <v>9</v>
      </c>
      <c r="BP1527" s="184"/>
    </row>
    <row r="1528" spans="1:68">
      <c r="A1528">
        <v>100044698</v>
      </c>
      <c r="B1528">
        <v>16669004</v>
      </c>
      <c r="C1528" t="s">
        <v>7018</v>
      </c>
      <c r="E1528" s="184"/>
      <c r="I1528" s="184"/>
      <c r="J1528" t="s">
        <v>595</v>
      </c>
      <c r="K1528" s="184">
        <v>38218</v>
      </c>
      <c r="O1528" s="184"/>
      <c r="P1528" t="s">
        <v>7045</v>
      </c>
      <c r="Q1528" t="s">
        <v>7383</v>
      </c>
      <c r="R1528" s="184">
        <v>17942</v>
      </c>
      <c r="S1528">
        <v>75</v>
      </c>
      <c r="U1528" t="s">
        <v>7031</v>
      </c>
      <c r="V1528" t="s">
        <v>2863</v>
      </c>
      <c r="W1528" t="s">
        <v>7963</v>
      </c>
      <c r="X1528" t="s">
        <v>5591</v>
      </c>
      <c r="Z1528">
        <v>16669004</v>
      </c>
      <c r="AA1528" t="s">
        <v>7130</v>
      </c>
      <c r="AB1528" t="s">
        <v>2586</v>
      </c>
      <c r="AD1528" t="s">
        <v>5591</v>
      </c>
      <c r="AF1528" t="s">
        <v>15638</v>
      </c>
      <c r="AG1528" t="s">
        <v>15639</v>
      </c>
      <c r="AI1528" t="s">
        <v>15640</v>
      </c>
      <c r="AM1528" t="s">
        <v>5592</v>
      </c>
      <c r="AN1528" t="s">
        <v>2139</v>
      </c>
      <c r="AO1528">
        <v>67144</v>
      </c>
      <c r="AP1528" t="s">
        <v>7024</v>
      </c>
      <c r="AT1528" s="184"/>
      <c r="AW1528" s="184"/>
      <c r="AZ1528" s="184"/>
      <c r="BP1528" s="184"/>
    </row>
    <row r="1529" spans="1:68">
      <c r="A1529">
        <v>16676637</v>
      </c>
      <c r="B1529">
        <v>16676637</v>
      </c>
      <c r="C1529" t="s">
        <v>7018</v>
      </c>
      <c r="E1529" s="184"/>
      <c r="G1529" s="184"/>
      <c r="I1529" s="184"/>
      <c r="J1529" t="s">
        <v>595</v>
      </c>
      <c r="K1529" s="184">
        <v>37550</v>
      </c>
      <c r="O1529" s="184"/>
      <c r="P1529" t="s">
        <v>7045</v>
      </c>
      <c r="Q1529" t="s">
        <v>7454</v>
      </c>
      <c r="R1529" s="184">
        <v>20486</v>
      </c>
      <c r="S1529">
        <v>68</v>
      </c>
      <c r="U1529" t="s">
        <v>7076</v>
      </c>
      <c r="V1529" t="s">
        <v>2602</v>
      </c>
      <c r="W1529" t="s">
        <v>7407</v>
      </c>
      <c r="X1529" t="s">
        <v>14095</v>
      </c>
      <c r="AF1529" t="s">
        <v>6119</v>
      </c>
      <c r="AG1529" t="s">
        <v>2602</v>
      </c>
      <c r="AI1529" t="s">
        <v>15644</v>
      </c>
      <c r="AM1529" t="s">
        <v>3750</v>
      </c>
      <c r="AN1529" t="s">
        <v>2055</v>
      </c>
      <c r="AO1529" t="s">
        <v>15645</v>
      </c>
      <c r="AP1529" t="s">
        <v>7024</v>
      </c>
      <c r="AQ1529" t="s">
        <v>15646</v>
      </c>
      <c r="AR1529" t="s">
        <v>15647</v>
      </c>
      <c r="AT1529" s="184">
        <v>34466</v>
      </c>
      <c r="AU1529" t="s">
        <v>15516</v>
      </c>
      <c r="AV1529">
        <v>25</v>
      </c>
      <c r="AW1529" s="184">
        <v>45258</v>
      </c>
      <c r="AX1529" t="s">
        <v>15648</v>
      </c>
      <c r="AY1529">
        <v>100</v>
      </c>
      <c r="AZ1529" s="184">
        <v>37550</v>
      </c>
      <c r="BA1529" t="s">
        <v>15649</v>
      </c>
      <c r="BB1529">
        <v>500</v>
      </c>
      <c r="BC1529">
        <v>78</v>
      </c>
      <c r="BD1529">
        <v>5160</v>
      </c>
      <c r="BE1529">
        <v>1994</v>
      </c>
      <c r="BF1529">
        <v>43</v>
      </c>
      <c r="BG1529">
        <v>1</v>
      </c>
      <c r="BH1529">
        <v>100</v>
      </c>
      <c r="BI1529">
        <v>24</v>
      </c>
      <c r="BJ1529">
        <v>31</v>
      </c>
      <c r="BK1529">
        <v>12</v>
      </c>
      <c r="BP1529" s="184"/>
    </row>
    <row r="1530" spans="1:68">
      <c r="A1530">
        <v>16681983</v>
      </c>
      <c r="B1530">
        <v>16681983</v>
      </c>
      <c r="C1530" t="s">
        <v>7018</v>
      </c>
      <c r="E1530" s="184"/>
      <c r="G1530" s="184"/>
      <c r="I1530" s="184"/>
      <c r="J1530" t="s">
        <v>595</v>
      </c>
      <c r="K1530" s="184">
        <v>39013</v>
      </c>
      <c r="O1530" s="184"/>
      <c r="P1530" t="s">
        <v>7045</v>
      </c>
      <c r="Q1530" t="s">
        <v>7020</v>
      </c>
      <c r="R1530" s="184">
        <v>13097</v>
      </c>
      <c r="S1530">
        <v>88</v>
      </c>
      <c r="U1530" t="s">
        <v>7031</v>
      </c>
      <c r="V1530" t="s">
        <v>2511</v>
      </c>
      <c r="W1530" t="s">
        <v>2963</v>
      </c>
      <c r="X1530" t="s">
        <v>5732</v>
      </c>
      <c r="AF1530" t="s">
        <v>15650</v>
      </c>
      <c r="AG1530" t="s">
        <v>2511</v>
      </c>
      <c r="AI1530" t="s">
        <v>15651</v>
      </c>
      <c r="AM1530" t="s">
        <v>2788</v>
      </c>
      <c r="AN1530" t="s">
        <v>2052</v>
      </c>
      <c r="AO1530" t="s">
        <v>15652</v>
      </c>
      <c r="AP1530" t="s">
        <v>7024</v>
      </c>
      <c r="AT1530" s="184">
        <v>34470</v>
      </c>
      <c r="AU1530" t="s">
        <v>15653</v>
      </c>
      <c r="AV1530">
        <v>25</v>
      </c>
      <c r="AW1530" s="184">
        <v>44473</v>
      </c>
      <c r="AX1530" t="s">
        <v>7093</v>
      </c>
      <c r="AY1530">
        <v>24585.05</v>
      </c>
      <c r="AZ1530" s="184">
        <v>44473</v>
      </c>
      <c r="BA1530" t="s">
        <v>7093</v>
      </c>
      <c r="BB1530">
        <v>24585.05</v>
      </c>
      <c r="BC1530">
        <v>91</v>
      </c>
      <c r="BD1530">
        <v>42931.45</v>
      </c>
      <c r="BE1530">
        <v>1994</v>
      </c>
      <c r="BF1530">
        <v>44</v>
      </c>
      <c r="BI1530">
        <v>28</v>
      </c>
      <c r="BJ1530">
        <v>31</v>
      </c>
      <c r="BK1530">
        <v>28</v>
      </c>
    </row>
    <row r="1531" spans="1:68">
      <c r="A1531">
        <v>16695587</v>
      </c>
      <c r="B1531">
        <v>16695587</v>
      </c>
      <c r="C1531" t="s">
        <v>7018</v>
      </c>
      <c r="E1531" s="184"/>
      <c r="F1531" t="s">
        <v>595</v>
      </c>
      <c r="G1531" s="184">
        <v>44073</v>
      </c>
      <c r="I1531" s="184"/>
      <c r="K1531" s="184"/>
      <c r="O1531" s="184"/>
      <c r="P1531" t="s">
        <v>7045</v>
      </c>
      <c r="Q1531" t="s">
        <v>7020</v>
      </c>
      <c r="R1531" s="184">
        <v>19876</v>
      </c>
      <c r="S1531">
        <v>69</v>
      </c>
      <c r="U1531" t="s">
        <v>7130</v>
      </c>
      <c r="V1531" t="s">
        <v>3043</v>
      </c>
      <c r="W1531" t="s">
        <v>7107</v>
      </c>
      <c r="X1531" t="s">
        <v>15654</v>
      </c>
      <c r="AF1531" t="s">
        <v>15655</v>
      </c>
      <c r="AG1531" t="s">
        <v>3043</v>
      </c>
      <c r="AI1531" t="s">
        <v>15656</v>
      </c>
      <c r="AM1531" t="s">
        <v>3146</v>
      </c>
      <c r="AN1531" t="s">
        <v>2112</v>
      </c>
      <c r="AO1531" t="s">
        <v>15657</v>
      </c>
      <c r="AP1531" t="s">
        <v>7024</v>
      </c>
      <c r="AT1531" s="184">
        <v>34470</v>
      </c>
      <c r="AU1531" t="s">
        <v>15658</v>
      </c>
      <c r="AV1531">
        <v>15</v>
      </c>
      <c r="AW1531" s="184">
        <v>45259</v>
      </c>
      <c r="AX1531" t="s">
        <v>15167</v>
      </c>
      <c r="AY1531">
        <v>100</v>
      </c>
      <c r="AZ1531" s="184">
        <v>45259</v>
      </c>
      <c r="BA1531" t="s">
        <v>15167</v>
      </c>
      <c r="BB1531">
        <v>100</v>
      </c>
      <c r="BC1531">
        <v>94</v>
      </c>
      <c r="BD1531">
        <v>1275</v>
      </c>
      <c r="BE1531">
        <v>1994</v>
      </c>
      <c r="BF1531">
        <v>41</v>
      </c>
      <c r="BG1531">
        <v>2</v>
      </c>
      <c r="BH1531">
        <v>200</v>
      </c>
      <c r="BI1531">
        <v>29</v>
      </c>
      <c r="BJ1531">
        <v>31</v>
      </c>
      <c r="BK1531">
        <v>22</v>
      </c>
      <c r="BP1531" s="184"/>
    </row>
    <row r="1532" spans="1:68">
      <c r="A1532">
        <v>16720872</v>
      </c>
      <c r="B1532">
        <v>16720872</v>
      </c>
      <c r="C1532" t="s">
        <v>7018</v>
      </c>
      <c r="D1532" t="s">
        <v>595</v>
      </c>
      <c r="E1532" s="184">
        <v>43642</v>
      </c>
      <c r="I1532" s="184"/>
      <c r="K1532" s="184"/>
      <c r="O1532" s="184"/>
      <c r="P1532" t="s">
        <v>7045</v>
      </c>
      <c r="Q1532" t="s">
        <v>7020</v>
      </c>
      <c r="R1532" s="184">
        <v>11509</v>
      </c>
      <c r="S1532">
        <v>92</v>
      </c>
      <c r="U1532" t="s">
        <v>7031</v>
      </c>
      <c r="V1532" t="s">
        <v>3103</v>
      </c>
      <c r="X1532" t="s">
        <v>3235</v>
      </c>
      <c r="AF1532" t="s">
        <v>15659</v>
      </c>
      <c r="AG1532" t="s">
        <v>3103</v>
      </c>
      <c r="AI1532" t="s">
        <v>15660</v>
      </c>
      <c r="AM1532" t="s">
        <v>3236</v>
      </c>
      <c r="AN1532" t="s">
        <v>2112</v>
      </c>
      <c r="AO1532" t="s">
        <v>15661</v>
      </c>
      <c r="AP1532" t="s">
        <v>7024</v>
      </c>
      <c r="AT1532" s="184">
        <v>34472</v>
      </c>
      <c r="AU1532" t="s">
        <v>15662</v>
      </c>
      <c r="AV1532">
        <v>15</v>
      </c>
      <c r="AW1532" s="184">
        <v>45076</v>
      </c>
      <c r="AX1532" t="s">
        <v>15663</v>
      </c>
      <c r="AY1532">
        <v>50</v>
      </c>
      <c r="AZ1532" s="184">
        <v>34605</v>
      </c>
      <c r="BA1532" t="s">
        <v>15664</v>
      </c>
      <c r="BB1532">
        <v>100</v>
      </c>
      <c r="BC1532">
        <v>78</v>
      </c>
      <c r="BD1532">
        <v>1300</v>
      </c>
      <c r="BE1532">
        <v>1994</v>
      </c>
      <c r="BF1532">
        <v>45</v>
      </c>
      <c r="BG1532">
        <v>3</v>
      </c>
      <c r="BH1532">
        <v>125</v>
      </c>
      <c r="BI1532">
        <v>24</v>
      </c>
      <c r="BJ1532">
        <v>31</v>
      </c>
      <c r="BK1532">
        <v>17</v>
      </c>
      <c r="BP1532" s="184"/>
    </row>
    <row r="1533" spans="1:68">
      <c r="A1533">
        <v>16735524</v>
      </c>
      <c r="B1533">
        <v>16735524</v>
      </c>
      <c r="C1533" t="s">
        <v>7018</v>
      </c>
      <c r="D1533" t="s">
        <v>595</v>
      </c>
      <c r="E1533" s="184">
        <v>43640</v>
      </c>
      <c r="I1533" s="184"/>
      <c r="K1533" s="184"/>
      <c r="O1533" s="184"/>
      <c r="P1533" t="s">
        <v>7045</v>
      </c>
      <c r="Q1533" t="s">
        <v>7030</v>
      </c>
      <c r="R1533" s="184">
        <v>19865</v>
      </c>
      <c r="S1533">
        <v>69</v>
      </c>
      <c r="U1533" t="s">
        <v>7031</v>
      </c>
      <c r="V1533" t="s">
        <v>2982</v>
      </c>
      <c r="W1533" t="s">
        <v>7356</v>
      </c>
      <c r="X1533" t="s">
        <v>2983</v>
      </c>
      <c r="AF1533" t="s">
        <v>15665</v>
      </c>
      <c r="AG1533" t="s">
        <v>2982</v>
      </c>
      <c r="AI1533" t="s">
        <v>14536</v>
      </c>
      <c r="AM1533" t="s">
        <v>2984</v>
      </c>
      <c r="AN1533" t="s">
        <v>2094</v>
      </c>
      <c r="AO1533" t="s">
        <v>15666</v>
      </c>
      <c r="AP1533" t="s">
        <v>7024</v>
      </c>
      <c r="AQ1533" t="s">
        <v>15667</v>
      </c>
      <c r="AR1533" t="s">
        <v>15668</v>
      </c>
      <c r="AT1533" s="184">
        <v>34474</v>
      </c>
      <c r="AU1533" t="s">
        <v>15658</v>
      </c>
      <c r="AV1533">
        <v>25</v>
      </c>
      <c r="AW1533" s="184">
        <v>45392</v>
      </c>
      <c r="AX1533" t="s">
        <v>7429</v>
      </c>
      <c r="AY1533">
        <v>15</v>
      </c>
      <c r="AZ1533" s="184">
        <v>44051</v>
      </c>
      <c r="BA1533" t="s">
        <v>9633</v>
      </c>
      <c r="BB1533">
        <v>100</v>
      </c>
      <c r="BC1533">
        <v>62</v>
      </c>
      <c r="BD1533">
        <v>2013</v>
      </c>
      <c r="BE1533">
        <v>1994</v>
      </c>
      <c r="BF1533">
        <v>68</v>
      </c>
      <c r="BG1533">
        <v>24</v>
      </c>
      <c r="BH1533">
        <v>395</v>
      </c>
      <c r="BI1533">
        <v>19</v>
      </c>
      <c r="BJ1533">
        <v>31</v>
      </c>
      <c r="BK1533">
        <v>8</v>
      </c>
      <c r="BP1533" s="184"/>
    </row>
    <row r="1534" spans="1:68">
      <c r="A1534">
        <v>16737637</v>
      </c>
      <c r="B1534">
        <v>16737637</v>
      </c>
      <c r="C1534" t="s">
        <v>7018</v>
      </c>
      <c r="E1534" s="184"/>
      <c r="G1534" s="184"/>
      <c r="H1534" t="s">
        <v>595</v>
      </c>
      <c r="I1534" s="184">
        <v>44328</v>
      </c>
      <c r="K1534" s="184"/>
      <c r="O1534" s="184"/>
      <c r="P1534" t="s">
        <v>7045</v>
      </c>
      <c r="Q1534" t="s">
        <v>7383</v>
      </c>
      <c r="R1534" s="184">
        <v>33939</v>
      </c>
      <c r="S1534">
        <v>31</v>
      </c>
      <c r="U1534" t="s">
        <v>7031</v>
      </c>
      <c r="V1534" t="s">
        <v>2898</v>
      </c>
      <c r="X1534" t="s">
        <v>4956</v>
      </c>
      <c r="AF1534" t="s">
        <v>15669</v>
      </c>
      <c r="AG1534" t="s">
        <v>2898</v>
      </c>
      <c r="AI1534" t="s">
        <v>15670</v>
      </c>
      <c r="AM1534" t="s">
        <v>4957</v>
      </c>
      <c r="AN1534" t="s">
        <v>2274</v>
      </c>
      <c r="AO1534" t="s">
        <v>15671</v>
      </c>
      <c r="AP1534" t="s">
        <v>7024</v>
      </c>
      <c r="AQ1534" t="s">
        <v>15672</v>
      </c>
      <c r="AT1534" s="184">
        <v>34474</v>
      </c>
      <c r="AU1534" t="s">
        <v>15673</v>
      </c>
      <c r="AV1534">
        <v>15</v>
      </c>
      <c r="AW1534" s="184">
        <v>45398</v>
      </c>
      <c r="AX1534" t="s">
        <v>15674</v>
      </c>
      <c r="AY1534">
        <v>20</v>
      </c>
      <c r="AZ1534" s="184">
        <v>45029</v>
      </c>
      <c r="BA1534" t="s">
        <v>15675</v>
      </c>
      <c r="BB1534">
        <v>25</v>
      </c>
      <c r="BC1534">
        <v>91</v>
      </c>
      <c r="BD1534">
        <v>954</v>
      </c>
      <c r="BE1534">
        <v>1994</v>
      </c>
      <c r="BF1534">
        <v>54</v>
      </c>
      <c r="BG1534">
        <v>9</v>
      </c>
      <c r="BH1534">
        <v>167</v>
      </c>
      <c r="BI1534">
        <v>28</v>
      </c>
      <c r="BJ1534">
        <v>31</v>
      </c>
      <c r="BK1534">
        <v>19</v>
      </c>
      <c r="BP1534" s="184"/>
    </row>
    <row r="1535" spans="1:68">
      <c r="A1535">
        <v>16767212</v>
      </c>
      <c r="B1535">
        <v>16767212</v>
      </c>
      <c r="C1535" t="s">
        <v>7018</v>
      </c>
      <c r="E1535" s="184"/>
      <c r="G1535" s="184"/>
      <c r="I1535" s="184"/>
      <c r="J1535" t="s">
        <v>595</v>
      </c>
      <c r="K1535" s="184">
        <v>43171</v>
      </c>
      <c r="M1535" s="184"/>
      <c r="O1535" s="184"/>
      <c r="P1535" t="s">
        <v>7045</v>
      </c>
      <c r="Q1535" t="s">
        <v>7383</v>
      </c>
      <c r="R1535" s="184">
        <v>17077</v>
      </c>
      <c r="S1535">
        <v>77</v>
      </c>
      <c r="U1535" t="s">
        <v>7031</v>
      </c>
      <c r="V1535" t="s">
        <v>3228</v>
      </c>
      <c r="X1535" t="s">
        <v>15676</v>
      </c>
      <c r="AF1535" t="s">
        <v>6703</v>
      </c>
      <c r="AG1535" t="s">
        <v>3228</v>
      </c>
      <c r="AI1535" t="s">
        <v>15677</v>
      </c>
      <c r="AM1535" t="s">
        <v>3345</v>
      </c>
      <c r="AN1535" t="s">
        <v>2274</v>
      </c>
      <c r="AO1535" t="s">
        <v>15678</v>
      </c>
      <c r="AP1535" t="s">
        <v>7024</v>
      </c>
      <c r="AT1535" s="184">
        <v>34477</v>
      </c>
      <c r="AU1535" t="s">
        <v>15679</v>
      </c>
      <c r="AV1535">
        <v>15</v>
      </c>
      <c r="AW1535" s="184">
        <v>45005</v>
      </c>
      <c r="AX1535" t="s">
        <v>15680</v>
      </c>
      <c r="AY1535">
        <v>15</v>
      </c>
      <c r="AZ1535" s="184">
        <v>43388</v>
      </c>
      <c r="BA1535" t="s">
        <v>15681</v>
      </c>
      <c r="BB1535">
        <v>25</v>
      </c>
      <c r="BC1535">
        <v>17</v>
      </c>
      <c r="BD1535">
        <v>105</v>
      </c>
      <c r="BE1535">
        <v>1994</v>
      </c>
      <c r="BF1535">
        <v>7</v>
      </c>
      <c r="BG1535">
        <v>1</v>
      </c>
      <c r="BH1535">
        <v>15</v>
      </c>
      <c r="BI1535">
        <v>5</v>
      </c>
      <c r="BJ1535">
        <v>31</v>
      </c>
      <c r="BK1535">
        <v>2</v>
      </c>
      <c r="BP1535" s="184"/>
    </row>
    <row r="1536" spans="1:68">
      <c r="A1536">
        <v>16770497</v>
      </c>
      <c r="B1536">
        <v>16770497</v>
      </c>
      <c r="C1536" t="s">
        <v>7018</v>
      </c>
      <c r="E1536" s="184"/>
      <c r="G1536" s="184"/>
      <c r="I1536" s="184"/>
      <c r="J1536" t="s">
        <v>595</v>
      </c>
      <c r="K1536" s="184">
        <v>45322</v>
      </c>
      <c r="M1536" s="184"/>
      <c r="O1536" s="184"/>
      <c r="P1536" t="s">
        <v>7045</v>
      </c>
      <c r="Q1536" t="s">
        <v>7030</v>
      </c>
      <c r="R1536" s="184">
        <v>17168</v>
      </c>
      <c r="S1536">
        <v>77</v>
      </c>
      <c r="U1536" t="s">
        <v>7076</v>
      </c>
      <c r="V1536" t="s">
        <v>7952</v>
      </c>
      <c r="X1536" t="s">
        <v>15682</v>
      </c>
      <c r="AF1536" t="s">
        <v>15683</v>
      </c>
      <c r="AG1536" t="s">
        <v>7952</v>
      </c>
      <c r="AI1536" t="s">
        <v>15684</v>
      </c>
      <c r="AM1536" t="s">
        <v>4344</v>
      </c>
      <c r="AN1536" t="s">
        <v>2089</v>
      </c>
      <c r="AO1536" t="s">
        <v>15685</v>
      </c>
      <c r="AP1536" t="s">
        <v>7024</v>
      </c>
      <c r="AT1536" s="184">
        <v>34477</v>
      </c>
      <c r="AU1536" t="s">
        <v>15686</v>
      </c>
      <c r="AV1536">
        <v>15</v>
      </c>
      <c r="AW1536" s="184">
        <v>45404</v>
      </c>
      <c r="AX1536" t="s">
        <v>7296</v>
      </c>
      <c r="AY1536">
        <v>687.44</v>
      </c>
      <c r="AZ1536" s="184">
        <v>45404</v>
      </c>
      <c r="BA1536" t="s">
        <v>7296</v>
      </c>
      <c r="BB1536">
        <v>687.44</v>
      </c>
      <c r="BC1536">
        <v>71</v>
      </c>
      <c r="BD1536">
        <v>2212.21</v>
      </c>
      <c r="BE1536">
        <v>1994</v>
      </c>
      <c r="BF1536">
        <v>28</v>
      </c>
      <c r="BG1536">
        <v>2</v>
      </c>
      <c r="BH1536">
        <v>1298.21</v>
      </c>
      <c r="BI1536">
        <v>22</v>
      </c>
      <c r="BJ1536">
        <v>31</v>
      </c>
      <c r="BK1536">
        <v>13</v>
      </c>
      <c r="BO1536" t="s">
        <v>595</v>
      </c>
      <c r="BP1536" s="184">
        <v>45036</v>
      </c>
    </row>
    <row r="1537" spans="1:68">
      <c r="A1537">
        <v>16775579</v>
      </c>
      <c r="B1537">
        <v>16775579</v>
      </c>
      <c r="C1537" t="s">
        <v>7018</v>
      </c>
      <c r="E1537" s="184"/>
      <c r="G1537" s="184"/>
      <c r="H1537" t="s">
        <v>595</v>
      </c>
      <c r="I1537" s="184">
        <v>44070</v>
      </c>
      <c r="K1537" s="184"/>
      <c r="M1537" s="184"/>
      <c r="O1537" s="184"/>
      <c r="P1537" t="s">
        <v>7045</v>
      </c>
      <c r="Q1537" t="s">
        <v>7030</v>
      </c>
      <c r="R1537" s="184">
        <v>20821</v>
      </c>
      <c r="S1537">
        <v>67</v>
      </c>
      <c r="U1537" t="s">
        <v>7032</v>
      </c>
      <c r="V1537" t="s">
        <v>3825</v>
      </c>
      <c r="W1537" t="s">
        <v>8146</v>
      </c>
      <c r="X1537" t="s">
        <v>4899</v>
      </c>
      <c r="AF1537" t="s">
        <v>15687</v>
      </c>
      <c r="AG1537" t="s">
        <v>3825</v>
      </c>
      <c r="AI1537" t="s">
        <v>15688</v>
      </c>
      <c r="AM1537" t="s">
        <v>4235</v>
      </c>
      <c r="AN1537" t="s">
        <v>2201</v>
      </c>
      <c r="AO1537" t="s">
        <v>15689</v>
      </c>
      <c r="AP1537" t="s">
        <v>7024</v>
      </c>
      <c r="AQ1537" t="s">
        <v>15690</v>
      </c>
      <c r="AR1537" t="s">
        <v>15691</v>
      </c>
      <c r="AT1537" s="184">
        <v>34477</v>
      </c>
      <c r="AU1537" t="s">
        <v>15692</v>
      </c>
      <c r="AV1537">
        <v>15</v>
      </c>
      <c r="AW1537" s="184">
        <v>45356</v>
      </c>
      <c r="AX1537" t="s">
        <v>14993</v>
      </c>
      <c r="AY1537">
        <v>25</v>
      </c>
      <c r="AZ1537" s="184">
        <v>44949</v>
      </c>
      <c r="BA1537" t="s">
        <v>12114</v>
      </c>
      <c r="BB1537">
        <v>60</v>
      </c>
      <c r="BC1537">
        <v>68</v>
      </c>
      <c r="BD1537">
        <v>886</v>
      </c>
      <c r="BE1537">
        <v>1994</v>
      </c>
      <c r="BF1537">
        <v>34</v>
      </c>
      <c r="BG1537">
        <v>2</v>
      </c>
      <c r="BH1537">
        <v>85</v>
      </c>
      <c r="BI1537">
        <v>21</v>
      </c>
      <c r="BJ1537">
        <v>31</v>
      </c>
      <c r="BK1537">
        <v>11</v>
      </c>
      <c r="BP1537" s="184"/>
    </row>
    <row r="1538" spans="1:68">
      <c r="A1538">
        <v>16796641</v>
      </c>
      <c r="B1538">
        <v>16796641</v>
      </c>
      <c r="C1538" t="s">
        <v>7018</v>
      </c>
      <c r="D1538" t="s">
        <v>595</v>
      </c>
      <c r="E1538" s="184">
        <v>43866</v>
      </c>
      <c r="G1538" s="184"/>
      <c r="I1538" s="184"/>
      <c r="K1538" s="184"/>
      <c r="M1538" s="184"/>
      <c r="O1538" s="184"/>
      <c r="P1538" t="s">
        <v>7045</v>
      </c>
      <c r="Q1538" t="s">
        <v>7383</v>
      </c>
      <c r="R1538" s="184">
        <v>17207</v>
      </c>
      <c r="S1538">
        <v>77</v>
      </c>
      <c r="U1538" t="s">
        <v>7130</v>
      </c>
      <c r="V1538" t="s">
        <v>2718</v>
      </c>
      <c r="W1538" t="s">
        <v>7407</v>
      </c>
      <c r="X1538" t="s">
        <v>4743</v>
      </c>
      <c r="AF1538" t="s">
        <v>15693</v>
      </c>
      <c r="AG1538" t="s">
        <v>2718</v>
      </c>
      <c r="AI1538" t="s">
        <v>15694</v>
      </c>
      <c r="AM1538" t="s">
        <v>2703</v>
      </c>
      <c r="AN1538" t="s">
        <v>2064</v>
      </c>
      <c r="AO1538" t="s">
        <v>15695</v>
      </c>
      <c r="AP1538" t="s">
        <v>7024</v>
      </c>
      <c r="AQ1538" t="s">
        <v>15696</v>
      </c>
      <c r="AR1538" t="s">
        <v>15697</v>
      </c>
      <c r="AT1538" s="184">
        <v>34480</v>
      </c>
      <c r="AU1538" t="s">
        <v>15698</v>
      </c>
      <c r="AV1538">
        <v>20</v>
      </c>
      <c r="AW1538" s="184">
        <v>45412</v>
      </c>
      <c r="AX1538" t="s">
        <v>7429</v>
      </c>
      <c r="AY1538">
        <v>10</v>
      </c>
      <c r="AZ1538" s="184">
        <v>42338</v>
      </c>
      <c r="BA1538" t="s">
        <v>15699</v>
      </c>
      <c r="BB1538">
        <v>60</v>
      </c>
      <c r="BC1538">
        <v>71</v>
      </c>
      <c r="BD1538">
        <v>1265</v>
      </c>
      <c r="BE1538">
        <v>1994</v>
      </c>
      <c r="BF1538">
        <v>91</v>
      </c>
      <c r="BG1538">
        <v>24</v>
      </c>
      <c r="BH1538">
        <v>240</v>
      </c>
      <c r="BI1538">
        <v>22</v>
      </c>
      <c r="BJ1538">
        <v>31</v>
      </c>
      <c r="BK1538">
        <v>8</v>
      </c>
      <c r="BP1538" s="184"/>
    </row>
    <row r="1539" spans="1:68">
      <c r="A1539">
        <v>16841025</v>
      </c>
      <c r="B1539">
        <v>16841025</v>
      </c>
      <c r="C1539" t="s">
        <v>7018</v>
      </c>
      <c r="D1539" t="s">
        <v>595</v>
      </c>
      <c r="E1539" s="184">
        <v>45195</v>
      </c>
      <c r="G1539" s="184"/>
      <c r="I1539" s="184"/>
      <c r="K1539" s="184"/>
      <c r="M1539" s="184"/>
      <c r="O1539" s="184"/>
      <c r="P1539" t="s">
        <v>7045</v>
      </c>
      <c r="Q1539" t="s">
        <v>7774</v>
      </c>
      <c r="R1539" s="184">
        <v>23346</v>
      </c>
      <c r="S1539">
        <v>60</v>
      </c>
      <c r="U1539" t="s">
        <v>7031</v>
      </c>
      <c r="V1539" t="s">
        <v>2511</v>
      </c>
      <c r="W1539" t="s">
        <v>5006</v>
      </c>
      <c r="X1539" t="s">
        <v>15700</v>
      </c>
      <c r="AF1539" t="s">
        <v>15701</v>
      </c>
      <c r="AG1539" t="s">
        <v>2511</v>
      </c>
      <c r="AI1539" t="s">
        <v>15702</v>
      </c>
      <c r="AM1539" t="s">
        <v>3716</v>
      </c>
      <c r="AN1539" t="s">
        <v>2077</v>
      </c>
      <c r="AO1539" t="s">
        <v>15703</v>
      </c>
      <c r="AP1539" t="s">
        <v>7024</v>
      </c>
      <c r="AQ1539" t="s">
        <v>15704</v>
      </c>
      <c r="AT1539" s="184">
        <v>34488</v>
      </c>
      <c r="AU1539" t="s">
        <v>15705</v>
      </c>
      <c r="AV1539">
        <v>25</v>
      </c>
      <c r="AW1539" s="184">
        <v>45089</v>
      </c>
      <c r="AX1539" t="s">
        <v>10687</v>
      </c>
      <c r="AY1539">
        <v>25</v>
      </c>
      <c r="AZ1539" s="184">
        <v>45089</v>
      </c>
      <c r="BA1539" t="s">
        <v>10687</v>
      </c>
      <c r="BB1539">
        <v>25</v>
      </c>
      <c r="BC1539">
        <v>94</v>
      </c>
      <c r="BD1539">
        <v>800</v>
      </c>
      <c r="BE1539">
        <v>1994</v>
      </c>
      <c r="BF1539">
        <v>32</v>
      </c>
      <c r="BG1539">
        <v>2</v>
      </c>
      <c r="BH1539">
        <v>50</v>
      </c>
      <c r="BI1539">
        <v>29</v>
      </c>
      <c r="BJ1539">
        <v>31</v>
      </c>
      <c r="BK1539">
        <v>26</v>
      </c>
      <c r="BP1539" s="184"/>
    </row>
    <row r="1540" spans="1:68">
      <c r="A1540">
        <v>16877292</v>
      </c>
      <c r="B1540">
        <v>16877292</v>
      </c>
      <c r="C1540" t="s">
        <v>7018</v>
      </c>
      <c r="D1540" t="s">
        <v>595</v>
      </c>
      <c r="E1540" s="184">
        <v>43864</v>
      </c>
      <c r="I1540" s="184"/>
      <c r="K1540" s="184"/>
      <c r="M1540" s="184"/>
      <c r="O1540" s="184"/>
      <c r="P1540" t="s">
        <v>7045</v>
      </c>
      <c r="Q1540" t="s">
        <v>7160</v>
      </c>
      <c r="R1540" s="184">
        <v>15910</v>
      </c>
      <c r="S1540">
        <v>80</v>
      </c>
      <c r="U1540" t="s">
        <v>7130</v>
      </c>
      <c r="V1540" t="s">
        <v>2602</v>
      </c>
      <c r="W1540" t="s">
        <v>5006</v>
      </c>
      <c r="X1540" t="s">
        <v>4094</v>
      </c>
      <c r="AF1540" t="s">
        <v>15706</v>
      </c>
      <c r="AG1540" t="s">
        <v>2602</v>
      </c>
      <c r="AI1540" t="s">
        <v>15707</v>
      </c>
      <c r="AM1540" t="s">
        <v>4696</v>
      </c>
      <c r="AN1540" t="s">
        <v>2176</v>
      </c>
      <c r="AO1540" t="s">
        <v>15708</v>
      </c>
      <c r="AP1540" t="s">
        <v>7024</v>
      </c>
      <c r="AQ1540" t="s">
        <v>15709</v>
      </c>
      <c r="AR1540" t="s">
        <v>15710</v>
      </c>
      <c r="AT1540" s="184">
        <v>34492</v>
      </c>
      <c r="AU1540" t="s">
        <v>15711</v>
      </c>
      <c r="AV1540">
        <v>15</v>
      </c>
      <c r="AW1540" s="184">
        <v>45377</v>
      </c>
      <c r="AX1540" t="s">
        <v>11841</v>
      </c>
      <c r="AY1540">
        <v>60</v>
      </c>
      <c r="AZ1540" s="184">
        <v>41431</v>
      </c>
      <c r="BA1540" t="s">
        <v>15712</v>
      </c>
      <c r="BB1540">
        <v>65</v>
      </c>
      <c r="BC1540">
        <v>91</v>
      </c>
      <c r="BD1540">
        <v>1630</v>
      </c>
      <c r="BE1540">
        <v>1994</v>
      </c>
      <c r="BF1540">
        <v>90</v>
      </c>
      <c r="BG1540">
        <v>5</v>
      </c>
      <c r="BH1540">
        <v>160</v>
      </c>
      <c r="BI1540">
        <v>28</v>
      </c>
      <c r="BJ1540">
        <v>31</v>
      </c>
      <c r="BK1540">
        <v>12</v>
      </c>
      <c r="BP1540" s="184"/>
    </row>
    <row r="1541" spans="1:68">
      <c r="A1541">
        <v>16884413</v>
      </c>
      <c r="B1541">
        <v>16884413</v>
      </c>
      <c r="C1541" t="s">
        <v>7018</v>
      </c>
      <c r="D1541" t="s">
        <v>595</v>
      </c>
      <c r="E1541" s="184">
        <v>44119</v>
      </c>
      <c r="G1541" s="184"/>
      <c r="I1541" s="184"/>
      <c r="K1541" s="184"/>
      <c r="M1541" s="184"/>
      <c r="O1541" s="184"/>
      <c r="P1541" t="s">
        <v>7045</v>
      </c>
      <c r="Q1541" t="s">
        <v>7383</v>
      </c>
      <c r="R1541" s="184">
        <v>18445</v>
      </c>
      <c r="S1541">
        <v>73</v>
      </c>
      <c r="U1541" t="s">
        <v>7031</v>
      </c>
      <c r="V1541" t="s">
        <v>2511</v>
      </c>
      <c r="W1541" t="s">
        <v>8224</v>
      </c>
      <c r="X1541" t="s">
        <v>15713</v>
      </c>
      <c r="AF1541" t="s">
        <v>15714</v>
      </c>
      <c r="AG1541" t="s">
        <v>2511</v>
      </c>
      <c r="AI1541" t="s">
        <v>15715</v>
      </c>
      <c r="AM1541" t="s">
        <v>15716</v>
      </c>
      <c r="AN1541" t="s">
        <v>2118</v>
      </c>
      <c r="AO1541" t="s">
        <v>15717</v>
      </c>
      <c r="AP1541" t="s">
        <v>7024</v>
      </c>
      <c r="AQ1541" t="s">
        <v>15718</v>
      </c>
      <c r="AT1541" s="184">
        <v>34494</v>
      </c>
      <c r="AU1541" t="s">
        <v>15719</v>
      </c>
      <c r="AV1541">
        <v>25</v>
      </c>
      <c r="AW1541" s="184">
        <v>45258</v>
      </c>
      <c r="AX1541" t="s">
        <v>8836</v>
      </c>
      <c r="AY1541">
        <v>100</v>
      </c>
      <c r="AZ1541" s="184">
        <v>44530</v>
      </c>
      <c r="BA1541" t="s">
        <v>15720</v>
      </c>
      <c r="BB1541">
        <v>105</v>
      </c>
      <c r="BC1541">
        <v>81</v>
      </c>
      <c r="BD1541">
        <v>1644</v>
      </c>
      <c r="BE1541">
        <v>1994</v>
      </c>
      <c r="BF1541">
        <v>35</v>
      </c>
      <c r="BG1541">
        <v>2</v>
      </c>
      <c r="BH1541">
        <v>200</v>
      </c>
      <c r="BI1541">
        <v>25</v>
      </c>
      <c r="BJ1541">
        <v>31</v>
      </c>
      <c r="BK1541">
        <v>7</v>
      </c>
      <c r="BP1541" s="184"/>
    </row>
    <row r="1542" spans="1:68">
      <c r="A1542">
        <v>16905697</v>
      </c>
      <c r="B1542">
        <v>16905697</v>
      </c>
      <c r="C1542" t="s">
        <v>7018</v>
      </c>
      <c r="E1542" s="184"/>
      <c r="G1542" s="184"/>
      <c r="I1542" s="184"/>
      <c r="J1542" t="s">
        <v>595</v>
      </c>
      <c r="K1542" s="184">
        <v>43991</v>
      </c>
      <c r="M1542" s="184"/>
      <c r="O1542" s="184"/>
      <c r="P1542" t="s">
        <v>7084</v>
      </c>
      <c r="Q1542" t="s">
        <v>7494</v>
      </c>
      <c r="R1542" s="184">
        <v>8691</v>
      </c>
      <c r="S1542">
        <v>100</v>
      </c>
      <c r="U1542" t="s">
        <v>7031</v>
      </c>
      <c r="V1542" t="s">
        <v>3617</v>
      </c>
      <c r="W1542" t="s">
        <v>7046</v>
      </c>
      <c r="X1542" t="s">
        <v>15721</v>
      </c>
      <c r="AF1542" t="s">
        <v>15722</v>
      </c>
      <c r="AG1542" t="s">
        <v>15723</v>
      </c>
      <c r="AI1542" t="s">
        <v>15724</v>
      </c>
      <c r="AM1542" t="s">
        <v>2582</v>
      </c>
      <c r="AN1542" t="s">
        <v>2174</v>
      </c>
      <c r="AO1542" t="s">
        <v>15725</v>
      </c>
      <c r="AP1542" t="s">
        <v>7024</v>
      </c>
      <c r="AT1542" s="184">
        <v>34494</v>
      </c>
      <c r="AU1542" t="s">
        <v>15726</v>
      </c>
      <c r="AV1542">
        <v>25</v>
      </c>
      <c r="AW1542" s="184">
        <v>44561</v>
      </c>
      <c r="AX1542" t="s">
        <v>7093</v>
      </c>
      <c r="AY1542">
        <v>2735.72</v>
      </c>
      <c r="AZ1542" s="184">
        <v>44040</v>
      </c>
      <c r="BA1542" t="s">
        <v>7309</v>
      </c>
      <c r="BB1542">
        <v>24705</v>
      </c>
      <c r="BC1542">
        <v>13</v>
      </c>
      <c r="BD1542">
        <v>27525.72</v>
      </c>
      <c r="BE1542">
        <v>1994</v>
      </c>
      <c r="BF1542">
        <v>4</v>
      </c>
      <c r="BI1542">
        <v>4</v>
      </c>
      <c r="BJ1542">
        <v>31</v>
      </c>
      <c r="BK1542">
        <v>2</v>
      </c>
      <c r="BO1542" t="s">
        <v>595</v>
      </c>
      <c r="BP1542" s="184">
        <v>42965</v>
      </c>
    </row>
    <row r="1543" spans="1:68">
      <c r="A1543">
        <v>16916033</v>
      </c>
      <c r="B1543">
        <v>16916033</v>
      </c>
      <c r="C1543" t="s">
        <v>7018</v>
      </c>
      <c r="D1543" t="s">
        <v>595</v>
      </c>
      <c r="E1543" s="184">
        <v>43801</v>
      </c>
      <c r="G1543" s="184"/>
      <c r="I1543" s="184"/>
      <c r="K1543" s="184"/>
      <c r="M1543" s="184"/>
      <c r="O1543" s="184"/>
      <c r="P1543" t="s">
        <v>7045</v>
      </c>
      <c r="Q1543" t="s">
        <v>7374</v>
      </c>
      <c r="R1543" s="184">
        <v>18264</v>
      </c>
      <c r="S1543">
        <v>74</v>
      </c>
      <c r="U1543" t="s">
        <v>7076</v>
      </c>
      <c r="V1543" t="s">
        <v>3131</v>
      </c>
      <c r="X1543" t="s">
        <v>4360</v>
      </c>
      <c r="AF1543" t="s">
        <v>15727</v>
      </c>
      <c r="AG1543" t="s">
        <v>3131</v>
      </c>
      <c r="AI1543" t="s">
        <v>15728</v>
      </c>
      <c r="AM1543" t="s">
        <v>3262</v>
      </c>
      <c r="AN1543" t="s">
        <v>2081</v>
      </c>
      <c r="AO1543" t="s">
        <v>15729</v>
      </c>
      <c r="AP1543" t="s">
        <v>7024</v>
      </c>
      <c r="AQ1543" t="s">
        <v>15730</v>
      </c>
      <c r="AT1543" s="184">
        <v>34498</v>
      </c>
      <c r="AU1543" t="s">
        <v>15731</v>
      </c>
      <c r="AV1543">
        <v>15</v>
      </c>
      <c r="AW1543" s="184">
        <v>45258</v>
      </c>
      <c r="AX1543" t="s">
        <v>8896</v>
      </c>
      <c r="AY1543">
        <v>50</v>
      </c>
      <c r="AZ1543" s="184">
        <v>45113</v>
      </c>
      <c r="BA1543" t="s">
        <v>15732</v>
      </c>
      <c r="BB1543">
        <v>75</v>
      </c>
      <c r="BC1543">
        <v>49</v>
      </c>
      <c r="BD1543">
        <v>995</v>
      </c>
      <c r="BE1543">
        <v>1994</v>
      </c>
      <c r="BF1543">
        <v>26</v>
      </c>
      <c r="BG1543">
        <v>4</v>
      </c>
      <c r="BH1543">
        <v>225</v>
      </c>
      <c r="BI1543">
        <v>15</v>
      </c>
      <c r="BJ1543">
        <v>31</v>
      </c>
      <c r="BK1543">
        <v>12</v>
      </c>
      <c r="BP1543" s="184"/>
    </row>
    <row r="1544" spans="1:68">
      <c r="A1544">
        <v>16924557</v>
      </c>
      <c r="B1544">
        <v>16924557</v>
      </c>
      <c r="C1544" t="s">
        <v>7018</v>
      </c>
      <c r="D1544" t="s">
        <v>595</v>
      </c>
      <c r="E1544" s="184">
        <v>43970</v>
      </c>
      <c r="G1544" s="184"/>
      <c r="I1544" s="184"/>
      <c r="K1544" s="184"/>
      <c r="M1544" s="184"/>
      <c r="O1544" s="184"/>
      <c r="P1544" t="s">
        <v>7045</v>
      </c>
      <c r="Q1544" t="s">
        <v>7383</v>
      </c>
      <c r="R1544" s="184">
        <v>15664</v>
      </c>
      <c r="S1544">
        <v>81</v>
      </c>
      <c r="V1544" t="s">
        <v>3419</v>
      </c>
      <c r="X1544" t="s">
        <v>15733</v>
      </c>
      <c r="Z1544">
        <v>100335491</v>
      </c>
      <c r="AB1544" t="s">
        <v>2541</v>
      </c>
      <c r="AC1544" t="s">
        <v>4152</v>
      </c>
      <c r="AD1544" t="s">
        <v>15733</v>
      </c>
      <c r="AF1544" t="s">
        <v>15734</v>
      </c>
      <c r="AG1544" t="s">
        <v>15735</v>
      </c>
      <c r="AI1544" t="s">
        <v>15736</v>
      </c>
      <c r="AM1544" t="s">
        <v>15737</v>
      </c>
      <c r="AN1544" t="s">
        <v>2313</v>
      </c>
      <c r="AO1544" t="s">
        <v>15738</v>
      </c>
      <c r="AP1544" t="s">
        <v>7024</v>
      </c>
      <c r="AQ1544" t="s">
        <v>15739</v>
      </c>
      <c r="AT1544" s="184">
        <v>34498</v>
      </c>
      <c r="AU1544" t="s">
        <v>15740</v>
      </c>
      <c r="AV1544">
        <v>25</v>
      </c>
      <c r="AW1544" s="184">
        <v>45409</v>
      </c>
      <c r="AX1544" t="s">
        <v>7429</v>
      </c>
      <c r="AY1544">
        <v>25</v>
      </c>
      <c r="AZ1544" s="184">
        <v>36756</v>
      </c>
      <c r="BA1544" t="s">
        <v>15741</v>
      </c>
      <c r="BB1544">
        <v>500</v>
      </c>
      <c r="BC1544">
        <v>100</v>
      </c>
      <c r="BD1544">
        <v>6055</v>
      </c>
      <c r="BE1544">
        <v>1994</v>
      </c>
      <c r="BF1544">
        <v>177</v>
      </c>
      <c r="BG1544">
        <v>24</v>
      </c>
      <c r="BH1544">
        <v>600</v>
      </c>
      <c r="BI1544">
        <v>31</v>
      </c>
      <c r="BJ1544">
        <v>31</v>
      </c>
      <c r="BK1544">
        <v>31</v>
      </c>
      <c r="BP1544" s="184"/>
    </row>
    <row r="1545" spans="1:68">
      <c r="A1545">
        <v>100335491</v>
      </c>
      <c r="B1545">
        <v>16924557</v>
      </c>
      <c r="C1545" t="s">
        <v>7018</v>
      </c>
      <c r="D1545" t="s">
        <v>595</v>
      </c>
      <c r="E1545" s="184">
        <v>43970</v>
      </c>
      <c r="G1545" s="184"/>
      <c r="I1545" s="184"/>
      <c r="K1545" s="184"/>
      <c r="M1545" s="184"/>
      <c r="O1545" s="184"/>
      <c r="P1545" t="s">
        <v>7045</v>
      </c>
      <c r="Q1545" t="s">
        <v>7383</v>
      </c>
      <c r="R1545" s="184">
        <v>15664</v>
      </c>
      <c r="S1545">
        <v>81</v>
      </c>
      <c r="V1545" t="s">
        <v>2541</v>
      </c>
      <c r="W1545" t="s">
        <v>4152</v>
      </c>
      <c r="X1545" t="s">
        <v>15733</v>
      </c>
      <c r="Z1545">
        <v>16924557</v>
      </c>
      <c r="AB1545" t="s">
        <v>3419</v>
      </c>
      <c r="AD1545" t="s">
        <v>15733</v>
      </c>
      <c r="AF1545" t="s">
        <v>15734</v>
      </c>
      <c r="AG1545" t="s">
        <v>15735</v>
      </c>
      <c r="AI1545" t="s">
        <v>15736</v>
      </c>
      <c r="AM1545" t="s">
        <v>15737</v>
      </c>
      <c r="AN1545" t="s">
        <v>2313</v>
      </c>
      <c r="AO1545" t="s">
        <v>15738</v>
      </c>
      <c r="AP1545" t="s">
        <v>7024</v>
      </c>
      <c r="AT1545" s="184">
        <v>43826</v>
      </c>
      <c r="AU1545" t="s">
        <v>15742</v>
      </c>
      <c r="AV1545">
        <v>25</v>
      </c>
      <c r="AW1545" s="184">
        <v>44466</v>
      </c>
      <c r="AX1545" t="s">
        <v>15743</v>
      </c>
      <c r="AY1545">
        <v>25</v>
      </c>
      <c r="AZ1545" s="184">
        <v>44466</v>
      </c>
      <c r="BA1545" t="s">
        <v>15743</v>
      </c>
      <c r="BB1545">
        <v>25</v>
      </c>
      <c r="BC1545">
        <v>50</v>
      </c>
      <c r="BD1545">
        <v>375</v>
      </c>
      <c r="BE1545">
        <v>2020</v>
      </c>
      <c r="BF1545">
        <v>15</v>
      </c>
      <c r="BI1545">
        <v>3</v>
      </c>
      <c r="BJ1545">
        <v>6</v>
      </c>
      <c r="BK1545">
        <v>3</v>
      </c>
      <c r="BP1545" s="184"/>
    </row>
    <row r="1546" spans="1:68">
      <c r="A1546">
        <v>16941809</v>
      </c>
      <c r="B1546">
        <v>16941809</v>
      </c>
      <c r="C1546" t="s">
        <v>7018</v>
      </c>
      <c r="D1546" t="s">
        <v>595</v>
      </c>
      <c r="E1546" s="184">
        <v>44073</v>
      </c>
      <c r="G1546" s="184"/>
      <c r="I1546" s="184"/>
      <c r="K1546" s="184"/>
      <c r="M1546" s="184"/>
      <c r="O1546" s="184"/>
      <c r="P1546" t="s">
        <v>7045</v>
      </c>
      <c r="Q1546" t="s">
        <v>7262</v>
      </c>
      <c r="R1546" s="184">
        <v>17306</v>
      </c>
      <c r="S1546">
        <v>76</v>
      </c>
      <c r="V1546" t="s">
        <v>3008</v>
      </c>
      <c r="X1546" t="s">
        <v>14295</v>
      </c>
      <c r="AF1546" t="s">
        <v>15744</v>
      </c>
      <c r="AG1546" t="s">
        <v>3008</v>
      </c>
      <c r="AI1546" t="s">
        <v>15745</v>
      </c>
      <c r="AM1546" t="s">
        <v>15746</v>
      </c>
      <c r="AN1546" t="s">
        <v>2106</v>
      </c>
      <c r="AO1546" t="s">
        <v>15747</v>
      </c>
      <c r="AP1546" t="s">
        <v>7024</v>
      </c>
      <c r="AT1546" s="184">
        <v>34499</v>
      </c>
      <c r="AU1546" t="s">
        <v>15748</v>
      </c>
      <c r="AV1546">
        <v>15</v>
      </c>
      <c r="AW1546" s="184">
        <v>38152</v>
      </c>
      <c r="AX1546" t="s">
        <v>15749</v>
      </c>
      <c r="AY1546">
        <v>25</v>
      </c>
      <c r="AZ1546" s="184">
        <v>36700</v>
      </c>
      <c r="BA1546" t="s">
        <v>15750</v>
      </c>
      <c r="BB1546">
        <v>60</v>
      </c>
      <c r="BC1546">
        <v>33</v>
      </c>
      <c r="BD1546">
        <v>295</v>
      </c>
      <c r="BE1546">
        <v>1994</v>
      </c>
      <c r="BF1546">
        <v>15</v>
      </c>
      <c r="BI1546">
        <v>10</v>
      </c>
      <c r="BJ1546">
        <v>31</v>
      </c>
      <c r="BK1546">
        <v>7</v>
      </c>
      <c r="BP1546" s="184"/>
    </row>
    <row r="1547" spans="1:68">
      <c r="A1547">
        <v>16950297</v>
      </c>
      <c r="B1547">
        <v>16950297</v>
      </c>
      <c r="C1547" t="s">
        <v>7018</v>
      </c>
      <c r="E1547" s="184"/>
      <c r="G1547" s="184"/>
      <c r="I1547" s="184"/>
      <c r="J1547" t="s">
        <v>595</v>
      </c>
      <c r="K1547" s="184">
        <v>44073</v>
      </c>
      <c r="M1547" s="184"/>
      <c r="O1547" s="184"/>
      <c r="P1547" t="s">
        <v>7045</v>
      </c>
      <c r="Q1547" t="s">
        <v>7383</v>
      </c>
      <c r="R1547" s="184">
        <v>18668</v>
      </c>
      <c r="S1547">
        <v>73</v>
      </c>
      <c r="U1547" t="s">
        <v>7076</v>
      </c>
      <c r="V1547" t="s">
        <v>3131</v>
      </c>
      <c r="W1547" t="s">
        <v>7407</v>
      </c>
      <c r="X1547" t="s">
        <v>15751</v>
      </c>
      <c r="Z1547">
        <v>100045587</v>
      </c>
      <c r="AB1547" t="s">
        <v>2832</v>
      </c>
      <c r="AD1547" t="s">
        <v>15751</v>
      </c>
      <c r="AF1547" t="s">
        <v>15752</v>
      </c>
      <c r="AG1547" t="s">
        <v>15753</v>
      </c>
      <c r="AI1547" t="s">
        <v>15754</v>
      </c>
      <c r="AM1547" t="s">
        <v>2888</v>
      </c>
      <c r="AN1547" t="s">
        <v>2274</v>
      </c>
      <c r="AO1547" t="s">
        <v>15755</v>
      </c>
      <c r="AP1547" t="s">
        <v>7024</v>
      </c>
      <c r="AQ1547" t="s">
        <v>15756</v>
      </c>
      <c r="AT1547" s="184">
        <v>34499</v>
      </c>
      <c r="AU1547" t="s">
        <v>15757</v>
      </c>
      <c r="AV1547">
        <v>5</v>
      </c>
      <c r="AW1547" s="184">
        <v>44900</v>
      </c>
      <c r="AX1547" t="s">
        <v>13610</v>
      </c>
      <c r="AY1547">
        <v>25</v>
      </c>
      <c r="AZ1547" s="184">
        <v>41913</v>
      </c>
      <c r="BA1547" t="s">
        <v>13816</v>
      </c>
      <c r="BB1547">
        <v>100</v>
      </c>
      <c r="BC1547">
        <v>62</v>
      </c>
      <c r="BD1547">
        <v>770</v>
      </c>
      <c r="BE1547">
        <v>1994</v>
      </c>
      <c r="BF1547">
        <v>23</v>
      </c>
      <c r="BG1547">
        <v>1</v>
      </c>
      <c r="BH1547">
        <v>25</v>
      </c>
      <c r="BI1547">
        <v>19</v>
      </c>
      <c r="BJ1547">
        <v>31</v>
      </c>
      <c r="BK1547">
        <v>7</v>
      </c>
      <c r="BM1547" t="s">
        <v>595</v>
      </c>
      <c r="BP1547" s="184"/>
    </row>
    <row r="1548" spans="1:68">
      <c r="A1548">
        <v>100045587</v>
      </c>
      <c r="B1548">
        <v>16950297</v>
      </c>
      <c r="C1548" t="s">
        <v>7018</v>
      </c>
      <c r="E1548" s="184"/>
      <c r="G1548" s="184"/>
      <c r="I1548" s="184"/>
      <c r="J1548" t="s">
        <v>595</v>
      </c>
      <c r="K1548" s="184">
        <v>44073</v>
      </c>
      <c r="M1548" s="184"/>
      <c r="O1548" s="184"/>
      <c r="P1548" t="s">
        <v>7045</v>
      </c>
      <c r="Q1548" t="s">
        <v>7383</v>
      </c>
      <c r="R1548" s="184">
        <v>17084</v>
      </c>
      <c r="S1548">
        <v>77</v>
      </c>
      <c r="V1548" t="s">
        <v>2832</v>
      </c>
      <c r="X1548" t="s">
        <v>15751</v>
      </c>
      <c r="Z1548">
        <v>16950297</v>
      </c>
      <c r="AA1548" t="s">
        <v>7076</v>
      </c>
      <c r="AB1548" t="s">
        <v>3131</v>
      </c>
      <c r="AC1548" t="s">
        <v>7407</v>
      </c>
      <c r="AD1548" t="s">
        <v>15751</v>
      </c>
      <c r="AF1548" t="s">
        <v>15752</v>
      </c>
      <c r="AG1548" t="s">
        <v>15753</v>
      </c>
      <c r="AI1548" t="s">
        <v>15754</v>
      </c>
      <c r="AM1548" t="s">
        <v>2888</v>
      </c>
      <c r="AN1548" t="s">
        <v>2274</v>
      </c>
      <c r="AO1548" t="s">
        <v>15755</v>
      </c>
      <c r="AP1548" t="s">
        <v>7024</v>
      </c>
      <c r="AT1548" s="184"/>
      <c r="AW1548" s="184"/>
      <c r="AZ1548" s="184"/>
      <c r="BP1548" s="184"/>
    </row>
    <row r="1549" spans="1:68">
      <c r="A1549">
        <v>16962698</v>
      </c>
      <c r="B1549">
        <v>16962698</v>
      </c>
      <c r="C1549" t="s">
        <v>7018</v>
      </c>
      <c r="D1549" t="s">
        <v>595</v>
      </c>
      <c r="E1549" s="184">
        <v>43657</v>
      </c>
      <c r="G1549" s="184"/>
      <c r="I1549" s="184"/>
      <c r="K1549" s="184"/>
      <c r="M1549" s="184"/>
      <c r="O1549" s="184"/>
      <c r="P1549" t="s">
        <v>7045</v>
      </c>
      <c r="Q1549" t="s">
        <v>7020</v>
      </c>
      <c r="R1549" s="184">
        <v>17215</v>
      </c>
      <c r="S1549">
        <v>77</v>
      </c>
      <c r="U1549" t="s">
        <v>7130</v>
      </c>
      <c r="V1549" t="s">
        <v>3101</v>
      </c>
      <c r="W1549" t="s">
        <v>2308</v>
      </c>
      <c r="X1549" t="s">
        <v>3641</v>
      </c>
      <c r="AF1549" t="s">
        <v>15758</v>
      </c>
      <c r="AG1549" t="s">
        <v>3101</v>
      </c>
      <c r="AI1549" t="s">
        <v>15759</v>
      </c>
      <c r="AM1549" t="s">
        <v>3642</v>
      </c>
      <c r="AN1549" t="s">
        <v>2112</v>
      </c>
      <c r="AO1549" t="s">
        <v>15760</v>
      </c>
      <c r="AP1549" t="s">
        <v>7024</v>
      </c>
      <c r="AQ1549" t="s">
        <v>15761</v>
      </c>
      <c r="AR1549" t="s">
        <v>15762</v>
      </c>
      <c r="AT1549" s="184">
        <v>34501</v>
      </c>
      <c r="AU1549" t="s">
        <v>15726</v>
      </c>
      <c r="AV1549">
        <v>15</v>
      </c>
      <c r="AW1549" s="184">
        <v>44018</v>
      </c>
      <c r="AX1549" t="s">
        <v>15763</v>
      </c>
      <c r="AY1549">
        <v>25</v>
      </c>
      <c r="AZ1549" s="184">
        <v>35535</v>
      </c>
      <c r="BA1549" t="s">
        <v>15764</v>
      </c>
      <c r="BB1549">
        <v>30</v>
      </c>
      <c r="BC1549">
        <v>39</v>
      </c>
      <c r="BD1549">
        <v>290.16000000000003</v>
      </c>
      <c r="BE1549">
        <v>1994</v>
      </c>
      <c r="BF1549">
        <v>13</v>
      </c>
      <c r="BI1549">
        <v>12</v>
      </c>
      <c r="BJ1549">
        <v>31</v>
      </c>
      <c r="BK1549">
        <v>3</v>
      </c>
      <c r="BN1549" t="s">
        <v>595</v>
      </c>
      <c r="BP1549" s="184"/>
    </row>
    <row r="1550" spans="1:68">
      <c r="A1550">
        <v>16971616</v>
      </c>
      <c r="B1550">
        <v>16971616</v>
      </c>
      <c r="C1550" t="s">
        <v>7018</v>
      </c>
      <c r="E1550" s="184"/>
      <c r="G1550" s="184"/>
      <c r="I1550" s="184"/>
      <c r="K1550" s="184"/>
      <c r="L1550" t="s">
        <v>595</v>
      </c>
      <c r="M1550" s="184">
        <v>44330</v>
      </c>
      <c r="O1550" s="184"/>
      <c r="P1550" t="s">
        <v>7029</v>
      </c>
      <c r="Q1550" t="s">
        <v>7262</v>
      </c>
      <c r="R1550" s="184">
        <v>16862</v>
      </c>
      <c r="S1550">
        <v>78</v>
      </c>
      <c r="U1550" t="s">
        <v>7076</v>
      </c>
      <c r="V1550" t="s">
        <v>3095</v>
      </c>
      <c r="W1550" t="s">
        <v>3226</v>
      </c>
      <c r="X1550" t="s">
        <v>15765</v>
      </c>
      <c r="Z1550">
        <v>100045650</v>
      </c>
      <c r="AA1550" t="s">
        <v>7031</v>
      </c>
      <c r="AB1550" t="s">
        <v>2697</v>
      </c>
      <c r="AD1550" t="s">
        <v>15766</v>
      </c>
      <c r="AF1550" t="s">
        <v>15767</v>
      </c>
      <c r="AG1550" t="s">
        <v>15768</v>
      </c>
      <c r="AI1550" t="s">
        <v>15769</v>
      </c>
      <c r="AM1550" t="s">
        <v>2679</v>
      </c>
      <c r="AN1550" t="s">
        <v>2318</v>
      </c>
      <c r="AO1550" t="s">
        <v>15770</v>
      </c>
      <c r="AP1550" t="s">
        <v>7024</v>
      </c>
      <c r="AQ1550" t="s">
        <v>15771</v>
      </c>
      <c r="AT1550" s="184">
        <v>34501</v>
      </c>
      <c r="AU1550" t="s">
        <v>15772</v>
      </c>
      <c r="AV1550">
        <v>15</v>
      </c>
      <c r="AW1550" s="184">
        <v>45046</v>
      </c>
      <c r="AX1550" t="s">
        <v>7814</v>
      </c>
      <c r="AY1550">
        <v>900</v>
      </c>
      <c r="AZ1550" s="184">
        <v>45046</v>
      </c>
      <c r="BA1550" t="s">
        <v>7814</v>
      </c>
      <c r="BB1550">
        <v>900</v>
      </c>
      <c r="BC1550">
        <v>81</v>
      </c>
      <c r="BD1550">
        <v>11665</v>
      </c>
      <c r="BE1550">
        <v>1994</v>
      </c>
      <c r="BF1550">
        <v>26</v>
      </c>
      <c r="BG1550">
        <v>3</v>
      </c>
      <c r="BH1550">
        <v>2700</v>
      </c>
      <c r="BI1550">
        <v>25</v>
      </c>
      <c r="BJ1550">
        <v>31</v>
      </c>
      <c r="BK1550">
        <v>21</v>
      </c>
      <c r="BM1550" t="s">
        <v>595</v>
      </c>
      <c r="BN1550" t="s">
        <v>595</v>
      </c>
      <c r="BP1550" s="184"/>
    </row>
    <row r="1551" spans="1:68">
      <c r="A1551">
        <v>100045650</v>
      </c>
      <c r="B1551">
        <v>16971616</v>
      </c>
      <c r="C1551" t="s">
        <v>7018</v>
      </c>
      <c r="E1551" s="184"/>
      <c r="G1551" s="184"/>
      <c r="I1551" s="184"/>
      <c r="K1551" s="184"/>
      <c r="L1551" t="s">
        <v>595</v>
      </c>
      <c r="M1551" s="184">
        <v>44330</v>
      </c>
      <c r="O1551" s="184"/>
      <c r="P1551" t="s">
        <v>7029</v>
      </c>
      <c r="Q1551" t="s">
        <v>7262</v>
      </c>
      <c r="R1551" s="184">
        <v>15738</v>
      </c>
      <c r="S1551">
        <v>81</v>
      </c>
      <c r="U1551" t="s">
        <v>7031</v>
      </c>
      <c r="V1551" t="s">
        <v>2697</v>
      </c>
      <c r="X1551" t="s">
        <v>15766</v>
      </c>
      <c r="Z1551">
        <v>16971616</v>
      </c>
      <c r="AA1551" t="s">
        <v>7076</v>
      </c>
      <c r="AB1551" t="s">
        <v>3095</v>
      </c>
      <c r="AC1551" t="s">
        <v>3226</v>
      </c>
      <c r="AD1551" t="s">
        <v>15765</v>
      </c>
      <c r="AF1551" t="s">
        <v>15767</v>
      </c>
      <c r="AG1551" t="s">
        <v>15768</v>
      </c>
      <c r="AI1551" t="s">
        <v>15769</v>
      </c>
      <c r="AM1551" t="s">
        <v>2679</v>
      </c>
      <c r="AN1551" t="s">
        <v>2318</v>
      </c>
      <c r="AO1551" t="s">
        <v>15770</v>
      </c>
      <c r="AP1551" t="s">
        <v>7024</v>
      </c>
      <c r="AQ1551" t="s">
        <v>15773</v>
      </c>
      <c r="AR1551" t="s">
        <v>15774</v>
      </c>
      <c r="AT1551" s="184">
        <v>43805</v>
      </c>
      <c r="AU1551" t="s">
        <v>15775</v>
      </c>
      <c r="AV1551">
        <v>800</v>
      </c>
      <c r="AW1551" s="184">
        <v>43939</v>
      </c>
      <c r="AX1551" t="s">
        <v>15776</v>
      </c>
      <c r="AY1551">
        <v>900</v>
      </c>
      <c r="AZ1551" s="184">
        <v>43939</v>
      </c>
      <c r="BA1551" t="s">
        <v>15776</v>
      </c>
      <c r="BB1551">
        <v>900</v>
      </c>
      <c r="BC1551">
        <v>34</v>
      </c>
      <c r="BD1551">
        <v>1700</v>
      </c>
      <c r="BE1551">
        <v>2020</v>
      </c>
      <c r="BF1551">
        <v>2</v>
      </c>
      <c r="BI1551">
        <v>2</v>
      </c>
      <c r="BJ1551">
        <v>6</v>
      </c>
      <c r="BK1551">
        <v>2</v>
      </c>
      <c r="BP1551" s="184"/>
    </row>
    <row r="1552" spans="1:68">
      <c r="A1552">
        <v>16991077</v>
      </c>
      <c r="B1552">
        <v>16991077</v>
      </c>
      <c r="C1552" t="s">
        <v>7018</v>
      </c>
      <c r="E1552" s="184"/>
      <c r="F1552" t="s">
        <v>595</v>
      </c>
      <c r="G1552" s="184">
        <v>43647</v>
      </c>
      <c r="I1552" s="184"/>
      <c r="K1552" s="184"/>
      <c r="O1552" s="184"/>
      <c r="P1552" t="s">
        <v>7045</v>
      </c>
      <c r="Q1552" t="s">
        <v>7383</v>
      </c>
      <c r="R1552" s="184">
        <v>18050</v>
      </c>
      <c r="S1552">
        <v>74</v>
      </c>
      <c r="U1552" t="s">
        <v>7031</v>
      </c>
      <c r="V1552" t="s">
        <v>3411</v>
      </c>
      <c r="X1552" t="s">
        <v>3412</v>
      </c>
      <c r="AF1552" t="s">
        <v>15777</v>
      </c>
      <c r="AG1552" t="s">
        <v>3411</v>
      </c>
      <c r="AI1552" t="s">
        <v>15778</v>
      </c>
      <c r="AM1552" t="s">
        <v>3413</v>
      </c>
      <c r="AN1552" t="s">
        <v>2072</v>
      </c>
      <c r="AO1552" t="s">
        <v>15779</v>
      </c>
      <c r="AP1552" t="s">
        <v>7024</v>
      </c>
      <c r="AQ1552" t="s">
        <v>15780</v>
      </c>
      <c r="AT1552" s="184">
        <v>34505</v>
      </c>
      <c r="AU1552" t="s">
        <v>15781</v>
      </c>
      <c r="AV1552">
        <v>25</v>
      </c>
      <c r="AW1552" s="184">
        <v>45082</v>
      </c>
      <c r="AX1552" t="s">
        <v>15782</v>
      </c>
      <c r="AY1552">
        <v>25</v>
      </c>
      <c r="AZ1552" s="184">
        <v>40052</v>
      </c>
      <c r="BA1552" t="s">
        <v>14438</v>
      </c>
      <c r="BB1552">
        <v>60</v>
      </c>
      <c r="BC1552">
        <v>36</v>
      </c>
      <c r="BD1552">
        <v>400</v>
      </c>
      <c r="BE1552">
        <v>1994</v>
      </c>
      <c r="BF1552">
        <v>14</v>
      </c>
      <c r="BG1552">
        <v>1</v>
      </c>
      <c r="BH1552">
        <v>25</v>
      </c>
      <c r="BI1552">
        <v>11</v>
      </c>
      <c r="BJ1552">
        <v>31</v>
      </c>
      <c r="BK1552">
        <v>4</v>
      </c>
      <c r="BP1552" s="184"/>
    </row>
    <row r="1553" spans="1:68">
      <c r="A1553">
        <v>17003047</v>
      </c>
      <c r="B1553">
        <v>17003047</v>
      </c>
      <c r="C1553" t="s">
        <v>7018</v>
      </c>
      <c r="D1553" t="s">
        <v>595</v>
      </c>
      <c r="E1553" s="184">
        <v>44167</v>
      </c>
      <c r="G1553" s="184"/>
      <c r="I1553" s="184"/>
      <c r="K1553" s="184"/>
      <c r="O1553" s="184"/>
      <c r="P1553" t="s">
        <v>7019</v>
      </c>
      <c r="Q1553" t="s">
        <v>7194</v>
      </c>
      <c r="R1553" s="184">
        <v>15928</v>
      </c>
      <c r="S1553">
        <v>80</v>
      </c>
      <c r="V1553" t="s">
        <v>2832</v>
      </c>
      <c r="W1553" t="s">
        <v>7046</v>
      </c>
      <c r="X1553" t="s">
        <v>3569</v>
      </c>
      <c r="AF1553" t="s">
        <v>15783</v>
      </c>
      <c r="AG1553" t="s">
        <v>2832</v>
      </c>
      <c r="AI1553" t="s">
        <v>15784</v>
      </c>
      <c r="AM1553" t="s">
        <v>15785</v>
      </c>
      <c r="AN1553" t="s">
        <v>2046</v>
      </c>
      <c r="AO1553" t="s">
        <v>15786</v>
      </c>
      <c r="AP1553" t="s">
        <v>7024</v>
      </c>
      <c r="AQ1553" t="s">
        <v>15787</v>
      </c>
      <c r="AR1553" t="s">
        <v>15788</v>
      </c>
      <c r="AT1553" s="184">
        <v>34506</v>
      </c>
      <c r="AU1553" t="s">
        <v>15789</v>
      </c>
      <c r="AV1553">
        <v>15</v>
      </c>
      <c r="AW1553" s="184">
        <v>45410</v>
      </c>
      <c r="AX1553" t="s">
        <v>12147</v>
      </c>
      <c r="AY1553">
        <v>35</v>
      </c>
      <c r="AZ1553" s="184">
        <v>44637</v>
      </c>
      <c r="BA1553" t="s">
        <v>8543</v>
      </c>
      <c r="BB1553">
        <v>60</v>
      </c>
      <c r="BC1553">
        <v>42</v>
      </c>
      <c r="BD1553">
        <v>545</v>
      </c>
      <c r="BE1553">
        <v>1994</v>
      </c>
      <c r="BF1553">
        <v>16</v>
      </c>
      <c r="BG1553">
        <v>3</v>
      </c>
      <c r="BH1553">
        <v>100</v>
      </c>
      <c r="BI1553">
        <v>13</v>
      </c>
      <c r="BJ1553">
        <v>31</v>
      </c>
      <c r="BK1553">
        <v>7</v>
      </c>
      <c r="BP1553" s="184"/>
    </row>
    <row r="1554" spans="1:68">
      <c r="A1554">
        <v>17045311</v>
      </c>
      <c r="B1554">
        <v>17045311</v>
      </c>
      <c r="C1554" t="s">
        <v>7018</v>
      </c>
      <c r="E1554" s="184"/>
      <c r="G1554" s="184"/>
      <c r="I1554" s="184"/>
      <c r="J1554" t="s">
        <v>595</v>
      </c>
      <c r="K1554" s="184">
        <v>37775</v>
      </c>
      <c r="O1554" s="184"/>
      <c r="P1554" t="s">
        <v>7045</v>
      </c>
      <c r="Q1554" t="s">
        <v>7374</v>
      </c>
      <c r="R1554" s="184">
        <v>9011</v>
      </c>
      <c r="S1554">
        <v>99</v>
      </c>
      <c r="U1554" t="s">
        <v>7031</v>
      </c>
      <c r="V1554" t="s">
        <v>5974</v>
      </c>
      <c r="W1554" t="s">
        <v>7268</v>
      </c>
      <c r="X1554" t="s">
        <v>5972</v>
      </c>
      <c r="Z1554">
        <v>100180799</v>
      </c>
      <c r="AA1554" t="s">
        <v>7130</v>
      </c>
      <c r="AB1554" t="s">
        <v>2586</v>
      </c>
      <c r="AC1554" t="s">
        <v>4523</v>
      </c>
      <c r="AD1554" t="s">
        <v>5972</v>
      </c>
      <c r="AF1554" t="s">
        <v>15790</v>
      </c>
      <c r="AG1554" t="s">
        <v>5974</v>
      </c>
      <c r="AI1554" t="s">
        <v>15791</v>
      </c>
      <c r="AM1554" t="s">
        <v>4910</v>
      </c>
      <c r="AN1554" t="s">
        <v>2081</v>
      </c>
      <c r="AO1554" t="s">
        <v>15792</v>
      </c>
      <c r="AP1554" t="s">
        <v>7024</v>
      </c>
      <c r="AQ1554" t="s">
        <v>15793</v>
      </c>
      <c r="AT1554" s="184">
        <v>34512</v>
      </c>
      <c r="AU1554" t="s">
        <v>15731</v>
      </c>
      <c r="AV1554">
        <v>25</v>
      </c>
      <c r="AW1554" s="184">
        <v>42577</v>
      </c>
      <c r="AX1554" t="s">
        <v>7113</v>
      </c>
      <c r="AY1554">
        <v>25</v>
      </c>
      <c r="AZ1554" s="184">
        <v>37775</v>
      </c>
      <c r="BA1554" t="s">
        <v>7180</v>
      </c>
      <c r="BB1554">
        <v>10000</v>
      </c>
      <c r="BC1554">
        <v>75</v>
      </c>
      <c r="BD1554">
        <v>12330</v>
      </c>
      <c r="BE1554">
        <v>1994</v>
      </c>
      <c r="BF1554">
        <v>77</v>
      </c>
      <c r="BI1554">
        <v>23</v>
      </c>
      <c r="BJ1554">
        <v>31</v>
      </c>
      <c r="BK1554">
        <v>23</v>
      </c>
      <c r="BP1554" s="184"/>
    </row>
    <row r="1555" spans="1:68">
      <c r="A1555">
        <v>100180799</v>
      </c>
      <c r="B1555">
        <v>17045311</v>
      </c>
      <c r="C1555" t="s">
        <v>7018</v>
      </c>
      <c r="E1555" s="184"/>
      <c r="G1555" s="184"/>
      <c r="I1555" s="184"/>
      <c r="J1555" t="s">
        <v>595</v>
      </c>
      <c r="K1555" s="184">
        <v>37775</v>
      </c>
      <c r="M1555" s="184"/>
      <c r="N1555" t="s">
        <v>595</v>
      </c>
      <c r="O1555" s="184">
        <v>37775</v>
      </c>
      <c r="P1555" t="s">
        <v>7045</v>
      </c>
      <c r="Q1555" t="s">
        <v>7374</v>
      </c>
      <c r="R1555" s="184">
        <v>8987</v>
      </c>
      <c r="S1555">
        <v>99</v>
      </c>
      <c r="U1555" t="s">
        <v>7130</v>
      </c>
      <c r="V1555" t="s">
        <v>2586</v>
      </c>
      <c r="W1555" t="s">
        <v>4523</v>
      </c>
      <c r="X1555" t="s">
        <v>5972</v>
      </c>
      <c r="Z1555">
        <v>17045311</v>
      </c>
      <c r="AA1555" t="s">
        <v>7031</v>
      </c>
      <c r="AB1555" t="s">
        <v>5974</v>
      </c>
      <c r="AC1555" t="s">
        <v>7268</v>
      </c>
      <c r="AD1555" t="s">
        <v>5972</v>
      </c>
      <c r="AF1555" t="s">
        <v>15790</v>
      </c>
      <c r="AG1555" t="s">
        <v>5974</v>
      </c>
      <c r="AI1555" t="s">
        <v>15791</v>
      </c>
      <c r="AM1555" t="s">
        <v>4910</v>
      </c>
      <c r="AN1555" t="s">
        <v>2081</v>
      </c>
      <c r="AO1555" t="s">
        <v>15792</v>
      </c>
      <c r="AP1555" t="s">
        <v>7024</v>
      </c>
      <c r="AT1555" s="184"/>
      <c r="AW1555" s="184"/>
      <c r="AZ1555" s="184"/>
      <c r="BO1555" t="s">
        <v>595</v>
      </c>
      <c r="BP1555" s="184">
        <v>42291</v>
      </c>
    </row>
    <row r="1556" spans="1:68">
      <c r="A1556">
        <v>17097106</v>
      </c>
      <c r="B1556">
        <v>17097106</v>
      </c>
      <c r="C1556" t="s">
        <v>7018</v>
      </c>
      <c r="D1556" t="s">
        <v>595</v>
      </c>
      <c r="E1556" s="184">
        <v>44167</v>
      </c>
      <c r="G1556" s="184"/>
      <c r="I1556" s="184"/>
      <c r="K1556" s="184"/>
      <c r="M1556" s="184"/>
      <c r="O1556" s="184"/>
      <c r="P1556" t="s">
        <v>7045</v>
      </c>
      <c r="Q1556" t="s">
        <v>7030</v>
      </c>
      <c r="R1556" s="184">
        <v>13150</v>
      </c>
      <c r="S1556">
        <v>88</v>
      </c>
      <c r="U1556" t="s">
        <v>7031</v>
      </c>
      <c r="V1556" t="s">
        <v>2541</v>
      </c>
      <c r="W1556" t="s">
        <v>4327</v>
      </c>
      <c r="X1556" t="s">
        <v>15794</v>
      </c>
      <c r="AF1556" t="s">
        <v>15795</v>
      </c>
      <c r="AG1556" t="s">
        <v>2541</v>
      </c>
      <c r="AI1556" t="s">
        <v>15796</v>
      </c>
      <c r="AM1556" t="s">
        <v>14406</v>
      </c>
      <c r="AN1556" t="s">
        <v>2201</v>
      </c>
      <c r="AO1556" t="s">
        <v>15797</v>
      </c>
      <c r="AP1556" t="s">
        <v>7024</v>
      </c>
      <c r="AQ1556" t="s">
        <v>15798</v>
      </c>
      <c r="AT1556" s="184">
        <v>34528</v>
      </c>
      <c r="AU1556" t="s">
        <v>15799</v>
      </c>
      <c r="AV1556">
        <v>15</v>
      </c>
      <c r="AW1556" s="184">
        <v>44566</v>
      </c>
      <c r="AX1556" t="s">
        <v>15800</v>
      </c>
      <c r="AY1556">
        <v>150</v>
      </c>
      <c r="AZ1556" s="184">
        <v>44566</v>
      </c>
      <c r="BA1556" t="s">
        <v>15800</v>
      </c>
      <c r="BB1556">
        <v>150</v>
      </c>
      <c r="BC1556">
        <v>36</v>
      </c>
      <c r="BD1556">
        <v>950</v>
      </c>
      <c r="BE1556">
        <v>1995</v>
      </c>
      <c r="BF1556">
        <v>14</v>
      </c>
      <c r="BI1556">
        <v>11</v>
      </c>
      <c r="BJ1556">
        <v>31</v>
      </c>
      <c r="BK1556">
        <v>5</v>
      </c>
      <c r="BP1556" s="184"/>
    </row>
    <row r="1557" spans="1:68">
      <c r="A1557">
        <v>17105016</v>
      </c>
      <c r="B1557">
        <v>17105016</v>
      </c>
      <c r="C1557" t="s">
        <v>7018</v>
      </c>
      <c r="E1557" s="184"/>
      <c r="G1557" s="184"/>
      <c r="I1557" s="184"/>
      <c r="J1557" t="s">
        <v>595</v>
      </c>
      <c r="K1557" s="184">
        <v>37435</v>
      </c>
      <c r="M1557" s="184"/>
      <c r="O1557" s="184"/>
      <c r="P1557" t="s">
        <v>7045</v>
      </c>
      <c r="Q1557" t="s">
        <v>7020</v>
      </c>
      <c r="R1557" s="184">
        <v>26451</v>
      </c>
      <c r="S1557">
        <v>51</v>
      </c>
      <c r="U1557" t="s">
        <v>7076</v>
      </c>
      <c r="V1557" t="s">
        <v>15801</v>
      </c>
      <c r="X1557" t="s">
        <v>15802</v>
      </c>
      <c r="AF1557" t="s">
        <v>6425</v>
      </c>
      <c r="AG1557" t="s">
        <v>15803</v>
      </c>
      <c r="AI1557" t="s">
        <v>15804</v>
      </c>
      <c r="AM1557" t="s">
        <v>15805</v>
      </c>
      <c r="AN1557" t="s">
        <v>2052</v>
      </c>
      <c r="AO1557" t="s">
        <v>15806</v>
      </c>
      <c r="AP1557" t="s">
        <v>7024</v>
      </c>
      <c r="AT1557" s="184">
        <v>34529</v>
      </c>
      <c r="AU1557" t="s">
        <v>15807</v>
      </c>
      <c r="AV1557">
        <v>25</v>
      </c>
      <c r="AW1557" s="184">
        <v>42800</v>
      </c>
      <c r="AX1557" t="s">
        <v>15808</v>
      </c>
      <c r="AY1557">
        <v>50</v>
      </c>
      <c r="AZ1557" s="184">
        <v>37610</v>
      </c>
      <c r="BA1557" t="s">
        <v>15809</v>
      </c>
      <c r="BB1557">
        <v>100</v>
      </c>
      <c r="BC1557">
        <v>52</v>
      </c>
      <c r="BD1557">
        <v>1082</v>
      </c>
      <c r="BE1557">
        <v>1995</v>
      </c>
      <c r="BF1557">
        <v>22</v>
      </c>
      <c r="BI1557">
        <v>16</v>
      </c>
      <c r="BJ1557">
        <v>31</v>
      </c>
      <c r="BK1557">
        <v>9</v>
      </c>
      <c r="BP1557" s="184"/>
    </row>
    <row r="1558" spans="1:68">
      <c r="A1558">
        <v>17109364</v>
      </c>
      <c r="B1558">
        <v>17109364</v>
      </c>
      <c r="C1558" t="s">
        <v>7018</v>
      </c>
      <c r="D1558" t="s">
        <v>595</v>
      </c>
      <c r="E1558" s="184">
        <v>43836</v>
      </c>
      <c r="G1558" s="184"/>
      <c r="I1558" s="184"/>
      <c r="K1558" s="184"/>
      <c r="M1558" s="184"/>
      <c r="O1558" s="184"/>
      <c r="P1558" t="s">
        <v>7045</v>
      </c>
      <c r="Q1558" t="s">
        <v>7262</v>
      </c>
      <c r="R1558" s="184">
        <v>15373</v>
      </c>
      <c r="S1558">
        <v>82</v>
      </c>
      <c r="U1558" t="s">
        <v>7031</v>
      </c>
      <c r="V1558" t="s">
        <v>2832</v>
      </c>
      <c r="W1558" t="s">
        <v>3522</v>
      </c>
      <c r="X1558" t="s">
        <v>15810</v>
      </c>
      <c r="AF1558" t="s">
        <v>15811</v>
      </c>
      <c r="AG1558" t="s">
        <v>2832</v>
      </c>
      <c r="AI1558" t="s">
        <v>15812</v>
      </c>
      <c r="AM1558" t="s">
        <v>5055</v>
      </c>
      <c r="AN1558" t="s">
        <v>2106</v>
      </c>
      <c r="AO1558" t="s">
        <v>15813</v>
      </c>
      <c r="AP1558" t="s">
        <v>7024</v>
      </c>
      <c r="AQ1558" t="s">
        <v>15814</v>
      </c>
      <c r="AT1558" s="184">
        <v>34529</v>
      </c>
      <c r="AU1558" t="s">
        <v>15815</v>
      </c>
      <c r="AV1558">
        <v>15</v>
      </c>
      <c r="AW1558" s="184">
        <v>43873</v>
      </c>
      <c r="AX1558" t="s">
        <v>15816</v>
      </c>
      <c r="AY1558">
        <v>1</v>
      </c>
      <c r="AZ1558" s="184">
        <v>36654</v>
      </c>
      <c r="BA1558" t="s">
        <v>15817</v>
      </c>
      <c r="BB1558">
        <v>20</v>
      </c>
      <c r="BC1558">
        <v>30</v>
      </c>
      <c r="BD1558">
        <v>58</v>
      </c>
      <c r="BE1558">
        <v>1995</v>
      </c>
      <c r="BF1558">
        <v>25</v>
      </c>
      <c r="BI1558">
        <v>9</v>
      </c>
      <c r="BJ1558">
        <v>31</v>
      </c>
      <c r="BK1558">
        <v>2</v>
      </c>
      <c r="BP1558" s="184"/>
    </row>
    <row r="1559" spans="1:68">
      <c r="A1559">
        <v>17121336</v>
      </c>
      <c r="B1559">
        <v>17121336</v>
      </c>
      <c r="C1559" t="s">
        <v>7018</v>
      </c>
      <c r="D1559" t="s">
        <v>595</v>
      </c>
      <c r="E1559" s="184">
        <v>43745</v>
      </c>
      <c r="G1559" s="184"/>
      <c r="I1559" s="184"/>
      <c r="K1559" s="184"/>
      <c r="M1559" s="184"/>
      <c r="O1559" s="184"/>
      <c r="P1559" t="s">
        <v>7045</v>
      </c>
      <c r="Q1559" t="s">
        <v>7160</v>
      </c>
      <c r="R1559" s="184">
        <v>19636</v>
      </c>
      <c r="S1559">
        <v>70</v>
      </c>
      <c r="U1559" t="s">
        <v>7076</v>
      </c>
      <c r="V1559" t="s">
        <v>4111</v>
      </c>
      <c r="W1559" t="s">
        <v>7107</v>
      </c>
      <c r="X1559" t="s">
        <v>4112</v>
      </c>
      <c r="AF1559" t="s">
        <v>15818</v>
      </c>
      <c r="AG1559" t="s">
        <v>4111</v>
      </c>
      <c r="AI1559" t="s">
        <v>15819</v>
      </c>
      <c r="AM1559" t="s">
        <v>3975</v>
      </c>
      <c r="AN1559" t="s">
        <v>2413</v>
      </c>
      <c r="AO1559" t="s">
        <v>15820</v>
      </c>
      <c r="AP1559" t="s">
        <v>7024</v>
      </c>
      <c r="AQ1559" t="s">
        <v>15821</v>
      </c>
      <c r="AT1559" s="184">
        <v>34530</v>
      </c>
      <c r="AU1559" t="s">
        <v>15822</v>
      </c>
      <c r="AV1559">
        <v>20</v>
      </c>
      <c r="AW1559" s="184">
        <v>45359</v>
      </c>
      <c r="AX1559" t="s">
        <v>11290</v>
      </c>
      <c r="AY1559">
        <v>35</v>
      </c>
      <c r="AZ1559" s="184">
        <v>44047</v>
      </c>
      <c r="BA1559" t="s">
        <v>15823</v>
      </c>
      <c r="BB1559">
        <v>40</v>
      </c>
      <c r="BC1559">
        <v>100</v>
      </c>
      <c r="BD1559">
        <v>1175</v>
      </c>
      <c r="BE1559">
        <v>1995</v>
      </c>
      <c r="BF1559">
        <v>38</v>
      </c>
      <c r="BG1559">
        <v>3</v>
      </c>
      <c r="BH1559">
        <v>105</v>
      </c>
      <c r="BI1559">
        <v>31</v>
      </c>
      <c r="BJ1559">
        <v>31</v>
      </c>
      <c r="BK1559">
        <v>31</v>
      </c>
      <c r="BP1559" s="184"/>
    </row>
    <row r="1560" spans="1:68">
      <c r="A1560">
        <v>17175282</v>
      </c>
      <c r="B1560">
        <v>17175282</v>
      </c>
      <c r="C1560" t="s">
        <v>7018</v>
      </c>
      <c r="E1560" s="184"/>
      <c r="F1560" t="s">
        <v>595</v>
      </c>
      <c r="G1560" s="184">
        <v>43647</v>
      </c>
      <c r="I1560" s="184"/>
      <c r="K1560" s="184"/>
      <c r="M1560" s="184"/>
      <c r="O1560" s="184"/>
      <c r="P1560" t="s">
        <v>7045</v>
      </c>
      <c r="Q1560" t="s">
        <v>7383</v>
      </c>
      <c r="R1560" s="184">
        <v>13992</v>
      </c>
      <c r="S1560">
        <v>86</v>
      </c>
      <c r="V1560" t="s">
        <v>2523</v>
      </c>
      <c r="W1560" t="s">
        <v>205</v>
      </c>
      <c r="X1560" t="s">
        <v>3092</v>
      </c>
      <c r="AF1560" t="s">
        <v>15824</v>
      </c>
      <c r="AG1560" t="s">
        <v>2523</v>
      </c>
      <c r="AI1560" t="s">
        <v>15825</v>
      </c>
      <c r="AM1560" t="s">
        <v>15826</v>
      </c>
      <c r="AN1560" t="s">
        <v>2313</v>
      </c>
      <c r="AO1560" t="s">
        <v>15827</v>
      </c>
      <c r="AP1560" t="s">
        <v>7024</v>
      </c>
      <c r="AQ1560" t="s">
        <v>15828</v>
      </c>
      <c r="AT1560" s="184">
        <v>34544</v>
      </c>
      <c r="AU1560" t="s">
        <v>15829</v>
      </c>
      <c r="AV1560">
        <v>25</v>
      </c>
      <c r="AW1560" s="184">
        <v>44673</v>
      </c>
      <c r="AX1560" t="s">
        <v>15830</v>
      </c>
      <c r="AY1560">
        <v>25</v>
      </c>
      <c r="AZ1560" s="184">
        <v>39091</v>
      </c>
      <c r="BA1560" t="s">
        <v>15831</v>
      </c>
      <c r="BB1560">
        <v>60</v>
      </c>
      <c r="BC1560">
        <v>65</v>
      </c>
      <c r="BD1560">
        <v>930</v>
      </c>
      <c r="BE1560">
        <v>1995</v>
      </c>
      <c r="BF1560">
        <v>31</v>
      </c>
      <c r="BG1560">
        <v>1</v>
      </c>
      <c r="BH1560">
        <v>25</v>
      </c>
      <c r="BI1560">
        <v>20</v>
      </c>
      <c r="BJ1560">
        <v>31</v>
      </c>
      <c r="BK1560">
        <v>9</v>
      </c>
      <c r="BP1560" s="184"/>
    </row>
    <row r="1561" spans="1:68">
      <c r="A1561">
        <v>17175332</v>
      </c>
      <c r="B1561">
        <v>17175332</v>
      </c>
      <c r="C1561" t="s">
        <v>7018</v>
      </c>
      <c r="D1561" t="s">
        <v>595</v>
      </c>
      <c r="E1561" s="184">
        <v>43808</v>
      </c>
      <c r="G1561" s="184"/>
      <c r="K1561" s="184"/>
      <c r="O1561" s="184"/>
      <c r="P1561" t="s">
        <v>7045</v>
      </c>
      <c r="Q1561" t="s">
        <v>7030</v>
      </c>
      <c r="R1561" s="184">
        <v>19043</v>
      </c>
      <c r="S1561">
        <v>72</v>
      </c>
      <c r="U1561" t="s">
        <v>7076</v>
      </c>
      <c r="V1561" t="s">
        <v>4447</v>
      </c>
      <c r="X1561" t="s">
        <v>3092</v>
      </c>
      <c r="AF1561" t="s">
        <v>15832</v>
      </c>
      <c r="AG1561" t="s">
        <v>4447</v>
      </c>
      <c r="AI1561" t="s">
        <v>15833</v>
      </c>
      <c r="AM1561" t="s">
        <v>4420</v>
      </c>
      <c r="AN1561" t="s">
        <v>2089</v>
      </c>
      <c r="AO1561" t="s">
        <v>15834</v>
      </c>
      <c r="AP1561" t="s">
        <v>7024</v>
      </c>
      <c r="AQ1561" t="s">
        <v>15835</v>
      </c>
      <c r="AT1561" s="184">
        <v>34544</v>
      </c>
      <c r="AU1561" t="s">
        <v>15836</v>
      </c>
      <c r="AV1561">
        <v>25</v>
      </c>
      <c r="AW1561" s="184">
        <v>45418</v>
      </c>
      <c r="AX1561" t="s">
        <v>9437</v>
      </c>
      <c r="AY1561">
        <v>75</v>
      </c>
      <c r="AZ1561" s="184">
        <v>42114</v>
      </c>
      <c r="BA1561" t="s">
        <v>10906</v>
      </c>
      <c r="BB1561">
        <v>87</v>
      </c>
      <c r="BC1561">
        <v>81</v>
      </c>
      <c r="BD1561">
        <v>1017</v>
      </c>
      <c r="BE1561">
        <v>1995</v>
      </c>
      <c r="BF1561">
        <v>25</v>
      </c>
      <c r="BG1561">
        <v>2</v>
      </c>
      <c r="BH1561">
        <v>150</v>
      </c>
      <c r="BI1561">
        <v>25</v>
      </c>
      <c r="BJ1561">
        <v>31</v>
      </c>
      <c r="BK1561">
        <v>13</v>
      </c>
    </row>
    <row r="1562" spans="1:68">
      <c r="A1562">
        <v>17176561</v>
      </c>
      <c r="B1562">
        <v>17176561</v>
      </c>
      <c r="C1562" t="s">
        <v>7018</v>
      </c>
      <c r="E1562" s="184"/>
      <c r="G1562" s="184"/>
      <c r="I1562" s="184"/>
      <c r="J1562" t="s">
        <v>595</v>
      </c>
      <c r="K1562" s="184">
        <v>42521</v>
      </c>
      <c r="O1562" s="184"/>
      <c r="P1562" t="s">
        <v>7045</v>
      </c>
      <c r="Q1562" t="s">
        <v>7194</v>
      </c>
      <c r="R1562" s="184">
        <v>17685</v>
      </c>
      <c r="S1562">
        <v>75</v>
      </c>
      <c r="U1562" t="s">
        <v>7031</v>
      </c>
      <c r="V1562" t="s">
        <v>15837</v>
      </c>
      <c r="X1562" t="s">
        <v>10901</v>
      </c>
      <c r="AF1562" t="s">
        <v>15838</v>
      </c>
      <c r="AG1562" t="s">
        <v>15837</v>
      </c>
      <c r="AI1562" t="s">
        <v>15839</v>
      </c>
      <c r="AM1562" t="s">
        <v>15840</v>
      </c>
      <c r="AN1562" t="s">
        <v>2046</v>
      </c>
      <c r="AO1562" t="s">
        <v>15841</v>
      </c>
      <c r="AP1562" t="s">
        <v>7024</v>
      </c>
      <c r="AQ1562" t="s">
        <v>15842</v>
      </c>
      <c r="AT1562" s="184">
        <v>34544</v>
      </c>
      <c r="AU1562" t="s">
        <v>15843</v>
      </c>
      <c r="AV1562">
        <v>15</v>
      </c>
      <c r="AW1562" s="184">
        <v>45254</v>
      </c>
      <c r="AX1562" t="s">
        <v>15844</v>
      </c>
      <c r="AY1562">
        <v>25</v>
      </c>
      <c r="AZ1562" s="184">
        <v>45129</v>
      </c>
      <c r="BA1562" t="s">
        <v>7168</v>
      </c>
      <c r="BB1562">
        <v>35</v>
      </c>
      <c r="BC1562">
        <v>97</v>
      </c>
      <c r="BD1562">
        <v>945</v>
      </c>
      <c r="BE1562">
        <v>1995</v>
      </c>
      <c r="BF1562">
        <v>35</v>
      </c>
      <c r="BG1562">
        <v>3</v>
      </c>
      <c r="BH1562">
        <v>85</v>
      </c>
      <c r="BI1562">
        <v>30</v>
      </c>
      <c r="BJ1562">
        <v>31</v>
      </c>
      <c r="BK1562">
        <v>30</v>
      </c>
    </row>
    <row r="1563" spans="1:68">
      <c r="A1563">
        <v>17206988</v>
      </c>
      <c r="B1563">
        <v>17206988</v>
      </c>
      <c r="C1563" t="s">
        <v>7018</v>
      </c>
      <c r="E1563" s="184"/>
      <c r="G1563" s="184"/>
      <c r="I1563" s="184"/>
      <c r="J1563" t="s">
        <v>595</v>
      </c>
      <c r="K1563" s="184">
        <v>37446</v>
      </c>
      <c r="O1563" s="184"/>
      <c r="P1563" t="s">
        <v>7045</v>
      </c>
      <c r="Q1563" t="s">
        <v>7383</v>
      </c>
      <c r="R1563" s="184">
        <v>15000</v>
      </c>
      <c r="S1563">
        <v>83</v>
      </c>
      <c r="U1563" t="s">
        <v>7130</v>
      </c>
      <c r="V1563" t="s">
        <v>3574</v>
      </c>
      <c r="X1563" t="s">
        <v>15845</v>
      </c>
      <c r="AF1563" t="s">
        <v>6315</v>
      </c>
      <c r="AG1563" t="s">
        <v>3574</v>
      </c>
      <c r="AI1563" t="s">
        <v>15846</v>
      </c>
      <c r="AM1563" t="s">
        <v>3164</v>
      </c>
      <c r="AN1563" t="s">
        <v>2185</v>
      </c>
      <c r="AO1563">
        <v>55369</v>
      </c>
      <c r="AP1563" t="s">
        <v>7024</v>
      </c>
      <c r="AQ1563" t="s">
        <v>15847</v>
      </c>
      <c r="AT1563" s="184">
        <v>34555</v>
      </c>
      <c r="AU1563" t="s">
        <v>15848</v>
      </c>
      <c r="AV1563">
        <v>15</v>
      </c>
      <c r="AW1563" s="184">
        <v>40896</v>
      </c>
      <c r="AX1563" t="s">
        <v>9716</v>
      </c>
      <c r="AY1563">
        <v>100</v>
      </c>
      <c r="AZ1563" s="184">
        <v>40168</v>
      </c>
      <c r="BA1563" t="s">
        <v>15849</v>
      </c>
      <c r="BB1563">
        <v>250</v>
      </c>
      <c r="BC1563">
        <v>55</v>
      </c>
      <c r="BD1563">
        <v>1590</v>
      </c>
      <c r="BE1563">
        <v>1995</v>
      </c>
      <c r="BF1563">
        <v>31</v>
      </c>
      <c r="BI1563">
        <v>17</v>
      </c>
      <c r="BJ1563">
        <v>31</v>
      </c>
      <c r="BK1563">
        <v>14</v>
      </c>
      <c r="BP1563" s="184"/>
    </row>
    <row r="1564" spans="1:68">
      <c r="A1564">
        <v>17229949</v>
      </c>
      <c r="B1564">
        <v>17229949</v>
      </c>
      <c r="C1564" t="s">
        <v>7018</v>
      </c>
      <c r="D1564" t="s">
        <v>595</v>
      </c>
      <c r="E1564" s="184">
        <v>44073</v>
      </c>
      <c r="G1564" s="184"/>
      <c r="I1564" s="184"/>
      <c r="K1564" s="184"/>
      <c r="M1564" s="184"/>
      <c r="O1564" s="184"/>
      <c r="P1564" t="s">
        <v>7045</v>
      </c>
      <c r="Q1564" t="s">
        <v>7030</v>
      </c>
      <c r="R1564" s="184">
        <v>22043</v>
      </c>
      <c r="S1564">
        <v>64</v>
      </c>
      <c r="V1564" t="s">
        <v>3745</v>
      </c>
      <c r="W1564" t="s">
        <v>7560</v>
      </c>
      <c r="X1564" t="s">
        <v>15850</v>
      </c>
      <c r="Z1564">
        <v>100046508</v>
      </c>
      <c r="AB1564" t="s">
        <v>3228</v>
      </c>
      <c r="AC1564" t="s">
        <v>7085</v>
      </c>
      <c r="AD1564" t="s">
        <v>15851</v>
      </c>
      <c r="AF1564" t="s">
        <v>15852</v>
      </c>
      <c r="AG1564" t="s">
        <v>15853</v>
      </c>
      <c r="AI1564" t="s">
        <v>15854</v>
      </c>
      <c r="AM1564" t="s">
        <v>15855</v>
      </c>
      <c r="AN1564" t="s">
        <v>2089</v>
      </c>
      <c r="AO1564" t="s">
        <v>15856</v>
      </c>
      <c r="AP1564" t="s">
        <v>7024</v>
      </c>
      <c r="AQ1564" t="s">
        <v>15857</v>
      </c>
      <c r="AT1564" s="184">
        <v>34557</v>
      </c>
      <c r="AU1564" t="s">
        <v>15858</v>
      </c>
      <c r="AV1564">
        <v>50</v>
      </c>
      <c r="AW1564" s="184">
        <v>44873</v>
      </c>
      <c r="AX1564" t="s">
        <v>15859</v>
      </c>
      <c r="AY1564">
        <v>200</v>
      </c>
      <c r="AZ1564" s="184">
        <v>41053</v>
      </c>
      <c r="BA1564" t="s">
        <v>15860</v>
      </c>
      <c r="BB1564">
        <v>375</v>
      </c>
      <c r="BC1564">
        <v>94</v>
      </c>
      <c r="BD1564">
        <v>9395</v>
      </c>
      <c r="BE1564">
        <v>1995</v>
      </c>
      <c r="BF1564">
        <v>85</v>
      </c>
      <c r="BG1564">
        <v>1</v>
      </c>
      <c r="BH1564">
        <v>200</v>
      </c>
      <c r="BI1564">
        <v>29</v>
      </c>
      <c r="BJ1564">
        <v>31</v>
      </c>
      <c r="BK1564">
        <v>29</v>
      </c>
      <c r="BN1564" t="s">
        <v>595</v>
      </c>
      <c r="BP1564" s="184"/>
    </row>
    <row r="1565" spans="1:68">
      <c r="A1565">
        <v>100046508</v>
      </c>
      <c r="B1565">
        <v>17229949</v>
      </c>
      <c r="C1565" t="s">
        <v>7018</v>
      </c>
      <c r="D1565" t="s">
        <v>595</v>
      </c>
      <c r="E1565" s="184">
        <v>44073</v>
      </c>
      <c r="G1565" s="184"/>
      <c r="I1565" s="184"/>
      <c r="K1565" s="184"/>
      <c r="M1565" s="184"/>
      <c r="O1565" s="184"/>
      <c r="P1565" t="s">
        <v>7045</v>
      </c>
      <c r="Q1565" t="s">
        <v>7030</v>
      </c>
      <c r="R1565" s="184">
        <v>22555</v>
      </c>
      <c r="S1565">
        <v>62</v>
      </c>
      <c r="V1565" t="s">
        <v>3228</v>
      </c>
      <c r="W1565" t="s">
        <v>7085</v>
      </c>
      <c r="X1565" t="s">
        <v>15851</v>
      </c>
      <c r="Z1565">
        <v>17229949</v>
      </c>
      <c r="AB1565" t="s">
        <v>3745</v>
      </c>
      <c r="AC1565" t="s">
        <v>7560</v>
      </c>
      <c r="AD1565" t="s">
        <v>15850</v>
      </c>
      <c r="AF1565" t="s">
        <v>15852</v>
      </c>
      <c r="AG1565" t="s">
        <v>15853</v>
      </c>
      <c r="AI1565" t="s">
        <v>15854</v>
      </c>
      <c r="AM1565" t="s">
        <v>15855</v>
      </c>
      <c r="AN1565" t="s">
        <v>2089</v>
      </c>
      <c r="AO1565" t="s">
        <v>15856</v>
      </c>
      <c r="AP1565" t="s">
        <v>7024</v>
      </c>
      <c r="AT1565" s="184"/>
      <c r="AW1565" s="184"/>
      <c r="AZ1565" s="184"/>
      <c r="BP1565" s="184"/>
    </row>
    <row r="1566" spans="1:68">
      <c r="A1566">
        <v>17232349</v>
      </c>
      <c r="B1566">
        <v>17232349</v>
      </c>
      <c r="C1566" t="s">
        <v>7018</v>
      </c>
      <c r="E1566" s="184"/>
      <c r="G1566" s="184"/>
      <c r="I1566" s="184"/>
      <c r="J1566" t="s">
        <v>595</v>
      </c>
      <c r="K1566" s="184">
        <v>42475</v>
      </c>
      <c r="M1566" s="184"/>
      <c r="O1566" s="184"/>
      <c r="P1566" t="s">
        <v>7045</v>
      </c>
      <c r="Q1566" t="s">
        <v>7194</v>
      </c>
      <c r="R1566" s="184">
        <v>14258</v>
      </c>
      <c r="S1566">
        <v>85</v>
      </c>
      <c r="U1566" t="s">
        <v>7130</v>
      </c>
      <c r="V1566" t="s">
        <v>2602</v>
      </c>
      <c r="W1566" t="s">
        <v>5006</v>
      </c>
      <c r="X1566" t="s">
        <v>15861</v>
      </c>
      <c r="AF1566" t="s">
        <v>6399</v>
      </c>
      <c r="AG1566" t="s">
        <v>2602</v>
      </c>
      <c r="AI1566" t="s">
        <v>15862</v>
      </c>
      <c r="AM1566" t="s">
        <v>15863</v>
      </c>
      <c r="AN1566" t="s">
        <v>2046</v>
      </c>
      <c r="AO1566" t="s">
        <v>15864</v>
      </c>
      <c r="AP1566" t="s">
        <v>7024</v>
      </c>
      <c r="AQ1566" t="s">
        <v>15865</v>
      </c>
      <c r="AT1566" s="184">
        <v>34557</v>
      </c>
      <c r="AU1566" t="s">
        <v>15866</v>
      </c>
      <c r="AV1566">
        <v>15</v>
      </c>
      <c r="AW1566" s="184">
        <v>45372</v>
      </c>
      <c r="AX1566" t="s">
        <v>10707</v>
      </c>
      <c r="AY1566">
        <v>60</v>
      </c>
      <c r="AZ1566" s="184">
        <v>45372</v>
      </c>
      <c r="BA1566" t="s">
        <v>10707</v>
      </c>
      <c r="BB1566">
        <v>60</v>
      </c>
      <c r="BC1566">
        <v>88</v>
      </c>
      <c r="BD1566">
        <v>1420</v>
      </c>
      <c r="BE1566">
        <v>1995</v>
      </c>
      <c r="BF1566">
        <v>60</v>
      </c>
      <c r="BG1566">
        <v>3</v>
      </c>
      <c r="BH1566">
        <v>170</v>
      </c>
      <c r="BI1566">
        <v>27</v>
      </c>
      <c r="BJ1566">
        <v>31</v>
      </c>
      <c r="BK1566">
        <v>20</v>
      </c>
      <c r="BP1566" s="184"/>
    </row>
    <row r="1567" spans="1:68">
      <c r="A1567">
        <v>17275108</v>
      </c>
      <c r="B1567">
        <v>17275108</v>
      </c>
      <c r="C1567" t="s">
        <v>7018</v>
      </c>
      <c r="E1567" s="184"/>
      <c r="G1567" s="184"/>
      <c r="I1567" s="184"/>
      <c r="J1567" t="s">
        <v>595</v>
      </c>
      <c r="K1567" s="184">
        <v>42886</v>
      </c>
      <c r="M1567" s="184"/>
      <c r="O1567" s="184"/>
      <c r="P1567" t="s">
        <v>7045</v>
      </c>
      <c r="Q1567" t="s">
        <v>7374</v>
      </c>
      <c r="R1567" s="184">
        <v>9223</v>
      </c>
      <c r="S1567">
        <v>99</v>
      </c>
      <c r="V1567" t="s">
        <v>15867</v>
      </c>
      <c r="X1567" t="s">
        <v>15868</v>
      </c>
      <c r="Z1567">
        <v>100046599</v>
      </c>
      <c r="AB1567" t="s">
        <v>2887</v>
      </c>
      <c r="AD1567" t="s">
        <v>15868</v>
      </c>
      <c r="AF1567" t="s">
        <v>6120</v>
      </c>
      <c r="AG1567" t="s">
        <v>15869</v>
      </c>
      <c r="AI1567" t="s">
        <v>15870</v>
      </c>
      <c r="AM1567" t="s">
        <v>5817</v>
      </c>
      <c r="AN1567" t="s">
        <v>2081</v>
      </c>
      <c r="AO1567" t="s">
        <v>15871</v>
      </c>
      <c r="AP1567" t="s">
        <v>7024</v>
      </c>
      <c r="AQ1567" t="s">
        <v>15872</v>
      </c>
      <c r="AR1567" t="s">
        <v>15873</v>
      </c>
      <c r="AT1567" s="184">
        <v>34562</v>
      </c>
      <c r="AU1567" t="s">
        <v>15874</v>
      </c>
      <c r="AV1567">
        <v>25</v>
      </c>
      <c r="AW1567" s="184">
        <v>44771</v>
      </c>
      <c r="AX1567" t="s">
        <v>15875</v>
      </c>
      <c r="AY1567">
        <v>200</v>
      </c>
      <c r="AZ1567" s="184">
        <v>44771</v>
      </c>
      <c r="BA1567" t="s">
        <v>15875</v>
      </c>
      <c r="BB1567">
        <v>200</v>
      </c>
      <c r="BC1567">
        <v>94</v>
      </c>
      <c r="BD1567">
        <v>5435</v>
      </c>
      <c r="BE1567">
        <v>1995</v>
      </c>
      <c r="BF1567">
        <v>42</v>
      </c>
      <c r="BG1567">
        <v>1</v>
      </c>
      <c r="BH1567">
        <v>200</v>
      </c>
      <c r="BI1567">
        <v>29</v>
      </c>
      <c r="BJ1567">
        <v>31</v>
      </c>
      <c r="BK1567">
        <v>29</v>
      </c>
      <c r="BP1567" s="184"/>
    </row>
    <row r="1568" spans="1:68">
      <c r="A1568">
        <v>100046599</v>
      </c>
      <c r="B1568">
        <v>17275108</v>
      </c>
      <c r="C1568" t="s">
        <v>7018</v>
      </c>
      <c r="E1568" s="184"/>
      <c r="G1568" s="184"/>
      <c r="I1568" s="184"/>
      <c r="J1568" t="s">
        <v>595</v>
      </c>
      <c r="K1568" s="184">
        <v>42886</v>
      </c>
      <c r="O1568" s="184"/>
      <c r="P1568" t="s">
        <v>7045</v>
      </c>
      <c r="Q1568" t="s">
        <v>7374</v>
      </c>
      <c r="R1568" s="184">
        <v>8844</v>
      </c>
      <c r="S1568">
        <v>100</v>
      </c>
      <c r="V1568" t="s">
        <v>2887</v>
      </c>
      <c r="X1568" t="s">
        <v>15868</v>
      </c>
      <c r="Z1568">
        <v>17275108</v>
      </c>
      <c r="AB1568" t="s">
        <v>15867</v>
      </c>
      <c r="AD1568" t="s">
        <v>15868</v>
      </c>
      <c r="AF1568" t="s">
        <v>6120</v>
      </c>
      <c r="AG1568" t="s">
        <v>15869</v>
      </c>
      <c r="AI1568" t="s">
        <v>15870</v>
      </c>
      <c r="AM1568" t="s">
        <v>5817</v>
      </c>
      <c r="AN1568" t="s">
        <v>2081</v>
      </c>
      <c r="AO1568" t="s">
        <v>15871</v>
      </c>
      <c r="AP1568" t="s">
        <v>7024</v>
      </c>
      <c r="AT1568" s="184"/>
      <c r="AW1568" s="184"/>
      <c r="AZ1568" s="184"/>
      <c r="BP1568" s="184"/>
    </row>
    <row r="1569" spans="1:68">
      <c r="A1569">
        <v>17289000</v>
      </c>
      <c r="B1569">
        <v>17289000</v>
      </c>
      <c r="C1569" t="s">
        <v>7018</v>
      </c>
      <c r="E1569" s="184"/>
      <c r="G1569" s="184"/>
      <c r="I1569" s="184"/>
      <c r="J1569" t="s">
        <v>595</v>
      </c>
      <c r="K1569" s="184">
        <v>38989</v>
      </c>
      <c r="N1569" t="s">
        <v>595</v>
      </c>
      <c r="O1569" s="184">
        <v>40875</v>
      </c>
      <c r="P1569" t="s">
        <v>7019</v>
      </c>
      <c r="Q1569" t="s">
        <v>7383</v>
      </c>
      <c r="R1569" s="184">
        <v>13990</v>
      </c>
      <c r="S1569">
        <v>86</v>
      </c>
      <c r="U1569" t="s">
        <v>7031</v>
      </c>
      <c r="V1569" t="s">
        <v>2828</v>
      </c>
      <c r="W1569" t="s">
        <v>7268</v>
      </c>
      <c r="X1569" t="s">
        <v>5962</v>
      </c>
      <c r="Z1569">
        <v>100309589</v>
      </c>
      <c r="AB1569" t="s">
        <v>3043</v>
      </c>
      <c r="AD1569" t="s">
        <v>5960</v>
      </c>
      <c r="AF1569" t="s">
        <v>15876</v>
      </c>
      <c r="AG1569" t="s">
        <v>15877</v>
      </c>
      <c r="AI1569" t="s">
        <v>15878</v>
      </c>
      <c r="AJ1569" t="s">
        <v>15879</v>
      </c>
      <c r="AM1569" t="s">
        <v>5961</v>
      </c>
      <c r="AN1569" t="s">
        <v>2072</v>
      </c>
      <c r="AO1569">
        <v>48079</v>
      </c>
      <c r="AP1569" t="s">
        <v>7024</v>
      </c>
      <c r="AQ1569" t="s">
        <v>15880</v>
      </c>
      <c r="AR1569" t="s">
        <v>15881</v>
      </c>
      <c r="AT1569" s="184">
        <v>34565</v>
      </c>
      <c r="AU1569" t="s">
        <v>15882</v>
      </c>
      <c r="AV1569">
        <v>20</v>
      </c>
      <c r="AW1569" s="184">
        <v>44925</v>
      </c>
      <c r="AX1569" t="s">
        <v>13610</v>
      </c>
      <c r="AY1569">
        <v>25</v>
      </c>
      <c r="AZ1569" s="184">
        <v>40875</v>
      </c>
      <c r="BA1569" t="s">
        <v>7075</v>
      </c>
      <c r="BB1569">
        <v>10000</v>
      </c>
      <c r="BC1569">
        <v>84</v>
      </c>
      <c r="BD1569">
        <v>13078</v>
      </c>
      <c r="BE1569">
        <v>1995</v>
      </c>
      <c r="BF1569">
        <v>83</v>
      </c>
      <c r="BG1569">
        <v>1</v>
      </c>
      <c r="BH1569">
        <v>25</v>
      </c>
      <c r="BI1569">
        <v>26</v>
      </c>
      <c r="BJ1569">
        <v>31</v>
      </c>
      <c r="BK1569">
        <v>22</v>
      </c>
      <c r="BP1569" s="184"/>
    </row>
    <row r="1570" spans="1:68">
      <c r="A1570">
        <v>100309589</v>
      </c>
      <c r="B1570">
        <v>17289000</v>
      </c>
      <c r="C1570" t="s">
        <v>7018</v>
      </c>
      <c r="E1570" s="184"/>
      <c r="G1570" s="184"/>
      <c r="I1570" s="184"/>
      <c r="J1570" t="s">
        <v>595</v>
      </c>
      <c r="K1570" s="184">
        <v>38989</v>
      </c>
      <c r="O1570" s="184"/>
      <c r="P1570" t="s">
        <v>7019</v>
      </c>
      <c r="Q1570" t="s">
        <v>7383</v>
      </c>
      <c r="R1570" s="184">
        <v>17014</v>
      </c>
      <c r="S1570">
        <v>77</v>
      </c>
      <c r="V1570" t="s">
        <v>3043</v>
      </c>
      <c r="X1570" t="s">
        <v>5960</v>
      </c>
      <c r="Z1570">
        <v>17289000</v>
      </c>
      <c r="AA1570" t="s">
        <v>7031</v>
      </c>
      <c r="AB1570" t="s">
        <v>2828</v>
      </c>
      <c r="AC1570" t="s">
        <v>7268</v>
      </c>
      <c r="AD1570" t="s">
        <v>5962</v>
      </c>
      <c r="AF1570" t="s">
        <v>15876</v>
      </c>
      <c r="AG1570" t="s">
        <v>15877</v>
      </c>
      <c r="AI1570" t="s">
        <v>15878</v>
      </c>
      <c r="AJ1570" t="s">
        <v>15879</v>
      </c>
      <c r="AM1570" t="s">
        <v>5961</v>
      </c>
      <c r="AN1570" t="s">
        <v>2072</v>
      </c>
      <c r="AO1570">
        <v>48079</v>
      </c>
      <c r="AP1570" t="s">
        <v>7024</v>
      </c>
      <c r="AT1570" s="184"/>
      <c r="AW1570" s="184"/>
      <c r="AZ1570" s="184"/>
      <c r="BP1570" s="184"/>
    </row>
    <row r="1571" spans="1:68">
      <c r="A1571">
        <v>17289885</v>
      </c>
      <c r="B1571">
        <v>17289885</v>
      </c>
      <c r="C1571" t="s">
        <v>7018</v>
      </c>
      <c r="E1571" s="184"/>
      <c r="F1571" t="s">
        <v>595</v>
      </c>
      <c r="G1571" s="184">
        <v>43731</v>
      </c>
      <c r="I1571" s="184"/>
      <c r="K1571" s="184"/>
      <c r="O1571" s="184"/>
      <c r="P1571" t="s">
        <v>7045</v>
      </c>
      <c r="Q1571" t="s">
        <v>7383</v>
      </c>
      <c r="R1571" s="184">
        <v>20607</v>
      </c>
      <c r="S1571">
        <v>67</v>
      </c>
      <c r="V1571" t="s">
        <v>3228</v>
      </c>
      <c r="X1571" t="s">
        <v>3952</v>
      </c>
      <c r="AF1571" t="s">
        <v>15883</v>
      </c>
      <c r="AG1571" t="s">
        <v>3228</v>
      </c>
      <c r="AI1571" t="s">
        <v>15884</v>
      </c>
      <c r="AM1571" t="s">
        <v>3953</v>
      </c>
      <c r="AN1571" t="s">
        <v>2059</v>
      </c>
      <c r="AO1571">
        <v>43015</v>
      </c>
      <c r="AP1571" t="s">
        <v>7024</v>
      </c>
      <c r="AT1571" s="184">
        <v>34565</v>
      </c>
      <c r="AU1571" t="s">
        <v>15885</v>
      </c>
      <c r="AV1571">
        <v>25</v>
      </c>
      <c r="AW1571" s="184">
        <v>39003</v>
      </c>
      <c r="AX1571" t="s">
        <v>15886</v>
      </c>
      <c r="AY1571">
        <v>25</v>
      </c>
      <c r="AZ1571" s="184">
        <v>34939</v>
      </c>
      <c r="BA1571" t="s">
        <v>15887</v>
      </c>
      <c r="BB1571">
        <v>60</v>
      </c>
      <c r="BC1571">
        <v>33</v>
      </c>
      <c r="BD1571">
        <v>310</v>
      </c>
      <c r="BE1571">
        <v>1995</v>
      </c>
      <c r="BF1571">
        <v>11</v>
      </c>
      <c r="BI1571">
        <v>10</v>
      </c>
      <c r="BJ1571">
        <v>31</v>
      </c>
      <c r="BK1571">
        <v>8</v>
      </c>
      <c r="BP1571" s="184"/>
    </row>
    <row r="1572" spans="1:68">
      <c r="A1572">
        <v>17318924</v>
      </c>
      <c r="B1572">
        <v>17318924</v>
      </c>
      <c r="C1572" t="s">
        <v>7018</v>
      </c>
      <c r="D1572" t="s">
        <v>595</v>
      </c>
      <c r="E1572" s="184">
        <v>44070</v>
      </c>
      <c r="G1572" s="184"/>
      <c r="I1572" s="184"/>
      <c r="K1572" s="184"/>
      <c r="O1572" s="184"/>
      <c r="P1572" t="s">
        <v>7045</v>
      </c>
      <c r="Q1572" t="s">
        <v>7383</v>
      </c>
      <c r="R1572" s="184">
        <v>17273</v>
      </c>
      <c r="S1572">
        <v>77</v>
      </c>
      <c r="U1572" t="s">
        <v>7031</v>
      </c>
      <c r="V1572" t="s">
        <v>3304</v>
      </c>
      <c r="W1572" t="s">
        <v>4327</v>
      </c>
      <c r="X1572" t="s">
        <v>15888</v>
      </c>
      <c r="AF1572" t="s">
        <v>15889</v>
      </c>
      <c r="AG1572" t="s">
        <v>3304</v>
      </c>
      <c r="AI1572" t="s">
        <v>15890</v>
      </c>
      <c r="AM1572" t="s">
        <v>3390</v>
      </c>
      <c r="AN1572" t="s">
        <v>2144</v>
      </c>
      <c r="AO1572" t="s">
        <v>15891</v>
      </c>
      <c r="AP1572" t="s">
        <v>7024</v>
      </c>
      <c r="AQ1572" t="s">
        <v>15892</v>
      </c>
      <c r="AT1572" s="184">
        <v>34575</v>
      </c>
      <c r="AU1572" t="s">
        <v>15893</v>
      </c>
      <c r="AV1572">
        <v>25</v>
      </c>
      <c r="AW1572" s="184">
        <v>45124</v>
      </c>
      <c r="AX1572" t="s">
        <v>8104</v>
      </c>
      <c r="AY1572">
        <v>100</v>
      </c>
      <c r="AZ1572" s="184">
        <v>45124</v>
      </c>
      <c r="BA1572" t="s">
        <v>8104</v>
      </c>
      <c r="BB1572">
        <v>100</v>
      </c>
      <c r="BC1572">
        <v>52</v>
      </c>
      <c r="BD1572">
        <v>1075</v>
      </c>
      <c r="BE1572">
        <v>1995</v>
      </c>
      <c r="BF1572">
        <v>20</v>
      </c>
      <c r="BG1572">
        <v>3</v>
      </c>
      <c r="BH1572">
        <v>225</v>
      </c>
      <c r="BI1572">
        <v>16</v>
      </c>
      <c r="BJ1572">
        <v>31</v>
      </c>
      <c r="BK1572">
        <v>9</v>
      </c>
      <c r="BP1572" s="184"/>
    </row>
    <row r="1573" spans="1:68">
      <c r="A1573">
        <v>17322082</v>
      </c>
      <c r="B1573">
        <v>17322082</v>
      </c>
      <c r="C1573" t="s">
        <v>7018</v>
      </c>
      <c r="D1573" t="s">
        <v>595</v>
      </c>
      <c r="E1573" s="184">
        <v>45138</v>
      </c>
      <c r="I1573" s="184"/>
      <c r="K1573" s="184"/>
      <c r="O1573" s="184"/>
      <c r="P1573" t="s">
        <v>7045</v>
      </c>
      <c r="Q1573" t="s">
        <v>7383</v>
      </c>
      <c r="R1573" s="184">
        <v>14356</v>
      </c>
      <c r="S1573">
        <v>85</v>
      </c>
      <c r="V1573" t="s">
        <v>5851</v>
      </c>
      <c r="X1573" t="s">
        <v>15894</v>
      </c>
      <c r="AF1573" t="s">
        <v>15895</v>
      </c>
      <c r="AG1573" t="s">
        <v>5851</v>
      </c>
      <c r="AI1573" t="s">
        <v>15896</v>
      </c>
      <c r="AM1573" t="s">
        <v>15897</v>
      </c>
      <c r="AN1573" t="s">
        <v>2064</v>
      </c>
      <c r="AO1573" t="s">
        <v>15898</v>
      </c>
      <c r="AP1573" t="s">
        <v>7024</v>
      </c>
      <c r="AT1573" s="184">
        <v>34575</v>
      </c>
      <c r="AU1573" t="s">
        <v>15899</v>
      </c>
      <c r="AV1573">
        <v>25</v>
      </c>
      <c r="AW1573" s="184">
        <v>44354</v>
      </c>
      <c r="AX1573" t="s">
        <v>15900</v>
      </c>
      <c r="AY1573">
        <v>25</v>
      </c>
      <c r="AZ1573" s="184">
        <v>40851</v>
      </c>
      <c r="BA1573" t="s">
        <v>15901</v>
      </c>
      <c r="BB1573">
        <v>50</v>
      </c>
      <c r="BC1573">
        <v>17</v>
      </c>
      <c r="BD1573">
        <v>130</v>
      </c>
      <c r="BE1573">
        <v>1995</v>
      </c>
      <c r="BF1573">
        <v>5</v>
      </c>
      <c r="BI1573">
        <v>5</v>
      </c>
      <c r="BJ1573">
        <v>31</v>
      </c>
      <c r="BK1573">
        <v>3</v>
      </c>
      <c r="BP1573" s="184"/>
    </row>
    <row r="1574" spans="1:68">
      <c r="A1574">
        <v>17342171</v>
      </c>
      <c r="B1574">
        <v>17342171</v>
      </c>
      <c r="C1574" t="s">
        <v>7018</v>
      </c>
      <c r="D1574" t="s">
        <v>595</v>
      </c>
      <c r="E1574" s="184">
        <v>43619</v>
      </c>
      <c r="G1574" s="184"/>
      <c r="I1574" s="184"/>
      <c r="K1574" s="184"/>
      <c r="O1574" s="184"/>
      <c r="P1574" t="s">
        <v>7045</v>
      </c>
      <c r="Q1574" t="s">
        <v>7383</v>
      </c>
      <c r="R1574" s="184">
        <v>20515</v>
      </c>
      <c r="S1574">
        <v>68</v>
      </c>
      <c r="U1574" t="s">
        <v>7031</v>
      </c>
      <c r="V1574" t="s">
        <v>2893</v>
      </c>
      <c r="W1574" t="s">
        <v>4327</v>
      </c>
      <c r="X1574" t="s">
        <v>2894</v>
      </c>
      <c r="AF1574" t="s">
        <v>15902</v>
      </c>
      <c r="AG1574" t="s">
        <v>2893</v>
      </c>
      <c r="AI1574" t="s">
        <v>15903</v>
      </c>
      <c r="AM1574" t="s">
        <v>15904</v>
      </c>
      <c r="AN1574" t="s">
        <v>2313</v>
      </c>
      <c r="AO1574" t="s">
        <v>15905</v>
      </c>
      <c r="AP1574" t="s">
        <v>7024</v>
      </c>
      <c r="AQ1574" t="s">
        <v>15906</v>
      </c>
      <c r="AR1574" t="s">
        <v>15907</v>
      </c>
      <c r="AT1574" s="184">
        <v>34579</v>
      </c>
      <c r="AU1574" t="s">
        <v>15078</v>
      </c>
      <c r="AV1574">
        <v>19.95</v>
      </c>
      <c r="AW1574" s="184">
        <v>45078</v>
      </c>
      <c r="AX1574" t="s">
        <v>13831</v>
      </c>
      <c r="AY1574">
        <v>50</v>
      </c>
      <c r="AZ1574" s="184">
        <v>42773</v>
      </c>
      <c r="BA1574" t="s">
        <v>15908</v>
      </c>
      <c r="BB1574">
        <v>60</v>
      </c>
      <c r="BC1574">
        <v>52</v>
      </c>
      <c r="BD1574">
        <v>584.95000000000005</v>
      </c>
      <c r="BE1574">
        <v>1995</v>
      </c>
      <c r="BF1574">
        <v>16</v>
      </c>
      <c r="BG1574">
        <v>2</v>
      </c>
      <c r="BH1574">
        <v>85</v>
      </c>
      <c r="BI1574">
        <v>16</v>
      </c>
      <c r="BJ1574">
        <v>31</v>
      </c>
      <c r="BK1574">
        <v>5</v>
      </c>
    </row>
    <row r="1575" spans="1:68">
      <c r="A1575">
        <v>17371501</v>
      </c>
      <c r="B1575">
        <v>17371501</v>
      </c>
      <c r="C1575" t="s">
        <v>7018</v>
      </c>
      <c r="E1575" s="184"/>
      <c r="I1575" s="184"/>
      <c r="K1575" s="184"/>
      <c r="N1575" t="s">
        <v>595</v>
      </c>
      <c r="O1575" s="184">
        <v>39429</v>
      </c>
      <c r="P1575" t="s">
        <v>7045</v>
      </c>
      <c r="Q1575" t="s">
        <v>7494</v>
      </c>
      <c r="R1575" s="184">
        <v>13413</v>
      </c>
      <c r="S1575">
        <v>87</v>
      </c>
      <c r="U1575" t="s">
        <v>7031</v>
      </c>
      <c r="V1575" t="s">
        <v>2871</v>
      </c>
      <c r="W1575" t="s">
        <v>4013</v>
      </c>
      <c r="X1575" t="s">
        <v>15909</v>
      </c>
      <c r="Z1575">
        <v>100046810</v>
      </c>
      <c r="AA1575" t="s">
        <v>7130</v>
      </c>
      <c r="AB1575" t="s">
        <v>15910</v>
      </c>
      <c r="AD1575" t="s">
        <v>15909</v>
      </c>
      <c r="AF1575" t="s">
        <v>15911</v>
      </c>
      <c r="AG1575" t="s">
        <v>15912</v>
      </c>
      <c r="AI1575" t="s">
        <v>15913</v>
      </c>
      <c r="AM1575" t="s">
        <v>2582</v>
      </c>
      <c r="AN1575" t="s">
        <v>2174</v>
      </c>
      <c r="AO1575" t="s">
        <v>15914</v>
      </c>
      <c r="AP1575" t="s">
        <v>7024</v>
      </c>
      <c r="AQ1575" t="s">
        <v>15915</v>
      </c>
      <c r="AR1575" t="s">
        <v>15916</v>
      </c>
      <c r="AT1575" s="184">
        <v>34577</v>
      </c>
      <c r="AU1575" t="s">
        <v>15917</v>
      </c>
      <c r="AV1575">
        <v>25</v>
      </c>
      <c r="AW1575" s="184">
        <v>44950</v>
      </c>
      <c r="AX1575" t="s">
        <v>15918</v>
      </c>
      <c r="AY1575">
        <v>100</v>
      </c>
      <c r="AZ1575" s="184">
        <v>34729</v>
      </c>
      <c r="BA1575" t="s">
        <v>15919</v>
      </c>
      <c r="BB1575">
        <v>125</v>
      </c>
      <c r="BC1575">
        <v>65</v>
      </c>
      <c r="BD1575">
        <v>1592</v>
      </c>
      <c r="BE1575">
        <v>1995</v>
      </c>
      <c r="BF1575">
        <v>27</v>
      </c>
      <c r="BG1575">
        <v>1</v>
      </c>
      <c r="BH1575">
        <v>100</v>
      </c>
      <c r="BI1575">
        <v>20</v>
      </c>
      <c r="BJ1575">
        <v>31</v>
      </c>
      <c r="BK1575">
        <v>6</v>
      </c>
      <c r="BP1575" s="184"/>
    </row>
    <row r="1576" spans="1:68">
      <c r="A1576">
        <v>100046810</v>
      </c>
      <c r="B1576">
        <v>17371501</v>
      </c>
      <c r="C1576" t="s">
        <v>7018</v>
      </c>
      <c r="E1576" s="184"/>
      <c r="G1576" s="184"/>
      <c r="I1576" s="184"/>
      <c r="K1576" s="184"/>
      <c r="M1576" s="184"/>
      <c r="N1576" t="s">
        <v>595</v>
      </c>
      <c r="O1576" s="184">
        <v>39429</v>
      </c>
      <c r="P1576" t="s">
        <v>7045</v>
      </c>
      <c r="Q1576" t="s">
        <v>7494</v>
      </c>
      <c r="R1576" s="184">
        <v>13060</v>
      </c>
      <c r="S1576">
        <v>88</v>
      </c>
      <c r="U1576" t="s">
        <v>7130</v>
      </c>
      <c r="V1576" t="s">
        <v>15910</v>
      </c>
      <c r="X1576" t="s">
        <v>15909</v>
      </c>
      <c r="Z1576">
        <v>17371501</v>
      </c>
      <c r="AA1576" t="s">
        <v>7031</v>
      </c>
      <c r="AB1576" t="s">
        <v>2871</v>
      </c>
      <c r="AC1576" t="s">
        <v>4013</v>
      </c>
      <c r="AD1576" t="s">
        <v>15909</v>
      </c>
      <c r="AF1576" t="s">
        <v>15911</v>
      </c>
      <c r="AG1576" t="s">
        <v>15912</v>
      </c>
      <c r="AI1576" t="s">
        <v>15913</v>
      </c>
      <c r="AM1576" t="s">
        <v>2582</v>
      </c>
      <c r="AN1576" t="s">
        <v>2174</v>
      </c>
      <c r="AO1576" t="s">
        <v>15914</v>
      </c>
      <c r="AP1576" t="s">
        <v>7024</v>
      </c>
      <c r="AT1576" s="184"/>
      <c r="AW1576" s="184"/>
      <c r="AZ1576" s="184"/>
      <c r="BP1576" s="184"/>
    </row>
    <row r="1577" spans="1:68">
      <c r="A1577">
        <v>17391335</v>
      </c>
      <c r="B1577">
        <v>17391335</v>
      </c>
      <c r="C1577" t="s">
        <v>7018</v>
      </c>
      <c r="D1577" t="s">
        <v>595</v>
      </c>
      <c r="E1577" s="184">
        <v>44167</v>
      </c>
      <c r="G1577" s="184"/>
      <c r="H1577" t="s">
        <v>595</v>
      </c>
      <c r="I1577" s="184">
        <v>44167</v>
      </c>
      <c r="K1577" s="184"/>
      <c r="M1577" s="184"/>
      <c r="O1577" s="184"/>
      <c r="P1577" t="s">
        <v>7045</v>
      </c>
      <c r="Q1577" t="s">
        <v>7160</v>
      </c>
      <c r="R1577" s="184">
        <v>17223</v>
      </c>
      <c r="S1577">
        <v>77</v>
      </c>
      <c r="U1577" t="s">
        <v>7130</v>
      </c>
      <c r="V1577" t="s">
        <v>15920</v>
      </c>
      <c r="X1577" t="s">
        <v>5967</v>
      </c>
      <c r="AF1577" t="s">
        <v>15921</v>
      </c>
      <c r="AG1577" t="s">
        <v>15920</v>
      </c>
      <c r="AI1577" t="s">
        <v>15922</v>
      </c>
      <c r="AM1577" t="s">
        <v>15923</v>
      </c>
      <c r="AN1577" t="s">
        <v>2176</v>
      </c>
      <c r="AO1577" t="s">
        <v>15924</v>
      </c>
      <c r="AP1577" t="s">
        <v>7024</v>
      </c>
      <c r="AT1577" s="184">
        <v>34579</v>
      </c>
      <c r="AU1577" t="s">
        <v>15925</v>
      </c>
      <c r="AV1577">
        <v>25</v>
      </c>
      <c r="AW1577" s="184">
        <v>45313</v>
      </c>
      <c r="AX1577" t="s">
        <v>14030</v>
      </c>
      <c r="AY1577">
        <v>100</v>
      </c>
      <c r="AZ1577" s="184">
        <v>45313</v>
      </c>
      <c r="BA1577" t="s">
        <v>14030</v>
      </c>
      <c r="BB1577">
        <v>100</v>
      </c>
      <c r="BC1577">
        <v>39</v>
      </c>
      <c r="BD1577">
        <v>815</v>
      </c>
      <c r="BE1577">
        <v>1995</v>
      </c>
      <c r="BF1577">
        <v>13</v>
      </c>
      <c r="BG1577">
        <v>1</v>
      </c>
      <c r="BH1577">
        <v>100</v>
      </c>
      <c r="BI1577">
        <v>12</v>
      </c>
      <c r="BJ1577">
        <v>31</v>
      </c>
      <c r="BK1577">
        <v>7</v>
      </c>
      <c r="BP1577" s="184"/>
    </row>
    <row r="1578" spans="1:68">
      <c r="A1578">
        <v>17393455</v>
      </c>
      <c r="B1578">
        <v>17393455</v>
      </c>
      <c r="C1578" t="s">
        <v>7018</v>
      </c>
      <c r="E1578" s="184"/>
      <c r="G1578" s="184"/>
      <c r="I1578" s="184"/>
      <c r="J1578" t="s">
        <v>595</v>
      </c>
      <c r="K1578" s="184">
        <v>43615</v>
      </c>
      <c r="M1578" s="184"/>
      <c r="O1578" s="184"/>
      <c r="P1578" t="s">
        <v>7045</v>
      </c>
      <c r="Q1578" t="s">
        <v>7194</v>
      </c>
      <c r="R1578" s="184"/>
      <c r="U1578" t="s">
        <v>7130</v>
      </c>
      <c r="V1578" t="s">
        <v>15926</v>
      </c>
      <c r="X1578" t="s">
        <v>3539</v>
      </c>
      <c r="Z1578">
        <v>100180838</v>
      </c>
      <c r="AA1578" t="s">
        <v>7130</v>
      </c>
      <c r="AB1578" t="s">
        <v>15927</v>
      </c>
      <c r="AC1578" t="s">
        <v>2049</v>
      </c>
      <c r="AD1578" t="s">
        <v>3539</v>
      </c>
      <c r="AF1578" t="s">
        <v>6250</v>
      </c>
      <c r="AG1578" t="s">
        <v>15926</v>
      </c>
      <c r="AI1578" t="s">
        <v>15928</v>
      </c>
      <c r="AM1578" t="s">
        <v>4266</v>
      </c>
      <c r="AN1578" t="s">
        <v>2046</v>
      </c>
      <c r="AO1578" t="s">
        <v>15929</v>
      </c>
      <c r="AP1578" t="s">
        <v>7024</v>
      </c>
      <c r="AT1578" s="184">
        <v>34583</v>
      </c>
      <c r="AU1578" t="s">
        <v>15930</v>
      </c>
      <c r="AV1578">
        <v>25</v>
      </c>
      <c r="AW1578" s="184">
        <v>43461</v>
      </c>
      <c r="AX1578" t="s">
        <v>15931</v>
      </c>
      <c r="AY1578">
        <v>50</v>
      </c>
      <c r="AZ1578" s="184">
        <v>41894</v>
      </c>
      <c r="BA1578" t="s">
        <v>15932</v>
      </c>
      <c r="BB1578">
        <v>150</v>
      </c>
      <c r="BC1578">
        <v>75</v>
      </c>
      <c r="BD1578">
        <v>2160</v>
      </c>
      <c r="BE1578">
        <v>1995</v>
      </c>
      <c r="BF1578">
        <v>32</v>
      </c>
      <c r="BI1578">
        <v>23</v>
      </c>
      <c r="BJ1578">
        <v>31</v>
      </c>
      <c r="BK1578">
        <v>20</v>
      </c>
      <c r="BO1578" t="s">
        <v>595</v>
      </c>
      <c r="BP1578" s="184">
        <v>43554</v>
      </c>
    </row>
    <row r="1579" spans="1:68">
      <c r="A1579">
        <v>100180838</v>
      </c>
      <c r="B1579">
        <v>17393455</v>
      </c>
      <c r="C1579" t="s">
        <v>7018</v>
      </c>
      <c r="E1579" s="184"/>
      <c r="G1579" s="184"/>
      <c r="I1579" s="184"/>
      <c r="J1579" t="s">
        <v>595</v>
      </c>
      <c r="K1579" s="184">
        <v>43615</v>
      </c>
      <c r="M1579" s="184"/>
      <c r="O1579" s="184"/>
      <c r="P1579" t="s">
        <v>7045</v>
      </c>
      <c r="Q1579" t="s">
        <v>7194</v>
      </c>
      <c r="R1579" s="184">
        <v>6849</v>
      </c>
      <c r="S1579">
        <v>105</v>
      </c>
      <c r="U1579" t="s">
        <v>7130</v>
      </c>
      <c r="V1579" t="s">
        <v>15927</v>
      </c>
      <c r="W1579" t="s">
        <v>2049</v>
      </c>
      <c r="X1579" t="s">
        <v>3539</v>
      </c>
      <c r="Z1579">
        <v>17393455</v>
      </c>
      <c r="AA1579" t="s">
        <v>7130</v>
      </c>
      <c r="AB1579" t="s">
        <v>15926</v>
      </c>
      <c r="AD1579" t="s">
        <v>3539</v>
      </c>
      <c r="AF1579" t="s">
        <v>6250</v>
      </c>
      <c r="AG1579" t="s">
        <v>15926</v>
      </c>
      <c r="AI1579" t="s">
        <v>15928</v>
      </c>
      <c r="AM1579" t="s">
        <v>4266</v>
      </c>
      <c r="AN1579" t="s">
        <v>2046</v>
      </c>
      <c r="AO1579" t="s">
        <v>15929</v>
      </c>
      <c r="AP1579" t="s">
        <v>7024</v>
      </c>
      <c r="AT1579" s="184"/>
      <c r="AW1579" s="184"/>
      <c r="AZ1579" s="184"/>
      <c r="BO1579" t="s">
        <v>595</v>
      </c>
      <c r="BP1579" s="184"/>
    </row>
    <row r="1580" spans="1:68">
      <c r="A1580">
        <v>17401530</v>
      </c>
      <c r="B1580">
        <v>17401530</v>
      </c>
      <c r="C1580" t="s">
        <v>7018</v>
      </c>
      <c r="D1580" t="s">
        <v>595</v>
      </c>
      <c r="E1580" s="184">
        <v>44167</v>
      </c>
      <c r="G1580" s="184"/>
      <c r="I1580" s="184"/>
      <c r="K1580" s="184"/>
      <c r="M1580" s="184"/>
      <c r="O1580" s="184"/>
      <c r="P1580" t="s">
        <v>7045</v>
      </c>
      <c r="Q1580" t="s">
        <v>7160</v>
      </c>
      <c r="R1580" s="184">
        <v>14926</v>
      </c>
      <c r="S1580">
        <v>83</v>
      </c>
      <c r="U1580" t="s">
        <v>7076</v>
      </c>
      <c r="V1580" t="s">
        <v>2918</v>
      </c>
      <c r="W1580" t="s">
        <v>3830</v>
      </c>
      <c r="X1580" t="s">
        <v>15933</v>
      </c>
      <c r="AF1580" t="s">
        <v>15934</v>
      </c>
      <c r="AG1580" t="s">
        <v>2918</v>
      </c>
      <c r="AI1580" t="s">
        <v>15935</v>
      </c>
      <c r="AM1580" t="s">
        <v>15936</v>
      </c>
      <c r="AN1580" t="s">
        <v>2176</v>
      </c>
      <c r="AO1580" t="s">
        <v>15937</v>
      </c>
      <c r="AP1580" t="s">
        <v>7024</v>
      </c>
      <c r="AQ1580" t="s">
        <v>15938</v>
      </c>
      <c r="AR1580" t="s">
        <v>15939</v>
      </c>
      <c r="AT1580" s="184">
        <v>34583</v>
      </c>
      <c r="AU1580" t="s">
        <v>15940</v>
      </c>
      <c r="AV1580">
        <v>20</v>
      </c>
      <c r="AW1580" s="184">
        <v>44953</v>
      </c>
      <c r="AX1580" t="s">
        <v>15941</v>
      </c>
      <c r="AY1580">
        <v>25</v>
      </c>
      <c r="AZ1580" s="184">
        <v>41282</v>
      </c>
      <c r="BA1580" t="s">
        <v>15942</v>
      </c>
      <c r="BB1580">
        <v>35</v>
      </c>
      <c r="BC1580">
        <v>81</v>
      </c>
      <c r="BD1580">
        <v>1205</v>
      </c>
      <c r="BE1580">
        <v>1995</v>
      </c>
      <c r="BF1580">
        <v>69</v>
      </c>
      <c r="BG1580">
        <v>1</v>
      </c>
      <c r="BH1580">
        <v>25</v>
      </c>
      <c r="BI1580">
        <v>25</v>
      </c>
      <c r="BJ1580">
        <v>31</v>
      </c>
      <c r="BK1580">
        <v>11</v>
      </c>
      <c r="BP1580" s="184"/>
    </row>
    <row r="1581" spans="1:68">
      <c r="A1581">
        <v>17428061</v>
      </c>
      <c r="B1581">
        <v>17428061</v>
      </c>
      <c r="C1581" t="s">
        <v>7018</v>
      </c>
      <c r="E1581" s="184"/>
      <c r="G1581" s="184"/>
      <c r="I1581" s="184"/>
      <c r="J1581" t="s">
        <v>595</v>
      </c>
      <c r="K1581" s="184">
        <v>37439</v>
      </c>
      <c r="M1581" s="184"/>
      <c r="O1581" s="184"/>
      <c r="P1581" t="s">
        <v>7045</v>
      </c>
      <c r="Q1581" t="s">
        <v>7262</v>
      </c>
      <c r="R1581" s="184">
        <v>4750</v>
      </c>
      <c r="S1581">
        <v>111</v>
      </c>
      <c r="U1581" t="s">
        <v>7076</v>
      </c>
      <c r="V1581" t="s">
        <v>3184</v>
      </c>
      <c r="W1581" t="s">
        <v>4327</v>
      </c>
      <c r="X1581" t="s">
        <v>15943</v>
      </c>
      <c r="AF1581" t="s">
        <v>6361</v>
      </c>
      <c r="AG1581" t="s">
        <v>3184</v>
      </c>
      <c r="AI1581" t="s">
        <v>15944</v>
      </c>
      <c r="AJ1581" t="s">
        <v>15945</v>
      </c>
      <c r="AM1581" t="s">
        <v>5334</v>
      </c>
      <c r="AN1581" t="s">
        <v>2106</v>
      </c>
      <c r="AO1581" t="s">
        <v>15946</v>
      </c>
      <c r="AP1581" t="s">
        <v>7024</v>
      </c>
      <c r="AQ1581" t="s">
        <v>15947</v>
      </c>
      <c r="AT1581" s="184">
        <v>34586</v>
      </c>
      <c r="AU1581" t="s">
        <v>15948</v>
      </c>
      <c r="AV1581">
        <v>25</v>
      </c>
      <c r="AW1581" s="184">
        <v>39972</v>
      </c>
      <c r="AX1581" t="s">
        <v>15949</v>
      </c>
      <c r="AY1581">
        <v>25</v>
      </c>
      <c r="AZ1581" s="184">
        <v>35521</v>
      </c>
      <c r="BA1581" t="s">
        <v>15950</v>
      </c>
      <c r="BB1581">
        <v>1000</v>
      </c>
      <c r="BC1581">
        <v>26</v>
      </c>
      <c r="BD1581">
        <v>1371</v>
      </c>
      <c r="BE1581">
        <v>1995</v>
      </c>
      <c r="BF1581">
        <v>12</v>
      </c>
      <c r="BI1581">
        <v>8</v>
      </c>
      <c r="BJ1581">
        <v>31</v>
      </c>
      <c r="BK1581">
        <v>5</v>
      </c>
    </row>
    <row r="1582" spans="1:68">
      <c r="A1582">
        <v>17478611</v>
      </c>
      <c r="B1582">
        <v>17478611</v>
      </c>
      <c r="C1582" t="s">
        <v>7018</v>
      </c>
      <c r="D1582" t="s">
        <v>595</v>
      </c>
      <c r="E1582" s="184">
        <v>43773</v>
      </c>
      <c r="G1582" s="184"/>
      <c r="I1582" s="184"/>
      <c r="K1582" s="184"/>
      <c r="M1582" s="184"/>
      <c r="O1582" s="184"/>
      <c r="P1582" t="s">
        <v>7045</v>
      </c>
      <c r="Q1582" t="s">
        <v>7030</v>
      </c>
      <c r="R1582" s="184">
        <v>16356</v>
      </c>
      <c r="S1582">
        <v>79</v>
      </c>
      <c r="U1582" t="s">
        <v>7076</v>
      </c>
      <c r="V1582" t="s">
        <v>3230</v>
      </c>
      <c r="W1582" t="s">
        <v>3332</v>
      </c>
      <c r="X1582" t="s">
        <v>2594</v>
      </c>
      <c r="AF1582" t="s">
        <v>15951</v>
      </c>
      <c r="AG1582" t="s">
        <v>3230</v>
      </c>
      <c r="AI1582" t="s">
        <v>15952</v>
      </c>
      <c r="AM1582" t="s">
        <v>4209</v>
      </c>
      <c r="AN1582" t="s">
        <v>2201</v>
      </c>
      <c r="AO1582" t="s">
        <v>15953</v>
      </c>
      <c r="AP1582" t="s">
        <v>7024</v>
      </c>
      <c r="AQ1582" t="s">
        <v>15954</v>
      </c>
      <c r="AT1582" s="184">
        <v>34589</v>
      </c>
      <c r="AU1582" t="s">
        <v>15955</v>
      </c>
      <c r="AV1582">
        <v>15</v>
      </c>
      <c r="AW1582" s="184">
        <v>45307</v>
      </c>
      <c r="AX1582" t="s">
        <v>15956</v>
      </c>
      <c r="AY1582">
        <v>25</v>
      </c>
      <c r="AZ1582" s="184">
        <v>38727</v>
      </c>
      <c r="BA1582" t="s">
        <v>15957</v>
      </c>
      <c r="BB1582">
        <v>100</v>
      </c>
      <c r="BC1582">
        <v>71</v>
      </c>
      <c r="BD1582">
        <v>880</v>
      </c>
      <c r="BE1582">
        <v>1995</v>
      </c>
      <c r="BF1582">
        <v>28</v>
      </c>
      <c r="BG1582">
        <v>2</v>
      </c>
      <c r="BH1582">
        <v>50</v>
      </c>
      <c r="BI1582">
        <v>22</v>
      </c>
      <c r="BJ1582">
        <v>31</v>
      </c>
      <c r="BK1582">
        <v>11</v>
      </c>
      <c r="BP1582" s="184"/>
    </row>
    <row r="1583" spans="1:68">
      <c r="A1583">
        <v>17523226</v>
      </c>
      <c r="B1583">
        <v>17523226</v>
      </c>
      <c r="C1583" t="s">
        <v>7018</v>
      </c>
      <c r="D1583" t="s">
        <v>595</v>
      </c>
      <c r="E1583" s="184">
        <v>44441</v>
      </c>
      <c r="G1583" s="184"/>
      <c r="I1583" s="184"/>
      <c r="K1583" s="184"/>
      <c r="O1583" s="184"/>
      <c r="P1583" t="s">
        <v>7045</v>
      </c>
      <c r="Q1583" t="s">
        <v>7374</v>
      </c>
      <c r="R1583" s="184">
        <v>15189</v>
      </c>
      <c r="S1583">
        <v>82</v>
      </c>
      <c r="U1583" t="s">
        <v>7076</v>
      </c>
      <c r="V1583" t="s">
        <v>2602</v>
      </c>
      <c r="W1583" t="s">
        <v>7407</v>
      </c>
      <c r="X1583" t="s">
        <v>15958</v>
      </c>
      <c r="AF1583" t="s">
        <v>15959</v>
      </c>
      <c r="AG1583" t="s">
        <v>2602</v>
      </c>
      <c r="AI1583" t="s">
        <v>15960</v>
      </c>
      <c r="AM1583" t="s">
        <v>15961</v>
      </c>
      <c r="AN1583" t="s">
        <v>2081</v>
      </c>
      <c r="AO1583" t="s">
        <v>15962</v>
      </c>
      <c r="AP1583" t="s">
        <v>7024</v>
      </c>
      <c r="AT1583" s="184">
        <v>34592</v>
      </c>
      <c r="AU1583" t="s">
        <v>15963</v>
      </c>
      <c r="AV1583">
        <v>15</v>
      </c>
      <c r="AW1583" s="184">
        <v>45306</v>
      </c>
      <c r="AX1583" t="s">
        <v>15964</v>
      </c>
      <c r="AY1583">
        <v>25</v>
      </c>
      <c r="AZ1583" s="184">
        <v>45306</v>
      </c>
      <c r="BA1583" t="s">
        <v>15964</v>
      </c>
      <c r="BB1583">
        <v>25</v>
      </c>
      <c r="BC1583">
        <v>30</v>
      </c>
      <c r="BD1583">
        <v>180</v>
      </c>
      <c r="BE1583">
        <v>1995</v>
      </c>
      <c r="BF1583">
        <v>10</v>
      </c>
      <c r="BG1583">
        <v>1</v>
      </c>
      <c r="BH1583">
        <v>25</v>
      </c>
      <c r="BI1583">
        <v>9</v>
      </c>
      <c r="BJ1583">
        <v>31</v>
      </c>
      <c r="BK1583">
        <v>4</v>
      </c>
    </row>
    <row r="1584" spans="1:68">
      <c r="A1584">
        <v>17529009</v>
      </c>
      <c r="B1584">
        <v>17529009</v>
      </c>
      <c r="C1584" t="s">
        <v>7018</v>
      </c>
      <c r="E1584" s="184"/>
      <c r="G1584" s="184"/>
      <c r="H1584" t="s">
        <v>595</v>
      </c>
      <c r="I1584" s="184">
        <v>44328</v>
      </c>
      <c r="K1584" s="184"/>
      <c r="O1584" s="184"/>
      <c r="P1584" t="s">
        <v>7045</v>
      </c>
      <c r="Q1584" t="s">
        <v>7020</v>
      </c>
      <c r="R1584" s="184">
        <v>15048</v>
      </c>
      <c r="S1584">
        <v>83</v>
      </c>
      <c r="U1584" t="s">
        <v>7031</v>
      </c>
      <c r="V1584" t="s">
        <v>2511</v>
      </c>
      <c r="W1584" t="s">
        <v>4152</v>
      </c>
      <c r="X1584" t="s">
        <v>4887</v>
      </c>
      <c r="AF1584" t="s">
        <v>15965</v>
      </c>
      <c r="AG1584" t="s">
        <v>2511</v>
      </c>
      <c r="AI1584" t="s">
        <v>15966</v>
      </c>
      <c r="AM1584" t="s">
        <v>5664</v>
      </c>
      <c r="AN1584" t="s">
        <v>2112</v>
      </c>
      <c r="AO1584" t="s">
        <v>15967</v>
      </c>
      <c r="AP1584" t="s">
        <v>7024</v>
      </c>
      <c r="AT1584" s="184">
        <v>34592</v>
      </c>
      <c r="AU1584" t="s">
        <v>15968</v>
      </c>
      <c r="AV1584">
        <v>15</v>
      </c>
      <c r="AW1584" s="184">
        <v>45377</v>
      </c>
      <c r="AX1584" t="s">
        <v>15969</v>
      </c>
      <c r="AY1584">
        <v>50</v>
      </c>
      <c r="AZ1584" s="184">
        <v>45377</v>
      </c>
      <c r="BA1584" t="s">
        <v>15969</v>
      </c>
      <c r="BB1584">
        <v>50</v>
      </c>
      <c r="BC1584">
        <v>75</v>
      </c>
      <c r="BD1584">
        <v>895</v>
      </c>
      <c r="BE1584">
        <v>1995</v>
      </c>
      <c r="BF1584">
        <v>28</v>
      </c>
      <c r="BG1584">
        <v>2</v>
      </c>
      <c r="BH1584">
        <v>100</v>
      </c>
      <c r="BI1584">
        <v>23</v>
      </c>
      <c r="BJ1584">
        <v>31</v>
      </c>
      <c r="BK1584">
        <v>10</v>
      </c>
    </row>
    <row r="1585" spans="1:68">
      <c r="A1585">
        <v>17530452</v>
      </c>
      <c r="B1585">
        <v>17530452</v>
      </c>
      <c r="C1585" t="s">
        <v>7018</v>
      </c>
      <c r="E1585" s="184"/>
      <c r="G1585" s="184"/>
      <c r="I1585" s="184"/>
      <c r="J1585" t="s">
        <v>595</v>
      </c>
      <c r="K1585" s="184">
        <v>42821</v>
      </c>
      <c r="O1585" s="184"/>
      <c r="P1585" t="s">
        <v>7045</v>
      </c>
      <c r="Q1585" t="s">
        <v>7262</v>
      </c>
      <c r="R1585" s="184">
        <v>16045</v>
      </c>
      <c r="S1585">
        <v>80</v>
      </c>
      <c r="U1585" t="s">
        <v>7031</v>
      </c>
      <c r="V1585" t="s">
        <v>3246</v>
      </c>
      <c r="W1585" t="s">
        <v>4152</v>
      </c>
      <c r="X1585" t="s">
        <v>15970</v>
      </c>
      <c r="Z1585">
        <v>100047123</v>
      </c>
      <c r="AA1585" t="s">
        <v>7130</v>
      </c>
      <c r="AB1585" t="s">
        <v>4950</v>
      </c>
      <c r="AD1585" t="s">
        <v>15970</v>
      </c>
      <c r="AF1585" t="s">
        <v>6174</v>
      </c>
      <c r="AG1585" t="s">
        <v>15971</v>
      </c>
      <c r="AI1585" t="s">
        <v>15972</v>
      </c>
      <c r="AM1585" t="s">
        <v>5764</v>
      </c>
      <c r="AN1585" t="s">
        <v>65</v>
      </c>
      <c r="AO1585" t="s">
        <v>15973</v>
      </c>
      <c r="AP1585" t="s">
        <v>7024</v>
      </c>
      <c r="AQ1585" t="s">
        <v>15974</v>
      </c>
      <c r="AR1585" t="s">
        <v>15975</v>
      </c>
      <c r="AT1585" s="184">
        <v>34592</v>
      </c>
      <c r="AU1585" t="s">
        <v>15976</v>
      </c>
      <c r="AV1585">
        <v>25</v>
      </c>
      <c r="AW1585" s="184">
        <v>45379</v>
      </c>
      <c r="AX1585" t="s">
        <v>7972</v>
      </c>
      <c r="AY1585">
        <v>300</v>
      </c>
      <c r="AZ1585" s="184">
        <v>45379</v>
      </c>
      <c r="BA1585" t="s">
        <v>7972</v>
      </c>
      <c r="BB1585">
        <v>300</v>
      </c>
      <c r="BC1585">
        <v>78</v>
      </c>
      <c r="BD1585">
        <v>4435</v>
      </c>
      <c r="BE1585">
        <v>1995</v>
      </c>
      <c r="BF1585">
        <v>30</v>
      </c>
      <c r="BG1585">
        <v>2</v>
      </c>
      <c r="BH1585">
        <v>600</v>
      </c>
      <c r="BI1585">
        <v>24</v>
      </c>
      <c r="BJ1585">
        <v>31</v>
      </c>
      <c r="BK1585">
        <v>12</v>
      </c>
      <c r="BN1585" t="s">
        <v>595</v>
      </c>
    </row>
    <row r="1586" spans="1:68">
      <c r="A1586">
        <v>100047123</v>
      </c>
      <c r="B1586">
        <v>17530452</v>
      </c>
      <c r="C1586" t="s">
        <v>7018</v>
      </c>
      <c r="E1586" s="184"/>
      <c r="G1586" s="184"/>
      <c r="J1586" t="s">
        <v>595</v>
      </c>
      <c r="K1586" s="184">
        <v>42821</v>
      </c>
      <c r="O1586" s="184"/>
      <c r="P1586" t="s">
        <v>7045</v>
      </c>
      <c r="Q1586" t="s">
        <v>7262</v>
      </c>
      <c r="R1586" s="184">
        <v>16872</v>
      </c>
      <c r="S1586">
        <v>78</v>
      </c>
      <c r="U1586" t="s">
        <v>7130</v>
      </c>
      <c r="V1586" t="s">
        <v>4950</v>
      </c>
      <c r="X1586" t="s">
        <v>15970</v>
      </c>
      <c r="Z1586">
        <v>17530452</v>
      </c>
      <c r="AA1586" t="s">
        <v>7031</v>
      </c>
      <c r="AB1586" t="s">
        <v>3246</v>
      </c>
      <c r="AC1586" t="s">
        <v>4152</v>
      </c>
      <c r="AD1586" t="s">
        <v>15970</v>
      </c>
      <c r="AF1586" t="s">
        <v>6174</v>
      </c>
      <c r="AG1586" t="s">
        <v>15971</v>
      </c>
      <c r="AI1586" t="s">
        <v>15972</v>
      </c>
      <c r="AM1586" t="s">
        <v>5764</v>
      </c>
      <c r="AN1586" t="s">
        <v>65</v>
      </c>
      <c r="AO1586" t="s">
        <v>15973</v>
      </c>
      <c r="AP1586" t="s">
        <v>7024</v>
      </c>
      <c r="AT1586" s="184"/>
      <c r="AW1586" s="184"/>
      <c r="AZ1586" s="184"/>
      <c r="BP1586" s="184"/>
    </row>
    <row r="1587" spans="1:68">
      <c r="A1587">
        <v>17533332</v>
      </c>
      <c r="B1587">
        <v>17533332</v>
      </c>
      <c r="C1587" t="s">
        <v>7018</v>
      </c>
      <c r="D1587" t="s">
        <v>595</v>
      </c>
      <c r="E1587" s="184">
        <v>44167</v>
      </c>
      <c r="G1587" s="184"/>
      <c r="I1587" s="184"/>
      <c r="K1587" s="184"/>
      <c r="M1587" s="184"/>
      <c r="O1587" s="184"/>
      <c r="P1587" t="s">
        <v>7045</v>
      </c>
      <c r="Q1587" t="s">
        <v>7262</v>
      </c>
      <c r="R1587" s="184">
        <v>18857</v>
      </c>
      <c r="S1587">
        <v>72</v>
      </c>
      <c r="U1587" t="s">
        <v>7076</v>
      </c>
      <c r="V1587" t="s">
        <v>3147</v>
      </c>
      <c r="W1587" t="s">
        <v>2316</v>
      </c>
      <c r="X1587" t="s">
        <v>15977</v>
      </c>
      <c r="AF1587" t="s">
        <v>15978</v>
      </c>
      <c r="AG1587" t="s">
        <v>3147</v>
      </c>
      <c r="AI1587" t="s">
        <v>15979</v>
      </c>
      <c r="AM1587" t="s">
        <v>3169</v>
      </c>
      <c r="AN1587" t="s">
        <v>65</v>
      </c>
      <c r="AO1587" t="s">
        <v>15980</v>
      </c>
      <c r="AP1587" t="s">
        <v>7024</v>
      </c>
      <c r="AQ1587" t="s">
        <v>15981</v>
      </c>
      <c r="AT1587" s="184">
        <v>34593</v>
      </c>
      <c r="AU1587" t="s">
        <v>15948</v>
      </c>
      <c r="AV1587">
        <v>25</v>
      </c>
      <c r="AW1587" s="184">
        <v>38978</v>
      </c>
      <c r="AX1587" t="s">
        <v>15982</v>
      </c>
      <c r="AY1587">
        <v>25</v>
      </c>
      <c r="AZ1587" s="184">
        <v>36433</v>
      </c>
      <c r="BA1587" t="s">
        <v>15983</v>
      </c>
      <c r="BB1587">
        <v>100</v>
      </c>
      <c r="BC1587">
        <v>23</v>
      </c>
      <c r="BD1587">
        <v>325</v>
      </c>
      <c r="BE1587">
        <v>1995</v>
      </c>
      <c r="BF1587">
        <v>7</v>
      </c>
      <c r="BI1587">
        <v>7</v>
      </c>
      <c r="BJ1587">
        <v>31</v>
      </c>
      <c r="BK1587">
        <v>3</v>
      </c>
      <c r="BP1587" s="184"/>
    </row>
    <row r="1588" spans="1:68">
      <c r="A1588">
        <v>17537200</v>
      </c>
      <c r="B1588">
        <v>17537200</v>
      </c>
      <c r="C1588" t="s">
        <v>7018</v>
      </c>
      <c r="D1588" t="s">
        <v>595</v>
      </c>
      <c r="E1588" s="184">
        <v>44104</v>
      </c>
      <c r="G1588" s="184"/>
      <c r="I1588" s="184"/>
      <c r="K1588" s="184"/>
      <c r="M1588" s="184"/>
      <c r="O1588" s="184"/>
      <c r="P1588" t="s">
        <v>7045</v>
      </c>
      <c r="Q1588" t="s">
        <v>7454</v>
      </c>
      <c r="R1588" s="184">
        <v>15795</v>
      </c>
      <c r="S1588">
        <v>81</v>
      </c>
      <c r="U1588" t="s">
        <v>7076</v>
      </c>
      <c r="V1588" t="s">
        <v>15984</v>
      </c>
      <c r="W1588" t="s">
        <v>3226</v>
      </c>
      <c r="X1588" t="s">
        <v>15985</v>
      </c>
      <c r="AF1588" t="s">
        <v>15986</v>
      </c>
      <c r="AG1588" t="s">
        <v>15984</v>
      </c>
      <c r="AI1588" t="s">
        <v>15987</v>
      </c>
      <c r="AM1588" t="s">
        <v>3905</v>
      </c>
      <c r="AN1588" t="s">
        <v>2055</v>
      </c>
      <c r="AO1588" t="s">
        <v>15988</v>
      </c>
      <c r="AP1588" t="s">
        <v>7024</v>
      </c>
      <c r="AQ1588" t="s">
        <v>15989</v>
      </c>
      <c r="AT1588" s="184">
        <v>34593</v>
      </c>
      <c r="AU1588" t="s">
        <v>15990</v>
      </c>
      <c r="AV1588">
        <v>15</v>
      </c>
      <c r="AW1588" s="184">
        <v>44491</v>
      </c>
      <c r="AX1588" t="s">
        <v>15991</v>
      </c>
      <c r="AY1588">
        <v>20</v>
      </c>
      <c r="AZ1588" s="184">
        <v>41906</v>
      </c>
      <c r="BA1588" t="s">
        <v>15992</v>
      </c>
      <c r="BB1588">
        <v>87</v>
      </c>
      <c r="BC1588">
        <v>75</v>
      </c>
      <c r="BD1588">
        <v>972</v>
      </c>
      <c r="BE1588">
        <v>1995</v>
      </c>
      <c r="BF1588">
        <v>48</v>
      </c>
      <c r="BI1588">
        <v>23</v>
      </c>
      <c r="BJ1588">
        <v>31</v>
      </c>
      <c r="BK1588">
        <v>10</v>
      </c>
      <c r="BP1588" s="184"/>
    </row>
    <row r="1589" spans="1:68">
      <c r="A1589">
        <v>17549171</v>
      </c>
      <c r="B1589">
        <v>17549171</v>
      </c>
      <c r="C1589" t="s">
        <v>7018</v>
      </c>
      <c r="D1589" t="s">
        <v>595</v>
      </c>
      <c r="E1589" s="184">
        <v>44073</v>
      </c>
      <c r="G1589" s="184"/>
      <c r="I1589" s="184"/>
      <c r="K1589" s="184"/>
      <c r="O1589" s="184"/>
      <c r="P1589" t="s">
        <v>7029</v>
      </c>
      <c r="Q1589" t="s">
        <v>7454</v>
      </c>
      <c r="R1589" s="184">
        <v>12595</v>
      </c>
      <c r="S1589">
        <v>89</v>
      </c>
      <c r="V1589" t="s">
        <v>2612</v>
      </c>
      <c r="X1589" t="s">
        <v>15993</v>
      </c>
      <c r="AF1589" t="s">
        <v>15994</v>
      </c>
      <c r="AG1589" t="s">
        <v>2612</v>
      </c>
      <c r="AI1589" t="s">
        <v>15995</v>
      </c>
      <c r="AM1589" t="s">
        <v>2608</v>
      </c>
      <c r="AN1589" t="s">
        <v>2299</v>
      </c>
      <c r="AO1589" t="s">
        <v>15996</v>
      </c>
      <c r="AP1589" t="s">
        <v>7024</v>
      </c>
      <c r="AQ1589" t="s">
        <v>15997</v>
      </c>
      <c r="AT1589" s="184">
        <v>34592</v>
      </c>
      <c r="AU1589" t="s">
        <v>15998</v>
      </c>
      <c r="AV1589">
        <v>25</v>
      </c>
      <c r="AW1589" s="184">
        <v>45287</v>
      </c>
      <c r="AX1589" t="s">
        <v>15999</v>
      </c>
      <c r="AY1589">
        <v>100</v>
      </c>
      <c r="AZ1589" s="184">
        <v>41613</v>
      </c>
      <c r="BA1589" t="s">
        <v>16000</v>
      </c>
      <c r="BB1589">
        <v>1000</v>
      </c>
      <c r="BC1589">
        <v>62</v>
      </c>
      <c r="BD1589">
        <v>5465</v>
      </c>
      <c r="BE1589">
        <v>1995</v>
      </c>
      <c r="BF1589">
        <v>79</v>
      </c>
      <c r="BG1589">
        <v>21</v>
      </c>
      <c r="BH1589">
        <v>1850</v>
      </c>
      <c r="BI1589">
        <v>19</v>
      </c>
      <c r="BJ1589">
        <v>31</v>
      </c>
      <c r="BK1589">
        <v>7</v>
      </c>
      <c r="BP1589" s="184"/>
    </row>
    <row r="1590" spans="1:68">
      <c r="A1590">
        <v>17554528</v>
      </c>
      <c r="B1590">
        <v>17554528</v>
      </c>
      <c r="C1590" t="s">
        <v>7018</v>
      </c>
      <c r="E1590" s="184"/>
      <c r="G1590" s="184"/>
      <c r="I1590" s="184"/>
      <c r="K1590" s="184"/>
      <c r="M1590" s="184"/>
      <c r="N1590" t="s">
        <v>595</v>
      </c>
      <c r="O1590" s="184">
        <v>42147</v>
      </c>
      <c r="P1590" t="s">
        <v>7045</v>
      </c>
      <c r="Q1590" t="s">
        <v>7030</v>
      </c>
      <c r="R1590" s="184">
        <v>13605</v>
      </c>
      <c r="S1590">
        <v>87</v>
      </c>
      <c r="U1590" t="s">
        <v>7130</v>
      </c>
      <c r="V1590" t="s">
        <v>3101</v>
      </c>
      <c r="W1590" t="s">
        <v>4139</v>
      </c>
      <c r="X1590" t="s">
        <v>5896</v>
      </c>
      <c r="AF1590" t="s">
        <v>16001</v>
      </c>
      <c r="AG1590" t="s">
        <v>3101</v>
      </c>
      <c r="AI1590" t="s">
        <v>16002</v>
      </c>
      <c r="AM1590" t="s">
        <v>2564</v>
      </c>
      <c r="AN1590" t="s">
        <v>2089</v>
      </c>
      <c r="AO1590" t="s">
        <v>16003</v>
      </c>
      <c r="AP1590" t="s">
        <v>7024</v>
      </c>
      <c r="AQ1590" t="s">
        <v>16004</v>
      </c>
      <c r="AT1590" s="184">
        <v>34596</v>
      </c>
      <c r="AU1590" t="s">
        <v>16005</v>
      </c>
      <c r="AV1590">
        <v>15</v>
      </c>
      <c r="AW1590" s="184">
        <v>42147</v>
      </c>
      <c r="AX1590" t="s">
        <v>7042</v>
      </c>
      <c r="AY1590">
        <v>15000</v>
      </c>
      <c r="AZ1590" s="184">
        <v>42147</v>
      </c>
      <c r="BA1590" t="s">
        <v>7042</v>
      </c>
      <c r="BB1590">
        <v>15000</v>
      </c>
      <c r="BC1590">
        <v>30</v>
      </c>
      <c r="BD1590">
        <v>15280</v>
      </c>
      <c r="BE1590">
        <v>1995</v>
      </c>
      <c r="BF1590">
        <v>11</v>
      </c>
      <c r="BI1590">
        <v>9</v>
      </c>
      <c r="BJ1590">
        <v>31</v>
      </c>
      <c r="BK1590">
        <v>2</v>
      </c>
      <c r="BP1590" s="184"/>
    </row>
    <row r="1591" spans="1:68">
      <c r="A1591">
        <v>17558164</v>
      </c>
      <c r="B1591">
        <v>17558164</v>
      </c>
      <c r="C1591" t="s">
        <v>7018</v>
      </c>
      <c r="D1591" t="s">
        <v>595</v>
      </c>
      <c r="E1591" s="184">
        <v>43801</v>
      </c>
      <c r="G1591" s="184"/>
      <c r="I1591" s="184"/>
      <c r="K1591" s="184"/>
      <c r="M1591" s="184"/>
      <c r="O1591" s="184"/>
      <c r="P1591" t="s">
        <v>7045</v>
      </c>
      <c r="Q1591" t="s">
        <v>7374</v>
      </c>
      <c r="R1591" s="184">
        <v>12359</v>
      </c>
      <c r="S1591">
        <v>90</v>
      </c>
      <c r="U1591" t="s">
        <v>7031</v>
      </c>
      <c r="V1591" t="s">
        <v>3162</v>
      </c>
      <c r="W1591" t="s">
        <v>7085</v>
      </c>
      <c r="X1591" t="s">
        <v>4361</v>
      </c>
      <c r="AF1591" t="s">
        <v>16006</v>
      </c>
      <c r="AG1591" t="s">
        <v>3162</v>
      </c>
      <c r="AI1591" t="s">
        <v>16007</v>
      </c>
      <c r="AJ1591" t="s">
        <v>16008</v>
      </c>
      <c r="AM1591" t="s">
        <v>4362</v>
      </c>
      <c r="AN1591" t="s">
        <v>2081</v>
      </c>
      <c r="AO1591" t="s">
        <v>16009</v>
      </c>
      <c r="AP1591" t="s">
        <v>7024</v>
      </c>
      <c r="AT1591" s="184">
        <v>34596</v>
      </c>
      <c r="AU1591" t="s">
        <v>16010</v>
      </c>
      <c r="AV1591">
        <v>15</v>
      </c>
      <c r="AW1591" s="184">
        <v>43712</v>
      </c>
      <c r="AX1591" t="s">
        <v>16011</v>
      </c>
      <c r="AY1591">
        <v>5</v>
      </c>
      <c r="AZ1591" s="184">
        <v>34936</v>
      </c>
      <c r="BA1591" t="s">
        <v>16012</v>
      </c>
      <c r="BB1591">
        <v>25</v>
      </c>
      <c r="BC1591">
        <v>42</v>
      </c>
      <c r="BD1591">
        <v>160</v>
      </c>
      <c r="BE1591">
        <v>1995</v>
      </c>
      <c r="BF1591">
        <v>20</v>
      </c>
      <c r="BI1591">
        <v>13</v>
      </c>
      <c r="BJ1591">
        <v>31</v>
      </c>
      <c r="BK1591">
        <v>4</v>
      </c>
      <c r="BP1591" s="184"/>
    </row>
    <row r="1592" spans="1:68">
      <c r="A1592">
        <v>17566050</v>
      </c>
      <c r="B1592">
        <v>17566050</v>
      </c>
      <c r="C1592" t="s">
        <v>7018</v>
      </c>
      <c r="D1592" t="s">
        <v>595</v>
      </c>
      <c r="E1592" s="184">
        <v>44207</v>
      </c>
      <c r="G1592" s="184"/>
      <c r="I1592" s="184"/>
      <c r="K1592" s="184"/>
      <c r="M1592" s="184"/>
      <c r="O1592" s="184"/>
      <c r="P1592" t="s">
        <v>7019</v>
      </c>
      <c r="Q1592" t="s">
        <v>7494</v>
      </c>
      <c r="R1592" s="184">
        <v>15796</v>
      </c>
      <c r="S1592">
        <v>81</v>
      </c>
      <c r="V1592" t="s">
        <v>16013</v>
      </c>
      <c r="X1592" t="s">
        <v>12189</v>
      </c>
      <c r="Z1592">
        <v>100180849</v>
      </c>
      <c r="AB1592" t="s">
        <v>8768</v>
      </c>
      <c r="AC1592" t="s">
        <v>7085</v>
      </c>
      <c r="AD1592" t="s">
        <v>12189</v>
      </c>
      <c r="AF1592" t="s">
        <v>16014</v>
      </c>
      <c r="AG1592" t="s">
        <v>16013</v>
      </c>
      <c r="AI1592" t="s">
        <v>16015</v>
      </c>
      <c r="AM1592" t="s">
        <v>4006</v>
      </c>
      <c r="AN1592" t="s">
        <v>2174</v>
      </c>
      <c r="AO1592" t="s">
        <v>16016</v>
      </c>
      <c r="AP1592" t="s">
        <v>7024</v>
      </c>
      <c r="AT1592" s="184">
        <v>34597</v>
      </c>
      <c r="AU1592" t="s">
        <v>15930</v>
      </c>
      <c r="AV1592">
        <v>15</v>
      </c>
      <c r="AW1592" s="184">
        <v>42082</v>
      </c>
      <c r="AX1592" t="s">
        <v>16017</v>
      </c>
      <c r="AY1592">
        <v>60</v>
      </c>
      <c r="AZ1592" s="184">
        <v>42082</v>
      </c>
      <c r="BA1592" t="s">
        <v>16017</v>
      </c>
      <c r="BB1592">
        <v>60</v>
      </c>
      <c r="BC1592">
        <v>36</v>
      </c>
      <c r="BD1592">
        <v>335</v>
      </c>
      <c r="BE1592">
        <v>1995</v>
      </c>
      <c r="BF1592">
        <v>17</v>
      </c>
      <c r="BI1592">
        <v>11</v>
      </c>
      <c r="BJ1592">
        <v>31</v>
      </c>
      <c r="BK1592">
        <v>5</v>
      </c>
      <c r="BP1592" s="184"/>
    </row>
    <row r="1593" spans="1:68">
      <c r="A1593">
        <v>17591876</v>
      </c>
      <c r="B1593">
        <v>17591876</v>
      </c>
      <c r="C1593" t="s">
        <v>7018</v>
      </c>
      <c r="E1593" s="184"/>
      <c r="G1593" s="184"/>
      <c r="H1593" t="s">
        <v>595</v>
      </c>
      <c r="I1593" s="184">
        <v>44328</v>
      </c>
      <c r="K1593" s="184"/>
      <c r="O1593" s="184"/>
      <c r="P1593" t="s">
        <v>7045</v>
      </c>
      <c r="Q1593" t="s">
        <v>7454</v>
      </c>
      <c r="R1593" s="184">
        <v>20729</v>
      </c>
      <c r="S1593">
        <v>67</v>
      </c>
      <c r="V1593" t="s">
        <v>4889</v>
      </c>
      <c r="X1593" t="s">
        <v>4890</v>
      </c>
      <c r="AF1593" t="s">
        <v>16018</v>
      </c>
      <c r="AG1593" t="s">
        <v>4889</v>
      </c>
      <c r="AI1593" t="s">
        <v>16019</v>
      </c>
      <c r="AM1593" t="s">
        <v>4891</v>
      </c>
      <c r="AN1593" t="s">
        <v>2299</v>
      </c>
      <c r="AO1593" t="s">
        <v>16020</v>
      </c>
      <c r="AP1593" t="s">
        <v>7024</v>
      </c>
      <c r="AQ1593" t="s">
        <v>16021</v>
      </c>
      <c r="AT1593" s="184">
        <v>34599</v>
      </c>
      <c r="AU1593" t="s">
        <v>16022</v>
      </c>
      <c r="AV1593">
        <v>25</v>
      </c>
      <c r="AW1593" s="184">
        <v>45412</v>
      </c>
      <c r="AX1593" t="s">
        <v>16023</v>
      </c>
      <c r="AY1593">
        <v>35</v>
      </c>
      <c r="AZ1593" s="184">
        <v>39115</v>
      </c>
      <c r="BA1593" t="s">
        <v>16024</v>
      </c>
      <c r="BB1593">
        <v>60</v>
      </c>
      <c r="BC1593">
        <v>84</v>
      </c>
      <c r="BD1593">
        <v>845</v>
      </c>
      <c r="BE1593">
        <v>1995</v>
      </c>
      <c r="BF1593">
        <v>26</v>
      </c>
      <c r="BG1593">
        <v>2</v>
      </c>
      <c r="BH1593">
        <v>70</v>
      </c>
      <c r="BI1593">
        <v>26</v>
      </c>
      <c r="BJ1593">
        <v>31</v>
      </c>
      <c r="BK1593">
        <v>15</v>
      </c>
      <c r="BP1593" s="184"/>
    </row>
    <row r="1594" spans="1:68">
      <c r="A1594">
        <v>17613498</v>
      </c>
      <c r="B1594">
        <v>17613498</v>
      </c>
      <c r="C1594" t="s">
        <v>7018</v>
      </c>
      <c r="E1594" s="184"/>
      <c r="G1594" s="184"/>
      <c r="J1594" t="s">
        <v>595</v>
      </c>
      <c r="K1594" s="184">
        <v>37439</v>
      </c>
      <c r="M1594" s="184"/>
      <c r="O1594" s="184"/>
      <c r="P1594" t="s">
        <v>7045</v>
      </c>
      <c r="Q1594" t="s">
        <v>7262</v>
      </c>
      <c r="R1594" s="184">
        <v>20728</v>
      </c>
      <c r="S1594">
        <v>67</v>
      </c>
      <c r="V1594" t="s">
        <v>2969</v>
      </c>
      <c r="X1594" t="s">
        <v>16025</v>
      </c>
      <c r="Z1594">
        <v>100047341</v>
      </c>
      <c r="AB1594" t="s">
        <v>2665</v>
      </c>
      <c r="AD1594" t="s">
        <v>16025</v>
      </c>
      <c r="AF1594" t="s">
        <v>6379</v>
      </c>
      <c r="AG1594" t="s">
        <v>16026</v>
      </c>
      <c r="AI1594" t="s">
        <v>16027</v>
      </c>
      <c r="AM1594" t="s">
        <v>16028</v>
      </c>
      <c r="AN1594" t="s">
        <v>2069</v>
      </c>
      <c r="AO1594" t="s">
        <v>16029</v>
      </c>
      <c r="AP1594" t="s">
        <v>7024</v>
      </c>
      <c r="AT1594" s="184">
        <v>34603</v>
      </c>
      <c r="AU1594" t="s">
        <v>16030</v>
      </c>
      <c r="AV1594">
        <v>25</v>
      </c>
      <c r="AW1594" s="184">
        <v>45371</v>
      </c>
      <c r="AX1594" t="s">
        <v>7972</v>
      </c>
      <c r="AY1594">
        <v>100</v>
      </c>
      <c r="AZ1594" s="184">
        <v>45371</v>
      </c>
      <c r="BA1594" t="s">
        <v>7972</v>
      </c>
      <c r="BB1594">
        <v>100</v>
      </c>
      <c r="BC1594">
        <v>75</v>
      </c>
      <c r="BD1594">
        <v>1625</v>
      </c>
      <c r="BE1594">
        <v>1995</v>
      </c>
      <c r="BF1594">
        <v>31</v>
      </c>
      <c r="BG1594">
        <v>2</v>
      </c>
      <c r="BH1594">
        <v>200</v>
      </c>
      <c r="BI1594">
        <v>23</v>
      </c>
      <c r="BJ1594">
        <v>31</v>
      </c>
      <c r="BK1594">
        <v>17</v>
      </c>
      <c r="BP1594" s="184"/>
    </row>
    <row r="1595" spans="1:68">
      <c r="A1595">
        <v>100047341</v>
      </c>
      <c r="B1595">
        <v>17613498</v>
      </c>
      <c r="C1595" t="s">
        <v>7018</v>
      </c>
      <c r="E1595" s="184"/>
      <c r="G1595" s="184"/>
      <c r="J1595" t="s">
        <v>595</v>
      </c>
      <c r="K1595" s="184">
        <v>37439</v>
      </c>
      <c r="M1595" s="184"/>
      <c r="O1595" s="184"/>
      <c r="P1595" t="s">
        <v>7045</v>
      </c>
      <c r="Q1595" t="s">
        <v>7262</v>
      </c>
      <c r="R1595" s="184">
        <v>20271</v>
      </c>
      <c r="S1595">
        <v>68</v>
      </c>
      <c r="V1595" t="s">
        <v>2665</v>
      </c>
      <c r="X1595" t="s">
        <v>16025</v>
      </c>
      <c r="Z1595">
        <v>17613498</v>
      </c>
      <c r="AB1595" t="s">
        <v>2969</v>
      </c>
      <c r="AD1595" t="s">
        <v>16025</v>
      </c>
      <c r="AF1595" t="s">
        <v>6379</v>
      </c>
      <c r="AG1595" t="s">
        <v>16026</v>
      </c>
      <c r="AI1595" t="s">
        <v>16027</v>
      </c>
      <c r="AM1595" t="s">
        <v>16028</v>
      </c>
      <c r="AN1595" t="s">
        <v>2069</v>
      </c>
      <c r="AO1595" t="s">
        <v>16029</v>
      </c>
      <c r="AP1595" t="s">
        <v>7024</v>
      </c>
      <c r="AT1595" s="184"/>
      <c r="AW1595" s="184"/>
      <c r="AZ1595" s="184"/>
      <c r="BP1595" s="184"/>
    </row>
    <row r="1596" spans="1:68">
      <c r="A1596">
        <v>17622101</v>
      </c>
      <c r="B1596">
        <v>17622101</v>
      </c>
      <c r="C1596" t="s">
        <v>7018</v>
      </c>
      <c r="D1596" t="s">
        <v>595</v>
      </c>
      <c r="E1596" s="184">
        <v>44104</v>
      </c>
      <c r="G1596" s="184"/>
      <c r="K1596" s="184"/>
      <c r="O1596" s="184"/>
      <c r="P1596" t="s">
        <v>7045</v>
      </c>
      <c r="Q1596" t="s">
        <v>7774</v>
      </c>
      <c r="R1596" s="184">
        <v>15659</v>
      </c>
      <c r="S1596">
        <v>81</v>
      </c>
      <c r="U1596" t="s">
        <v>7237</v>
      </c>
      <c r="V1596" t="s">
        <v>16031</v>
      </c>
      <c r="X1596" t="s">
        <v>16032</v>
      </c>
      <c r="AF1596" t="s">
        <v>16033</v>
      </c>
      <c r="AG1596" t="s">
        <v>16031</v>
      </c>
      <c r="AI1596" t="s">
        <v>16034</v>
      </c>
      <c r="AM1596" t="s">
        <v>16035</v>
      </c>
      <c r="AN1596" t="s">
        <v>2077</v>
      </c>
      <c r="AO1596">
        <v>59602</v>
      </c>
      <c r="AP1596" t="s">
        <v>7024</v>
      </c>
      <c r="AT1596" s="184">
        <v>34599</v>
      </c>
      <c r="AU1596" t="s">
        <v>16036</v>
      </c>
      <c r="AV1596">
        <v>15</v>
      </c>
      <c r="AW1596" s="184">
        <v>41257</v>
      </c>
      <c r="AX1596" t="s">
        <v>16037</v>
      </c>
      <c r="AY1596">
        <v>25</v>
      </c>
      <c r="AZ1596" s="184">
        <v>41257</v>
      </c>
      <c r="BA1596" t="s">
        <v>16037</v>
      </c>
      <c r="BB1596">
        <v>25</v>
      </c>
      <c r="BC1596">
        <v>46</v>
      </c>
      <c r="BD1596">
        <v>329.9</v>
      </c>
      <c r="BE1596">
        <v>1995</v>
      </c>
      <c r="BF1596">
        <v>16</v>
      </c>
      <c r="BI1596">
        <v>14</v>
      </c>
      <c r="BJ1596">
        <v>31</v>
      </c>
      <c r="BK1596">
        <v>10</v>
      </c>
      <c r="BP1596" s="184"/>
    </row>
    <row r="1597" spans="1:68">
      <c r="A1597">
        <v>17640061</v>
      </c>
      <c r="B1597">
        <v>17640061</v>
      </c>
      <c r="C1597" t="s">
        <v>7018</v>
      </c>
      <c r="D1597" t="s">
        <v>595</v>
      </c>
      <c r="E1597" s="184">
        <v>43642</v>
      </c>
      <c r="G1597" s="184"/>
      <c r="K1597" s="184"/>
      <c r="O1597" s="184"/>
      <c r="P1597" t="s">
        <v>7019</v>
      </c>
      <c r="Q1597" t="s">
        <v>7383</v>
      </c>
      <c r="R1597" s="184">
        <v>17593</v>
      </c>
      <c r="S1597">
        <v>76</v>
      </c>
      <c r="U1597" t="s">
        <v>7130</v>
      </c>
      <c r="V1597" t="s">
        <v>3237</v>
      </c>
      <c r="X1597" t="s">
        <v>3238</v>
      </c>
      <c r="AF1597" t="s">
        <v>16038</v>
      </c>
      <c r="AG1597" t="s">
        <v>16039</v>
      </c>
      <c r="AI1597" t="s">
        <v>16040</v>
      </c>
      <c r="AM1597" t="s">
        <v>3239</v>
      </c>
      <c r="AN1597" t="s">
        <v>2313</v>
      </c>
      <c r="AO1597" t="s">
        <v>16041</v>
      </c>
      <c r="AP1597" t="s">
        <v>7024</v>
      </c>
      <c r="AQ1597" t="s">
        <v>16042</v>
      </c>
      <c r="AT1597" s="184">
        <v>34621</v>
      </c>
      <c r="AU1597" t="s">
        <v>15078</v>
      </c>
      <c r="AV1597">
        <v>19.95</v>
      </c>
      <c r="AW1597" s="184">
        <v>45264</v>
      </c>
      <c r="AX1597" t="s">
        <v>16043</v>
      </c>
      <c r="AY1597">
        <v>20</v>
      </c>
      <c r="AZ1597" s="184">
        <v>43074</v>
      </c>
      <c r="BA1597" t="s">
        <v>16044</v>
      </c>
      <c r="BB1597">
        <v>87</v>
      </c>
      <c r="BC1597">
        <v>71</v>
      </c>
      <c r="BD1597">
        <v>986.95</v>
      </c>
      <c r="BE1597">
        <v>1995</v>
      </c>
      <c r="BF1597">
        <v>32</v>
      </c>
      <c r="BG1597">
        <v>2</v>
      </c>
      <c r="BH1597">
        <v>40</v>
      </c>
      <c r="BI1597">
        <v>22</v>
      </c>
      <c r="BJ1597">
        <v>31</v>
      </c>
      <c r="BK1597">
        <v>13</v>
      </c>
      <c r="BP1597" s="184"/>
    </row>
    <row r="1598" spans="1:68">
      <c r="A1598">
        <v>17640749</v>
      </c>
      <c r="B1598">
        <v>17640749</v>
      </c>
      <c r="C1598" t="s">
        <v>7018</v>
      </c>
      <c r="D1598" t="s">
        <v>595</v>
      </c>
      <c r="E1598" s="184">
        <v>43642</v>
      </c>
      <c r="G1598" s="184"/>
      <c r="I1598" s="184"/>
      <c r="K1598" s="184"/>
      <c r="O1598" s="184"/>
      <c r="P1598" t="s">
        <v>7045</v>
      </c>
      <c r="Q1598" t="s">
        <v>7030</v>
      </c>
      <c r="R1598" s="184">
        <v>9890</v>
      </c>
      <c r="S1598">
        <v>97</v>
      </c>
      <c r="U1598" t="s">
        <v>7130</v>
      </c>
      <c r="V1598" t="s">
        <v>2541</v>
      </c>
      <c r="W1598" t="s">
        <v>4152</v>
      </c>
      <c r="X1598" t="s">
        <v>2661</v>
      </c>
      <c r="AF1598" t="s">
        <v>16045</v>
      </c>
      <c r="AG1598" t="s">
        <v>2541</v>
      </c>
      <c r="AI1598" t="s">
        <v>16046</v>
      </c>
      <c r="AM1598" t="s">
        <v>3240</v>
      </c>
      <c r="AN1598" t="s">
        <v>2094</v>
      </c>
      <c r="AO1598">
        <v>81506</v>
      </c>
      <c r="AP1598" t="s">
        <v>7024</v>
      </c>
      <c r="AT1598" s="184">
        <v>34621</v>
      </c>
      <c r="AU1598" t="s">
        <v>15078</v>
      </c>
      <c r="AV1598">
        <v>19.95</v>
      </c>
      <c r="AW1598" s="184">
        <v>39652</v>
      </c>
      <c r="AX1598" t="s">
        <v>16047</v>
      </c>
      <c r="AY1598">
        <v>25</v>
      </c>
      <c r="AZ1598" s="184">
        <v>37368</v>
      </c>
      <c r="BA1598" t="s">
        <v>16048</v>
      </c>
      <c r="BB1598">
        <v>40</v>
      </c>
      <c r="BC1598">
        <v>36</v>
      </c>
      <c r="BD1598">
        <v>354.95</v>
      </c>
      <c r="BE1598">
        <v>1995</v>
      </c>
      <c r="BF1598">
        <v>13</v>
      </c>
      <c r="BI1598">
        <v>11</v>
      </c>
      <c r="BJ1598">
        <v>31</v>
      </c>
      <c r="BK1598">
        <v>9</v>
      </c>
      <c r="BP1598" s="184"/>
    </row>
    <row r="1599" spans="1:68">
      <c r="A1599">
        <v>17641960</v>
      </c>
      <c r="B1599">
        <v>17641960</v>
      </c>
      <c r="C1599" t="s">
        <v>7018</v>
      </c>
      <c r="D1599" t="s">
        <v>595</v>
      </c>
      <c r="E1599" s="184">
        <v>44167</v>
      </c>
      <c r="G1599" s="184"/>
      <c r="K1599" s="184"/>
      <c r="O1599" s="184"/>
      <c r="P1599" t="s">
        <v>7045</v>
      </c>
      <c r="Q1599" t="s">
        <v>7030</v>
      </c>
      <c r="R1599" s="184">
        <v>15490</v>
      </c>
      <c r="S1599">
        <v>81</v>
      </c>
      <c r="V1599" t="s">
        <v>2718</v>
      </c>
      <c r="X1599" t="s">
        <v>16049</v>
      </c>
      <c r="Z1599">
        <v>100047413</v>
      </c>
      <c r="AB1599" t="s">
        <v>16050</v>
      </c>
      <c r="AD1599" t="s">
        <v>16049</v>
      </c>
      <c r="AF1599" t="s">
        <v>16051</v>
      </c>
      <c r="AG1599" t="s">
        <v>16052</v>
      </c>
      <c r="AI1599" t="s">
        <v>16053</v>
      </c>
      <c r="AM1599" t="s">
        <v>4694</v>
      </c>
      <c r="AN1599" t="s">
        <v>2201</v>
      </c>
      <c r="AO1599" t="s">
        <v>16054</v>
      </c>
      <c r="AP1599" t="s">
        <v>7024</v>
      </c>
      <c r="AT1599" s="184">
        <v>34611</v>
      </c>
      <c r="AU1599" t="s">
        <v>16055</v>
      </c>
      <c r="AV1599">
        <v>25</v>
      </c>
      <c r="AW1599" s="184">
        <v>43907</v>
      </c>
      <c r="AX1599" t="s">
        <v>16056</v>
      </c>
      <c r="AY1599">
        <v>25</v>
      </c>
      <c r="AZ1599" s="184">
        <v>34768</v>
      </c>
      <c r="BA1599" t="s">
        <v>16057</v>
      </c>
      <c r="BB1599">
        <v>51</v>
      </c>
      <c r="BC1599">
        <v>20</v>
      </c>
      <c r="BD1599">
        <v>231</v>
      </c>
      <c r="BE1599">
        <v>1995</v>
      </c>
      <c r="BF1599">
        <v>8</v>
      </c>
      <c r="BI1599">
        <v>6</v>
      </c>
      <c r="BJ1599">
        <v>31</v>
      </c>
      <c r="BK1599">
        <v>2</v>
      </c>
      <c r="BP1599" s="184"/>
    </row>
    <row r="1600" spans="1:68">
      <c r="A1600">
        <v>100047413</v>
      </c>
      <c r="B1600">
        <v>17641960</v>
      </c>
      <c r="C1600" t="s">
        <v>7018</v>
      </c>
      <c r="D1600" t="s">
        <v>595</v>
      </c>
      <c r="E1600" s="184">
        <v>44167</v>
      </c>
      <c r="G1600" s="184"/>
      <c r="I1600" s="184"/>
      <c r="K1600" s="184"/>
      <c r="M1600" s="184"/>
      <c r="O1600" s="184"/>
      <c r="P1600" t="s">
        <v>7045</v>
      </c>
      <c r="Q1600" t="s">
        <v>7030</v>
      </c>
      <c r="R1600" s="184"/>
      <c r="V1600" t="s">
        <v>16050</v>
      </c>
      <c r="X1600" t="s">
        <v>16049</v>
      </c>
      <c r="Z1600">
        <v>17641960</v>
      </c>
      <c r="AB1600" t="s">
        <v>2718</v>
      </c>
      <c r="AD1600" t="s">
        <v>16049</v>
      </c>
      <c r="AF1600" t="s">
        <v>16051</v>
      </c>
      <c r="AG1600" t="s">
        <v>16052</v>
      </c>
      <c r="AI1600" t="s">
        <v>16053</v>
      </c>
      <c r="AM1600" t="s">
        <v>4694</v>
      </c>
      <c r="AN1600" t="s">
        <v>2201</v>
      </c>
      <c r="AO1600" t="s">
        <v>16054</v>
      </c>
      <c r="AP1600" t="s">
        <v>7024</v>
      </c>
      <c r="AT1600" s="184"/>
      <c r="AW1600" s="184"/>
      <c r="AZ1600" s="184"/>
      <c r="BP1600" s="184"/>
    </row>
    <row r="1601" spans="1:68">
      <c r="A1601">
        <v>17647298</v>
      </c>
      <c r="B1601">
        <v>17647298</v>
      </c>
      <c r="C1601" t="s">
        <v>7018</v>
      </c>
      <c r="E1601" s="184"/>
      <c r="G1601" s="184"/>
      <c r="I1601" s="184"/>
      <c r="J1601" t="s">
        <v>595</v>
      </c>
      <c r="K1601" s="184">
        <v>42611</v>
      </c>
      <c r="M1601" s="184"/>
      <c r="O1601" s="184"/>
      <c r="P1601" t="s">
        <v>7045</v>
      </c>
      <c r="Q1601" t="s">
        <v>7194</v>
      </c>
      <c r="R1601" s="184">
        <v>16788</v>
      </c>
      <c r="S1601">
        <v>78</v>
      </c>
      <c r="U1601" t="s">
        <v>7076</v>
      </c>
      <c r="V1601" t="s">
        <v>2586</v>
      </c>
      <c r="W1601" t="s">
        <v>3554</v>
      </c>
      <c r="X1601" t="s">
        <v>16058</v>
      </c>
      <c r="AF1601" t="s">
        <v>6212</v>
      </c>
      <c r="AG1601" t="s">
        <v>2586</v>
      </c>
      <c r="AI1601" t="s">
        <v>16059</v>
      </c>
      <c r="AM1601" t="s">
        <v>16060</v>
      </c>
      <c r="AN1601" t="s">
        <v>2046</v>
      </c>
      <c r="AO1601" t="s">
        <v>16061</v>
      </c>
      <c r="AP1601" t="s">
        <v>7024</v>
      </c>
      <c r="AQ1601" t="s">
        <v>16062</v>
      </c>
      <c r="AR1601" t="s">
        <v>16063</v>
      </c>
      <c r="AT1601" s="184">
        <v>34613</v>
      </c>
      <c r="AU1601" t="s">
        <v>16064</v>
      </c>
      <c r="AV1601">
        <v>15</v>
      </c>
      <c r="AW1601" s="184">
        <v>45283</v>
      </c>
      <c r="AX1601" t="s">
        <v>11433</v>
      </c>
      <c r="AY1601">
        <v>25</v>
      </c>
      <c r="AZ1601" s="184">
        <v>39591</v>
      </c>
      <c r="BA1601" t="s">
        <v>16065</v>
      </c>
      <c r="BB1601">
        <v>100</v>
      </c>
      <c r="BC1601">
        <v>94</v>
      </c>
      <c r="BD1601">
        <v>3271</v>
      </c>
      <c r="BE1601">
        <v>1995</v>
      </c>
      <c r="BF1601">
        <v>135</v>
      </c>
      <c r="BG1601">
        <v>20</v>
      </c>
      <c r="BH1601">
        <v>320</v>
      </c>
      <c r="BI1601">
        <v>29</v>
      </c>
      <c r="BJ1601">
        <v>31</v>
      </c>
      <c r="BK1601">
        <v>21</v>
      </c>
      <c r="BM1601" t="s">
        <v>595</v>
      </c>
      <c r="BP1601" s="184"/>
    </row>
    <row r="1602" spans="1:68">
      <c r="A1602">
        <v>17663337</v>
      </c>
      <c r="B1602">
        <v>17663337</v>
      </c>
      <c r="C1602" t="s">
        <v>7018</v>
      </c>
      <c r="E1602" s="184"/>
      <c r="G1602" s="184"/>
      <c r="I1602" s="184"/>
      <c r="J1602" t="s">
        <v>595</v>
      </c>
      <c r="K1602" s="184">
        <v>41921</v>
      </c>
      <c r="M1602" s="184"/>
      <c r="O1602" s="184"/>
      <c r="P1602" t="s">
        <v>7045</v>
      </c>
      <c r="Q1602" t="s">
        <v>7020</v>
      </c>
      <c r="R1602" s="184">
        <v>17267</v>
      </c>
      <c r="S1602">
        <v>77</v>
      </c>
      <c r="U1602" t="s">
        <v>7076</v>
      </c>
      <c r="V1602" t="s">
        <v>2733</v>
      </c>
      <c r="X1602" t="s">
        <v>16066</v>
      </c>
      <c r="AF1602" t="s">
        <v>6155</v>
      </c>
      <c r="AG1602" t="s">
        <v>2733</v>
      </c>
      <c r="AI1602" t="s">
        <v>16067</v>
      </c>
      <c r="AM1602" t="s">
        <v>16068</v>
      </c>
      <c r="AN1602" t="s">
        <v>2240</v>
      </c>
      <c r="AO1602" t="s">
        <v>16069</v>
      </c>
      <c r="AP1602" t="s">
        <v>7024</v>
      </c>
      <c r="AQ1602" t="s">
        <v>16070</v>
      </c>
      <c r="AT1602" s="184">
        <v>34620</v>
      </c>
      <c r="AU1602" t="s">
        <v>16071</v>
      </c>
      <c r="AV1602">
        <v>25</v>
      </c>
      <c r="AW1602" s="184">
        <v>45426</v>
      </c>
      <c r="AX1602" t="s">
        <v>7422</v>
      </c>
      <c r="AY1602">
        <v>20</v>
      </c>
      <c r="AZ1602" s="184">
        <v>45258</v>
      </c>
      <c r="BA1602" t="s">
        <v>16072</v>
      </c>
      <c r="BB1602">
        <v>250</v>
      </c>
      <c r="BC1602">
        <v>81</v>
      </c>
      <c r="BD1602">
        <v>5540</v>
      </c>
      <c r="BE1602">
        <v>1995</v>
      </c>
      <c r="BF1602">
        <v>185</v>
      </c>
      <c r="BG1602">
        <v>26</v>
      </c>
      <c r="BH1602">
        <v>980</v>
      </c>
      <c r="BI1602">
        <v>25</v>
      </c>
      <c r="BJ1602">
        <v>31</v>
      </c>
      <c r="BK1602">
        <v>24</v>
      </c>
    </row>
    <row r="1603" spans="1:68">
      <c r="A1603">
        <v>17700501</v>
      </c>
      <c r="B1603">
        <v>17700501</v>
      </c>
      <c r="C1603" t="s">
        <v>7018</v>
      </c>
      <c r="D1603" t="s">
        <v>595</v>
      </c>
      <c r="E1603" s="184">
        <v>44167</v>
      </c>
      <c r="G1603" s="184"/>
      <c r="I1603" s="184"/>
      <c r="K1603" s="184"/>
      <c r="M1603" s="184"/>
      <c r="O1603" s="184"/>
      <c r="P1603" t="s">
        <v>7045</v>
      </c>
      <c r="Q1603" t="s">
        <v>7262</v>
      </c>
      <c r="R1603" s="184">
        <v>20821</v>
      </c>
      <c r="S1603">
        <v>67</v>
      </c>
      <c r="V1603" t="s">
        <v>16073</v>
      </c>
      <c r="X1603" t="s">
        <v>16074</v>
      </c>
      <c r="AF1603" t="s">
        <v>16075</v>
      </c>
      <c r="AG1603" t="s">
        <v>16073</v>
      </c>
      <c r="AI1603" t="s">
        <v>16076</v>
      </c>
      <c r="AM1603" t="s">
        <v>16077</v>
      </c>
      <c r="AN1603" t="s">
        <v>2069</v>
      </c>
      <c r="AO1603">
        <v>23322</v>
      </c>
      <c r="AP1603" t="s">
        <v>7024</v>
      </c>
      <c r="AT1603" s="184">
        <v>34625</v>
      </c>
      <c r="AU1603" t="s">
        <v>16078</v>
      </c>
      <c r="AV1603">
        <v>25</v>
      </c>
      <c r="AW1603" s="184">
        <v>37862</v>
      </c>
      <c r="AX1603" t="s">
        <v>16079</v>
      </c>
      <c r="AY1603">
        <v>35</v>
      </c>
      <c r="AZ1603" s="184">
        <v>37862</v>
      </c>
      <c r="BA1603" t="s">
        <v>16079</v>
      </c>
      <c r="BB1603">
        <v>35</v>
      </c>
      <c r="BC1603">
        <v>26</v>
      </c>
      <c r="BD1603">
        <v>300</v>
      </c>
      <c r="BE1603">
        <v>1995</v>
      </c>
      <c r="BF1603">
        <v>10</v>
      </c>
      <c r="BI1603">
        <v>8</v>
      </c>
      <c r="BJ1603">
        <v>31</v>
      </c>
      <c r="BK1603">
        <v>4</v>
      </c>
      <c r="BP1603" s="184"/>
    </row>
    <row r="1604" spans="1:68">
      <c r="A1604">
        <v>17709460</v>
      </c>
      <c r="B1604">
        <v>17709460</v>
      </c>
      <c r="C1604" t="s">
        <v>7018</v>
      </c>
      <c r="D1604" t="s">
        <v>595</v>
      </c>
      <c r="E1604" s="184">
        <v>43879</v>
      </c>
      <c r="G1604" s="184"/>
      <c r="I1604" s="184"/>
      <c r="K1604" s="184"/>
      <c r="P1604" t="s">
        <v>7045</v>
      </c>
      <c r="Q1604" t="s">
        <v>7383</v>
      </c>
      <c r="R1604" s="184">
        <v>14824</v>
      </c>
      <c r="S1604">
        <v>83</v>
      </c>
      <c r="U1604" t="s">
        <v>7130</v>
      </c>
      <c r="V1604" t="s">
        <v>3101</v>
      </c>
      <c r="W1604" t="s">
        <v>3332</v>
      </c>
      <c r="X1604" t="s">
        <v>7349</v>
      </c>
      <c r="AF1604" t="s">
        <v>16080</v>
      </c>
      <c r="AG1604" t="s">
        <v>3101</v>
      </c>
      <c r="AI1604" t="s">
        <v>16081</v>
      </c>
      <c r="AM1604" t="s">
        <v>16082</v>
      </c>
      <c r="AN1604" t="s">
        <v>2064</v>
      </c>
      <c r="AO1604" t="s">
        <v>16083</v>
      </c>
      <c r="AP1604" t="s">
        <v>7024</v>
      </c>
      <c r="AQ1604" t="s">
        <v>16084</v>
      </c>
      <c r="AR1604" t="s">
        <v>16085</v>
      </c>
      <c r="AT1604" s="184">
        <v>34626</v>
      </c>
      <c r="AU1604" t="s">
        <v>16086</v>
      </c>
      <c r="AV1604">
        <v>25</v>
      </c>
      <c r="AW1604" s="184">
        <v>44181</v>
      </c>
      <c r="AX1604" t="s">
        <v>16087</v>
      </c>
      <c r="AY1604">
        <v>25</v>
      </c>
      <c r="AZ1604" s="184">
        <v>41660</v>
      </c>
      <c r="BA1604" t="s">
        <v>16088</v>
      </c>
      <c r="BB1604">
        <v>100</v>
      </c>
      <c r="BC1604">
        <v>84</v>
      </c>
      <c r="BD1604">
        <v>1320</v>
      </c>
      <c r="BE1604">
        <v>1995</v>
      </c>
      <c r="BF1604">
        <v>51</v>
      </c>
      <c r="BI1604">
        <v>26</v>
      </c>
      <c r="BJ1604">
        <v>31</v>
      </c>
      <c r="BK1604">
        <v>21</v>
      </c>
      <c r="BP1604" s="184"/>
    </row>
    <row r="1605" spans="1:68">
      <c r="A1605">
        <v>17715707</v>
      </c>
      <c r="B1605">
        <v>17715707</v>
      </c>
      <c r="C1605" t="s">
        <v>7018</v>
      </c>
      <c r="D1605" t="s">
        <v>595</v>
      </c>
      <c r="E1605" s="184">
        <v>44167</v>
      </c>
      <c r="G1605" s="184"/>
      <c r="I1605" s="184"/>
      <c r="K1605" s="184"/>
      <c r="O1605" s="184"/>
      <c r="P1605" t="s">
        <v>7045</v>
      </c>
      <c r="Q1605" t="s">
        <v>7194</v>
      </c>
      <c r="R1605" s="184">
        <v>10288</v>
      </c>
      <c r="S1605">
        <v>96</v>
      </c>
      <c r="V1605" t="s">
        <v>16089</v>
      </c>
      <c r="W1605" t="s">
        <v>7560</v>
      </c>
      <c r="X1605" t="s">
        <v>4184</v>
      </c>
      <c r="Y1605" t="s">
        <v>7431</v>
      </c>
      <c r="AF1605" t="s">
        <v>16090</v>
      </c>
      <c r="AG1605" t="s">
        <v>16089</v>
      </c>
      <c r="AI1605" t="s">
        <v>16091</v>
      </c>
      <c r="AM1605" t="s">
        <v>11015</v>
      </c>
      <c r="AN1605" t="s">
        <v>2046</v>
      </c>
      <c r="AO1605" t="s">
        <v>16092</v>
      </c>
      <c r="AP1605" t="s">
        <v>7024</v>
      </c>
      <c r="AQ1605" t="s">
        <v>16093</v>
      </c>
      <c r="AR1605" t="s">
        <v>16094</v>
      </c>
      <c r="AT1605" s="184">
        <v>34626</v>
      </c>
      <c r="AU1605" t="s">
        <v>16095</v>
      </c>
      <c r="AV1605">
        <v>10</v>
      </c>
      <c r="AW1605" s="184">
        <v>45321</v>
      </c>
      <c r="AX1605" t="s">
        <v>16096</v>
      </c>
      <c r="AY1605">
        <v>25</v>
      </c>
      <c r="AZ1605" s="184">
        <v>37284</v>
      </c>
      <c r="BA1605" t="s">
        <v>16097</v>
      </c>
      <c r="BB1605">
        <v>125</v>
      </c>
      <c r="BC1605">
        <v>52</v>
      </c>
      <c r="BD1605">
        <v>1565</v>
      </c>
      <c r="BE1605">
        <v>1995</v>
      </c>
      <c r="BF1605">
        <v>35</v>
      </c>
      <c r="BG1605">
        <v>2</v>
      </c>
      <c r="BH1605">
        <v>50</v>
      </c>
      <c r="BI1605">
        <v>16</v>
      </c>
      <c r="BJ1605">
        <v>31</v>
      </c>
      <c r="BK1605">
        <v>13</v>
      </c>
      <c r="BP1605" s="184"/>
    </row>
    <row r="1606" spans="1:68">
      <c r="A1606">
        <v>17718370</v>
      </c>
      <c r="B1606">
        <v>17718370</v>
      </c>
      <c r="C1606" t="s">
        <v>7018</v>
      </c>
      <c r="E1606" s="184"/>
      <c r="G1606" s="184"/>
      <c r="J1606" t="s">
        <v>595</v>
      </c>
      <c r="K1606" s="184">
        <v>37434</v>
      </c>
      <c r="P1606" t="s">
        <v>7045</v>
      </c>
      <c r="Q1606" t="s">
        <v>7374</v>
      </c>
      <c r="R1606" s="184">
        <v>13982</v>
      </c>
      <c r="S1606">
        <v>86</v>
      </c>
      <c r="U1606" t="s">
        <v>7076</v>
      </c>
      <c r="V1606" t="s">
        <v>2523</v>
      </c>
      <c r="W1606" t="s">
        <v>7046</v>
      </c>
      <c r="X1606" t="s">
        <v>2524</v>
      </c>
      <c r="AF1606" t="s">
        <v>6697</v>
      </c>
      <c r="AG1606" t="s">
        <v>2523</v>
      </c>
      <c r="AI1606" t="s">
        <v>16098</v>
      </c>
      <c r="AJ1606" t="s">
        <v>16099</v>
      </c>
      <c r="AM1606" t="s">
        <v>2525</v>
      </c>
      <c r="AN1606" t="s">
        <v>2526</v>
      </c>
      <c r="AO1606">
        <v>89523</v>
      </c>
      <c r="AP1606" t="s">
        <v>7024</v>
      </c>
      <c r="AQ1606" t="s">
        <v>16100</v>
      </c>
      <c r="AR1606" t="s">
        <v>16101</v>
      </c>
      <c r="AT1606" s="184">
        <v>34624</v>
      </c>
      <c r="AU1606" t="s">
        <v>16102</v>
      </c>
      <c r="AV1606">
        <v>20</v>
      </c>
      <c r="AW1606" s="184">
        <v>44231</v>
      </c>
      <c r="AX1606" t="s">
        <v>7309</v>
      </c>
      <c r="AY1606">
        <v>2000</v>
      </c>
      <c r="AZ1606" s="184">
        <v>44231</v>
      </c>
      <c r="BA1606" t="s">
        <v>7309</v>
      </c>
      <c r="BB1606">
        <v>2000</v>
      </c>
      <c r="BC1606">
        <v>17</v>
      </c>
      <c r="BD1606">
        <v>2110</v>
      </c>
      <c r="BE1606">
        <v>1995</v>
      </c>
      <c r="BF1606">
        <v>6</v>
      </c>
      <c r="BI1606">
        <v>5</v>
      </c>
      <c r="BJ1606">
        <v>31</v>
      </c>
      <c r="BK1606">
        <v>2</v>
      </c>
      <c r="BM1606" t="s">
        <v>595</v>
      </c>
      <c r="BO1606" t="s">
        <v>595</v>
      </c>
      <c r="BP1606" s="184">
        <v>44190</v>
      </c>
    </row>
    <row r="1607" spans="1:68">
      <c r="A1607">
        <v>17719162</v>
      </c>
      <c r="B1607">
        <v>17719162</v>
      </c>
      <c r="C1607" t="s">
        <v>7018</v>
      </c>
      <c r="D1607" t="s">
        <v>595</v>
      </c>
      <c r="E1607" s="184">
        <v>44104</v>
      </c>
      <c r="G1607" s="184"/>
      <c r="I1607" s="184"/>
      <c r="K1607" s="184"/>
      <c r="M1607" s="184"/>
      <c r="P1607" t="s">
        <v>7019</v>
      </c>
      <c r="Q1607" t="s">
        <v>7383</v>
      </c>
      <c r="R1607" s="184">
        <v>21245</v>
      </c>
      <c r="S1607">
        <v>66</v>
      </c>
      <c r="U1607" t="s">
        <v>7031</v>
      </c>
      <c r="V1607" t="s">
        <v>2821</v>
      </c>
      <c r="W1607" t="s">
        <v>3226</v>
      </c>
      <c r="X1607" t="s">
        <v>16103</v>
      </c>
      <c r="AF1607" t="s">
        <v>16104</v>
      </c>
      <c r="AG1607" t="s">
        <v>2821</v>
      </c>
      <c r="AI1607" t="s">
        <v>16105</v>
      </c>
      <c r="AM1607" t="s">
        <v>3716</v>
      </c>
      <c r="AN1607" t="s">
        <v>2059</v>
      </c>
      <c r="AO1607" t="s">
        <v>16106</v>
      </c>
      <c r="AP1607" t="s">
        <v>7024</v>
      </c>
      <c r="AQ1607" t="s">
        <v>16107</v>
      </c>
      <c r="AR1607" t="s">
        <v>16108</v>
      </c>
      <c r="AT1607" s="184">
        <v>34624</v>
      </c>
      <c r="AU1607" t="s">
        <v>16109</v>
      </c>
      <c r="AV1607">
        <v>20</v>
      </c>
      <c r="AW1607" s="184">
        <v>44550</v>
      </c>
      <c r="AX1607" t="s">
        <v>9183</v>
      </c>
      <c r="AY1607">
        <v>87</v>
      </c>
      <c r="AZ1607" s="184">
        <v>44550</v>
      </c>
      <c r="BA1607" t="s">
        <v>9183</v>
      </c>
      <c r="BB1607">
        <v>87</v>
      </c>
      <c r="BC1607">
        <v>75</v>
      </c>
      <c r="BD1607">
        <v>1062</v>
      </c>
      <c r="BE1607">
        <v>1995</v>
      </c>
      <c r="BF1607">
        <v>31</v>
      </c>
      <c r="BI1607">
        <v>23</v>
      </c>
      <c r="BJ1607">
        <v>31</v>
      </c>
      <c r="BK1607">
        <v>10</v>
      </c>
      <c r="BP1607" s="184"/>
    </row>
    <row r="1608" spans="1:68">
      <c r="A1608">
        <v>17720699</v>
      </c>
      <c r="B1608">
        <v>17720699</v>
      </c>
      <c r="C1608" t="s">
        <v>7018</v>
      </c>
      <c r="D1608" t="s">
        <v>595</v>
      </c>
      <c r="E1608" s="184">
        <v>45120</v>
      </c>
      <c r="G1608" s="184"/>
      <c r="I1608" s="184"/>
      <c r="K1608" s="184"/>
      <c r="M1608" s="184"/>
      <c r="O1608" s="184"/>
      <c r="P1608" t="s">
        <v>7045</v>
      </c>
      <c r="Q1608" t="s">
        <v>7383</v>
      </c>
      <c r="R1608" s="184">
        <v>19089</v>
      </c>
      <c r="S1608">
        <v>72</v>
      </c>
      <c r="U1608" t="s">
        <v>7130</v>
      </c>
      <c r="V1608" t="s">
        <v>4365</v>
      </c>
      <c r="W1608" t="s">
        <v>4152</v>
      </c>
      <c r="X1608" t="s">
        <v>16110</v>
      </c>
      <c r="AF1608" t="s">
        <v>16111</v>
      </c>
      <c r="AG1608" t="s">
        <v>4365</v>
      </c>
      <c r="AI1608" t="s">
        <v>16112</v>
      </c>
      <c r="AM1608" t="s">
        <v>16113</v>
      </c>
      <c r="AN1608" t="s">
        <v>2274</v>
      </c>
      <c r="AO1608" t="s">
        <v>16114</v>
      </c>
      <c r="AP1608" t="s">
        <v>7024</v>
      </c>
      <c r="AT1608" s="184">
        <v>34627</v>
      </c>
      <c r="AU1608" t="s">
        <v>16115</v>
      </c>
      <c r="AV1608">
        <v>25</v>
      </c>
      <c r="AW1608" s="184">
        <v>44838</v>
      </c>
      <c r="AX1608" t="s">
        <v>16116</v>
      </c>
      <c r="AY1608">
        <v>25</v>
      </c>
      <c r="AZ1608" s="184">
        <v>44838</v>
      </c>
      <c r="BA1608" t="s">
        <v>16116</v>
      </c>
      <c r="BB1608">
        <v>25</v>
      </c>
      <c r="BC1608">
        <v>10</v>
      </c>
      <c r="BD1608">
        <v>75</v>
      </c>
      <c r="BE1608">
        <v>1995</v>
      </c>
      <c r="BF1608">
        <v>3</v>
      </c>
      <c r="BG1608">
        <v>1</v>
      </c>
      <c r="BH1608">
        <v>25</v>
      </c>
      <c r="BI1608">
        <v>3</v>
      </c>
      <c r="BJ1608">
        <v>31</v>
      </c>
      <c r="BK1608">
        <v>2</v>
      </c>
      <c r="BP1608" s="184"/>
    </row>
    <row r="1609" spans="1:68">
      <c r="A1609">
        <v>17726076</v>
      </c>
      <c r="B1609">
        <v>17726076</v>
      </c>
      <c r="C1609" t="s">
        <v>7018</v>
      </c>
      <c r="D1609" t="s">
        <v>595</v>
      </c>
      <c r="E1609" s="184">
        <v>43808</v>
      </c>
      <c r="G1609" s="184"/>
      <c r="I1609" s="184"/>
      <c r="K1609" s="184"/>
      <c r="O1609" s="184"/>
      <c r="P1609" t="s">
        <v>7045</v>
      </c>
      <c r="Q1609" t="s">
        <v>7020</v>
      </c>
      <c r="R1609" s="184">
        <v>14562</v>
      </c>
      <c r="S1609">
        <v>84</v>
      </c>
      <c r="V1609" t="s">
        <v>4448</v>
      </c>
      <c r="X1609" t="s">
        <v>4449</v>
      </c>
      <c r="AF1609" t="s">
        <v>16117</v>
      </c>
      <c r="AG1609" t="s">
        <v>4448</v>
      </c>
      <c r="AI1609" t="s">
        <v>16118</v>
      </c>
      <c r="AM1609" t="s">
        <v>4450</v>
      </c>
      <c r="AN1609" t="s">
        <v>2052</v>
      </c>
      <c r="AO1609" t="s">
        <v>16119</v>
      </c>
      <c r="AP1609" t="s">
        <v>7024</v>
      </c>
      <c r="AQ1609" t="s">
        <v>16120</v>
      </c>
      <c r="AT1609" s="184">
        <v>34628</v>
      </c>
      <c r="AU1609" t="s">
        <v>16086</v>
      </c>
      <c r="AV1609">
        <v>25</v>
      </c>
      <c r="AW1609" s="184">
        <v>44595</v>
      </c>
      <c r="AX1609" t="s">
        <v>16121</v>
      </c>
      <c r="AY1609">
        <v>40</v>
      </c>
      <c r="AZ1609" s="184">
        <v>42772</v>
      </c>
      <c r="BA1609" t="s">
        <v>16122</v>
      </c>
      <c r="BB1609">
        <v>75</v>
      </c>
      <c r="BC1609">
        <v>39</v>
      </c>
      <c r="BD1609">
        <v>500</v>
      </c>
      <c r="BE1609">
        <v>1995</v>
      </c>
      <c r="BF1609">
        <v>15</v>
      </c>
      <c r="BI1609">
        <v>12</v>
      </c>
      <c r="BJ1609">
        <v>31</v>
      </c>
      <c r="BK1609">
        <v>3</v>
      </c>
      <c r="BP1609" s="184"/>
    </row>
    <row r="1610" spans="1:68">
      <c r="A1610">
        <v>17737099</v>
      </c>
      <c r="B1610">
        <v>17737099</v>
      </c>
      <c r="C1610" t="s">
        <v>7018</v>
      </c>
      <c r="D1610" t="s">
        <v>595</v>
      </c>
      <c r="E1610" s="184">
        <v>43955</v>
      </c>
      <c r="I1610" s="184"/>
      <c r="K1610" s="184"/>
      <c r="M1610" s="184"/>
      <c r="O1610" s="184"/>
      <c r="P1610" t="s">
        <v>7045</v>
      </c>
      <c r="Q1610" t="s">
        <v>7383</v>
      </c>
      <c r="R1610" s="184">
        <v>15625</v>
      </c>
      <c r="S1610">
        <v>81</v>
      </c>
      <c r="V1610" t="s">
        <v>3901</v>
      </c>
      <c r="X1610" t="s">
        <v>16123</v>
      </c>
      <c r="AF1610" t="s">
        <v>16124</v>
      </c>
      <c r="AG1610" t="s">
        <v>3901</v>
      </c>
      <c r="AI1610" t="s">
        <v>16125</v>
      </c>
      <c r="AM1610" t="s">
        <v>16126</v>
      </c>
      <c r="AN1610" t="s">
        <v>2059</v>
      </c>
      <c r="AO1610" t="s">
        <v>16127</v>
      </c>
      <c r="AP1610" t="s">
        <v>7024</v>
      </c>
      <c r="AT1610" s="184">
        <v>34621</v>
      </c>
      <c r="AU1610" t="s">
        <v>16128</v>
      </c>
      <c r="AV1610">
        <v>15</v>
      </c>
      <c r="AW1610" s="184">
        <v>45188</v>
      </c>
      <c r="AX1610" t="s">
        <v>16129</v>
      </c>
      <c r="AY1610">
        <v>50</v>
      </c>
      <c r="AZ1610" s="184">
        <v>45188</v>
      </c>
      <c r="BA1610" t="s">
        <v>16129</v>
      </c>
      <c r="BB1610">
        <v>50</v>
      </c>
      <c r="BC1610">
        <v>97</v>
      </c>
      <c r="BD1610">
        <v>1480</v>
      </c>
      <c r="BE1610">
        <v>1995</v>
      </c>
      <c r="BF1610">
        <v>44</v>
      </c>
      <c r="BG1610">
        <v>2</v>
      </c>
      <c r="BH1610">
        <v>100</v>
      </c>
      <c r="BI1610">
        <v>30</v>
      </c>
      <c r="BJ1610">
        <v>31</v>
      </c>
      <c r="BK1610">
        <v>30</v>
      </c>
      <c r="BP1610" s="184"/>
    </row>
    <row r="1611" spans="1:68">
      <c r="A1611">
        <v>17752544</v>
      </c>
      <c r="B1611">
        <v>17752544</v>
      </c>
      <c r="C1611" t="s">
        <v>7018</v>
      </c>
      <c r="E1611" s="184"/>
      <c r="G1611" s="184"/>
      <c r="I1611" s="184"/>
      <c r="J1611" t="s">
        <v>595</v>
      </c>
      <c r="K1611" s="184">
        <v>43987</v>
      </c>
      <c r="M1611" s="184"/>
      <c r="O1611" s="184"/>
      <c r="P1611" t="s">
        <v>7045</v>
      </c>
      <c r="Q1611" t="s">
        <v>7262</v>
      </c>
      <c r="R1611" s="184">
        <v>22636</v>
      </c>
      <c r="S1611">
        <v>62</v>
      </c>
      <c r="U1611" t="s">
        <v>7076</v>
      </c>
      <c r="V1611" t="s">
        <v>2602</v>
      </c>
      <c r="W1611" t="s">
        <v>3332</v>
      </c>
      <c r="X1611" t="s">
        <v>16130</v>
      </c>
      <c r="Z1611">
        <v>100435972</v>
      </c>
      <c r="AB1611" t="s">
        <v>3011</v>
      </c>
      <c r="AD1611" t="s">
        <v>3175</v>
      </c>
      <c r="AF1611" t="s">
        <v>16131</v>
      </c>
      <c r="AG1611" t="s">
        <v>16132</v>
      </c>
      <c r="AI1611" t="s">
        <v>16133</v>
      </c>
      <c r="AM1611" t="s">
        <v>2616</v>
      </c>
      <c r="AN1611" t="s">
        <v>2069</v>
      </c>
      <c r="AO1611" t="s">
        <v>16134</v>
      </c>
      <c r="AP1611" t="s">
        <v>7024</v>
      </c>
      <c r="AQ1611" t="s">
        <v>16135</v>
      </c>
      <c r="AT1611" s="184">
        <v>34631</v>
      </c>
      <c r="AU1611" t="s">
        <v>16136</v>
      </c>
      <c r="AV1611">
        <v>25</v>
      </c>
      <c r="AW1611" s="184">
        <v>45289</v>
      </c>
      <c r="AX1611" t="s">
        <v>7515</v>
      </c>
      <c r="AY1611">
        <v>100</v>
      </c>
      <c r="AZ1611" s="184">
        <v>45289</v>
      </c>
      <c r="BA1611" t="s">
        <v>7515</v>
      </c>
      <c r="BB1611">
        <v>100</v>
      </c>
      <c r="BC1611">
        <v>75</v>
      </c>
      <c r="BD1611">
        <v>957</v>
      </c>
      <c r="BE1611">
        <v>1995</v>
      </c>
      <c r="BF1611">
        <v>28</v>
      </c>
      <c r="BG1611">
        <v>1</v>
      </c>
      <c r="BH1611">
        <v>100</v>
      </c>
      <c r="BI1611">
        <v>23</v>
      </c>
      <c r="BJ1611">
        <v>31</v>
      </c>
      <c r="BK1611">
        <v>11</v>
      </c>
    </row>
    <row r="1612" spans="1:68">
      <c r="A1612">
        <v>100435972</v>
      </c>
      <c r="B1612">
        <v>17752544</v>
      </c>
      <c r="C1612" t="s">
        <v>7018</v>
      </c>
      <c r="E1612" s="184"/>
      <c r="G1612" s="184"/>
      <c r="I1612" s="184"/>
      <c r="J1612" t="s">
        <v>595</v>
      </c>
      <c r="K1612" s="184">
        <v>43987</v>
      </c>
      <c r="O1612" s="184"/>
      <c r="P1612" t="s">
        <v>7045</v>
      </c>
      <c r="Q1612" t="s">
        <v>7262</v>
      </c>
      <c r="R1612" s="184">
        <v>22776</v>
      </c>
      <c r="S1612">
        <v>62</v>
      </c>
      <c r="V1612" t="s">
        <v>3011</v>
      </c>
      <c r="X1612" t="s">
        <v>3175</v>
      </c>
      <c r="Z1612">
        <v>17752544</v>
      </c>
      <c r="AA1612" t="s">
        <v>7076</v>
      </c>
      <c r="AB1612" t="s">
        <v>2602</v>
      </c>
      <c r="AC1612" t="s">
        <v>3332</v>
      </c>
      <c r="AD1612" t="s">
        <v>16130</v>
      </c>
      <c r="AF1612" t="s">
        <v>16131</v>
      </c>
      <c r="AG1612" t="s">
        <v>16132</v>
      </c>
      <c r="AI1612" t="s">
        <v>16133</v>
      </c>
      <c r="AM1612" t="s">
        <v>2616</v>
      </c>
      <c r="AN1612" t="s">
        <v>2069</v>
      </c>
      <c r="AO1612" t="s">
        <v>16134</v>
      </c>
      <c r="AP1612" t="s">
        <v>7024</v>
      </c>
      <c r="AQ1612" t="s">
        <v>16137</v>
      </c>
      <c r="AT1612" s="184">
        <v>44556</v>
      </c>
      <c r="AU1612" t="s">
        <v>16138</v>
      </c>
      <c r="AV1612">
        <v>120</v>
      </c>
      <c r="AW1612" s="184">
        <v>44556</v>
      </c>
      <c r="AX1612" t="s">
        <v>16138</v>
      </c>
      <c r="AY1612">
        <v>120</v>
      </c>
      <c r="AZ1612" s="184">
        <v>44556</v>
      </c>
      <c r="BA1612" t="s">
        <v>16138</v>
      </c>
      <c r="BB1612">
        <v>120</v>
      </c>
      <c r="BC1612">
        <v>25</v>
      </c>
      <c r="BD1612">
        <v>120</v>
      </c>
      <c r="BE1612">
        <v>2022</v>
      </c>
      <c r="BF1612">
        <v>1</v>
      </c>
      <c r="BI1612">
        <v>1</v>
      </c>
      <c r="BJ1612">
        <v>4</v>
      </c>
      <c r="BK1612">
        <v>1</v>
      </c>
      <c r="BP1612" s="184"/>
    </row>
    <row r="1613" spans="1:68">
      <c r="A1613">
        <v>17762493</v>
      </c>
      <c r="B1613">
        <v>17762493</v>
      </c>
      <c r="C1613" t="s">
        <v>7018</v>
      </c>
      <c r="E1613" s="184"/>
      <c r="I1613" s="184"/>
      <c r="J1613" t="s">
        <v>595</v>
      </c>
      <c r="K1613" s="184">
        <v>39239</v>
      </c>
      <c r="M1613" s="184"/>
      <c r="O1613" s="184"/>
      <c r="P1613" t="s">
        <v>7045</v>
      </c>
      <c r="Q1613" t="s">
        <v>7194</v>
      </c>
      <c r="R1613" s="184">
        <v>13323</v>
      </c>
      <c r="S1613">
        <v>87</v>
      </c>
      <c r="U1613" t="s">
        <v>7031</v>
      </c>
      <c r="V1613" t="s">
        <v>2541</v>
      </c>
      <c r="W1613" t="s">
        <v>3951</v>
      </c>
      <c r="X1613" t="s">
        <v>11832</v>
      </c>
      <c r="AF1613" t="s">
        <v>6059</v>
      </c>
      <c r="AG1613" t="s">
        <v>2541</v>
      </c>
      <c r="AI1613" t="s">
        <v>16139</v>
      </c>
      <c r="AM1613" t="s">
        <v>16140</v>
      </c>
      <c r="AN1613" t="s">
        <v>2046</v>
      </c>
      <c r="AO1613" t="s">
        <v>16141</v>
      </c>
      <c r="AP1613" t="s">
        <v>7024</v>
      </c>
      <c r="AQ1613" t="s">
        <v>16142</v>
      </c>
      <c r="AT1613" s="184">
        <v>34632</v>
      </c>
      <c r="AU1613" t="s">
        <v>16086</v>
      </c>
      <c r="AV1613">
        <v>25</v>
      </c>
      <c r="AW1613" s="184">
        <v>45250</v>
      </c>
      <c r="AX1613" t="s">
        <v>16143</v>
      </c>
      <c r="AY1613">
        <v>130</v>
      </c>
      <c r="AZ1613" s="184">
        <v>42632</v>
      </c>
      <c r="BA1613" t="s">
        <v>16144</v>
      </c>
      <c r="BB1613">
        <v>550</v>
      </c>
      <c r="BC1613">
        <v>97</v>
      </c>
      <c r="BD1613">
        <v>11063</v>
      </c>
      <c r="BE1613">
        <v>1995</v>
      </c>
      <c r="BF1613">
        <v>139</v>
      </c>
      <c r="BG1613">
        <v>6</v>
      </c>
      <c r="BH1613">
        <v>1080</v>
      </c>
      <c r="BI1613">
        <v>30</v>
      </c>
      <c r="BJ1613">
        <v>31</v>
      </c>
      <c r="BK1613">
        <v>30</v>
      </c>
      <c r="BP1613" s="184"/>
    </row>
    <row r="1614" spans="1:68">
      <c r="A1614">
        <v>17767997</v>
      </c>
      <c r="B1614">
        <v>17767997</v>
      </c>
      <c r="C1614" t="s">
        <v>7018</v>
      </c>
      <c r="D1614" t="s">
        <v>595</v>
      </c>
      <c r="E1614" s="184">
        <v>43808</v>
      </c>
      <c r="G1614" s="184"/>
      <c r="K1614" s="184"/>
      <c r="M1614" s="184"/>
      <c r="P1614" t="s">
        <v>7045</v>
      </c>
      <c r="Q1614" t="s">
        <v>7030</v>
      </c>
      <c r="R1614" s="184">
        <v>12631</v>
      </c>
      <c r="S1614">
        <v>89</v>
      </c>
      <c r="V1614" t="s">
        <v>2593</v>
      </c>
      <c r="X1614" t="s">
        <v>4451</v>
      </c>
      <c r="Z1614">
        <v>100047753</v>
      </c>
      <c r="AB1614" t="s">
        <v>2558</v>
      </c>
      <c r="AD1614" t="s">
        <v>4451</v>
      </c>
      <c r="AF1614" t="s">
        <v>16145</v>
      </c>
      <c r="AG1614" t="s">
        <v>16146</v>
      </c>
      <c r="AI1614" t="s">
        <v>16147</v>
      </c>
      <c r="AM1614" t="s">
        <v>4396</v>
      </c>
      <c r="AN1614" t="s">
        <v>2089</v>
      </c>
      <c r="AO1614" t="s">
        <v>16148</v>
      </c>
      <c r="AP1614" t="s">
        <v>7024</v>
      </c>
      <c r="AQ1614" t="s">
        <v>16149</v>
      </c>
      <c r="AR1614" t="s">
        <v>16150</v>
      </c>
      <c r="AT1614" s="184">
        <v>34632</v>
      </c>
      <c r="AU1614" t="s">
        <v>16151</v>
      </c>
      <c r="AV1614">
        <v>15</v>
      </c>
      <c r="AW1614" s="184">
        <v>43808</v>
      </c>
      <c r="AX1614" t="s">
        <v>16152</v>
      </c>
      <c r="AY1614">
        <v>100</v>
      </c>
      <c r="AZ1614" s="184">
        <v>43522</v>
      </c>
      <c r="BA1614" t="s">
        <v>16153</v>
      </c>
      <c r="BB1614">
        <v>200</v>
      </c>
      <c r="BC1614">
        <v>39</v>
      </c>
      <c r="BD1614">
        <v>960</v>
      </c>
      <c r="BE1614">
        <v>1995</v>
      </c>
      <c r="BF1614">
        <v>16</v>
      </c>
      <c r="BI1614">
        <v>12</v>
      </c>
      <c r="BJ1614">
        <v>31</v>
      </c>
      <c r="BK1614">
        <v>3</v>
      </c>
      <c r="BN1614" t="s">
        <v>595</v>
      </c>
      <c r="BP1614" s="184"/>
    </row>
    <row r="1615" spans="1:68">
      <c r="A1615">
        <v>100047753</v>
      </c>
      <c r="B1615">
        <v>17767997</v>
      </c>
      <c r="C1615" t="s">
        <v>7018</v>
      </c>
      <c r="D1615" t="s">
        <v>595</v>
      </c>
      <c r="E1615" s="184">
        <v>43808</v>
      </c>
      <c r="G1615" s="184"/>
      <c r="I1615" s="184"/>
      <c r="K1615" s="184"/>
      <c r="O1615" s="184"/>
      <c r="P1615" t="s">
        <v>7045</v>
      </c>
      <c r="Q1615" t="s">
        <v>7030</v>
      </c>
      <c r="R1615" s="184">
        <v>12601</v>
      </c>
      <c r="S1615">
        <v>89</v>
      </c>
      <c r="V1615" t="s">
        <v>2558</v>
      </c>
      <c r="X1615" t="s">
        <v>4451</v>
      </c>
      <c r="Z1615">
        <v>17767997</v>
      </c>
      <c r="AB1615" t="s">
        <v>2593</v>
      </c>
      <c r="AD1615" t="s">
        <v>4451</v>
      </c>
      <c r="AF1615" t="s">
        <v>16145</v>
      </c>
      <c r="AG1615" t="s">
        <v>16146</v>
      </c>
      <c r="AI1615" t="s">
        <v>16147</v>
      </c>
      <c r="AM1615" t="s">
        <v>4396</v>
      </c>
      <c r="AN1615" t="s">
        <v>2089</v>
      </c>
      <c r="AO1615" t="s">
        <v>16148</v>
      </c>
      <c r="AP1615" t="s">
        <v>7024</v>
      </c>
      <c r="AT1615" s="184"/>
      <c r="AW1615" s="184"/>
      <c r="AZ1615" s="184"/>
      <c r="BP1615" s="184"/>
    </row>
    <row r="1616" spans="1:68">
      <c r="A1616">
        <v>17768136</v>
      </c>
      <c r="B1616">
        <v>17768136</v>
      </c>
      <c r="C1616" t="s">
        <v>7018</v>
      </c>
      <c r="E1616" s="184"/>
      <c r="G1616" s="184"/>
      <c r="I1616" s="184"/>
      <c r="J1616" t="s">
        <v>595</v>
      </c>
      <c r="K1616" s="184">
        <v>42332</v>
      </c>
      <c r="O1616" s="184"/>
      <c r="P1616" t="s">
        <v>7045</v>
      </c>
      <c r="Q1616" t="s">
        <v>7374</v>
      </c>
      <c r="R1616" s="184">
        <v>17565</v>
      </c>
      <c r="S1616">
        <v>76</v>
      </c>
      <c r="U1616" t="s">
        <v>7076</v>
      </c>
      <c r="V1616" t="s">
        <v>5924</v>
      </c>
      <c r="W1616" t="s">
        <v>5006</v>
      </c>
      <c r="X1616" t="s">
        <v>5925</v>
      </c>
      <c r="AF1616" t="s">
        <v>16154</v>
      </c>
      <c r="AG1616" t="s">
        <v>5924</v>
      </c>
      <c r="AI1616" t="s">
        <v>16155</v>
      </c>
      <c r="AM1616" t="s">
        <v>5926</v>
      </c>
      <c r="AN1616" t="s">
        <v>2081</v>
      </c>
      <c r="AO1616" t="s">
        <v>16156</v>
      </c>
      <c r="AP1616" t="s">
        <v>7024</v>
      </c>
      <c r="AQ1616" t="s">
        <v>16157</v>
      </c>
      <c r="AR1616" t="s">
        <v>16158</v>
      </c>
      <c r="AT1616" s="184">
        <v>34632</v>
      </c>
      <c r="AU1616" t="s">
        <v>16159</v>
      </c>
      <c r="AV1616">
        <v>15</v>
      </c>
      <c r="AW1616" s="184">
        <v>45408</v>
      </c>
      <c r="AX1616" t="s">
        <v>8483</v>
      </c>
      <c r="AY1616">
        <v>20</v>
      </c>
      <c r="AZ1616" s="184">
        <v>44215</v>
      </c>
      <c r="BA1616" t="s">
        <v>8325</v>
      </c>
      <c r="BB1616">
        <v>5000</v>
      </c>
      <c r="BC1616">
        <v>62</v>
      </c>
      <c r="BD1616">
        <v>19530</v>
      </c>
      <c r="BE1616">
        <v>1995</v>
      </c>
      <c r="BF1616">
        <v>90</v>
      </c>
      <c r="BG1616">
        <v>24</v>
      </c>
      <c r="BH1616">
        <v>480</v>
      </c>
      <c r="BI1616">
        <v>19</v>
      </c>
      <c r="BJ1616">
        <v>31</v>
      </c>
      <c r="BK1616">
        <v>18</v>
      </c>
      <c r="BP1616" s="184"/>
    </row>
    <row r="1617" spans="1:68">
      <c r="A1617">
        <v>17776121</v>
      </c>
      <c r="B1617">
        <v>17776121</v>
      </c>
      <c r="C1617" t="s">
        <v>7018</v>
      </c>
      <c r="E1617" s="184"/>
      <c r="F1617" t="s">
        <v>595</v>
      </c>
      <c r="G1617" s="184">
        <v>44167</v>
      </c>
      <c r="I1617" s="184"/>
      <c r="K1617" s="184"/>
      <c r="O1617" s="184"/>
      <c r="P1617" t="s">
        <v>7045</v>
      </c>
      <c r="Q1617" t="s">
        <v>7374</v>
      </c>
      <c r="R1617" s="184">
        <v>21186</v>
      </c>
      <c r="S1617">
        <v>66</v>
      </c>
      <c r="U1617" t="s">
        <v>7076</v>
      </c>
      <c r="V1617" t="s">
        <v>2954</v>
      </c>
      <c r="W1617" t="s">
        <v>2049</v>
      </c>
      <c r="X1617" t="s">
        <v>16160</v>
      </c>
      <c r="AF1617" t="s">
        <v>16161</v>
      </c>
      <c r="AG1617" t="s">
        <v>2954</v>
      </c>
      <c r="AI1617" t="s">
        <v>16162</v>
      </c>
      <c r="AM1617" t="s">
        <v>4270</v>
      </c>
      <c r="AN1617" t="s">
        <v>2526</v>
      </c>
      <c r="AO1617" t="s">
        <v>16163</v>
      </c>
      <c r="AP1617" t="s">
        <v>7024</v>
      </c>
      <c r="AQ1617" t="s">
        <v>16164</v>
      </c>
      <c r="AT1617" s="184">
        <v>34633</v>
      </c>
      <c r="AU1617" t="s">
        <v>16165</v>
      </c>
      <c r="AV1617">
        <v>20</v>
      </c>
      <c r="AW1617" s="184">
        <v>45426</v>
      </c>
      <c r="AX1617" t="s">
        <v>7422</v>
      </c>
      <c r="AY1617">
        <v>15.75</v>
      </c>
      <c r="AZ1617" s="184">
        <v>44894</v>
      </c>
      <c r="BA1617" t="s">
        <v>16166</v>
      </c>
      <c r="BB1617">
        <v>200</v>
      </c>
      <c r="BC1617">
        <v>91</v>
      </c>
      <c r="BD1617">
        <v>3515.25</v>
      </c>
      <c r="BE1617">
        <v>1995</v>
      </c>
      <c r="BF1617">
        <v>44</v>
      </c>
      <c r="BG1617">
        <v>10</v>
      </c>
      <c r="BH1617">
        <v>518.25</v>
      </c>
      <c r="BI1617">
        <v>28</v>
      </c>
      <c r="BJ1617">
        <v>31</v>
      </c>
      <c r="BK1617">
        <v>15</v>
      </c>
    </row>
    <row r="1618" spans="1:68">
      <c r="A1618">
        <v>17778317</v>
      </c>
      <c r="B1618">
        <v>17778317</v>
      </c>
      <c r="C1618" t="s">
        <v>7018</v>
      </c>
      <c r="D1618" t="s">
        <v>595</v>
      </c>
      <c r="E1618" s="184">
        <v>44104</v>
      </c>
      <c r="G1618" s="184"/>
      <c r="H1618" t="s">
        <v>595</v>
      </c>
      <c r="I1618" s="184">
        <v>44109</v>
      </c>
      <c r="K1618" s="184"/>
      <c r="O1618" s="184"/>
      <c r="P1618" t="s">
        <v>7045</v>
      </c>
      <c r="Q1618" t="s">
        <v>7454</v>
      </c>
      <c r="R1618" s="184">
        <v>14154</v>
      </c>
      <c r="S1618">
        <v>85</v>
      </c>
      <c r="U1618" t="s">
        <v>7032</v>
      </c>
      <c r="V1618" t="s">
        <v>2511</v>
      </c>
      <c r="W1618" t="s">
        <v>7469</v>
      </c>
      <c r="X1618" t="s">
        <v>3175</v>
      </c>
      <c r="AF1618" t="s">
        <v>16167</v>
      </c>
      <c r="AG1618" t="s">
        <v>2511</v>
      </c>
      <c r="AI1618" t="s">
        <v>16168</v>
      </c>
      <c r="AM1618" t="s">
        <v>5009</v>
      </c>
      <c r="AN1618" t="s">
        <v>2055</v>
      </c>
      <c r="AO1618" t="s">
        <v>16169</v>
      </c>
      <c r="AP1618" t="s">
        <v>7024</v>
      </c>
      <c r="AQ1618" t="s">
        <v>16170</v>
      </c>
      <c r="AR1618" t="s">
        <v>16171</v>
      </c>
      <c r="AT1618" s="184">
        <v>34633</v>
      </c>
      <c r="AU1618" t="s">
        <v>16172</v>
      </c>
      <c r="AV1618">
        <v>15</v>
      </c>
      <c r="AW1618" s="184">
        <v>44792</v>
      </c>
      <c r="AX1618" t="s">
        <v>7832</v>
      </c>
      <c r="AY1618">
        <v>25</v>
      </c>
      <c r="AZ1618" s="184">
        <v>42241</v>
      </c>
      <c r="BA1618" t="s">
        <v>16173</v>
      </c>
      <c r="BB1618">
        <v>60</v>
      </c>
      <c r="BC1618">
        <v>55</v>
      </c>
      <c r="BD1618">
        <v>555</v>
      </c>
      <c r="BE1618">
        <v>1995</v>
      </c>
      <c r="BF1618">
        <v>22</v>
      </c>
      <c r="BG1618">
        <v>1</v>
      </c>
      <c r="BH1618">
        <v>25</v>
      </c>
      <c r="BI1618">
        <v>17</v>
      </c>
      <c r="BJ1618">
        <v>31</v>
      </c>
      <c r="BK1618">
        <v>7</v>
      </c>
      <c r="BP1618" s="184"/>
    </row>
    <row r="1619" spans="1:68">
      <c r="A1619">
        <v>17778374</v>
      </c>
      <c r="B1619">
        <v>17778374</v>
      </c>
      <c r="C1619" t="s">
        <v>7018</v>
      </c>
      <c r="E1619" s="184"/>
      <c r="G1619" s="184"/>
      <c r="J1619" t="s">
        <v>595</v>
      </c>
      <c r="K1619" s="184">
        <v>39108</v>
      </c>
      <c r="O1619" s="184"/>
      <c r="P1619" t="s">
        <v>7045</v>
      </c>
      <c r="Q1619" t="s">
        <v>7160</v>
      </c>
      <c r="R1619" s="184">
        <v>14689</v>
      </c>
      <c r="S1619">
        <v>84</v>
      </c>
      <c r="U1619" t="s">
        <v>7032</v>
      </c>
      <c r="V1619" t="s">
        <v>2657</v>
      </c>
      <c r="W1619" t="s">
        <v>7396</v>
      </c>
      <c r="X1619" t="s">
        <v>16174</v>
      </c>
      <c r="AF1619" t="s">
        <v>6122</v>
      </c>
      <c r="AG1619" t="s">
        <v>2657</v>
      </c>
      <c r="AI1619" t="s">
        <v>16175</v>
      </c>
      <c r="AM1619" t="s">
        <v>13532</v>
      </c>
      <c r="AN1619" t="s">
        <v>2446</v>
      </c>
      <c r="AO1619" t="s">
        <v>16176</v>
      </c>
      <c r="AP1619" t="s">
        <v>7024</v>
      </c>
      <c r="AQ1619" t="s">
        <v>16177</v>
      </c>
      <c r="AT1619" s="184">
        <v>34633</v>
      </c>
      <c r="AU1619" t="s">
        <v>16178</v>
      </c>
      <c r="AV1619">
        <v>15</v>
      </c>
      <c r="AW1619" s="184">
        <v>45336</v>
      </c>
      <c r="AX1619" t="s">
        <v>11677</v>
      </c>
      <c r="AY1619">
        <v>100</v>
      </c>
      <c r="AZ1619" s="184">
        <v>43770</v>
      </c>
      <c r="BA1619" t="s">
        <v>16179</v>
      </c>
      <c r="BB1619">
        <v>400</v>
      </c>
      <c r="BC1619">
        <v>78</v>
      </c>
      <c r="BD1619">
        <v>5790</v>
      </c>
      <c r="BE1619">
        <v>1995</v>
      </c>
      <c r="BF1619">
        <v>70</v>
      </c>
      <c r="BG1619">
        <v>9</v>
      </c>
      <c r="BH1619">
        <v>1000</v>
      </c>
      <c r="BI1619">
        <v>24</v>
      </c>
      <c r="BJ1619">
        <v>31</v>
      </c>
      <c r="BK1619">
        <v>12</v>
      </c>
      <c r="BP1619" s="184"/>
    </row>
    <row r="1620" spans="1:68">
      <c r="A1620">
        <v>17789736</v>
      </c>
      <c r="B1620">
        <v>17789736</v>
      </c>
      <c r="C1620" t="s">
        <v>7018</v>
      </c>
      <c r="D1620" t="s">
        <v>595</v>
      </c>
      <c r="E1620" s="184">
        <v>43881</v>
      </c>
      <c r="G1620" s="184"/>
      <c r="K1620" s="184"/>
      <c r="O1620" s="184"/>
      <c r="P1620" t="s">
        <v>7045</v>
      </c>
      <c r="Q1620" t="s">
        <v>7160</v>
      </c>
      <c r="R1620" s="184">
        <v>18384</v>
      </c>
      <c r="S1620">
        <v>74</v>
      </c>
      <c r="U1620" t="s">
        <v>7076</v>
      </c>
      <c r="V1620" t="s">
        <v>16180</v>
      </c>
      <c r="X1620" t="s">
        <v>16181</v>
      </c>
      <c r="AF1620" t="s">
        <v>16182</v>
      </c>
      <c r="AG1620" t="s">
        <v>16180</v>
      </c>
      <c r="AI1620" t="s">
        <v>16183</v>
      </c>
      <c r="AM1620" t="s">
        <v>4515</v>
      </c>
      <c r="AN1620" t="s">
        <v>2395</v>
      </c>
      <c r="AO1620" t="s">
        <v>16184</v>
      </c>
      <c r="AP1620" t="s">
        <v>7024</v>
      </c>
      <c r="AQ1620" t="s">
        <v>16185</v>
      </c>
      <c r="AT1620" s="184">
        <v>32282</v>
      </c>
      <c r="AU1620" t="s">
        <v>16186</v>
      </c>
      <c r="AV1620">
        <v>22</v>
      </c>
      <c r="AW1620" s="184">
        <v>45317</v>
      </c>
      <c r="AX1620" t="s">
        <v>16187</v>
      </c>
      <c r="AY1620">
        <v>50</v>
      </c>
      <c r="AZ1620" s="184">
        <v>42486</v>
      </c>
      <c r="BA1620" t="s">
        <v>16188</v>
      </c>
      <c r="BB1620">
        <v>80</v>
      </c>
      <c r="BC1620">
        <v>73</v>
      </c>
      <c r="BD1620">
        <v>1283</v>
      </c>
      <c r="BE1620">
        <v>1988</v>
      </c>
      <c r="BF1620">
        <v>43</v>
      </c>
      <c r="BG1620">
        <v>3</v>
      </c>
      <c r="BH1620">
        <v>175</v>
      </c>
      <c r="BI1620">
        <v>27</v>
      </c>
      <c r="BJ1620">
        <v>37</v>
      </c>
      <c r="BK1620">
        <v>8</v>
      </c>
      <c r="BP1620" s="184"/>
    </row>
    <row r="1621" spans="1:68">
      <c r="A1621">
        <v>17815168</v>
      </c>
      <c r="B1621">
        <v>17815168</v>
      </c>
      <c r="C1621" t="s">
        <v>7018</v>
      </c>
      <c r="D1621" t="s">
        <v>595</v>
      </c>
      <c r="E1621" s="184">
        <v>43801</v>
      </c>
      <c r="G1621" s="184"/>
      <c r="I1621" s="184"/>
      <c r="K1621" s="184"/>
      <c r="M1621" s="184"/>
      <c r="O1621" s="184"/>
      <c r="P1621" t="s">
        <v>7045</v>
      </c>
      <c r="Q1621" t="s">
        <v>7194</v>
      </c>
      <c r="R1621" s="184">
        <v>15662</v>
      </c>
      <c r="S1621">
        <v>81</v>
      </c>
      <c r="V1621" t="s">
        <v>4363</v>
      </c>
      <c r="X1621" t="s">
        <v>2936</v>
      </c>
      <c r="AF1621" t="s">
        <v>16189</v>
      </c>
      <c r="AG1621" t="s">
        <v>4363</v>
      </c>
      <c r="AI1621" t="s">
        <v>16190</v>
      </c>
      <c r="AM1621" t="s">
        <v>4364</v>
      </c>
      <c r="AN1621" t="s">
        <v>2046</v>
      </c>
      <c r="AO1621" t="s">
        <v>16191</v>
      </c>
      <c r="AP1621" t="s">
        <v>7024</v>
      </c>
      <c r="AT1621" s="184">
        <v>34639</v>
      </c>
      <c r="AU1621" t="s">
        <v>16192</v>
      </c>
      <c r="AV1621">
        <v>25</v>
      </c>
      <c r="AW1621" s="184">
        <v>43391</v>
      </c>
      <c r="AX1621" t="s">
        <v>8727</v>
      </c>
      <c r="AY1621">
        <v>25</v>
      </c>
      <c r="AZ1621" s="184">
        <v>43391</v>
      </c>
      <c r="BA1621" t="s">
        <v>8727</v>
      </c>
      <c r="BB1621">
        <v>25</v>
      </c>
      <c r="BC1621">
        <v>33</v>
      </c>
      <c r="BD1621">
        <v>240</v>
      </c>
      <c r="BE1621">
        <v>1995</v>
      </c>
      <c r="BF1621">
        <v>10</v>
      </c>
      <c r="BI1621">
        <v>10</v>
      </c>
      <c r="BJ1621">
        <v>31</v>
      </c>
      <c r="BK1621">
        <v>4</v>
      </c>
      <c r="BP1621" s="184"/>
    </row>
    <row r="1622" spans="1:68">
      <c r="A1622">
        <v>17851353</v>
      </c>
      <c r="B1622">
        <v>17851353</v>
      </c>
      <c r="C1622" t="s">
        <v>7018</v>
      </c>
      <c r="D1622" t="s">
        <v>595</v>
      </c>
      <c r="E1622" s="184">
        <v>44167</v>
      </c>
      <c r="G1622" s="184"/>
      <c r="I1622" s="184"/>
      <c r="K1622" s="184"/>
      <c r="M1622" s="184"/>
      <c r="O1622" s="184"/>
      <c r="P1622" t="s">
        <v>7045</v>
      </c>
      <c r="Q1622" t="s">
        <v>7374</v>
      </c>
      <c r="R1622" s="184">
        <v>16176</v>
      </c>
      <c r="S1622">
        <v>80</v>
      </c>
      <c r="V1622" t="s">
        <v>16193</v>
      </c>
      <c r="X1622" t="s">
        <v>16194</v>
      </c>
      <c r="AF1622" t="s">
        <v>16195</v>
      </c>
      <c r="AG1622" t="s">
        <v>16193</v>
      </c>
      <c r="AI1622" t="s">
        <v>16196</v>
      </c>
      <c r="AM1622" t="s">
        <v>16197</v>
      </c>
      <c r="AN1622" t="s">
        <v>2526</v>
      </c>
      <c r="AO1622" t="s">
        <v>16198</v>
      </c>
      <c r="AP1622" t="s">
        <v>7024</v>
      </c>
      <c r="AQ1622" t="s">
        <v>16199</v>
      </c>
      <c r="AR1622" t="s">
        <v>16200</v>
      </c>
      <c r="AT1622" s="184">
        <v>34646</v>
      </c>
      <c r="AU1622" t="s">
        <v>16201</v>
      </c>
      <c r="AV1622">
        <v>15</v>
      </c>
      <c r="AW1622" s="184">
        <v>45369</v>
      </c>
      <c r="AX1622" t="s">
        <v>8185</v>
      </c>
      <c r="AY1622">
        <v>250</v>
      </c>
      <c r="AZ1622" s="184">
        <v>45369</v>
      </c>
      <c r="BA1622" t="s">
        <v>8185</v>
      </c>
      <c r="BB1622">
        <v>250</v>
      </c>
      <c r="BC1622">
        <v>84</v>
      </c>
      <c r="BD1622">
        <v>3115</v>
      </c>
      <c r="BE1622">
        <v>1995</v>
      </c>
      <c r="BF1622">
        <v>30</v>
      </c>
      <c r="BG1622">
        <v>2</v>
      </c>
      <c r="BH1622">
        <v>500</v>
      </c>
      <c r="BI1622">
        <v>26</v>
      </c>
      <c r="BJ1622">
        <v>31</v>
      </c>
      <c r="BK1622">
        <v>11</v>
      </c>
      <c r="BP1622" s="184"/>
    </row>
    <row r="1623" spans="1:68">
      <c r="A1623">
        <v>17853060</v>
      </c>
      <c r="B1623">
        <v>17853060</v>
      </c>
      <c r="C1623" t="s">
        <v>7018</v>
      </c>
      <c r="D1623" t="s">
        <v>595</v>
      </c>
      <c r="E1623" s="184">
        <v>44073</v>
      </c>
      <c r="G1623" s="184"/>
      <c r="I1623" s="184"/>
      <c r="K1623" s="184"/>
      <c r="O1623" s="184"/>
      <c r="P1623" t="s">
        <v>7045</v>
      </c>
      <c r="Q1623" t="s">
        <v>7383</v>
      </c>
      <c r="R1623" s="184">
        <v>21337</v>
      </c>
      <c r="S1623">
        <v>65</v>
      </c>
      <c r="V1623" t="s">
        <v>16202</v>
      </c>
      <c r="X1623" t="s">
        <v>5309</v>
      </c>
      <c r="Z1623">
        <v>100048082</v>
      </c>
      <c r="AA1623" t="s">
        <v>7031</v>
      </c>
      <c r="AB1623" t="s">
        <v>2551</v>
      </c>
      <c r="AD1623" t="s">
        <v>5309</v>
      </c>
      <c r="AF1623" t="s">
        <v>16203</v>
      </c>
      <c r="AG1623" t="s">
        <v>16204</v>
      </c>
      <c r="AI1623" t="s">
        <v>16205</v>
      </c>
      <c r="AM1623" t="s">
        <v>4560</v>
      </c>
      <c r="AN1623" t="s">
        <v>2274</v>
      </c>
      <c r="AO1623" t="s">
        <v>16206</v>
      </c>
      <c r="AP1623" t="s">
        <v>7024</v>
      </c>
      <c r="AQ1623" t="s">
        <v>16207</v>
      </c>
      <c r="AT1623" s="184">
        <v>34647</v>
      </c>
      <c r="AU1623" t="s">
        <v>16208</v>
      </c>
      <c r="AV1623">
        <v>25</v>
      </c>
      <c r="AW1623" s="184">
        <v>43936</v>
      </c>
      <c r="AX1623" t="s">
        <v>11552</v>
      </c>
      <c r="AY1623">
        <v>250</v>
      </c>
      <c r="AZ1623" s="184">
        <v>43936</v>
      </c>
      <c r="BA1623" t="s">
        <v>11552</v>
      </c>
      <c r="BB1623">
        <v>250</v>
      </c>
      <c r="BC1623">
        <v>36</v>
      </c>
      <c r="BD1623">
        <v>1310</v>
      </c>
      <c r="BE1623">
        <v>1995</v>
      </c>
      <c r="BF1623">
        <v>12</v>
      </c>
      <c r="BI1623">
        <v>11</v>
      </c>
      <c r="BJ1623">
        <v>31</v>
      </c>
      <c r="BK1623">
        <v>9</v>
      </c>
      <c r="BP1623" s="184"/>
    </row>
    <row r="1624" spans="1:68">
      <c r="A1624">
        <v>100048082</v>
      </c>
      <c r="B1624">
        <v>17853060</v>
      </c>
      <c r="C1624" t="s">
        <v>7018</v>
      </c>
      <c r="D1624" t="s">
        <v>595</v>
      </c>
      <c r="E1624" s="184">
        <v>44073</v>
      </c>
      <c r="G1624" s="184"/>
      <c r="I1624" s="184"/>
      <c r="K1624" s="184"/>
      <c r="M1624" s="184"/>
      <c r="O1624" s="184"/>
      <c r="P1624" t="s">
        <v>7045</v>
      </c>
      <c r="Q1624" t="s">
        <v>7383</v>
      </c>
      <c r="R1624" s="184">
        <v>21459</v>
      </c>
      <c r="S1624">
        <v>65</v>
      </c>
      <c r="U1624" t="s">
        <v>7031</v>
      </c>
      <c r="V1624" t="s">
        <v>2551</v>
      </c>
      <c r="X1624" t="s">
        <v>5309</v>
      </c>
      <c r="Z1624">
        <v>17853060</v>
      </c>
      <c r="AB1624" t="s">
        <v>16202</v>
      </c>
      <c r="AD1624" t="s">
        <v>5309</v>
      </c>
      <c r="AF1624" t="s">
        <v>16203</v>
      </c>
      <c r="AG1624" t="s">
        <v>16204</v>
      </c>
      <c r="AI1624" t="s">
        <v>16205</v>
      </c>
      <c r="AM1624" t="s">
        <v>4560</v>
      </c>
      <c r="AN1624" t="s">
        <v>2274</v>
      </c>
      <c r="AO1624" t="s">
        <v>16206</v>
      </c>
      <c r="AP1624" t="s">
        <v>7024</v>
      </c>
      <c r="AQ1624" t="s">
        <v>16209</v>
      </c>
      <c r="AT1624" s="184">
        <v>44550</v>
      </c>
      <c r="AU1624" t="s">
        <v>16210</v>
      </c>
      <c r="AV1624">
        <v>250</v>
      </c>
      <c r="AW1624" s="184">
        <v>45358</v>
      </c>
      <c r="AX1624" t="s">
        <v>8185</v>
      </c>
      <c r="AY1624">
        <v>250</v>
      </c>
      <c r="AZ1624" s="184">
        <v>45358</v>
      </c>
      <c r="BA1624" t="s">
        <v>8185</v>
      </c>
      <c r="BB1624">
        <v>250</v>
      </c>
      <c r="BC1624">
        <v>100</v>
      </c>
      <c r="BD1624">
        <v>1000</v>
      </c>
      <c r="BE1624">
        <v>2022</v>
      </c>
      <c r="BF1624">
        <v>4</v>
      </c>
      <c r="BG1624">
        <v>3</v>
      </c>
      <c r="BH1624">
        <v>750</v>
      </c>
      <c r="BI1624">
        <v>4</v>
      </c>
      <c r="BJ1624">
        <v>4</v>
      </c>
      <c r="BK1624">
        <v>4</v>
      </c>
      <c r="BP1624" s="184"/>
    </row>
    <row r="1625" spans="1:68">
      <c r="A1625">
        <v>17857988</v>
      </c>
      <c r="B1625">
        <v>17857988</v>
      </c>
      <c r="C1625" t="s">
        <v>7018</v>
      </c>
      <c r="D1625" t="s">
        <v>595</v>
      </c>
      <c r="E1625" s="184">
        <v>44073</v>
      </c>
      <c r="G1625" s="184"/>
      <c r="I1625" s="184"/>
      <c r="K1625" s="184"/>
      <c r="M1625" s="184"/>
      <c r="O1625" s="184"/>
      <c r="P1625" t="s">
        <v>7045</v>
      </c>
      <c r="Q1625" t="s">
        <v>7383</v>
      </c>
      <c r="R1625" s="184">
        <v>14977</v>
      </c>
      <c r="S1625">
        <v>83</v>
      </c>
      <c r="V1625" t="s">
        <v>14847</v>
      </c>
      <c r="W1625" t="s">
        <v>2511</v>
      </c>
      <c r="X1625" t="s">
        <v>3274</v>
      </c>
      <c r="AF1625" t="s">
        <v>16211</v>
      </c>
      <c r="AG1625" t="s">
        <v>14847</v>
      </c>
      <c r="AI1625" t="s">
        <v>16212</v>
      </c>
      <c r="AM1625" t="s">
        <v>16213</v>
      </c>
      <c r="AN1625" t="s">
        <v>2185</v>
      </c>
      <c r="AO1625" t="s">
        <v>16214</v>
      </c>
      <c r="AP1625" t="s">
        <v>7024</v>
      </c>
      <c r="AQ1625" t="s">
        <v>16215</v>
      </c>
      <c r="AT1625" s="184">
        <v>34648</v>
      </c>
      <c r="AU1625" t="s">
        <v>16216</v>
      </c>
      <c r="AV1625">
        <v>15</v>
      </c>
      <c r="AW1625" s="184">
        <v>45402</v>
      </c>
      <c r="AX1625" t="s">
        <v>16217</v>
      </c>
      <c r="AY1625">
        <v>100</v>
      </c>
      <c r="AZ1625" s="184">
        <v>45402</v>
      </c>
      <c r="BA1625" t="s">
        <v>16217</v>
      </c>
      <c r="BB1625">
        <v>100</v>
      </c>
      <c r="BC1625">
        <v>97</v>
      </c>
      <c r="BD1625">
        <v>2010</v>
      </c>
      <c r="BE1625">
        <v>1995</v>
      </c>
      <c r="BF1625">
        <v>40</v>
      </c>
      <c r="BG1625">
        <v>3</v>
      </c>
      <c r="BH1625">
        <v>300</v>
      </c>
      <c r="BI1625">
        <v>30</v>
      </c>
      <c r="BJ1625">
        <v>31</v>
      </c>
      <c r="BK1625">
        <v>17</v>
      </c>
      <c r="BP1625" s="184"/>
    </row>
    <row r="1626" spans="1:68">
      <c r="A1626">
        <v>17882929</v>
      </c>
      <c r="B1626">
        <v>17882929</v>
      </c>
      <c r="C1626" t="s">
        <v>7018</v>
      </c>
      <c r="E1626" s="184"/>
      <c r="G1626" s="184"/>
      <c r="K1626" s="184"/>
      <c r="M1626" s="184"/>
      <c r="N1626" t="s">
        <v>595</v>
      </c>
      <c r="O1626" s="184">
        <v>37431</v>
      </c>
      <c r="P1626" t="s">
        <v>7045</v>
      </c>
      <c r="Q1626" t="s">
        <v>7030</v>
      </c>
      <c r="R1626" s="184"/>
      <c r="U1626" t="s">
        <v>7130</v>
      </c>
      <c r="V1626" t="s">
        <v>5621</v>
      </c>
      <c r="X1626" t="s">
        <v>3980</v>
      </c>
      <c r="Z1626">
        <v>100178029</v>
      </c>
      <c r="AA1626" t="s">
        <v>7031</v>
      </c>
      <c r="AB1626" t="s">
        <v>5116</v>
      </c>
      <c r="AC1626" t="s">
        <v>5410</v>
      </c>
      <c r="AD1626" t="s">
        <v>3980</v>
      </c>
      <c r="AE1626" t="s">
        <v>7431</v>
      </c>
      <c r="AF1626" t="s">
        <v>16218</v>
      </c>
      <c r="AG1626" t="s">
        <v>16219</v>
      </c>
      <c r="AI1626" t="s">
        <v>16220</v>
      </c>
      <c r="AM1626" t="s">
        <v>4424</v>
      </c>
      <c r="AN1626" t="s">
        <v>2089</v>
      </c>
      <c r="AO1626" t="s">
        <v>16221</v>
      </c>
      <c r="AP1626" t="s">
        <v>7024</v>
      </c>
      <c r="AT1626" s="184">
        <v>34652</v>
      </c>
      <c r="AU1626" t="s">
        <v>16222</v>
      </c>
      <c r="AV1626">
        <v>15</v>
      </c>
      <c r="AW1626" s="184">
        <v>36742</v>
      </c>
      <c r="AX1626" t="s">
        <v>7530</v>
      </c>
      <c r="AY1626">
        <v>10000</v>
      </c>
      <c r="AZ1626" s="184">
        <v>36742</v>
      </c>
      <c r="BA1626" t="s">
        <v>7530</v>
      </c>
      <c r="BB1626">
        <v>10000</v>
      </c>
      <c r="BC1626">
        <v>20</v>
      </c>
      <c r="BD1626">
        <v>30150</v>
      </c>
      <c r="BE1626">
        <v>1995</v>
      </c>
      <c r="BF1626">
        <v>8</v>
      </c>
      <c r="BI1626">
        <v>6</v>
      </c>
      <c r="BJ1626">
        <v>31</v>
      </c>
      <c r="BK1626">
        <v>5</v>
      </c>
      <c r="BO1626" t="s">
        <v>595</v>
      </c>
      <c r="BP1626" s="184"/>
    </row>
    <row r="1627" spans="1:68">
      <c r="A1627">
        <v>17906223</v>
      </c>
      <c r="B1627">
        <v>17906223</v>
      </c>
      <c r="C1627" t="s">
        <v>7018</v>
      </c>
      <c r="D1627" t="s">
        <v>595</v>
      </c>
      <c r="E1627" s="184">
        <v>43640</v>
      </c>
      <c r="G1627" s="184"/>
      <c r="I1627" s="184"/>
      <c r="K1627" s="184"/>
      <c r="M1627" s="184"/>
      <c r="O1627" s="184"/>
      <c r="P1627" t="s">
        <v>7045</v>
      </c>
      <c r="Q1627" t="s">
        <v>7262</v>
      </c>
      <c r="R1627" s="184">
        <v>21429</v>
      </c>
      <c r="S1627">
        <v>65</v>
      </c>
      <c r="U1627" t="s">
        <v>7076</v>
      </c>
      <c r="V1627" t="s">
        <v>2985</v>
      </c>
      <c r="W1627" t="s">
        <v>7588</v>
      </c>
      <c r="X1627" t="s">
        <v>2986</v>
      </c>
      <c r="AF1627" t="s">
        <v>16223</v>
      </c>
      <c r="AG1627" t="s">
        <v>2985</v>
      </c>
      <c r="AI1627" t="s">
        <v>16224</v>
      </c>
      <c r="AM1627" t="s">
        <v>16225</v>
      </c>
      <c r="AN1627" t="s">
        <v>2106</v>
      </c>
      <c r="AO1627" t="s">
        <v>16226</v>
      </c>
      <c r="AP1627" t="s">
        <v>7024</v>
      </c>
      <c r="AQ1627" t="s">
        <v>16227</v>
      </c>
      <c r="AR1627" t="s">
        <v>16228</v>
      </c>
      <c r="AT1627" s="184">
        <v>34652</v>
      </c>
      <c r="AU1627" t="s">
        <v>16229</v>
      </c>
      <c r="AV1627">
        <v>20</v>
      </c>
      <c r="AW1627" s="184">
        <v>44720</v>
      </c>
      <c r="AX1627" t="s">
        <v>16230</v>
      </c>
      <c r="AY1627">
        <v>35</v>
      </c>
      <c r="AZ1627" s="184">
        <v>42807</v>
      </c>
      <c r="BA1627" t="s">
        <v>16231</v>
      </c>
      <c r="BB1627">
        <v>40</v>
      </c>
      <c r="BC1627">
        <v>68</v>
      </c>
      <c r="BD1627">
        <v>580</v>
      </c>
      <c r="BE1627">
        <v>1995</v>
      </c>
      <c r="BF1627">
        <v>22</v>
      </c>
      <c r="BG1627">
        <v>1</v>
      </c>
      <c r="BH1627">
        <v>35</v>
      </c>
      <c r="BI1627">
        <v>21</v>
      </c>
      <c r="BJ1627">
        <v>31</v>
      </c>
      <c r="BK1627">
        <v>9</v>
      </c>
      <c r="BP1627" s="184"/>
    </row>
    <row r="1628" spans="1:68">
      <c r="A1628">
        <v>17908328</v>
      </c>
      <c r="B1628">
        <v>17908328</v>
      </c>
      <c r="C1628" t="s">
        <v>7018</v>
      </c>
      <c r="D1628" t="s">
        <v>595</v>
      </c>
      <c r="E1628" s="184">
        <v>43808</v>
      </c>
      <c r="G1628" s="184"/>
      <c r="I1628" s="184"/>
      <c r="K1628" s="184"/>
      <c r="M1628" s="184"/>
      <c r="O1628" s="184"/>
      <c r="P1628" t="s">
        <v>7029</v>
      </c>
      <c r="Q1628" t="s">
        <v>7374</v>
      </c>
      <c r="R1628" s="184">
        <v>13394</v>
      </c>
      <c r="S1628">
        <v>87</v>
      </c>
      <c r="V1628" t="s">
        <v>4140</v>
      </c>
      <c r="X1628" t="s">
        <v>4452</v>
      </c>
      <c r="AF1628" t="s">
        <v>16232</v>
      </c>
      <c r="AG1628" t="s">
        <v>4140</v>
      </c>
      <c r="AI1628" t="s">
        <v>16233</v>
      </c>
      <c r="AM1628" t="s">
        <v>4453</v>
      </c>
      <c r="AN1628" t="s">
        <v>2081</v>
      </c>
      <c r="AO1628" t="s">
        <v>16234</v>
      </c>
      <c r="AP1628" t="s">
        <v>7024</v>
      </c>
      <c r="AQ1628" t="s">
        <v>16235</v>
      </c>
      <c r="AT1628" s="184">
        <v>34652</v>
      </c>
      <c r="AU1628" t="s">
        <v>16236</v>
      </c>
      <c r="AV1628">
        <v>50</v>
      </c>
      <c r="AW1628" s="184">
        <v>44846</v>
      </c>
      <c r="AX1628" t="s">
        <v>16237</v>
      </c>
      <c r="AY1628">
        <v>200</v>
      </c>
      <c r="AZ1628" s="184">
        <v>44846</v>
      </c>
      <c r="BA1628" t="s">
        <v>16237</v>
      </c>
      <c r="BB1628">
        <v>200</v>
      </c>
      <c r="BC1628">
        <v>75</v>
      </c>
      <c r="BD1628">
        <v>3935</v>
      </c>
      <c r="BE1628">
        <v>1995</v>
      </c>
      <c r="BF1628">
        <v>51</v>
      </c>
      <c r="BG1628">
        <v>4</v>
      </c>
      <c r="BH1628">
        <v>500</v>
      </c>
      <c r="BI1628">
        <v>23</v>
      </c>
      <c r="BJ1628">
        <v>31</v>
      </c>
      <c r="BK1628">
        <v>15</v>
      </c>
      <c r="BP1628" s="184"/>
    </row>
    <row r="1629" spans="1:68">
      <c r="A1629">
        <v>17914045</v>
      </c>
      <c r="B1629">
        <v>17914045</v>
      </c>
      <c r="C1629" t="s">
        <v>7018</v>
      </c>
      <c r="E1629" s="184"/>
      <c r="G1629" s="184"/>
      <c r="I1629" s="184"/>
      <c r="J1629" t="s">
        <v>595</v>
      </c>
      <c r="K1629" s="184">
        <v>44225</v>
      </c>
      <c r="M1629" s="184"/>
      <c r="O1629" s="184"/>
      <c r="P1629" t="s">
        <v>7084</v>
      </c>
      <c r="Q1629" t="s">
        <v>7030</v>
      </c>
      <c r="R1629" s="184">
        <v>19424</v>
      </c>
      <c r="S1629">
        <v>71</v>
      </c>
      <c r="V1629" t="s">
        <v>2982</v>
      </c>
      <c r="W1629" t="s">
        <v>4152</v>
      </c>
      <c r="X1629" t="s">
        <v>16238</v>
      </c>
      <c r="AF1629" t="s">
        <v>16239</v>
      </c>
      <c r="AG1629" t="s">
        <v>2982</v>
      </c>
      <c r="AI1629" t="s">
        <v>16240</v>
      </c>
      <c r="AM1629" t="s">
        <v>16241</v>
      </c>
      <c r="AN1629" t="s">
        <v>2089</v>
      </c>
      <c r="AO1629" t="s">
        <v>16242</v>
      </c>
      <c r="AP1629" t="s">
        <v>7024</v>
      </c>
      <c r="AT1629" s="184">
        <v>34653</v>
      </c>
      <c r="AU1629" t="s">
        <v>16243</v>
      </c>
      <c r="AV1629">
        <v>15</v>
      </c>
      <c r="AW1629" s="184">
        <v>44221</v>
      </c>
      <c r="AX1629" t="s">
        <v>7309</v>
      </c>
      <c r="AY1629">
        <v>50000</v>
      </c>
      <c r="AZ1629" s="184">
        <v>44221</v>
      </c>
      <c r="BA1629" t="s">
        <v>7309</v>
      </c>
      <c r="BB1629">
        <v>50000</v>
      </c>
      <c r="BC1629">
        <v>36</v>
      </c>
      <c r="BD1629">
        <v>50335</v>
      </c>
      <c r="BE1629">
        <v>1995</v>
      </c>
      <c r="BF1629">
        <v>14</v>
      </c>
      <c r="BI1629">
        <v>11</v>
      </c>
      <c r="BJ1629">
        <v>31</v>
      </c>
      <c r="BK1629">
        <v>6</v>
      </c>
      <c r="BO1629" t="s">
        <v>595</v>
      </c>
      <c r="BP1629" s="184">
        <v>43387</v>
      </c>
    </row>
    <row r="1630" spans="1:68">
      <c r="A1630">
        <v>17942723</v>
      </c>
      <c r="B1630">
        <v>17942723</v>
      </c>
      <c r="C1630" t="s">
        <v>7018</v>
      </c>
      <c r="D1630" t="s">
        <v>595</v>
      </c>
      <c r="E1630" s="184">
        <v>44167</v>
      </c>
      <c r="G1630" s="184"/>
      <c r="I1630" s="184"/>
      <c r="K1630" s="184"/>
      <c r="O1630" s="184"/>
      <c r="P1630" t="s">
        <v>7045</v>
      </c>
      <c r="Q1630" t="s">
        <v>7383</v>
      </c>
      <c r="R1630" s="184">
        <v>12415</v>
      </c>
      <c r="S1630">
        <v>90</v>
      </c>
      <c r="V1630" t="s">
        <v>2541</v>
      </c>
      <c r="X1630" t="s">
        <v>16244</v>
      </c>
      <c r="Z1630">
        <v>100048352</v>
      </c>
      <c r="AB1630" t="s">
        <v>5400</v>
      </c>
      <c r="AD1630" t="s">
        <v>16244</v>
      </c>
      <c r="AF1630" t="s">
        <v>16245</v>
      </c>
      <c r="AG1630" t="s">
        <v>16246</v>
      </c>
      <c r="AI1630" t="s">
        <v>16247</v>
      </c>
      <c r="AM1630" t="s">
        <v>5049</v>
      </c>
      <c r="AN1630" t="s">
        <v>2139</v>
      </c>
      <c r="AO1630" t="s">
        <v>16248</v>
      </c>
      <c r="AP1630" t="s">
        <v>7024</v>
      </c>
      <c r="AT1630" s="184">
        <v>34656</v>
      </c>
      <c r="AU1630" t="s">
        <v>16249</v>
      </c>
      <c r="AV1630">
        <v>15</v>
      </c>
      <c r="AW1630" s="184">
        <v>40582</v>
      </c>
      <c r="AX1630" t="s">
        <v>16250</v>
      </c>
      <c r="AY1630">
        <v>25</v>
      </c>
      <c r="AZ1630" s="184">
        <v>36825</v>
      </c>
      <c r="BA1630" t="s">
        <v>16251</v>
      </c>
      <c r="BB1630">
        <v>60</v>
      </c>
      <c r="BC1630">
        <v>46</v>
      </c>
      <c r="BD1630">
        <v>435</v>
      </c>
      <c r="BE1630">
        <v>1995</v>
      </c>
      <c r="BF1630">
        <v>17</v>
      </c>
      <c r="BI1630">
        <v>14</v>
      </c>
      <c r="BJ1630">
        <v>31</v>
      </c>
      <c r="BK1630">
        <v>7</v>
      </c>
      <c r="BP1630" s="184"/>
    </row>
    <row r="1631" spans="1:68">
      <c r="A1631">
        <v>100048352</v>
      </c>
      <c r="B1631">
        <v>17942723</v>
      </c>
      <c r="C1631" t="s">
        <v>7018</v>
      </c>
      <c r="D1631" t="s">
        <v>595</v>
      </c>
      <c r="E1631" s="184">
        <v>44167</v>
      </c>
      <c r="G1631" s="184"/>
      <c r="I1631" s="184"/>
      <c r="K1631" s="184"/>
      <c r="O1631" s="184"/>
      <c r="P1631" t="s">
        <v>7045</v>
      </c>
      <c r="Q1631" t="s">
        <v>7383</v>
      </c>
      <c r="R1631" s="184"/>
      <c r="V1631" t="s">
        <v>5400</v>
      </c>
      <c r="X1631" t="s">
        <v>16244</v>
      </c>
      <c r="Z1631">
        <v>17942723</v>
      </c>
      <c r="AB1631" t="s">
        <v>2541</v>
      </c>
      <c r="AD1631" t="s">
        <v>16244</v>
      </c>
      <c r="AF1631" t="s">
        <v>16245</v>
      </c>
      <c r="AG1631" t="s">
        <v>16246</v>
      </c>
      <c r="AI1631" t="s">
        <v>16247</v>
      </c>
      <c r="AM1631" t="s">
        <v>5049</v>
      </c>
      <c r="AN1631" t="s">
        <v>2139</v>
      </c>
      <c r="AO1631" t="s">
        <v>16248</v>
      </c>
      <c r="AP1631" t="s">
        <v>7024</v>
      </c>
      <c r="AT1631" s="184"/>
      <c r="AW1631" s="184"/>
      <c r="AZ1631" s="184"/>
    </row>
    <row r="1632" spans="1:68">
      <c r="A1632">
        <v>17946658</v>
      </c>
      <c r="B1632">
        <v>17946658</v>
      </c>
      <c r="C1632" t="s">
        <v>7018</v>
      </c>
      <c r="E1632" s="184"/>
      <c r="G1632" s="184"/>
      <c r="I1632" s="184"/>
      <c r="J1632" t="s">
        <v>595</v>
      </c>
      <c r="K1632" s="184">
        <v>43641</v>
      </c>
      <c r="O1632" s="184"/>
      <c r="P1632" t="s">
        <v>7019</v>
      </c>
      <c r="Q1632" t="s">
        <v>7383</v>
      </c>
      <c r="R1632" s="184">
        <v>16069</v>
      </c>
      <c r="S1632">
        <v>80</v>
      </c>
      <c r="U1632" t="s">
        <v>7031</v>
      </c>
      <c r="V1632" t="s">
        <v>3119</v>
      </c>
      <c r="W1632" t="s">
        <v>7396</v>
      </c>
      <c r="X1632" t="s">
        <v>3120</v>
      </c>
      <c r="AF1632" t="s">
        <v>6617</v>
      </c>
      <c r="AG1632" t="s">
        <v>3119</v>
      </c>
      <c r="AI1632" t="s">
        <v>16252</v>
      </c>
      <c r="AM1632" t="s">
        <v>3121</v>
      </c>
      <c r="AN1632" t="s">
        <v>2144</v>
      </c>
      <c r="AO1632" t="s">
        <v>16253</v>
      </c>
      <c r="AP1632" t="s">
        <v>7024</v>
      </c>
      <c r="AQ1632" t="s">
        <v>16254</v>
      </c>
      <c r="AR1632" t="s">
        <v>16255</v>
      </c>
      <c r="AT1632" s="184">
        <v>34656</v>
      </c>
      <c r="AU1632" t="s">
        <v>16236</v>
      </c>
      <c r="AV1632">
        <v>15</v>
      </c>
      <c r="AW1632" s="184">
        <v>44704</v>
      </c>
      <c r="AX1632" t="s">
        <v>16256</v>
      </c>
      <c r="AY1632">
        <v>60</v>
      </c>
      <c r="AZ1632" s="184">
        <v>41712</v>
      </c>
      <c r="BA1632" t="s">
        <v>16257</v>
      </c>
      <c r="BB1632">
        <v>87</v>
      </c>
      <c r="BC1632">
        <v>39</v>
      </c>
      <c r="BD1632">
        <v>472</v>
      </c>
      <c r="BE1632">
        <v>1995</v>
      </c>
      <c r="BF1632">
        <v>12</v>
      </c>
      <c r="BG1632">
        <v>1</v>
      </c>
      <c r="BH1632">
        <v>60</v>
      </c>
      <c r="BI1632">
        <v>12</v>
      </c>
      <c r="BJ1632">
        <v>31</v>
      </c>
      <c r="BK1632">
        <v>3</v>
      </c>
      <c r="BN1632" t="s">
        <v>595</v>
      </c>
      <c r="BP1632" s="184"/>
    </row>
    <row r="1633" spans="1:68">
      <c r="A1633">
        <v>17957416</v>
      </c>
      <c r="B1633">
        <v>17957416</v>
      </c>
      <c r="C1633" t="s">
        <v>7018</v>
      </c>
      <c r="E1633" s="184"/>
      <c r="G1633" s="184"/>
      <c r="I1633" s="184"/>
      <c r="K1633" s="184"/>
      <c r="N1633" t="s">
        <v>595</v>
      </c>
      <c r="O1633" s="184">
        <v>41655</v>
      </c>
      <c r="P1633" t="s">
        <v>7019</v>
      </c>
      <c r="Q1633" t="s">
        <v>7020</v>
      </c>
      <c r="R1633" s="184">
        <v>16330</v>
      </c>
      <c r="S1633">
        <v>79</v>
      </c>
      <c r="U1633" t="s">
        <v>7130</v>
      </c>
      <c r="V1633" t="s">
        <v>3101</v>
      </c>
      <c r="W1633" t="s">
        <v>7046</v>
      </c>
      <c r="X1633" t="s">
        <v>5654</v>
      </c>
      <c r="Z1633">
        <v>100048416</v>
      </c>
      <c r="AA1633" t="s">
        <v>7031</v>
      </c>
      <c r="AB1633" t="s">
        <v>5656</v>
      </c>
      <c r="AD1633" t="s">
        <v>5654</v>
      </c>
      <c r="AF1633" t="s">
        <v>16258</v>
      </c>
      <c r="AG1633" t="s">
        <v>16259</v>
      </c>
      <c r="AI1633" t="s">
        <v>16260</v>
      </c>
      <c r="AM1633" t="s">
        <v>5655</v>
      </c>
      <c r="AN1633" t="s">
        <v>2112</v>
      </c>
      <c r="AO1633" t="s">
        <v>16261</v>
      </c>
      <c r="AP1633" t="s">
        <v>7024</v>
      </c>
      <c r="AQ1633" t="s">
        <v>16262</v>
      </c>
      <c r="AR1633" t="s">
        <v>16263</v>
      </c>
      <c r="AT1633" s="184">
        <v>34659</v>
      </c>
      <c r="AU1633" t="s">
        <v>16264</v>
      </c>
      <c r="AV1633">
        <v>25</v>
      </c>
      <c r="AW1633" s="184">
        <v>44656</v>
      </c>
      <c r="AX1633" t="s">
        <v>16265</v>
      </c>
      <c r="AY1633">
        <v>60</v>
      </c>
      <c r="AZ1633" s="184">
        <v>41655</v>
      </c>
      <c r="BA1633" t="s">
        <v>7707</v>
      </c>
      <c r="BB1633">
        <v>25000</v>
      </c>
      <c r="BC1633">
        <v>65</v>
      </c>
      <c r="BD1633">
        <v>26015</v>
      </c>
      <c r="BE1633">
        <v>1995</v>
      </c>
      <c r="BF1633">
        <v>24</v>
      </c>
      <c r="BI1633">
        <v>20</v>
      </c>
      <c r="BJ1633">
        <v>31</v>
      </c>
      <c r="BK1633">
        <v>4</v>
      </c>
    </row>
    <row r="1634" spans="1:68">
      <c r="A1634">
        <v>100048416</v>
      </c>
      <c r="B1634">
        <v>17957416</v>
      </c>
      <c r="C1634" t="s">
        <v>7018</v>
      </c>
      <c r="E1634" s="184"/>
      <c r="G1634" s="184"/>
      <c r="I1634" s="184"/>
      <c r="K1634" s="184"/>
      <c r="N1634" t="s">
        <v>595</v>
      </c>
      <c r="O1634" s="184">
        <v>41655</v>
      </c>
      <c r="P1634" t="s">
        <v>7019</v>
      </c>
      <c r="Q1634" t="s">
        <v>7020</v>
      </c>
      <c r="R1634" s="184">
        <v>16127</v>
      </c>
      <c r="S1634">
        <v>80</v>
      </c>
      <c r="U1634" t="s">
        <v>7031</v>
      </c>
      <c r="V1634" t="s">
        <v>5656</v>
      </c>
      <c r="X1634" t="s">
        <v>5654</v>
      </c>
      <c r="Z1634">
        <v>17957416</v>
      </c>
      <c r="AA1634" t="s">
        <v>7130</v>
      </c>
      <c r="AB1634" t="s">
        <v>3101</v>
      </c>
      <c r="AC1634" t="s">
        <v>7046</v>
      </c>
      <c r="AD1634" t="s">
        <v>5654</v>
      </c>
      <c r="AF1634" t="s">
        <v>16258</v>
      </c>
      <c r="AG1634" t="s">
        <v>16259</v>
      </c>
      <c r="AI1634" t="s">
        <v>16260</v>
      </c>
      <c r="AM1634" t="s">
        <v>5655</v>
      </c>
      <c r="AN1634" t="s">
        <v>2112</v>
      </c>
      <c r="AO1634" t="s">
        <v>16261</v>
      </c>
      <c r="AP1634" t="s">
        <v>7024</v>
      </c>
      <c r="AT1634" s="184"/>
      <c r="AW1634" s="184"/>
      <c r="AZ1634" s="184"/>
      <c r="BP1634" s="184"/>
    </row>
    <row r="1635" spans="1:68">
      <c r="A1635">
        <v>17962796</v>
      </c>
      <c r="B1635">
        <v>17962796</v>
      </c>
      <c r="C1635" t="s">
        <v>7018</v>
      </c>
      <c r="E1635" s="184"/>
      <c r="G1635" s="184"/>
      <c r="I1635" s="184"/>
      <c r="J1635" t="s">
        <v>595</v>
      </c>
      <c r="K1635" s="184">
        <v>43826</v>
      </c>
      <c r="O1635" s="184"/>
      <c r="P1635" t="s">
        <v>7045</v>
      </c>
      <c r="Q1635" t="s">
        <v>7374</v>
      </c>
      <c r="R1635" s="184">
        <v>22205</v>
      </c>
      <c r="S1635">
        <v>63</v>
      </c>
      <c r="U1635" t="s">
        <v>7031</v>
      </c>
      <c r="V1635" t="s">
        <v>2697</v>
      </c>
      <c r="W1635" t="s">
        <v>2049</v>
      </c>
      <c r="X1635" t="s">
        <v>5311</v>
      </c>
      <c r="Z1635">
        <v>100341346</v>
      </c>
      <c r="AB1635" t="s">
        <v>2558</v>
      </c>
      <c r="AD1635" t="s">
        <v>16266</v>
      </c>
      <c r="AF1635" t="s">
        <v>16267</v>
      </c>
      <c r="AG1635" t="s">
        <v>2697</v>
      </c>
      <c r="AI1635" t="s">
        <v>16268</v>
      </c>
      <c r="AM1635" t="s">
        <v>5312</v>
      </c>
      <c r="AN1635" t="s">
        <v>2526</v>
      </c>
      <c r="AO1635">
        <v>89451</v>
      </c>
      <c r="AP1635" t="s">
        <v>7024</v>
      </c>
      <c r="AQ1635" t="s">
        <v>16269</v>
      </c>
      <c r="AR1635" t="s">
        <v>16270</v>
      </c>
      <c r="AT1635" s="184">
        <v>34659</v>
      </c>
      <c r="AU1635" t="s">
        <v>16271</v>
      </c>
      <c r="AV1635">
        <v>25</v>
      </c>
      <c r="AW1635" s="184">
        <v>42972</v>
      </c>
      <c r="AX1635" t="s">
        <v>16272</v>
      </c>
      <c r="AY1635">
        <v>250</v>
      </c>
      <c r="AZ1635" s="184">
        <v>37536</v>
      </c>
      <c r="BA1635" t="s">
        <v>16273</v>
      </c>
      <c r="BB1635">
        <v>500000</v>
      </c>
      <c r="BC1635">
        <v>42</v>
      </c>
      <c r="BD1635">
        <v>1343375</v>
      </c>
      <c r="BE1635">
        <v>1995</v>
      </c>
      <c r="BF1635">
        <v>16</v>
      </c>
      <c r="BI1635">
        <v>13</v>
      </c>
      <c r="BJ1635">
        <v>31</v>
      </c>
      <c r="BK1635">
        <v>6</v>
      </c>
      <c r="BM1635" t="s">
        <v>595</v>
      </c>
      <c r="BN1635" t="s">
        <v>595</v>
      </c>
      <c r="BP1635" s="184"/>
    </row>
    <row r="1636" spans="1:68">
      <c r="A1636">
        <v>18051037</v>
      </c>
      <c r="B1636">
        <v>18051037</v>
      </c>
      <c r="C1636" t="s">
        <v>7018</v>
      </c>
      <c r="D1636" t="s">
        <v>595</v>
      </c>
      <c r="E1636" s="184">
        <v>43642</v>
      </c>
      <c r="G1636" s="184"/>
      <c r="I1636" s="184"/>
      <c r="K1636" s="184"/>
      <c r="O1636" s="184"/>
      <c r="P1636" t="s">
        <v>7045</v>
      </c>
      <c r="Q1636" t="s">
        <v>7020</v>
      </c>
      <c r="R1636" s="184">
        <v>30341</v>
      </c>
      <c r="S1636">
        <v>41</v>
      </c>
      <c r="V1636" t="s">
        <v>3241</v>
      </c>
      <c r="X1636" t="s">
        <v>3242</v>
      </c>
      <c r="Z1636">
        <v>100048791</v>
      </c>
      <c r="AA1636" t="s">
        <v>7032</v>
      </c>
      <c r="AB1636" t="s">
        <v>2541</v>
      </c>
      <c r="AD1636" t="s">
        <v>3242</v>
      </c>
      <c r="AF1636" t="s">
        <v>16274</v>
      </c>
      <c r="AG1636" t="s">
        <v>16275</v>
      </c>
      <c r="AI1636" t="s">
        <v>16276</v>
      </c>
      <c r="AM1636" t="s">
        <v>16277</v>
      </c>
      <c r="AN1636" t="s">
        <v>2129</v>
      </c>
      <c r="AO1636" t="s">
        <v>16278</v>
      </c>
      <c r="AP1636" t="s">
        <v>7024</v>
      </c>
      <c r="AQ1636" t="s">
        <v>16279</v>
      </c>
      <c r="AR1636" t="s">
        <v>16280</v>
      </c>
      <c r="AT1636" s="184">
        <v>34673</v>
      </c>
      <c r="AU1636" t="s">
        <v>16281</v>
      </c>
      <c r="AV1636">
        <v>25</v>
      </c>
      <c r="AW1636" s="184">
        <v>45138</v>
      </c>
      <c r="AX1636" t="s">
        <v>16282</v>
      </c>
      <c r="AY1636">
        <v>25</v>
      </c>
      <c r="AZ1636" s="184">
        <v>41384</v>
      </c>
      <c r="BA1636" t="s">
        <v>16283</v>
      </c>
      <c r="BB1636">
        <v>50</v>
      </c>
      <c r="BC1636">
        <v>75</v>
      </c>
      <c r="BD1636">
        <v>1241</v>
      </c>
      <c r="BE1636">
        <v>1995</v>
      </c>
      <c r="BF1636">
        <v>57</v>
      </c>
      <c r="BG1636">
        <v>1</v>
      </c>
      <c r="BH1636">
        <v>25</v>
      </c>
      <c r="BI1636">
        <v>23</v>
      </c>
      <c r="BJ1636">
        <v>31</v>
      </c>
      <c r="BK1636">
        <v>12</v>
      </c>
      <c r="BN1636" t="s">
        <v>595</v>
      </c>
      <c r="BP1636" s="184"/>
    </row>
    <row r="1637" spans="1:68">
      <c r="A1637">
        <v>100048791</v>
      </c>
      <c r="B1637">
        <v>18051037</v>
      </c>
      <c r="C1637" t="s">
        <v>7018</v>
      </c>
      <c r="D1637" t="s">
        <v>595</v>
      </c>
      <c r="E1637" s="184">
        <v>43642</v>
      </c>
      <c r="G1637" s="184"/>
      <c r="I1637" s="184"/>
      <c r="K1637" s="184"/>
      <c r="O1637" s="184"/>
      <c r="P1637" t="s">
        <v>7045</v>
      </c>
      <c r="Q1637" t="s">
        <v>7020</v>
      </c>
      <c r="R1637" s="184">
        <v>17267</v>
      </c>
      <c r="S1637">
        <v>77</v>
      </c>
      <c r="U1637" t="s">
        <v>7032</v>
      </c>
      <c r="V1637" t="s">
        <v>2541</v>
      </c>
      <c r="X1637" t="s">
        <v>3242</v>
      </c>
      <c r="Z1637">
        <v>18051037</v>
      </c>
      <c r="AB1637" t="s">
        <v>3241</v>
      </c>
      <c r="AD1637" t="s">
        <v>3242</v>
      </c>
      <c r="AF1637" t="s">
        <v>16274</v>
      </c>
      <c r="AG1637" t="s">
        <v>16275</v>
      </c>
      <c r="AI1637" t="s">
        <v>16276</v>
      </c>
      <c r="AM1637" t="s">
        <v>16277</v>
      </c>
      <c r="AN1637" t="s">
        <v>2129</v>
      </c>
      <c r="AO1637" t="s">
        <v>16278</v>
      </c>
      <c r="AP1637" t="s">
        <v>7024</v>
      </c>
      <c r="AQ1637" t="s">
        <v>16284</v>
      </c>
      <c r="AT1637" s="184">
        <v>43598</v>
      </c>
      <c r="AU1637" t="s">
        <v>11866</v>
      </c>
      <c r="AV1637">
        <v>15</v>
      </c>
      <c r="AW1637" s="184">
        <v>44878</v>
      </c>
      <c r="AX1637" t="s">
        <v>10880</v>
      </c>
      <c r="AY1637">
        <v>15</v>
      </c>
      <c r="AZ1637" s="184">
        <v>44878</v>
      </c>
      <c r="BA1637" t="s">
        <v>10880</v>
      </c>
      <c r="BB1637">
        <v>15</v>
      </c>
      <c r="BC1637">
        <v>67</v>
      </c>
      <c r="BD1637">
        <v>645</v>
      </c>
      <c r="BE1637">
        <v>2019</v>
      </c>
      <c r="BF1637">
        <v>43</v>
      </c>
      <c r="BG1637">
        <v>7</v>
      </c>
      <c r="BH1637">
        <v>105</v>
      </c>
      <c r="BI1637">
        <v>4</v>
      </c>
      <c r="BJ1637">
        <v>6</v>
      </c>
      <c r="BK1637">
        <v>4</v>
      </c>
    </row>
    <row r="1638" spans="1:68">
      <c r="A1638">
        <v>18055061</v>
      </c>
      <c r="B1638">
        <v>18055061</v>
      </c>
      <c r="C1638" t="s">
        <v>7018</v>
      </c>
      <c r="E1638" s="184"/>
      <c r="F1638" t="s">
        <v>595</v>
      </c>
      <c r="G1638" s="184">
        <v>44104</v>
      </c>
      <c r="H1638" t="s">
        <v>595</v>
      </c>
      <c r="I1638" s="184">
        <v>44328</v>
      </c>
      <c r="K1638" s="184"/>
      <c r="P1638" t="s">
        <v>7045</v>
      </c>
      <c r="Q1638" t="s">
        <v>7383</v>
      </c>
      <c r="R1638" s="184">
        <v>15707</v>
      </c>
      <c r="S1638">
        <v>81</v>
      </c>
      <c r="U1638" t="s">
        <v>7031</v>
      </c>
      <c r="V1638" t="s">
        <v>16285</v>
      </c>
      <c r="X1638" t="s">
        <v>16286</v>
      </c>
      <c r="AF1638" t="s">
        <v>16287</v>
      </c>
      <c r="AG1638" t="s">
        <v>16285</v>
      </c>
      <c r="AI1638" t="s">
        <v>16288</v>
      </c>
      <c r="AM1638" t="s">
        <v>16289</v>
      </c>
      <c r="AN1638" t="s">
        <v>2072</v>
      </c>
      <c r="AO1638" t="s">
        <v>16290</v>
      </c>
      <c r="AP1638" t="s">
        <v>7024</v>
      </c>
      <c r="AQ1638" t="s">
        <v>16291</v>
      </c>
      <c r="AT1638" s="184">
        <v>34677</v>
      </c>
      <c r="AU1638" t="s">
        <v>16292</v>
      </c>
      <c r="AV1638">
        <v>20</v>
      </c>
      <c r="AW1638" s="184">
        <v>45180</v>
      </c>
      <c r="AX1638" t="s">
        <v>16293</v>
      </c>
      <c r="AY1638">
        <v>20</v>
      </c>
      <c r="AZ1638" s="184">
        <v>45068</v>
      </c>
      <c r="BA1638" t="s">
        <v>16294</v>
      </c>
      <c r="BB1638">
        <v>50</v>
      </c>
      <c r="BC1638">
        <v>49</v>
      </c>
      <c r="BD1638">
        <v>674.97</v>
      </c>
      <c r="BE1638">
        <v>1995</v>
      </c>
      <c r="BF1638">
        <v>33</v>
      </c>
      <c r="BG1638">
        <v>2</v>
      </c>
      <c r="BH1638">
        <v>70</v>
      </c>
      <c r="BI1638">
        <v>15</v>
      </c>
      <c r="BJ1638">
        <v>31</v>
      </c>
      <c r="BK1638">
        <v>10</v>
      </c>
      <c r="BN1638" t="s">
        <v>595</v>
      </c>
      <c r="BP1638" s="184"/>
    </row>
    <row r="1639" spans="1:68">
      <c r="A1639">
        <v>18069310</v>
      </c>
      <c r="B1639">
        <v>18069310</v>
      </c>
      <c r="C1639" t="s">
        <v>7018</v>
      </c>
      <c r="D1639" t="s">
        <v>595</v>
      </c>
      <c r="E1639" s="184">
        <v>44152</v>
      </c>
      <c r="G1639" s="184"/>
      <c r="I1639" s="184"/>
      <c r="K1639" s="184"/>
      <c r="O1639" s="184"/>
      <c r="P1639" t="s">
        <v>7045</v>
      </c>
      <c r="Q1639" t="s">
        <v>7262</v>
      </c>
      <c r="R1639" s="184">
        <v>16072</v>
      </c>
      <c r="S1639">
        <v>80</v>
      </c>
      <c r="U1639" t="s">
        <v>7076</v>
      </c>
      <c r="V1639" t="s">
        <v>3179</v>
      </c>
      <c r="W1639" t="s">
        <v>4327</v>
      </c>
      <c r="X1639" t="s">
        <v>16295</v>
      </c>
      <c r="AF1639" t="s">
        <v>16296</v>
      </c>
      <c r="AG1639" t="s">
        <v>3179</v>
      </c>
      <c r="AI1639" t="s">
        <v>16297</v>
      </c>
      <c r="AM1639" t="s">
        <v>4706</v>
      </c>
      <c r="AN1639" t="s">
        <v>2069</v>
      </c>
      <c r="AO1639" t="s">
        <v>16298</v>
      </c>
      <c r="AP1639" t="s">
        <v>7024</v>
      </c>
      <c r="AQ1639" t="s">
        <v>16299</v>
      </c>
      <c r="AR1639" t="s">
        <v>16300</v>
      </c>
      <c r="AT1639" s="184">
        <v>34680</v>
      </c>
      <c r="AU1639" t="s">
        <v>16301</v>
      </c>
      <c r="AV1639">
        <v>25</v>
      </c>
      <c r="AW1639" s="184">
        <v>44389</v>
      </c>
      <c r="AX1639" t="s">
        <v>16302</v>
      </c>
      <c r="AY1639">
        <v>20</v>
      </c>
      <c r="AZ1639" s="184">
        <v>42121</v>
      </c>
      <c r="BA1639" t="s">
        <v>10906</v>
      </c>
      <c r="BB1639">
        <v>60</v>
      </c>
      <c r="BC1639">
        <v>39</v>
      </c>
      <c r="BD1639">
        <v>440</v>
      </c>
      <c r="BE1639">
        <v>1995</v>
      </c>
      <c r="BF1639">
        <v>21</v>
      </c>
      <c r="BI1639">
        <v>12</v>
      </c>
      <c r="BJ1639">
        <v>31</v>
      </c>
      <c r="BK1639">
        <v>3</v>
      </c>
      <c r="BP1639" s="184"/>
    </row>
    <row r="1640" spans="1:68">
      <c r="A1640">
        <v>18077032</v>
      </c>
      <c r="B1640">
        <v>18077032</v>
      </c>
      <c r="C1640" t="s">
        <v>7018</v>
      </c>
      <c r="D1640" t="s">
        <v>595</v>
      </c>
      <c r="E1640" s="184">
        <v>44104</v>
      </c>
      <c r="G1640" s="184"/>
      <c r="I1640" s="184"/>
      <c r="K1640" s="184"/>
      <c r="O1640" s="184"/>
      <c r="P1640" t="s">
        <v>7045</v>
      </c>
      <c r="Q1640" t="s">
        <v>7383</v>
      </c>
      <c r="R1640" s="184">
        <v>17930</v>
      </c>
      <c r="S1640">
        <v>75</v>
      </c>
      <c r="V1640" t="s">
        <v>2979</v>
      </c>
      <c r="X1640" t="s">
        <v>16303</v>
      </c>
      <c r="Z1640">
        <v>100048905</v>
      </c>
      <c r="AB1640" t="s">
        <v>3317</v>
      </c>
      <c r="AD1640" t="s">
        <v>16303</v>
      </c>
      <c r="AF1640" t="s">
        <v>16304</v>
      </c>
      <c r="AG1640" t="s">
        <v>16305</v>
      </c>
      <c r="AI1640" t="s">
        <v>16306</v>
      </c>
      <c r="AM1640" t="s">
        <v>16307</v>
      </c>
      <c r="AN1640" t="s">
        <v>2059</v>
      </c>
      <c r="AO1640">
        <v>44614</v>
      </c>
      <c r="AP1640" t="s">
        <v>7024</v>
      </c>
      <c r="AQ1640" t="s">
        <v>16308</v>
      </c>
      <c r="AT1640" s="184">
        <v>34682</v>
      </c>
      <c r="AU1640" t="s">
        <v>16309</v>
      </c>
      <c r="AV1640">
        <v>25</v>
      </c>
      <c r="AW1640" s="184">
        <v>44915</v>
      </c>
      <c r="AX1640" t="s">
        <v>12308</v>
      </c>
      <c r="AY1640">
        <v>35</v>
      </c>
      <c r="AZ1640" s="184">
        <v>44915</v>
      </c>
      <c r="BA1640" t="s">
        <v>12308</v>
      </c>
      <c r="BB1640">
        <v>35</v>
      </c>
      <c r="BC1640">
        <v>84</v>
      </c>
      <c r="BD1640">
        <v>1030</v>
      </c>
      <c r="BE1640">
        <v>1995</v>
      </c>
      <c r="BF1640">
        <v>30</v>
      </c>
      <c r="BG1640">
        <v>1</v>
      </c>
      <c r="BH1640">
        <v>35</v>
      </c>
      <c r="BI1640">
        <v>26</v>
      </c>
      <c r="BJ1640">
        <v>31</v>
      </c>
      <c r="BK1640">
        <v>13</v>
      </c>
      <c r="BP1640" s="184"/>
    </row>
    <row r="1641" spans="1:68">
      <c r="A1641">
        <v>100048905</v>
      </c>
      <c r="B1641">
        <v>18077032</v>
      </c>
      <c r="C1641" t="s">
        <v>7018</v>
      </c>
      <c r="D1641" t="s">
        <v>595</v>
      </c>
      <c r="E1641" s="184">
        <v>44104</v>
      </c>
      <c r="G1641" s="184"/>
      <c r="I1641" s="184"/>
      <c r="K1641" s="184"/>
      <c r="O1641" s="184"/>
      <c r="P1641" t="s">
        <v>7045</v>
      </c>
      <c r="Q1641" t="s">
        <v>7383</v>
      </c>
      <c r="R1641" s="184">
        <v>17930</v>
      </c>
      <c r="S1641">
        <v>75</v>
      </c>
      <c r="V1641" t="s">
        <v>3317</v>
      </c>
      <c r="X1641" t="s">
        <v>16303</v>
      </c>
      <c r="Z1641">
        <v>18077032</v>
      </c>
      <c r="AB1641" t="s">
        <v>2979</v>
      </c>
      <c r="AD1641" t="s">
        <v>16303</v>
      </c>
      <c r="AF1641" t="s">
        <v>16304</v>
      </c>
      <c r="AG1641" t="s">
        <v>16305</v>
      </c>
      <c r="AI1641" t="s">
        <v>16306</v>
      </c>
      <c r="AM1641" t="s">
        <v>16307</v>
      </c>
      <c r="AN1641" t="s">
        <v>2059</v>
      </c>
      <c r="AO1641">
        <v>44614</v>
      </c>
      <c r="AP1641" t="s">
        <v>7024</v>
      </c>
      <c r="AT1641" s="184"/>
      <c r="AW1641" s="184"/>
      <c r="AZ1641" s="184"/>
      <c r="BP1641" s="184"/>
    </row>
    <row r="1642" spans="1:68">
      <c r="A1642">
        <v>18108530</v>
      </c>
      <c r="B1642">
        <v>18108530</v>
      </c>
      <c r="C1642" t="s">
        <v>7018</v>
      </c>
      <c r="D1642" t="s">
        <v>595</v>
      </c>
      <c r="E1642" s="184">
        <v>44167</v>
      </c>
      <c r="G1642" s="184"/>
      <c r="I1642" s="184"/>
      <c r="K1642" s="184"/>
      <c r="O1642" s="184"/>
      <c r="P1642" t="s">
        <v>7045</v>
      </c>
      <c r="Q1642" t="s">
        <v>7160</v>
      </c>
      <c r="R1642" s="184">
        <v>15481</v>
      </c>
      <c r="S1642">
        <v>81</v>
      </c>
      <c r="U1642" t="s">
        <v>7031</v>
      </c>
      <c r="V1642" t="s">
        <v>2871</v>
      </c>
      <c r="W1642" t="s">
        <v>7963</v>
      </c>
      <c r="X1642" t="s">
        <v>16310</v>
      </c>
      <c r="AF1642" t="s">
        <v>16311</v>
      </c>
      <c r="AG1642" t="s">
        <v>2871</v>
      </c>
      <c r="AI1642" t="s">
        <v>16312</v>
      </c>
      <c r="AM1642" t="s">
        <v>16313</v>
      </c>
      <c r="AN1642" t="s">
        <v>2675</v>
      </c>
      <c r="AO1642" t="s">
        <v>16314</v>
      </c>
      <c r="AP1642" t="s">
        <v>7024</v>
      </c>
      <c r="AQ1642" t="s">
        <v>16315</v>
      </c>
      <c r="AR1642" t="s">
        <v>16316</v>
      </c>
      <c r="AT1642" s="184">
        <v>34687</v>
      </c>
      <c r="AU1642" t="s">
        <v>16309</v>
      </c>
      <c r="AV1642">
        <v>15</v>
      </c>
      <c r="AW1642" s="184">
        <v>45300</v>
      </c>
      <c r="AX1642" t="s">
        <v>7092</v>
      </c>
      <c r="AY1642">
        <v>25</v>
      </c>
      <c r="AZ1642" s="184">
        <v>44925</v>
      </c>
      <c r="BA1642" t="s">
        <v>7405</v>
      </c>
      <c r="BB1642">
        <v>35</v>
      </c>
      <c r="BC1642">
        <v>94</v>
      </c>
      <c r="BD1642">
        <v>920</v>
      </c>
      <c r="BE1642">
        <v>1995</v>
      </c>
      <c r="BF1642">
        <v>30</v>
      </c>
      <c r="BG1642">
        <v>2</v>
      </c>
      <c r="BH1642">
        <v>60</v>
      </c>
      <c r="BI1642">
        <v>29</v>
      </c>
      <c r="BJ1642">
        <v>31</v>
      </c>
      <c r="BK1642">
        <v>16</v>
      </c>
      <c r="BP1642" s="184"/>
    </row>
    <row r="1643" spans="1:68">
      <c r="A1643">
        <v>18125872</v>
      </c>
      <c r="B1643">
        <v>18125872</v>
      </c>
      <c r="C1643" t="s">
        <v>7018</v>
      </c>
      <c r="D1643" t="s">
        <v>595</v>
      </c>
      <c r="E1643" s="184">
        <v>43829</v>
      </c>
      <c r="G1643" s="184"/>
      <c r="I1643" s="184"/>
      <c r="K1643" s="184"/>
      <c r="O1643" s="184"/>
      <c r="P1643" t="s">
        <v>7045</v>
      </c>
      <c r="Q1643" t="s">
        <v>7374</v>
      </c>
      <c r="R1643" s="184">
        <v>17319</v>
      </c>
      <c r="S1643">
        <v>76</v>
      </c>
      <c r="V1643" t="s">
        <v>16317</v>
      </c>
      <c r="X1643" t="s">
        <v>3610</v>
      </c>
      <c r="AF1643" t="s">
        <v>16318</v>
      </c>
      <c r="AG1643" t="s">
        <v>16317</v>
      </c>
      <c r="AI1643" t="s">
        <v>16319</v>
      </c>
      <c r="AM1643" t="s">
        <v>16320</v>
      </c>
      <c r="AN1643" t="s">
        <v>2081</v>
      </c>
      <c r="AO1643" t="s">
        <v>16321</v>
      </c>
      <c r="AP1643" t="s">
        <v>7024</v>
      </c>
      <c r="AQ1643" t="s">
        <v>16322</v>
      </c>
      <c r="AT1643" s="184">
        <v>34687</v>
      </c>
      <c r="AU1643" t="s">
        <v>16323</v>
      </c>
      <c r="AV1643">
        <v>15</v>
      </c>
      <c r="AW1643" s="184">
        <v>45219</v>
      </c>
      <c r="AX1643" t="s">
        <v>7821</v>
      </c>
      <c r="AY1643">
        <v>35</v>
      </c>
      <c r="AZ1643" s="184">
        <v>45219</v>
      </c>
      <c r="BA1643" t="s">
        <v>7821</v>
      </c>
      <c r="BB1643">
        <v>35</v>
      </c>
      <c r="BC1643">
        <v>97</v>
      </c>
      <c r="BD1643">
        <v>1055</v>
      </c>
      <c r="BE1643">
        <v>1995</v>
      </c>
      <c r="BF1643">
        <v>34</v>
      </c>
      <c r="BG1643">
        <v>3</v>
      </c>
      <c r="BH1643">
        <v>105</v>
      </c>
      <c r="BI1643">
        <v>30</v>
      </c>
      <c r="BJ1643">
        <v>31</v>
      </c>
      <c r="BK1643">
        <v>30</v>
      </c>
      <c r="BP1643" s="184"/>
    </row>
    <row r="1644" spans="1:68">
      <c r="A1644">
        <v>18131227</v>
      </c>
      <c r="B1644">
        <v>18131227</v>
      </c>
      <c r="C1644" t="s">
        <v>7018</v>
      </c>
      <c r="E1644" s="184"/>
      <c r="G1644" s="184"/>
      <c r="I1644" s="184"/>
      <c r="J1644" t="s">
        <v>595</v>
      </c>
      <c r="K1644" s="184">
        <v>37439</v>
      </c>
      <c r="O1644" s="184"/>
      <c r="P1644" t="s">
        <v>7045</v>
      </c>
      <c r="Q1644" t="s">
        <v>7020</v>
      </c>
      <c r="R1644" s="184">
        <v>8841</v>
      </c>
      <c r="S1644">
        <v>100</v>
      </c>
      <c r="U1644" t="s">
        <v>7031</v>
      </c>
      <c r="V1644" t="s">
        <v>2775</v>
      </c>
      <c r="W1644" t="s">
        <v>2963</v>
      </c>
      <c r="X1644" t="s">
        <v>16324</v>
      </c>
      <c r="AF1644" t="s">
        <v>6578</v>
      </c>
      <c r="AG1644" t="s">
        <v>2775</v>
      </c>
      <c r="AI1644" t="s">
        <v>16325</v>
      </c>
      <c r="AM1644" t="s">
        <v>16326</v>
      </c>
      <c r="AN1644" t="s">
        <v>2112</v>
      </c>
      <c r="AO1644" t="s">
        <v>16327</v>
      </c>
      <c r="AP1644" t="s">
        <v>7024</v>
      </c>
      <c r="AQ1644" t="s">
        <v>16328</v>
      </c>
      <c r="AT1644" s="184">
        <v>34689</v>
      </c>
      <c r="AU1644" t="s">
        <v>16329</v>
      </c>
      <c r="AV1644">
        <v>25</v>
      </c>
      <c r="AW1644" s="184">
        <v>41626</v>
      </c>
      <c r="AX1644" t="s">
        <v>16330</v>
      </c>
      <c r="AY1644">
        <v>250</v>
      </c>
      <c r="AZ1644" s="184">
        <v>41626</v>
      </c>
      <c r="BA1644" t="s">
        <v>16330</v>
      </c>
      <c r="BB1644">
        <v>250</v>
      </c>
      <c r="BC1644">
        <v>33</v>
      </c>
      <c r="BD1644">
        <v>550</v>
      </c>
      <c r="BE1644">
        <v>1995</v>
      </c>
      <c r="BF1644">
        <v>13</v>
      </c>
      <c r="BI1644">
        <v>10</v>
      </c>
      <c r="BJ1644">
        <v>31</v>
      </c>
      <c r="BK1644">
        <v>6</v>
      </c>
      <c r="BP1644" s="184"/>
    </row>
    <row r="1645" spans="1:68">
      <c r="A1645">
        <v>100049079</v>
      </c>
      <c r="B1645">
        <v>18134635</v>
      </c>
      <c r="C1645" t="s">
        <v>7018</v>
      </c>
      <c r="E1645" s="184"/>
      <c r="G1645" s="184"/>
      <c r="I1645" s="184"/>
      <c r="K1645" s="184"/>
      <c r="N1645" t="s">
        <v>595</v>
      </c>
      <c r="O1645" s="184">
        <v>41592</v>
      </c>
      <c r="P1645" t="s">
        <v>7045</v>
      </c>
      <c r="Q1645" t="s">
        <v>7374</v>
      </c>
      <c r="R1645" s="184">
        <v>16170</v>
      </c>
      <c r="S1645">
        <v>80</v>
      </c>
      <c r="U1645" t="s">
        <v>7130</v>
      </c>
      <c r="V1645" t="s">
        <v>3223</v>
      </c>
      <c r="W1645" t="s">
        <v>3830</v>
      </c>
      <c r="X1645" t="s">
        <v>16331</v>
      </c>
      <c r="Z1645">
        <v>18134635</v>
      </c>
      <c r="AA1645" t="s">
        <v>7031</v>
      </c>
      <c r="AB1645" t="s">
        <v>16332</v>
      </c>
      <c r="AC1645" t="s">
        <v>5006</v>
      </c>
      <c r="AD1645" t="s">
        <v>16331</v>
      </c>
      <c r="AF1645" t="s">
        <v>6014</v>
      </c>
      <c r="AG1645" t="s">
        <v>16333</v>
      </c>
      <c r="AI1645" t="s">
        <v>16334</v>
      </c>
      <c r="AJ1645" t="s">
        <v>16335</v>
      </c>
      <c r="AM1645" t="s">
        <v>4268</v>
      </c>
      <c r="AN1645" t="s">
        <v>2081</v>
      </c>
      <c r="AO1645" t="s">
        <v>16336</v>
      </c>
      <c r="AP1645" t="s">
        <v>7024</v>
      </c>
      <c r="AQ1645" t="s">
        <v>16337</v>
      </c>
      <c r="AT1645" s="184"/>
      <c r="AW1645" s="184"/>
      <c r="AZ1645" s="184"/>
      <c r="BP1645" s="184"/>
    </row>
    <row r="1646" spans="1:68">
      <c r="A1646">
        <v>18156653</v>
      </c>
      <c r="B1646">
        <v>18156653</v>
      </c>
      <c r="C1646" t="s">
        <v>7018</v>
      </c>
      <c r="E1646" s="184"/>
      <c r="G1646" s="184"/>
      <c r="J1646" t="s">
        <v>595</v>
      </c>
      <c r="K1646" s="184">
        <v>41921</v>
      </c>
      <c r="M1646" s="184"/>
      <c r="O1646" s="184"/>
      <c r="P1646" t="s">
        <v>7045</v>
      </c>
      <c r="Q1646" t="s">
        <v>7383</v>
      </c>
      <c r="R1646" s="184">
        <v>20852</v>
      </c>
      <c r="S1646">
        <v>67</v>
      </c>
      <c r="U1646" t="s">
        <v>7031</v>
      </c>
      <c r="V1646" t="s">
        <v>16338</v>
      </c>
      <c r="X1646" t="s">
        <v>3092</v>
      </c>
      <c r="AF1646" t="s">
        <v>6417</v>
      </c>
      <c r="AG1646" t="s">
        <v>16338</v>
      </c>
      <c r="AI1646" t="s">
        <v>16339</v>
      </c>
      <c r="AM1646" t="s">
        <v>3055</v>
      </c>
      <c r="AN1646" t="s">
        <v>2144</v>
      </c>
      <c r="AO1646" t="s">
        <v>16340</v>
      </c>
      <c r="AP1646" t="s">
        <v>7024</v>
      </c>
      <c r="AQ1646" t="s">
        <v>16341</v>
      </c>
      <c r="AT1646" s="184">
        <v>34689</v>
      </c>
      <c r="AU1646" t="s">
        <v>16309</v>
      </c>
      <c r="AV1646">
        <v>25</v>
      </c>
      <c r="AW1646" s="184">
        <v>45279</v>
      </c>
      <c r="AX1646" t="s">
        <v>16342</v>
      </c>
      <c r="AY1646">
        <v>60</v>
      </c>
      <c r="AZ1646" s="184">
        <v>44574</v>
      </c>
      <c r="BA1646" t="s">
        <v>16343</v>
      </c>
      <c r="BB1646">
        <v>75</v>
      </c>
      <c r="BC1646">
        <v>88</v>
      </c>
      <c r="BD1646">
        <v>1380</v>
      </c>
      <c r="BE1646">
        <v>1995</v>
      </c>
      <c r="BF1646">
        <v>32</v>
      </c>
      <c r="BG1646">
        <v>2</v>
      </c>
      <c r="BH1646">
        <v>110</v>
      </c>
      <c r="BI1646">
        <v>27</v>
      </c>
      <c r="BJ1646">
        <v>31</v>
      </c>
      <c r="BK1646">
        <v>15</v>
      </c>
      <c r="BP1646" s="184"/>
    </row>
    <row r="1647" spans="1:68">
      <c r="A1647">
        <v>18177543</v>
      </c>
      <c r="B1647">
        <v>18177543</v>
      </c>
      <c r="C1647" t="s">
        <v>7018</v>
      </c>
      <c r="D1647" t="s">
        <v>595</v>
      </c>
      <c r="E1647" s="184">
        <v>44104</v>
      </c>
      <c r="G1647" s="184"/>
      <c r="I1647" s="184"/>
      <c r="K1647" s="184"/>
      <c r="M1647" s="184"/>
      <c r="O1647" s="184"/>
      <c r="P1647" t="s">
        <v>7045</v>
      </c>
      <c r="Q1647" t="s">
        <v>7494</v>
      </c>
      <c r="R1647" s="184">
        <v>19511</v>
      </c>
      <c r="S1647">
        <v>70</v>
      </c>
      <c r="V1647" t="s">
        <v>2779</v>
      </c>
      <c r="X1647" t="s">
        <v>16344</v>
      </c>
      <c r="AF1647" t="s">
        <v>16345</v>
      </c>
      <c r="AG1647" t="s">
        <v>2779</v>
      </c>
      <c r="AI1647" t="s">
        <v>16346</v>
      </c>
      <c r="AM1647" t="s">
        <v>16347</v>
      </c>
      <c r="AN1647" t="s">
        <v>2174</v>
      </c>
      <c r="AO1647" t="s">
        <v>16348</v>
      </c>
      <c r="AP1647" t="s">
        <v>7024</v>
      </c>
      <c r="AQ1647" t="s">
        <v>16349</v>
      </c>
      <c r="AR1647" t="s">
        <v>16350</v>
      </c>
      <c r="AT1647" s="184">
        <v>34691</v>
      </c>
      <c r="AU1647" t="s">
        <v>16351</v>
      </c>
      <c r="AV1647">
        <v>15</v>
      </c>
      <c r="AW1647" s="184">
        <v>45390</v>
      </c>
      <c r="AX1647" t="s">
        <v>16352</v>
      </c>
      <c r="AY1647">
        <v>25</v>
      </c>
      <c r="AZ1647" s="184">
        <v>45390</v>
      </c>
      <c r="BA1647" t="s">
        <v>16352</v>
      </c>
      <c r="BB1647">
        <v>25</v>
      </c>
      <c r="BC1647">
        <v>91</v>
      </c>
      <c r="BD1647">
        <v>765</v>
      </c>
      <c r="BE1647">
        <v>1995</v>
      </c>
      <c r="BF1647">
        <v>31</v>
      </c>
      <c r="BG1647">
        <v>2</v>
      </c>
      <c r="BH1647">
        <v>50</v>
      </c>
      <c r="BI1647">
        <v>28</v>
      </c>
      <c r="BJ1647">
        <v>31</v>
      </c>
      <c r="BK1647">
        <v>13</v>
      </c>
      <c r="BP1647" s="184"/>
    </row>
    <row r="1648" spans="1:68">
      <c r="A1648">
        <v>18182840</v>
      </c>
      <c r="B1648">
        <v>18182840</v>
      </c>
      <c r="C1648" t="s">
        <v>7018</v>
      </c>
      <c r="D1648" t="s">
        <v>595</v>
      </c>
      <c r="E1648" s="184">
        <v>43642</v>
      </c>
      <c r="G1648" s="184"/>
      <c r="I1648" s="184"/>
      <c r="K1648" s="184"/>
      <c r="M1648" s="184"/>
      <c r="O1648" s="184"/>
      <c r="P1648" t="s">
        <v>7045</v>
      </c>
      <c r="Q1648" t="s">
        <v>7383</v>
      </c>
      <c r="R1648" s="184">
        <v>14878</v>
      </c>
      <c r="S1648">
        <v>83</v>
      </c>
      <c r="U1648" t="s">
        <v>7031</v>
      </c>
      <c r="V1648" t="s">
        <v>2898</v>
      </c>
      <c r="W1648" t="s">
        <v>7588</v>
      </c>
      <c r="X1648" t="s">
        <v>3244</v>
      </c>
      <c r="AF1648" t="s">
        <v>16353</v>
      </c>
      <c r="AG1648" t="s">
        <v>2898</v>
      </c>
      <c r="AI1648" t="s">
        <v>16354</v>
      </c>
      <c r="AM1648" t="s">
        <v>3245</v>
      </c>
      <c r="AN1648" t="s">
        <v>2274</v>
      </c>
      <c r="AO1648" t="s">
        <v>16355</v>
      </c>
      <c r="AP1648" t="s">
        <v>7024</v>
      </c>
      <c r="AT1648" s="184">
        <v>34691</v>
      </c>
      <c r="AU1648" t="s">
        <v>16356</v>
      </c>
      <c r="AV1648">
        <v>20</v>
      </c>
      <c r="AW1648" s="184">
        <v>44165</v>
      </c>
      <c r="AX1648" t="s">
        <v>16357</v>
      </c>
      <c r="AY1648">
        <v>15</v>
      </c>
      <c r="AZ1648" s="184">
        <v>40389</v>
      </c>
      <c r="BA1648" t="s">
        <v>16358</v>
      </c>
      <c r="BB1648">
        <v>60</v>
      </c>
      <c r="BC1648">
        <v>71</v>
      </c>
      <c r="BD1648">
        <v>2370</v>
      </c>
      <c r="BE1648">
        <v>1995</v>
      </c>
      <c r="BF1648">
        <v>146</v>
      </c>
      <c r="BI1648">
        <v>22</v>
      </c>
      <c r="BJ1648">
        <v>31</v>
      </c>
      <c r="BK1648">
        <v>11</v>
      </c>
      <c r="BP1648" s="184"/>
    </row>
    <row r="1649" spans="1:68">
      <c r="A1649">
        <v>18189860</v>
      </c>
      <c r="B1649">
        <v>18189860</v>
      </c>
      <c r="C1649" t="s">
        <v>7018</v>
      </c>
      <c r="E1649" s="184"/>
      <c r="G1649" s="184"/>
      <c r="I1649" s="184"/>
      <c r="J1649" t="s">
        <v>595</v>
      </c>
      <c r="K1649" s="184">
        <v>44073</v>
      </c>
      <c r="M1649" s="184"/>
      <c r="O1649" s="184"/>
      <c r="P1649" t="s">
        <v>7045</v>
      </c>
      <c r="Q1649" t="s">
        <v>7030</v>
      </c>
      <c r="R1649" s="184">
        <v>17378</v>
      </c>
      <c r="S1649">
        <v>76</v>
      </c>
      <c r="U1649" t="s">
        <v>7076</v>
      </c>
      <c r="V1649" t="s">
        <v>16359</v>
      </c>
      <c r="X1649" t="s">
        <v>16360</v>
      </c>
      <c r="AF1649" t="s">
        <v>16361</v>
      </c>
      <c r="AG1649" t="s">
        <v>16359</v>
      </c>
      <c r="AI1649" t="s">
        <v>16362</v>
      </c>
      <c r="AM1649" t="s">
        <v>16363</v>
      </c>
      <c r="AN1649" t="s">
        <v>2638</v>
      </c>
      <c r="AO1649" t="s">
        <v>16364</v>
      </c>
      <c r="AP1649" t="s">
        <v>7024</v>
      </c>
      <c r="AQ1649" t="s">
        <v>16365</v>
      </c>
      <c r="AT1649" s="184">
        <v>34695</v>
      </c>
      <c r="AU1649" t="s">
        <v>16366</v>
      </c>
      <c r="AV1649">
        <v>25</v>
      </c>
      <c r="AW1649" s="184">
        <v>45041</v>
      </c>
      <c r="AX1649" t="s">
        <v>9262</v>
      </c>
      <c r="AY1649">
        <v>100</v>
      </c>
      <c r="AZ1649" s="184">
        <v>34796</v>
      </c>
      <c r="BA1649" t="s">
        <v>16367</v>
      </c>
      <c r="BB1649">
        <v>250</v>
      </c>
      <c r="BC1649">
        <v>78</v>
      </c>
      <c r="BD1649">
        <v>1487</v>
      </c>
      <c r="BE1649">
        <v>1995</v>
      </c>
      <c r="BF1649">
        <v>32</v>
      </c>
      <c r="BG1649">
        <v>3</v>
      </c>
      <c r="BH1649">
        <v>200</v>
      </c>
      <c r="BI1649">
        <v>24</v>
      </c>
      <c r="BJ1649">
        <v>31</v>
      </c>
      <c r="BK1649">
        <v>11</v>
      </c>
      <c r="BP1649" s="184"/>
    </row>
    <row r="1650" spans="1:68">
      <c r="A1650">
        <v>18205252</v>
      </c>
      <c r="B1650">
        <v>18205252</v>
      </c>
      <c r="C1650" t="s">
        <v>7018</v>
      </c>
      <c r="D1650" t="s">
        <v>595</v>
      </c>
      <c r="E1650" s="184">
        <v>45141</v>
      </c>
      <c r="G1650" s="184"/>
      <c r="I1650" s="184"/>
      <c r="K1650" s="184"/>
      <c r="M1650" s="184"/>
      <c r="O1650" s="184"/>
      <c r="P1650" t="s">
        <v>7045</v>
      </c>
      <c r="Q1650" t="s">
        <v>7383</v>
      </c>
      <c r="R1650" s="184">
        <v>19904</v>
      </c>
      <c r="S1650">
        <v>69</v>
      </c>
      <c r="U1650" t="s">
        <v>7076</v>
      </c>
      <c r="V1650" t="s">
        <v>3317</v>
      </c>
      <c r="X1650" t="s">
        <v>16368</v>
      </c>
      <c r="AF1650" t="s">
        <v>16369</v>
      </c>
      <c r="AG1650" t="s">
        <v>3317</v>
      </c>
      <c r="AI1650" t="s">
        <v>16370</v>
      </c>
      <c r="AM1650" t="s">
        <v>2830</v>
      </c>
      <c r="AN1650" t="s">
        <v>2185</v>
      </c>
      <c r="AO1650" t="s">
        <v>16371</v>
      </c>
      <c r="AP1650" t="s">
        <v>7024</v>
      </c>
      <c r="AQ1650" t="s">
        <v>16372</v>
      </c>
      <c r="AT1650" s="184">
        <v>34695</v>
      </c>
      <c r="AU1650" t="s">
        <v>16309</v>
      </c>
      <c r="AV1650">
        <v>15</v>
      </c>
      <c r="AW1650" s="184">
        <v>44561</v>
      </c>
      <c r="AX1650" t="s">
        <v>16373</v>
      </c>
      <c r="AY1650">
        <v>100</v>
      </c>
      <c r="AZ1650" s="184">
        <v>44561</v>
      </c>
      <c r="BA1650" t="s">
        <v>16373</v>
      </c>
      <c r="BB1650">
        <v>100</v>
      </c>
      <c r="BC1650">
        <v>10</v>
      </c>
      <c r="BD1650">
        <v>165</v>
      </c>
      <c r="BE1650">
        <v>1995</v>
      </c>
      <c r="BF1650">
        <v>3</v>
      </c>
      <c r="BI1650">
        <v>3</v>
      </c>
      <c r="BJ1650">
        <v>31</v>
      </c>
      <c r="BK1650">
        <v>1</v>
      </c>
      <c r="BP1650" s="184"/>
    </row>
    <row r="1651" spans="1:68">
      <c r="A1651">
        <v>18206151</v>
      </c>
      <c r="B1651">
        <v>18206151</v>
      </c>
      <c r="C1651" t="s">
        <v>7018</v>
      </c>
      <c r="D1651" t="s">
        <v>595</v>
      </c>
      <c r="E1651" s="184">
        <v>43857</v>
      </c>
      <c r="G1651" s="184"/>
      <c r="I1651" s="184"/>
      <c r="K1651" s="184"/>
      <c r="M1651" s="184"/>
      <c r="O1651" s="184"/>
      <c r="P1651" t="s">
        <v>7045</v>
      </c>
      <c r="Q1651" t="s">
        <v>7374</v>
      </c>
      <c r="R1651" s="184">
        <v>10751</v>
      </c>
      <c r="S1651">
        <v>94</v>
      </c>
      <c r="U1651" t="s">
        <v>7130</v>
      </c>
      <c r="V1651" t="s">
        <v>3444</v>
      </c>
      <c r="X1651" t="s">
        <v>2977</v>
      </c>
      <c r="AF1651" t="s">
        <v>16374</v>
      </c>
      <c r="AG1651" t="s">
        <v>3444</v>
      </c>
      <c r="AI1651" t="s">
        <v>16375</v>
      </c>
      <c r="AM1651" t="s">
        <v>4551</v>
      </c>
      <c r="AN1651" t="s">
        <v>2081</v>
      </c>
      <c r="AO1651" t="s">
        <v>16376</v>
      </c>
      <c r="AP1651" t="s">
        <v>7024</v>
      </c>
      <c r="AT1651" s="184">
        <v>34698</v>
      </c>
      <c r="AU1651" t="s">
        <v>16377</v>
      </c>
      <c r="AV1651">
        <v>15</v>
      </c>
      <c r="AW1651" s="184">
        <v>45110</v>
      </c>
      <c r="AX1651" t="s">
        <v>8299</v>
      </c>
      <c r="AY1651">
        <v>50</v>
      </c>
      <c r="AZ1651" s="184">
        <v>45110</v>
      </c>
      <c r="BA1651" t="s">
        <v>8299</v>
      </c>
      <c r="BB1651">
        <v>50</v>
      </c>
      <c r="BC1651">
        <v>88</v>
      </c>
      <c r="BD1651">
        <v>995</v>
      </c>
      <c r="BE1651">
        <v>1995</v>
      </c>
      <c r="BF1651">
        <v>40</v>
      </c>
      <c r="BG1651">
        <v>1</v>
      </c>
      <c r="BH1651">
        <v>50</v>
      </c>
      <c r="BI1651">
        <v>27</v>
      </c>
      <c r="BJ1651">
        <v>31</v>
      </c>
      <c r="BK1651">
        <v>23</v>
      </c>
      <c r="BP1651" s="184"/>
    </row>
    <row r="1652" spans="1:68">
      <c r="A1652">
        <v>18220236</v>
      </c>
      <c r="B1652">
        <v>18220236</v>
      </c>
      <c r="C1652" t="s">
        <v>7018</v>
      </c>
      <c r="D1652" t="s">
        <v>595</v>
      </c>
      <c r="E1652" s="184">
        <v>43745</v>
      </c>
      <c r="G1652" s="184"/>
      <c r="I1652" s="184"/>
      <c r="K1652" s="184"/>
      <c r="M1652" s="184"/>
      <c r="O1652" s="184"/>
      <c r="P1652" t="s">
        <v>7045</v>
      </c>
      <c r="Q1652" t="s">
        <v>7020</v>
      </c>
      <c r="R1652" s="184">
        <v>18688</v>
      </c>
      <c r="S1652">
        <v>73</v>
      </c>
      <c r="U1652" t="s">
        <v>7076</v>
      </c>
      <c r="V1652" t="s">
        <v>2669</v>
      </c>
      <c r="W1652" t="s">
        <v>4013</v>
      </c>
      <c r="X1652" t="s">
        <v>4113</v>
      </c>
      <c r="AF1652" t="s">
        <v>16378</v>
      </c>
      <c r="AG1652" t="s">
        <v>2669</v>
      </c>
      <c r="AI1652" t="s">
        <v>16379</v>
      </c>
      <c r="AM1652" t="s">
        <v>4114</v>
      </c>
      <c r="AN1652" t="s">
        <v>2052</v>
      </c>
      <c r="AO1652" t="s">
        <v>16380</v>
      </c>
      <c r="AP1652" t="s">
        <v>7024</v>
      </c>
      <c r="AQ1652" t="s">
        <v>16381</v>
      </c>
      <c r="AR1652" t="s">
        <v>16382</v>
      </c>
      <c r="AT1652" s="184">
        <v>34696</v>
      </c>
      <c r="AU1652" t="s">
        <v>16309</v>
      </c>
      <c r="AV1652">
        <v>25</v>
      </c>
      <c r="AW1652" s="184">
        <v>45398</v>
      </c>
      <c r="AX1652" t="s">
        <v>7429</v>
      </c>
      <c r="AY1652">
        <v>10</v>
      </c>
      <c r="AZ1652" s="184">
        <v>41251</v>
      </c>
      <c r="BA1652" t="s">
        <v>16383</v>
      </c>
      <c r="BB1652">
        <v>87.5</v>
      </c>
      <c r="BC1652">
        <v>100</v>
      </c>
      <c r="BD1652">
        <v>4863.7</v>
      </c>
      <c r="BE1652">
        <v>1995</v>
      </c>
      <c r="BF1652">
        <v>251</v>
      </c>
      <c r="BG1652">
        <v>24</v>
      </c>
      <c r="BH1652">
        <v>240</v>
      </c>
      <c r="BI1652">
        <v>31</v>
      </c>
      <c r="BJ1652">
        <v>31</v>
      </c>
      <c r="BK1652">
        <v>31</v>
      </c>
    </row>
    <row r="1653" spans="1:68">
      <c r="A1653">
        <v>18221259</v>
      </c>
      <c r="B1653">
        <v>18221259</v>
      </c>
      <c r="C1653" t="s">
        <v>7018</v>
      </c>
      <c r="D1653" t="s">
        <v>595</v>
      </c>
      <c r="E1653" s="184">
        <v>45113</v>
      </c>
      <c r="G1653" s="184"/>
      <c r="I1653" s="184"/>
      <c r="K1653" s="184"/>
      <c r="M1653" s="184"/>
      <c r="O1653" s="184"/>
      <c r="P1653" t="s">
        <v>7045</v>
      </c>
      <c r="Q1653" t="s">
        <v>7383</v>
      </c>
      <c r="R1653" s="184">
        <v>24391</v>
      </c>
      <c r="S1653">
        <v>57</v>
      </c>
      <c r="U1653" t="s">
        <v>7076</v>
      </c>
      <c r="V1653" t="s">
        <v>4425</v>
      </c>
      <c r="W1653" t="s">
        <v>3332</v>
      </c>
      <c r="X1653" t="s">
        <v>7397</v>
      </c>
      <c r="AF1653" t="s">
        <v>16384</v>
      </c>
      <c r="AG1653" t="s">
        <v>4425</v>
      </c>
      <c r="AI1653" t="s">
        <v>16385</v>
      </c>
      <c r="AM1653" t="s">
        <v>3082</v>
      </c>
      <c r="AN1653" t="s">
        <v>2313</v>
      </c>
      <c r="AO1653" t="s">
        <v>16386</v>
      </c>
      <c r="AP1653" t="s">
        <v>7024</v>
      </c>
      <c r="AQ1653" t="s">
        <v>16387</v>
      </c>
      <c r="AT1653" s="184">
        <v>34696</v>
      </c>
      <c r="AU1653" t="s">
        <v>16388</v>
      </c>
      <c r="AV1653">
        <v>20</v>
      </c>
      <c r="AW1653" s="184">
        <v>45412</v>
      </c>
      <c r="AX1653" t="s">
        <v>7429</v>
      </c>
      <c r="AY1653">
        <v>10</v>
      </c>
      <c r="AZ1653" s="184">
        <v>41974</v>
      </c>
      <c r="BA1653" t="s">
        <v>16389</v>
      </c>
      <c r="BB1653">
        <v>150</v>
      </c>
      <c r="BC1653">
        <v>91</v>
      </c>
      <c r="BD1653">
        <v>2580</v>
      </c>
      <c r="BE1653">
        <v>1995</v>
      </c>
      <c r="BF1653">
        <v>107</v>
      </c>
      <c r="BG1653">
        <v>24</v>
      </c>
      <c r="BH1653">
        <v>240</v>
      </c>
      <c r="BI1653">
        <v>28</v>
      </c>
      <c r="BJ1653">
        <v>31</v>
      </c>
      <c r="BK1653">
        <v>18</v>
      </c>
      <c r="BN1653" t="s">
        <v>595</v>
      </c>
      <c r="BP1653" s="184"/>
    </row>
    <row r="1654" spans="1:68">
      <c r="A1654">
        <v>18251033</v>
      </c>
      <c r="B1654">
        <v>18251033</v>
      </c>
      <c r="C1654" t="s">
        <v>7018</v>
      </c>
      <c r="D1654" t="s">
        <v>595</v>
      </c>
      <c r="E1654" s="184">
        <v>44104</v>
      </c>
      <c r="G1654" s="184"/>
      <c r="K1654" s="184"/>
      <c r="M1654" s="184"/>
      <c r="O1654" s="184"/>
      <c r="P1654" t="s">
        <v>7045</v>
      </c>
      <c r="Q1654" t="s">
        <v>7194</v>
      </c>
      <c r="R1654" s="184">
        <v>14948</v>
      </c>
      <c r="S1654">
        <v>83</v>
      </c>
      <c r="U1654" t="s">
        <v>7031</v>
      </c>
      <c r="V1654" t="s">
        <v>16068</v>
      </c>
      <c r="W1654" t="s">
        <v>7396</v>
      </c>
      <c r="X1654" t="s">
        <v>4847</v>
      </c>
      <c r="AF1654" t="s">
        <v>16390</v>
      </c>
      <c r="AG1654" t="s">
        <v>16068</v>
      </c>
      <c r="AI1654" t="s">
        <v>16391</v>
      </c>
      <c r="AM1654" t="s">
        <v>16392</v>
      </c>
      <c r="AN1654" t="s">
        <v>2046</v>
      </c>
      <c r="AO1654" t="s">
        <v>16393</v>
      </c>
      <c r="AP1654" t="s">
        <v>7024</v>
      </c>
      <c r="AQ1654" t="s">
        <v>16394</v>
      </c>
      <c r="AR1654" t="s">
        <v>16395</v>
      </c>
      <c r="AT1654" s="184">
        <v>34702</v>
      </c>
      <c r="AU1654" t="s">
        <v>16396</v>
      </c>
      <c r="AV1654">
        <v>25</v>
      </c>
      <c r="AW1654" s="184">
        <v>45393</v>
      </c>
      <c r="AX1654" t="s">
        <v>11949</v>
      </c>
      <c r="AY1654">
        <v>200</v>
      </c>
      <c r="AZ1654" s="184">
        <v>44148</v>
      </c>
      <c r="BA1654" t="s">
        <v>16397</v>
      </c>
      <c r="BB1654">
        <v>500</v>
      </c>
      <c r="BC1654">
        <v>87</v>
      </c>
      <c r="BD1654">
        <v>10147</v>
      </c>
      <c r="BE1654">
        <v>1995</v>
      </c>
      <c r="BF1654">
        <v>85</v>
      </c>
      <c r="BG1654">
        <v>5</v>
      </c>
      <c r="BH1654">
        <v>700</v>
      </c>
      <c r="BI1654">
        <v>26</v>
      </c>
      <c r="BJ1654">
        <v>30</v>
      </c>
      <c r="BK1654">
        <v>18</v>
      </c>
      <c r="BN1654" t="s">
        <v>595</v>
      </c>
      <c r="BP1654" s="184"/>
    </row>
    <row r="1655" spans="1:68">
      <c r="A1655">
        <v>100049530</v>
      </c>
      <c r="B1655">
        <v>18253740</v>
      </c>
      <c r="C1655" t="s">
        <v>7018</v>
      </c>
      <c r="E1655" s="184"/>
      <c r="G1655" s="184"/>
      <c r="I1655" s="184"/>
      <c r="K1655" s="184"/>
      <c r="M1655" s="184"/>
      <c r="N1655" t="s">
        <v>595</v>
      </c>
      <c r="O1655" s="184">
        <v>40525</v>
      </c>
      <c r="P1655" t="s">
        <v>7029</v>
      </c>
      <c r="Q1655" t="s">
        <v>7383</v>
      </c>
      <c r="R1655" s="184">
        <v>12770</v>
      </c>
      <c r="S1655">
        <v>89</v>
      </c>
      <c r="U1655" t="s">
        <v>7031</v>
      </c>
      <c r="V1655" t="s">
        <v>2697</v>
      </c>
      <c r="W1655" t="s">
        <v>4013</v>
      </c>
      <c r="X1655" t="s">
        <v>5619</v>
      </c>
      <c r="Z1655">
        <v>18253740</v>
      </c>
      <c r="AA1655" t="s">
        <v>7130</v>
      </c>
      <c r="AB1655" t="s">
        <v>2845</v>
      </c>
      <c r="AD1655" t="s">
        <v>5619</v>
      </c>
      <c r="AF1655" t="s">
        <v>16398</v>
      </c>
      <c r="AG1655" t="s">
        <v>16399</v>
      </c>
      <c r="AI1655" t="s">
        <v>16400</v>
      </c>
      <c r="AM1655" t="s">
        <v>5620</v>
      </c>
      <c r="AN1655" t="s">
        <v>2185</v>
      </c>
      <c r="AO1655" t="s">
        <v>16401</v>
      </c>
      <c r="AP1655" t="s">
        <v>7024</v>
      </c>
      <c r="AQ1655" t="s">
        <v>16402</v>
      </c>
      <c r="AT1655" s="184">
        <v>44848</v>
      </c>
      <c r="AU1655" t="s">
        <v>16403</v>
      </c>
      <c r="AV1655">
        <v>25</v>
      </c>
      <c r="AW1655" s="184">
        <v>44848</v>
      </c>
      <c r="AX1655" t="s">
        <v>16403</v>
      </c>
      <c r="AY1655">
        <v>25</v>
      </c>
      <c r="AZ1655" s="184">
        <v>44848</v>
      </c>
      <c r="BA1655" t="s">
        <v>16403</v>
      </c>
      <c r="BB1655">
        <v>25</v>
      </c>
      <c r="BC1655">
        <v>34</v>
      </c>
      <c r="BD1655">
        <v>25</v>
      </c>
      <c r="BE1655">
        <v>2023</v>
      </c>
      <c r="BF1655">
        <v>1</v>
      </c>
      <c r="BG1655">
        <v>1</v>
      </c>
      <c r="BH1655">
        <v>25</v>
      </c>
      <c r="BI1655">
        <v>1</v>
      </c>
      <c r="BJ1655">
        <v>3</v>
      </c>
      <c r="BK1655">
        <v>1</v>
      </c>
      <c r="BP1655" s="184"/>
    </row>
    <row r="1656" spans="1:68">
      <c r="A1656">
        <v>18255935</v>
      </c>
      <c r="B1656">
        <v>18255935</v>
      </c>
      <c r="C1656" t="s">
        <v>7018</v>
      </c>
      <c r="E1656" s="184"/>
      <c r="G1656" s="184"/>
      <c r="I1656" s="184"/>
      <c r="J1656" t="s">
        <v>595</v>
      </c>
      <c r="K1656" s="184">
        <v>42960</v>
      </c>
      <c r="M1656" s="184"/>
      <c r="O1656" s="184"/>
      <c r="P1656" t="s">
        <v>7029</v>
      </c>
      <c r="Q1656" t="s">
        <v>7383</v>
      </c>
      <c r="R1656" s="184">
        <v>17838</v>
      </c>
      <c r="S1656">
        <v>75</v>
      </c>
      <c r="U1656" t="s">
        <v>7032</v>
      </c>
      <c r="V1656" t="s">
        <v>2551</v>
      </c>
      <c r="W1656" t="s">
        <v>5006</v>
      </c>
      <c r="X1656" t="s">
        <v>16404</v>
      </c>
      <c r="Z1656">
        <v>100049541</v>
      </c>
      <c r="AA1656" t="s">
        <v>7032</v>
      </c>
      <c r="AB1656" t="s">
        <v>2903</v>
      </c>
      <c r="AC1656" t="s">
        <v>5006</v>
      </c>
      <c r="AD1656" t="s">
        <v>16404</v>
      </c>
      <c r="AF1656" t="s">
        <v>16405</v>
      </c>
      <c r="AG1656" t="s">
        <v>16406</v>
      </c>
      <c r="AI1656" t="s">
        <v>16407</v>
      </c>
      <c r="AM1656" t="s">
        <v>2703</v>
      </c>
      <c r="AN1656" t="s">
        <v>2064</v>
      </c>
      <c r="AO1656" t="s">
        <v>16408</v>
      </c>
      <c r="AP1656" t="s">
        <v>7024</v>
      </c>
      <c r="AQ1656" t="s">
        <v>16409</v>
      </c>
      <c r="AT1656" s="184">
        <v>34703</v>
      </c>
      <c r="AU1656" t="s">
        <v>16410</v>
      </c>
      <c r="AV1656">
        <v>25</v>
      </c>
      <c r="AW1656" s="184">
        <v>45320</v>
      </c>
      <c r="AX1656" t="s">
        <v>7382</v>
      </c>
      <c r="AY1656">
        <v>1000</v>
      </c>
      <c r="AZ1656" s="184">
        <v>45320</v>
      </c>
      <c r="BA1656" t="s">
        <v>7382</v>
      </c>
      <c r="BB1656">
        <v>1000</v>
      </c>
      <c r="BC1656">
        <v>47</v>
      </c>
      <c r="BD1656">
        <v>4698</v>
      </c>
      <c r="BE1656">
        <v>1995</v>
      </c>
      <c r="BF1656">
        <v>17</v>
      </c>
      <c r="BG1656">
        <v>2</v>
      </c>
      <c r="BH1656">
        <v>2000</v>
      </c>
      <c r="BI1656">
        <v>14</v>
      </c>
      <c r="BJ1656">
        <v>30</v>
      </c>
      <c r="BK1656">
        <v>4</v>
      </c>
      <c r="BP1656" s="184"/>
    </row>
    <row r="1657" spans="1:68">
      <c r="A1657">
        <v>100049541</v>
      </c>
      <c r="B1657">
        <v>18255935</v>
      </c>
      <c r="C1657" t="s">
        <v>7018</v>
      </c>
      <c r="E1657" s="184"/>
      <c r="G1657" s="184"/>
      <c r="I1657" s="184"/>
      <c r="J1657" t="s">
        <v>595</v>
      </c>
      <c r="K1657" s="184">
        <v>42960</v>
      </c>
      <c r="M1657" s="184"/>
      <c r="O1657" s="184"/>
      <c r="P1657" t="s">
        <v>7029</v>
      </c>
      <c r="Q1657" t="s">
        <v>7383</v>
      </c>
      <c r="R1657" s="184">
        <v>18629</v>
      </c>
      <c r="S1657">
        <v>73</v>
      </c>
      <c r="U1657" t="s">
        <v>7032</v>
      </c>
      <c r="V1657" t="s">
        <v>2903</v>
      </c>
      <c r="W1657" t="s">
        <v>5006</v>
      </c>
      <c r="X1657" t="s">
        <v>16404</v>
      </c>
      <c r="Z1657">
        <v>18255935</v>
      </c>
      <c r="AA1657" t="s">
        <v>7032</v>
      </c>
      <c r="AB1657" t="s">
        <v>2551</v>
      </c>
      <c r="AC1657" t="s">
        <v>5006</v>
      </c>
      <c r="AD1657" t="s">
        <v>16404</v>
      </c>
      <c r="AF1657" t="s">
        <v>16405</v>
      </c>
      <c r="AG1657" t="s">
        <v>16406</v>
      </c>
      <c r="AI1657" t="s">
        <v>16407</v>
      </c>
      <c r="AM1657" t="s">
        <v>2703</v>
      </c>
      <c r="AN1657" t="s">
        <v>2064</v>
      </c>
      <c r="AO1657" t="s">
        <v>16408</v>
      </c>
      <c r="AP1657" t="s">
        <v>7024</v>
      </c>
      <c r="AQ1657" t="s">
        <v>16409</v>
      </c>
      <c r="AT1657" s="184"/>
      <c r="AW1657" s="184"/>
      <c r="AZ1657" s="184"/>
      <c r="BP1657" s="184"/>
    </row>
    <row r="1658" spans="1:68">
      <c r="A1658">
        <v>18312280</v>
      </c>
      <c r="B1658">
        <v>18312280</v>
      </c>
      <c r="C1658" t="s">
        <v>7018</v>
      </c>
      <c r="E1658" s="184"/>
      <c r="F1658" t="s">
        <v>595</v>
      </c>
      <c r="G1658" s="184">
        <v>44073</v>
      </c>
      <c r="H1658" t="s">
        <v>595</v>
      </c>
      <c r="I1658" s="184">
        <v>44073</v>
      </c>
      <c r="K1658" s="184"/>
      <c r="M1658" s="184"/>
      <c r="O1658" s="184"/>
      <c r="P1658" t="s">
        <v>7045</v>
      </c>
      <c r="Q1658" t="s">
        <v>7030</v>
      </c>
      <c r="R1658" s="184">
        <v>21748</v>
      </c>
      <c r="S1658">
        <v>64</v>
      </c>
      <c r="U1658" t="s">
        <v>7031</v>
      </c>
      <c r="V1658" t="s">
        <v>3246</v>
      </c>
      <c r="X1658" t="s">
        <v>2999</v>
      </c>
      <c r="AF1658" t="s">
        <v>16411</v>
      </c>
      <c r="AG1658" t="s">
        <v>3246</v>
      </c>
      <c r="AI1658" t="s">
        <v>16412</v>
      </c>
      <c r="AM1658" t="s">
        <v>3181</v>
      </c>
      <c r="AN1658" t="s">
        <v>2094</v>
      </c>
      <c r="AO1658" t="s">
        <v>16413</v>
      </c>
      <c r="AP1658" t="s">
        <v>7024</v>
      </c>
      <c r="AQ1658" t="s">
        <v>16414</v>
      </c>
      <c r="AT1658" s="184">
        <v>34712</v>
      </c>
      <c r="AU1658" t="s">
        <v>16415</v>
      </c>
      <c r="AV1658">
        <v>25</v>
      </c>
      <c r="AW1658" s="184">
        <v>45266</v>
      </c>
      <c r="AX1658" t="s">
        <v>16416</v>
      </c>
      <c r="AY1658">
        <v>90</v>
      </c>
      <c r="AZ1658" s="184">
        <v>44092</v>
      </c>
      <c r="BA1658" t="s">
        <v>16417</v>
      </c>
      <c r="BB1658">
        <v>100</v>
      </c>
      <c r="BC1658">
        <v>90</v>
      </c>
      <c r="BD1658">
        <v>1300</v>
      </c>
      <c r="BE1658">
        <v>1995</v>
      </c>
      <c r="BF1658">
        <v>30</v>
      </c>
      <c r="BG1658">
        <v>2</v>
      </c>
      <c r="BH1658">
        <v>170</v>
      </c>
      <c r="BI1658">
        <v>27</v>
      </c>
      <c r="BJ1658">
        <v>30</v>
      </c>
      <c r="BK1658">
        <v>24</v>
      </c>
      <c r="BP1658" s="184"/>
    </row>
    <row r="1659" spans="1:68">
      <c r="A1659">
        <v>18313593</v>
      </c>
      <c r="B1659">
        <v>18313593</v>
      </c>
      <c r="C1659" t="s">
        <v>7018</v>
      </c>
      <c r="D1659" t="s">
        <v>595</v>
      </c>
      <c r="E1659" s="184">
        <v>43970</v>
      </c>
      <c r="G1659" s="184"/>
      <c r="I1659" s="184"/>
      <c r="K1659" s="184"/>
      <c r="M1659" s="184"/>
      <c r="P1659" t="s">
        <v>7045</v>
      </c>
      <c r="Q1659" t="s">
        <v>7262</v>
      </c>
      <c r="R1659" s="184">
        <v>12663</v>
      </c>
      <c r="S1659">
        <v>89</v>
      </c>
      <c r="U1659" t="s">
        <v>7076</v>
      </c>
      <c r="V1659" t="s">
        <v>2958</v>
      </c>
      <c r="X1659" t="s">
        <v>16418</v>
      </c>
      <c r="AF1659" t="s">
        <v>16419</v>
      </c>
      <c r="AG1659" t="s">
        <v>2958</v>
      </c>
      <c r="AI1659" t="s">
        <v>16420</v>
      </c>
      <c r="AM1659" t="s">
        <v>5381</v>
      </c>
      <c r="AN1659" t="s">
        <v>2069</v>
      </c>
      <c r="AO1659" t="s">
        <v>16421</v>
      </c>
      <c r="AP1659" t="s">
        <v>7024</v>
      </c>
      <c r="AQ1659" t="s">
        <v>16422</v>
      </c>
      <c r="AT1659" s="184">
        <v>34716</v>
      </c>
      <c r="AU1659" t="s">
        <v>16423</v>
      </c>
      <c r="AV1659">
        <v>25</v>
      </c>
      <c r="AW1659" s="184">
        <v>42261</v>
      </c>
      <c r="AX1659" t="s">
        <v>16424</v>
      </c>
      <c r="AY1659">
        <v>150</v>
      </c>
      <c r="AZ1659" s="184">
        <v>39969</v>
      </c>
      <c r="BA1659" t="s">
        <v>16425</v>
      </c>
      <c r="BB1659">
        <v>200</v>
      </c>
      <c r="BC1659">
        <v>67</v>
      </c>
      <c r="BD1659">
        <v>2779</v>
      </c>
      <c r="BE1659">
        <v>1995</v>
      </c>
      <c r="BF1659">
        <v>38</v>
      </c>
      <c r="BI1659">
        <v>20</v>
      </c>
      <c r="BJ1659">
        <v>30</v>
      </c>
      <c r="BK1659">
        <v>16</v>
      </c>
      <c r="BN1659" t="s">
        <v>595</v>
      </c>
      <c r="BO1659" t="s">
        <v>595</v>
      </c>
      <c r="BP1659" s="184">
        <v>44022</v>
      </c>
    </row>
    <row r="1660" spans="1:68">
      <c r="A1660">
        <v>18328575</v>
      </c>
      <c r="B1660">
        <v>18328575</v>
      </c>
      <c r="C1660" t="s">
        <v>7018</v>
      </c>
      <c r="D1660" t="s">
        <v>595</v>
      </c>
      <c r="E1660" s="184">
        <v>45166</v>
      </c>
      <c r="G1660" s="184"/>
      <c r="I1660" s="184"/>
      <c r="K1660" s="184"/>
      <c r="M1660" s="184"/>
      <c r="P1660" t="s">
        <v>7045</v>
      </c>
      <c r="Q1660" t="s">
        <v>7383</v>
      </c>
      <c r="R1660" s="184">
        <v>20180</v>
      </c>
      <c r="S1660">
        <v>69</v>
      </c>
      <c r="V1660" t="s">
        <v>3478</v>
      </c>
      <c r="W1660" t="s">
        <v>5006</v>
      </c>
      <c r="X1660" t="s">
        <v>16426</v>
      </c>
      <c r="AF1660" t="s">
        <v>16427</v>
      </c>
      <c r="AG1660" t="s">
        <v>3478</v>
      </c>
      <c r="AI1660" t="s">
        <v>16428</v>
      </c>
      <c r="AM1660" t="s">
        <v>16429</v>
      </c>
      <c r="AN1660" t="s">
        <v>2274</v>
      </c>
      <c r="AO1660" t="s">
        <v>16430</v>
      </c>
      <c r="AP1660" t="s">
        <v>7024</v>
      </c>
      <c r="AQ1660" t="s">
        <v>16431</v>
      </c>
      <c r="AT1660" s="184">
        <v>34717</v>
      </c>
      <c r="AU1660" t="s">
        <v>16432</v>
      </c>
      <c r="AV1660">
        <v>15</v>
      </c>
      <c r="AW1660" s="184">
        <v>44890</v>
      </c>
      <c r="AX1660" t="s">
        <v>16433</v>
      </c>
      <c r="AY1660">
        <v>50</v>
      </c>
      <c r="AZ1660" s="184">
        <v>43306</v>
      </c>
      <c r="BA1660" t="s">
        <v>16434</v>
      </c>
      <c r="BB1660">
        <v>60</v>
      </c>
      <c r="BC1660">
        <v>17</v>
      </c>
      <c r="BD1660">
        <v>215</v>
      </c>
      <c r="BE1660">
        <v>1995</v>
      </c>
      <c r="BF1660">
        <v>6</v>
      </c>
      <c r="BG1660">
        <v>1</v>
      </c>
      <c r="BH1660">
        <v>50</v>
      </c>
      <c r="BI1660">
        <v>5</v>
      </c>
      <c r="BJ1660">
        <v>30</v>
      </c>
      <c r="BK1660">
        <v>2</v>
      </c>
      <c r="BP1660" s="184"/>
    </row>
    <row r="1661" spans="1:68">
      <c r="A1661">
        <v>18340190</v>
      </c>
      <c r="B1661">
        <v>18340190</v>
      </c>
      <c r="C1661" t="s">
        <v>7018</v>
      </c>
      <c r="E1661" s="184"/>
      <c r="G1661" s="184"/>
      <c r="I1661" s="184"/>
      <c r="K1661" s="184"/>
      <c r="L1661" t="s">
        <v>595</v>
      </c>
      <c r="M1661" s="184">
        <v>44533</v>
      </c>
      <c r="P1661" t="s">
        <v>7029</v>
      </c>
      <c r="Q1661" t="s">
        <v>7262</v>
      </c>
      <c r="R1661" s="184">
        <v>18295</v>
      </c>
      <c r="S1661">
        <v>74</v>
      </c>
      <c r="U1661" t="s">
        <v>7130</v>
      </c>
      <c r="V1661" t="s">
        <v>3101</v>
      </c>
      <c r="W1661" t="s">
        <v>3951</v>
      </c>
      <c r="X1661" t="s">
        <v>4024</v>
      </c>
      <c r="Z1661">
        <v>100049833</v>
      </c>
      <c r="AA1661" t="s">
        <v>7031</v>
      </c>
      <c r="AB1661" t="s">
        <v>4502</v>
      </c>
      <c r="AC1661" t="s">
        <v>3332</v>
      </c>
      <c r="AD1661" t="s">
        <v>4024</v>
      </c>
      <c r="AF1661" t="s">
        <v>16435</v>
      </c>
      <c r="AG1661" t="s">
        <v>16436</v>
      </c>
      <c r="AI1661" t="s">
        <v>16437</v>
      </c>
      <c r="AM1661" t="s">
        <v>4706</v>
      </c>
      <c r="AN1661" t="s">
        <v>2069</v>
      </c>
      <c r="AO1661" t="s">
        <v>16438</v>
      </c>
      <c r="AP1661" t="s">
        <v>7024</v>
      </c>
      <c r="AQ1661" t="s">
        <v>16439</v>
      </c>
      <c r="AR1661" t="s">
        <v>16440</v>
      </c>
      <c r="AT1661" s="184">
        <v>34711</v>
      </c>
      <c r="AU1661" t="s">
        <v>16441</v>
      </c>
      <c r="AV1661">
        <v>20</v>
      </c>
      <c r="AW1661" s="184">
        <v>45250</v>
      </c>
      <c r="AX1661" t="s">
        <v>7749</v>
      </c>
      <c r="AY1661">
        <v>2000</v>
      </c>
      <c r="AZ1661" s="184">
        <v>43087</v>
      </c>
      <c r="BA1661" t="s">
        <v>16442</v>
      </c>
      <c r="BB1661">
        <v>9998.4</v>
      </c>
      <c r="BC1661">
        <v>97</v>
      </c>
      <c r="BD1661">
        <v>24515.759999999998</v>
      </c>
      <c r="BE1661">
        <v>1995</v>
      </c>
      <c r="BF1661">
        <v>66</v>
      </c>
      <c r="BG1661">
        <v>2</v>
      </c>
      <c r="BH1661">
        <v>3000</v>
      </c>
      <c r="BI1661">
        <v>29</v>
      </c>
      <c r="BJ1661">
        <v>30</v>
      </c>
      <c r="BK1661">
        <v>29</v>
      </c>
      <c r="BP1661" s="184"/>
    </row>
    <row r="1662" spans="1:68">
      <c r="A1662">
        <v>100049833</v>
      </c>
      <c r="B1662">
        <v>18340190</v>
      </c>
      <c r="C1662" t="s">
        <v>7018</v>
      </c>
      <c r="E1662" s="184"/>
      <c r="G1662" s="184"/>
      <c r="I1662" s="184"/>
      <c r="K1662" s="184"/>
      <c r="L1662" t="s">
        <v>595</v>
      </c>
      <c r="M1662" s="184">
        <v>44533</v>
      </c>
      <c r="O1662" s="184"/>
      <c r="P1662" t="s">
        <v>7029</v>
      </c>
      <c r="Q1662" t="s">
        <v>7262</v>
      </c>
      <c r="R1662" s="184">
        <v>18295</v>
      </c>
      <c r="S1662">
        <v>74</v>
      </c>
      <c r="U1662" t="s">
        <v>7031</v>
      </c>
      <c r="V1662" t="s">
        <v>4502</v>
      </c>
      <c r="W1662" t="s">
        <v>3332</v>
      </c>
      <c r="X1662" t="s">
        <v>4024</v>
      </c>
      <c r="Z1662">
        <v>18340190</v>
      </c>
      <c r="AA1662" t="s">
        <v>7130</v>
      </c>
      <c r="AB1662" t="s">
        <v>3101</v>
      </c>
      <c r="AC1662" t="s">
        <v>3951</v>
      </c>
      <c r="AD1662" t="s">
        <v>4024</v>
      </c>
      <c r="AF1662" t="s">
        <v>16435</v>
      </c>
      <c r="AG1662" t="s">
        <v>16436</v>
      </c>
      <c r="AI1662" t="s">
        <v>16437</v>
      </c>
      <c r="AM1662" t="s">
        <v>4706</v>
      </c>
      <c r="AN1662" t="s">
        <v>2069</v>
      </c>
      <c r="AO1662" t="s">
        <v>16438</v>
      </c>
      <c r="AP1662" t="s">
        <v>7024</v>
      </c>
      <c r="AQ1662" t="s">
        <v>16443</v>
      </c>
      <c r="AT1662" s="184">
        <v>34127</v>
      </c>
      <c r="AU1662" t="s">
        <v>16444</v>
      </c>
      <c r="AV1662">
        <v>15</v>
      </c>
      <c r="AW1662" s="184">
        <v>38764</v>
      </c>
      <c r="AX1662" t="s">
        <v>16445</v>
      </c>
      <c r="AY1662">
        <v>50</v>
      </c>
      <c r="AZ1662" s="184">
        <v>38764</v>
      </c>
      <c r="BA1662" t="s">
        <v>16445</v>
      </c>
      <c r="BB1662">
        <v>50</v>
      </c>
      <c r="BC1662">
        <v>44</v>
      </c>
      <c r="BD1662">
        <v>2155</v>
      </c>
      <c r="BE1662">
        <v>1993</v>
      </c>
      <c r="BF1662">
        <v>53</v>
      </c>
      <c r="BI1662">
        <v>14</v>
      </c>
      <c r="BJ1662">
        <v>32</v>
      </c>
      <c r="BK1662">
        <v>14</v>
      </c>
      <c r="BP1662" s="184"/>
    </row>
    <row r="1663" spans="1:68">
      <c r="A1663">
        <v>18356675</v>
      </c>
      <c r="B1663">
        <v>18356675</v>
      </c>
      <c r="C1663" t="s">
        <v>7018</v>
      </c>
      <c r="D1663" t="s">
        <v>595</v>
      </c>
      <c r="E1663" s="184">
        <v>45195</v>
      </c>
      <c r="G1663" s="184"/>
      <c r="I1663" s="184"/>
      <c r="K1663" s="184"/>
      <c r="M1663" s="184"/>
      <c r="O1663" s="184"/>
      <c r="P1663" t="s">
        <v>7045</v>
      </c>
      <c r="Q1663" t="s">
        <v>7374</v>
      </c>
      <c r="R1663" s="184">
        <v>24968</v>
      </c>
      <c r="S1663">
        <v>56</v>
      </c>
      <c r="U1663" t="s">
        <v>7076</v>
      </c>
      <c r="V1663" t="s">
        <v>10550</v>
      </c>
      <c r="X1663" t="s">
        <v>16446</v>
      </c>
      <c r="AF1663" t="s">
        <v>16447</v>
      </c>
      <c r="AG1663" t="s">
        <v>10550</v>
      </c>
      <c r="AI1663" t="s">
        <v>16448</v>
      </c>
      <c r="AM1663" t="s">
        <v>2534</v>
      </c>
      <c r="AN1663" t="s">
        <v>2081</v>
      </c>
      <c r="AO1663" t="s">
        <v>16449</v>
      </c>
      <c r="AP1663" t="s">
        <v>7024</v>
      </c>
      <c r="AQ1663" t="s">
        <v>16450</v>
      </c>
      <c r="AT1663" s="184">
        <v>34719</v>
      </c>
      <c r="AU1663" t="s">
        <v>16451</v>
      </c>
      <c r="AV1663">
        <v>15</v>
      </c>
      <c r="AW1663" s="184">
        <v>45349</v>
      </c>
      <c r="AX1663" t="s">
        <v>16452</v>
      </c>
      <c r="AY1663">
        <v>25</v>
      </c>
      <c r="AZ1663" s="184">
        <v>45349</v>
      </c>
      <c r="BA1663" t="s">
        <v>16452</v>
      </c>
      <c r="BB1663">
        <v>25</v>
      </c>
      <c r="BC1663">
        <v>34</v>
      </c>
      <c r="BD1663">
        <v>225</v>
      </c>
      <c r="BE1663">
        <v>1995</v>
      </c>
      <c r="BF1663">
        <v>13</v>
      </c>
      <c r="BG1663">
        <v>2</v>
      </c>
      <c r="BH1663">
        <v>50</v>
      </c>
      <c r="BI1663">
        <v>10</v>
      </c>
      <c r="BJ1663">
        <v>30</v>
      </c>
      <c r="BK1663">
        <v>5</v>
      </c>
      <c r="BP1663" s="184"/>
    </row>
    <row r="1664" spans="1:68">
      <c r="A1664">
        <v>18365353</v>
      </c>
      <c r="B1664">
        <v>18365353</v>
      </c>
      <c r="C1664" t="s">
        <v>7018</v>
      </c>
      <c r="D1664" t="s">
        <v>595</v>
      </c>
      <c r="E1664" s="184">
        <v>43851</v>
      </c>
      <c r="G1664" s="184"/>
      <c r="I1664" s="184"/>
      <c r="K1664" s="184"/>
      <c r="M1664" s="184"/>
      <c r="O1664" s="184"/>
      <c r="P1664" t="s">
        <v>7045</v>
      </c>
      <c r="Q1664" t="s">
        <v>7374</v>
      </c>
      <c r="R1664" s="184">
        <v>18080</v>
      </c>
      <c r="S1664">
        <v>74</v>
      </c>
      <c r="V1664" t="s">
        <v>2602</v>
      </c>
      <c r="X1664" t="s">
        <v>4532</v>
      </c>
      <c r="AF1664" t="s">
        <v>16453</v>
      </c>
      <c r="AG1664" t="s">
        <v>2602</v>
      </c>
      <c r="AI1664" t="s">
        <v>16454</v>
      </c>
      <c r="AM1664" t="s">
        <v>2534</v>
      </c>
      <c r="AN1664" t="s">
        <v>2081</v>
      </c>
      <c r="AO1664" t="s">
        <v>16455</v>
      </c>
      <c r="AP1664" t="s">
        <v>7024</v>
      </c>
      <c r="AT1664" s="184">
        <v>34722</v>
      </c>
      <c r="AU1664" t="s">
        <v>16456</v>
      </c>
      <c r="AV1664">
        <v>25</v>
      </c>
      <c r="AW1664" s="184">
        <v>43378</v>
      </c>
      <c r="AX1664" t="s">
        <v>16457</v>
      </c>
      <c r="AY1664">
        <v>25</v>
      </c>
      <c r="AZ1664" s="184">
        <v>35744</v>
      </c>
      <c r="BA1664" t="s">
        <v>16458</v>
      </c>
      <c r="BB1664">
        <v>35</v>
      </c>
      <c r="BC1664">
        <v>40</v>
      </c>
      <c r="BD1664">
        <v>570</v>
      </c>
      <c r="BE1664">
        <v>1995</v>
      </c>
      <c r="BF1664">
        <v>24</v>
      </c>
      <c r="BI1664">
        <v>12</v>
      </c>
      <c r="BJ1664">
        <v>30</v>
      </c>
      <c r="BK1664">
        <v>6</v>
      </c>
      <c r="BP1664" s="184"/>
    </row>
    <row r="1665" spans="1:68">
      <c r="A1665">
        <v>18365635</v>
      </c>
      <c r="B1665">
        <v>18365635</v>
      </c>
      <c r="C1665" t="s">
        <v>7018</v>
      </c>
      <c r="E1665" s="184"/>
      <c r="G1665" s="184"/>
      <c r="I1665" s="184"/>
      <c r="J1665" t="s">
        <v>595</v>
      </c>
      <c r="K1665" s="184">
        <v>43829</v>
      </c>
      <c r="O1665" s="184"/>
      <c r="P1665" t="s">
        <v>7045</v>
      </c>
      <c r="Q1665" t="s">
        <v>7494</v>
      </c>
      <c r="R1665" s="184">
        <v>17595</v>
      </c>
      <c r="S1665">
        <v>76</v>
      </c>
      <c r="V1665" t="s">
        <v>4330</v>
      </c>
      <c r="W1665" t="s">
        <v>3226</v>
      </c>
      <c r="X1665" t="s">
        <v>16459</v>
      </c>
      <c r="Z1665">
        <v>100049904</v>
      </c>
      <c r="AB1665" t="s">
        <v>2697</v>
      </c>
      <c r="AC1665" t="s">
        <v>7836</v>
      </c>
      <c r="AD1665" t="s">
        <v>16460</v>
      </c>
      <c r="AF1665" t="s">
        <v>6219</v>
      </c>
      <c r="AG1665" t="s">
        <v>16461</v>
      </c>
      <c r="AI1665" t="s">
        <v>16462</v>
      </c>
      <c r="AM1665" t="s">
        <v>2582</v>
      </c>
      <c r="AN1665" t="s">
        <v>2174</v>
      </c>
      <c r="AO1665" t="s">
        <v>16463</v>
      </c>
      <c r="AP1665" t="s">
        <v>7024</v>
      </c>
      <c r="AT1665" s="184">
        <v>34722</v>
      </c>
      <c r="AU1665" t="s">
        <v>16456</v>
      </c>
      <c r="AV1665">
        <v>25</v>
      </c>
      <c r="AW1665" s="184">
        <v>45131</v>
      </c>
      <c r="AX1665" t="s">
        <v>14216</v>
      </c>
      <c r="AY1665">
        <v>50</v>
      </c>
      <c r="AZ1665" s="184">
        <v>40617</v>
      </c>
      <c r="BA1665" t="s">
        <v>16464</v>
      </c>
      <c r="BB1665">
        <v>115</v>
      </c>
      <c r="BC1665">
        <v>94</v>
      </c>
      <c r="BD1665">
        <v>2845</v>
      </c>
      <c r="BE1665">
        <v>1995</v>
      </c>
      <c r="BF1665">
        <v>46</v>
      </c>
      <c r="BG1665">
        <v>2</v>
      </c>
      <c r="BH1665">
        <v>125</v>
      </c>
      <c r="BI1665">
        <v>28</v>
      </c>
      <c r="BJ1665">
        <v>30</v>
      </c>
      <c r="BK1665">
        <v>22</v>
      </c>
    </row>
    <row r="1666" spans="1:68">
      <c r="A1666">
        <v>100049904</v>
      </c>
      <c r="B1666">
        <v>18365635</v>
      </c>
      <c r="C1666" t="s">
        <v>7018</v>
      </c>
      <c r="E1666" s="184"/>
      <c r="G1666" s="184"/>
      <c r="I1666" s="184"/>
      <c r="J1666" t="s">
        <v>595</v>
      </c>
      <c r="K1666" s="184">
        <v>43829</v>
      </c>
      <c r="O1666" s="184"/>
      <c r="P1666" t="s">
        <v>7045</v>
      </c>
      <c r="Q1666" t="s">
        <v>7494</v>
      </c>
      <c r="R1666" s="184">
        <v>16030</v>
      </c>
      <c r="S1666">
        <v>80</v>
      </c>
      <c r="V1666" t="s">
        <v>2697</v>
      </c>
      <c r="W1666" t="s">
        <v>7836</v>
      </c>
      <c r="X1666" t="s">
        <v>16460</v>
      </c>
      <c r="Z1666">
        <v>18365635</v>
      </c>
      <c r="AB1666" t="s">
        <v>4330</v>
      </c>
      <c r="AC1666" t="s">
        <v>3226</v>
      </c>
      <c r="AD1666" t="s">
        <v>16459</v>
      </c>
      <c r="AF1666" t="s">
        <v>6219</v>
      </c>
      <c r="AG1666" t="s">
        <v>16461</v>
      </c>
      <c r="AI1666" t="s">
        <v>16462</v>
      </c>
      <c r="AM1666" t="s">
        <v>2582</v>
      </c>
      <c r="AN1666" t="s">
        <v>2174</v>
      </c>
      <c r="AO1666" t="s">
        <v>16463</v>
      </c>
      <c r="AP1666" t="s">
        <v>7024</v>
      </c>
      <c r="AT1666" s="184"/>
      <c r="AW1666" s="184"/>
      <c r="AZ1666" s="184"/>
    </row>
    <row r="1667" spans="1:68">
      <c r="A1667">
        <v>18369561</v>
      </c>
      <c r="B1667">
        <v>18369561</v>
      </c>
      <c r="C1667" t="s">
        <v>7018</v>
      </c>
      <c r="E1667" s="184"/>
      <c r="G1667" s="184"/>
      <c r="I1667" s="184"/>
      <c r="J1667" t="s">
        <v>595</v>
      </c>
      <c r="K1667" s="184">
        <v>41263</v>
      </c>
      <c r="O1667" s="184"/>
      <c r="P1667" t="s">
        <v>7045</v>
      </c>
      <c r="Q1667" t="s">
        <v>7030</v>
      </c>
      <c r="R1667" s="184">
        <v>14853</v>
      </c>
      <c r="S1667">
        <v>83</v>
      </c>
      <c r="U1667" t="s">
        <v>7076</v>
      </c>
      <c r="V1667" t="s">
        <v>5400</v>
      </c>
      <c r="W1667" t="s">
        <v>7407</v>
      </c>
      <c r="X1667" t="s">
        <v>16465</v>
      </c>
      <c r="AF1667" t="s">
        <v>6186</v>
      </c>
      <c r="AG1667" t="s">
        <v>5400</v>
      </c>
      <c r="AI1667" t="s">
        <v>16466</v>
      </c>
      <c r="AM1667" t="s">
        <v>16467</v>
      </c>
      <c r="AN1667" t="s">
        <v>2094</v>
      </c>
      <c r="AO1667" t="s">
        <v>16468</v>
      </c>
      <c r="AP1667" t="s">
        <v>7024</v>
      </c>
      <c r="AQ1667" t="s">
        <v>16469</v>
      </c>
      <c r="AR1667" t="s">
        <v>16470</v>
      </c>
      <c r="AT1667" s="184">
        <v>34722</v>
      </c>
      <c r="AU1667" t="s">
        <v>16471</v>
      </c>
      <c r="AV1667">
        <v>15</v>
      </c>
      <c r="AW1667" s="184">
        <v>45398</v>
      </c>
      <c r="AX1667" t="s">
        <v>7429</v>
      </c>
      <c r="AY1667">
        <v>20</v>
      </c>
      <c r="AZ1667" s="184">
        <v>38820</v>
      </c>
      <c r="BA1667" t="s">
        <v>8293</v>
      </c>
      <c r="BB1667">
        <v>87</v>
      </c>
      <c r="BC1667">
        <v>100</v>
      </c>
      <c r="BD1667">
        <v>4012</v>
      </c>
      <c r="BE1667">
        <v>1995</v>
      </c>
      <c r="BF1667">
        <v>190</v>
      </c>
      <c r="BG1667">
        <v>24</v>
      </c>
      <c r="BH1667">
        <v>480</v>
      </c>
      <c r="BI1667">
        <v>30</v>
      </c>
      <c r="BJ1667">
        <v>30</v>
      </c>
      <c r="BK1667">
        <v>30</v>
      </c>
    </row>
    <row r="1668" spans="1:68">
      <c r="A1668">
        <v>18385096</v>
      </c>
      <c r="B1668">
        <v>18385096</v>
      </c>
      <c r="C1668" t="s">
        <v>7018</v>
      </c>
      <c r="E1668" s="184"/>
      <c r="G1668" s="184"/>
      <c r="I1668" s="184"/>
      <c r="J1668" t="s">
        <v>595</v>
      </c>
      <c r="K1668" s="184">
        <v>41921</v>
      </c>
      <c r="M1668" s="184"/>
      <c r="O1668" s="184"/>
      <c r="P1668" t="s">
        <v>7045</v>
      </c>
      <c r="Q1668" t="s">
        <v>7194</v>
      </c>
      <c r="R1668" s="184">
        <v>17172</v>
      </c>
      <c r="S1668">
        <v>77</v>
      </c>
      <c r="U1668" t="s">
        <v>7076</v>
      </c>
      <c r="V1668" t="s">
        <v>16472</v>
      </c>
      <c r="X1668" t="s">
        <v>16473</v>
      </c>
      <c r="AF1668" t="s">
        <v>6510</v>
      </c>
      <c r="AG1668" t="s">
        <v>16472</v>
      </c>
      <c r="AI1668" t="s">
        <v>16474</v>
      </c>
      <c r="AM1668" t="s">
        <v>4416</v>
      </c>
      <c r="AN1668" t="s">
        <v>2046</v>
      </c>
      <c r="AO1668" t="s">
        <v>16475</v>
      </c>
      <c r="AP1668" t="s">
        <v>7024</v>
      </c>
      <c r="AQ1668" t="s">
        <v>16476</v>
      </c>
      <c r="AR1668" t="s">
        <v>16477</v>
      </c>
      <c r="AT1668" s="184">
        <v>34660</v>
      </c>
      <c r="AU1668" t="s">
        <v>16388</v>
      </c>
      <c r="AV1668">
        <v>15</v>
      </c>
      <c r="AW1668" s="184">
        <v>45411</v>
      </c>
      <c r="AX1668" t="s">
        <v>12147</v>
      </c>
      <c r="AY1668">
        <v>25</v>
      </c>
      <c r="AZ1668" s="184">
        <v>43950</v>
      </c>
      <c r="BA1668" t="s">
        <v>16478</v>
      </c>
      <c r="BB1668">
        <v>60</v>
      </c>
      <c r="BC1668">
        <v>81</v>
      </c>
      <c r="BD1668">
        <v>892</v>
      </c>
      <c r="BE1668">
        <v>1995</v>
      </c>
      <c r="BF1668">
        <v>42</v>
      </c>
      <c r="BG1668">
        <v>3</v>
      </c>
      <c r="BH1668">
        <v>70</v>
      </c>
      <c r="BI1668">
        <v>25</v>
      </c>
      <c r="BJ1668">
        <v>31</v>
      </c>
      <c r="BK1668">
        <v>10</v>
      </c>
    </row>
    <row r="1669" spans="1:68">
      <c r="A1669">
        <v>18395202</v>
      </c>
      <c r="B1669">
        <v>18395202</v>
      </c>
      <c r="C1669" t="s">
        <v>7018</v>
      </c>
      <c r="E1669" s="184"/>
      <c r="G1669" s="184"/>
      <c r="I1669" s="184"/>
      <c r="J1669" t="s">
        <v>595</v>
      </c>
      <c r="K1669" s="184">
        <v>43936</v>
      </c>
      <c r="M1669" s="184"/>
      <c r="O1669" s="184"/>
      <c r="P1669" t="s">
        <v>7045</v>
      </c>
      <c r="Q1669" t="s">
        <v>7262</v>
      </c>
      <c r="R1669" s="184">
        <v>17319</v>
      </c>
      <c r="S1669">
        <v>76</v>
      </c>
      <c r="T1669" t="s">
        <v>2995</v>
      </c>
      <c r="U1669" t="s">
        <v>7130</v>
      </c>
      <c r="V1669" t="s">
        <v>2903</v>
      </c>
      <c r="W1669" t="s">
        <v>205</v>
      </c>
      <c r="X1669" t="s">
        <v>10805</v>
      </c>
      <c r="Z1669">
        <v>100384441</v>
      </c>
      <c r="AB1669" t="s">
        <v>3574</v>
      </c>
      <c r="AD1669" t="s">
        <v>10805</v>
      </c>
      <c r="AF1669" t="s">
        <v>6192</v>
      </c>
      <c r="AG1669" t="s">
        <v>16479</v>
      </c>
      <c r="AI1669" t="s">
        <v>16480</v>
      </c>
      <c r="AM1669" t="s">
        <v>16481</v>
      </c>
      <c r="AN1669" t="s">
        <v>2219</v>
      </c>
      <c r="AO1669" t="s">
        <v>16482</v>
      </c>
      <c r="AP1669" t="s">
        <v>7024</v>
      </c>
      <c r="AQ1669" t="s">
        <v>16483</v>
      </c>
      <c r="AR1669" t="s">
        <v>16484</v>
      </c>
      <c r="AT1669" s="184">
        <v>34723</v>
      </c>
      <c r="AU1669" t="s">
        <v>16485</v>
      </c>
      <c r="AV1669">
        <v>25</v>
      </c>
      <c r="AW1669" s="184">
        <v>45322</v>
      </c>
      <c r="AX1669" t="s">
        <v>9510</v>
      </c>
      <c r="AY1669">
        <v>50</v>
      </c>
      <c r="AZ1669" s="184">
        <v>43867</v>
      </c>
      <c r="BA1669" t="s">
        <v>16486</v>
      </c>
      <c r="BB1669">
        <v>508</v>
      </c>
      <c r="BC1669">
        <v>100</v>
      </c>
      <c r="BD1669">
        <v>3823</v>
      </c>
      <c r="BE1669">
        <v>1995</v>
      </c>
      <c r="BF1669">
        <v>165</v>
      </c>
      <c r="BG1669">
        <v>4</v>
      </c>
      <c r="BH1669">
        <v>300</v>
      </c>
      <c r="BI1669">
        <v>30</v>
      </c>
      <c r="BJ1669">
        <v>30</v>
      </c>
      <c r="BK1669">
        <v>30</v>
      </c>
      <c r="BP1669" s="184"/>
    </row>
    <row r="1670" spans="1:68">
      <c r="A1670">
        <v>100384441</v>
      </c>
      <c r="B1670">
        <v>18395202</v>
      </c>
      <c r="C1670" t="s">
        <v>7018</v>
      </c>
      <c r="E1670" s="184"/>
      <c r="G1670" s="184"/>
      <c r="I1670" s="184"/>
      <c r="J1670" t="s">
        <v>595</v>
      </c>
      <c r="K1670" s="184">
        <v>43969</v>
      </c>
      <c r="M1670" s="184"/>
      <c r="O1670" s="184"/>
      <c r="P1670" t="s">
        <v>7045</v>
      </c>
      <c r="Q1670" t="s">
        <v>7262</v>
      </c>
      <c r="R1670" s="184"/>
      <c r="V1670" t="s">
        <v>3574</v>
      </c>
      <c r="X1670" t="s">
        <v>10805</v>
      </c>
      <c r="Z1670">
        <v>18395202</v>
      </c>
      <c r="AA1670" t="s">
        <v>7130</v>
      </c>
      <c r="AB1670" t="s">
        <v>2903</v>
      </c>
      <c r="AC1670" t="s">
        <v>205</v>
      </c>
      <c r="AD1670" t="s">
        <v>10805</v>
      </c>
      <c r="AF1670" t="s">
        <v>6192</v>
      </c>
      <c r="AG1670" t="s">
        <v>16479</v>
      </c>
      <c r="AI1670" t="s">
        <v>16480</v>
      </c>
      <c r="AM1670" t="s">
        <v>16481</v>
      </c>
      <c r="AN1670" t="s">
        <v>2219</v>
      </c>
      <c r="AO1670" t="s">
        <v>16482</v>
      </c>
      <c r="AP1670" t="s">
        <v>7024</v>
      </c>
      <c r="AT1670" s="184"/>
      <c r="AW1670" s="184"/>
      <c r="AZ1670" s="184"/>
      <c r="BP1670" s="184"/>
    </row>
    <row r="1671" spans="1:68">
      <c r="A1671">
        <v>18404566</v>
      </c>
      <c r="B1671">
        <v>18404566</v>
      </c>
      <c r="C1671" t="s">
        <v>7018</v>
      </c>
      <c r="E1671" s="184"/>
      <c r="G1671" s="184"/>
      <c r="I1671" s="184"/>
      <c r="J1671" t="s">
        <v>595</v>
      </c>
      <c r="K1671" s="184">
        <v>37435</v>
      </c>
      <c r="M1671" s="184"/>
      <c r="O1671" s="184"/>
      <c r="P1671" t="s">
        <v>7045</v>
      </c>
      <c r="Q1671" t="s">
        <v>7383</v>
      </c>
      <c r="R1671" s="184">
        <v>11762</v>
      </c>
      <c r="S1671">
        <v>92</v>
      </c>
      <c r="U1671" t="s">
        <v>7076</v>
      </c>
      <c r="V1671" t="s">
        <v>16487</v>
      </c>
      <c r="X1671" t="s">
        <v>4254</v>
      </c>
      <c r="AF1671" t="s">
        <v>6283</v>
      </c>
      <c r="AG1671" t="s">
        <v>16487</v>
      </c>
      <c r="AI1671" t="s">
        <v>16488</v>
      </c>
      <c r="AM1671" t="s">
        <v>3488</v>
      </c>
      <c r="AN1671" t="s">
        <v>2072</v>
      </c>
      <c r="AO1671" t="s">
        <v>16489</v>
      </c>
      <c r="AP1671" t="s">
        <v>7024</v>
      </c>
      <c r="AT1671" s="184">
        <v>34723</v>
      </c>
      <c r="AU1671" t="s">
        <v>16490</v>
      </c>
      <c r="AV1671">
        <v>15</v>
      </c>
      <c r="AW1671" s="184">
        <v>43781</v>
      </c>
      <c r="AX1671" t="s">
        <v>16491</v>
      </c>
      <c r="AY1671">
        <v>25</v>
      </c>
      <c r="AZ1671" s="184">
        <v>39415</v>
      </c>
      <c r="BA1671" t="s">
        <v>16492</v>
      </c>
      <c r="BB1671">
        <v>300</v>
      </c>
      <c r="BC1671">
        <v>40</v>
      </c>
      <c r="BD1671">
        <v>1851</v>
      </c>
      <c r="BE1671">
        <v>1995</v>
      </c>
      <c r="BF1671">
        <v>16</v>
      </c>
      <c r="BI1671">
        <v>12</v>
      </c>
      <c r="BJ1671">
        <v>30</v>
      </c>
      <c r="BK1671">
        <v>5</v>
      </c>
    </row>
    <row r="1672" spans="1:68">
      <c r="A1672">
        <v>18441584</v>
      </c>
      <c r="B1672">
        <v>18441584</v>
      </c>
      <c r="C1672" t="s">
        <v>7018</v>
      </c>
      <c r="D1672" t="s">
        <v>595</v>
      </c>
      <c r="E1672" s="184">
        <v>43642</v>
      </c>
      <c r="G1672" s="184"/>
      <c r="I1672" s="184"/>
      <c r="K1672" s="184"/>
      <c r="P1672" t="s">
        <v>7045</v>
      </c>
      <c r="Q1672" t="s">
        <v>7383</v>
      </c>
      <c r="R1672" s="184">
        <v>17617</v>
      </c>
      <c r="S1672">
        <v>76</v>
      </c>
      <c r="U1672" t="s">
        <v>7032</v>
      </c>
      <c r="V1672" t="s">
        <v>3246</v>
      </c>
      <c r="W1672" t="s">
        <v>2049</v>
      </c>
      <c r="X1672" t="s">
        <v>3247</v>
      </c>
      <c r="AF1672" t="s">
        <v>16493</v>
      </c>
      <c r="AG1672" t="s">
        <v>3246</v>
      </c>
      <c r="AI1672" t="s">
        <v>16494</v>
      </c>
      <c r="AM1672" t="s">
        <v>3248</v>
      </c>
      <c r="AN1672" t="s">
        <v>2274</v>
      </c>
      <c r="AO1672" t="s">
        <v>16495</v>
      </c>
      <c r="AP1672" t="s">
        <v>7024</v>
      </c>
      <c r="AQ1672" t="s">
        <v>16496</v>
      </c>
      <c r="AT1672" s="184">
        <v>34733</v>
      </c>
      <c r="AU1672" t="s">
        <v>16497</v>
      </c>
      <c r="AV1672">
        <v>19.95</v>
      </c>
      <c r="AW1672" s="184">
        <v>44620</v>
      </c>
      <c r="AX1672" t="s">
        <v>16498</v>
      </c>
      <c r="AY1672">
        <v>100</v>
      </c>
      <c r="AZ1672" s="184">
        <v>44620</v>
      </c>
      <c r="BA1672" t="s">
        <v>16498</v>
      </c>
      <c r="BB1672">
        <v>100</v>
      </c>
      <c r="BC1672">
        <v>60</v>
      </c>
      <c r="BD1672">
        <v>1215.9000000000001</v>
      </c>
      <c r="BE1672">
        <v>1995</v>
      </c>
      <c r="BF1672">
        <v>21</v>
      </c>
      <c r="BI1672">
        <v>18</v>
      </c>
      <c r="BJ1672">
        <v>30</v>
      </c>
      <c r="BK1672">
        <v>5</v>
      </c>
      <c r="BN1672" t="s">
        <v>595</v>
      </c>
      <c r="BP1672" s="184"/>
    </row>
    <row r="1673" spans="1:68">
      <c r="A1673">
        <v>18443614</v>
      </c>
      <c r="B1673">
        <v>18443614</v>
      </c>
      <c r="C1673" t="s">
        <v>7018</v>
      </c>
      <c r="E1673" s="184"/>
      <c r="G1673" s="184"/>
      <c r="I1673" s="184"/>
      <c r="J1673" t="s">
        <v>595</v>
      </c>
      <c r="K1673" s="184">
        <v>44328</v>
      </c>
      <c r="O1673" s="184"/>
      <c r="P1673" t="s">
        <v>7045</v>
      </c>
      <c r="Q1673" t="s">
        <v>7454</v>
      </c>
      <c r="R1673" s="184">
        <v>10149</v>
      </c>
      <c r="S1673">
        <v>96</v>
      </c>
      <c r="U1673" t="s">
        <v>13909</v>
      </c>
      <c r="V1673" t="s">
        <v>2832</v>
      </c>
      <c r="X1673" t="s">
        <v>16499</v>
      </c>
      <c r="AF1673" t="s">
        <v>16500</v>
      </c>
      <c r="AG1673" t="s">
        <v>2832</v>
      </c>
      <c r="AI1673" t="s">
        <v>16501</v>
      </c>
      <c r="AM1673" t="s">
        <v>3855</v>
      </c>
      <c r="AN1673" t="s">
        <v>2055</v>
      </c>
      <c r="AO1673" t="s">
        <v>16502</v>
      </c>
      <c r="AP1673" t="s">
        <v>7024</v>
      </c>
      <c r="AT1673" s="184">
        <v>34725</v>
      </c>
      <c r="AU1673" t="s">
        <v>16503</v>
      </c>
      <c r="AV1673">
        <v>25</v>
      </c>
      <c r="AW1673" s="184">
        <v>44533</v>
      </c>
      <c r="AX1673" t="s">
        <v>16504</v>
      </c>
      <c r="AY1673">
        <v>25</v>
      </c>
      <c r="AZ1673" s="184">
        <v>35874</v>
      </c>
      <c r="BA1673" t="s">
        <v>16505</v>
      </c>
      <c r="BB1673">
        <v>60</v>
      </c>
      <c r="BC1673">
        <v>84</v>
      </c>
      <c r="BD1673">
        <v>687.39</v>
      </c>
      <c r="BE1673">
        <v>1995</v>
      </c>
      <c r="BF1673">
        <v>26</v>
      </c>
      <c r="BI1673">
        <v>25</v>
      </c>
      <c r="BJ1673">
        <v>30</v>
      </c>
      <c r="BK1673">
        <v>21</v>
      </c>
      <c r="BP1673" s="184"/>
    </row>
    <row r="1674" spans="1:68">
      <c r="A1674">
        <v>18472969</v>
      </c>
      <c r="B1674">
        <v>18472969</v>
      </c>
      <c r="C1674" t="s">
        <v>7018</v>
      </c>
      <c r="D1674" t="s">
        <v>595</v>
      </c>
      <c r="E1674" s="184">
        <v>43801</v>
      </c>
      <c r="G1674" s="184"/>
      <c r="I1674" s="184"/>
      <c r="K1674" s="184"/>
      <c r="O1674" s="184"/>
      <c r="P1674" t="s">
        <v>7045</v>
      </c>
      <c r="Q1674" t="s">
        <v>7454</v>
      </c>
      <c r="R1674" s="184">
        <v>19360</v>
      </c>
      <c r="S1674">
        <v>71</v>
      </c>
      <c r="U1674" t="s">
        <v>7076</v>
      </c>
      <c r="V1674" t="s">
        <v>4365</v>
      </c>
      <c r="X1674" t="s">
        <v>4366</v>
      </c>
      <c r="Z1674">
        <v>100050200</v>
      </c>
      <c r="AB1674" t="s">
        <v>3730</v>
      </c>
      <c r="AD1674" t="s">
        <v>4366</v>
      </c>
      <c r="AF1674" t="s">
        <v>16506</v>
      </c>
      <c r="AG1674" t="s">
        <v>16507</v>
      </c>
      <c r="AI1674" t="s">
        <v>16508</v>
      </c>
      <c r="AM1674" t="s">
        <v>3060</v>
      </c>
      <c r="AN1674" t="s">
        <v>2055</v>
      </c>
      <c r="AO1674" t="s">
        <v>16509</v>
      </c>
      <c r="AP1674" t="s">
        <v>7024</v>
      </c>
      <c r="AQ1674" t="s">
        <v>16510</v>
      </c>
      <c r="AT1674" s="184">
        <v>34736</v>
      </c>
      <c r="AU1674" t="s">
        <v>16511</v>
      </c>
      <c r="AV1674">
        <v>15</v>
      </c>
      <c r="AW1674" s="184">
        <v>45261</v>
      </c>
      <c r="AX1674" t="s">
        <v>10981</v>
      </c>
      <c r="AY1674">
        <v>100</v>
      </c>
      <c r="AZ1674" s="184">
        <v>45261</v>
      </c>
      <c r="BA1674" t="s">
        <v>10981</v>
      </c>
      <c r="BB1674">
        <v>100</v>
      </c>
      <c r="BC1674">
        <v>54</v>
      </c>
      <c r="BD1674">
        <v>455</v>
      </c>
      <c r="BE1674">
        <v>1995</v>
      </c>
      <c r="BF1674">
        <v>23</v>
      </c>
      <c r="BG1674">
        <v>4</v>
      </c>
      <c r="BH1674">
        <v>145</v>
      </c>
      <c r="BI1674">
        <v>16</v>
      </c>
      <c r="BJ1674">
        <v>30</v>
      </c>
      <c r="BK1674">
        <v>5</v>
      </c>
      <c r="BP1674" s="184"/>
    </row>
    <row r="1675" spans="1:68">
      <c r="A1675">
        <v>100050200</v>
      </c>
      <c r="B1675">
        <v>18472969</v>
      </c>
      <c r="C1675" t="s">
        <v>7018</v>
      </c>
      <c r="D1675" t="s">
        <v>595</v>
      </c>
      <c r="E1675" s="184">
        <v>43801</v>
      </c>
      <c r="G1675" s="184"/>
      <c r="I1675" s="184"/>
      <c r="K1675" s="184"/>
      <c r="O1675" s="184"/>
      <c r="P1675" t="s">
        <v>7045</v>
      </c>
      <c r="Q1675" t="s">
        <v>7454</v>
      </c>
      <c r="R1675" s="184">
        <v>20699</v>
      </c>
      <c r="S1675">
        <v>67</v>
      </c>
      <c r="V1675" t="s">
        <v>3730</v>
      </c>
      <c r="X1675" t="s">
        <v>4366</v>
      </c>
      <c r="Z1675">
        <v>18472969</v>
      </c>
      <c r="AA1675" t="s">
        <v>7076</v>
      </c>
      <c r="AB1675" t="s">
        <v>4365</v>
      </c>
      <c r="AD1675" t="s">
        <v>4366</v>
      </c>
      <c r="AF1675" t="s">
        <v>16506</v>
      </c>
      <c r="AG1675" t="s">
        <v>16507</v>
      </c>
      <c r="AI1675" t="s">
        <v>16508</v>
      </c>
      <c r="AM1675" t="s">
        <v>3060</v>
      </c>
      <c r="AN1675" t="s">
        <v>2055</v>
      </c>
      <c r="AO1675" t="s">
        <v>16509</v>
      </c>
      <c r="AP1675" t="s">
        <v>7024</v>
      </c>
      <c r="AT1675" s="184"/>
      <c r="AW1675" s="184"/>
      <c r="AZ1675" s="184"/>
      <c r="BP1675" s="184"/>
    </row>
    <row r="1676" spans="1:68">
      <c r="A1676">
        <v>18473595</v>
      </c>
      <c r="B1676">
        <v>18473595</v>
      </c>
      <c r="C1676" t="s">
        <v>7018</v>
      </c>
      <c r="D1676" t="s">
        <v>595</v>
      </c>
      <c r="E1676" s="184">
        <v>44104</v>
      </c>
      <c r="G1676" s="184"/>
      <c r="I1676" s="184"/>
      <c r="K1676" s="184"/>
      <c r="O1676" s="184"/>
      <c r="P1676" t="s">
        <v>7045</v>
      </c>
      <c r="Q1676" t="s">
        <v>7454</v>
      </c>
      <c r="R1676" s="184">
        <v>13832</v>
      </c>
      <c r="S1676">
        <v>86</v>
      </c>
      <c r="U1676" t="s">
        <v>7130</v>
      </c>
      <c r="V1676" t="s">
        <v>16512</v>
      </c>
      <c r="X1676" t="s">
        <v>3120</v>
      </c>
      <c r="AF1676" t="s">
        <v>16513</v>
      </c>
      <c r="AG1676" t="s">
        <v>16512</v>
      </c>
      <c r="AI1676" t="s">
        <v>16514</v>
      </c>
      <c r="AM1676" t="s">
        <v>3958</v>
      </c>
      <c r="AN1676" t="s">
        <v>2055</v>
      </c>
      <c r="AO1676" t="s">
        <v>16515</v>
      </c>
      <c r="AP1676" t="s">
        <v>7024</v>
      </c>
      <c r="AQ1676" t="s">
        <v>16516</v>
      </c>
      <c r="AT1676" s="184">
        <v>34736</v>
      </c>
      <c r="AU1676" t="s">
        <v>16517</v>
      </c>
      <c r="AV1676">
        <v>15</v>
      </c>
      <c r="AW1676" s="184">
        <v>45335</v>
      </c>
      <c r="AX1676" t="s">
        <v>16518</v>
      </c>
      <c r="AY1676">
        <v>50</v>
      </c>
      <c r="AZ1676" s="184">
        <v>42548</v>
      </c>
      <c r="BA1676" t="s">
        <v>16519</v>
      </c>
      <c r="BB1676">
        <v>60</v>
      </c>
      <c r="BC1676">
        <v>54</v>
      </c>
      <c r="BD1676">
        <v>729.95</v>
      </c>
      <c r="BE1676">
        <v>1995</v>
      </c>
      <c r="BF1676">
        <v>19</v>
      </c>
      <c r="BG1676">
        <v>2</v>
      </c>
      <c r="BH1676">
        <v>100</v>
      </c>
      <c r="BI1676">
        <v>16</v>
      </c>
      <c r="BJ1676">
        <v>30</v>
      </c>
      <c r="BK1676">
        <v>4</v>
      </c>
      <c r="BP1676" s="184"/>
    </row>
    <row r="1677" spans="1:68">
      <c r="A1677">
        <v>18477505</v>
      </c>
      <c r="B1677">
        <v>18477505</v>
      </c>
      <c r="C1677" t="s">
        <v>7018</v>
      </c>
      <c r="D1677" t="s">
        <v>595</v>
      </c>
      <c r="E1677" s="184">
        <v>43864</v>
      </c>
      <c r="G1677" s="184"/>
      <c r="I1677" s="184"/>
      <c r="K1677" s="184"/>
      <c r="O1677" s="184"/>
      <c r="P1677" t="s">
        <v>7045</v>
      </c>
      <c r="Q1677" t="s">
        <v>7383</v>
      </c>
      <c r="R1677" s="184">
        <v>17179</v>
      </c>
      <c r="S1677">
        <v>77</v>
      </c>
      <c r="U1677" t="s">
        <v>7031</v>
      </c>
      <c r="V1677" t="s">
        <v>4676</v>
      </c>
      <c r="X1677" t="s">
        <v>4677</v>
      </c>
      <c r="Z1677">
        <v>100050215</v>
      </c>
      <c r="AA1677" t="s">
        <v>7130</v>
      </c>
      <c r="AB1677" t="s">
        <v>3220</v>
      </c>
      <c r="AD1677" t="s">
        <v>4677</v>
      </c>
      <c r="AF1677" t="s">
        <v>16520</v>
      </c>
      <c r="AG1677" t="s">
        <v>16521</v>
      </c>
      <c r="AI1677" t="s">
        <v>16522</v>
      </c>
      <c r="AM1677" t="s">
        <v>4678</v>
      </c>
      <c r="AN1677" t="s">
        <v>2139</v>
      </c>
      <c r="AO1677" t="s">
        <v>16523</v>
      </c>
      <c r="AP1677" t="s">
        <v>7024</v>
      </c>
      <c r="AQ1677" t="s">
        <v>16524</v>
      </c>
      <c r="AR1677" t="s">
        <v>16525</v>
      </c>
      <c r="AT1677" s="184">
        <v>34736</v>
      </c>
      <c r="AU1677" t="s">
        <v>16526</v>
      </c>
      <c r="AV1677">
        <v>20</v>
      </c>
      <c r="AW1677" s="184">
        <v>43571</v>
      </c>
      <c r="AX1677" t="s">
        <v>16527</v>
      </c>
      <c r="AY1677">
        <v>35</v>
      </c>
      <c r="AZ1677" s="184">
        <v>43571</v>
      </c>
      <c r="BA1677" t="s">
        <v>16527</v>
      </c>
      <c r="BB1677">
        <v>35</v>
      </c>
      <c r="BC1677">
        <v>37</v>
      </c>
      <c r="BD1677">
        <v>380</v>
      </c>
      <c r="BE1677">
        <v>1995</v>
      </c>
      <c r="BF1677">
        <v>13</v>
      </c>
      <c r="BI1677">
        <v>11</v>
      </c>
      <c r="BJ1677">
        <v>30</v>
      </c>
      <c r="BK1677">
        <v>4</v>
      </c>
      <c r="BP1677" s="184"/>
    </row>
    <row r="1678" spans="1:68">
      <c r="A1678">
        <v>100050215</v>
      </c>
      <c r="B1678">
        <v>18477505</v>
      </c>
      <c r="C1678" t="s">
        <v>7018</v>
      </c>
      <c r="D1678" t="s">
        <v>595</v>
      </c>
      <c r="E1678" s="184">
        <v>43864</v>
      </c>
      <c r="G1678" s="184"/>
      <c r="I1678" s="184"/>
      <c r="K1678" s="184"/>
      <c r="O1678" s="184"/>
      <c r="P1678" t="s">
        <v>7045</v>
      </c>
      <c r="Q1678" t="s">
        <v>7383</v>
      </c>
      <c r="R1678" s="184">
        <v>17441</v>
      </c>
      <c r="S1678">
        <v>76</v>
      </c>
      <c r="U1678" t="s">
        <v>7130</v>
      </c>
      <c r="V1678" t="s">
        <v>3220</v>
      </c>
      <c r="X1678" t="s">
        <v>4677</v>
      </c>
      <c r="Z1678">
        <v>18477505</v>
      </c>
      <c r="AA1678" t="s">
        <v>7031</v>
      </c>
      <c r="AB1678" t="s">
        <v>4676</v>
      </c>
      <c r="AD1678" t="s">
        <v>4677</v>
      </c>
      <c r="AF1678" t="s">
        <v>16520</v>
      </c>
      <c r="AG1678" t="s">
        <v>16521</v>
      </c>
      <c r="AI1678" t="s">
        <v>16522</v>
      </c>
      <c r="AM1678" t="s">
        <v>4678</v>
      </c>
      <c r="AN1678" t="s">
        <v>2139</v>
      </c>
      <c r="AO1678" t="s">
        <v>16523</v>
      </c>
      <c r="AP1678" t="s">
        <v>7024</v>
      </c>
      <c r="AT1678" s="184"/>
      <c r="AW1678" s="184"/>
      <c r="AZ1678" s="184"/>
    </row>
    <row r="1679" spans="1:68">
      <c r="A1679">
        <v>18522623</v>
      </c>
      <c r="B1679">
        <v>18522623</v>
      </c>
      <c r="C1679" t="s">
        <v>7018</v>
      </c>
      <c r="D1679" t="s">
        <v>595</v>
      </c>
      <c r="E1679" s="184">
        <v>43864</v>
      </c>
      <c r="G1679" s="184"/>
      <c r="I1679" s="184"/>
      <c r="K1679" s="184"/>
      <c r="O1679" s="184"/>
      <c r="P1679" t="s">
        <v>7045</v>
      </c>
      <c r="Q1679" t="s">
        <v>7383</v>
      </c>
      <c r="R1679" s="184">
        <v>16730</v>
      </c>
      <c r="S1679">
        <v>78</v>
      </c>
      <c r="U1679" t="s">
        <v>7031</v>
      </c>
      <c r="V1679" t="s">
        <v>3080</v>
      </c>
      <c r="W1679" t="s">
        <v>8224</v>
      </c>
      <c r="X1679" t="s">
        <v>3414</v>
      </c>
      <c r="AF1679" t="s">
        <v>16528</v>
      </c>
      <c r="AG1679" t="s">
        <v>3080</v>
      </c>
      <c r="AI1679" t="s">
        <v>16529</v>
      </c>
      <c r="AM1679" t="s">
        <v>4193</v>
      </c>
      <c r="AN1679" t="s">
        <v>2064</v>
      </c>
      <c r="AO1679" t="s">
        <v>16530</v>
      </c>
      <c r="AP1679" t="s">
        <v>7024</v>
      </c>
      <c r="AT1679" s="184">
        <v>34744</v>
      </c>
      <c r="AU1679" t="s">
        <v>16531</v>
      </c>
      <c r="AV1679">
        <v>20</v>
      </c>
      <c r="AW1679" s="184">
        <v>45268</v>
      </c>
      <c r="AX1679" t="s">
        <v>14612</v>
      </c>
      <c r="AY1679">
        <v>25</v>
      </c>
      <c r="AZ1679" s="184">
        <v>45268</v>
      </c>
      <c r="BA1679" t="s">
        <v>14612</v>
      </c>
      <c r="BB1679">
        <v>25</v>
      </c>
      <c r="BC1679">
        <v>84</v>
      </c>
      <c r="BD1679">
        <v>725</v>
      </c>
      <c r="BE1679">
        <v>1995</v>
      </c>
      <c r="BF1679">
        <v>30</v>
      </c>
      <c r="BG1679">
        <v>2</v>
      </c>
      <c r="BH1679">
        <v>50</v>
      </c>
      <c r="BI1679">
        <v>25</v>
      </c>
      <c r="BJ1679">
        <v>30</v>
      </c>
      <c r="BK1679">
        <v>9</v>
      </c>
      <c r="BP1679" s="184"/>
    </row>
    <row r="1680" spans="1:68">
      <c r="A1680">
        <v>18532234</v>
      </c>
      <c r="B1680">
        <v>18532234</v>
      </c>
      <c r="C1680" t="s">
        <v>7018</v>
      </c>
      <c r="D1680" t="s">
        <v>595</v>
      </c>
      <c r="E1680" s="184">
        <v>44328</v>
      </c>
      <c r="G1680" s="184"/>
      <c r="K1680" s="184"/>
      <c r="M1680" s="184"/>
      <c r="P1680" t="s">
        <v>7045</v>
      </c>
      <c r="Q1680" t="s">
        <v>7262</v>
      </c>
      <c r="R1680" s="184">
        <v>12211</v>
      </c>
      <c r="S1680">
        <v>90</v>
      </c>
      <c r="U1680" t="s">
        <v>7130</v>
      </c>
      <c r="V1680" t="s">
        <v>5638</v>
      </c>
      <c r="X1680" t="s">
        <v>16532</v>
      </c>
      <c r="AF1680" t="s">
        <v>16533</v>
      </c>
      <c r="AG1680" t="s">
        <v>5638</v>
      </c>
      <c r="AI1680" t="s">
        <v>16534</v>
      </c>
      <c r="AM1680" t="s">
        <v>12105</v>
      </c>
      <c r="AN1680" t="s">
        <v>2069</v>
      </c>
      <c r="AO1680" t="s">
        <v>16535</v>
      </c>
      <c r="AP1680" t="s">
        <v>7024</v>
      </c>
      <c r="AT1680" s="184">
        <v>34747</v>
      </c>
      <c r="AU1680" t="s">
        <v>16497</v>
      </c>
      <c r="AV1680">
        <v>19.95</v>
      </c>
      <c r="AW1680" s="184">
        <v>38782</v>
      </c>
      <c r="AX1680" t="s">
        <v>16536</v>
      </c>
      <c r="AY1680">
        <v>25</v>
      </c>
      <c r="AZ1680" s="184">
        <v>38782</v>
      </c>
      <c r="BA1680" t="s">
        <v>16536</v>
      </c>
      <c r="BB1680">
        <v>25</v>
      </c>
      <c r="BC1680">
        <v>27</v>
      </c>
      <c r="BD1680">
        <v>324.89999999999998</v>
      </c>
      <c r="BE1680">
        <v>1995</v>
      </c>
      <c r="BF1680">
        <v>15</v>
      </c>
      <c r="BI1680">
        <v>8</v>
      </c>
      <c r="BJ1680">
        <v>30</v>
      </c>
      <c r="BK1680">
        <v>4</v>
      </c>
      <c r="BP1680" s="184"/>
    </row>
    <row r="1681" spans="1:68">
      <c r="A1681">
        <v>18535898</v>
      </c>
      <c r="B1681">
        <v>18535898</v>
      </c>
      <c r="C1681" t="s">
        <v>7018</v>
      </c>
      <c r="D1681" t="s">
        <v>595</v>
      </c>
      <c r="E1681" s="184">
        <v>44167</v>
      </c>
      <c r="F1681" t="s">
        <v>595</v>
      </c>
      <c r="G1681" s="184">
        <v>45386</v>
      </c>
      <c r="I1681" s="184"/>
      <c r="K1681" s="184"/>
      <c r="M1681" s="184"/>
      <c r="O1681" s="184"/>
      <c r="P1681" t="s">
        <v>7045</v>
      </c>
      <c r="Q1681" t="s">
        <v>7374</v>
      </c>
      <c r="R1681" s="184">
        <v>16103</v>
      </c>
      <c r="S1681">
        <v>80</v>
      </c>
      <c r="V1681" t="s">
        <v>2718</v>
      </c>
      <c r="X1681" t="s">
        <v>16537</v>
      </c>
      <c r="AF1681" t="s">
        <v>16538</v>
      </c>
      <c r="AG1681" t="s">
        <v>2718</v>
      </c>
      <c r="AI1681" t="s">
        <v>16539</v>
      </c>
      <c r="AM1681" t="s">
        <v>4419</v>
      </c>
      <c r="AN1681" t="s">
        <v>2081</v>
      </c>
      <c r="AO1681" t="s">
        <v>16540</v>
      </c>
      <c r="AP1681" t="s">
        <v>7024</v>
      </c>
      <c r="AQ1681" t="s">
        <v>16541</v>
      </c>
      <c r="AR1681" t="s">
        <v>16542</v>
      </c>
      <c r="AT1681" s="184">
        <v>34745</v>
      </c>
      <c r="AU1681" t="s">
        <v>16543</v>
      </c>
      <c r="AV1681">
        <v>15</v>
      </c>
      <c r="AW1681" s="184">
        <v>45350</v>
      </c>
      <c r="AX1681" t="s">
        <v>16544</v>
      </c>
      <c r="AY1681">
        <v>20</v>
      </c>
      <c r="AZ1681" s="184">
        <v>42809</v>
      </c>
      <c r="BA1681" t="s">
        <v>16545</v>
      </c>
      <c r="BB1681">
        <v>60</v>
      </c>
      <c r="BC1681">
        <v>80</v>
      </c>
      <c r="BD1681">
        <v>677</v>
      </c>
      <c r="BE1681">
        <v>1995</v>
      </c>
      <c r="BF1681">
        <v>45</v>
      </c>
      <c r="BG1681">
        <v>4</v>
      </c>
      <c r="BH1681">
        <v>50</v>
      </c>
      <c r="BI1681">
        <v>24</v>
      </c>
      <c r="BJ1681">
        <v>30</v>
      </c>
      <c r="BK1681">
        <v>8</v>
      </c>
      <c r="BP1681" s="184"/>
    </row>
    <row r="1682" spans="1:68">
      <c r="A1682">
        <v>18544874</v>
      </c>
      <c r="B1682">
        <v>18544874</v>
      </c>
      <c r="C1682" t="s">
        <v>7018</v>
      </c>
      <c r="E1682" s="184"/>
      <c r="G1682" s="184"/>
      <c r="I1682" s="184"/>
      <c r="J1682" t="s">
        <v>595</v>
      </c>
      <c r="K1682" s="184">
        <v>37433</v>
      </c>
      <c r="M1682" s="184"/>
      <c r="O1682" s="184"/>
      <c r="P1682" t="s">
        <v>7029</v>
      </c>
      <c r="Q1682" t="s">
        <v>7030</v>
      </c>
      <c r="R1682" s="184">
        <v>13667</v>
      </c>
      <c r="S1682">
        <v>86</v>
      </c>
      <c r="U1682" t="s">
        <v>7032</v>
      </c>
      <c r="V1682" t="s">
        <v>3011</v>
      </c>
      <c r="W1682" t="s">
        <v>7560</v>
      </c>
      <c r="X1682" t="s">
        <v>10325</v>
      </c>
      <c r="AF1682" t="s">
        <v>16546</v>
      </c>
      <c r="AG1682" t="s">
        <v>3011</v>
      </c>
      <c r="AI1682" t="s">
        <v>16547</v>
      </c>
      <c r="AM1682" t="s">
        <v>16548</v>
      </c>
      <c r="AN1682" t="s">
        <v>2201</v>
      </c>
      <c r="AO1682" t="s">
        <v>16549</v>
      </c>
      <c r="AP1682" t="s">
        <v>7024</v>
      </c>
      <c r="AQ1682" t="s">
        <v>16550</v>
      </c>
      <c r="AR1682" t="s">
        <v>16551</v>
      </c>
      <c r="AT1682" s="184">
        <v>34746</v>
      </c>
      <c r="AU1682" t="s">
        <v>16552</v>
      </c>
      <c r="AV1682">
        <v>25</v>
      </c>
      <c r="AW1682" s="184">
        <v>44654</v>
      </c>
      <c r="AX1682" t="s">
        <v>16553</v>
      </c>
      <c r="AY1682">
        <v>25</v>
      </c>
      <c r="AZ1682" s="184">
        <v>44287</v>
      </c>
      <c r="BA1682" t="s">
        <v>16554</v>
      </c>
      <c r="BB1682">
        <v>1000</v>
      </c>
      <c r="BC1682">
        <v>77</v>
      </c>
      <c r="BD1682">
        <v>9478.33</v>
      </c>
      <c r="BE1682">
        <v>1995</v>
      </c>
      <c r="BF1682">
        <v>49</v>
      </c>
      <c r="BI1682">
        <v>23</v>
      </c>
      <c r="BJ1682">
        <v>30</v>
      </c>
      <c r="BK1682">
        <v>12</v>
      </c>
      <c r="BL1682" t="s">
        <v>595</v>
      </c>
      <c r="BO1682" t="s">
        <v>595</v>
      </c>
    </row>
    <row r="1683" spans="1:68">
      <c r="A1683">
        <v>18545012</v>
      </c>
      <c r="B1683">
        <v>18545012</v>
      </c>
      <c r="C1683" t="s">
        <v>7018</v>
      </c>
      <c r="E1683" s="184"/>
      <c r="F1683" t="s">
        <v>595</v>
      </c>
      <c r="G1683" s="184">
        <v>44073</v>
      </c>
      <c r="I1683" s="184"/>
      <c r="K1683" s="184"/>
      <c r="M1683" s="184"/>
      <c r="O1683" s="184"/>
      <c r="P1683" t="s">
        <v>7045</v>
      </c>
      <c r="Q1683" t="s">
        <v>7383</v>
      </c>
      <c r="R1683" s="184">
        <v>18019</v>
      </c>
      <c r="S1683">
        <v>75</v>
      </c>
      <c r="U1683" t="s">
        <v>7076</v>
      </c>
      <c r="V1683" t="s">
        <v>4535</v>
      </c>
      <c r="W1683" t="s">
        <v>3522</v>
      </c>
      <c r="X1683" t="s">
        <v>16555</v>
      </c>
      <c r="AF1683" t="s">
        <v>16556</v>
      </c>
      <c r="AG1683" t="s">
        <v>4535</v>
      </c>
      <c r="AI1683" t="s">
        <v>16557</v>
      </c>
      <c r="AM1683" t="s">
        <v>16558</v>
      </c>
      <c r="AN1683" t="s">
        <v>2072</v>
      </c>
      <c r="AO1683" t="s">
        <v>16559</v>
      </c>
      <c r="AP1683" t="s">
        <v>7024</v>
      </c>
      <c r="AQ1683" t="s">
        <v>16560</v>
      </c>
      <c r="AT1683" s="184">
        <v>34746</v>
      </c>
      <c r="AU1683" t="s">
        <v>16561</v>
      </c>
      <c r="AV1683">
        <v>25</v>
      </c>
      <c r="AW1683" s="184">
        <v>45301</v>
      </c>
      <c r="AX1683" t="s">
        <v>8767</v>
      </c>
      <c r="AY1683">
        <v>200</v>
      </c>
      <c r="AZ1683" s="184">
        <v>44735</v>
      </c>
      <c r="BA1683" t="s">
        <v>16562</v>
      </c>
      <c r="BB1683">
        <v>400</v>
      </c>
      <c r="BC1683">
        <v>97</v>
      </c>
      <c r="BD1683">
        <v>9525</v>
      </c>
      <c r="BE1683">
        <v>1995</v>
      </c>
      <c r="BF1683">
        <v>65</v>
      </c>
      <c r="BG1683">
        <v>5</v>
      </c>
      <c r="BH1683">
        <v>1400</v>
      </c>
      <c r="BI1683">
        <v>29</v>
      </c>
      <c r="BJ1683">
        <v>30</v>
      </c>
      <c r="BK1683">
        <v>25</v>
      </c>
      <c r="BP1683" s="184"/>
    </row>
    <row r="1684" spans="1:68">
      <c r="A1684">
        <v>18546143</v>
      </c>
      <c r="B1684">
        <v>18546143</v>
      </c>
      <c r="C1684" t="s">
        <v>7018</v>
      </c>
      <c r="E1684" s="184"/>
      <c r="G1684" s="184"/>
      <c r="I1684" s="184"/>
      <c r="K1684" s="184"/>
      <c r="M1684" s="184"/>
      <c r="N1684" t="s">
        <v>595</v>
      </c>
      <c r="O1684" s="184">
        <v>43444</v>
      </c>
      <c r="P1684" t="s">
        <v>7045</v>
      </c>
      <c r="Q1684" t="s">
        <v>7262</v>
      </c>
      <c r="R1684" s="184">
        <v>18688</v>
      </c>
      <c r="S1684">
        <v>73</v>
      </c>
      <c r="U1684" t="s">
        <v>7031</v>
      </c>
      <c r="V1684" t="s">
        <v>2614</v>
      </c>
      <c r="W1684" t="s">
        <v>4152</v>
      </c>
      <c r="X1684" t="s">
        <v>2615</v>
      </c>
      <c r="AF1684" t="s">
        <v>5988</v>
      </c>
      <c r="AG1684" t="s">
        <v>2614</v>
      </c>
      <c r="AI1684" t="s">
        <v>16563</v>
      </c>
      <c r="AM1684" t="s">
        <v>2616</v>
      </c>
      <c r="AN1684" t="s">
        <v>2069</v>
      </c>
      <c r="AO1684" t="s">
        <v>16564</v>
      </c>
      <c r="AP1684" t="s">
        <v>7024</v>
      </c>
      <c r="AQ1684" t="s">
        <v>16565</v>
      </c>
      <c r="AR1684" t="s">
        <v>16566</v>
      </c>
      <c r="AT1684" s="184">
        <v>34746</v>
      </c>
      <c r="AU1684" t="s">
        <v>16567</v>
      </c>
      <c r="AV1684">
        <v>25</v>
      </c>
      <c r="AW1684" s="184">
        <v>45135</v>
      </c>
      <c r="AX1684" t="s">
        <v>16568</v>
      </c>
      <c r="AY1684">
        <v>75</v>
      </c>
      <c r="AZ1684" s="184">
        <v>43451</v>
      </c>
      <c r="BA1684" t="s">
        <v>9427</v>
      </c>
      <c r="BB1684">
        <v>10000</v>
      </c>
      <c r="BC1684">
        <v>90</v>
      </c>
      <c r="BD1684">
        <v>12160</v>
      </c>
      <c r="BE1684">
        <v>1995</v>
      </c>
      <c r="BF1684">
        <v>31</v>
      </c>
      <c r="BG1684">
        <v>2</v>
      </c>
      <c r="BH1684">
        <v>150</v>
      </c>
      <c r="BI1684">
        <v>27</v>
      </c>
      <c r="BJ1684">
        <v>30</v>
      </c>
      <c r="BK1684">
        <v>24</v>
      </c>
      <c r="BP1684" s="184"/>
    </row>
    <row r="1685" spans="1:68">
      <c r="A1685">
        <v>18554345</v>
      </c>
      <c r="B1685">
        <v>18554345</v>
      </c>
      <c r="C1685" t="s">
        <v>7018</v>
      </c>
      <c r="D1685" t="s">
        <v>595</v>
      </c>
      <c r="E1685" s="184">
        <v>44113</v>
      </c>
      <c r="G1685" s="184"/>
      <c r="I1685" s="184"/>
      <c r="K1685" s="184"/>
      <c r="M1685" s="184"/>
      <c r="O1685" s="184"/>
      <c r="P1685" t="s">
        <v>7029</v>
      </c>
      <c r="Q1685" t="s">
        <v>7020</v>
      </c>
      <c r="R1685" s="184">
        <v>20760</v>
      </c>
      <c r="S1685">
        <v>67</v>
      </c>
      <c r="U1685" t="s">
        <v>7031</v>
      </c>
      <c r="V1685" t="s">
        <v>12832</v>
      </c>
      <c r="W1685" t="s">
        <v>3332</v>
      </c>
      <c r="X1685" t="s">
        <v>16569</v>
      </c>
      <c r="AF1685" t="s">
        <v>16570</v>
      </c>
      <c r="AG1685" t="s">
        <v>12832</v>
      </c>
      <c r="AI1685" t="s">
        <v>16571</v>
      </c>
      <c r="AM1685" t="s">
        <v>16572</v>
      </c>
      <c r="AN1685" t="s">
        <v>2129</v>
      </c>
      <c r="AO1685" t="s">
        <v>16573</v>
      </c>
      <c r="AP1685" t="s">
        <v>7024</v>
      </c>
      <c r="AQ1685" t="s">
        <v>16574</v>
      </c>
      <c r="AT1685" s="184">
        <v>34746</v>
      </c>
      <c r="AU1685" t="s">
        <v>16309</v>
      </c>
      <c r="AV1685">
        <v>25</v>
      </c>
      <c r="AW1685" s="184">
        <v>45288</v>
      </c>
      <c r="AX1685" t="s">
        <v>7558</v>
      </c>
      <c r="AY1685">
        <v>200</v>
      </c>
      <c r="AZ1685" s="184">
        <v>44959</v>
      </c>
      <c r="BA1685" t="s">
        <v>16575</v>
      </c>
      <c r="BB1685">
        <v>500</v>
      </c>
      <c r="BC1685">
        <v>97</v>
      </c>
      <c r="BD1685">
        <v>4985</v>
      </c>
      <c r="BE1685">
        <v>1995</v>
      </c>
      <c r="BF1685">
        <v>61</v>
      </c>
      <c r="BG1685">
        <v>3</v>
      </c>
      <c r="BH1685">
        <v>950</v>
      </c>
      <c r="BI1685">
        <v>29</v>
      </c>
      <c r="BJ1685">
        <v>30</v>
      </c>
      <c r="BK1685">
        <v>29</v>
      </c>
      <c r="BP1685" s="184"/>
    </row>
    <row r="1686" spans="1:68">
      <c r="A1686">
        <v>18561480</v>
      </c>
      <c r="B1686">
        <v>18561480</v>
      </c>
      <c r="C1686" t="s">
        <v>7018</v>
      </c>
      <c r="D1686" t="s">
        <v>595</v>
      </c>
      <c r="E1686" s="184">
        <v>43642</v>
      </c>
      <c r="G1686" s="184"/>
      <c r="I1686" s="184"/>
      <c r="K1686" s="184"/>
      <c r="M1686" s="184"/>
      <c r="O1686" s="184"/>
      <c r="P1686" t="s">
        <v>7045</v>
      </c>
      <c r="Q1686" t="s">
        <v>7020</v>
      </c>
      <c r="R1686" s="184">
        <v>16690</v>
      </c>
      <c r="S1686">
        <v>78</v>
      </c>
      <c r="U1686" t="s">
        <v>7130</v>
      </c>
      <c r="V1686" t="s">
        <v>3249</v>
      </c>
      <c r="W1686" t="s">
        <v>7560</v>
      </c>
      <c r="X1686" t="s">
        <v>3250</v>
      </c>
      <c r="AF1686" t="s">
        <v>16576</v>
      </c>
      <c r="AG1686" t="s">
        <v>3249</v>
      </c>
      <c r="AI1686" t="s">
        <v>16577</v>
      </c>
      <c r="AM1686" t="s">
        <v>3251</v>
      </c>
      <c r="AN1686" t="s">
        <v>2112</v>
      </c>
      <c r="AO1686" t="s">
        <v>16578</v>
      </c>
      <c r="AP1686" t="s">
        <v>7024</v>
      </c>
      <c r="AQ1686" t="s">
        <v>16579</v>
      </c>
      <c r="AT1686" s="184">
        <v>34747</v>
      </c>
      <c r="AU1686" t="s">
        <v>16561</v>
      </c>
      <c r="AV1686">
        <v>25</v>
      </c>
      <c r="AW1686" s="184">
        <v>45349</v>
      </c>
      <c r="AX1686" t="s">
        <v>16580</v>
      </c>
      <c r="AY1686">
        <v>25</v>
      </c>
      <c r="AZ1686" s="184">
        <v>45349</v>
      </c>
      <c r="BA1686" t="s">
        <v>16580</v>
      </c>
      <c r="BB1686">
        <v>25</v>
      </c>
      <c r="BC1686">
        <v>90</v>
      </c>
      <c r="BD1686">
        <v>815</v>
      </c>
      <c r="BE1686">
        <v>1995</v>
      </c>
      <c r="BF1686">
        <v>34</v>
      </c>
      <c r="BG1686">
        <v>3</v>
      </c>
      <c r="BH1686">
        <v>75</v>
      </c>
      <c r="BI1686">
        <v>27</v>
      </c>
      <c r="BJ1686">
        <v>30</v>
      </c>
      <c r="BK1686">
        <v>14</v>
      </c>
      <c r="BP1686" s="184"/>
    </row>
    <row r="1687" spans="1:68">
      <c r="A1687">
        <v>18573063</v>
      </c>
      <c r="B1687">
        <v>18573063</v>
      </c>
      <c r="C1687" t="s">
        <v>7018</v>
      </c>
      <c r="D1687" t="s">
        <v>595</v>
      </c>
      <c r="E1687" s="184">
        <v>44236</v>
      </c>
      <c r="G1687" s="184"/>
      <c r="I1687" s="184"/>
      <c r="K1687" s="184"/>
      <c r="O1687" s="184"/>
      <c r="P1687" t="s">
        <v>7045</v>
      </c>
      <c r="Q1687" t="s">
        <v>7383</v>
      </c>
      <c r="R1687" s="184">
        <v>14636</v>
      </c>
      <c r="S1687">
        <v>84</v>
      </c>
      <c r="U1687" t="s">
        <v>7130</v>
      </c>
      <c r="V1687" t="s">
        <v>2985</v>
      </c>
      <c r="W1687" t="s">
        <v>4139</v>
      </c>
      <c r="X1687" t="s">
        <v>16581</v>
      </c>
      <c r="AF1687" t="s">
        <v>16582</v>
      </c>
      <c r="AG1687" t="s">
        <v>2985</v>
      </c>
      <c r="AI1687" t="s">
        <v>16583</v>
      </c>
      <c r="AM1687" t="s">
        <v>2940</v>
      </c>
      <c r="AN1687" t="s">
        <v>2185</v>
      </c>
      <c r="AO1687" t="s">
        <v>16584</v>
      </c>
      <c r="AP1687" t="s">
        <v>7024</v>
      </c>
      <c r="AQ1687" t="s">
        <v>16585</v>
      </c>
      <c r="AT1687" s="184">
        <v>34754</v>
      </c>
      <c r="AU1687" t="s">
        <v>16497</v>
      </c>
      <c r="AV1687">
        <v>19.95</v>
      </c>
      <c r="AW1687" s="184">
        <v>42855</v>
      </c>
      <c r="AX1687" t="s">
        <v>16586</v>
      </c>
      <c r="AY1687">
        <v>50</v>
      </c>
      <c r="AZ1687" s="184">
        <v>42747</v>
      </c>
      <c r="BA1687" t="s">
        <v>16587</v>
      </c>
      <c r="BB1687">
        <v>60</v>
      </c>
      <c r="BC1687">
        <v>30</v>
      </c>
      <c r="BD1687">
        <v>424.95</v>
      </c>
      <c r="BE1687">
        <v>1995</v>
      </c>
      <c r="BF1687">
        <v>12</v>
      </c>
      <c r="BI1687">
        <v>9</v>
      </c>
      <c r="BJ1687">
        <v>30</v>
      </c>
      <c r="BK1687">
        <v>3</v>
      </c>
    </row>
    <row r="1688" spans="1:68">
      <c r="A1688">
        <v>18605030</v>
      </c>
      <c r="B1688">
        <v>18605030</v>
      </c>
      <c r="C1688" t="s">
        <v>7018</v>
      </c>
      <c r="E1688" s="184"/>
      <c r="G1688" s="184"/>
      <c r="I1688" s="184"/>
      <c r="J1688" t="s">
        <v>595</v>
      </c>
      <c r="K1688" s="184">
        <v>42898</v>
      </c>
      <c r="O1688" s="184"/>
      <c r="P1688" t="s">
        <v>7045</v>
      </c>
      <c r="Q1688" t="s">
        <v>7383</v>
      </c>
      <c r="R1688" s="184">
        <v>22576</v>
      </c>
      <c r="S1688">
        <v>62</v>
      </c>
      <c r="V1688" t="s">
        <v>3147</v>
      </c>
      <c r="X1688" t="s">
        <v>12284</v>
      </c>
      <c r="AF1688" t="s">
        <v>6547</v>
      </c>
      <c r="AG1688" t="s">
        <v>3147</v>
      </c>
      <c r="AI1688" t="s">
        <v>16588</v>
      </c>
      <c r="AM1688" t="s">
        <v>16589</v>
      </c>
      <c r="AN1688" t="s">
        <v>2059</v>
      </c>
      <c r="AO1688" t="s">
        <v>16590</v>
      </c>
      <c r="AP1688" t="s">
        <v>7024</v>
      </c>
      <c r="AQ1688" t="s">
        <v>16591</v>
      </c>
      <c r="AR1688" t="s">
        <v>16592</v>
      </c>
      <c r="AT1688" s="184">
        <v>34752</v>
      </c>
      <c r="AU1688" t="s">
        <v>16593</v>
      </c>
      <c r="AV1688">
        <v>20</v>
      </c>
      <c r="AW1688" s="184">
        <v>44576</v>
      </c>
      <c r="AX1688" t="s">
        <v>16594</v>
      </c>
      <c r="AY1688">
        <v>25</v>
      </c>
      <c r="AZ1688" s="184">
        <v>43140</v>
      </c>
      <c r="BA1688" t="s">
        <v>16595</v>
      </c>
      <c r="BB1688">
        <v>60</v>
      </c>
      <c r="BC1688">
        <v>57</v>
      </c>
      <c r="BD1688">
        <v>689</v>
      </c>
      <c r="BE1688">
        <v>1995</v>
      </c>
      <c r="BF1688">
        <v>27</v>
      </c>
      <c r="BI1688">
        <v>17</v>
      </c>
      <c r="BJ1688">
        <v>30</v>
      </c>
      <c r="BK1688">
        <v>5</v>
      </c>
      <c r="BN1688" t="s">
        <v>595</v>
      </c>
      <c r="BP1688" s="184"/>
    </row>
    <row r="1689" spans="1:68">
      <c r="A1689">
        <v>18626101</v>
      </c>
      <c r="B1689">
        <v>18626101</v>
      </c>
      <c r="C1689" t="s">
        <v>7018</v>
      </c>
      <c r="D1689" t="s">
        <v>595</v>
      </c>
      <c r="E1689" s="184">
        <v>43970</v>
      </c>
      <c r="G1689" s="184"/>
      <c r="I1689" s="184"/>
      <c r="K1689" s="184"/>
      <c r="O1689" s="184"/>
      <c r="P1689" t="s">
        <v>7045</v>
      </c>
      <c r="Q1689" t="s">
        <v>7383</v>
      </c>
      <c r="R1689" s="184">
        <v>25569</v>
      </c>
      <c r="S1689">
        <v>54</v>
      </c>
      <c r="U1689" t="s">
        <v>7130</v>
      </c>
      <c r="V1689" t="s">
        <v>4447</v>
      </c>
      <c r="W1689" t="s">
        <v>2918</v>
      </c>
      <c r="X1689" t="s">
        <v>16596</v>
      </c>
      <c r="AF1689" t="s">
        <v>16597</v>
      </c>
      <c r="AG1689" t="s">
        <v>4447</v>
      </c>
      <c r="AI1689" t="s">
        <v>16598</v>
      </c>
      <c r="AM1689" t="s">
        <v>16599</v>
      </c>
      <c r="AN1689" t="s">
        <v>2072</v>
      </c>
      <c r="AO1689" t="s">
        <v>16600</v>
      </c>
      <c r="AP1689" t="s">
        <v>7024</v>
      </c>
      <c r="AQ1689" t="s">
        <v>16601</v>
      </c>
      <c r="AR1689" t="s">
        <v>16602</v>
      </c>
      <c r="AT1689" s="184">
        <v>34754</v>
      </c>
      <c r="AU1689" t="s">
        <v>16603</v>
      </c>
      <c r="AV1689">
        <v>15</v>
      </c>
      <c r="AW1689" s="184">
        <v>44227</v>
      </c>
      <c r="AX1689" t="s">
        <v>7714</v>
      </c>
      <c r="AY1689">
        <v>25</v>
      </c>
      <c r="AZ1689" s="184">
        <v>43906</v>
      </c>
      <c r="BA1689" t="s">
        <v>16604</v>
      </c>
      <c r="BB1689">
        <v>35</v>
      </c>
      <c r="BC1689">
        <v>84</v>
      </c>
      <c r="BD1689">
        <v>820</v>
      </c>
      <c r="BE1689">
        <v>1995</v>
      </c>
      <c r="BF1689">
        <v>28</v>
      </c>
      <c r="BI1689">
        <v>25</v>
      </c>
      <c r="BJ1689">
        <v>30</v>
      </c>
      <c r="BK1689">
        <v>16</v>
      </c>
      <c r="BP1689" s="184"/>
    </row>
    <row r="1690" spans="1:68">
      <c r="A1690">
        <v>18631457</v>
      </c>
      <c r="B1690">
        <v>18631457</v>
      </c>
      <c r="C1690" t="s">
        <v>7018</v>
      </c>
      <c r="D1690" t="s">
        <v>595</v>
      </c>
      <c r="E1690" s="184">
        <v>44167</v>
      </c>
      <c r="G1690" s="184"/>
      <c r="I1690" s="184"/>
      <c r="K1690" s="184"/>
      <c r="O1690" s="184"/>
      <c r="P1690" t="s">
        <v>7045</v>
      </c>
      <c r="Q1690" t="s">
        <v>7374</v>
      </c>
      <c r="R1690" s="184">
        <v>20880</v>
      </c>
      <c r="S1690">
        <v>67</v>
      </c>
      <c r="U1690" t="s">
        <v>7130</v>
      </c>
      <c r="V1690" t="s">
        <v>16605</v>
      </c>
      <c r="W1690" t="s">
        <v>3226</v>
      </c>
      <c r="X1690" t="s">
        <v>3180</v>
      </c>
      <c r="AF1690" t="s">
        <v>16606</v>
      </c>
      <c r="AG1690" t="s">
        <v>16605</v>
      </c>
      <c r="AI1690" t="s">
        <v>16607</v>
      </c>
      <c r="AM1690" t="s">
        <v>4302</v>
      </c>
      <c r="AN1690" t="s">
        <v>2081</v>
      </c>
      <c r="AO1690" t="s">
        <v>16608</v>
      </c>
      <c r="AP1690" t="s">
        <v>7024</v>
      </c>
      <c r="AQ1690" t="s">
        <v>16609</v>
      </c>
      <c r="AR1690" t="s">
        <v>16610</v>
      </c>
      <c r="AT1690" s="184">
        <v>34757</v>
      </c>
      <c r="AU1690" t="s">
        <v>16611</v>
      </c>
      <c r="AV1690">
        <v>25</v>
      </c>
      <c r="AW1690" s="184">
        <v>45224</v>
      </c>
      <c r="AX1690" t="s">
        <v>9454</v>
      </c>
      <c r="AY1690">
        <v>100</v>
      </c>
      <c r="AZ1690" s="184">
        <v>40302</v>
      </c>
      <c r="BA1690" t="s">
        <v>16612</v>
      </c>
      <c r="BB1690">
        <v>200</v>
      </c>
      <c r="BC1690">
        <v>70</v>
      </c>
      <c r="BD1690">
        <v>1890</v>
      </c>
      <c r="BE1690">
        <v>1995</v>
      </c>
      <c r="BF1690">
        <v>38</v>
      </c>
      <c r="BG1690">
        <v>4</v>
      </c>
      <c r="BH1690">
        <v>250</v>
      </c>
      <c r="BI1690">
        <v>21</v>
      </c>
      <c r="BJ1690">
        <v>30</v>
      </c>
      <c r="BK1690">
        <v>12</v>
      </c>
      <c r="BP1690" s="184"/>
    </row>
    <row r="1691" spans="1:68">
      <c r="A1691">
        <v>18734939</v>
      </c>
      <c r="B1691">
        <v>18734939</v>
      </c>
      <c r="C1691" t="s">
        <v>7018</v>
      </c>
      <c r="E1691" s="184"/>
      <c r="G1691" s="184"/>
      <c r="I1691" s="184"/>
      <c r="J1691" t="s">
        <v>595</v>
      </c>
      <c r="K1691" s="184">
        <v>43641</v>
      </c>
      <c r="M1691" s="184"/>
      <c r="P1691" t="s">
        <v>7045</v>
      </c>
      <c r="Q1691" t="s">
        <v>7383</v>
      </c>
      <c r="R1691" s="184">
        <v>11536</v>
      </c>
      <c r="S1691">
        <v>92</v>
      </c>
      <c r="U1691" t="s">
        <v>7094</v>
      </c>
      <c r="V1691" t="s">
        <v>3122</v>
      </c>
      <c r="X1691" t="s">
        <v>3123</v>
      </c>
      <c r="AF1691" t="s">
        <v>6246</v>
      </c>
      <c r="AG1691" t="s">
        <v>3122</v>
      </c>
      <c r="AI1691" t="s">
        <v>16613</v>
      </c>
      <c r="AM1691" t="s">
        <v>3124</v>
      </c>
      <c r="AN1691" t="s">
        <v>2072</v>
      </c>
      <c r="AO1691" t="s">
        <v>16614</v>
      </c>
      <c r="AP1691" t="s">
        <v>7024</v>
      </c>
      <c r="AQ1691" t="s">
        <v>16615</v>
      </c>
      <c r="AT1691" s="184">
        <v>34772</v>
      </c>
      <c r="AU1691" t="s">
        <v>16616</v>
      </c>
      <c r="AV1691">
        <v>25</v>
      </c>
      <c r="AW1691" s="184">
        <v>45061</v>
      </c>
      <c r="AX1691" t="s">
        <v>16617</v>
      </c>
      <c r="AY1691">
        <v>300</v>
      </c>
      <c r="AZ1691" s="184">
        <v>45061</v>
      </c>
      <c r="BA1691" t="s">
        <v>16617</v>
      </c>
      <c r="BB1691">
        <v>300</v>
      </c>
      <c r="BC1691">
        <v>80</v>
      </c>
      <c r="BD1691">
        <v>3095</v>
      </c>
      <c r="BE1691">
        <v>1995</v>
      </c>
      <c r="BF1691">
        <v>34</v>
      </c>
      <c r="BG1691">
        <v>2</v>
      </c>
      <c r="BH1691">
        <v>500</v>
      </c>
      <c r="BI1691">
        <v>24</v>
      </c>
      <c r="BJ1691">
        <v>30</v>
      </c>
      <c r="BK1691">
        <v>18</v>
      </c>
      <c r="BN1691" t="s">
        <v>595</v>
      </c>
      <c r="BP1691" s="184"/>
    </row>
    <row r="1692" spans="1:68">
      <c r="A1692">
        <v>18740464</v>
      </c>
      <c r="B1692">
        <v>18740464</v>
      </c>
      <c r="C1692" t="s">
        <v>7018</v>
      </c>
      <c r="E1692" s="184"/>
      <c r="G1692" s="184"/>
      <c r="I1692" s="184"/>
      <c r="J1692" t="s">
        <v>595</v>
      </c>
      <c r="K1692" s="184">
        <v>39917</v>
      </c>
      <c r="M1692" s="184"/>
      <c r="P1692" t="s">
        <v>7045</v>
      </c>
      <c r="Q1692" t="s">
        <v>7374</v>
      </c>
      <c r="R1692" s="184">
        <v>10502</v>
      </c>
      <c r="S1692">
        <v>95</v>
      </c>
      <c r="V1692" t="s">
        <v>3101</v>
      </c>
      <c r="W1692" t="s">
        <v>4152</v>
      </c>
      <c r="X1692" t="s">
        <v>16618</v>
      </c>
      <c r="AF1692" t="s">
        <v>6657</v>
      </c>
      <c r="AG1692" t="s">
        <v>3101</v>
      </c>
      <c r="AI1692" t="s">
        <v>16619</v>
      </c>
      <c r="AM1692" t="s">
        <v>16620</v>
      </c>
      <c r="AN1692" t="s">
        <v>2081</v>
      </c>
      <c r="AO1692" t="s">
        <v>16621</v>
      </c>
      <c r="AP1692" t="s">
        <v>7024</v>
      </c>
      <c r="AQ1692" t="s">
        <v>16622</v>
      </c>
      <c r="AR1692" t="s">
        <v>16623</v>
      </c>
      <c r="AT1692" s="184">
        <v>34772</v>
      </c>
      <c r="AU1692" t="s">
        <v>16624</v>
      </c>
      <c r="AV1692">
        <v>15</v>
      </c>
      <c r="AW1692" s="184">
        <v>39589</v>
      </c>
      <c r="AX1692" t="s">
        <v>16625</v>
      </c>
      <c r="AY1692">
        <v>25</v>
      </c>
      <c r="AZ1692" s="184">
        <v>38174</v>
      </c>
      <c r="BA1692" t="s">
        <v>16626</v>
      </c>
      <c r="BB1692">
        <v>50</v>
      </c>
      <c r="BC1692">
        <v>27</v>
      </c>
      <c r="BD1692">
        <v>250</v>
      </c>
      <c r="BE1692">
        <v>1995</v>
      </c>
      <c r="BF1692">
        <v>9</v>
      </c>
      <c r="BI1692">
        <v>8</v>
      </c>
      <c r="BJ1692">
        <v>30</v>
      </c>
      <c r="BK1692">
        <v>3</v>
      </c>
      <c r="BP1692" s="184"/>
    </row>
    <row r="1693" spans="1:68">
      <c r="A1693">
        <v>18751776</v>
      </c>
      <c r="B1693">
        <v>18751776</v>
      </c>
      <c r="C1693" t="s">
        <v>7018</v>
      </c>
      <c r="E1693" s="184"/>
      <c r="F1693" t="s">
        <v>595</v>
      </c>
      <c r="G1693" s="184">
        <v>44438</v>
      </c>
      <c r="I1693" s="184"/>
      <c r="K1693" s="184"/>
      <c r="P1693" t="s">
        <v>7045</v>
      </c>
      <c r="Q1693" t="s">
        <v>7374</v>
      </c>
      <c r="R1693" s="184">
        <v>15359</v>
      </c>
      <c r="S1693">
        <v>82</v>
      </c>
      <c r="U1693" t="s">
        <v>7031</v>
      </c>
      <c r="V1693" t="s">
        <v>2541</v>
      </c>
      <c r="X1693" t="s">
        <v>3594</v>
      </c>
      <c r="AF1693" t="s">
        <v>16627</v>
      </c>
      <c r="AG1693" t="s">
        <v>2541</v>
      </c>
      <c r="AI1693" t="s">
        <v>16628</v>
      </c>
      <c r="AM1693" t="s">
        <v>16629</v>
      </c>
      <c r="AN1693" t="s">
        <v>2081</v>
      </c>
      <c r="AO1693" t="s">
        <v>16630</v>
      </c>
      <c r="AP1693" t="s">
        <v>7024</v>
      </c>
      <c r="AT1693" s="184">
        <v>34772</v>
      </c>
      <c r="AU1693" t="s">
        <v>16631</v>
      </c>
      <c r="AV1693">
        <v>20</v>
      </c>
      <c r="AW1693" s="184">
        <v>41100</v>
      </c>
      <c r="AX1693" t="s">
        <v>16632</v>
      </c>
      <c r="AY1693">
        <v>25</v>
      </c>
      <c r="AZ1693" s="184">
        <v>41100</v>
      </c>
      <c r="BA1693" t="s">
        <v>16632</v>
      </c>
      <c r="BB1693">
        <v>25</v>
      </c>
      <c r="BC1693">
        <v>24</v>
      </c>
      <c r="BD1693">
        <v>240</v>
      </c>
      <c r="BE1693">
        <v>1995</v>
      </c>
      <c r="BF1693">
        <v>11</v>
      </c>
      <c r="BI1693">
        <v>7</v>
      </c>
      <c r="BJ1693">
        <v>30</v>
      </c>
      <c r="BK1693">
        <v>6</v>
      </c>
      <c r="BP1693" s="184"/>
    </row>
    <row r="1694" spans="1:68">
      <c r="A1694">
        <v>18754507</v>
      </c>
      <c r="B1694">
        <v>18754507</v>
      </c>
      <c r="C1694" t="s">
        <v>7018</v>
      </c>
      <c r="E1694" s="184"/>
      <c r="G1694" s="184"/>
      <c r="I1694" s="184"/>
      <c r="J1694" t="s">
        <v>595</v>
      </c>
      <c r="K1694" s="184">
        <v>43536</v>
      </c>
      <c r="M1694" s="184"/>
      <c r="P1694" t="s">
        <v>7045</v>
      </c>
      <c r="Q1694" t="s">
        <v>7020</v>
      </c>
      <c r="R1694" s="184">
        <v>9021</v>
      </c>
      <c r="S1694">
        <v>99</v>
      </c>
      <c r="U1694" t="s">
        <v>7094</v>
      </c>
      <c r="V1694" t="s">
        <v>2669</v>
      </c>
      <c r="X1694" t="s">
        <v>5955</v>
      </c>
      <c r="AF1694" t="s">
        <v>16633</v>
      </c>
      <c r="AG1694" t="s">
        <v>16634</v>
      </c>
      <c r="AI1694" t="s">
        <v>16635</v>
      </c>
      <c r="AJ1694" t="s">
        <v>16636</v>
      </c>
      <c r="AK1694" t="s">
        <v>16637</v>
      </c>
      <c r="AM1694" t="s">
        <v>5956</v>
      </c>
      <c r="AN1694" t="s">
        <v>2052</v>
      </c>
      <c r="AO1694">
        <v>2110</v>
      </c>
      <c r="AP1694" t="s">
        <v>7024</v>
      </c>
      <c r="AT1694" s="184">
        <v>34772</v>
      </c>
      <c r="AU1694" t="s">
        <v>16638</v>
      </c>
      <c r="AV1694">
        <v>109.95</v>
      </c>
      <c r="AW1694" s="184">
        <v>43535</v>
      </c>
      <c r="AX1694" t="s">
        <v>7348</v>
      </c>
      <c r="AY1694">
        <v>700</v>
      </c>
      <c r="AZ1694" s="184">
        <v>43166</v>
      </c>
      <c r="BA1694" t="s">
        <v>16639</v>
      </c>
      <c r="BB1694">
        <v>1600</v>
      </c>
      <c r="BC1694">
        <v>47</v>
      </c>
      <c r="BD1694">
        <v>12918.95</v>
      </c>
      <c r="BE1694">
        <v>1995</v>
      </c>
      <c r="BF1694">
        <v>22</v>
      </c>
      <c r="BI1694">
        <v>14</v>
      </c>
      <c r="BJ1694">
        <v>30</v>
      </c>
      <c r="BK1694">
        <v>8</v>
      </c>
      <c r="BO1694" t="s">
        <v>595</v>
      </c>
      <c r="BP1694" s="184">
        <v>42012</v>
      </c>
    </row>
    <row r="1695" spans="1:68">
      <c r="A1695">
        <v>18761817</v>
      </c>
      <c r="B1695">
        <v>18761817</v>
      </c>
      <c r="C1695" t="s">
        <v>7018</v>
      </c>
      <c r="D1695" t="s">
        <v>595</v>
      </c>
      <c r="E1695" s="184">
        <v>44419</v>
      </c>
      <c r="G1695" s="184"/>
      <c r="I1695" s="184"/>
      <c r="K1695" s="184"/>
      <c r="M1695" s="184"/>
      <c r="P1695" t="s">
        <v>7045</v>
      </c>
      <c r="Q1695" t="s">
        <v>7374</v>
      </c>
      <c r="R1695" s="184">
        <v>16982</v>
      </c>
      <c r="S1695">
        <v>77</v>
      </c>
      <c r="U1695" t="s">
        <v>7031</v>
      </c>
      <c r="V1695" t="s">
        <v>2871</v>
      </c>
      <c r="W1695" t="s">
        <v>2863</v>
      </c>
      <c r="X1695" t="s">
        <v>16640</v>
      </c>
      <c r="AF1695" t="s">
        <v>16641</v>
      </c>
      <c r="AG1695" t="s">
        <v>2871</v>
      </c>
      <c r="AI1695" t="s">
        <v>16642</v>
      </c>
      <c r="AM1695" t="s">
        <v>5949</v>
      </c>
      <c r="AN1695" t="s">
        <v>2081</v>
      </c>
      <c r="AO1695" t="s">
        <v>16643</v>
      </c>
      <c r="AP1695" t="s">
        <v>7024</v>
      </c>
      <c r="AQ1695" t="s">
        <v>16644</v>
      </c>
      <c r="AT1695" s="184">
        <v>34772</v>
      </c>
      <c r="AU1695" t="s">
        <v>16645</v>
      </c>
      <c r="AV1695">
        <v>25</v>
      </c>
      <c r="AW1695" s="184">
        <v>44566</v>
      </c>
      <c r="AX1695" t="s">
        <v>16646</v>
      </c>
      <c r="AY1695">
        <v>100</v>
      </c>
      <c r="AZ1695" s="184">
        <v>37123</v>
      </c>
      <c r="BA1695" t="s">
        <v>16647</v>
      </c>
      <c r="BB1695">
        <v>150</v>
      </c>
      <c r="BC1695">
        <v>34</v>
      </c>
      <c r="BD1695">
        <v>940</v>
      </c>
      <c r="BE1695">
        <v>1995</v>
      </c>
      <c r="BF1695">
        <v>13</v>
      </c>
      <c r="BI1695">
        <v>10</v>
      </c>
      <c r="BJ1695">
        <v>30</v>
      </c>
      <c r="BK1695">
        <v>7</v>
      </c>
      <c r="BP1695" s="184"/>
    </row>
    <row r="1696" spans="1:68">
      <c r="A1696">
        <v>18780239</v>
      </c>
      <c r="B1696">
        <v>18780239</v>
      </c>
      <c r="C1696" t="s">
        <v>7018</v>
      </c>
      <c r="D1696" t="s">
        <v>595</v>
      </c>
      <c r="E1696" s="184">
        <v>44073</v>
      </c>
      <c r="G1696" s="184"/>
      <c r="K1696" s="184"/>
      <c r="M1696" s="184"/>
      <c r="P1696" t="s">
        <v>7045</v>
      </c>
      <c r="Q1696" t="s">
        <v>7383</v>
      </c>
      <c r="R1696" s="184">
        <v>21958</v>
      </c>
      <c r="S1696">
        <v>64</v>
      </c>
      <c r="V1696" t="s">
        <v>3230</v>
      </c>
      <c r="X1696" t="s">
        <v>2962</v>
      </c>
      <c r="Z1696">
        <v>100051140</v>
      </c>
      <c r="AB1696" t="s">
        <v>4363</v>
      </c>
      <c r="AD1696" t="s">
        <v>4771</v>
      </c>
      <c r="AF1696" t="s">
        <v>16648</v>
      </c>
      <c r="AG1696" t="s">
        <v>16649</v>
      </c>
      <c r="AI1696" t="s">
        <v>16650</v>
      </c>
      <c r="AM1696" t="s">
        <v>2974</v>
      </c>
      <c r="AN1696" t="s">
        <v>2185</v>
      </c>
      <c r="AO1696" t="s">
        <v>16651</v>
      </c>
      <c r="AP1696" t="s">
        <v>7024</v>
      </c>
      <c r="AQ1696" t="s">
        <v>16652</v>
      </c>
      <c r="AT1696" s="184">
        <v>34775</v>
      </c>
      <c r="AU1696" t="s">
        <v>16653</v>
      </c>
      <c r="AV1696">
        <v>50</v>
      </c>
      <c r="AW1696" s="184">
        <v>45278</v>
      </c>
      <c r="AX1696" t="s">
        <v>16654</v>
      </c>
      <c r="AY1696">
        <v>100</v>
      </c>
      <c r="AZ1696" s="184">
        <v>45278</v>
      </c>
      <c r="BA1696" t="s">
        <v>16654</v>
      </c>
      <c r="BB1696">
        <v>100</v>
      </c>
      <c r="BC1696">
        <v>70</v>
      </c>
      <c r="BD1696">
        <v>1874</v>
      </c>
      <c r="BE1696">
        <v>1995</v>
      </c>
      <c r="BF1696">
        <v>31</v>
      </c>
      <c r="BG1696">
        <v>2</v>
      </c>
      <c r="BH1696">
        <v>200</v>
      </c>
      <c r="BI1696">
        <v>21</v>
      </c>
      <c r="BJ1696">
        <v>30</v>
      </c>
      <c r="BK1696">
        <v>6</v>
      </c>
      <c r="BP1696" s="184"/>
    </row>
    <row r="1697" spans="1:68">
      <c r="A1697">
        <v>100051140</v>
      </c>
      <c r="B1697">
        <v>18780239</v>
      </c>
      <c r="C1697" t="s">
        <v>7018</v>
      </c>
      <c r="D1697" t="s">
        <v>595</v>
      </c>
      <c r="E1697" s="184">
        <v>44073</v>
      </c>
      <c r="G1697" s="184"/>
      <c r="I1697" s="184"/>
      <c r="K1697" s="184"/>
      <c r="P1697" t="s">
        <v>7045</v>
      </c>
      <c r="Q1697" t="s">
        <v>7383</v>
      </c>
      <c r="R1697" s="184">
        <v>21337</v>
      </c>
      <c r="S1697">
        <v>65</v>
      </c>
      <c r="V1697" t="s">
        <v>4363</v>
      </c>
      <c r="X1697" t="s">
        <v>4771</v>
      </c>
      <c r="Z1697">
        <v>18780239</v>
      </c>
      <c r="AB1697" t="s">
        <v>3230</v>
      </c>
      <c r="AD1697" t="s">
        <v>2962</v>
      </c>
      <c r="AF1697" t="s">
        <v>16648</v>
      </c>
      <c r="AG1697" t="s">
        <v>16649</v>
      </c>
      <c r="AI1697" t="s">
        <v>16650</v>
      </c>
      <c r="AM1697" t="s">
        <v>2974</v>
      </c>
      <c r="AN1697" t="s">
        <v>2185</v>
      </c>
      <c r="AO1697" t="s">
        <v>16651</v>
      </c>
      <c r="AP1697" t="s">
        <v>7024</v>
      </c>
      <c r="AT1697" s="184"/>
      <c r="AW1697" s="184"/>
      <c r="AZ1697" s="184"/>
      <c r="BP1697" s="184"/>
    </row>
    <row r="1698" spans="1:68">
      <c r="A1698">
        <v>18813543</v>
      </c>
      <c r="B1698">
        <v>18813543</v>
      </c>
      <c r="C1698" t="s">
        <v>7018</v>
      </c>
      <c r="E1698" s="184"/>
      <c r="G1698" s="184"/>
      <c r="I1698" s="184"/>
      <c r="J1698" t="s">
        <v>595</v>
      </c>
      <c r="K1698" s="184">
        <v>43879</v>
      </c>
      <c r="M1698" s="184"/>
      <c r="O1698" s="184"/>
      <c r="P1698" t="s">
        <v>7045</v>
      </c>
      <c r="Q1698" t="s">
        <v>7383</v>
      </c>
      <c r="R1698" s="184">
        <v>18719</v>
      </c>
      <c r="S1698">
        <v>73</v>
      </c>
      <c r="U1698" t="s">
        <v>7076</v>
      </c>
      <c r="V1698" t="s">
        <v>3317</v>
      </c>
      <c r="X1698" t="s">
        <v>16655</v>
      </c>
      <c r="AF1698" t="s">
        <v>6579</v>
      </c>
      <c r="AG1698" t="s">
        <v>3317</v>
      </c>
      <c r="AI1698" t="s">
        <v>16656</v>
      </c>
      <c r="AM1698" t="s">
        <v>2703</v>
      </c>
      <c r="AN1698" t="s">
        <v>2064</v>
      </c>
      <c r="AO1698" t="s">
        <v>16657</v>
      </c>
      <c r="AP1698" t="s">
        <v>7024</v>
      </c>
      <c r="AQ1698" t="s">
        <v>16658</v>
      </c>
      <c r="AT1698" s="184">
        <v>34782</v>
      </c>
      <c r="AU1698" t="s">
        <v>16497</v>
      </c>
      <c r="AV1698">
        <v>19.95</v>
      </c>
      <c r="AW1698" s="184">
        <v>45291</v>
      </c>
      <c r="AX1698" t="s">
        <v>16659</v>
      </c>
      <c r="AY1698">
        <v>25</v>
      </c>
      <c r="AZ1698" s="184">
        <v>39685</v>
      </c>
      <c r="BA1698" t="s">
        <v>16660</v>
      </c>
      <c r="BB1698">
        <v>60</v>
      </c>
      <c r="BC1698">
        <v>67</v>
      </c>
      <c r="BD1698">
        <v>629.95000000000005</v>
      </c>
      <c r="BE1698">
        <v>1995</v>
      </c>
      <c r="BF1698">
        <v>24</v>
      </c>
      <c r="BG1698">
        <v>2</v>
      </c>
      <c r="BH1698">
        <v>50</v>
      </c>
      <c r="BI1698">
        <v>20</v>
      </c>
      <c r="BJ1698">
        <v>30</v>
      </c>
      <c r="BK1698">
        <v>10</v>
      </c>
      <c r="BN1698" t="s">
        <v>595</v>
      </c>
      <c r="BP1698" s="184"/>
    </row>
    <row r="1699" spans="1:68">
      <c r="A1699">
        <v>18889535</v>
      </c>
      <c r="B1699">
        <v>18889535</v>
      </c>
      <c r="C1699" t="s">
        <v>7018</v>
      </c>
      <c r="D1699" t="s">
        <v>595</v>
      </c>
      <c r="E1699" s="184">
        <v>43642</v>
      </c>
      <c r="G1699" s="184"/>
      <c r="I1699" s="184"/>
      <c r="K1699" s="184"/>
      <c r="M1699" s="184"/>
      <c r="O1699" s="184"/>
      <c r="P1699" t="s">
        <v>7045</v>
      </c>
      <c r="Q1699" t="s">
        <v>7383</v>
      </c>
      <c r="R1699" s="184">
        <v>19725</v>
      </c>
      <c r="S1699">
        <v>70</v>
      </c>
      <c r="U1699" t="s">
        <v>7031</v>
      </c>
      <c r="V1699" t="s">
        <v>4587</v>
      </c>
      <c r="W1699" t="s">
        <v>7248</v>
      </c>
      <c r="X1699" t="s">
        <v>3252</v>
      </c>
      <c r="AF1699" t="s">
        <v>16661</v>
      </c>
      <c r="AG1699" t="s">
        <v>4587</v>
      </c>
      <c r="AI1699" t="s">
        <v>16662</v>
      </c>
      <c r="AM1699" t="s">
        <v>3253</v>
      </c>
      <c r="AN1699" t="s">
        <v>2144</v>
      </c>
      <c r="AO1699" t="s">
        <v>16663</v>
      </c>
      <c r="AP1699" t="s">
        <v>7024</v>
      </c>
      <c r="AQ1699" t="s">
        <v>16664</v>
      </c>
      <c r="AT1699" s="184">
        <v>34779</v>
      </c>
      <c r="AU1699" t="s">
        <v>16665</v>
      </c>
      <c r="AV1699">
        <v>15</v>
      </c>
      <c r="AW1699" s="184">
        <v>45384</v>
      </c>
      <c r="AX1699" t="s">
        <v>16666</v>
      </c>
      <c r="AY1699">
        <v>35</v>
      </c>
      <c r="AZ1699" s="184">
        <v>38917</v>
      </c>
      <c r="BA1699" t="s">
        <v>16667</v>
      </c>
      <c r="BB1699">
        <v>40</v>
      </c>
      <c r="BC1699">
        <v>80</v>
      </c>
      <c r="BD1699">
        <v>1595</v>
      </c>
      <c r="BE1699">
        <v>1995</v>
      </c>
      <c r="BF1699">
        <v>67</v>
      </c>
      <c r="BG1699">
        <v>8</v>
      </c>
      <c r="BH1699">
        <v>180</v>
      </c>
      <c r="BI1699">
        <v>24</v>
      </c>
      <c r="BJ1699">
        <v>30</v>
      </c>
      <c r="BK1699">
        <v>23</v>
      </c>
      <c r="BP1699" s="184"/>
    </row>
    <row r="1700" spans="1:68">
      <c r="A1700">
        <v>18910547</v>
      </c>
      <c r="B1700">
        <v>18910547</v>
      </c>
      <c r="C1700" t="s">
        <v>7018</v>
      </c>
      <c r="E1700" s="184"/>
      <c r="F1700" t="s">
        <v>595</v>
      </c>
      <c r="G1700" s="184">
        <v>43731</v>
      </c>
      <c r="I1700" s="184"/>
      <c r="K1700" s="184"/>
      <c r="O1700" s="184"/>
      <c r="P1700" t="s">
        <v>7045</v>
      </c>
      <c r="Q1700" t="s">
        <v>7383</v>
      </c>
      <c r="R1700" s="184">
        <v>12872</v>
      </c>
      <c r="S1700">
        <v>89</v>
      </c>
      <c r="V1700" t="s">
        <v>3783</v>
      </c>
      <c r="X1700" t="s">
        <v>3954</v>
      </c>
      <c r="Y1700" t="s">
        <v>7431</v>
      </c>
      <c r="Z1700">
        <v>100051329</v>
      </c>
      <c r="AB1700" t="s">
        <v>2954</v>
      </c>
      <c r="AD1700" t="s">
        <v>3954</v>
      </c>
      <c r="AF1700" t="s">
        <v>16668</v>
      </c>
      <c r="AG1700" t="s">
        <v>16669</v>
      </c>
      <c r="AI1700" t="s">
        <v>16670</v>
      </c>
      <c r="AM1700" t="s">
        <v>2737</v>
      </c>
      <c r="AN1700" t="s">
        <v>2059</v>
      </c>
      <c r="AO1700" t="s">
        <v>16671</v>
      </c>
      <c r="AP1700" t="s">
        <v>7024</v>
      </c>
      <c r="AQ1700" t="s">
        <v>16672</v>
      </c>
      <c r="AR1700" t="s">
        <v>16673</v>
      </c>
      <c r="AT1700" s="184">
        <v>34785</v>
      </c>
      <c r="AU1700" t="s">
        <v>16674</v>
      </c>
      <c r="AV1700">
        <v>15</v>
      </c>
      <c r="AW1700" s="184">
        <v>45411</v>
      </c>
      <c r="AX1700" t="s">
        <v>14823</v>
      </c>
      <c r="AY1700">
        <v>25</v>
      </c>
      <c r="AZ1700" s="184">
        <v>45005</v>
      </c>
      <c r="BA1700" t="s">
        <v>16675</v>
      </c>
      <c r="BB1700">
        <v>50</v>
      </c>
      <c r="BC1700">
        <v>87</v>
      </c>
      <c r="BD1700">
        <v>1117</v>
      </c>
      <c r="BE1700">
        <v>1995</v>
      </c>
      <c r="BF1700">
        <v>39</v>
      </c>
      <c r="BG1700">
        <v>2</v>
      </c>
      <c r="BH1700">
        <v>75</v>
      </c>
      <c r="BI1700">
        <v>26</v>
      </c>
      <c r="BJ1700">
        <v>30</v>
      </c>
      <c r="BK1700">
        <v>23</v>
      </c>
      <c r="BN1700" t="s">
        <v>595</v>
      </c>
      <c r="BP1700" s="184"/>
    </row>
    <row r="1701" spans="1:68">
      <c r="A1701">
        <v>100051329</v>
      </c>
      <c r="B1701">
        <v>18910547</v>
      </c>
      <c r="C1701" t="s">
        <v>7018</v>
      </c>
      <c r="E1701" s="184"/>
      <c r="F1701" t="s">
        <v>595</v>
      </c>
      <c r="G1701" s="184">
        <v>43731</v>
      </c>
      <c r="I1701" s="184"/>
      <c r="K1701" s="184"/>
      <c r="O1701" s="184"/>
      <c r="P1701" t="s">
        <v>7045</v>
      </c>
      <c r="Q1701" t="s">
        <v>7383</v>
      </c>
      <c r="R1701" s="184">
        <v>17488</v>
      </c>
      <c r="S1701">
        <v>76</v>
      </c>
      <c r="V1701" t="s">
        <v>2954</v>
      </c>
      <c r="X1701" t="s">
        <v>3954</v>
      </c>
      <c r="Z1701">
        <v>18910547</v>
      </c>
      <c r="AB1701" t="s">
        <v>3783</v>
      </c>
      <c r="AD1701" t="s">
        <v>3954</v>
      </c>
      <c r="AE1701" t="s">
        <v>7431</v>
      </c>
      <c r="AF1701" t="s">
        <v>16668</v>
      </c>
      <c r="AG1701" t="s">
        <v>16669</v>
      </c>
      <c r="AI1701" t="s">
        <v>16670</v>
      </c>
      <c r="AM1701" t="s">
        <v>2737</v>
      </c>
      <c r="AN1701" t="s">
        <v>2059</v>
      </c>
      <c r="AO1701" t="s">
        <v>16671</v>
      </c>
      <c r="AP1701" t="s">
        <v>7024</v>
      </c>
      <c r="AT1701" s="184"/>
      <c r="AW1701" s="184"/>
      <c r="AZ1701" s="184"/>
      <c r="BP1701" s="184"/>
    </row>
    <row r="1702" spans="1:68">
      <c r="A1702">
        <v>18911826</v>
      </c>
      <c r="B1702">
        <v>18911826</v>
      </c>
      <c r="C1702" t="s">
        <v>7018</v>
      </c>
      <c r="D1702" t="s">
        <v>595</v>
      </c>
      <c r="E1702" s="184">
        <v>43801</v>
      </c>
      <c r="G1702" s="184"/>
      <c r="I1702" s="184"/>
      <c r="K1702" s="184"/>
      <c r="O1702" s="184"/>
      <c r="P1702" t="s">
        <v>7045</v>
      </c>
      <c r="Q1702" t="s">
        <v>7194</v>
      </c>
      <c r="R1702" s="184">
        <v>21306</v>
      </c>
      <c r="S1702">
        <v>66</v>
      </c>
      <c r="U1702" t="s">
        <v>7031</v>
      </c>
      <c r="V1702" t="s">
        <v>2687</v>
      </c>
      <c r="W1702" t="s">
        <v>3332</v>
      </c>
      <c r="X1702" t="s">
        <v>4367</v>
      </c>
      <c r="AF1702" t="s">
        <v>16676</v>
      </c>
      <c r="AG1702" t="s">
        <v>2687</v>
      </c>
      <c r="AI1702" t="s">
        <v>16677</v>
      </c>
      <c r="AM1702" t="s">
        <v>4359</v>
      </c>
      <c r="AN1702" t="s">
        <v>2046</v>
      </c>
      <c r="AO1702" t="s">
        <v>16678</v>
      </c>
      <c r="AP1702" t="s">
        <v>7024</v>
      </c>
      <c r="AT1702" s="184">
        <v>34785</v>
      </c>
      <c r="AU1702" t="s">
        <v>16616</v>
      </c>
      <c r="AV1702">
        <v>20</v>
      </c>
      <c r="AW1702" s="184">
        <v>39066</v>
      </c>
      <c r="AX1702" t="s">
        <v>15982</v>
      </c>
      <c r="AY1702">
        <v>35</v>
      </c>
      <c r="AZ1702" s="184">
        <v>36165</v>
      </c>
      <c r="BA1702" t="s">
        <v>16679</v>
      </c>
      <c r="BB1702">
        <v>50</v>
      </c>
      <c r="BC1702">
        <v>34</v>
      </c>
      <c r="BD1702">
        <v>470</v>
      </c>
      <c r="BE1702">
        <v>1995</v>
      </c>
      <c r="BF1702">
        <v>13</v>
      </c>
      <c r="BI1702">
        <v>10</v>
      </c>
      <c r="BJ1702">
        <v>30</v>
      </c>
      <c r="BK1702">
        <v>5</v>
      </c>
      <c r="BP1702" s="184"/>
    </row>
    <row r="1703" spans="1:68">
      <c r="A1703">
        <v>18917211</v>
      </c>
      <c r="B1703">
        <v>18917211</v>
      </c>
      <c r="C1703" t="s">
        <v>7018</v>
      </c>
      <c r="D1703" t="s">
        <v>595</v>
      </c>
      <c r="E1703" s="184">
        <v>43864</v>
      </c>
      <c r="G1703" s="184"/>
      <c r="I1703" s="184"/>
      <c r="K1703" s="184"/>
      <c r="O1703" s="184"/>
      <c r="P1703" t="s">
        <v>7045</v>
      </c>
      <c r="Q1703" t="s">
        <v>7383</v>
      </c>
      <c r="R1703" s="184">
        <v>17202</v>
      </c>
      <c r="S1703">
        <v>77</v>
      </c>
      <c r="U1703" t="s">
        <v>7031</v>
      </c>
      <c r="V1703" t="s">
        <v>4679</v>
      </c>
      <c r="W1703" t="s">
        <v>5006</v>
      </c>
      <c r="X1703" t="s">
        <v>4680</v>
      </c>
      <c r="AF1703" t="s">
        <v>16680</v>
      </c>
      <c r="AG1703" t="s">
        <v>4679</v>
      </c>
      <c r="AI1703" t="s">
        <v>16681</v>
      </c>
      <c r="AM1703" t="s">
        <v>4528</v>
      </c>
      <c r="AN1703" t="s">
        <v>2139</v>
      </c>
      <c r="AO1703" t="s">
        <v>16682</v>
      </c>
      <c r="AP1703" t="s">
        <v>7024</v>
      </c>
      <c r="AT1703" s="184">
        <v>34786</v>
      </c>
      <c r="AU1703" t="s">
        <v>16683</v>
      </c>
      <c r="AV1703">
        <v>15</v>
      </c>
      <c r="AW1703" s="184">
        <v>45420</v>
      </c>
      <c r="AX1703" t="s">
        <v>16684</v>
      </c>
      <c r="AY1703">
        <v>5</v>
      </c>
      <c r="AZ1703" s="184">
        <v>40766</v>
      </c>
      <c r="BA1703" t="s">
        <v>16685</v>
      </c>
      <c r="BB1703">
        <v>75</v>
      </c>
      <c r="BC1703">
        <v>67</v>
      </c>
      <c r="BD1703">
        <v>1030</v>
      </c>
      <c r="BE1703">
        <v>1995</v>
      </c>
      <c r="BF1703">
        <v>40</v>
      </c>
      <c r="BG1703">
        <v>13</v>
      </c>
      <c r="BH1703">
        <v>148</v>
      </c>
      <c r="BI1703">
        <v>20</v>
      </c>
      <c r="BJ1703">
        <v>30</v>
      </c>
      <c r="BK1703">
        <v>9</v>
      </c>
      <c r="BP1703" s="184"/>
    </row>
    <row r="1704" spans="1:68">
      <c r="A1704">
        <v>18923664</v>
      </c>
      <c r="B1704">
        <v>18923664</v>
      </c>
      <c r="C1704" t="s">
        <v>7018</v>
      </c>
      <c r="E1704" s="184"/>
      <c r="F1704" t="s">
        <v>595</v>
      </c>
      <c r="G1704" s="184">
        <v>43647</v>
      </c>
      <c r="I1704" s="184"/>
      <c r="K1704" s="184"/>
      <c r="M1704" s="184"/>
      <c r="O1704" s="184"/>
      <c r="P1704" t="s">
        <v>7045</v>
      </c>
      <c r="Q1704" t="s">
        <v>7383</v>
      </c>
      <c r="R1704" s="184">
        <v>19419</v>
      </c>
      <c r="S1704">
        <v>71</v>
      </c>
      <c r="U1704" t="s">
        <v>7031</v>
      </c>
      <c r="V1704" t="s">
        <v>3596</v>
      </c>
      <c r="X1704" t="s">
        <v>3597</v>
      </c>
      <c r="Z1704">
        <v>100051371</v>
      </c>
      <c r="AA1704" t="s">
        <v>7130</v>
      </c>
      <c r="AB1704" t="s">
        <v>2958</v>
      </c>
      <c r="AD1704" t="s">
        <v>3597</v>
      </c>
      <c r="AF1704" t="s">
        <v>16686</v>
      </c>
      <c r="AG1704" t="s">
        <v>16687</v>
      </c>
      <c r="AI1704" t="s">
        <v>16688</v>
      </c>
      <c r="AM1704" t="s">
        <v>3082</v>
      </c>
      <c r="AN1704" t="s">
        <v>2313</v>
      </c>
      <c r="AO1704" t="s">
        <v>16689</v>
      </c>
      <c r="AP1704" t="s">
        <v>7024</v>
      </c>
      <c r="AQ1704" t="s">
        <v>16690</v>
      </c>
      <c r="AR1704" t="s">
        <v>16691</v>
      </c>
      <c r="AT1704" s="184">
        <v>34796</v>
      </c>
      <c r="AU1704" t="s">
        <v>16497</v>
      </c>
      <c r="AV1704">
        <v>19.95</v>
      </c>
      <c r="AW1704" s="184">
        <v>43460</v>
      </c>
      <c r="AX1704" t="s">
        <v>15931</v>
      </c>
      <c r="AY1704">
        <v>150</v>
      </c>
      <c r="AZ1704" s="184">
        <v>40070</v>
      </c>
      <c r="BA1704" t="s">
        <v>16692</v>
      </c>
      <c r="BB1704">
        <v>216</v>
      </c>
      <c r="BC1704">
        <v>40</v>
      </c>
      <c r="BD1704">
        <v>1418.95</v>
      </c>
      <c r="BE1704">
        <v>1995</v>
      </c>
      <c r="BF1704">
        <v>15</v>
      </c>
      <c r="BI1704">
        <v>12</v>
      </c>
      <c r="BJ1704">
        <v>30</v>
      </c>
      <c r="BK1704">
        <v>4</v>
      </c>
      <c r="BP1704" s="184"/>
    </row>
    <row r="1705" spans="1:68">
      <c r="A1705">
        <v>100051371</v>
      </c>
      <c r="B1705">
        <v>18923664</v>
      </c>
      <c r="C1705" t="s">
        <v>7018</v>
      </c>
      <c r="E1705" s="184"/>
      <c r="F1705" t="s">
        <v>595</v>
      </c>
      <c r="G1705" s="184">
        <v>43647</v>
      </c>
      <c r="I1705" s="184"/>
      <c r="K1705" s="184"/>
      <c r="M1705" s="184"/>
      <c r="O1705" s="184"/>
      <c r="P1705" t="s">
        <v>7045</v>
      </c>
      <c r="Q1705" t="s">
        <v>7383</v>
      </c>
      <c r="R1705" s="184"/>
      <c r="U1705" t="s">
        <v>7130</v>
      </c>
      <c r="V1705" t="s">
        <v>2958</v>
      </c>
      <c r="X1705" t="s">
        <v>3597</v>
      </c>
      <c r="Z1705">
        <v>18923664</v>
      </c>
      <c r="AA1705" t="s">
        <v>7031</v>
      </c>
      <c r="AB1705" t="s">
        <v>3596</v>
      </c>
      <c r="AD1705" t="s">
        <v>3597</v>
      </c>
      <c r="AF1705" t="s">
        <v>16686</v>
      </c>
      <c r="AG1705" t="s">
        <v>16687</v>
      </c>
      <c r="AI1705" t="s">
        <v>16688</v>
      </c>
      <c r="AM1705" t="s">
        <v>3082</v>
      </c>
      <c r="AN1705" t="s">
        <v>2313</v>
      </c>
      <c r="AO1705" t="s">
        <v>16689</v>
      </c>
      <c r="AP1705" t="s">
        <v>7024</v>
      </c>
      <c r="AQ1705" t="s">
        <v>16693</v>
      </c>
      <c r="AT1705" s="184">
        <v>44166</v>
      </c>
      <c r="AU1705" t="s">
        <v>16694</v>
      </c>
      <c r="AV1705">
        <v>100</v>
      </c>
      <c r="AW1705" s="184">
        <v>44166</v>
      </c>
      <c r="AX1705" t="s">
        <v>16694</v>
      </c>
      <c r="AY1705">
        <v>100</v>
      </c>
      <c r="AZ1705" s="184">
        <v>44166</v>
      </c>
      <c r="BA1705" t="s">
        <v>16694</v>
      </c>
      <c r="BB1705">
        <v>100</v>
      </c>
      <c r="BC1705">
        <v>20</v>
      </c>
      <c r="BD1705">
        <v>100</v>
      </c>
      <c r="BE1705">
        <v>2021</v>
      </c>
      <c r="BF1705">
        <v>1</v>
      </c>
      <c r="BI1705">
        <v>1</v>
      </c>
      <c r="BJ1705">
        <v>5</v>
      </c>
      <c r="BK1705">
        <v>1</v>
      </c>
      <c r="BP1705" s="184"/>
    </row>
    <row r="1706" spans="1:68">
      <c r="A1706">
        <v>18934547</v>
      </c>
      <c r="B1706">
        <v>18934547</v>
      </c>
      <c r="C1706" t="s">
        <v>7018</v>
      </c>
      <c r="E1706" s="184"/>
      <c r="G1706" s="184"/>
      <c r="I1706" s="184"/>
      <c r="J1706" t="s">
        <v>595</v>
      </c>
      <c r="K1706" s="184">
        <v>41533</v>
      </c>
      <c r="M1706" s="184"/>
      <c r="O1706" s="184"/>
      <c r="P1706" t="s">
        <v>7019</v>
      </c>
      <c r="Q1706" t="s">
        <v>7262</v>
      </c>
      <c r="R1706" s="184">
        <v>20302</v>
      </c>
      <c r="S1706">
        <v>68</v>
      </c>
      <c r="U1706" t="s">
        <v>7130</v>
      </c>
      <c r="V1706" t="s">
        <v>3868</v>
      </c>
      <c r="W1706" t="s">
        <v>7356</v>
      </c>
      <c r="X1706" t="s">
        <v>16695</v>
      </c>
      <c r="AF1706" t="s">
        <v>6465</v>
      </c>
      <c r="AG1706" t="s">
        <v>3868</v>
      </c>
      <c r="AI1706" t="s">
        <v>16696</v>
      </c>
      <c r="AM1706" t="s">
        <v>16697</v>
      </c>
      <c r="AN1706" t="s">
        <v>2069</v>
      </c>
      <c r="AO1706" t="s">
        <v>16698</v>
      </c>
      <c r="AP1706" t="s">
        <v>7024</v>
      </c>
      <c r="AQ1706" t="s">
        <v>16699</v>
      </c>
      <c r="AR1706" t="s">
        <v>16700</v>
      </c>
      <c r="AT1706" s="184">
        <v>34787</v>
      </c>
      <c r="AU1706" t="s">
        <v>16645</v>
      </c>
      <c r="AV1706">
        <v>15</v>
      </c>
      <c r="AW1706" s="184">
        <v>42009</v>
      </c>
      <c r="AX1706" t="s">
        <v>16701</v>
      </c>
      <c r="AY1706">
        <v>100</v>
      </c>
      <c r="AZ1706" s="184">
        <v>42009</v>
      </c>
      <c r="BA1706" t="s">
        <v>16701</v>
      </c>
      <c r="BB1706">
        <v>100</v>
      </c>
      <c r="BC1706">
        <v>50</v>
      </c>
      <c r="BD1706">
        <v>900</v>
      </c>
      <c r="BE1706">
        <v>1995</v>
      </c>
      <c r="BF1706">
        <v>22</v>
      </c>
      <c r="BI1706">
        <v>15</v>
      </c>
      <c r="BJ1706">
        <v>30</v>
      </c>
      <c r="BK1706">
        <v>6</v>
      </c>
      <c r="BN1706" t="s">
        <v>595</v>
      </c>
      <c r="BP1706" s="184"/>
    </row>
    <row r="1707" spans="1:68">
      <c r="A1707">
        <v>18960898</v>
      </c>
      <c r="B1707">
        <v>18960898</v>
      </c>
      <c r="C1707" t="s">
        <v>7018</v>
      </c>
      <c r="E1707" s="184"/>
      <c r="F1707" t="s">
        <v>595</v>
      </c>
      <c r="G1707" s="184">
        <v>44104</v>
      </c>
      <c r="I1707" s="184"/>
      <c r="K1707" s="184"/>
      <c r="M1707" s="184"/>
      <c r="O1707" s="184"/>
      <c r="P1707" t="s">
        <v>7019</v>
      </c>
      <c r="Q1707" t="s">
        <v>7383</v>
      </c>
      <c r="R1707" s="184">
        <v>19815</v>
      </c>
      <c r="S1707">
        <v>70</v>
      </c>
      <c r="U1707" t="s">
        <v>7130</v>
      </c>
      <c r="V1707" t="s">
        <v>3192</v>
      </c>
      <c r="W1707" t="s">
        <v>7407</v>
      </c>
      <c r="X1707" t="s">
        <v>16702</v>
      </c>
      <c r="AF1707" t="s">
        <v>16703</v>
      </c>
      <c r="AG1707" t="s">
        <v>3192</v>
      </c>
      <c r="AI1707" t="s">
        <v>16704</v>
      </c>
      <c r="AM1707" t="s">
        <v>16705</v>
      </c>
      <c r="AN1707" t="s">
        <v>2059</v>
      </c>
      <c r="AO1707" t="s">
        <v>16706</v>
      </c>
      <c r="AP1707" t="s">
        <v>7024</v>
      </c>
      <c r="AQ1707" t="s">
        <v>16707</v>
      </c>
      <c r="AR1707" t="s">
        <v>16708</v>
      </c>
      <c r="AT1707" s="184">
        <v>34795</v>
      </c>
      <c r="AU1707" t="s">
        <v>16674</v>
      </c>
      <c r="AV1707">
        <v>25</v>
      </c>
      <c r="AW1707" s="184">
        <v>44901</v>
      </c>
      <c r="AX1707" t="s">
        <v>15246</v>
      </c>
      <c r="AY1707">
        <v>60</v>
      </c>
      <c r="AZ1707" s="184">
        <v>42101</v>
      </c>
      <c r="BA1707" t="s">
        <v>16709</v>
      </c>
      <c r="BB1707">
        <v>87</v>
      </c>
      <c r="BC1707">
        <v>60</v>
      </c>
      <c r="BD1707">
        <v>655</v>
      </c>
      <c r="BE1707">
        <v>1995</v>
      </c>
      <c r="BF1707">
        <v>24</v>
      </c>
      <c r="BG1707">
        <v>1</v>
      </c>
      <c r="BH1707">
        <v>60</v>
      </c>
      <c r="BI1707">
        <v>18</v>
      </c>
      <c r="BJ1707">
        <v>30</v>
      </c>
      <c r="BK1707">
        <v>3</v>
      </c>
      <c r="BP1707" s="184"/>
    </row>
    <row r="1708" spans="1:68">
      <c r="A1708">
        <v>18972968</v>
      </c>
      <c r="B1708">
        <v>18972968</v>
      </c>
      <c r="C1708" t="s">
        <v>7018</v>
      </c>
      <c r="E1708" s="184"/>
      <c r="G1708" s="184"/>
      <c r="I1708" s="184"/>
      <c r="J1708" t="s">
        <v>595</v>
      </c>
      <c r="K1708" s="184">
        <v>39028</v>
      </c>
      <c r="P1708" t="s">
        <v>7045</v>
      </c>
      <c r="Q1708" t="s">
        <v>7494</v>
      </c>
      <c r="R1708" s="184">
        <v>13970</v>
      </c>
      <c r="S1708">
        <v>86</v>
      </c>
      <c r="U1708" t="s">
        <v>7076</v>
      </c>
      <c r="V1708" t="s">
        <v>16710</v>
      </c>
      <c r="X1708" t="s">
        <v>16711</v>
      </c>
      <c r="Z1708">
        <v>100180990</v>
      </c>
      <c r="AB1708" t="s">
        <v>3574</v>
      </c>
      <c r="AD1708" t="s">
        <v>16712</v>
      </c>
      <c r="AF1708" t="s">
        <v>6380</v>
      </c>
      <c r="AG1708" t="s">
        <v>16710</v>
      </c>
      <c r="AI1708" t="s">
        <v>16713</v>
      </c>
      <c r="AM1708" t="s">
        <v>16714</v>
      </c>
      <c r="AN1708" t="s">
        <v>2174</v>
      </c>
      <c r="AO1708" t="s">
        <v>16715</v>
      </c>
      <c r="AP1708" t="s">
        <v>7024</v>
      </c>
      <c r="AQ1708" t="s">
        <v>16716</v>
      </c>
      <c r="AT1708" s="184">
        <v>34800</v>
      </c>
      <c r="AU1708" t="s">
        <v>16717</v>
      </c>
      <c r="AV1708">
        <v>25</v>
      </c>
      <c r="AW1708" s="184">
        <v>45335</v>
      </c>
      <c r="AX1708" t="s">
        <v>16718</v>
      </c>
      <c r="AY1708">
        <v>15</v>
      </c>
      <c r="AZ1708" s="184">
        <v>43819</v>
      </c>
      <c r="BA1708" t="s">
        <v>16719</v>
      </c>
      <c r="BB1708">
        <v>100</v>
      </c>
      <c r="BC1708">
        <v>67</v>
      </c>
      <c r="BD1708">
        <v>1925</v>
      </c>
      <c r="BE1708">
        <v>1995</v>
      </c>
      <c r="BF1708">
        <v>77</v>
      </c>
      <c r="BG1708">
        <v>20</v>
      </c>
      <c r="BH1708">
        <v>315</v>
      </c>
      <c r="BI1708">
        <v>20</v>
      </c>
      <c r="BJ1708">
        <v>30</v>
      </c>
      <c r="BK1708">
        <v>10</v>
      </c>
      <c r="BP1708" s="184"/>
    </row>
    <row r="1709" spans="1:68">
      <c r="A1709">
        <v>100180990</v>
      </c>
      <c r="B1709">
        <v>18972968</v>
      </c>
      <c r="C1709" t="s">
        <v>7018</v>
      </c>
      <c r="E1709" s="184"/>
      <c r="G1709" s="184"/>
      <c r="I1709" s="184"/>
      <c r="J1709" t="s">
        <v>595</v>
      </c>
      <c r="K1709" s="184">
        <v>39028</v>
      </c>
      <c r="P1709" t="s">
        <v>7045</v>
      </c>
      <c r="Q1709" t="s">
        <v>7494</v>
      </c>
      <c r="R1709" s="184"/>
      <c r="V1709" t="s">
        <v>3574</v>
      </c>
      <c r="X1709" t="s">
        <v>16712</v>
      </c>
      <c r="Z1709">
        <v>18972968</v>
      </c>
      <c r="AA1709" t="s">
        <v>7076</v>
      </c>
      <c r="AB1709" t="s">
        <v>16710</v>
      </c>
      <c r="AD1709" t="s">
        <v>16711</v>
      </c>
      <c r="AF1709" t="s">
        <v>6380</v>
      </c>
      <c r="AG1709" t="s">
        <v>16710</v>
      </c>
      <c r="AI1709" t="s">
        <v>16713</v>
      </c>
      <c r="AM1709" t="s">
        <v>16714</v>
      </c>
      <c r="AN1709" t="s">
        <v>2174</v>
      </c>
      <c r="AO1709" t="s">
        <v>16715</v>
      </c>
      <c r="AP1709" t="s">
        <v>7024</v>
      </c>
      <c r="AT1709" s="184"/>
      <c r="AW1709" s="184"/>
      <c r="AZ1709" s="184"/>
      <c r="BO1709" t="s">
        <v>595</v>
      </c>
      <c r="BP1709" s="184"/>
    </row>
    <row r="1710" spans="1:68">
      <c r="A1710">
        <v>18985366</v>
      </c>
      <c r="B1710">
        <v>18985366</v>
      </c>
      <c r="C1710" t="s">
        <v>7018</v>
      </c>
      <c r="E1710" s="184"/>
      <c r="G1710" s="184"/>
      <c r="I1710" s="184"/>
      <c r="J1710" t="s">
        <v>595</v>
      </c>
      <c r="K1710" s="184">
        <v>41722</v>
      </c>
      <c r="P1710" t="s">
        <v>7045</v>
      </c>
      <c r="Q1710" t="s">
        <v>7383</v>
      </c>
      <c r="R1710" s="184">
        <v>6397</v>
      </c>
      <c r="S1710">
        <v>106</v>
      </c>
      <c r="U1710" t="s">
        <v>7032</v>
      </c>
      <c r="V1710" t="s">
        <v>4169</v>
      </c>
      <c r="W1710" t="s">
        <v>2963</v>
      </c>
      <c r="X1710" t="s">
        <v>5347</v>
      </c>
      <c r="Z1710">
        <v>100178079</v>
      </c>
      <c r="AA1710" t="s">
        <v>7130</v>
      </c>
      <c r="AB1710" t="s">
        <v>5346</v>
      </c>
      <c r="AC1710" t="s">
        <v>4327</v>
      </c>
      <c r="AD1710" t="s">
        <v>5347</v>
      </c>
      <c r="AF1710" t="s">
        <v>16720</v>
      </c>
      <c r="AG1710" t="s">
        <v>16721</v>
      </c>
      <c r="AI1710" t="s">
        <v>16722</v>
      </c>
      <c r="AM1710" t="s">
        <v>4091</v>
      </c>
      <c r="AN1710" t="s">
        <v>2064</v>
      </c>
      <c r="AO1710" t="s">
        <v>16723</v>
      </c>
      <c r="AP1710" t="s">
        <v>7024</v>
      </c>
      <c r="AT1710" s="184">
        <v>34802</v>
      </c>
      <c r="AU1710" t="s">
        <v>16717</v>
      </c>
      <c r="AV1710">
        <v>25</v>
      </c>
      <c r="AW1710" s="184">
        <v>42466</v>
      </c>
      <c r="AX1710" t="s">
        <v>11622</v>
      </c>
      <c r="AY1710">
        <v>408853.43</v>
      </c>
      <c r="AZ1710" s="184">
        <v>42466</v>
      </c>
      <c r="BA1710" t="s">
        <v>11622</v>
      </c>
      <c r="BB1710">
        <v>408853.43</v>
      </c>
      <c r="BC1710">
        <v>74</v>
      </c>
      <c r="BD1710">
        <v>420328.43</v>
      </c>
      <c r="BE1710">
        <v>1995</v>
      </c>
      <c r="BF1710">
        <v>35</v>
      </c>
      <c r="BI1710">
        <v>22</v>
      </c>
      <c r="BJ1710">
        <v>30</v>
      </c>
      <c r="BK1710">
        <v>22</v>
      </c>
      <c r="BL1710" t="s">
        <v>595</v>
      </c>
      <c r="BM1710" t="s">
        <v>595</v>
      </c>
      <c r="BO1710" t="s">
        <v>595</v>
      </c>
      <c r="BP1710" s="184">
        <v>41343</v>
      </c>
    </row>
    <row r="1711" spans="1:68">
      <c r="A1711">
        <v>100178079</v>
      </c>
      <c r="B1711">
        <v>18985366</v>
      </c>
      <c r="C1711" t="s">
        <v>7018</v>
      </c>
      <c r="E1711" s="184"/>
      <c r="G1711" s="184"/>
      <c r="I1711" s="184"/>
      <c r="J1711" t="s">
        <v>595</v>
      </c>
      <c r="K1711" s="184">
        <v>41722</v>
      </c>
      <c r="M1711" s="184"/>
      <c r="P1711" t="s">
        <v>7045</v>
      </c>
      <c r="Q1711" t="s">
        <v>7383</v>
      </c>
      <c r="R1711" s="184">
        <v>8304</v>
      </c>
      <c r="S1711">
        <v>101</v>
      </c>
      <c r="U1711" t="s">
        <v>7130</v>
      </c>
      <c r="V1711" t="s">
        <v>5346</v>
      </c>
      <c r="W1711" t="s">
        <v>4327</v>
      </c>
      <c r="X1711" t="s">
        <v>5347</v>
      </c>
      <c r="Z1711">
        <v>18985366</v>
      </c>
      <c r="AA1711" t="s">
        <v>7032</v>
      </c>
      <c r="AB1711" t="s">
        <v>4169</v>
      </c>
      <c r="AC1711" t="s">
        <v>2963</v>
      </c>
      <c r="AD1711" t="s">
        <v>5347</v>
      </c>
      <c r="AF1711" t="s">
        <v>16720</v>
      </c>
      <c r="AG1711" t="s">
        <v>16721</v>
      </c>
      <c r="AI1711" t="s">
        <v>16722</v>
      </c>
      <c r="AM1711" t="s">
        <v>4091</v>
      </c>
      <c r="AN1711" t="s">
        <v>2064</v>
      </c>
      <c r="AO1711" t="s">
        <v>16723</v>
      </c>
      <c r="AP1711" t="s">
        <v>7024</v>
      </c>
      <c r="AT1711" s="184"/>
      <c r="AW1711" s="184"/>
      <c r="AZ1711" s="184"/>
      <c r="BO1711" t="s">
        <v>595</v>
      </c>
      <c r="BP1711" s="184">
        <v>42407</v>
      </c>
    </row>
    <row r="1712" spans="1:68">
      <c r="A1712">
        <v>18990697</v>
      </c>
      <c r="B1712">
        <v>18990697</v>
      </c>
      <c r="C1712" t="s">
        <v>7018</v>
      </c>
      <c r="E1712" s="184"/>
      <c r="F1712" t="s">
        <v>595</v>
      </c>
      <c r="G1712" s="184">
        <v>43655</v>
      </c>
      <c r="I1712" s="184"/>
      <c r="K1712" s="184"/>
      <c r="M1712" s="184"/>
      <c r="P1712" t="s">
        <v>7045</v>
      </c>
      <c r="Q1712" t="s">
        <v>7383</v>
      </c>
      <c r="R1712" s="184">
        <v>14746</v>
      </c>
      <c r="S1712">
        <v>84</v>
      </c>
      <c r="U1712" t="s">
        <v>7130</v>
      </c>
      <c r="V1712" t="s">
        <v>3621</v>
      </c>
      <c r="W1712" t="s">
        <v>7469</v>
      </c>
      <c r="X1712" t="s">
        <v>3622</v>
      </c>
      <c r="AF1712" t="s">
        <v>16724</v>
      </c>
      <c r="AG1712" t="s">
        <v>3621</v>
      </c>
      <c r="AI1712" t="s">
        <v>16725</v>
      </c>
      <c r="AM1712" t="s">
        <v>3623</v>
      </c>
      <c r="AN1712" t="s">
        <v>2162</v>
      </c>
      <c r="AO1712" t="s">
        <v>16726</v>
      </c>
      <c r="AP1712" t="s">
        <v>7024</v>
      </c>
      <c r="AT1712" s="184">
        <v>34802</v>
      </c>
      <c r="AU1712" t="s">
        <v>16727</v>
      </c>
      <c r="AV1712">
        <v>10</v>
      </c>
      <c r="AW1712" s="184">
        <v>43753</v>
      </c>
      <c r="AX1712" t="s">
        <v>16728</v>
      </c>
      <c r="AY1712">
        <v>25</v>
      </c>
      <c r="AZ1712" s="184">
        <v>43753</v>
      </c>
      <c r="BA1712" t="s">
        <v>16728</v>
      </c>
      <c r="BB1712">
        <v>25</v>
      </c>
      <c r="BC1712">
        <v>30</v>
      </c>
      <c r="BD1712">
        <v>370</v>
      </c>
      <c r="BE1712">
        <v>1995</v>
      </c>
      <c r="BF1712">
        <v>18</v>
      </c>
      <c r="BI1712">
        <v>9</v>
      </c>
      <c r="BJ1712">
        <v>30</v>
      </c>
      <c r="BK1712">
        <v>6</v>
      </c>
      <c r="BL1712" t="s">
        <v>595</v>
      </c>
      <c r="BM1712" t="s">
        <v>595</v>
      </c>
      <c r="BN1712" t="s">
        <v>595</v>
      </c>
      <c r="BP1712" s="184"/>
    </row>
    <row r="1713" spans="1:68">
      <c r="A1713">
        <v>18992438</v>
      </c>
      <c r="B1713">
        <v>18992438</v>
      </c>
      <c r="C1713" t="s">
        <v>7018</v>
      </c>
      <c r="D1713" t="s">
        <v>595</v>
      </c>
      <c r="E1713" s="184">
        <v>43857</v>
      </c>
      <c r="G1713" s="184"/>
      <c r="I1713" s="184"/>
      <c r="K1713" s="184"/>
      <c r="P1713" t="s">
        <v>7045</v>
      </c>
      <c r="Q1713" t="s">
        <v>7160</v>
      </c>
      <c r="R1713" s="184">
        <v>12744</v>
      </c>
      <c r="S1713">
        <v>89</v>
      </c>
      <c r="U1713" t="s">
        <v>7130</v>
      </c>
      <c r="V1713" t="s">
        <v>2985</v>
      </c>
      <c r="X1713" t="s">
        <v>4552</v>
      </c>
      <c r="Z1713">
        <v>100051570</v>
      </c>
      <c r="AB1713" t="s">
        <v>2511</v>
      </c>
      <c r="AD1713" t="s">
        <v>4552</v>
      </c>
      <c r="AF1713" t="s">
        <v>16729</v>
      </c>
      <c r="AG1713" t="s">
        <v>16730</v>
      </c>
      <c r="AI1713" t="s">
        <v>16731</v>
      </c>
      <c r="AM1713" t="s">
        <v>2998</v>
      </c>
      <c r="AN1713" t="s">
        <v>2176</v>
      </c>
      <c r="AO1713" t="s">
        <v>16732</v>
      </c>
      <c r="AP1713" t="s">
        <v>7024</v>
      </c>
      <c r="AQ1713" t="s">
        <v>16733</v>
      </c>
      <c r="AT1713" s="184">
        <v>34801</v>
      </c>
      <c r="AU1713" t="s">
        <v>16717</v>
      </c>
      <c r="AV1713">
        <v>25</v>
      </c>
      <c r="AW1713" s="184">
        <v>44576</v>
      </c>
      <c r="AX1713" t="s">
        <v>16646</v>
      </c>
      <c r="AY1713">
        <v>50</v>
      </c>
      <c r="AZ1713" s="184">
        <v>40070</v>
      </c>
      <c r="BA1713" t="s">
        <v>16734</v>
      </c>
      <c r="BB1713">
        <v>156</v>
      </c>
      <c r="BC1713">
        <v>57</v>
      </c>
      <c r="BD1713">
        <v>1086</v>
      </c>
      <c r="BE1713">
        <v>1995</v>
      </c>
      <c r="BF1713">
        <v>37</v>
      </c>
      <c r="BI1713">
        <v>17</v>
      </c>
      <c r="BJ1713">
        <v>30</v>
      </c>
      <c r="BK1713">
        <v>7</v>
      </c>
      <c r="BP1713" s="184"/>
    </row>
    <row r="1714" spans="1:68">
      <c r="A1714">
        <v>100051570</v>
      </c>
      <c r="B1714">
        <v>18992438</v>
      </c>
      <c r="C1714" t="s">
        <v>7018</v>
      </c>
      <c r="D1714" t="s">
        <v>595</v>
      </c>
      <c r="E1714" s="184">
        <v>43857</v>
      </c>
      <c r="G1714" s="184"/>
      <c r="I1714" s="184"/>
      <c r="K1714" s="184"/>
      <c r="M1714" s="184"/>
      <c r="P1714" t="s">
        <v>7045</v>
      </c>
      <c r="Q1714" t="s">
        <v>7160</v>
      </c>
      <c r="R1714" s="184">
        <v>12391</v>
      </c>
      <c r="S1714">
        <v>90</v>
      </c>
      <c r="V1714" t="s">
        <v>2511</v>
      </c>
      <c r="X1714" t="s">
        <v>4552</v>
      </c>
      <c r="Z1714">
        <v>18992438</v>
      </c>
      <c r="AA1714" t="s">
        <v>7130</v>
      </c>
      <c r="AB1714" t="s">
        <v>2985</v>
      </c>
      <c r="AD1714" t="s">
        <v>4552</v>
      </c>
      <c r="AF1714" t="s">
        <v>16729</v>
      </c>
      <c r="AG1714" t="s">
        <v>16730</v>
      </c>
      <c r="AI1714" t="s">
        <v>16731</v>
      </c>
      <c r="AM1714" t="s">
        <v>2998</v>
      </c>
      <c r="AN1714" t="s">
        <v>2176</v>
      </c>
      <c r="AO1714" t="s">
        <v>16732</v>
      </c>
      <c r="AP1714" t="s">
        <v>7024</v>
      </c>
      <c r="AT1714" s="184"/>
      <c r="AW1714" s="184"/>
      <c r="AZ1714" s="184"/>
    </row>
    <row r="1715" spans="1:68">
      <c r="A1715">
        <v>19006014</v>
      </c>
      <c r="B1715">
        <v>19006014</v>
      </c>
      <c r="C1715" t="s">
        <v>7018</v>
      </c>
      <c r="E1715" s="184"/>
      <c r="G1715" s="184"/>
      <c r="I1715" s="184"/>
      <c r="J1715" t="s">
        <v>595</v>
      </c>
      <c r="K1715" s="184">
        <v>40359</v>
      </c>
      <c r="M1715" s="184"/>
      <c r="O1715" s="184"/>
      <c r="P1715" t="s">
        <v>7045</v>
      </c>
      <c r="Q1715" t="s">
        <v>7383</v>
      </c>
      <c r="R1715" s="184">
        <v>18019</v>
      </c>
      <c r="S1715">
        <v>75</v>
      </c>
      <c r="U1715" t="s">
        <v>7031</v>
      </c>
      <c r="V1715" t="s">
        <v>3206</v>
      </c>
      <c r="X1715" t="s">
        <v>16735</v>
      </c>
      <c r="AF1715" t="s">
        <v>6462</v>
      </c>
      <c r="AG1715" t="s">
        <v>3206</v>
      </c>
      <c r="AI1715" t="s">
        <v>16736</v>
      </c>
      <c r="AM1715" t="s">
        <v>16737</v>
      </c>
      <c r="AN1715" t="s">
        <v>2064</v>
      </c>
      <c r="AO1715" t="s">
        <v>16738</v>
      </c>
      <c r="AP1715" t="s">
        <v>7024</v>
      </c>
      <c r="AT1715" s="184">
        <v>34806</v>
      </c>
      <c r="AU1715" t="s">
        <v>16717</v>
      </c>
      <c r="AV1715">
        <v>25</v>
      </c>
      <c r="AW1715" s="184">
        <v>45265</v>
      </c>
      <c r="AX1715" t="s">
        <v>16739</v>
      </c>
      <c r="AY1715">
        <v>50</v>
      </c>
      <c r="AZ1715" s="184">
        <v>44483</v>
      </c>
      <c r="BA1715" t="s">
        <v>16740</v>
      </c>
      <c r="BB1715">
        <v>100</v>
      </c>
      <c r="BC1715">
        <v>64</v>
      </c>
      <c r="BD1715">
        <v>1195</v>
      </c>
      <c r="BE1715">
        <v>1995</v>
      </c>
      <c r="BF1715">
        <v>22</v>
      </c>
      <c r="BG1715">
        <v>2</v>
      </c>
      <c r="BH1715">
        <v>100</v>
      </c>
      <c r="BI1715">
        <v>19</v>
      </c>
      <c r="BJ1715">
        <v>30</v>
      </c>
      <c r="BK1715">
        <v>7</v>
      </c>
    </row>
    <row r="1716" spans="1:68">
      <c r="A1716">
        <v>19031475</v>
      </c>
      <c r="B1716">
        <v>19031475</v>
      </c>
      <c r="C1716" t="s">
        <v>7018</v>
      </c>
      <c r="D1716" t="s">
        <v>595</v>
      </c>
      <c r="E1716" s="184">
        <v>44104</v>
      </c>
      <c r="G1716" s="184"/>
      <c r="I1716" s="184"/>
      <c r="K1716" s="184"/>
      <c r="O1716" s="184"/>
      <c r="P1716" t="s">
        <v>7045</v>
      </c>
      <c r="Q1716" t="s">
        <v>7494</v>
      </c>
      <c r="R1716" s="184">
        <v>14225</v>
      </c>
      <c r="S1716">
        <v>85</v>
      </c>
      <c r="U1716" t="s">
        <v>7032</v>
      </c>
      <c r="V1716" t="s">
        <v>3355</v>
      </c>
      <c r="W1716" t="s">
        <v>16741</v>
      </c>
      <c r="X1716" t="s">
        <v>16742</v>
      </c>
      <c r="Y1716" t="s">
        <v>7431</v>
      </c>
      <c r="AF1716" t="s">
        <v>16743</v>
      </c>
      <c r="AG1716" t="s">
        <v>3355</v>
      </c>
      <c r="AI1716" t="s">
        <v>16744</v>
      </c>
      <c r="AM1716" t="s">
        <v>16745</v>
      </c>
      <c r="AN1716" t="s">
        <v>2174</v>
      </c>
      <c r="AO1716" t="s">
        <v>16746</v>
      </c>
      <c r="AP1716" t="s">
        <v>7024</v>
      </c>
      <c r="AQ1716" t="s">
        <v>16747</v>
      </c>
      <c r="AT1716" s="184">
        <v>34808</v>
      </c>
      <c r="AU1716" t="s">
        <v>16748</v>
      </c>
      <c r="AV1716">
        <v>50</v>
      </c>
      <c r="AW1716" s="184">
        <v>45350</v>
      </c>
      <c r="AX1716" t="s">
        <v>16749</v>
      </c>
      <c r="AY1716">
        <v>20</v>
      </c>
      <c r="AZ1716" s="184">
        <v>42382</v>
      </c>
      <c r="BA1716" t="s">
        <v>14914</v>
      </c>
      <c r="BB1716">
        <v>87</v>
      </c>
      <c r="BC1716">
        <v>77</v>
      </c>
      <c r="BD1716">
        <v>1753</v>
      </c>
      <c r="BE1716">
        <v>1995</v>
      </c>
      <c r="BF1716">
        <v>53</v>
      </c>
      <c r="BG1716">
        <v>20</v>
      </c>
      <c r="BH1716">
        <v>420</v>
      </c>
      <c r="BI1716">
        <v>23</v>
      </c>
      <c r="BJ1716">
        <v>30</v>
      </c>
      <c r="BK1716">
        <v>14</v>
      </c>
    </row>
    <row r="1717" spans="1:68">
      <c r="A1717">
        <v>19048958</v>
      </c>
      <c r="B1717">
        <v>19048958</v>
      </c>
      <c r="C1717" t="s">
        <v>7018</v>
      </c>
      <c r="E1717" s="184"/>
      <c r="G1717" s="184"/>
      <c r="J1717" t="s">
        <v>595</v>
      </c>
      <c r="K1717" s="184">
        <v>37435</v>
      </c>
      <c r="M1717" s="184"/>
      <c r="P1717" t="s">
        <v>7045</v>
      </c>
      <c r="Q1717" t="s">
        <v>7374</v>
      </c>
      <c r="R1717" s="184"/>
      <c r="U1717" t="s">
        <v>7076</v>
      </c>
      <c r="V1717" t="s">
        <v>16750</v>
      </c>
      <c r="X1717" t="s">
        <v>16751</v>
      </c>
      <c r="AF1717" t="s">
        <v>6717</v>
      </c>
      <c r="AG1717" t="s">
        <v>16750</v>
      </c>
      <c r="AI1717" t="s">
        <v>16752</v>
      </c>
      <c r="AM1717" t="s">
        <v>8193</v>
      </c>
      <c r="AN1717" t="s">
        <v>2081</v>
      </c>
      <c r="AO1717" t="s">
        <v>16753</v>
      </c>
      <c r="AP1717" t="s">
        <v>7024</v>
      </c>
      <c r="AT1717" s="184">
        <v>34816</v>
      </c>
      <c r="AU1717" t="s">
        <v>16754</v>
      </c>
      <c r="AV1717">
        <v>25</v>
      </c>
      <c r="AW1717" s="184">
        <v>35174</v>
      </c>
      <c r="AX1717" t="s">
        <v>16755</v>
      </c>
      <c r="AY1717">
        <v>25</v>
      </c>
      <c r="AZ1717" s="184">
        <v>35174</v>
      </c>
      <c r="BA1717" t="s">
        <v>16755</v>
      </c>
      <c r="BB1717">
        <v>25</v>
      </c>
      <c r="BC1717">
        <v>7</v>
      </c>
      <c r="BD1717">
        <v>50</v>
      </c>
      <c r="BE1717">
        <v>1995</v>
      </c>
      <c r="BF1717">
        <v>2</v>
      </c>
      <c r="BI1717">
        <v>2</v>
      </c>
      <c r="BJ1717">
        <v>30</v>
      </c>
      <c r="BK1717">
        <v>2</v>
      </c>
    </row>
    <row r="1718" spans="1:68">
      <c r="A1718">
        <v>19061191</v>
      </c>
      <c r="B1718">
        <v>19061191</v>
      </c>
      <c r="C1718" t="s">
        <v>7018</v>
      </c>
      <c r="E1718" s="184"/>
      <c r="G1718" s="184"/>
      <c r="I1718" s="184"/>
      <c r="J1718" t="s">
        <v>595</v>
      </c>
      <c r="K1718" s="184">
        <v>40854</v>
      </c>
      <c r="M1718" s="184"/>
      <c r="O1718" s="184"/>
      <c r="P1718" t="s">
        <v>7045</v>
      </c>
      <c r="Q1718" t="s">
        <v>7030</v>
      </c>
      <c r="R1718" s="184">
        <v>10853</v>
      </c>
      <c r="S1718">
        <v>94</v>
      </c>
      <c r="U1718" t="s">
        <v>7031</v>
      </c>
      <c r="V1718" t="s">
        <v>2832</v>
      </c>
      <c r="W1718" t="s">
        <v>205</v>
      </c>
      <c r="X1718" t="s">
        <v>16756</v>
      </c>
      <c r="AF1718" t="s">
        <v>6302</v>
      </c>
      <c r="AG1718" t="s">
        <v>2832</v>
      </c>
      <c r="AI1718" t="s">
        <v>16757</v>
      </c>
      <c r="AM1718" t="s">
        <v>2564</v>
      </c>
      <c r="AN1718" t="s">
        <v>2089</v>
      </c>
      <c r="AO1718" t="s">
        <v>16758</v>
      </c>
      <c r="AP1718" t="s">
        <v>7024</v>
      </c>
      <c r="AQ1718" t="s">
        <v>16759</v>
      </c>
      <c r="AR1718" t="s">
        <v>16760</v>
      </c>
      <c r="AT1718" s="184">
        <v>34222</v>
      </c>
      <c r="AU1718" t="s">
        <v>16761</v>
      </c>
      <c r="AV1718">
        <v>25</v>
      </c>
      <c r="AW1718" s="184">
        <v>44561</v>
      </c>
      <c r="AX1718" t="s">
        <v>16762</v>
      </c>
      <c r="AY1718">
        <v>100</v>
      </c>
      <c r="AZ1718" s="184">
        <v>44561</v>
      </c>
      <c r="BA1718" t="s">
        <v>16762</v>
      </c>
      <c r="BB1718">
        <v>100</v>
      </c>
      <c r="BC1718">
        <v>79</v>
      </c>
      <c r="BD1718">
        <v>1835</v>
      </c>
      <c r="BE1718">
        <v>1994</v>
      </c>
      <c r="BF1718">
        <v>32</v>
      </c>
      <c r="BI1718">
        <v>25</v>
      </c>
      <c r="BJ1718">
        <v>32</v>
      </c>
      <c r="BK1718">
        <v>16</v>
      </c>
      <c r="BN1718" t="s">
        <v>595</v>
      </c>
    </row>
    <row r="1719" spans="1:68">
      <c r="A1719">
        <v>19076959</v>
      </c>
      <c r="B1719">
        <v>19076959</v>
      </c>
      <c r="C1719" t="s">
        <v>7018</v>
      </c>
      <c r="D1719" t="s">
        <v>595</v>
      </c>
      <c r="E1719" s="184">
        <v>43935</v>
      </c>
      <c r="G1719" s="184"/>
      <c r="I1719" s="184"/>
      <c r="K1719" s="184"/>
      <c r="P1719" t="s">
        <v>7045</v>
      </c>
      <c r="Q1719" t="s">
        <v>7494</v>
      </c>
      <c r="R1719" s="184">
        <v>24473</v>
      </c>
      <c r="S1719">
        <v>57</v>
      </c>
      <c r="U1719" t="s">
        <v>7076</v>
      </c>
      <c r="V1719" t="s">
        <v>3450</v>
      </c>
      <c r="W1719" t="s">
        <v>7588</v>
      </c>
      <c r="X1719" t="s">
        <v>16763</v>
      </c>
      <c r="AF1719" t="s">
        <v>16764</v>
      </c>
      <c r="AG1719" t="s">
        <v>3450</v>
      </c>
      <c r="AI1719" t="s">
        <v>16765</v>
      </c>
      <c r="AM1719" t="s">
        <v>4006</v>
      </c>
      <c r="AN1719" t="s">
        <v>2174</v>
      </c>
      <c r="AO1719" t="s">
        <v>16766</v>
      </c>
      <c r="AP1719" t="s">
        <v>7024</v>
      </c>
      <c r="AQ1719" t="s">
        <v>16767</v>
      </c>
      <c r="AR1719" t="s">
        <v>16768</v>
      </c>
      <c r="AT1719" s="184">
        <v>34815</v>
      </c>
      <c r="AU1719" t="s">
        <v>16769</v>
      </c>
      <c r="AV1719">
        <v>15</v>
      </c>
      <c r="AW1719" s="184">
        <v>45381</v>
      </c>
      <c r="AX1719" t="s">
        <v>13386</v>
      </c>
      <c r="AY1719">
        <v>21</v>
      </c>
      <c r="AZ1719" s="184">
        <v>44707</v>
      </c>
      <c r="BA1719" t="s">
        <v>16770</v>
      </c>
      <c r="BB1719">
        <v>25</v>
      </c>
      <c r="BC1719">
        <v>37</v>
      </c>
      <c r="BD1719">
        <v>286.69</v>
      </c>
      <c r="BE1719">
        <v>1995</v>
      </c>
      <c r="BF1719">
        <v>14</v>
      </c>
      <c r="BG1719">
        <v>3</v>
      </c>
      <c r="BH1719">
        <v>61.75</v>
      </c>
      <c r="BI1719">
        <v>11</v>
      </c>
      <c r="BJ1719">
        <v>30</v>
      </c>
      <c r="BK1719">
        <v>4</v>
      </c>
    </row>
    <row r="1720" spans="1:68">
      <c r="A1720">
        <v>19092212</v>
      </c>
      <c r="B1720">
        <v>19092212</v>
      </c>
      <c r="C1720" t="s">
        <v>7018</v>
      </c>
      <c r="D1720" t="s">
        <v>595</v>
      </c>
      <c r="E1720" s="184">
        <v>44104</v>
      </c>
      <c r="G1720" s="184"/>
      <c r="K1720" s="184"/>
      <c r="O1720" s="184"/>
      <c r="P1720" t="s">
        <v>7045</v>
      </c>
      <c r="Q1720" t="s">
        <v>7383</v>
      </c>
      <c r="R1720" s="184">
        <v>17241</v>
      </c>
      <c r="S1720">
        <v>77</v>
      </c>
      <c r="U1720" t="s">
        <v>7031</v>
      </c>
      <c r="V1720" t="s">
        <v>2739</v>
      </c>
      <c r="W1720" t="s">
        <v>7356</v>
      </c>
      <c r="X1720" t="s">
        <v>16771</v>
      </c>
      <c r="AF1720" t="s">
        <v>16772</v>
      </c>
      <c r="AG1720" t="s">
        <v>2739</v>
      </c>
      <c r="AI1720" t="s">
        <v>16773</v>
      </c>
      <c r="AM1720" t="s">
        <v>16774</v>
      </c>
      <c r="AN1720" t="s">
        <v>2059</v>
      </c>
      <c r="AO1720" t="s">
        <v>16775</v>
      </c>
      <c r="AP1720" t="s">
        <v>7024</v>
      </c>
      <c r="AQ1720" t="s">
        <v>16776</v>
      </c>
      <c r="AT1720" s="184">
        <v>34822</v>
      </c>
      <c r="AU1720" t="s">
        <v>16777</v>
      </c>
      <c r="AV1720">
        <v>25</v>
      </c>
      <c r="AW1720" s="184">
        <v>44944</v>
      </c>
      <c r="AX1720" t="s">
        <v>16778</v>
      </c>
      <c r="AY1720">
        <v>50</v>
      </c>
      <c r="AZ1720" s="184">
        <v>37502</v>
      </c>
      <c r="BA1720" t="s">
        <v>16779</v>
      </c>
      <c r="BB1720">
        <v>125</v>
      </c>
      <c r="BC1720">
        <v>47</v>
      </c>
      <c r="BD1720">
        <v>925</v>
      </c>
      <c r="BE1720">
        <v>1995</v>
      </c>
      <c r="BF1720">
        <v>23</v>
      </c>
      <c r="BG1720">
        <v>1</v>
      </c>
      <c r="BH1720">
        <v>50</v>
      </c>
      <c r="BI1720">
        <v>14</v>
      </c>
      <c r="BJ1720">
        <v>30</v>
      </c>
      <c r="BK1720">
        <v>5</v>
      </c>
      <c r="BN1720" t="s">
        <v>595</v>
      </c>
    </row>
    <row r="1721" spans="1:68">
      <c r="A1721">
        <v>19142785</v>
      </c>
      <c r="B1721">
        <v>19142785</v>
      </c>
      <c r="C1721" t="s">
        <v>7018</v>
      </c>
      <c r="D1721" t="s">
        <v>595</v>
      </c>
      <c r="E1721" s="184">
        <v>44104</v>
      </c>
      <c r="G1721" s="184"/>
      <c r="I1721" s="184"/>
      <c r="K1721" s="184"/>
      <c r="P1721" t="s">
        <v>7045</v>
      </c>
      <c r="Q1721" t="s">
        <v>7494</v>
      </c>
      <c r="R1721" s="184">
        <v>20455</v>
      </c>
      <c r="S1721">
        <v>68</v>
      </c>
      <c r="U1721" t="s">
        <v>7076</v>
      </c>
      <c r="V1721" t="s">
        <v>2049</v>
      </c>
      <c r="W1721" t="s">
        <v>4327</v>
      </c>
      <c r="X1721" t="s">
        <v>16780</v>
      </c>
      <c r="AF1721" t="s">
        <v>16781</v>
      </c>
      <c r="AG1721" t="s">
        <v>16782</v>
      </c>
      <c r="AI1721" t="s">
        <v>16783</v>
      </c>
      <c r="AM1721" t="s">
        <v>3932</v>
      </c>
      <c r="AN1721" t="s">
        <v>2174</v>
      </c>
      <c r="AO1721" t="s">
        <v>16784</v>
      </c>
      <c r="AP1721" t="s">
        <v>7024</v>
      </c>
      <c r="AQ1721" t="s">
        <v>16785</v>
      </c>
      <c r="AR1721" t="s">
        <v>16786</v>
      </c>
      <c r="AT1721" s="184">
        <v>34837</v>
      </c>
      <c r="AU1721" t="s">
        <v>16787</v>
      </c>
      <c r="AV1721">
        <v>25</v>
      </c>
      <c r="AW1721" s="184">
        <v>43565</v>
      </c>
      <c r="AX1721" t="s">
        <v>16788</v>
      </c>
      <c r="AY1721">
        <v>25</v>
      </c>
      <c r="AZ1721" s="184">
        <v>36983</v>
      </c>
      <c r="BA1721" t="s">
        <v>16789</v>
      </c>
      <c r="BB1721">
        <v>60</v>
      </c>
      <c r="BC1721">
        <v>44</v>
      </c>
      <c r="BD1721">
        <v>385</v>
      </c>
      <c r="BE1721">
        <v>1995</v>
      </c>
      <c r="BF1721">
        <v>18</v>
      </c>
      <c r="BI1721">
        <v>13</v>
      </c>
      <c r="BJ1721">
        <v>30</v>
      </c>
      <c r="BK1721">
        <v>4</v>
      </c>
    </row>
    <row r="1722" spans="1:68">
      <c r="A1722">
        <v>19150465</v>
      </c>
      <c r="B1722">
        <v>19150465</v>
      </c>
      <c r="C1722" t="s">
        <v>7018</v>
      </c>
      <c r="E1722" s="184"/>
      <c r="G1722" s="184"/>
      <c r="I1722" s="184"/>
      <c r="J1722" t="s">
        <v>595</v>
      </c>
      <c r="K1722" s="184">
        <v>41309</v>
      </c>
      <c r="P1722" t="s">
        <v>7045</v>
      </c>
      <c r="Q1722" t="s">
        <v>7030</v>
      </c>
      <c r="R1722" s="184">
        <v>11505</v>
      </c>
      <c r="S1722">
        <v>92</v>
      </c>
      <c r="U1722" t="s">
        <v>7130</v>
      </c>
      <c r="V1722" t="s">
        <v>4992</v>
      </c>
      <c r="W1722" t="s">
        <v>7375</v>
      </c>
      <c r="X1722" t="s">
        <v>5905</v>
      </c>
      <c r="Z1722">
        <v>100052045</v>
      </c>
      <c r="AA1722" t="s">
        <v>7031</v>
      </c>
      <c r="AB1722" t="s">
        <v>2541</v>
      </c>
      <c r="AD1722" t="s">
        <v>5905</v>
      </c>
      <c r="AF1722" t="s">
        <v>16790</v>
      </c>
      <c r="AG1722" t="s">
        <v>16791</v>
      </c>
      <c r="AI1722" t="s">
        <v>16792</v>
      </c>
      <c r="AM1722" t="s">
        <v>2717</v>
      </c>
      <c r="AN1722" t="s">
        <v>2089</v>
      </c>
      <c r="AO1722" t="s">
        <v>16793</v>
      </c>
      <c r="AP1722" t="s">
        <v>7024</v>
      </c>
      <c r="AT1722" s="184">
        <v>34838</v>
      </c>
      <c r="AU1722" t="s">
        <v>16794</v>
      </c>
      <c r="AV1722">
        <v>25</v>
      </c>
      <c r="AW1722" s="184">
        <v>41327</v>
      </c>
      <c r="AX1722" t="s">
        <v>16795</v>
      </c>
      <c r="AY1722">
        <v>300</v>
      </c>
      <c r="AZ1722" s="184">
        <v>41017</v>
      </c>
      <c r="BA1722" t="s">
        <v>16796</v>
      </c>
      <c r="BB1722">
        <v>500</v>
      </c>
      <c r="BC1722">
        <v>57</v>
      </c>
      <c r="BD1722">
        <v>14850</v>
      </c>
      <c r="BE1722">
        <v>1995</v>
      </c>
      <c r="BF1722">
        <v>102</v>
      </c>
      <c r="BI1722">
        <v>17</v>
      </c>
      <c r="BJ1722">
        <v>30</v>
      </c>
      <c r="BK1722">
        <v>12</v>
      </c>
    </row>
    <row r="1723" spans="1:68">
      <c r="A1723">
        <v>100052045</v>
      </c>
      <c r="B1723">
        <v>19150465</v>
      </c>
      <c r="C1723" t="s">
        <v>7018</v>
      </c>
      <c r="E1723" s="184"/>
      <c r="G1723" s="184"/>
      <c r="I1723" s="184"/>
      <c r="J1723" t="s">
        <v>595</v>
      </c>
      <c r="K1723" s="184">
        <v>41309</v>
      </c>
      <c r="P1723" t="s">
        <v>7045</v>
      </c>
      <c r="Q1723" t="s">
        <v>7030</v>
      </c>
      <c r="R1723" s="184">
        <v>10362</v>
      </c>
      <c r="S1723">
        <v>96</v>
      </c>
      <c r="U1723" t="s">
        <v>7031</v>
      </c>
      <c r="V1723" t="s">
        <v>2541</v>
      </c>
      <c r="X1723" t="s">
        <v>5905</v>
      </c>
      <c r="Z1723">
        <v>19150465</v>
      </c>
      <c r="AA1723" t="s">
        <v>7130</v>
      </c>
      <c r="AB1723" t="s">
        <v>4992</v>
      </c>
      <c r="AC1723" t="s">
        <v>7375</v>
      </c>
      <c r="AD1723" t="s">
        <v>5905</v>
      </c>
      <c r="AF1723" t="s">
        <v>16790</v>
      </c>
      <c r="AG1723" t="s">
        <v>16791</v>
      </c>
      <c r="AI1723" t="s">
        <v>16792</v>
      </c>
      <c r="AM1723" t="s">
        <v>2717</v>
      </c>
      <c r="AN1723" t="s">
        <v>2089</v>
      </c>
      <c r="AO1723" t="s">
        <v>16793</v>
      </c>
      <c r="AP1723" t="s">
        <v>7024</v>
      </c>
      <c r="AT1723" s="184"/>
      <c r="AW1723" s="184"/>
      <c r="AZ1723" s="184"/>
    </row>
    <row r="1724" spans="1:68">
      <c r="A1724">
        <v>19166859</v>
      </c>
      <c r="B1724">
        <v>19166859</v>
      </c>
      <c r="C1724" t="s">
        <v>7018</v>
      </c>
      <c r="E1724" s="184"/>
      <c r="G1724" s="184"/>
      <c r="I1724" s="184"/>
      <c r="J1724" t="s">
        <v>595</v>
      </c>
      <c r="K1724" s="184">
        <v>44073</v>
      </c>
      <c r="O1724" s="184"/>
      <c r="P1724" t="s">
        <v>7045</v>
      </c>
      <c r="Q1724" t="s">
        <v>7494</v>
      </c>
      <c r="R1724" s="184">
        <v>10013</v>
      </c>
      <c r="S1724">
        <v>96</v>
      </c>
      <c r="V1724" t="s">
        <v>4916</v>
      </c>
      <c r="W1724" t="s">
        <v>7396</v>
      </c>
      <c r="X1724" t="s">
        <v>4917</v>
      </c>
      <c r="AF1724" t="s">
        <v>16797</v>
      </c>
      <c r="AG1724" t="s">
        <v>4916</v>
      </c>
      <c r="AI1724" t="s">
        <v>16798</v>
      </c>
      <c r="AM1724" t="s">
        <v>3932</v>
      </c>
      <c r="AN1724" t="s">
        <v>2174</v>
      </c>
      <c r="AO1724" t="s">
        <v>16799</v>
      </c>
      <c r="AP1724" t="s">
        <v>7024</v>
      </c>
      <c r="AT1724" s="184">
        <v>34841</v>
      </c>
      <c r="AU1724" t="s">
        <v>16800</v>
      </c>
      <c r="AV1724">
        <v>20</v>
      </c>
      <c r="AW1724" s="184">
        <v>41512</v>
      </c>
      <c r="AX1724" t="s">
        <v>16801</v>
      </c>
      <c r="AY1724">
        <v>25</v>
      </c>
      <c r="AZ1724" s="184">
        <v>41512</v>
      </c>
      <c r="BA1724" t="s">
        <v>16801</v>
      </c>
      <c r="BB1724">
        <v>25</v>
      </c>
      <c r="BC1724">
        <v>24</v>
      </c>
      <c r="BD1724">
        <v>165</v>
      </c>
      <c r="BE1724">
        <v>1995</v>
      </c>
      <c r="BF1724">
        <v>9</v>
      </c>
      <c r="BI1724">
        <v>7</v>
      </c>
      <c r="BJ1724">
        <v>30</v>
      </c>
      <c r="BK1724">
        <v>2</v>
      </c>
    </row>
    <row r="1725" spans="1:68">
      <c r="A1725">
        <v>19177211</v>
      </c>
      <c r="B1725">
        <v>19177211</v>
      </c>
      <c r="C1725" t="s">
        <v>7018</v>
      </c>
      <c r="E1725" s="184"/>
      <c r="G1725" s="184"/>
      <c r="I1725" s="184"/>
      <c r="J1725" t="s">
        <v>595</v>
      </c>
      <c r="K1725" s="184">
        <v>40724</v>
      </c>
      <c r="O1725" s="184"/>
      <c r="P1725" t="s">
        <v>7029</v>
      </c>
      <c r="Q1725" t="s">
        <v>7262</v>
      </c>
      <c r="R1725" s="184">
        <v>10940</v>
      </c>
      <c r="S1725">
        <v>94</v>
      </c>
      <c r="V1725" t="s">
        <v>2541</v>
      </c>
      <c r="W1725" t="s">
        <v>205</v>
      </c>
      <c r="X1725" t="s">
        <v>2962</v>
      </c>
      <c r="Z1725">
        <v>100052130</v>
      </c>
      <c r="AB1725" t="s">
        <v>9847</v>
      </c>
      <c r="AC1725" t="s">
        <v>205</v>
      </c>
      <c r="AD1725" t="s">
        <v>2962</v>
      </c>
      <c r="AF1725" t="s">
        <v>6007</v>
      </c>
      <c r="AG1725" t="s">
        <v>16802</v>
      </c>
      <c r="AI1725" t="s">
        <v>16803</v>
      </c>
      <c r="AM1725" t="s">
        <v>10576</v>
      </c>
      <c r="AN1725" t="s">
        <v>2266</v>
      </c>
      <c r="AO1725" t="s">
        <v>16804</v>
      </c>
      <c r="AP1725" t="s">
        <v>7024</v>
      </c>
      <c r="AQ1725" t="s">
        <v>16805</v>
      </c>
      <c r="AT1725" s="184">
        <v>34842</v>
      </c>
      <c r="AU1725" t="s">
        <v>16806</v>
      </c>
      <c r="AV1725">
        <v>25</v>
      </c>
      <c r="AW1725" s="184">
        <v>44862</v>
      </c>
      <c r="AX1725" t="s">
        <v>10193</v>
      </c>
      <c r="AY1725">
        <v>1200</v>
      </c>
      <c r="AZ1725" s="184">
        <v>44862</v>
      </c>
      <c r="BA1725" t="s">
        <v>10193</v>
      </c>
      <c r="BB1725">
        <v>1200</v>
      </c>
      <c r="BC1725">
        <v>94</v>
      </c>
      <c r="BD1725">
        <v>14260</v>
      </c>
      <c r="BE1725">
        <v>1995</v>
      </c>
      <c r="BF1725">
        <v>32</v>
      </c>
      <c r="BG1725">
        <v>1</v>
      </c>
      <c r="BH1725">
        <v>1200</v>
      </c>
      <c r="BI1725">
        <v>28</v>
      </c>
      <c r="BJ1725">
        <v>30</v>
      </c>
      <c r="BK1725">
        <v>28</v>
      </c>
      <c r="BN1725" t="s">
        <v>595</v>
      </c>
    </row>
    <row r="1726" spans="1:68">
      <c r="A1726">
        <v>100052130</v>
      </c>
      <c r="B1726">
        <v>19177211</v>
      </c>
      <c r="C1726" t="s">
        <v>7018</v>
      </c>
      <c r="E1726" s="184"/>
      <c r="G1726" s="184"/>
      <c r="I1726" s="184"/>
      <c r="J1726" t="s">
        <v>595</v>
      </c>
      <c r="K1726" s="184">
        <v>43649</v>
      </c>
      <c r="O1726" s="184"/>
      <c r="P1726" t="s">
        <v>7029</v>
      </c>
      <c r="Q1726" t="s">
        <v>7262</v>
      </c>
      <c r="R1726" s="184">
        <v>11114</v>
      </c>
      <c r="S1726">
        <v>93</v>
      </c>
      <c r="V1726" t="s">
        <v>9847</v>
      </c>
      <c r="W1726" t="s">
        <v>205</v>
      </c>
      <c r="X1726" t="s">
        <v>2962</v>
      </c>
      <c r="Z1726">
        <v>19177211</v>
      </c>
      <c r="AB1726" t="s">
        <v>2541</v>
      </c>
      <c r="AC1726" t="s">
        <v>205</v>
      </c>
      <c r="AD1726" t="s">
        <v>2962</v>
      </c>
      <c r="AF1726" t="s">
        <v>6007</v>
      </c>
      <c r="AG1726" t="s">
        <v>16802</v>
      </c>
      <c r="AI1726" t="s">
        <v>16803</v>
      </c>
      <c r="AM1726" t="s">
        <v>10576</v>
      </c>
      <c r="AN1726" t="s">
        <v>2266</v>
      </c>
      <c r="AO1726" t="s">
        <v>16804</v>
      </c>
      <c r="AP1726" t="s">
        <v>7024</v>
      </c>
      <c r="AT1726" s="184"/>
      <c r="AW1726" s="184"/>
      <c r="AZ1726" s="184"/>
    </row>
    <row r="1727" spans="1:68">
      <c r="A1727">
        <v>19177450</v>
      </c>
      <c r="B1727">
        <v>19177450</v>
      </c>
      <c r="C1727" t="s">
        <v>7018</v>
      </c>
      <c r="E1727" s="184"/>
      <c r="G1727" s="184"/>
      <c r="I1727" s="184"/>
      <c r="J1727" t="s">
        <v>595</v>
      </c>
      <c r="K1727" s="184">
        <v>39020</v>
      </c>
      <c r="M1727" s="184"/>
      <c r="O1727" s="184"/>
      <c r="P1727" t="s">
        <v>7045</v>
      </c>
      <c r="Q1727" t="s">
        <v>7262</v>
      </c>
      <c r="R1727" s="184">
        <v>14824</v>
      </c>
      <c r="S1727">
        <v>83</v>
      </c>
      <c r="U1727" t="s">
        <v>7130</v>
      </c>
      <c r="V1727" t="s">
        <v>16807</v>
      </c>
      <c r="X1727" t="s">
        <v>3323</v>
      </c>
      <c r="AF1727" t="s">
        <v>6123</v>
      </c>
      <c r="AG1727" t="s">
        <v>16807</v>
      </c>
      <c r="AI1727" t="s">
        <v>16808</v>
      </c>
      <c r="AM1727" t="s">
        <v>5959</v>
      </c>
      <c r="AN1727" t="s">
        <v>2069</v>
      </c>
      <c r="AO1727" t="s">
        <v>16809</v>
      </c>
      <c r="AP1727" t="s">
        <v>7024</v>
      </c>
      <c r="AQ1727" t="s">
        <v>16810</v>
      </c>
      <c r="AT1727" s="184">
        <v>34843</v>
      </c>
      <c r="AU1727" t="s">
        <v>16794</v>
      </c>
      <c r="AV1727">
        <v>20</v>
      </c>
      <c r="AW1727" s="184">
        <v>43291</v>
      </c>
      <c r="AX1727" t="s">
        <v>16811</v>
      </c>
      <c r="AY1727">
        <v>5</v>
      </c>
      <c r="AZ1727" s="184">
        <v>37795</v>
      </c>
      <c r="BA1727" t="s">
        <v>16812</v>
      </c>
      <c r="BB1727">
        <v>3225</v>
      </c>
      <c r="BC1727">
        <v>60</v>
      </c>
      <c r="BD1727">
        <v>4688</v>
      </c>
      <c r="BE1727">
        <v>1995</v>
      </c>
      <c r="BF1727">
        <v>35</v>
      </c>
      <c r="BI1727">
        <v>18</v>
      </c>
      <c r="BJ1727">
        <v>30</v>
      </c>
      <c r="BK1727">
        <v>8</v>
      </c>
      <c r="BO1727" t="s">
        <v>595</v>
      </c>
    </row>
    <row r="1728" spans="1:68">
      <c r="A1728">
        <v>19190958</v>
      </c>
      <c r="B1728">
        <v>19190958</v>
      </c>
      <c r="C1728" t="s">
        <v>7018</v>
      </c>
      <c r="D1728" t="s">
        <v>595</v>
      </c>
      <c r="E1728" s="184">
        <v>44455</v>
      </c>
      <c r="G1728" s="184"/>
      <c r="I1728" s="184"/>
      <c r="K1728" s="184"/>
      <c r="M1728" s="184"/>
      <c r="O1728" s="184"/>
      <c r="P1728" t="s">
        <v>7045</v>
      </c>
      <c r="Q1728" t="s">
        <v>7383</v>
      </c>
      <c r="R1728" s="184">
        <v>15599</v>
      </c>
      <c r="S1728">
        <v>81</v>
      </c>
      <c r="U1728" t="s">
        <v>7031</v>
      </c>
      <c r="V1728" t="s">
        <v>4613</v>
      </c>
      <c r="X1728" t="s">
        <v>16813</v>
      </c>
      <c r="AF1728" t="s">
        <v>16814</v>
      </c>
      <c r="AG1728" t="s">
        <v>4613</v>
      </c>
      <c r="AI1728" t="s">
        <v>16815</v>
      </c>
      <c r="AM1728" t="s">
        <v>3319</v>
      </c>
      <c r="AN1728" t="s">
        <v>2072</v>
      </c>
      <c r="AO1728" t="s">
        <v>16816</v>
      </c>
      <c r="AP1728" t="s">
        <v>7024</v>
      </c>
      <c r="AQ1728" t="s">
        <v>16817</v>
      </c>
      <c r="AT1728" s="184">
        <v>34841</v>
      </c>
      <c r="AU1728" t="s">
        <v>16787</v>
      </c>
      <c r="AV1728">
        <v>15</v>
      </c>
      <c r="AW1728" s="184">
        <v>45084</v>
      </c>
      <c r="AX1728" t="s">
        <v>7701</v>
      </c>
      <c r="AY1728">
        <v>20</v>
      </c>
      <c r="AZ1728" s="184">
        <v>44064</v>
      </c>
      <c r="BA1728" t="s">
        <v>16818</v>
      </c>
      <c r="BB1728">
        <v>60</v>
      </c>
      <c r="BC1728">
        <v>24</v>
      </c>
      <c r="BD1728">
        <v>205</v>
      </c>
      <c r="BE1728">
        <v>1995</v>
      </c>
      <c r="BF1728">
        <v>7</v>
      </c>
      <c r="BG1728">
        <v>1</v>
      </c>
      <c r="BH1728">
        <v>20</v>
      </c>
      <c r="BI1728">
        <v>7</v>
      </c>
      <c r="BJ1728">
        <v>30</v>
      </c>
      <c r="BK1728">
        <v>2</v>
      </c>
    </row>
    <row r="1729" spans="1:68">
      <c r="A1729">
        <v>19230291</v>
      </c>
      <c r="B1729">
        <v>19230291</v>
      </c>
      <c r="C1729" t="s">
        <v>7018</v>
      </c>
      <c r="E1729" s="184"/>
      <c r="F1729" t="s">
        <v>595</v>
      </c>
      <c r="G1729" s="184">
        <v>45167</v>
      </c>
      <c r="I1729" s="184"/>
      <c r="K1729" s="184"/>
      <c r="O1729" s="184"/>
      <c r="P1729" t="s">
        <v>7686</v>
      </c>
      <c r="Q1729" t="s">
        <v>7020</v>
      </c>
      <c r="R1729" s="184">
        <v>23504</v>
      </c>
      <c r="S1729">
        <v>60</v>
      </c>
      <c r="V1729" t="s">
        <v>2863</v>
      </c>
      <c r="X1729" t="s">
        <v>16819</v>
      </c>
      <c r="Z1729">
        <v>100052317</v>
      </c>
      <c r="AB1729" t="s">
        <v>2705</v>
      </c>
      <c r="AD1729" t="s">
        <v>16819</v>
      </c>
      <c r="AF1729" t="s">
        <v>16820</v>
      </c>
      <c r="AG1729" t="s">
        <v>16821</v>
      </c>
      <c r="AI1729" t="s">
        <v>16822</v>
      </c>
      <c r="AM1729" t="s">
        <v>16823</v>
      </c>
      <c r="AN1729" t="s">
        <v>2129</v>
      </c>
      <c r="AO1729" t="s">
        <v>16824</v>
      </c>
      <c r="AP1729" t="s">
        <v>7024</v>
      </c>
      <c r="AQ1729" t="s">
        <v>16825</v>
      </c>
      <c r="AT1729" s="184">
        <v>34857</v>
      </c>
      <c r="AU1729" t="s">
        <v>16826</v>
      </c>
      <c r="AV1729">
        <v>25</v>
      </c>
      <c r="AW1729" s="184">
        <v>45082</v>
      </c>
      <c r="AX1729" t="s">
        <v>9057</v>
      </c>
      <c r="AY1729">
        <v>2500</v>
      </c>
      <c r="AZ1729" s="184">
        <v>45082</v>
      </c>
      <c r="BA1729" t="s">
        <v>9057</v>
      </c>
      <c r="BB1729">
        <v>2500</v>
      </c>
      <c r="BC1729">
        <v>97</v>
      </c>
      <c r="BD1729">
        <v>27569</v>
      </c>
      <c r="BE1729">
        <v>1995</v>
      </c>
      <c r="BF1729">
        <v>40</v>
      </c>
      <c r="BG1729">
        <v>2</v>
      </c>
      <c r="BH1729">
        <v>5000</v>
      </c>
      <c r="BI1729">
        <v>29</v>
      </c>
      <c r="BJ1729">
        <v>30</v>
      </c>
      <c r="BK1729">
        <v>29</v>
      </c>
      <c r="BP1729" s="184"/>
    </row>
    <row r="1730" spans="1:68">
      <c r="A1730">
        <v>100052317</v>
      </c>
      <c r="B1730">
        <v>19230291</v>
      </c>
      <c r="C1730" t="s">
        <v>7018</v>
      </c>
      <c r="E1730" s="184"/>
      <c r="F1730" t="s">
        <v>595</v>
      </c>
      <c r="G1730" s="184">
        <v>45167</v>
      </c>
      <c r="I1730" s="184"/>
      <c r="K1730" s="184"/>
      <c r="M1730" s="184"/>
      <c r="O1730" s="184"/>
      <c r="P1730" t="s">
        <v>7686</v>
      </c>
      <c r="Q1730" t="s">
        <v>7020</v>
      </c>
      <c r="R1730" s="184">
        <v>23863</v>
      </c>
      <c r="S1730">
        <v>59</v>
      </c>
      <c r="V1730" t="s">
        <v>2705</v>
      </c>
      <c r="X1730" t="s">
        <v>16819</v>
      </c>
      <c r="Z1730">
        <v>19230291</v>
      </c>
      <c r="AB1730" t="s">
        <v>2863</v>
      </c>
      <c r="AD1730" t="s">
        <v>16819</v>
      </c>
      <c r="AF1730" t="s">
        <v>16820</v>
      </c>
      <c r="AG1730" t="s">
        <v>16821</v>
      </c>
      <c r="AI1730" t="s">
        <v>16822</v>
      </c>
      <c r="AM1730" t="s">
        <v>16823</v>
      </c>
      <c r="AN1730" t="s">
        <v>2129</v>
      </c>
      <c r="AO1730" t="s">
        <v>16824</v>
      </c>
      <c r="AP1730" t="s">
        <v>7024</v>
      </c>
      <c r="AT1730" s="184"/>
      <c r="AW1730" s="184"/>
      <c r="AZ1730" s="184"/>
      <c r="BP1730" s="184"/>
    </row>
    <row r="1731" spans="1:68">
      <c r="A1731">
        <v>19233840</v>
      </c>
      <c r="B1731">
        <v>19233840</v>
      </c>
      <c r="C1731" t="s">
        <v>7018</v>
      </c>
      <c r="E1731" s="184"/>
      <c r="G1731" s="184"/>
      <c r="I1731" s="184"/>
      <c r="J1731" t="s">
        <v>595</v>
      </c>
      <c r="K1731" s="184">
        <v>41088</v>
      </c>
      <c r="M1731" s="184"/>
      <c r="O1731" s="184"/>
      <c r="P1731" t="s">
        <v>7045</v>
      </c>
      <c r="Q1731" t="s">
        <v>7160</v>
      </c>
      <c r="R1731" s="184">
        <v>13849</v>
      </c>
      <c r="S1731">
        <v>86</v>
      </c>
      <c r="V1731" t="s">
        <v>3011</v>
      </c>
      <c r="X1731" t="s">
        <v>16827</v>
      </c>
      <c r="AF1731" t="s">
        <v>6533</v>
      </c>
      <c r="AG1731" t="s">
        <v>3011</v>
      </c>
      <c r="AI1731" t="s">
        <v>16828</v>
      </c>
      <c r="AM1731" t="s">
        <v>16829</v>
      </c>
      <c r="AN1731" t="s">
        <v>2675</v>
      </c>
      <c r="AO1731" t="s">
        <v>16830</v>
      </c>
      <c r="AP1731" t="s">
        <v>7024</v>
      </c>
      <c r="AQ1731" t="s">
        <v>16831</v>
      </c>
      <c r="AT1731" s="184">
        <v>34855</v>
      </c>
      <c r="AU1731" t="s">
        <v>16832</v>
      </c>
      <c r="AV1731">
        <v>25</v>
      </c>
      <c r="AW1731" s="184">
        <v>45054</v>
      </c>
      <c r="AX1731" t="s">
        <v>12898</v>
      </c>
      <c r="AY1731">
        <v>25</v>
      </c>
      <c r="AZ1731" s="184">
        <v>45054</v>
      </c>
      <c r="BA1731" t="s">
        <v>12898</v>
      </c>
      <c r="BB1731">
        <v>25</v>
      </c>
      <c r="BC1731">
        <v>97</v>
      </c>
      <c r="BD1731">
        <v>750</v>
      </c>
      <c r="BE1731">
        <v>1995</v>
      </c>
      <c r="BF1731">
        <v>30</v>
      </c>
      <c r="BG1731">
        <v>2</v>
      </c>
      <c r="BH1731">
        <v>50</v>
      </c>
      <c r="BI1731">
        <v>29</v>
      </c>
      <c r="BJ1731">
        <v>30</v>
      </c>
      <c r="BK1731">
        <v>29</v>
      </c>
      <c r="BP1731" s="184"/>
    </row>
    <row r="1732" spans="1:68">
      <c r="A1732">
        <v>19234996</v>
      </c>
      <c r="B1732">
        <v>19234996</v>
      </c>
      <c r="C1732" t="s">
        <v>7018</v>
      </c>
      <c r="D1732" t="s">
        <v>595</v>
      </c>
      <c r="E1732" s="184">
        <v>45196</v>
      </c>
      <c r="G1732" s="184"/>
      <c r="I1732" s="184"/>
      <c r="K1732" s="184"/>
      <c r="M1732" s="184"/>
      <c r="O1732" s="184"/>
      <c r="P1732" t="s">
        <v>7045</v>
      </c>
      <c r="Q1732" t="s">
        <v>7454</v>
      </c>
      <c r="R1732" s="184">
        <v>23472</v>
      </c>
      <c r="S1732">
        <v>60</v>
      </c>
      <c r="U1732" t="s">
        <v>7076</v>
      </c>
      <c r="V1732" t="s">
        <v>16833</v>
      </c>
      <c r="X1732" t="s">
        <v>16834</v>
      </c>
      <c r="Z1732">
        <v>100052334</v>
      </c>
      <c r="AB1732" t="s">
        <v>16835</v>
      </c>
      <c r="AD1732" t="s">
        <v>16834</v>
      </c>
      <c r="AF1732" t="s">
        <v>16836</v>
      </c>
      <c r="AG1732" t="s">
        <v>16837</v>
      </c>
      <c r="AI1732" t="s">
        <v>16838</v>
      </c>
      <c r="AM1732" t="s">
        <v>4026</v>
      </c>
      <c r="AN1732" t="s">
        <v>2055</v>
      </c>
      <c r="AO1732" t="s">
        <v>16839</v>
      </c>
      <c r="AP1732" t="s">
        <v>7024</v>
      </c>
      <c r="AQ1732" t="s">
        <v>16840</v>
      </c>
      <c r="AR1732" t="s">
        <v>16841</v>
      </c>
      <c r="AT1732" s="184">
        <v>34859</v>
      </c>
      <c r="AU1732" t="s">
        <v>16842</v>
      </c>
      <c r="AV1732">
        <v>15</v>
      </c>
      <c r="AW1732" s="184">
        <v>42700</v>
      </c>
      <c r="AX1732" t="s">
        <v>16843</v>
      </c>
      <c r="AY1732">
        <v>25</v>
      </c>
      <c r="AZ1732" s="184">
        <v>42700</v>
      </c>
      <c r="BA1732" t="s">
        <v>16843</v>
      </c>
      <c r="BB1732">
        <v>25</v>
      </c>
      <c r="BC1732">
        <v>24</v>
      </c>
      <c r="BD1732">
        <v>155</v>
      </c>
      <c r="BE1732">
        <v>1995</v>
      </c>
      <c r="BF1732">
        <v>7</v>
      </c>
      <c r="BI1732">
        <v>7</v>
      </c>
      <c r="BJ1732">
        <v>30</v>
      </c>
      <c r="BK1732">
        <v>2</v>
      </c>
      <c r="BN1732" t="s">
        <v>595</v>
      </c>
      <c r="BP1732" s="184"/>
    </row>
    <row r="1733" spans="1:68">
      <c r="A1733">
        <v>100052334</v>
      </c>
      <c r="B1733">
        <v>19234996</v>
      </c>
      <c r="C1733" t="s">
        <v>7018</v>
      </c>
      <c r="D1733" t="s">
        <v>595</v>
      </c>
      <c r="E1733" s="184">
        <v>45196</v>
      </c>
      <c r="G1733" s="184"/>
      <c r="I1733" s="184"/>
      <c r="K1733" s="184"/>
      <c r="M1733" s="184"/>
      <c r="O1733" s="184"/>
      <c r="P1733" t="s">
        <v>7045</v>
      </c>
      <c r="Q1733" t="s">
        <v>7454</v>
      </c>
      <c r="R1733" s="184">
        <v>23468</v>
      </c>
      <c r="S1733">
        <v>60</v>
      </c>
      <c r="V1733" t="s">
        <v>16835</v>
      </c>
      <c r="X1733" t="s">
        <v>16834</v>
      </c>
      <c r="Z1733">
        <v>19234996</v>
      </c>
      <c r="AA1733" t="s">
        <v>7076</v>
      </c>
      <c r="AB1733" t="s">
        <v>16833</v>
      </c>
      <c r="AD1733" t="s">
        <v>16834</v>
      </c>
      <c r="AF1733" t="s">
        <v>16836</v>
      </c>
      <c r="AG1733" t="s">
        <v>16837</v>
      </c>
      <c r="AI1733" t="s">
        <v>16838</v>
      </c>
      <c r="AM1733" t="s">
        <v>4026</v>
      </c>
      <c r="AN1733" t="s">
        <v>2055</v>
      </c>
      <c r="AO1733" t="s">
        <v>16839</v>
      </c>
      <c r="AP1733" t="s">
        <v>7024</v>
      </c>
      <c r="AT1733" s="184"/>
      <c r="AW1733" s="184"/>
      <c r="AZ1733" s="184"/>
      <c r="BP1733" s="184"/>
    </row>
    <row r="1734" spans="1:68">
      <c r="A1734">
        <v>19239581</v>
      </c>
      <c r="B1734">
        <v>19239581</v>
      </c>
      <c r="C1734" t="s">
        <v>7018</v>
      </c>
      <c r="D1734" t="s">
        <v>595</v>
      </c>
      <c r="E1734" s="184">
        <v>44419</v>
      </c>
      <c r="G1734" s="184"/>
      <c r="I1734" s="184"/>
      <c r="J1734" t="s">
        <v>595</v>
      </c>
      <c r="K1734" s="184">
        <v>44649</v>
      </c>
      <c r="M1734" s="184"/>
      <c r="O1734" s="184"/>
      <c r="P1734" t="s">
        <v>7019</v>
      </c>
      <c r="Q1734" t="s">
        <v>7383</v>
      </c>
      <c r="R1734" s="184">
        <v>18860</v>
      </c>
      <c r="S1734">
        <v>72</v>
      </c>
      <c r="U1734" t="s">
        <v>7076</v>
      </c>
      <c r="V1734" t="s">
        <v>4545</v>
      </c>
      <c r="X1734" t="s">
        <v>3371</v>
      </c>
      <c r="AF1734" t="s">
        <v>16844</v>
      </c>
      <c r="AG1734" t="s">
        <v>4545</v>
      </c>
      <c r="AI1734" t="s">
        <v>16845</v>
      </c>
      <c r="AM1734" t="s">
        <v>3465</v>
      </c>
      <c r="AN1734" t="s">
        <v>2162</v>
      </c>
      <c r="AO1734" t="s">
        <v>16846</v>
      </c>
      <c r="AP1734" t="s">
        <v>7024</v>
      </c>
      <c r="AQ1734" t="s">
        <v>16847</v>
      </c>
      <c r="AT1734" s="184">
        <v>34862</v>
      </c>
      <c r="AU1734" t="s">
        <v>16848</v>
      </c>
      <c r="AV1734">
        <v>15</v>
      </c>
      <c r="AW1734" s="184">
        <v>44329</v>
      </c>
      <c r="AX1734" t="s">
        <v>16849</v>
      </c>
      <c r="AY1734">
        <v>60</v>
      </c>
      <c r="AZ1734" s="184">
        <v>44329</v>
      </c>
      <c r="BA1734" t="s">
        <v>16849</v>
      </c>
      <c r="BB1734">
        <v>60</v>
      </c>
      <c r="BC1734">
        <v>20</v>
      </c>
      <c r="BD1734">
        <v>180</v>
      </c>
      <c r="BE1734">
        <v>1995</v>
      </c>
      <c r="BF1734">
        <v>7</v>
      </c>
      <c r="BI1734">
        <v>6</v>
      </c>
      <c r="BJ1734">
        <v>30</v>
      </c>
      <c r="BK1734">
        <v>5</v>
      </c>
      <c r="BP1734" s="184"/>
    </row>
    <row r="1735" spans="1:68">
      <c r="A1735">
        <v>19244706</v>
      </c>
      <c r="B1735">
        <v>19244706</v>
      </c>
      <c r="C1735" t="s">
        <v>7018</v>
      </c>
      <c r="E1735" s="184"/>
      <c r="F1735" t="s">
        <v>595</v>
      </c>
      <c r="G1735" s="184">
        <v>44167</v>
      </c>
      <c r="I1735" s="184"/>
      <c r="K1735" s="184"/>
      <c r="M1735" s="184"/>
      <c r="O1735" s="184"/>
      <c r="P1735" t="s">
        <v>7045</v>
      </c>
      <c r="Q1735" t="s">
        <v>7374</v>
      </c>
      <c r="R1735" s="184">
        <v>11685</v>
      </c>
      <c r="S1735">
        <v>92</v>
      </c>
      <c r="V1735" t="s">
        <v>2541</v>
      </c>
      <c r="X1735" t="s">
        <v>16850</v>
      </c>
      <c r="AF1735" t="s">
        <v>16851</v>
      </c>
      <c r="AG1735" t="s">
        <v>2541</v>
      </c>
      <c r="AI1735" t="s">
        <v>16852</v>
      </c>
      <c r="AM1735" t="s">
        <v>5949</v>
      </c>
      <c r="AN1735" t="s">
        <v>2081</v>
      </c>
      <c r="AO1735" t="s">
        <v>16853</v>
      </c>
      <c r="AP1735" t="s">
        <v>7024</v>
      </c>
      <c r="AT1735" s="184">
        <v>34865</v>
      </c>
      <c r="AU1735" t="s">
        <v>16854</v>
      </c>
      <c r="AV1735">
        <v>15</v>
      </c>
      <c r="AW1735" s="184">
        <v>36991</v>
      </c>
      <c r="AX1735" t="s">
        <v>16855</v>
      </c>
      <c r="AY1735">
        <v>10</v>
      </c>
      <c r="AZ1735" s="184">
        <v>35943</v>
      </c>
      <c r="BA1735" t="s">
        <v>16856</v>
      </c>
      <c r="BB1735">
        <v>25</v>
      </c>
      <c r="BC1735">
        <v>24</v>
      </c>
      <c r="BD1735">
        <v>190</v>
      </c>
      <c r="BE1735">
        <v>1995</v>
      </c>
      <c r="BF1735">
        <v>13</v>
      </c>
      <c r="BI1735">
        <v>7</v>
      </c>
      <c r="BJ1735">
        <v>30</v>
      </c>
      <c r="BK1735">
        <v>7</v>
      </c>
      <c r="BP1735" s="184"/>
    </row>
    <row r="1736" spans="1:68">
      <c r="A1736">
        <v>19269257</v>
      </c>
      <c r="B1736">
        <v>19269257</v>
      </c>
      <c r="C1736" t="s">
        <v>7018</v>
      </c>
      <c r="E1736" s="184"/>
      <c r="F1736" t="s">
        <v>595</v>
      </c>
      <c r="G1736" s="184">
        <v>43731</v>
      </c>
      <c r="I1736" s="184"/>
      <c r="K1736" s="184"/>
      <c r="O1736" s="184"/>
      <c r="P1736" t="s">
        <v>7029</v>
      </c>
      <c r="Q1736" t="s">
        <v>7494</v>
      </c>
      <c r="R1736" s="184">
        <v>10406</v>
      </c>
      <c r="S1736">
        <v>95</v>
      </c>
      <c r="U1736" t="s">
        <v>7032</v>
      </c>
      <c r="V1736" t="s">
        <v>3901</v>
      </c>
      <c r="W1736" t="s">
        <v>7248</v>
      </c>
      <c r="X1736" t="s">
        <v>3955</v>
      </c>
      <c r="Z1736">
        <v>100236186</v>
      </c>
      <c r="AA1736" t="s">
        <v>7031</v>
      </c>
      <c r="AB1736" t="s">
        <v>3373</v>
      </c>
      <c r="AD1736" t="s">
        <v>16857</v>
      </c>
      <c r="AF1736" t="s">
        <v>16858</v>
      </c>
      <c r="AG1736" t="s">
        <v>16859</v>
      </c>
      <c r="AI1736" t="s">
        <v>16860</v>
      </c>
      <c r="AM1736" t="s">
        <v>3956</v>
      </c>
      <c r="AN1736" t="s">
        <v>2174</v>
      </c>
      <c r="AO1736" t="s">
        <v>16861</v>
      </c>
      <c r="AP1736" t="s">
        <v>7024</v>
      </c>
      <c r="AQ1736" t="s">
        <v>16862</v>
      </c>
      <c r="AR1736" t="s">
        <v>16863</v>
      </c>
      <c r="AT1736" s="184">
        <v>34870</v>
      </c>
      <c r="AU1736" t="s">
        <v>16864</v>
      </c>
      <c r="AV1736">
        <v>25</v>
      </c>
      <c r="AW1736" s="184">
        <v>45345</v>
      </c>
      <c r="AX1736" t="s">
        <v>7302</v>
      </c>
      <c r="AY1736">
        <v>1000</v>
      </c>
      <c r="AZ1736" s="184">
        <v>43594</v>
      </c>
      <c r="BA1736" t="s">
        <v>10071</v>
      </c>
      <c r="BB1736">
        <v>2019</v>
      </c>
      <c r="BC1736">
        <v>94</v>
      </c>
      <c r="BD1736">
        <v>27568</v>
      </c>
      <c r="BE1736">
        <v>1995</v>
      </c>
      <c r="BF1736">
        <v>76</v>
      </c>
      <c r="BG1736">
        <v>3</v>
      </c>
      <c r="BH1736">
        <v>2500</v>
      </c>
      <c r="BI1736">
        <v>28</v>
      </c>
      <c r="BJ1736">
        <v>30</v>
      </c>
      <c r="BK1736">
        <v>16</v>
      </c>
      <c r="BN1736" t="s">
        <v>595</v>
      </c>
      <c r="BP1736" s="184"/>
    </row>
    <row r="1737" spans="1:68">
      <c r="A1737">
        <v>100236186</v>
      </c>
      <c r="B1737">
        <v>19269257</v>
      </c>
      <c r="C1737" t="s">
        <v>7018</v>
      </c>
      <c r="E1737" s="184"/>
      <c r="F1737" t="s">
        <v>595</v>
      </c>
      <c r="G1737" s="184">
        <v>43731</v>
      </c>
      <c r="I1737" s="184"/>
      <c r="K1737" s="184"/>
      <c r="M1737" s="184"/>
      <c r="O1737" s="184"/>
      <c r="P1737" t="s">
        <v>7029</v>
      </c>
      <c r="Q1737" t="s">
        <v>7494</v>
      </c>
      <c r="R1737" s="184">
        <v>8693</v>
      </c>
      <c r="S1737">
        <v>100</v>
      </c>
      <c r="U1737" t="s">
        <v>7031</v>
      </c>
      <c r="V1737" t="s">
        <v>3373</v>
      </c>
      <c r="X1737" t="s">
        <v>16857</v>
      </c>
      <c r="Z1737">
        <v>19269257</v>
      </c>
      <c r="AA1737" t="s">
        <v>7032</v>
      </c>
      <c r="AB1737" t="s">
        <v>3901</v>
      </c>
      <c r="AC1737" t="s">
        <v>7248</v>
      </c>
      <c r="AD1737" t="s">
        <v>3955</v>
      </c>
      <c r="AF1737" t="s">
        <v>16858</v>
      </c>
      <c r="AG1737" t="s">
        <v>16859</v>
      </c>
      <c r="AI1737" t="s">
        <v>16860</v>
      </c>
      <c r="AM1737" t="s">
        <v>3956</v>
      </c>
      <c r="AN1737" t="s">
        <v>2174</v>
      </c>
      <c r="AO1737" t="s">
        <v>16861</v>
      </c>
      <c r="AP1737" t="s">
        <v>7024</v>
      </c>
      <c r="AT1737" s="184"/>
      <c r="AW1737" s="184"/>
      <c r="AZ1737" s="184"/>
    </row>
    <row r="1738" spans="1:68">
      <c r="A1738">
        <v>19284892</v>
      </c>
      <c r="B1738">
        <v>19284892</v>
      </c>
      <c r="C1738" t="s">
        <v>7018</v>
      </c>
      <c r="D1738" t="s">
        <v>595</v>
      </c>
      <c r="E1738" s="184">
        <v>43808</v>
      </c>
      <c r="G1738" s="184"/>
      <c r="I1738" s="184"/>
      <c r="K1738" s="184"/>
      <c r="O1738" s="184"/>
      <c r="P1738" t="s">
        <v>7045</v>
      </c>
      <c r="Q1738" t="s">
        <v>7374</v>
      </c>
      <c r="R1738" s="184">
        <v>21265</v>
      </c>
      <c r="S1738">
        <v>66</v>
      </c>
      <c r="V1738" t="s">
        <v>3011</v>
      </c>
      <c r="X1738" t="s">
        <v>4454</v>
      </c>
      <c r="AF1738" t="s">
        <v>16865</v>
      </c>
      <c r="AG1738" t="s">
        <v>3011</v>
      </c>
      <c r="AI1738" t="s">
        <v>16866</v>
      </c>
      <c r="AM1738" t="s">
        <v>4387</v>
      </c>
      <c r="AN1738" t="s">
        <v>2526</v>
      </c>
      <c r="AO1738" t="s">
        <v>16867</v>
      </c>
      <c r="AP1738" t="s">
        <v>7024</v>
      </c>
      <c r="AQ1738" t="s">
        <v>16868</v>
      </c>
      <c r="AR1738" t="s">
        <v>16869</v>
      </c>
      <c r="AT1738" s="184">
        <v>34871</v>
      </c>
      <c r="AU1738" t="s">
        <v>16870</v>
      </c>
      <c r="AV1738">
        <v>25</v>
      </c>
      <c r="AW1738" s="184">
        <v>45055</v>
      </c>
      <c r="AX1738" t="s">
        <v>10687</v>
      </c>
      <c r="AY1738">
        <v>25</v>
      </c>
      <c r="AZ1738" s="184">
        <v>45055</v>
      </c>
      <c r="BA1738" t="s">
        <v>10687</v>
      </c>
      <c r="BB1738">
        <v>25</v>
      </c>
      <c r="BC1738">
        <v>90</v>
      </c>
      <c r="BD1738">
        <v>690</v>
      </c>
      <c r="BE1738">
        <v>1995</v>
      </c>
      <c r="BF1738">
        <v>28</v>
      </c>
      <c r="BG1738">
        <v>2</v>
      </c>
      <c r="BH1738">
        <v>50</v>
      </c>
      <c r="BI1738">
        <v>27</v>
      </c>
      <c r="BJ1738">
        <v>30</v>
      </c>
      <c r="BK1738">
        <v>26</v>
      </c>
      <c r="BP1738" s="184"/>
    </row>
    <row r="1739" spans="1:68">
      <c r="A1739">
        <v>19289024</v>
      </c>
      <c r="B1739">
        <v>19289024</v>
      </c>
      <c r="C1739" t="s">
        <v>7018</v>
      </c>
      <c r="E1739" s="184"/>
      <c r="G1739" s="184"/>
      <c r="I1739" s="184"/>
      <c r="J1739" t="s">
        <v>595</v>
      </c>
      <c r="K1739" s="184">
        <v>38631</v>
      </c>
      <c r="M1739" s="184"/>
      <c r="O1739" s="184"/>
      <c r="P1739" t="s">
        <v>7045</v>
      </c>
      <c r="Q1739" t="s">
        <v>7020</v>
      </c>
      <c r="R1739" s="184">
        <v>7823</v>
      </c>
      <c r="S1739">
        <v>102</v>
      </c>
      <c r="U1739" t="s">
        <v>7130</v>
      </c>
      <c r="V1739" t="s">
        <v>4210</v>
      </c>
      <c r="X1739" t="s">
        <v>16871</v>
      </c>
      <c r="AF1739" t="s">
        <v>6635</v>
      </c>
      <c r="AG1739" t="s">
        <v>4210</v>
      </c>
      <c r="AI1739" t="s">
        <v>16872</v>
      </c>
      <c r="AM1739" t="s">
        <v>16873</v>
      </c>
      <c r="AN1739" t="s">
        <v>2052</v>
      </c>
      <c r="AO1739" t="s">
        <v>16874</v>
      </c>
      <c r="AP1739" t="s">
        <v>7024</v>
      </c>
      <c r="AT1739" s="184">
        <v>34871</v>
      </c>
      <c r="AU1739" t="s">
        <v>16848</v>
      </c>
      <c r="AV1739">
        <v>15</v>
      </c>
      <c r="AW1739" s="184">
        <v>38644</v>
      </c>
      <c r="AX1739" t="s">
        <v>16875</v>
      </c>
      <c r="AY1739">
        <v>10</v>
      </c>
      <c r="AZ1739" s="184">
        <v>37497</v>
      </c>
      <c r="BA1739" t="s">
        <v>16876</v>
      </c>
      <c r="BB1739">
        <v>25</v>
      </c>
      <c r="BC1739">
        <v>34</v>
      </c>
      <c r="BD1739">
        <v>315</v>
      </c>
      <c r="BE1739">
        <v>1995</v>
      </c>
      <c r="BF1739">
        <v>18</v>
      </c>
      <c r="BI1739">
        <v>10</v>
      </c>
      <c r="BJ1739">
        <v>30</v>
      </c>
      <c r="BK1739">
        <v>9</v>
      </c>
      <c r="BP1739" s="184"/>
    </row>
    <row r="1740" spans="1:68">
      <c r="A1740">
        <v>19290626</v>
      </c>
      <c r="B1740">
        <v>19290626</v>
      </c>
      <c r="C1740" t="s">
        <v>7018</v>
      </c>
      <c r="D1740" t="s">
        <v>595</v>
      </c>
      <c r="E1740" s="184">
        <v>43951</v>
      </c>
      <c r="G1740" s="184"/>
      <c r="I1740" s="184"/>
      <c r="K1740" s="184"/>
      <c r="O1740" s="184"/>
      <c r="P1740" t="s">
        <v>7045</v>
      </c>
      <c r="Q1740" t="s">
        <v>7454</v>
      </c>
      <c r="R1740" s="184">
        <v>18660</v>
      </c>
      <c r="S1740">
        <v>73</v>
      </c>
      <c r="V1740" t="s">
        <v>2979</v>
      </c>
      <c r="X1740" t="s">
        <v>16877</v>
      </c>
      <c r="AF1740" t="s">
        <v>16878</v>
      </c>
      <c r="AG1740" t="s">
        <v>2979</v>
      </c>
      <c r="AI1740" t="s">
        <v>16879</v>
      </c>
      <c r="AM1740" t="s">
        <v>5780</v>
      </c>
      <c r="AN1740" t="s">
        <v>2055</v>
      </c>
      <c r="AO1740" t="s">
        <v>16880</v>
      </c>
      <c r="AP1740" t="s">
        <v>7024</v>
      </c>
      <c r="AQ1740" t="s">
        <v>16881</v>
      </c>
      <c r="AT1740" s="184">
        <v>34871</v>
      </c>
      <c r="AU1740" t="s">
        <v>16882</v>
      </c>
      <c r="AV1740">
        <v>10</v>
      </c>
      <c r="AW1740" s="184">
        <v>45321</v>
      </c>
      <c r="AX1740" t="s">
        <v>16883</v>
      </c>
      <c r="AY1740">
        <v>25</v>
      </c>
      <c r="AZ1740" s="184">
        <v>37372</v>
      </c>
      <c r="BA1740" t="s">
        <v>16884</v>
      </c>
      <c r="BB1740">
        <v>40</v>
      </c>
      <c r="BC1740">
        <v>60</v>
      </c>
      <c r="BD1740">
        <v>800</v>
      </c>
      <c r="BE1740">
        <v>1995</v>
      </c>
      <c r="BF1740">
        <v>27</v>
      </c>
      <c r="BG1740">
        <v>1</v>
      </c>
      <c r="BH1740">
        <v>25</v>
      </c>
      <c r="BI1740">
        <v>18</v>
      </c>
      <c r="BJ1740">
        <v>30</v>
      </c>
      <c r="BK1740">
        <v>7</v>
      </c>
      <c r="BP1740" s="184"/>
    </row>
    <row r="1741" spans="1:68">
      <c r="A1741">
        <v>19305119</v>
      </c>
      <c r="B1741">
        <v>19305119</v>
      </c>
      <c r="C1741" t="s">
        <v>7018</v>
      </c>
      <c r="E1741" s="184"/>
      <c r="G1741" s="184"/>
      <c r="H1741" t="s">
        <v>595</v>
      </c>
      <c r="I1741" s="184">
        <v>44487</v>
      </c>
      <c r="K1741" s="184"/>
      <c r="N1741" t="s">
        <v>595</v>
      </c>
      <c r="O1741" s="184">
        <v>44520</v>
      </c>
      <c r="P1741" t="s">
        <v>7019</v>
      </c>
      <c r="Q1741" t="s">
        <v>7160</v>
      </c>
      <c r="R1741" s="184">
        <v>11334</v>
      </c>
      <c r="S1741">
        <v>93</v>
      </c>
      <c r="V1741" t="s">
        <v>5144</v>
      </c>
      <c r="X1741" t="s">
        <v>5145</v>
      </c>
      <c r="AF1741" t="s">
        <v>16885</v>
      </c>
      <c r="AG1741" t="s">
        <v>5144</v>
      </c>
      <c r="AI1741" t="s">
        <v>16886</v>
      </c>
      <c r="AM1741" t="s">
        <v>5146</v>
      </c>
      <c r="AN1741" t="s">
        <v>2413</v>
      </c>
      <c r="AO1741" t="s">
        <v>16887</v>
      </c>
      <c r="AP1741" t="s">
        <v>7024</v>
      </c>
      <c r="AQ1741" t="s">
        <v>16888</v>
      </c>
      <c r="AT1741" s="184">
        <v>34872</v>
      </c>
      <c r="AU1741" t="s">
        <v>16889</v>
      </c>
      <c r="AV1741">
        <v>5</v>
      </c>
      <c r="AW1741" s="184">
        <v>44270</v>
      </c>
      <c r="AX1741" t="s">
        <v>14007</v>
      </c>
      <c r="AY1741">
        <v>60</v>
      </c>
      <c r="AZ1741" s="184">
        <v>44270</v>
      </c>
      <c r="BA1741" t="s">
        <v>14007</v>
      </c>
      <c r="BB1741">
        <v>60</v>
      </c>
      <c r="BC1741">
        <v>70</v>
      </c>
      <c r="BD1741">
        <v>620</v>
      </c>
      <c r="BE1741">
        <v>1995</v>
      </c>
      <c r="BF1741">
        <v>23</v>
      </c>
      <c r="BI1741">
        <v>21</v>
      </c>
      <c r="BJ1741">
        <v>30</v>
      </c>
      <c r="BK1741">
        <v>6</v>
      </c>
      <c r="BO1741" t="s">
        <v>595</v>
      </c>
      <c r="BP1741" s="184">
        <v>45242</v>
      </c>
    </row>
    <row r="1742" spans="1:68">
      <c r="A1742">
        <v>19328145</v>
      </c>
      <c r="B1742">
        <v>19328145</v>
      </c>
      <c r="C1742" t="s">
        <v>7018</v>
      </c>
      <c r="E1742" s="184"/>
      <c r="G1742" s="184"/>
      <c r="I1742" s="184"/>
      <c r="K1742" s="184"/>
      <c r="N1742" t="s">
        <v>595</v>
      </c>
      <c r="O1742" s="184">
        <v>41096</v>
      </c>
      <c r="P1742" t="s">
        <v>7045</v>
      </c>
      <c r="Q1742" t="s">
        <v>7030</v>
      </c>
      <c r="R1742" s="184">
        <v>11780</v>
      </c>
      <c r="S1742">
        <v>92</v>
      </c>
      <c r="V1742" t="s">
        <v>3745</v>
      </c>
      <c r="W1742" t="s">
        <v>3226</v>
      </c>
      <c r="X1742" t="s">
        <v>16890</v>
      </c>
      <c r="AF1742" t="s">
        <v>6008</v>
      </c>
      <c r="AG1742" t="s">
        <v>3745</v>
      </c>
      <c r="AI1742" t="s">
        <v>16891</v>
      </c>
      <c r="AM1742" t="s">
        <v>16892</v>
      </c>
      <c r="AN1742" t="s">
        <v>2201</v>
      </c>
      <c r="AO1742" t="s">
        <v>16893</v>
      </c>
      <c r="AP1742" t="s">
        <v>7024</v>
      </c>
      <c r="AT1742" s="184">
        <v>34876</v>
      </c>
      <c r="AU1742" t="s">
        <v>16894</v>
      </c>
      <c r="AV1742">
        <v>15</v>
      </c>
      <c r="AW1742" s="184">
        <v>42562</v>
      </c>
      <c r="AX1742" t="s">
        <v>16895</v>
      </c>
      <c r="AY1742">
        <v>50</v>
      </c>
      <c r="AZ1742" s="184">
        <v>41127</v>
      </c>
      <c r="BA1742" t="s">
        <v>7075</v>
      </c>
      <c r="BB1742">
        <v>10000</v>
      </c>
      <c r="BC1742">
        <v>70</v>
      </c>
      <c r="BD1742">
        <v>10825</v>
      </c>
      <c r="BE1742">
        <v>1995</v>
      </c>
      <c r="BF1742">
        <v>25</v>
      </c>
      <c r="BI1742">
        <v>21</v>
      </c>
      <c r="BJ1742">
        <v>30</v>
      </c>
      <c r="BK1742">
        <v>15</v>
      </c>
    </row>
    <row r="1743" spans="1:68">
      <c r="A1743">
        <v>19356427</v>
      </c>
      <c r="B1743">
        <v>19356427</v>
      </c>
      <c r="C1743" t="s">
        <v>7018</v>
      </c>
      <c r="E1743" s="184"/>
      <c r="G1743" s="184"/>
      <c r="H1743" t="s">
        <v>595</v>
      </c>
      <c r="I1743" s="184">
        <v>43977</v>
      </c>
      <c r="K1743" s="184"/>
      <c r="N1743" t="s">
        <v>595</v>
      </c>
      <c r="O1743" s="184">
        <v>44841</v>
      </c>
      <c r="P1743" t="s">
        <v>7045</v>
      </c>
      <c r="Q1743" t="s">
        <v>7020</v>
      </c>
      <c r="R1743" s="184">
        <v>14032</v>
      </c>
      <c r="S1743">
        <v>85</v>
      </c>
      <c r="U1743" t="s">
        <v>7032</v>
      </c>
      <c r="V1743" t="s">
        <v>2871</v>
      </c>
      <c r="W1743" t="s">
        <v>3830</v>
      </c>
      <c r="X1743" t="s">
        <v>4816</v>
      </c>
      <c r="AF1743" t="s">
        <v>16896</v>
      </c>
      <c r="AG1743" t="s">
        <v>2871</v>
      </c>
      <c r="AI1743" t="s">
        <v>16897</v>
      </c>
      <c r="AM1743" t="s">
        <v>3004</v>
      </c>
      <c r="AN1743" t="s">
        <v>2112</v>
      </c>
      <c r="AO1743" t="s">
        <v>16898</v>
      </c>
      <c r="AP1743" t="s">
        <v>7024</v>
      </c>
      <c r="AQ1743" t="s">
        <v>16899</v>
      </c>
      <c r="AR1743" t="s">
        <v>16900</v>
      </c>
      <c r="AT1743" s="184">
        <v>34878</v>
      </c>
      <c r="AU1743" t="s">
        <v>16901</v>
      </c>
      <c r="AV1743">
        <v>25</v>
      </c>
      <c r="AW1743" s="184">
        <v>45275</v>
      </c>
      <c r="AX1743" t="s">
        <v>16902</v>
      </c>
      <c r="AY1743">
        <v>105</v>
      </c>
      <c r="AZ1743" s="184">
        <v>44837</v>
      </c>
      <c r="BA1743" t="s">
        <v>7044</v>
      </c>
      <c r="BB1743">
        <v>20000</v>
      </c>
      <c r="BC1743">
        <v>77</v>
      </c>
      <c r="BD1743">
        <v>22130</v>
      </c>
      <c r="BE1743">
        <v>1995</v>
      </c>
      <c r="BF1743">
        <v>26</v>
      </c>
      <c r="BG1743">
        <v>2</v>
      </c>
      <c r="BH1743">
        <v>20105</v>
      </c>
      <c r="BI1743">
        <v>23</v>
      </c>
      <c r="BJ1743">
        <v>30</v>
      </c>
      <c r="BK1743">
        <v>13</v>
      </c>
      <c r="BP1743" s="184"/>
    </row>
    <row r="1744" spans="1:68">
      <c r="A1744">
        <v>19369198</v>
      </c>
      <c r="B1744">
        <v>19369198</v>
      </c>
      <c r="C1744" t="s">
        <v>7018</v>
      </c>
      <c r="E1744" s="184"/>
      <c r="F1744" t="s">
        <v>595</v>
      </c>
      <c r="G1744" s="184">
        <v>43690</v>
      </c>
      <c r="I1744" s="184"/>
      <c r="K1744" s="184"/>
      <c r="O1744" s="184"/>
      <c r="P1744" t="s">
        <v>7045</v>
      </c>
      <c r="Q1744" t="s">
        <v>7020</v>
      </c>
      <c r="R1744" s="184">
        <v>15984</v>
      </c>
      <c r="S1744">
        <v>80</v>
      </c>
      <c r="U1744" t="s">
        <v>7031</v>
      </c>
      <c r="V1744" t="s">
        <v>2511</v>
      </c>
      <c r="X1744" t="s">
        <v>3713</v>
      </c>
      <c r="AF1744" t="s">
        <v>16903</v>
      </c>
      <c r="AG1744" t="s">
        <v>2511</v>
      </c>
      <c r="AI1744" t="s">
        <v>16904</v>
      </c>
      <c r="AM1744" t="s">
        <v>3714</v>
      </c>
      <c r="AN1744" t="s">
        <v>2052</v>
      </c>
      <c r="AO1744" t="s">
        <v>16905</v>
      </c>
      <c r="AP1744" t="s">
        <v>7024</v>
      </c>
      <c r="AQ1744" t="s">
        <v>16906</v>
      </c>
      <c r="AT1744" s="184">
        <v>34880</v>
      </c>
      <c r="AU1744" t="s">
        <v>16907</v>
      </c>
      <c r="AV1744">
        <v>15</v>
      </c>
      <c r="AW1744" s="184">
        <v>45272</v>
      </c>
      <c r="AX1744" t="s">
        <v>7515</v>
      </c>
      <c r="AY1744">
        <v>50</v>
      </c>
      <c r="AZ1744" s="184">
        <v>45272</v>
      </c>
      <c r="BA1744" t="s">
        <v>7515</v>
      </c>
      <c r="BB1744">
        <v>50</v>
      </c>
      <c r="BC1744">
        <v>47</v>
      </c>
      <c r="BD1744">
        <v>545</v>
      </c>
      <c r="BE1744">
        <v>1995</v>
      </c>
      <c r="BF1744">
        <v>14</v>
      </c>
      <c r="BG1744">
        <v>2</v>
      </c>
      <c r="BH1744">
        <v>100</v>
      </c>
      <c r="BI1744">
        <v>14</v>
      </c>
      <c r="BJ1744">
        <v>30</v>
      </c>
      <c r="BK1744">
        <v>12</v>
      </c>
      <c r="BP1744" s="184"/>
    </row>
    <row r="1745" spans="1:68">
      <c r="A1745">
        <v>19379288</v>
      </c>
      <c r="B1745">
        <v>19379288</v>
      </c>
      <c r="C1745" t="s">
        <v>7018</v>
      </c>
      <c r="E1745" s="184"/>
      <c r="G1745" s="184"/>
      <c r="H1745" t="s">
        <v>595</v>
      </c>
      <c r="I1745" s="184">
        <v>44109</v>
      </c>
      <c r="K1745" s="184"/>
      <c r="O1745" s="184"/>
      <c r="P1745" t="s">
        <v>7019</v>
      </c>
      <c r="Q1745" t="s">
        <v>7494</v>
      </c>
      <c r="R1745" s="184">
        <v>15441</v>
      </c>
      <c r="S1745">
        <v>82</v>
      </c>
      <c r="U1745" t="s">
        <v>7031</v>
      </c>
      <c r="V1745" t="s">
        <v>2863</v>
      </c>
      <c r="W1745" t="s">
        <v>4152</v>
      </c>
      <c r="X1745" t="s">
        <v>3257</v>
      </c>
      <c r="AF1745" t="s">
        <v>16908</v>
      </c>
      <c r="AG1745" t="s">
        <v>2863</v>
      </c>
      <c r="AI1745" t="s">
        <v>16909</v>
      </c>
      <c r="AM1745" t="s">
        <v>8965</v>
      </c>
      <c r="AN1745" t="s">
        <v>2174</v>
      </c>
      <c r="AO1745" t="s">
        <v>16910</v>
      </c>
      <c r="AP1745" t="s">
        <v>7024</v>
      </c>
      <c r="AQ1745" t="s">
        <v>16911</v>
      </c>
      <c r="AR1745" t="s">
        <v>16912</v>
      </c>
      <c r="AT1745" s="184">
        <v>34880</v>
      </c>
      <c r="AU1745" t="s">
        <v>16870</v>
      </c>
      <c r="AV1745">
        <v>15</v>
      </c>
      <c r="AW1745" s="184">
        <v>45314</v>
      </c>
      <c r="AX1745" t="s">
        <v>16913</v>
      </c>
      <c r="AY1745">
        <v>87</v>
      </c>
      <c r="AZ1745" s="184">
        <v>37207</v>
      </c>
      <c r="BA1745" t="s">
        <v>16914</v>
      </c>
      <c r="BB1745">
        <v>150</v>
      </c>
      <c r="BC1745">
        <v>60</v>
      </c>
      <c r="BD1745">
        <v>1821</v>
      </c>
      <c r="BE1745">
        <v>1995</v>
      </c>
      <c r="BF1745">
        <v>26</v>
      </c>
      <c r="BG1745">
        <v>1</v>
      </c>
      <c r="BH1745">
        <v>87</v>
      </c>
      <c r="BI1745">
        <v>18</v>
      </c>
      <c r="BJ1745">
        <v>30</v>
      </c>
      <c r="BK1745">
        <v>4</v>
      </c>
      <c r="BN1745" t="s">
        <v>595</v>
      </c>
      <c r="BP1745" s="184"/>
    </row>
    <row r="1746" spans="1:68">
      <c r="A1746">
        <v>19381474</v>
      </c>
      <c r="B1746">
        <v>19381474</v>
      </c>
      <c r="C1746" t="s">
        <v>7018</v>
      </c>
      <c r="D1746" t="s">
        <v>595</v>
      </c>
      <c r="E1746" s="184">
        <v>44104</v>
      </c>
      <c r="G1746" s="184"/>
      <c r="I1746" s="184"/>
      <c r="K1746" s="184"/>
      <c r="O1746" s="184"/>
      <c r="P1746" t="s">
        <v>7045</v>
      </c>
      <c r="Q1746" t="s">
        <v>7383</v>
      </c>
      <c r="R1746" s="184">
        <v>21125</v>
      </c>
      <c r="S1746">
        <v>66</v>
      </c>
      <c r="V1746" t="s">
        <v>4613</v>
      </c>
      <c r="X1746" t="s">
        <v>16915</v>
      </c>
      <c r="AF1746" t="s">
        <v>16916</v>
      </c>
      <c r="AG1746" t="s">
        <v>4613</v>
      </c>
      <c r="AI1746" t="s">
        <v>16917</v>
      </c>
      <c r="AM1746" t="s">
        <v>16918</v>
      </c>
      <c r="AN1746" t="s">
        <v>2059</v>
      </c>
      <c r="AO1746" t="s">
        <v>16919</v>
      </c>
      <c r="AP1746" t="s">
        <v>7024</v>
      </c>
      <c r="AT1746" s="184">
        <v>34887</v>
      </c>
      <c r="AU1746" t="s">
        <v>16920</v>
      </c>
      <c r="AV1746">
        <v>20</v>
      </c>
      <c r="AW1746" s="184">
        <v>39289</v>
      </c>
      <c r="AX1746" t="s">
        <v>16921</v>
      </c>
      <c r="AY1746">
        <v>25</v>
      </c>
      <c r="AZ1746" s="184">
        <v>38197</v>
      </c>
      <c r="BA1746" t="s">
        <v>16922</v>
      </c>
      <c r="BB1746">
        <v>40</v>
      </c>
      <c r="BC1746">
        <v>44</v>
      </c>
      <c r="BD1746">
        <v>440</v>
      </c>
      <c r="BE1746">
        <v>1996</v>
      </c>
      <c r="BF1746">
        <v>19</v>
      </c>
      <c r="BI1746">
        <v>13</v>
      </c>
      <c r="BJ1746">
        <v>30</v>
      </c>
      <c r="BK1746">
        <v>13</v>
      </c>
      <c r="BP1746" s="184"/>
    </row>
    <row r="1747" spans="1:68">
      <c r="A1747">
        <v>19393230</v>
      </c>
      <c r="B1747">
        <v>19393230</v>
      </c>
      <c r="C1747" t="s">
        <v>7018</v>
      </c>
      <c r="E1747" s="184"/>
      <c r="G1747" s="184"/>
      <c r="I1747" s="184"/>
      <c r="J1747" t="s">
        <v>595</v>
      </c>
      <c r="K1747" s="184">
        <v>44070</v>
      </c>
      <c r="P1747" t="s">
        <v>7045</v>
      </c>
      <c r="Q1747" t="s">
        <v>7020</v>
      </c>
      <c r="R1747" s="184">
        <v>15014</v>
      </c>
      <c r="S1747">
        <v>83</v>
      </c>
      <c r="V1747" t="s">
        <v>2697</v>
      </c>
      <c r="X1747" t="s">
        <v>3238</v>
      </c>
      <c r="AF1747" t="s">
        <v>16923</v>
      </c>
      <c r="AG1747" t="s">
        <v>2697</v>
      </c>
      <c r="AI1747" t="s">
        <v>16924</v>
      </c>
      <c r="AM1747" t="s">
        <v>16925</v>
      </c>
      <c r="AN1747" t="s">
        <v>2206</v>
      </c>
      <c r="AO1747" t="s">
        <v>16926</v>
      </c>
      <c r="AP1747" t="s">
        <v>7024</v>
      </c>
      <c r="AT1747" s="184">
        <v>34891</v>
      </c>
      <c r="AU1747" t="s">
        <v>16927</v>
      </c>
      <c r="AV1747">
        <v>25</v>
      </c>
      <c r="AW1747" s="184">
        <v>44812</v>
      </c>
      <c r="AX1747" t="s">
        <v>16562</v>
      </c>
      <c r="AY1747">
        <v>150</v>
      </c>
      <c r="AZ1747" s="184">
        <v>43986</v>
      </c>
      <c r="BA1747" t="s">
        <v>16928</v>
      </c>
      <c r="BB1747">
        <v>200</v>
      </c>
      <c r="BC1747">
        <v>87</v>
      </c>
      <c r="BD1747">
        <v>4093</v>
      </c>
      <c r="BE1747">
        <v>1996</v>
      </c>
      <c r="BF1747">
        <v>40</v>
      </c>
      <c r="BG1747">
        <v>1</v>
      </c>
      <c r="BH1747">
        <v>150</v>
      </c>
      <c r="BI1747">
        <v>26</v>
      </c>
      <c r="BJ1747">
        <v>30</v>
      </c>
      <c r="BK1747">
        <v>17</v>
      </c>
      <c r="BP1747" s="184"/>
    </row>
    <row r="1748" spans="1:68">
      <c r="A1748">
        <v>19401132</v>
      </c>
      <c r="B1748">
        <v>19401132</v>
      </c>
      <c r="C1748" t="s">
        <v>7018</v>
      </c>
      <c r="D1748" t="s">
        <v>595</v>
      </c>
      <c r="E1748" s="184">
        <v>43801</v>
      </c>
      <c r="G1748" s="184"/>
      <c r="I1748" s="184"/>
      <c r="K1748" s="184"/>
      <c r="O1748" s="184"/>
      <c r="P1748" t="s">
        <v>7045</v>
      </c>
      <c r="Q1748" t="s">
        <v>7030</v>
      </c>
      <c r="R1748" s="184">
        <v>19694</v>
      </c>
      <c r="S1748">
        <v>70</v>
      </c>
      <c r="U1748" t="s">
        <v>7130</v>
      </c>
      <c r="V1748" t="s">
        <v>3480</v>
      </c>
      <c r="X1748" t="s">
        <v>4368</v>
      </c>
      <c r="AF1748" t="s">
        <v>16929</v>
      </c>
      <c r="AG1748" t="s">
        <v>3480</v>
      </c>
      <c r="AI1748" t="s">
        <v>16930</v>
      </c>
      <c r="AM1748" t="s">
        <v>4369</v>
      </c>
      <c r="AN1748" t="s">
        <v>2089</v>
      </c>
      <c r="AO1748" t="s">
        <v>16931</v>
      </c>
      <c r="AP1748" t="s">
        <v>7024</v>
      </c>
      <c r="AQ1748" t="s">
        <v>16932</v>
      </c>
      <c r="AR1748" t="s">
        <v>16933</v>
      </c>
      <c r="AT1748" s="184">
        <v>34893</v>
      </c>
      <c r="AU1748" t="s">
        <v>16934</v>
      </c>
      <c r="AV1748">
        <v>15</v>
      </c>
      <c r="AW1748" s="184">
        <v>42800</v>
      </c>
      <c r="AX1748" t="s">
        <v>16935</v>
      </c>
      <c r="AY1748">
        <v>20</v>
      </c>
      <c r="AZ1748" s="184">
        <v>37090</v>
      </c>
      <c r="BA1748" t="s">
        <v>16936</v>
      </c>
      <c r="BB1748">
        <v>87</v>
      </c>
      <c r="BC1748">
        <v>47</v>
      </c>
      <c r="BD1748">
        <v>549</v>
      </c>
      <c r="BE1748">
        <v>1996</v>
      </c>
      <c r="BF1748">
        <v>16</v>
      </c>
      <c r="BI1748">
        <v>14</v>
      </c>
      <c r="BJ1748">
        <v>30</v>
      </c>
      <c r="BK1748">
        <v>5</v>
      </c>
      <c r="BN1748" t="s">
        <v>595</v>
      </c>
      <c r="BP1748" s="184"/>
    </row>
    <row r="1749" spans="1:68">
      <c r="A1749">
        <v>19405984</v>
      </c>
      <c r="B1749">
        <v>19405984</v>
      </c>
      <c r="C1749" t="s">
        <v>7018</v>
      </c>
      <c r="E1749" s="184"/>
      <c r="G1749" s="184"/>
      <c r="I1749" s="184"/>
      <c r="J1749" t="s">
        <v>595</v>
      </c>
      <c r="K1749" s="184">
        <v>43609</v>
      </c>
      <c r="M1749" s="184"/>
      <c r="P1749" t="s">
        <v>7084</v>
      </c>
      <c r="Q1749" t="s">
        <v>7020</v>
      </c>
      <c r="R1749" s="184">
        <v>16000</v>
      </c>
      <c r="S1749">
        <v>80</v>
      </c>
      <c r="U1749" t="s">
        <v>7076</v>
      </c>
      <c r="V1749" t="s">
        <v>3293</v>
      </c>
      <c r="W1749" t="s">
        <v>7046</v>
      </c>
      <c r="X1749" t="s">
        <v>16937</v>
      </c>
      <c r="AF1749" t="s">
        <v>6105</v>
      </c>
      <c r="AG1749" t="s">
        <v>3293</v>
      </c>
      <c r="AI1749" t="s">
        <v>16938</v>
      </c>
      <c r="AJ1749" t="s">
        <v>16939</v>
      </c>
      <c r="AM1749" t="s">
        <v>2722</v>
      </c>
      <c r="AN1749" t="s">
        <v>2240</v>
      </c>
      <c r="AO1749" t="s">
        <v>16940</v>
      </c>
      <c r="AP1749" t="s">
        <v>7024</v>
      </c>
      <c r="AT1749" s="184">
        <v>34894</v>
      </c>
      <c r="AU1749" t="s">
        <v>16941</v>
      </c>
      <c r="AV1749">
        <v>25</v>
      </c>
      <c r="AW1749" s="184">
        <v>44669</v>
      </c>
      <c r="AX1749" t="s">
        <v>7093</v>
      </c>
      <c r="AY1749">
        <v>55839.73</v>
      </c>
      <c r="AZ1749" s="184">
        <v>44669</v>
      </c>
      <c r="BA1749" t="s">
        <v>7093</v>
      </c>
      <c r="BB1749">
        <v>55839.73</v>
      </c>
      <c r="BC1749">
        <v>47</v>
      </c>
      <c r="BD1749">
        <v>61364.73</v>
      </c>
      <c r="BE1749">
        <v>1996</v>
      </c>
      <c r="BF1749">
        <v>16</v>
      </c>
      <c r="BG1749">
        <v>1</v>
      </c>
      <c r="BH1749">
        <v>55839.73</v>
      </c>
      <c r="BI1749">
        <v>14</v>
      </c>
      <c r="BJ1749">
        <v>30</v>
      </c>
      <c r="BK1749">
        <v>7</v>
      </c>
      <c r="BO1749" t="s">
        <v>595</v>
      </c>
      <c r="BP1749" s="184">
        <v>43534</v>
      </c>
    </row>
    <row r="1750" spans="1:68">
      <c r="A1750">
        <v>19410596</v>
      </c>
      <c r="B1750">
        <v>19410596</v>
      </c>
      <c r="C1750" t="s">
        <v>7018</v>
      </c>
      <c r="E1750" s="184"/>
      <c r="G1750" s="184"/>
      <c r="H1750" t="s">
        <v>595</v>
      </c>
      <c r="I1750" s="184">
        <v>44774</v>
      </c>
      <c r="K1750" s="184"/>
      <c r="O1750" s="184"/>
      <c r="P1750" t="s">
        <v>7045</v>
      </c>
      <c r="Q1750" t="s">
        <v>7383</v>
      </c>
      <c r="R1750" s="184">
        <v>18295</v>
      </c>
      <c r="S1750">
        <v>74</v>
      </c>
      <c r="U1750" t="s">
        <v>7076</v>
      </c>
      <c r="V1750" t="s">
        <v>16942</v>
      </c>
      <c r="W1750" t="s">
        <v>3332</v>
      </c>
      <c r="X1750" t="s">
        <v>16943</v>
      </c>
      <c r="Z1750">
        <v>100967211</v>
      </c>
      <c r="AA1750" t="s">
        <v>7031</v>
      </c>
      <c r="AB1750" t="s">
        <v>3373</v>
      </c>
      <c r="AC1750" t="s">
        <v>2963</v>
      </c>
      <c r="AD1750" t="s">
        <v>3247</v>
      </c>
      <c r="AF1750" t="s">
        <v>16944</v>
      </c>
      <c r="AG1750" t="s">
        <v>16945</v>
      </c>
      <c r="AI1750" t="s">
        <v>16946</v>
      </c>
      <c r="AM1750" t="s">
        <v>3390</v>
      </c>
      <c r="AN1750" t="s">
        <v>2144</v>
      </c>
      <c r="AO1750" t="s">
        <v>16947</v>
      </c>
      <c r="AP1750" t="s">
        <v>7024</v>
      </c>
      <c r="AT1750" s="184">
        <v>34897</v>
      </c>
      <c r="AU1750" t="s">
        <v>16948</v>
      </c>
      <c r="AV1750">
        <v>25</v>
      </c>
      <c r="AW1750" s="184">
        <v>44831</v>
      </c>
      <c r="AX1750" t="s">
        <v>11563</v>
      </c>
      <c r="AY1750">
        <v>25</v>
      </c>
      <c r="AZ1750" s="184">
        <v>43195</v>
      </c>
      <c r="BA1750" t="s">
        <v>16949</v>
      </c>
      <c r="BB1750">
        <v>60</v>
      </c>
      <c r="BC1750">
        <v>47</v>
      </c>
      <c r="BD1750">
        <v>410</v>
      </c>
      <c r="BE1750">
        <v>1996</v>
      </c>
      <c r="BF1750">
        <v>18</v>
      </c>
      <c r="BG1750">
        <v>1</v>
      </c>
      <c r="BH1750">
        <v>25</v>
      </c>
      <c r="BI1750">
        <v>14</v>
      </c>
      <c r="BJ1750">
        <v>30</v>
      </c>
      <c r="BK1750">
        <v>6</v>
      </c>
    </row>
    <row r="1751" spans="1:68">
      <c r="A1751">
        <v>100967211</v>
      </c>
      <c r="B1751">
        <v>19410596</v>
      </c>
      <c r="C1751" t="s">
        <v>7018</v>
      </c>
      <c r="E1751" s="184"/>
      <c r="G1751" s="184"/>
      <c r="H1751" t="s">
        <v>595</v>
      </c>
      <c r="I1751" s="184">
        <v>44774</v>
      </c>
      <c r="K1751" s="184"/>
      <c r="M1751" s="184"/>
      <c r="O1751" s="184"/>
      <c r="P1751" t="s">
        <v>7045</v>
      </c>
      <c r="Q1751" t="s">
        <v>7383</v>
      </c>
      <c r="R1751" s="184">
        <v>13881</v>
      </c>
      <c r="S1751">
        <v>86</v>
      </c>
      <c r="U1751" t="s">
        <v>7031</v>
      </c>
      <c r="V1751" t="s">
        <v>3373</v>
      </c>
      <c r="W1751" t="s">
        <v>2963</v>
      </c>
      <c r="X1751" t="s">
        <v>3247</v>
      </c>
      <c r="Z1751">
        <v>19410596</v>
      </c>
      <c r="AA1751" t="s">
        <v>7076</v>
      </c>
      <c r="AB1751" t="s">
        <v>16942</v>
      </c>
      <c r="AC1751" t="s">
        <v>3332</v>
      </c>
      <c r="AD1751" t="s">
        <v>16943</v>
      </c>
      <c r="AF1751" t="s">
        <v>16944</v>
      </c>
      <c r="AG1751" t="s">
        <v>16945</v>
      </c>
      <c r="AI1751" t="s">
        <v>16946</v>
      </c>
      <c r="AM1751" t="s">
        <v>3390</v>
      </c>
      <c r="AN1751" t="s">
        <v>2144</v>
      </c>
      <c r="AO1751" t="s">
        <v>16947</v>
      </c>
      <c r="AP1751" t="s">
        <v>7024</v>
      </c>
      <c r="AT1751" s="184"/>
      <c r="AW1751" s="184"/>
      <c r="AZ1751" s="184"/>
      <c r="BP1751" s="184"/>
    </row>
    <row r="1752" spans="1:68">
      <c r="A1752">
        <v>19436203</v>
      </c>
      <c r="B1752">
        <v>19436203</v>
      </c>
      <c r="C1752" t="s">
        <v>7018</v>
      </c>
      <c r="E1752" s="184"/>
      <c r="G1752" s="184"/>
      <c r="I1752" s="184"/>
      <c r="J1752" t="s">
        <v>595</v>
      </c>
      <c r="K1752" s="184">
        <v>39001</v>
      </c>
      <c r="O1752" s="184"/>
      <c r="P1752" t="s">
        <v>7045</v>
      </c>
      <c r="Q1752" t="s">
        <v>7020</v>
      </c>
      <c r="R1752" s="184">
        <v>17777</v>
      </c>
      <c r="S1752">
        <v>75</v>
      </c>
      <c r="U1752" t="s">
        <v>7076</v>
      </c>
      <c r="V1752" t="s">
        <v>3147</v>
      </c>
      <c r="W1752" t="s">
        <v>7407</v>
      </c>
      <c r="X1752" t="s">
        <v>2814</v>
      </c>
      <c r="AF1752" t="s">
        <v>6391</v>
      </c>
      <c r="AG1752" t="s">
        <v>3147</v>
      </c>
      <c r="AI1752" t="s">
        <v>16950</v>
      </c>
      <c r="AM1752" t="s">
        <v>3271</v>
      </c>
      <c r="AN1752" t="s">
        <v>2112</v>
      </c>
      <c r="AO1752" t="s">
        <v>16951</v>
      </c>
      <c r="AP1752" t="s">
        <v>7024</v>
      </c>
      <c r="AQ1752" t="s">
        <v>16952</v>
      </c>
      <c r="AR1752" t="s">
        <v>16953</v>
      </c>
      <c r="AT1752" s="184">
        <v>34897</v>
      </c>
      <c r="AU1752" t="s">
        <v>16954</v>
      </c>
      <c r="AV1752">
        <v>25</v>
      </c>
      <c r="AW1752" s="184">
        <v>45153</v>
      </c>
      <c r="AX1752" t="s">
        <v>16955</v>
      </c>
      <c r="AY1752">
        <v>36.75</v>
      </c>
      <c r="AZ1752" s="184">
        <v>39511</v>
      </c>
      <c r="BA1752" t="s">
        <v>16956</v>
      </c>
      <c r="BB1752">
        <v>90</v>
      </c>
      <c r="BC1752">
        <v>60</v>
      </c>
      <c r="BD1752">
        <v>1433.75</v>
      </c>
      <c r="BE1752">
        <v>1996</v>
      </c>
      <c r="BF1752">
        <v>37</v>
      </c>
      <c r="BG1752">
        <v>2</v>
      </c>
      <c r="BH1752">
        <v>86.75</v>
      </c>
      <c r="BI1752">
        <v>18</v>
      </c>
      <c r="BJ1752">
        <v>30</v>
      </c>
      <c r="BK1752">
        <v>6</v>
      </c>
    </row>
    <row r="1753" spans="1:68">
      <c r="A1753">
        <v>19437920</v>
      </c>
      <c r="B1753">
        <v>19437920</v>
      </c>
      <c r="C1753" t="s">
        <v>7018</v>
      </c>
      <c r="D1753" t="s">
        <v>595</v>
      </c>
      <c r="E1753" s="184">
        <v>44070</v>
      </c>
      <c r="I1753" s="184"/>
      <c r="K1753" s="184"/>
      <c r="M1753" s="184"/>
      <c r="P1753" t="s">
        <v>7045</v>
      </c>
      <c r="Q1753" t="s">
        <v>7262</v>
      </c>
      <c r="R1753" s="184">
        <v>9296</v>
      </c>
      <c r="S1753">
        <v>98</v>
      </c>
      <c r="U1753" t="s">
        <v>7031</v>
      </c>
      <c r="V1753" t="s">
        <v>16957</v>
      </c>
      <c r="W1753" t="s">
        <v>4013</v>
      </c>
      <c r="X1753" t="s">
        <v>16958</v>
      </c>
      <c r="AF1753" t="s">
        <v>16959</v>
      </c>
      <c r="AG1753" t="s">
        <v>16957</v>
      </c>
      <c r="AI1753" t="s">
        <v>16960</v>
      </c>
      <c r="AJ1753" t="s">
        <v>16961</v>
      </c>
      <c r="AM1753" t="s">
        <v>8599</v>
      </c>
      <c r="AN1753" t="s">
        <v>2106</v>
      </c>
      <c r="AO1753" t="s">
        <v>16962</v>
      </c>
      <c r="AP1753" t="s">
        <v>7024</v>
      </c>
      <c r="AQ1753" t="s">
        <v>16963</v>
      </c>
      <c r="AT1753" s="184">
        <v>34901</v>
      </c>
      <c r="AU1753" t="s">
        <v>16964</v>
      </c>
      <c r="AV1753">
        <v>35</v>
      </c>
      <c r="AW1753" s="184">
        <v>43528</v>
      </c>
      <c r="AX1753" t="s">
        <v>16965</v>
      </c>
      <c r="AY1753">
        <v>25</v>
      </c>
      <c r="AZ1753" s="184">
        <v>38909</v>
      </c>
      <c r="BA1753" t="s">
        <v>16966</v>
      </c>
      <c r="BB1753">
        <v>60</v>
      </c>
      <c r="BC1753">
        <v>70</v>
      </c>
      <c r="BD1753">
        <v>895</v>
      </c>
      <c r="BE1753">
        <v>1996</v>
      </c>
      <c r="BF1753">
        <v>30</v>
      </c>
      <c r="BI1753">
        <v>21</v>
      </c>
      <c r="BJ1753">
        <v>30</v>
      </c>
      <c r="BK1753">
        <v>12</v>
      </c>
      <c r="BN1753" t="s">
        <v>595</v>
      </c>
      <c r="BP1753" s="184"/>
    </row>
    <row r="1754" spans="1:68">
      <c r="A1754">
        <v>19447895</v>
      </c>
      <c r="B1754">
        <v>19447895</v>
      </c>
      <c r="C1754" t="s">
        <v>7018</v>
      </c>
      <c r="D1754" t="s">
        <v>595</v>
      </c>
      <c r="E1754" s="184">
        <v>43857</v>
      </c>
      <c r="I1754" s="184"/>
      <c r="K1754" s="184"/>
      <c r="M1754" s="184"/>
      <c r="P1754" t="s">
        <v>7045</v>
      </c>
      <c r="Q1754" t="s">
        <v>7160</v>
      </c>
      <c r="R1754" s="184">
        <v>20699</v>
      </c>
      <c r="S1754">
        <v>67</v>
      </c>
      <c r="U1754" t="s">
        <v>7032</v>
      </c>
      <c r="V1754" t="s">
        <v>2541</v>
      </c>
      <c r="W1754" t="s">
        <v>3830</v>
      </c>
      <c r="X1754" t="s">
        <v>4553</v>
      </c>
      <c r="AF1754" t="s">
        <v>16967</v>
      </c>
      <c r="AG1754" t="s">
        <v>2541</v>
      </c>
      <c r="AI1754" t="s">
        <v>16968</v>
      </c>
      <c r="AM1754" t="s">
        <v>4554</v>
      </c>
      <c r="AN1754" t="s">
        <v>2176</v>
      </c>
      <c r="AO1754" t="s">
        <v>16969</v>
      </c>
      <c r="AP1754" t="s">
        <v>7024</v>
      </c>
      <c r="AQ1754" t="s">
        <v>16970</v>
      </c>
      <c r="AT1754" s="184">
        <v>34900</v>
      </c>
      <c r="AU1754" t="s">
        <v>16971</v>
      </c>
      <c r="AV1754">
        <v>20</v>
      </c>
      <c r="AW1754" s="184">
        <v>45247</v>
      </c>
      <c r="AX1754" t="s">
        <v>7168</v>
      </c>
      <c r="AY1754">
        <v>35</v>
      </c>
      <c r="AZ1754" s="184">
        <v>45247</v>
      </c>
      <c r="BA1754" t="s">
        <v>7168</v>
      </c>
      <c r="BB1754">
        <v>35</v>
      </c>
      <c r="BC1754">
        <v>77</v>
      </c>
      <c r="BD1754">
        <v>960</v>
      </c>
      <c r="BE1754">
        <v>1996</v>
      </c>
      <c r="BF1754">
        <v>31</v>
      </c>
      <c r="BG1754">
        <v>3</v>
      </c>
      <c r="BH1754">
        <v>95</v>
      </c>
      <c r="BI1754">
        <v>23</v>
      </c>
      <c r="BJ1754">
        <v>30</v>
      </c>
      <c r="BK1754">
        <v>8</v>
      </c>
    </row>
    <row r="1755" spans="1:68">
      <c r="A1755">
        <v>19450394</v>
      </c>
      <c r="B1755">
        <v>19450394</v>
      </c>
      <c r="C1755" t="s">
        <v>7018</v>
      </c>
      <c r="D1755" t="s">
        <v>595</v>
      </c>
      <c r="E1755" s="184">
        <v>44207</v>
      </c>
      <c r="I1755" s="184"/>
      <c r="K1755" s="184"/>
      <c r="M1755" s="184"/>
      <c r="O1755" s="184"/>
      <c r="P1755" t="s">
        <v>7045</v>
      </c>
      <c r="Q1755" t="s">
        <v>7383</v>
      </c>
      <c r="R1755" s="184">
        <v>16225</v>
      </c>
      <c r="S1755">
        <v>79</v>
      </c>
      <c r="U1755" t="s">
        <v>7076</v>
      </c>
      <c r="V1755" t="s">
        <v>3101</v>
      </c>
      <c r="W1755" t="s">
        <v>4327</v>
      </c>
      <c r="X1755" t="s">
        <v>2772</v>
      </c>
      <c r="AF1755" t="s">
        <v>16972</v>
      </c>
      <c r="AG1755" t="s">
        <v>3101</v>
      </c>
      <c r="AI1755" t="s">
        <v>16973</v>
      </c>
      <c r="AM1755" t="s">
        <v>16974</v>
      </c>
      <c r="AN1755" t="s">
        <v>2139</v>
      </c>
      <c r="AO1755" t="s">
        <v>16975</v>
      </c>
      <c r="AP1755" t="s">
        <v>7024</v>
      </c>
      <c r="AQ1755" t="s">
        <v>16976</v>
      </c>
      <c r="AT1755" s="184">
        <v>34900</v>
      </c>
      <c r="AU1755" t="s">
        <v>16977</v>
      </c>
      <c r="AV1755">
        <v>25</v>
      </c>
      <c r="AW1755" s="184">
        <v>44561</v>
      </c>
      <c r="AX1755" t="s">
        <v>16978</v>
      </c>
      <c r="AY1755">
        <v>75</v>
      </c>
      <c r="AZ1755" s="184">
        <v>44561</v>
      </c>
      <c r="BA1755" t="s">
        <v>16978</v>
      </c>
      <c r="BB1755">
        <v>75</v>
      </c>
      <c r="BC1755">
        <v>54</v>
      </c>
      <c r="BD1755">
        <v>805</v>
      </c>
      <c r="BE1755">
        <v>1996</v>
      </c>
      <c r="BF1755">
        <v>18</v>
      </c>
      <c r="BI1755">
        <v>16</v>
      </c>
      <c r="BJ1755">
        <v>30</v>
      </c>
      <c r="BK1755">
        <v>6</v>
      </c>
      <c r="BP1755" s="184"/>
    </row>
    <row r="1756" spans="1:68">
      <c r="A1756">
        <v>19479187</v>
      </c>
      <c r="B1756">
        <v>19479187</v>
      </c>
      <c r="C1756" t="s">
        <v>7018</v>
      </c>
      <c r="E1756" s="184"/>
      <c r="G1756" s="184"/>
      <c r="I1756" s="184"/>
      <c r="J1756" t="s">
        <v>595</v>
      </c>
      <c r="K1756" s="184">
        <v>38243</v>
      </c>
      <c r="P1756" t="s">
        <v>7045</v>
      </c>
      <c r="Q1756" t="s">
        <v>7374</v>
      </c>
      <c r="R1756" s="184">
        <v>14284</v>
      </c>
      <c r="S1756">
        <v>85</v>
      </c>
      <c r="U1756" t="s">
        <v>7031</v>
      </c>
      <c r="V1756" t="s">
        <v>3165</v>
      </c>
      <c r="W1756" t="s">
        <v>7560</v>
      </c>
      <c r="X1756" t="s">
        <v>16979</v>
      </c>
      <c r="Z1756">
        <v>100053128</v>
      </c>
      <c r="AA1756" t="s">
        <v>7130</v>
      </c>
      <c r="AB1756" t="s">
        <v>3235</v>
      </c>
      <c r="AD1756" t="s">
        <v>16979</v>
      </c>
      <c r="AF1756" t="s">
        <v>16980</v>
      </c>
      <c r="AG1756" t="s">
        <v>16981</v>
      </c>
      <c r="AI1756" t="s">
        <v>16982</v>
      </c>
      <c r="AM1756" t="s">
        <v>3434</v>
      </c>
      <c r="AN1756" t="s">
        <v>2081</v>
      </c>
      <c r="AO1756" t="s">
        <v>16983</v>
      </c>
      <c r="AP1756" t="s">
        <v>7024</v>
      </c>
      <c r="AQ1756" t="s">
        <v>16984</v>
      </c>
      <c r="AR1756" t="s">
        <v>16985</v>
      </c>
      <c r="AT1756" s="184">
        <v>34906</v>
      </c>
      <c r="AU1756" t="s">
        <v>16986</v>
      </c>
      <c r="AV1756">
        <v>25</v>
      </c>
      <c r="AW1756" s="184">
        <v>45397</v>
      </c>
      <c r="AX1756" t="s">
        <v>7429</v>
      </c>
      <c r="AY1756">
        <v>25</v>
      </c>
      <c r="AZ1756" s="184">
        <v>43768</v>
      </c>
      <c r="BA1756" t="s">
        <v>16987</v>
      </c>
      <c r="BB1756">
        <v>75</v>
      </c>
      <c r="BC1756">
        <v>100</v>
      </c>
      <c r="BD1756">
        <v>3712</v>
      </c>
      <c r="BE1756">
        <v>1996</v>
      </c>
      <c r="BF1756">
        <v>105</v>
      </c>
      <c r="BG1756">
        <v>10</v>
      </c>
      <c r="BH1756">
        <v>325</v>
      </c>
      <c r="BI1756">
        <v>30</v>
      </c>
      <c r="BJ1756">
        <v>30</v>
      </c>
      <c r="BK1756">
        <v>30</v>
      </c>
      <c r="BP1756" s="184"/>
    </row>
    <row r="1757" spans="1:68">
      <c r="A1757">
        <v>100053128</v>
      </c>
      <c r="B1757">
        <v>19479187</v>
      </c>
      <c r="C1757" t="s">
        <v>7018</v>
      </c>
      <c r="E1757" s="184"/>
      <c r="G1757" s="184"/>
      <c r="I1757" s="184"/>
      <c r="J1757" t="s">
        <v>595</v>
      </c>
      <c r="K1757" s="184">
        <v>38243</v>
      </c>
      <c r="M1757" s="184"/>
      <c r="O1757" s="184"/>
      <c r="P1757" t="s">
        <v>7045</v>
      </c>
      <c r="Q1757" t="s">
        <v>7374</v>
      </c>
      <c r="R1757" s="184">
        <v>15255</v>
      </c>
      <c r="S1757">
        <v>82</v>
      </c>
      <c r="U1757" t="s">
        <v>7130</v>
      </c>
      <c r="V1757" t="s">
        <v>3235</v>
      </c>
      <c r="X1757" t="s">
        <v>16979</v>
      </c>
      <c r="Z1757">
        <v>19479187</v>
      </c>
      <c r="AA1757" t="s">
        <v>7031</v>
      </c>
      <c r="AB1757" t="s">
        <v>3165</v>
      </c>
      <c r="AC1757" t="s">
        <v>7560</v>
      </c>
      <c r="AD1757" t="s">
        <v>16979</v>
      </c>
      <c r="AF1757" t="s">
        <v>16980</v>
      </c>
      <c r="AG1757" t="s">
        <v>16981</v>
      </c>
      <c r="AI1757" t="s">
        <v>16982</v>
      </c>
      <c r="AM1757" t="s">
        <v>3434</v>
      </c>
      <c r="AN1757" t="s">
        <v>2081</v>
      </c>
      <c r="AO1757" t="s">
        <v>16983</v>
      </c>
      <c r="AP1757" t="s">
        <v>7024</v>
      </c>
      <c r="AT1757" s="184"/>
      <c r="AW1757" s="184"/>
      <c r="AZ1757" s="184"/>
      <c r="BP1757" s="184"/>
    </row>
    <row r="1758" spans="1:68">
      <c r="A1758">
        <v>19481845</v>
      </c>
      <c r="B1758">
        <v>19481845</v>
      </c>
      <c r="C1758" t="s">
        <v>7018</v>
      </c>
      <c r="D1758" t="s">
        <v>595</v>
      </c>
      <c r="E1758" s="184">
        <v>44104</v>
      </c>
      <c r="G1758" s="184"/>
      <c r="I1758" s="184"/>
      <c r="K1758" s="184"/>
      <c r="M1758" s="184"/>
      <c r="O1758" s="184"/>
      <c r="P1758" t="s">
        <v>7045</v>
      </c>
      <c r="Q1758" t="s">
        <v>7383</v>
      </c>
      <c r="R1758" s="184">
        <v>24198</v>
      </c>
      <c r="S1758">
        <v>58</v>
      </c>
      <c r="V1758" t="s">
        <v>16988</v>
      </c>
      <c r="X1758" t="s">
        <v>16989</v>
      </c>
      <c r="Z1758">
        <v>100053136</v>
      </c>
      <c r="AB1758" t="s">
        <v>16990</v>
      </c>
      <c r="AD1758" t="s">
        <v>16989</v>
      </c>
      <c r="AF1758" t="s">
        <v>16991</v>
      </c>
      <c r="AG1758" t="s">
        <v>16992</v>
      </c>
      <c r="AI1758" t="s">
        <v>16993</v>
      </c>
      <c r="AM1758" t="s">
        <v>2823</v>
      </c>
      <c r="AN1758" t="s">
        <v>2059</v>
      </c>
      <c r="AO1758" t="s">
        <v>16994</v>
      </c>
      <c r="AP1758" t="s">
        <v>7024</v>
      </c>
      <c r="AT1758" s="184">
        <v>34907</v>
      </c>
      <c r="AU1758" t="s">
        <v>16995</v>
      </c>
      <c r="AV1758">
        <v>15</v>
      </c>
      <c r="AW1758" s="184">
        <v>45384</v>
      </c>
      <c r="AX1758" t="s">
        <v>9421</v>
      </c>
      <c r="AY1758">
        <v>35</v>
      </c>
      <c r="AZ1758" s="184">
        <v>45384</v>
      </c>
      <c r="BA1758" t="s">
        <v>9421</v>
      </c>
      <c r="BB1758">
        <v>35</v>
      </c>
      <c r="BC1758">
        <v>100</v>
      </c>
      <c r="BD1758">
        <v>1455</v>
      </c>
      <c r="BE1758">
        <v>1996</v>
      </c>
      <c r="BF1758">
        <v>52</v>
      </c>
      <c r="BG1758">
        <v>4</v>
      </c>
      <c r="BH1758">
        <v>120</v>
      </c>
      <c r="BI1758">
        <v>30</v>
      </c>
      <c r="BJ1758">
        <v>30</v>
      </c>
      <c r="BK1758">
        <v>30</v>
      </c>
    </row>
    <row r="1759" spans="1:68">
      <c r="A1759">
        <v>100053136</v>
      </c>
      <c r="B1759">
        <v>19481845</v>
      </c>
      <c r="C1759" t="s">
        <v>7018</v>
      </c>
      <c r="D1759" t="s">
        <v>595</v>
      </c>
      <c r="E1759" s="184">
        <v>44104</v>
      </c>
      <c r="G1759" s="184"/>
      <c r="I1759" s="184"/>
      <c r="K1759" s="184"/>
      <c r="M1759" s="184"/>
      <c r="O1759" s="184"/>
      <c r="P1759" t="s">
        <v>7045</v>
      </c>
      <c r="Q1759" t="s">
        <v>7383</v>
      </c>
      <c r="R1759" s="184">
        <v>21671</v>
      </c>
      <c r="S1759">
        <v>65</v>
      </c>
      <c r="V1759" t="s">
        <v>16990</v>
      </c>
      <c r="X1759" t="s">
        <v>16989</v>
      </c>
      <c r="Z1759">
        <v>19481845</v>
      </c>
      <c r="AB1759" t="s">
        <v>16988</v>
      </c>
      <c r="AD1759" t="s">
        <v>16989</v>
      </c>
      <c r="AF1759" t="s">
        <v>16991</v>
      </c>
      <c r="AG1759" t="s">
        <v>16992</v>
      </c>
      <c r="AI1759" t="s">
        <v>16993</v>
      </c>
      <c r="AM1759" t="s">
        <v>2823</v>
      </c>
      <c r="AN1759" t="s">
        <v>2059</v>
      </c>
      <c r="AO1759" t="s">
        <v>16994</v>
      </c>
      <c r="AP1759" t="s">
        <v>7024</v>
      </c>
      <c r="AT1759" s="184"/>
      <c r="AW1759" s="184"/>
      <c r="AZ1759" s="184"/>
      <c r="BP1759" s="184"/>
    </row>
    <row r="1760" spans="1:68">
      <c r="A1760">
        <v>19484351</v>
      </c>
      <c r="B1760">
        <v>19484351</v>
      </c>
      <c r="C1760" t="s">
        <v>7018</v>
      </c>
      <c r="D1760" t="s">
        <v>595</v>
      </c>
      <c r="E1760" s="184">
        <v>43647</v>
      </c>
      <c r="G1760" s="184"/>
      <c r="I1760" s="184"/>
      <c r="K1760" s="184"/>
      <c r="M1760" s="184"/>
      <c r="O1760" s="184"/>
      <c r="P1760" t="s">
        <v>7045</v>
      </c>
      <c r="Q1760" t="s">
        <v>7262</v>
      </c>
      <c r="R1760" s="184">
        <v>12816</v>
      </c>
      <c r="S1760">
        <v>89</v>
      </c>
      <c r="U1760" t="s">
        <v>7032</v>
      </c>
      <c r="V1760" t="s">
        <v>2832</v>
      </c>
      <c r="W1760" t="s">
        <v>7246</v>
      </c>
      <c r="X1760" t="s">
        <v>3525</v>
      </c>
      <c r="Z1760">
        <v>100053142</v>
      </c>
      <c r="AA1760" t="s">
        <v>7130</v>
      </c>
      <c r="AB1760" t="s">
        <v>2523</v>
      </c>
      <c r="AD1760" t="s">
        <v>3525</v>
      </c>
      <c r="AF1760" t="s">
        <v>16996</v>
      </c>
      <c r="AG1760" t="s">
        <v>16997</v>
      </c>
      <c r="AI1760" t="s">
        <v>16998</v>
      </c>
      <c r="AM1760" t="s">
        <v>3526</v>
      </c>
      <c r="AN1760" t="s">
        <v>2106</v>
      </c>
      <c r="AO1760" t="s">
        <v>16999</v>
      </c>
      <c r="AP1760" t="s">
        <v>7024</v>
      </c>
      <c r="AQ1760" t="s">
        <v>17000</v>
      </c>
      <c r="AT1760" s="184">
        <v>34907</v>
      </c>
      <c r="AU1760" t="s">
        <v>17001</v>
      </c>
      <c r="AV1760">
        <v>25</v>
      </c>
      <c r="AW1760" s="184">
        <v>45033</v>
      </c>
      <c r="AX1760" t="s">
        <v>17002</v>
      </c>
      <c r="AY1760">
        <v>35</v>
      </c>
      <c r="AZ1760" s="184">
        <v>39181</v>
      </c>
      <c r="BA1760" t="s">
        <v>17003</v>
      </c>
      <c r="BB1760">
        <v>150</v>
      </c>
      <c r="BC1760">
        <v>97</v>
      </c>
      <c r="BD1760">
        <v>2430</v>
      </c>
      <c r="BE1760">
        <v>1996</v>
      </c>
      <c r="BF1760">
        <v>69</v>
      </c>
      <c r="BG1760">
        <v>2</v>
      </c>
      <c r="BH1760">
        <v>65</v>
      </c>
      <c r="BI1760">
        <v>29</v>
      </c>
      <c r="BJ1760">
        <v>30</v>
      </c>
      <c r="BK1760">
        <v>29</v>
      </c>
      <c r="BP1760" s="184"/>
    </row>
    <row r="1761" spans="1:68">
      <c r="A1761">
        <v>100053142</v>
      </c>
      <c r="B1761">
        <v>19484351</v>
      </c>
      <c r="C1761" t="s">
        <v>7018</v>
      </c>
      <c r="D1761" t="s">
        <v>595</v>
      </c>
      <c r="E1761" s="184">
        <v>43647</v>
      </c>
      <c r="G1761" s="184"/>
      <c r="I1761" s="184"/>
      <c r="K1761" s="184"/>
      <c r="M1761" s="184"/>
      <c r="O1761" s="184"/>
      <c r="P1761" t="s">
        <v>7045</v>
      </c>
      <c r="Q1761" t="s">
        <v>7262</v>
      </c>
      <c r="R1761" s="184">
        <v>10594</v>
      </c>
      <c r="S1761">
        <v>95</v>
      </c>
      <c r="U1761" t="s">
        <v>7130</v>
      </c>
      <c r="V1761" t="s">
        <v>2523</v>
      </c>
      <c r="X1761" t="s">
        <v>3525</v>
      </c>
      <c r="Z1761">
        <v>19484351</v>
      </c>
      <c r="AA1761" t="s">
        <v>7032</v>
      </c>
      <c r="AB1761" t="s">
        <v>2832</v>
      </c>
      <c r="AC1761" t="s">
        <v>7246</v>
      </c>
      <c r="AD1761" t="s">
        <v>3525</v>
      </c>
      <c r="AF1761" t="s">
        <v>16996</v>
      </c>
      <c r="AG1761" t="s">
        <v>16997</v>
      </c>
      <c r="AI1761" t="s">
        <v>16998</v>
      </c>
      <c r="AM1761" t="s">
        <v>3526</v>
      </c>
      <c r="AN1761" t="s">
        <v>2106</v>
      </c>
      <c r="AO1761" t="s">
        <v>16999</v>
      </c>
      <c r="AP1761" t="s">
        <v>7024</v>
      </c>
      <c r="AT1761" s="184"/>
      <c r="AW1761" s="184"/>
      <c r="AZ1761" s="184"/>
    </row>
    <row r="1762" spans="1:68">
      <c r="A1762">
        <v>19499987</v>
      </c>
      <c r="B1762">
        <v>19499987</v>
      </c>
      <c r="C1762" t="s">
        <v>7018</v>
      </c>
      <c r="D1762" t="s">
        <v>595</v>
      </c>
      <c r="E1762" s="184">
        <v>45195</v>
      </c>
      <c r="G1762" s="184"/>
      <c r="I1762" s="184"/>
      <c r="K1762" s="184"/>
      <c r="M1762" s="184"/>
      <c r="O1762" s="184"/>
      <c r="P1762" t="s">
        <v>7045</v>
      </c>
      <c r="Q1762" t="s">
        <v>7383</v>
      </c>
      <c r="R1762" s="184">
        <v>22469</v>
      </c>
      <c r="S1762">
        <v>62</v>
      </c>
      <c r="U1762" t="s">
        <v>7076</v>
      </c>
      <c r="V1762" t="s">
        <v>3131</v>
      </c>
      <c r="X1762" t="s">
        <v>12752</v>
      </c>
      <c r="AF1762" t="s">
        <v>17004</v>
      </c>
      <c r="AG1762" t="s">
        <v>3131</v>
      </c>
      <c r="AI1762" t="s">
        <v>17005</v>
      </c>
      <c r="AM1762" t="s">
        <v>17006</v>
      </c>
      <c r="AN1762" t="s">
        <v>2185</v>
      </c>
      <c r="AO1762" t="s">
        <v>17007</v>
      </c>
      <c r="AP1762" t="s">
        <v>7024</v>
      </c>
      <c r="AQ1762" t="s">
        <v>17008</v>
      </c>
      <c r="AT1762" s="184">
        <v>34913</v>
      </c>
      <c r="AU1762" t="s">
        <v>17009</v>
      </c>
      <c r="AV1762">
        <v>25</v>
      </c>
      <c r="AW1762" s="184">
        <v>45411</v>
      </c>
      <c r="AX1762" t="s">
        <v>17010</v>
      </c>
      <c r="AY1762">
        <v>25</v>
      </c>
      <c r="AZ1762" s="184">
        <v>37307</v>
      </c>
      <c r="BA1762" t="s">
        <v>17011</v>
      </c>
      <c r="BB1762">
        <v>30</v>
      </c>
      <c r="BC1762">
        <v>54</v>
      </c>
      <c r="BD1762">
        <v>455</v>
      </c>
      <c r="BE1762">
        <v>1996</v>
      </c>
      <c r="BF1762">
        <v>20</v>
      </c>
      <c r="BG1762">
        <v>2</v>
      </c>
      <c r="BH1762">
        <v>50</v>
      </c>
      <c r="BI1762">
        <v>16</v>
      </c>
      <c r="BJ1762">
        <v>30</v>
      </c>
      <c r="BK1762">
        <v>10</v>
      </c>
      <c r="BP1762" s="184"/>
    </row>
    <row r="1763" spans="1:68">
      <c r="A1763">
        <v>19500230</v>
      </c>
      <c r="B1763">
        <v>19500230</v>
      </c>
      <c r="C1763" t="s">
        <v>7018</v>
      </c>
      <c r="E1763" s="184"/>
      <c r="G1763" s="184"/>
      <c r="I1763" s="184"/>
      <c r="J1763" t="s">
        <v>595</v>
      </c>
      <c r="K1763" s="184">
        <v>44568</v>
      </c>
      <c r="M1763" s="184"/>
      <c r="O1763" s="184"/>
      <c r="P1763" t="s">
        <v>7045</v>
      </c>
      <c r="Q1763" t="s">
        <v>7262</v>
      </c>
      <c r="R1763" s="184">
        <v>20032</v>
      </c>
      <c r="S1763">
        <v>69</v>
      </c>
      <c r="U1763" t="s">
        <v>7031</v>
      </c>
      <c r="V1763" t="s">
        <v>3103</v>
      </c>
      <c r="W1763" t="s">
        <v>7407</v>
      </c>
      <c r="X1763" t="s">
        <v>17012</v>
      </c>
      <c r="AF1763" t="s">
        <v>17013</v>
      </c>
      <c r="AG1763" t="s">
        <v>3103</v>
      </c>
      <c r="AI1763" t="s">
        <v>17014</v>
      </c>
      <c r="AM1763" t="s">
        <v>17015</v>
      </c>
      <c r="AN1763" t="s">
        <v>2069</v>
      </c>
      <c r="AO1763" t="s">
        <v>17016</v>
      </c>
      <c r="AP1763" t="s">
        <v>7024</v>
      </c>
      <c r="AQ1763" t="s">
        <v>17017</v>
      </c>
      <c r="AR1763" t="s">
        <v>17018</v>
      </c>
      <c r="AT1763" s="184">
        <v>34914</v>
      </c>
      <c r="AU1763" t="s">
        <v>17019</v>
      </c>
      <c r="AV1763">
        <v>15</v>
      </c>
      <c r="AW1763" s="184">
        <v>43465</v>
      </c>
      <c r="AX1763" t="s">
        <v>17020</v>
      </c>
      <c r="AY1763">
        <v>100</v>
      </c>
      <c r="AZ1763" s="184">
        <v>42734</v>
      </c>
      <c r="BA1763" t="s">
        <v>17021</v>
      </c>
      <c r="BB1763">
        <v>300</v>
      </c>
      <c r="BC1763">
        <v>40</v>
      </c>
      <c r="BD1763">
        <v>1000</v>
      </c>
      <c r="BE1763">
        <v>1996</v>
      </c>
      <c r="BF1763">
        <v>13</v>
      </c>
      <c r="BI1763">
        <v>12</v>
      </c>
      <c r="BJ1763">
        <v>30</v>
      </c>
      <c r="BK1763">
        <v>3</v>
      </c>
    </row>
    <row r="1764" spans="1:68">
      <c r="A1764">
        <v>19514868</v>
      </c>
      <c r="B1764">
        <v>19514868</v>
      </c>
      <c r="C1764" t="s">
        <v>7018</v>
      </c>
      <c r="D1764" t="s">
        <v>595</v>
      </c>
      <c r="E1764" s="184">
        <v>44168</v>
      </c>
      <c r="G1764" s="184"/>
      <c r="I1764" s="184"/>
      <c r="K1764" s="184"/>
      <c r="M1764" s="184"/>
      <c r="O1764" s="184"/>
      <c r="P1764" t="s">
        <v>7045</v>
      </c>
      <c r="Q1764" t="s">
        <v>7160</v>
      </c>
      <c r="R1764" s="184">
        <v>15085</v>
      </c>
      <c r="S1764">
        <v>83</v>
      </c>
      <c r="U1764" t="s">
        <v>7076</v>
      </c>
      <c r="V1764" t="s">
        <v>17022</v>
      </c>
      <c r="W1764" t="s">
        <v>3951</v>
      </c>
      <c r="X1764" t="s">
        <v>4377</v>
      </c>
      <c r="AF1764" t="s">
        <v>17023</v>
      </c>
      <c r="AG1764" t="s">
        <v>17022</v>
      </c>
      <c r="AI1764" t="s">
        <v>17024</v>
      </c>
      <c r="AM1764" t="s">
        <v>17025</v>
      </c>
      <c r="AN1764" t="s">
        <v>2176</v>
      </c>
      <c r="AO1764" t="s">
        <v>17026</v>
      </c>
      <c r="AP1764" t="s">
        <v>7024</v>
      </c>
      <c r="AT1764" s="184">
        <v>34921</v>
      </c>
      <c r="AU1764" t="s">
        <v>17027</v>
      </c>
      <c r="AV1764">
        <v>25</v>
      </c>
      <c r="AW1764" s="184">
        <v>44489</v>
      </c>
      <c r="AX1764" t="s">
        <v>14121</v>
      </c>
      <c r="AY1764">
        <v>25</v>
      </c>
      <c r="AZ1764" s="184">
        <v>35446</v>
      </c>
      <c r="BA1764" t="s">
        <v>17028</v>
      </c>
      <c r="BB1764">
        <v>108</v>
      </c>
      <c r="BC1764">
        <v>90</v>
      </c>
      <c r="BD1764">
        <v>1593</v>
      </c>
      <c r="BE1764">
        <v>1996</v>
      </c>
      <c r="BF1764">
        <v>64</v>
      </c>
      <c r="BI1764">
        <v>27</v>
      </c>
      <c r="BJ1764">
        <v>30</v>
      </c>
      <c r="BK1764">
        <v>27</v>
      </c>
    </row>
    <row r="1765" spans="1:68">
      <c r="A1765">
        <v>19517952</v>
      </c>
      <c r="B1765">
        <v>19517952</v>
      </c>
      <c r="C1765" t="s">
        <v>7018</v>
      </c>
      <c r="E1765" s="184"/>
      <c r="G1765" s="184"/>
      <c r="I1765" s="184"/>
      <c r="J1765" t="s">
        <v>595</v>
      </c>
      <c r="K1765" s="184">
        <v>38226</v>
      </c>
      <c r="M1765" s="184"/>
      <c r="O1765" s="184"/>
      <c r="P1765" t="s">
        <v>7045</v>
      </c>
      <c r="Q1765" t="s">
        <v>7160</v>
      </c>
      <c r="R1765" s="184">
        <v>15965</v>
      </c>
      <c r="S1765">
        <v>80</v>
      </c>
      <c r="U1765" t="s">
        <v>7237</v>
      </c>
      <c r="V1765" t="s">
        <v>3632</v>
      </c>
      <c r="W1765" t="s">
        <v>7246</v>
      </c>
      <c r="X1765" t="s">
        <v>17029</v>
      </c>
      <c r="AF1765" t="s">
        <v>17030</v>
      </c>
      <c r="AG1765" t="s">
        <v>3632</v>
      </c>
      <c r="AI1765" t="s">
        <v>17031</v>
      </c>
      <c r="AM1765" t="s">
        <v>5756</v>
      </c>
      <c r="AN1765" t="s">
        <v>2675</v>
      </c>
      <c r="AO1765" t="s">
        <v>17032</v>
      </c>
      <c r="AP1765" t="s">
        <v>7024</v>
      </c>
      <c r="AT1765" s="184">
        <v>34921</v>
      </c>
      <c r="AU1765" t="s">
        <v>17033</v>
      </c>
      <c r="AV1765">
        <v>15</v>
      </c>
      <c r="AW1765" s="184">
        <v>45372</v>
      </c>
      <c r="AX1765" t="s">
        <v>17034</v>
      </c>
      <c r="AY1765">
        <v>50</v>
      </c>
      <c r="AZ1765" s="184">
        <v>44854</v>
      </c>
      <c r="BA1765" t="s">
        <v>17035</v>
      </c>
      <c r="BB1765">
        <v>100</v>
      </c>
      <c r="BC1765">
        <v>87</v>
      </c>
      <c r="BD1765">
        <v>1377</v>
      </c>
      <c r="BE1765">
        <v>1996</v>
      </c>
      <c r="BF1765">
        <v>52</v>
      </c>
      <c r="BG1765">
        <v>3</v>
      </c>
      <c r="BH1765">
        <v>225</v>
      </c>
      <c r="BI1765">
        <v>26</v>
      </c>
      <c r="BJ1765">
        <v>30</v>
      </c>
      <c r="BK1765">
        <v>17</v>
      </c>
      <c r="BP1765" s="184"/>
    </row>
    <row r="1766" spans="1:68">
      <c r="A1766">
        <v>19537117</v>
      </c>
      <c r="B1766">
        <v>19537117</v>
      </c>
      <c r="C1766" t="s">
        <v>7018</v>
      </c>
      <c r="D1766" t="s">
        <v>595</v>
      </c>
      <c r="E1766" s="184">
        <v>43696</v>
      </c>
      <c r="G1766" s="184"/>
      <c r="I1766" s="184"/>
      <c r="K1766" s="184"/>
      <c r="M1766" s="184"/>
      <c r="O1766" s="184"/>
      <c r="P1766" t="s">
        <v>7045</v>
      </c>
      <c r="Q1766" t="s">
        <v>7160</v>
      </c>
      <c r="R1766" s="184">
        <v>17228</v>
      </c>
      <c r="S1766">
        <v>77</v>
      </c>
      <c r="U1766" t="s">
        <v>7031</v>
      </c>
      <c r="V1766" t="s">
        <v>2982</v>
      </c>
      <c r="W1766" t="s">
        <v>7268</v>
      </c>
      <c r="X1766" t="s">
        <v>3743</v>
      </c>
      <c r="Z1766">
        <v>100053309</v>
      </c>
      <c r="AA1766" t="s">
        <v>7130</v>
      </c>
      <c r="AB1766" t="s">
        <v>3580</v>
      </c>
      <c r="AD1766" t="s">
        <v>3743</v>
      </c>
      <c r="AF1766" t="s">
        <v>17036</v>
      </c>
      <c r="AG1766" t="s">
        <v>17037</v>
      </c>
      <c r="AI1766" t="s">
        <v>17038</v>
      </c>
      <c r="AM1766" t="s">
        <v>17039</v>
      </c>
      <c r="AN1766" t="s">
        <v>2176</v>
      </c>
      <c r="AO1766" t="s">
        <v>17040</v>
      </c>
      <c r="AP1766" t="s">
        <v>7024</v>
      </c>
      <c r="AQ1766" t="s">
        <v>17041</v>
      </c>
      <c r="AR1766" t="s">
        <v>17042</v>
      </c>
      <c r="AT1766" s="184">
        <v>34925</v>
      </c>
      <c r="AU1766" t="s">
        <v>17043</v>
      </c>
      <c r="AV1766">
        <v>50</v>
      </c>
      <c r="AW1766" s="184">
        <v>44894</v>
      </c>
      <c r="AX1766" t="s">
        <v>17044</v>
      </c>
      <c r="AY1766">
        <v>50</v>
      </c>
      <c r="AZ1766" s="184">
        <v>38842</v>
      </c>
      <c r="BA1766" t="s">
        <v>17045</v>
      </c>
      <c r="BB1766">
        <v>125</v>
      </c>
      <c r="BC1766">
        <v>70</v>
      </c>
      <c r="BD1766">
        <v>2060</v>
      </c>
      <c r="BE1766">
        <v>1996</v>
      </c>
      <c r="BF1766">
        <v>66</v>
      </c>
      <c r="BG1766">
        <v>1</v>
      </c>
      <c r="BH1766">
        <v>50</v>
      </c>
      <c r="BI1766">
        <v>21</v>
      </c>
      <c r="BJ1766">
        <v>30</v>
      </c>
      <c r="BK1766">
        <v>14</v>
      </c>
      <c r="BP1766" s="184"/>
    </row>
    <row r="1767" spans="1:68">
      <c r="A1767">
        <v>100053309</v>
      </c>
      <c r="B1767">
        <v>19537117</v>
      </c>
      <c r="C1767" t="s">
        <v>7018</v>
      </c>
      <c r="D1767" t="s">
        <v>595</v>
      </c>
      <c r="E1767" s="184">
        <v>43696</v>
      </c>
      <c r="G1767" s="184"/>
      <c r="I1767" s="184"/>
      <c r="K1767" s="184"/>
      <c r="M1767" s="184"/>
      <c r="O1767" s="184"/>
      <c r="P1767" t="s">
        <v>7045</v>
      </c>
      <c r="Q1767" t="s">
        <v>7160</v>
      </c>
      <c r="R1767" s="184">
        <v>21276</v>
      </c>
      <c r="S1767">
        <v>66</v>
      </c>
      <c r="U1767" t="s">
        <v>7130</v>
      </c>
      <c r="V1767" t="s">
        <v>3580</v>
      </c>
      <c r="X1767" t="s">
        <v>3743</v>
      </c>
      <c r="Z1767">
        <v>19537117</v>
      </c>
      <c r="AA1767" t="s">
        <v>7031</v>
      </c>
      <c r="AB1767" t="s">
        <v>2982</v>
      </c>
      <c r="AC1767" t="s">
        <v>7268</v>
      </c>
      <c r="AD1767" t="s">
        <v>3743</v>
      </c>
      <c r="AF1767" t="s">
        <v>17036</v>
      </c>
      <c r="AG1767" t="s">
        <v>17037</v>
      </c>
      <c r="AI1767" t="s">
        <v>17038</v>
      </c>
      <c r="AM1767" t="s">
        <v>17039</v>
      </c>
      <c r="AN1767" t="s">
        <v>2176</v>
      </c>
      <c r="AO1767" t="s">
        <v>17040</v>
      </c>
      <c r="AP1767" t="s">
        <v>7024</v>
      </c>
      <c r="AQ1767" t="s">
        <v>17046</v>
      </c>
      <c r="AT1767" s="184">
        <v>44530</v>
      </c>
      <c r="AU1767" t="s">
        <v>17047</v>
      </c>
      <c r="AV1767">
        <v>100</v>
      </c>
      <c r="AW1767" s="184">
        <v>45275</v>
      </c>
      <c r="AX1767" t="s">
        <v>16902</v>
      </c>
      <c r="AY1767">
        <v>105</v>
      </c>
      <c r="AZ1767" s="184">
        <v>45275</v>
      </c>
      <c r="BA1767" t="s">
        <v>16902</v>
      </c>
      <c r="BB1767">
        <v>105</v>
      </c>
      <c r="BC1767">
        <v>50</v>
      </c>
      <c r="BD1767">
        <v>205</v>
      </c>
      <c r="BE1767">
        <v>2022</v>
      </c>
      <c r="BF1767">
        <v>2</v>
      </c>
      <c r="BG1767">
        <v>1</v>
      </c>
      <c r="BH1767">
        <v>105</v>
      </c>
      <c r="BI1767">
        <v>2</v>
      </c>
      <c r="BJ1767">
        <v>4</v>
      </c>
      <c r="BK1767">
        <v>1</v>
      </c>
    </row>
    <row r="1768" spans="1:68">
      <c r="A1768">
        <v>19547066</v>
      </c>
      <c r="B1768">
        <v>19547066</v>
      </c>
      <c r="C1768" t="s">
        <v>7018</v>
      </c>
      <c r="D1768" t="s">
        <v>595</v>
      </c>
      <c r="E1768" s="184">
        <v>44167</v>
      </c>
      <c r="G1768" s="184"/>
      <c r="I1768" s="184"/>
      <c r="K1768" s="184"/>
      <c r="M1768" s="184"/>
      <c r="P1768" t="s">
        <v>7019</v>
      </c>
      <c r="Q1768" t="s">
        <v>7030</v>
      </c>
      <c r="R1768" s="184">
        <v>20911</v>
      </c>
      <c r="S1768">
        <v>67</v>
      </c>
      <c r="U1768" t="s">
        <v>7237</v>
      </c>
      <c r="V1768" t="s">
        <v>5057</v>
      </c>
      <c r="W1768" t="s">
        <v>7246</v>
      </c>
      <c r="X1768" t="s">
        <v>17048</v>
      </c>
      <c r="AF1768" t="s">
        <v>17049</v>
      </c>
      <c r="AG1768" t="s">
        <v>5057</v>
      </c>
      <c r="AI1768" t="s">
        <v>17050</v>
      </c>
      <c r="AM1768" t="s">
        <v>17051</v>
      </c>
      <c r="AN1768" t="s">
        <v>2089</v>
      </c>
      <c r="AO1768" t="s">
        <v>17052</v>
      </c>
      <c r="AP1768" t="s">
        <v>7024</v>
      </c>
      <c r="AQ1768" t="s">
        <v>17053</v>
      </c>
      <c r="AT1768" s="184">
        <v>34936</v>
      </c>
      <c r="AU1768" t="s">
        <v>16497</v>
      </c>
      <c r="AV1768">
        <v>19.95</v>
      </c>
      <c r="AW1768" s="184">
        <v>44760</v>
      </c>
      <c r="AX1768" t="s">
        <v>17054</v>
      </c>
      <c r="AY1768">
        <v>5</v>
      </c>
      <c r="AZ1768" s="184">
        <v>44679</v>
      </c>
      <c r="BA1768" t="s">
        <v>17055</v>
      </c>
      <c r="BB1768">
        <v>60</v>
      </c>
      <c r="BC1768">
        <v>27</v>
      </c>
      <c r="BD1768">
        <v>384.95</v>
      </c>
      <c r="BE1768">
        <v>1996</v>
      </c>
      <c r="BF1768">
        <v>21</v>
      </c>
      <c r="BG1768">
        <v>2</v>
      </c>
      <c r="BH1768">
        <v>65</v>
      </c>
      <c r="BI1768">
        <v>8</v>
      </c>
      <c r="BJ1768">
        <v>30</v>
      </c>
      <c r="BK1768">
        <v>5</v>
      </c>
    </row>
    <row r="1769" spans="1:68">
      <c r="A1769">
        <v>19550417</v>
      </c>
      <c r="B1769">
        <v>19550417</v>
      </c>
      <c r="C1769" t="s">
        <v>7018</v>
      </c>
      <c r="D1769" t="s">
        <v>595</v>
      </c>
      <c r="E1769" s="184">
        <v>45104</v>
      </c>
      <c r="G1769" s="184"/>
      <c r="I1769" s="184"/>
      <c r="K1769" s="184"/>
      <c r="M1769" s="184"/>
      <c r="O1769" s="184"/>
      <c r="P1769" t="s">
        <v>7045</v>
      </c>
      <c r="Q1769" t="s">
        <v>7194</v>
      </c>
      <c r="R1769" s="184">
        <v>16739</v>
      </c>
      <c r="S1769">
        <v>78</v>
      </c>
      <c r="U1769" t="s">
        <v>7032</v>
      </c>
      <c r="V1769" t="s">
        <v>2612</v>
      </c>
      <c r="X1769" t="s">
        <v>2706</v>
      </c>
      <c r="AF1769" t="s">
        <v>17056</v>
      </c>
      <c r="AG1769" t="s">
        <v>2612</v>
      </c>
      <c r="AI1769" t="s">
        <v>17057</v>
      </c>
      <c r="AM1769" t="s">
        <v>17058</v>
      </c>
      <c r="AN1769" t="s">
        <v>2046</v>
      </c>
      <c r="AO1769" t="s">
        <v>17059</v>
      </c>
      <c r="AP1769" t="s">
        <v>7024</v>
      </c>
      <c r="AQ1769" t="s">
        <v>17060</v>
      </c>
      <c r="AR1769" t="s">
        <v>17061</v>
      </c>
      <c r="AT1769" s="184">
        <v>34936</v>
      </c>
      <c r="AU1769" t="s">
        <v>16497</v>
      </c>
      <c r="AV1769">
        <v>19.95</v>
      </c>
      <c r="AW1769" s="184">
        <v>45188</v>
      </c>
      <c r="AX1769" t="s">
        <v>17062</v>
      </c>
      <c r="AY1769">
        <v>10</v>
      </c>
      <c r="AZ1769" s="184">
        <v>45061</v>
      </c>
      <c r="BA1769" t="s">
        <v>7665</v>
      </c>
      <c r="BB1769">
        <v>25</v>
      </c>
      <c r="BC1769">
        <v>20</v>
      </c>
      <c r="BD1769">
        <v>179.95</v>
      </c>
      <c r="BE1769">
        <v>1996</v>
      </c>
      <c r="BF1769">
        <v>8</v>
      </c>
      <c r="BG1769">
        <v>3</v>
      </c>
      <c r="BH1769">
        <v>60</v>
      </c>
      <c r="BI1769">
        <v>6</v>
      </c>
      <c r="BJ1769">
        <v>30</v>
      </c>
      <c r="BK1769">
        <v>5</v>
      </c>
      <c r="BN1769" t="s">
        <v>595</v>
      </c>
      <c r="BP1769" s="184"/>
    </row>
    <row r="1770" spans="1:68">
      <c r="A1770">
        <v>19633841</v>
      </c>
      <c r="B1770">
        <v>19633841</v>
      </c>
      <c r="C1770" t="s">
        <v>7018</v>
      </c>
      <c r="E1770" s="184"/>
      <c r="G1770" s="184"/>
      <c r="H1770" t="s">
        <v>595</v>
      </c>
      <c r="I1770" s="184">
        <v>44109</v>
      </c>
      <c r="K1770" s="184"/>
      <c r="M1770" s="184"/>
      <c r="O1770" s="184"/>
      <c r="P1770" t="s">
        <v>7045</v>
      </c>
      <c r="Q1770" t="s">
        <v>7020</v>
      </c>
      <c r="R1770" s="184">
        <v>15575</v>
      </c>
      <c r="S1770">
        <v>81</v>
      </c>
      <c r="U1770" t="s">
        <v>7076</v>
      </c>
      <c r="V1770" t="s">
        <v>4800</v>
      </c>
      <c r="W1770" t="s">
        <v>7268</v>
      </c>
      <c r="X1770" t="s">
        <v>4988</v>
      </c>
      <c r="AF1770" t="s">
        <v>17063</v>
      </c>
      <c r="AG1770" t="s">
        <v>4800</v>
      </c>
      <c r="AI1770" t="s">
        <v>17064</v>
      </c>
      <c r="AM1770" t="s">
        <v>4534</v>
      </c>
      <c r="AN1770" t="s">
        <v>2052</v>
      </c>
      <c r="AO1770" t="s">
        <v>17065</v>
      </c>
      <c r="AP1770" t="s">
        <v>7024</v>
      </c>
      <c r="AQ1770" t="s">
        <v>17066</v>
      </c>
      <c r="AR1770" t="s">
        <v>17067</v>
      </c>
      <c r="AT1770" s="184">
        <v>34936</v>
      </c>
      <c r="AU1770" t="s">
        <v>17068</v>
      </c>
      <c r="AV1770">
        <v>15</v>
      </c>
      <c r="AW1770" s="184">
        <v>45097</v>
      </c>
      <c r="AX1770" t="s">
        <v>17069</v>
      </c>
      <c r="AY1770">
        <v>25</v>
      </c>
      <c r="AZ1770" s="184">
        <v>45097</v>
      </c>
      <c r="BA1770" t="s">
        <v>17069</v>
      </c>
      <c r="BB1770">
        <v>25</v>
      </c>
      <c r="BC1770">
        <v>84</v>
      </c>
      <c r="BD1770">
        <v>750</v>
      </c>
      <c r="BE1770">
        <v>1996</v>
      </c>
      <c r="BF1770">
        <v>33</v>
      </c>
      <c r="BG1770">
        <v>2</v>
      </c>
      <c r="BH1770">
        <v>50</v>
      </c>
      <c r="BI1770">
        <v>25</v>
      </c>
      <c r="BJ1770">
        <v>30</v>
      </c>
      <c r="BK1770">
        <v>16</v>
      </c>
      <c r="BP1770" s="184"/>
    </row>
    <row r="1771" spans="1:68">
      <c r="A1771">
        <v>19655075</v>
      </c>
      <c r="B1771">
        <v>19655075</v>
      </c>
      <c r="C1771" t="s">
        <v>7018</v>
      </c>
      <c r="E1771" s="184"/>
      <c r="G1771" s="184"/>
      <c r="I1771" s="184"/>
      <c r="K1771" s="184"/>
      <c r="L1771" t="s">
        <v>595</v>
      </c>
      <c r="M1771" s="184">
        <v>44770</v>
      </c>
      <c r="O1771" s="184"/>
      <c r="P1771" t="s">
        <v>7045</v>
      </c>
      <c r="Q1771" t="s">
        <v>7383</v>
      </c>
      <c r="R1771" s="184">
        <v>17083</v>
      </c>
      <c r="S1771">
        <v>77</v>
      </c>
      <c r="V1771" t="s">
        <v>2898</v>
      </c>
      <c r="X1771" t="s">
        <v>17070</v>
      </c>
      <c r="Z1771">
        <v>100053612</v>
      </c>
      <c r="AB1771" t="s">
        <v>3101</v>
      </c>
      <c r="AD1771" t="s">
        <v>17070</v>
      </c>
      <c r="AF1771" t="s">
        <v>17071</v>
      </c>
      <c r="AG1771" t="s">
        <v>17072</v>
      </c>
      <c r="AI1771" t="s">
        <v>17073</v>
      </c>
      <c r="AM1771" t="s">
        <v>17074</v>
      </c>
      <c r="AN1771" t="s">
        <v>2274</v>
      </c>
      <c r="AO1771" t="s">
        <v>17075</v>
      </c>
      <c r="AP1771" t="s">
        <v>7024</v>
      </c>
      <c r="AT1771" s="184">
        <v>34942</v>
      </c>
      <c r="AU1771" t="s">
        <v>17076</v>
      </c>
      <c r="AV1771">
        <v>25</v>
      </c>
      <c r="AW1771" s="184">
        <v>43887</v>
      </c>
      <c r="AX1771" t="s">
        <v>17077</v>
      </c>
      <c r="AY1771">
        <v>100</v>
      </c>
      <c r="AZ1771" s="184">
        <v>43160</v>
      </c>
      <c r="BA1771" t="s">
        <v>17078</v>
      </c>
      <c r="BB1771">
        <v>250</v>
      </c>
      <c r="BC1771">
        <v>80</v>
      </c>
      <c r="BD1771">
        <v>1865</v>
      </c>
      <c r="BE1771">
        <v>1996</v>
      </c>
      <c r="BF1771">
        <v>32</v>
      </c>
      <c r="BI1771">
        <v>24</v>
      </c>
      <c r="BJ1771">
        <v>30</v>
      </c>
      <c r="BK1771">
        <v>17</v>
      </c>
    </row>
    <row r="1772" spans="1:68">
      <c r="A1772">
        <v>100053612</v>
      </c>
      <c r="B1772">
        <v>19655075</v>
      </c>
      <c r="C1772" t="s">
        <v>7018</v>
      </c>
      <c r="E1772" s="184"/>
      <c r="G1772" s="184"/>
      <c r="I1772" s="184"/>
      <c r="K1772" s="184"/>
      <c r="L1772" t="s">
        <v>595</v>
      </c>
      <c r="M1772" s="184">
        <v>44770</v>
      </c>
      <c r="O1772" s="184"/>
      <c r="P1772" t="s">
        <v>7045</v>
      </c>
      <c r="Q1772" t="s">
        <v>7383</v>
      </c>
      <c r="R1772" s="184">
        <v>17076</v>
      </c>
      <c r="S1772">
        <v>77</v>
      </c>
      <c r="V1772" t="s">
        <v>3101</v>
      </c>
      <c r="X1772" t="s">
        <v>17070</v>
      </c>
      <c r="Z1772">
        <v>19655075</v>
      </c>
      <c r="AB1772" t="s">
        <v>2898</v>
      </c>
      <c r="AD1772" t="s">
        <v>17070</v>
      </c>
      <c r="AF1772" t="s">
        <v>17071</v>
      </c>
      <c r="AG1772" t="s">
        <v>17072</v>
      </c>
      <c r="AI1772" t="s">
        <v>17073</v>
      </c>
      <c r="AM1772" t="s">
        <v>17074</v>
      </c>
      <c r="AN1772" t="s">
        <v>2274</v>
      </c>
      <c r="AO1772" t="s">
        <v>17075</v>
      </c>
      <c r="AP1772" t="s">
        <v>7024</v>
      </c>
      <c r="AT1772" s="184"/>
      <c r="AW1772" s="184"/>
      <c r="AZ1772" s="184"/>
    </row>
    <row r="1773" spans="1:68">
      <c r="A1773">
        <v>19660067</v>
      </c>
      <c r="B1773">
        <v>19660067</v>
      </c>
      <c r="C1773" t="s">
        <v>7018</v>
      </c>
      <c r="D1773" t="s">
        <v>595</v>
      </c>
      <c r="E1773" s="184">
        <v>45153</v>
      </c>
      <c r="G1773" s="184"/>
      <c r="I1773" s="184"/>
      <c r="K1773" s="184"/>
      <c r="M1773" s="184"/>
      <c r="O1773" s="184"/>
      <c r="P1773" t="s">
        <v>7045</v>
      </c>
      <c r="Q1773" t="s">
        <v>7020</v>
      </c>
      <c r="R1773" s="184">
        <v>18933</v>
      </c>
      <c r="S1773">
        <v>72</v>
      </c>
      <c r="U1773" t="s">
        <v>7031</v>
      </c>
      <c r="V1773" t="s">
        <v>2898</v>
      </c>
      <c r="X1773" t="s">
        <v>3490</v>
      </c>
      <c r="AF1773" t="s">
        <v>17079</v>
      </c>
      <c r="AG1773" t="s">
        <v>2898</v>
      </c>
      <c r="AI1773" t="s">
        <v>17080</v>
      </c>
      <c r="AM1773" t="s">
        <v>3331</v>
      </c>
      <c r="AN1773" t="s">
        <v>2052</v>
      </c>
      <c r="AO1773" t="s">
        <v>17081</v>
      </c>
      <c r="AP1773" t="s">
        <v>7024</v>
      </c>
      <c r="AQ1773" t="s">
        <v>17082</v>
      </c>
      <c r="AT1773" s="184">
        <v>34957</v>
      </c>
      <c r="AU1773" t="s">
        <v>16497</v>
      </c>
      <c r="AV1773">
        <v>19.95</v>
      </c>
      <c r="AW1773" s="184">
        <v>43472</v>
      </c>
      <c r="AX1773" t="s">
        <v>8806</v>
      </c>
      <c r="AY1773">
        <v>150</v>
      </c>
      <c r="AZ1773" s="184">
        <v>42557</v>
      </c>
      <c r="BA1773" t="s">
        <v>17083</v>
      </c>
      <c r="BB1773">
        <v>200</v>
      </c>
      <c r="BC1773">
        <v>64</v>
      </c>
      <c r="BD1773">
        <v>2789.95</v>
      </c>
      <c r="BE1773">
        <v>1996</v>
      </c>
      <c r="BF1773">
        <v>26</v>
      </c>
      <c r="BI1773">
        <v>19</v>
      </c>
      <c r="BJ1773">
        <v>30</v>
      </c>
      <c r="BK1773">
        <v>17</v>
      </c>
      <c r="BP1773" s="184"/>
    </row>
    <row r="1774" spans="1:68">
      <c r="A1774">
        <v>19694066</v>
      </c>
      <c r="B1774">
        <v>19694066</v>
      </c>
      <c r="C1774" t="s">
        <v>7018</v>
      </c>
      <c r="D1774" t="s">
        <v>595</v>
      </c>
      <c r="E1774" s="184">
        <v>43657</v>
      </c>
      <c r="G1774" s="184"/>
      <c r="I1774" s="184"/>
      <c r="K1774" s="184"/>
      <c r="P1774" t="s">
        <v>7029</v>
      </c>
      <c r="Q1774" t="s">
        <v>7020</v>
      </c>
      <c r="R1774" s="184">
        <v>17341</v>
      </c>
      <c r="S1774">
        <v>76</v>
      </c>
      <c r="U1774" t="s">
        <v>7031</v>
      </c>
      <c r="V1774" t="s">
        <v>2665</v>
      </c>
      <c r="W1774" t="s">
        <v>7107</v>
      </c>
      <c r="X1774" t="s">
        <v>3643</v>
      </c>
      <c r="AF1774" t="s">
        <v>17084</v>
      </c>
      <c r="AG1774" t="s">
        <v>2665</v>
      </c>
      <c r="AI1774" t="s">
        <v>17085</v>
      </c>
      <c r="AM1774" t="s">
        <v>3644</v>
      </c>
      <c r="AN1774" t="s">
        <v>2112</v>
      </c>
      <c r="AO1774" t="s">
        <v>17086</v>
      </c>
      <c r="AP1774" t="s">
        <v>7024</v>
      </c>
      <c r="AQ1774" t="s">
        <v>17087</v>
      </c>
      <c r="AT1774" s="184">
        <v>34954</v>
      </c>
      <c r="AU1774" t="s">
        <v>17088</v>
      </c>
      <c r="AV1774">
        <v>50</v>
      </c>
      <c r="AW1774" s="184">
        <v>45230</v>
      </c>
      <c r="AX1774" t="s">
        <v>7382</v>
      </c>
      <c r="AY1774">
        <v>1500</v>
      </c>
      <c r="AZ1774" s="184">
        <v>45230</v>
      </c>
      <c r="BA1774" t="s">
        <v>7382</v>
      </c>
      <c r="BB1774">
        <v>1500</v>
      </c>
      <c r="BC1774">
        <v>97</v>
      </c>
      <c r="BD1774">
        <v>10775</v>
      </c>
      <c r="BE1774">
        <v>1996</v>
      </c>
      <c r="BF1774">
        <v>31</v>
      </c>
      <c r="BG1774">
        <v>2</v>
      </c>
      <c r="BH1774">
        <v>2000</v>
      </c>
      <c r="BI1774">
        <v>29</v>
      </c>
      <c r="BJ1774">
        <v>30</v>
      </c>
      <c r="BK1774">
        <v>29</v>
      </c>
    </row>
    <row r="1775" spans="1:68">
      <c r="A1775">
        <v>19702232</v>
      </c>
      <c r="B1775">
        <v>19702232</v>
      </c>
      <c r="C1775" t="s">
        <v>7018</v>
      </c>
      <c r="E1775" s="184"/>
      <c r="F1775" t="s">
        <v>595</v>
      </c>
      <c r="G1775" s="184">
        <v>44167</v>
      </c>
      <c r="H1775" t="s">
        <v>595</v>
      </c>
      <c r="I1775" s="184">
        <v>44167</v>
      </c>
      <c r="K1775" s="184"/>
      <c r="M1775" s="184"/>
      <c r="O1775" s="184"/>
      <c r="P1775" t="s">
        <v>7045</v>
      </c>
      <c r="Q1775" t="s">
        <v>7194</v>
      </c>
      <c r="R1775" s="184">
        <v>16061</v>
      </c>
      <c r="S1775">
        <v>80</v>
      </c>
      <c r="T1775" t="s">
        <v>3384</v>
      </c>
      <c r="U1775" t="s">
        <v>7032</v>
      </c>
      <c r="V1775" t="s">
        <v>2832</v>
      </c>
      <c r="W1775" t="s">
        <v>8224</v>
      </c>
      <c r="X1775" t="s">
        <v>5092</v>
      </c>
      <c r="Z1775">
        <v>100053741</v>
      </c>
      <c r="AA1775" t="s">
        <v>7130</v>
      </c>
      <c r="AB1775" t="s">
        <v>16180</v>
      </c>
      <c r="AD1775" t="s">
        <v>5092</v>
      </c>
      <c r="AF1775" t="s">
        <v>17089</v>
      </c>
      <c r="AG1775" t="s">
        <v>17090</v>
      </c>
      <c r="AI1775" t="s">
        <v>17091</v>
      </c>
      <c r="AM1775" t="s">
        <v>4601</v>
      </c>
      <c r="AN1775" t="s">
        <v>4512</v>
      </c>
      <c r="AO1775" t="s">
        <v>17092</v>
      </c>
      <c r="AP1775" t="s">
        <v>7024</v>
      </c>
      <c r="AQ1775" t="s">
        <v>17093</v>
      </c>
      <c r="AR1775" t="s">
        <v>17094</v>
      </c>
      <c r="AT1775" s="184">
        <v>34953</v>
      </c>
      <c r="AU1775" t="s">
        <v>17095</v>
      </c>
      <c r="AV1775">
        <v>25</v>
      </c>
      <c r="AW1775" s="184">
        <v>45041</v>
      </c>
      <c r="AX1775" t="s">
        <v>17096</v>
      </c>
      <c r="AY1775">
        <v>55</v>
      </c>
      <c r="AZ1775" s="184">
        <v>45041</v>
      </c>
      <c r="BA1775" t="s">
        <v>17096</v>
      </c>
      <c r="BB1775">
        <v>55</v>
      </c>
      <c r="BC1775">
        <v>70</v>
      </c>
      <c r="BD1775">
        <v>929</v>
      </c>
      <c r="BE1775">
        <v>1996</v>
      </c>
      <c r="BF1775">
        <v>30</v>
      </c>
      <c r="BG1775">
        <v>1</v>
      </c>
      <c r="BH1775">
        <v>55</v>
      </c>
      <c r="BI1775">
        <v>21</v>
      </c>
      <c r="BJ1775">
        <v>30</v>
      </c>
      <c r="BK1775">
        <v>10</v>
      </c>
      <c r="BP1775" s="184"/>
    </row>
    <row r="1776" spans="1:68">
      <c r="A1776">
        <v>100053741</v>
      </c>
      <c r="B1776">
        <v>19702232</v>
      </c>
      <c r="C1776" t="s">
        <v>7018</v>
      </c>
      <c r="E1776" s="184"/>
      <c r="F1776" t="s">
        <v>595</v>
      </c>
      <c r="G1776" s="184">
        <v>44167</v>
      </c>
      <c r="H1776" t="s">
        <v>595</v>
      </c>
      <c r="I1776" s="184">
        <v>44167</v>
      </c>
      <c r="K1776" s="184"/>
      <c r="P1776" t="s">
        <v>7045</v>
      </c>
      <c r="Q1776" t="s">
        <v>7194</v>
      </c>
      <c r="R1776" s="184">
        <v>14681</v>
      </c>
      <c r="S1776">
        <v>84</v>
      </c>
      <c r="U1776" t="s">
        <v>7130</v>
      </c>
      <c r="V1776" t="s">
        <v>16180</v>
      </c>
      <c r="X1776" t="s">
        <v>5092</v>
      </c>
      <c r="Z1776">
        <v>19702232</v>
      </c>
      <c r="AA1776" t="s">
        <v>7032</v>
      </c>
      <c r="AB1776" t="s">
        <v>2832</v>
      </c>
      <c r="AC1776" t="s">
        <v>8224</v>
      </c>
      <c r="AD1776" t="s">
        <v>5092</v>
      </c>
      <c r="AF1776" t="s">
        <v>17089</v>
      </c>
      <c r="AG1776" t="s">
        <v>17090</v>
      </c>
      <c r="AI1776" t="s">
        <v>17091</v>
      </c>
      <c r="AM1776" t="s">
        <v>4601</v>
      </c>
      <c r="AN1776" t="s">
        <v>4512</v>
      </c>
      <c r="AO1776" t="s">
        <v>17092</v>
      </c>
      <c r="AP1776" t="s">
        <v>7024</v>
      </c>
      <c r="AQ1776" t="s">
        <v>17097</v>
      </c>
      <c r="AR1776" t="s">
        <v>17098</v>
      </c>
      <c r="AT1776" s="184"/>
      <c r="AW1776" s="184"/>
      <c r="AZ1776" s="184"/>
    </row>
    <row r="1777" spans="1:68">
      <c r="A1777">
        <v>19704071</v>
      </c>
      <c r="B1777">
        <v>19704071</v>
      </c>
      <c r="C1777" t="s">
        <v>7018</v>
      </c>
      <c r="E1777" s="184"/>
      <c r="F1777" t="s">
        <v>595</v>
      </c>
      <c r="G1777" s="184">
        <v>43731</v>
      </c>
      <c r="I1777" s="184"/>
      <c r="K1777" s="184"/>
      <c r="P1777" t="s">
        <v>7045</v>
      </c>
      <c r="Q1777" t="s">
        <v>7454</v>
      </c>
      <c r="R1777" s="184">
        <v>23236</v>
      </c>
      <c r="S1777">
        <v>60</v>
      </c>
      <c r="V1777" t="s">
        <v>2758</v>
      </c>
      <c r="X1777" t="s">
        <v>3957</v>
      </c>
      <c r="Z1777">
        <v>100053746</v>
      </c>
      <c r="AB1777" t="s">
        <v>3011</v>
      </c>
      <c r="AD1777" t="s">
        <v>3957</v>
      </c>
      <c r="AF1777" t="s">
        <v>17099</v>
      </c>
      <c r="AG1777" t="s">
        <v>17100</v>
      </c>
      <c r="AI1777" t="s">
        <v>17101</v>
      </c>
      <c r="AM1777" t="s">
        <v>3958</v>
      </c>
      <c r="AN1777" t="s">
        <v>2055</v>
      </c>
      <c r="AO1777" t="s">
        <v>17102</v>
      </c>
      <c r="AP1777" t="s">
        <v>7024</v>
      </c>
      <c r="AQ1777" t="s">
        <v>17103</v>
      </c>
      <c r="AT1777" s="184">
        <v>34955</v>
      </c>
      <c r="AU1777" t="s">
        <v>17104</v>
      </c>
      <c r="AV1777">
        <v>15</v>
      </c>
      <c r="AW1777" s="184">
        <v>43858</v>
      </c>
      <c r="AX1777" t="s">
        <v>10786</v>
      </c>
      <c r="AY1777">
        <v>35</v>
      </c>
      <c r="AZ1777" s="184">
        <v>37697</v>
      </c>
      <c r="BA1777" t="s">
        <v>17105</v>
      </c>
      <c r="BB1777">
        <v>40</v>
      </c>
      <c r="BC1777">
        <v>84</v>
      </c>
      <c r="BD1777">
        <v>885</v>
      </c>
      <c r="BE1777">
        <v>1996</v>
      </c>
      <c r="BF1777">
        <v>28</v>
      </c>
      <c r="BI1777">
        <v>25</v>
      </c>
      <c r="BJ1777">
        <v>30</v>
      </c>
      <c r="BK1777">
        <v>24</v>
      </c>
      <c r="BP1777" s="184"/>
    </row>
    <row r="1778" spans="1:68">
      <c r="A1778">
        <v>100053746</v>
      </c>
      <c r="B1778">
        <v>19704071</v>
      </c>
      <c r="C1778" t="s">
        <v>7018</v>
      </c>
      <c r="E1778" s="184"/>
      <c r="F1778" t="s">
        <v>595</v>
      </c>
      <c r="G1778" s="184">
        <v>43731</v>
      </c>
      <c r="I1778" s="184"/>
      <c r="K1778" s="184"/>
      <c r="O1778" s="184"/>
      <c r="P1778" t="s">
        <v>7045</v>
      </c>
      <c r="Q1778" t="s">
        <v>7454</v>
      </c>
      <c r="R1778" s="184">
        <v>21385</v>
      </c>
      <c r="S1778">
        <v>65</v>
      </c>
      <c r="V1778" t="s">
        <v>3011</v>
      </c>
      <c r="X1778" t="s">
        <v>3957</v>
      </c>
      <c r="Z1778">
        <v>19704071</v>
      </c>
      <c r="AB1778" t="s">
        <v>2758</v>
      </c>
      <c r="AD1778" t="s">
        <v>3957</v>
      </c>
      <c r="AF1778" t="s">
        <v>17099</v>
      </c>
      <c r="AG1778" t="s">
        <v>17100</v>
      </c>
      <c r="AI1778" t="s">
        <v>17101</v>
      </c>
      <c r="AM1778" t="s">
        <v>3958</v>
      </c>
      <c r="AN1778" t="s">
        <v>2055</v>
      </c>
      <c r="AO1778" t="s">
        <v>17102</v>
      </c>
      <c r="AP1778" t="s">
        <v>7024</v>
      </c>
      <c r="AQ1778" t="s">
        <v>17106</v>
      </c>
      <c r="AT1778" s="184"/>
      <c r="AW1778" s="184"/>
      <c r="AZ1778" s="184"/>
    </row>
    <row r="1779" spans="1:68">
      <c r="A1779">
        <v>19725829</v>
      </c>
      <c r="B1779">
        <v>19725829</v>
      </c>
      <c r="C1779" t="s">
        <v>7018</v>
      </c>
      <c r="D1779" t="s">
        <v>595</v>
      </c>
      <c r="E1779" s="184">
        <v>43642</v>
      </c>
      <c r="I1779" s="184"/>
      <c r="K1779" s="184"/>
      <c r="O1779" s="184"/>
      <c r="P1779" t="s">
        <v>7029</v>
      </c>
      <c r="Q1779" t="s">
        <v>7020</v>
      </c>
      <c r="R1779" s="184">
        <v>16139</v>
      </c>
      <c r="S1779">
        <v>80</v>
      </c>
      <c r="V1779" t="s">
        <v>3254</v>
      </c>
      <c r="W1779" t="s">
        <v>3217</v>
      </c>
      <c r="X1779" t="s">
        <v>3255</v>
      </c>
      <c r="Z1779">
        <v>100053810</v>
      </c>
      <c r="AB1779" t="s">
        <v>3101</v>
      </c>
      <c r="AC1779" t="s">
        <v>7067</v>
      </c>
      <c r="AD1779" t="s">
        <v>3255</v>
      </c>
      <c r="AF1779" t="s">
        <v>17107</v>
      </c>
      <c r="AG1779" t="s">
        <v>13270</v>
      </c>
      <c r="AI1779" t="s">
        <v>17108</v>
      </c>
      <c r="AM1779" t="s">
        <v>2662</v>
      </c>
      <c r="AN1779" t="s">
        <v>2129</v>
      </c>
      <c r="AO1779" t="s">
        <v>17109</v>
      </c>
      <c r="AP1779" t="s">
        <v>7024</v>
      </c>
      <c r="AQ1779" t="s">
        <v>17110</v>
      </c>
      <c r="AT1779" s="184">
        <v>34957</v>
      </c>
      <c r="AU1779" t="s">
        <v>17111</v>
      </c>
      <c r="AV1779">
        <v>25</v>
      </c>
      <c r="AW1779" s="184">
        <v>44894</v>
      </c>
      <c r="AX1779" t="s">
        <v>17112</v>
      </c>
      <c r="AY1779">
        <v>1000</v>
      </c>
      <c r="AZ1779" s="184">
        <v>44894</v>
      </c>
      <c r="BA1779" t="s">
        <v>17112</v>
      </c>
      <c r="BB1779">
        <v>1000</v>
      </c>
      <c r="BC1779">
        <v>94</v>
      </c>
      <c r="BD1779">
        <v>6645</v>
      </c>
      <c r="BE1779">
        <v>1996</v>
      </c>
      <c r="BF1779">
        <v>49</v>
      </c>
      <c r="BG1779">
        <v>1</v>
      </c>
      <c r="BH1779">
        <v>1000</v>
      </c>
      <c r="BI1779">
        <v>28</v>
      </c>
      <c r="BJ1779">
        <v>30</v>
      </c>
      <c r="BK1779">
        <v>28</v>
      </c>
      <c r="BP1779" s="184"/>
    </row>
    <row r="1780" spans="1:68">
      <c r="A1780">
        <v>100053810</v>
      </c>
      <c r="B1780">
        <v>19725829</v>
      </c>
      <c r="C1780" t="s">
        <v>7018</v>
      </c>
      <c r="D1780" t="s">
        <v>595</v>
      </c>
      <c r="E1780" s="184">
        <v>43642</v>
      </c>
      <c r="G1780" s="184"/>
      <c r="I1780" s="184"/>
      <c r="K1780" s="184"/>
      <c r="P1780" t="s">
        <v>7029</v>
      </c>
      <c r="Q1780" t="s">
        <v>7020</v>
      </c>
      <c r="R1780" s="184">
        <v>17015</v>
      </c>
      <c r="S1780">
        <v>77</v>
      </c>
      <c r="V1780" t="s">
        <v>3101</v>
      </c>
      <c r="W1780" t="s">
        <v>7067</v>
      </c>
      <c r="X1780" t="s">
        <v>3255</v>
      </c>
      <c r="Z1780">
        <v>19725829</v>
      </c>
      <c r="AB1780" t="s">
        <v>3254</v>
      </c>
      <c r="AC1780" t="s">
        <v>3217</v>
      </c>
      <c r="AD1780" t="s">
        <v>3255</v>
      </c>
      <c r="AF1780" t="s">
        <v>17107</v>
      </c>
      <c r="AG1780" t="s">
        <v>13270</v>
      </c>
      <c r="AI1780" t="s">
        <v>17108</v>
      </c>
      <c r="AM1780" t="s">
        <v>2662</v>
      </c>
      <c r="AN1780" t="s">
        <v>2129</v>
      </c>
      <c r="AO1780" t="s">
        <v>17109</v>
      </c>
      <c r="AP1780" t="s">
        <v>7024</v>
      </c>
      <c r="AT1780" s="184"/>
      <c r="AW1780" s="184"/>
      <c r="AZ1780" s="184"/>
    </row>
    <row r="1781" spans="1:68">
      <c r="A1781">
        <v>19749423</v>
      </c>
      <c r="B1781">
        <v>19749423</v>
      </c>
      <c r="C1781" t="s">
        <v>7018</v>
      </c>
      <c r="E1781" s="184"/>
      <c r="G1781" s="184"/>
      <c r="I1781" s="184"/>
      <c r="J1781" t="s">
        <v>595</v>
      </c>
      <c r="K1781" s="184">
        <v>44580</v>
      </c>
      <c r="M1781" s="184"/>
      <c r="O1781" s="184"/>
      <c r="P1781" t="s">
        <v>7045</v>
      </c>
      <c r="Q1781" t="s">
        <v>7262</v>
      </c>
      <c r="R1781" s="184">
        <v>22874</v>
      </c>
      <c r="S1781">
        <v>61</v>
      </c>
      <c r="U1781" t="s">
        <v>7031</v>
      </c>
      <c r="V1781" t="s">
        <v>9794</v>
      </c>
      <c r="W1781" t="s">
        <v>7407</v>
      </c>
      <c r="X1781" t="s">
        <v>17113</v>
      </c>
      <c r="AF1781" t="s">
        <v>17114</v>
      </c>
      <c r="AG1781" t="s">
        <v>9794</v>
      </c>
      <c r="AI1781" t="s">
        <v>17115</v>
      </c>
      <c r="AM1781" t="s">
        <v>17116</v>
      </c>
      <c r="AN1781" t="s">
        <v>2069</v>
      </c>
      <c r="AO1781" t="s">
        <v>17117</v>
      </c>
      <c r="AP1781" t="s">
        <v>7024</v>
      </c>
      <c r="AQ1781" t="s">
        <v>17118</v>
      </c>
      <c r="AT1781" s="184">
        <v>34964</v>
      </c>
      <c r="AU1781" t="s">
        <v>16497</v>
      </c>
      <c r="AV1781">
        <v>19.95</v>
      </c>
      <c r="AW1781" s="184">
        <v>45397</v>
      </c>
      <c r="AX1781" t="s">
        <v>7429</v>
      </c>
      <c r="AY1781">
        <v>10.5</v>
      </c>
      <c r="AZ1781" s="184">
        <v>45015</v>
      </c>
      <c r="BA1781" t="s">
        <v>9288</v>
      </c>
      <c r="BB1781">
        <v>124</v>
      </c>
      <c r="BC1781">
        <v>17</v>
      </c>
      <c r="BD1781">
        <v>964.45</v>
      </c>
      <c r="BE1781">
        <v>1996</v>
      </c>
      <c r="BF1781">
        <v>26</v>
      </c>
      <c r="BG1781">
        <v>17</v>
      </c>
      <c r="BH1781">
        <v>709.5</v>
      </c>
      <c r="BI1781">
        <v>5</v>
      </c>
      <c r="BJ1781">
        <v>30</v>
      </c>
      <c r="BK1781">
        <v>4</v>
      </c>
      <c r="BP1781" s="184"/>
    </row>
    <row r="1782" spans="1:68">
      <c r="A1782">
        <v>19756550</v>
      </c>
      <c r="B1782">
        <v>19756550</v>
      </c>
      <c r="C1782" t="s">
        <v>7018</v>
      </c>
      <c r="D1782" t="s">
        <v>595</v>
      </c>
      <c r="E1782" s="184">
        <v>43642</v>
      </c>
      <c r="G1782" s="184"/>
      <c r="I1782" s="184"/>
      <c r="K1782" s="184"/>
      <c r="O1782" s="184"/>
      <c r="P1782" t="s">
        <v>7029</v>
      </c>
      <c r="Q1782" t="s">
        <v>7262</v>
      </c>
      <c r="R1782" s="184">
        <v>16163</v>
      </c>
      <c r="S1782">
        <v>80</v>
      </c>
      <c r="V1782" t="s">
        <v>2733</v>
      </c>
      <c r="X1782" t="s">
        <v>3257</v>
      </c>
      <c r="AF1782" t="s">
        <v>17119</v>
      </c>
      <c r="AG1782" t="s">
        <v>2733</v>
      </c>
      <c r="AI1782" t="s">
        <v>17120</v>
      </c>
      <c r="AM1782" t="s">
        <v>3258</v>
      </c>
      <c r="AN1782" t="s">
        <v>2106</v>
      </c>
      <c r="AO1782" t="s">
        <v>17121</v>
      </c>
      <c r="AP1782" t="s">
        <v>7024</v>
      </c>
      <c r="AQ1782" t="s">
        <v>17122</v>
      </c>
      <c r="AT1782" s="184">
        <v>34961</v>
      </c>
      <c r="AU1782" t="s">
        <v>17123</v>
      </c>
      <c r="AV1782">
        <v>10</v>
      </c>
      <c r="AW1782" s="184">
        <v>45310</v>
      </c>
      <c r="AX1782" t="s">
        <v>17124</v>
      </c>
      <c r="AY1782">
        <v>1000</v>
      </c>
      <c r="AZ1782" s="184">
        <v>45288</v>
      </c>
      <c r="BA1782" t="s">
        <v>7558</v>
      </c>
      <c r="BB1782">
        <v>2000</v>
      </c>
      <c r="BC1782">
        <v>94</v>
      </c>
      <c r="BD1782">
        <v>15050</v>
      </c>
      <c r="BE1782">
        <v>1996</v>
      </c>
      <c r="BF1782">
        <v>58</v>
      </c>
      <c r="BG1782">
        <v>4</v>
      </c>
      <c r="BH1782">
        <v>5000</v>
      </c>
      <c r="BI1782">
        <v>28</v>
      </c>
      <c r="BJ1782">
        <v>30</v>
      </c>
      <c r="BK1782">
        <v>23</v>
      </c>
    </row>
    <row r="1783" spans="1:68">
      <c r="A1783">
        <v>19767680</v>
      </c>
      <c r="B1783">
        <v>19767680</v>
      </c>
      <c r="C1783" t="s">
        <v>7018</v>
      </c>
      <c r="E1783" s="184"/>
      <c r="G1783" s="184"/>
      <c r="I1783" s="184"/>
      <c r="J1783" t="s">
        <v>595</v>
      </c>
      <c r="K1783" s="184">
        <v>44167</v>
      </c>
      <c r="O1783" s="184"/>
      <c r="P1783" t="s">
        <v>7045</v>
      </c>
      <c r="Q1783" t="s">
        <v>7383</v>
      </c>
      <c r="R1783" s="184">
        <v>13974</v>
      </c>
      <c r="S1783">
        <v>86</v>
      </c>
      <c r="V1783" t="s">
        <v>3478</v>
      </c>
      <c r="W1783" t="s">
        <v>3237</v>
      </c>
      <c r="X1783" t="s">
        <v>17125</v>
      </c>
      <c r="AF1783" t="s">
        <v>17126</v>
      </c>
      <c r="AG1783" t="s">
        <v>3478</v>
      </c>
      <c r="AI1783" t="s">
        <v>17127</v>
      </c>
      <c r="AM1783" t="s">
        <v>17128</v>
      </c>
      <c r="AN1783" t="s">
        <v>2064</v>
      </c>
      <c r="AO1783" t="s">
        <v>17129</v>
      </c>
      <c r="AP1783" t="s">
        <v>7024</v>
      </c>
      <c r="AT1783" s="184">
        <v>34961</v>
      </c>
      <c r="AU1783" t="s">
        <v>17130</v>
      </c>
      <c r="AV1783">
        <v>25</v>
      </c>
      <c r="AW1783" s="184">
        <v>45093</v>
      </c>
      <c r="AX1783" t="s">
        <v>17131</v>
      </c>
      <c r="AY1783">
        <v>500</v>
      </c>
      <c r="AZ1783" s="184">
        <v>45093</v>
      </c>
      <c r="BA1783" t="s">
        <v>17131</v>
      </c>
      <c r="BB1783">
        <v>500</v>
      </c>
      <c r="BC1783">
        <v>90</v>
      </c>
      <c r="BD1783">
        <v>6270</v>
      </c>
      <c r="BE1783">
        <v>1996</v>
      </c>
      <c r="BF1783">
        <v>34</v>
      </c>
      <c r="BG1783">
        <v>3</v>
      </c>
      <c r="BH1783">
        <v>1250</v>
      </c>
      <c r="BI1783">
        <v>27</v>
      </c>
      <c r="BJ1783">
        <v>30</v>
      </c>
      <c r="BK1783">
        <v>23</v>
      </c>
      <c r="BP1783" s="184"/>
    </row>
    <row r="1784" spans="1:68">
      <c r="A1784">
        <v>19768605</v>
      </c>
      <c r="B1784">
        <v>19768605</v>
      </c>
      <c r="C1784" t="s">
        <v>7018</v>
      </c>
      <c r="E1784" s="184"/>
      <c r="G1784" s="184"/>
      <c r="I1784" s="184"/>
      <c r="J1784" t="s">
        <v>595</v>
      </c>
      <c r="K1784" s="184">
        <v>38510</v>
      </c>
      <c r="M1784" s="184"/>
      <c r="O1784" s="184"/>
      <c r="P1784" t="s">
        <v>7045</v>
      </c>
      <c r="Q1784" t="s">
        <v>7020</v>
      </c>
      <c r="R1784" s="184">
        <v>20729</v>
      </c>
      <c r="S1784">
        <v>67</v>
      </c>
      <c r="U1784" t="s">
        <v>7031</v>
      </c>
      <c r="V1784" t="s">
        <v>2551</v>
      </c>
      <c r="W1784" t="s">
        <v>3332</v>
      </c>
      <c r="X1784" t="s">
        <v>17132</v>
      </c>
      <c r="Y1784" t="s">
        <v>7941</v>
      </c>
      <c r="Z1784">
        <v>100053906</v>
      </c>
      <c r="AA1784" t="s">
        <v>7130</v>
      </c>
      <c r="AB1784" t="s">
        <v>17133</v>
      </c>
      <c r="AC1784" t="s">
        <v>3226</v>
      </c>
      <c r="AD1784" t="s">
        <v>17132</v>
      </c>
      <c r="AF1784" t="s">
        <v>17134</v>
      </c>
      <c r="AG1784" t="s">
        <v>17135</v>
      </c>
      <c r="AI1784" t="s">
        <v>17136</v>
      </c>
      <c r="AM1784" t="s">
        <v>2629</v>
      </c>
      <c r="AN1784" t="s">
        <v>2052</v>
      </c>
      <c r="AO1784" t="s">
        <v>17137</v>
      </c>
      <c r="AP1784" t="s">
        <v>7024</v>
      </c>
      <c r="AQ1784" t="s">
        <v>17138</v>
      </c>
      <c r="AT1784" s="184">
        <v>34961</v>
      </c>
      <c r="AU1784" t="s">
        <v>17139</v>
      </c>
      <c r="AV1784">
        <v>25</v>
      </c>
      <c r="AW1784" s="184">
        <v>44538</v>
      </c>
      <c r="AX1784" t="s">
        <v>17140</v>
      </c>
      <c r="AY1784">
        <v>250</v>
      </c>
      <c r="AZ1784" s="184">
        <v>38518</v>
      </c>
      <c r="BA1784" t="s">
        <v>17141</v>
      </c>
      <c r="BB1784">
        <v>1000</v>
      </c>
      <c r="BC1784">
        <v>47</v>
      </c>
      <c r="BD1784">
        <v>3275</v>
      </c>
      <c r="BE1784">
        <v>1996</v>
      </c>
      <c r="BF1784">
        <v>17</v>
      </c>
      <c r="BI1784">
        <v>14</v>
      </c>
      <c r="BJ1784">
        <v>30</v>
      </c>
      <c r="BK1784">
        <v>5</v>
      </c>
    </row>
    <row r="1785" spans="1:68">
      <c r="A1785">
        <v>100053906</v>
      </c>
      <c r="B1785">
        <v>19768605</v>
      </c>
      <c r="C1785" t="s">
        <v>7018</v>
      </c>
      <c r="E1785" s="184"/>
      <c r="G1785" s="184"/>
      <c r="I1785" s="184"/>
      <c r="J1785" t="s">
        <v>595</v>
      </c>
      <c r="K1785" s="184">
        <v>38530</v>
      </c>
      <c r="O1785" s="184"/>
      <c r="P1785" t="s">
        <v>7045</v>
      </c>
      <c r="Q1785" t="s">
        <v>7020</v>
      </c>
      <c r="R1785" s="184">
        <v>20729</v>
      </c>
      <c r="S1785">
        <v>67</v>
      </c>
      <c r="U1785" t="s">
        <v>7130</v>
      </c>
      <c r="V1785" t="s">
        <v>17133</v>
      </c>
      <c r="W1785" t="s">
        <v>3226</v>
      </c>
      <c r="X1785" t="s">
        <v>17132</v>
      </c>
      <c r="Z1785">
        <v>19768605</v>
      </c>
      <c r="AA1785" t="s">
        <v>7031</v>
      </c>
      <c r="AB1785" t="s">
        <v>2551</v>
      </c>
      <c r="AC1785" t="s">
        <v>3332</v>
      </c>
      <c r="AD1785" t="s">
        <v>17132</v>
      </c>
      <c r="AE1785" t="s">
        <v>7941</v>
      </c>
      <c r="AF1785" t="s">
        <v>17134</v>
      </c>
      <c r="AG1785" t="s">
        <v>17135</v>
      </c>
      <c r="AI1785" t="s">
        <v>17136</v>
      </c>
      <c r="AM1785" t="s">
        <v>2629</v>
      </c>
      <c r="AN1785" t="s">
        <v>2052</v>
      </c>
      <c r="AO1785" t="s">
        <v>17137</v>
      </c>
      <c r="AP1785" t="s">
        <v>7024</v>
      </c>
      <c r="AT1785" s="184"/>
      <c r="AW1785" s="184"/>
      <c r="AZ1785" s="184"/>
      <c r="BP1785" s="184"/>
    </row>
    <row r="1786" spans="1:68">
      <c r="A1786">
        <v>19771591</v>
      </c>
      <c r="B1786">
        <v>19771591</v>
      </c>
      <c r="C1786" t="s">
        <v>7018</v>
      </c>
      <c r="E1786" s="184"/>
      <c r="G1786" s="184"/>
      <c r="I1786" s="184"/>
      <c r="J1786" t="s">
        <v>595</v>
      </c>
      <c r="K1786" s="184">
        <v>39066</v>
      </c>
      <c r="O1786" s="184"/>
      <c r="P1786" t="s">
        <v>7045</v>
      </c>
      <c r="Q1786" t="s">
        <v>7494</v>
      </c>
      <c r="R1786" s="184">
        <v>13150</v>
      </c>
      <c r="S1786">
        <v>88</v>
      </c>
      <c r="V1786" t="s">
        <v>3246</v>
      </c>
      <c r="X1786" t="s">
        <v>3716</v>
      </c>
      <c r="Z1786">
        <v>100053915</v>
      </c>
      <c r="AB1786" t="s">
        <v>17142</v>
      </c>
      <c r="AD1786" t="s">
        <v>3716</v>
      </c>
      <c r="AF1786" t="s">
        <v>6281</v>
      </c>
      <c r="AG1786" t="s">
        <v>17143</v>
      </c>
      <c r="AI1786" t="s">
        <v>17144</v>
      </c>
      <c r="AM1786" t="s">
        <v>4006</v>
      </c>
      <c r="AN1786" t="s">
        <v>2174</v>
      </c>
      <c r="AO1786" t="s">
        <v>17145</v>
      </c>
      <c r="AP1786" t="s">
        <v>7024</v>
      </c>
      <c r="AQ1786" t="s">
        <v>17146</v>
      </c>
      <c r="AT1786" s="184">
        <v>34961</v>
      </c>
      <c r="AU1786" t="s">
        <v>17147</v>
      </c>
      <c r="AV1786">
        <v>15</v>
      </c>
      <c r="AW1786" s="184">
        <v>45289</v>
      </c>
      <c r="AX1786" t="s">
        <v>9378</v>
      </c>
      <c r="AY1786">
        <v>25</v>
      </c>
      <c r="AZ1786" s="184">
        <v>43802</v>
      </c>
      <c r="BA1786" t="s">
        <v>17148</v>
      </c>
      <c r="BB1786">
        <v>150</v>
      </c>
      <c r="BC1786">
        <v>77</v>
      </c>
      <c r="BD1786">
        <v>2002</v>
      </c>
      <c r="BE1786">
        <v>1996</v>
      </c>
      <c r="BF1786">
        <v>47</v>
      </c>
      <c r="BG1786">
        <v>1</v>
      </c>
      <c r="BH1786">
        <v>25</v>
      </c>
      <c r="BI1786">
        <v>23</v>
      </c>
      <c r="BJ1786">
        <v>30</v>
      </c>
      <c r="BK1786">
        <v>17</v>
      </c>
      <c r="BP1786" s="184"/>
    </row>
    <row r="1787" spans="1:68">
      <c r="A1787">
        <v>100053915</v>
      </c>
      <c r="B1787">
        <v>19771591</v>
      </c>
      <c r="C1787" t="s">
        <v>7018</v>
      </c>
      <c r="E1787" s="184"/>
      <c r="G1787" s="184"/>
      <c r="I1787" s="184"/>
      <c r="J1787" t="s">
        <v>595</v>
      </c>
      <c r="K1787" s="184">
        <v>43691</v>
      </c>
      <c r="M1787" s="184"/>
      <c r="O1787" s="184"/>
      <c r="P1787" t="s">
        <v>7045</v>
      </c>
      <c r="Q1787" t="s">
        <v>7494</v>
      </c>
      <c r="R1787" s="184"/>
      <c r="V1787" t="s">
        <v>17142</v>
      </c>
      <c r="X1787" t="s">
        <v>3716</v>
      </c>
      <c r="Z1787">
        <v>19771591</v>
      </c>
      <c r="AB1787" t="s">
        <v>3246</v>
      </c>
      <c r="AD1787" t="s">
        <v>3716</v>
      </c>
      <c r="AF1787" t="s">
        <v>6281</v>
      </c>
      <c r="AG1787" t="s">
        <v>17143</v>
      </c>
      <c r="AI1787" t="s">
        <v>17144</v>
      </c>
      <c r="AM1787" t="s">
        <v>4006</v>
      </c>
      <c r="AN1787" t="s">
        <v>2174</v>
      </c>
      <c r="AO1787" t="s">
        <v>17145</v>
      </c>
      <c r="AP1787" t="s">
        <v>7024</v>
      </c>
      <c r="AT1787" s="184"/>
      <c r="AW1787" s="184"/>
      <c r="AZ1787" s="184"/>
      <c r="BP1787" s="184"/>
    </row>
    <row r="1788" spans="1:68">
      <c r="A1788">
        <v>19789007</v>
      </c>
      <c r="B1788">
        <v>19789007</v>
      </c>
      <c r="C1788" t="s">
        <v>7018</v>
      </c>
      <c r="D1788" t="s">
        <v>595</v>
      </c>
      <c r="E1788" s="184">
        <v>43620</v>
      </c>
      <c r="G1788" s="184"/>
      <c r="I1788" s="184"/>
      <c r="K1788" s="184"/>
      <c r="O1788" s="184"/>
      <c r="P1788" t="s">
        <v>7045</v>
      </c>
      <c r="Q1788" t="s">
        <v>7383</v>
      </c>
      <c r="R1788" s="184">
        <v>18749</v>
      </c>
      <c r="S1788">
        <v>73</v>
      </c>
      <c r="U1788" t="s">
        <v>7031</v>
      </c>
      <c r="V1788" t="s">
        <v>2908</v>
      </c>
      <c r="X1788" t="s">
        <v>2909</v>
      </c>
      <c r="AF1788" t="s">
        <v>17149</v>
      </c>
      <c r="AG1788" t="s">
        <v>2908</v>
      </c>
      <c r="AI1788" t="s">
        <v>17150</v>
      </c>
      <c r="AM1788" t="s">
        <v>2910</v>
      </c>
      <c r="AN1788" t="s">
        <v>2274</v>
      </c>
      <c r="AO1788" t="s">
        <v>17151</v>
      </c>
      <c r="AP1788" t="s">
        <v>7024</v>
      </c>
      <c r="AQ1788" t="s">
        <v>17152</v>
      </c>
      <c r="AT1788" s="184">
        <v>34962</v>
      </c>
      <c r="AU1788" t="s">
        <v>17088</v>
      </c>
      <c r="AV1788">
        <v>15</v>
      </c>
      <c r="AW1788" s="184">
        <v>45308</v>
      </c>
      <c r="AX1788" t="s">
        <v>12156</v>
      </c>
      <c r="AY1788">
        <v>25</v>
      </c>
      <c r="AZ1788" s="184">
        <v>43033</v>
      </c>
      <c r="BA1788" t="s">
        <v>17153</v>
      </c>
      <c r="BB1788">
        <v>60</v>
      </c>
      <c r="BC1788">
        <v>100</v>
      </c>
      <c r="BD1788">
        <v>1551</v>
      </c>
      <c r="BE1788">
        <v>1996</v>
      </c>
      <c r="BF1788">
        <v>79</v>
      </c>
      <c r="BG1788">
        <v>5</v>
      </c>
      <c r="BH1788">
        <v>115</v>
      </c>
      <c r="BI1788">
        <v>30</v>
      </c>
      <c r="BJ1788">
        <v>30</v>
      </c>
      <c r="BK1788">
        <v>30</v>
      </c>
      <c r="BP1788" s="184"/>
    </row>
    <row r="1789" spans="1:68">
      <c r="A1789">
        <v>19799196</v>
      </c>
      <c r="B1789">
        <v>19799196</v>
      </c>
      <c r="C1789" t="s">
        <v>7018</v>
      </c>
      <c r="E1789" s="184"/>
      <c r="G1789" s="184"/>
      <c r="I1789" s="184"/>
      <c r="J1789" t="s">
        <v>595</v>
      </c>
      <c r="K1789" s="184">
        <v>40877</v>
      </c>
      <c r="O1789" s="184"/>
      <c r="P1789" t="s">
        <v>7045</v>
      </c>
      <c r="Q1789" t="s">
        <v>7030</v>
      </c>
      <c r="R1789" s="184">
        <v>19238</v>
      </c>
      <c r="S1789">
        <v>71</v>
      </c>
      <c r="V1789" t="s">
        <v>3230</v>
      </c>
      <c r="X1789" t="s">
        <v>17154</v>
      </c>
      <c r="Z1789">
        <v>100054017</v>
      </c>
      <c r="AB1789" t="s">
        <v>2871</v>
      </c>
      <c r="AD1789" t="s">
        <v>17154</v>
      </c>
      <c r="AF1789" t="s">
        <v>17155</v>
      </c>
      <c r="AG1789" t="s">
        <v>17156</v>
      </c>
      <c r="AI1789" t="s">
        <v>17157</v>
      </c>
      <c r="AM1789" t="s">
        <v>17051</v>
      </c>
      <c r="AN1789" t="s">
        <v>2089</v>
      </c>
      <c r="AO1789" t="s">
        <v>17158</v>
      </c>
      <c r="AP1789" t="s">
        <v>7024</v>
      </c>
      <c r="AQ1789" t="s">
        <v>17159</v>
      </c>
      <c r="AT1789" s="184">
        <v>34964</v>
      </c>
      <c r="AU1789" t="s">
        <v>17088</v>
      </c>
      <c r="AV1789">
        <v>25</v>
      </c>
      <c r="AW1789" s="184">
        <v>45211</v>
      </c>
      <c r="AX1789" t="s">
        <v>8383</v>
      </c>
      <c r="AY1789">
        <v>150</v>
      </c>
      <c r="AZ1789" s="184">
        <v>45211</v>
      </c>
      <c r="BA1789" t="s">
        <v>8383</v>
      </c>
      <c r="BB1789">
        <v>150</v>
      </c>
      <c r="BC1789">
        <v>47</v>
      </c>
      <c r="BD1789">
        <v>1475</v>
      </c>
      <c r="BE1789">
        <v>1996</v>
      </c>
      <c r="BF1789">
        <v>65</v>
      </c>
      <c r="BG1789">
        <v>2</v>
      </c>
      <c r="BH1789">
        <v>300</v>
      </c>
      <c r="BI1789">
        <v>14</v>
      </c>
      <c r="BJ1789">
        <v>30</v>
      </c>
      <c r="BK1789">
        <v>11</v>
      </c>
      <c r="BP1789" s="184"/>
    </row>
    <row r="1790" spans="1:68">
      <c r="A1790">
        <v>100054017</v>
      </c>
      <c r="B1790">
        <v>19799196</v>
      </c>
      <c r="C1790" t="s">
        <v>7018</v>
      </c>
      <c r="E1790" s="184"/>
      <c r="G1790" s="184"/>
      <c r="I1790" s="184"/>
      <c r="J1790" t="s">
        <v>595</v>
      </c>
      <c r="K1790" s="184">
        <v>40877</v>
      </c>
      <c r="O1790" s="184"/>
      <c r="P1790" t="s">
        <v>7045</v>
      </c>
      <c r="Q1790" t="s">
        <v>7030</v>
      </c>
      <c r="R1790" s="184">
        <v>18902</v>
      </c>
      <c r="S1790">
        <v>72</v>
      </c>
      <c r="V1790" t="s">
        <v>2871</v>
      </c>
      <c r="X1790" t="s">
        <v>17154</v>
      </c>
      <c r="Z1790">
        <v>19799196</v>
      </c>
      <c r="AB1790" t="s">
        <v>3230</v>
      </c>
      <c r="AD1790" t="s">
        <v>17154</v>
      </c>
      <c r="AF1790" t="s">
        <v>17155</v>
      </c>
      <c r="AG1790" t="s">
        <v>17156</v>
      </c>
      <c r="AI1790" t="s">
        <v>17157</v>
      </c>
      <c r="AM1790" t="s">
        <v>17051</v>
      </c>
      <c r="AN1790" t="s">
        <v>2089</v>
      </c>
      <c r="AO1790" t="s">
        <v>17158</v>
      </c>
      <c r="AP1790" t="s">
        <v>7024</v>
      </c>
      <c r="AT1790" s="184"/>
      <c r="AW1790" s="184"/>
      <c r="AZ1790" s="184"/>
      <c r="BP1790" s="184"/>
    </row>
    <row r="1791" spans="1:68">
      <c r="A1791">
        <v>19828797</v>
      </c>
      <c r="B1791">
        <v>19828797</v>
      </c>
      <c r="C1791" t="s">
        <v>7018</v>
      </c>
      <c r="D1791" t="s">
        <v>595</v>
      </c>
      <c r="E1791" s="184">
        <v>44104</v>
      </c>
      <c r="G1791" s="184"/>
      <c r="I1791" s="184"/>
      <c r="K1791" s="184"/>
      <c r="O1791" s="184"/>
      <c r="P1791" t="s">
        <v>7019</v>
      </c>
      <c r="Q1791" t="s">
        <v>7454</v>
      </c>
      <c r="R1791" s="184">
        <v>18026</v>
      </c>
      <c r="S1791">
        <v>75</v>
      </c>
      <c r="V1791" t="s">
        <v>12204</v>
      </c>
      <c r="X1791" t="s">
        <v>17160</v>
      </c>
      <c r="AF1791" t="s">
        <v>17161</v>
      </c>
      <c r="AG1791" t="s">
        <v>12204</v>
      </c>
      <c r="AI1791" t="s">
        <v>17162</v>
      </c>
      <c r="AM1791" t="s">
        <v>17163</v>
      </c>
      <c r="AN1791" t="s">
        <v>2055</v>
      </c>
      <c r="AO1791" t="s">
        <v>17164</v>
      </c>
      <c r="AP1791" t="s">
        <v>7024</v>
      </c>
      <c r="AQ1791" t="s">
        <v>17165</v>
      </c>
      <c r="AT1791" s="184">
        <v>34967</v>
      </c>
      <c r="AU1791" t="s">
        <v>17166</v>
      </c>
      <c r="AV1791">
        <v>15</v>
      </c>
      <c r="AW1791" s="184">
        <v>41943</v>
      </c>
      <c r="AX1791" t="s">
        <v>17167</v>
      </c>
      <c r="AY1791">
        <v>60</v>
      </c>
      <c r="AZ1791" s="184">
        <v>41943</v>
      </c>
      <c r="BA1791" t="s">
        <v>17167</v>
      </c>
      <c r="BB1791">
        <v>60</v>
      </c>
      <c r="BC1791">
        <v>64</v>
      </c>
      <c r="BD1791">
        <v>428</v>
      </c>
      <c r="BE1791">
        <v>1996</v>
      </c>
      <c r="BF1791">
        <v>25</v>
      </c>
      <c r="BI1791">
        <v>19</v>
      </c>
      <c r="BJ1791">
        <v>30</v>
      </c>
      <c r="BK1791">
        <v>14</v>
      </c>
    </row>
    <row r="1792" spans="1:68">
      <c r="A1792">
        <v>19834894</v>
      </c>
      <c r="B1792">
        <v>19834894</v>
      </c>
      <c r="C1792" t="s">
        <v>7018</v>
      </c>
      <c r="D1792" t="s">
        <v>595</v>
      </c>
      <c r="E1792" s="184">
        <v>44073</v>
      </c>
      <c r="G1792" s="184"/>
      <c r="I1792" s="184"/>
      <c r="K1792" s="184"/>
      <c r="O1792" s="184"/>
      <c r="P1792" t="s">
        <v>7045</v>
      </c>
      <c r="Q1792" t="s">
        <v>7383</v>
      </c>
      <c r="R1792" s="184">
        <v>20483</v>
      </c>
      <c r="S1792">
        <v>68</v>
      </c>
      <c r="U1792" t="s">
        <v>7031</v>
      </c>
      <c r="V1792" t="s">
        <v>4044</v>
      </c>
      <c r="X1792" t="s">
        <v>17168</v>
      </c>
      <c r="AF1792" t="s">
        <v>17169</v>
      </c>
      <c r="AG1792" t="s">
        <v>4044</v>
      </c>
      <c r="AI1792" t="s">
        <v>17170</v>
      </c>
      <c r="AM1792" t="s">
        <v>17171</v>
      </c>
      <c r="AN1792" t="s">
        <v>2185</v>
      </c>
      <c r="AO1792" t="s">
        <v>17172</v>
      </c>
      <c r="AP1792" t="s">
        <v>7024</v>
      </c>
      <c r="AQ1792" t="s">
        <v>17173</v>
      </c>
      <c r="AT1792" s="184">
        <v>34968</v>
      </c>
      <c r="AU1792" t="s">
        <v>17111</v>
      </c>
      <c r="AV1792">
        <v>15</v>
      </c>
      <c r="AW1792" s="184">
        <v>45185</v>
      </c>
      <c r="AX1792" t="s">
        <v>17174</v>
      </c>
      <c r="AY1792">
        <v>50</v>
      </c>
      <c r="AZ1792" s="184">
        <v>44821</v>
      </c>
      <c r="BA1792" t="s">
        <v>7832</v>
      </c>
      <c r="BB1792">
        <v>100</v>
      </c>
      <c r="BC1792">
        <v>90</v>
      </c>
      <c r="BD1792">
        <v>1865</v>
      </c>
      <c r="BE1792">
        <v>1996</v>
      </c>
      <c r="BF1792">
        <v>34</v>
      </c>
      <c r="BG1792">
        <v>2</v>
      </c>
      <c r="BH1792">
        <v>150</v>
      </c>
      <c r="BI1792">
        <v>27</v>
      </c>
      <c r="BJ1792">
        <v>30</v>
      </c>
      <c r="BK1792">
        <v>19</v>
      </c>
    </row>
    <row r="1793" spans="1:68">
      <c r="A1793">
        <v>19861863</v>
      </c>
      <c r="B1793">
        <v>19861863</v>
      </c>
      <c r="C1793" t="s">
        <v>7018</v>
      </c>
      <c r="D1793" t="s">
        <v>595</v>
      </c>
      <c r="E1793" s="184">
        <v>44167</v>
      </c>
      <c r="G1793" s="184"/>
      <c r="I1793" s="184"/>
      <c r="K1793" s="184"/>
      <c r="O1793" s="184"/>
      <c r="P1793" t="s">
        <v>7045</v>
      </c>
      <c r="Q1793" t="s">
        <v>7160</v>
      </c>
      <c r="R1793" s="184">
        <v>13394</v>
      </c>
      <c r="S1793">
        <v>87</v>
      </c>
      <c r="V1793" t="s">
        <v>17175</v>
      </c>
      <c r="X1793" t="s">
        <v>17176</v>
      </c>
      <c r="AF1793" t="s">
        <v>17177</v>
      </c>
      <c r="AG1793" t="s">
        <v>5990</v>
      </c>
      <c r="AI1793" t="s">
        <v>17178</v>
      </c>
      <c r="AM1793" t="s">
        <v>5104</v>
      </c>
      <c r="AN1793" t="s">
        <v>2176</v>
      </c>
      <c r="AO1793" t="s">
        <v>17179</v>
      </c>
      <c r="AP1793" t="s">
        <v>7024</v>
      </c>
      <c r="AQ1793" t="s">
        <v>17180</v>
      </c>
      <c r="AT1793" s="184">
        <v>34975</v>
      </c>
      <c r="AU1793" t="s">
        <v>17181</v>
      </c>
      <c r="AV1793">
        <v>25</v>
      </c>
      <c r="AW1793" s="184">
        <v>45202</v>
      </c>
      <c r="AX1793" t="s">
        <v>17182</v>
      </c>
      <c r="AY1793">
        <v>100</v>
      </c>
      <c r="AZ1793" s="184">
        <v>45202</v>
      </c>
      <c r="BA1793" t="s">
        <v>17182</v>
      </c>
      <c r="BB1793">
        <v>100</v>
      </c>
      <c r="BC1793">
        <v>80</v>
      </c>
      <c r="BD1793">
        <v>1805</v>
      </c>
      <c r="BE1793">
        <v>1996</v>
      </c>
      <c r="BF1793">
        <v>31</v>
      </c>
      <c r="BG1793">
        <v>1</v>
      </c>
      <c r="BH1793">
        <v>100</v>
      </c>
      <c r="BI1793">
        <v>24</v>
      </c>
      <c r="BJ1793">
        <v>30</v>
      </c>
      <c r="BK1793">
        <v>15</v>
      </c>
      <c r="BP1793" s="184"/>
    </row>
    <row r="1794" spans="1:68">
      <c r="A1794">
        <v>19862671</v>
      </c>
      <c r="B1794">
        <v>19862671</v>
      </c>
      <c r="C1794" t="s">
        <v>7018</v>
      </c>
      <c r="D1794" t="s">
        <v>595</v>
      </c>
      <c r="E1794" s="184">
        <v>43857</v>
      </c>
      <c r="G1794" s="184"/>
      <c r="I1794" s="184"/>
      <c r="K1794" s="184"/>
      <c r="O1794" s="184"/>
      <c r="P1794" t="s">
        <v>7045</v>
      </c>
      <c r="Q1794" t="s">
        <v>7194</v>
      </c>
      <c r="R1794" s="184">
        <v>13016</v>
      </c>
      <c r="S1794">
        <v>88</v>
      </c>
      <c r="V1794" t="s">
        <v>3384</v>
      </c>
      <c r="X1794" t="s">
        <v>4555</v>
      </c>
      <c r="Y1794" t="s">
        <v>17183</v>
      </c>
      <c r="AF1794" t="s">
        <v>17184</v>
      </c>
      <c r="AG1794" t="s">
        <v>3384</v>
      </c>
      <c r="AI1794" t="s">
        <v>17185</v>
      </c>
      <c r="AM1794" t="s">
        <v>4359</v>
      </c>
      <c r="AN1794" t="s">
        <v>2046</v>
      </c>
      <c r="AO1794" t="s">
        <v>17186</v>
      </c>
      <c r="AP1794" t="s">
        <v>7024</v>
      </c>
      <c r="AQ1794" t="s">
        <v>17187</v>
      </c>
      <c r="AR1794" t="s">
        <v>17188</v>
      </c>
      <c r="AT1794" s="184">
        <v>34976</v>
      </c>
      <c r="AU1794" t="s">
        <v>17189</v>
      </c>
      <c r="AV1794">
        <v>25</v>
      </c>
      <c r="AW1794" s="184">
        <v>44684</v>
      </c>
      <c r="AX1794" t="s">
        <v>9081</v>
      </c>
      <c r="AY1794">
        <v>50</v>
      </c>
      <c r="AZ1794" s="184">
        <v>40393</v>
      </c>
      <c r="BA1794" t="s">
        <v>17190</v>
      </c>
      <c r="BB1794">
        <v>60</v>
      </c>
      <c r="BC1794">
        <v>84</v>
      </c>
      <c r="BD1794">
        <v>1000</v>
      </c>
      <c r="BE1794">
        <v>1996</v>
      </c>
      <c r="BF1794">
        <v>30</v>
      </c>
      <c r="BG1794">
        <v>1</v>
      </c>
      <c r="BH1794">
        <v>50</v>
      </c>
      <c r="BI1794">
        <v>25</v>
      </c>
      <c r="BJ1794">
        <v>30</v>
      </c>
      <c r="BK1794">
        <v>16</v>
      </c>
    </row>
    <row r="1795" spans="1:68">
      <c r="A1795">
        <v>19866623</v>
      </c>
      <c r="B1795">
        <v>19866623</v>
      </c>
      <c r="C1795" t="s">
        <v>7018</v>
      </c>
      <c r="D1795" t="s">
        <v>595</v>
      </c>
      <c r="E1795" s="184">
        <v>44073</v>
      </c>
      <c r="G1795" s="184"/>
      <c r="I1795" s="184"/>
      <c r="K1795" s="184"/>
      <c r="O1795" s="184"/>
      <c r="P1795" t="s">
        <v>7045</v>
      </c>
      <c r="Q1795" t="s">
        <v>7020</v>
      </c>
      <c r="R1795" s="184">
        <v>16213</v>
      </c>
      <c r="S1795">
        <v>79</v>
      </c>
      <c r="U1795" t="s">
        <v>7031</v>
      </c>
      <c r="V1795" t="s">
        <v>2697</v>
      </c>
      <c r="X1795" t="s">
        <v>17191</v>
      </c>
      <c r="AF1795" t="s">
        <v>17192</v>
      </c>
      <c r="AG1795" t="s">
        <v>2697</v>
      </c>
      <c r="AI1795" t="s">
        <v>17193</v>
      </c>
      <c r="AM1795" t="s">
        <v>17194</v>
      </c>
      <c r="AN1795" t="s">
        <v>2112</v>
      </c>
      <c r="AO1795" t="s">
        <v>17195</v>
      </c>
      <c r="AP1795" t="s">
        <v>7024</v>
      </c>
      <c r="AQ1795" t="s">
        <v>17196</v>
      </c>
      <c r="AR1795" t="s">
        <v>17197</v>
      </c>
      <c r="AT1795" s="184">
        <v>34975</v>
      </c>
      <c r="AU1795" t="s">
        <v>17198</v>
      </c>
      <c r="AV1795">
        <v>15</v>
      </c>
      <c r="AW1795" s="184">
        <v>41855</v>
      </c>
      <c r="AX1795" t="s">
        <v>8035</v>
      </c>
      <c r="AY1795">
        <v>25</v>
      </c>
      <c r="AZ1795" s="184">
        <v>37484</v>
      </c>
      <c r="BA1795" t="s">
        <v>11718</v>
      </c>
      <c r="BB1795">
        <v>50</v>
      </c>
      <c r="BC1795">
        <v>67</v>
      </c>
      <c r="BD1795">
        <v>855</v>
      </c>
      <c r="BE1795">
        <v>1996</v>
      </c>
      <c r="BF1795">
        <v>37</v>
      </c>
      <c r="BI1795">
        <v>20</v>
      </c>
      <c r="BJ1795">
        <v>30</v>
      </c>
      <c r="BK1795">
        <v>20</v>
      </c>
    </row>
    <row r="1796" spans="1:68">
      <c r="A1796">
        <v>19899012</v>
      </c>
      <c r="B1796">
        <v>19899012</v>
      </c>
      <c r="C1796" t="s">
        <v>7018</v>
      </c>
      <c r="D1796" t="s">
        <v>595</v>
      </c>
      <c r="E1796" s="184">
        <v>43864</v>
      </c>
      <c r="G1796" s="184"/>
      <c r="I1796" s="184"/>
      <c r="K1796" s="184"/>
      <c r="O1796" s="184"/>
      <c r="P1796" t="s">
        <v>7045</v>
      </c>
      <c r="Q1796" t="s">
        <v>7262</v>
      </c>
      <c r="R1796" s="184">
        <v>17868</v>
      </c>
      <c r="S1796">
        <v>75</v>
      </c>
      <c r="U1796" t="s">
        <v>7130</v>
      </c>
      <c r="V1796" t="s">
        <v>3593</v>
      </c>
      <c r="X1796" t="s">
        <v>4702</v>
      </c>
      <c r="AF1796" t="s">
        <v>17199</v>
      </c>
      <c r="AG1796" t="s">
        <v>3593</v>
      </c>
      <c r="AI1796" t="s">
        <v>17200</v>
      </c>
      <c r="AM1796" t="s">
        <v>4657</v>
      </c>
      <c r="AN1796" t="s">
        <v>2069</v>
      </c>
      <c r="AO1796" t="s">
        <v>17201</v>
      </c>
      <c r="AP1796" t="s">
        <v>7024</v>
      </c>
      <c r="AQ1796" t="s">
        <v>17202</v>
      </c>
      <c r="AT1796" s="184">
        <v>34988</v>
      </c>
      <c r="AU1796" t="s">
        <v>17104</v>
      </c>
      <c r="AV1796">
        <v>50</v>
      </c>
      <c r="AW1796" s="184">
        <v>45019</v>
      </c>
      <c r="AX1796" t="s">
        <v>17203</v>
      </c>
      <c r="AY1796">
        <v>100</v>
      </c>
      <c r="AZ1796" s="184">
        <v>44566</v>
      </c>
      <c r="BA1796" t="s">
        <v>10184</v>
      </c>
      <c r="BB1796">
        <v>125</v>
      </c>
      <c r="BC1796">
        <v>77</v>
      </c>
      <c r="BD1796">
        <v>2261</v>
      </c>
      <c r="BE1796">
        <v>1996</v>
      </c>
      <c r="BF1796">
        <v>31</v>
      </c>
      <c r="BG1796">
        <v>1</v>
      </c>
      <c r="BH1796">
        <v>100</v>
      </c>
      <c r="BI1796">
        <v>23</v>
      </c>
      <c r="BJ1796">
        <v>30</v>
      </c>
      <c r="BK1796">
        <v>10</v>
      </c>
    </row>
    <row r="1797" spans="1:68">
      <c r="A1797">
        <v>19930171</v>
      </c>
      <c r="B1797">
        <v>19930171</v>
      </c>
      <c r="C1797" t="s">
        <v>7018</v>
      </c>
      <c r="D1797" t="s">
        <v>595</v>
      </c>
      <c r="E1797" s="184">
        <v>44120</v>
      </c>
      <c r="G1797" s="184"/>
      <c r="I1797" s="184"/>
      <c r="K1797" s="184"/>
      <c r="M1797" s="184"/>
      <c r="O1797" s="184"/>
      <c r="P1797" t="s">
        <v>7045</v>
      </c>
      <c r="Q1797" t="s">
        <v>7020</v>
      </c>
      <c r="R1797" s="184">
        <v>13935</v>
      </c>
      <c r="S1797">
        <v>86</v>
      </c>
      <c r="U1797" t="s">
        <v>7130</v>
      </c>
      <c r="V1797" t="s">
        <v>12216</v>
      </c>
      <c r="X1797" t="s">
        <v>2706</v>
      </c>
      <c r="AF1797" t="s">
        <v>17204</v>
      </c>
      <c r="AG1797" t="s">
        <v>12216</v>
      </c>
      <c r="AI1797" t="s">
        <v>17205</v>
      </c>
      <c r="AM1797" t="s">
        <v>17206</v>
      </c>
      <c r="AN1797" t="s">
        <v>2112</v>
      </c>
      <c r="AO1797" t="s">
        <v>17207</v>
      </c>
      <c r="AP1797" t="s">
        <v>7024</v>
      </c>
      <c r="AT1797" s="184">
        <v>34990</v>
      </c>
      <c r="AU1797" t="s">
        <v>17208</v>
      </c>
      <c r="AV1797">
        <v>20</v>
      </c>
      <c r="AW1797" s="184">
        <v>45401</v>
      </c>
      <c r="AX1797" t="s">
        <v>7524</v>
      </c>
      <c r="AY1797">
        <v>50</v>
      </c>
      <c r="AZ1797" s="184">
        <v>44099</v>
      </c>
      <c r="BA1797" t="s">
        <v>12866</v>
      </c>
      <c r="BB1797">
        <v>87</v>
      </c>
      <c r="BC1797">
        <v>97</v>
      </c>
      <c r="BD1797">
        <v>2237</v>
      </c>
      <c r="BE1797">
        <v>1996</v>
      </c>
      <c r="BF1797">
        <v>79</v>
      </c>
      <c r="BG1797">
        <v>5</v>
      </c>
      <c r="BH1797">
        <v>250</v>
      </c>
      <c r="BI1797">
        <v>29</v>
      </c>
      <c r="BJ1797">
        <v>30</v>
      </c>
      <c r="BK1797">
        <v>27</v>
      </c>
    </row>
    <row r="1798" spans="1:68">
      <c r="A1798">
        <v>19934827</v>
      </c>
      <c r="B1798">
        <v>19934827</v>
      </c>
      <c r="C1798" t="s">
        <v>7018</v>
      </c>
      <c r="D1798" t="s">
        <v>595</v>
      </c>
      <c r="E1798" s="184">
        <v>44073</v>
      </c>
      <c r="G1798" s="184"/>
      <c r="I1798" s="184"/>
      <c r="K1798" s="184"/>
      <c r="O1798" s="184"/>
      <c r="P1798" t="s">
        <v>7045</v>
      </c>
      <c r="Q1798" t="s">
        <v>7020</v>
      </c>
      <c r="R1798" s="184">
        <v>18872</v>
      </c>
      <c r="S1798">
        <v>72</v>
      </c>
      <c r="U1798" t="s">
        <v>7031</v>
      </c>
      <c r="V1798" t="s">
        <v>3228</v>
      </c>
      <c r="W1798" t="s">
        <v>4152</v>
      </c>
      <c r="X1798" t="s">
        <v>17209</v>
      </c>
      <c r="AF1798" t="s">
        <v>17210</v>
      </c>
      <c r="AG1798" t="s">
        <v>3228</v>
      </c>
      <c r="AI1798" t="s">
        <v>17211</v>
      </c>
      <c r="AM1798" t="s">
        <v>17212</v>
      </c>
      <c r="AN1798" t="s">
        <v>2240</v>
      </c>
      <c r="AO1798" t="s">
        <v>17213</v>
      </c>
      <c r="AP1798" t="s">
        <v>7024</v>
      </c>
      <c r="AQ1798" t="s">
        <v>17214</v>
      </c>
      <c r="AT1798" s="184">
        <v>34990</v>
      </c>
      <c r="AU1798" t="s">
        <v>17215</v>
      </c>
      <c r="AV1798">
        <v>25</v>
      </c>
      <c r="AW1798" s="184">
        <v>45175</v>
      </c>
      <c r="AX1798" t="s">
        <v>7245</v>
      </c>
      <c r="AY1798">
        <v>50</v>
      </c>
      <c r="AZ1798" s="184">
        <v>45175</v>
      </c>
      <c r="BA1798" t="s">
        <v>7245</v>
      </c>
      <c r="BB1798">
        <v>50</v>
      </c>
      <c r="BC1798">
        <v>97</v>
      </c>
      <c r="BD1798">
        <v>1360</v>
      </c>
      <c r="BE1798">
        <v>1996</v>
      </c>
      <c r="BF1798">
        <v>31</v>
      </c>
      <c r="BG1798">
        <v>2</v>
      </c>
      <c r="BH1798">
        <v>100</v>
      </c>
      <c r="BI1798">
        <v>29</v>
      </c>
      <c r="BJ1798">
        <v>30</v>
      </c>
      <c r="BK1798">
        <v>29</v>
      </c>
      <c r="BP1798" s="184"/>
    </row>
    <row r="1799" spans="1:68">
      <c r="A1799">
        <v>19952837</v>
      </c>
      <c r="B1799">
        <v>19952837</v>
      </c>
      <c r="C1799" t="s">
        <v>7018</v>
      </c>
      <c r="D1799" t="s">
        <v>595</v>
      </c>
      <c r="E1799" s="184">
        <v>44167</v>
      </c>
      <c r="G1799" s="184"/>
      <c r="K1799" s="184"/>
      <c r="M1799" s="184"/>
      <c r="O1799" s="184"/>
      <c r="P1799" t="s">
        <v>7045</v>
      </c>
      <c r="Q1799" t="s">
        <v>7262</v>
      </c>
      <c r="R1799" s="184">
        <v>17277</v>
      </c>
      <c r="S1799">
        <v>77</v>
      </c>
      <c r="U1799" t="s">
        <v>7031</v>
      </c>
      <c r="V1799" t="s">
        <v>3254</v>
      </c>
      <c r="W1799" t="s">
        <v>4382</v>
      </c>
      <c r="X1799" t="s">
        <v>17216</v>
      </c>
      <c r="AF1799" t="s">
        <v>17217</v>
      </c>
      <c r="AG1799" t="s">
        <v>3254</v>
      </c>
      <c r="AI1799" t="s">
        <v>17218</v>
      </c>
      <c r="AM1799" t="s">
        <v>17219</v>
      </c>
      <c r="AN1799" t="s">
        <v>2069</v>
      </c>
      <c r="AO1799" t="s">
        <v>17220</v>
      </c>
      <c r="AP1799" t="s">
        <v>7024</v>
      </c>
      <c r="AQ1799" t="s">
        <v>17221</v>
      </c>
      <c r="AR1799" t="s">
        <v>17222</v>
      </c>
      <c r="AT1799" s="184">
        <v>34992</v>
      </c>
      <c r="AU1799" t="s">
        <v>17223</v>
      </c>
      <c r="AV1799">
        <v>20</v>
      </c>
      <c r="AW1799" s="184">
        <v>45345</v>
      </c>
      <c r="AX1799" t="s">
        <v>16580</v>
      </c>
      <c r="AY1799">
        <v>25</v>
      </c>
      <c r="AZ1799" s="184">
        <v>44216</v>
      </c>
      <c r="BA1799" t="s">
        <v>14007</v>
      </c>
      <c r="BB1799">
        <v>60</v>
      </c>
      <c r="BC1799">
        <v>74</v>
      </c>
      <c r="BD1799">
        <v>910</v>
      </c>
      <c r="BE1799">
        <v>1996</v>
      </c>
      <c r="BF1799">
        <v>39</v>
      </c>
      <c r="BG1799">
        <v>2</v>
      </c>
      <c r="BH1799">
        <v>50</v>
      </c>
      <c r="BI1799">
        <v>22</v>
      </c>
      <c r="BJ1799">
        <v>30</v>
      </c>
      <c r="BK1799">
        <v>5</v>
      </c>
      <c r="BN1799" t="s">
        <v>595</v>
      </c>
      <c r="BP1799" s="184"/>
    </row>
    <row r="1800" spans="1:68">
      <c r="A1800">
        <v>19963776</v>
      </c>
      <c r="B1800">
        <v>19963776</v>
      </c>
      <c r="C1800" t="s">
        <v>7018</v>
      </c>
      <c r="E1800" s="184"/>
      <c r="F1800" t="s">
        <v>595</v>
      </c>
      <c r="G1800" s="184">
        <v>44167</v>
      </c>
      <c r="I1800" s="184"/>
      <c r="K1800" s="184"/>
      <c r="M1800" s="184"/>
      <c r="O1800" s="184"/>
      <c r="P1800" t="s">
        <v>7045</v>
      </c>
      <c r="Q1800" t="s">
        <v>7262</v>
      </c>
      <c r="R1800" s="184">
        <v>16420</v>
      </c>
      <c r="S1800">
        <v>79</v>
      </c>
      <c r="U1800" t="s">
        <v>7031</v>
      </c>
      <c r="V1800" t="s">
        <v>3134</v>
      </c>
      <c r="X1800" t="s">
        <v>3938</v>
      </c>
      <c r="Y1800" t="s">
        <v>7431</v>
      </c>
      <c r="Z1800">
        <v>100054549</v>
      </c>
      <c r="AA1800" t="s">
        <v>7130</v>
      </c>
      <c r="AB1800" t="s">
        <v>17224</v>
      </c>
      <c r="AD1800" t="s">
        <v>3938</v>
      </c>
      <c r="AF1800" t="s">
        <v>17225</v>
      </c>
      <c r="AG1800" t="s">
        <v>17226</v>
      </c>
      <c r="AI1800" t="s">
        <v>17227</v>
      </c>
      <c r="AM1800" t="s">
        <v>4861</v>
      </c>
      <c r="AN1800" t="s">
        <v>2069</v>
      </c>
      <c r="AO1800" t="s">
        <v>17228</v>
      </c>
      <c r="AP1800" t="s">
        <v>7024</v>
      </c>
      <c r="AQ1800" t="s">
        <v>17229</v>
      </c>
      <c r="AT1800" s="184">
        <v>34999</v>
      </c>
      <c r="AU1800" t="s">
        <v>16497</v>
      </c>
      <c r="AV1800">
        <v>19.95</v>
      </c>
      <c r="AW1800" s="184">
        <v>44901</v>
      </c>
      <c r="AX1800" t="s">
        <v>17230</v>
      </c>
      <c r="AY1800">
        <v>50</v>
      </c>
      <c r="AZ1800" s="184">
        <v>43812</v>
      </c>
      <c r="BA1800" t="s">
        <v>17231</v>
      </c>
      <c r="BB1800">
        <v>1000</v>
      </c>
      <c r="BC1800">
        <v>37</v>
      </c>
      <c r="BD1800">
        <v>1999.95</v>
      </c>
      <c r="BE1800">
        <v>1996</v>
      </c>
      <c r="BF1800">
        <v>14</v>
      </c>
      <c r="BG1800">
        <v>1</v>
      </c>
      <c r="BH1800">
        <v>50</v>
      </c>
      <c r="BI1800">
        <v>11</v>
      </c>
      <c r="BJ1800">
        <v>30</v>
      </c>
      <c r="BK1800">
        <v>3</v>
      </c>
      <c r="BP1800" s="184"/>
    </row>
    <row r="1801" spans="1:68">
      <c r="A1801">
        <v>100054549</v>
      </c>
      <c r="B1801">
        <v>19963776</v>
      </c>
      <c r="C1801" t="s">
        <v>7018</v>
      </c>
      <c r="E1801" s="184"/>
      <c r="F1801" t="s">
        <v>595</v>
      </c>
      <c r="G1801" s="184">
        <v>44167</v>
      </c>
      <c r="I1801" s="184"/>
      <c r="K1801" s="184"/>
      <c r="M1801" s="184"/>
      <c r="O1801" s="184"/>
      <c r="P1801" t="s">
        <v>7045</v>
      </c>
      <c r="Q1801" t="s">
        <v>7262</v>
      </c>
      <c r="R1801" s="184">
        <v>16407</v>
      </c>
      <c r="S1801">
        <v>79</v>
      </c>
      <c r="U1801" t="s">
        <v>7130</v>
      </c>
      <c r="V1801" t="s">
        <v>17224</v>
      </c>
      <c r="X1801" t="s">
        <v>3938</v>
      </c>
      <c r="Z1801">
        <v>19963776</v>
      </c>
      <c r="AA1801" t="s">
        <v>7031</v>
      </c>
      <c r="AB1801" t="s">
        <v>3134</v>
      </c>
      <c r="AD1801" t="s">
        <v>3938</v>
      </c>
      <c r="AE1801" t="s">
        <v>7431</v>
      </c>
      <c r="AF1801" t="s">
        <v>17225</v>
      </c>
      <c r="AG1801" t="s">
        <v>17226</v>
      </c>
      <c r="AI1801" t="s">
        <v>17227</v>
      </c>
      <c r="AM1801" t="s">
        <v>4861</v>
      </c>
      <c r="AN1801" t="s">
        <v>2069</v>
      </c>
      <c r="AO1801" t="s">
        <v>17228</v>
      </c>
      <c r="AP1801" t="s">
        <v>7024</v>
      </c>
      <c r="AT1801" s="184"/>
      <c r="AW1801" s="184"/>
      <c r="AZ1801" s="184"/>
    </row>
    <row r="1802" spans="1:68">
      <c r="A1802">
        <v>20011037</v>
      </c>
      <c r="B1802">
        <v>20011037</v>
      </c>
      <c r="C1802" t="s">
        <v>7018</v>
      </c>
      <c r="E1802" s="184"/>
      <c r="F1802" t="s">
        <v>595</v>
      </c>
      <c r="G1802" s="184">
        <v>44104</v>
      </c>
      <c r="I1802" s="184"/>
      <c r="K1802" s="184"/>
      <c r="M1802" s="184"/>
      <c r="O1802" s="184"/>
      <c r="P1802" t="s">
        <v>7045</v>
      </c>
      <c r="Q1802" t="s">
        <v>7160</v>
      </c>
      <c r="R1802" s="184">
        <v>20271</v>
      </c>
      <c r="S1802">
        <v>68</v>
      </c>
      <c r="V1802" t="s">
        <v>2651</v>
      </c>
      <c r="X1802" t="s">
        <v>17232</v>
      </c>
      <c r="AF1802" t="s">
        <v>17233</v>
      </c>
      <c r="AG1802" t="s">
        <v>2651</v>
      </c>
      <c r="AI1802" t="s">
        <v>17234</v>
      </c>
      <c r="AM1802" t="s">
        <v>17235</v>
      </c>
      <c r="AN1802" t="s">
        <v>2413</v>
      </c>
      <c r="AO1802" t="s">
        <v>17236</v>
      </c>
      <c r="AP1802" t="s">
        <v>7024</v>
      </c>
      <c r="AQ1802" t="s">
        <v>17237</v>
      </c>
      <c r="AT1802" s="184">
        <v>34998</v>
      </c>
      <c r="AU1802" t="s">
        <v>17238</v>
      </c>
      <c r="AV1802">
        <v>25</v>
      </c>
      <c r="AW1802" s="184">
        <v>45099</v>
      </c>
      <c r="AX1802" t="s">
        <v>17239</v>
      </c>
      <c r="AY1802">
        <v>100</v>
      </c>
      <c r="AZ1802" s="184">
        <v>45099</v>
      </c>
      <c r="BA1802" t="s">
        <v>17239</v>
      </c>
      <c r="BB1802">
        <v>100</v>
      </c>
      <c r="BC1802">
        <v>87</v>
      </c>
      <c r="BD1802">
        <v>2182</v>
      </c>
      <c r="BE1802">
        <v>1996</v>
      </c>
      <c r="BF1802">
        <v>30</v>
      </c>
      <c r="BG1802">
        <v>2</v>
      </c>
      <c r="BH1802">
        <v>200</v>
      </c>
      <c r="BI1802">
        <v>26</v>
      </c>
      <c r="BJ1802">
        <v>30</v>
      </c>
      <c r="BK1802">
        <v>21</v>
      </c>
      <c r="BP1802" s="184"/>
    </row>
    <row r="1803" spans="1:68">
      <c r="A1803">
        <v>20018842</v>
      </c>
      <c r="B1803">
        <v>20018842</v>
      </c>
      <c r="C1803" t="s">
        <v>7018</v>
      </c>
      <c r="D1803" t="s">
        <v>595</v>
      </c>
      <c r="E1803" s="184">
        <v>44104</v>
      </c>
      <c r="G1803" s="184"/>
      <c r="I1803" s="184"/>
      <c r="K1803" s="184"/>
      <c r="M1803" s="184"/>
      <c r="O1803" s="184"/>
      <c r="P1803" t="s">
        <v>7045</v>
      </c>
      <c r="Q1803" t="s">
        <v>7454</v>
      </c>
      <c r="R1803" s="184">
        <v>13932</v>
      </c>
      <c r="S1803">
        <v>86</v>
      </c>
      <c r="V1803" t="s">
        <v>17240</v>
      </c>
      <c r="W1803" t="s">
        <v>7743</v>
      </c>
      <c r="X1803" t="s">
        <v>17241</v>
      </c>
      <c r="AF1803" t="s">
        <v>17242</v>
      </c>
      <c r="AG1803" t="s">
        <v>17240</v>
      </c>
      <c r="AI1803" t="s">
        <v>17243</v>
      </c>
      <c r="AM1803" t="s">
        <v>5665</v>
      </c>
      <c r="AN1803" t="s">
        <v>2055</v>
      </c>
      <c r="AO1803" t="s">
        <v>17244</v>
      </c>
      <c r="AP1803" t="s">
        <v>7024</v>
      </c>
      <c r="AQ1803" t="s">
        <v>17245</v>
      </c>
      <c r="AR1803" t="s">
        <v>17246</v>
      </c>
      <c r="AT1803" s="184">
        <v>34999</v>
      </c>
      <c r="AU1803" t="s">
        <v>17247</v>
      </c>
      <c r="AV1803">
        <v>15</v>
      </c>
      <c r="AW1803" s="184">
        <v>44987</v>
      </c>
      <c r="AX1803" t="s">
        <v>17248</v>
      </c>
      <c r="AY1803">
        <v>25</v>
      </c>
      <c r="AZ1803" s="184">
        <v>42648</v>
      </c>
      <c r="BA1803" t="s">
        <v>17249</v>
      </c>
      <c r="BB1803">
        <v>60</v>
      </c>
      <c r="BC1803">
        <v>54</v>
      </c>
      <c r="BD1803">
        <v>570</v>
      </c>
      <c r="BE1803">
        <v>1996</v>
      </c>
      <c r="BF1803">
        <v>22</v>
      </c>
      <c r="BG1803">
        <v>1</v>
      </c>
      <c r="BH1803">
        <v>25</v>
      </c>
      <c r="BI1803">
        <v>16</v>
      </c>
      <c r="BJ1803">
        <v>30</v>
      </c>
      <c r="BK1803">
        <v>5</v>
      </c>
      <c r="BP1803" s="184"/>
    </row>
    <row r="1804" spans="1:68">
      <c r="A1804">
        <v>20019642</v>
      </c>
      <c r="B1804">
        <v>20019642</v>
      </c>
      <c r="C1804" t="s">
        <v>7018</v>
      </c>
      <c r="E1804" s="184"/>
      <c r="F1804" t="s">
        <v>595</v>
      </c>
      <c r="G1804" s="184">
        <v>44484</v>
      </c>
      <c r="I1804" s="184"/>
      <c r="K1804" s="184"/>
      <c r="M1804" s="184"/>
      <c r="P1804" t="s">
        <v>7029</v>
      </c>
      <c r="Q1804" t="s">
        <v>7030</v>
      </c>
      <c r="R1804" s="184">
        <v>20821</v>
      </c>
      <c r="S1804">
        <v>67</v>
      </c>
      <c r="U1804" t="s">
        <v>7031</v>
      </c>
      <c r="V1804" t="s">
        <v>2724</v>
      </c>
      <c r="W1804" t="s">
        <v>4139</v>
      </c>
      <c r="X1804" t="s">
        <v>17250</v>
      </c>
      <c r="AF1804" t="s">
        <v>17251</v>
      </c>
      <c r="AG1804" t="s">
        <v>2724</v>
      </c>
      <c r="AI1804" t="s">
        <v>17252</v>
      </c>
      <c r="AM1804" t="s">
        <v>17253</v>
      </c>
      <c r="AN1804" t="s">
        <v>2094</v>
      </c>
      <c r="AO1804" t="s">
        <v>17254</v>
      </c>
      <c r="AP1804" t="s">
        <v>7024</v>
      </c>
      <c r="AQ1804" t="s">
        <v>17255</v>
      </c>
      <c r="AT1804" s="184">
        <v>34999</v>
      </c>
      <c r="AU1804" t="s">
        <v>17256</v>
      </c>
      <c r="AV1804">
        <v>15</v>
      </c>
      <c r="AW1804" s="184">
        <v>45250</v>
      </c>
      <c r="AX1804" t="s">
        <v>17257</v>
      </c>
      <c r="AY1804">
        <v>2500</v>
      </c>
      <c r="AZ1804" s="184">
        <v>45250</v>
      </c>
      <c r="BA1804" t="s">
        <v>17257</v>
      </c>
      <c r="BB1804">
        <v>2500</v>
      </c>
      <c r="BC1804">
        <v>27</v>
      </c>
      <c r="BD1804">
        <v>4740</v>
      </c>
      <c r="BE1804">
        <v>1996</v>
      </c>
      <c r="BF1804">
        <v>12</v>
      </c>
      <c r="BG1804">
        <v>2</v>
      </c>
      <c r="BH1804">
        <v>3500</v>
      </c>
      <c r="BI1804">
        <v>8</v>
      </c>
      <c r="BJ1804">
        <v>30</v>
      </c>
      <c r="BK1804">
        <v>3</v>
      </c>
      <c r="BP1804" s="184"/>
    </row>
    <row r="1805" spans="1:68">
      <c r="A1805">
        <v>20031035</v>
      </c>
      <c r="B1805">
        <v>20031035</v>
      </c>
      <c r="C1805" t="s">
        <v>7018</v>
      </c>
      <c r="E1805" s="184"/>
      <c r="F1805" t="s">
        <v>595</v>
      </c>
      <c r="G1805" s="184">
        <v>43731</v>
      </c>
      <c r="I1805" s="184"/>
      <c r="K1805" s="184"/>
      <c r="O1805" s="184"/>
      <c r="P1805" t="s">
        <v>7045</v>
      </c>
      <c r="Q1805" t="s">
        <v>7160</v>
      </c>
      <c r="R1805" s="184">
        <v>19694</v>
      </c>
      <c r="S1805">
        <v>70</v>
      </c>
      <c r="U1805" t="s">
        <v>7130</v>
      </c>
      <c r="V1805" t="s">
        <v>2718</v>
      </c>
      <c r="W1805" t="s">
        <v>7396</v>
      </c>
      <c r="X1805" t="s">
        <v>3959</v>
      </c>
      <c r="Z1805">
        <v>100054838</v>
      </c>
      <c r="AA1805" t="s">
        <v>7031</v>
      </c>
      <c r="AB1805" t="s">
        <v>17258</v>
      </c>
      <c r="AD1805" t="s">
        <v>3959</v>
      </c>
      <c r="AF1805" t="s">
        <v>17259</v>
      </c>
      <c r="AG1805" t="s">
        <v>17260</v>
      </c>
      <c r="AI1805" t="s">
        <v>17261</v>
      </c>
      <c r="AM1805" t="s">
        <v>3960</v>
      </c>
      <c r="AN1805" t="s">
        <v>2413</v>
      </c>
      <c r="AO1805" t="s">
        <v>17262</v>
      </c>
      <c r="AP1805" t="s">
        <v>7024</v>
      </c>
      <c r="AQ1805" t="s">
        <v>17263</v>
      </c>
      <c r="AR1805" t="s">
        <v>17264</v>
      </c>
      <c r="AT1805" s="184">
        <v>35003</v>
      </c>
      <c r="AU1805" t="s">
        <v>17208</v>
      </c>
      <c r="AV1805">
        <v>25</v>
      </c>
      <c r="AW1805" s="184">
        <v>45175</v>
      </c>
      <c r="AX1805" t="s">
        <v>13433</v>
      </c>
      <c r="AY1805">
        <v>25</v>
      </c>
      <c r="AZ1805" s="184">
        <v>43502</v>
      </c>
      <c r="BA1805" t="s">
        <v>17265</v>
      </c>
      <c r="BB1805">
        <v>40</v>
      </c>
      <c r="BC1805">
        <v>97</v>
      </c>
      <c r="BD1805">
        <v>900</v>
      </c>
      <c r="BE1805">
        <v>1996</v>
      </c>
      <c r="BF1805">
        <v>35</v>
      </c>
      <c r="BG1805">
        <v>2</v>
      </c>
      <c r="BH1805">
        <v>50</v>
      </c>
      <c r="BI1805">
        <v>29</v>
      </c>
      <c r="BJ1805">
        <v>30</v>
      </c>
      <c r="BK1805">
        <v>29</v>
      </c>
      <c r="BP1805" s="184"/>
    </row>
    <row r="1806" spans="1:68">
      <c r="A1806">
        <v>100054838</v>
      </c>
      <c r="B1806">
        <v>20031035</v>
      </c>
      <c r="C1806" t="s">
        <v>7018</v>
      </c>
      <c r="E1806" s="184"/>
      <c r="F1806" t="s">
        <v>595</v>
      </c>
      <c r="G1806" s="184">
        <v>43731</v>
      </c>
      <c r="I1806" s="184"/>
      <c r="K1806" s="184"/>
      <c r="M1806" s="184"/>
      <c r="O1806" s="184"/>
      <c r="P1806" t="s">
        <v>7045</v>
      </c>
      <c r="Q1806" t="s">
        <v>7160</v>
      </c>
      <c r="R1806" s="184">
        <v>13728</v>
      </c>
      <c r="S1806">
        <v>86</v>
      </c>
      <c r="U1806" t="s">
        <v>7031</v>
      </c>
      <c r="V1806" t="s">
        <v>17258</v>
      </c>
      <c r="X1806" t="s">
        <v>3959</v>
      </c>
      <c r="Z1806">
        <v>20031035</v>
      </c>
      <c r="AA1806" t="s">
        <v>7130</v>
      </c>
      <c r="AB1806" t="s">
        <v>2718</v>
      </c>
      <c r="AC1806" t="s">
        <v>7396</v>
      </c>
      <c r="AD1806" t="s">
        <v>3959</v>
      </c>
      <c r="AF1806" t="s">
        <v>17259</v>
      </c>
      <c r="AG1806" t="s">
        <v>17260</v>
      </c>
      <c r="AI1806" t="s">
        <v>17261</v>
      </c>
      <c r="AM1806" t="s">
        <v>3960</v>
      </c>
      <c r="AN1806" t="s">
        <v>2413</v>
      </c>
      <c r="AO1806" t="s">
        <v>17262</v>
      </c>
      <c r="AP1806" t="s">
        <v>7024</v>
      </c>
      <c r="AT1806" s="184"/>
      <c r="AW1806" s="184"/>
      <c r="AZ1806" s="184"/>
      <c r="BP1806" s="184"/>
    </row>
    <row r="1807" spans="1:68">
      <c r="A1807">
        <v>20070629</v>
      </c>
      <c r="B1807">
        <v>20070629</v>
      </c>
      <c r="C1807" t="s">
        <v>7018</v>
      </c>
      <c r="E1807" s="184"/>
      <c r="G1807" s="184"/>
      <c r="I1807" s="184"/>
      <c r="J1807" t="s">
        <v>595</v>
      </c>
      <c r="K1807" s="184">
        <v>43649</v>
      </c>
      <c r="O1807" s="184"/>
      <c r="P1807" t="s">
        <v>7045</v>
      </c>
      <c r="Q1807" t="s">
        <v>7383</v>
      </c>
      <c r="R1807" s="184">
        <v>12060</v>
      </c>
      <c r="S1807">
        <v>91</v>
      </c>
      <c r="U1807" t="s">
        <v>7076</v>
      </c>
      <c r="V1807" t="s">
        <v>2918</v>
      </c>
      <c r="W1807" t="s">
        <v>7107</v>
      </c>
      <c r="X1807" t="s">
        <v>2772</v>
      </c>
      <c r="AF1807" t="s">
        <v>6553</v>
      </c>
      <c r="AG1807" t="s">
        <v>2918</v>
      </c>
      <c r="AI1807" t="s">
        <v>17266</v>
      </c>
      <c r="AM1807" t="s">
        <v>3471</v>
      </c>
      <c r="AN1807" t="s">
        <v>2118</v>
      </c>
      <c r="AO1807" t="s">
        <v>17267</v>
      </c>
      <c r="AP1807" t="s">
        <v>7024</v>
      </c>
      <c r="AT1807" s="184">
        <v>35016</v>
      </c>
      <c r="AU1807" t="s">
        <v>17198</v>
      </c>
      <c r="AV1807">
        <v>15</v>
      </c>
      <c r="AW1807" s="184">
        <v>43567</v>
      </c>
      <c r="AX1807" t="s">
        <v>17268</v>
      </c>
      <c r="AY1807">
        <v>40</v>
      </c>
      <c r="AZ1807" s="184">
        <v>43567</v>
      </c>
      <c r="BA1807" t="s">
        <v>17268</v>
      </c>
      <c r="BB1807">
        <v>40</v>
      </c>
      <c r="BC1807">
        <v>57</v>
      </c>
      <c r="BD1807">
        <v>624.94000000000005</v>
      </c>
      <c r="BE1807">
        <v>1996</v>
      </c>
      <c r="BF1807">
        <v>20</v>
      </c>
      <c r="BI1807">
        <v>17</v>
      </c>
      <c r="BJ1807">
        <v>30</v>
      </c>
      <c r="BK1807">
        <v>14</v>
      </c>
      <c r="BP1807" s="184"/>
    </row>
    <row r="1808" spans="1:68">
      <c r="A1808">
        <v>20079240</v>
      </c>
      <c r="B1808">
        <v>20079240</v>
      </c>
      <c r="C1808" t="s">
        <v>7018</v>
      </c>
      <c r="D1808" t="s">
        <v>595</v>
      </c>
      <c r="E1808" s="184">
        <v>44104</v>
      </c>
      <c r="G1808" s="184"/>
      <c r="I1808" s="184"/>
      <c r="K1808" s="184"/>
      <c r="O1808" s="184"/>
      <c r="P1808" t="s">
        <v>7045</v>
      </c>
      <c r="Q1808" t="s">
        <v>7020</v>
      </c>
      <c r="R1808" s="184">
        <v>16293</v>
      </c>
      <c r="S1808">
        <v>79</v>
      </c>
      <c r="U1808" t="s">
        <v>7031</v>
      </c>
      <c r="V1808" t="s">
        <v>2511</v>
      </c>
      <c r="W1808" t="s">
        <v>7396</v>
      </c>
      <c r="X1808" t="s">
        <v>17269</v>
      </c>
      <c r="AF1808" t="s">
        <v>17270</v>
      </c>
      <c r="AG1808" t="s">
        <v>2511</v>
      </c>
      <c r="AI1808" t="s">
        <v>17271</v>
      </c>
      <c r="AM1808" t="s">
        <v>17272</v>
      </c>
      <c r="AN1808" t="s">
        <v>2052</v>
      </c>
      <c r="AO1808" t="s">
        <v>17273</v>
      </c>
      <c r="AP1808" t="s">
        <v>7024</v>
      </c>
      <c r="AT1808" s="184">
        <v>35020</v>
      </c>
      <c r="AU1808" t="s">
        <v>17274</v>
      </c>
      <c r="AV1808">
        <v>20</v>
      </c>
      <c r="AW1808" s="184">
        <v>45076</v>
      </c>
      <c r="AX1808" t="s">
        <v>17069</v>
      </c>
      <c r="AY1808">
        <v>30</v>
      </c>
      <c r="AZ1808" s="184">
        <v>45076</v>
      </c>
      <c r="BA1808" t="s">
        <v>17069</v>
      </c>
      <c r="BB1808">
        <v>30</v>
      </c>
      <c r="BC1808">
        <v>74</v>
      </c>
      <c r="BD1808">
        <v>575</v>
      </c>
      <c r="BE1808">
        <v>1996</v>
      </c>
      <c r="BF1808">
        <v>24</v>
      </c>
      <c r="BG1808">
        <v>3</v>
      </c>
      <c r="BH1808">
        <v>90</v>
      </c>
      <c r="BI1808">
        <v>22</v>
      </c>
      <c r="BJ1808">
        <v>30</v>
      </c>
      <c r="BK1808">
        <v>9</v>
      </c>
      <c r="BP1808" s="184"/>
    </row>
    <row r="1809" spans="1:68">
      <c r="A1809">
        <v>20095865</v>
      </c>
      <c r="B1809">
        <v>20095865</v>
      </c>
      <c r="C1809" t="s">
        <v>7018</v>
      </c>
      <c r="D1809" t="s">
        <v>595</v>
      </c>
      <c r="E1809" s="184">
        <v>44167</v>
      </c>
      <c r="G1809" s="184"/>
      <c r="I1809" s="184"/>
      <c r="K1809" s="184"/>
      <c r="O1809" s="184"/>
      <c r="P1809" t="s">
        <v>7045</v>
      </c>
      <c r="Q1809" t="s">
        <v>7262</v>
      </c>
      <c r="R1809" s="184">
        <v>9345</v>
      </c>
      <c r="S1809">
        <v>98</v>
      </c>
      <c r="V1809" t="s">
        <v>2786</v>
      </c>
      <c r="X1809" t="s">
        <v>4579</v>
      </c>
      <c r="Z1809">
        <v>100055069</v>
      </c>
      <c r="AB1809" t="s">
        <v>5400</v>
      </c>
      <c r="AD1809" t="s">
        <v>4579</v>
      </c>
      <c r="AF1809" t="s">
        <v>17275</v>
      </c>
      <c r="AG1809" t="s">
        <v>17276</v>
      </c>
      <c r="AI1809" t="s">
        <v>17277</v>
      </c>
      <c r="AM1809" t="s">
        <v>17278</v>
      </c>
      <c r="AN1809" t="s">
        <v>65</v>
      </c>
      <c r="AO1809" t="s">
        <v>17279</v>
      </c>
      <c r="AP1809" t="s">
        <v>7024</v>
      </c>
      <c r="AT1809" s="184">
        <v>35023</v>
      </c>
      <c r="AU1809" t="s">
        <v>17280</v>
      </c>
      <c r="AV1809">
        <v>25</v>
      </c>
      <c r="AW1809" s="184">
        <v>38307</v>
      </c>
      <c r="AX1809" t="s">
        <v>17281</v>
      </c>
      <c r="AY1809">
        <v>100</v>
      </c>
      <c r="AZ1809" s="184">
        <v>38307</v>
      </c>
      <c r="BA1809" t="s">
        <v>17281</v>
      </c>
      <c r="BB1809">
        <v>100</v>
      </c>
      <c r="BC1809">
        <v>34</v>
      </c>
      <c r="BD1809">
        <v>900</v>
      </c>
      <c r="BE1809">
        <v>1996</v>
      </c>
      <c r="BF1809">
        <v>14</v>
      </c>
      <c r="BI1809">
        <v>10</v>
      </c>
      <c r="BJ1809">
        <v>30</v>
      </c>
      <c r="BK1809">
        <v>10</v>
      </c>
      <c r="BP1809" s="184"/>
    </row>
    <row r="1810" spans="1:68">
      <c r="A1810">
        <v>100055069</v>
      </c>
      <c r="B1810">
        <v>20095865</v>
      </c>
      <c r="C1810" t="s">
        <v>7018</v>
      </c>
      <c r="D1810" t="s">
        <v>595</v>
      </c>
      <c r="E1810" s="184">
        <v>44167</v>
      </c>
      <c r="G1810" s="184"/>
      <c r="I1810" s="184"/>
      <c r="K1810" s="184"/>
      <c r="M1810" s="184"/>
      <c r="O1810" s="184"/>
      <c r="P1810" t="s">
        <v>7045</v>
      </c>
      <c r="Q1810" t="s">
        <v>7262</v>
      </c>
      <c r="R1810" s="184"/>
      <c r="V1810" t="s">
        <v>5400</v>
      </c>
      <c r="X1810" t="s">
        <v>4579</v>
      </c>
      <c r="Z1810">
        <v>20095865</v>
      </c>
      <c r="AB1810" t="s">
        <v>2786</v>
      </c>
      <c r="AD1810" t="s">
        <v>4579</v>
      </c>
      <c r="AF1810" t="s">
        <v>17275</v>
      </c>
      <c r="AG1810" t="s">
        <v>17276</v>
      </c>
      <c r="AI1810" t="s">
        <v>17277</v>
      </c>
      <c r="AM1810" t="s">
        <v>17278</v>
      </c>
      <c r="AN1810" t="s">
        <v>65</v>
      </c>
      <c r="AO1810" t="s">
        <v>17279</v>
      </c>
      <c r="AP1810" t="s">
        <v>7024</v>
      </c>
      <c r="AT1810" s="184"/>
      <c r="AW1810" s="184"/>
      <c r="AZ1810" s="184"/>
      <c r="BP1810" s="184"/>
    </row>
    <row r="1811" spans="1:68">
      <c r="A1811">
        <v>20096889</v>
      </c>
      <c r="B1811">
        <v>20096889</v>
      </c>
      <c r="C1811" t="s">
        <v>7018</v>
      </c>
      <c r="D1811" t="s">
        <v>595</v>
      </c>
      <c r="E1811" s="184">
        <v>45195</v>
      </c>
      <c r="G1811" s="184"/>
      <c r="I1811" s="184"/>
      <c r="K1811" s="184"/>
      <c r="P1811" t="s">
        <v>7045</v>
      </c>
      <c r="Q1811" t="s">
        <v>7030</v>
      </c>
      <c r="R1811" s="184">
        <v>11976</v>
      </c>
      <c r="S1811">
        <v>91</v>
      </c>
      <c r="V1811" t="s">
        <v>3510</v>
      </c>
      <c r="X1811" t="s">
        <v>17282</v>
      </c>
      <c r="Z1811">
        <v>100181102</v>
      </c>
      <c r="AB1811" t="s">
        <v>3411</v>
      </c>
      <c r="AD1811" t="s">
        <v>17282</v>
      </c>
      <c r="AF1811" t="s">
        <v>17283</v>
      </c>
      <c r="AG1811" t="s">
        <v>3510</v>
      </c>
      <c r="AI1811" t="s">
        <v>17284</v>
      </c>
      <c r="AM1811" t="s">
        <v>4363</v>
      </c>
      <c r="AN1811" t="s">
        <v>2089</v>
      </c>
      <c r="AO1811" t="s">
        <v>17285</v>
      </c>
      <c r="AP1811" t="s">
        <v>7024</v>
      </c>
      <c r="AQ1811" t="s">
        <v>17286</v>
      </c>
      <c r="AT1811" s="184">
        <v>35023</v>
      </c>
      <c r="AU1811" t="s">
        <v>17287</v>
      </c>
      <c r="AV1811">
        <v>15</v>
      </c>
      <c r="AW1811" s="184">
        <v>44112</v>
      </c>
      <c r="AX1811" t="s">
        <v>17288</v>
      </c>
      <c r="AY1811">
        <v>25</v>
      </c>
      <c r="AZ1811" s="184">
        <v>44112</v>
      </c>
      <c r="BA1811" t="s">
        <v>17288</v>
      </c>
      <c r="BB1811">
        <v>25</v>
      </c>
      <c r="BC1811">
        <v>60</v>
      </c>
      <c r="BD1811">
        <v>485</v>
      </c>
      <c r="BE1811">
        <v>1996</v>
      </c>
      <c r="BF1811">
        <v>20</v>
      </c>
      <c r="BI1811">
        <v>18</v>
      </c>
      <c r="BJ1811">
        <v>30</v>
      </c>
      <c r="BK1811">
        <v>3</v>
      </c>
    </row>
    <row r="1812" spans="1:68">
      <c r="A1812">
        <v>100181102</v>
      </c>
      <c r="B1812">
        <v>20096889</v>
      </c>
      <c r="C1812" t="s">
        <v>7018</v>
      </c>
      <c r="D1812" t="s">
        <v>595</v>
      </c>
      <c r="E1812" s="184">
        <v>45195</v>
      </c>
      <c r="G1812" s="184"/>
      <c r="I1812" s="184"/>
      <c r="K1812" s="184"/>
      <c r="O1812" s="184"/>
      <c r="P1812" t="s">
        <v>7045</v>
      </c>
      <c r="Q1812" t="s">
        <v>7030</v>
      </c>
      <c r="R1812" s="184">
        <v>9863</v>
      </c>
      <c r="S1812">
        <v>97</v>
      </c>
      <c r="V1812" t="s">
        <v>3411</v>
      </c>
      <c r="X1812" t="s">
        <v>17282</v>
      </c>
      <c r="Z1812">
        <v>20096889</v>
      </c>
      <c r="AB1812" t="s">
        <v>3510</v>
      </c>
      <c r="AD1812" t="s">
        <v>17282</v>
      </c>
      <c r="AF1812" t="s">
        <v>17283</v>
      </c>
      <c r="AG1812" t="s">
        <v>3510</v>
      </c>
      <c r="AI1812" t="s">
        <v>17284</v>
      </c>
      <c r="AM1812" t="s">
        <v>4363</v>
      </c>
      <c r="AN1812" t="s">
        <v>2089</v>
      </c>
      <c r="AO1812" t="s">
        <v>17285</v>
      </c>
      <c r="AP1812" t="s">
        <v>7024</v>
      </c>
      <c r="AT1812" s="184"/>
      <c r="AW1812" s="184"/>
      <c r="AZ1812" s="184"/>
      <c r="BO1812" t="s">
        <v>595</v>
      </c>
      <c r="BP1812" s="184"/>
    </row>
    <row r="1813" spans="1:68">
      <c r="A1813">
        <v>20110441</v>
      </c>
      <c r="B1813">
        <v>20110441</v>
      </c>
      <c r="C1813" t="s">
        <v>7018</v>
      </c>
      <c r="D1813" t="s">
        <v>595</v>
      </c>
      <c r="E1813" s="184">
        <v>43655</v>
      </c>
      <c r="G1813" s="184"/>
      <c r="I1813" s="184"/>
      <c r="K1813" s="184"/>
      <c r="O1813" s="184"/>
      <c r="P1813" t="s">
        <v>7045</v>
      </c>
      <c r="Q1813" t="s">
        <v>7383</v>
      </c>
      <c r="R1813" s="184">
        <v>19360</v>
      </c>
      <c r="S1813">
        <v>71</v>
      </c>
      <c r="V1813" t="s">
        <v>2863</v>
      </c>
      <c r="X1813" t="s">
        <v>3626</v>
      </c>
      <c r="Z1813">
        <v>100055117</v>
      </c>
      <c r="AB1813" t="s">
        <v>3628</v>
      </c>
      <c r="AD1813" t="s">
        <v>3626</v>
      </c>
      <c r="AF1813" t="s">
        <v>17289</v>
      </c>
      <c r="AG1813" t="s">
        <v>17290</v>
      </c>
      <c r="AI1813" t="s">
        <v>17291</v>
      </c>
      <c r="AM1813" t="s">
        <v>3627</v>
      </c>
      <c r="AN1813" t="s">
        <v>2059</v>
      </c>
      <c r="AO1813" t="s">
        <v>17292</v>
      </c>
      <c r="AP1813" t="s">
        <v>7024</v>
      </c>
      <c r="AQ1813" t="s">
        <v>17293</v>
      </c>
      <c r="AR1813" t="s">
        <v>17294</v>
      </c>
      <c r="AT1813" s="184">
        <v>35024</v>
      </c>
      <c r="AU1813" t="s">
        <v>17295</v>
      </c>
      <c r="AV1813">
        <v>20</v>
      </c>
      <c r="AW1813" s="184">
        <v>45155</v>
      </c>
      <c r="AX1813" t="s">
        <v>17296</v>
      </c>
      <c r="AY1813">
        <v>100</v>
      </c>
      <c r="AZ1813" s="184">
        <v>43549</v>
      </c>
      <c r="BA1813" t="s">
        <v>17297</v>
      </c>
      <c r="BB1813">
        <v>200</v>
      </c>
      <c r="BC1813">
        <v>50</v>
      </c>
      <c r="BD1813">
        <v>2010</v>
      </c>
      <c r="BE1813">
        <v>1996</v>
      </c>
      <c r="BF1813">
        <v>20</v>
      </c>
      <c r="BG1813">
        <v>1</v>
      </c>
      <c r="BH1813">
        <v>100</v>
      </c>
      <c r="BI1813">
        <v>15</v>
      </c>
      <c r="BJ1813">
        <v>30</v>
      </c>
      <c r="BK1813">
        <v>11</v>
      </c>
      <c r="BP1813" s="184"/>
    </row>
    <row r="1814" spans="1:68">
      <c r="A1814">
        <v>100055117</v>
      </c>
      <c r="B1814">
        <v>20110441</v>
      </c>
      <c r="C1814" t="s">
        <v>7018</v>
      </c>
      <c r="D1814" t="s">
        <v>595</v>
      </c>
      <c r="E1814" s="184">
        <v>43655</v>
      </c>
      <c r="G1814" s="184"/>
      <c r="I1814" s="184"/>
      <c r="K1814" s="184"/>
      <c r="O1814" s="184"/>
      <c r="P1814" t="s">
        <v>7045</v>
      </c>
      <c r="Q1814" t="s">
        <v>7383</v>
      </c>
      <c r="R1814" s="184">
        <v>19480</v>
      </c>
      <c r="S1814">
        <v>71</v>
      </c>
      <c r="V1814" t="s">
        <v>3628</v>
      </c>
      <c r="X1814" t="s">
        <v>3626</v>
      </c>
      <c r="Z1814">
        <v>20110441</v>
      </c>
      <c r="AB1814" t="s">
        <v>2863</v>
      </c>
      <c r="AD1814" t="s">
        <v>3626</v>
      </c>
      <c r="AF1814" t="s">
        <v>17289</v>
      </c>
      <c r="AG1814" t="s">
        <v>17290</v>
      </c>
      <c r="AI1814" t="s">
        <v>17291</v>
      </c>
      <c r="AM1814" t="s">
        <v>3627</v>
      </c>
      <c r="AN1814" t="s">
        <v>2059</v>
      </c>
      <c r="AO1814" t="s">
        <v>17292</v>
      </c>
      <c r="AP1814" t="s">
        <v>7024</v>
      </c>
      <c r="AT1814" s="184"/>
      <c r="AW1814" s="184"/>
      <c r="AZ1814" s="184"/>
      <c r="BP1814" s="184"/>
    </row>
    <row r="1815" spans="1:68">
      <c r="A1815">
        <v>20122362</v>
      </c>
      <c r="B1815">
        <v>20122362</v>
      </c>
      <c r="C1815" t="s">
        <v>7018</v>
      </c>
      <c r="D1815" t="s">
        <v>595</v>
      </c>
      <c r="E1815" s="184">
        <v>43864</v>
      </c>
      <c r="G1815" s="184"/>
      <c r="I1815" s="184"/>
      <c r="K1815" s="184"/>
      <c r="M1815" s="184"/>
      <c r="O1815" s="184"/>
      <c r="P1815" t="s">
        <v>7045</v>
      </c>
      <c r="Q1815" t="s">
        <v>7383</v>
      </c>
      <c r="R1815" s="184">
        <v>18233</v>
      </c>
      <c r="S1815">
        <v>74</v>
      </c>
      <c r="U1815" t="s">
        <v>7031</v>
      </c>
      <c r="V1815" t="s">
        <v>2898</v>
      </c>
      <c r="X1815" t="s">
        <v>4714</v>
      </c>
      <c r="Z1815">
        <v>100055161</v>
      </c>
      <c r="AB1815" t="s">
        <v>3580</v>
      </c>
      <c r="AD1815" t="s">
        <v>17298</v>
      </c>
      <c r="AF1815" t="s">
        <v>17299</v>
      </c>
      <c r="AG1815" t="s">
        <v>17300</v>
      </c>
      <c r="AI1815" t="s">
        <v>17301</v>
      </c>
      <c r="AM1815" t="s">
        <v>4715</v>
      </c>
      <c r="AN1815" t="s">
        <v>2274</v>
      </c>
      <c r="AO1815" t="s">
        <v>17302</v>
      </c>
      <c r="AP1815" t="s">
        <v>7024</v>
      </c>
      <c r="AQ1815" t="s">
        <v>17303</v>
      </c>
      <c r="AT1815" s="184">
        <v>35024</v>
      </c>
      <c r="AU1815" t="s">
        <v>17304</v>
      </c>
      <c r="AV1815">
        <v>100</v>
      </c>
      <c r="AW1815" s="184">
        <v>45341</v>
      </c>
      <c r="AX1815" t="s">
        <v>17305</v>
      </c>
      <c r="AY1815">
        <v>100</v>
      </c>
      <c r="AZ1815" s="184">
        <v>43847</v>
      </c>
      <c r="BA1815" t="s">
        <v>17306</v>
      </c>
      <c r="BB1815">
        <v>150</v>
      </c>
      <c r="BC1815">
        <v>97</v>
      </c>
      <c r="BD1815">
        <v>3090</v>
      </c>
      <c r="BE1815">
        <v>1996</v>
      </c>
      <c r="BF1815">
        <v>34</v>
      </c>
      <c r="BG1815">
        <v>2</v>
      </c>
      <c r="BH1815">
        <v>215</v>
      </c>
      <c r="BI1815">
        <v>29</v>
      </c>
      <c r="BJ1815">
        <v>30</v>
      </c>
      <c r="BK1815">
        <v>28</v>
      </c>
    </row>
    <row r="1816" spans="1:68">
      <c r="A1816">
        <v>100055161</v>
      </c>
      <c r="B1816">
        <v>20122362</v>
      </c>
      <c r="C1816" t="s">
        <v>7018</v>
      </c>
      <c r="D1816" t="s">
        <v>595</v>
      </c>
      <c r="E1816" s="184">
        <v>43864</v>
      </c>
      <c r="G1816" s="184"/>
      <c r="I1816" s="184"/>
      <c r="K1816" s="184"/>
      <c r="O1816" s="184"/>
      <c r="P1816" t="s">
        <v>7045</v>
      </c>
      <c r="Q1816" t="s">
        <v>7383</v>
      </c>
      <c r="R1816" s="184">
        <v>19025</v>
      </c>
      <c r="S1816">
        <v>72</v>
      </c>
      <c r="V1816" t="s">
        <v>3580</v>
      </c>
      <c r="X1816" t="s">
        <v>17298</v>
      </c>
      <c r="Z1816">
        <v>20122362</v>
      </c>
      <c r="AA1816" t="s">
        <v>7031</v>
      </c>
      <c r="AB1816" t="s">
        <v>2898</v>
      </c>
      <c r="AD1816" t="s">
        <v>4714</v>
      </c>
      <c r="AF1816" t="s">
        <v>17299</v>
      </c>
      <c r="AG1816" t="s">
        <v>17300</v>
      </c>
      <c r="AI1816" t="s">
        <v>17301</v>
      </c>
      <c r="AM1816" t="s">
        <v>4715</v>
      </c>
      <c r="AN1816" t="s">
        <v>2274</v>
      </c>
      <c r="AO1816" t="s">
        <v>17302</v>
      </c>
      <c r="AP1816" t="s">
        <v>7024</v>
      </c>
      <c r="AT1816" s="184"/>
      <c r="AW1816" s="184"/>
      <c r="AZ1816" s="184"/>
    </row>
    <row r="1817" spans="1:68">
      <c r="A1817">
        <v>20127379</v>
      </c>
      <c r="B1817">
        <v>20127379</v>
      </c>
      <c r="C1817" t="s">
        <v>7018</v>
      </c>
      <c r="E1817" s="184"/>
      <c r="I1817" s="184"/>
      <c r="J1817" t="s">
        <v>595</v>
      </c>
      <c r="K1817" s="184">
        <v>44167</v>
      </c>
      <c r="M1817" s="184"/>
      <c r="O1817" s="184"/>
      <c r="P1817" t="s">
        <v>7045</v>
      </c>
      <c r="Q1817" t="s">
        <v>7262</v>
      </c>
      <c r="R1817" s="184"/>
      <c r="U1817" t="s">
        <v>7130</v>
      </c>
      <c r="V1817" t="s">
        <v>3868</v>
      </c>
      <c r="X1817" t="s">
        <v>17307</v>
      </c>
      <c r="AF1817" t="s">
        <v>17308</v>
      </c>
      <c r="AG1817" t="s">
        <v>3868</v>
      </c>
      <c r="AI1817" t="s">
        <v>17309</v>
      </c>
      <c r="AM1817" t="s">
        <v>7550</v>
      </c>
      <c r="AN1817" t="s">
        <v>2106</v>
      </c>
      <c r="AO1817" t="s">
        <v>17310</v>
      </c>
      <c r="AP1817" t="s">
        <v>7024</v>
      </c>
      <c r="AQ1817" t="s">
        <v>17311</v>
      </c>
      <c r="AT1817" s="184">
        <v>35025</v>
      </c>
      <c r="AU1817" t="s">
        <v>17312</v>
      </c>
      <c r="AV1817">
        <v>25</v>
      </c>
      <c r="AW1817" s="184">
        <v>44573</v>
      </c>
      <c r="AX1817" t="s">
        <v>17313</v>
      </c>
      <c r="AY1817">
        <v>75</v>
      </c>
      <c r="AZ1817" s="184">
        <v>44200</v>
      </c>
      <c r="BA1817" t="s">
        <v>17314</v>
      </c>
      <c r="BB1817">
        <v>200</v>
      </c>
      <c r="BC1817">
        <v>90</v>
      </c>
      <c r="BD1817">
        <v>2505</v>
      </c>
      <c r="BE1817">
        <v>1996</v>
      </c>
      <c r="BF1817">
        <v>58</v>
      </c>
      <c r="BI1817">
        <v>27</v>
      </c>
      <c r="BJ1817">
        <v>30</v>
      </c>
      <c r="BK1817">
        <v>15</v>
      </c>
      <c r="BP1817" s="184"/>
    </row>
    <row r="1818" spans="1:68">
      <c r="A1818">
        <v>20138251</v>
      </c>
      <c r="B1818">
        <v>20138251</v>
      </c>
      <c r="C1818" t="s">
        <v>7018</v>
      </c>
      <c r="E1818" s="184"/>
      <c r="H1818" t="s">
        <v>595</v>
      </c>
      <c r="I1818" s="184">
        <v>43929</v>
      </c>
      <c r="K1818" s="184"/>
      <c r="O1818" s="184"/>
      <c r="P1818" t="s">
        <v>7045</v>
      </c>
      <c r="Q1818" t="s">
        <v>7383</v>
      </c>
      <c r="R1818" s="184">
        <v>17108</v>
      </c>
      <c r="S1818">
        <v>77</v>
      </c>
      <c r="V1818" t="s">
        <v>3504</v>
      </c>
      <c r="X1818" t="s">
        <v>4812</v>
      </c>
      <c r="AF1818" t="s">
        <v>17315</v>
      </c>
      <c r="AG1818" t="s">
        <v>3504</v>
      </c>
      <c r="AI1818" t="s">
        <v>17316</v>
      </c>
      <c r="AM1818" t="s">
        <v>3345</v>
      </c>
      <c r="AN1818" t="s">
        <v>2274</v>
      </c>
      <c r="AO1818" t="s">
        <v>17317</v>
      </c>
      <c r="AP1818" t="s">
        <v>7024</v>
      </c>
      <c r="AQ1818" t="s">
        <v>17318</v>
      </c>
      <c r="AT1818" s="184">
        <v>35023</v>
      </c>
      <c r="AU1818" t="s">
        <v>17319</v>
      </c>
      <c r="AV1818">
        <v>20</v>
      </c>
      <c r="AW1818" s="184">
        <v>43679</v>
      </c>
      <c r="AX1818" t="s">
        <v>17320</v>
      </c>
      <c r="AY1818">
        <v>100</v>
      </c>
      <c r="AZ1818" s="184">
        <v>43679</v>
      </c>
      <c r="BA1818" t="s">
        <v>17320</v>
      </c>
      <c r="BB1818">
        <v>100</v>
      </c>
      <c r="BC1818">
        <v>14</v>
      </c>
      <c r="BD1818">
        <v>195</v>
      </c>
      <c r="BE1818">
        <v>1996</v>
      </c>
      <c r="BF1818">
        <v>4</v>
      </c>
      <c r="BI1818">
        <v>4</v>
      </c>
      <c r="BJ1818">
        <v>30</v>
      </c>
      <c r="BK1818">
        <v>1</v>
      </c>
    </row>
    <row r="1819" spans="1:68">
      <c r="A1819">
        <v>20150488</v>
      </c>
      <c r="B1819">
        <v>20150488</v>
      </c>
      <c r="C1819" t="s">
        <v>7018</v>
      </c>
      <c r="E1819" s="184"/>
      <c r="G1819" s="184"/>
      <c r="I1819" s="184"/>
      <c r="J1819" t="s">
        <v>595</v>
      </c>
      <c r="K1819" s="184">
        <v>44438</v>
      </c>
      <c r="O1819" s="184"/>
      <c r="P1819" t="s">
        <v>7045</v>
      </c>
      <c r="Q1819" t="s">
        <v>7030</v>
      </c>
      <c r="R1819" s="184">
        <v>14041</v>
      </c>
      <c r="S1819">
        <v>85</v>
      </c>
      <c r="U1819" t="s">
        <v>7076</v>
      </c>
      <c r="V1819" t="s">
        <v>12037</v>
      </c>
      <c r="W1819" t="s">
        <v>7356</v>
      </c>
      <c r="X1819" t="s">
        <v>17321</v>
      </c>
      <c r="AF1819" t="s">
        <v>17322</v>
      </c>
      <c r="AG1819" t="s">
        <v>12037</v>
      </c>
      <c r="AI1819" t="s">
        <v>17323</v>
      </c>
      <c r="AM1819" t="s">
        <v>3601</v>
      </c>
      <c r="AN1819" t="s">
        <v>2201</v>
      </c>
      <c r="AO1819" t="s">
        <v>17324</v>
      </c>
      <c r="AP1819" t="s">
        <v>7024</v>
      </c>
      <c r="AQ1819" t="s">
        <v>17325</v>
      </c>
      <c r="AT1819" s="184">
        <v>35030</v>
      </c>
      <c r="AU1819" t="s">
        <v>17326</v>
      </c>
      <c r="AV1819">
        <v>15</v>
      </c>
      <c r="AW1819" s="184">
        <v>45403</v>
      </c>
      <c r="AX1819" t="s">
        <v>7429</v>
      </c>
      <c r="AY1819">
        <v>10</v>
      </c>
      <c r="AZ1819" s="184">
        <v>37616</v>
      </c>
      <c r="BA1819" t="s">
        <v>17327</v>
      </c>
      <c r="BB1819">
        <v>60</v>
      </c>
      <c r="BC1819">
        <v>44</v>
      </c>
      <c r="BD1819">
        <v>606</v>
      </c>
      <c r="BE1819">
        <v>1996</v>
      </c>
      <c r="BF1819">
        <v>45</v>
      </c>
      <c r="BG1819">
        <v>25</v>
      </c>
      <c r="BH1819">
        <v>270</v>
      </c>
      <c r="BI1819">
        <v>13</v>
      </c>
      <c r="BJ1819">
        <v>30</v>
      </c>
      <c r="BK1819">
        <v>5</v>
      </c>
      <c r="BP1819" s="184"/>
    </row>
    <row r="1820" spans="1:68">
      <c r="A1820">
        <v>20172094</v>
      </c>
      <c r="B1820">
        <v>20172094</v>
      </c>
      <c r="C1820" t="s">
        <v>7018</v>
      </c>
      <c r="D1820" t="s">
        <v>595</v>
      </c>
      <c r="E1820" s="184">
        <v>43857</v>
      </c>
      <c r="G1820" s="184"/>
      <c r="I1820" s="184"/>
      <c r="K1820" s="184"/>
      <c r="O1820" s="184"/>
      <c r="P1820" t="s">
        <v>7045</v>
      </c>
      <c r="Q1820" t="s">
        <v>7194</v>
      </c>
      <c r="R1820" s="184">
        <v>15523</v>
      </c>
      <c r="S1820">
        <v>81</v>
      </c>
      <c r="V1820" t="s">
        <v>2898</v>
      </c>
      <c r="W1820" t="s">
        <v>3332</v>
      </c>
      <c r="X1820" t="s">
        <v>4556</v>
      </c>
      <c r="AF1820" t="s">
        <v>17328</v>
      </c>
      <c r="AG1820" t="s">
        <v>2898</v>
      </c>
      <c r="AI1820" t="s">
        <v>17329</v>
      </c>
      <c r="AM1820" t="s">
        <v>4390</v>
      </c>
      <c r="AN1820" t="s">
        <v>2046</v>
      </c>
      <c r="AO1820" t="s">
        <v>17330</v>
      </c>
      <c r="AP1820" t="s">
        <v>7024</v>
      </c>
      <c r="AQ1820" t="s">
        <v>17331</v>
      </c>
      <c r="AT1820" s="184">
        <v>35031</v>
      </c>
      <c r="AU1820" t="s">
        <v>17332</v>
      </c>
      <c r="AV1820">
        <v>15</v>
      </c>
      <c r="AW1820" s="184">
        <v>45351</v>
      </c>
      <c r="AX1820" t="s">
        <v>16580</v>
      </c>
      <c r="AY1820">
        <v>60</v>
      </c>
      <c r="AZ1820" s="184">
        <v>45351</v>
      </c>
      <c r="BA1820" t="s">
        <v>16580</v>
      </c>
      <c r="BB1820">
        <v>60</v>
      </c>
      <c r="BC1820">
        <v>80</v>
      </c>
      <c r="BD1820">
        <v>1375</v>
      </c>
      <c r="BE1820">
        <v>1996</v>
      </c>
      <c r="BF1820">
        <v>43</v>
      </c>
      <c r="BG1820">
        <v>3</v>
      </c>
      <c r="BH1820">
        <v>110</v>
      </c>
      <c r="BI1820">
        <v>24</v>
      </c>
      <c r="BJ1820">
        <v>30</v>
      </c>
      <c r="BK1820">
        <v>15</v>
      </c>
    </row>
    <row r="1821" spans="1:68">
      <c r="A1821">
        <v>20174645</v>
      </c>
      <c r="B1821">
        <v>20174645</v>
      </c>
      <c r="C1821" t="s">
        <v>7018</v>
      </c>
      <c r="E1821" s="184"/>
      <c r="G1821" s="184"/>
      <c r="I1821" s="184"/>
      <c r="J1821" t="s">
        <v>595</v>
      </c>
      <c r="K1821" s="184">
        <v>44452</v>
      </c>
      <c r="O1821" s="184"/>
      <c r="P1821" t="s">
        <v>7045</v>
      </c>
      <c r="Q1821" t="s">
        <v>7374</v>
      </c>
      <c r="R1821" s="184">
        <v>18019</v>
      </c>
      <c r="S1821">
        <v>75</v>
      </c>
      <c r="V1821" t="s">
        <v>2586</v>
      </c>
      <c r="X1821" t="s">
        <v>17333</v>
      </c>
      <c r="AF1821" t="s">
        <v>17334</v>
      </c>
      <c r="AG1821" t="s">
        <v>2586</v>
      </c>
      <c r="AI1821" t="s">
        <v>17335</v>
      </c>
      <c r="AM1821" t="s">
        <v>17336</v>
      </c>
      <c r="AN1821" t="s">
        <v>2081</v>
      </c>
      <c r="AO1821" t="s">
        <v>17337</v>
      </c>
      <c r="AP1821" t="s">
        <v>7024</v>
      </c>
      <c r="AQ1821" t="s">
        <v>17338</v>
      </c>
      <c r="AT1821" s="184">
        <v>35031</v>
      </c>
      <c r="AU1821" t="s">
        <v>17339</v>
      </c>
      <c r="AV1821">
        <v>15</v>
      </c>
      <c r="AW1821" s="184">
        <v>44264</v>
      </c>
      <c r="AX1821" t="s">
        <v>17340</v>
      </c>
      <c r="AY1821">
        <v>100</v>
      </c>
      <c r="AZ1821" s="184">
        <v>44264</v>
      </c>
      <c r="BA1821" t="s">
        <v>17340</v>
      </c>
      <c r="BB1821">
        <v>100</v>
      </c>
      <c r="BC1821">
        <v>20</v>
      </c>
      <c r="BD1821">
        <v>315</v>
      </c>
      <c r="BE1821">
        <v>1996</v>
      </c>
      <c r="BF1821">
        <v>6</v>
      </c>
      <c r="BI1821">
        <v>6</v>
      </c>
      <c r="BJ1821">
        <v>30</v>
      </c>
      <c r="BK1821">
        <v>2</v>
      </c>
      <c r="BP1821" s="184"/>
    </row>
    <row r="1822" spans="1:68">
      <c r="A1822">
        <v>20178786</v>
      </c>
      <c r="B1822">
        <v>20178786</v>
      </c>
      <c r="C1822" t="s">
        <v>7018</v>
      </c>
      <c r="E1822" s="184"/>
      <c r="G1822" s="184"/>
      <c r="I1822" s="184"/>
      <c r="J1822" t="s">
        <v>595</v>
      </c>
      <c r="K1822" s="184">
        <v>40497</v>
      </c>
      <c r="O1822" s="184"/>
      <c r="P1822" t="s">
        <v>7045</v>
      </c>
      <c r="Q1822" t="s">
        <v>7494</v>
      </c>
      <c r="R1822" s="184">
        <v>10781</v>
      </c>
      <c r="S1822">
        <v>94</v>
      </c>
      <c r="U1822" t="s">
        <v>7076</v>
      </c>
      <c r="V1822" t="s">
        <v>17341</v>
      </c>
      <c r="W1822" t="s">
        <v>4382</v>
      </c>
      <c r="X1822" t="s">
        <v>17342</v>
      </c>
      <c r="AF1822" t="s">
        <v>6163</v>
      </c>
      <c r="AG1822" t="s">
        <v>17341</v>
      </c>
      <c r="AI1822" t="s">
        <v>17343</v>
      </c>
      <c r="AM1822" t="s">
        <v>3770</v>
      </c>
      <c r="AN1822" t="s">
        <v>2174</v>
      </c>
      <c r="AO1822" t="s">
        <v>17344</v>
      </c>
      <c r="AP1822" t="s">
        <v>7024</v>
      </c>
      <c r="AT1822" s="184">
        <v>35032</v>
      </c>
      <c r="AU1822" t="s">
        <v>17345</v>
      </c>
      <c r="AV1822">
        <v>25</v>
      </c>
      <c r="AW1822" s="184">
        <v>44830</v>
      </c>
      <c r="AX1822" t="s">
        <v>12962</v>
      </c>
      <c r="AY1822">
        <v>500</v>
      </c>
      <c r="AZ1822" s="184">
        <v>44315</v>
      </c>
      <c r="BA1822" t="s">
        <v>7041</v>
      </c>
      <c r="BB1822">
        <v>1000</v>
      </c>
      <c r="BC1822">
        <v>74</v>
      </c>
      <c r="BD1822">
        <v>5205</v>
      </c>
      <c r="BE1822">
        <v>1996</v>
      </c>
      <c r="BF1822">
        <v>30</v>
      </c>
      <c r="BG1822">
        <v>1</v>
      </c>
      <c r="BH1822">
        <v>500</v>
      </c>
      <c r="BI1822">
        <v>22</v>
      </c>
      <c r="BJ1822">
        <v>30</v>
      </c>
      <c r="BK1822">
        <v>6</v>
      </c>
      <c r="BP1822" s="184"/>
    </row>
    <row r="1823" spans="1:68">
      <c r="A1823">
        <v>20190054</v>
      </c>
      <c r="B1823">
        <v>20190054</v>
      </c>
      <c r="C1823" t="s">
        <v>7018</v>
      </c>
      <c r="D1823" t="s">
        <v>595</v>
      </c>
      <c r="E1823" s="184">
        <v>43866</v>
      </c>
      <c r="G1823" s="184"/>
      <c r="I1823" s="184"/>
      <c r="K1823" s="184"/>
      <c r="O1823" s="184"/>
      <c r="P1823" t="s">
        <v>7045</v>
      </c>
      <c r="Q1823" t="s">
        <v>7383</v>
      </c>
      <c r="R1823" s="184">
        <v>25934</v>
      </c>
      <c r="S1823">
        <v>53</v>
      </c>
      <c r="U1823" t="s">
        <v>7031</v>
      </c>
      <c r="V1823" t="s">
        <v>2651</v>
      </c>
      <c r="W1823" t="s">
        <v>7963</v>
      </c>
      <c r="X1823" t="s">
        <v>4744</v>
      </c>
      <c r="AF1823" t="s">
        <v>17346</v>
      </c>
      <c r="AG1823" t="s">
        <v>2651</v>
      </c>
      <c r="AI1823" t="s">
        <v>17347</v>
      </c>
      <c r="AM1823" t="s">
        <v>4745</v>
      </c>
      <c r="AN1823" t="s">
        <v>2064</v>
      </c>
      <c r="AO1823" t="s">
        <v>17348</v>
      </c>
      <c r="AP1823" t="s">
        <v>7024</v>
      </c>
      <c r="AQ1823" t="s">
        <v>17349</v>
      </c>
      <c r="AR1823" t="s">
        <v>17350</v>
      </c>
      <c r="AT1823" s="184">
        <v>35033</v>
      </c>
      <c r="AU1823" t="s">
        <v>17351</v>
      </c>
      <c r="AV1823">
        <v>25</v>
      </c>
      <c r="AW1823" s="184">
        <v>45369</v>
      </c>
      <c r="AX1823" t="s">
        <v>17352</v>
      </c>
      <c r="AY1823">
        <v>50</v>
      </c>
      <c r="AZ1823" s="184">
        <v>39489</v>
      </c>
      <c r="BA1823" t="s">
        <v>17353</v>
      </c>
      <c r="BB1823">
        <v>100</v>
      </c>
      <c r="BC1823">
        <v>100</v>
      </c>
      <c r="BD1823">
        <v>2125</v>
      </c>
      <c r="BE1823">
        <v>1996</v>
      </c>
      <c r="BF1823">
        <v>30</v>
      </c>
      <c r="BG1823">
        <v>3</v>
      </c>
      <c r="BH1823">
        <v>150</v>
      </c>
      <c r="BI1823">
        <v>30</v>
      </c>
      <c r="BJ1823">
        <v>30</v>
      </c>
      <c r="BK1823">
        <v>30</v>
      </c>
      <c r="BP1823" s="184"/>
    </row>
    <row r="1824" spans="1:68">
      <c r="A1824">
        <v>20201224</v>
      </c>
      <c r="B1824">
        <v>20201224</v>
      </c>
      <c r="C1824" t="s">
        <v>7018</v>
      </c>
      <c r="D1824" t="s">
        <v>595</v>
      </c>
      <c r="E1824" s="184">
        <v>44104</v>
      </c>
      <c r="G1824" s="184"/>
      <c r="I1824" s="184"/>
      <c r="K1824" s="184"/>
      <c r="P1824" t="s">
        <v>7045</v>
      </c>
      <c r="Q1824" t="s">
        <v>7454</v>
      </c>
      <c r="R1824" s="184">
        <v>13722</v>
      </c>
      <c r="S1824">
        <v>86</v>
      </c>
      <c r="V1824" t="s">
        <v>4916</v>
      </c>
      <c r="X1824" t="s">
        <v>17354</v>
      </c>
      <c r="AF1824" t="s">
        <v>17355</v>
      </c>
      <c r="AG1824" t="s">
        <v>4916</v>
      </c>
      <c r="AI1824" t="s">
        <v>17356</v>
      </c>
      <c r="AM1824" t="s">
        <v>5780</v>
      </c>
      <c r="AN1824" t="s">
        <v>2055</v>
      </c>
      <c r="AO1824" t="s">
        <v>17357</v>
      </c>
      <c r="AP1824" t="s">
        <v>7024</v>
      </c>
      <c r="AQ1824" t="s">
        <v>17358</v>
      </c>
      <c r="AR1824" t="s">
        <v>17359</v>
      </c>
      <c r="AT1824" s="184">
        <v>35034</v>
      </c>
      <c r="AU1824" t="s">
        <v>17295</v>
      </c>
      <c r="AV1824">
        <v>15</v>
      </c>
      <c r="AW1824" s="184">
        <v>45355</v>
      </c>
      <c r="AX1824" t="s">
        <v>7168</v>
      </c>
      <c r="AY1824">
        <v>35</v>
      </c>
      <c r="AZ1824" s="184">
        <v>45355</v>
      </c>
      <c r="BA1824" t="s">
        <v>7168</v>
      </c>
      <c r="BB1824">
        <v>35</v>
      </c>
      <c r="BC1824">
        <v>94</v>
      </c>
      <c r="BD1824">
        <v>844</v>
      </c>
      <c r="BE1824">
        <v>1996</v>
      </c>
      <c r="BF1824">
        <v>40</v>
      </c>
      <c r="BG1824">
        <v>2</v>
      </c>
      <c r="BH1824">
        <v>70</v>
      </c>
      <c r="BI1824">
        <v>28</v>
      </c>
      <c r="BJ1824">
        <v>30</v>
      </c>
      <c r="BK1824">
        <v>16</v>
      </c>
      <c r="BP1824" s="184"/>
    </row>
    <row r="1825" spans="1:68">
      <c r="A1825">
        <v>20209284</v>
      </c>
      <c r="B1825">
        <v>20209284</v>
      </c>
      <c r="C1825" t="s">
        <v>7018</v>
      </c>
      <c r="E1825" s="184"/>
      <c r="G1825" s="184"/>
      <c r="I1825" s="184"/>
      <c r="J1825" t="s">
        <v>595</v>
      </c>
      <c r="K1825" s="184">
        <v>41381</v>
      </c>
      <c r="O1825" s="184"/>
      <c r="P1825" t="s">
        <v>7019</v>
      </c>
      <c r="Q1825" t="s">
        <v>7020</v>
      </c>
      <c r="R1825" s="184">
        <v>19974</v>
      </c>
      <c r="S1825">
        <v>69</v>
      </c>
      <c r="U1825" t="s">
        <v>7130</v>
      </c>
      <c r="V1825" t="s">
        <v>10612</v>
      </c>
      <c r="X1825" t="s">
        <v>17360</v>
      </c>
      <c r="AF1825" t="s">
        <v>6620</v>
      </c>
      <c r="AG1825" t="s">
        <v>10612</v>
      </c>
      <c r="AI1825" t="s">
        <v>17361</v>
      </c>
      <c r="AM1825" t="s">
        <v>17362</v>
      </c>
      <c r="AN1825" t="s">
        <v>2129</v>
      </c>
      <c r="AO1825" t="s">
        <v>17363</v>
      </c>
      <c r="AP1825" t="s">
        <v>7024</v>
      </c>
      <c r="AQ1825" t="s">
        <v>17364</v>
      </c>
      <c r="AT1825" s="184">
        <v>35037</v>
      </c>
      <c r="AU1825" t="s">
        <v>17365</v>
      </c>
      <c r="AV1825">
        <v>25</v>
      </c>
      <c r="AW1825" s="184">
        <v>44522</v>
      </c>
      <c r="AX1825" t="s">
        <v>17366</v>
      </c>
      <c r="AY1825">
        <v>60</v>
      </c>
      <c r="AZ1825" s="184">
        <v>37553</v>
      </c>
      <c r="BA1825" t="s">
        <v>17367</v>
      </c>
      <c r="BB1825">
        <v>87</v>
      </c>
      <c r="BC1825">
        <v>34</v>
      </c>
      <c r="BD1825">
        <v>462</v>
      </c>
      <c r="BE1825">
        <v>1996</v>
      </c>
      <c r="BF1825">
        <v>11</v>
      </c>
      <c r="BI1825">
        <v>10</v>
      </c>
      <c r="BJ1825">
        <v>30</v>
      </c>
      <c r="BK1825">
        <v>3</v>
      </c>
    </row>
    <row r="1826" spans="1:68">
      <c r="A1826">
        <v>20211223</v>
      </c>
      <c r="B1826">
        <v>20211223</v>
      </c>
      <c r="C1826" t="s">
        <v>7018</v>
      </c>
      <c r="E1826" s="184"/>
      <c r="G1826" s="184"/>
      <c r="I1826" s="184"/>
      <c r="J1826" t="s">
        <v>595</v>
      </c>
      <c r="K1826" s="184">
        <v>37434</v>
      </c>
      <c r="M1826" s="184"/>
      <c r="O1826" s="184"/>
      <c r="P1826" t="s">
        <v>7045</v>
      </c>
      <c r="Q1826" t="s">
        <v>7020</v>
      </c>
      <c r="R1826" s="184">
        <v>21702</v>
      </c>
      <c r="S1826">
        <v>64</v>
      </c>
      <c r="U1826" t="s">
        <v>7076</v>
      </c>
      <c r="V1826" t="s">
        <v>3580</v>
      </c>
      <c r="W1826" t="s">
        <v>3226</v>
      </c>
      <c r="X1826" t="s">
        <v>3607</v>
      </c>
      <c r="AF1826" t="s">
        <v>6400</v>
      </c>
      <c r="AG1826" t="s">
        <v>3580</v>
      </c>
      <c r="AI1826" t="s">
        <v>17368</v>
      </c>
      <c r="AM1826" t="s">
        <v>3608</v>
      </c>
      <c r="AN1826" t="s">
        <v>2129</v>
      </c>
      <c r="AO1826" t="s">
        <v>17369</v>
      </c>
      <c r="AP1826" t="s">
        <v>7024</v>
      </c>
      <c r="AQ1826" t="s">
        <v>17370</v>
      </c>
      <c r="AT1826" s="184">
        <v>35037</v>
      </c>
      <c r="AU1826" t="s">
        <v>17371</v>
      </c>
      <c r="AV1826">
        <v>15</v>
      </c>
      <c r="AW1826" s="184">
        <v>45295</v>
      </c>
      <c r="AX1826" t="s">
        <v>17372</v>
      </c>
      <c r="AY1826">
        <v>50</v>
      </c>
      <c r="AZ1826" s="184">
        <v>45246</v>
      </c>
      <c r="BA1826" t="s">
        <v>16129</v>
      </c>
      <c r="BB1826">
        <v>75</v>
      </c>
      <c r="BC1826">
        <v>97</v>
      </c>
      <c r="BD1826">
        <v>1557</v>
      </c>
      <c r="BE1826">
        <v>1996</v>
      </c>
      <c r="BF1826">
        <v>64</v>
      </c>
      <c r="BG1826">
        <v>4</v>
      </c>
      <c r="BH1826">
        <v>225</v>
      </c>
      <c r="BI1826">
        <v>29</v>
      </c>
      <c r="BJ1826">
        <v>30</v>
      </c>
      <c r="BK1826">
        <v>23</v>
      </c>
      <c r="BP1826" s="184"/>
    </row>
    <row r="1827" spans="1:68">
      <c r="A1827">
        <v>20219192</v>
      </c>
      <c r="B1827">
        <v>20219192</v>
      </c>
      <c r="C1827" t="s">
        <v>7018</v>
      </c>
      <c r="D1827" t="s">
        <v>595</v>
      </c>
      <c r="E1827" s="184">
        <v>43970</v>
      </c>
      <c r="G1827" s="184"/>
      <c r="I1827" s="184"/>
      <c r="K1827" s="184"/>
      <c r="M1827" s="184"/>
      <c r="O1827" s="184"/>
      <c r="P1827" t="s">
        <v>7045</v>
      </c>
      <c r="Q1827" t="s">
        <v>7374</v>
      </c>
      <c r="R1827" s="184">
        <v>12298</v>
      </c>
      <c r="S1827">
        <v>90</v>
      </c>
      <c r="V1827" t="s">
        <v>3574</v>
      </c>
      <c r="X1827" t="s">
        <v>17373</v>
      </c>
      <c r="AF1827" t="s">
        <v>17374</v>
      </c>
      <c r="AG1827" t="s">
        <v>3574</v>
      </c>
      <c r="AI1827" t="s">
        <v>17375</v>
      </c>
      <c r="AM1827" t="s">
        <v>17376</v>
      </c>
      <c r="AN1827" t="s">
        <v>2081</v>
      </c>
      <c r="AO1827" t="s">
        <v>17377</v>
      </c>
      <c r="AP1827" t="s">
        <v>7024</v>
      </c>
      <c r="AQ1827" t="s">
        <v>17378</v>
      </c>
      <c r="AR1827" t="s">
        <v>17379</v>
      </c>
      <c r="AT1827" s="184">
        <v>35037</v>
      </c>
      <c r="AU1827" t="s">
        <v>17380</v>
      </c>
      <c r="AV1827">
        <v>15</v>
      </c>
      <c r="AW1827" s="184">
        <v>43187</v>
      </c>
      <c r="AX1827" t="s">
        <v>17381</v>
      </c>
      <c r="AY1827">
        <v>40</v>
      </c>
      <c r="AZ1827" s="184">
        <v>43187</v>
      </c>
      <c r="BA1827" t="s">
        <v>17381</v>
      </c>
      <c r="BB1827">
        <v>40</v>
      </c>
      <c r="BC1827">
        <v>77</v>
      </c>
      <c r="BD1827">
        <v>685</v>
      </c>
      <c r="BE1827">
        <v>1996</v>
      </c>
      <c r="BF1827">
        <v>30</v>
      </c>
      <c r="BI1827">
        <v>23</v>
      </c>
      <c r="BJ1827">
        <v>30</v>
      </c>
      <c r="BK1827">
        <v>13</v>
      </c>
      <c r="BP1827" s="184"/>
    </row>
    <row r="1828" spans="1:68">
      <c r="A1828">
        <v>20228177</v>
      </c>
      <c r="B1828">
        <v>20228177</v>
      </c>
      <c r="C1828" t="s">
        <v>7018</v>
      </c>
      <c r="E1828" s="184"/>
      <c r="G1828" s="184"/>
      <c r="I1828" s="184"/>
      <c r="J1828" t="s">
        <v>595</v>
      </c>
      <c r="K1828" s="184">
        <v>44063</v>
      </c>
      <c r="O1828" s="184"/>
      <c r="P1828" t="s">
        <v>7045</v>
      </c>
      <c r="Q1828" t="s">
        <v>7494</v>
      </c>
      <c r="R1828" s="184">
        <v>20852</v>
      </c>
      <c r="S1828">
        <v>67</v>
      </c>
      <c r="U1828" t="s">
        <v>7031</v>
      </c>
      <c r="V1828" t="s">
        <v>4587</v>
      </c>
      <c r="X1828" t="s">
        <v>17382</v>
      </c>
      <c r="AF1828" t="s">
        <v>17383</v>
      </c>
      <c r="AG1828" t="s">
        <v>4587</v>
      </c>
      <c r="AI1828" t="s">
        <v>17384</v>
      </c>
      <c r="AM1828" t="s">
        <v>3371</v>
      </c>
      <c r="AN1828" t="s">
        <v>2174</v>
      </c>
      <c r="AO1828" t="s">
        <v>17385</v>
      </c>
      <c r="AP1828" t="s">
        <v>7024</v>
      </c>
      <c r="AQ1828" t="s">
        <v>17386</v>
      </c>
      <c r="AT1828" s="184">
        <v>35038</v>
      </c>
      <c r="AU1828" t="s">
        <v>17387</v>
      </c>
      <c r="AV1828">
        <v>20</v>
      </c>
      <c r="AW1828" s="184">
        <v>45298</v>
      </c>
      <c r="AX1828" t="s">
        <v>7168</v>
      </c>
      <c r="AY1828">
        <v>35</v>
      </c>
      <c r="AZ1828" s="184">
        <v>45298</v>
      </c>
      <c r="BA1828" t="s">
        <v>7168</v>
      </c>
      <c r="BB1828">
        <v>35</v>
      </c>
      <c r="BC1828">
        <v>60</v>
      </c>
      <c r="BD1828">
        <v>515</v>
      </c>
      <c r="BE1828">
        <v>1996</v>
      </c>
      <c r="BF1828">
        <v>19</v>
      </c>
      <c r="BG1828">
        <v>1</v>
      </c>
      <c r="BH1828">
        <v>35</v>
      </c>
      <c r="BI1828">
        <v>18</v>
      </c>
      <c r="BJ1828">
        <v>30</v>
      </c>
      <c r="BK1828">
        <v>10</v>
      </c>
      <c r="BP1828" s="184"/>
    </row>
    <row r="1829" spans="1:68">
      <c r="A1829">
        <v>20268355</v>
      </c>
      <c r="B1829">
        <v>20268355</v>
      </c>
      <c r="C1829" t="s">
        <v>7018</v>
      </c>
      <c r="D1829" t="s">
        <v>595</v>
      </c>
      <c r="E1829" s="184">
        <v>44167</v>
      </c>
      <c r="G1829" s="184"/>
      <c r="H1829" t="s">
        <v>595</v>
      </c>
      <c r="I1829" s="184">
        <v>44167</v>
      </c>
      <c r="K1829" s="184"/>
      <c r="M1829" s="184"/>
      <c r="O1829" s="184"/>
      <c r="P1829" t="s">
        <v>7045</v>
      </c>
      <c r="Q1829" t="s">
        <v>7262</v>
      </c>
      <c r="R1829" s="184">
        <v>21885</v>
      </c>
      <c r="S1829">
        <v>64</v>
      </c>
      <c r="U1829" t="s">
        <v>7031</v>
      </c>
      <c r="V1829" t="s">
        <v>17388</v>
      </c>
      <c r="W1829" t="s">
        <v>7469</v>
      </c>
      <c r="X1829" t="s">
        <v>2814</v>
      </c>
      <c r="AF1829" t="s">
        <v>17389</v>
      </c>
      <c r="AG1829" t="s">
        <v>17388</v>
      </c>
      <c r="AI1829" t="s">
        <v>17390</v>
      </c>
      <c r="AM1829" t="s">
        <v>2650</v>
      </c>
      <c r="AN1829" t="s">
        <v>65</v>
      </c>
      <c r="AO1829" t="s">
        <v>17391</v>
      </c>
      <c r="AP1829" t="s">
        <v>7024</v>
      </c>
      <c r="AQ1829" t="s">
        <v>17392</v>
      </c>
      <c r="AT1829" s="184">
        <v>35047</v>
      </c>
      <c r="AU1829" t="s">
        <v>17393</v>
      </c>
      <c r="AV1829">
        <v>15</v>
      </c>
      <c r="AW1829" s="184">
        <v>45321</v>
      </c>
      <c r="AX1829" t="s">
        <v>17394</v>
      </c>
      <c r="AY1829">
        <v>50</v>
      </c>
      <c r="AZ1829" s="184">
        <v>40200</v>
      </c>
      <c r="BA1829" t="s">
        <v>17395</v>
      </c>
      <c r="BB1829">
        <v>75</v>
      </c>
      <c r="BC1829">
        <v>97</v>
      </c>
      <c r="BD1829">
        <v>1285</v>
      </c>
      <c r="BE1829">
        <v>1996</v>
      </c>
      <c r="BF1829">
        <v>30</v>
      </c>
      <c r="BG1829">
        <v>2</v>
      </c>
      <c r="BH1829">
        <v>100</v>
      </c>
      <c r="BI1829">
        <v>29</v>
      </c>
      <c r="BJ1829">
        <v>30</v>
      </c>
      <c r="BK1829">
        <v>28</v>
      </c>
    </row>
    <row r="1830" spans="1:68">
      <c r="A1830">
        <v>20268785</v>
      </c>
      <c r="B1830">
        <v>20268785</v>
      </c>
      <c r="C1830" t="s">
        <v>7018</v>
      </c>
      <c r="D1830" t="s">
        <v>595</v>
      </c>
      <c r="E1830" s="184">
        <v>44167</v>
      </c>
      <c r="G1830" s="184"/>
      <c r="I1830" s="184"/>
      <c r="K1830" s="184"/>
      <c r="M1830" s="184"/>
      <c r="O1830" s="184"/>
      <c r="P1830" t="s">
        <v>7045</v>
      </c>
      <c r="Q1830" t="s">
        <v>7194</v>
      </c>
      <c r="R1830" s="184">
        <v>12298</v>
      </c>
      <c r="S1830">
        <v>90</v>
      </c>
      <c r="U1830" t="s">
        <v>7031</v>
      </c>
      <c r="V1830" t="s">
        <v>2511</v>
      </c>
      <c r="W1830" t="s">
        <v>7560</v>
      </c>
      <c r="X1830" t="s">
        <v>17396</v>
      </c>
      <c r="AF1830" t="s">
        <v>17397</v>
      </c>
      <c r="AG1830" t="s">
        <v>2511</v>
      </c>
      <c r="AI1830" t="s">
        <v>17398</v>
      </c>
      <c r="AM1830" t="s">
        <v>17399</v>
      </c>
      <c r="AN1830" t="s">
        <v>2046</v>
      </c>
      <c r="AO1830" t="s">
        <v>17400</v>
      </c>
      <c r="AP1830" t="s">
        <v>7024</v>
      </c>
      <c r="AT1830" s="184">
        <v>35047</v>
      </c>
      <c r="AU1830" t="s">
        <v>17401</v>
      </c>
      <c r="AV1830">
        <v>25</v>
      </c>
      <c r="AW1830" s="184">
        <v>41283</v>
      </c>
      <c r="AX1830" t="s">
        <v>17402</v>
      </c>
      <c r="AY1830">
        <v>25</v>
      </c>
      <c r="AZ1830" s="184">
        <v>36493</v>
      </c>
      <c r="BA1830" t="s">
        <v>17403</v>
      </c>
      <c r="BB1830">
        <v>50</v>
      </c>
      <c r="BC1830">
        <v>27</v>
      </c>
      <c r="BD1830">
        <v>462</v>
      </c>
      <c r="BE1830">
        <v>1996</v>
      </c>
      <c r="BF1830">
        <v>21</v>
      </c>
      <c r="BI1830">
        <v>8</v>
      </c>
      <c r="BJ1830">
        <v>30</v>
      </c>
      <c r="BK1830">
        <v>7</v>
      </c>
      <c r="BP1830" s="184"/>
    </row>
    <row r="1831" spans="1:68">
      <c r="A1831">
        <v>20268983</v>
      </c>
      <c r="B1831">
        <v>20268983</v>
      </c>
      <c r="C1831" t="s">
        <v>7018</v>
      </c>
      <c r="E1831" s="184"/>
      <c r="G1831" s="184"/>
      <c r="I1831" s="184"/>
      <c r="K1831" s="184"/>
      <c r="M1831" s="184"/>
      <c r="N1831" t="s">
        <v>595</v>
      </c>
      <c r="O1831" s="184">
        <v>42510</v>
      </c>
      <c r="P1831" t="s">
        <v>7045</v>
      </c>
      <c r="Q1831" t="s">
        <v>7383</v>
      </c>
      <c r="R1831" s="184">
        <v>15114</v>
      </c>
      <c r="S1831">
        <v>82</v>
      </c>
      <c r="U1831" t="s">
        <v>7076</v>
      </c>
      <c r="V1831" t="s">
        <v>5692</v>
      </c>
      <c r="W1831" t="s">
        <v>7107</v>
      </c>
      <c r="X1831" t="s">
        <v>5693</v>
      </c>
      <c r="AF1831" t="s">
        <v>17404</v>
      </c>
      <c r="AG1831" t="s">
        <v>5692</v>
      </c>
      <c r="AI1831" t="s">
        <v>17405</v>
      </c>
      <c r="AM1831" t="s">
        <v>5694</v>
      </c>
      <c r="AN1831" t="s">
        <v>2185</v>
      </c>
      <c r="AO1831" t="s">
        <v>17406</v>
      </c>
      <c r="AP1831" t="s">
        <v>7024</v>
      </c>
      <c r="AT1831" s="184">
        <v>35047</v>
      </c>
      <c r="AU1831" t="s">
        <v>17407</v>
      </c>
      <c r="AV1831">
        <v>15</v>
      </c>
      <c r="AW1831" s="184">
        <v>45014</v>
      </c>
      <c r="AX1831" t="s">
        <v>8057</v>
      </c>
      <c r="AY1831">
        <v>200</v>
      </c>
      <c r="AZ1831" s="184">
        <v>42863</v>
      </c>
      <c r="BA1831" t="s">
        <v>7267</v>
      </c>
      <c r="BB1831">
        <v>12812.5</v>
      </c>
      <c r="BC1831">
        <v>87</v>
      </c>
      <c r="BD1831">
        <v>24476.05</v>
      </c>
      <c r="BE1831">
        <v>1996</v>
      </c>
      <c r="BF1831">
        <v>31</v>
      </c>
      <c r="BG1831">
        <v>2</v>
      </c>
      <c r="BH1831">
        <v>400</v>
      </c>
      <c r="BI1831">
        <v>26</v>
      </c>
      <c r="BJ1831">
        <v>30</v>
      </c>
      <c r="BK1831">
        <v>18</v>
      </c>
      <c r="BP1831" s="184"/>
    </row>
    <row r="1832" spans="1:68">
      <c r="A1832">
        <v>20279493</v>
      </c>
      <c r="B1832">
        <v>20279493</v>
      </c>
      <c r="C1832" t="s">
        <v>7018</v>
      </c>
      <c r="D1832" t="s">
        <v>595</v>
      </c>
      <c r="E1832" s="184">
        <v>44073</v>
      </c>
      <c r="G1832" s="184"/>
      <c r="I1832" s="184"/>
      <c r="K1832" s="184"/>
      <c r="M1832" s="184"/>
      <c r="O1832" s="184"/>
      <c r="P1832" t="s">
        <v>7045</v>
      </c>
      <c r="Q1832" t="s">
        <v>7383</v>
      </c>
      <c r="R1832" s="184">
        <v>17398</v>
      </c>
      <c r="S1832">
        <v>76</v>
      </c>
      <c r="U1832" t="s">
        <v>7031</v>
      </c>
      <c r="V1832" t="s">
        <v>17408</v>
      </c>
      <c r="W1832" t="s">
        <v>4013</v>
      </c>
      <c r="X1832" t="s">
        <v>9976</v>
      </c>
      <c r="Z1832">
        <v>100723619</v>
      </c>
      <c r="AA1832" t="s">
        <v>7130</v>
      </c>
      <c r="AB1832" t="s">
        <v>4720</v>
      </c>
      <c r="AD1832" t="s">
        <v>9976</v>
      </c>
      <c r="AF1832" t="s">
        <v>17409</v>
      </c>
      <c r="AG1832" t="s">
        <v>17410</v>
      </c>
      <c r="AI1832" t="s">
        <v>17411</v>
      </c>
      <c r="AM1832" t="s">
        <v>4583</v>
      </c>
      <c r="AN1832" t="s">
        <v>2162</v>
      </c>
      <c r="AO1832" t="s">
        <v>17412</v>
      </c>
      <c r="AP1832" t="s">
        <v>7024</v>
      </c>
      <c r="AQ1832" t="s">
        <v>17413</v>
      </c>
      <c r="AR1832" t="s">
        <v>17414</v>
      </c>
      <c r="AT1832" s="184">
        <v>35048</v>
      </c>
      <c r="AU1832" t="s">
        <v>17415</v>
      </c>
      <c r="AV1832">
        <v>25</v>
      </c>
      <c r="AW1832" s="184">
        <v>45295</v>
      </c>
      <c r="AX1832" t="s">
        <v>17416</v>
      </c>
      <c r="AY1832">
        <v>35</v>
      </c>
      <c r="AZ1832" s="184">
        <v>45295</v>
      </c>
      <c r="BA1832" t="s">
        <v>17416</v>
      </c>
      <c r="BB1832">
        <v>35</v>
      </c>
      <c r="BC1832">
        <v>80</v>
      </c>
      <c r="BD1832">
        <v>1185</v>
      </c>
      <c r="BE1832">
        <v>1996</v>
      </c>
      <c r="BF1832">
        <v>54</v>
      </c>
      <c r="BG1832">
        <v>5</v>
      </c>
      <c r="BH1832">
        <v>175</v>
      </c>
      <c r="BI1832">
        <v>24</v>
      </c>
      <c r="BJ1832">
        <v>30</v>
      </c>
      <c r="BK1832">
        <v>8</v>
      </c>
      <c r="BP1832" s="184"/>
    </row>
    <row r="1833" spans="1:68">
      <c r="A1833">
        <v>20286118</v>
      </c>
      <c r="B1833">
        <v>20286118</v>
      </c>
      <c r="C1833" t="s">
        <v>7018</v>
      </c>
      <c r="E1833" s="184"/>
      <c r="G1833" s="184"/>
      <c r="I1833" s="184"/>
      <c r="J1833" t="s">
        <v>595</v>
      </c>
      <c r="K1833" s="184">
        <v>39029</v>
      </c>
      <c r="M1833" s="184"/>
      <c r="O1833" s="184"/>
      <c r="P1833" t="s">
        <v>7045</v>
      </c>
      <c r="Q1833" t="s">
        <v>7383</v>
      </c>
      <c r="R1833" s="184">
        <v>19176</v>
      </c>
      <c r="S1833">
        <v>71</v>
      </c>
      <c r="U1833" t="s">
        <v>7130</v>
      </c>
      <c r="V1833" t="s">
        <v>2954</v>
      </c>
      <c r="X1833" t="s">
        <v>17417</v>
      </c>
      <c r="Z1833">
        <v>100055718</v>
      </c>
      <c r="AA1833" t="s">
        <v>7031</v>
      </c>
      <c r="AB1833" t="s">
        <v>2871</v>
      </c>
      <c r="AD1833" t="s">
        <v>17417</v>
      </c>
      <c r="AF1833" t="s">
        <v>6110</v>
      </c>
      <c r="AG1833" t="s">
        <v>17418</v>
      </c>
      <c r="AI1833" t="s">
        <v>17419</v>
      </c>
      <c r="AM1833" t="s">
        <v>17420</v>
      </c>
      <c r="AN1833" t="s">
        <v>2419</v>
      </c>
      <c r="AO1833" t="s">
        <v>17421</v>
      </c>
      <c r="AP1833" t="s">
        <v>7024</v>
      </c>
      <c r="AQ1833" t="s">
        <v>17422</v>
      </c>
      <c r="AT1833" s="184">
        <v>35051</v>
      </c>
      <c r="AU1833" t="s">
        <v>17423</v>
      </c>
      <c r="AV1833">
        <v>25</v>
      </c>
      <c r="AW1833" s="184">
        <v>45125</v>
      </c>
      <c r="AX1833" t="s">
        <v>17424</v>
      </c>
      <c r="AY1833">
        <v>250</v>
      </c>
      <c r="AZ1833" s="184">
        <v>40154</v>
      </c>
      <c r="BA1833" t="s">
        <v>17425</v>
      </c>
      <c r="BB1833">
        <v>2000</v>
      </c>
      <c r="BC1833">
        <v>90</v>
      </c>
      <c r="BD1833">
        <v>6250</v>
      </c>
      <c r="BE1833">
        <v>1996</v>
      </c>
      <c r="BF1833">
        <v>44</v>
      </c>
      <c r="BG1833">
        <v>1</v>
      </c>
      <c r="BH1833">
        <v>250</v>
      </c>
      <c r="BI1833">
        <v>27</v>
      </c>
      <c r="BJ1833">
        <v>30</v>
      </c>
      <c r="BK1833">
        <v>21</v>
      </c>
      <c r="BP1833" s="184"/>
    </row>
    <row r="1834" spans="1:68">
      <c r="A1834">
        <v>100055718</v>
      </c>
      <c r="B1834">
        <v>20286118</v>
      </c>
      <c r="C1834" t="s">
        <v>7018</v>
      </c>
      <c r="E1834" s="184"/>
      <c r="G1834" s="184"/>
      <c r="I1834" s="184"/>
      <c r="J1834" t="s">
        <v>595</v>
      </c>
      <c r="K1834" s="184"/>
      <c r="M1834" s="184"/>
      <c r="O1834" s="184"/>
      <c r="P1834" t="s">
        <v>7045</v>
      </c>
      <c r="Q1834" t="s">
        <v>7383</v>
      </c>
      <c r="R1834" s="184">
        <v>24838</v>
      </c>
      <c r="S1834">
        <v>56</v>
      </c>
      <c r="U1834" t="s">
        <v>7031</v>
      </c>
      <c r="V1834" t="s">
        <v>2871</v>
      </c>
      <c r="X1834" t="s">
        <v>17417</v>
      </c>
      <c r="Z1834">
        <v>20286118</v>
      </c>
      <c r="AA1834" t="s">
        <v>7130</v>
      </c>
      <c r="AB1834" t="s">
        <v>2954</v>
      </c>
      <c r="AD1834" t="s">
        <v>17417</v>
      </c>
      <c r="AF1834" t="s">
        <v>6110</v>
      </c>
      <c r="AG1834" t="s">
        <v>17418</v>
      </c>
      <c r="AI1834" t="s">
        <v>17419</v>
      </c>
      <c r="AM1834" t="s">
        <v>17420</v>
      </c>
      <c r="AN1834" t="s">
        <v>2419</v>
      </c>
      <c r="AO1834" t="s">
        <v>17421</v>
      </c>
      <c r="AP1834" t="s">
        <v>7024</v>
      </c>
      <c r="AT1834" s="184"/>
      <c r="AW1834" s="184"/>
      <c r="AZ1834" s="184"/>
      <c r="BP1834" s="184"/>
    </row>
    <row r="1835" spans="1:68">
      <c r="A1835">
        <v>20303541</v>
      </c>
      <c r="B1835">
        <v>20303541</v>
      </c>
      <c r="C1835" t="s">
        <v>7018</v>
      </c>
      <c r="D1835" t="s">
        <v>595</v>
      </c>
      <c r="E1835" s="184">
        <v>43642</v>
      </c>
      <c r="G1835" s="184"/>
      <c r="I1835" s="184"/>
      <c r="K1835" s="184"/>
      <c r="M1835" s="184"/>
      <c r="O1835" s="184"/>
      <c r="P1835" t="s">
        <v>7045</v>
      </c>
      <c r="Q1835" t="s">
        <v>7383</v>
      </c>
      <c r="R1835" s="184">
        <v>18233</v>
      </c>
      <c r="S1835">
        <v>74</v>
      </c>
      <c r="V1835" t="s">
        <v>2876</v>
      </c>
      <c r="W1835" t="s">
        <v>7246</v>
      </c>
      <c r="X1835" t="s">
        <v>3259</v>
      </c>
      <c r="AF1835" t="s">
        <v>17426</v>
      </c>
      <c r="AG1835" t="s">
        <v>2876</v>
      </c>
      <c r="AI1835" t="s">
        <v>17427</v>
      </c>
      <c r="AM1835" t="s">
        <v>3260</v>
      </c>
      <c r="AN1835" t="s">
        <v>2072</v>
      </c>
      <c r="AO1835" t="s">
        <v>17428</v>
      </c>
      <c r="AP1835" t="s">
        <v>7024</v>
      </c>
      <c r="AT1835" s="184">
        <v>35052</v>
      </c>
      <c r="AU1835" t="s">
        <v>17429</v>
      </c>
      <c r="AV1835">
        <v>25</v>
      </c>
      <c r="AW1835" s="184">
        <v>42306</v>
      </c>
      <c r="AX1835" t="s">
        <v>17430</v>
      </c>
      <c r="AY1835">
        <v>35</v>
      </c>
      <c r="AZ1835" s="184">
        <v>42306</v>
      </c>
      <c r="BA1835" t="s">
        <v>17430</v>
      </c>
      <c r="BB1835">
        <v>35</v>
      </c>
      <c r="BC1835">
        <v>24</v>
      </c>
      <c r="BD1835">
        <v>207</v>
      </c>
      <c r="BE1835">
        <v>1996</v>
      </c>
      <c r="BF1835">
        <v>10</v>
      </c>
      <c r="BI1835">
        <v>7</v>
      </c>
      <c r="BJ1835">
        <v>30</v>
      </c>
      <c r="BK1835">
        <v>3</v>
      </c>
      <c r="BP1835" s="184"/>
    </row>
    <row r="1836" spans="1:68">
      <c r="A1836">
        <v>20336491</v>
      </c>
      <c r="B1836">
        <v>20336491</v>
      </c>
      <c r="C1836" t="s">
        <v>7018</v>
      </c>
      <c r="D1836" t="s">
        <v>595</v>
      </c>
      <c r="E1836" s="184">
        <v>44152</v>
      </c>
      <c r="G1836" s="184"/>
      <c r="I1836" s="184"/>
      <c r="K1836" s="184"/>
      <c r="O1836" s="184"/>
      <c r="P1836" t="s">
        <v>7045</v>
      </c>
      <c r="Q1836" t="s">
        <v>7383</v>
      </c>
      <c r="R1836" s="184">
        <v>14977</v>
      </c>
      <c r="S1836">
        <v>83</v>
      </c>
      <c r="V1836" t="s">
        <v>7290</v>
      </c>
      <c r="X1836" t="s">
        <v>17431</v>
      </c>
      <c r="Z1836">
        <v>100055885</v>
      </c>
      <c r="AB1836" t="s">
        <v>3134</v>
      </c>
      <c r="AD1836" t="s">
        <v>17431</v>
      </c>
      <c r="AF1836" t="s">
        <v>17432</v>
      </c>
      <c r="AG1836" t="s">
        <v>17433</v>
      </c>
      <c r="AI1836" t="s">
        <v>17434</v>
      </c>
      <c r="AM1836" t="s">
        <v>17435</v>
      </c>
      <c r="AN1836" t="s">
        <v>2274</v>
      </c>
      <c r="AO1836" t="s">
        <v>17436</v>
      </c>
      <c r="AP1836" t="s">
        <v>7024</v>
      </c>
      <c r="AT1836" s="184">
        <v>35054</v>
      </c>
      <c r="AU1836" t="s">
        <v>17437</v>
      </c>
      <c r="AV1836">
        <v>15</v>
      </c>
      <c r="AW1836" s="184">
        <v>45316</v>
      </c>
      <c r="AX1836" t="s">
        <v>17438</v>
      </c>
      <c r="AY1836">
        <v>30</v>
      </c>
      <c r="AZ1836" s="184">
        <v>45287</v>
      </c>
      <c r="BA1836" t="s">
        <v>10223</v>
      </c>
      <c r="BB1836">
        <v>35</v>
      </c>
      <c r="BC1836">
        <v>80</v>
      </c>
      <c r="BD1836">
        <v>1307</v>
      </c>
      <c r="BE1836">
        <v>1996</v>
      </c>
      <c r="BF1836">
        <v>52</v>
      </c>
      <c r="BG1836">
        <v>3</v>
      </c>
      <c r="BH1836">
        <v>90</v>
      </c>
      <c r="BI1836">
        <v>24</v>
      </c>
      <c r="BJ1836">
        <v>30</v>
      </c>
      <c r="BK1836">
        <v>11</v>
      </c>
      <c r="BP1836" s="184"/>
    </row>
    <row r="1837" spans="1:68">
      <c r="A1837">
        <v>100055885</v>
      </c>
      <c r="B1837">
        <v>20336491</v>
      </c>
      <c r="C1837" t="s">
        <v>7018</v>
      </c>
      <c r="D1837" t="s">
        <v>595</v>
      </c>
      <c r="E1837" s="184">
        <v>44152</v>
      </c>
      <c r="G1837" s="184"/>
      <c r="I1837" s="184"/>
      <c r="K1837" s="184"/>
      <c r="M1837" s="184"/>
      <c r="O1837" s="184"/>
      <c r="P1837" t="s">
        <v>7045</v>
      </c>
      <c r="Q1837" t="s">
        <v>7383</v>
      </c>
      <c r="R1837" s="184">
        <v>14979</v>
      </c>
      <c r="S1837">
        <v>83</v>
      </c>
      <c r="V1837" t="s">
        <v>3134</v>
      </c>
      <c r="X1837" t="s">
        <v>17431</v>
      </c>
      <c r="Z1837">
        <v>20336491</v>
      </c>
      <c r="AB1837" t="s">
        <v>7290</v>
      </c>
      <c r="AD1837" t="s">
        <v>17431</v>
      </c>
      <c r="AF1837" t="s">
        <v>17432</v>
      </c>
      <c r="AG1837" t="s">
        <v>17433</v>
      </c>
      <c r="AI1837" t="s">
        <v>17434</v>
      </c>
      <c r="AM1837" t="s">
        <v>17435</v>
      </c>
      <c r="AN1837" t="s">
        <v>2274</v>
      </c>
      <c r="AO1837" t="s">
        <v>17436</v>
      </c>
      <c r="AP1837" t="s">
        <v>7024</v>
      </c>
      <c r="AT1837" s="184"/>
      <c r="AW1837" s="184"/>
      <c r="AZ1837" s="184"/>
      <c r="BP1837" s="184"/>
    </row>
    <row r="1838" spans="1:68">
      <c r="A1838">
        <v>20340667</v>
      </c>
      <c r="B1838">
        <v>20340667</v>
      </c>
      <c r="C1838" t="s">
        <v>7018</v>
      </c>
      <c r="D1838" t="s">
        <v>595</v>
      </c>
      <c r="E1838" s="184">
        <v>43857</v>
      </c>
      <c r="G1838" s="184"/>
      <c r="I1838" s="184"/>
      <c r="K1838" s="184"/>
      <c r="M1838" s="184"/>
      <c r="O1838" s="184"/>
      <c r="P1838" t="s">
        <v>7045</v>
      </c>
      <c r="Q1838" t="s">
        <v>7383</v>
      </c>
      <c r="R1838" s="184">
        <v>16318</v>
      </c>
      <c r="S1838">
        <v>79</v>
      </c>
      <c r="U1838" t="s">
        <v>7076</v>
      </c>
      <c r="V1838" t="s">
        <v>3409</v>
      </c>
      <c r="X1838" t="s">
        <v>4557</v>
      </c>
      <c r="AF1838" t="s">
        <v>17439</v>
      </c>
      <c r="AG1838" t="s">
        <v>3409</v>
      </c>
      <c r="AI1838" t="s">
        <v>17440</v>
      </c>
      <c r="AM1838" t="s">
        <v>4558</v>
      </c>
      <c r="AN1838" t="s">
        <v>2072</v>
      </c>
      <c r="AO1838" t="s">
        <v>17441</v>
      </c>
      <c r="AP1838" t="s">
        <v>7024</v>
      </c>
      <c r="AQ1838" t="s">
        <v>17442</v>
      </c>
      <c r="AT1838" s="184">
        <v>35061</v>
      </c>
      <c r="AU1838" t="s">
        <v>17443</v>
      </c>
      <c r="AV1838">
        <v>25</v>
      </c>
      <c r="AW1838" s="184">
        <v>44530</v>
      </c>
      <c r="AX1838" t="s">
        <v>15720</v>
      </c>
      <c r="AY1838">
        <v>35</v>
      </c>
      <c r="AZ1838" s="184">
        <v>37376</v>
      </c>
      <c r="BA1838" t="s">
        <v>17444</v>
      </c>
      <c r="BB1838">
        <v>60</v>
      </c>
      <c r="BC1838">
        <v>74</v>
      </c>
      <c r="BD1838">
        <v>1430</v>
      </c>
      <c r="BE1838">
        <v>1996</v>
      </c>
      <c r="BF1838">
        <v>84</v>
      </c>
      <c r="BI1838">
        <v>22</v>
      </c>
      <c r="BJ1838">
        <v>30</v>
      </c>
      <c r="BK1838">
        <v>13</v>
      </c>
      <c r="BP1838" s="184"/>
    </row>
    <row r="1839" spans="1:68">
      <c r="A1839">
        <v>20349866</v>
      </c>
      <c r="B1839">
        <v>20349866</v>
      </c>
      <c r="C1839" t="s">
        <v>7018</v>
      </c>
      <c r="E1839" s="184"/>
      <c r="F1839" t="s">
        <v>595</v>
      </c>
      <c r="G1839" s="184">
        <v>43640</v>
      </c>
      <c r="I1839" s="184"/>
      <c r="K1839" s="184"/>
      <c r="O1839" s="184"/>
      <c r="P1839" t="s">
        <v>7045</v>
      </c>
      <c r="Q1839" t="s">
        <v>7383</v>
      </c>
      <c r="R1839" s="184">
        <v>18409</v>
      </c>
      <c r="S1839">
        <v>73</v>
      </c>
      <c r="U1839" t="s">
        <v>7076</v>
      </c>
      <c r="V1839" t="s">
        <v>3022</v>
      </c>
      <c r="W1839" t="s">
        <v>7396</v>
      </c>
      <c r="X1839" t="s">
        <v>3023</v>
      </c>
      <c r="AF1839" t="s">
        <v>17445</v>
      </c>
      <c r="AG1839" t="s">
        <v>3022</v>
      </c>
      <c r="AI1839" t="s">
        <v>17446</v>
      </c>
      <c r="AM1839" t="s">
        <v>3024</v>
      </c>
      <c r="AN1839" t="s">
        <v>2072</v>
      </c>
      <c r="AO1839" t="s">
        <v>17447</v>
      </c>
      <c r="AP1839" t="s">
        <v>7024</v>
      </c>
      <c r="AT1839" s="184">
        <v>35061</v>
      </c>
      <c r="AU1839" t="s">
        <v>17448</v>
      </c>
      <c r="AV1839">
        <v>5</v>
      </c>
      <c r="AW1839" s="184">
        <v>41376</v>
      </c>
      <c r="AX1839" t="s">
        <v>17449</v>
      </c>
      <c r="AY1839">
        <v>25</v>
      </c>
      <c r="AZ1839" s="184">
        <v>39072</v>
      </c>
      <c r="BA1839" t="s">
        <v>17450</v>
      </c>
      <c r="BB1839">
        <v>60</v>
      </c>
      <c r="BC1839">
        <v>37</v>
      </c>
      <c r="BD1839">
        <v>252</v>
      </c>
      <c r="BE1839">
        <v>1996</v>
      </c>
      <c r="BF1839">
        <v>13</v>
      </c>
      <c r="BI1839">
        <v>11</v>
      </c>
      <c r="BJ1839">
        <v>30</v>
      </c>
      <c r="BK1839">
        <v>5</v>
      </c>
      <c r="BP1839" s="184"/>
    </row>
    <row r="1840" spans="1:68">
      <c r="A1840">
        <v>20354346</v>
      </c>
      <c r="B1840">
        <v>20354346</v>
      </c>
      <c r="C1840" t="s">
        <v>7018</v>
      </c>
      <c r="E1840" s="184"/>
      <c r="G1840" s="184"/>
      <c r="I1840" s="184"/>
      <c r="J1840" t="s">
        <v>595</v>
      </c>
      <c r="K1840" s="184">
        <v>44797</v>
      </c>
      <c r="M1840" s="184"/>
      <c r="O1840" s="184"/>
      <c r="P1840" t="s">
        <v>7045</v>
      </c>
      <c r="Q1840" t="s">
        <v>7454</v>
      </c>
      <c r="R1840" s="184">
        <v>26299</v>
      </c>
      <c r="S1840">
        <v>52</v>
      </c>
      <c r="U1840" t="s">
        <v>7076</v>
      </c>
      <c r="V1840" t="s">
        <v>3435</v>
      </c>
      <c r="X1840" t="s">
        <v>17451</v>
      </c>
      <c r="AF1840" t="s">
        <v>17452</v>
      </c>
      <c r="AG1840" t="s">
        <v>3435</v>
      </c>
      <c r="AI1840" t="s">
        <v>17453</v>
      </c>
      <c r="AM1840" t="s">
        <v>5087</v>
      </c>
      <c r="AN1840" t="s">
        <v>2055</v>
      </c>
      <c r="AO1840" t="s">
        <v>17454</v>
      </c>
      <c r="AP1840" t="s">
        <v>7024</v>
      </c>
      <c r="AQ1840" t="s">
        <v>17455</v>
      </c>
      <c r="AR1840" t="s">
        <v>17456</v>
      </c>
      <c r="AT1840" s="184">
        <v>35061</v>
      </c>
      <c r="AU1840" t="s">
        <v>17457</v>
      </c>
      <c r="AV1840">
        <v>10</v>
      </c>
      <c r="AW1840" s="184">
        <v>45381</v>
      </c>
      <c r="AX1840" t="s">
        <v>13386</v>
      </c>
      <c r="AY1840">
        <v>250</v>
      </c>
      <c r="AZ1840" s="184">
        <v>45381</v>
      </c>
      <c r="BA1840" t="s">
        <v>13386</v>
      </c>
      <c r="BB1840">
        <v>250</v>
      </c>
      <c r="BC1840">
        <v>74</v>
      </c>
      <c r="BD1840">
        <v>2007.3</v>
      </c>
      <c r="BE1840">
        <v>1996</v>
      </c>
      <c r="BF1840">
        <v>28</v>
      </c>
      <c r="BG1840">
        <v>4</v>
      </c>
      <c r="BH1840">
        <v>850</v>
      </c>
      <c r="BI1840">
        <v>22</v>
      </c>
      <c r="BJ1840">
        <v>30</v>
      </c>
      <c r="BK1840">
        <v>5</v>
      </c>
      <c r="BP1840" s="184"/>
    </row>
    <row r="1841" spans="1:68">
      <c r="A1841">
        <v>20379996</v>
      </c>
      <c r="B1841">
        <v>20379996</v>
      </c>
      <c r="C1841" t="s">
        <v>7018</v>
      </c>
      <c r="D1841" t="s">
        <v>595</v>
      </c>
      <c r="E1841" s="184">
        <v>44104</v>
      </c>
      <c r="G1841" s="184"/>
      <c r="I1841" s="184"/>
      <c r="K1841" s="184"/>
      <c r="M1841" s="184"/>
      <c r="O1841" s="184"/>
      <c r="P1841" t="s">
        <v>7045</v>
      </c>
      <c r="Q1841" t="s">
        <v>7383</v>
      </c>
      <c r="R1841" s="184">
        <v>16206</v>
      </c>
      <c r="S1841">
        <v>80</v>
      </c>
      <c r="U1841" t="s">
        <v>7031</v>
      </c>
      <c r="V1841" t="s">
        <v>2541</v>
      </c>
      <c r="W1841" t="s">
        <v>4139</v>
      </c>
      <c r="X1841" t="s">
        <v>3715</v>
      </c>
      <c r="Y1841" t="s">
        <v>7047</v>
      </c>
      <c r="AF1841" t="s">
        <v>17458</v>
      </c>
      <c r="AG1841" t="s">
        <v>2541</v>
      </c>
      <c r="AI1841" t="s">
        <v>17459</v>
      </c>
      <c r="AM1841" t="s">
        <v>17039</v>
      </c>
      <c r="AN1841" t="s">
        <v>2059</v>
      </c>
      <c r="AO1841" t="s">
        <v>17460</v>
      </c>
      <c r="AP1841" t="s">
        <v>7024</v>
      </c>
      <c r="AQ1841" t="s">
        <v>17461</v>
      </c>
      <c r="AR1841" t="s">
        <v>17462</v>
      </c>
      <c r="AT1841" s="184">
        <v>35055</v>
      </c>
      <c r="AU1841" t="s">
        <v>17463</v>
      </c>
      <c r="AV1841">
        <v>50</v>
      </c>
      <c r="AW1841" s="184">
        <v>45308</v>
      </c>
      <c r="AX1841" t="s">
        <v>8797</v>
      </c>
      <c r="AY1841">
        <v>100</v>
      </c>
      <c r="AZ1841" s="184">
        <v>36011</v>
      </c>
      <c r="BA1841" t="s">
        <v>17464</v>
      </c>
      <c r="BB1841">
        <v>300</v>
      </c>
      <c r="BC1841">
        <v>87</v>
      </c>
      <c r="BD1841">
        <v>3130</v>
      </c>
      <c r="BE1841">
        <v>1996</v>
      </c>
      <c r="BF1841">
        <v>34</v>
      </c>
      <c r="BG1841">
        <v>2</v>
      </c>
      <c r="BH1841">
        <v>200</v>
      </c>
      <c r="BI1841">
        <v>26</v>
      </c>
      <c r="BJ1841">
        <v>30</v>
      </c>
      <c r="BK1841">
        <v>16</v>
      </c>
      <c r="BP1841" s="184"/>
    </row>
    <row r="1842" spans="1:68">
      <c r="A1842">
        <v>20381794</v>
      </c>
      <c r="B1842">
        <v>20381794</v>
      </c>
      <c r="C1842" t="s">
        <v>7018</v>
      </c>
      <c r="D1842" t="s">
        <v>595</v>
      </c>
      <c r="E1842" s="184">
        <v>43951</v>
      </c>
      <c r="G1842" s="184"/>
      <c r="I1842" s="184"/>
      <c r="K1842" s="184"/>
      <c r="M1842" s="184"/>
      <c r="O1842" s="184"/>
      <c r="P1842" t="s">
        <v>7045</v>
      </c>
      <c r="Q1842" t="s">
        <v>7454</v>
      </c>
      <c r="R1842" s="184">
        <v>24360</v>
      </c>
      <c r="S1842">
        <v>57</v>
      </c>
      <c r="U1842" t="s">
        <v>7031</v>
      </c>
      <c r="V1842" t="s">
        <v>3103</v>
      </c>
      <c r="X1842" t="s">
        <v>17465</v>
      </c>
      <c r="AF1842" t="s">
        <v>17466</v>
      </c>
      <c r="AG1842" t="s">
        <v>3103</v>
      </c>
      <c r="AI1842" t="s">
        <v>17467</v>
      </c>
      <c r="AM1842" t="s">
        <v>2608</v>
      </c>
      <c r="AN1842" t="s">
        <v>2299</v>
      </c>
      <c r="AO1842" t="s">
        <v>17468</v>
      </c>
      <c r="AP1842" t="s">
        <v>7024</v>
      </c>
      <c r="AQ1842" t="s">
        <v>17469</v>
      </c>
      <c r="AR1842" t="s">
        <v>17470</v>
      </c>
      <c r="AT1842" s="184">
        <v>35053</v>
      </c>
      <c r="AU1842" t="s">
        <v>17471</v>
      </c>
      <c r="AV1842">
        <v>25</v>
      </c>
      <c r="AW1842" s="184">
        <v>45399</v>
      </c>
      <c r="AX1842" t="s">
        <v>17472</v>
      </c>
      <c r="AY1842">
        <v>35</v>
      </c>
      <c r="AZ1842" s="184">
        <v>42257</v>
      </c>
      <c r="BA1842" t="s">
        <v>17473</v>
      </c>
      <c r="BB1842">
        <v>60</v>
      </c>
      <c r="BC1842">
        <v>90</v>
      </c>
      <c r="BD1842">
        <v>955</v>
      </c>
      <c r="BE1842">
        <v>1996</v>
      </c>
      <c r="BF1842">
        <v>32</v>
      </c>
      <c r="BG1842">
        <v>3</v>
      </c>
      <c r="BH1842">
        <v>105</v>
      </c>
      <c r="BI1842">
        <v>27</v>
      </c>
      <c r="BJ1842">
        <v>30</v>
      </c>
      <c r="BK1842">
        <v>11</v>
      </c>
      <c r="BP1842" s="184"/>
    </row>
    <row r="1843" spans="1:68">
      <c r="A1843">
        <v>20412052</v>
      </c>
      <c r="B1843">
        <v>20412052</v>
      </c>
      <c r="C1843" t="s">
        <v>7018</v>
      </c>
      <c r="E1843" s="184"/>
      <c r="G1843" s="184"/>
      <c r="I1843" s="184"/>
      <c r="K1843" s="184"/>
      <c r="L1843" t="s">
        <v>595</v>
      </c>
      <c r="M1843" s="184">
        <v>43923</v>
      </c>
      <c r="O1843" s="184"/>
      <c r="P1843" t="s">
        <v>7045</v>
      </c>
      <c r="Q1843" t="s">
        <v>7383</v>
      </c>
      <c r="R1843" s="184"/>
      <c r="V1843" t="s">
        <v>3683</v>
      </c>
      <c r="X1843" t="s">
        <v>17474</v>
      </c>
      <c r="Z1843">
        <v>100056206</v>
      </c>
      <c r="AB1843" t="s">
        <v>3689</v>
      </c>
      <c r="AD1843" t="s">
        <v>17474</v>
      </c>
      <c r="AF1843" t="s">
        <v>17475</v>
      </c>
      <c r="AG1843" t="s">
        <v>17476</v>
      </c>
      <c r="AI1843" t="s">
        <v>17477</v>
      </c>
      <c r="AM1843" t="s">
        <v>17478</v>
      </c>
      <c r="AN1843" t="s">
        <v>2072</v>
      </c>
      <c r="AO1843" t="s">
        <v>17479</v>
      </c>
      <c r="AP1843" t="s">
        <v>7024</v>
      </c>
      <c r="AT1843" s="184">
        <v>35069</v>
      </c>
      <c r="AU1843" t="s">
        <v>17480</v>
      </c>
      <c r="AV1843">
        <v>25</v>
      </c>
      <c r="AW1843" s="184">
        <v>44949</v>
      </c>
      <c r="AX1843" t="s">
        <v>17481</v>
      </c>
      <c r="AY1843">
        <v>18</v>
      </c>
      <c r="AZ1843" s="184">
        <v>42646</v>
      </c>
      <c r="BA1843" t="s">
        <v>17482</v>
      </c>
      <c r="BB1843">
        <v>25</v>
      </c>
      <c r="BC1843">
        <v>21</v>
      </c>
      <c r="BD1843">
        <v>122</v>
      </c>
      <c r="BE1843">
        <v>1996</v>
      </c>
      <c r="BF1843">
        <v>6</v>
      </c>
      <c r="BG1843">
        <v>1</v>
      </c>
      <c r="BH1843">
        <v>18</v>
      </c>
      <c r="BI1843">
        <v>6</v>
      </c>
      <c r="BJ1843">
        <v>29</v>
      </c>
      <c r="BK1843">
        <v>3</v>
      </c>
      <c r="BP1843" s="184"/>
    </row>
    <row r="1844" spans="1:68">
      <c r="A1844">
        <v>20423489</v>
      </c>
      <c r="B1844">
        <v>20423489</v>
      </c>
      <c r="C1844" t="s">
        <v>7018</v>
      </c>
      <c r="E1844" s="184"/>
      <c r="G1844" s="184"/>
      <c r="I1844" s="184"/>
      <c r="J1844" t="s">
        <v>595</v>
      </c>
      <c r="K1844" s="184">
        <v>44999</v>
      </c>
      <c r="M1844" s="184"/>
      <c r="O1844" s="184"/>
      <c r="P1844" t="s">
        <v>7045</v>
      </c>
      <c r="Q1844" t="s">
        <v>7020</v>
      </c>
      <c r="R1844" s="184">
        <v>9679</v>
      </c>
      <c r="S1844">
        <v>97</v>
      </c>
      <c r="V1844" t="s">
        <v>17483</v>
      </c>
      <c r="X1844" t="s">
        <v>17484</v>
      </c>
      <c r="Z1844">
        <v>100056233</v>
      </c>
      <c r="AB1844" t="s">
        <v>3101</v>
      </c>
      <c r="AC1844" t="s">
        <v>7407</v>
      </c>
      <c r="AD1844" t="s">
        <v>17484</v>
      </c>
      <c r="AF1844" t="s">
        <v>17485</v>
      </c>
      <c r="AG1844" t="s">
        <v>17483</v>
      </c>
      <c r="AI1844" t="s">
        <v>17486</v>
      </c>
      <c r="AM1844" t="s">
        <v>2722</v>
      </c>
      <c r="AN1844" t="s">
        <v>2240</v>
      </c>
      <c r="AO1844" t="s">
        <v>17487</v>
      </c>
      <c r="AP1844" t="s">
        <v>7024</v>
      </c>
      <c r="AT1844" s="184">
        <v>35062</v>
      </c>
      <c r="AU1844" t="s">
        <v>17488</v>
      </c>
      <c r="AV1844">
        <v>3</v>
      </c>
      <c r="AW1844" s="184">
        <v>44194</v>
      </c>
      <c r="AX1844" t="s">
        <v>17489</v>
      </c>
      <c r="AY1844">
        <v>20</v>
      </c>
      <c r="AZ1844" s="184">
        <v>44194</v>
      </c>
      <c r="BA1844" t="s">
        <v>17489</v>
      </c>
      <c r="BB1844">
        <v>20</v>
      </c>
      <c r="BC1844">
        <v>27</v>
      </c>
      <c r="BD1844">
        <v>110</v>
      </c>
      <c r="BE1844">
        <v>1996</v>
      </c>
      <c r="BF1844">
        <v>10</v>
      </c>
      <c r="BI1844">
        <v>8</v>
      </c>
      <c r="BJ1844">
        <v>30</v>
      </c>
      <c r="BK1844">
        <v>3</v>
      </c>
      <c r="BP1844" s="184"/>
    </row>
    <row r="1845" spans="1:68">
      <c r="A1845">
        <v>100056233</v>
      </c>
      <c r="B1845">
        <v>20423489</v>
      </c>
      <c r="C1845" t="s">
        <v>7018</v>
      </c>
      <c r="E1845" s="184"/>
      <c r="G1845" s="184"/>
      <c r="I1845" s="184"/>
      <c r="J1845" t="s">
        <v>595</v>
      </c>
      <c r="K1845" s="184">
        <v>44999</v>
      </c>
      <c r="P1845" t="s">
        <v>7045</v>
      </c>
      <c r="Q1845" t="s">
        <v>7020</v>
      </c>
      <c r="R1845" s="184">
        <v>9679</v>
      </c>
      <c r="S1845">
        <v>97</v>
      </c>
      <c r="V1845" t="s">
        <v>3101</v>
      </c>
      <c r="W1845" t="s">
        <v>7407</v>
      </c>
      <c r="X1845" t="s">
        <v>17484</v>
      </c>
      <c r="Z1845">
        <v>20423489</v>
      </c>
      <c r="AB1845" t="s">
        <v>17483</v>
      </c>
      <c r="AD1845" t="s">
        <v>17484</v>
      </c>
      <c r="AF1845" t="s">
        <v>17485</v>
      </c>
      <c r="AG1845" t="s">
        <v>17483</v>
      </c>
      <c r="AI1845" t="s">
        <v>17486</v>
      </c>
      <c r="AM1845" t="s">
        <v>2722</v>
      </c>
      <c r="AN1845" t="s">
        <v>2240</v>
      </c>
      <c r="AO1845" t="s">
        <v>17487</v>
      </c>
      <c r="AP1845" t="s">
        <v>7024</v>
      </c>
      <c r="AT1845" s="184"/>
      <c r="AW1845" s="184"/>
      <c r="AZ1845" s="184"/>
      <c r="BO1845" t="s">
        <v>595</v>
      </c>
      <c r="BP1845" s="184">
        <v>44901</v>
      </c>
    </row>
    <row r="1846" spans="1:68">
      <c r="A1846">
        <v>20480117</v>
      </c>
      <c r="B1846">
        <v>20480117</v>
      </c>
      <c r="C1846" t="s">
        <v>7018</v>
      </c>
      <c r="D1846" t="s">
        <v>595</v>
      </c>
      <c r="E1846" s="184">
        <v>44167</v>
      </c>
      <c r="G1846" s="184"/>
      <c r="H1846" t="s">
        <v>595</v>
      </c>
      <c r="I1846" s="184">
        <v>44167</v>
      </c>
      <c r="K1846" s="184"/>
      <c r="O1846" s="184"/>
      <c r="P1846" t="s">
        <v>7045</v>
      </c>
      <c r="Q1846" t="s">
        <v>7262</v>
      </c>
      <c r="R1846" s="184">
        <v>22116</v>
      </c>
      <c r="S1846">
        <v>63</v>
      </c>
      <c r="V1846" t="s">
        <v>17490</v>
      </c>
      <c r="X1846" t="s">
        <v>17491</v>
      </c>
      <c r="Z1846">
        <v>100056445</v>
      </c>
      <c r="AB1846" t="s">
        <v>3536</v>
      </c>
      <c r="AD1846" t="s">
        <v>17491</v>
      </c>
      <c r="AF1846" t="s">
        <v>17492</v>
      </c>
      <c r="AG1846" t="s">
        <v>17493</v>
      </c>
      <c r="AI1846" t="s">
        <v>17494</v>
      </c>
      <c r="AM1846" t="s">
        <v>17495</v>
      </c>
      <c r="AN1846" t="s">
        <v>65</v>
      </c>
      <c r="AO1846" t="s">
        <v>17496</v>
      </c>
      <c r="AP1846" t="s">
        <v>7024</v>
      </c>
      <c r="AQ1846" t="s">
        <v>17497</v>
      </c>
      <c r="AT1846" s="184">
        <v>35081</v>
      </c>
      <c r="AU1846" t="s">
        <v>17498</v>
      </c>
      <c r="AV1846">
        <v>40</v>
      </c>
      <c r="AW1846" s="184">
        <v>44887</v>
      </c>
      <c r="AX1846" t="s">
        <v>17499</v>
      </c>
      <c r="AY1846">
        <v>50</v>
      </c>
      <c r="AZ1846" s="184">
        <v>44887</v>
      </c>
      <c r="BA1846" t="s">
        <v>17499</v>
      </c>
      <c r="BB1846">
        <v>50</v>
      </c>
      <c r="BC1846">
        <v>35</v>
      </c>
      <c r="BD1846">
        <v>570</v>
      </c>
      <c r="BE1846">
        <v>1996</v>
      </c>
      <c r="BF1846">
        <v>14</v>
      </c>
      <c r="BG1846">
        <v>1</v>
      </c>
      <c r="BH1846">
        <v>50</v>
      </c>
      <c r="BI1846">
        <v>10</v>
      </c>
      <c r="BJ1846">
        <v>29</v>
      </c>
      <c r="BK1846">
        <v>3</v>
      </c>
      <c r="BP1846" s="184"/>
    </row>
    <row r="1847" spans="1:68">
      <c r="A1847">
        <v>100056445</v>
      </c>
      <c r="B1847">
        <v>20480117</v>
      </c>
      <c r="C1847" t="s">
        <v>7018</v>
      </c>
      <c r="D1847" t="s">
        <v>595</v>
      </c>
      <c r="E1847" s="184">
        <v>44167</v>
      </c>
      <c r="G1847" s="184"/>
      <c r="H1847" t="s">
        <v>595</v>
      </c>
      <c r="I1847" s="184">
        <v>44167</v>
      </c>
      <c r="K1847" s="184"/>
      <c r="M1847" s="184"/>
      <c r="O1847" s="184"/>
      <c r="P1847" t="s">
        <v>7045</v>
      </c>
      <c r="Q1847" t="s">
        <v>7262</v>
      </c>
      <c r="R1847" s="184">
        <v>21184</v>
      </c>
      <c r="S1847">
        <v>66</v>
      </c>
      <c r="V1847" t="s">
        <v>3536</v>
      </c>
      <c r="X1847" t="s">
        <v>17491</v>
      </c>
      <c r="Z1847">
        <v>20480117</v>
      </c>
      <c r="AB1847" t="s">
        <v>17490</v>
      </c>
      <c r="AD1847" t="s">
        <v>17491</v>
      </c>
      <c r="AF1847" t="s">
        <v>17492</v>
      </c>
      <c r="AG1847" t="s">
        <v>17493</v>
      </c>
      <c r="AI1847" t="s">
        <v>17494</v>
      </c>
      <c r="AM1847" t="s">
        <v>17495</v>
      </c>
      <c r="AN1847" t="s">
        <v>65</v>
      </c>
      <c r="AO1847" t="s">
        <v>17496</v>
      </c>
      <c r="AP1847" t="s">
        <v>7024</v>
      </c>
      <c r="AQ1847" t="s">
        <v>17500</v>
      </c>
      <c r="AR1847" t="s">
        <v>17501</v>
      </c>
      <c r="AT1847" s="184"/>
      <c r="AW1847" s="184"/>
      <c r="AZ1847" s="184"/>
      <c r="BP1847" s="184"/>
    </row>
    <row r="1848" spans="1:68">
      <c r="A1848">
        <v>20480398</v>
      </c>
      <c r="B1848">
        <v>20480398</v>
      </c>
      <c r="C1848" t="s">
        <v>7018</v>
      </c>
      <c r="D1848" t="s">
        <v>595</v>
      </c>
      <c r="E1848" s="184">
        <v>43640</v>
      </c>
      <c r="G1848" s="184"/>
      <c r="I1848" s="184"/>
      <c r="K1848" s="184"/>
      <c r="O1848" s="184"/>
      <c r="P1848" t="s">
        <v>7019</v>
      </c>
      <c r="Q1848" t="s">
        <v>7030</v>
      </c>
      <c r="R1848" s="184">
        <v>17868</v>
      </c>
      <c r="S1848">
        <v>75</v>
      </c>
      <c r="V1848" t="s">
        <v>2597</v>
      </c>
      <c r="X1848" t="s">
        <v>2988</v>
      </c>
      <c r="AF1848" t="s">
        <v>17502</v>
      </c>
      <c r="AG1848" t="s">
        <v>2597</v>
      </c>
      <c r="AI1848" t="s">
        <v>17503</v>
      </c>
      <c r="AM1848" t="s">
        <v>2777</v>
      </c>
      <c r="AN1848" t="s">
        <v>2094</v>
      </c>
      <c r="AO1848" t="s">
        <v>17504</v>
      </c>
      <c r="AP1848" t="s">
        <v>7024</v>
      </c>
      <c r="AQ1848" t="s">
        <v>17505</v>
      </c>
      <c r="AR1848" t="s">
        <v>17506</v>
      </c>
      <c r="AT1848" s="184">
        <v>35081</v>
      </c>
      <c r="AU1848" t="s">
        <v>17507</v>
      </c>
      <c r="AV1848">
        <v>20.95</v>
      </c>
      <c r="AW1848" s="184">
        <v>44869</v>
      </c>
      <c r="AX1848" t="s">
        <v>17508</v>
      </c>
      <c r="AY1848">
        <v>60</v>
      </c>
      <c r="AZ1848" s="184">
        <v>44869</v>
      </c>
      <c r="BA1848" t="s">
        <v>17508</v>
      </c>
      <c r="BB1848">
        <v>60</v>
      </c>
      <c r="BC1848">
        <v>80</v>
      </c>
      <c r="BD1848">
        <v>780.95</v>
      </c>
      <c r="BE1848">
        <v>1996</v>
      </c>
      <c r="BF1848">
        <v>36</v>
      </c>
      <c r="BG1848">
        <v>1</v>
      </c>
      <c r="BH1848">
        <v>60</v>
      </c>
      <c r="BI1848">
        <v>23</v>
      </c>
      <c r="BJ1848">
        <v>29</v>
      </c>
      <c r="BK1848">
        <v>11</v>
      </c>
      <c r="BP1848" s="184"/>
    </row>
    <row r="1849" spans="1:68">
      <c r="A1849">
        <v>100181138</v>
      </c>
      <c r="B1849">
        <v>20486833</v>
      </c>
      <c r="C1849" t="s">
        <v>7018</v>
      </c>
      <c r="E1849" s="184"/>
      <c r="G1849" s="184"/>
      <c r="I1849" s="184"/>
      <c r="K1849" s="184"/>
      <c r="N1849" t="s">
        <v>595</v>
      </c>
      <c r="O1849" s="184">
        <v>35410</v>
      </c>
      <c r="P1849" t="s">
        <v>7045</v>
      </c>
      <c r="Q1849" t="s">
        <v>7194</v>
      </c>
      <c r="R1849" s="184">
        <v>10054</v>
      </c>
      <c r="S1849">
        <v>96</v>
      </c>
      <c r="U1849" t="s">
        <v>7031</v>
      </c>
      <c r="V1849" t="s">
        <v>2863</v>
      </c>
      <c r="W1849" t="s">
        <v>7384</v>
      </c>
      <c r="X1849" t="s">
        <v>5687</v>
      </c>
      <c r="Z1849">
        <v>20486833</v>
      </c>
      <c r="AA1849" t="s">
        <v>7130</v>
      </c>
      <c r="AB1849" t="s">
        <v>4111</v>
      </c>
      <c r="AC1849" t="s">
        <v>2958</v>
      </c>
      <c r="AD1849" t="s">
        <v>5687</v>
      </c>
      <c r="AF1849" t="s">
        <v>17509</v>
      </c>
      <c r="AG1849" t="s">
        <v>4111</v>
      </c>
      <c r="AI1849" t="s">
        <v>17510</v>
      </c>
      <c r="AM1849" t="s">
        <v>5688</v>
      </c>
      <c r="AN1849" t="s">
        <v>2046</v>
      </c>
      <c r="AO1849">
        <v>32640</v>
      </c>
      <c r="AP1849" t="s">
        <v>7024</v>
      </c>
      <c r="AT1849" s="184"/>
      <c r="AW1849" s="184"/>
      <c r="AZ1849" s="184"/>
      <c r="BO1849" t="s">
        <v>595</v>
      </c>
      <c r="BP1849" s="184">
        <v>43310</v>
      </c>
    </row>
    <row r="1850" spans="1:68">
      <c r="A1850">
        <v>20499109</v>
      </c>
      <c r="B1850">
        <v>20499109</v>
      </c>
      <c r="C1850" t="s">
        <v>7018</v>
      </c>
      <c r="D1850" t="s">
        <v>595</v>
      </c>
      <c r="E1850" s="184">
        <v>45117</v>
      </c>
      <c r="G1850" s="184"/>
      <c r="I1850" s="184"/>
      <c r="K1850" s="184"/>
      <c r="M1850" s="184"/>
      <c r="O1850" s="184"/>
      <c r="P1850" t="s">
        <v>7045</v>
      </c>
      <c r="Q1850" t="s">
        <v>7383</v>
      </c>
      <c r="R1850" s="184">
        <v>19550</v>
      </c>
      <c r="S1850">
        <v>70</v>
      </c>
      <c r="V1850" t="s">
        <v>10870</v>
      </c>
      <c r="X1850" t="s">
        <v>17511</v>
      </c>
      <c r="Z1850">
        <v>100056514</v>
      </c>
      <c r="AB1850" t="s">
        <v>3901</v>
      </c>
      <c r="AD1850" t="s">
        <v>17511</v>
      </c>
      <c r="AF1850" t="s">
        <v>17512</v>
      </c>
      <c r="AG1850" t="s">
        <v>17513</v>
      </c>
      <c r="AI1850" t="s">
        <v>17514</v>
      </c>
      <c r="AM1850" t="s">
        <v>3465</v>
      </c>
      <c r="AN1850" t="s">
        <v>2162</v>
      </c>
      <c r="AO1850" t="s">
        <v>17515</v>
      </c>
      <c r="AP1850" t="s">
        <v>7024</v>
      </c>
      <c r="AQ1850" t="s">
        <v>17516</v>
      </c>
      <c r="AT1850" s="184">
        <v>35083</v>
      </c>
      <c r="AU1850" t="s">
        <v>17517</v>
      </c>
      <c r="AV1850">
        <v>15</v>
      </c>
      <c r="AW1850" s="184">
        <v>45350</v>
      </c>
      <c r="AX1850" t="s">
        <v>17518</v>
      </c>
      <c r="AY1850">
        <v>25</v>
      </c>
      <c r="AZ1850" s="184">
        <v>45350</v>
      </c>
      <c r="BA1850" t="s">
        <v>17518</v>
      </c>
      <c r="BB1850">
        <v>25</v>
      </c>
      <c r="BC1850">
        <v>28</v>
      </c>
      <c r="BD1850">
        <v>176</v>
      </c>
      <c r="BE1850">
        <v>1996</v>
      </c>
      <c r="BF1850">
        <v>8</v>
      </c>
      <c r="BG1850">
        <v>2</v>
      </c>
      <c r="BH1850">
        <v>50</v>
      </c>
      <c r="BI1850">
        <v>8</v>
      </c>
      <c r="BJ1850">
        <v>29</v>
      </c>
      <c r="BK1850">
        <v>4</v>
      </c>
      <c r="BP1850" s="184"/>
    </row>
    <row r="1851" spans="1:68">
      <c r="A1851">
        <v>100056514</v>
      </c>
      <c r="B1851">
        <v>20499109</v>
      </c>
      <c r="C1851" t="s">
        <v>7018</v>
      </c>
      <c r="D1851" t="s">
        <v>595</v>
      </c>
      <c r="E1851" s="184">
        <v>45117</v>
      </c>
      <c r="G1851" s="184"/>
      <c r="I1851" s="184"/>
      <c r="K1851" s="184"/>
      <c r="M1851" s="184"/>
      <c r="O1851" s="184"/>
      <c r="P1851" t="s">
        <v>7045</v>
      </c>
      <c r="Q1851" t="s">
        <v>7383</v>
      </c>
      <c r="R1851" s="184">
        <v>19893</v>
      </c>
      <c r="S1851">
        <v>69</v>
      </c>
      <c r="V1851" t="s">
        <v>3901</v>
      </c>
      <c r="X1851" t="s">
        <v>17511</v>
      </c>
      <c r="Z1851">
        <v>20499109</v>
      </c>
      <c r="AB1851" t="s">
        <v>10870</v>
      </c>
      <c r="AD1851" t="s">
        <v>17511</v>
      </c>
      <c r="AF1851" t="s">
        <v>17512</v>
      </c>
      <c r="AG1851" t="s">
        <v>17513</v>
      </c>
      <c r="AI1851" t="s">
        <v>17514</v>
      </c>
      <c r="AM1851" t="s">
        <v>3465</v>
      </c>
      <c r="AN1851" t="s">
        <v>2162</v>
      </c>
      <c r="AO1851" t="s">
        <v>17515</v>
      </c>
      <c r="AP1851" t="s">
        <v>7024</v>
      </c>
      <c r="AT1851" s="184">
        <v>43865</v>
      </c>
      <c r="AU1851" t="s">
        <v>17519</v>
      </c>
      <c r="AV1851">
        <v>25</v>
      </c>
      <c r="AW1851" s="184">
        <v>43865</v>
      </c>
      <c r="AX1851" t="s">
        <v>17519</v>
      </c>
      <c r="AY1851">
        <v>25</v>
      </c>
      <c r="AZ1851" s="184">
        <v>43865</v>
      </c>
      <c r="BA1851" t="s">
        <v>17519</v>
      </c>
      <c r="BB1851">
        <v>25</v>
      </c>
      <c r="BC1851">
        <v>20</v>
      </c>
      <c r="BD1851">
        <v>25</v>
      </c>
      <c r="BE1851">
        <v>2020</v>
      </c>
      <c r="BF1851">
        <v>1</v>
      </c>
      <c r="BI1851">
        <v>1</v>
      </c>
      <c r="BJ1851">
        <v>5</v>
      </c>
      <c r="BK1851">
        <v>1</v>
      </c>
      <c r="BP1851" s="184"/>
    </row>
    <row r="1852" spans="1:68">
      <c r="A1852">
        <v>20507729</v>
      </c>
      <c r="B1852">
        <v>20507729</v>
      </c>
      <c r="C1852" t="s">
        <v>7018</v>
      </c>
      <c r="D1852" t="s">
        <v>595</v>
      </c>
      <c r="E1852" s="184">
        <v>43801</v>
      </c>
      <c r="G1852" s="184"/>
      <c r="I1852" s="184"/>
      <c r="K1852" s="184"/>
      <c r="M1852" s="184"/>
      <c r="O1852" s="184"/>
      <c r="P1852" t="s">
        <v>7045</v>
      </c>
      <c r="Q1852" t="s">
        <v>7030</v>
      </c>
      <c r="R1852" s="184">
        <v>10410</v>
      </c>
      <c r="S1852">
        <v>95</v>
      </c>
      <c r="V1852" t="s">
        <v>3220</v>
      </c>
      <c r="W1852" t="s">
        <v>5006</v>
      </c>
      <c r="X1852" t="s">
        <v>3870</v>
      </c>
      <c r="AF1852" t="s">
        <v>17520</v>
      </c>
      <c r="AG1852" t="s">
        <v>3220</v>
      </c>
      <c r="AI1852" t="s">
        <v>17521</v>
      </c>
      <c r="AM1852" t="s">
        <v>4370</v>
      </c>
      <c r="AN1852" t="s">
        <v>2089</v>
      </c>
      <c r="AO1852" t="s">
        <v>17522</v>
      </c>
      <c r="AP1852" t="s">
        <v>7024</v>
      </c>
      <c r="AT1852" s="184">
        <v>35086</v>
      </c>
      <c r="AU1852" t="s">
        <v>17523</v>
      </c>
      <c r="AV1852">
        <v>25</v>
      </c>
      <c r="AW1852" s="184">
        <v>43948</v>
      </c>
      <c r="AX1852" t="s">
        <v>17524</v>
      </c>
      <c r="AY1852">
        <v>40</v>
      </c>
      <c r="AZ1852" s="184">
        <v>43873</v>
      </c>
      <c r="BA1852" t="s">
        <v>17525</v>
      </c>
      <c r="BB1852">
        <v>65</v>
      </c>
      <c r="BC1852">
        <v>80</v>
      </c>
      <c r="BD1852">
        <v>2178</v>
      </c>
      <c r="BE1852">
        <v>1996</v>
      </c>
      <c r="BF1852">
        <v>59</v>
      </c>
      <c r="BI1852">
        <v>23</v>
      </c>
      <c r="BJ1852">
        <v>29</v>
      </c>
      <c r="BK1852">
        <v>15</v>
      </c>
    </row>
    <row r="1853" spans="1:68">
      <c r="A1853">
        <v>20521753</v>
      </c>
      <c r="B1853">
        <v>20521753</v>
      </c>
      <c r="C1853" t="s">
        <v>7018</v>
      </c>
      <c r="E1853" s="184"/>
      <c r="G1853" s="184"/>
      <c r="I1853" s="184"/>
      <c r="J1853" t="s">
        <v>595</v>
      </c>
      <c r="K1853" s="184">
        <v>44222</v>
      </c>
      <c r="M1853" s="184"/>
      <c r="O1853" s="184"/>
      <c r="P1853" t="s">
        <v>7045</v>
      </c>
      <c r="Q1853" t="s">
        <v>7020</v>
      </c>
      <c r="R1853" s="184">
        <v>16285</v>
      </c>
      <c r="S1853">
        <v>79</v>
      </c>
      <c r="V1853" t="s">
        <v>3419</v>
      </c>
      <c r="X1853" t="s">
        <v>11226</v>
      </c>
      <c r="AF1853" t="s">
        <v>17526</v>
      </c>
      <c r="AG1853" t="s">
        <v>3419</v>
      </c>
      <c r="AI1853" t="s">
        <v>13508</v>
      </c>
      <c r="AM1853" t="s">
        <v>17527</v>
      </c>
      <c r="AN1853" t="s">
        <v>2363</v>
      </c>
      <c r="AO1853" t="s">
        <v>17528</v>
      </c>
      <c r="AP1853" t="s">
        <v>7024</v>
      </c>
      <c r="AQ1853" t="s">
        <v>17529</v>
      </c>
      <c r="AT1853" s="184">
        <v>35086</v>
      </c>
      <c r="AU1853" t="s">
        <v>17530</v>
      </c>
      <c r="AV1853">
        <v>15</v>
      </c>
      <c r="AW1853" s="184">
        <v>45369</v>
      </c>
      <c r="AX1853" t="s">
        <v>10915</v>
      </c>
      <c r="AY1853">
        <v>25</v>
      </c>
      <c r="AZ1853" s="184">
        <v>45369</v>
      </c>
      <c r="BA1853" t="s">
        <v>10915</v>
      </c>
      <c r="BB1853">
        <v>25</v>
      </c>
      <c r="BC1853">
        <v>73</v>
      </c>
      <c r="BD1853">
        <v>675</v>
      </c>
      <c r="BE1853">
        <v>1996</v>
      </c>
      <c r="BF1853">
        <v>46</v>
      </c>
      <c r="BG1853">
        <v>3</v>
      </c>
      <c r="BH1853">
        <v>75</v>
      </c>
      <c r="BI1853">
        <v>21</v>
      </c>
      <c r="BJ1853">
        <v>29</v>
      </c>
      <c r="BK1853">
        <v>20</v>
      </c>
    </row>
    <row r="1854" spans="1:68">
      <c r="A1854">
        <v>20534582</v>
      </c>
      <c r="B1854">
        <v>20534582</v>
      </c>
      <c r="C1854" t="s">
        <v>7018</v>
      </c>
      <c r="E1854" s="184"/>
      <c r="G1854" s="184"/>
      <c r="I1854" s="184"/>
      <c r="J1854" t="s">
        <v>595</v>
      </c>
      <c r="K1854" s="184">
        <v>44168</v>
      </c>
      <c r="O1854" s="184"/>
      <c r="P1854" t="s">
        <v>7045</v>
      </c>
      <c r="Q1854" t="s">
        <v>7374</v>
      </c>
      <c r="R1854" s="184">
        <v>15615</v>
      </c>
      <c r="S1854">
        <v>81</v>
      </c>
      <c r="U1854" t="s">
        <v>7076</v>
      </c>
      <c r="V1854" t="s">
        <v>3745</v>
      </c>
      <c r="X1854" t="s">
        <v>17531</v>
      </c>
      <c r="AF1854" t="s">
        <v>17532</v>
      </c>
      <c r="AG1854" t="s">
        <v>3745</v>
      </c>
      <c r="AI1854" t="s">
        <v>17533</v>
      </c>
      <c r="AM1854" t="s">
        <v>4434</v>
      </c>
      <c r="AN1854" t="s">
        <v>2081</v>
      </c>
      <c r="AO1854" t="s">
        <v>17534</v>
      </c>
      <c r="AP1854" t="s">
        <v>7024</v>
      </c>
      <c r="AQ1854" t="s">
        <v>17535</v>
      </c>
      <c r="AT1854" s="184">
        <v>35087</v>
      </c>
      <c r="AU1854" t="s">
        <v>17536</v>
      </c>
      <c r="AV1854">
        <v>15</v>
      </c>
      <c r="AW1854" s="184">
        <v>45124</v>
      </c>
      <c r="AX1854" t="s">
        <v>17537</v>
      </c>
      <c r="AY1854">
        <v>15</v>
      </c>
      <c r="AZ1854" s="184">
        <v>43979</v>
      </c>
      <c r="BA1854" t="s">
        <v>17538</v>
      </c>
      <c r="BB1854">
        <v>60</v>
      </c>
      <c r="BC1854">
        <v>73</v>
      </c>
      <c r="BD1854">
        <v>485</v>
      </c>
      <c r="BE1854">
        <v>1996</v>
      </c>
      <c r="BF1854">
        <v>23</v>
      </c>
      <c r="BG1854">
        <v>1</v>
      </c>
      <c r="BH1854">
        <v>15</v>
      </c>
      <c r="BI1854">
        <v>21</v>
      </c>
      <c r="BJ1854">
        <v>29</v>
      </c>
      <c r="BK1854">
        <v>9</v>
      </c>
      <c r="BP1854" s="184"/>
    </row>
    <row r="1855" spans="1:68">
      <c r="A1855">
        <v>20540613</v>
      </c>
      <c r="B1855">
        <v>20540613</v>
      </c>
      <c r="C1855" t="s">
        <v>7018</v>
      </c>
      <c r="D1855" t="s">
        <v>595</v>
      </c>
      <c r="E1855" s="184">
        <v>43745</v>
      </c>
      <c r="G1855" s="184"/>
      <c r="I1855" s="184"/>
      <c r="K1855" s="184"/>
      <c r="M1855" s="184"/>
      <c r="P1855" t="s">
        <v>7045</v>
      </c>
      <c r="Q1855" t="s">
        <v>7020</v>
      </c>
      <c r="R1855" s="184">
        <v>13340</v>
      </c>
      <c r="S1855">
        <v>87</v>
      </c>
      <c r="U1855" t="s">
        <v>7130</v>
      </c>
      <c r="V1855" t="s">
        <v>3400</v>
      </c>
      <c r="X1855" t="s">
        <v>4115</v>
      </c>
      <c r="AF1855" t="s">
        <v>17539</v>
      </c>
      <c r="AG1855" t="s">
        <v>3400</v>
      </c>
      <c r="AI1855" t="s">
        <v>17540</v>
      </c>
      <c r="AM1855" t="s">
        <v>2674</v>
      </c>
      <c r="AN1855" t="s">
        <v>2052</v>
      </c>
      <c r="AO1855" t="s">
        <v>17541</v>
      </c>
      <c r="AP1855" t="s">
        <v>7024</v>
      </c>
      <c r="AQ1855" t="s">
        <v>17542</v>
      </c>
      <c r="AT1855" s="184">
        <v>35087</v>
      </c>
      <c r="AU1855" t="s">
        <v>17543</v>
      </c>
      <c r="AV1855">
        <v>50</v>
      </c>
      <c r="AW1855" s="184">
        <v>42156</v>
      </c>
      <c r="AX1855" t="s">
        <v>17544</v>
      </c>
      <c r="AY1855">
        <v>1000</v>
      </c>
      <c r="AZ1855" s="184">
        <v>42156</v>
      </c>
      <c r="BA1855" t="s">
        <v>17544</v>
      </c>
      <c r="BB1855">
        <v>1000</v>
      </c>
      <c r="BC1855">
        <v>59</v>
      </c>
      <c r="BD1855">
        <v>4650</v>
      </c>
      <c r="BE1855">
        <v>1996</v>
      </c>
      <c r="BF1855">
        <v>33</v>
      </c>
      <c r="BI1855">
        <v>17</v>
      </c>
      <c r="BJ1855">
        <v>29</v>
      </c>
      <c r="BK1855">
        <v>7</v>
      </c>
      <c r="BN1855" t="s">
        <v>595</v>
      </c>
    </row>
    <row r="1856" spans="1:68">
      <c r="A1856">
        <v>20540639</v>
      </c>
      <c r="B1856">
        <v>20540639</v>
      </c>
      <c r="C1856" t="s">
        <v>7018</v>
      </c>
      <c r="E1856" s="184"/>
      <c r="G1856" s="184"/>
      <c r="I1856" s="184"/>
      <c r="J1856" t="s">
        <v>595</v>
      </c>
      <c r="K1856" s="184">
        <v>39514</v>
      </c>
      <c r="O1856" s="184"/>
      <c r="P1856" t="s">
        <v>7045</v>
      </c>
      <c r="Q1856" t="s">
        <v>7020</v>
      </c>
      <c r="R1856" s="184">
        <v>20821</v>
      </c>
      <c r="S1856">
        <v>67</v>
      </c>
      <c r="U1856" t="s">
        <v>7076</v>
      </c>
      <c r="V1856" t="s">
        <v>3478</v>
      </c>
      <c r="W1856" t="s">
        <v>4327</v>
      </c>
      <c r="X1856" t="s">
        <v>4184</v>
      </c>
      <c r="AF1856" t="s">
        <v>6073</v>
      </c>
      <c r="AG1856" t="s">
        <v>3478</v>
      </c>
      <c r="AI1856" t="s">
        <v>17545</v>
      </c>
      <c r="AM1856" t="s">
        <v>17546</v>
      </c>
      <c r="AN1856" t="s">
        <v>2052</v>
      </c>
      <c r="AO1856" t="s">
        <v>17547</v>
      </c>
      <c r="AP1856" t="s">
        <v>7024</v>
      </c>
      <c r="AQ1856" t="s">
        <v>17548</v>
      </c>
      <c r="AT1856" s="184">
        <v>35087</v>
      </c>
      <c r="AU1856" t="s">
        <v>17549</v>
      </c>
      <c r="AV1856">
        <v>50</v>
      </c>
      <c r="AW1856" s="184">
        <v>45091</v>
      </c>
      <c r="AX1856" t="s">
        <v>17550</v>
      </c>
      <c r="AY1856">
        <v>750</v>
      </c>
      <c r="AZ1856" s="184">
        <v>45091</v>
      </c>
      <c r="BA1856" t="s">
        <v>17550</v>
      </c>
      <c r="BB1856">
        <v>750</v>
      </c>
      <c r="BC1856">
        <v>94</v>
      </c>
      <c r="BD1856">
        <v>9510</v>
      </c>
      <c r="BE1856">
        <v>1996</v>
      </c>
      <c r="BF1856">
        <v>90</v>
      </c>
      <c r="BG1856">
        <v>1</v>
      </c>
      <c r="BH1856">
        <v>750</v>
      </c>
      <c r="BI1856">
        <v>27</v>
      </c>
      <c r="BJ1856">
        <v>29</v>
      </c>
      <c r="BK1856">
        <v>23</v>
      </c>
      <c r="BN1856" t="s">
        <v>595</v>
      </c>
    </row>
    <row r="1857" spans="1:68">
      <c r="A1857">
        <v>20543468</v>
      </c>
      <c r="B1857">
        <v>20543468</v>
      </c>
      <c r="C1857" t="s">
        <v>7018</v>
      </c>
      <c r="D1857" t="s">
        <v>595</v>
      </c>
      <c r="E1857" s="184">
        <v>43801</v>
      </c>
      <c r="G1857" s="184"/>
      <c r="I1857" s="184"/>
      <c r="K1857" s="184"/>
      <c r="M1857" s="184"/>
      <c r="O1857" s="184"/>
      <c r="P1857" t="s">
        <v>7045</v>
      </c>
      <c r="Q1857" t="s">
        <v>7030</v>
      </c>
      <c r="R1857" s="184">
        <v>17107</v>
      </c>
      <c r="S1857">
        <v>77</v>
      </c>
      <c r="V1857" t="s">
        <v>3825</v>
      </c>
      <c r="X1857" t="s">
        <v>4371</v>
      </c>
      <c r="Z1857">
        <v>100056677</v>
      </c>
      <c r="AB1857" t="s">
        <v>7107</v>
      </c>
      <c r="AD1857" t="s">
        <v>4371</v>
      </c>
      <c r="AF1857" t="s">
        <v>17551</v>
      </c>
      <c r="AG1857" t="s">
        <v>17552</v>
      </c>
      <c r="AI1857" t="s">
        <v>17553</v>
      </c>
      <c r="AM1857" t="s">
        <v>2564</v>
      </c>
      <c r="AN1857" t="s">
        <v>2089</v>
      </c>
      <c r="AO1857" t="s">
        <v>17554</v>
      </c>
      <c r="AP1857" t="s">
        <v>7024</v>
      </c>
      <c r="AT1857" s="184">
        <v>35087</v>
      </c>
      <c r="AU1857" t="s">
        <v>17555</v>
      </c>
      <c r="AV1857">
        <v>25</v>
      </c>
      <c r="AW1857" s="184">
        <v>45315</v>
      </c>
      <c r="AX1857" t="s">
        <v>13134</v>
      </c>
      <c r="AY1857">
        <v>50</v>
      </c>
      <c r="AZ1857" s="184">
        <v>45315</v>
      </c>
      <c r="BA1857" t="s">
        <v>13134</v>
      </c>
      <c r="BB1857">
        <v>50</v>
      </c>
      <c r="BC1857">
        <v>100</v>
      </c>
      <c r="BD1857">
        <v>1495</v>
      </c>
      <c r="BE1857">
        <v>1996</v>
      </c>
      <c r="BF1857">
        <v>31</v>
      </c>
      <c r="BG1857">
        <v>2</v>
      </c>
      <c r="BH1857">
        <v>100</v>
      </c>
      <c r="BI1857">
        <v>29</v>
      </c>
      <c r="BJ1857">
        <v>29</v>
      </c>
      <c r="BK1857">
        <v>29</v>
      </c>
      <c r="BP1857" s="184"/>
    </row>
    <row r="1858" spans="1:68">
      <c r="A1858">
        <v>100056677</v>
      </c>
      <c r="B1858">
        <v>20543468</v>
      </c>
      <c r="C1858" t="s">
        <v>7018</v>
      </c>
      <c r="D1858" t="s">
        <v>595</v>
      </c>
      <c r="E1858" s="184">
        <v>43801</v>
      </c>
      <c r="I1858" s="184"/>
      <c r="K1858" s="184"/>
      <c r="O1858" s="184"/>
      <c r="P1858" t="s">
        <v>7045</v>
      </c>
      <c r="Q1858" t="s">
        <v>7030</v>
      </c>
      <c r="R1858" s="184">
        <v>16528</v>
      </c>
      <c r="S1858">
        <v>79</v>
      </c>
      <c r="V1858" t="s">
        <v>7107</v>
      </c>
      <c r="X1858" t="s">
        <v>4371</v>
      </c>
      <c r="Z1858">
        <v>20543468</v>
      </c>
      <c r="AB1858" t="s">
        <v>3825</v>
      </c>
      <c r="AD1858" t="s">
        <v>4371</v>
      </c>
      <c r="AF1858" t="s">
        <v>17551</v>
      </c>
      <c r="AG1858" t="s">
        <v>17552</v>
      </c>
      <c r="AI1858" t="s">
        <v>17553</v>
      </c>
      <c r="AM1858" t="s">
        <v>2564</v>
      </c>
      <c r="AN1858" t="s">
        <v>2089</v>
      </c>
      <c r="AO1858" t="s">
        <v>17554</v>
      </c>
      <c r="AP1858" t="s">
        <v>7024</v>
      </c>
      <c r="AT1858" s="184"/>
      <c r="AW1858" s="184"/>
      <c r="AZ1858" s="184"/>
    </row>
    <row r="1859" spans="1:68">
      <c r="A1859">
        <v>20553400</v>
      </c>
      <c r="B1859">
        <v>20553400</v>
      </c>
      <c r="C1859" t="s">
        <v>7018</v>
      </c>
      <c r="D1859" t="s">
        <v>595</v>
      </c>
      <c r="E1859" s="184">
        <v>44167</v>
      </c>
      <c r="G1859" s="184"/>
      <c r="I1859" s="184"/>
      <c r="K1859" s="184"/>
      <c r="O1859" s="184"/>
      <c r="P1859" t="s">
        <v>7045</v>
      </c>
      <c r="Q1859" t="s">
        <v>7262</v>
      </c>
      <c r="R1859" s="184">
        <v>14580</v>
      </c>
      <c r="S1859">
        <v>84</v>
      </c>
      <c r="U1859" t="s">
        <v>7076</v>
      </c>
      <c r="V1859" t="s">
        <v>3095</v>
      </c>
      <c r="W1859" t="s">
        <v>4327</v>
      </c>
      <c r="X1859" t="s">
        <v>17556</v>
      </c>
      <c r="AF1859" t="s">
        <v>17557</v>
      </c>
      <c r="AG1859" t="s">
        <v>3095</v>
      </c>
      <c r="AI1859" t="s">
        <v>17558</v>
      </c>
      <c r="AM1859" t="s">
        <v>2679</v>
      </c>
      <c r="AN1859" t="s">
        <v>2318</v>
      </c>
      <c r="AO1859" t="s">
        <v>17559</v>
      </c>
      <c r="AP1859" t="s">
        <v>7024</v>
      </c>
      <c r="AT1859" s="184">
        <v>35088</v>
      </c>
      <c r="AU1859" t="s">
        <v>17560</v>
      </c>
      <c r="AV1859">
        <v>20</v>
      </c>
      <c r="AW1859" s="184">
        <v>44781</v>
      </c>
      <c r="AX1859" t="s">
        <v>17561</v>
      </c>
      <c r="AY1859">
        <v>25</v>
      </c>
      <c r="AZ1859" s="184">
        <v>36465</v>
      </c>
      <c r="BA1859" t="s">
        <v>17562</v>
      </c>
      <c r="BB1859">
        <v>35</v>
      </c>
      <c r="BC1859">
        <v>76</v>
      </c>
      <c r="BD1859">
        <v>561</v>
      </c>
      <c r="BE1859">
        <v>1996</v>
      </c>
      <c r="BF1859">
        <v>28</v>
      </c>
      <c r="BG1859">
        <v>1</v>
      </c>
      <c r="BH1859">
        <v>25</v>
      </c>
      <c r="BI1859">
        <v>22</v>
      </c>
      <c r="BJ1859">
        <v>29</v>
      </c>
      <c r="BK1859">
        <v>12</v>
      </c>
      <c r="BP1859" s="184"/>
    </row>
    <row r="1860" spans="1:68">
      <c r="A1860">
        <v>20559191</v>
      </c>
      <c r="B1860">
        <v>20559191</v>
      </c>
      <c r="C1860" t="s">
        <v>7018</v>
      </c>
      <c r="E1860" s="184"/>
      <c r="G1860" s="184"/>
      <c r="I1860" s="184"/>
      <c r="J1860" t="s">
        <v>595</v>
      </c>
      <c r="K1860" s="184">
        <v>40648</v>
      </c>
      <c r="O1860" s="184"/>
      <c r="P1860" t="s">
        <v>7029</v>
      </c>
      <c r="Q1860" t="s">
        <v>7160</v>
      </c>
      <c r="R1860" s="184">
        <v>19664</v>
      </c>
      <c r="S1860">
        <v>70</v>
      </c>
      <c r="V1860" t="s">
        <v>2989</v>
      </c>
      <c r="X1860" t="s">
        <v>4685</v>
      </c>
      <c r="AF1860" t="s">
        <v>6064</v>
      </c>
      <c r="AG1860" t="s">
        <v>2989</v>
      </c>
      <c r="AI1860" t="s">
        <v>17563</v>
      </c>
      <c r="AM1860" t="s">
        <v>17564</v>
      </c>
      <c r="AN1860" t="s">
        <v>2176</v>
      </c>
      <c r="AO1860" t="s">
        <v>17565</v>
      </c>
      <c r="AP1860" t="s">
        <v>7024</v>
      </c>
      <c r="AQ1860" t="s">
        <v>17566</v>
      </c>
      <c r="AT1860" s="184">
        <v>35088</v>
      </c>
      <c r="AU1860" t="s">
        <v>17567</v>
      </c>
      <c r="AV1860">
        <v>15</v>
      </c>
      <c r="AW1860" s="184">
        <v>45278</v>
      </c>
      <c r="AX1860" t="s">
        <v>11930</v>
      </c>
      <c r="AY1860">
        <v>500</v>
      </c>
      <c r="AZ1860" s="184">
        <v>45110</v>
      </c>
      <c r="BA1860" t="s">
        <v>11643</v>
      </c>
      <c r="BB1860">
        <v>1000</v>
      </c>
      <c r="BC1860">
        <v>87</v>
      </c>
      <c r="BD1860">
        <v>11165</v>
      </c>
      <c r="BE1860">
        <v>1996</v>
      </c>
      <c r="BF1860">
        <v>49</v>
      </c>
      <c r="BG1860">
        <v>3</v>
      </c>
      <c r="BH1860">
        <v>2250</v>
      </c>
      <c r="BI1860">
        <v>25</v>
      </c>
      <c r="BJ1860">
        <v>29</v>
      </c>
      <c r="BK1860">
        <v>11</v>
      </c>
      <c r="BP1860" s="184"/>
    </row>
    <row r="1861" spans="1:68">
      <c r="A1861">
        <v>20569760</v>
      </c>
      <c r="B1861">
        <v>20569760</v>
      </c>
      <c r="C1861" t="s">
        <v>7018</v>
      </c>
      <c r="E1861" s="184"/>
      <c r="G1861" s="184"/>
      <c r="I1861" s="184"/>
      <c r="J1861" t="s">
        <v>595</v>
      </c>
      <c r="K1861" s="184">
        <v>45259</v>
      </c>
      <c r="M1861" s="184"/>
      <c r="O1861" s="184"/>
      <c r="P1861" t="s">
        <v>7029</v>
      </c>
      <c r="Q1861" t="s">
        <v>7374</v>
      </c>
      <c r="R1861" s="184">
        <v>9863</v>
      </c>
      <c r="S1861">
        <v>97</v>
      </c>
      <c r="V1861" t="s">
        <v>17568</v>
      </c>
      <c r="W1861" t="s">
        <v>7085</v>
      </c>
      <c r="X1861" t="s">
        <v>17569</v>
      </c>
      <c r="AF1861" t="s">
        <v>17570</v>
      </c>
      <c r="AG1861" t="s">
        <v>17568</v>
      </c>
      <c r="AI1861" t="s">
        <v>17571</v>
      </c>
      <c r="AM1861" t="s">
        <v>4645</v>
      </c>
      <c r="AN1861" t="s">
        <v>2081</v>
      </c>
      <c r="AO1861" t="s">
        <v>17572</v>
      </c>
      <c r="AP1861" t="s">
        <v>7024</v>
      </c>
      <c r="AQ1861" t="s">
        <v>17573</v>
      </c>
      <c r="AT1861" s="184">
        <v>35088</v>
      </c>
      <c r="AU1861" t="s">
        <v>17574</v>
      </c>
      <c r="AV1861">
        <v>25</v>
      </c>
      <c r="AW1861" s="184">
        <v>43672</v>
      </c>
      <c r="AX1861" t="s">
        <v>17575</v>
      </c>
      <c r="AY1861">
        <v>1000</v>
      </c>
      <c r="AZ1861" s="184">
        <v>43672</v>
      </c>
      <c r="BA1861" t="s">
        <v>17575</v>
      </c>
      <c r="BB1861">
        <v>1000</v>
      </c>
      <c r="BC1861">
        <v>59</v>
      </c>
      <c r="BD1861">
        <v>20575</v>
      </c>
      <c r="BE1861">
        <v>1996</v>
      </c>
      <c r="BF1861">
        <v>41</v>
      </c>
      <c r="BI1861">
        <v>17</v>
      </c>
      <c r="BJ1861">
        <v>29</v>
      </c>
      <c r="BK1861">
        <v>13</v>
      </c>
      <c r="BO1861" t="s">
        <v>595</v>
      </c>
      <c r="BP1861" s="184"/>
    </row>
    <row r="1862" spans="1:68">
      <c r="A1862">
        <v>20580171</v>
      </c>
      <c r="B1862">
        <v>20580171</v>
      </c>
      <c r="C1862" t="s">
        <v>7018</v>
      </c>
      <c r="E1862" s="184"/>
      <c r="G1862" s="184"/>
      <c r="I1862" s="184"/>
      <c r="K1862" s="184"/>
      <c r="M1862" s="184"/>
      <c r="N1862" t="s">
        <v>595</v>
      </c>
      <c r="O1862" s="184">
        <v>39629</v>
      </c>
      <c r="P1862" t="s">
        <v>7045</v>
      </c>
      <c r="Q1862" t="s">
        <v>7030</v>
      </c>
      <c r="R1862" s="184">
        <v>11971</v>
      </c>
      <c r="S1862">
        <v>91</v>
      </c>
      <c r="U1862" t="s">
        <v>7031</v>
      </c>
      <c r="V1862" t="s">
        <v>17576</v>
      </c>
      <c r="W1862" t="s">
        <v>3332</v>
      </c>
      <c r="X1862" t="s">
        <v>17577</v>
      </c>
      <c r="AF1862" t="s">
        <v>6061</v>
      </c>
      <c r="AG1862" t="s">
        <v>17576</v>
      </c>
      <c r="AI1862" t="s">
        <v>17578</v>
      </c>
      <c r="AM1862" t="s">
        <v>3181</v>
      </c>
      <c r="AN1862" t="s">
        <v>2094</v>
      </c>
      <c r="AO1862" t="s">
        <v>17579</v>
      </c>
      <c r="AP1862" t="s">
        <v>7024</v>
      </c>
      <c r="AQ1862" t="s">
        <v>17580</v>
      </c>
      <c r="AR1862" t="s">
        <v>17581</v>
      </c>
      <c r="AT1862" s="184">
        <v>35089</v>
      </c>
      <c r="AU1862" t="s">
        <v>17582</v>
      </c>
      <c r="AV1862">
        <v>25</v>
      </c>
      <c r="AW1862" s="184">
        <v>45349</v>
      </c>
      <c r="AX1862" t="s">
        <v>12392</v>
      </c>
      <c r="AY1862">
        <v>150</v>
      </c>
      <c r="AZ1862" s="184">
        <v>39622</v>
      </c>
      <c r="BA1862" t="s">
        <v>8812</v>
      </c>
      <c r="BB1862">
        <v>4165.2</v>
      </c>
      <c r="BC1862">
        <v>100</v>
      </c>
      <c r="BD1862">
        <v>10450.200000000001</v>
      </c>
      <c r="BE1862">
        <v>1996</v>
      </c>
      <c r="BF1862">
        <v>81</v>
      </c>
      <c r="BG1862">
        <v>6</v>
      </c>
      <c r="BH1862">
        <v>825</v>
      </c>
      <c r="BI1862">
        <v>29</v>
      </c>
      <c r="BJ1862">
        <v>29</v>
      </c>
      <c r="BK1862">
        <v>29</v>
      </c>
      <c r="BP1862" s="184"/>
    </row>
    <row r="1863" spans="1:68">
      <c r="A1863">
        <v>20624144</v>
      </c>
      <c r="B1863">
        <v>20624144</v>
      </c>
      <c r="C1863" t="s">
        <v>7018</v>
      </c>
      <c r="E1863" s="184"/>
      <c r="G1863" s="184"/>
      <c r="H1863" t="s">
        <v>595</v>
      </c>
      <c r="I1863" s="184">
        <v>44109</v>
      </c>
      <c r="K1863" s="184"/>
      <c r="O1863" s="184"/>
      <c r="P1863" t="s">
        <v>7045</v>
      </c>
      <c r="Q1863" t="s">
        <v>7020</v>
      </c>
      <c r="R1863" s="184">
        <v>19769</v>
      </c>
      <c r="S1863">
        <v>70</v>
      </c>
      <c r="U1863" t="s">
        <v>7076</v>
      </c>
      <c r="V1863" t="s">
        <v>2903</v>
      </c>
      <c r="X1863" t="s">
        <v>4989</v>
      </c>
      <c r="Z1863">
        <v>38221651</v>
      </c>
      <c r="AA1863" t="s">
        <v>7031</v>
      </c>
      <c r="AB1863" t="s">
        <v>2871</v>
      </c>
      <c r="AD1863" t="s">
        <v>4795</v>
      </c>
      <c r="AF1863" t="s">
        <v>17583</v>
      </c>
      <c r="AG1863" t="s">
        <v>17584</v>
      </c>
      <c r="AI1863" t="s">
        <v>17585</v>
      </c>
      <c r="AM1863" t="s">
        <v>4990</v>
      </c>
      <c r="AN1863" t="s">
        <v>2465</v>
      </c>
      <c r="AO1863" t="s">
        <v>17586</v>
      </c>
      <c r="AP1863" t="s">
        <v>7024</v>
      </c>
      <c r="AQ1863" t="s">
        <v>17587</v>
      </c>
      <c r="AT1863" s="184">
        <v>35094</v>
      </c>
      <c r="AU1863" t="s">
        <v>17588</v>
      </c>
      <c r="AV1863">
        <v>15</v>
      </c>
      <c r="AW1863" s="184">
        <v>45342</v>
      </c>
      <c r="AX1863" t="s">
        <v>9748</v>
      </c>
      <c r="AY1863">
        <v>50</v>
      </c>
      <c r="AZ1863" s="184">
        <v>44617</v>
      </c>
      <c r="BA1863" t="s">
        <v>17589</v>
      </c>
      <c r="BB1863">
        <v>100</v>
      </c>
      <c r="BC1863">
        <v>83</v>
      </c>
      <c r="BD1863">
        <v>2800</v>
      </c>
      <c r="BE1863">
        <v>1996</v>
      </c>
      <c r="BF1863">
        <v>42</v>
      </c>
      <c r="BG1863">
        <v>2</v>
      </c>
      <c r="BH1863">
        <v>100</v>
      </c>
      <c r="BI1863">
        <v>24</v>
      </c>
      <c r="BJ1863">
        <v>29</v>
      </c>
      <c r="BK1863">
        <v>21</v>
      </c>
      <c r="BP1863" s="184"/>
    </row>
    <row r="1864" spans="1:68">
      <c r="A1864">
        <v>20633475</v>
      </c>
      <c r="B1864">
        <v>20633475</v>
      </c>
      <c r="C1864" t="s">
        <v>7018</v>
      </c>
      <c r="E1864" s="184"/>
      <c r="G1864" s="184"/>
      <c r="H1864" t="s">
        <v>595</v>
      </c>
      <c r="I1864" s="184">
        <v>44363</v>
      </c>
      <c r="K1864" s="184"/>
      <c r="M1864" s="184"/>
      <c r="O1864" s="184"/>
      <c r="P1864" t="s">
        <v>7045</v>
      </c>
      <c r="Q1864" t="s">
        <v>7374</v>
      </c>
      <c r="R1864" s="184">
        <v>15707</v>
      </c>
      <c r="S1864">
        <v>81</v>
      </c>
      <c r="V1864" t="s">
        <v>2742</v>
      </c>
      <c r="X1864" t="s">
        <v>5096</v>
      </c>
      <c r="AF1864" t="s">
        <v>17590</v>
      </c>
      <c r="AG1864" t="s">
        <v>2742</v>
      </c>
      <c r="AI1864" t="s">
        <v>17591</v>
      </c>
      <c r="AM1864" t="s">
        <v>4709</v>
      </c>
      <c r="AN1864" t="s">
        <v>2081</v>
      </c>
      <c r="AO1864" t="s">
        <v>17592</v>
      </c>
      <c r="AP1864" t="s">
        <v>7024</v>
      </c>
      <c r="AQ1864" t="s">
        <v>17593</v>
      </c>
      <c r="AR1864" t="s">
        <v>17594</v>
      </c>
      <c r="AT1864" s="184">
        <v>35095</v>
      </c>
      <c r="AU1864" t="s">
        <v>17536</v>
      </c>
      <c r="AV1864">
        <v>25</v>
      </c>
      <c r="AW1864" s="184">
        <v>45017</v>
      </c>
      <c r="AX1864" t="s">
        <v>17595</v>
      </c>
      <c r="AY1864">
        <v>35</v>
      </c>
      <c r="AZ1864" s="184">
        <v>44297</v>
      </c>
      <c r="BA1864" t="s">
        <v>7714</v>
      </c>
      <c r="BB1864">
        <v>100</v>
      </c>
      <c r="BC1864">
        <v>97</v>
      </c>
      <c r="BD1864">
        <v>1455</v>
      </c>
      <c r="BE1864">
        <v>1996</v>
      </c>
      <c r="BF1864">
        <v>34</v>
      </c>
      <c r="BG1864">
        <v>1</v>
      </c>
      <c r="BH1864">
        <v>35</v>
      </c>
      <c r="BI1864">
        <v>28</v>
      </c>
      <c r="BJ1864">
        <v>29</v>
      </c>
      <c r="BK1864">
        <v>28</v>
      </c>
      <c r="BN1864" t="s">
        <v>595</v>
      </c>
      <c r="BP1864" s="184"/>
    </row>
    <row r="1865" spans="1:68">
      <c r="A1865">
        <v>20634754</v>
      </c>
      <c r="B1865">
        <v>20634754</v>
      </c>
      <c r="C1865" t="s">
        <v>7018</v>
      </c>
      <c r="E1865" s="184"/>
      <c r="G1865" s="184"/>
      <c r="I1865" s="184"/>
      <c r="J1865" t="s">
        <v>595</v>
      </c>
      <c r="K1865" s="184">
        <v>43745</v>
      </c>
      <c r="O1865" s="184"/>
      <c r="P1865" t="s">
        <v>7029</v>
      </c>
      <c r="Q1865" t="s">
        <v>7454</v>
      </c>
      <c r="R1865" s="184">
        <v>25416</v>
      </c>
      <c r="S1865">
        <v>54</v>
      </c>
      <c r="U1865" t="s">
        <v>7076</v>
      </c>
      <c r="V1865" t="s">
        <v>3293</v>
      </c>
      <c r="X1865" t="s">
        <v>4068</v>
      </c>
      <c r="Z1865">
        <v>100057035</v>
      </c>
      <c r="AA1865" t="s">
        <v>7031</v>
      </c>
      <c r="AB1865" t="s">
        <v>3617</v>
      </c>
      <c r="AD1865" t="s">
        <v>5294</v>
      </c>
      <c r="AF1865" t="s">
        <v>17596</v>
      </c>
      <c r="AG1865" t="s">
        <v>17597</v>
      </c>
      <c r="AI1865" t="s">
        <v>17598</v>
      </c>
      <c r="AM1865" t="s">
        <v>3855</v>
      </c>
      <c r="AN1865" t="s">
        <v>2055</v>
      </c>
      <c r="AO1865" t="s">
        <v>17599</v>
      </c>
      <c r="AP1865" t="s">
        <v>7024</v>
      </c>
      <c r="AQ1865" t="s">
        <v>17600</v>
      </c>
      <c r="AR1865" t="s">
        <v>17601</v>
      </c>
      <c r="AT1865" s="184">
        <v>35095</v>
      </c>
      <c r="AU1865" t="s">
        <v>17602</v>
      </c>
      <c r="AV1865">
        <v>25</v>
      </c>
      <c r="AW1865" s="184">
        <v>45369</v>
      </c>
      <c r="AX1865" t="s">
        <v>17603</v>
      </c>
      <c r="AY1865">
        <v>1000</v>
      </c>
      <c r="AZ1865" s="184">
        <v>42663</v>
      </c>
      <c r="BA1865" t="s">
        <v>17604</v>
      </c>
      <c r="BB1865">
        <v>2016</v>
      </c>
      <c r="BC1865">
        <v>94</v>
      </c>
      <c r="BD1865">
        <v>18915</v>
      </c>
      <c r="BE1865">
        <v>1996</v>
      </c>
      <c r="BF1865">
        <v>47</v>
      </c>
      <c r="BG1865">
        <v>4</v>
      </c>
      <c r="BH1865">
        <v>4000</v>
      </c>
      <c r="BI1865">
        <v>27</v>
      </c>
      <c r="BJ1865">
        <v>29</v>
      </c>
      <c r="BK1865">
        <v>16</v>
      </c>
      <c r="BP1865" s="184"/>
    </row>
    <row r="1866" spans="1:68">
      <c r="A1866">
        <v>100057035</v>
      </c>
      <c r="B1866">
        <v>20634754</v>
      </c>
      <c r="C1866" t="s">
        <v>7018</v>
      </c>
      <c r="E1866" s="184"/>
      <c r="G1866" s="184"/>
      <c r="I1866" s="184"/>
      <c r="J1866" t="s">
        <v>595</v>
      </c>
      <c r="K1866" s="184">
        <v>43745</v>
      </c>
      <c r="O1866" s="184"/>
      <c r="P1866" t="s">
        <v>7029</v>
      </c>
      <c r="Q1866" t="s">
        <v>7454</v>
      </c>
      <c r="R1866" s="184">
        <v>21276</v>
      </c>
      <c r="S1866">
        <v>66</v>
      </c>
      <c r="U1866" t="s">
        <v>7031</v>
      </c>
      <c r="V1866" t="s">
        <v>3617</v>
      </c>
      <c r="X1866" t="s">
        <v>5294</v>
      </c>
      <c r="Z1866">
        <v>20634754</v>
      </c>
      <c r="AA1866" t="s">
        <v>7076</v>
      </c>
      <c r="AB1866" t="s">
        <v>3293</v>
      </c>
      <c r="AD1866" t="s">
        <v>4068</v>
      </c>
      <c r="AF1866" t="s">
        <v>17596</v>
      </c>
      <c r="AG1866" t="s">
        <v>17597</v>
      </c>
      <c r="AI1866" t="s">
        <v>17598</v>
      </c>
      <c r="AM1866" t="s">
        <v>3855</v>
      </c>
      <c r="AN1866" t="s">
        <v>2055</v>
      </c>
      <c r="AO1866" t="s">
        <v>17599</v>
      </c>
      <c r="AP1866" t="s">
        <v>7024</v>
      </c>
      <c r="AT1866" s="184"/>
      <c r="AW1866" s="184"/>
      <c r="AZ1866" s="184"/>
      <c r="BP1866" s="184"/>
    </row>
    <row r="1867" spans="1:68">
      <c r="A1867">
        <v>20646170</v>
      </c>
      <c r="B1867">
        <v>20646170</v>
      </c>
      <c r="C1867" t="s">
        <v>7018</v>
      </c>
      <c r="E1867" s="184"/>
      <c r="G1867" s="184"/>
      <c r="H1867" t="s">
        <v>595</v>
      </c>
      <c r="I1867" s="184">
        <v>44105</v>
      </c>
      <c r="K1867" s="184"/>
      <c r="M1867" s="184"/>
      <c r="O1867" s="184"/>
      <c r="P1867" t="s">
        <v>7045</v>
      </c>
      <c r="Q1867" t="s">
        <v>7262</v>
      </c>
      <c r="R1867" s="184">
        <v>16490</v>
      </c>
      <c r="S1867">
        <v>79</v>
      </c>
      <c r="U1867" t="s">
        <v>7076</v>
      </c>
      <c r="V1867" t="s">
        <v>2602</v>
      </c>
      <c r="X1867" t="s">
        <v>3255</v>
      </c>
      <c r="AF1867" t="s">
        <v>17605</v>
      </c>
      <c r="AG1867" t="s">
        <v>2602</v>
      </c>
      <c r="AI1867" t="s">
        <v>17606</v>
      </c>
      <c r="AM1867" t="s">
        <v>5019</v>
      </c>
      <c r="AN1867" t="s">
        <v>65</v>
      </c>
      <c r="AO1867" t="s">
        <v>17607</v>
      </c>
      <c r="AP1867" t="s">
        <v>7024</v>
      </c>
      <c r="AQ1867" t="s">
        <v>17608</v>
      </c>
      <c r="AT1867" s="184">
        <v>35097</v>
      </c>
      <c r="AU1867" t="s">
        <v>17609</v>
      </c>
      <c r="AV1867">
        <v>25</v>
      </c>
      <c r="AW1867" s="184">
        <v>45267</v>
      </c>
      <c r="AX1867" t="s">
        <v>17610</v>
      </c>
      <c r="AY1867">
        <v>100</v>
      </c>
      <c r="AZ1867" s="184">
        <v>45251</v>
      </c>
      <c r="BA1867" t="s">
        <v>8152</v>
      </c>
      <c r="BB1867">
        <v>105565.91</v>
      </c>
      <c r="BC1867">
        <v>42</v>
      </c>
      <c r="BD1867">
        <v>106785.91</v>
      </c>
      <c r="BE1867">
        <v>1996</v>
      </c>
      <c r="BF1867">
        <v>17</v>
      </c>
      <c r="BG1867">
        <v>7</v>
      </c>
      <c r="BH1867">
        <v>106115.91</v>
      </c>
      <c r="BI1867">
        <v>12</v>
      </c>
      <c r="BJ1867">
        <v>29</v>
      </c>
      <c r="BK1867">
        <v>4</v>
      </c>
      <c r="BP1867" s="184"/>
    </row>
    <row r="1868" spans="1:68">
      <c r="A1868">
        <v>20648481</v>
      </c>
      <c r="B1868">
        <v>20648481</v>
      </c>
      <c r="C1868" t="s">
        <v>7018</v>
      </c>
      <c r="D1868" t="s">
        <v>595</v>
      </c>
      <c r="E1868" s="184">
        <v>43642</v>
      </c>
      <c r="G1868" s="184"/>
      <c r="I1868" s="184"/>
      <c r="K1868" s="184"/>
      <c r="O1868" s="184"/>
      <c r="P1868" t="s">
        <v>7045</v>
      </c>
      <c r="Q1868" t="s">
        <v>7262</v>
      </c>
      <c r="R1868" s="184">
        <v>15814</v>
      </c>
      <c r="S1868">
        <v>81</v>
      </c>
      <c r="U1868" t="s">
        <v>7031</v>
      </c>
      <c r="V1868" t="s">
        <v>2871</v>
      </c>
      <c r="W1868" t="s">
        <v>7268</v>
      </c>
      <c r="X1868" t="s">
        <v>3261</v>
      </c>
      <c r="Z1868">
        <v>100057090</v>
      </c>
      <c r="AA1868" t="s">
        <v>7130</v>
      </c>
      <c r="AB1868" t="s">
        <v>2586</v>
      </c>
      <c r="AD1868" t="s">
        <v>3261</v>
      </c>
      <c r="AF1868" t="s">
        <v>17611</v>
      </c>
      <c r="AG1868" t="s">
        <v>17612</v>
      </c>
      <c r="AI1868" t="s">
        <v>17613</v>
      </c>
      <c r="AM1868" t="s">
        <v>3262</v>
      </c>
      <c r="AN1868" t="s">
        <v>2106</v>
      </c>
      <c r="AO1868" t="s">
        <v>17614</v>
      </c>
      <c r="AP1868" t="s">
        <v>7024</v>
      </c>
      <c r="AQ1868" t="s">
        <v>17615</v>
      </c>
      <c r="AT1868" s="184">
        <v>35097</v>
      </c>
      <c r="AU1868" t="s">
        <v>17543</v>
      </c>
      <c r="AV1868">
        <v>15</v>
      </c>
      <c r="AW1868" s="184">
        <v>45278</v>
      </c>
      <c r="AX1868" t="s">
        <v>7684</v>
      </c>
      <c r="AY1868">
        <v>50</v>
      </c>
      <c r="AZ1868" s="184">
        <v>45278</v>
      </c>
      <c r="BA1868" t="s">
        <v>7684</v>
      </c>
      <c r="BB1868">
        <v>50</v>
      </c>
      <c r="BC1868">
        <v>52</v>
      </c>
      <c r="BD1868">
        <v>655</v>
      </c>
      <c r="BE1868">
        <v>1996</v>
      </c>
      <c r="BF1868">
        <v>21</v>
      </c>
      <c r="BG1868">
        <v>2</v>
      </c>
      <c r="BH1868">
        <v>100</v>
      </c>
      <c r="BI1868">
        <v>15</v>
      </c>
      <c r="BJ1868">
        <v>29</v>
      </c>
      <c r="BK1868">
        <v>12</v>
      </c>
      <c r="BP1868" s="184"/>
    </row>
    <row r="1869" spans="1:68">
      <c r="A1869">
        <v>100057090</v>
      </c>
      <c r="B1869">
        <v>20648481</v>
      </c>
      <c r="C1869" t="s">
        <v>7018</v>
      </c>
      <c r="D1869" t="s">
        <v>595</v>
      </c>
      <c r="E1869" s="184">
        <v>43642</v>
      </c>
      <c r="G1869" s="184"/>
      <c r="I1869" s="184"/>
      <c r="K1869" s="184"/>
      <c r="M1869" s="184"/>
      <c r="O1869" s="184"/>
      <c r="P1869" t="s">
        <v>7045</v>
      </c>
      <c r="Q1869" t="s">
        <v>7262</v>
      </c>
      <c r="R1869" s="184">
        <v>15658</v>
      </c>
      <c r="S1869">
        <v>81</v>
      </c>
      <c r="U1869" t="s">
        <v>7130</v>
      </c>
      <c r="V1869" t="s">
        <v>2586</v>
      </c>
      <c r="X1869" t="s">
        <v>3261</v>
      </c>
      <c r="Z1869">
        <v>20648481</v>
      </c>
      <c r="AA1869" t="s">
        <v>7031</v>
      </c>
      <c r="AB1869" t="s">
        <v>2871</v>
      </c>
      <c r="AC1869" t="s">
        <v>7268</v>
      </c>
      <c r="AD1869" t="s">
        <v>3261</v>
      </c>
      <c r="AF1869" t="s">
        <v>17611</v>
      </c>
      <c r="AG1869" t="s">
        <v>17612</v>
      </c>
      <c r="AI1869" t="s">
        <v>17613</v>
      </c>
      <c r="AM1869" t="s">
        <v>3262</v>
      </c>
      <c r="AN1869" t="s">
        <v>2106</v>
      </c>
      <c r="AO1869" t="s">
        <v>17614</v>
      </c>
      <c r="AP1869" t="s">
        <v>7024</v>
      </c>
      <c r="AQ1869" t="s">
        <v>17616</v>
      </c>
      <c r="AR1869" t="s">
        <v>17617</v>
      </c>
      <c r="AT1869" s="184"/>
      <c r="AW1869" s="184"/>
      <c r="AZ1869" s="184"/>
    </row>
    <row r="1870" spans="1:68">
      <c r="A1870">
        <v>20652426</v>
      </c>
      <c r="B1870">
        <v>20652426</v>
      </c>
      <c r="C1870" t="s">
        <v>7018</v>
      </c>
      <c r="D1870" t="s">
        <v>595</v>
      </c>
      <c r="E1870" s="184">
        <v>43647</v>
      </c>
      <c r="G1870" s="184"/>
      <c r="I1870" s="184"/>
      <c r="K1870" s="184"/>
      <c r="O1870" s="184"/>
      <c r="P1870" t="s">
        <v>7045</v>
      </c>
      <c r="Q1870" t="s">
        <v>7020</v>
      </c>
      <c r="R1870" s="184">
        <v>11193</v>
      </c>
      <c r="S1870">
        <v>93</v>
      </c>
      <c r="V1870" t="s">
        <v>3101</v>
      </c>
      <c r="X1870" t="s">
        <v>3438</v>
      </c>
      <c r="AF1870" t="s">
        <v>17618</v>
      </c>
      <c r="AG1870" t="s">
        <v>3101</v>
      </c>
      <c r="AI1870" t="s">
        <v>17619</v>
      </c>
      <c r="AM1870" t="s">
        <v>17620</v>
      </c>
      <c r="AN1870" t="s">
        <v>2112</v>
      </c>
      <c r="AO1870" t="s">
        <v>17621</v>
      </c>
      <c r="AP1870" t="s">
        <v>7024</v>
      </c>
      <c r="AQ1870" t="s">
        <v>17622</v>
      </c>
      <c r="AR1870" t="s">
        <v>17623</v>
      </c>
      <c r="AT1870" s="184">
        <v>35104</v>
      </c>
      <c r="AU1870" t="s">
        <v>17624</v>
      </c>
      <c r="AV1870">
        <v>19.95</v>
      </c>
      <c r="AW1870" s="184">
        <v>43465</v>
      </c>
      <c r="AX1870" t="s">
        <v>17625</v>
      </c>
      <c r="AY1870">
        <v>25</v>
      </c>
      <c r="AZ1870" s="184">
        <v>39792</v>
      </c>
      <c r="BA1870" t="s">
        <v>17626</v>
      </c>
      <c r="BB1870">
        <v>50</v>
      </c>
      <c r="BC1870">
        <v>42</v>
      </c>
      <c r="BD1870">
        <v>359.95</v>
      </c>
      <c r="BE1870">
        <v>1996</v>
      </c>
      <c r="BF1870">
        <v>14</v>
      </c>
      <c r="BI1870">
        <v>12</v>
      </c>
      <c r="BJ1870">
        <v>29</v>
      </c>
      <c r="BK1870">
        <v>10</v>
      </c>
      <c r="BP1870" s="184"/>
    </row>
    <row r="1871" spans="1:68">
      <c r="A1871">
        <v>20681680</v>
      </c>
      <c r="B1871">
        <v>20681680</v>
      </c>
      <c r="C1871" t="s">
        <v>7018</v>
      </c>
      <c r="D1871" t="s">
        <v>595</v>
      </c>
      <c r="E1871" s="184">
        <v>44073</v>
      </c>
      <c r="G1871" s="184"/>
      <c r="H1871" t="s">
        <v>595</v>
      </c>
      <c r="I1871" s="184">
        <v>44073</v>
      </c>
      <c r="K1871" s="184"/>
      <c r="O1871" s="184"/>
      <c r="P1871" t="s">
        <v>7045</v>
      </c>
      <c r="Q1871" t="s">
        <v>7383</v>
      </c>
      <c r="R1871" s="184">
        <v>13881</v>
      </c>
      <c r="S1871">
        <v>86</v>
      </c>
      <c r="U1871" t="s">
        <v>7031</v>
      </c>
      <c r="V1871" t="s">
        <v>4093</v>
      </c>
      <c r="X1871" t="s">
        <v>4931</v>
      </c>
      <c r="AF1871" t="s">
        <v>17627</v>
      </c>
      <c r="AG1871" t="s">
        <v>4093</v>
      </c>
      <c r="AI1871" t="s">
        <v>17628</v>
      </c>
      <c r="AM1871" t="s">
        <v>4932</v>
      </c>
      <c r="AN1871" t="s">
        <v>2072</v>
      </c>
      <c r="AO1871" t="s">
        <v>17629</v>
      </c>
      <c r="AP1871" t="s">
        <v>7024</v>
      </c>
      <c r="AQ1871" t="s">
        <v>17630</v>
      </c>
      <c r="AT1871" s="184">
        <v>35102</v>
      </c>
      <c r="AU1871" t="s">
        <v>17631</v>
      </c>
      <c r="AV1871">
        <v>25</v>
      </c>
      <c r="AW1871" s="184">
        <v>44852</v>
      </c>
      <c r="AX1871" t="s">
        <v>8134</v>
      </c>
      <c r="AY1871">
        <v>35</v>
      </c>
      <c r="AZ1871" s="184">
        <v>36031</v>
      </c>
      <c r="BA1871" t="s">
        <v>17632</v>
      </c>
      <c r="BB1871">
        <v>60</v>
      </c>
      <c r="BC1871">
        <v>80</v>
      </c>
      <c r="BD1871">
        <v>641</v>
      </c>
      <c r="BE1871">
        <v>1996</v>
      </c>
      <c r="BF1871">
        <v>27</v>
      </c>
      <c r="BG1871">
        <v>1</v>
      </c>
      <c r="BH1871">
        <v>35</v>
      </c>
      <c r="BI1871">
        <v>23</v>
      </c>
      <c r="BJ1871">
        <v>29</v>
      </c>
      <c r="BK1871">
        <v>19</v>
      </c>
      <c r="BP1871" s="184"/>
    </row>
    <row r="1872" spans="1:68">
      <c r="A1872">
        <v>20685426</v>
      </c>
      <c r="B1872">
        <v>20685426</v>
      </c>
      <c r="C1872" t="s">
        <v>7018</v>
      </c>
      <c r="E1872" s="184"/>
      <c r="G1872" s="184"/>
      <c r="H1872" t="s">
        <v>595</v>
      </c>
      <c r="I1872" s="184">
        <v>44109</v>
      </c>
      <c r="K1872" s="184"/>
      <c r="O1872" s="184"/>
      <c r="P1872" t="s">
        <v>7045</v>
      </c>
      <c r="Q1872" t="s">
        <v>7374</v>
      </c>
      <c r="R1872" s="184">
        <v>17175</v>
      </c>
      <c r="S1872">
        <v>77</v>
      </c>
      <c r="U1872" t="s">
        <v>7076</v>
      </c>
      <c r="V1872" t="s">
        <v>4599</v>
      </c>
      <c r="W1872" t="s">
        <v>7407</v>
      </c>
      <c r="X1872" t="s">
        <v>4961</v>
      </c>
      <c r="AF1872" t="s">
        <v>17633</v>
      </c>
      <c r="AG1872" t="s">
        <v>4599</v>
      </c>
      <c r="AI1872" t="s">
        <v>17634</v>
      </c>
      <c r="AM1872" t="s">
        <v>2797</v>
      </c>
      <c r="AN1872" t="s">
        <v>2081</v>
      </c>
      <c r="AO1872" t="s">
        <v>17635</v>
      </c>
      <c r="AP1872" t="s">
        <v>7024</v>
      </c>
      <c r="AQ1872" t="s">
        <v>17636</v>
      </c>
      <c r="AR1872" t="s">
        <v>17637</v>
      </c>
      <c r="AT1872" s="184">
        <v>35103</v>
      </c>
      <c r="AU1872" t="s">
        <v>17638</v>
      </c>
      <c r="AV1872">
        <v>15</v>
      </c>
      <c r="AW1872" s="184">
        <v>44764</v>
      </c>
      <c r="AX1872" t="s">
        <v>17639</v>
      </c>
      <c r="AY1872">
        <v>5</v>
      </c>
      <c r="AZ1872" s="184">
        <v>37746</v>
      </c>
      <c r="BA1872" t="s">
        <v>17640</v>
      </c>
      <c r="BB1872">
        <v>50</v>
      </c>
      <c r="BC1872">
        <v>52</v>
      </c>
      <c r="BD1872">
        <v>1560</v>
      </c>
      <c r="BE1872">
        <v>1996</v>
      </c>
      <c r="BF1872">
        <v>80</v>
      </c>
      <c r="BG1872">
        <v>4</v>
      </c>
      <c r="BH1872">
        <v>20</v>
      </c>
      <c r="BI1872">
        <v>15</v>
      </c>
      <c r="BJ1872">
        <v>29</v>
      </c>
      <c r="BK1872">
        <v>7</v>
      </c>
      <c r="BN1872" t="s">
        <v>595</v>
      </c>
      <c r="BP1872" s="184"/>
    </row>
    <row r="1873" spans="1:68">
      <c r="A1873">
        <v>20691259</v>
      </c>
      <c r="B1873">
        <v>20691259</v>
      </c>
      <c r="C1873" t="s">
        <v>7018</v>
      </c>
      <c r="D1873" t="s">
        <v>595</v>
      </c>
      <c r="E1873" s="184">
        <v>43647</v>
      </c>
      <c r="G1873" s="184"/>
      <c r="I1873" s="184"/>
      <c r="K1873" s="184"/>
      <c r="O1873" s="184"/>
      <c r="P1873" t="s">
        <v>7045</v>
      </c>
      <c r="Q1873" t="s">
        <v>7383</v>
      </c>
      <c r="R1873" s="184">
        <v>19725</v>
      </c>
      <c r="S1873">
        <v>70</v>
      </c>
      <c r="V1873" t="s">
        <v>3527</v>
      </c>
      <c r="X1873" t="s">
        <v>3528</v>
      </c>
      <c r="Z1873">
        <v>100057227</v>
      </c>
      <c r="AB1873" t="s">
        <v>3228</v>
      </c>
      <c r="AD1873" t="s">
        <v>3528</v>
      </c>
      <c r="AF1873" t="s">
        <v>17641</v>
      </c>
      <c r="AG1873" t="s">
        <v>17642</v>
      </c>
      <c r="AI1873" t="s">
        <v>17643</v>
      </c>
      <c r="AM1873" t="s">
        <v>3529</v>
      </c>
      <c r="AN1873" t="s">
        <v>2072</v>
      </c>
      <c r="AO1873" t="s">
        <v>17644</v>
      </c>
      <c r="AP1873" t="s">
        <v>7024</v>
      </c>
      <c r="AQ1873" t="s">
        <v>17645</v>
      </c>
      <c r="AT1873" s="184">
        <v>35104</v>
      </c>
      <c r="AU1873" t="s">
        <v>17646</v>
      </c>
      <c r="AV1873">
        <v>20</v>
      </c>
      <c r="AW1873" s="184">
        <v>43840</v>
      </c>
      <c r="AX1873" t="s">
        <v>17647</v>
      </c>
      <c r="AY1873">
        <v>35</v>
      </c>
      <c r="AZ1873" s="184">
        <v>42366</v>
      </c>
      <c r="BA1873" t="s">
        <v>17648</v>
      </c>
      <c r="BB1873">
        <v>87</v>
      </c>
      <c r="BC1873">
        <v>35</v>
      </c>
      <c r="BD1873">
        <v>557</v>
      </c>
      <c r="BE1873">
        <v>1996</v>
      </c>
      <c r="BF1873">
        <v>15</v>
      </c>
      <c r="BI1873">
        <v>10</v>
      </c>
      <c r="BJ1873">
        <v>29</v>
      </c>
      <c r="BK1873">
        <v>4</v>
      </c>
      <c r="BP1873" s="184"/>
    </row>
    <row r="1874" spans="1:68">
      <c r="A1874">
        <v>100057227</v>
      </c>
      <c r="B1874">
        <v>20691259</v>
      </c>
      <c r="C1874" t="s">
        <v>7018</v>
      </c>
      <c r="D1874" t="s">
        <v>595</v>
      </c>
      <c r="E1874" s="184">
        <v>43647</v>
      </c>
      <c r="G1874" s="184"/>
      <c r="I1874" s="184"/>
      <c r="K1874" s="184"/>
      <c r="O1874" s="184"/>
      <c r="P1874" t="s">
        <v>7045</v>
      </c>
      <c r="Q1874" t="s">
        <v>7383</v>
      </c>
      <c r="R1874" s="184">
        <v>20029</v>
      </c>
      <c r="S1874">
        <v>69</v>
      </c>
      <c r="V1874" t="s">
        <v>3228</v>
      </c>
      <c r="X1874" t="s">
        <v>3528</v>
      </c>
      <c r="Z1874">
        <v>20691259</v>
      </c>
      <c r="AB1874" t="s">
        <v>3527</v>
      </c>
      <c r="AD1874" t="s">
        <v>3528</v>
      </c>
      <c r="AF1874" t="s">
        <v>17641</v>
      </c>
      <c r="AG1874" t="s">
        <v>17642</v>
      </c>
      <c r="AI1874" t="s">
        <v>17643</v>
      </c>
      <c r="AM1874" t="s">
        <v>3529</v>
      </c>
      <c r="AN1874" t="s">
        <v>2072</v>
      </c>
      <c r="AO1874" t="s">
        <v>17644</v>
      </c>
      <c r="AP1874" t="s">
        <v>7024</v>
      </c>
      <c r="AT1874" s="184"/>
      <c r="AW1874" s="184"/>
      <c r="AZ1874" s="184"/>
      <c r="BP1874" s="184"/>
    </row>
    <row r="1875" spans="1:68">
      <c r="A1875">
        <v>20719449</v>
      </c>
      <c r="B1875">
        <v>20719449</v>
      </c>
      <c r="C1875" t="s">
        <v>7018</v>
      </c>
      <c r="D1875" t="s">
        <v>595</v>
      </c>
      <c r="E1875" s="184">
        <v>44438</v>
      </c>
      <c r="G1875" s="184"/>
      <c r="I1875" s="184"/>
      <c r="K1875" s="184"/>
      <c r="O1875" s="184"/>
      <c r="P1875" t="s">
        <v>7045</v>
      </c>
      <c r="Q1875" t="s">
        <v>7383</v>
      </c>
      <c r="R1875" s="184">
        <v>22190</v>
      </c>
      <c r="S1875">
        <v>63</v>
      </c>
      <c r="U1875" t="s">
        <v>7076</v>
      </c>
      <c r="V1875" t="s">
        <v>3400</v>
      </c>
      <c r="W1875" t="s">
        <v>5006</v>
      </c>
      <c r="X1875" t="s">
        <v>17649</v>
      </c>
      <c r="AF1875" t="s">
        <v>17650</v>
      </c>
      <c r="AG1875" t="s">
        <v>3400</v>
      </c>
      <c r="AI1875" t="s">
        <v>17651</v>
      </c>
      <c r="AM1875" t="s">
        <v>9508</v>
      </c>
      <c r="AN1875" t="s">
        <v>2072</v>
      </c>
      <c r="AO1875" t="s">
        <v>17652</v>
      </c>
      <c r="AP1875" t="s">
        <v>7024</v>
      </c>
      <c r="AQ1875" t="s">
        <v>17653</v>
      </c>
      <c r="AR1875" t="s">
        <v>17654</v>
      </c>
      <c r="AT1875" s="184">
        <v>35111</v>
      </c>
      <c r="AU1875" t="s">
        <v>17655</v>
      </c>
      <c r="AV1875">
        <v>25</v>
      </c>
      <c r="AW1875" s="184">
        <v>45340</v>
      </c>
      <c r="AX1875" t="s">
        <v>7832</v>
      </c>
      <c r="AY1875">
        <v>26.25</v>
      </c>
      <c r="AZ1875" s="184">
        <v>44250</v>
      </c>
      <c r="BA1875" t="s">
        <v>17656</v>
      </c>
      <c r="BB1875">
        <v>60</v>
      </c>
      <c r="BC1875">
        <v>42</v>
      </c>
      <c r="BD1875">
        <v>376.25</v>
      </c>
      <c r="BE1875">
        <v>1996</v>
      </c>
      <c r="BF1875">
        <v>15</v>
      </c>
      <c r="BG1875">
        <v>1</v>
      </c>
      <c r="BH1875">
        <v>26.25</v>
      </c>
      <c r="BI1875">
        <v>12</v>
      </c>
      <c r="BJ1875">
        <v>29</v>
      </c>
      <c r="BK1875">
        <v>6</v>
      </c>
    </row>
    <row r="1876" spans="1:68">
      <c r="A1876">
        <v>20758306</v>
      </c>
      <c r="B1876">
        <v>20758306</v>
      </c>
      <c r="C1876" t="s">
        <v>7018</v>
      </c>
      <c r="D1876" t="s">
        <v>595</v>
      </c>
      <c r="E1876" s="184">
        <v>43640</v>
      </c>
      <c r="G1876" s="184"/>
      <c r="I1876" s="184"/>
      <c r="J1876" t="s">
        <v>595</v>
      </c>
      <c r="K1876" s="184">
        <v>44649</v>
      </c>
      <c r="N1876" t="s">
        <v>595</v>
      </c>
      <c r="O1876" s="184">
        <v>44193</v>
      </c>
      <c r="P1876" t="s">
        <v>7029</v>
      </c>
      <c r="Q1876" t="s">
        <v>7262</v>
      </c>
      <c r="R1876" s="184">
        <v>17456</v>
      </c>
      <c r="S1876">
        <v>76</v>
      </c>
      <c r="U1876" t="s">
        <v>7076</v>
      </c>
      <c r="V1876" t="s">
        <v>2989</v>
      </c>
      <c r="X1876" t="s">
        <v>2990</v>
      </c>
      <c r="Z1876">
        <v>100352093</v>
      </c>
      <c r="AA1876" t="s">
        <v>7031</v>
      </c>
      <c r="AB1876" t="s">
        <v>2863</v>
      </c>
      <c r="AC1876" t="s">
        <v>3951</v>
      </c>
      <c r="AD1876" t="s">
        <v>2990</v>
      </c>
      <c r="AF1876" t="s">
        <v>17657</v>
      </c>
      <c r="AG1876" t="s">
        <v>17658</v>
      </c>
      <c r="AI1876" t="s">
        <v>17659</v>
      </c>
      <c r="AM1876" t="s">
        <v>2991</v>
      </c>
      <c r="AN1876" t="s">
        <v>2106</v>
      </c>
      <c r="AO1876" t="s">
        <v>17660</v>
      </c>
      <c r="AP1876" t="s">
        <v>7024</v>
      </c>
      <c r="AT1876" s="184">
        <v>35115</v>
      </c>
      <c r="AU1876" t="s">
        <v>17661</v>
      </c>
      <c r="AV1876">
        <v>25</v>
      </c>
      <c r="AW1876" s="184">
        <v>45079</v>
      </c>
      <c r="AX1876" t="s">
        <v>11643</v>
      </c>
      <c r="AY1876">
        <v>1000</v>
      </c>
      <c r="AZ1876" s="184">
        <v>45079</v>
      </c>
      <c r="BA1876" t="s">
        <v>11643</v>
      </c>
      <c r="BB1876">
        <v>1000</v>
      </c>
      <c r="BC1876">
        <v>90</v>
      </c>
      <c r="BD1876">
        <v>3430</v>
      </c>
      <c r="BE1876">
        <v>1996</v>
      </c>
      <c r="BF1876">
        <v>33</v>
      </c>
      <c r="BG1876">
        <v>3</v>
      </c>
      <c r="BH1876">
        <v>2050</v>
      </c>
      <c r="BI1876">
        <v>26</v>
      </c>
      <c r="BJ1876">
        <v>29</v>
      </c>
      <c r="BK1876">
        <v>22</v>
      </c>
      <c r="BP1876" s="184"/>
    </row>
    <row r="1877" spans="1:68">
      <c r="A1877">
        <v>100352093</v>
      </c>
      <c r="B1877">
        <v>20758306</v>
      </c>
      <c r="C1877" t="s">
        <v>7018</v>
      </c>
      <c r="E1877" s="184"/>
      <c r="G1877" s="184"/>
      <c r="I1877" s="184"/>
      <c r="J1877" t="s">
        <v>595</v>
      </c>
      <c r="K1877" s="184">
        <v>44649</v>
      </c>
      <c r="M1877" s="184"/>
      <c r="N1877" t="s">
        <v>595</v>
      </c>
      <c r="O1877" s="184">
        <v>44193</v>
      </c>
      <c r="P1877" t="s">
        <v>7029</v>
      </c>
      <c r="Q1877" t="s">
        <v>7262</v>
      </c>
      <c r="R1877" s="184">
        <v>17168</v>
      </c>
      <c r="S1877">
        <v>77</v>
      </c>
      <c r="U1877" t="s">
        <v>7031</v>
      </c>
      <c r="V1877" t="s">
        <v>2863</v>
      </c>
      <c r="W1877" t="s">
        <v>3951</v>
      </c>
      <c r="X1877" t="s">
        <v>2990</v>
      </c>
      <c r="Z1877">
        <v>20758306</v>
      </c>
      <c r="AA1877" t="s">
        <v>7076</v>
      </c>
      <c r="AB1877" t="s">
        <v>2989</v>
      </c>
      <c r="AD1877" t="s">
        <v>2990</v>
      </c>
      <c r="AF1877" t="s">
        <v>17657</v>
      </c>
      <c r="AG1877" t="s">
        <v>17658</v>
      </c>
      <c r="AI1877" t="s">
        <v>17659</v>
      </c>
      <c r="AM1877" t="s">
        <v>2991</v>
      </c>
      <c r="AN1877" t="s">
        <v>2106</v>
      </c>
      <c r="AO1877" t="s">
        <v>17660</v>
      </c>
      <c r="AP1877" t="s">
        <v>7024</v>
      </c>
      <c r="AQ1877" t="s">
        <v>17662</v>
      </c>
      <c r="AT1877" s="184"/>
      <c r="AW1877" s="184"/>
      <c r="AZ1877" s="184"/>
      <c r="BP1877" s="184"/>
    </row>
    <row r="1878" spans="1:68">
      <c r="A1878">
        <v>20770947</v>
      </c>
      <c r="B1878">
        <v>20770947</v>
      </c>
      <c r="C1878" t="s">
        <v>7018</v>
      </c>
      <c r="E1878" s="184"/>
      <c r="G1878" s="184"/>
      <c r="K1878" s="184"/>
      <c r="N1878" t="s">
        <v>595</v>
      </c>
      <c r="O1878" s="184">
        <v>42375</v>
      </c>
      <c r="P1878" t="s">
        <v>7045</v>
      </c>
      <c r="Q1878" t="s">
        <v>7374</v>
      </c>
      <c r="R1878" s="184">
        <v>13333</v>
      </c>
      <c r="S1878">
        <v>87</v>
      </c>
      <c r="U1878" t="s">
        <v>7076</v>
      </c>
      <c r="V1878" t="s">
        <v>3101</v>
      </c>
      <c r="X1878" t="s">
        <v>5965</v>
      </c>
      <c r="AF1878" t="s">
        <v>17663</v>
      </c>
      <c r="AG1878" t="s">
        <v>3101</v>
      </c>
      <c r="AI1878" t="s">
        <v>17664</v>
      </c>
      <c r="AM1878" t="s">
        <v>4302</v>
      </c>
      <c r="AN1878" t="s">
        <v>2081</v>
      </c>
      <c r="AO1878" t="s">
        <v>17665</v>
      </c>
      <c r="AP1878" t="s">
        <v>7024</v>
      </c>
      <c r="AQ1878" t="s">
        <v>17666</v>
      </c>
      <c r="AR1878" t="s">
        <v>17667</v>
      </c>
      <c r="AT1878" s="184">
        <v>35116</v>
      </c>
      <c r="AU1878" t="s">
        <v>17668</v>
      </c>
      <c r="AV1878">
        <v>15</v>
      </c>
      <c r="AW1878" s="184">
        <v>42948</v>
      </c>
      <c r="AX1878" t="s">
        <v>17669</v>
      </c>
      <c r="AY1878">
        <v>50</v>
      </c>
      <c r="AZ1878" s="184">
        <v>42375</v>
      </c>
      <c r="BA1878" t="s">
        <v>7100</v>
      </c>
      <c r="BB1878">
        <v>10000</v>
      </c>
      <c r="BC1878">
        <v>69</v>
      </c>
      <c r="BD1878">
        <v>12576.3</v>
      </c>
      <c r="BE1878">
        <v>1996</v>
      </c>
      <c r="BF1878">
        <v>22</v>
      </c>
      <c r="BI1878">
        <v>20</v>
      </c>
      <c r="BJ1878">
        <v>29</v>
      </c>
      <c r="BK1878">
        <v>11</v>
      </c>
      <c r="BN1878" t="s">
        <v>595</v>
      </c>
      <c r="BP1878" s="184"/>
    </row>
    <row r="1879" spans="1:68">
      <c r="A1879">
        <v>20814521</v>
      </c>
      <c r="B1879">
        <v>20814521</v>
      </c>
      <c r="C1879" t="s">
        <v>7018</v>
      </c>
      <c r="D1879" t="s">
        <v>595</v>
      </c>
      <c r="E1879" s="184">
        <v>43970</v>
      </c>
      <c r="G1879" s="184"/>
      <c r="I1879" s="184"/>
      <c r="K1879" s="184"/>
      <c r="M1879" s="184"/>
      <c r="O1879" s="184"/>
      <c r="P1879" t="s">
        <v>7045</v>
      </c>
      <c r="Q1879" t="s">
        <v>7194</v>
      </c>
      <c r="R1879" s="184">
        <v>23211</v>
      </c>
      <c r="S1879">
        <v>60</v>
      </c>
      <c r="U1879" t="s">
        <v>7130</v>
      </c>
      <c r="V1879" t="s">
        <v>17670</v>
      </c>
      <c r="W1879" t="s">
        <v>4382</v>
      </c>
      <c r="X1879" t="s">
        <v>17671</v>
      </c>
      <c r="Z1879">
        <v>100057649</v>
      </c>
      <c r="AA1879" t="s">
        <v>7031</v>
      </c>
      <c r="AB1879" t="s">
        <v>3254</v>
      </c>
      <c r="AD1879" t="s">
        <v>17671</v>
      </c>
      <c r="AF1879" t="s">
        <v>17672</v>
      </c>
      <c r="AG1879" t="s">
        <v>17673</v>
      </c>
      <c r="AI1879" t="s">
        <v>17674</v>
      </c>
      <c r="AM1879" t="s">
        <v>17675</v>
      </c>
      <c r="AN1879" t="s">
        <v>2046</v>
      </c>
      <c r="AO1879" t="s">
        <v>17676</v>
      </c>
      <c r="AP1879" t="s">
        <v>7024</v>
      </c>
      <c r="AQ1879" t="s">
        <v>17677</v>
      </c>
      <c r="AR1879" t="s">
        <v>17678</v>
      </c>
      <c r="AT1879" s="184">
        <v>33771</v>
      </c>
      <c r="AU1879" t="s">
        <v>17679</v>
      </c>
      <c r="AV1879">
        <v>15</v>
      </c>
      <c r="AW1879" s="184">
        <v>45406</v>
      </c>
      <c r="AX1879" t="s">
        <v>7429</v>
      </c>
      <c r="AY1879">
        <v>20</v>
      </c>
      <c r="AZ1879" s="184">
        <v>38078</v>
      </c>
      <c r="BA1879" t="s">
        <v>17680</v>
      </c>
      <c r="BB1879">
        <v>190</v>
      </c>
      <c r="BC1879">
        <v>100</v>
      </c>
      <c r="BD1879">
        <v>8256.32</v>
      </c>
      <c r="BE1879">
        <v>1992</v>
      </c>
      <c r="BF1879">
        <v>188</v>
      </c>
      <c r="BG1879">
        <v>25</v>
      </c>
      <c r="BH1879">
        <v>585</v>
      </c>
      <c r="BI1879">
        <v>33</v>
      </c>
      <c r="BJ1879">
        <v>33</v>
      </c>
      <c r="BK1879">
        <v>33</v>
      </c>
      <c r="BP1879" s="184"/>
    </row>
    <row r="1880" spans="1:68">
      <c r="A1880">
        <v>100057649</v>
      </c>
      <c r="B1880">
        <v>20814521</v>
      </c>
      <c r="C1880" t="s">
        <v>7018</v>
      </c>
      <c r="D1880" t="s">
        <v>595</v>
      </c>
      <c r="E1880" s="184">
        <v>43970</v>
      </c>
      <c r="G1880" s="184"/>
      <c r="I1880" s="184"/>
      <c r="K1880" s="184"/>
      <c r="M1880" s="184"/>
      <c r="O1880" s="184"/>
      <c r="P1880" t="s">
        <v>7045</v>
      </c>
      <c r="Q1880" t="s">
        <v>7194</v>
      </c>
      <c r="R1880" s="184">
        <v>18870</v>
      </c>
      <c r="S1880">
        <v>72</v>
      </c>
      <c r="U1880" t="s">
        <v>7031</v>
      </c>
      <c r="V1880" t="s">
        <v>3254</v>
      </c>
      <c r="X1880" t="s">
        <v>17671</v>
      </c>
      <c r="Z1880">
        <v>20814521</v>
      </c>
      <c r="AA1880" t="s">
        <v>7130</v>
      </c>
      <c r="AB1880" t="s">
        <v>17670</v>
      </c>
      <c r="AC1880" t="s">
        <v>4382</v>
      </c>
      <c r="AD1880" t="s">
        <v>17671</v>
      </c>
      <c r="AF1880" t="s">
        <v>17672</v>
      </c>
      <c r="AG1880" t="s">
        <v>17673</v>
      </c>
      <c r="AI1880" t="s">
        <v>17674</v>
      </c>
      <c r="AM1880" t="s">
        <v>17675</v>
      </c>
      <c r="AN1880" t="s">
        <v>2046</v>
      </c>
      <c r="AO1880" t="s">
        <v>17676</v>
      </c>
      <c r="AP1880" t="s">
        <v>7024</v>
      </c>
      <c r="AT1880" s="184"/>
      <c r="AW1880" s="184"/>
      <c r="AZ1880" s="184"/>
      <c r="BP1880" s="184"/>
    </row>
    <row r="1881" spans="1:68">
      <c r="A1881">
        <v>20826541</v>
      </c>
      <c r="B1881">
        <v>20826541</v>
      </c>
      <c r="C1881" t="s">
        <v>7018</v>
      </c>
      <c r="D1881" t="s">
        <v>595</v>
      </c>
      <c r="E1881" s="184">
        <v>45106</v>
      </c>
      <c r="G1881" s="184"/>
      <c r="I1881" s="184"/>
      <c r="K1881" s="184"/>
      <c r="M1881" s="184"/>
      <c r="O1881" s="184"/>
      <c r="P1881" t="s">
        <v>7045</v>
      </c>
      <c r="Q1881" t="s">
        <v>7383</v>
      </c>
      <c r="R1881" s="184">
        <v>19146</v>
      </c>
      <c r="S1881">
        <v>71</v>
      </c>
      <c r="V1881" t="s">
        <v>4926</v>
      </c>
      <c r="X1881" t="s">
        <v>17681</v>
      </c>
      <c r="Y1881" t="s">
        <v>15117</v>
      </c>
      <c r="AF1881" t="s">
        <v>17682</v>
      </c>
      <c r="AG1881" t="s">
        <v>4926</v>
      </c>
      <c r="AI1881" t="s">
        <v>17683</v>
      </c>
      <c r="AM1881" t="s">
        <v>3357</v>
      </c>
      <c r="AN1881" t="s">
        <v>2185</v>
      </c>
      <c r="AO1881" t="s">
        <v>17684</v>
      </c>
      <c r="AP1881" t="s">
        <v>7024</v>
      </c>
      <c r="AQ1881" t="s">
        <v>17685</v>
      </c>
      <c r="AT1881" s="184">
        <v>35121</v>
      </c>
      <c r="AU1881" t="s">
        <v>17686</v>
      </c>
      <c r="AV1881">
        <v>15</v>
      </c>
      <c r="AW1881" s="184">
        <v>44680</v>
      </c>
      <c r="AX1881" t="s">
        <v>17687</v>
      </c>
      <c r="AY1881">
        <v>25</v>
      </c>
      <c r="AZ1881" s="184">
        <v>44680</v>
      </c>
      <c r="BA1881" t="s">
        <v>17687</v>
      </c>
      <c r="BB1881">
        <v>25</v>
      </c>
      <c r="BC1881">
        <v>21</v>
      </c>
      <c r="BD1881">
        <v>170</v>
      </c>
      <c r="BE1881">
        <v>1996</v>
      </c>
      <c r="BF1881">
        <v>9</v>
      </c>
      <c r="BG1881">
        <v>1</v>
      </c>
      <c r="BH1881">
        <v>25</v>
      </c>
      <c r="BI1881">
        <v>6</v>
      </c>
      <c r="BJ1881">
        <v>29</v>
      </c>
      <c r="BK1881">
        <v>5</v>
      </c>
      <c r="BP1881" s="184"/>
    </row>
    <row r="1882" spans="1:68">
      <c r="A1882">
        <v>20896676</v>
      </c>
      <c r="B1882">
        <v>20896676</v>
      </c>
      <c r="C1882" t="s">
        <v>7018</v>
      </c>
      <c r="D1882" t="s">
        <v>595</v>
      </c>
      <c r="E1882" s="184">
        <v>44073</v>
      </c>
      <c r="G1882" s="184"/>
      <c r="I1882" s="184"/>
      <c r="K1882" s="184"/>
      <c r="M1882" s="184"/>
      <c r="O1882" s="184"/>
      <c r="P1882" t="s">
        <v>7045</v>
      </c>
      <c r="Q1882" t="s">
        <v>7383</v>
      </c>
      <c r="R1882" s="184">
        <v>19541</v>
      </c>
      <c r="S1882">
        <v>70</v>
      </c>
      <c r="U1882" t="s">
        <v>7031</v>
      </c>
      <c r="V1882" t="s">
        <v>2687</v>
      </c>
      <c r="X1882" t="s">
        <v>17688</v>
      </c>
      <c r="Z1882">
        <v>100057953</v>
      </c>
      <c r="AB1882" t="s">
        <v>2733</v>
      </c>
      <c r="AD1882" t="s">
        <v>17688</v>
      </c>
      <c r="AF1882" t="s">
        <v>17689</v>
      </c>
      <c r="AG1882" t="s">
        <v>17690</v>
      </c>
      <c r="AI1882" t="s">
        <v>17691</v>
      </c>
      <c r="AM1882" t="s">
        <v>15826</v>
      </c>
      <c r="AN1882" t="s">
        <v>2313</v>
      </c>
      <c r="AO1882" t="s">
        <v>17692</v>
      </c>
      <c r="AP1882" t="s">
        <v>7024</v>
      </c>
      <c r="AQ1882" t="s">
        <v>17693</v>
      </c>
      <c r="AR1882" t="s">
        <v>17694</v>
      </c>
      <c r="AT1882" s="184">
        <v>35130</v>
      </c>
      <c r="AU1882" t="s">
        <v>17695</v>
      </c>
      <c r="AV1882">
        <v>20</v>
      </c>
      <c r="AW1882" s="184">
        <v>45369</v>
      </c>
      <c r="AX1882" t="s">
        <v>9559</v>
      </c>
      <c r="AY1882">
        <v>100</v>
      </c>
      <c r="AZ1882" s="184">
        <v>37264</v>
      </c>
      <c r="BA1882" t="s">
        <v>17696</v>
      </c>
      <c r="BB1882">
        <v>250</v>
      </c>
      <c r="BC1882">
        <v>94</v>
      </c>
      <c r="BD1882">
        <v>4345</v>
      </c>
      <c r="BE1882">
        <v>1996</v>
      </c>
      <c r="BF1882">
        <v>58</v>
      </c>
      <c r="BG1882">
        <v>3</v>
      </c>
      <c r="BH1882">
        <v>250</v>
      </c>
      <c r="BI1882">
        <v>27</v>
      </c>
      <c r="BJ1882">
        <v>29</v>
      </c>
      <c r="BK1882">
        <v>21</v>
      </c>
      <c r="BP1882" s="184"/>
    </row>
    <row r="1883" spans="1:68">
      <c r="A1883">
        <v>100057953</v>
      </c>
      <c r="B1883">
        <v>20896676</v>
      </c>
      <c r="C1883" t="s">
        <v>7018</v>
      </c>
      <c r="D1883" t="s">
        <v>595</v>
      </c>
      <c r="E1883" s="184">
        <v>44073</v>
      </c>
      <c r="G1883" s="184"/>
      <c r="I1883" s="184"/>
      <c r="K1883" s="184"/>
      <c r="M1883" s="184"/>
      <c r="O1883" s="184"/>
      <c r="P1883" t="s">
        <v>7045</v>
      </c>
      <c r="Q1883" t="s">
        <v>7383</v>
      </c>
      <c r="R1883" s="184">
        <v>19480</v>
      </c>
      <c r="S1883">
        <v>71</v>
      </c>
      <c r="V1883" t="s">
        <v>2733</v>
      </c>
      <c r="X1883" t="s">
        <v>17688</v>
      </c>
      <c r="Z1883">
        <v>20896676</v>
      </c>
      <c r="AA1883" t="s">
        <v>7031</v>
      </c>
      <c r="AB1883" t="s">
        <v>2687</v>
      </c>
      <c r="AD1883" t="s">
        <v>17688</v>
      </c>
      <c r="AF1883" t="s">
        <v>17689</v>
      </c>
      <c r="AG1883" t="s">
        <v>17690</v>
      </c>
      <c r="AI1883" t="s">
        <v>17691</v>
      </c>
      <c r="AM1883" t="s">
        <v>15826</v>
      </c>
      <c r="AN1883" t="s">
        <v>2313</v>
      </c>
      <c r="AO1883" t="s">
        <v>17692</v>
      </c>
      <c r="AP1883" t="s">
        <v>7024</v>
      </c>
      <c r="AQ1883" t="s">
        <v>17694</v>
      </c>
      <c r="AT1883" s="184"/>
      <c r="AW1883" s="184"/>
      <c r="AZ1883" s="184"/>
      <c r="BP1883" s="184"/>
    </row>
    <row r="1884" spans="1:68">
      <c r="A1884">
        <v>20898391</v>
      </c>
      <c r="B1884">
        <v>20898391</v>
      </c>
      <c r="C1884" t="s">
        <v>7018</v>
      </c>
      <c r="D1884" t="s">
        <v>595</v>
      </c>
      <c r="E1884" s="184">
        <v>44167</v>
      </c>
      <c r="G1884" s="184"/>
      <c r="I1884" s="184"/>
      <c r="K1884" s="184"/>
      <c r="M1884" s="184"/>
      <c r="O1884" s="184"/>
      <c r="P1884" t="s">
        <v>7045</v>
      </c>
      <c r="Q1884" t="s">
        <v>7030</v>
      </c>
      <c r="R1884" s="184">
        <v>18264</v>
      </c>
      <c r="S1884">
        <v>74</v>
      </c>
      <c r="U1884" t="s">
        <v>7031</v>
      </c>
      <c r="V1884" t="s">
        <v>2518</v>
      </c>
      <c r="X1884" t="s">
        <v>17697</v>
      </c>
      <c r="AF1884" t="s">
        <v>17698</v>
      </c>
      <c r="AG1884" t="s">
        <v>2518</v>
      </c>
      <c r="AI1884" t="s">
        <v>17699</v>
      </c>
      <c r="AM1884" t="s">
        <v>4344</v>
      </c>
      <c r="AN1884" t="s">
        <v>2089</v>
      </c>
      <c r="AO1884" t="s">
        <v>17700</v>
      </c>
      <c r="AP1884" t="s">
        <v>7024</v>
      </c>
      <c r="AT1884" s="184">
        <v>35130</v>
      </c>
      <c r="AU1884" t="s">
        <v>17701</v>
      </c>
      <c r="AV1884">
        <v>15</v>
      </c>
      <c r="AW1884" s="184">
        <v>45113</v>
      </c>
      <c r="AX1884" t="s">
        <v>17702</v>
      </c>
      <c r="AY1884">
        <v>15</v>
      </c>
      <c r="AZ1884" s="184">
        <v>45113</v>
      </c>
      <c r="BA1884" t="s">
        <v>17702</v>
      </c>
      <c r="BB1884">
        <v>15</v>
      </c>
      <c r="BC1884">
        <v>38</v>
      </c>
      <c r="BD1884">
        <v>140</v>
      </c>
      <c r="BE1884">
        <v>1996</v>
      </c>
      <c r="BF1884">
        <v>11</v>
      </c>
      <c r="BG1884">
        <v>1</v>
      </c>
      <c r="BH1884">
        <v>15</v>
      </c>
      <c r="BI1884">
        <v>11</v>
      </c>
      <c r="BJ1884">
        <v>29</v>
      </c>
      <c r="BK1884">
        <v>4</v>
      </c>
      <c r="BP1884" s="184"/>
    </row>
    <row r="1885" spans="1:68">
      <c r="A1885">
        <v>20909529</v>
      </c>
      <c r="B1885">
        <v>20909529</v>
      </c>
      <c r="C1885" t="s">
        <v>7018</v>
      </c>
      <c r="E1885" s="184"/>
      <c r="G1885" s="184"/>
      <c r="I1885" s="184"/>
      <c r="J1885" t="s">
        <v>595</v>
      </c>
      <c r="K1885" s="184">
        <v>43641</v>
      </c>
      <c r="M1885" s="184"/>
      <c r="O1885" s="184"/>
      <c r="P1885" t="s">
        <v>7045</v>
      </c>
      <c r="Q1885" t="s">
        <v>7383</v>
      </c>
      <c r="R1885" s="184">
        <v>16970</v>
      </c>
      <c r="S1885">
        <v>77</v>
      </c>
      <c r="U1885" t="s">
        <v>7076</v>
      </c>
      <c r="V1885" t="s">
        <v>3131</v>
      </c>
      <c r="W1885" t="s">
        <v>3237</v>
      </c>
      <c r="X1885" t="s">
        <v>3132</v>
      </c>
      <c r="AF1885" t="s">
        <v>6520</v>
      </c>
      <c r="AG1885" t="s">
        <v>3131</v>
      </c>
      <c r="AI1885" t="s">
        <v>17703</v>
      </c>
      <c r="AM1885" t="s">
        <v>3133</v>
      </c>
      <c r="AN1885" t="s">
        <v>2313</v>
      </c>
      <c r="AO1885" t="s">
        <v>17704</v>
      </c>
      <c r="AP1885" t="s">
        <v>7024</v>
      </c>
      <c r="AQ1885" t="s">
        <v>17705</v>
      </c>
      <c r="AR1885" t="s">
        <v>17706</v>
      </c>
      <c r="AT1885" s="184">
        <v>35129</v>
      </c>
      <c r="AU1885" t="s">
        <v>17707</v>
      </c>
      <c r="AV1885">
        <v>20</v>
      </c>
      <c r="AW1885" s="184">
        <v>44742</v>
      </c>
      <c r="AX1885" t="s">
        <v>14705</v>
      </c>
      <c r="AY1885">
        <v>25</v>
      </c>
      <c r="AZ1885" s="184">
        <v>41803</v>
      </c>
      <c r="BA1885" t="s">
        <v>17708</v>
      </c>
      <c r="BB1885">
        <v>50</v>
      </c>
      <c r="BC1885">
        <v>90</v>
      </c>
      <c r="BD1885">
        <v>787</v>
      </c>
      <c r="BE1885">
        <v>1996</v>
      </c>
      <c r="BF1885">
        <v>31</v>
      </c>
      <c r="BG1885">
        <v>1</v>
      </c>
      <c r="BH1885">
        <v>25</v>
      </c>
      <c r="BI1885">
        <v>26</v>
      </c>
      <c r="BJ1885">
        <v>29</v>
      </c>
      <c r="BK1885">
        <v>19</v>
      </c>
      <c r="BP1885" s="184"/>
    </row>
    <row r="1886" spans="1:68">
      <c r="A1886">
        <v>20922878</v>
      </c>
      <c r="B1886">
        <v>20922878</v>
      </c>
      <c r="C1886" t="s">
        <v>7018</v>
      </c>
      <c r="D1886" t="s">
        <v>595</v>
      </c>
      <c r="E1886" s="184">
        <v>45140</v>
      </c>
      <c r="G1886" s="184"/>
      <c r="I1886" s="184"/>
      <c r="K1886" s="184"/>
      <c r="O1886" s="184"/>
      <c r="P1886" t="s">
        <v>7045</v>
      </c>
      <c r="Q1886" t="s">
        <v>7383</v>
      </c>
      <c r="R1886" s="184">
        <v>21961</v>
      </c>
      <c r="S1886">
        <v>64</v>
      </c>
      <c r="V1886" t="s">
        <v>10325</v>
      </c>
      <c r="X1886" t="s">
        <v>17709</v>
      </c>
      <c r="Z1886">
        <v>100058036</v>
      </c>
      <c r="AB1886" t="s">
        <v>4210</v>
      </c>
      <c r="AC1886" t="s">
        <v>7246</v>
      </c>
      <c r="AD1886" t="s">
        <v>17709</v>
      </c>
      <c r="AF1886" t="s">
        <v>17710</v>
      </c>
      <c r="AG1886" t="s">
        <v>17711</v>
      </c>
      <c r="AI1886" t="s">
        <v>17712</v>
      </c>
      <c r="AM1886" t="s">
        <v>17713</v>
      </c>
      <c r="AN1886" t="s">
        <v>2185</v>
      </c>
      <c r="AO1886" t="s">
        <v>17714</v>
      </c>
      <c r="AP1886" t="s">
        <v>7024</v>
      </c>
      <c r="AQ1886" t="s">
        <v>17715</v>
      </c>
      <c r="AT1886" s="184">
        <v>35111</v>
      </c>
      <c r="AU1886" t="s">
        <v>17716</v>
      </c>
      <c r="AV1886">
        <v>25</v>
      </c>
      <c r="AW1886" s="184">
        <v>45098</v>
      </c>
      <c r="AX1886" t="s">
        <v>17717</v>
      </c>
      <c r="AY1886">
        <v>25</v>
      </c>
      <c r="AZ1886" s="184">
        <v>44455</v>
      </c>
      <c r="BA1886" t="s">
        <v>17718</v>
      </c>
      <c r="BB1886">
        <v>100</v>
      </c>
      <c r="BC1886">
        <v>28</v>
      </c>
      <c r="BD1886">
        <v>500</v>
      </c>
      <c r="BE1886">
        <v>1996</v>
      </c>
      <c r="BF1886">
        <v>13</v>
      </c>
      <c r="BG1886">
        <v>2</v>
      </c>
      <c r="BH1886">
        <v>50</v>
      </c>
      <c r="BI1886">
        <v>8</v>
      </c>
      <c r="BJ1886">
        <v>29</v>
      </c>
      <c r="BK1886">
        <v>4</v>
      </c>
      <c r="BP1886" s="184"/>
    </row>
    <row r="1887" spans="1:68">
      <c r="A1887">
        <v>100058036</v>
      </c>
      <c r="B1887">
        <v>20922878</v>
      </c>
      <c r="C1887" t="s">
        <v>7018</v>
      </c>
      <c r="D1887" t="s">
        <v>595</v>
      </c>
      <c r="E1887" s="184">
        <v>45140</v>
      </c>
      <c r="G1887" s="184"/>
      <c r="I1887" s="184"/>
      <c r="K1887" s="184"/>
      <c r="M1887" s="184"/>
      <c r="O1887" s="184"/>
      <c r="P1887" t="s">
        <v>7045</v>
      </c>
      <c r="Q1887" t="s">
        <v>7383</v>
      </c>
      <c r="R1887" s="184">
        <v>19360</v>
      </c>
      <c r="S1887">
        <v>71</v>
      </c>
      <c r="V1887" t="s">
        <v>4210</v>
      </c>
      <c r="W1887" t="s">
        <v>7246</v>
      </c>
      <c r="X1887" t="s">
        <v>17709</v>
      </c>
      <c r="Z1887">
        <v>20922878</v>
      </c>
      <c r="AB1887" t="s">
        <v>10325</v>
      </c>
      <c r="AD1887" t="s">
        <v>17709</v>
      </c>
      <c r="AF1887" t="s">
        <v>17710</v>
      </c>
      <c r="AG1887" t="s">
        <v>17711</v>
      </c>
      <c r="AI1887" t="s">
        <v>17712</v>
      </c>
      <c r="AM1887" t="s">
        <v>17713</v>
      </c>
      <c r="AN1887" t="s">
        <v>2185</v>
      </c>
      <c r="AO1887" t="s">
        <v>17714</v>
      </c>
      <c r="AP1887" t="s">
        <v>7024</v>
      </c>
      <c r="AT1887" s="184"/>
      <c r="AW1887" s="184"/>
      <c r="AZ1887" s="184"/>
      <c r="BP1887" s="184"/>
    </row>
    <row r="1888" spans="1:68">
      <c r="A1888">
        <v>20934857</v>
      </c>
      <c r="B1888">
        <v>20934857</v>
      </c>
      <c r="C1888" t="s">
        <v>7018</v>
      </c>
      <c r="D1888" t="s">
        <v>595</v>
      </c>
      <c r="E1888" s="184">
        <v>45180</v>
      </c>
      <c r="G1888" s="184"/>
      <c r="I1888" s="184"/>
      <c r="K1888" s="184"/>
      <c r="O1888" s="184"/>
      <c r="P1888" t="s">
        <v>7045</v>
      </c>
      <c r="Q1888" t="s">
        <v>7030</v>
      </c>
      <c r="R1888" s="184">
        <v>13181</v>
      </c>
      <c r="S1888">
        <v>88</v>
      </c>
      <c r="U1888" t="s">
        <v>7130</v>
      </c>
      <c r="V1888" t="s">
        <v>3463</v>
      </c>
      <c r="W1888" t="s">
        <v>7396</v>
      </c>
      <c r="X1888" t="s">
        <v>17719</v>
      </c>
      <c r="AF1888" t="s">
        <v>17720</v>
      </c>
      <c r="AG1888" t="s">
        <v>3463</v>
      </c>
      <c r="AI1888" t="s">
        <v>17721</v>
      </c>
      <c r="AM1888" t="s">
        <v>3662</v>
      </c>
      <c r="AN1888" t="s">
        <v>2094</v>
      </c>
      <c r="AO1888" t="s">
        <v>17722</v>
      </c>
      <c r="AP1888" t="s">
        <v>7024</v>
      </c>
      <c r="AQ1888" t="s">
        <v>17723</v>
      </c>
      <c r="AT1888" s="184">
        <v>35146</v>
      </c>
      <c r="AU1888" t="s">
        <v>17624</v>
      </c>
      <c r="AV1888">
        <v>19.95</v>
      </c>
      <c r="AW1888" s="184">
        <v>45154</v>
      </c>
      <c r="AX1888" t="s">
        <v>11151</v>
      </c>
      <c r="AY1888">
        <v>25</v>
      </c>
      <c r="AZ1888" s="184">
        <v>40969</v>
      </c>
      <c r="BA1888" t="s">
        <v>10993</v>
      </c>
      <c r="BB1888">
        <v>35</v>
      </c>
      <c r="BC1888">
        <v>83</v>
      </c>
      <c r="BD1888">
        <v>1069.95</v>
      </c>
      <c r="BE1888">
        <v>1996</v>
      </c>
      <c r="BF1888">
        <v>37</v>
      </c>
      <c r="BG1888">
        <v>2</v>
      </c>
      <c r="BH1888">
        <v>50</v>
      </c>
      <c r="BI1888">
        <v>24</v>
      </c>
      <c r="BJ1888">
        <v>29</v>
      </c>
      <c r="BK1888">
        <v>16</v>
      </c>
      <c r="BP1888" s="184"/>
    </row>
    <row r="1889" spans="1:68">
      <c r="A1889">
        <v>20988333</v>
      </c>
      <c r="B1889">
        <v>20988333</v>
      </c>
      <c r="C1889" t="s">
        <v>7018</v>
      </c>
      <c r="D1889" t="s">
        <v>595</v>
      </c>
      <c r="E1889" s="184">
        <v>43647</v>
      </c>
      <c r="G1889" s="184"/>
      <c r="I1889" s="184"/>
      <c r="K1889" s="184"/>
      <c r="O1889" s="184"/>
      <c r="P1889" t="s">
        <v>7045</v>
      </c>
      <c r="Q1889" t="s">
        <v>7383</v>
      </c>
      <c r="R1889" s="184">
        <v>17448</v>
      </c>
      <c r="S1889">
        <v>76</v>
      </c>
      <c r="V1889" t="s">
        <v>2718</v>
      </c>
      <c r="W1889" t="s">
        <v>4152</v>
      </c>
      <c r="X1889" t="s">
        <v>3530</v>
      </c>
      <c r="Z1889">
        <v>100058140</v>
      </c>
      <c r="AB1889" t="s">
        <v>205</v>
      </c>
      <c r="AD1889" t="s">
        <v>17724</v>
      </c>
      <c r="AF1889" t="s">
        <v>17725</v>
      </c>
      <c r="AG1889" t="s">
        <v>9955</v>
      </c>
      <c r="AI1889" t="s">
        <v>17726</v>
      </c>
      <c r="AM1889" t="s">
        <v>2888</v>
      </c>
      <c r="AN1889" t="s">
        <v>2274</v>
      </c>
      <c r="AO1889" t="s">
        <v>17727</v>
      </c>
      <c r="AP1889" t="s">
        <v>7024</v>
      </c>
      <c r="AQ1889" t="s">
        <v>17728</v>
      </c>
      <c r="AT1889" s="184">
        <v>35137</v>
      </c>
      <c r="AU1889" t="s">
        <v>17729</v>
      </c>
      <c r="AV1889">
        <v>15</v>
      </c>
      <c r="AW1889" s="184">
        <v>45194</v>
      </c>
      <c r="AX1889" t="s">
        <v>13579</v>
      </c>
      <c r="AY1889">
        <v>50</v>
      </c>
      <c r="AZ1889" s="184">
        <v>44462</v>
      </c>
      <c r="BA1889" t="s">
        <v>17730</v>
      </c>
      <c r="BB1889">
        <v>150</v>
      </c>
      <c r="BC1889">
        <v>73</v>
      </c>
      <c r="BD1889">
        <v>1647</v>
      </c>
      <c r="BE1889">
        <v>1996</v>
      </c>
      <c r="BF1889">
        <v>29</v>
      </c>
      <c r="BG1889">
        <v>2</v>
      </c>
      <c r="BH1889">
        <v>100</v>
      </c>
      <c r="BI1889">
        <v>21</v>
      </c>
      <c r="BJ1889">
        <v>29</v>
      </c>
      <c r="BK1889">
        <v>6</v>
      </c>
      <c r="BP1889" s="184"/>
    </row>
    <row r="1890" spans="1:68">
      <c r="A1890">
        <v>100058140</v>
      </c>
      <c r="B1890">
        <v>20988333</v>
      </c>
      <c r="C1890" t="s">
        <v>7018</v>
      </c>
      <c r="D1890" t="s">
        <v>595</v>
      </c>
      <c r="E1890" s="184">
        <v>43647</v>
      </c>
      <c r="G1890" s="184"/>
      <c r="I1890" s="184"/>
      <c r="K1890" s="184"/>
      <c r="O1890" s="184"/>
      <c r="P1890" t="s">
        <v>7045</v>
      </c>
      <c r="Q1890" t="s">
        <v>7383</v>
      </c>
      <c r="R1890" s="184">
        <v>15762</v>
      </c>
      <c r="S1890">
        <v>81</v>
      </c>
      <c r="V1890" t="s">
        <v>205</v>
      </c>
      <c r="X1890" t="s">
        <v>17724</v>
      </c>
      <c r="Z1890">
        <v>20988333</v>
      </c>
      <c r="AB1890" t="s">
        <v>2718</v>
      </c>
      <c r="AC1890" t="s">
        <v>4152</v>
      </c>
      <c r="AD1890" t="s">
        <v>3530</v>
      </c>
      <c r="AF1890" t="s">
        <v>17725</v>
      </c>
      <c r="AG1890" t="s">
        <v>9955</v>
      </c>
      <c r="AI1890" t="s">
        <v>17726</v>
      </c>
      <c r="AM1890" t="s">
        <v>2888</v>
      </c>
      <c r="AN1890" t="s">
        <v>2274</v>
      </c>
      <c r="AO1890" t="s">
        <v>17727</v>
      </c>
      <c r="AP1890" t="s">
        <v>7024</v>
      </c>
      <c r="AQ1890" t="s">
        <v>17731</v>
      </c>
      <c r="AT1890" s="184"/>
      <c r="AW1890" s="184"/>
      <c r="AZ1890" s="184"/>
      <c r="BP1890" s="184"/>
    </row>
    <row r="1891" spans="1:68">
      <c r="A1891">
        <v>21013305</v>
      </c>
      <c r="B1891">
        <v>21013305</v>
      </c>
      <c r="C1891" t="s">
        <v>7018</v>
      </c>
      <c r="E1891" s="184"/>
      <c r="F1891" t="s">
        <v>595</v>
      </c>
      <c r="G1891" s="184">
        <v>44046</v>
      </c>
      <c r="I1891" s="184"/>
      <c r="K1891" s="184"/>
      <c r="P1891" t="s">
        <v>7045</v>
      </c>
      <c r="Q1891" t="s">
        <v>7383</v>
      </c>
      <c r="R1891" s="184">
        <v>19511</v>
      </c>
      <c r="S1891">
        <v>70</v>
      </c>
      <c r="U1891" t="s">
        <v>7076</v>
      </c>
      <c r="V1891" t="s">
        <v>2969</v>
      </c>
      <c r="W1891" t="s">
        <v>4382</v>
      </c>
      <c r="X1891" t="s">
        <v>17732</v>
      </c>
      <c r="AF1891" t="s">
        <v>17733</v>
      </c>
      <c r="AG1891" t="s">
        <v>2969</v>
      </c>
      <c r="AI1891" t="s">
        <v>17734</v>
      </c>
      <c r="AM1891" t="s">
        <v>17735</v>
      </c>
      <c r="AN1891" t="s">
        <v>2144</v>
      </c>
      <c r="AO1891" t="s">
        <v>17736</v>
      </c>
      <c r="AP1891" t="s">
        <v>7024</v>
      </c>
      <c r="AQ1891" t="s">
        <v>17737</v>
      </c>
      <c r="AR1891" t="s">
        <v>17738</v>
      </c>
      <c r="AT1891" s="184">
        <v>35143</v>
      </c>
      <c r="AU1891" t="s">
        <v>17739</v>
      </c>
      <c r="AV1891">
        <v>25</v>
      </c>
      <c r="AW1891" s="184">
        <v>45296</v>
      </c>
      <c r="AX1891" t="s">
        <v>10208</v>
      </c>
      <c r="AY1891">
        <v>150</v>
      </c>
      <c r="AZ1891" s="184">
        <v>45296</v>
      </c>
      <c r="BA1891" t="s">
        <v>10208</v>
      </c>
      <c r="BB1891">
        <v>150</v>
      </c>
      <c r="BC1891">
        <v>94</v>
      </c>
      <c r="BD1891">
        <v>3025</v>
      </c>
      <c r="BE1891">
        <v>1996</v>
      </c>
      <c r="BF1891">
        <v>35</v>
      </c>
      <c r="BG1891">
        <v>2</v>
      </c>
      <c r="BH1891">
        <v>250</v>
      </c>
      <c r="BI1891">
        <v>27</v>
      </c>
      <c r="BJ1891">
        <v>29</v>
      </c>
      <c r="BK1891">
        <v>24</v>
      </c>
      <c r="BP1891" s="184"/>
    </row>
    <row r="1892" spans="1:68">
      <c r="A1892">
        <v>21039169</v>
      </c>
      <c r="B1892">
        <v>21039169</v>
      </c>
      <c r="C1892" t="s">
        <v>7018</v>
      </c>
      <c r="E1892" s="184"/>
      <c r="F1892" t="s">
        <v>595</v>
      </c>
      <c r="G1892" s="184">
        <v>43731</v>
      </c>
      <c r="I1892" s="184"/>
      <c r="K1892" s="184"/>
      <c r="O1892" s="184"/>
      <c r="P1892" t="s">
        <v>7045</v>
      </c>
      <c r="Q1892" t="s">
        <v>7774</v>
      </c>
      <c r="R1892" s="184">
        <v>16173</v>
      </c>
      <c r="S1892">
        <v>80</v>
      </c>
      <c r="U1892" t="s">
        <v>7031</v>
      </c>
      <c r="V1892" t="s">
        <v>3103</v>
      </c>
      <c r="X1892" t="s">
        <v>3962</v>
      </c>
      <c r="AF1892" t="s">
        <v>17740</v>
      </c>
      <c r="AG1892" t="s">
        <v>3103</v>
      </c>
      <c r="AI1892" t="s">
        <v>17741</v>
      </c>
      <c r="AM1892" t="s">
        <v>17742</v>
      </c>
      <c r="AN1892" t="s">
        <v>2290</v>
      </c>
      <c r="AO1892" t="s">
        <v>17743</v>
      </c>
      <c r="AP1892" t="s">
        <v>7024</v>
      </c>
      <c r="AQ1892" t="s">
        <v>17744</v>
      </c>
      <c r="AT1892" s="184">
        <v>35146</v>
      </c>
      <c r="AU1892" t="s">
        <v>17739</v>
      </c>
      <c r="AV1892">
        <v>15</v>
      </c>
      <c r="AW1892" s="184">
        <v>44649</v>
      </c>
      <c r="AX1892" t="s">
        <v>17745</v>
      </c>
      <c r="AY1892">
        <v>25</v>
      </c>
      <c r="AZ1892" s="184">
        <v>44453</v>
      </c>
      <c r="BA1892" t="s">
        <v>17746</v>
      </c>
      <c r="BB1892">
        <v>35</v>
      </c>
      <c r="BC1892">
        <v>49</v>
      </c>
      <c r="BD1892">
        <v>365</v>
      </c>
      <c r="BE1892">
        <v>1996</v>
      </c>
      <c r="BF1892">
        <v>15</v>
      </c>
      <c r="BI1892">
        <v>14</v>
      </c>
      <c r="BJ1892">
        <v>29</v>
      </c>
      <c r="BK1892">
        <v>13</v>
      </c>
      <c r="BP1892" s="184"/>
    </row>
    <row r="1893" spans="1:68">
      <c r="A1893">
        <v>21040134</v>
      </c>
      <c r="B1893">
        <v>21040134</v>
      </c>
      <c r="C1893" t="s">
        <v>7018</v>
      </c>
      <c r="E1893" s="184"/>
      <c r="G1893" s="184"/>
      <c r="I1893" s="184"/>
      <c r="J1893" t="s">
        <v>595</v>
      </c>
      <c r="K1893" s="184">
        <v>43649</v>
      </c>
      <c r="M1893" s="184"/>
      <c r="O1893" s="184"/>
      <c r="P1893" t="s">
        <v>7029</v>
      </c>
      <c r="Q1893" t="s">
        <v>7262</v>
      </c>
      <c r="R1893" s="184">
        <v>21398</v>
      </c>
      <c r="S1893">
        <v>65</v>
      </c>
      <c r="U1893" t="s">
        <v>7031</v>
      </c>
      <c r="V1893" t="s">
        <v>3603</v>
      </c>
      <c r="W1893" t="s">
        <v>4382</v>
      </c>
      <c r="X1893" t="s">
        <v>3604</v>
      </c>
      <c r="AF1893" t="s">
        <v>6078</v>
      </c>
      <c r="AG1893" t="s">
        <v>3603</v>
      </c>
      <c r="AI1893" t="s">
        <v>17747</v>
      </c>
      <c r="AM1893" t="s">
        <v>2679</v>
      </c>
      <c r="AN1893" t="s">
        <v>2318</v>
      </c>
      <c r="AO1893" t="s">
        <v>17748</v>
      </c>
      <c r="AP1893" t="s">
        <v>7024</v>
      </c>
      <c r="AQ1893" t="s">
        <v>17749</v>
      </c>
      <c r="AR1893" t="s">
        <v>17750</v>
      </c>
      <c r="AT1893" s="184">
        <v>35149</v>
      </c>
      <c r="AU1893" t="s">
        <v>17751</v>
      </c>
      <c r="AV1893">
        <v>25</v>
      </c>
      <c r="AW1893" s="184">
        <v>45362</v>
      </c>
      <c r="AX1893" t="s">
        <v>7382</v>
      </c>
      <c r="AY1893">
        <v>1000</v>
      </c>
      <c r="AZ1893" s="184">
        <v>45362</v>
      </c>
      <c r="BA1893" t="s">
        <v>7382</v>
      </c>
      <c r="BB1893">
        <v>1000</v>
      </c>
      <c r="BC1893">
        <v>94</v>
      </c>
      <c r="BD1893">
        <v>12705</v>
      </c>
      <c r="BE1893">
        <v>1996</v>
      </c>
      <c r="BF1893">
        <v>73</v>
      </c>
      <c r="BG1893">
        <v>6</v>
      </c>
      <c r="BH1893">
        <v>4500</v>
      </c>
      <c r="BI1893">
        <v>27</v>
      </c>
      <c r="BJ1893">
        <v>29</v>
      </c>
      <c r="BK1893">
        <v>24</v>
      </c>
      <c r="BP1893" s="184"/>
    </row>
    <row r="1894" spans="1:68">
      <c r="A1894">
        <v>21047857</v>
      </c>
      <c r="B1894">
        <v>21047857</v>
      </c>
      <c r="C1894" t="s">
        <v>7018</v>
      </c>
      <c r="E1894" s="184"/>
      <c r="G1894" s="184"/>
      <c r="I1894" s="184"/>
      <c r="J1894" t="s">
        <v>595</v>
      </c>
      <c r="K1894" s="184">
        <v>38128</v>
      </c>
      <c r="O1894" s="184"/>
      <c r="P1894" t="s">
        <v>7045</v>
      </c>
      <c r="Q1894" t="s">
        <v>7160</v>
      </c>
      <c r="R1894" s="184">
        <v>10959</v>
      </c>
      <c r="S1894">
        <v>94</v>
      </c>
      <c r="U1894" t="s">
        <v>7076</v>
      </c>
      <c r="V1894" t="s">
        <v>3468</v>
      </c>
      <c r="W1894" t="s">
        <v>7107</v>
      </c>
      <c r="X1894" t="s">
        <v>17752</v>
      </c>
      <c r="AF1894" t="s">
        <v>6634</v>
      </c>
      <c r="AG1894" t="s">
        <v>3468</v>
      </c>
      <c r="AI1894" t="s">
        <v>17753</v>
      </c>
      <c r="AM1894" t="s">
        <v>4966</v>
      </c>
      <c r="AN1894" t="s">
        <v>2395</v>
      </c>
      <c r="AO1894" t="s">
        <v>17754</v>
      </c>
      <c r="AP1894" t="s">
        <v>7024</v>
      </c>
      <c r="AT1894" s="184">
        <v>35149</v>
      </c>
      <c r="AU1894" t="s">
        <v>17755</v>
      </c>
      <c r="AV1894">
        <v>10</v>
      </c>
      <c r="AW1894" s="184">
        <v>38140</v>
      </c>
      <c r="AX1894" t="s">
        <v>17756</v>
      </c>
      <c r="AY1894">
        <v>10</v>
      </c>
      <c r="AZ1894" s="184">
        <v>36559</v>
      </c>
      <c r="BA1894" t="s">
        <v>17757</v>
      </c>
      <c r="BB1894">
        <v>15</v>
      </c>
      <c r="BC1894">
        <v>28</v>
      </c>
      <c r="BD1894">
        <v>318</v>
      </c>
      <c r="BE1894">
        <v>1996</v>
      </c>
      <c r="BF1894">
        <v>30</v>
      </c>
      <c r="BI1894">
        <v>8</v>
      </c>
      <c r="BJ1894">
        <v>29</v>
      </c>
      <c r="BK1894">
        <v>5</v>
      </c>
      <c r="BP1894" s="184"/>
    </row>
    <row r="1895" spans="1:68">
      <c r="A1895">
        <v>21099916</v>
      </c>
      <c r="B1895">
        <v>21099916</v>
      </c>
      <c r="C1895" t="s">
        <v>7018</v>
      </c>
      <c r="D1895" t="s">
        <v>595</v>
      </c>
      <c r="E1895" s="184">
        <v>43647</v>
      </c>
      <c r="G1895" s="184"/>
      <c r="I1895" s="184"/>
      <c r="K1895" s="184"/>
      <c r="P1895" t="s">
        <v>7045</v>
      </c>
      <c r="Q1895" t="s">
        <v>7383</v>
      </c>
      <c r="R1895" s="184">
        <v>14094</v>
      </c>
      <c r="S1895">
        <v>85</v>
      </c>
      <c r="U1895" t="s">
        <v>7076</v>
      </c>
      <c r="V1895" t="s">
        <v>3101</v>
      </c>
      <c r="X1895" t="s">
        <v>3531</v>
      </c>
      <c r="AF1895" t="s">
        <v>17758</v>
      </c>
      <c r="AG1895" t="s">
        <v>3101</v>
      </c>
      <c r="AI1895" t="s">
        <v>17759</v>
      </c>
      <c r="AM1895" t="s">
        <v>3532</v>
      </c>
      <c r="AN1895" t="s">
        <v>2072</v>
      </c>
      <c r="AO1895" t="s">
        <v>17760</v>
      </c>
      <c r="AP1895" t="s">
        <v>7024</v>
      </c>
      <c r="AT1895" s="184">
        <v>35153</v>
      </c>
      <c r="AU1895" t="s">
        <v>17761</v>
      </c>
      <c r="AV1895">
        <v>15</v>
      </c>
      <c r="AW1895" s="184">
        <v>44616</v>
      </c>
      <c r="AX1895" t="s">
        <v>17762</v>
      </c>
      <c r="AY1895">
        <v>15</v>
      </c>
      <c r="AZ1895" s="184">
        <v>41862</v>
      </c>
      <c r="BA1895" t="s">
        <v>17763</v>
      </c>
      <c r="BB1895">
        <v>25</v>
      </c>
      <c r="BC1895">
        <v>38</v>
      </c>
      <c r="BD1895">
        <v>213</v>
      </c>
      <c r="BE1895">
        <v>1996</v>
      </c>
      <c r="BF1895">
        <v>14</v>
      </c>
      <c r="BI1895">
        <v>11</v>
      </c>
      <c r="BJ1895">
        <v>29</v>
      </c>
      <c r="BK1895">
        <v>4</v>
      </c>
      <c r="BP1895" s="184"/>
    </row>
    <row r="1896" spans="1:68">
      <c r="A1896">
        <v>21121371</v>
      </c>
      <c r="B1896">
        <v>21121371</v>
      </c>
      <c r="C1896" t="s">
        <v>7018</v>
      </c>
      <c r="D1896" t="s">
        <v>595</v>
      </c>
      <c r="E1896" s="184">
        <v>44104</v>
      </c>
      <c r="G1896" s="184"/>
      <c r="I1896" s="184"/>
      <c r="K1896" s="184"/>
      <c r="M1896" s="184"/>
      <c r="O1896" s="184"/>
      <c r="P1896" t="s">
        <v>7045</v>
      </c>
      <c r="Q1896" t="s">
        <v>7160</v>
      </c>
      <c r="R1896" s="184">
        <v>19176</v>
      </c>
      <c r="S1896">
        <v>71</v>
      </c>
      <c r="U1896" t="s">
        <v>7130</v>
      </c>
      <c r="V1896" t="s">
        <v>2918</v>
      </c>
      <c r="W1896" t="s">
        <v>7384</v>
      </c>
      <c r="X1896" t="s">
        <v>17764</v>
      </c>
      <c r="Z1896">
        <v>100058463</v>
      </c>
      <c r="AA1896" t="s">
        <v>7031</v>
      </c>
      <c r="AB1896" t="s">
        <v>2551</v>
      </c>
      <c r="AD1896" t="s">
        <v>17764</v>
      </c>
      <c r="AF1896" t="s">
        <v>17765</v>
      </c>
      <c r="AG1896" t="s">
        <v>17766</v>
      </c>
      <c r="AI1896" t="s">
        <v>17767</v>
      </c>
      <c r="AM1896" t="s">
        <v>3837</v>
      </c>
      <c r="AN1896" t="s">
        <v>2413</v>
      </c>
      <c r="AO1896" t="s">
        <v>17768</v>
      </c>
      <c r="AP1896" t="s">
        <v>7024</v>
      </c>
      <c r="AQ1896" t="s">
        <v>17769</v>
      </c>
      <c r="AR1896" t="s">
        <v>17770</v>
      </c>
      <c r="AT1896" s="184">
        <v>35159</v>
      </c>
      <c r="AU1896" t="s">
        <v>17624</v>
      </c>
      <c r="AV1896">
        <v>19.95</v>
      </c>
      <c r="AW1896" s="184">
        <v>45400</v>
      </c>
      <c r="AX1896" t="s">
        <v>17771</v>
      </c>
      <c r="AY1896">
        <v>50</v>
      </c>
      <c r="AZ1896" s="184">
        <v>45400</v>
      </c>
      <c r="BA1896" t="s">
        <v>17771</v>
      </c>
      <c r="BB1896">
        <v>50</v>
      </c>
      <c r="BC1896">
        <v>63</v>
      </c>
      <c r="BD1896">
        <v>969.95</v>
      </c>
      <c r="BE1896">
        <v>1996</v>
      </c>
      <c r="BF1896">
        <v>30</v>
      </c>
      <c r="BG1896">
        <v>4</v>
      </c>
      <c r="BH1896">
        <v>150</v>
      </c>
      <c r="BI1896">
        <v>18</v>
      </c>
      <c r="BJ1896">
        <v>29</v>
      </c>
      <c r="BK1896">
        <v>15</v>
      </c>
      <c r="BP1896" s="184"/>
    </row>
    <row r="1897" spans="1:68">
      <c r="A1897">
        <v>100058463</v>
      </c>
      <c r="B1897">
        <v>21121371</v>
      </c>
      <c r="C1897" t="s">
        <v>7018</v>
      </c>
      <c r="D1897" t="s">
        <v>595</v>
      </c>
      <c r="E1897" s="184">
        <v>44104</v>
      </c>
      <c r="G1897" s="184"/>
      <c r="I1897" s="184"/>
      <c r="K1897" s="184"/>
      <c r="M1897" s="184"/>
      <c r="O1897" s="184"/>
      <c r="P1897" t="s">
        <v>7045</v>
      </c>
      <c r="Q1897" t="s">
        <v>7160</v>
      </c>
      <c r="R1897" s="184">
        <v>19603</v>
      </c>
      <c r="S1897">
        <v>70</v>
      </c>
      <c r="U1897" t="s">
        <v>7031</v>
      </c>
      <c r="V1897" t="s">
        <v>2551</v>
      </c>
      <c r="X1897" t="s">
        <v>17764</v>
      </c>
      <c r="Z1897">
        <v>21121371</v>
      </c>
      <c r="AA1897" t="s">
        <v>7130</v>
      </c>
      <c r="AB1897" t="s">
        <v>2918</v>
      </c>
      <c r="AC1897" t="s">
        <v>7384</v>
      </c>
      <c r="AD1897" t="s">
        <v>17764</v>
      </c>
      <c r="AF1897" t="s">
        <v>17765</v>
      </c>
      <c r="AG1897" t="s">
        <v>17766</v>
      </c>
      <c r="AI1897" t="s">
        <v>17767</v>
      </c>
      <c r="AM1897" t="s">
        <v>3837</v>
      </c>
      <c r="AN1897" t="s">
        <v>2413</v>
      </c>
      <c r="AO1897" t="s">
        <v>17768</v>
      </c>
      <c r="AP1897" t="s">
        <v>7024</v>
      </c>
      <c r="AT1897" s="184"/>
      <c r="AW1897" s="184"/>
      <c r="AZ1897" s="184"/>
      <c r="BP1897" s="184"/>
    </row>
    <row r="1898" spans="1:68">
      <c r="A1898">
        <v>21160049</v>
      </c>
      <c r="B1898">
        <v>21160049</v>
      </c>
      <c r="C1898" t="s">
        <v>7018</v>
      </c>
      <c r="E1898" s="184"/>
      <c r="G1898" s="184"/>
      <c r="I1898" s="184"/>
      <c r="J1898" t="s">
        <v>595</v>
      </c>
      <c r="K1898" s="184">
        <v>44104</v>
      </c>
      <c r="O1898" s="184"/>
      <c r="P1898" t="s">
        <v>7045</v>
      </c>
      <c r="Q1898" t="s">
        <v>7160</v>
      </c>
      <c r="R1898" s="184">
        <v>21881</v>
      </c>
      <c r="S1898">
        <v>64</v>
      </c>
      <c r="U1898" t="s">
        <v>7031</v>
      </c>
      <c r="V1898" t="s">
        <v>2697</v>
      </c>
      <c r="X1898" t="s">
        <v>17772</v>
      </c>
      <c r="Z1898">
        <v>100058526</v>
      </c>
      <c r="AB1898" t="s">
        <v>2903</v>
      </c>
      <c r="AD1898" t="s">
        <v>17772</v>
      </c>
      <c r="AF1898" t="s">
        <v>17773</v>
      </c>
      <c r="AG1898" t="s">
        <v>17774</v>
      </c>
      <c r="AI1898" t="s">
        <v>17775</v>
      </c>
      <c r="AM1898" t="s">
        <v>17776</v>
      </c>
      <c r="AN1898" t="s">
        <v>2413</v>
      </c>
      <c r="AO1898" t="s">
        <v>17777</v>
      </c>
      <c r="AP1898" t="s">
        <v>7024</v>
      </c>
      <c r="AQ1898" t="s">
        <v>17778</v>
      </c>
      <c r="AT1898" s="184">
        <v>35156</v>
      </c>
      <c r="AU1898" t="s">
        <v>17716</v>
      </c>
      <c r="AV1898">
        <v>25</v>
      </c>
      <c r="AW1898" s="184">
        <v>45156</v>
      </c>
      <c r="AX1898" t="s">
        <v>8960</v>
      </c>
      <c r="AY1898">
        <v>135</v>
      </c>
      <c r="AZ1898" s="184">
        <v>45156</v>
      </c>
      <c r="BA1898" t="s">
        <v>8960</v>
      </c>
      <c r="BB1898">
        <v>135</v>
      </c>
      <c r="BC1898">
        <v>94</v>
      </c>
      <c r="BD1898">
        <v>2086</v>
      </c>
      <c r="BE1898">
        <v>1996</v>
      </c>
      <c r="BF1898">
        <v>62</v>
      </c>
      <c r="BG1898">
        <v>2</v>
      </c>
      <c r="BH1898">
        <v>270</v>
      </c>
      <c r="BI1898">
        <v>27</v>
      </c>
      <c r="BJ1898">
        <v>29</v>
      </c>
      <c r="BK1898">
        <v>25</v>
      </c>
      <c r="BP1898" s="184"/>
    </row>
    <row r="1899" spans="1:68">
      <c r="A1899">
        <v>100058526</v>
      </c>
      <c r="B1899">
        <v>21160049</v>
      </c>
      <c r="C1899" t="s">
        <v>7018</v>
      </c>
      <c r="E1899" s="184"/>
      <c r="G1899" s="184"/>
      <c r="I1899" s="184"/>
      <c r="J1899" t="s">
        <v>595</v>
      </c>
      <c r="K1899" s="184">
        <v>44104</v>
      </c>
      <c r="O1899" s="184"/>
      <c r="P1899" t="s">
        <v>7045</v>
      </c>
      <c r="Q1899" t="s">
        <v>7160</v>
      </c>
      <c r="R1899" s="184">
        <v>22879</v>
      </c>
      <c r="S1899">
        <v>61</v>
      </c>
      <c r="V1899" t="s">
        <v>2903</v>
      </c>
      <c r="X1899" t="s">
        <v>17772</v>
      </c>
      <c r="Z1899">
        <v>21160049</v>
      </c>
      <c r="AA1899" t="s">
        <v>7031</v>
      </c>
      <c r="AB1899" t="s">
        <v>2697</v>
      </c>
      <c r="AD1899" t="s">
        <v>17772</v>
      </c>
      <c r="AF1899" t="s">
        <v>17773</v>
      </c>
      <c r="AG1899" t="s">
        <v>17774</v>
      </c>
      <c r="AI1899" t="s">
        <v>17775</v>
      </c>
      <c r="AM1899" t="s">
        <v>17776</v>
      </c>
      <c r="AN1899" t="s">
        <v>2413</v>
      </c>
      <c r="AO1899" t="s">
        <v>17777</v>
      </c>
      <c r="AP1899" t="s">
        <v>7024</v>
      </c>
      <c r="AT1899" s="184"/>
      <c r="AW1899" s="184"/>
      <c r="AZ1899" s="184"/>
      <c r="BP1899" s="184"/>
    </row>
    <row r="1900" spans="1:68">
      <c r="A1900">
        <v>21196738</v>
      </c>
      <c r="B1900">
        <v>21196738</v>
      </c>
      <c r="C1900" t="s">
        <v>7018</v>
      </c>
      <c r="D1900" t="s">
        <v>595</v>
      </c>
      <c r="E1900" s="184">
        <v>44073</v>
      </c>
      <c r="G1900" s="184"/>
      <c r="I1900" s="184"/>
      <c r="K1900" s="184"/>
      <c r="M1900" s="184"/>
      <c r="O1900" s="184"/>
      <c r="P1900" t="s">
        <v>7045</v>
      </c>
      <c r="Q1900" t="s">
        <v>7020</v>
      </c>
      <c r="R1900" s="184">
        <v>16374</v>
      </c>
      <c r="S1900">
        <v>79</v>
      </c>
      <c r="V1900" t="s">
        <v>2597</v>
      </c>
      <c r="X1900" t="s">
        <v>3200</v>
      </c>
      <c r="Z1900">
        <v>100058596</v>
      </c>
      <c r="AB1900" t="s">
        <v>14917</v>
      </c>
      <c r="AD1900" t="s">
        <v>17779</v>
      </c>
      <c r="AF1900" t="s">
        <v>17780</v>
      </c>
      <c r="AG1900" t="s">
        <v>17781</v>
      </c>
      <c r="AI1900" t="s">
        <v>17782</v>
      </c>
      <c r="AM1900" t="s">
        <v>17783</v>
      </c>
      <c r="AN1900" t="s">
        <v>2112</v>
      </c>
      <c r="AO1900" t="s">
        <v>17784</v>
      </c>
      <c r="AP1900" t="s">
        <v>7024</v>
      </c>
      <c r="AQ1900" t="s">
        <v>17785</v>
      </c>
      <c r="AT1900" s="184">
        <v>35164</v>
      </c>
      <c r="AU1900" t="s">
        <v>17786</v>
      </c>
      <c r="AV1900">
        <v>25</v>
      </c>
      <c r="AW1900" s="184">
        <v>45363</v>
      </c>
      <c r="AX1900" t="s">
        <v>8977</v>
      </c>
      <c r="AY1900">
        <v>125</v>
      </c>
      <c r="AZ1900" s="184">
        <v>42661</v>
      </c>
      <c r="BA1900" t="s">
        <v>17787</v>
      </c>
      <c r="BB1900">
        <v>250</v>
      </c>
      <c r="BC1900">
        <v>90</v>
      </c>
      <c r="BD1900">
        <v>3560</v>
      </c>
      <c r="BE1900">
        <v>1996</v>
      </c>
      <c r="BF1900">
        <v>30</v>
      </c>
      <c r="BG1900">
        <v>2</v>
      </c>
      <c r="BH1900">
        <v>250</v>
      </c>
      <c r="BI1900">
        <v>26</v>
      </c>
      <c r="BJ1900">
        <v>29</v>
      </c>
      <c r="BK1900">
        <v>21</v>
      </c>
      <c r="BP1900" s="184"/>
    </row>
    <row r="1901" spans="1:68">
      <c r="A1901">
        <v>100058596</v>
      </c>
      <c r="B1901">
        <v>21196738</v>
      </c>
      <c r="C1901" t="s">
        <v>7018</v>
      </c>
      <c r="D1901" t="s">
        <v>595</v>
      </c>
      <c r="E1901" s="184">
        <v>44073</v>
      </c>
      <c r="G1901" s="184"/>
      <c r="I1901" s="184"/>
      <c r="K1901" s="184"/>
      <c r="O1901" s="184"/>
      <c r="P1901" t="s">
        <v>7045</v>
      </c>
      <c r="Q1901" t="s">
        <v>7020</v>
      </c>
      <c r="R1901" s="184">
        <v>16372</v>
      </c>
      <c r="S1901">
        <v>79</v>
      </c>
      <c r="V1901" t="s">
        <v>14917</v>
      </c>
      <c r="X1901" t="s">
        <v>17779</v>
      </c>
      <c r="Z1901">
        <v>21196738</v>
      </c>
      <c r="AB1901" t="s">
        <v>2597</v>
      </c>
      <c r="AD1901" t="s">
        <v>3200</v>
      </c>
      <c r="AF1901" t="s">
        <v>17780</v>
      </c>
      <c r="AG1901" t="s">
        <v>17781</v>
      </c>
      <c r="AI1901" t="s">
        <v>17782</v>
      </c>
      <c r="AM1901" t="s">
        <v>17783</v>
      </c>
      <c r="AN1901" t="s">
        <v>2112</v>
      </c>
      <c r="AO1901" t="s">
        <v>17784</v>
      </c>
      <c r="AP1901" t="s">
        <v>7024</v>
      </c>
      <c r="AT1901" s="184"/>
      <c r="AW1901" s="184"/>
      <c r="AZ1901" s="184"/>
      <c r="BP1901" s="184"/>
    </row>
    <row r="1902" spans="1:68">
      <c r="A1902">
        <v>21198379</v>
      </c>
      <c r="B1902">
        <v>21198379</v>
      </c>
      <c r="C1902" t="s">
        <v>7018</v>
      </c>
      <c r="D1902" t="s">
        <v>595</v>
      </c>
      <c r="E1902" s="184">
        <v>44441</v>
      </c>
      <c r="G1902" s="184"/>
      <c r="I1902" s="184"/>
      <c r="K1902" s="184"/>
      <c r="O1902" s="184"/>
      <c r="P1902" t="s">
        <v>7045</v>
      </c>
      <c r="Q1902" t="s">
        <v>7160</v>
      </c>
      <c r="R1902" s="184">
        <v>16851</v>
      </c>
      <c r="S1902">
        <v>78</v>
      </c>
      <c r="V1902" t="s">
        <v>3377</v>
      </c>
      <c r="W1902" t="s">
        <v>3332</v>
      </c>
      <c r="X1902" t="s">
        <v>17788</v>
      </c>
      <c r="AF1902" t="s">
        <v>17789</v>
      </c>
      <c r="AG1902" t="s">
        <v>3377</v>
      </c>
      <c r="AI1902" t="s">
        <v>17790</v>
      </c>
      <c r="AM1902" t="s">
        <v>3975</v>
      </c>
      <c r="AN1902" t="s">
        <v>2413</v>
      </c>
      <c r="AO1902" t="s">
        <v>17791</v>
      </c>
      <c r="AP1902" t="s">
        <v>7024</v>
      </c>
      <c r="AQ1902" t="s">
        <v>17792</v>
      </c>
      <c r="AR1902" t="s">
        <v>17793</v>
      </c>
      <c r="AT1902" s="184">
        <v>35164</v>
      </c>
      <c r="AU1902" t="s">
        <v>17794</v>
      </c>
      <c r="AV1902">
        <v>15</v>
      </c>
      <c r="AW1902" s="184">
        <v>43866</v>
      </c>
      <c r="AX1902" t="s">
        <v>17519</v>
      </c>
      <c r="AY1902">
        <v>25</v>
      </c>
      <c r="AZ1902" s="184">
        <v>42886</v>
      </c>
      <c r="BA1902" t="s">
        <v>17795</v>
      </c>
      <c r="BB1902">
        <v>60</v>
      </c>
      <c r="BC1902">
        <v>28</v>
      </c>
      <c r="BD1902">
        <v>240</v>
      </c>
      <c r="BE1902">
        <v>1996</v>
      </c>
      <c r="BF1902">
        <v>9</v>
      </c>
      <c r="BI1902">
        <v>8</v>
      </c>
      <c r="BJ1902">
        <v>29</v>
      </c>
      <c r="BK1902">
        <v>3</v>
      </c>
      <c r="BP1902" s="184"/>
    </row>
    <row r="1903" spans="1:68">
      <c r="A1903">
        <v>21211057</v>
      </c>
      <c r="B1903">
        <v>21211057</v>
      </c>
      <c r="C1903" t="s">
        <v>7018</v>
      </c>
      <c r="E1903" s="184"/>
      <c r="G1903" s="184"/>
      <c r="I1903" s="184"/>
      <c r="J1903" t="s">
        <v>595</v>
      </c>
      <c r="K1903" s="184">
        <v>37434</v>
      </c>
      <c r="O1903" s="184"/>
      <c r="P1903" t="s">
        <v>7045</v>
      </c>
      <c r="Q1903" t="s">
        <v>7774</v>
      </c>
      <c r="R1903" s="184">
        <v>19998</v>
      </c>
      <c r="S1903">
        <v>69</v>
      </c>
      <c r="V1903" t="s">
        <v>2718</v>
      </c>
      <c r="X1903" t="s">
        <v>17796</v>
      </c>
      <c r="Y1903" t="s">
        <v>7327</v>
      </c>
      <c r="AF1903" t="s">
        <v>6298</v>
      </c>
      <c r="AG1903" t="s">
        <v>2718</v>
      </c>
      <c r="AI1903" t="s">
        <v>17797</v>
      </c>
      <c r="AM1903" t="s">
        <v>16035</v>
      </c>
      <c r="AN1903" t="s">
        <v>2077</v>
      </c>
      <c r="AO1903" t="s">
        <v>17798</v>
      </c>
      <c r="AP1903" t="s">
        <v>7024</v>
      </c>
      <c r="AQ1903" t="s">
        <v>17799</v>
      </c>
      <c r="AT1903" s="184">
        <v>35167</v>
      </c>
      <c r="AU1903" t="s">
        <v>17800</v>
      </c>
      <c r="AV1903">
        <v>15</v>
      </c>
      <c r="AW1903" s="184">
        <v>45189</v>
      </c>
      <c r="AX1903" t="s">
        <v>16129</v>
      </c>
      <c r="AY1903">
        <v>40</v>
      </c>
      <c r="AZ1903" s="184">
        <v>42349</v>
      </c>
      <c r="BA1903" t="s">
        <v>17801</v>
      </c>
      <c r="BB1903">
        <v>200</v>
      </c>
      <c r="BC1903">
        <v>80</v>
      </c>
      <c r="BD1903">
        <v>2090</v>
      </c>
      <c r="BE1903">
        <v>1996</v>
      </c>
      <c r="BF1903">
        <v>32</v>
      </c>
      <c r="BG1903">
        <v>3</v>
      </c>
      <c r="BH1903">
        <v>155</v>
      </c>
      <c r="BI1903">
        <v>23</v>
      </c>
      <c r="BJ1903">
        <v>29</v>
      </c>
      <c r="BK1903">
        <v>13</v>
      </c>
      <c r="BN1903" t="s">
        <v>595</v>
      </c>
      <c r="BP1903" s="184"/>
    </row>
    <row r="1904" spans="1:68">
      <c r="A1904">
        <v>21268602</v>
      </c>
      <c r="B1904">
        <v>21268602</v>
      </c>
      <c r="C1904" t="s">
        <v>7018</v>
      </c>
      <c r="E1904" s="184"/>
      <c r="G1904" s="184"/>
      <c r="I1904" s="184"/>
      <c r="J1904" t="s">
        <v>595</v>
      </c>
      <c r="K1904" s="184">
        <v>43731</v>
      </c>
      <c r="O1904" s="184"/>
      <c r="P1904" t="s">
        <v>7029</v>
      </c>
      <c r="Q1904" t="s">
        <v>7020</v>
      </c>
      <c r="R1904" s="184">
        <v>16749</v>
      </c>
      <c r="S1904">
        <v>78</v>
      </c>
      <c r="U1904" t="s">
        <v>7076</v>
      </c>
      <c r="V1904" t="s">
        <v>3818</v>
      </c>
      <c r="X1904" t="s">
        <v>3819</v>
      </c>
      <c r="Z1904">
        <v>100582200</v>
      </c>
      <c r="AA1904" t="s">
        <v>7031</v>
      </c>
      <c r="AB1904" t="s">
        <v>3103</v>
      </c>
      <c r="AD1904" t="s">
        <v>3819</v>
      </c>
      <c r="AF1904" t="s">
        <v>17802</v>
      </c>
      <c r="AG1904" t="s">
        <v>17803</v>
      </c>
      <c r="AI1904" t="s">
        <v>17804</v>
      </c>
      <c r="AM1904" t="s">
        <v>2974</v>
      </c>
      <c r="AN1904" t="s">
        <v>2052</v>
      </c>
      <c r="AO1904" t="s">
        <v>17805</v>
      </c>
      <c r="AP1904" t="s">
        <v>7024</v>
      </c>
      <c r="AQ1904" t="s">
        <v>17806</v>
      </c>
      <c r="AT1904" s="184">
        <v>35172</v>
      </c>
      <c r="AU1904" t="s">
        <v>17807</v>
      </c>
      <c r="AV1904">
        <v>25</v>
      </c>
      <c r="AW1904" s="184">
        <v>45258</v>
      </c>
      <c r="AX1904" t="s">
        <v>17808</v>
      </c>
      <c r="AY1904">
        <v>315</v>
      </c>
      <c r="AZ1904" s="184">
        <v>44865</v>
      </c>
      <c r="BA1904" t="s">
        <v>17809</v>
      </c>
      <c r="BB1904">
        <v>500</v>
      </c>
      <c r="BC1904">
        <v>94</v>
      </c>
      <c r="BD1904">
        <v>4615</v>
      </c>
      <c r="BE1904">
        <v>1996</v>
      </c>
      <c r="BF1904">
        <v>33</v>
      </c>
      <c r="BG1904">
        <v>2</v>
      </c>
      <c r="BH1904">
        <v>815</v>
      </c>
      <c r="BI1904">
        <v>27</v>
      </c>
      <c r="BJ1904">
        <v>29</v>
      </c>
      <c r="BK1904">
        <v>19</v>
      </c>
      <c r="BP1904" s="184"/>
    </row>
    <row r="1905" spans="1:68">
      <c r="A1905">
        <v>21271168</v>
      </c>
      <c r="B1905">
        <v>21271168</v>
      </c>
      <c r="C1905" t="s">
        <v>7018</v>
      </c>
      <c r="E1905" s="184"/>
      <c r="F1905" t="s">
        <v>595</v>
      </c>
      <c r="G1905" s="184">
        <v>43731</v>
      </c>
      <c r="I1905" s="184"/>
      <c r="K1905" s="184"/>
      <c r="O1905" s="184"/>
      <c r="P1905" t="s">
        <v>7045</v>
      </c>
      <c r="Q1905" t="s">
        <v>7383</v>
      </c>
      <c r="R1905" s="184">
        <v>21276</v>
      </c>
      <c r="S1905">
        <v>66</v>
      </c>
      <c r="U1905" t="s">
        <v>7076</v>
      </c>
      <c r="V1905" t="s">
        <v>3478</v>
      </c>
      <c r="W1905" t="s">
        <v>3332</v>
      </c>
      <c r="X1905" t="s">
        <v>3860</v>
      </c>
      <c r="AF1905" t="s">
        <v>17810</v>
      </c>
      <c r="AG1905" t="s">
        <v>3478</v>
      </c>
      <c r="AI1905" t="s">
        <v>17811</v>
      </c>
      <c r="AM1905" t="s">
        <v>3861</v>
      </c>
      <c r="AN1905" t="s">
        <v>2059</v>
      </c>
      <c r="AO1905" t="s">
        <v>17812</v>
      </c>
      <c r="AP1905" t="s">
        <v>7024</v>
      </c>
      <c r="AQ1905" t="s">
        <v>17813</v>
      </c>
      <c r="AR1905" t="s">
        <v>17814</v>
      </c>
      <c r="AT1905" s="184">
        <v>35172</v>
      </c>
      <c r="AU1905" t="s">
        <v>17815</v>
      </c>
      <c r="AV1905">
        <v>20</v>
      </c>
      <c r="AW1905" s="184">
        <v>45381</v>
      </c>
      <c r="AX1905" t="s">
        <v>7168</v>
      </c>
      <c r="AY1905">
        <v>26.25</v>
      </c>
      <c r="AZ1905" s="184">
        <v>45381</v>
      </c>
      <c r="BA1905" t="s">
        <v>7168</v>
      </c>
      <c r="BB1905">
        <v>26.25</v>
      </c>
      <c r="BC1905">
        <v>100</v>
      </c>
      <c r="BD1905">
        <v>841.25</v>
      </c>
      <c r="BE1905">
        <v>1996</v>
      </c>
      <c r="BF1905">
        <v>35</v>
      </c>
      <c r="BG1905">
        <v>3</v>
      </c>
      <c r="BH1905">
        <v>76.25</v>
      </c>
      <c r="BI1905">
        <v>29</v>
      </c>
      <c r="BJ1905">
        <v>29</v>
      </c>
      <c r="BK1905">
        <v>29</v>
      </c>
      <c r="BP1905" s="184"/>
    </row>
    <row r="1906" spans="1:68">
      <c r="A1906">
        <v>21274378</v>
      </c>
      <c r="B1906">
        <v>21274378</v>
      </c>
      <c r="C1906" t="s">
        <v>7018</v>
      </c>
      <c r="D1906" t="s">
        <v>595</v>
      </c>
      <c r="E1906" s="184">
        <v>44104</v>
      </c>
      <c r="G1906" s="184"/>
      <c r="I1906" s="184"/>
      <c r="K1906" s="184"/>
      <c r="M1906" s="184"/>
      <c r="O1906" s="184"/>
      <c r="P1906" t="s">
        <v>7045</v>
      </c>
      <c r="Q1906" t="s">
        <v>7454</v>
      </c>
      <c r="R1906" s="184">
        <v>17142</v>
      </c>
      <c r="S1906">
        <v>77</v>
      </c>
      <c r="U1906" t="s">
        <v>7031</v>
      </c>
      <c r="V1906" t="s">
        <v>17816</v>
      </c>
      <c r="X1906" t="s">
        <v>4771</v>
      </c>
      <c r="AF1906" t="s">
        <v>17817</v>
      </c>
      <c r="AG1906" t="s">
        <v>17816</v>
      </c>
      <c r="AI1906" t="s">
        <v>17818</v>
      </c>
      <c r="AM1906" t="s">
        <v>4002</v>
      </c>
      <c r="AN1906" t="s">
        <v>2055</v>
      </c>
      <c r="AO1906" t="s">
        <v>17819</v>
      </c>
      <c r="AP1906" t="s">
        <v>7024</v>
      </c>
      <c r="AQ1906" t="s">
        <v>17820</v>
      </c>
      <c r="AT1906" s="184">
        <v>35173</v>
      </c>
      <c r="AU1906" t="s">
        <v>17821</v>
      </c>
      <c r="AV1906">
        <v>25</v>
      </c>
      <c r="AW1906" s="184">
        <v>45291</v>
      </c>
      <c r="AX1906" t="s">
        <v>17822</v>
      </c>
      <c r="AY1906">
        <v>105</v>
      </c>
      <c r="AZ1906" s="184">
        <v>43828</v>
      </c>
      <c r="BA1906" t="s">
        <v>17823</v>
      </c>
      <c r="BB1906">
        <v>250</v>
      </c>
      <c r="BC1906">
        <v>90</v>
      </c>
      <c r="BD1906">
        <v>3444.97</v>
      </c>
      <c r="BE1906">
        <v>1996</v>
      </c>
      <c r="BF1906">
        <v>42</v>
      </c>
      <c r="BG1906">
        <v>2</v>
      </c>
      <c r="BH1906">
        <v>155</v>
      </c>
      <c r="BI1906">
        <v>26</v>
      </c>
      <c r="BJ1906">
        <v>29</v>
      </c>
      <c r="BK1906">
        <v>16</v>
      </c>
      <c r="BP1906" s="184"/>
    </row>
    <row r="1907" spans="1:68">
      <c r="A1907">
        <v>21276506</v>
      </c>
      <c r="B1907">
        <v>21276506</v>
      </c>
      <c r="C1907" t="s">
        <v>7018</v>
      </c>
      <c r="D1907" t="s">
        <v>595</v>
      </c>
      <c r="E1907" s="184">
        <v>44104</v>
      </c>
      <c r="G1907" s="184"/>
      <c r="I1907" s="184"/>
      <c r="K1907" s="184"/>
      <c r="O1907" s="184"/>
      <c r="P1907" t="s">
        <v>7045</v>
      </c>
      <c r="Q1907" t="s">
        <v>7160</v>
      </c>
      <c r="R1907" s="184">
        <v>16172</v>
      </c>
      <c r="S1907">
        <v>80</v>
      </c>
      <c r="U1907" t="s">
        <v>7076</v>
      </c>
      <c r="V1907" t="s">
        <v>4032</v>
      </c>
      <c r="X1907" t="s">
        <v>17824</v>
      </c>
      <c r="Z1907">
        <v>92710425</v>
      </c>
      <c r="AA1907" t="s">
        <v>7031</v>
      </c>
      <c r="AB1907" t="s">
        <v>3311</v>
      </c>
      <c r="AD1907" t="s">
        <v>17825</v>
      </c>
      <c r="AF1907" t="s">
        <v>17826</v>
      </c>
      <c r="AG1907" t="s">
        <v>17827</v>
      </c>
      <c r="AI1907" t="s">
        <v>17828</v>
      </c>
      <c r="AM1907" t="s">
        <v>3975</v>
      </c>
      <c r="AN1907" t="s">
        <v>2413</v>
      </c>
      <c r="AO1907" t="s">
        <v>17829</v>
      </c>
      <c r="AP1907" t="s">
        <v>7024</v>
      </c>
      <c r="AQ1907" t="s">
        <v>17830</v>
      </c>
      <c r="AR1907" t="s">
        <v>17831</v>
      </c>
      <c r="AT1907" s="184">
        <v>35173</v>
      </c>
      <c r="AU1907" t="s">
        <v>17832</v>
      </c>
      <c r="AV1907">
        <v>20</v>
      </c>
      <c r="AW1907" s="184">
        <v>45168</v>
      </c>
      <c r="AX1907" t="s">
        <v>9097</v>
      </c>
      <c r="AY1907">
        <v>100</v>
      </c>
      <c r="AZ1907" s="184">
        <v>45168</v>
      </c>
      <c r="BA1907" t="s">
        <v>9097</v>
      </c>
      <c r="BB1907">
        <v>100</v>
      </c>
      <c r="BC1907">
        <v>73</v>
      </c>
      <c r="BD1907">
        <v>1612</v>
      </c>
      <c r="BE1907">
        <v>1996</v>
      </c>
      <c r="BF1907">
        <v>32</v>
      </c>
      <c r="BG1907">
        <v>4</v>
      </c>
      <c r="BH1907">
        <v>325</v>
      </c>
      <c r="BI1907">
        <v>21</v>
      </c>
      <c r="BJ1907">
        <v>29</v>
      </c>
      <c r="BK1907">
        <v>14</v>
      </c>
      <c r="BN1907" t="s">
        <v>595</v>
      </c>
      <c r="BP1907" s="184"/>
    </row>
    <row r="1908" spans="1:68">
      <c r="A1908">
        <v>21319355</v>
      </c>
      <c r="B1908">
        <v>21319355</v>
      </c>
      <c r="C1908" t="s">
        <v>7018</v>
      </c>
      <c r="E1908" s="184"/>
      <c r="G1908" s="184"/>
      <c r="I1908" s="184"/>
      <c r="K1908" s="184"/>
      <c r="M1908" s="184"/>
      <c r="N1908" t="s">
        <v>595</v>
      </c>
      <c r="O1908" s="184">
        <v>39988</v>
      </c>
      <c r="P1908" t="s">
        <v>7045</v>
      </c>
      <c r="Q1908" t="s">
        <v>7374</v>
      </c>
      <c r="R1908" s="184">
        <v>8159</v>
      </c>
      <c r="S1908">
        <v>102</v>
      </c>
      <c r="U1908" t="s">
        <v>7076</v>
      </c>
      <c r="V1908" t="s">
        <v>4136</v>
      </c>
      <c r="W1908" t="s">
        <v>2049</v>
      </c>
      <c r="X1908" t="s">
        <v>3263</v>
      </c>
      <c r="AF1908" t="s">
        <v>17833</v>
      </c>
      <c r="AG1908" t="s">
        <v>4136</v>
      </c>
      <c r="AI1908" t="s">
        <v>17834</v>
      </c>
      <c r="AM1908" t="s">
        <v>2534</v>
      </c>
      <c r="AN1908" t="s">
        <v>2081</v>
      </c>
      <c r="AO1908" t="s">
        <v>17835</v>
      </c>
      <c r="AP1908" t="s">
        <v>7024</v>
      </c>
      <c r="AT1908" s="184">
        <v>35178</v>
      </c>
      <c r="AU1908" t="s">
        <v>17836</v>
      </c>
      <c r="AV1908">
        <v>15</v>
      </c>
      <c r="AW1908" s="184">
        <v>42506</v>
      </c>
      <c r="AX1908" t="s">
        <v>17837</v>
      </c>
      <c r="AY1908">
        <v>100</v>
      </c>
      <c r="AZ1908" s="184">
        <v>41746</v>
      </c>
      <c r="BA1908" t="s">
        <v>7707</v>
      </c>
      <c r="BB1908">
        <v>10000</v>
      </c>
      <c r="BC1908">
        <v>73</v>
      </c>
      <c r="BD1908">
        <v>22935</v>
      </c>
      <c r="BE1908">
        <v>1996</v>
      </c>
      <c r="BF1908">
        <v>83</v>
      </c>
      <c r="BI1908">
        <v>21</v>
      </c>
      <c r="BJ1908">
        <v>29</v>
      </c>
      <c r="BK1908">
        <v>21</v>
      </c>
      <c r="BO1908" t="s">
        <v>595</v>
      </c>
      <c r="BP1908" s="184">
        <v>43765</v>
      </c>
    </row>
    <row r="1909" spans="1:68">
      <c r="A1909">
        <v>21345335</v>
      </c>
      <c r="B1909">
        <v>21345335</v>
      </c>
      <c r="C1909" t="s">
        <v>7018</v>
      </c>
      <c r="D1909" t="s">
        <v>595</v>
      </c>
      <c r="E1909" s="184">
        <v>45112</v>
      </c>
      <c r="G1909" s="184"/>
      <c r="I1909" s="184"/>
      <c r="K1909" s="184"/>
      <c r="M1909" s="184"/>
      <c r="O1909" s="184"/>
      <c r="P1909" t="s">
        <v>7045</v>
      </c>
      <c r="Q1909" t="s">
        <v>7383</v>
      </c>
      <c r="R1909" s="184">
        <v>13086</v>
      </c>
      <c r="S1909">
        <v>88</v>
      </c>
      <c r="V1909" t="s">
        <v>2586</v>
      </c>
      <c r="X1909" t="s">
        <v>3610</v>
      </c>
      <c r="Z1909">
        <v>100181215</v>
      </c>
      <c r="AB1909" t="s">
        <v>3254</v>
      </c>
      <c r="AD1909" t="s">
        <v>3610</v>
      </c>
      <c r="AF1909" t="s">
        <v>17838</v>
      </c>
      <c r="AG1909" t="s">
        <v>2586</v>
      </c>
      <c r="AI1909" t="s">
        <v>17839</v>
      </c>
      <c r="AM1909" t="s">
        <v>17840</v>
      </c>
      <c r="AN1909" t="s">
        <v>2185</v>
      </c>
      <c r="AO1909" t="s">
        <v>17841</v>
      </c>
      <c r="AP1909" t="s">
        <v>7024</v>
      </c>
      <c r="AQ1909" t="s">
        <v>17842</v>
      </c>
      <c r="AT1909" s="184">
        <v>35181</v>
      </c>
      <c r="AU1909" t="s">
        <v>17843</v>
      </c>
      <c r="AV1909">
        <v>15</v>
      </c>
      <c r="AW1909" s="184">
        <v>44614</v>
      </c>
      <c r="AX1909" t="s">
        <v>17844</v>
      </c>
      <c r="AY1909">
        <v>20</v>
      </c>
      <c r="AZ1909" s="184">
        <v>37102</v>
      </c>
      <c r="BA1909" t="s">
        <v>17845</v>
      </c>
      <c r="BB1909">
        <v>60</v>
      </c>
      <c r="BC1909">
        <v>87</v>
      </c>
      <c r="BD1909">
        <v>735</v>
      </c>
      <c r="BE1909">
        <v>1996</v>
      </c>
      <c r="BF1909">
        <v>29</v>
      </c>
      <c r="BI1909">
        <v>25</v>
      </c>
      <c r="BJ1909">
        <v>29</v>
      </c>
      <c r="BK1909">
        <v>19</v>
      </c>
      <c r="BP1909" s="184"/>
    </row>
    <row r="1910" spans="1:68">
      <c r="A1910">
        <v>100181215</v>
      </c>
      <c r="B1910">
        <v>21345335</v>
      </c>
      <c r="C1910" t="s">
        <v>7018</v>
      </c>
      <c r="D1910" t="s">
        <v>595</v>
      </c>
      <c r="E1910" s="184">
        <v>45112</v>
      </c>
      <c r="G1910" s="184"/>
      <c r="I1910" s="184"/>
      <c r="K1910" s="184"/>
      <c r="O1910" s="184"/>
      <c r="P1910" t="s">
        <v>7045</v>
      </c>
      <c r="Q1910" t="s">
        <v>7383</v>
      </c>
      <c r="R1910" s="184">
        <v>12055</v>
      </c>
      <c r="S1910">
        <v>91</v>
      </c>
      <c r="V1910" t="s">
        <v>3254</v>
      </c>
      <c r="X1910" t="s">
        <v>3610</v>
      </c>
      <c r="Z1910">
        <v>21345335</v>
      </c>
      <c r="AB1910" t="s">
        <v>2586</v>
      </c>
      <c r="AD1910" t="s">
        <v>3610</v>
      </c>
      <c r="AF1910" t="s">
        <v>17838</v>
      </c>
      <c r="AG1910" t="s">
        <v>2586</v>
      </c>
      <c r="AI1910" t="s">
        <v>17839</v>
      </c>
      <c r="AM1910" t="s">
        <v>17840</v>
      </c>
      <c r="AN1910" t="s">
        <v>2185</v>
      </c>
      <c r="AO1910" t="s">
        <v>17841</v>
      </c>
      <c r="AP1910" t="s">
        <v>7024</v>
      </c>
      <c r="AT1910" s="184"/>
      <c r="AW1910" s="184"/>
      <c r="AZ1910" s="184"/>
      <c r="BO1910" t="s">
        <v>595</v>
      </c>
      <c r="BP1910" s="184"/>
    </row>
    <row r="1911" spans="1:68">
      <c r="A1911">
        <v>21345939</v>
      </c>
      <c r="B1911">
        <v>21345939</v>
      </c>
      <c r="C1911" t="s">
        <v>7018</v>
      </c>
      <c r="D1911" t="s">
        <v>595</v>
      </c>
      <c r="E1911" s="184">
        <v>43801</v>
      </c>
      <c r="G1911" s="184"/>
      <c r="I1911" s="184"/>
      <c r="K1911" s="184"/>
      <c r="O1911" s="184"/>
      <c r="P1911" t="s">
        <v>7045</v>
      </c>
      <c r="Q1911" t="s">
        <v>7194</v>
      </c>
      <c r="R1911" s="184">
        <v>20699</v>
      </c>
      <c r="S1911">
        <v>67</v>
      </c>
      <c r="U1911" t="s">
        <v>7031</v>
      </c>
      <c r="V1911" t="s">
        <v>4372</v>
      </c>
      <c r="W1911" t="s">
        <v>7355</v>
      </c>
      <c r="X1911" t="s">
        <v>2661</v>
      </c>
      <c r="AF1911" t="s">
        <v>17846</v>
      </c>
      <c r="AG1911" t="s">
        <v>4372</v>
      </c>
      <c r="AI1911" t="s">
        <v>17847</v>
      </c>
      <c r="AM1911" t="s">
        <v>4212</v>
      </c>
      <c r="AN1911" t="s">
        <v>2046</v>
      </c>
      <c r="AO1911" t="s">
        <v>17848</v>
      </c>
      <c r="AP1911" t="s">
        <v>7024</v>
      </c>
      <c r="AQ1911" t="s">
        <v>17849</v>
      </c>
      <c r="AT1911" s="184">
        <v>35181</v>
      </c>
      <c r="AU1911" t="s">
        <v>17850</v>
      </c>
      <c r="AV1911">
        <v>20</v>
      </c>
      <c r="AW1911" s="184">
        <v>45302</v>
      </c>
      <c r="AX1911" t="s">
        <v>17851</v>
      </c>
      <c r="AY1911">
        <v>50</v>
      </c>
      <c r="AZ1911" s="184">
        <v>35871</v>
      </c>
      <c r="BA1911" t="s">
        <v>17852</v>
      </c>
      <c r="BB1911">
        <v>87</v>
      </c>
      <c r="BC1911">
        <v>83</v>
      </c>
      <c r="BD1911">
        <v>1722</v>
      </c>
      <c r="BE1911">
        <v>1996</v>
      </c>
      <c r="BF1911">
        <v>41</v>
      </c>
      <c r="BG1911">
        <v>2</v>
      </c>
      <c r="BH1911">
        <v>100</v>
      </c>
      <c r="BI1911">
        <v>24</v>
      </c>
      <c r="BJ1911">
        <v>29</v>
      </c>
      <c r="BK1911">
        <v>13</v>
      </c>
      <c r="BP1911" s="184"/>
    </row>
    <row r="1912" spans="1:68">
      <c r="A1912">
        <v>21508023</v>
      </c>
      <c r="B1912">
        <v>21508023</v>
      </c>
      <c r="C1912" t="s">
        <v>7018</v>
      </c>
      <c r="E1912" s="184"/>
      <c r="G1912" s="184"/>
      <c r="H1912" t="s">
        <v>595</v>
      </c>
      <c r="I1912" s="184">
        <v>45204</v>
      </c>
      <c r="K1912" s="184"/>
      <c r="M1912" s="184"/>
      <c r="O1912" s="184"/>
      <c r="P1912" t="s">
        <v>7045</v>
      </c>
      <c r="Q1912" t="s">
        <v>7383</v>
      </c>
      <c r="R1912" s="184">
        <v>17862</v>
      </c>
      <c r="S1912">
        <v>75</v>
      </c>
      <c r="V1912" t="s">
        <v>3868</v>
      </c>
      <c r="X1912" t="s">
        <v>17853</v>
      </c>
      <c r="AF1912" t="s">
        <v>17854</v>
      </c>
      <c r="AG1912" t="s">
        <v>3868</v>
      </c>
      <c r="AI1912" t="s">
        <v>17855</v>
      </c>
      <c r="AM1912" t="s">
        <v>17856</v>
      </c>
      <c r="AN1912" t="s">
        <v>2059</v>
      </c>
      <c r="AO1912" t="s">
        <v>17857</v>
      </c>
      <c r="AP1912" t="s">
        <v>7024</v>
      </c>
      <c r="AQ1912" t="s">
        <v>17858</v>
      </c>
      <c r="AT1912" s="184">
        <v>35124</v>
      </c>
      <c r="AU1912" t="s">
        <v>17859</v>
      </c>
      <c r="AV1912">
        <v>10</v>
      </c>
      <c r="AW1912" s="184">
        <v>44810</v>
      </c>
      <c r="AX1912" t="s">
        <v>17860</v>
      </c>
      <c r="AY1912">
        <v>50</v>
      </c>
      <c r="AZ1912" s="184">
        <v>44810</v>
      </c>
      <c r="BA1912" t="s">
        <v>17860</v>
      </c>
      <c r="BB1912">
        <v>50</v>
      </c>
      <c r="BC1912">
        <v>11</v>
      </c>
      <c r="BD1912">
        <v>75</v>
      </c>
      <c r="BE1912">
        <v>1996</v>
      </c>
      <c r="BF1912">
        <v>3</v>
      </c>
      <c r="BG1912">
        <v>1</v>
      </c>
      <c r="BH1912">
        <v>50</v>
      </c>
      <c r="BI1912">
        <v>3</v>
      </c>
      <c r="BJ1912">
        <v>29</v>
      </c>
      <c r="BK1912">
        <v>1</v>
      </c>
      <c r="BM1912" t="s">
        <v>595</v>
      </c>
      <c r="BP1912" s="184"/>
    </row>
    <row r="1913" spans="1:68">
      <c r="A1913">
        <v>21538061</v>
      </c>
      <c r="B1913">
        <v>21538061</v>
      </c>
      <c r="C1913" t="s">
        <v>7018</v>
      </c>
      <c r="D1913" t="s">
        <v>595</v>
      </c>
      <c r="E1913" s="184">
        <v>44167</v>
      </c>
      <c r="G1913" s="184"/>
      <c r="I1913" s="184"/>
      <c r="K1913" s="184"/>
      <c r="O1913" s="184"/>
      <c r="P1913" t="s">
        <v>7045</v>
      </c>
      <c r="Q1913" t="s">
        <v>7160</v>
      </c>
      <c r="R1913" s="184">
        <v>16072</v>
      </c>
      <c r="S1913">
        <v>80</v>
      </c>
      <c r="U1913" t="s">
        <v>7076</v>
      </c>
      <c r="V1913" t="s">
        <v>3504</v>
      </c>
      <c r="W1913" t="s">
        <v>7355</v>
      </c>
      <c r="X1913" t="s">
        <v>4472</v>
      </c>
      <c r="AF1913" t="s">
        <v>17861</v>
      </c>
      <c r="AG1913" t="s">
        <v>3504</v>
      </c>
      <c r="AI1913" t="s">
        <v>17862</v>
      </c>
      <c r="AM1913" t="s">
        <v>17863</v>
      </c>
      <c r="AN1913" t="s">
        <v>2203</v>
      </c>
      <c r="AO1913" t="s">
        <v>17864</v>
      </c>
      <c r="AP1913" t="s">
        <v>7024</v>
      </c>
      <c r="AQ1913" t="s">
        <v>17865</v>
      </c>
      <c r="AT1913" s="184">
        <v>35194</v>
      </c>
      <c r="AU1913" t="s">
        <v>17866</v>
      </c>
      <c r="AV1913">
        <v>20</v>
      </c>
      <c r="AW1913" s="184">
        <v>45418</v>
      </c>
      <c r="AX1913" t="s">
        <v>11616</v>
      </c>
      <c r="AY1913">
        <v>35</v>
      </c>
      <c r="AZ1913" s="184">
        <v>45065</v>
      </c>
      <c r="BA1913" t="s">
        <v>12922</v>
      </c>
      <c r="BB1913">
        <v>50</v>
      </c>
      <c r="BC1913">
        <v>100</v>
      </c>
      <c r="BD1913">
        <v>960</v>
      </c>
      <c r="BE1913">
        <v>1996</v>
      </c>
      <c r="BF1913">
        <v>34</v>
      </c>
      <c r="BG1913">
        <v>3</v>
      </c>
      <c r="BH1913">
        <v>120</v>
      </c>
      <c r="BI1913">
        <v>29</v>
      </c>
      <c r="BJ1913">
        <v>29</v>
      </c>
      <c r="BK1913">
        <v>29</v>
      </c>
      <c r="BP1913" s="184"/>
    </row>
    <row r="1914" spans="1:68">
      <c r="A1914">
        <v>21542279</v>
      </c>
      <c r="B1914">
        <v>21542279</v>
      </c>
      <c r="C1914" t="s">
        <v>7018</v>
      </c>
      <c r="E1914" s="184"/>
      <c r="G1914" s="184"/>
      <c r="I1914" s="184"/>
      <c r="J1914" t="s">
        <v>595</v>
      </c>
      <c r="K1914" s="184">
        <v>41540</v>
      </c>
      <c r="M1914" s="184"/>
      <c r="O1914" s="184"/>
      <c r="P1914" t="s">
        <v>7045</v>
      </c>
      <c r="Q1914" t="s">
        <v>7262</v>
      </c>
      <c r="R1914" s="184">
        <v>14671</v>
      </c>
      <c r="S1914">
        <v>84</v>
      </c>
      <c r="U1914" t="s">
        <v>7076</v>
      </c>
      <c r="V1914" t="s">
        <v>3101</v>
      </c>
      <c r="W1914" t="s">
        <v>5006</v>
      </c>
      <c r="X1914" t="s">
        <v>4024</v>
      </c>
      <c r="AF1914" t="s">
        <v>6257</v>
      </c>
      <c r="AG1914" t="s">
        <v>3101</v>
      </c>
      <c r="AI1914" t="s">
        <v>17867</v>
      </c>
      <c r="AM1914" t="s">
        <v>4126</v>
      </c>
      <c r="AN1914" t="s">
        <v>2069</v>
      </c>
      <c r="AO1914" t="s">
        <v>17868</v>
      </c>
      <c r="AP1914" t="s">
        <v>7024</v>
      </c>
      <c r="AQ1914" t="s">
        <v>17869</v>
      </c>
      <c r="AT1914" s="184">
        <v>35192</v>
      </c>
      <c r="AU1914" t="s">
        <v>17716</v>
      </c>
      <c r="AV1914">
        <v>25</v>
      </c>
      <c r="AW1914" s="184">
        <v>42100</v>
      </c>
      <c r="AX1914" t="s">
        <v>17870</v>
      </c>
      <c r="AY1914">
        <v>25</v>
      </c>
      <c r="AZ1914" s="184">
        <v>39041</v>
      </c>
      <c r="BA1914" t="s">
        <v>17871</v>
      </c>
      <c r="BB1914">
        <v>500</v>
      </c>
      <c r="BC1914">
        <v>59</v>
      </c>
      <c r="BD1914">
        <v>2094</v>
      </c>
      <c r="BE1914">
        <v>1996</v>
      </c>
      <c r="BF1914">
        <v>44</v>
      </c>
      <c r="BI1914">
        <v>17</v>
      </c>
      <c r="BJ1914">
        <v>29</v>
      </c>
      <c r="BK1914">
        <v>9</v>
      </c>
      <c r="BP1914" s="184"/>
    </row>
    <row r="1915" spans="1:68">
      <c r="A1915">
        <v>21579727</v>
      </c>
      <c r="B1915">
        <v>21579727</v>
      </c>
      <c r="C1915" t="s">
        <v>7018</v>
      </c>
      <c r="E1915" s="184"/>
      <c r="G1915" s="184"/>
      <c r="I1915" s="184"/>
      <c r="J1915" t="s">
        <v>595</v>
      </c>
      <c r="K1915" s="184">
        <v>44073</v>
      </c>
      <c r="O1915" s="184"/>
      <c r="P1915" t="s">
        <v>7045</v>
      </c>
      <c r="Q1915" t="s">
        <v>7383</v>
      </c>
      <c r="R1915" s="184">
        <v>19268</v>
      </c>
      <c r="S1915">
        <v>71</v>
      </c>
      <c r="U1915" t="s">
        <v>7031</v>
      </c>
      <c r="V1915" t="s">
        <v>2665</v>
      </c>
      <c r="W1915" t="s">
        <v>7268</v>
      </c>
      <c r="X1915" t="s">
        <v>3263</v>
      </c>
      <c r="AF1915" t="s">
        <v>17872</v>
      </c>
      <c r="AG1915" t="s">
        <v>2665</v>
      </c>
      <c r="AI1915" t="s">
        <v>17873</v>
      </c>
      <c r="AM1915" t="s">
        <v>17874</v>
      </c>
      <c r="AN1915" t="s">
        <v>2185</v>
      </c>
      <c r="AO1915" t="s">
        <v>17875</v>
      </c>
      <c r="AP1915" t="s">
        <v>7024</v>
      </c>
      <c r="AQ1915" t="s">
        <v>17876</v>
      </c>
      <c r="AT1915" s="184">
        <v>35206</v>
      </c>
      <c r="AU1915" t="s">
        <v>17877</v>
      </c>
      <c r="AV1915">
        <v>25</v>
      </c>
      <c r="AW1915" s="184">
        <v>45357</v>
      </c>
      <c r="AX1915" t="s">
        <v>9700</v>
      </c>
      <c r="AY1915">
        <v>35</v>
      </c>
      <c r="AZ1915" s="184">
        <v>45357</v>
      </c>
      <c r="BA1915" t="s">
        <v>9700</v>
      </c>
      <c r="BB1915">
        <v>35</v>
      </c>
      <c r="BC1915">
        <v>100</v>
      </c>
      <c r="BD1915">
        <v>3955</v>
      </c>
      <c r="BE1915">
        <v>1996</v>
      </c>
      <c r="BF1915">
        <v>118</v>
      </c>
      <c r="BG1915">
        <v>7</v>
      </c>
      <c r="BH1915">
        <v>245</v>
      </c>
      <c r="BI1915">
        <v>29</v>
      </c>
      <c r="BJ1915">
        <v>29</v>
      </c>
      <c r="BK1915">
        <v>29</v>
      </c>
      <c r="BP1915" s="184"/>
    </row>
    <row r="1916" spans="1:68">
      <c r="A1916">
        <v>21590104</v>
      </c>
      <c r="B1916">
        <v>21590104</v>
      </c>
      <c r="C1916" t="s">
        <v>7018</v>
      </c>
      <c r="E1916" s="184"/>
      <c r="G1916" s="184"/>
      <c r="I1916" s="184"/>
      <c r="J1916" t="s">
        <v>595</v>
      </c>
      <c r="K1916" s="184">
        <v>37433</v>
      </c>
      <c r="M1916" s="184"/>
      <c r="O1916" s="184"/>
      <c r="P1916" t="s">
        <v>7029</v>
      </c>
      <c r="Q1916" t="s">
        <v>7030</v>
      </c>
      <c r="R1916" s="184">
        <v>12768</v>
      </c>
      <c r="S1916">
        <v>89</v>
      </c>
      <c r="V1916" t="s">
        <v>5747</v>
      </c>
      <c r="W1916" t="s">
        <v>4327</v>
      </c>
      <c r="X1916" t="s">
        <v>5748</v>
      </c>
      <c r="AF1916" t="s">
        <v>17878</v>
      </c>
      <c r="AG1916" t="s">
        <v>5747</v>
      </c>
      <c r="AI1916" t="s">
        <v>17879</v>
      </c>
      <c r="AM1916" t="s">
        <v>2564</v>
      </c>
      <c r="AN1916" t="s">
        <v>2089</v>
      </c>
      <c r="AO1916">
        <v>85718</v>
      </c>
      <c r="AP1916" t="s">
        <v>7024</v>
      </c>
      <c r="AQ1916" t="s">
        <v>17880</v>
      </c>
      <c r="AT1916" s="184">
        <v>35206</v>
      </c>
      <c r="AU1916" t="s">
        <v>17881</v>
      </c>
      <c r="AV1916">
        <v>100</v>
      </c>
      <c r="AW1916" s="184">
        <v>44204</v>
      </c>
      <c r="AX1916" t="s">
        <v>14561</v>
      </c>
      <c r="AY1916">
        <v>1000</v>
      </c>
      <c r="AZ1916" s="184">
        <v>39066</v>
      </c>
      <c r="BA1916" t="s">
        <v>17882</v>
      </c>
      <c r="BB1916">
        <v>3000</v>
      </c>
      <c r="BC1916">
        <v>80</v>
      </c>
      <c r="BD1916">
        <v>22450</v>
      </c>
      <c r="BE1916">
        <v>1996</v>
      </c>
      <c r="BF1916">
        <v>26</v>
      </c>
      <c r="BI1916">
        <v>23</v>
      </c>
      <c r="BJ1916">
        <v>29</v>
      </c>
      <c r="BK1916">
        <v>14</v>
      </c>
      <c r="BP1916" s="184"/>
    </row>
    <row r="1917" spans="1:68">
      <c r="A1917">
        <v>21596028</v>
      </c>
      <c r="B1917">
        <v>21596028</v>
      </c>
      <c r="C1917" t="s">
        <v>7018</v>
      </c>
      <c r="E1917" s="184"/>
      <c r="G1917" s="184"/>
      <c r="H1917" t="s">
        <v>595</v>
      </c>
      <c r="I1917" s="184">
        <v>44011</v>
      </c>
      <c r="K1917" s="184"/>
      <c r="M1917" s="184"/>
      <c r="O1917" s="184"/>
      <c r="P1917" t="s">
        <v>7045</v>
      </c>
      <c r="Q1917" t="s">
        <v>7374</v>
      </c>
      <c r="R1917" s="184">
        <v>19847</v>
      </c>
      <c r="S1917">
        <v>70</v>
      </c>
      <c r="V1917" t="s">
        <v>4823</v>
      </c>
      <c r="X1917" t="s">
        <v>4824</v>
      </c>
      <c r="AF1917" t="s">
        <v>17883</v>
      </c>
      <c r="AG1917" t="s">
        <v>4823</v>
      </c>
      <c r="AI1917" t="s">
        <v>17884</v>
      </c>
      <c r="AM1917" t="s">
        <v>3109</v>
      </c>
      <c r="AN1917" t="s">
        <v>2081</v>
      </c>
      <c r="AO1917" t="s">
        <v>17885</v>
      </c>
      <c r="AP1917" t="s">
        <v>7024</v>
      </c>
      <c r="AT1917" s="184">
        <v>35207</v>
      </c>
      <c r="AU1917" t="s">
        <v>17886</v>
      </c>
      <c r="AV1917">
        <v>15</v>
      </c>
      <c r="AW1917" s="184">
        <v>45125</v>
      </c>
      <c r="AX1917" t="s">
        <v>17887</v>
      </c>
      <c r="AY1917">
        <v>5</v>
      </c>
      <c r="AZ1917" s="184">
        <v>44340</v>
      </c>
      <c r="BA1917" t="s">
        <v>17888</v>
      </c>
      <c r="BB1917">
        <v>15</v>
      </c>
      <c r="BC1917">
        <v>28</v>
      </c>
      <c r="BD1917">
        <v>110</v>
      </c>
      <c r="BE1917">
        <v>1996</v>
      </c>
      <c r="BF1917">
        <v>9</v>
      </c>
      <c r="BG1917">
        <v>1</v>
      </c>
      <c r="BH1917">
        <v>5</v>
      </c>
      <c r="BI1917">
        <v>8</v>
      </c>
      <c r="BJ1917">
        <v>29</v>
      </c>
      <c r="BK1917">
        <v>2</v>
      </c>
      <c r="BP1917" s="184"/>
    </row>
    <row r="1918" spans="1:68">
      <c r="A1918">
        <v>21602818</v>
      </c>
      <c r="B1918">
        <v>21602818</v>
      </c>
      <c r="C1918" t="s">
        <v>7018</v>
      </c>
      <c r="D1918" t="s">
        <v>595</v>
      </c>
      <c r="E1918" s="184">
        <v>44073</v>
      </c>
      <c r="G1918" s="184"/>
      <c r="I1918" s="184"/>
      <c r="K1918" s="184"/>
      <c r="M1918" s="184"/>
      <c r="O1918" s="184"/>
      <c r="P1918" t="s">
        <v>7045</v>
      </c>
      <c r="Q1918" t="s">
        <v>7262</v>
      </c>
      <c r="R1918" s="184">
        <v>21033</v>
      </c>
      <c r="S1918">
        <v>66</v>
      </c>
      <c r="U1918" t="s">
        <v>7076</v>
      </c>
      <c r="V1918" t="s">
        <v>2932</v>
      </c>
      <c r="X1918" t="s">
        <v>17889</v>
      </c>
      <c r="AF1918" t="s">
        <v>17890</v>
      </c>
      <c r="AG1918" t="s">
        <v>2932</v>
      </c>
      <c r="AI1918" t="s">
        <v>17891</v>
      </c>
      <c r="AM1918" t="s">
        <v>17892</v>
      </c>
      <c r="AN1918" t="s">
        <v>2106</v>
      </c>
      <c r="AO1918" t="s">
        <v>17893</v>
      </c>
      <c r="AP1918" t="s">
        <v>7024</v>
      </c>
      <c r="AQ1918" t="s">
        <v>17894</v>
      </c>
      <c r="AT1918" s="184">
        <v>35208</v>
      </c>
      <c r="AU1918" t="s">
        <v>17895</v>
      </c>
      <c r="AV1918">
        <v>15</v>
      </c>
      <c r="AW1918" s="184">
        <v>45404</v>
      </c>
      <c r="AX1918" t="s">
        <v>7429</v>
      </c>
      <c r="AY1918">
        <v>6</v>
      </c>
      <c r="AZ1918" s="184">
        <v>41315</v>
      </c>
      <c r="BA1918" t="s">
        <v>13151</v>
      </c>
      <c r="BB1918">
        <v>65</v>
      </c>
      <c r="BC1918">
        <v>87</v>
      </c>
      <c r="BD1918">
        <v>1611</v>
      </c>
      <c r="BE1918">
        <v>1996</v>
      </c>
      <c r="BF1918">
        <v>127</v>
      </c>
      <c r="BG1918">
        <v>24</v>
      </c>
      <c r="BH1918">
        <v>144</v>
      </c>
      <c r="BI1918">
        <v>25</v>
      </c>
      <c r="BJ1918">
        <v>29</v>
      </c>
      <c r="BK1918">
        <v>10</v>
      </c>
      <c r="BN1918" t="s">
        <v>595</v>
      </c>
      <c r="BP1918" s="184"/>
    </row>
    <row r="1919" spans="1:68">
      <c r="A1919">
        <v>21604939</v>
      </c>
      <c r="B1919">
        <v>21604939</v>
      </c>
      <c r="C1919" t="s">
        <v>7018</v>
      </c>
      <c r="D1919" t="s">
        <v>595</v>
      </c>
      <c r="E1919" s="184">
        <v>44167</v>
      </c>
      <c r="G1919" s="184"/>
      <c r="I1919" s="184"/>
      <c r="K1919" s="184"/>
      <c r="M1919" s="184"/>
      <c r="O1919" s="184"/>
      <c r="P1919" t="s">
        <v>7045</v>
      </c>
      <c r="Q1919" t="s">
        <v>7383</v>
      </c>
      <c r="R1919" s="184">
        <v>20409</v>
      </c>
      <c r="S1919">
        <v>68</v>
      </c>
      <c r="U1919" t="s">
        <v>7032</v>
      </c>
      <c r="V1919" t="s">
        <v>3131</v>
      </c>
      <c r="W1919" t="s">
        <v>7407</v>
      </c>
      <c r="X1919" t="s">
        <v>17896</v>
      </c>
      <c r="AF1919" t="s">
        <v>17897</v>
      </c>
      <c r="AG1919" t="s">
        <v>3131</v>
      </c>
      <c r="AI1919" t="s">
        <v>17898</v>
      </c>
      <c r="AM1919" t="s">
        <v>3783</v>
      </c>
      <c r="AN1919" t="s">
        <v>2139</v>
      </c>
      <c r="AO1919" t="s">
        <v>17899</v>
      </c>
      <c r="AP1919" t="s">
        <v>7024</v>
      </c>
      <c r="AT1919" s="184">
        <v>35208</v>
      </c>
      <c r="AU1919" t="s">
        <v>17900</v>
      </c>
      <c r="AV1919">
        <v>15</v>
      </c>
      <c r="AW1919" s="184">
        <v>45331</v>
      </c>
      <c r="AX1919" t="s">
        <v>17901</v>
      </c>
      <c r="AY1919">
        <v>100</v>
      </c>
      <c r="AZ1919" s="184">
        <v>45331</v>
      </c>
      <c r="BA1919" t="s">
        <v>17901</v>
      </c>
      <c r="BB1919">
        <v>100</v>
      </c>
      <c r="BC1919">
        <v>45</v>
      </c>
      <c r="BD1919">
        <v>515</v>
      </c>
      <c r="BE1919">
        <v>1996</v>
      </c>
      <c r="BF1919">
        <v>15</v>
      </c>
      <c r="BG1919">
        <v>3</v>
      </c>
      <c r="BH1919">
        <v>235</v>
      </c>
      <c r="BI1919">
        <v>13</v>
      </c>
      <c r="BJ1919">
        <v>29</v>
      </c>
      <c r="BK1919">
        <v>5</v>
      </c>
      <c r="BP1919" s="184"/>
    </row>
    <row r="1920" spans="1:68">
      <c r="A1920">
        <v>21609425</v>
      </c>
      <c r="B1920">
        <v>21609425</v>
      </c>
      <c r="C1920" t="s">
        <v>7018</v>
      </c>
      <c r="D1920" t="s">
        <v>595</v>
      </c>
      <c r="E1920" s="184">
        <v>43801</v>
      </c>
      <c r="G1920" s="184"/>
      <c r="I1920" s="184"/>
      <c r="K1920" s="184"/>
      <c r="M1920" s="184"/>
      <c r="O1920" s="184"/>
      <c r="P1920" t="s">
        <v>7045</v>
      </c>
      <c r="Q1920" t="s">
        <v>7194</v>
      </c>
      <c r="R1920" s="184">
        <v>13318</v>
      </c>
      <c r="S1920">
        <v>87</v>
      </c>
      <c r="U1920" t="s">
        <v>7031</v>
      </c>
      <c r="V1920" t="s">
        <v>4373</v>
      </c>
      <c r="X1920" t="s">
        <v>4374</v>
      </c>
      <c r="AF1920" t="s">
        <v>17902</v>
      </c>
      <c r="AG1920" t="s">
        <v>4373</v>
      </c>
      <c r="AI1920" t="s">
        <v>17903</v>
      </c>
      <c r="AM1920" t="s">
        <v>4375</v>
      </c>
      <c r="AN1920" t="s">
        <v>2046</v>
      </c>
      <c r="AO1920" t="s">
        <v>17904</v>
      </c>
      <c r="AP1920" t="s">
        <v>7024</v>
      </c>
      <c r="AT1920" s="184">
        <v>35208</v>
      </c>
      <c r="AU1920" t="s">
        <v>17905</v>
      </c>
      <c r="AV1920">
        <v>25</v>
      </c>
      <c r="AW1920" s="184">
        <v>44252</v>
      </c>
      <c r="AX1920" t="s">
        <v>17906</v>
      </c>
      <c r="AY1920">
        <v>100</v>
      </c>
      <c r="AZ1920" s="184">
        <v>44252</v>
      </c>
      <c r="BA1920" t="s">
        <v>17906</v>
      </c>
      <c r="BB1920">
        <v>100</v>
      </c>
      <c r="BC1920">
        <v>45</v>
      </c>
      <c r="BD1920">
        <v>535</v>
      </c>
      <c r="BE1920">
        <v>1996</v>
      </c>
      <c r="BF1920">
        <v>14</v>
      </c>
      <c r="BI1920">
        <v>13</v>
      </c>
      <c r="BJ1920">
        <v>29</v>
      </c>
      <c r="BK1920">
        <v>5</v>
      </c>
      <c r="BO1920" t="s">
        <v>595</v>
      </c>
      <c r="BP1920" s="184"/>
    </row>
    <row r="1921" spans="1:68">
      <c r="A1921">
        <v>21618756</v>
      </c>
      <c r="B1921">
        <v>21618756</v>
      </c>
      <c r="C1921" t="s">
        <v>7018</v>
      </c>
      <c r="D1921" t="s">
        <v>595</v>
      </c>
      <c r="E1921" s="184">
        <v>43857</v>
      </c>
      <c r="G1921" s="184"/>
      <c r="I1921" s="184"/>
      <c r="K1921" s="184"/>
      <c r="O1921" s="184"/>
      <c r="P1921" t="s">
        <v>7045</v>
      </c>
      <c r="Q1921" t="s">
        <v>7383</v>
      </c>
      <c r="R1921" s="184">
        <v>12020</v>
      </c>
      <c r="S1921">
        <v>91</v>
      </c>
      <c r="V1921" t="s">
        <v>2528</v>
      </c>
      <c r="X1921" t="s">
        <v>4559</v>
      </c>
      <c r="AF1921" t="s">
        <v>17907</v>
      </c>
      <c r="AG1921" t="s">
        <v>2528</v>
      </c>
      <c r="AI1921" t="s">
        <v>17908</v>
      </c>
      <c r="AM1921" t="s">
        <v>4560</v>
      </c>
      <c r="AN1921" t="s">
        <v>2274</v>
      </c>
      <c r="AO1921" t="s">
        <v>17909</v>
      </c>
      <c r="AP1921" t="s">
        <v>7024</v>
      </c>
      <c r="AT1921" s="184">
        <v>35209</v>
      </c>
      <c r="AU1921" t="s">
        <v>17910</v>
      </c>
      <c r="AV1921">
        <v>15</v>
      </c>
      <c r="AW1921" s="184">
        <v>43416</v>
      </c>
      <c r="AX1921" t="s">
        <v>17911</v>
      </c>
      <c r="AY1921">
        <v>100</v>
      </c>
      <c r="AZ1921" s="184">
        <v>43416</v>
      </c>
      <c r="BA1921" t="s">
        <v>17911</v>
      </c>
      <c r="BB1921">
        <v>100</v>
      </c>
      <c r="BC1921">
        <v>69</v>
      </c>
      <c r="BD1921">
        <v>905</v>
      </c>
      <c r="BE1921">
        <v>1996</v>
      </c>
      <c r="BF1921">
        <v>40</v>
      </c>
      <c r="BI1921">
        <v>20</v>
      </c>
      <c r="BJ1921">
        <v>29</v>
      </c>
      <c r="BK1921">
        <v>8</v>
      </c>
      <c r="BP1921" s="184"/>
    </row>
    <row r="1922" spans="1:68">
      <c r="A1922">
        <v>21650098</v>
      </c>
      <c r="B1922">
        <v>21650098</v>
      </c>
      <c r="C1922" t="s">
        <v>7018</v>
      </c>
      <c r="D1922" t="s">
        <v>595</v>
      </c>
      <c r="E1922" s="184">
        <v>45112</v>
      </c>
      <c r="G1922" s="184"/>
      <c r="I1922" s="184"/>
      <c r="K1922" s="184"/>
      <c r="M1922" s="184"/>
      <c r="O1922" s="184"/>
      <c r="P1922" t="s">
        <v>7045</v>
      </c>
      <c r="Q1922" t="s">
        <v>7383</v>
      </c>
      <c r="R1922" s="184">
        <v>26096</v>
      </c>
      <c r="S1922">
        <v>52</v>
      </c>
      <c r="V1922" t="s">
        <v>3522</v>
      </c>
      <c r="W1922" t="s">
        <v>7375</v>
      </c>
      <c r="X1922" t="s">
        <v>17912</v>
      </c>
      <c r="AF1922" t="s">
        <v>17913</v>
      </c>
      <c r="AG1922" t="s">
        <v>5990</v>
      </c>
      <c r="AI1922" t="s">
        <v>17914</v>
      </c>
      <c r="AM1922" t="s">
        <v>2974</v>
      </c>
      <c r="AN1922" t="s">
        <v>2072</v>
      </c>
      <c r="AO1922" t="s">
        <v>17915</v>
      </c>
      <c r="AP1922" t="s">
        <v>7024</v>
      </c>
      <c r="AQ1922" t="s">
        <v>17916</v>
      </c>
      <c r="AR1922" t="s">
        <v>17917</v>
      </c>
      <c r="AT1922" s="184">
        <v>35214</v>
      </c>
      <c r="AU1922" t="s">
        <v>17918</v>
      </c>
      <c r="AV1922">
        <v>15</v>
      </c>
      <c r="AW1922" s="184">
        <v>45093</v>
      </c>
      <c r="AX1922" t="s">
        <v>17919</v>
      </c>
      <c r="AY1922">
        <v>25</v>
      </c>
      <c r="AZ1922" s="184">
        <v>45093</v>
      </c>
      <c r="BA1922" t="s">
        <v>17919</v>
      </c>
      <c r="BB1922">
        <v>25</v>
      </c>
      <c r="BC1922">
        <v>52</v>
      </c>
      <c r="BD1922">
        <v>328</v>
      </c>
      <c r="BE1922">
        <v>1996</v>
      </c>
      <c r="BF1922">
        <v>16</v>
      </c>
      <c r="BG1922">
        <v>3</v>
      </c>
      <c r="BH1922">
        <v>70</v>
      </c>
      <c r="BI1922">
        <v>15</v>
      </c>
      <c r="BJ1922">
        <v>29</v>
      </c>
      <c r="BK1922">
        <v>9</v>
      </c>
      <c r="BP1922" s="184"/>
    </row>
    <row r="1923" spans="1:68">
      <c r="A1923">
        <v>21711999</v>
      </c>
      <c r="B1923">
        <v>21711999</v>
      </c>
      <c r="C1923" t="s">
        <v>7018</v>
      </c>
      <c r="D1923" t="s">
        <v>595</v>
      </c>
      <c r="E1923" s="184">
        <v>43642</v>
      </c>
      <c r="G1923" s="184"/>
      <c r="I1923" s="184"/>
      <c r="K1923" s="184"/>
      <c r="M1923" s="184"/>
      <c r="O1923" s="184"/>
      <c r="P1923" t="s">
        <v>7019</v>
      </c>
      <c r="Q1923" t="s">
        <v>7160</v>
      </c>
      <c r="R1923" s="184">
        <v>20363</v>
      </c>
      <c r="S1923">
        <v>68</v>
      </c>
      <c r="U1923" t="s">
        <v>7031</v>
      </c>
      <c r="V1923" t="s">
        <v>3246</v>
      </c>
      <c r="W1923" t="s">
        <v>7407</v>
      </c>
      <c r="X1923" t="s">
        <v>3265</v>
      </c>
      <c r="AF1923" t="s">
        <v>17920</v>
      </c>
      <c r="AG1923" t="s">
        <v>3246</v>
      </c>
      <c r="AI1923" t="s">
        <v>17921</v>
      </c>
      <c r="AM1923" t="s">
        <v>3787</v>
      </c>
      <c r="AN1923" t="s">
        <v>2413</v>
      </c>
      <c r="AO1923" t="s">
        <v>17922</v>
      </c>
      <c r="AP1923" t="s">
        <v>7024</v>
      </c>
      <c r="AQ1923" t="s">
        <v>17923</v>
      </c>
      <c r="AT1923" s="184">
        <v>35172</v>
      </c>
      <c r="AU1923" t="s">
        <v>17924</v>
      </c>
      <c r="AV1923">
        <v>20</v>
      </c>
      <c r="AW1923" s="184">
        <v>45236</v>
      </c>
      <c r="AX1923" t="s">
        <v>17925</v>
      </c>
      <c r="AY1923">
        <v>35</v>
      </c>
      <c r="AZ1923" s="184">
        <v>44950</v>
      </c>
      <c r="BA1923" t="s">
        <v>17926</v>
      </c>
      <c r="BB1923">
        <v>87</v>
      </c>
      <c r="BC1923">
        <v>87</v>
      </c>
      <c r="BD1923">
        <v>3357</v>
      </c>
      <c r="BE1923">
        <v>1996</v>
      </c>
      <c r="BF1923">
        <v>91</v>
      </c>
      <c r="BG1923">
        <v>2</v>
      </c>
      <c r="BH1923">
        <v>122</v>
      </c>
      <c r="BI1923">
        <v>25</v>
      </c>
      <c r="BJ1923">
        <v>29</v>
      </c>
      <c r="BK1923">
        <v>22</v>
      </c>
      <c r="BP1923" s="184"/>
    </row>
    <row r="1924" spans="1:68">
      <c r="A1924">
        <v>21939954</v>
      </c>
      <c r="B1924">
        <v>21939954</v>
      </c>
      <c r="C1924" t="s">
        <v>7018</v>
      </c>
      <c r="E1924" s="184"/>
      <c r="F1924" t="s">
        <v>595</v>
      </c>
      <c r="G1924" s="184">
        <v>43731</v>
      </c>
      <c r="I1924" s="184"/>
      <c r="K1924" s="184"/>
      <c r="O1924" s="184"/>
      <c r="P1924" t="s">
        <v>7045</v>
      </c>
      <c r="Q1924" t="s">
        <v>7262</v>
      </c>
      <c r="R1924" s="184">
        <v>16558</v>
      </c>
      <c r="S1924">
        <v>79</v>
      </c>
      <c r="U1924" t="s">
        <v>7130</v>
      </c>
      <c r="V1924" t="s">
        <v>2779</v>
      </c>
      <c r="W1924" t="s">
        <v>3043</v>
      </c>
      <c r="X1924" t="s">
        <v>3964</v>
      </c>
      <c r="AF1924" t="s">
        <v>17927</v>
      </c>
      <c r="AG1924" t="s">
        <v>2779</v>
      </c>
      <c r="AI1924" t="s">
        <v>17928</v>
      </c>
      <c r="AM1924" t="s">
        <v>3965</v>
      </c>
      <c r="AN1924" t="s">
        <v>2266</v>
      </c>
      <c r="AO1924" t="s">
        <v>17929</v>
      </c>
      <c r="AP1924" t="s">
        <v>7024</v>
      </c>
      <c r="AQ1924" t="s">
        <v>17930</v>
      </c>
      <c r="AR1924" t="s">
        <v>17931</v>
      </c>
      <c r="AT1924" s="184">
        <v>35187</v>
      </c>
      <c r="AU1924" t="s">
        <v>17932</v>
      </c>
      <c r="AV1924">
        <v>2</v>
      </c>
      <c r="AW1924" s="184">
        <v>43203</v>
      </c>
      <c r="AX1924" t="s">
        <v>17933</v>
      </c>
      <c r="AY1924">
        <v>15</v>
      </c>
      <c r="AZ1924" s="184">
        <v>38250</v>
      </c>
      <c r="BA1924" t="s">
        <v>17934</v>
      </c>
      <c r="BB1924">
        <v>60</v>
      </c>
      <c r="BC1924">
        <v>32</v>
      </c>
      <c r="BD1924">
        <v>210</v>
      </c>
      <c r="BE1924">
        <v>1996</v>
      </c>
      <c r="BF1924">
        <v>13</v>
      </c>
      <c r="BI1924">
        <v>9</v>
      </c>
      <c r="BJ1924">
        <v>29</v>
      </c>
      <c r="BK1924">
        <v>2</v>
      </c>
      <c r="BP1924" s="184"/>
    </row>
    <row r="1925" spans="1:68">
      <c r="A1925">
        <v>21946421</v>
      </c>
      <c r="B1925">
        <v>21946421</v>
      </c>
      <c r="C1925" t="s">
        <v>7018</v>
      </c>
      <c r="E1925" s="184"/>
      <c r="G1925" s="184"/>
      <c r="I1925" s="184"/>
      <c r="K1925" s="184"/>
      <c r="M1925" s="184"/>
      <c r="N1925" t="s">
        <v>595</v>
      </c>
      <c r="O1925" s="184">
        <v>42019</v>
      </c>
      <c r="P1925" t="s">
        <v>7045</v>
      </c>
      <c r="Q1925" t="s">
        <v>7383</v>
      </c>
      <c r="R1925" s="184">
        <v>14060</v>
      </c>
      <c r="S1925">
        <v>85</v>
      </c>
      <c r="U1925" t="s">
        <v>7031</v>
      </c>
      <c r="V1925" t="s">
        <v>5784</v>
      </c>
      <c r="W1925" t="s">
        <v>4382</v>
      </c>
      <c r="X1925" t="s">
        <v>2772</v>
      </c>
      <c r="AF1925" t="s">
        <v>17935</v>
      </c>
      <c r="AG1925" t="s">
        <v>5784</v>
      </c>
      <c r="AI1925" t="s">
        <v>17936</v>
      </c>
      <c r="AM1925" t="s">
        <v>3357</v>
      </c>
      <c r="AN1925" t="s">
        <v>2185</v>
      </c>
      <c r="AO1925" t="s">
        <v>17937</v>
      </c>
      <c r="AP1925" t="s">
        <v>7024</v>
      </c>
      <c r="AQ1925" t="s">
        <v>17938</v>
      </c>
      <c r="AT1925" s="184">
        <v>36493</v>
      </c>
      <c r="AU1925" t="s">
        <v>17939</v>
      </c>
      <c r="AV1925">
        <v>25</v>
      </c>
      <c r="AW1925" s="184">
        <v>45337</v>
      </c>
      <c r="AX1925" t="s">
        <v>17940</v>
      </c>
      <c r="AY1925">
        <v>50</v>
      </c>
      <c r="AZ1925" s="184">
        <v>42019</v>
      </c>
      <c r="BA1925" t="s">
        <v>7042</v>
      </c>
      <c r="BB1925">
        <v>20017.5</v>
      </c>
      <c r="BC1925">
        <v>100</v>
      </c>
      <c r="BD1925">
        <v>21002.5</v>
      </c>
      <c r="BE1925">
        <v>2000</v>
      </c>
      <c r="BF1925">
        <v>30</v>
      </c>
      <c r="BG1925">
        <v>2</v>
      </c>
      <c r="BH1925">
        <v>100</v>
      </c>
      <c r="BI1925">
        <v>26</v>
      </c>
      <c r="BJ1925">
        <v>26</v>
      </c>
      <c r="BK1925">
        <v>26</v>
      </c>
      <c r="BP1925" s="184"/>
    </row>
    <row r="1926" spans="1:68">
      <c r="A1926">
        <v>22099097</v>
      </c>
      <c r="B1926">
        <v>22099097</v>
      </c>
      <c r="C1926" t="s">
        <v>7018</v>
      </c>
      <c r="D1926" t="s">
        <v>595</v>
      </c>
      <c r="E1926" s="184">
        <v>45195</v>
      </c>
      <c r="G1926" s="184"/>
      <c r="I1926" s="184"/>
      <c r="K1926" s="184"/>
      <c r="M1926" s="184"/>
      <c r="O1926" s="184"/>
      <c r="P1926" t="s">
        <v>7045</v>
      </c>
      <c r="Q1926" t="s">
        <v>7494</v>
      </c>
      <c r="R1926" s="184">
        <v>17168</v>
      </c>
      <c r="S1926">
        <v>77</v>
      </c>
      <c r="U1926" t="s">
        <v>7031</v>
      </c>
      <c r="V1926" t="s">
        <v>17941</v>
      </c>
      <c r="X1926" t="s">
        <v>2814</v>
      </c>
      <c r="Z1926">
        <v>100181240</v>
      </c>
      <c r="AB1926" t="s">
        <v>3290</v>
      </c>
      <c r="AD1926" t="s">
        <v>2814</v>
      </c>
      <c r="AF1926" t="s">
        <v>17942</v>
      </c>
      <c r="AG1926" t="s">
        <v>17941</v>
      </c>
      <c r="AI1926" t="s">
        <v>17943</v>
      </c>
      <c r="AM1926" t="s">
        <v>3881</v>
      </c>
      <c r="AN1926" t="s">
        <v>2174</v>
      </c>
      <c r="AO1926" t="s">
        <v>17944</v>
      </c>
      <c r="AP1926" t="s">
        <v>7024</v>
      </c>
      <c r="AQ1926" t="s">
        <v>17945</v>
      </c>
      <c r="AT1926" s="184">
        <v>35405</v>
      </c>
      <c r="AU1926" t="s">
        <v>17946</v>
      </c>
      <c r="AV1926">
        <v>5</v>
      </c>
      <c r="AW1926" s="184">
        <v>45399</v>
      </c>
      <c r="AX1926" t="s">
        <v>14823</v>
      </c>
      <c r="AY1926">
        <v>25</v>
      </c>
      <c r="AZ1926" s="184">
        <v>44158</v>
      </c>
      <c r="BA1926" t="s">
        <v>17947</v>
      </c>
      <c r="BB1926">
        <v>60</v>
      </c>
      <c r="BC1926">
        <v>69</v>
      </c>
      <c r="BD1926">
        <v>765</v>
      </c>
      <c r="BE1926">
        <v>1997</v>
      </c>
      <c r="BF1926">
        <v>30</v>
      </c>
      <c r="BG1926">
        <v>4</v>
      </c>
      <c r="BH1926">
        <v>125</v>
      </c>
      <c r="BI1926">
        <v>20</v>
      </c>
      <c r="BJ1926">
        <v>29</v>
      </c>
      <c r="BK1926">
        <v>12</v>
      </c>
      <c r="BP1926" s="184"/>
    </row>
    <row r="1927" spans="1:68">
      <c r="A1927">
        <v>100181240</v>
      </c>
      <c r="B1927">
        <v>22099097</v>
      </c>
      <c r="C1927" t="s">
        <v>7018</v>
      </c>
      <c r="D1927" t="s">
        <v>595</v>
      </c>
      <c r="E1927" s="184">
        <v>45195</v>
      </c>
      <c r="G1927" s="184"/>
      <c r="I1927" s="184"/>
      <c r="K1927" s="184"/>
      <c r="M1927" s="184"/>
      <c r="P1927" t="s">
        <v>7045</v>
      </c>
      <c r="Q1927" t="s">
        <v>7494</v>
      </c>
      <c r="R1927" s="184">
        <v>17196</v>
      </c>
      <c r="S1927">
        <v>77</v>
      </c>
      <c r="V1927" t="s">
        <v>3290</v>
      </c>
      <c r="X1927" t="s">
        <v>2814</v>
      </c>
      <c r="Z1927">
        <v>22099097</v>
      </c>
      <c r="AA1927" t="s">
        <v>7031</v>
      </c>
      <c r="AB1927" t="s">
        <v>17941</v>
      </c>
      <c r="AD1927" t="s">
        <v>2814</v>
      </c>
      <c r="AF1927" t="s">
        <v>17942</v>
      </c>
      <c r="AG1927" t="s">
        <v>17941</v>
      </c>
      <c r="AI1927" t="s">
        <v>17943</v>
      </c>
      <c r="AM1927" t="s">
        <v>3881</v>
      </c>
      <c r="AN1927" t="s">
        <v>2174</v>
      </c>
      <c r="AO1927" t="s">
        <v>17944</v>
      </c>
      <c r="AP1927" t="s">
        <v>7024</v>
      </c>
      <c r="AT1927" s="184"/>
      <c r="AW1927" s="184"/>
      <c r="AZ1927" s="184"/>
      <c r="BO1927" t="s">
        <v>595</v>
      </c>
      <c r="BP1927" s="184"/>
    </row>
    <row r="1928" spans="1:68">
      <c r="A1928">
        <v>22605588</v>
      </c>
      <c r="B1928">
        <v>22605588</v>
      </c>
      <c r="C1928" t="s">
        <v>7018</v>
      </c>
      <c r="E1928" s="184"/>
      <c r="G1928" s="184"/>
      <c r="I1928" s="184"/>
      <c r="K1928" s="184"/>
      <c r="L1928" t="s">
        <v>595</v>
      </c>
      <c r="M1928" s="184">
        <v>44167</v>
      </c>
      <c r="O1928" s="184"/>
      <c r="P1928" t="s">
        <v>7045</v>
      </c>
      <c r="Q1928" t="s">
        <v>7194</v>
      </c>
      <c r="R1928" s="184"/>
      <c r="U1928" t="s">
        <v>7237</v>
      </c>
      <c r="V1928" t="s">
        <v>3496</v>
      </c>
      <c r="W1928" t="s">
        <v>7356</v>
      </c>
      <c r="X1928" t="s">
        <v>3625</v>
      </c>
      <c r="AF1928" t="s">
        <v>17948</v>
      </c>
      <c r="AG1928" t="s">
        <v>3496</v>
      </c>
      <c r="AI1928" t="s">
        <v>17949</v>
      </c>
      <c r="AM1928" t="s">
        <v>17950</v>
      </c>
      <c r="AN1928" t="s">
        <v>2046</v>
      </c>
      <c r="AO1928" t="s">
        <v>17951</v>
      </c>
      <c r="AP1928" t="s">
        <v>7024</v>
      </c>
      <c r="AT1928" s="184">
        <v>35216</v>
      </c>
      <c r="AU1928" t="s">
        <v>17952</v>
      </c>
      <c r="AV1928">
        <v>10</v>
      </c>
      <c r="AW1928" s="184">
        <v>45289</v>
      </c>
      <c r="AX1928" t="s">
        <v>7742</v>
      </c>
      <c r="AY1928">
        <v>300</v>
      </c>
      <c r="AZ1928" s="184">
        <v>44186</v>
      </c>
      <c r="BA1928" t="s">
        <v>17953</v>
      </c>
      <c r="BB1928">
        <v>500</v>
      </c>
      <c r="BC1928">
        <v>11</v>
      </c>
      <c r="BD1928">
        <v>810</v>
      </c>
      <c r="BE1928">
        <v>1996</v>
      </c>
      <c r="BF1928">
        <v>3</v>
      </c>
      <c r="BG1928">
        <v>1</v>
      </c>
      <c r="BH1928">
        <v>300</v>
      </c>
      <c r="BI1928">
        <v>3</v>
      </c>
      <c r="BJ1928">
        <v>29</v>
      </c>
      <c r="BK1928">
        <v>1</v>
      </c>
      <c r="BO1928" t="s">
        <v>595</v>
      </c>
      <c r="BP1928" s="184"/>
    </row>
    <row r="1929" spans="1:68">
      <c r="A1929">
        <v>22619910</v>
      </c>
      <c r="B1929">
        <v>22619910</v>
      </c>
      <c r="C1929" t="s">
        <v>7018</v>
      </c>
      <c r="D1929" t="s">
        <v>595</v>
      </c>
      <c r="E1929" s="184">
        <v>43970</v>
      </c>
      <c r="G1929" s="184"/>
      <c r="I1929" s="184"/>
      <c r="K1929" s="184"/>
      <c r="O1929" s="184"/>
      <c r="P1929" t="s">
        <v>7045</v>
      </c>
      <c r="Q1929" t="s">
        <v>7383</v>
      </c>
      <c r="R1929" s="184">
        <v>23123</v>
      </c>
      <c r="S1929">
        <v>61</v>
      </c>
      <c r="V1929" t="s">
        <v>17954</v>
      </c>
      <c r="X1929" t="s">
        <v>17955</v>
      </c>
      <c r="AF1929" t="s">
        <v>17956</v>
      </c>
      <c r="AG1929" t="s">
        <v>17954</v>
      </c>
      <c r="AI1929" t="s">
        <v>17957</v>
      </c>
      <c r="AM1929" t="s">
        <v>3040</v>
      </c>
      <c r="AN1929" t="s">
        <v>2072</v>
      </c>
      <c r="AO1929" t="s">
        <v>17958</v>
      </c>
      <c r="AP1929" t="s">
        <v>7024</v>
      </c>
      <c r="AT1929" s="184">
        <v>35216</v>
      </c>
      <c r="AU1929" t="s">
        <v>17959</v>
      </c>
      <c r="AV1929">
        <v>25</v>
      </c>
      <c r="AW1929" s="184">
        <v>45338</v>
      </c>
      <c r="AX1929" t="s">
        <v>13596</v>
      </c>
      <c r="AY1929">
        <v>50</v>
      </c>
      <c r="AZ1929" s="184">
        <v>45338</v>
      </c>
      <c r="BA1929" t="s">
        <v>13596</v>
      </c>
      <c r="BB1929">
        <v>50</v>
      </c>
      <c r="BC1929">
        <v>100</v>
      </c>
      <c r="BD1929">
        <v>1745</v>
      </c>
      <c r="BE1929">
        <v>1996</v>
      </c>
      <c r="BF1929">
        <v>49</v>
      </c>
      <c r="BG1929">
        <v>2</v>
      </c>
      <c r="BH1929">
        <v>100</v>
      </c>
      <c r="BI1929">
        <v>29</v>
      </c>
      <c r="BJ1929">
        <v>29</v>
      </c>
      <c r="BK1929">
        <v>29</v>
      </c>
      <c r="BP1929" s="184"/>
    </row>
    <row r="1930" spans="1:68">
      <c r="A1930">
        <v>22630842</v>
      </c>
      <c r="B1930">
        <v>22630842</v>
      </c>
      <c r="C1930" t="s">
        <v>7018</v>
      </c>
      <c r="D1930" t="s">
        <v>595</v>
      </c>
      <c r="E1930" s="184">
        <v>45196</v>
      </c>
      <c r="G1930" s="184"/>
      <c r="I1930" s="184"/>
      <c r="K1930" s="184"/>
      <c r="M1930" s="184"/>
      <c r="O1930" s="184"/>
      <c r="P1930" t="s">
        <v>7019</v>
      </c>
      <c r="Q1930" t="s">
        <v>7160</v>
      </c>
      <c r="R1930" s="184">
        <v>18909</v>
      </c>
      <c r="S1930">
        <v>72</v>
      </c>
      <c r="U1930" t="s">
        <v>7031</v>
      </c>
      <c r="V1930" t="s">
        <v>17960</v>
      </c>
      <c r="W1930" t="s">
        <v>4327</v>
      </c>
      <c r="X1930" t="s">
        <v>4184</v>
      </c>
      <c r="AF1930" t="s">
        <v>17961</v>
      </c>
      <c r="AG1930" t="s">
        <v>17960</v>
      </c>
      <c r="AI1930" t="s">
        <v>17962</v>
      </c>
      <c r="AM1930" t="s">
        <v>17963</v>
      </c>
      <c r="AN1930" t="s">
        <v>2413</v>
      </c>
      <c r="AO1930" t="s">
        <v>17964</v>
      </c>
      <c r="AP1930" t="s">
        <v>7024</v>
      </c>
      <c r="AQ1930" t="s">
        <v>17965</v>
      </c>
      <c r="AT1930" s="184">
        <v>35220</v>
      </c>
      <c r="AU1930" t="s">
        <v>17966</v>
      </c>
      <c r="AV1930">
        <v>25</v>
      </c>
      <c r="AW1930" s="184">
        <v>44495</v>
      </c>
      <c r="AX1930" t="s">
        <v>17967</v>
      </c>
      <c r="AY1930">
        <v>60</v>
      </c>
      <c r="AZ1930" s="184">
        <v>44495</v>
      </c>
      <c r="BA1930" t="s">
        <v>17967</v>
      </c>
      <c r="BB1930">
        <v>60</v>
      </c>
      <c r="BC1930">
        <v>18</v>
      </c>
      <c r="BD1930">
        <v>155</v>
      </c>
      <c r="BE1930">
        <v>1996</v>
      </c>
      <c r="BF1930">
        <v>5</v>
      </c>
      <c r="BI1930">
        <v>5</v>
      </c>
      <c r="BJ1930">
        <v>29</v>
      </c>
      <c r="BK1930">
        <v>3</v>
      </c>
      <c r="BP1930" s="184"/>
    </row>
    <row r="1931" spans="1:68">
      <c r="A1931">
        <v>22638563</v>
      </c>
      <c r="B1931">
        <v>22638563</v>
      </c>
      <c r="C1931" t="s">
        <v>7018</v>
      </c>
      <c r="E1931" s="184"/>
      <c r="G1931" s="184"/>
      <c r="I1931" s="184"/>
      <c r="J1931" t="s">
        <v>595</v>
      </c>
      <c r="K1931" s="184">
        <v>37433</v>
      </c>
      <c r="O1931" s="184"/>
      <c r="P1931" t="s">
        <v>7045</v>
      </c>
      <c r="Q1931" t="s">
        <v>7030</v>
      </c>
      <c r="R1931" s="184">
        <v>11215</v>
      </c>
      <c r="S1931">
        <v>93</v>
      </c>
      <c r="U1931" t="s">
        <v>7076</v>
      </c>
      <c r="V1931" t="s">
        <v>2609</v>
      </c>
      <c r="W1931" t="s">
        <v>4152</v>
      </c>
      <c r="X1931" t="s">
        <v>17968</v>
      </c>
      <c r="AF1931" t="s">
        <v>6600</v>
      </c>
      <c r="AG1931" t="s">
        <v>2609</v>
      </c>
      <c r="AI1931" t="s">
        <v>17969</v>
      </c>
      <c r="AM1931" t="s">
        <v>4209</v>
      </c>
      <c r="AN1931" t="s">
        <v>2201</v>
      </c>
      <c r="AO1931" t="s">
        <v>17970</v>
      </c>
      <c r="AP1931" t="s">
        <v>7024</v>
      </c>
      <c r="AQ1931" t="s">
        <v>17971</v>
      </c>
      <c r="AR1931" t="s">
        <v>17972</v>
      </c>
      <c r="AT1931" s="184">
        <v>35222</v>
      </c>
      <c r="AU1931" t="s">
        <v>17973</v>
      </c>
      <c r="AV1931">
        <v>15</v>
      </c>
      <c r="AW1931" s="184">
        <v>44033</v>
      </c>
      <c r="AX1931" t="s">
        <v>17974</v>
      </c>
      <c r="AY1931">
        <v>20</v>
      </c>
      <c r="AZ1931" s="184">
        <v>42599</v>
      </c>
      <c r="BA1931" t="s">
        <v>17975</v>
      </c>
      <c r="BB1931">
        <v>60</v>
      </c>
      <c r="BC1931">
        <v>49</v>
      </c>
      <c r="BD1931">
        <v>478</v>
      </c>
      <c r="BE1931">
        <v>1996</v>
      </c>
      <c r="BF1931">
        <v>15</v>
      </c>
      <c r="BI1931">
        <v>14</v>
      </c>
      <c r="BJ1931">
        <v>29</v>
      </c>
      <c r="BK1931">
        <v>6</v>
      </c>
      <c r="BM1931" t="s">
        <v>595</v>
      </c>
      <c r="BP1931" s="184"/>
    </row>
    <row r="1932" spans="1:68">
      <c r="A1932">
        <v>22643696</v>
      </c>
      <c r="B1932">
        <v>22643696</v>
      </c>
      <c r="C1932" t="s">
        <v>7018</v>
      </c>
      <c r="D1932" t="s">
        <v>595</v>
      </c>
      <c r="E1932" s="184">
        <v>43642</v>
      </c>
      <c r="G1932" s="184"/>
      <c r="I1932" s="184"/>
      <c r="K1932" s="184"/>
      <c r="O1932" s="184"/>
      <c r="P1932" t="s">
        <v>7045</v>
      </c>
      <c r="Q1932" t="s">
        <v>7383</v>
      </c>
      <c r="R1932" s="184">
        <v>14708</v>
      </c>
      <c r="S1932">
        <v>84</v>
      </c>
      <c r="V1932" t="s">
        <v>2697</v>
      </c>
      <c r="W1932" t="s">
        <v>7268</v>
      </c>
      <c r="X1932" t="s">
        <v>3267</v>
      </c>
      <c r="AF1932" t="s">
        <v>17976</v>
      </c>
      <c r="AG1932" t="s">
        <v>2697</v>
      </c>
      <c r="AI1932" t="s">
        <v>17977</v>
      </c>
      <c r="AM1932" t="s">
        <v>3268</v>
      </c>
      <c r="AN1932" t="s">
        <v>2274</v>
      </c>
      <c r="AO1932" t="s">
        <v>17978</v>
      </c>
      <c r="AP1932" t="s">
        <v>7024</v>
      </c>
      <c r="AQ1932" t="s">
        <v>17979</v>
      </c>
      <c r="AT1932" s="184">
        <v>35223</v>
      </c>
      <c r="AU1932" t="s">
        <v>17959</v>
      </c>
      <c r="AV1932">
        <v>20</v>
      </c>
      <c r="AW1932" s="184">
        <v>44771</v>
      </c>
      <c r="AX1932" t="s">
        <v>17980</v>
      </c>
      <c r="AY1932">
        <v>25</v>
      </c>
      <c r="AZ1932" s="184">
        <v>44735</v>
      </c>
      <c r="BA1932" t="s">
        <v>7041</v>
      </c>
      <c r="BB1932">
        <v>30</v>
      </c>
      <c r="BC1932">
        <v>90</v>
      </c>
      <c r="BD1932">
        <v>1855</v>
      </c>
      <c r="BE1932">
        <v>1996</v>
      </c>
      <c r="BF1932">
        <v>78</v>
      </c>
      <c r="BG1932">
        <v>2</v>
      </c>
      <c r="BH1932">
        <v>55</v>
      </c>
      <c r="BI1932">
        <v>26</v>
      </c>
      <c r="BJ1932">
        <v>29</v>
      </c>
      <c r="BK1932">
        <v>24</v>
      </c>
      <c r="BN1932" t="s">
        <v>595</v>
      </c>
      <c r="BP1932" s="184"/>
    </row>
    <row r="1933" spans="1:68">
      <c r="A1933">
        <v>22680557</v>
      </c>
      <c r="B1933">
        <v>22680557</v>
      </c>
      <c r="C1933" t="s">
        <v>7018</v>
      </c>
      <c r="E1933" s="184"/>
      <c r="G1933" s="184"/>
      <c r="I1933" s="184"/>
      <c r="J1933" t="s">
        <v>595</v>
      </c>
      <c r="K1933" s="184">
        <v>44789</v>
      </c>
      <c r="M1933" s="184"/>
      <c r="O1933" s="184"/>
      <c r="P1933" t="s">
        <v>7045</v>
      </c>
      <c r="Q1933" t="s">
        <v>7262</v>
      </c>
      <c r="R1933" s="184">
        <v>12068</v>
      </c>
      <c r="S1933">
        <v>91</v>
      </c>
      <c r="U1933" t="s">
        <v>7076</v>
      </c>
      <c r="V1933" t="s">
        <v>4136</v>
      </c>
      <c r="W1933" t="s">
        <v>4139</v>
      </c>
      <c r="X1933" t="s">
        <v>17981</v>
      </c>
      <c r="AF1933" t="s">
        <v>17982</v>
      </c>
      <c r="AG1933" t="s">
        <v>4136</v>
      </c>
      <c r="AI1933" t="s">
        <v>17983</v>
      </c>
      <c r="AJ1933" t="s">
        <v>17984</v>
      </c>
      <c r="AM1933" t="s">
        <v>17985</v>
      </c>
      <c r="AN1933" t="s">
        <v>2106</v>
      </c>
      <c r="AO1933" t="s">
        <v>17986</v>
      </c>
      <c r="AP1933" t="s">
        <v>7024</v>
      </c>
      <c r="AQ1933" t="s">
        <v>17987</v>
      </c>
      <c r="AT1933" s="184">
        <v>35226</v>
      </c>
      <c r="AU1933" t="s">
        <v>17988</v>
      </c>
      <c r="AV1933">
        <v>25</v>
      </c>
      <c r="AW1933" s="184">
        <v>42240</v>
      </c>
      <c r="AX1933" t="s">
        <v>17989</v>
      </c>
      <c r="AY1933">
        <v>50</v>
      </c>
      <c r="AZ1933" s="184">
        <v>42062</v>
      </c>
      <c r="BA1933" t="s">
        <v>17990</v>
      </c>
      <c r="BB1933">
        <v>100</v>
      </c>
      <c r="BC1933">
        <v>69</v>
      </c>
      <c r="BD1933">
        <v>2245</v>
      </c>
      <c r="BE1933">
        <v>1996</v>
      </c>
      <c r="BF1933">
        <v>56</v>
      </c>
      <c r="BI1933">
        <v>20</v>
      </c>
      <c r="BJ1933">
        <v>29</v>
      </c>
      <c r="BK1933">
        <v>20</v>
      </c>
      <c r="BN1933" t="s">
        <v>595</v>
      </c>
      <c r="BO1933" t="s">
        <v>595</v>
      </c>
      <c r="BP1933" s="184">
        <v>44668</v>
      </c>
    </row>
    <row r="1934" spans="1:68">
      <c r="A1934">
        <v>22733406</v>
      </c>
      <c r="B1934">
        <v>22733406</v>
      </c>
      <c r="C1934" t="s">
        <v>7018</v>
      </c>
      <c r="E1934" s="184"/>
      <c r="F1934" t="s">
        <v>595</v>
      </c>
      <c r="G1934" s="184">
        <v>44104</v>
      </c>
      <c r="I1934" s="184"/>
      <c r="K1934" s="184"/>
      <c r="M1934" s="184"/>
      <c r="O1934" s="184"/>
      <c r="P1934" t="s">
        <v>7045</v>
      </c>
      <c r="Q1934" t="s">
        <v>7020</v>
      </c>
      <c r="R1934" s="184">
        <v>20090</v>
      </c>
      <c r="S1934">
        <v>69</v>
      </c>
      <c r="U1934" t="s">
        <v>7031</v>
      </c>
      <c r="V1934" t="s">
        <v>3080</v>
      </c>
      <c r="W1934" t="s">
        <v>4139</v>
      </c>
      <c r="X1934" t="s">
        <v>17991</v>
      </c>
      <c r="AF1934" t="s">
        <v>17992</v>
      </c>
      <c r="AG1934" t="s">
        <v>3080</v>
      </c>
      <c r="AI1934" t="s">
        <v>8170</v>
      </c>
      <c r="AM1934" t="s">
        <v>17993</v>
      </c>
      <c r="AN1934" t="s">
        <v>2255</v>
      </c>
      <c r="AO1934" t="s">
        <v>17994</v>
      </c>
      <c r="AP1934" t="s">
        <v>7024</v>
      </c>
      <c r="AQ1934" t="s">
        <v>17995</v>
      </c>
      <c r="AT1934" s="184">
        <v>35229</v>
      </c>
      <c r="AU1934" t="s">
        <v>17996</v>
      </c>
      <c r="AV1934">
        <v>50</v>
      </c>
      <c r="AW1934" s="184">
        <v>45154</v>
      </c>
      <c r="AX1934" t="s">
        <v>17997</v>
      </c>
      <c r="AY1934">
        <v>50</v>
      </c>
      <c r="AZ1934" s="184">
        <v>36560</v>
      </c>
      <c r="BA1934" t="s">
        <v>17998</v>
      </c>
      <c r="BB1934">
        <v>100</v>
      </c>
      <c r="BC1934">
        <v>80</v>
      </c>
      <c r="BD1934">
        <v>2716.86</v>
      </c>
      <c r="BE1934">
        <v>1996</v>
      </c>
      <c r="BF1934">
        <v>53</v>
      </c>
      <c r="BG1934">
        <v>4</v>
      </c>
      <c r="BH1934">
        <v>200</v>
      </c>
      <c r="BI1934">
        <v>23</v>
      </c>
      <c r="BJ1934">
        <v>29</v>
      </c>
      <c r="BK1934">
        <v>11</v>
      </c>
      <c r="BP1934" s="184"/>
    </row>
    <row r="1935" spans="1:68">
      <c r="A1935">
        <v>22751739</v>
      </c>
      <c r="B1935">
        <v>22751739</v>
      </c>
      <c r="C1935" t="s">
        <v>7018</v>
      </c>
      <c r="E1935" s="184"/>
      <c r="G1935" s="184"/>
      <c r="I1935" s="184"/>
      <c r="J1935" t="s">
        <v>595</v>
      </c>
      <c r="K1935" s="184">
        <v>44564</v>
      </c>
      <c r="M1935" s="184"/>
      <c r="O1935" s="184"/>
      <c r="P1935" t="s">
        <v>7084</v>
      </c>
      <c r="Q1935" t="s">
        <v>7383</v>
      </c>
      <c r="R1935" s="184">
        <v>15059</v>
      </c>
      <c r="S1935">
        <v>83</v>
      </c>
      <c r="U1935" t="s">
        <v>7031</v>
      </c>
      <c r="V1935" t="s">
        <v>3103</v>
      </c>
      <c r="X1935" t="s">
        <v>17999</v>
      </c>
      <c r="AF1935" t="s">
        <v>18000</v>
      </c>
      <c r="AG1935" t="s">
        <v>3103</v>
      </c>
      <c r="AI1935" t="s">
        <v>18001</v>
      </c>
      <c r="AM1935" t="s">
        <v>3176</v>
      </c>
      <c r="AN1935" t="s">
        <v>2313</v>
      </c>
      <c r="AO1935" t="s">
        <v>18002</v>
      </c>
      <c r="AP1935" t="s">
        <v>7024</v>
      </c>
      <c r="AQ1935" t="s">
        <v>18003</v>
      </c>
      <c r="AT1935" s="184">
        <v>35228</v>
      </c>
      <c r="AU1935" t="s">
        <v>18004</v>
      </c>
      <c r="AV1935">
        <v>25</v>
      </c>
      <c r="AW1935" s="184">
        <v>45061</v>
      </c>
      <c r="AX1935" t="s">
        <v>7721</v>
      </c>
      <c r="AY1935">
        <v>3037.84</v>
      </c>
      <c r="AZ1935" s="184">
        <v>44950</v>
      </c>
      <c r="BA1935" t="s">
        <v>7721</v>
      </c>
      <c r="BB1935">
        <v>14940</v>
      </c>
      <c r="BC1935">
        <v>76</v>
      </c>
      <c r="BD1935">
        <v>18702.34</v>
      </c>
      <c r="BE1935">
        <v>1996</v>
      </c>
      <c r="BF1935">
        <v>24</v>
      </c>
      <c r="BG1935">
        <v>2</v>
      </c>
      <c r="BH1935">
        <v>17977.84</v>
      </c>
      <c r="BI1935">
        <v>22</v>
      </c>
      <c r="BJ1935">
        <v>29</v>
      </c>
      <c r="BK1935">
        <v>20</v>
      </c>
      <c r="BN1935" t="s">
        <v>595</v>
      </c>
      <c r="BO1935" t="s">
        <v>595</v>
      </c>
      <c r="BP1935" s="184">
        <v>44337</v>
      </c>
    </row>
    <row r="1936" spans="1:68">
      <c r="A1936">
        <v>22757660</v>
      </c>
      <c r="B1936">
        <v>22757660</v>
      </c>
      <c r="C1936" t="s">
        <v>7018</v>
      </c>
      <c r="E1936" s="184"/>
      <c r="G1936" s="184"/>
      <c r="I1936" s="184"/>
      <c r="J1936" t="s">
        <v>595</v>
      </c>
      <c r="K1936" s="184">
        <v>43731</v>
      </c>
      <c r="M1936" s="184"/>
      <c r="O1936" s="184"/>
      <c r="P1936" t="s">
        <v>7045</v>
      </c>
      <c r="Q1936" t="s">
        <v>7454</v>
      </c>
      <c r="R1936" s="184">
        <v>10321</v>
      </c>
      <c r="S1936">
        <v>96</v>
      </c>
      <c r="V1936" t="s">
        <v>3820</v>
      </c>
      <c r="X1936" t="s">
        <v>3821</v>
      </c>
      <c r="AF1936" t="s">
        <v>6676</v>
      </c>
      <c r="AG1936" t="s">
        <v>3820</v>
      </c>
      <c r="AI1936" t="s">
        <v>18005</v>
      </c>
      <c r="AM1936" t="s">
        <v>3858</v>
      </c>
      <c r="AN1936" t="s">
        <v>2055</v>
      </c>
      <c r="AO1936" t="s">
        <v>18006</v>
      </c>
      <c r="AP1936" t="s">
        <v>7024</v>
      </c>
      <c r="AQ1936" t="s">
        <v>18007</v>
      </c>
      <c r="AT1936" s="184">
        <v>35233</v>
      </c>
      <c r="AU1936" t="s">
        <v>18008</v>
      </c>
      <c r="AV1936">
        <v>25</v>
      </c>
      <c r="AW1936" s="184">
        <v>43242</v>
      </c>
      <c r="AX1936" t="s">
        <v>18009</v>
      </c>
      <c r="AY1936">
        <v>5</v>
      </c>
      <c r="AZ1936" s="184">
        <v>35527</v>
      </c>
      <c r="BA1936" t="s">
        <v>18010</v>
      </c>
      <c r="BB1936">
        <v>60</v>
      </c>
      <c r="BC1936">
        <v>35</v>
      </c>
      <c r="BD1936">
        <v>180</v>
      </c>
      <c r="BE1936">
        <v>1996</v>
      </c>
      <c r="BF1936">
        <v>10</v>
      </c>
      <c r="BI1936">
        <v>10</v>
      </c>
      <c r="BJ1936">
        <v>29</v>
      </c>
      <c r="BK1936">
        <v>2</v>
      </c>
      <c r="BP1936" s="184"/>
    </row>
    <row r="1937" spans="1:68">
      <c r="A1937">
        <v>22770275</v>
      </c>
      <c r="B1937">
        <v>22770275</v>
      </c>
      <c r="C1937" t="s">
        <v>7018</v>
      </c>
      <c r="E1937" s="184"/>
      <c r="G1937" s="184"/>
      <c r="I1937" s="184"/>
      <c r="J1937" t="s">
        <v>595</v>
      </c>
      <c r="K1937" s="184">
        <v>44168</v>
      </c>
      <c r="M1937" s="184"/>
      <c r="O1937" s="184"/>
      <c r="P1937" t="s">
        <v>7045</v>
      </c>
      <c r="Q1937" t="s">
        <v>7374</v>
      </c>
      <c r="R1937" s="184">
        <v>10880</v>
      </c>
      <c r="S1937">
        <v>94</v>
      </c>
      <c r="U1937" t="s">
        <v>7076</v>
      </c>
      <c r="V1937" t="s">
        <v>3101</v>
      </c>
      <c r="W1937" t="s">
        <v>4152</v>
      </c>
      <c r="X1937" t="s">
        <v>18011</v>
      </c>
      <c r="AF1937" t="s">
        <v>18012</v>
      </c>
      <c r="AG1937" t="s">
        <v>3101</v>
      </c>
      <c r="AI1937" t="s">
        <v>18013</v>
      </c>
      <c r="AM1937" t="s">
        <v>2667</v>
      </c>
      <c r="AN1937" t="s">
        <v>2081</v>
      </c>
      <c r="AO1937" t="s">
        <v>18014</v>
      </c>
      <c r="AP1937" t="s">
        <v>7024</v>
      </c>
      <c r="AQ1937" t="s">
        <v>18015</v>
      </c>
      <c r="AT1937" s="184">
        <v>35233</v>
      </c>
      <c r="AU1937" t="s">
        <v>18016</v>
      </c>
      <c r="AV1937">
        <v>25</v>
      </c>
      <c r="AW1937" s="184">
        <v>45338</v>
      </c>
      <c r="AX1937" t="s">
        <v>11761</v>
      </c>
      <c r="AY1937">
        <v>100</v>
      </c>
      <c r="AZ1937" s="184">
        <v>45338</v>
      </c>
      <c r="BA1937" t="s">
        <v>11761</v>
      </c>
      <c r="BB1937">
        <v>100</v>
      </c>
      <c r="BC1937">
        <v>94</v>
      </c>
      <c r="BD1937">
        <v>1850</v>
      </c>
      <c r="BE1937">
        <v>1996</v>
      </c>
      <c r="BF1937">
        <v>29</v>
      </c>
      <c r="BG1937">
        <v>2</v>
      </c>
      <c r="BH1937">
        <v>200</v>
      </c>
      <c r="BI1937">
        <v>27</v>
      </c>
      <c r="BJ1937">
        <v>29</v>
      </c>
      <c r="BK1937">
        <v>17</v>
      </c>
      <c r="BP1937" s="184"/>
    </row>
    <row r="1938" spans="1:68">
      <c r="A1938">
        <v>22775084</v>
      </c>
      <c r="B1938">
        <v>22775084</v>
      </c>
      <c r="C1938" t="s">
        <v>7018</v>
      </c>
      <c r="D1938" t="s">
        <v>595</v>
      </c>
      <c r="E1938" s="184">
        <v>44104</v>
      </c>
      <c r="G1938" s="184"/>
      <c r="I1938" s="184"/>
      <c r="K1938" s="184"/>
      <c r="M1938" s="184"/>
      <c r="O1938" s="184"/>
      <c r="P1938" t="s">
        <v>7045</v>
      </c>
      <c r="Q1938" t="s">
        <v>7494</v>
      </c>
      <c r="R1938" s="184">
        <v>21490</v>
      </c>
      <c r="S1938">
        <v>65</v>
      </c>
      <c r="U1938" t="s">
        <v>7130</v>
      </c>
      <c r="V1938" t="s">
        <v>2523</v>
      </c>
      <c r="X1938" t="s">
        <v>18017</v>
      </c>
      <c r="AF1938" t="s">
        <v>18018</v>
      </c>
      <c r="AG1938" t="s">
        <v>2523</v>
      </c>
      <c r="AI1938" t="s">
        <v>18019</v>
      </c>
      <c r="AM1938" t="s">
        <v>4006</v>
      </c>
      <c r="AN1938" t="s">
        <v>2174</v>
      </c>
      <c r="AO1938" t="s">
        <v>18020</v>
      </c>
      <c r="AP1938" t="s">
        <v>7024</v>
      </c>
      <c r="AT1938" s="184">
        <v>35233</v>
      </c>
      <c r="AU1938" t="s">
        <v>18021</v>
      </c>
      <c r="AV1938">
        <v>20</v>
      </c>
      <c r="AW1938" s="184">
        <v>45289</v>
      </c>
      <c r="AX1938" t="s">
        <v>11761</v>
      </c>
      <c r="AY1938">
        <v>100</v>
      </c>
      <c r="AZ1938" s="184">
        <v>44391</v>
      </c>
      <c r="BA1938" t="s">
        <v>18022</v>
      </c>
      <c r="BB1938">
        <v>200</v>
      </c>
      <c r="BC1938">
        <v>90</v>
      </c>
      <c r="BD1938">
        <v>3180</v>
      </c>
      <c r="BE1938">
        <v>1996</v>
      </c>
      <c r="BF1938">
        <v>40</v>
      </c>
      <c r="BG1938">
        <v>4</v>
      </c>
      <c r="BH1938">
        <v>400</v>
      </c>
      <c r="BI1938">
        <v>26</v>
      </c>
      <c r="BJ1938">
        <v>29</v>
      </c>
      <c r="BK1938">
        <v>20</v>
      </c>
      <c r="BP1938" s="184"/>
    </row>
    <row r="1939" spans="1:68">
      <c r="A1939">
        <v>22777411</v>
      </c>
      <c r="B1939">
        <v>22777411</v>
      </c>
      <c r="C1939" t="s">
        <v>7018</v>
      </c>
      <c r="E1939" s="184"/>
      <c r="G1939" s="184"/>
      <c r="I1939" s="184"/>
      <c r="J1939" t="s">
        <v>595</v>
      </c>
      <c r="K1939" s="184">
        <v>37435</v>
      </c>
      <c r="O1939" s="184"/>
      <c r="P1939" t="s">
        <v>7045</v>
      </c>
      <c r="Q1939" t="s">
        <v>7262</v>
      </c>
      <c r="R1939" s="184"/>
      <c r="V1939" t="s">
        <v>3463</v>
      </c>
      <c r="W1939" t="s">
        <v>4139</v>
      </c>
      <c r="X1939" t="s">
        <v>18023</v>
      </c>
      <c r="AF1939" t="s">
        <v>6410</v>
      </c>
      <c r="AG1939" t="s">
        <v>3463</v>
      </c>
      <c r="AI1939" t="s">
        <v>18024</v>
      </c>
      <c r="AM1939" t="s">
        <v>18025</v>
      </c>
      <c r="AN1939" t="s">
        <v>2106</v>
      </c>
      <c r="AO1939" t="s">
        <v>18026</v>
      </c>
      <c r="AP1939" t="s">
        <v>7024</v>
      </c>
      <c r="AQ1939" t="s">
        <v>18027</v>
      </c>
      <c r="AR1939" t="s">
        <v>18028</v>
      </c>
      <c r="AT1939" s="184">
        <v>35233</v>
      </c>
      <c r="AU1939" t="s">
        <v>18029</v>
      </c>
      <c r="AV1939">
        <v>20</v>
      </c>
      <c r="AW1939" s="184">
        <v>45276</v>
      </c>
      <c r="AX1939" t="s">
        <v>16902</v>
      </c>
      <c r="AY1939">
        <v>52.5</v>
      </c>
      <c r="AZ1939" s="184">
        <v>36248</v>
      </c>
      <c r="BA1939" t="s">
        <v>18030</v>
      </c>
      <c r="BB1939">
        <v>60</v>
      </c>
      <c r="BC1939">
        <v>87</v>
      </c>
      <c r="BD1939">
        <v>1342.5</v>
      </c>
      <c r="BE1939">
        <v>1996</v>
      </c>
      <c r="BF1939">
        <v>29</v>
      </c>
      <c r="BG1939">
        <v>2</v>
      </c>
      <c r="BH1939">
        <v>102.5</v>
      </c>
      <c r="BI1939">
        <v>25</v>
      </c>
      <c r="BJ1939">
        <v>29</v>
      </c>
      <c r="BK1939">
        <v>17</v>
      </c>
      <c r="BP1939" s="184"/>
    </row>
    <row r="1940" spans="1:68">
      <c r="A1940">
        <v>22799373</v>
      </c>
      <c r="B1940">
        <v>22799373</v>
      </c>
      <c r="C1940" t="s">
        <v>7018</v>
      </c>
      <c r="D1940" t="s">
        <v>595</v>
      </c>
      <c r="E1940" s="184">
        <v>44073</v>
      </c>
      <c r="G1940" s="184"/>
      <c r="I1940" s="184"/>
      <c r="K1940" s="184"/>
      <c r="O1940" s="184"/>
      <c r="P1940" t="s">
        <v>7045</v>
      </c>
      <c r="Q1940" t="s">
        <v>7774</v>
      </c>
      <c r="R1940" s="184">
        <v>19238</v>
      </c>
      <c r="S1940">
        <v>71</v>
      </c>
      <c r="U1940" t="s">
        <v>7076</v>
      </c>
      <c r="V1940" t="s">
        <v>13248</v>
      </c>
      <c r="X1940" t="s">
        <v>18031</v>
      </c>
      <c r="Z1940">
        <v>100060474</v>
      </c>
      <c r="AA1940" t="s">
        <v>7031</v>
      </c>
      <c r="AB1940" t="s">
        <v>18032</v>
      </c>
      <c r="AC1940" t="s">
        <v>3830</v>
      </c>
      <c r="AD1940" t="s">
        <v>5410</v>
      </c>
      <c r="AF1940" t="s">
        <v>18033</v>
      </c>
      <c r="AG1940" t="s">
        <v>18034</v>
      </c>
      <c r="AI1940" t="s">
        <v>18035</v>
      </c>
      <c r="AM1940" t="s">
        <v>18036</v>
      </c>
      <c r="AN1940" t="s">
        <v>2077</v>
      </c>
      <c r="AO1940" t="s">
        <v>18037</v>
      </c>
      <c r="AP1940" t="s">
        <v>7024</v>
      </c>
      <c r="AT1940" s="184">
        <v>35233</v>
      </c>
      <c r="AU1940" t="s">
        <v>18038</v>
      </c>
      <c r="AV1940">
        <v>15</v>
      </c>
      <c r="AW1940" s="184">
        <v>44712</v>
      </c>
      <c r="AX1940" t="s">
        <v>12934</v>
      </c>
      <c r="AY1940">
        <v>40</v>
      </c>
      <c r="AZ1940" s="184">
        <v>35999</v>
      </c>
      <c r="BA1940" t="s">
        <v>18039</v>
      </c>
      <c r="BB1940">
        <v>87</v>
      </c>
      <c r="BC1940">
        <v>52</v>
      </c>
      <c r="BD1940">
        <v>757</v>
      </c>
      <c r="BE1940">
        <v>1996</v>
      </c>
      <c r="BF1940">
        <v>21</v>
      </c>
      <c r="BG1940">
        <v>1</v>
      </c>
      <c r="BH1940">
        <v>40</v>
      </c>
      <c r="BI1940">
        <v>15</v>
      </c>
      <c r="BJ1940">
        <v>29</v>
      </c>
      <c r="BK1940">
        <v>3</v>
      </c>
      <c r="BP1940" s="184"/>
    </row>
    <row r="1941" spans="1:68">
      <c r="A1941">
        <v>100060474</v>
      </c>
      <c r="B1941">
        <v>22799373</v>
      </c>
      <c r="C1941" t="s">
        <v>7018</v>
      </c>
      <c r="D1941" t="s">
        <v>595</v>
      </c>
      <c r="E1941" s="184">
        <v>44073</v>
      </c>
      <c r="G1941" s="184"/>
      <c r="I1941" s="184"/>
      <c r="K1941" s="184"/>
      <c r="O1941" s="184"/>
      <c r="P1941" t="s">
        <v>7045</v>
      </c>
      <c r="Q1941" t="s">
        <v>7774</v>
      </c>
      <c r="R1941" s="184">
        <v>14916</v>
      </c>
      <c r="S1941">
        <v>83</v>
      </c>
      <c r="U1941" t="s">
        <v>7031</v>
      </c>
      <c r="V1941" t="s">
        <v>18032</v>
      </c>
      <c r="W1941" t="s">
        <v>3830</v>
      </c>
      <c r="X1941" t="s">
        <v>5410</v>
      </c>
      <c r="Z1941">
        <v>22799373</v>
      </c>
      <c r="AA1941" t="s">
        <v>7076</v>
      </c>
      <c r="AB1941" t="s">
        <v>13248</v>
      </c>
      <c r="AD1941" t="s">
        <v>18031</v>
      </c>
      <c r="AF1941" t="s">
        <v>18033</v>
      </c>
      <c r="AG1941" t="s">
        <v>18034</v>
      </c>
      <c r="AI1941" t="s">
        <v>18035</v>
      </c>
      <c r="AM1941" t="s">
        <v>18036</v>
      </c>
      <c r="AN1941" t="s">
        <v>2077</v>
      </c>
      <c r="AO1941" t="s">
        <v>18037</v>
      </c>
      <c r="AP1941" t="s">
        <v>7024</v>
      </c>
      <c r="AT1941" s="184"/>
      <c r="AW1941" s="184"/>
      <c r="AZ1941" s="184"/>
      <c r="BP1941" s="184"/>
    </row>
    <row r="1942" spans="1:68">
      <c r="A1942">
        <v>22820278</v>
      </c>
      <c r="B1942">
        <v>22820278</v>
      </c>
      <c r="C1942" t="s">
        <v>7018</v>
      </c>
      <c r="D1942" t="s">
        <v>595</v>
      </c>
      <c r="E1942" s="184">
        <v>44167</v>
      </c>
      <c r="G1942" s="184"/>
      <c r="I1942" s="184"/>
      <c r="K1942" s="184"/>
      <c r="O1942" s="184"/>
      <c r="P1942" t="s">
        <v>7045</v>
      </c>
      <c r="Q1942" t="s">
        <v>7374</v>
      </c>
      <c r="R1942" s="184">
        <v>15342</v>
      </c>
      <c r="S1942">
        <v>82</v>
      </c>
      <c r="V1942" t="s">
        <v>3506</v>
      </c>
      <c r="W1942" t="s">
        <v>4152</v>
      </c>
      <c r="X1942" t="s">
        <v>17278</v>
      </c>
      <c r="Z1942">
        <v>100060553</v>
      </c>
      <c r="AA1942" t="s">
        <v>7076</v>
      </c>
      <c r="AB1942" t="s">
        <v>18040</v>
      </c>
      <c r="AD1942" t="s">
        <v>17278</v>
      </c>
      <c r="AF1942" t="s">
        <v>18041</v>
      </c>
      <c r="AG1942" t="s">
        <v>18042</v>
      </c>
      <c r="AI1942" t="s">
        <v>18043</v>
      </c>
      <c r="AM1942" t="s">
        <v>4738</v>
      </c>
      <c r="AN1942" t="s">
        <v>2081</v>
      </c>
      <c r="AO1942" t="s">
        <v>18044</v>
      </c>
      <c r="AP1942" t="s">
        <v>7024</v>
      </c>
      <c r="AQ1942" t="s">
        <v>18045</v>
      </c>
      <c r="AR1942" t="s">
        <v>18046</v>
      </c>
      <c r="AT1942" s="184">
        <v>35240</v>
      </c>
      <c r="AU1942" t="s">
        <v>18047</v>
      </c>
      <c r="AV1942">
        <v>15</v>
      </c>
      <c r="AW1942" s="184">
        <v>40561</v>
      </c>
      <c r="AX1942" t="s">
        <v>18048</v>
      </c>
      <c r="AY1942">
        <v>15</v>
      </c>
      <c r="AZ1942" s="184">
        <v>40561</v>
      </c>
      <c r="BA1942" t="s">
        <v>18048</v>
      </c>
      <c r="BB1942">
        <v>15</v>
      </c>
      <c r="BC1942">
        <v>32</v>
      </c>
      <c r="BD1942">
        <v>95</v>
      </c>
      <c r="BE1942">
        <v>1996</v>
      </c>
      <c r="BF1942">
        <v>10</v>
      </c>
      <c r="BI1942">
        <v>9</v>
      </c>
      <c r="BJ1942">
        <v>29</v>
      </c>
      <c r="BK1942">
        <v>4</v>
      </c>
      <c r="BN1942" t="s">
        <v>595</v>
      </c>
      <c r="BP1942" s="184"/>
    </row>
    <row r="1943" spans="1:68">
      <c r="A1943">
        <v>100060553</v>
      </c>
      <c r="B1943">
        <v>22820278</v>
      </c>
      <c r="C1943" t="s">
        <v>7018</v>
      </c>
      <c r="D1943" t="s">
        <v>595</v>
      </c>
      <c r="E1943" s="184">
        <v>44167</v>
      </c>
      <c r="G1943" s="184"/>
      <c r="I1943" s="184"/>
      <c r="K1943" s="184"/>
      <c r="O1943" s="184"/>
      <c r="P1943" t="s">
        <v>7045</v>
      </c>
      <c r="Q1943" t="s">
        <v>7374</v>
      </c>
      <c r="R1943" s="184"/>
      <c r="U1943" t="s">
        <v>7076</v>
      </c>
      <c r="V1943" t="s">
        <v>18040</v>
      </c>
      <c r="X1943" t="s">
        <v>17278</v>
      </c>
      <c r="Z1943">
        <v>22820278</v>
      </c>
      <c r="AB1943" t="s">
        <v>3506</v>
      </c>
      <c r="AC1943" t="s">
        <v>4152</v>
      </c>
      <c r="AD1943" t="s">
        <v>17278</v>
      </c>
      <c r="AF1943" t="s">
        <v>18041</v>
      </c>
      <c r="AG1943" t="s">
        <v>18042</v>
      </c>
      <c r="AI1943" t="s">
        <v>18043</v>
      </c>
      <c r="AM1943" t="s">
        <v>4738</v>
      </c>
      <c r="AN1943" t="s">
        <v>2081</v>
      </c>
      <c r="AO1943" t="s">
        <v>18044</v>
      </c>
      <c r="AP1943" t="s">
        <v>7024</v>
      </c>
      <c r="AT1943" s="184"/>
      <c r="AW1943" s="184"/>
      <c r="AZ1943" s="184"/>
      <c r="BP1943" s="184"/>
    </row>
    <row r="1944" spans="1:68">
      <c r="A1944">
        <v>22873384</v>
      </c>
      <c r="B1944">
        <v>22873384</v>
      </c>
      <c r="C1944" t="s">
        <v>7018</v>
      </c>
      <c r="E1944" s="184"/>
      <c r="G1944" s="184"/>
      <c r="H1944" t="s">
        <v>595</v>
      </c>
      <c r="I1944" s="184">
        <v>45021</v>
      </c>
      <c r="K1944" s="184"/>
      <c r="O1944" s="184"/>
      <c r="P1944" t="s">
        <v>7045</v>
      </c>
      <c r="Q1944" t="s">
        <v>7383</v>
      </c>
      <c r="R1944" s="184">
        <v>20463</v>
      </c>
      <c r="S1944">
        <v>68</v>
      </c>
      <c r="U1944" t="s">
        <v>7031</v>
      </c>
      <c r="V1944" t="s">
        <v>2665</v>
      </c>
      <c r="X1944" t="s">
        <v>18049</v>
      </c>
      <c r="AF1944" t="s">
        <v>18050</v>
      </c>
      <c r="AG1944" t="s">
        <v>2665</v>
      </c>
      <c r="AI1944" t="s">
        <v>18051</v>
      </c>
      <c r="AM1944" t="s">
        <v>16467</v>
      </c>
      <c r="AN1944" t="s">
        <v>2064</v>
      </c>
      <c r="AO1944" t="s">
        <v>18052</v>
      </c>
      <c r="AP1944" t="s">
        <v>7024</v>
      </c>
      <c r="AT1944" s="184">
        <v>35244</v>
      </c>
      <c r="AU1944" t="s">
        <v>18053</v>
      </c>
      <c r="AV1944">
        <v>25</v>
      </c>
      <c r="AW1944" s="184">
        <v>35244</v>
      </c>
      <c r="AX1944" t="s">
        <v>18053</v>
      </c>
      <c r="AY1944">
        <v>25</v>
      </c>
      <c r="AZ1944" s="184">
        <v>35244</v>
      </c>
      <c r="BA1944" t="s">
        <v>18053</v>
      </c>
      <c r="BB1944">
        <v>25</v>
      </c>
      <c r="BC1944">
        <v>4</v>
      </c>
      <c r="BD1944">
        <v>25</v>
      </c>
      <c r="BE1944">
        <v>1996</v>
      </c>
      <c r="BF1944">
        <v>1</v>
      </c>
      <c r="BI1944">
        <v>1</v>
      </c>
      <c r="BJ1944">
        <v>29</v>
      </c>
      <c r="BK1944">
        <v>1</v>
      </c>
      <c r="BP1944" s="184"/>
    </row>
    <row r="1945" spans="1:68">
      <c r="A1945">
        <v>22890081</v>
      </c>
      <c r="B1945">
        <v>22890081</v>
      </c>
      <c r="C1945" t="s">
        <v>7018</v>
      </c>
      <c r="E1945" s="184"/>
      <c r="G1945" s="184"/>
      <c r="I1945" s="184"/>
      <c r="K1945" s="184"/>
      <c r="N1945" t="s">
        <v>595</v>
      </c>
      <c r="O1945" s="184">
        <v>40407</v>
      </c>
      <c r="P1945" t="s">
        <v>7045</v>
      </c>
      <c r="Q1945" t="s">
        <v>7262</v>
      </c>
      <c r="R1945" s="184">
        <v>16262</v>
      </c>
      <c r="S1945">
        <v>79</v>
      </c>
      <c r="U1945" t="s">
        <v>7031</v>
      </c>
      <c r="V1945" t="s">
        <v>2904</v>
      </c>
      <c r="X1945" t="s">
        <v>3436</v>
      </c>
      <c r="AF1945" t="s">
        <v>5992</v>
      </c>
      <c r="AG1945" t="s">
        <v>2904</v>
      </c>
      <c r="AI1945" t="s">
        <v>18054</v>
      </c>
      <c r="AM1945" t="s">
        <v>18055</v>
      </c>
      <c r="AN1945" t="s">
        <v>2106</v>
      </c>
      <c r="AO1945" t="s">
        <v>18056</v>
      </c>
      <c r="AP1945" t="s">
        <v>7024</v>
      </c>
      <c r="AQ1945" t="s">
        <v>18057</v>
      </c>
      <c r="AT1945" s="184">
        <v>35244</v>
      </c>
      <c r="AU1945" t="s">
        <v>18058</v>
      </c>
      <c r="AV1945">
        <v>15</v>
      </c>
      <c r="AW1945" s="184">
        <v>44893</v>
      </c>
      <c r="AX1945" t="s">
        <v>18059</v>
      </c>
      <c r="AY1945">
        <v>50</v>
      </c>
      <c r="AZ1945" s="184">
        <v>40407</v>
      </c>
      <c r="BA1945" t="s">
        <v>7415</v>
      </c>
      <c r="BB1945">
        <v>10000</v>
      </c>
      <c r="BC1945">
        <v>94</v>
      </c>
      <c r="BD1945">
        <v>12105</v>
      </c>
      <c r="BE1945">
        <v>1996</v>
      </c>
      <c r="BF1945">
        <v>83</v>
      </c>
      <c r="BG1945">
        <v>3</v>
      </c>
      <c r="BH1945">
        <v>125</v>
      </c>
      <c r="BI1945">
        <v>27</v>
      </c>
      <c r="BJ1945">
        <v>29</v>
      </c>
      <c r="BK1945">
        <v>27</v>
      </c>
      <c r="BO1945" t="s">
        <v>595</v>
      </c>
      <c r="BP1945" s="184">
        <v>45035</v>
      </c>
    </row>
    <row r="1946" spans="1:68">
      <c r="A1946">
        <v>22898761</v>
      </c>
      <c r="B1946">
        <v>22898761</v>
      </c>
      <c r="C1946" t="s">
        <v>7018</v>
      </c>
      <c r="E1946" s="184"/>
      <c r="G1946" s="184"/>
      <c r="I1946" s="184"/>
      <c r="J1946" t="s">
        <v>595</v>
      </c>
      <c r="K1946" s="184">
        <v>43801</v>
      </c>
      <c r="O1946" s="184"/>
      <c r="P1946" t="s">
        <v>7045</v>
      </c>
      <c r="Q1946" t="s">
        <v>7030</v>
      </c>
      <c r="R1946" s="184">
        <v>17711</v>
      </c>
      <c r="S1946">
        <v>75</v>
      </c>
      <c r="U1946" t="s">
        <v>7076</v>
      </c>
      <c r="V1946" t="s">
        <v>2903</v>
      </c>
      <c r="W1946" t="s">
        <v>3550</v>
      </c>
      <c r="X1946" t="s">
        <v>4294</v>
      </c>
      <c r="AF1946" t="s">
        <v>6521</v>
      </c>
      <c r="AG1946" t="s">
        <v>2903</v>
      </c>
      <c r="AI1946" t="s">
        <v>18060</v>
      </c>
      <c r="AM1946" t="s">
        <v>4295</v>
      </c>
      <c r="AN1946" t="s">
        <v>2089</v>
      </c>
      <c r="AO1946" t="s">
        <v>18061</v>
      </c>
      <c r="AP1946" t="s">
        <v>7024</v>
      </c>
      <c r="AQ1946" t="s">
        <v>18062</v>
      </c>
      <c r="AR1946" t="s">
        <v>18063</v>
      </c>
      <c r="AT1946" s="184">
        <v>35244</v>
      </c>
      <c r="AU1946" t="s">
        <v>18064</v>
      </c>
      <c r="AV1946">
        <v>25</v>
      </c>
      <c r="AW1946" s="184">
        <v>45282</v>
      </c>
      <c r="AX1946" t="s">
        <v>18065</v>
      </c>
      <c r="AY1946">
        <v>52.5</v>
      </c>
      <c r="AZ1946" s="184">
        <v>43435</v>
      </c>
      <c r="BA1946" t="s">
        <v>8586</v>
      </c>
      <c r="BB1946">
        <v>87</v>
      </c>
      <c r="BC1946">
        <v>83</v>
      </c>
      <c r="BD1946">
        <v>964.5</v>
      </c>
      <c r="BE1946">
        <v>1996</v>
      </c>
      <c r="BF1946">
        <v>29</v>
      </c>
      <c r="BG1946">
        <v>4</v>
      </c>
      <c r="BH1946">
        <v>202.5</v>
      </c>
      <c r="BI1946">
        <v>24</v>
      </c>
      <c r="BJ1946">
        <v>29</v>
      </c>
      <c r="BK1946">
        <v>16</v>
      </c>
      <c r="BP1946" s="184"/>
    </row>
    <row r="1947" spans="1:68">
      <c r="A1947">
        <v>22899520</v>
      </c>
      <c r="B1947">
        <v>22899520</v>
      </c>
      <c r="C1947" t="s">
        <v>7018</v>
      </c>
      <c r="E1947" s="184"/>
      <c r="G1947" s="184"/>
      <c r="I1947" s="184"/>
      <c r="J1947" t="s">
        <v>595</v>
      </c>
      <c r="K1947" s="184">
        <v>42522</v>
      </c>
      <c r="P1947" t="s">
        <v>7045</v>
      </c>
      <c r="Q1947" t="s">
        <v>7194</v>
      </c>
      <c r="R1947" s="184">
        <v>15703</v>
      </c>
      <c r="S1947">
        <v>81</v>
      </c>
      <c r="U1947" t="s">
        <v>7031</v>
      </c>
      <c r="V1947" t="s">
        <v>3246</v>
      </c>
      <c r="X1947" t="s">
        <v>18066</v>
      </c>
      <c r="Z1947">
        <v>100060810</v>
      </c>
      <c r="AB1947" t="s">
        <v>2602</v>
      </c>
      <c r="AD1947" t="s">
        <v>18066</v>
      </c>
      <c r="AF1947" t="s">
        <v>6431</v>
      </c>
      <c r="AG1947" t="s">
        <v>18067</v>
      </c>
      <c r="AI1947" t="s">
        <v>18068</v>
      </c>
      <c r="AM1947" t="s">
        <v>5097</v>
      </c>
      <c r="AN1947" t="s">
        <v>2046</v>
      </c>
      <c r="AO1947" t="s">
        <v>18069</v>
      </c>
      <c r="AP1947" t="s">
        <v>7024</v>
      </c>
      <c r="AQ1947" t="s">
        <v>18070</v>
      </c>
      <c r="AT1947" s="184">
        <v>35244</v>
      </c>
      <c r="AU1947" t="s">
        <v>18071</v>
      </c>
      <c r="AV1947">
        <v>25</v>
      </c>
      <c r="AW1947" s="184">
        <v>43033</v>
      </c>
      <c r="AX1947" t="s">
        <v>13709</v>
      </c>
      <c r="AY1947">
        <v>25</v>
      </c>
      <c r="AZ1947" s="184">
        <v>35682</v>
      </c>
      <c r="BA1947" t="s">
        <v>18072</v>
      </c>
      <c r="BB1947">
        <v>60</v>
      </c>
      <c r="BC1947">
        <v>63</v>
      </c>
      <c r="BD1947">
        <v>1044</v>
      </c>
      <c r="BE1947">
        <v>1996</v>
      </c>
      <c r="BF1947">
        <v>40</v>
      </c>
      <c r="BI1947">
        <v>18</v>
      </c>
      <c r="BJ1947">
        <v>29</v>
      </c>
      <c r="BK1947">
        <v>8</v>
      </c>
      <c r="BP1947" s="184"/>
    </row>
    <row r="1948" spans="1:68">
      <c r="A1948">
        <v>100060810</v>
      </c>
      <c r="B1948">
        <v>22899520</v>
      </c>
      <c r="C1948" t="s">
        <v>7018</v>
      </c>
      <c r="E1948" s="184"/>
      <c r="G1948" s="184"/>
      <c r="I1948" s="184"/>
      <c r="J1948" t="s">
        <v>595</v>
      </c>
      <c r="K1948" s="184">
        <v>42522</v>
      </c>
      <c r="O1948" s="184"/>
      <c r="P1948" t="s">
        <v>7045</v>
      </c>
      <c r="Q1948" t="s">
        <v>7194</v>
      </c>
      <c r="R1948" s="184">
        <v>14727</v>
      </c>
      <c r="S1948">
        <v>84</v>
      </c>
      <c r="V1948" t="s">
        <v>2602</v>
      </c>
      <c r="X1948" t="s">
        <v>18066</v>
      </c>
      <c r="Z1948">
        <v>22899520</v>
      </c>
      <c r="AA1948" t="s">
        <v>7031</v>
      </c>
      <c r="AB1948" t="s">
        <v>3246</v>
      </c>
      <c r="AD1948" t="s">
        <v>18066</v>
      </c>
      <c r="AF1948" t="s">
        <v>6431</v>
      </c>
      <c r="AG1948" t="s">
        <v>18067</v>
      </c>
      <c r="AI1948" t="s">
        <v>18068</v>
      </c>
      <c r="AM1948" t="s">
        <v>5097</v>
      </c>
      <c r="AN1948" t="s">
        <v>2046</v>
      </c>
      <c r="AO1948" t="s">
        <v>18069</v>
      </c>
      <c r="AP1948" t="s">
        <v>7024</v>
      </c>
      <c r="AT1948" s="184"/>
      <c r="AW1948" s="184"/>
      <c r="AZ1948" s="184"/>
      <c r="BP1948" s="184"/>
    </row>
    <row r="1949" spans="1:68">
      <c r="A1949">
        <v>22903520</v>
      </c>
      <c r="B1949">
        <v>22903520</v>
      </c>
      <c r="C1949" t="s">
        <v>7018</v>
      </c>
      <c r="E1949" s="184"/>
      <c r="G1949" s="184"/>
      <c r="I1949" s="184"/>
      <c r="J1949" t="s">
        <v>595</v>
      </c>
      <c r="K1949" s="184">
        <v>41722</v>
      </c>
      <c r="O1949" s="184"/>
      <c r="P1949" t="s">
        <v>7045</v>
      </c>
      <c r="Q1949" t="s">
        <v>7020</v>
      </c>
      <c r="R1949" s="184">
        <v>12937</v>
      </c>
      <c r="S1949">
        <v>88</v>
      </c>
      <c r="U1949" t="s">
        <v>7076</v>
      </c>
      <c r="V1949" t="s">
        <v>12037</v>
      </c>
      <c r="X1949" t="s">
        <v>18073</v>
      </c>
      <c r="AF1949" t="s">
        <v>6523</v>
      </c>
      <c r="AG1949" t="s">
        <v>12037</v>
      </c>
      <c r="AI1949" t="s">
        <v>18074</v>
      </c>
      <c r="AM1949" t="s">
        <v>2773</v>
      </c>
      <c r="AN1949" t="s">
        <v>2465</v>
      </c>
      <c r="AO1949" t="s">
        <v>18075</v>
      </c>
      <c r="AP1949" t="s">
        <v>7024</v>
      </c>
      <c r="AQ1949" t="s">
        <v>18076</v>
      </c>
      <c r="AT1949" s="184">
        <v>35244</v>
      </c>
      <c r="AU1949" t="s">
        <v>18077</v>
      </c>
      <c r="AV1949">
        <v>15</v>
      </c>
      <c r="AW1949" s="184">
        <v>45156</v>
      </c>
      <c r="AX1949" t="s">
        <v>12641</v>
      </c>
      <c r="AY1949">
        <v>35</v>
      </c>
      <c r="AZ1949" s="184">
        <v>38946</v>
      </c>
      <c r="BA1949" t="s">
        <v>18078</v>
      </c>
      <c r="BB1949">
        <v>60</v>
      </c>
      <c r="BC1949">
        <v>87</v>
      </c>
      <c r="BD1949">
        <v>910</v>
      </c>
      <c r="BE1949">
        <v>1996</v>
      </c>
      <c r="BF1949">
        <v>32</v>
      </c>
      <c r="BG1949">
        <v>2</v>
      </c>
      <c r="BH1949">
        <v>70</v>
      </c>
      <c r="BI1949">
        <v>25</v>
      </c>
      <c r="BJ1949">
        <v>29</v>
      </c>
      <c r="BK1949">
        <v>16</v>
      </c>
      <c r="BN1949" t="s">
        <v>595</v>
      </c>
      <c r="BP1949" s="184"/>
    </row>
    <row r="1950" spans="1:68">
      <c r="A1950">
        <v>22919542</v>
      </c>
      <c r="B1950">
        <v>22919542</v>
      </c>
      <c r="C1950" t="s">
        <v>7018</v>
      </c>
      <c r="D1950" t="s">
        <v>595</v>
      </c>
      <c r="E1950" s="184">
        <v>44419</v>
      </c>
      <c r="G1950" s="184"/>
      <c r="I1950" s="184"/>
      <c r="K1950" s="184"/>
      <c r="O1950" s="184"/>
      <c r="P1950" t="s">
        <v>7045</v>
      </c>
      <c r="Q1950" t="s">
        <v>7262</v>
      </c>
      <c r="R1950" s="184">
        <v>21160</v>
      </c>
      <c r="S1950">
        <v>66</v>
      </c>
      <c r="U1950" t="s">
        <v>7031</v>
      </c>
      <c r="V1950" t="s">
        <v>2898</v>
      </c>
      <c r="X1950" t="s">
        <v>4710</v>
      </c>
      <c r="AF1950" t="s">
        <v>18079</v>
      </c>
      <c r="AG1950" t="s">
        <v>2898</v>
      </c>
      <c r="AI1950" t="s">
        <v>18080</v>
      </c>
      <c r="AM1950" t="s">
        <v>3911</v>
      </c>
      <c r="AN1950" t="s">
        <v>2106</v>
      </c>
      <c r="AO1950" t="s">
        <v>18081</v>
      </c>
      <c r="AP1950" t="s">
        <v>7024</v>
      </c>
      <c r="AQ1950" t="s">
        <v>18082</v>
      </c>
      <c r="AR1950" t="s">
        <v>18083</v>
      </c>
      <c r="AT1950" s="184">
        <v>35244</v>
      </c>
      <c r="AU1950" t="s">
        <v>18084</v>
      </c>
      <c r="AV1950">
        <v>25</v>
      </c>
      <c r="AW1950" s="184">
        <v>42044</v>
      </c>
      <c r="AX1950" t="s">
        <v>18085</v>
      </c>
      <c r="AY1950">
        <v>17.600000000000001</v>
      </c>
      <c r="AZ1950" s="184">
        <v>36762</v>
      </c>
      <c r="BA1950" t="s">
        <v>18086</v>
      </c>
      <c r="BB1950">
        <v>100</v>
      </c>
      <c r="BC1950">
        <v>21</v>
      </c>
      <c r="BD1950">
        <v>402.6</v>
      </c>
      <c r="BE1950">
        <v>1996</v>
      </c>
      <c r="BF1950">
        <v>7</v>
      </c>
      <c r="BI1950">
        <v>6</v>
      </c>
      <c r="BJ1950">
        <v>29</v>
      </c>
      <c r="BK1950">
        <v>3</v>
      </c>
      <c r="BP1950" s="184"/>
    </row>
    <row r="1951" spans="1:68">
      <c r="A1951">
        <v>22920995</v>
      </c>
      <c r="B1951">
        <v>22920995</v>
      </c>
      <c r="C1951" t="s">
        <v>7018</v>
      </c>
      <c r="E1951" s="184"/>
      <c r="G1951" s="184"/>
      <c r="I1951" s="184"/>
      <c r="J1951" t="s">
        <v>595</v>
      </c>
      <c r="K1951" s="184">
        <v>39413</v>
      </c>
      <c r="O1951" s="184"/>
      <c r="P1951" t="s">
        <v>7045</v>
      </c>
      <c r="Q1951" t="s">
        <v>7160</v>
      </c>
      <c r="R1951" s="184">
        <v>8376</v>
      </c>
      <c r="S1951">
        <v>101</v>
      </c>
      <c r="U1951" t="s">
        <v>7094</v>
      </c>
      <c r="V1951" t="s">
        <v>4892</v>
      </c>
      <c r="W1951" t="s">
        <v>7560</v>
      </c>
      <c r="X1951" t="s">
        <v>18087</v>
      </c>
      <c r="AF1951" t="s">
        <v>6411</v>
      </c>
      <c r="AG1951" t="s">
        <v>4892</v>
      </c>
      <c r="AI1951" t="s">
        <v>18088</v>
      </c>
      <c r="AM1951" t="s">
        <v>5137</v>
      </c>
      <c r="AN1951" t="s">
        <v>2395</v>
      </c>
      <c r="AO1951" t="s">
        <v>18089</v>
      </c>
      <c r="AP1951" t="s">
        <v>7024</v>
      </c>
      <c r="AQ1951" t="s">
        <v>18090</v>
      </c>
      <c r="AR1951" t="s">
        <v>18091</v>
      </c>
      <c r="AT1951" s="184">
        <v>35244</v>
      </c>
      <c r="AU1951" t="s">
        <v>18092</v>
      </c>
      <c r="AV1951">
        <v>10</v>
      </c>
      <c r="AW1951" s="184">
        <v>43031</v>
      </c>
      <c r="AX1951" t="s">
        <v>18093</v>
      </c>
      <c r="AY1951">
        <v>15</v>
      </c>
      <c r="AZ1951" s="184">
        <v>41802</v>
      </c>
      <c r="BA1951" t="s">
        <v>16257</v>
      </c>
      <c r="BB1951">
        <v>35</v>
      </c>
      <c r="BC1951">
        <v>73</v>
      </c>
      <c r="BD1951">
        <v>1140</v>
      </c>
      <c r="BE1951">
        <v>1996</v>
      </c>
      <c r="BF1951">
        <v>56</v>
      </c>
      <c r="BI1951">
        <v>21</v>
      </c>
      <c r="BJ1951">
        <v>29</v>
      </c>
      <c r="BK1951">
        <v>19</v>
      </c>
      <c r="BO1951" t="s">
        <v>595</v>
      </c>
      <c r="BP1951" s="184"/>
    </row>
    <row r="1952" spans="1:68">
      <c r="A1952">
        <v>22927065</v>
      </c>
      <c r="B1952">
        <v>22927065</v>
      </c>
      <c r="C1952" t="s">
        <v>7018</v>
      </c>
      <c r="E1952" s="184"/>
      <c r="G1952" s="184"/>
      <c r="H1952" t="s">
        <v>595</v>
      </c>
      <c r="I1952" s="184">
        <v>45278</v>
      </c>
      <c r="K1952" s="184"/>
      <c r="O1952" s="184"/>
      <c r="P1952" t="s">
        <v>7019</v>
      </c>
      <c r="Q1952" t="s">
        <v>7383</v>
      </c>
      <c r="R1952" s="184">
        <v>11478</v>
      </c>
      <c r="S1952">
        <v>92</v>
      </c>
      <c r="U1952" t="s">
        <v>7031</v>
      </c>
      <c r="V1952" t="s">
        <v>4679</v>
      </c>
      <c r="X1952" t="s">
        <v>18094</v>
      </c>
      <c r="AF1952" t="s">
        <v>18095</v>
      </c>
      <c r="AG1952" t="s">
        <v>4679</v>
      </c>
      <c r="AI1952" t="s">
        <v>18096</v>
      </c>
      <c r="AM1952" t="s">
        <v>3153</v>
      </c>
      <c r="AN1952" t="s">
        <v>2313</v>
      </c>
      <c r="AO1952" t="s">
        <v>18097</v>
      </c>
      <c r="AP1952" t="s">
        <v>7024</v>
      </c>
      <c r="AQ1952" t="s">
        <v>18098</v>
      </c>
      <c r="AT1952" s="184">
        <v>35244</v>
      </c>
      <c r="AU1952" t="s">
        <v>18099</v>
      </c>
      <c r="AV1952">
        <v>15</v>
      </c>
      <c r="AW1952" s="184">
        <v>45008</v>
      </c>
      <c r="AX1952" t="s">
        <v>10468</v>
      </c>
      <c r="AY1952">
        <v>100</v>
      </c>
      <c r="AZ1952" s="184">
        <v>45008</v>
      </c>
      <c r="BA1952" t="s">
        <v>10468</v>
      </c>
      <c r="BB1952">
        <v>100</v>
      </c>
      <c r="BC1952">
        <v>45</v>
      </c>
      <c r="BD1952">
        <v>700</v>
      </c>
      <c r="BE1952">
        <v>1996</v>
      </c>
      <c r="BF1952">
        <v>16</v>
      </c>
      <c r="BG1952">
        <v>3</v>
      </c>
      <c r="BH1952">
        <v>190</v>
      </c>
      <c r="BI1952">
        <v>13</v>
      </c>
      <c r="BJ1952">
        <v>29</v>
      </c>
      <c r="BK1952">
        <v>5</v>
      </c>
      <c r="BP1952" s="184"/>
    </row>
    <row r="1953" spans="1:68">
      <c r="A1953">
        <v>22946073</v>
      </c>
      <c r="B1953">
        <v>22946073</v>
      </c>
      <c r="C1953" t="s">
        <v>7018</v>
      </c>
      <c r="E1953" s="184"/>
      <c r="G1953" s="184"/>
      <c r="I1953" s="184"/>
      <c r="J1953" t="s">
        <v>595</v>
      </c>
      <c r="K1953" s="184">
        <v>44167</v>
      </c>
      <c r="O1953" s="184"/>
      <c r="P1953" t="s">
        <v>7045</v>
      </c>
      <c r="Q1953" t="s">
        <v>7454</v>
      </c>
      <c r="R1953" s="184">
        <v>18354</v>
      </c>
      <c r="S1953">
        <v>74</v>
      </c>
      <c r="U1953" t="s">
        <v>7130</v>
      </c>
      <c r="V1953" t="s">
        <v>3101</v>
      </c>
      <c r="W1953" t="s">
        <v>2308</v>
      </c>
      <c r="X1953" t="s">
        <v>10478</v>
      </c>
      <c r="AF1953" t="s">
        <v>18100</v>
      </c>
      <c r="AG1953" t="s">
        <v>3101</v>
      </c>
      <c r="AI1953" t="s">
        <v>18101</v>
      </c>
      <c r="AM1953" t="s">
        <v>4878</v>
      </c>
      <c r="AN1953" t="s">
        <v>2299</v>
      </c>
      <c r="AO1953" t="s">
        <v>18102</v>
      </c>
      <c r="AP1953" t="s">
        <v>7024</v>
      </c>
      <c r="AQ1953" t="s">
        <v>18103</v>
      </c>
      <c r="AR1953" t="s">
        <v>18104</v>
      </c>
      <c r="AT1953" s="184">
        <v>35244</v>
      </c>
      <c r="AU1953" t="s">
        <v>18105</v>
      </c>
      <c r="AV1953">
        <v>15</v>
      </c>
      <c r="AW1953" s="184">
        <v>45199</v>
      </c>
      <c r="AX1953" t="s">
        <v>18106</v>
      </c>
      <c r="AY1953">
        <v>25</v>
      </c>
      <c r="AZ1953" s="184">
        <v>39979</v>
      </c>
      <c r="BA1953" t="s">
        <v>11724</v>
      </c>
      <c r="BB1953">
        <v>60</v>
      </c>
      <c r="BC1953">
        <v>90</v>
      </c>
      <c r="BD1953">
        <v>820</v>
      </c>
      <c r="BE1953">
        <v>1996</v>
      </c>
      <c r="BF1953">
        <v>33</v>
      </c>
      <c r="BG1953">
        <v>3</v>
      </c>
      <c r="BH1953">
        <v>60</v>
      </c>
      <c r="BI1953">
        <v>26</v>
      </c>
      <c r="BJ1953">
        <v>29</v>
      </c>
      <c r="BK1953">
        <v>14</v>
      </c>
      <c r="BP1953" s="184"/>
    </row>
    <row r="1954" spans="1:68">
      <c r="A1954">
        <v>22961403</v>
      </c>
      <c r="B1954">
        <v>22961403</v>
      </c>
      <c r="C1954" t="s">
        <v>7018</v>
      </c>
      <c r="D1954" t="s">
        <v>595</v>
      </c>
      <c r="E1954" s="184">
        <v>44441</v>
      </c>
      <c r="G1954" s="184"/>
      <c r="I1954" s="184"/>
      <c r="K1954" s="184"/>
      <c r="O1954" s="184"/>
      <c r="P1954" t="s">
        <v>7045</v>
      </c>
      <c r="Q1954" t="s">
        <v>7262</v>
      </c>
      <c r="R1954" s="184">
        <v>21490</v>
      </c>
      <c r="S1954">
        <v>65</v>
      </c>
      <c r="V1954" t="s">
        <v>3663</v>
      </c>
      <c r="W1954" t="s">
        <v>7588</v>
      </c>
      <c r="X1954" t="s">
        <v>18107</v>
      </c>
      <c r="Z1954">
        <v>100061030</v>
      </c>
      <c r="AB1954" t="s">
        <v>8798</v>
      </c>
      <c r="AD1954" t="s">
        <v>18107</v>
      </c>
      <c r="AF1954" t="s">
        <v>18108</v>
      </c>
      <c r="AG1954" t="s">
        <v>18109</v>
      </c>
      <c r="AI1954" t="s">
        <v>18110</v>
      </c>
      <c r="AM1954" t="s">
        <v>18111</v>
      </c>
      <c r="AN1954" t="s">
        <v>2106</v>
      </c>
      <c r="AO1954" t="s">
        <v>18112</v>
      </c>
      <c r="AP1954" t="s">
        <v>7024</v>
      </c>
      <c r="AT1954" s="184">
        <v>35248</v>
      </c>
      <c r="AU1954" t="s">
        <v>18113</v>
      </c>
      <c r="AV1954">
        <v>25</v>
      </c>
      <c r="AW1954" s="184">
        <v>42626</v>
      </c>
      <c r="AX1954" t="s">
        <v>18114</v>
      </c>
      <c r="AY1954">
        <v>20</v>
      </c>
      <c r="AZ1954" s="184">
        <v>36109</v>
      </c>
      <c r="BA1954" t="s">
        <v>18115</v>
      </c>
      <c r="BB1954">
        <v>25</v>
      </c>
      <c r="BC1954">
        <v>38</v>
      </c>
      <c r="BD1954">
        <v>197.5</v>
      </c>
      <c r="BE1954">
        <v>1997</v>
      </c>
      <c r="BF1954">
        <v>14</v>
      </c>
      <c r="BI1954">
        <v>11</v>
      </c>
      <c r="BJ1954">
        <v>29</v>
      </c>
      <c r="BK1954">
        <v>5</v>
      </c>
      <c r="BP1954" s="184"/>
    </row>
    <row r="1955" spans="1:68">
      <c r="A1955">
        <v>100061030</v>
      </c>
      <c r="B1955">
        <v>22961403</v>
      </c>
      <c r="C1955" t="s">
        <v>7018</v>
      </c>
      <c r="D1955" t="s">
        <v>595</v>
      </c>
      <c r="E1955" s="184">
        <v>44441</v>
      </c>
      <c r="G1955" s="184"/>
      <c r="I1955" s="184"/>
      <c r="K1955" s="184"/>
      <c r="O1955" s="184"/>
      <c r="P1955" t="s">
        <v>7045</v>
      </c>
      <c r="Q1955" t="s">
        <v>7262</v>
      </c>
      <c r="R1955" s="184">
        <v>21490</v>
      </c>
      <c r="S1955">
        <v>65</v>
      </c>
      <c r="V1955" t="s">
        <v>8798</v>
      </c>
      <c r="X1955" t="s">
        <v>18107</v>
      </c>
      <c r="Z1955">
        <v>22961403</v>
      </c>
      <c r="AB1955" t="s">
        <v>3663</v>
      </c>
      <c r="AC1955" t="s">
        <v>7588</v>
      </c>
      <c r="AD1955" t="s">
        <v>18107</v>
      </c>
      <c r="AF1955" t="s">
        <v>18108</v>
      </c>
      <c r="AG1955" t="s">
        <v>18109</v>
      </c>
      <c r="AI1955" t="s">
        <v>18110</v>
      </c>
      <c r="AM1955" t="s">
        <v>18111</v>
      </c>
      <c r="AN1955" t="s">
        <v>2106</v>
      </c>
      <c r="AO1955" t="s">
        <v>18112</v>
      </c>
      <c r="AP1955" t="s">
        <v>7024</v>
      </c>
      <c r="AT1955" s="184"/>
      <c r="AW1955" s="184"/>
      <c r="AZ1955" s="184"/>
      <c r="BP1955" s="184"/>
    </row>
    <row r="1956" spans="1:68">
      <c r="A1956">
        <v>22998322</v>
      </c>
      <c r="B1956">
        <v>22998322</v>
      </c>
      <c r="C1956" t="s">
        <v>7018</v>
      </c>
      <c r="D1956" t="s">
        <v>595</v>
      </c>
      <c r="E1956" s="184">
        <v>44167</v>
      </c>
      <c r="G1956" s="184"/>
      <c r="H1956" t="s">
        <v>595</v>
      </c>
      <c r="I1956" s="184">
        <v>44167</v>
      </c>
      <c r="K1956" s="184"/>
      <c r="O1956" s="184"/>
      <c r="P1956" t="s">
        <v>7045</v>
      </c>
      <c r="Q1956" t="s">
        <v>7374</v>
      </c>
      <c r="R1956" s="184">
        <v>18233</v>
      </c>
      <c r="S1956">
        <v>74</v>
      </c>
      <c r="V1956" t="s">
        <v>2541</v>
      </c>
      <c r="X1956" t="s">
        <v>3180</v>
      </c>
      <c r="AF1956" t="s">
        <v>18116</v>
      </c>
      <c r="AG1956" t="s">
        <v>2541</v>
      </c>
      <c r="AI1956" t="s">
        <v>18117</v>
      </c>
      <c r="AM1956" t="s">
        <v>8234</v>
      </c>
      <c r="AN1956" t="s">
        <v>2081</v>
      </c>
      <c r="AO1956" t="s">
        <v>18118</v>
      </c>
      <c r="AP1956" t="s">
        <v>7024</v>
      </c>
      <c r="AQ1956" t="s">
        <v>18119</v>
      </c>
      <c r="AT1956" s="184">
        <v>35261</v>
      </c>
      <c r="AU1956" t="s">
        <v>18120</v>
      </c>
      <c r="AV1956">
        <v>25</v>
      </c>
      <c r="AW1956" s="184">
        <v>45369</v>
      </c>
      <c r="AX1956" t="s">
        <v>18121</v>
      </c>
      <c r="AY1956">
        <v>25</v>
      </c>
      <c r="AZ1956" s="184">
        <v>45301</v>
      </c>
      <c r="BA1956" t="s">
        <v>7578</v>
      </c>
      <c r="BB1956">
        <v>35</v>
      </c>
      <c r="BC1956">
        <v>32</v>
      </c>
      <c r="BD1956">
        <v>219</v>
      </c>
      <c r="BE1956">
        <v>1997</v>
      </c>
      <c r="BF1956">
        <v>11</v>
      </c>
      <c r="BG1956">
        <v>4</v>
      </c>
      <c r="BH1956">
        <v>110</v>
      </c>
      <c r="BI1956">
        <v>9</v>
      </c>
      <c r="BJ1956">
        <v>29</v>
      </c>
      <c r="BK1956">
        <v>2</v>
      </c>
      <c r="BN1956" t="s">
        <v>595</v>
      </c>
      <c r="BP1956" s="184"/>
    </row>
    <row r="1957" spans="1:68">
      <c r="A1957">
        <v>23006307</v>
      </c>
      <c r="B1957">
        <v>23006307</v>
      </c>
      <c r="C1957" t="s">
        <v>7018</v>
      </c>
      <c r="E1957" s="184"/>
      <c r="F1957" t="s">
        <v>595</v>
      </c>
      <c r="G1957" s="184">
        <v>43669</v>
      </c>
      <c r="I1957" s="184"/>
      <c r="K1957" s="184"/>
      <c r="O1957" s="184"/>
      <c r="P1957" t="s">
        <v>7045</v>
      </c>
      <c r="Q1957" t="s">
        <v>7030</v>
      </c>
      <c r="R1957" s="184">
        <v>13783</v>
      </c>
      <c r="S1957">
        <v>86</v>
      </c>
      <c r="U1957" t="s">
        <v>7076</v>
      </c>
      <c r="V1957" t="s">
        <v>3668</v>
      </c>
      <c r="W1957" t="s">
        <v>2772</v>
      </c>
      <c r="X1957" t="s">
        <v>2772</v>
      </c>
      <c r="AF1957" t="s">
        <v>18122</v>
      </c>
      <c r="AG1957" t="s">
        <v>3668</v>
      </c>
      <c r="AI1957" t="s">
        <v>18123</v>
      </c>
      <c r="AM1957" t="s">
        <v>2777</v>
      </c>
      <c r="AN1957" t="s">
        <v>2094</v>
      </c>
      <c r="AO1957" t="s">
        <v>18124</v>
      </c>
      <c r="AP1957" t="s">
        <v>7024</v>
      </c>
      <c r="AQ1957" t="s">
        <v>18125</v>
      </c>
      <c r="AT1957" s="184">
        <v>35262</v>
      </c>
      <c r="AU1957" t="s">
        <v>18126</v>
      </c>
      <c r="AV1957">
        <v>25</v>
      </c>
      <c r="AW1957" s="184">
        <v>44231</v>
      </c>
      <c r="AX1957" t="s">
        <v>18127</v>
      </c>
      <c r="AY1957">
        <v>150</v>
      </c>
      <c r="AZ1957" s="184">
        <v>44231</v>
      </c>
      <c r="BA1957" t="s">
        <v>18127</v>
      </c>
      <c r="BB1957">
        <v>150</v>
      </c>
      <c r="BC1957">
        <v>83</v>
      </c>
      <c r="BD1957">
        <v>1330</v>
      </c>
      <c r="BE1957">
        <v>1997</v>
      </c>
      <c r="BF1957">
        <v>34</v>
      </c>
      <c r="BI1957">
        <v>24</v>
      </c>
      <c r="BJ1957">
        <v>29</v>
      </c>
      <c r="BK1957">
        <v>16</v>
      </c>
      <c r="BN1957" t="s">
        <v>595</v>
      </c>
      <c r="BP1957" s="184"/>
    </row>
    <row r="1958" spans="1:68">
      <c r="A1958">
        <v>23014954</v>
      </c>
      <c r="B1958">
        <v>23014954</v>
      </c>
      <c r="C1958" t="s">
        <v>7018</v>
      </c>
      <c r="D1958" t="s">
        <v>595</v>
      </c>
      <c r="E1958" s="184">
        <v>44104</v>
      </c>
      <c r="G1958" s="184"/>
      <c r="I1958" s="184"/>
      <c r="K1958" s="184"/>
      <c r="O1958" s="184"/>
      <c r="P1958" t="s">
        <v>7045</v>
      </c>
      <c r="Q1958" t="s">
        <v>7494</v>
      </c>
      <c r="R1958" s="184">
        <v>17369</v>
      </c>
      <c r="S1958">
        <v>76</v>
      </c>
      <c r="U1958" t="s">
        <v>7031</v>
      </c>
      <c r="V1958" t="s">
        <v>2832</v>
      </c>
      <c r="W1958" t="s">
        <v>3332</v>
      </c>
      <c r="X1958" t="s">
        <v>18128</v>
      </c>
      <c r="Z1958">
        <v>100061197</v>
      </c>
      <c r="AB1958" t="s">
        <v>18129</v>
      </c>
      <c r="AD1958" t="s">
        <v>18128</v>
      </c>
      <c r="AF1958" t="s">
        <v>18130</v>
      </c>
      <c r="AG1958" t="s">
        <v>18131</v>
      </c>
      <c r="AI1958" t="s">
        <v>18132</v>
      </c>
      <c r="AM1958" t="s">
        <v>2633</v>
      </c>
      <c r="AN1958" t="s">
        <v>2174</v>
      </c>
      <c r="AO1958" t="s">
        <v>18133</v>
      </c>
      <c r="AP1958" t="s">
        <v>7024</v>
      </c>
      <c r="AQ1958" t="s">
        <v>18134</v>
      </c>
      <c r="AT1958" s="184">
        <v>35263</v>
      </c>
      <c r="AU1958" t="s">
        <v>18135</v>
      </c>
      <c r="AV1958">
        <v>25</v>
      </c>
      <c r="AW1958" s="184">
        <v>45089</v>
      </c>
      <c r="AX1958" t="s">
        <v>18136</v>
      </c>
      <c r="AY1958">
        <v>200</v>
      </c>
      <c r="AZ1958" s="184">
        <v>45089</v>
      </c>
      <c r="BA1958" t="s">
        <v>18136</v>
      </c>
      <c r="BB1958">
        <v>200</v>
      </c>
      <c r="BC1958">
        <v>94</v>
      </c>
      <c r="BD1958">
        <v>2085</v>
      </c>
      <c r="BE1958">
        <v>1997</v>
      </c>
      <c r="BF1958">
        <v>29</v>
      </c>
      <c r="BG1958">
        <v>2</v>
      </c>
      <c r="BH1958">
        <v>400</v>
      </c>
      <c r="BI1958">
        <v>27</v>
      </c>
      <c r="BJ1958">
        <v>29</v>
      </c>
      <c r="BK1958">
        <v>15</v>
      </c>
      <c r="BN1958" t="s">
        <v>595</v>
      </c>
      <c r="BP1958" s="184"/>
    </row>
    <row r="1959" spans="1:68">
      <c r="A1959">
        <v>100061197</v>
      </c>
      <c r="B1959">
        <v>23014954</v>
      </c>
      <c r="C1959" t="s">
        <v>7018</v>
      </c>
      <c r="D1959" t="s">
        <v>595</v>
      </c>
      <c r="E1959" s="184">
        <v>44104</v>
      </c>
      <c r="G1959" s="184"/>
      <c r="I1959" s="184"/>
      <c r="K1959" s="184"/>
      <c r="P1959" t="s">
        <v>7045</v>
      </c>
      <c r="Q1959" t="s">
        <v>7494</v>
      </c>
      <c r="R1959" s="184">
        <v>17349</v>
      </c>
      <c r="S1959">
        <v>76</v>
      </c>
      <c r="V1959" t="s">
        <v>18129</v>
      </c>
      <c r="X1959" t="s">
        <v>18128</v>
      </c>
      <c r="Z1959">
        <v>23014954</v>
      </c>
      <c r="AA1959" t="s">
        <v>7031</v>
      </c>
      <c r="AB1959" t="s">
        <v>2832</v>
      </c>
      <c r="AC1959" t="s">
        <v>3332</v>
      </c>
      <c r="AD1959" t="s">
        <v>18128</v>
      </c>
      <c r="AF1959" t="s">
        <v>18130</v>
      </c>
      <c r="AG1959" t="s">
        <v>18131</v>
      </c>
      <c r="AI1959" t="s">
        <v>18132</v>
      </c>
      <c r="AM1959" t="s">
        <v>2633</v>
      </c>
      <c r="AN1959" t="s">
        <v>2174</v>
      </c>
      <c r="AO1959" t="s">
        <v>18133</v>
      </c>
      <c r="AP1959" t="s">
        <v>7024</v>
      </c>
      <c r="AT1959" s="184"/>
      <c r="AW1959" s="184"/>
      <c r="AZ1959" s="184"/>
      <c r="BP1959" s="184"/>
    </row>
    <row r="1960" spans="1:68">
      <c r="A1960">
        <v>23018203</v>
      </c>
      <c r="B1960">
        <v>23018203</v>
      </c>
      <c r="C1960" t="s">
        <v>7018</v>
      </c>
      <c r="D1960" t="s">
        <v>595</v>
      </c>
      <c r="E1960" s="184">
        <v>43801</v>
      </c>
      <c r="G1960" s="184"/>
      <c r="I1960" s="184"/>
      <c r="K1960" s="184"/>
      <c r="P1960" t="s">
        <v>7045</v>
      </c>
      <c r="Q1960" t="s">
        <v>7374</v>
      </c>
      <c r="R1960" s="184">
        <v>11780</v>
      </c>
      <c r="S1960">
        <v>92</v>
      </c>
      <c r="U1960" t="s">
        <v>7031</v>
      </c>
      <c r="V1960" t="s">
        <v>4376</v>
      </c>
      <c r="W1960" t="s">
        <v>7836</v>
      </c>
      <c r="X1960" t="s">
        <v>4377</v>
      </c>
      <c r="AF1960" t="s">
        <v>18137</v>
      </c>
      <c r="AG1960" t="s">
        <v>4376</v>
      </c>
      <c r="AI1960" t="s">
        <v>18138</v>
      </c>
      <c r="AM1960" t="s">
        <v>2797</v>
      </c>
      <c r="AN1960" t="s">
        <v>2081</v>
      </c>
      <c r="AO1960" t="s">
        <v>18139</v>
      </c>
      <c r="AP1960" t="s">
        <v>7024</v>
      </c>
      <c r="AQ1960" t="s">
        <v>18140</v>
      </c>
      <c r="AR1960" t="s">
        <v>18141</v>
      </c>
      <c r="AT1960" s="184">
        <v>35264</v>
      </c>
      <c r="AU1960" t="s">
        <v>18142</v>
      </c>
      <c r="AV1960">
        <v>15</v>
      </c>
      <c r="AW1960" s="184">
        <v>44054</v>
      </c>
      <c r="AX1960" t="s">
        <v>18143</v>
      </c>
      <c r="AY1960">
        <v>25</v>
      </c>
      <c r="AZ1960" s="184">
        <v>40714</v>
      </c>
      <c r="BA1960" t="s">
        <v>18144</v>
      </c>
      <c r="BB1960">
        <v>40</v>
      </c>
      <c r="BC1960">
        <v>83</v>
      </c>
      <c r="BD1960">
        <v>1784.95</v>
      </c>
      <c r="BE1960">
        <v>1997</v>
      </c>
      <c r="BF1960">
        <v>94</v>
      </c>
      <c r="BI1960">
        <v>24</v>
      </c>
      <c r="BJ1960">
        <v>29</v>
      </c>
      <c r="BK1960">
        <v>21</v>
      </c>
      <c r="BN1960" t="s">
        <v>595</v>
      </c>
      <c r="BP1960" s="184"/>
    </row>
    <row r="1961" spans="1:68">
      <c r="A1961">
        <v>23059967</v>
      </c>
      <c r="B1961">
        <v>23059967</v>
      </c>
      <c r="C1961" t="s">
        <v>7018</v>
      </c>
      <c r="D1961" t="s">
        <v>595</v>
      </c>
      <c r="E1961" s="184">
        <v>43642</v>
      </c>
      <c r="G1961" s="184"/>
      <c r="I1961" s="184"/>
      <c r="K1961" s="184"/>
      <c r="O1961" s="184"/>
      <c r="P1961" t="s">
        <v>7045</v>
      </c>
      <c r="Q1961" t="s">
        <v>7383</v>
      </c>
      <c r="R1961" s="184">
        <v>14389</v>
      </c>
      <c r="S1961">
        <v>84</v>
      </c>
      <c r="U1961" t="s">
        <v>7130</v>
      </c>
      <c r="V1961" t="s">
        <v>3095</v>
      </c>
      <c r="W1961" t="s">
        <v>5006</v>
      </c>
      <c r="X1961" t="s">
        <v>3269</v>
      </c>
      <c r="AF1961" t="s">
        <v>18145</v>
      </c>
      <c r="AG1961" t="s">
        <v>3095</v>
      </c>
      <c r="AI1961" t="s">
        <v>18146</v>
      </c>
      <c r="AM1961" t="s">
        <v>2679</v>
      </c>
      <c r="AN1961" t="s">
        <v>2313</v>
      </c>
      <c r="AO1961" t="s">
        <v>18147</v>
      </c>
      <c r="AP1961" t="s">
        <v>7024</v>
      </c>
      <c r="AQ1961" t="s">
        <v>18148</v>
      </c>
      <c r="AR1961" t="s">
        <v>18149</v>
      </c>
      <c r="AT1961" s="184">
        <v>35272</v>
      </c>
      <c r="AU1961" t="s">
        <v>18150</v>
      </c>
      <c r="AV1961">
        <v>15</v>
      </c>
      <c r="AW1961" s="184">
        <v>44089</v>
      </c>
      <c r="AX1961" t="s">
        <v>18151</v>
      </c>
      <c r="AY1961">
        <v>25</v>
      </c>
      <c r="AZ1961" s="184">
        <v>43199</v>
      </c>
      <c r="BA1961" t="s">
        <v>18152</v>
      </c>
      <c r="BB1961">
        <v>60</v>
      </c>
      <c r="BC1961">
        <v>63</v>
      </c>
      <c r="BD1961">
        <v>1000</v>
      </c>
      <c r="BE1961">
        <v>1997</v>
      </c>
      <c r="BF1961">
        <v>35</v>
      </c>
      <c r="BI1961">
        <v>18</v>
      </c>
      <c r="BJ1961">
        <v>29</v>
      </c>
      <c r="BK1961">
        <v>9</v>
      </c>
      <c r="BP1961" s="184"/>
    </row>
    <row r="1962" spans="1:68">
      <c r="A1962">
        <v>23073968</v>
      </c>
      <c r="B1962">
        <v>23073968</v>
      </c>
      <c r="C1962" t="s">
        <v>7018</v>
      </c>
      <c r="E1962" s="184"/>
      <c r="G1962" s="184"/>
      <c r="I1962" s="184"/>
      <c r="J1962" t="s">
        <v>595</v>
      </c>
      <c r="K1962" s="184">
        <v>41761</v>
      </c>
      <c r="M1962" s="184"/>
      <c r="O1962" s="184"/>
      <c r="P1962" t="s">
        <v>7045</v>
      </c>
      <c r="Q1962" t="s">
        <v>7020</v>
      </c>
      <c r="R1962" s="184">
        <v>17751</v>
      </c>
      <c r="S1962">
        <v>75</v>
      </c>
      <c r="U1962" t="s">
        <v>7031</v>
      </c>
      <c r="V1962" t="s">
        <v>2982</v>
      </c>
      <c r="W1962" t="s">
        <v>7085</v>
      </c>
      <c r="X1962" t="s">
        <v>2893</v>
      </c>
      <c r="AF1962" t="s">
        <v>6099</v>
      </c>
      <c r="AG1962" t="s">
        <v>2982</v>
      </c>
      <c r="AI1962" t="s">
        <v>18153</v>
      </c>
      <c r="AM1962" t="s">
        <v>3999</v>
      </c>
      <c r="AN1962" t="s">
        <v>2052</v>
      </c>
      <c r="AO1962" t="s">
        <v>18154</v>
      </c>
      <c r="AP1962" t="s">
        <v>7024</v>
      </c>
      <c r="AQ1962" t="s">
        <v>18155</v>
      </c>
      <c r="AR1962" t="s">
        <v>18156</v>
      </c>
      <c r="AT1962" s="184">
        <v>35278</v>
      </c>
      <c r="AU1962" t="s">
        <v>18099</v>
      </c>
      <c r="AV1962">
        <v>15</v>
      </c>
      <c r="AW1962" s="184">
        <v>45320</v>
      </c>
      <c r="AX1962" t="s">
        <v>18157</v>
      </c>
      <c r="AY1962">
        <v>40</v>
      </c>
      <c r="AZ1962" s="184">
        <v>40995</v>
      </c>
      <c r="BA1962" t="s">
        <v>18158</v>
      </c>
      <c r="BB1962">
        <v>1000</v>
      </c>
      <c r="BC1962">
        <v>97</v>
      </c>
      <c r="BD1962">
        <v>6780</v>
      </c>
      <c r="BE1962">
        <v>1997</v>
      </c>
      <c r="BF1962">
        <v>198</v>
      </c>
      <c r="BG1962">
        <v>16</v>
      </c>
      <c r="BH1962">
        <v>315</v>
      </c>
      <c r="BI1962">
        <v>28</v>
      </c>
      <c r="BJ1962">
        <v>29</v>
      </c>
      <c r="BK1962">
        <v>23</v>
      </c>
      <c r="BP1962" s="184"/>
    </row>
    <row r="1963" spans="1:68">
      <c r="A1963">
        <v>23086234</v>
      </c>
      <c r="B1963">
        <v>23086234</v>
      </c>
      <c r="C1963" t="s">
        <v>7018</v>
      </c>
      <c r="E1963" s="184"/>
      <c r="F1963" t="s">
        <v>595</v>
      </c>
      <c r="G1963" s="184">
        <v>43864</v>
      </c>
      <c r="I1963" s="184"/>
      <c r="K1963" s="184"/>
      <c r="O1963" s="184"/>
      <c r="P1963" t="s">
        <v>7045</v>
      </c>
      <c r="Q1963" t="s">
        <v>7383</v>
      </c>
      <c r="R1963" s="184">
        <v>17161</v>
      </c>
      <c r="S1963">
        <v>77</v>
      </c>
      <c r="U1963" t="s">
        <v>7031</v>
      </c>
      <c r="V1963" t="s">
        <v>4666</v>
      </c>
      <c r="W1963" t="s">
        <v>3226</v>
      </c>
      <c r="X1963" t="s">
        <v>2904</v>
      </c>
      <c r="AF1963" t="s">
        <v>18159</v>
      </c>
      <c r="AG1963" t="s">
        <v>4666</v>
      </c>
      <c r="AI1963" t="s">
        <v>18160</v>
      </c>
      <c r="AM1963" t="s">
        <v>4074</v>
      </c>
      <c r="AN1963" t="s">
        <v>2139</v>
      </c>
      <c r="AO1963" t="s">
        <v>18161</v>
      </c>
      <c r="AP1963" t="s">
        <v>7024</v>
      </c>
      <c r="AQ1963" t="s">
        <v>18162</v>
      </c>
      <c r="AR1963" t="s">
        <v>18163</v>
      </c>
      <c r="AT1963" s="184">
        <v>35283</v>
      </c>
      <c r="AU1963" t="s">
        <v>18164</v>
      </c>
      <c r="AV1963">
        <v>20</v>
      </c>
      <c r="AW1963" s="184">
        <v>45377</v>
      </c>
      <c r="AX1963" t="s">
        <v>12947</v>
      </c>
      <c r="AY1963">
        <v>25</v>
      </c>
      <c r="AZ1963" s="184">
        <v>45203</v>
      </c>
      <c r="BA1963" t="s">
        <v>18165</v>
      </c>
      <c r="BB1963">
        <v>35</v>
      </c>
      <c r="BC1963">
        <v>100</v>
      </c>
      <c r="BD1963">
        <v>3545</v>
      </c>
      <c r="BE1963">
        <v>1997</v>
      </c>
      <c r="BF1963">
        <v>155</v>
      </c>
      <c r="BG1963">
        <v>10</v>
      </c>
      <c r="BH1963">
        <v>310</v>
      </c>
      <c r="BI1963">
        <v>29</v>
      </c>
      <c r="BJ1963">
        <v>29</v>
      </c>
      <c r="BK1963">
        <v>29</v>
      </c>
      <c r="BP1963" s="184"/>
    </row>
    <row r="1964" spans="1:68">
      <c r="A1964">
        <v>23131675</v>
      </c>
      <c r="B1964">
        <v>23131675</v>
      </c>
      <c r="C1964" t="s">
        <v>7018</v>
      </c>
      <c r="D1964" t="s">
        <v>595</v>
      </c>
      <c r="E1964" s="184">
        <v>43801</v>
      </c>
      <c r="G1964" s="184"/>
      <c r="K1964" s="184"/>
      <c r="O1964" s="184"/>
      <c r="P1964" t="s">
        <v>7045</v>
      </c>
      <c r="Q1964" t="s">
        <v>7374</v>
      </c>
      <c r="R1964" s="184">
        <v>18537</v>
      </c>
      <c r="S1964">
        <v>73</v>
      </c>
      <c r="U1964" t="s">
        <v>7031</v>
      </c>
      <c r="V1964" t="s">
        <v>4378</v>
      </c>
      <c r="X1964" t="s">
        <v>4379</v>
      </c>
      <c r="Y1964" t="s">
        <v>18166</v>
      </c>
      <c r="AF1964" t="s">
        <v>18167</v>
      </c>
      <c r="AG1964" t="s">
        <v>4378</v>
      </c>
      <c r="AI1964" t="s">
        <v>18168</v>
      </c>
      <c r="AM1964" t="s">
        <v>3109</v>
      </c>
      <c r="AN1964" t="s">
        <v>2081</v>
      </c>
      <c r="AO1964" t="s">
        <v>18169</v>
      </c>
      <c r="AP1964" t="s">
        <v>7024</v>
      </c>
      <c r="AT1964" s="184">
        <v>35290</v>
      </c>
      <c r="AU1964" t="s">
        <v>18170</v>
      </c>
      <c r="AV1964">
        <v>15</v>
      </c>
      <c r="AW1964" s="184">
        <v>45407</v>
      </c>
      <c r="AX1964" t="s">
        <v>9700</v>
      </c>
      <c r="AY1964">
        <v>25</v>
      </c>
      <c r="AZ1964" s="184">
        <v>44630</v>
      </c>
      <c r="BA1964" t="s">
        <v>11039</v>
      </c>
      <c r="BB1964">
        <v>35</v>
      </c>
      <c r="BC1964">
        <v>80</v>
      </c>
      <c r="BD1964">
        <v>885</v>
      </c>
      <c r="BE1964">
        <v>1997</v>
      </c>
      <c r="BF1964">
        <v>29</v>
      </c>
      <c r="BG1964">
        <v>2</v>
      </c>
      <c r="BH1964">
        <v>55</v>
      </c>
      <c r="BI1964">
        <v>23</v>
      </c>
      <c r="BJ1964">
        <v>29</v>
      </c>
      <c r="BK1964">
        <v>21</v>
      </c>
      <c r="BP1964" s="184"/>
    </row>
    <row r="1965" spans="1:68">
      <c r="A1965">
        <v>23138837</v>
      </c>
      <c r="B1965">
        <v>23138837</v>
      </c>
      <c r="C1965" t="s">
        <v>7018</v>
      </c>
      <c r="E1965" s="184"/>
      <c r="G1965" s="184"/>
      <c r="I1965" s="184"/>
      <c r="J1965" t="s">
        <v>595</v>
      </c>
      <c r="K1965" s="184">
        <v>41978</v>
      </c>
      <c r="O1965" s="184"/>
      <c r="P1965" t="s">
        <v>7045</v>
      </c>
      <c r="Q1965" t="s">
        <v>7030</v>
      </c>
      <c r="R1965" s="184">
        <v>23237</v>
      </c>
      <c r="S1965">
        <v>60</v>
      </c>
      <c r="U1965" t="s">
        <v>7031</v>
      </c>
      <c r="V1965" t="s">
        <v>2758</v>
      </c>
      <c r="X1965" t="s">
        <v>18171</v>
      </c>
      <c r="Z1965">
        <v>100061539</v>
      </c>
      <c r="AB1965" t="s">
        <v>2938</v>
      </c>
      <c r="AD1965" t="s">
        <v>18171</v>
      </c>
      <c r="AF1965" t="s">
        <v>6488</v>
      </c>
      <c r="AG1965" t="s">
        <v>18172</v>
      </c>
      <c r="AI1965" t="s">
        <v>18173</v>
      </c>
      <c r="AM1965" t="s">
        <v>4632</v>
      </c>
      <c r="AN1965" t="s">
        <v>2094</v>
      </c>
      <c r="AO1965" t="s">
        <v>18174</v>
      </c>
      <c r="AP1965" t="s">
        <v>7024</v>
      </c>
      <c r="AQ1965" t="s">
        <v>18175</v>
      </c>
      <c r="AT1965" s="184">
        <v>35291</v>
      </c>
      <c r="AU1965" t="s">
        <v>18176</v>
      </c>
      <c r="AV1965">
        <v>25</v>
      </c>
      <c r="AW1965" s="184">
        <v>44830</v>
      </c>
      <c r="AX1965" t="s">
        <v>7832</v>
      </c>
      <c r="AY1965">
        <v>35</v>
      </c>
      <c r="AZ1965" s="184">
        <v>40666</v>
      </c>
      <c r="BA1965" t="s">
        <v>18177</v>
      </c>
      <c r="BB1965">
        <v>250</v>
      </c>
      <c r="BC1965">
        <v>52</v>
      </c>
      <c r="BD1965">
        <v>880</v>
      </c>
      <c r="BE1965">
        <v>1997</v>
      </c>
      <c r="BF1965">
        <v>19</v>
      </c>
      <c r="BG1965">
        <v>1</v>
      </c>
      <c r="BH1965">
        <v>35</v>
      </c>
      <c r="BI1965">
        <v>15</v>
      </c>
      <c r="BJ1965">
        <v>29</v>
      </c>
      <c r="BK1965">
        <v>3</v>
      </c>
      <c r="BN1965" t="s">
        <v>595</v>
      </c>
      <c r="BP1965" s="184"/>
    </row>
    <row r="1966" spans="1:68">
      <c r="A1966">
        <v>100061539</v>
      </c>
      <c r="B1966">
        <v>23138837</v>
      </c>
      <c r="C1966" t="s">
        <v>7018</v>
      </c>
      <c r="E1966" s="184"/>
      <c r="G1966" s="184"/>
      <c r="I1966" s="184"/>
      <c r="J1966" t="s">
        <v>595</v>
      </c>
      <c r="K1966" s="184">
        <v>41978</v>
      </c>
      <c r="M1966" s="184"/>
      <c r="O1966" s="184"/>
      <c r="P1966" t="s">
        <v>7045</v>
      </c>
      <c r="Q1966" t="s">
        <v>7030</v>
      </c>
      <c r="R1966" s="184">
        <v>23224</v>
      </c>
      <c r="S1966">
        <v>60</v>
      </c>
      <c r="V1966" t="s">
        <v>2938</v>
      </c>
      <c r="X1966" t="s">
        <v>18171</v>
      </c>
      <c r="Z1966">
        <v>23138837</v>
      </c>
      <c r="AA1966" t="s">
        <v>7031</v>
      </c>
      <c r="AB1966" t="s">
        <v>2758</v>
      </c>
      <c r="AD1966" t="s">
        <v>18171</v>
      </c>
      <c r="AF1966" t="s">
        <v>6488</v>
      </c>
      <c r="AG1966" t="s">
        <v>18172</v>
      </c>
      <c r="AI1966" t="s">
        <v>18173</v>
      </c>
      <c r="AM1966" t="s">
        <v>4632</v>
      </c>
      <c r="AN1966" t="s">
        <v>2094</v>
      </c>
      <c r="AO1966" t="s">
        <v>18174</v>
      </c>
      <c r="AP1966" t="s">
        <v>7024</v>
      </c>
      <c r="AT1966" s="184"/>
      <c r="AW1966" s="184"/>
      <c r="AZ1966" s="184"/>
      <c r="BP1966" s="184"/>
    </row>
    <row r="1967" spans="1:68">
      <c r="A1967">
        <v>23158116</v>
      </c>
      <c r="B1967">
        <v>23158116</v>
      </c>
      <c r="C1967" t="s">
        <v>7018</v>
      </c>
      <c r="E1967" s="184"/>
      <c r="G1967" s="184"/>
      <c r="I1967" s="184"/>
      <c r="J1967" t="s">
        <v>595</v>
      </c>
      <c r="K1967" s="184">
        <v>40127</v>
      </c>
      <c r="O1967" s="184"/>
      <c r="P1967" t="s">
        <v>7045</v>
      </c>
      <c r="Q1967" t="s">
        <v>7383</v>
      </c>
      <c r="R1967" s="184">
        <v>18507</v>
      </c>
      <c r="S1967">
        <v>73</v>
      </c>
      <c r="V1967" t="s">
        <v>12571</v>
      </c>
      <c r="X1967" t="s">
        <v>3277</v>
      </c>
      <c r="Z1967">
        <v>100061582</v>
      </c>
      <c r="AB1967" t="s">
        <v>3419</v>
      </c>
      <c r="AC1967" t="s">
        <v>3332</v>
      </c>
      <c r="AD1967" t="s">
        <v>18178</v>
      </c>
      <c r="AF1967" t="s">
        <v>6395</v>
      </c>
      <c r="AG1967" t="s">
        <v>18179</v>
      </c>
      <c r="AI1967" t="s">
        <v>18180</v>
      </c>
      <c r="AM1967" t="s">
        <v>18181</v>
      </c>
      <c r="AN1967" t="s">
        <v>2072</v>
      </c>
      <c r="AO1967" t="s">
        <v>18182</v>
      </c>
      <c r="AP1967" t="s">
        <v>7024</v>
      </c>
      <c r="AT1967" s="184">
        <v>35291</v>
      </c>
      <c r="AU1967" t="s">
        <v>18183</v>
      </c>
      <c r="AV1967">
        <v>25</v>
      </c>
      <c r="AW1967" s="184">
        <v>45057</v>
      </c>
      <c r="AX1967" t="s">
        <v>9859</v>
      </c>
      <c r="AY1967">
        <v>50</v>
      </c>
      <c r="AZ1967" s="184">
        <v>40890</v>
      </c>
      <c r="BA1967" t="s">
        <v>18184</v>
      </c>
      <c r="BB1967">
        <v>100</v>
      </c>
      <c r="BC1967">
        <v>94</v>
      </c>
      <c r="BD1967">
        <v>1405</v>
      </c>
      <c r="BE1967">
        <v>1997</v>
      </c>
      <c r="BF1967">
        <v>35</v>
      </c>
      <c r="BG1967">
        <v>2</v>
      </c>
      <c r="BH1967">
        <v>100</v>
      </c>
      <c r="BI1967">
        <v>27</v>
      </c>
      <c r="BJ1967">
        <v>29</v>
      </c>
      <c r="BK1967">
        <v>14</v>
      </c>
      <c r="BP1967" s="184"/>
    </row>
    <row r="1968" spans="1:68">
      <c r="A1968">
        <v>100061582</v>
      </c>
      <c r="B1968">
        <v>23158116</v>
      </c>
      <c r="C1968" t="s">
        <v>7018</v>
      </c>
      <c r="E1968" s="184"/>
      <c r="G1968" s="184"/>
      <c r="I1968" s="184"/>
      <c r="J1968" t="s">
        <v>595</v>
      </c>
      <c r="K1968" s="184">
        <v>43649</v>
      </c>
      <c r="M1968" s="184"/>
      <c r="O1968" s="184"/>
      <c r="P1968" t="s">
        <v>7045</v>
      </c>
      <c r="Q1968" t="s">
        <v>7383</v>
      </c>
      <c r="R1968" s="184">
        <v>19756</v>
      </c>
      <c r="S1968">
        <v>70</v>
      </c>
      <c r="V1968" t="s">
        <v>3419</v>
      </c>
      <c r="W1968" t="s">
        <v>3332</v>
      </c>
      <c r="X1968" t="s">
        <v>18178</v>
      </c>
      <c r="Z1968">
        <v>23158116</v>
      </c>
      <c r="AB1968" t="s">
        <v>12571</v>
      </c>
      <c r="AD1968" t="s">
        <v>3277</v>
      </c>
      <c r="AF1968" t="s">
        <v>6395</v>
      </c>
      <c r="AG1968" t="s">
        <v>18179</v>
      </c>
      <c r="AI1968" t="s">
        <v>18180</v>
      </c>
      <c r="AM1968" t="s">
        <v>18181</v>
      </c>
      <c r="AN1968" t="s">
        <v>2072</v>
      </c>
      <c r="AO1968" t="s">
        <v>18182</v>
      </c>
      <c r="AP1968" t="s">
        <v>7024</v>
      </c>
      <c r="AQ1968" t="s">
        <v>18185</v>
      </c>
      <c r="AT1968" s="184"/>
      <c r="AW1968" s="184"/>
      <c r="AZ1968" s="184"/>
      <c r="BP1968" s="184"/>
    </row>
    <row r="1969" spans="1:68">
      <c r="A1969">
        <v>23160161</v>
      </c>
      <c r="B1969">
        <v>23160161</v>
      </c>
      <c r="C1969" t="s">
        <v>7018</v>
      </c>
      <c r="E1969" s="184"/>
      <c r="G1969" s="184"/>
      <c r="I1969" s="184"/>
      <c r="J1969" t="s">
        <v>595</v>
      </c>
      <c r="K1969" s="184">
        <v>42960</v>
      </c>
      <c r="O1969" s="184"/>
      <c r="P1969" t="s">
        <v>7045</v>
      </c>
      <c r="Q1969" t="s">
        <v>7383</v>
      </c>
      <c r="R1969" s="184">
        <v>13516</v>
      </c>
      <c r="S1969">
        <v>87</v>
      </c>
      <c r="U1969" t="s">
        <v>7130</v>
      </c>
      <c r="V1969" t="s">
        <v>2586</v>
      </c>
      <c r="X1969" t="s">
        <v>2772</v>
      </c>
      <c r="AF1969" t="s">
        <v>6470</v>
      </c>
      <c r="AG1969" t="s">
        <v>2586</v>
      </c>
      <c r="AI1969" t="s">
        <v>18186</v>
      </c>
      <c r="AM1969" t="s">
        <v>3356</v>
      </c>
      <c r="AN1969" t="s">
        <v>2313</v>
      </c>
      <c r="AO1969" t="s">
        <v>18187</v>
      </c>
      <c r="AP1969" t="s">
        <v>7024</v>
      </c>
      <c r="AQ1969" t="s">
        <v>18188</v>
      </c>
      <c r="AT1969" s="184">
        <v>35293</v>
      </c>
      <c r="AU1969" t="s">
        <v>18189</v>
      </c>
      <c r="AV1969">
        <v>15</v>
      </c>
      <c r="AW1969" s="184">
        <v>45174</v>
      </c>
      <c r="AX1969" t="s">
        <v>18190</v>
      </c>
      <c r="AY1969">
        <v>25</v>
      </c>
      <c r="AZ1969" s="184">
        <v>45174</v>
      </c>
      <c r="BA1969" t="s">
        <v>18190</v>
      </c>
      <c r="BB1969">
        <v>25</v>
      </c>
      <c r="BC1969">
        <v>94</v>
      </c>
      <c r="BD1969">
        <v>1027</v>
      </c>
      <c r="BE1969">
        <v>1997</v>
      </c>
      <c r="BF1969">
        <v>52</v>
      </c>
      <c r="BG1969">
        <v>4</v>
      </c>
      <c r="BH1969">
        <v>100</v>
      </c>
      <c r="BI1969">
        <v>27</v>
      </c>
      <c r="BJ1969">
        <v>29</v>
      </c>
      <c r="BK1969">
        <v>15</v>
      </c>
      <c r="BO1969" t="s">
        <v>595</v>
      </c>
      <c r="BP1969" s="184"/>
    </row>
    <row r="1970" spans="1:68">
      <c r="A1970">
        <v>23187792</v>
      </c>
      <c r="B1970">
        <v>23187792</v>
      </c>
      <c r="C1970" t="s">
        <v>7018</v>
      </c>
      <c r="D1970" t="s">
        <v>595</v>
      </c>
      <c r="E1970" s="184">
        <v>44328</v>
      </c>
      <c r="G1970" s="184"/>
      <c r="I1970" s="184"/>
      <c r="K1970" s="184"/>
      <c r="M1970" s="184"/>
      <c r="O1970" s="184"/>
      <c r="P1970" t="s">
        <v>7045</v>
      </c>
      <c r="Q1970" t="s">
        <v>7262</v>
      </c>
      <c r="R1970" s="184">
        <v>21885</v>
      </c>
      <c r="S1970">
        <v>64</v>
      </c>
      <c r="U1970" t="s">
        <v>18191</v>
      </c>
      <c r="V1970" t="s">
        <v>2832</v>
      </c>
      <c r="X1970" t="s">
        <v>18192</v>
      </c>
      <c r="AF1970" t="s">
        <v>18193</v>
      </c>
      <c r="AG1970" t="s">
        <v>2832</v>
      </c>
      <c r="AI1970" t="s">
        <v>18194</v>
      </c>
      <c r="AM1970" t="s">
        <v>18195</v>
      </c>
      <c r="AN1970" t="s">
        <v>2069</v>
      </c>
      <c r="AO1970" t="s">
        <v>18196</v>
      </c>
      <c r="AP1970" t="s">
        <v>7024</v>
      </c>
      <c r="AQ1970" t="s">
        <v>18197</v>
      </c>
      <c r="AR1970" t="s">
        <v>18198</v>
      </c>
      <c r="AT1970" s="184">
        <v>35296</v>
      </c>
      <c r="AU1970" t="s">
        <v>18199</v>
      </c>
      <c r="AV1970">
        <v>25</v>
      </c>
      <c r="AW1970" s="184">
        <v>45415</v>
      </c>
      <c r="AX1970" t="s">
        <v>18200</v>
      </c>
      <c r="AY1970">
        <v>50</v>
      </c>
      <c r="AZ1970" s="184">
        <v>39650</v>
      </c>
      <c r="BA1970" t="s">
        <v>18201</v>
      </c>
      <c r="BB1970">
        <v>87</v>
      </c>
      <c r="BC1970">
        <v>90</v>
      </c>
      <c r="BD1970">
        <v>1362</v>
      </c>
      <c r="BE1970">
        <v>1997</v>
      </c>
      <c r="BF1970">
        <v>44</v>
      </c>
      <c r="BG1970">
        <v>2</v>
      </c>
      <c r="BH1970">
        <v>100</v>
      </c>
      <c r="BI1970">
        <v>26</v>
      </c>
      <c r="BJ1970">
        <v>29</v>
      </c>
      <c r="BK1970">
        <v>13</v>
      </c>
      <c r="BP1970" s="184"/>
    </row>
    <row r="1971" spans="1:68">
      <c r="A1971">
        <v>23214455</v>
      </c>
      <c r="B1971">
        <v>23214455</v>
      </c>
      <c r="C1971" t="s">
        <v>7018</v>
      </c>
      <c r="E1971" s="184"/>
      <c r="F1971" t="s">
        <v>595</v>
      </c>
      <c r="G1971" s="184">
        <v>44414</v>
      </c>
      <c r="I1971" s="184"/>
      <c r="K1971" s="184"/>
      <c r="M1971" s="184"/>
      <c r="O1971" s="184"/>
      <c r="P1971" t="s">
        <v>7045</v>
      </c>
      <c r="Q1971" t="s">
        <v>7383</v>
      </c>
      <c r="R1971" s="184">
        <v>12618</v>
      </c>
      <c r="S1971">
        <v>89</v>
      </c>
      <c r="V1971" t="s">
        <v>18202</v>
      </c>
      <c r="W1971" t="s">
        <v>4013</v>
      </c>
      <c r="X1971" t="s">
        <v>18203</v>
      </c>
      <c r="AF1971" t="s">
        <v>18204</v>
      </c>
      <c r="AG1971" t="s">
        <v>18202</v>
      </c>
      <c r="AI1971" t="s">
        <v>18205</v>
      </c>
      <c r="AM1971" t="s">
        <v>3245</v>
      </c>
      <c r="AN1971" t="s">
        <v>2274</v>
      </c>
      <c r="AO1971" t="s">
        <v>18206</v>
      </c>
      <c r="AP1971" t="s">
        <v>7024</v>
      </c>
      <c r="AT1971" s="184">
        <v>35300</v>
      </c>
      <c r="AU1971" t="s">
        <v>18207</v>
      </c>
      <c r="AV1971">
        <v>15</v>
      </c>
      <c r="AW1971" s="184">
        <v>45324</v>
      </c>
      <c r="AX1971" t="s">
        <v>18208</v>
      </c>
      <c r="AY1971">
        <v>25</v>
      </c>
      <c r="AZ1971" s="184">
        <v>41101</v>
      </c>
      <c r="BA1971" t="s">
        <v>10565</v>
      </c>
      <c r="BB1971">
        <v>100</v>
      </c>
      <c r="BC1971">
        <v>21</v>
      </c>
      <c r="BD1971">
        <v>310</v>
      </c>
      <c r="BE1971">
        <v>1997</v>
      </c>
      <c r="BF1971">
        <v>6</v>
      </c>
      <c r="BG1971">
        <v>1</v>
      </c>
      <c r="BH1971">
        <v>25</v>
      </c>
      <c r="BI1971">
        <v>6</v>
      </c>
      <c r="BJ1971">
        <v>29</v>
      </c>
      <c r="BK1971">
        <v>2</v>
      </c>
      <c r="BP1971" s="184"/>
    </row>
    <row r="1972" spans="1:68">
      <c r="A1972">
        <v>23227747</v>
      </c>
      <c r="B1972">
        <v>23227747</v>
      </c>
      <c r="C1972" t="s">
        <v>7018</v>
      </c>
      <c r="D1972" t="s">
        <v>595</v>
      </c>
      <c r="E1972" s="184">
        <v>43970</v>
      </c>
      <c r="G1972" s="184"/>
      <c r="I1972" s="184"/>
      <c r="K1972" s="184"/>
      <c r="M1972" s="184"/>
      <c r="O1972" s="184"/>
      <c r="P1972" t="s">
        <v>7045</v>
      </c>
      <c r="Q1972" t="s">
        <v>7383</v>
      </c>
      <c r="R1972" s="184">
        <v>17233</v>
      </c>
      <c r="S1972">
        <v>77</v>
      </c>
      <c r="V1972" t="s">
        <v>2832</v>
      </c>
      <c r="X1972" t="s">
        <v>3666</v>
      </c>
      <c r="Y1972" t="s">
        <v>7941</v>
      </c>
      <c r="AF1972" t="s">
        <v>18209</v>
      </c>
      <c r="AG1972" t="s">
        <v>2832</v>
      </c>
      <c r="AI1972" t="s">
        <v>18210</v>
      </c>
      <c r="AM1972" t="s">
        <v>18211</v>
      </c>
      <c r="AN1972" t="s">
        <v>2185</v>
      </c>
      <c r="AO1972" t="s">
        <v>18212</v>
      </c>
      <c r="AP1972" t="s">
        <v>7024</v>
      </c>
      <c r="AT1972" s="184">
        <v>35304</v>
      </c>
      <c r="AU1972" t="s">
        <v>18213</v>
      </c>
      <c r="AV1972">
        <v>25</v>
      </c>
      <c r="AW1972" s="184">
        <v>45062</v>
      </c>
      <c r="AX1972" t="s">
        <v>7665</v>
      </c>
      <c r="AY1972">
        <v>35</v>
      </c>
      <c r="AZ1972" s="184">
        <v>35598</v>
      </c>
      <c r="BA1972" t="s">
        <v>18214</v>
      </c>
      <c r="BB1972">
        <v>60</v>
      </c>
      <c r="BC1972">
        <v>90</v>
      </c>
      <c r="BD1972">
        <v>920</v>
      </c>
      <c r="BE1972">
        <v>1997</v>
      </c>
      <c r="BF1972">
        <v>28</v>
      </c>
      <c r="BG1972">
        <v>2</v>
      </c>
      <c r="BH1972">
        <v>70</v>
      </c>
      <c r="BI1972">
        <v>26</v>
      </c>
      <c r="BJ1972">
        <v>29</v>
      </c>
      <c r="BK1972">
        <v>24</v>
      </c>
      <c r="BP1972" s="184"/>
    </row>
    <row r="1973" spans="1:68">
      <c r="A1973">
        <v>23227879</v>
      </c>
      <c r="B1973">
        <v>23227879</v>
      </c>
      <c r="C1973" t="s">
        <v>7018</v>
      </c>
      <c r="D1973" t="s">
        <v>595</v>
      </c>
      <c r="E1973" s="184">
        <v>44073</v>
      </c>
      <c r="G1973" s="184"/>
      <c r="I1973" s="184"/>
      <c r="K1973" s="184"/>
      <c r="M1973" s="184"/>
      <c r="O1973" s="184"/>
      <c r="P1973" t="s">
        <v>7029</v>
      </c>
      <c r="Q1973" t="s">
        <v>7383</v>
      </c>
      <c r="R1973" s="184">
        <v>14900</v>
      </c>
      <c r="S1973">
        <v>83</v>
      </c>
      <c r="V1973" t="s">
        <v>2851</v>
      </c>
      <c r="X1973" t="s">
        <v>18215</v>
      </c>
      <c r="Y1973" t="s">
        <v>8154</v>
      </c>
      <c r="AF1973" t="s">
        <v>18216</v>
      </c>
      <c r="AG1973" t="s">
        <v>2851</v>
      </c>
      <c r="AI1973" t="s">
        <v>18217</v>
      </c>
      <c r="AM1973" t="s">
        <v>3413</v>
      </c>
      <c r="AN1973" t="s">
        <v>2072</v>
      </c>
      <c r="AO1973" t="s">
        <v>18218</v>
      </c>
      <c r="AP1973" t="s">
        <v>7024</v>
      </c>
      <c r="AQ1973" t="s">
        <v>18219</v>
      </c>
      <c r="AT1973" s="184">
        <v>35304</v>
      </c>
      <c r="AU1973" t="s">
        <v>18220</v>
      </c>
      <c r="AV1973">
        <v>25</v>
      </c>
      <c r="AW1973" s="184">
        <v>44797</v>
      </c>
      <c r="AX1973" t="s">
        <v>18221</v>
      </c>
      <c r="AY1973">
        <v>200</v>
      </c>
      <c r="AZ1973" s="184">
        <v>44702</v>
      </c>
      <c r="BA1973" t="s">
        <v>18222</v>
      </c>
      <c r="BB1973">
        <v>500</v>
      </c>
      <c r="BC1973">
        <v>90</v>
      </c>
      <c r="BD1973">
        <v>6328</v>
      </c>
      <c r="BE1973">
        <v>1997</v>
      </c>
      <c r="BF1973">
        <v>38</v>
      </c>
      <c r="BG1973">
        <v>2</v>
      </c>
      <c r="BH1973">
        <v>700</v>
      </c>
      <c r="BI1973">
        <v>26</v>
      </c>
      <c r="BJ1973">
        <v>29</v>
      </c>
      <c r="BK1973">
        <v>21</v>
      </c>
      <c r="BP1973" s="184"/>
    </row>
    <row r="1974" spans="1:68">
      <c r="A1974">
        <v>23229065</v>
      </c>
      <c r="B1974">
        <v>23229065</v>
      </c>
      <c r="C1974" t="s">
        <v>7018</v>
      </c>
      <c r="D1974" t="s">
        <v>595</v>
      </c>
      <c r="E1974" s="184">
        <v>44168</v>
      </c>
      <c r="G1974" s="184"/>
      <c r="I1974" s="184"/>
      <c r="K1974" s="184"/>
      <c r="M1974" s="184"/>
      <c r="O1974" s="184"/>
      <c r="P1974" t="s">
        <v>7045</v>
      </c>
      <c r="Q1974" t="s">
        <v>7374</v>
      </c>
      <c r="R1974" s="184">
        <v>12351</v>
      </c>
      <c r="S1974">
        <v>90</v>
      </c>
      <c r="U1974" t="s">
        <v>7076</v>
      </c>
      <c r="V1974" t="s">
        <v>18223</v>
      </c>
      <c r="X1974" t="s">
        <v>18224</v>
      </c>
      <c r="AF1974" t="s">
        <v>18225</v>
      </c>
      <c r="AG1974" t="s">
        <v>18223</v>
      </c>
      <c r="AI1974" t="s">
        <v>18226</v>
      </c>
      <c r="AM1974" t="s">
        <v>3251</v>
      </c>
      <c r="AN1974" t="s">
        <v>2081</v>
      </c>
      <c r="AO1974" t="s">
        <v>18227</v>
      </c>
      <c r="AP1974" t="s">
        <v>7024</v>
      </c>
      <c r="AT1974" s="184">
        <v>35304</v>
      </c>
      <c r="AU1974" t="s">
        <v>18228</v>
      </c>
      <c r="AV1974">
        <v>25</v>
      </c>
      <c r="AW1974" s="184">
        <v>44348</v>
      </c>
      <c r="AX1974" t="s">
        <v>16849</v>
      </c>
      <c r="AY1974">
        <v>35</v>
      </c>
      <c r="AZ1974" s="184">
        <v>44348</v>
      </c>
      <c r="BA1974" t="s">
        <v>16849</v>
      </c>
      <c r="BB1974">
        <v>35</v>
      </c>
      <c r="BC1974">
        <v>90</v>
      </c>
      <c r="BD1974">
        <v>1015</v>
      </c>
      <c r="BE1974">
        <v>1997</v>
      </c>
      <c r="BF1974">
        <v>36</v>
      </c>
      <c r="BI1974">
        <v>26</v>
      </c>
      <c r="BJ1974">
        <v>29</v>
      </c>
      <c r="BK1974">
        <v>26</v>
      </c>
      <c r="BP1974" s="184"/>
    </row>
    <row r="1975" spans="1:68">
      <c r="A1975">
        <v>23249345</v>
      </c>
      <c r="B1975">
        <v>23249345</v>
      </c>
      <c r="C1975" t="s">
        <v>7018</v>
      </c>
      <c r="D1975" t="s">
        <v>595</v>
      </c>
      <c r="E1975" s="184">
        <v>44070</v>
      </c>
      <c r="G1975" s="184"/>
      <c r="I1975" s="184"/>
      <c r="K1975" s="184"/>
      <c r="M1975" s="184"/>
      <c r="O1975" s="184"/>
      <c r="P1975" t="s">
        <v>7045</v>
      </c>
      <c r="Q1975" t="s">
        <v>7383</v>
      </c>
      <c r="R1975" s="184">
        <v>14365</v>
      </c>
      <c r="S1975">
        <v>85</v>
      </c>
      <c r="U1975" t="s">
        <v>7130</v>
      </c>
      <c r="V1975" t="s">
        <v>2523</v>
      </c>
      <c r="W1975" t="s">
        <v>7560</v>
      </c>
      <c r="X1975" t="s">
        <v>18229</v>
      </c>
      <c r="AF1975" t="s">
        <v>18230</v>
      </c>
      <c r="AG1975" t="s">
        <v>2523</v>
      </c>
      <c r="AI1975" t="s">
        <v>18231</v>
      </c>
      <c r="AM1975" t="s">
        <v>3428</v>
      </c>
      <c r="AN1975" t="s">
        <v>2118</v>
      </c>
      <c r="AO1975" t="s">
        <v>18232</v>
      </c>
      <c r="AP1975" t="s">
        <v>7024</v>
      </c>
      <c r="AT1975" s="184">
        <v>32990</v>
      </c>
      <c r="AU1975" t="s">
        <v>18233</v>
      </c>
      <c r="AV1975">
        <v>15</v>
      </c>
      <c r="AW1975" s="184">
        <v>44978</v>
      </c>
      <c r="AX1975" t="s">
        <v>16778</v>
      </c>
      <c r="AY1975">
        <v>55</v>
      </c>
      <c r="AZ1975" s="184">
        <v>44978</v>
      </c>
      <c r="BA1975" t="s">
        <v>16778</v>
      </c>
      <c r="BB1975">
        <v>55</v>
      </c>
      <c r="BC1975">
        <v>52</v>
      </c>
      <c r="BD1975">
        <v>600</v>
      </c>
      <c r="BE1975">
        <v>1990</v>
      </c>
      <c r="BF1975">
        <v>24</v>
      </c>
      <c r="BG1975">
        <v>1</v>
      </c>
      <c r="BH1975">
        <v>55</v>
      </c>
      <c r="BI1975">
        <v>18</v>
      </c>
      <c r="BJ1975">
        <v>35</v>
      </c>
      <c r="BK1975">
        <v>15</v>
      </c>
      <c r="BP1975" s="184"/>
    </row>
    <row r="1976" spans="1:68">
      <c r="A1976">
        <v>23255888</v>
      </c>
      <c r="B1976">
        <v>23255888</v>
      </c>
      <c r="C1976" t="s">
        <v>7018</v>
      </c>
      <c r="D1976" t="s">
        <v>595</v>
      </c>
      <c r="E1976" s="184">
        <v>45117</v>
      </c>
      <c r="G1976" s="184"/>
      <c r="I1976" s="184"/>
      <c r="K1976" s="184"/>
      <c r="O1976" s="184"/>
      <c r="P1976" t="s">
        <v>7019</v>
      </c>
      <c r="Q1976" t="s">
        <v>7383</v>
      </c>
      <c r="R1976" s="184">
        <v>15378</v>
      </c>
      <c r="S1976">
        <v>82</v>
      </c>
      <c r="V1976" t="s">
        <v>3393</v>
      </c>
      <c r="X1976" t="s">
        <v>18234</v>
      </c>
      <c r="AF1976" t="s">
        <v>18235</v>
      </c>
      <c r="AG1976" t="s">
        <v>3393</v>
      </c>
      <c r="AI1976" t="s">
        <v>18236</v>
      </c>
      <c r="AM1976" t="s">
        <v>18237</v>
      </c>
      <c r="AN1976" t="s">
        <v>2274</v>
      </c>
      <c r="AO1976" t="s">
        <v>18238</v>
      </c>
      <c r="AP1976" t="s">
        <v>7024</v>
      </c>
      <c r="AQ1976" t="s">
        <v>18239</v>
      </c>
      <c r="AT1976" s="184">
        <v>35317</v>
      </c>
      <c r="AU1976" t="s">
        <v>18240</v>
      </c>
      <c r="AV1976">
        <v>20</v>
      </c>
      <c r="AW1976" s="184">
        <v>44560</v>
      </c>
      <c r="AX1976" t="s">
        <v>18241</v>
      </c>
      <c r="AY1976">
        <v>60</v>
      </c>
      <c r="AZ1976" s="184">
        <v>44560</v>
      </c>
      <c r="BA1976" t="s">
        <v>18241</v>
      </c>
      <c r="BB1976">
        <v>60</v>
      </c>
      <c r="BC1976">
        <v>18</v>
      </c>
      <c r="BD1976">
        <v>125</v>
      </c>
      <c r="BE1976">
        <v>1997</v>
      </c>
      <c r="BF1976">
        <v>5</v>
      </c>
      <c r="BI1976">
        <v>5</v>
      </c>
      <c r="BJ1976">
        <v>29</v>
      </c>
      <c r="BK1976">
        <v>2</v>
      </c>
      <c r="BP1976" s="184"/>
    </row>
    <row r="1977" spans="1:68">
      <c r="A1977">
        <v>23259583</v>
      </c>
      <c r="B1977">
        <v>23259583</v>
      </c>
      <c r="C1977" t="s">
        <v>7018</v>
      </c>
      <c r="D1977" t="s">
        <v>595</v>
      </c>
      <c r="E1977" s="184">
        <v>43801</v>
      </c>
      <c r="G1977" s="184"/>
      <c r="I1977" s="184"/>
      <c r="K1977" s="184"/>
      <c r="M1977" s="184"/>
      <c r="O1977" s="184"/>
      <c r="P1977" t="s">
        <v>7045</v>
      </c>
      <c r="Q1977" t="s">
        <v>7374</v>
      </c>
      <c r="R1977" s="184">
        <v>7543</v>
      </c>
      <c r="S1977">
        <v>103</v>
      </c>
      <c r="V1977" t="s">
        <v>2609</v>
      </c>
      <c r="X1977" t="s">
        <v>4380</v>
      </c>
      <c r="AF1977" t="s">
        <v>18242</v>
      </c>
      <c r="AG1977" t="s">
        <v>2609</v>
      </c>
      <c r="AI1977" t="s">
        <v>18243</v>
      </c>
      <c r="AJ1977" t="s">
        <v>18244</v>
      </c>
      <c r="AM1977" t="s">
        <v>4312</v>
      </c>
      <c r="AN1977" t="s">
        <v>2081</v>
      </c>
      <c r="AO1977" t="s">
        <v>18245</v>
      </c>
      <c r="AP1977" t="s">
        <v>7024</v>
      </c>
      <c r="AQ1977" t="s">
        <v>18246</v>
      </c>
      <c r="AT1977" s="184">
        <v>35318</v>
      </c>
      <c r="AU1977" t="s">
        <v>18247</v>
      </c>
      <c r="AV1977">
        <v>15</v>
      </c>
      <c r="AW1977" s="184">
        <v>40077</v>
      </c>
      <c r="AX1977" t="s">
        <v>18248</v>
      </c>
      <c r="AY1977">
        <v>15</v>
      </c>
      <c r="AZ1977" s="184">
        <v>37956</v>
      </c>
      <c r="BA1977" t="s">
        <v>18249</v>
      </c>
      <c r="BB1977">
        <v>25</v>
      </c>
      <c r="BC1977">
        <v>42</v>
      </c>
      <c r="BD1977">
        <v>260</v>
      </c>
      <c r="BE1977">
        <v>1997</v>
      </c>
      <c r="BF1977">
        <v>24</v>
      </c>
      <c r="BI1977">
        <v>12</v>
      </c>
      <c r="BJ1977">
        <v>29</v>
      </c>
      <c r="BK1977">
        <v>7</v>
      </c>
      <c r="BP1977" s="184"/>
    </row>
    <row r="1978" spans="1:68">
      <c r="A1978">
        <v>23270283</v>
      </c>
      <c r="B1978">
        <v>23270283</v>
      </c>
      <c r="C1978" t="s">
        <v>7018</v>
      </c>
      <c r="E1978" s="184"/>
      <c r="G1978" s="184"/>
      <c r="I1978" s="184"/>
      <c r="J1978" t="s">
        <v>595</v>
      </c>
      <c r="K1978" s="184">
        <v>41327</v>
      </c>
      <c r="M1978" s="184"/>
      <c r="P1978" t="s">
        <v>7045</v>
      </c>
      <c r="Q1978" t="s">
        <v>7160</v>
      </c>
      <c r="R1978" s="184">
        <v>20852</v>
      </c>
      <c r="S1978">
        <v>67</v>
      </c>
      <c r="U1978" t="s">
        <v>7031</v>
      </c>
      <c r="V1978" t="s">
        <v>3283</v>
      </c>
      <c r="W1978" t="s">
        <v>7396</v>
      </c>
      <c r="X1978" t="s">
        <v>3092</v>
      </c>
      <c r="AF1978" t="s">
        <v>6616</v>
      </c>
      <c r="AG1978" t="s">
        <v>3283</v>
      </c>
      <c r="AI1978" t="s">
        <v>18250</v>
      </c>
      <c r="AM1978" t="s">
        <v>18251</v>
      </c>
      <c r="AN1978" t="s">
        <v>4637</v>
      </c>
      <c r="AO1978" t="s">
        <v>18252</v>
      </c>
      <c r="AP1978" t="s">
        <v>7024</v>
      </c>
      <c r="AQ1978" t="s">
        <v>18253</v>
      </c>
      <c r="AT1978" s="184">
        <v>35320</v>
      </c>
      <c r="AU1978" t="s">
        <v>18254</v>
      </c>
      <c r="AV1978">
        <v>15</v>
      </c>
      <c r="AW1978" s="184">
        <v>45258</v>
      </c>
      <c r="AX1978" t="s">
        <v>8896</v>
      </c>
      <c r="AY1978">
        <v>50</v>
      </c>
      <c r="AZ1978" s="184">
        <v>45258</v>
      </c>
      <c r="BA1978" t="s">
        <v>8896</v>
      </c>
      <c r="BB1978">
        <v>50</v>
      </c>
      <c r="BC1978">
        <v>66</v>
      </c>
      <c r="BD1978">
        <v>515</v>
      </c>
      <c r="BE1978">
        <v>1997</v>
      </c>
      <c r="BF1978">
        <v>21</v>
      </c>
      <c r="BG1978">
        <v>2</v>
      </c>
      <c r="BH1978">
        <v>75</v>
      </c>
      <c r="BI1978">
        <v>19</v>
      </c>
      <c r="BJ1978">
        <v>29</v>
      </c>
      <c r="BK1978">
        <v>5</v>
      </c>
      <c r="BP1978" s="184"/>
    </row>
    <row r="1979" spans="1:68">
      <c r="A1979">
        <v>23283146</v>
      </c>
      <c r="B1979">
        <v>23283146</v>
      </c>
      <c r="C1979" t="s">
        <v>7018</v>
      </c>
      <c r="E1979" s="184"/>
      <c r="G1979" s="184"/>
      <c r="I1979" s="184"/>
      <c r="J1979" t="s">
        <v>595</v>
      </c>
      <c r="K1979" s="184">
        <v>45132</v>
      </c>
      <c r="O1979" s="184"/>
      <c r="P1979" t="s">
        <v>7045</v>
      </c>
      <c r="Q1979" t="s">
        <v>7383</v>
      </c>
      <c r="R1979" s="184">
        <v>25825</v>
      </c>
      <c r="S1979">
        <v>53</v>
      </c>
      <c r="V1979" t="s">
        <v>3748</v>
      </c>
      <c r="X1979" t="s">
        <v>5809</v>
      </c>
      <c r="AF1979" t="s">
        <v>18255</v>
      </c>
      <c r="AG1979" t="s">
        <v>3748</v>
      </c>
      <c r="AI1979" t="s">
        <v>18256</v>
      </c>
      <c r="AM1979" t="s">
        <v>18257</v>
      </c>
      <c r="AN1979" t="s">
        <v>2144</v>
      </c>
      <c r="AO1979" t="s">
        <v>18258</v>
      </c>
      <c r="AP1979" t="s">
        <v>7024</v>
      </c>
      <c r="AT1979" s="184">
        <v>35324</v>
      </c>
      <c r="AU1979" t="s">
        <v>18259</v>
      </c>
      <c r="AV1979">
        <v>25</v>
      </c>
      <c r="AW1979" s="184">
        <v>43472</v>
      </c>
      <c r="AX1979" t="s">
        <v>18260</v>
      </c>
      <c r="AY1979">
        <v>25</v>
      </c>
      <c r="AZ1979" s="184">
        <v>38677</v>
      </c>
      <c r="BA1979" t="s">
        <v>12860</v>
      </c>
      <c r="BB1979">
        <v>60</v>
      </c>
      <c r="BC1979">
        <v>42</v>
      </c>
      <c r="BD1979">
        <v>360</v>
      </c>
      <c r="BE1979">
        <v>1997</v>
      </c>
      <c r="BF1979">
        <v>14</v>
      </c>
      <c r="BI1979">
        <v>12</v>
      </c>
      <c r="BJ1979">
        <v>29</v>
      </c>
      <c r="BK1979">
        <v>3</v>
      </c>
      <c r="BP1979" s="184"/>
    </row>
    <row r="1980" spans="1:68">
      <c r="A1980">
        <v>23342744</v>
      </c>
      <c r="B1980">
        <v>23342744</v>
      </c>
      <c r="C1980" t="s">
        <v>7018</v>
      </c>
      <c r="D1980" t="s">
        <v>595</v>
      </c>
      <c r="E1980" s="184">
        <v>43836</v>
      </c>
      <c r="G1980" s="184"/>
      <c r="I1980" s="184"/>
      <c r="K1980" s="184"/>
      <c r="M1980" s="184"/>
      <c r="O1980" s="184"/>
      <c r="P1980" t="s">
        <v>7045</v>
      </c>
      <c r="Q1980" t="s">
        <v>7374</v>
      </c>
      <c r="R1980" s="184">
        <v>21429</v>
      </c>
      <c r="S1980">
        <v>65</v>
      </c>
      <c r="U1980" t="s">
        <v>7031</v>
      </c>
      <c r="V1980" t="s">
        <v>4502</v>
      </c>
      <c r="W1980" t="s">
        <v>5006</v>
      </c>
      <c r="X1980" t="s">
        <v>18261</v>
      </c>
      <c r="AF1980" t="s">
        <v>18262</v>
      </c>
      <c r="AG1980" t="s">
        <v>4502</v>
      </c>
      <c r="AI1980" t="s">
        <v>18263</v>
      </c>
      <c r="AM1980" t="s">
        <v>4504</v>
      </c>
      <c r="AN1980" t="s">
        <v>2081</v>
      </c>
      <c r="AO1980" t="s">
        <v>18264</v>
      </c>
      <c r="AP1980" t="s">
        <v>7024</v>
      </c>
      <c r="AQ1980" t="s">
        <v>18265</v>
      </c>
      <c r="AT1980" s="184">
        <v>35331</v>
      </c>
      <c r="AU1980" t="s">
        <v>18266</v>
      </c>
      <c r="AV1980">
        <v>25</v>
      </c>
      <c r="AW1980" s="184">
        <v>44950</v>
      </c>
      <c r="AX1980" t="s">
        <v>18267</v>
      </c>
      <c r="AY1980">
        <v>75</v>
      </c>
      <c r="AZ1980" s="184">
        <v>44950</v>
      </c>
      <c r="BA1980" t="s">
        <v>18267</v>
      </c>
      <c r="BB1980">
        <v>75</v>
      </c>
      <c r="BC1980">
        <v>80</v>
      </c>
      <c r="BD1980">
        <v>890</v>
      </c>
      <c r="BE1980">
        <v>1997</v>
      </c>
      <c r="BF1980">
        <v>24</v>
      </c>
      <c r="BG1980">
        <v>1</v>
      </c>
      <c r="BH1980">
        <v>75</v>
      </c>
      <c r="BI1980">
        <v>23</v>
      </c>
      <c r="BJ1980">
        <v>29</v>
      </c>
      <c r="BK1980">
        <v>8</v>
      </c>
      <c r="BP1980" s="184"/>
    </row>
    <row r="1981" spans="1:68">
      <c r="A1981">
        <v>23400385</v>
      </c>
      <c r="B1981">
        <v>23400385</v>
      </c>
      <c r="C1981" t="s">
        <v>7018</v>
      </c>
      <c r="E1981" s="184"/>
      <c r="G1981" s="184"/>
      <c r="I1981" s="184"/>
      <c r="J1981" t="s">
        <v>595</v>
      </c>
      <c r="K1981" s="184">
        <v>41967</v>
      </c>
      <c r="M1981" s="184"/>
      <c r="O1981" s="184"/>
      <c r="P1981" t="s">
        <v>7045</v>
      </c>
      <c r="Q1981" t="s">
        <v>7030</v>
      </c>
      <c r="R1981" s="184">
        <v>19845</v>
      </c>
      <c r="S1981">
        <v>70</v>
      </c>
      <c r="U1981" t="s">
        <v>7076</v>
      </c>
      <c r="V1981" t="s">
        <v>3431</v>
      </c>
      <c r="X1981" t="s">
        <v>18268</v>
      </c>
      <c r="AF1981" t="s">
        <v>18269</v>
      </c>
      <c r="AG1981" t="s">
        <v>3431</v>
      </c>
      <c r="AI1981" t="s">
        <v>18270</v>
      </c>
      <c r="AM1981" t="s">
        <v>4209</v>
      </c>
      <c r="AN1981" t="s">
        <v>2201</v>
      </c>
      <c r="AO1981" t="s">
        <v>18271</v>
      </c>
      <c r="AP1981" t="s">
        <v>7024</v>
      </c>
      <c r="AQ1981" t="s">
        <v>18272</v>
      </c>
      <c r="AR1981" t="s">
        <v>18273</v>
      </c>
      <c r="AT1981" s="184">
        <v>35356</v>
      </c>
      <c r="AU1981" t="s">
        <v>17624</v>
      </c>
      <c r="AV1981">
        <v>19.95</v>
      </c>
      <c r="AW1981" s="184">
        <v>45294</v>
      </c>
      <c r="AX1981" t="s">
        <v>7168</v>
      </c>
      <c r="AY1981">
        <v>35</v>
      </c>
      <c r="AZ1981" s="184">
        <v>38082</v>
      </c>
      <c r="BA1981" t="s">
        <v>18274</v>
      </c>
      <c r="BB1981">
        <v>50</v>
      </c>
      <c r="BC1981">
        <v>90</v>
      </c>
      <c r="BD1981">
        <v>894.95</v>
      </c>
      <c r="BE1981">
        <v>1997</v>
      </c>
      <c r="BF1981">
        <v>31</v>
      </c>
      <c r="BG1981">
        <v>2</v>
      </c>
      <c r="BH1981">
        <v>70</v>
      </c>
      <c r="BI1981">
        <v>26</v>
      </c>
      <c r="BJ1981">
        <v>29</v>
      </c>
      <c r="BK1981">
        <v>15</v>
      </c>
      <c r="BP1981" s="184"/>
    </row>
    <row r="1982" spans="1:68">
      <c r="A1982">
        <v>23467400</v>
      </c>
      <c r="B1982">
        <v>23467400</v>
      </c>
      <c r="C1982" t="s">
        <v>7018</v>
      </c>
      <c r="E1982" s="184"/>
      <c r="G1982" s="184"/>
      <c r="I1982" s="184"/>
      <c r="K1982" s="184"/>
      <c r="L1982" t="s">
        <v>595</v>
      </c>
      <c r="M1982" s="184">
        <v>43923</v>
      </c>
      <c r="O1982" s="184"/>
      <c r="P1982" t="s">
        <v>7045</v>
      </c>
      <c r="Q1982" t="s">
        <v>7262</v>
      </c>
      <c r="R1982" s="184">
        <v>17363</v>
      </c>
      <c r="S1982">
        <v>76</v>
      </c>
      <c r="U1982" t="s">
        <v>7031</v>
      </c>
      <c r="V1982" t="s">
        <v>4236</v>
      </c>
      <c r="W1982" t="s">
        <v>2963</v>
      </c>
      <c r="X1982" t="s">
        <v>18275</v>
      </c>
      <c r="AF1982" t="s">
        <v>18276</v>
      </c>
      <c r="AG1982" t="s">
        <v>4236</v>
      </c>
      <c r="AI1982" t="s">
        <v>18277</v>
      </c>
      <c r="AM1982" t="s">
        <v>2650</v>
      </c>
      <c r="AN1982" t="s">
        <v>65</v>
      </c>
      <c r="AO1982" t="s">
        <v>18278</v>
      </c>
      <c r="AP1982" t="s">
        <v>7024</v>
      </c>
      <c r="AQ1982" t="s">
        <v>18279</v>
      </c>
      <c r="AT1982" s="184">
        <v>35360</v>
      </c>
      <c r="AU1982" t="s">
        <v>18280</v>
      </c>
      <c r="AV1982">
        <v>15</v>
      </c>
      <c r="AW1982" s="184">
        <v>45343</v>
      </c>
      <c r="AX1982" t="s">
        <v>14729</v>
      </c>
      <c r="AY1982">
        <v>250</v>
      </c>
      <c r="AZ1982" s="184">
        <v>43909</v>
      </c>
      <c r="BA1982" t="s">
        <v>18281</v>
      </c>
      <c r="BB1982">
        <v>370</v>
      </c>
      <c r="BC1982">
        <v>87</v>
      </c>
      <c r="BD1982">
        <v>2140</v>
      </c>
      <c r="BE1982">
        <v>1997</v>
      </c>
      <c r="BF1982">
        <v>30</v>
      </c>
      <c r="BG1982">
        <v>2</v>
      </c>
      <c r="BH1982">
        <v>500</v>
      </c>
      <c r="BI1982">
        <v>25</v>
      </c>
      <c r="BJ1982">
        <v>29</v>
      </c>
      <c r="BK1982">
        <v>19</v>
      </c>
      <c r="BP1982" s="184"/>
    </row>
    <row r="1983" spans="1:68">
      <c r="A1983">
        <v>23488075</v>
      </c>
      <c r="B1983">
        <v>23488075</v>
      </c>
      <c r="C1983" t="s">
        <v>7018</v>
      </c>
      <c r="E1983" s="184"/>
      <c r="G1983" s="184"/>
      <c r="I1983" s="184"/>
      <c r="J1983" t="s">
        <v>595</v>
      </c>
      <c r="K1983" s="184">
        <v>43388</v>
      </c>
      <c r="O1983" s="184"/>
      <c r="P1983" t="s">
        <v>7045</v>
      </c>
      <c r="Q1983" t="s">
        <v>7374</v>
      </c>
      <c r="R1983" s="184">
        <v>13945</v>
      </c>
      <c r="S1983">
        <v>86</v>
      </c>
      <c r="V1983" t="s">
        <v>2771</v>
      </c>
      <c r="X1983" t="s">
        <v>4749</v>
      </c>
      <c r="Z1983">
        <v>100062451</v>
      </c>
      <c r="AB1983" t="s">
        <v>18282</v>
      </c>
      <c r="AD1983" t="s">
        <v>4749</v>
      </c>
      <c r="AF1983" t="s">
        <v>6388</v>
      </c>
      <c r="AG1983" t="s">
        <v>18283</v>
      </c>
      <c r="AI1983" t="s">
        <v>18284</v>
      </c>
      <c r="AM1983" t="s">
        <v>3109</v>
      </c>
      <c r="AN1983" t="s">
        <v>2081</v>
      </c>
      <c r="AO1983" t="s">
        <v>18285</v>
      </c>
      <c r="AP1983" t="s">
        <v>7024</v>
      </c>
      <c r="AQ1983" t="s">
        <v>18286</v>
      </c>
      <c r="AT1983" s="184">
        <v>35362</v>
      </c>
      <c r="AU1983" t="s">
        <v>18287</v>
      </c>
      <c r="AV1983">
        <v>15</v>
      </c>
      <c r="AW1983" s="184">
        <v>45414</v>
      </c>
      <c r="AX1983" t="s">
        <v>18288</v>
      </c>
      <c r="AY1983">
        <v>200</v>
      </c>
      <c r="AZ1983" s="184">
        <v>45414</v>
      </c>
      <c r="BA1983" t="s">
        <v>18288</v>
      </c>
      <c r="BB1983">
        <v>200</v>
      </c>
      <c r="BC1983">
        <v>90</v>
      </c>
      <c r="BD1983">
        <v>2011</v>
      </c>
      <c r="BE1983">
        <v>1997</v>
      </c>
      <c r="BF1983">
        <v>32</v>
      </c>
      <c r="BG1983">
        <v>3</v>
      </c>
      <c r="BH1983">
        <v>600</v>
      </c>
      <c r="BI1983">
        <v>26</v>
      </c>
      <c r="BJ1983">
        <v>29</v>
      </c>
      <c r="BK1983">
        <v>18</v>
      </c>
      <c r="BP1983" s="184"/>
    </row>
    <row r="1984" spans="1:68">
      <c r="A1984">
        <v>100062451</v>
      </c>
      <c r="B1984">
        <v>23488075</v>
      </c>
      <c r="C1984" t="s">
        <v>7018</v>
      </c>
      <c r="E1984" s="184"/>
      <c r="G1984" s="184"/>
      <c r="I1984" s="184"/>
      <c r="J1984" t="s">
        <v>595</v>
      </c>
      <c r="K1984" s="184">
        <v>43656</v>
      </c>
      <c r="O1984" s="184"/>
      <c r="P1984" t="s">
        <v>7045</v>
      </c>
      <c r="Q1984" t="s">
        <v>7374</v>
      </c>
      <c r="R1984" s="184">
        <v>15321</v>
      </c>
      <c r="S1984">
        <v>82</v>
      </c>
      <c r="V1984" t="s">
        <v>18282</v>
      </c>
      <c r="X1984" t="s">
        <v>4749</v>
      </c>
      <c r="Z1984">
        <v>23488075</v>
      </c>
      <c r="AB1984" t="s">
        <v>2771</v>
      </c>
      <c r="AD1984" t="s">
        <v>4749</v>
      </c>
      <c r="AF1984" t="s">
        <v>6388</v>
      </c>
      <c r="AG1984" t="s">
        <v>18283</v>
      </c>
      <c r="AI1984" t="s">
        <v>18284</v>
      </c>
      <c r="AM1984" t="s">
        <v>3109</v>
      </c>
      <c r="AN1984" t="s">
        <v>2081</v>
      </c>
      <c r="AO1984" t="s">
        <v>18285</v>
      </c>
      <c r="AP1984" t="s">
        <v>7024</v>
      </c>
      <c r="AT1984" s="184"/>
      <c r="AW1984" s="184"/>
      <c r="AZ1984" s="184"/>
      <c r="BP1984" s="184"/>
    </row>
    <row r="1985" spans="1:68">
      <c r="A1985">
        <v>23507684</v>
      </c>
      <c r="B1985">
        <v>23507684</v>
      </c>
      <c r="C1985" t="s">
        <v>7018</v>
      </c>
      <c r="E1985" s="184"/>
      <c r="G1985" s="184"/>
      <c r="H1985" t="s">
        <v>595</v>
      </c>
      <c r="I1985" s="184">
        <v>44167</v>
      </c>
      <c r="K1985" s="184"/>
      <c r="P1985" t="s">
        <v>7045</v>
      </c>
      <c r="Q1985" t="s">
        <v>7194</v>
      </c>
      <c r="R1985" s="184">
        <v>19085</v>
      </c>
      <c r="S1985">
        <v>72</v>
      </c>
      <c r="U1985" t="s">
        <v>7076</v>
      </c>
      <c r="V1985" t="s">
        <v>2586</v>
      </c>
      <c r="W1985" t="s">
        <v>4136</v>
      </c>
      <c r="X1985" t="s">
        <v>18289</v>
      </c>
      <c r="AF1985" t="s">
        <v>18290</v>
      </c>
      <c r="AG1985" t="s">
        <v>2586</v>
      </c>
      <c r="AI1985" t="s">
        <v>18291</v>
      </c>
      <c r="AM1985" t="s">
        <v>5517</v>
      </c>
      <c r="AN1985" t="s">
        <v>4512</v>
      </c>
      <c r="AO1985" t="s">
        <v>18292</v>
      </c>
      <c r="AP1985" t="s">
        <v>7024</v>
      </c>
      <c r="AQ1985" t="s">
        <v>18293</v>
      </c>
      <c r="AR1985" t="s">
        <v>18294</v>
      </c>
      <c r="AT1985" s="184">
        <v>35366</v>
      </c>
      <c r="AU1985" t="s">
        <v>18295</v>
      </c>
      <c r="AV1985">
        <v>15</v>
      </c>
      <c r="AW1985" s="184">
        <v>45408</v>
      </c>
      <c r="AX1985" t="s">
        <v>8483</v>
      </c>
      <c r="AY1985">
        <v>10</v>
      </c>
      <c r="AZ1985" s="184">
        <v>39395</v>
      </c>
      <c r="BA1985" t="s">
        <v>15282</v>
      </c>
      <c r="BB1985">
        <v>50</v>
      </c>
      <c r="BC1985">
        <v>73</v>
      </c>
      <c r="BD1985">
        <v>1055</v>
      </c>
      <c r="BE1985">
        <v>1997</v>
      </c>
      <c r="BF1985">
        <v>55</v>
      </c>
      <c r="BG1985">
        <v>13</v>
      </c>
      <c r="BH1985">
        <v>130</v>
      </c>
      <c r="BI1985">
        <v>21</v>
      </c>
      <c r="BJ1985">
        <v>29</v>
      </c>
      <c r="BK1985">
        <v>9</v>
      </c>
      <c r="BP1985" s="184"/>
    </row>
    <row r="1986" spans="1:68">
      <c r="A1986">
        <v>23521586</v>
      </c>
      <c r="B1986">
        <v>23521586</v>
      </c>
      <c r="C1986" t="s">
        <v>7018</v>
      </c>
      <c r="E1986" s="184"/>
      <c r="F1986" t="s">
        <v>595</v>
      </c>
      <c r="G1986" s="184">
        <v>43731</v>
      </c>
      <c r="I1986" s="184"/>
      <c r="K1986" s="184"/>
      <c r="O1986" s="184"/>
      <c r="P1986" t="s">
        <v>7045</v>
      </c>
      <c r="Q1986" t="s">
        <v>7494</v>
      </c>
      <c r="R1986" s="184">
        <v>16704</v>
      </c>
      <c r="S1986">
        <v>78</v>
      </c>
      <c r="V1986" t="s">
        <v>3510</v>
      </c>
      <c r="X1986" t="s">
        <v>3966</v>
      </c>
      <c r="AF1986" t="s">
        <v>18296</v>
      </c>
      <c r="AG1986" t="s">
        <v>3510</v>
      </c>
      <c r="AI1986" t="s">
        <v>18297</v>
      </c>
      <c r="AM1986" t="s">
        <v>3967</v>
      </c>
      <c r="AN1986" t="s">
        <v>2174</v>
      </c>
      <c r="AO1986" t="s">
        <v>18298</v>
      </c>
      <c r="AP1986" t="s">
        <v>7024</v>
      </c>
      <c r="AQ1986" t="s">
        <v>18299</v>
      </c>
      <c r="AT1986" s="184">
        <v>35370</v>
      </c>
      <c r="AU1986" t="s">
        <v>18300</v>
      </c>
      <c r="AV1986">
        <v>15</v>
      </c>
      <c r="AW1986" s="184">
        <v>44420</v>
      </c>
      <c r="AX1986" t="s">
        <v>18301</v>
      </c>
      <c r="AY1986">
        <v>25</v>
      </c>
      <c r="AZ1986" s="184">
        <v>44396</v>
      </c>
      <c r="BA1986" t="s">
        <v>18302</v>
      </c>
      <c r="BB1986">
        <v>150</v>
      </c>
      <c r="BC1986">
        <v>87</v>
      </c>
      <c r="BD1986">
        <v>1737</v>
      </c>
      <c r="BE1986">
        <v>1997</v>
      </c>
      <c r="BF1986">
        <v>51</v>
      </c>
      <c r="BI1986">
        <v>25</v>
      </c>
      <c r="BJ1986">
        <v>29</v>
      </c>
      <c r="BK1986">
        <v>15</v>
      </c>
      <c r="BP1986" s="184"/>
    </row>
    <row r="1987" spans="1:68">
      <c r="A1987">
        <v>23554082</v>
      </c>
      <c r="B1987">
        <v>23554082</v>
      </c>
      <c r="C1987" t="s">
        <v>7018</v>
      </c>
      <c r="E1987" s="184"/>
      <c r="G1987" s="184"/>
      <c r="I1987" s="184"/>
      <c r="J1987" t="s">
        <v>595</v>
      </c>
      <c r="K1987" s="184">
        <v>41957</v>
      </c>
      <c r="O1987" s="184"/>
      <c r="P1987" t="s">
        <v>7045</v>
      </c>
      <c r="Q1987" t="s">
        <v>7383</v>
      </c>
      <c r="R1987" s="184">
        <v>22652</v>
      </c>
      <c r="S1987">
        <v>62</v>
      </c>
      <c r="V1987" t="s">
        <v>18303</v>
      </c>
      <c r="X1987" t="s">
        <v>18304</v>
      </c>
      <c r="AF1987" t="s">
        <v>6570</v>
      </c>
      <c r="AG1987" t="s">
        <v>18303</v>
      </c>
      <c r="AI1987" t="s">
        <v>18305</v>
      </c>
      <c r="AM1987" t="s">
        <v>18306</v>
      </c>
      <c r="AN1987" t="s">
        <v>2064</v>
      </c>
      <c r="AO1987" t="s">
        <v>18307</v>
      </c>
      <c r="AP1987" t="s">
        <v>7024</v>
      </c>
      <c r="AQ1987" t="s">
        <v>18308</v>
      </c>
      <c r="AR1987" t="s">
        <v>18309</v>
      </c>
      <c r="AT1987" s="184">
        <v>35367</v>
      </c>
      <c r="AU1987" t="s">
        <v>18310</v>
      </c>
      <c r="AV1987">
        <v>50</v>
      </c>
      <c r="AW1987" s="184">
        <v>45224</v>
      </c>
      <c r="AX1987" t="s">
        <v>18311</v>
      </c>
      <c r="AY1987">
        <v>50</v>
      </c>
      <c r="AZ1987" s="184">
        <v>44585</v>
      </c>
      <c r="BA1987" t="s">
        <v>18312</v>
      </c>
      <c r="BB1987">
        <v>60</v>
      </c>
      <c r="BC1987">
        <v>52</v>
      </c>
      <c r="BD1987">
        <v>695</v>
      </c>
      <c r="BE1987">
        <v>1997</v>
      </c>
      <c r="BF1987">
        <v>19</v>
      </c>
      <c r="BG1987">
        <v>1</v>
      </c>
      <c r="BH1987">
        <v>50</v>
      </c>
      <c r="BI1987">
        <v>15</v>
      </c>
      <c r="BJ1987">
        <v>29</v>
      </c>
      <c r="BK1987">
        <v>5</v>
      </c>
      <c r="BP1987" s="184"/>
    </row>
    <row r="1988" spans="1:68">
      <c r="A1988">
        <v>23557580</v>
      </c>
      <c r="B1988">
        <v>23557580</v>
      </c>
      <c r="C1988" t="s">
        <v>7018</v>
      </c>
      <c r="E1988" s="184"/>
      <c r="G1988" s="184"/>
      <c r="H1988" t="s">
        <v>595</v>
      </c>
      <c r="I1988" s="184">
        <v>44109</v>
      </c>
      <c r="K1988" s="184"/>
      <c r="O1988" s="184"/>
      <c r="P1988" t="s">
        <v>7045</v>
      </c>
      <c r="Q1988" t="s">
        <v>7454</v>
      </c>
      <c r="R1988" s="184">
        <v>16407</v>
      </c>
      <c r="S1988">
        <v>79</v>
      </c>
      <c r="U1988" t="s">
        <v>7031</v>
      </c>
      <c r="V1988" t="s">
        <v>2979</v>
      </c>
      <c r="W1988" t="s">
        <v>8146</v>
      </c>
      <c r="X1988" t="s">
        <v>4991</v>
      </c>
      <c r="AF1988" t="s">
        <v>18313</v>
      </c>
      <c r="AG1988" t="s">
        <v>2979</v>
      </c>
      <c r="AI1988" t="s">
        <v>18314</v>
      </c>
      <c r="AM1988" t="s">
        <v>3780</v>
      </c>
      <c r="AN1988" t="s">
        <v>2055</v>
      </c>
      <c r="AO1988" t="s">
        <v>18315</v>
      </c>
      <c r="AP1988" t="s">
        <v>7024</v>
      </c>
      <c r="AQ1988" t="s">
        <v>18316</v>
      </c>
      <c r="AR1988" t="s">
        <v>18317</v>
      </c>
      <c r="AT1988" s="184">
        <v>35362</v>
      </c>
      <c r="AU1988" t="s">
        <v>18318</v>
      </c>
      <c r="AV1988">
        <v>25</v>
      </c>
      <c r="AW1988" s="184">
        <v>44308</v>
      </c>
      <c r="AX1988" t="s">
        <v>7714</v>
      </c>
      <c r="AY1988">
        <v>25</v>
      </c>
      <c r="AZ1988" s="184">
        <v>44308</v>
      </c>
      <c r="BA1988" t="s">
        <v>7714</v>
      </c>
      <c r="BB1988">
        <v>25</v>
      </c>
      <c r="BC1988">
        <v>38</v>
      </c>
      <c r="BD1988">
        <v>220</v>
      </c>
      <c r="BE1988">
        <v>1997</v>
      </c>
      <c r="BF1988">
        <v>11</v>
      </c>
      <c r="BI1988">
        <v>11</v>
      </c>
      <c r="BJ1988">
        <v>29</v>
      </c>
      <c r="BK1988">
        <v>3</v>
      </c>
      <c r="BN1988" t="s">
        <v>595</v>
      </c>
      <c r="BP1988" s="184"/>
    </row>
    <row r="1989" spans="1:68">
      <c r="A1989">
        <v>23581788</v>
      </c>
      <c r="B1989">
        <v>23581788</v>
      </c>
      <c r="C1989" t="s">
        <v>7018</v>
      </c>
      <c r="D1989" t="s">
        <v>595</v>
      </c>
      <c r="E1989" s="184">
        <v>43970</v>
      </c>
      <c r="G1989" s="184"/>
      <c r="I1989" s="184"/>
      <c r="K1989" s="184"/>
      <c r="O1989" s="184"/>
      <c r="P1989" t="s">
        <v>7019</v>
      </c>
      <c r="Q1989" t="s">
        <v>7454</v>
      </c>
      <c r="R1989" s="184">
        <v>10959</v>
      </c>
      <c r="S1989">
        <v>94</v>
      </c>
      <c r="U1989" t="s">
        <v>7031</v>
      </c>
      <c r="V1989" t="s">
        <v>2541</v>
      </c>
      <c r="W1989" t="s">
        <v>205</v>
      </c>
      <c r="X1989" t="s">
        <v>18319</v>
      </c>
      <c r="AF1989" t="s">
        <v>18320</v>
      </c>
      <c r="AG1989" t="s">
        <v>2541</v>
      </c>
      <c r="AI1989" t="s">
        <v>18321</v>
      </c>
      <c r="AM1989" t="s">
        <v>2543</v>
      </c>
      <c r="AN1989" t="s">
        <v>2055</v>
      </c>
      <c r="AO1989" t="s">
        <v>18322</v>
      </c>
      <c r="AP1989" t="s">
        <v>7024</v>
      </c>
      <c r="AQ1989" t="s">
        <v>18323</v>
      </c>
      <c r="AR1989" t="s">
        <v>18324</v>
      </c>
      <c r="AT1989" s="184">
        <v>35366</v>
      </c>
      <c r="AU1989" t="s">
        <v>18325</v>
      </c>
      <c r="AV1989">
        <v>25</v>
      </c>
      <c r="AW1989" s="184">
        <v>44837</v>
      </c>
      <c r="AX1989" t="s">
        <v>18326</v>
      </c>
      <c r="AY1989">
        <v>35</v>
      </c>
      <c r="AZ1989" s="184">
        <v>44762</v>
      </c>
      <c r="BA1989" t="s">
        <v>17561</v>
      </c>
      <c r="BB1989">
        <v>87</v>
      </c>
      <c r="BC1989">
        <v>83</v>
      </c>
      <c r="BD1989">
        <v>2029</v>
      </c>
      <c r="BE1989">
        <v>1997</v>
      </c>
      <c r="BF1989">
        <v>55</v>
      </c>
      <c r="BG1989">
        <v>4</v>
      </c>
      <c r="BH1989">
        <v>217</v>
      </c>
      <c r="BI1989">
        <v>24</v>
      </c>
      <c r="BJ1989">
        <v>29</v>
      </c>
      <c r="BK1989">
        <v>22</v>
      </c>
      <c r="BP1989" s="184"/>
    </row>
    <row r="1990" spans="1:68">
      <c r="A1990">
        <v>23606742</v>
      </c>
      <c r="B1990">
        <v>23606742</v>
      </c>
      <c r="C1990" t="s">
        <v>7018</v>
      </c>
      <c r="E1990" s="184"/>
      <c r="G1990" s="184"/>
      <c r="I1990" s="184"/>
      <c r="J1990" t="s">
        <v>595</v>
      </c>
      <c r="K1990" s="184">
        <v>43691</v>
      </c>
      <c r="O1990" s="184"/>
      <c r="P1990" t="s">
        <v>7084</v>
      </c>
      <c r="Q1990" t="s">
        <v>7194</v>
      </c>
      <c r="R1990" s="184">
        <v>18233</v>
      </c>
      <c r="S1990">
        <v>74</v>
      </c>
      <c r="U1990" t="s">
        <v>7031</v>
      </c>
      <c r="V1990" t="s">
        <v>2541</v>
      </c>
      <c r="X1990" t="s">
        <v>5516</v>
      </c>
      <c r="Z1990">
        <v>100178246</v>
      </c>
      <c r="AA1990" t="s">
        <v>7130</v>
      </c>
      <c r="AB1990" t="s">
        <v>3400</v>
      </c>
      <c r="AC1990" t="s">
        <v>3951</v>
      </c>
      <c r="AD1990" t="s">
        <v>5516</v>
      </c>
      <c r="AF1990" t="s">
        <v>18327</v>
      </c>
      <c r="AG1990" t="s">
        <v>18328</v>
      </c>
      <c r="AI1990" t="s">
        <v>18329</v>
      </c>
      <c r="AM1990" t="s">
        <v>5517</v>
      </c>
      <c r="AN1990" t="s">
        <v>4512</v>
      </c>
      <c r="AO1990" t="s">
        <v>18330</v>
      </c>
      <c r="AP1990" t="s">
        <v>7024</v>
      </c>
      <c r="AT1990" s="184">
        <v>35388</v>
      </c>
      <c r="AU1990" t="s">
        <v>18331</v>
      </c>
      <c r="AV1990">
        <v>20</v>
      </c>
      <c r="AW1990" s="184">
        <v>43430</v>
      </c>
      <c r="AX1990" t="s">
        <v>7348</v>
      </c>
      <c r="AY1990">
        <v>50000</v>
      </c>
      <c r="AZ1990" s="184">
        <v>43430</v>
      </c>
      <c r="BA1990" t="s">
        <v>7348</v>
      </c>
      <c r="BB1990">
        <v>50000</v>
      </c>
      <c r="BC1990">
        <v>21</v>
      </c>
      <c r="BD1990">
        <v>50190</v>
      </c>
      <c r="BE1990">
        <v>1997</v>
      </c>
      <c r="BF1990">
        <v>6</v>
      </c>
      <c r="BI1990">
        <v>6</v>
      </c>
      <c r="BJ1990">
        <v>29</v>
      </c>
      <c r="BK1990">
        <v>3</v>
      </c>
      <c r="BO1990" t="s">
        <v>595</v>
      </c>
      <c r="BP1990" s="184"/>
    </row>
    <row r="1991" spans="1:68">
      <c r="A1991">
        <v>100178246</v>
      </c>
      <c r="B1991">
        <v>23606742</v>
      </c>
      <c r="C1991" t="s">
        <v>7018</v>
      </c>
      <c r="E1991" s="184"/>
      <c r="G1991" s="184"/>
      <c r="I1991" s="184"/>
      <c r="J1991" t="s">
        <v>595</v>
      </c>
      <c r="K1991" s="184">
        <v>43691</v>
      </c>
      <c r="O1991" s="184"/>
      <c r="P1991" t="s">
        <v>7084</v>
      </c>
      <c r="Q1991" t="s">
        <v>7194</v>
      </c>
      <c r="R1991" s="184"/>
      <c r="U1991" t="s">
        <v>7130</v>
      </c>
      <c r="V1991" t="s">
        <v>3400</v>
      </c>
      <c r="W1991" t="s">
        <v>3951</v>
      </c>
      <c r="X1991" t="s">
        <v>5516</v>
      </c>
      <c r="Z1991">
        <v>23606742</v>
      </c>
      <c r="AA1991" t="s">
        <v>7031</v>
      </c>
      <c r="AB1991" t="s">
        <v>2541</v>
      </c>
      <c r="AD1991" t="s">
        <v>5516</v>
      </c>
      <c r="AF1991" t="s">
        <v>18327</v>
      </c>
      <c r="AG1991" t="s">
        <v>18328</v>
      </c>
      <c r="AI1991" t="s">
        <v>18329</v>
      </c>
      <c r="AM1991" t="s">
        <v>5517</v>
      </c>
      <c r="AN1991" t="s">
        <v>4512</v>
      </c>
      <c r="AO1991" t="s">
        <v>18330</v>
      </c>
      <c r="AP1991" t="s">
        <v>7024</v>
      </c>
      <c r="AT1991" s="184"/>
      <c r="AW1991" s="184"/>
      <c r="AZ1991" s="184"/>
      <c r="BO1991" t="s">
        <v>595</v>
      </c>
      <c r="BP1991" s="184">
        <v>43365</v>
      </c>
    </row>
    <row r="1992" spans="1:68">
      <c r="A1992">
        <v>23616899</v>
      </c>
      <c r="B1992">
        <v>23616899</v>
      </c>
      <c r="C1992" t="s">
        <v>7018</v>
      </c>
      <c r="D1992" t="s">
        <v>595</v>
      </c>
      <c r="E1992" s="184">
        <v>43696</v>
      </c>
      <c r="G1992" s="184"/>
      <c r="I1992" s="184"/>
      <c r="K1992" s="184"/>
      <c r="O1992" s="184"/>
      <c r="P1992" t="s">
        <v>7019</v>
      </c>
      <c r="Q1992" t="s">
        <v>7494</v>
      </c>
      <c r="R1992" s="184">
        <v>17463</v>
      </c>
      <c r="S1992">
        <v>76</v>
      </c>
      <c r="U1992" t="s">
        <v>7031</v>
      </c>
      <c r="V1992" t="s">
        <v>2871</v>
      </c>
      <c r="W1992" t="s">
        <v>3689</v>
      </c>
      <c r="X1992" t="s">
        <v>3727</v>
      </c>
      <c r="AF1992" t="s">
        <v>18332</v>
      </c>
      <c r="AG1992" t="s">
        <v>2871</v>
      </c>
      <c r="AI1992" t="s">
        <v>18333</v>
      </c>
      <c r="AM1992" t="s">
        <v>3728</v>
      </c>
      <c r="AN1992" t="s">
        <v>2484</v>
      </c>
      <c r="AO1992" t="s">
        <v>18334</v>
      </c>
      <c r="AP1992" t="s">
        <v>7024</v>
      </c>
      <c r="AQ1992" t="s">
        <v>18335</v>
      </c>
      <c r="AT1992" s="184">
        <v>35384</v>
      </c>
      <c r="AU1992" t="s">
        <v>18336</v>
      </c>
      <c r="AV1992">
        <v>20</v>
      </c>
      <c r="AW1992" s="184">
        <v>45376</v>
      </c>
      <c r="AX1992" t="s">
        <v>18337</v>
      </c>
      <c r="AY1992">
        <v>20</v>
      </c>
      <c r="AZ1992" s="184">
        <v>44467</v>
      </c>
      <c r="BA1992" t="s">
        <v>18338</v>
      </c>
      <c r="BB1992">
        <v>60</v>
      </c>
      <c r="BC1992">
        <v>59</v>
      </c>
      <c r="BD1992">
        <v>480</v>
      </c>
      <c r="BE1992">
        <v>1997</v>
      </c>
      <c r="BF1992">
        <v>19</v>
      </c>
      <c r="BG1992">
        <v>3</v>
      </c>
      <c r="BH1992">
        <v>40</v>
      </c>
      <c r="BI1992">
        <v>17</v>
      </c>
      <c r="BJ1992">
        <v>29</v>
      </c>
      <c r="BK1992">
        <v>6</v>
      </c>
      <c r="BP1992" s="184"/>
    </row>
    <row r="1993" spans="1:68">
      <c r="A1993">
        <v>23619968</v>
      </c>
      <c r="B1993">
        <v>23619968</v>
      </c>
      <c r="C1993" t="s">
        <v>7018</v>
      </c>
      <c r="D1993" t="s">
        <v>595</v>
      </c>
      <c r="E1993" s="184">
        <v>43970</v>
      </c>
      <c r="G1993" s="184"/>
      <c r="I1993" s="184"/>
      <c r="K1993" s="184"/>
      <c r="O1993" s="184"/>
      <c r="P1993" t="s">
        <v>7045</v>
      </c>
      <c r="Q1993" t="s">
        <v>7020</v>
      </c>
      <c r="R1993" s="184">
        <v>13516</v>
      </c>
      <c r="S1993">
        <v>87</v>
      </c>
      <c r="V1993" t="s">
        <v>2724</v>
      </c>
      <c r="W1993" t="s">
        <v>4013</v>
      </c>
      <c r="X1993" t="s">
        <v>3106</v>
      </c>
      <c r="AF1993" t="s">
        <v>18339</v>
      </c>
      <c r="AG1993" t="s">
        <v>2724</v>
      </c>
      <c r="AI1993" t="s">
        <v>18340</v>
      </c>
      <c r="AM1993" t="s">
        <v>17039</v>
      </c>
      <c r="AN1993" t="s">
        <v>2112</v>
      </c>
      <c r="AO1993" t="s">
        <v>18341</v>
      </c>
      <c r="AP1993" t="s">
        <v>7024</v>
      </c>
      <c r="AQ1993" t="s">
        <v>18342</v>
      </c>
      <c r="AT1993" s="184">
        <v>35390</v>
      </c>
      <c r="AU1993" t="s">
        <v>18343</v>
      </c>
      <c r="AV1993">
        <v>20</v>
      </c>
      <c r="AW1993" s="184">
        <v>45406</v>
      </c>
      <c r="AX1993" t="s">
        <v>7429</v>
      </c>
      <c r="AY1993">
        <v>10</v>
      </c>
      <c r="AZ1993" s="184">
        <v>38939</v>
      </c>
      <c r="BA1993" t="s">
        <v>18344</v>
      </c>
      <c r="BB1993">
        <v>60</v>
      </c>
      <c r="BC1993">
        <v>100</v>
      </c>
      <c r="BD1993">
        <v>2575</v>
      </c>
      <c r="BE1993">
        <v>1997</v>
      </c>
      <c r="BF1993">
        <v>180</v>
      </c>
      <c r="BG1993">
        <v>24</v>
      </c>
      <c r="BH1993">
        <v>240</v>
      </c>
      <c r="BI1993">
        <v>29</v>
      </c>
      <c r="BJ1993">
        <v>29</v>
      </c>
      <c r="BK1993">
        <v>29</v>
      </c>
      <c r="BP1993" s="184"/>
    </row>
    <row r="1994" spans="1:68">
      <c r="A1994">
        <v>23620644</v>
      </c>
      <c r="B1994">
        <v>23620644</v>
      </c>
      <c r="C1994" t="s">
        <v>7018</v>
      </c>
      <c r="D1994" t="s">
        <v>595</v>
      </c>
      <c r="E1994" s="184">
        <v>44147</v>
      </c>
      <c r="G1994" s="184"/>
      <c r="H1994" t="s">
        <v>595</v>
      </c>
      <c r="I1994" s="184">
        <v>44147</v>
      </c>
      <c r="K1994" s="184"/>
      <c r="O1994" s="184"/>
      <c r="P1994" t="s">
        <v>7045</v>
      </c>
      <c r="Q1994" t="s">
        <v>7494</v>
      </c>
      <c r="R1994" s="184">
        <v>14756</v>
      </c>
      <c r="S1994">
        <v>83</v>
      </c>
      <c r="V1994" t="s">
        <v>3463</v>
      </c>
      <c r="X1994" t="s">
        <v>3852</v>
      </c>
      <c r="Z1994">
        <v>100062840</v>
      </c>
      <c r="AB1994" t="s">
        <v>2597</v>
      </c>
      <c r="AD1994" t="s">
        <v>3852</v>
      </c>
      <c r="AF1994" t="s">
        <v>18345</v>
      </c>
      <c r="AG1994" t="s">
        <v>18346</v>
      </c>
      <c r="AI1994" t="s">
        <v>18347</v>
      </c>
      <c r="AM1994" t="s">
        <v>3770</v>
      </c>
      <c r="AN1994" t="s">
        <v>2174</v>
      </c>
      <c r="AO1994" t="s">
        <v>18348</v>
      </c>
      <c r="AP1994" t="s">
        <v>7024</v>
      </c>
      <c r="AQ1994" t="s">
        <v>18349</v>
      </c>
      <c r="AR1994" t="s">
        <v>18350</v>
      </c>
      <c r="AT1994" s="184">
        <v>35390</v>
      </c>
      <c r="AU1994" t="s">
        <v>18351</v>
      </c>
      <c r="AV1994">
        <v>15</v>
      </c>
      <c r="AW1994" s="184">
        <v>44743</v>
      </c>
      <c r="AX1994" t="s">
        <v>18352</v>
      </c>
      <c r="AY1994">
        <v>25</v>
      </c>
      <c r="AZ1994" s="184">
        <v>41836</v>
      </c>
      <c r="BA1994" t="s">
        <v>18353</v>
      </c>
      <c r="BB1994">
        <v>87</v>
      </c>
      <c r="BC1994">
        <v>59</v>
      </c>
      <c r="BD1994">
        <v>758</v>
      </c>
      <c r="BE1994">
        <v>1997</v>
      </c>
      <c r="BF1994">
        <v>26</v>
      </c>
      <c r="BG1994">
        <v>1</v>
      </c>
      <c r="BH1994">
        <v>25</v>
      </c>
      <c r="BI1994">
        <v>17</v>
      </c>
      <c r="BJ1994">
        <v>29</v>
      </c>
      <c r="BK1994">
        <v>6</v>
      </c>
      <c r="BP1994" s="184"/>
    </row>
    <row r="1995" spans="1:68">
      <c r="A1995">
        <v>100062840</v>
      </c>
      <c r="B1995">
        <v>23620644</v>
      </c>
      <c r="C1995" t="s">
        <v>7018</v>
      </c>
      <c r="D1995" t="s">
        <v>595</v>
      </c>
      <c r="E1995" s="184">
        <v>44147</v>
      </c>
      <c r="G1995" s="184"/>
      <c r="H1995" t="s">
        <v>595</v>
      </c>
      <c r="I1995" s="184">
        <v>44147</v>
      </c>
      <c r="K1995" s="184"/>
      <c r="O1995" s="184"/>
      <c r="P1995" t="s">
        <v>7045</v>
      </c>
      <c r="Q1995" t="s">
        <v>7494</v>
      </c>
      <c r="R1995" s="184">
        <v>15442</v>
      </c>
      <c r="S1995">
        <v>82</v>
      </c>
      <c r="V1995" t="s">
        <v>2597</v>
      </c>
      <c r="X1995" t="s">
        <v>3852</v>
      </c>
      <c r="Z1995">
        <v>23620644</v>
      </c>
      <c r="AB1995" t="s">
        <v>3463</v>
      </c>
      <c r="AD1995" t="s">
        <v>3852</v>
      </c>
      <c r="AF1995" t="s">
        <v>18345</v>
      </c>
      <c r="AG1995" t="s">
        <v>18346</v>
      </c>
      <c r="AI1995" t="s">
        <v>18347</v>
      </c>
      <c r="AM1995" t="s">
        <v>3770</v>
      </c>
      <c r="AN1995" t="s">
        <v>2174</v>
      </c>
      <c r="AO1995" t="s">
        <v>18348</v>
      </c>
      <c r="AP1995" t="s">
        <v>7024</v>
      </c>
      <c r="AT1995" s="184"/>
      <c r="AW1995" s="184"/>
      <c r="AZ1995" s="184"/>
      <c r="BP1995" s="184"/>
    </row>
    <row r="1996" spans="1:68">
      <c r="A1996">
        <v>23625916</v>
      </c>
      <c r="B1996">
        <v>23625916</v>
      </c>
      <c r="C1996" t="s">
        <v>7018</v>
      </c>
      <c r="D1996" t="s">
        <v>595</v>
      </c>
      <c r="E1996" s="184">
        <v>44104</v>
      </c>
      <c r="G1996" s="184"/>
      <c r="I1996" s="184"/>
      <c r="K1996" s="184"/>
      <c r="O1996" s="184"/>
      <c r="P1996" t="s">
        <v>7045</v>
      </c>
      <c r="Q1996" t="s">
        <v>7494</v>
      </c>
      <c r="R1996" s="184">
        <v>14212</v>
      </c>
      <c r="S1996">
        <v>85</v>
      </c>
      <c r="V1996" t="s">
        <v>18354</v>
      </c>
      <c r="W1996" t="s">
        <v>4013</v>
      </c>
      <c r="X1996" t="s">
        <v>18355</v>
      </c>
      <c r="Z1996">
        <v>100062848</v>
      </c>
      <c r="AB1996" t="s">
        <v>2724</v>
      </c>
      <c r="AC1996" t="s">
        <v>7560</v>
      </c>
      <c r="AD1996" t="s">
        <v>18355</v>
      </c>
      <c r="AF1996" t="s">
        <v>18356</v>
      </c>
      <c r="AG1996" t="s">
        <v>18357</v>
      </c>
      <c r="AI1996" t="s">
        <v>18358</v>
      </c>
      <c r="AM1996" t="s">
        <v>3937</v>
      </c>
      <c r="AN1996" t="s">
        <v>2174</v>
      </c>
      <c r="AO1996" t="s">
        <v>18359</v>
      </c>
      <c r="AP1996" t="s">
        <v>7024</v>
      </c>
      <c r="AQ1996" t="s">
        <v>18360</v>
      </c>
      <c r="AT1996" s="184">
        <v>35390</v>
      </c>
      <c r="AU1996" t="s">
        <v>18361</v>
      </c>
      <c r="AV1996">
        <v>7</v>
      </c>
      <c r="AW1996" s="184">
        <v>44483</v>
      </c>
      <c r="AX1996" t="s">
        <v>18362</v>
      </c>
      <c r="AY1996">
        <v>50</v>
      </c>
      <c r="AZ1996" s="184">
        <v>41884</v>
      </c>
      <c r="BA1996" t="s">
        <v>18363</v>
      </c>
      <c r="BB1996">
        <v>60</v>
      </c>
      <c r="BC1996">
        <v>69</v>
      </c>
      <c r="BD1996">
        <v>526</v>
      </c>
      <c r="BE1996">
        <v>1997</v>
      </c>
      <c r="BF1996">
        <v>21</v>
      </c>
      <c r="BI1996">
        <v>20</v>
      </c>
      <c r="BJ1996">
        <v>29</v>
      </c>
      <c r="BK1996">
        <v>14</v>
      </c>
      <c r="BP1996" s="184"/>
    </row>
    <row r="1997" spans="1:68">
      <c r="A1997">
        <v>100062848</v>
      </c>
      <c r="B1997">
        <v>23625916</v>
      </c>
      <c r="C1997" t="s">
        <v>7018</v>
      </c>
      <c r="D1997" t="s">
        <v>595</v>
      </c>
      <c r="E1997" s="184">
        <v>44104</v>
      </c>
      <c r="G1997" s="184"/>
      <c r="I1997" s="184"/>
      <c r="K1997" s="184"/>
      <c r="O1997" s="184"/>
      <c r="P1997" t="s">
        <v>7045</v>
      </c>
      <c r="Q1997" t="s">
        <v>7494</v>
      </c>
      <c r="R1997" s="184">
        <v>23888</v>
      </c>
      <c r="S1997">
        <v>58</v>
      </c>
      <c r="V1997" t="s">
        <v>2724</v>
      </c>
      <c r="W1997" t="s">
        <v>7560</v>
      </c>
      <c r="X1997" t="s">
        <v>18355</v>
      </c>
      <c r="Z1997">
        <v>23625916</v>
      </c>
      <c r="AB1997" t="s">
        <v>18354</v>
      </c>
      <c r="AC1997" t="s">
        <v>4013</v>
      </c>
      <c r="AD1997" t="s">
        <v>18355</v>
      </c>
      <c r="AF1997" t="s">
        <v>18356</v>
      </c>
      <c r="AG1997" t="s">
        <v>18357</v>
      </c>
      <c r="AI1997" t="s">
        <v>18358</v>
      </c>
      <c r="AM1997" t="s">
        <v>3937</v>
      </c>
      <c r="AN1997" t="s">
        <v>2174</v>
      </c>
      <c r="AO1997" t="s">
        <v>18359</v>
      </c>
      <c r="AP1997" t="s">
        <v>7024</v>
      </c>
      <c r="AQ1997" t="s">
        <v>18364</v>
      </c>
      <c r="AT1997" s="184"/>
      <c r="AW1997" s="184"/>
      <c r="AZ1997" s="184"/>
      <c r="BP1997" s="184"/>
    </row>
    <row r="1998" spans="1:68">
      <c r="A1998">
        <v>23726375</v>
      </c>
      <c r="B1998">
        <v>23726375</v>
      </c>
      <c r="C1998" t="s">
        <v>7018</v>
      </c>
      <c r="D1998" t="s">
        <v>595</v>
      </c>
      <c r="E1998" s="184">
        <v>43642</v>
      </c>
      <c r="G1998" s="184"/>
      <c r="K1998" s="184"/>
      <c r="O1998" s="184"/>
      <c r="P1998" t="s">
        <v>7019</v>
      </c>
      <c r="Q1998" t="s">
        <v>7020</v>
      </c>
      <c r="R1998" s="184">
        <v>17170</v>
      </c>
      <c r="S1998">
        <v>77</v>
      </c>
      <c r="U1998" t="s">
        <v>7032</v>
      </c>
      <c r="V1998" t="s">
        <v>2511</v>
      </c>
      <c r="X1998" t="s">
        <v>3270</v>
      </c>
      <c r="Y1998" t="s">
        <v>8154</v>
      </c>
      <c r="AF1998" t="s">
        <v>18365</v>
      </c>
      <c r="AG1998" t="s">
        <v>2511</v>
      </c>
      <c r="AI1998" t="s">
        <v>18366</v>
      </c>
      <c r="AM1998" t="s">
        <v>3271</v>
      </c>
      <c r="AN1998" t="s">
        <v>2112</v>
      </c>
      <c r="AO1998" t="s">
        <v>18367</v>
      </c>
      <c r="AP1998" t="s">
        <v>7024</v>
      </c>
      <c r="AT1998" s="184">
        <v>35401</v>
      </c>
      <c r="AU1998" t="s">
        <v>18368</v>
      </c>
      <c r="AV1998">
        <v>10</v>
      </c>
      <c r="AW1998" s="184">
        <v>45148</v>
      </c>
      <c r="AX1998" t="s">
        <v>18369</v>
      </c>
      <c r="AY1998">
        <v>15</v>
      </c>
      <c r="AZ1998" s="184">
        <v>38770</v>
      </c>
      <c r="BA1998" t="s">
        <v>18370</v>
      </c>
      <c r="BB1998">
        <v>75</v>
      </c>
      <c r="BC1998">
        <v>94</v>
      </c>
      <c r="BD1998">
        <v>1565</v>
      </c>
      <c r="BE1998">
        <v>1997</v>
      </c>
      <c r="BF1998">
        <v>74</v>
      </c>
      <c r="BG1998">
        <v>5</v>
      </c>
      <c r="BH1998">
        <v>90</v>
      </c>
      <c r="BI1998">
        <v>27</v>
      </c>
      <c r="BJ1998">
        <v>29</v>
      </c>
      <c r="BK1998">
        <v>15</v>
      </c>
      <c r="BP1998" s="184"/>
    </row>
    <row r="1999" spans="1:68">
      <c r="A1999">
        <v>23728660</v>
      </c>
      <c r="B1999">
        <v>23728660</v>
      </c>
      <c r="C1999" t="s">
        <v>7018</v>
      </c>
      <c r="D1999" t="s">
        <v>595</v>
      </c>
      <c r="E1999" s="184">
        <v>44167</v>
      </c>
      <c r="G1999" s="184"/>
      <c r="K1999" s="184"/>
      <c r="O1999" s="184"/>
      <c r="P1999" t="s">
        <v>7045</v>
      </c>
      <c r="Q1999" t="s">
        <v>7020</v>
      </c>
      <c r="R1999" s="184">
        <v>19176</v>
      </c>
      <c r="S1999">
        <v>71</v>
      </c>
      <c r="V1999" t="s">
        <v>3235</v>
      </c>
      <c r="X1999" t="s">
        <v>18371</v>
      </c>
      <c r="Z1999">
        <v>100063073</v>
      </c>
      <c r="AB1999" t="s">
        <v>2882</v>
      </c>
      <c r="AC1999" t="s">
        <v>7085</v>
      </c>
      <c r="AD1999" t="s">
        <v>10185</v>
      </c>
      <c r="AF1999" t="s">
        <v>18372</v>
      </c>
      <c r="AG1999" t="s">
        <v>18373</v>
      </c>
      <c r="AI1999" t="s">
        <v>18374</v>
      </c>
      <c r="AM1999" t="s">
        <v>18375</v>
      </c>
      <c r="AN1999" t="s">
        <v>2052</v>
      </c>
      <c r="AO1999" t="s">
        <v>18376</v>
      </c>
      <c r="AP1999" t="s">
        <v>7024</v>
      </c>
      <c r="AQ1999" t="s">
        <v>18377</v>
      </c>
      <c r="AR1999" t="s">
        <v>18378</v>
      </c>
      <c r="AT1999" s="184">
        <v>35401</v>
      </c>
      <c r="AU1999" t="s">
        <v>18379</v>
      </c>
      <c r="AV1999">
        <v>20</v>
      </c>
      <c r="AW1999" s="184">
        <v>45274</v>
      </c>
      <c r="AX1999" t="s">
        <v>18380</v>
      </c>
      <c r="AY1999">
        <v>50</v>
      </c>
      <c r="AZ1999" s="184">
        <v>45274</v>
      </c>
      <c r="BA1999" t="s">
        <v>18380</v>
      </c>
      <c r="BB1999">
        <v>50</v>
      </c>
      <c r="BC1999">
        <v>73</v>
      </c>
      <c r="BD1999">
        <v>835</v>
      </c>
      <c r="BE1999">
        <v>1997</v>
      </c>
      <c r="BF1999">
        <v>25</v>
      </c>
      <c r="BG1999">
        <v>2</v>
      </c>
      <c r="BH1999">
        <v>85</v>
      </c>
      <c r="BI1999">
        <v>21</v>
      </c>
      <c r="BJ1999">
        <v>29</v>
      </c>
      <c r="BK1999">
        <v>9</v>
      </c>
      <c r="BP1999" s="184"/>
    </row>
    <row r="2000" spans="1:68">
      <c r="A2000">
        <v>100063073</v>
      </c>
      <c r="B2000">
        <v>23728660</v>
      </c>
      <c r="C2000" t="s">
        <v>7018</v>
      </c>
      <c r="D2000" t="s">
        <v>595</v>
      </c>
      <c r="E2000" s="184">
        <v>44167</v>
      </c>
      <c r="G2000" s="184"/>
      <c r="I2000" s="184"/>
      <c r="K2000" s="184"/>
      <c r="O2000" s="184"/>
      <c r="P2000" t="s">
        <v>7045</v>
      </c>
      <c r="Q2000" t="s">
        <v>7020</v>
      </c>
      <c r="R2000" s="184">
        <v>18415</v>
      </c>
      <c r="S2000">
        <v>73</v>
      </c>
      <c r="V2000" t="s">
        <v>2882</v>
      </c>
      <c r="W2000" t="s">
        <v>7085</v>
      </c>
      <c r="X2000" t="s">
        <v>10185</v>
      </c>
      <c r="Z2000">
        <v>23728660</v>
      </c>
      <c r="AB2000" t="s">
        <v>3235</v>
      </c>
      <c r="AD2000" t="s">
        <v>18371</v>
      </c>
      <c r="AF2000" t="s">
        <v>18372</v>
      </c>
      <c r="AG2000" t="s">
        <v>18373</v>
      </c>
      <c r="AI2000" t="s">
        <v>18374</v>
      </c>
      <c r="AM2000" t="s">
        <v>18375</v>
      </c>
      <c r="AN2000" t="s">
        <v>2052</v>
      </c>
      <c r="AO2000" t="s">
        <v>18376</v>
      </c>
      <c r="AP2000" t="s">
        <v>7024</v>
      </c>
      <c r="AT2000" s="184"/>
      <c r="AW2000" s="184"/>
      <c r="AZ2000" s="184"/>
      <c r="BP2000" s="184"/>
    </row>
    <row r="2001" spans="1:68">
      <c r="A2001">
        <v>23754443</v>
      </c>
      <c r="B2001">
        <v>23754443</v>
      </c>
      <c r="C2001" t="s">
        <v>7018</v>
      </c>
      <c r="D2001" t="s">
        <v>595</v>
      </c>
      <c r="E2001" s="184">
        <v>43642</v>
      </c>
      <c r="G2001" s="184"/>
      <c r="K2001" s="184"/>
      <c r="O2001" s="184"/>
      <c r="P2001" t="s">
        <v>7045</v>
      </c>
      <c r="Q2001" t="s">
        <v>7383</v>
      </c>
      <c r="R2001" s="184">
        <v>20444</v>
      </c>
      <c r="S2001">
        <v>68</v>
      </c>
      <c r="U2001" t="s">
        <v>7076</v>
      </c>
      <c r="V2001" t="s">
        <v>3272</v>
      </c>
      <c r="X2001" t="s">
        <v>2537</v>
      </c>
      <c r="AF2001" t="s">
        <v>18381</v>
      </c>
      <c r="AG2001" t="s">
        <v>3272</v>
      </c>
      <c r="AI2001" t="s">
        <v>18382</v>
      </c>
      <c r="AM2001" t="s">
        <v>3273</v>
      </c>
      <c r="AN2001" t="s">
        <v>2313</v>
      </c>
      <c r="AO2001" t="s">
        <v>18383</v>
      </c>
      <c r="AP2001" t="s">
        <v>7024</v>
      </c>
      <c r="AQ2001" t="s">
        <v>18384</v>
      </c>
      <c r="AR2001" t="s">
        <v>18385</v>
      </c>
      <c r="AT2001" s="184">
        <v>35402</v>
      </c>
      <c r="AU2001" t="s">
        <v>18386</v>
      </c>
      <c r="AV2001">
        <v>30</v>
      </c>
      <c r="AW2001" s="184">
        <v>42703</v>
      </c>
      <c r="AX2001" t="s">
        <v>18387</v>
      </c>
      <c r="AY2001">
        <v>50</v>
      </c>
      <c r="AZ2001" s="184">
        <v>39941</v>
      </c>
      <c r="BA2001" t="s">
        <v>18388</v>
      </c>
      <c r="BB2001">
        <v>1000</v>
      </c>
      <c r="BC2001">
        <v>49</v>
      </c>
      <c r="BD2001">
        <v>6245</v>
      </c>
      <c r="BE2001">
        <v>1997</v>
      </c>
      <c r="BF2001">
        <v>22</v>
      </c>
      <c r="BI2001">
        <v>14</v>
      </c>
      <c r="BJ2001">
        <v>29</v>
      </c>
      <c r="BK2001">
        <v>6</v>
      </c>
      <c r="BP2001" s="184"/>
    </row>
    <row r="2002" spans="1:68">
      <c r="A2002">
        <v>23797624</v>
      </c>
      <c r="B2002">
        <v>23797624</v>
      </c>
      <c r="C2002" t="s">
        <v>7018</v>
      </c>
      <c r="E2002" s="184"/>
      <c r="G2002" s="184"/>
      <c r="I2002" s="184"/>
      <c r="J2002" t="s">
        <v>595</v>
      </c>
      <c r="K2002" s="184">
        <v>45310</v>
      </c>
      <c r="N2002" t="s">
        <v>595</v>
      </c>
      <c r="O2002" s="184">
        <v>40877</v>
      </c>
      <c r="P2002" t="s">
        <v>7084</v>
      </c>
      <c r="Q2002" t="s">
        <v>7030</v>
      </c>
      <c r="R2002" s="184">
        <v>11657</v>
      </c>
      <c r="S2002">
        <v>92</v>
      </c>
      <c r="U2002" t="s">
        <v>7031</v>
      </c>
      <c r="V2002" t="s">
        <v>3134</v>
      </c>
      <c r="W2002" t="s">
        <v>3332</v>
      </c>
      <c r="X2002" t="s">
        <v>5508</v>
      </c>
      <c r="AF2002" t="s">
        <v>18389</v>
      </c>
      <c r="AG2002" t="s">
        <v>3134</v>
      </c>
      <c r="AI2002" t="s">
        <v>18390</v>
      </c>
      <c r="AM2002" t="s">
        <v>5509</v>
      </c>
      <c r="AN2002" t="s">
        <v>2089</v>
      </c>
      <c r="AO2002">
        <v>86334</v>
      </c>
      <c r="AP2002" t="s">
        <v>7024</v>
      </c>
      <c r="AQ2002" t="s">
        <v>18391</v>
      </c>
      <c r="AT2002" s="184">
        <v>35405</v>
      </c>
      <c r="AU2002" t="s">
        <v>18392</v>
      </c>
      <c r="AV2002">
        <v>20</v>
      </c>
      <c r="AW2002" s="184">
        <v>45362</v>
      </c>
      <c r="AX2002" t="s">
        <v>7296</v>
      </c>
      <c r="AY2002">
        <v>423075.11</v>
      </c>
      <c r="AZ2002" s="184">
        <v>45362</v>
      </c>
      <c r="BA2002" t="s">
        <v>7296</v>
      </c>
      <c r="BB2002">
        <v>423075.11</v>
      </c>
      <c r="BC2002">
        <v>63</v>
      </c>
      <c r="BD2002">
        <v>474852.11</v>
      </c>
      <c r="BE2002">
        <v>1997</v>
      </c>
      <c r="BF2002">
        <v>47</v>
      </c>
      <c r="BG2002">
        <v>1</v>
      </c>
      <c r="BH2002">
        <v>423075.11</v>
      </c>
      <c r="BI2002">
        <v>18</v>
      </c>
      <c r="BJ2002">
        <v>29</v>
      </c>
      <c r="BK2002">
        <v>17</v>
      </c>
      <c r="BO2002" t="s">
        <v>595</v>
      </c>
      <c r="BP2002" s="184">
        <v>44629</v>
      </c>
    </row>
    <row r="2003" spans="1:68">
      <c r="A2003">
        <v>23817869</v>
      </c>
      <c r="B2003">
        <v>23817869</v>
      </c>
      <c r="C2003" t="s">
        <v>7018</v>
      </c>
      <c r="E2003" s="184"/>
      <c r="G2003" s="184"/>
      <c r="I2003" s="184"/>
      <c r="J2003" t="s">
        <v>595</v>
      </c>
      <c r="K2003" s="184">
        <v>40681</v>
      </c>
      <c r="O2003" s="184"/>
      <c r="P2003" t="s">
        <v>7045</v>
      </c>
      <c r="Q2003" t="s">
        <v>7262</v>
      </c>
      <c r="R2003" s="184">
        <v>12383</v>
      </c>
      <c r="S2003">
        <v>90</v>
      </c>
      <c r="U2003" t="s">
        <v>7130</v>
      </c>
      <c r="V2003" t="s">
        <v>4892</v>
      </c>
      <c r="X2003" t="s">
        <v>3320</v>
      </c>
      <c r="Z2003">
        <v>100181357</v>
      </c>
      <c r="AA2003" t="s">
        <v>7031</v>
      </c>
      <c r="AB2003" t="s">
        <v>4847</v>
      </c>
      <c r="AC2003" t="s">
        <v>4382</v>
      </c>
      <c r="AD2003" t="s">
        <v>18393</v>
      </c>
      <c r="AF2003" t="s">
        <v>6516</v>
      </c>
      <c r="AG2003" t="s">
        <v>4892</v>
      </c>
      <c r="AI2003" t="s">
        <v>18394</v>
      </c>
      <c r="AM2003" t="s">
        <v>2869</v>
      </c>
      <c r="AN2003" t="s">
        <v>2069</v>
      </c>
      <c r="AO2003" t="s">
        <v>18395</v>
      </c>
      <c r="AP2003" t="s">
        <v>7024</v>
      </c>
      <c r="AT2003" s="184">
        <v>35408</v>
      </c>
      <c r="AU2003" t="s">
        <v>18396</v>
      </c>
      <c r="AV2003">
        <v>5</v>
      </c>
      <c r="AW2003" s="184">
        <v>45320</v>
      </c>
      <c r="AX2003" t="s">
        <v>18397</v>
      </c>
      <c r="AY2003">
        <v>50</v>
      </c>
      <c r="AZ2003" s="184">
        <v>45320</v>
      </c>
      <c r="BA2003" t="s">
        <v>18397</v>
      </c>
      <c r="BB2003">
        <v>50</v>
      </c>
      <c r="BC2003">
        <v>97</v>
      </c>
      <c r="BD2003">
        <v>1093</v>
      </c>
      <c r="BE2003">
        <v>1997</v>
      </c>
      <c r="BF2003">
        <v>41</v>
      </c>
      <c r="BG2003">
        <v>3</v>
      </c>
      <c r="BH2003">
        <v>150</v>
      </c>
      <c r="BI2003">
        <v>28</v>
      </c>
      <c r="BJ2003">
        <v>29</v>
      </c>
      <c r="BK2003">
        <v>17</v>
      </c>
      <c r="BP2003" s="184"/>
    </row>
    <row r="2004" spans="1:68">
      <c r="A2004">
        <v>100181357</v>
      </c>
      <c r="B2004">
        <v>23817869</v>
      </c>
      <c r="C2004" t="s">
        <v>7018</v>
      </c>
      <c r="E2004" s="184"/>
      <c r="G2004" s="184"/>
      <c r="J2004" t="s">
        <v>595</v>
      </c>
      <c r="K2004" s="184">
        <v>40681</v>
      </c>
      <c r="O2004" s="184"/>
      <c r="P2004" t="s">
        <v>7045</v>
      </c>
      <c r="Q2004" t="s">
        <v>7262</v>
      </c>
      <c r="R2004" s="184"/>
      <c r="U2004" t="s">
        <v>7031</v>
      </c>
      <c r="V2004" t="s">
        <v>4847</v>
      </c>
      <c r="W2004" t="s">
        <v>4382</v>
      </c>
      <c r="X2004" t="s">
        <v>18393</v>
      </c>
      <c r="Z2004">
        <v>23817869</v>
      </c>
      <c r="AA2004" t="s">
        <v>7130</v>
      </c>
      <c r="AB2004" t="s">
        <v>4892</v>
      </c>
      <c r="AD2004" t="s">
        <v>3320</v>
      </c>
      <c r="AF2004" t="s">
        <v>6516</v>
      </c>
      <c r="AG2004" t="s">
        <v>4892</v>
      </c>
      <c r="AI2004" t="s">
        <v>18394</v>
      </c>
      <c r="AM2004" t="s">
        <v>2869</v>
      </c>
      <c r="AN2004" t="s">
        <v>2069</v>
      </c>
      <c r="AO2004" t="s">
        <v>18395</v>
      </c>
      <c r="AP2004" t="s">
        <v>7024</v>
      </c>
      <c r="AT2004" s="184"/>
      <c r="AW2004" s="184"/>
      <c r="AZ2004" s="184"/>
      <c r="BO2004" t="s">
        <v>595</v>
      </c>
      <c r="BP2004" s="184"/>
    </row>
    <row r="2005" spans="1:68">
      <c r="A2005">
        <v>23831035</v>
      </c>
      <c r="B2005">
        <v>23831035</v>
      </c>
      <c r="C2005" t="s">
        <v>7018</v>
      </c>
      <c r="D2005" t="s">
        <v>595</v>
      </c>
      <c r="E2005" s="184">
        <v>43754</v>
      </c>
      <c r="G2005" s="184"/>
      <c r="I2005" s="184"/>
      <c r="K2005" s="184"/>
      <c r="O2005" s="184"/>
      <c r="P2005" t="s">
        <v>7029</v>
      </c>
      <c r="Q2005" t="s">
        <v>7374</v>
      </c>
      <c r="R2005" s="184">
        <v>18384</v>
      </c>
      <c r="S2005">
        <v>74</v>
      </c>
      <c r="U2005" t="s">
        <v>7032</v>
      </c>
      <c r="V2005" t="s">
        <v>4190</v>
      </c>
      <c r="X2005" t="s">
        <v>4191</v>
      </c>
      <c r="AF2005" t="s">
        <v>18398</v>
      </c>
      <c r="AG2005" t="s">
        <v>4190</v>
      </c>
      <c r="AI2005" t="s">
        <v>18399</v>
      </c>
      <c r="AM2005" t="s">
        <v>4192</v>
      </c>
      <c r="AN2005" t="s">
        <v>2081</v>
      </c>
      <c r="AO2005" t="s">
        <v>18400</v>
      </c>
      <c r="AP2005" t="s">
        <v>7024</v>
      </c>
      <c r="AQ2005" t="s">
        <v>18401</v>
      </c>
      <c r="AT2005" s="184">
        <v>35409</v>
      </c>
      <c r="AU2005" t="s">
        <v>18368</v>
      </c>
      <c r="AV2005">
        <v>25</v>
      </c>
      <c r="AW2005" s="184">
        <v>45412</v>
      </c>
      <c r="AX2005" t="s">
        <v>7429</v>
      </c>
      <c r="AY2005">
        <v>20</v>
      </c>
      <c r="AZ2005" s="184">
        <v>45015</v>
      </c>
      <c r="BA2005" t="s">
        <v>9288</v>
      </c>
      <c r="BB2005">
        <v>1110</v>
      </c>
      <c r="BC2005">
        <v>97</v>
      </c>
      <c r="BD2005">
        <v>6390</v>
      </c>
      <c r="BE2005">
        <v>1997</v>
      </c>
      <c r="BF2005">
        <v>124</v>
      </c>
      <c r="BG2005">
        <v>26</v>
      </c>
      <c r="BH2005">
        <v>1690</v>
      </c>
      <c r="BI2005">
        <v>28</v>
      </c>
      <c r="BJ2005">
        <v>29</v>
      </c>
      <c r="BK2005">
        <v>19</v>
      </c>
      <c r="BP2005" s="184"/>
    </row>
    <row r="2006" spans="1:68">
      <c r="A2006">
        <v>23836901</v>
      </c>
      <c r="B2006">
        <v>23836901</v>
      </c>
      <c r="C2006" t="s">
        <v>7018</v>
      </c>
      <c r="D2006" t="s">
        <v>595</v>
      </c>
      <c r="E2006" s="184">
        <v>45195</v>
      </c>
      <c r="G2006" s="184"/>
      <c r="I2006" s="184"/>
      <c r="K2006" s="184"/>
      <c r="O2006" s="184"/>
      <c r="P2006" t="s">
        <v>7045</v>
      </c>
      <c r="Q2006" t="s">
        <v>7383</v>
      </c>
      <c r="R2006" s="184">
        <v>14916</v>
      </c>
      <c r="S2006">
        <v>83</v>
      </c>
      <c r="V2006" t="s">
        <v>2876</v>
      </c>
      <c r="X2006" t="s">
        <v>18402</v>
      </c>
      <c r="Z2006">
        <v>100181360</v>
      </c>
      <c r="AB2006" t="s">
        <v>5791</v>
      </c>
      <c r="AD2006" t="s">
        <v>18402</v>
      </c>
      <c r="AF2006" t="s">
        <v>18403</v>
      </c>
      <c r="AG2006" t="s">
        <v>2876</v>
      </c>
      <c r="AI2006" t="s">
        <v>18404</v>
      </c>
      <c r="AM2006" t="s">
        <v>3045</v>
      </c>
      <c r="AN2006" t="s">
        <v>2118</v>
      </c>
      <c r="AO2006" t="s">
        <v>18405</v>
      </c>
      <c r="AP2006" t="s">
        <v>7024</v>
      </c>
      <c r="AT2006" s="184">
        <v>35410</v>
      </c>
      <c r="AU2006" t="s">
        <v>18406</v>
      </c>
      <c r="AV2006">
        <v>25</v>
      </c>
      <c r="AW2006" s="184">
        <v>45377</v>
      </c>
      <c r="AX2006" t="s">
        <v>13333</v>
      </c>
      <c r="AY2006">
        <v>25</v>
      </c>
      <c r="AZ2006" s="184">
        <v>45377</v>
      </c>
      <c r="BA2006" t="s">
        <v>13333</v>
      </c>
      <c r="BB2006">
        <v>25</v>
      </c>
      <c r="BC2006">
        <v>49</v>
      </c>
      <c r="BD2006">
        <v>425</v>
      </c>
      <c r="BE2006">
        <v>1997</v>
      </c>
      <c r="BF2006">
        <v>18</v>
      </c>
      <c r="BG2006">
        <v>2</v>
      </c>
      <c r="BH2006">
        <v>50</v>
      </c>
      <c r="BI2006">
        <v>14</v>
      </c>
      <c r="BJ2006">
        <v>29</v>
      </c>
      <c r="BK2006">
        <v>6</v>
      </c>
      <c r="BP2006" s="184"/>
    </row>
    <row r="2007" spans="1:68">
      <c r="A2007">
        <v>100181360</v>
      </c>
      <c r="B2007">
        <v>23836901</v>
      </c>
      <c r="C2007" t="s">
        <v>7018</v>
      </c>
      <c r="D2007" t="s">
        <v>595</v>
      </c>
      <c r="E2007" s="184">
        <v>45195</v>
      </c>
      <c r="G2007" s="184"/>
      <c r="I2007" s="184"/>
      <c r="K2007" s="184"/>
      <c r="O2007" s="184"/>
      <c r="P2007" t="s">
        <v>7045</v>
      </c>
      <c r="Q2007" t="s">
        <v>7383</v>
      </c>
      <c r="R2007" s="184">
        <v>11324</v>
      </c>
      <c r="S2007">
        <v>93</v>
      </c>
      <c r="V2007" t="s">
        <v>5791</v>
      </c>
      <c r="X2007" t="s">
        <v>18402</v>
      </c>
      <c r="Z2007">
        <v>23836901</v>
      </c>
      <c r="AB2007" t="s">
        <v>2876</v>
      </c>
      <c r="AD2007" t="s">
        <v>18402</v>
      </c>
      <c r="AF2007" t="s">
        <v>18403</v>
      </c>
      <c r="AG2007" t="s">
        <v>2876</v>
      </c>
      <c r="AI2007" t="s">
        <v>18404</v>
      </c>
      <c r="AM2007" t="s">
        <v>3045</v>
      </c>
      <c r="AN2007" t="s">
        <v>2118</v>
      </c>
      <c r="AO2007" t="s">
        <v>18405</v>
      </c>
      <c r="AP2007" t="s">
        <v>7024</v>
      </c>
      <c r="AT2007" s="184"/>
      <c r="AW2007" s="184"/>
      <c r="AZ2007" s="184"/>
      <c r="BO2007" t="s">
        <v>595</v>
      </c>
      <c r="BP2007" s="184"/>
    </row>
    <row r="2008" spans="1:68">
      <c r="A2008">
        <v>23866981</v>
      </c>
      <c r="B2008">
        <v>23866981</v>
      </c>
      <c r="C2008" t="s">
        <v>7018</v>
      </c>
      <c r="D2008" t="s">
        <v>595</v>
      </c>
      <c r="E2008" s="184">
        <v>43647</v>
      </c>
      <c r="G2008" s="184"/>
      <c r="I2008" s="184"/>
      <c r="K2008" s="184"/>
      <c r="O2008" s="184"/>
      <c r="P2008" t="s">
        <v>7045</v>
      </c>
      <c r="Q2008" t="s">
        <v>7383</v>
      </c>
      <c r="R2008" s="184">
        <v>17241</v>
      </c>
      <c r="S2008">
        <v>77</v>
      </c>
      <c r="U2008" t="s">
        <v>7076</v>
      </c>
      <c r="V2008" t="s">
        <v>2718</v>
      </c>
      <c r="W2008" t="s">
        <v>4139</v>
      </c>
      <c r="X2008" t="s">
        <v>3534</v>
      </c>
      <c r="AF2008" t="s">
        <v>18407</v>
      </c>
      <c r="AG2008" t="s">
        <v>2718</v>
      </c>
      <c r="AI2008" t="s">
        <v>18408</v>
      </c>
      <c r="AM2008" t="s">
        <v>3535</v>
      </c>
      <c r="AN2008" t="s">
        <v>2313</v>
      </c>
      <c r="AO2008" t="s">
        <v>18409</v>
      </c>
      <c r="AP2008" t="s">
        <v>7024</v>
      </c>
      <c r="AT2008" s="184">
        <v>35411</v>
      </c>
      <c r="AU2008" t="s">
        <v>18410</v>
      </c>
      <c r="AV2008">
        <v>15</v>
      </c>
      <c r="AW2008" s="184">
        <v>45281</v>
      </c>
      <c r="AX2008" t="s">
        <v>18411</v>
      </c>
      <c r="AY2008">
        <v>200</v>
      </c>
      <c r="AZ2008" s="184">
        <v>45281</v>
      </c>
      <c r="BA2008" t="s">
        <v>18411</v>
      </c>
      <c r="BB2008">
        <v>200</v>
      </c>
      <c r="BC2008">
        <v>49</v>
      </c>
      <c r="BD2008">
        <v>869.95</v>
      </c>
      <c r="BE2008">
        <v>1997</v>
      </c>
      <c r="BF2008">
        <v>19</v>
      </c>
      <c r="BG2008">
        <v>2</v>
      </c>
      <c r="BH2008">
        <v>400</v>
      </c>
      <c r="BI2008">
        <v>14</v>
      </c>
      <c r="BJ2008">
        <v>29</v>
      </c>
      <c r="BK2008">
        <v>6</v>
      </c>
      <c r="BP2008" s="184"/>
    </row>
    <row r="2009" spans="1:68">
      <c r="A2009">
        <v>23907512</v>
      </c>
      <c r="B2009">
        <v>23907512</v>
      </c>
      <c r="C2009" t="s">
        <v>7018</v>
      </c>
      <c r="D2009" t="s">
        <v>595</v>
      </c>
      <c r="E2009" s="184">
        <v>44104</v>
      </c>
      <c r="G2009" s="184"/>
      <c r="I2009" s="184"/>
      <c r="K2009" s="184"/>
      <c r="O2009" s="184"/>
      <c r="P2009" t="s">
        <v>7045</v>
      </c>
      <c r="Q2009" t="s">
        <v>7454</v>
      </c>
      <c r="R2009" s="184">
        <v>19115</v>
      </c>
      <c r="S2009">
        <v>72</v>
      </c>
      <c r="V2009" t="s">
        <v>2841</v>
      </c>
      <c r="X2009" t="s">
        <v>18412</v>
      </c>
      <c r="AF2009" t="s">
        <v>18413</v>
      </c>
      <c r="AG2009" t="s">
        <v>2841</v>
      </c>
      <c r="AI2009" t="s">
        <v>18414</v>
      </c>
      <c r="AM2009" t="s">
        <v>3855</v>
      </c>
      <c r="AN2009" t="s">
        <v>2055</v>
      </c>
      <c r="AO2009" t="s">
        <v>18415</v>
      </c>
      <c r="AP2009" t="s">
        <v>7024</v>
      </c>
      <c r="AQ2009" t="s">
        <v>18416</v>
      </c>
      <c r="AR2009" t="s">
        <v>18417</v>
      </c>
      <c r="AT2009" s="184">
        <v>35415</v>
      </c>
      <c r="AU2009" t="s">
        <v>18418</v>
      </c>
      <c r="AV2009">
        <v>5</v>
      </c>
      <c r="AW2009" s="184">
        <v>45291</v>
      </c>
      <c r="AX2009" t="s">
        <v>9378</v>
      </c>
      <c r="AY2009">
        <v>52.5</v>
      </c>
      <c r="AZ2009" s="184">
        <v>45199</v>
      </c>
      <c r="BA2009" t="s">
        <v>18106</v>
      </c>
      <c r="BB2009">
        <v>100</v>
      </c>
      <c r="BC2009">
        <v>80</v>
      </c>
      <c r="BD2009">
        <v>2865</v>
      </c>
      <c r="BE2009">
        <v>1997</v>
      </c>
      <c r="BF2009">
        <v>47</v>
      </c>
      <c r="BG2009">
        <v>5</v>
      </c>
      <c r="BH2009">
        <v>340</v>
      </c>
      <c r="BI2009">
        <v>23</v>
      </c>
      <c r="BJ2009">
        <v>29</v>
      </c>
      <c r="BK2009">
        <v>9</v>
      </c>
      <c r="BP2009" s="184"/>
    </row>
    <row r="2010" spans="1:68">
      <c r="A2010">
        <v>23928237</v>
      </c>
      <c r="B2010">
        <v>23928237</v>
      </c>
      <c r="C2010" t="s">
        <v>7018</v>
      </c>
      <c r="E2010" s="184"/>
      <c r="G2010" s="184"/>
      <c r="I2010" s="184"/>
      <c r="J2010" t="s">
        <v>595</v>
      </c>
      <c r="K2010" s="184">
        <v>43691</v>
      </c>
      <c r="O2010" s="184"/>
      <c r="P2010" t="s">
        <v>7084</v>
      </c>
      <c r="Q2010" t="s">
        <v>7030</v>
      </c>
      <c r="R2010" s="184">
        <v>9276</v>
      </c>
      <c r="S2010">
        <v>98</v>
      </c>
      <c r="U2010" t="s">
        <v>7076</v>
      </c>
      <c r="V2010" t="s">
        <v>18419</v>
      </c>
      <c r="W2010" t="s">
        <v>7067</v>
      </c>
      <c r="X2010" t="s">
        <v>5921</v>
      </c>
      <c r="Z2010">
        <v>100181374</v>
      </c>
      <c r="AA2010" t="s">
        <v>7076</v>
      </c>
      <c r="AB2010" t="s">
        <v>2669</v>
      </c>
      <c r="AC2010" t="s">
        <v>18420</v>
      </c>
      <c r="AD2010" t="s">
        <v>5921</v>
      </c>
      <c r="AF2010" t="s">
        <v>18421</v>
      </c>
      <c r="AG2010" t="s">
        <v>18422</v>
      </c>
      <c r="AI2010" t="s">
        <v>18423</v>
      </c>
      <c r="AM2010" t="s">
        <v>5922</v>
      </c>
      <c r="AN2010" t="s">
        <v>2638</v>
      </c>
      <c r="AO2010" t="s">
        <v>18424</v>
      </c>
      <c r="AP2010" t="s">
        <v>7024</v>
      </c>
      <c r="AT2010" s="184">
        <v>35338</v>
      </c>
      <c r="AU2010" t="s">
        <v>18425</v>
      </c>
      <c r="AV2010">
        <v>15</v>
      </c>
      <c r="AW2010" s="184">
        <v>43530</v>
      </c>
      <c r="AX2010" t="s">
        <v>7348</v>
      </c>
      <c r="AY2010">
        <v>127.84</v>
      </c>
      <c r="AZ2010" s="184">
        <v>43460</v>
      </c>
      <c r="BA2010" t="s">
        <v>7348</v>
      </c>
      <c r="BB2010">
        <v>10990.46</v>
      </c>
      <c r="BC2010">
        <v>80</v>
      </c>
      <c r="BD2010">
        <v>13588.3</v>
      </c>
      <c r="BE2010">
        <v>1997</v>
      </c>
      <c r="BF2010">
        <v>71</v>
      </c>
      <c r="BI2010">
        <v>23</v>
      </c>
      <c r="BJ2010">
        <v>29</v>
      </c>
      <c r="BK2010">
        <v>18</v>
      </c>
      <c r="BO2010" t="s">
        <v>595</v>
      </c>
      <c r="BP2010" s="184">
        <v>40788</v>
      </c>
    </row>
    <row r="2011" spans="1:68">
      <c r="A2011">
        <v>100181374</v>
      </c>
      <c r="B2011">
        <v>23928237</v>
      </c>
      <c r="C2011" t="s">
        <v>7018</v>
      </c>
      <c r="E2011" s="184"/>
      <c r="G2011" s="184"/>
      <c r="I2011" s="184"/>
      <c r="J2011" t="s">
        <v>595</v>
      </c>
      <c r="K2011" s="184">
        <v>43691</v>
      </c>
      <c r="O2011" s="184"/>
      <c r="P2011" t="s">
        <v>7084</v>
      </c>
      <c r="Q2011" t="s">
        <v>7030</v>
      </c>
      <c r="R2011" s="184">
        <v>7603</v>
      </c>
      <c r="S2011">
        <v>103</v>
      </c>
      <c r="U2011" t="s">
        <v>7076</v>
      </c>
      <c r="V2011" t="s">
        <v>2669</v>
      </c>
      <c r="W2011" t="s">
        <v>18420</v>
      </c>
      <c r="X2011" t="s">
        <v>5921</v>
      </c>
      <c r="Z2011">
        <v>23928237</v>
      </c>
      <c r="AA2011" t="s">
        <v>7076</v>
      </c>
      <c r="AB2011" t="s">
        <v>18419</v>
      </c>
      <c r="AC2011" t="s">
        <v>7067</v>
      </c>
      <c r="AD2011" t="s">
        <v>5921</v>
      </c>
      <c r="AF2011" t="s">
        <v>18421</v>
      </c>
      <c r="AG2011" t="s">
        <v>18422</v>
      </c>
      <c r="AI2011" t="s">
        <v>18423</v>
      </c>
      <c r="AM2011" t="s">
        <v>5922</v>
      </c>
      <c r="AN2011" t="s">
        <v>2638</v>
      </c>
      <c r="AO2011" t="s">
        <v>18424</v>
      </c>
      <c r="AP2011" t="s">
        <v>7024</v>
      </c>
      <c r="AT2011" s="184"/>
      <c r="AW2011" s="184"/>
      <c r="AZ2011" s="184"/>
      <c r="BO2011" t="s">
        <v>595</v>
      </c>
      <c r="BP2011" s="184">
        <v>40788</v>
      </c>
    </row>
    <row r="2012" spans="1:68">
      <c r="A2012">
        <v>23964117</v>
      </c>
      <c r="B2012">
        <v>23964117</v>
      </c>
      <c r="C2012" t="s">
        <v>7018</v>
      </c>
      <c r="E2012" s="184"/>
      <c r="G2012" s="184"/>
      <c r="I2012" s="184"/>
      <c r="J2012" t="s">
        <v>595</v>
      </c>
      <c r="K2012" s="184">
        <v>44978</v>
      </c>
      <c r="O2012" s="184"/>
      <c r="P2012" t="s">
        <v>7084</v>
      </c>
      <c r="Q2012" t="s">
        <v>7020</v>
      </c>
      <c r="R2012" s="184">
        <v>11110</v>
      </c>
      <c r="S2012">
        <v>93</v>
      </c>
      <c r="U2012" t="s">
        <v>7130</v>
      </c>
      <c r="V2012" t="s">
        <v>18426</v>
      </c>
      <c r="X2012" t="s">
        <v>18427</v>
      </c>
      <c r="AF2012" t="s">
        <v>18428</v>
      </c>
      <c r="AG2012" t="s">
        <v>18429</v>
      </c>
      <c r="AI2012" t="s">
        <v>18430</v>
      </c>
      <c r="AM2012" t="s">
        <v>18431</v>
      </c>
      <c r="AN2012" t="s">
        <v>2112</v>
      </c>
      <c r="AO2012" t="s">
        <v>18432</v>
      </c>
      <c r="AP2012" t="s">
        <v>7024</v>
      </c>
      <c r="AT2012" s="184">
        <v>35416</v>
      </c>
      <c r="AU2012" t="s">
        <v>18433</v>
      </c>
      <c r="AV2012">
        <v>25</v>
      </c>
      <c r="AW2012" s="184">
        <v>44970</v>
      </c>
      <c r="AX2012" t="s">
        <v>7721</v>
      </c>
      <c r="AY2012">
        <v>14833.46</v>
      </c>
      <c r="AZ2012" s="184">
        <v>44970</v>
      </c>
      <c r="BA2012" t="s">
        <v>7721</v>
      </c>
      <c r="BB2012">
        <v>17190.099999999999</v>
      </c>
      <c r="BC2012">
        <v>63</v>
      </c>
      <c r="BD2012">
        <v>33588.559999999998</v>
      </c>
      <c r="BE2012">
        <v>1997</v>
      </c>
      <c r="BF2012">
        <v>40</v>
      </c>
      <c r="BG2012">
        <v>2</v>
      </c>
      <c r="BH2012">
        <v>32023.56</v>
      </c>
      <c r="BI2012">
        <v>18</v>
      </c>
      <c r="BJ2012">
        <v>29</v>
      </c>
      <c r="BK2012">
        <v>17</v>
      </c>
      <c r="BO2012" t="s">
        <v>595</v>
      </c>
      <c r="BP2012" s="184">
        <v>44562</v>
      </c>
    </row>
    <row r="2013" spans="1:68">
      <c r="A2013">
        <v>23981814</v>
      </c>
      <c r="B2013">
        <v>23981814</v>
      </c>
      <c r="C2013" t="s">
        <v>7018</v>
      </c>
      <c r="D2013" t="s">
        <v>595</v>
      </c>
      <c r="E2013" s="184">
        <v>43879</v>
      </c>
      <c r="G2013" s="184"/>
      <c r="I2013" s="184"/>
      <c r="K2013" s="184"/>
      <c r="O2013" s="184"/>
      <c r="P2013" t="s">
        <v>7045</v>
      </c>
      <c r="Q2013" t="s">
        <v>7030</v>
      </c>
      <c r="R2013" s="184">
        <v>15289</v>
      </c>
      <c r="S2013">
        <v>82</v>
      </c>
      <c r="U2013" t="s">
        <v>7031</v>
      </c>
      <c r="V2013" t="s">
        <v>2724</v>
      </c>
      <c r="W2013" t="s">
        <v>2049</v>
      </c>
      <c r="X2013" t="s">
        <v>18434</v>
      </c>
      <c r="AF2013" t="s">
        <v>18435</v>
      </c>
      <c r="AG2013" t="s">
        <v>2724</v>
      </c>
      <c r="AI2013" t="s">
        <v>18436</v>
      </c>
      <c r="AM2013" t="s">
        <v>2564</v>
      </c>
      <c r="AN2013" t="s">
        <v>2089</v>
      </c>
      <c r="AO2013" t="s">
        <v>18437</v>
      </c>
      <c r="AP2013" t="s">
        <v>7024</v>
      </c>
      <c r="AQ2013" t="s">
        <v>18438</v>
      </c>
      <c r="AT2013" s="184">
        <v>35417</v>
      </c>
      <c r="AU2013" t="s">
        <v>18439</v>
      </c>
      <c r="AV2013">
        <v>10</v>
      </c>
      <c r="AW2013" s="184">
        <v>45254</v>
      </c>
      <c r="AX2013" t="s">
        <v>18440</v>
      </c>
      <c r="AY2013">
        <v>300</v>
      </c>
      <c r="AZ2013" s="184">
        <v>45254</v>
      </c>
      <c r="BA2013" t="s">
        <v>18440</v>
      </c>
      <c r="BB2013">
        <v>300</v>
      </c>
      <c r="BC2013">
        <v>90</v>
      </c>
      <c r="BD2013">
        <v>2710.37</v>
      </c>
      <c r="BE2013">
        <v>1997</v>
      </c>
      <c r="BF2013">
        <v>31</v>
      </c>
      <c r="BG2013">
        <v>2</v>
      </c>
      <c r="BH2013">
        <v>600</v>
      </c>
      <c r="BI2013">
        <v>26</v>
      </c>
      <c r="BJ2013">
        <v>29</v>
      </c>
      <c r="BK2013">
        <v>25</v>
      </c>
      <c r="BP2013" s="184"/>
    </row>
    <row r="2014" spans="1:68">
      <c r="A2014">
        <v>23993645</v>
      </c>
      <c r="B2014">
        <v>23993645</v>
      </c>
      <c r="C2014" t="s">
        <v>7018</v>
      </c>
      <c r="D2014" t="s">
        <v>595</v>
      </c>
      <c r="E2014" s="184">
        <v>44328</v>
      </c>
      <c r="G2014" s="184"/>
      <c r="I2014" s="184"/>
      <c r="K2014" s="184"/>
      <c r="O2014" s="184"/>
      <c r="P2014" t="s">
        <v>7045</v>
      </c>
      <c r="Q2014" t="s">
        <v>7262</v>
      </c>
      <c r="R2014" s="184">
        <v>12540</v>
      </c>
      <c r="S2014">
        <v>90</v>
      </c>
      <c r="U2014" t="s">
        <v>7130</v>
      </c>
      <c r="V2014" t="s">
        <v>3232</v>
      </c>
      <c r="X2014" t="s">
        <v>2962</v>
      </c>
      <c r="AF2014" t="s">
        <v>18441</v>
      </c>
      <c r="AG2014" t="s">
        <v>3232</v>
      </c>
      <c r="AI2014" t="s">
        <v>18442</v>
      </c>
      <c r="AM2014" t="s">
        <v>2646</v>
      </c>
      <c r="AN2014" t="s">
        <v>2069</v>
      </c>
      <c r="AO2014" t="s">
        <v>18443</v>
      </c>
      <c r="AP2014" t="s">
        <v>7024</v>
      </c>
      <c r="AQ2014" t="s">
        <v>18444</v>
      </c>
      <c r="AR2014" t="s">
        <v>18445</v>
      </c>
      <c r="AT2014" s="184">
        <v>35418</v>
      </c>
      <c r="AU2014" t="s">
        <v>18446</v>
      </c>
      <c r="AV2014">
        <v>15</v>
      </c>
      <c r="AW2014" s="184">
        <v>43164</v>
      </c>
      <c r="AX2014" t="s">
        <v>18447</v>
      </c>
      <c r="AY2014">
        <v>25</v>
      </c>
      <c r="AZ2014" s="184">
        <v>43164</v>
      </c>
      <c r="BA2014" t="s">
        <v>18447</v>
      </c>
      <c r="BB2014">
        <v>25</v>
      </c>
      <c r="BC2014">
        <v>69</v>
      </c>
      <c r="BD2014">
        <v>655</v>
      </c>
      <c r="BE2014">
        <v>1997</v>
      </c>
      <c r="BF2014">
        <v>27</v>
      </c>
      <c r="BI2014">
        <v>20</v>
      </c>
      <c r="BJ2014">
        <v>29</v>
      </c>
      <c r="BK2014">
        <v>13</v>
      </c>
      <c r="BP2014" s="184"/>
    </row>
    <row r="2015" spans="1:68">
      <c r="A2015">
        <v>24024283</v>
      </c>
      <c r="B2015">
        <v>24024283</v>
      </c>
      <c r="C2015" t="s">
        <v>7018</v>
      </c>
      <c r="E2015" s="184"/>
      <c r="G2015" s="184"/>
      <c r="I2015" s="184"/>
      <c r="K2015" s="184"/>
      <c r="N2015" t="s">
        <v>595</v>
      </c>
      <c r="O2015" s="184">
        <v>37460</v>
      </c>
      <c r="P2015" t="s">
        <v>7084</v>
      </c>
      <c r="Q2015" t="s">
        <v>7383</v>
      </c>
      <c r="R2015" s="184">
        <v>11656</v>
      </c>
      <c r="S2015">
        <v>92</v>
      </c>
      <c r="U2015" t="s">
        <v>7076</v>
      </c>
      <c r="V2015" t="s">
        <v>3101</v>
      </c>
      <c r="X2015" t="s">
        <v>5650</v>
      </c>
      <c r="AF2015" t="s">
        <v>18448</v>
      </c>
      <c r="AG2015" t="s">
        <v>3101</v>
      </c>
      <c r="AI2015" t="s">
        <v>18449</v>
      </c>
      <c r="AM2015" t="s">
        <v>4742</v>
      </c>
      <c r="AN2015" t="s">
        <v>2072</v>
      </c>
      <c r="AO2015" t="s">
        <v>18450</v>
      </c>
      <c r="AP2015" t="s">
        <v>7024</v>
      </c>
      <c r="AT2015" s="184">
        <v>35425</v>
      </c>
      <c r="AU2015" t="s">
        <v>18451</v>
      </c>
      <c r="AV2015">
        <v>10</v>
      </c>
      <c r="AW2015" s="184">
        <v>44926</v>
      </c>
      <c r="AX2015" t="s">
        <v>7721</v>
      </c>
      <c r="AY2015">
        <v>7310.77</v>
      </c>
      <c r="AZ2015" s="184">
        <v>37460</v>
      </c>
      <c r="BA2015" t="s">
        <v>7180</v>
      </c>
      <c r="BB2015">
        <v>25000</v>
      </c>
      <c r="BC2015">
        <v>32</v>
      </c>
      <c r="BD2015">
        <v>43062.31</v>
      </c>
      <c r="BE2015">
        <v>1997</v>
      </c>
      <c r="BF2015">
        <v>12</v>
      </c>
      <c r="BG2015">
        <v>2</v>
      </c>
      <c r="BH2015">
        <v>16852.310000000001</v>
      </c>
      <c r="BI2015">
        <v>9</v>
      </c>
      <c r="BJ2015">
        <v>29</v>
      </c>
      <c r="BK2015">
        <v>3</v>
      </c>
      <c r="BO2015" t="s">
        <v>595</v>
      </c>
      <c r="BP2015" s="184">
        <v>44646</v>
      </c>
    </row>
    <row r="2016" spans="1:68">
      <c r="A2016">
        <v>24029506</v>
      </c>
      <c r="B2016">
        <v>24029506</v>
      </c>
      <c r="C2016" t="s">
        <v>7018</v>
      </c>
      <c r="E2016" s="184"/>
      <c r="G2016" s="184"/>
      <c r="I2016" s="184"/>
      <c r="J2016" t="s">
        <v>595</v>
      </c>
      <c r="K2016" s="184">
        <v>44641</v>
      </c>
      <c r="O2016" s="184"/>
      <c r="P2016" t="s">
        <v>7084</v>
      </c>
      <c r="Q2016" t="s">
        <v>7262</v>
      </c>
      <c r="R2016" s="184">
        <v>11324</v>
      </c>
      <c r="S2016">
        <v>93</v>
      </c>
      <c r="U2016" t="s">
        <v>7076</v>
      </c>
      <c r="V2016" t="s">
        <v>12531</v>
      </c>
      <c r="W2016" t="s">
        <v>4013</v>
      </c>
      <c r="X2016" t="s">
        <v>18452</v>
      </c>
      <c r="AF2016" t="s">
        <v>18453</v>
      </c>
      <c r="AG2016" t="s">
        <v>12531</v>
      </c>
      <c r="AI2016" t="s">
        <v>18454</v>
      </c>
      <c r="AM2016" t="s">
        <v>2730</v>
      </c>
      <c r="AN2016" t="s">
        <v>2069</v>
      </c>
      <c r="AO2016" t="s">
        <v>18455</v>
      </c>
      <c r="AP2016" t="s">
        <v>7024</v>
      </c>
      <c r="AT2016" s="184">
        <v>35429</v>
      </c>
      <c r="AU2016" t="s">
        <v>18456</v>
      </c>
      <c r="AV2016">
        <v>20</v>
      </c>
      <c r="AW2016" s="184">
        <v>44907</v>
      </c>
      <c r="AX2016" t="s">
        <v>7721</v>
      </c>
      <c r="AY2016">
        <v>315</v>
      </c>
      <c r="AZ2016" s="184">
        <v>44634</v>
      </c>
      <c r="BA2016" t="s">
        <v>7093</v>
      </c>
      <c r="BB2016">
        <v>25750</v>
      </c>
      <c r="BC2016">
        <v>56</v>
      </c>
      <c r="BD2016">
        <v>26451</v>
      </c>
      <c r="BE2016">
        <v>1997</v>
      </c>
      <c r="BF2016">
        <v>21</v>
      </c>
      <c r="BG2016">
        <v>1</v>
      </c>
      <c r="BH2016">
        <v>315</v>
      </c>
      <c r="BI2016">
        <v>16</v>
      </c>
      <c r="BJ2016">
        <v>29</v>
      </c>
      <c r="BK2016">
        <v>7</v>
      </c>
      <c r="BO2016" t="s">
        <v>595</v>
      </c>
      <c r="BP2016" s="184">
        <v>44197</v>
      </c>
    </row>
    <row r="2017" spans="1:68">
      <c r="A2017">
        <v>24031361</v>
      </c>
      <c r="B2017">
        <v>24031361</v>
      </c>
      <c r="C2017" t="s">
        <v>7018</v>
      </c>
      <c r="E2017" s="184"/>
      <c r="G2017" s="184"/>
      <c r="I2017" s="184"/>
      <c r="J2017" t="s">
        <v>595</v>
      </c>
      <c r="K2017" s="184">
        <v>37439</v>
      </c>
      <c r="O2017" s="184"/>
      <c r="P2017" t="s">
        <v>7045</v>
      </c>
      <c r="Q2017" t="s">
        <v>7262</v>
      </c>
      <c r="R2017" s="184">
        <v>17593</v>
      </c>
      <c r="S2017">
        <v>76</v>
      </c>
      <c r="U2017" t="s">
        <v>7076</v>
      </c>
      <c r="V2017" t="s">
        <v>3293</v>
      </c>
      <c r="W2017" t="s">
        <v>4139</v>
      </c>
      <c r="X2017" t="s">
        <v>5809</v>
      </c>
      <c r="Z2017">
        <v>100063759</v>
      </c>
      <c r="AA2017" t="s">
        <v>7031</v>
      </c>
      <c r="AB2017" t="s">
        <v>3411</v>
      </c>
      <c r="AC2017" t="s">
        <v>2316</v>
      </c>
      <c r="AD2017" t="s">
        <v>2910</v>
      </c>
      <c r="AF2017" t="s">
        <v>18457</v>
      </c>
      <c r="AG2017" t="s">
        <v>3293</v>
      </c>
      <c r="AI2017" t="s">
        <v>18458</v>
      </c>
      <c r="AJ2017" t="s">
        <v>18459</v>
      </c>
      <c r="AM2017" t="s">
        <v>5810</v>
      </c>
      <c r="AN2017" t="s">
        <v>65</v>
      </c>
      <c r="AO2017" t="s">
        <v>18460</v>
      </c>
      <c r="AP2017" t="s">
        <v>7024</v>
      </c>
      <c r="AQ2017" t="s">
        <v>18461</v>
      </c>
      <c r="AR2017" t="s">
        <v>18462</v>
      </c>
      <c r="AT2017" s="184">
        <v>35429</v>
      </c>
      <c r="AU2017" t="s">
        <v>18463</v>
      </c>
      <c r="AV2017">
        <v>15</v>
      </c>
      <c r="AW2017" s="184">
        <v>45273</v>
      </c>
      <c r="AX2017" t="s">
        <v>7596</v>
      </c>
      <c r="AY2017">
        <v>500</v>
      </c>
      <c r="AZ2017" s="184">
        <v>37580</v>
      </c>
      <c r="BA2017" t="s">
        <v>18464</v>
      </c>
      <c r="BB2017">
        <v>1500</v>
      </c>
      <c r="BC2017">
        <v>80</v>
      </c>
      <c r="BD2017">
        <v>21530</v>
      </c>
      <c r="BE2017">
        <v>1997</v>
      </c>
      <c r="BF2017">
        <v>32</v>
      </c>
      <c r="BG2017">
        <v>2</v>
      </c>
      <c r="BH2017">
        <v>1000</v>
      </c>
      <c r="BI2017">
        <v>23</v>
      </c>
      <c r="BJ2017">
        <v>29</v>
      </c>
      <c r="BK2017">
        <v>7</v>
      </c>
      <c r="BP2017" s="184"/>
    </row>
    <row r="2018" spans="1:68">
      <c r="A2018">
        <v>24035636</v>
      </c>
      <c r="B2018">
        <v>24035636</v>
      </c>
      <c r="C2018" t="s">
        <v>7018</v>
      </c>
      <c r="D2018" t="s">
        <v>595</v>
      </c>
      <c r="E2018" s="184">
        <v>43647</v>
      </c>
      <c r="G2018" s="184"/>
      <c r="I2018" s="184"/>
      <c r="K2018" s="184"/>
      <c r="O2018" s="184"/>
      <c r="P2018" t="s">
        <v>7045</v>
      </c>
      <c r="Q2018" t="s">
        <v>7383</v>
      </c>
      <c r="R2018" s="184">
        <v>15220</v>
      </c>
      <c r="S2018">
        <v>82</v>
      </c>
      <c r="U2018" t="s">
        <v>7130</v>
      </c>
      <c r="V2018" t="s">
        <v>3293</v>
      </c>
      <c r="W2018" t="s">
        <v>3226</v>
      </c>
      <c r="X2018" t="s">
        <v>3440</v>
      </c>
      <c r="AF2018" t="s">
        <v>18465</v>
      </c>
      <c r="AG2018" t="s">
        <v>3293</v>
      </c>
      <c r="AI2018" t="s">
        <v>18466</v>
      </c>
      <c r="AM2018" t="s">
        <v>3441</v>
      </c>
      <c r="AN2018" t="s">
        <v>2313</v>
      </c>
      <c r="AO2018" t="s">
        <v>18467</v>
      </c>
      <c r="AP2018" t="s">
        <v>7024</v>
      </c>
      <c r="AT2018" s="184">
        <v>35429</v>
      </c>
      <c r="AU2018" t="s">
        <v>18368</v>
      </c>
      <c r="AV2018">
        <v>20</v>
      </c>
      <c r="AW2018" s="184">
        <v>44812</v>
      </c>
      <c r="AX2018" t="s">
        <v>18468</v>
      </c>
      <c r="AY2018">
        <v>100</v>
      </c>
      <c r="AZ2018" s="184">
        <v>44812</v>
      </c>
      <c r="BA2018" t="s">
        <v>18468</v>
      </c>
      <c r="BB2018">
        <v>100</v>
      </c>
      <c r="BC2018">
        <v>76</v>
      </c>
      <c r="BD2018">
        <v>1575</v>
      </c>
      <c r="BE2018">
        <v>1997</v>
      </c>
      <c r="BF2018">
        <v>32</v>
      </c>
      <c r="BG2018">
        <v>1</v>
      </c>
      <c r="BH2018">
        <v>100</v>
      </c>
      <c r="BI2018">
        <v>22</v>
      </c>
      <c r="BJ2018">
        <v>29</v>
      </c>
      <c r="BK2018">
        <v>8</v>
      </c>
      <c r="BP2018" s="184"/>
    </row>
    <row r="2019" spans="1:68">
      <c r="A2019">
        <v>24037053</v>
      </c>
      <c r="B2019">
        <v>24037053</v>
      </c>
      <c r="C2019" t="s">
        <v>7018</v>
      </c>
      <c r="E2019" s="184"/>
      <c r="G2019" s="184"/>
      <c r="I2019" s="184"/>
      <c r="K2019" s="184"/>
      <c r="N2019" t="s">
        <v>595</v>
      </c>
      <c r="O2019" s="184">
        <v>37550</v>
      </c>
      <c r="P2019" t="s">
        <v>7045</v>
      </c>
      <c r="Q2019" t="s">
        <v>7374</v>
      </c>
      <c r="R2019" s="184">
        <v>5954</v>
      </c>
      <c r="S2019">
        <v>108</v>
      </c>
      <c r="V2019" t="s">
        <v>4646</v>
      </c>
      <c r="W2019" t="s">
        <v>3830</v>
      </c>
      <c r="X2019" t="s">
        <v>5455</v>
      </c>
      <c r="Z2019">
        <v>100181385</v>
      </c>
      <c r="AB2019" t="s">
        <v>2541</v>
      </c>
      <c r="AD2019" t="s">
        <v>5455</v>
      </c>
      <c r="AF2019" t="s">
        <v>18469</v>
      </c>
      <c r="AG2019" t="s">
        <v>18470</v>
      </c>
      <c r="AI2019" t="s">
        <v>18471</v>
      </c>
      <c r="AM2019" t="s">
        <v>3109</v>
      </c>
      <c r="AN2019" t="s">
        <v>2081</v>
      </c>
      <c r="AO2019">
        <v>92127</v>
      </c>
      <c r="AP2019" t="s">
        <v>7024</v>
      </c>
      <c r="AT2019" s="184">
        <v>35429</v>
      </c>
      <c r="AU2019" t="s">
        <v>18472</v>
      </c>
      <c r="AV2019">
        <v>15</v>
      </c>
      <c r="AW2019" s="184">
        <v>37550</v>
      </c>
      <c r="AX2019" t="s">
        <v>7180</v>
      </c>
      <c r="AY2019">
        <v>93000</v>
      </c>
      <c r="AZ2019" s="184">
        <v>37550</v>
      </c>
      <c r="BA2019" t="s">
        <v>7180</v>
      </c>
      <c r="BB2019">
        <v>93000</v>
      </c>
      <c r="BC2019">
        <v>25</v>
      </c>
      <c r="BD2019">
        <v>93305</v>
      </c>
      <c r="BE2019">
        <v>1997</v>
      </c>
      <c r="BF2019">
        <v>16</v>
      </c>
      <c r="BI2019">
        <v>7</v>
      </c>
      <c r="BJ2019">
        <v>29</v>
      </c>
      <c r="BK2019">
        <v>7</v>
      </c>
      <c r="BO2019" t="s">
        <v>595</v>
      </c>
      <c r="BP2019" s="184">
        <v>38573</v>
      </c>
    </row>
    <row r="2020" spans="1:68">
      <c r="A2020">
        <v>100181385</v>
      </c>
      <c r="B2020">
        <v>24037053</v>
      </c>
      <c r="C2020" t="s">
        <v>7018</v>
      </c>
      <c r="E2020" s="184"/>
      <c r="G2020" s="184"/>
      <c r="I2020" s="184"/>
      <c r="K2020" s="184"/>
      <c r="N2020" t="s">
        <v>595</v>
      </c>
      <c r="O2020" s="184">
        <v>37550</v>
      </c>
      <c r="P2020" t="s">
        <v>7045</v>
      </c>
      <c r="Q2020" t="s">
        <v>7374</v>
      </c>
      <c r="R2020" s="184">
        <v>4840</v>
      </c>
      <c r="S2020">
        <v>111</v>
      </c>
      <c r="V2020" t="s">
        <v>2541</v>
      </c>
      <c r="X2020" t="s">
        <v>5455</v>
      </c>
      <c r="Z2020">
        <v>24037053</v>
      </c>
      <c r="AB2020" t="s">
        <v>4646</v>
      </c>
      <c r="AC2020" t="s">
        <v>3830</v>
      </c>
      <c r="AD2020" t="s">
        <v>5455</v>
      </c>
      <c r="AF2020" t="s">
        <v>18469</v>
      </c>
      <c r="AG2020" t="s">
        <v>18470</v>
      </c>
      <c r="AI2020" t="s">
        <v>18471</v>
      </c>
      <c r="AM2020" t="s">
        <v>3109</v>
      </c>
      <c r="AN2020" t="s">
        <v>2081</v>
      </c>
      <c r="AO2020">
        <v>92127</v>
      </c>
      <c r="AP2020" t="s">
        <v>7024</v>
      </c>
      <c r="AT2020" s="184"/>
      <c r="AW2020" s="184"/>
      <c r="AZ2020" s="184"/>
      <c r="BO2020" t="s">
        <v>595</v>
      </c>
      <c r="BP2020" s="184">
        <v>37986</v>
      </c>
    </row>
    <row r="2021" spans="1:68">
      <c r="A2021">
        <v>24045833</v>
      </c>
      <c r="B2021">
        <v>24045833</v>
      </c>
      <c r="C2021" t="s">
        <v>7018</v>
      </c>
      <c r="D2021" t="s">
        <v>595</v>
      </c>
      <c r="E2021" s="184">
        <v>45180</v>
      </c>
      <c r="G2021" s="184"/>
      <c r="I2021" s="184"/>
      <c r="K2021" s="184"/>
      <c r="O2021" s="184"/>
      <c r="P2021" t="s">
        <v>7045</v>
      </c>
      <c r="Q2021" t="s">
        <v>7374</v>
      </c>
      <c r="R2021" s="184">
        <v>25677</v>
      </c>
      <c r="S2021">
        <v>54</v>
      </c>
      <c r="U2021" t="s">
        <v>7076</v>
      </c>
      <c r="V2021" t="s">
        <v>18473</v>
      </c>
      <c r="X2021" t="s">
        <v>18474</v>
      </c>
      <c r="AF2021" t="s">
        <v>18475</v>
      </c>
      <c r="AG2021" t="s">
        <v>18473</v>
      </c>
      <c r="AI2021" t="s">
        <v>18476</v>
      </c>
      <c r="AM2021" t="s">
        <v>2534</v>
      </c>
      <c r="AN2021" t="s">
        <v>2081</v>
      </c>
      <c r="AO2021" t="s">
        <v>18477</v>
      </c>
      <c r="AP2021" t="s">
        <v>7024</v>
      </c>
      <c r="AQ2021" t="s">
        <v>18478</v>
      </c>
      <c r="AT2021" s="184">
        <v>35430</v>
      </c>
      <c r="AU2021" t="s">
        <v>18479</v>
      </c>
      <c r="AV2021">
        <v>15</v>
      </c>
      <c r="AW2021" s="184">
        <v>45404</v>
      </c>
      <c r="AX2021" t="s">
        <v>7429</v>
      </c>
      <c r="AY2021">
        <v>15</v>
      </c>
      <c r="AZ2021" s="184">
        <v>43521</v>
      </c>
      <c r="BA2021" t="s">
        <v>15931</v>
      </c>
      <c r="BB2021">
        <v>150</v>
      </c>
      <c r="BC2021">
        <v>32</v>
      </c>
      <c r="BD2021">
        <v>1045</v>
      </c>
      <c r="BE2021">
        <v>1997</v>
      </c>
      <c r="BF2021">
        <v>34</v>
      </c>
      <c r="BG2021">
        <v>24</v>
      </c>
      <c r="BH2021">
        <v>300</v>
      </c>
      <c r="BI2021">
        <v>9</v>
      </c>
      <c r="BJ2021">
        <v>29</v>
      </c>
      <c r="BK2021">
        <v>6</v>
      </c>
      <c r="BP2021" s="184"/>
    </row>
    <row r="2022" spans="1:68">
      <c r="A2022">
        <v>24065096</v>
      </c>
      <c r="B2022">
        <v>24065096</v>
      </c>
      <c r="C2022" t="s">
        <v>7018</v>
      </c>
      <c r="E2022" s="184"/>
      <c r="G2022" s="184"/>
      <c r="I2022" s="184"/>
      <c r="J2022" t="s">
        <v>595</v>
      </c>
      <c r="K2022" s="184">
        <v>42038</v>
      </c>
      <c r="O2022" s="184"/>
      <c r="P2022" t="s">
        <v>7045</v>
      </c>
      <c r="Q2022" t="s">
        <v>7374</v>
      </c>
      <c r="R2022" s="184">
        <v>15137</v>
      </c>
      <c r="S2022">
        <v>82</v>
      </c>
      <c r="V2022" t="s">
        <v>18480</v>
      </c>
      <c r="W2022" t="s">
        <v>4139</v>
      </c>
      <c r="X2022" t="s">
        <v>18481</v>
      </c>
      <c r="AF2022" t="s">
        <v>6437</v>
      </c>
      <c r="AG2022" t="s">
        <v>18480</v>
      </c>
      <c r="AI2022" t="s">
        <v>18482</v>
      </c>
      <c r="AM2022" t="s">
        <v>3109</v>
      </c>
      <c r="AN2022" t="s">
        <v>2081</v>
      </c>
      <c r="AO2022" t="s">
        <v>18483</v>
      </c>
      <c r="AP2022" t="s">
        <v>7024</v>
      </c>
      <c r="AT2022" s="184">
        <v>35436</v>
      </c>
      <c r="AU2022" t="s">
        <v>18484</v>
      </c>
      <c r="AV2022">
        <v>10</v>
      </c>
      <c r="AW2022" s="184">
        <v>45133</v>
      </c>
      <c r="AX2022" t="s">
        <v>13372</v>
      </c>
      <c r="AY2022">
        <v>50</v>
      </c>
      <c r="AZ2022" s="184">
        <v>39966</v>
      </c>
      <c r="BA2022" t="s">
        <v>18485</v>
      </c>
      <c r="BB2022">
        <v>100</v>
      </c>
      <c r="BC2022">
        <v>93</v>
      </c>
      <c r="BD2022">
        <v>1210</v>
      </c>
      <c r="BE2022">
        <v>1997</v>
      </c>
      <c r="BF2022">
        <v>42</v>
      </c>
      <c r="BG2022">
        <v>3</v>
      </c>
      <c r="BH2022">
        <v>120</v>
      </c>
      <c r="BI2022">
        <v>26</v>
      </c>
      <c r="BJ2022">
        <v>28</v>
      </c>
      <c r="BK2022">
        <v>21</v>
      </c>
      <c r="BP2022" s="184"/>
    </row>
    <row r="2023" spans="1:68">
      <c r="A2023">
        <v>24068736</v>
      </c>
      <c r="B2023">
        <v>24068736</v>
      </c>
      <c r="C2023" t="s">
        <v>7018</v>
      </c>
      <c r="E2023" s="184"/>
      <c r="G2023" s="184"/>
      <c r="I2023" s="184"/>
      <c r="J2023" t="s">
        <v>595</v>
      </c>
      <c r="K2023" s="184">
        <v>43864</v>
      </c>
      <c r="O2023" s="184"/>
      <c r="P2023" t="s">
        <v>7045</v>
      </c>
      <c r="Q2023" t="s">
        <v>7160</v>
      </c>
      <c r="R2023" s="184">
        <v>20363</v>
      </c>
      <c r="S2023">
        <v>68</v>
      </c>
      <c r="U2023" t="s">
        <v>7032</v>
      </c>
      <c r="V2023" t="s">
        <v>4659</v>
      </c>
      <c r="W2023" t="s">
        <v>7268</v>
      </c>
      <c r="X2023" t="s">
        <v>4660</v>
      </c>
      <c r="AF2023" t="s">
        <v>6461</v>
      </c>
      <c r="AG2023" t="s">
        <v>4659</v>
      </c>
      <c r="AI2023" t="s">
        <v>18486</v>
      </c>
      <c r="AM2023" t="s">
        <v>4661</v>
      </c>
      <c r="AN2023" t="s">
        <v>2176</v>
      </c>
      <c r="AO2023" t="s">
        <v>18487</v>
      </c>
      <c r="AP2023" t="s">
        <v>7024</v>
      </c>
      <c r="AQ2023" t="s">
        <v>18488</v>
      </c>
      <c r="AT2023" s="184">
        <v>35436</v>
      </c>
      <c r="AU2023" t="s">
        <v>18489</v>
      </c>
      <c r="AV2023">
        <v>25</v>
      </c>
      <c r="AW2023" s="184">
        <v>45392</v>
      </c>
      <c r="AX2023" t="s">
        <v>18490</v>
      </c>
      <c r="AY2023">
        <v>50</v>
      </c>
      <c r="AZ2023" s="184">
        <v>45392</v>
      </c>
      <c r="BA2023" t="s">
        <v>18490</v>
      </c>
      <c r="BB2023">
        <v>50</v>
      </c>
      <c r="BC2023">
        <v>75</v>
      </c>
      <c r="BD2023">
        <v>1280</v>
      </c>
      <c r="BE2023">
        <v>1997</v>
      </c>
      <c r="BF2023">
        <v>39</v>
      </c>
      <c r="BG2023">
        <v>5</v>
      </c>
      <c r="BH2023">
        <v>250</v>
      </c>
      <c r="BI2023">
        <v>21</v>
      </c>
      <c r="BJ2023">
        <v>28</v>
      </c>
      <c r="BK2023">
        <v>12</v>
      </c>
      <c r="BP2023" s="184"/>
    </row>
    <row r="2024" spans="1:68">
      <c r="A2024">
        <v>24089955</v>
      </c>
      <c r="B2024">
        <v>24089955</v>
      </c>
      <c r="C2024" t="s">
        <v>7018</v>
      </c>
      <c r="E2024" s="184"/>
      <c r="G2024" s="184"/>
      <c r="I2024" s="184"/>
      <c r="J2024" t="s">
        <v>595</v>
      </c>
      <c r="K2024" s="184">
        <v>37438</v>
      </c>
      <c r="P2024" t="s">
        <v>7045</v>
      </c>
      <c r="Q2024" t="s">
        <v>7030</v>
      </c>
      <c r="R2024" s="184">
        <v>14843</v>
      </c>
      <c r="S2024">
        <v>83</v>
      </c>
      <c r="U2024" t="s">
        <v>7076</v>
      </c>
      <c r="V2024" t="s">
        <v>18491</v>
      </c>
      <c r="X2024" t="s">
        <v>18492</v>
      </c>
      <c r="AF2024" t="s">
        <v>6604</v>
      </c>
      <c r="AG2024" t="s">
        <v>18491</v>
      </c>
      <c r="AI2024" t="s">
        <v>18493</v>
      </c>
      <c r="AM2024" t="s">
        <v>4369</v>
      </c>
      <c r="AN2024" t="s">
        <v>2089</v>
      </c>
      <c r="AO2024" t="s">
        <v>18494</v>
      </c>
      <c r="AP2024" t="s">
        <v>7024</v>
      </c>
      <c r="AQ2024" t="s">
        <v>18495</v>
      </c>
      <c r="AT2024" s="184">
        <v>35430</v>
      </c>
      <c r="AU2024" t="s">
        <v>18496</v>
      </c>
      <c r="AV2024">
        <v>25</v>
      </c>
      <c r="AW2024" s="184">
        <v>45384</v>
      </c>
      <c r="AX2024" t="s">
        <v>7832</v>
      </c>
      <c r="AY2024">
        <v>25</v>
      </c>
      <c r="AZ2024" s="184">
        <v>36894</v>
      </c>
      <c r="BA2024" t="s">
        <v>18497</v>
      </c>
      <c r="BB2024">
        <v>50</v>
      </c>
      <c r="BC2024">
        <v>59</v>
      </c>
      <c r="BD2024">
        <v>513</v>
      </c>
      <c r="BE2024">
        <v>1997</v>
      </c>
      <c r="BF2024">
        <v>21</v>
      </c>
      <c r="BG2024">
        <v>2</v>
      </c>
      <c r="BH2024">
        <v>45</v>
      </c>
      <c r="BI2024">
        <v>17</v>
      </c>
      <c r="BJ2024">
        <v>29</v>
      </c>
      <c r="BK2024">
        <v>4</v>
      </c>
      <c r="BP2024" s="184"/>
    </row>
    <row r="2025" spans="1:68">
      <c r="A2025">
        <v>24100885</v>
      </c>
      <c r="B2025">
        <v>24100885</v>
      </c>
      <c r="C2025" t="s">
        <v>7018</v>
      </c>
      <c r="E2025" s="184"/>
      <c r="G2025" s="184"/>
      <c r="I2025" s="184"/>
      <c r="J2025" t="s">
        <v>595</v>
      </c>
      <c r="K2025" s="184">
        <v>41747</v>
      </c>
      <c r="O2025" s="184"/>
      <c r="P2025" t="s">
        <v>7045</v>
      </c>
      <c r="Q2025" t="s">
        <v>7374</v>
      </c>
      <c r="R2025" s="184">
        <v>8767</v>
      </c>
      <c r="S2025">
        <v>100</v>
      </c>
      <c r="U2025" t="s">
        <v>7031</v>
      </c>
      <c r="V2025" t="s">
        <v>5403</v>
      </c>
      <c r="W2025" t="s">
        <v>3332</v>
      </c>
      <c r="X2025" t="s">
        <v>5401</v>
      </c>
      <c r="Z2025">
        <v>100178278</v>
      </c>
      <c r="AA2025" t="s">
        <v>7076</v>
      </c>
      <c r="AB2025" t="s">
        <v>5400</v>
      </c>
      <c r="AD2025" t="s">
        <v>5401</v>
      </c>
      <c r="AF2025" t="s">
        <v>18498</v>
      </c>
      <c r="AG2025" t="s">
        <v>18499</v>
      </c>
      <c r="AI2025" t="s">
        <v>18500</v>
      </c>
      <c r="AM2025" t="s">
        <v>5402</v>
      </c>
      <c r="AN2025" t="s">
        <v>2081</v>
      </c>
      <c r="AO2025" t="s">
        <v>18501</v>
      </c>
      <c r="AP2025" t="s">
        <v>7024</v>
      </c>
      <c r="AT2025" s="184">
        <v>35439</v>
      </c>
      <c r="AU2025" t="s">
        <v>18502</v>
      </c>
      <c r="AV2025">
        <v>25</v>
      </c>
      <c r="AW2025" s="184">
        <v>43525</v>
      </c>
      <c r="AX2025" t="s">
        <v>7348</v>
      </c>
      <c r="AY2025">
        <v>57597.77</v>
      </c>
      <c r="AZ2025" s="184">
        <v>43437</v>
      </c>
      <c r="BA2025" t="s">
        <v>7348</v>
      </c>
      <c r="BB2025">
        <v>78932.97</v>
      </c>
      <c r="BC2025">
        <v>79</v>
      </c>
      <c r="BD2025">
        <v>142530.74</v>
      </c>
      <c r="BE2025">
        <v>1997</v>
      </c>
      <c r="BF2025">
        <v>67</v>
      </c>
      <c r="BI2025">
        <v>22</v>
      </c>
      <c r="BJ2025">
        <v>28</v>
      </c>
      <c r="BK2025">
        <v>20</v>
      </c>
      <c r="BO2025" t="s">
        <v>595</v>
      </c>
      <c r="BP2025" s="184">
        <v>41159</v>
      </c>
    </row>
    <row r="2026" spans="1:68">
      <c r="A2026">
        <v>100178278</v>
      </c>
      <c r="B2026">
        <v>24100885</v>
      </c>
      <c r="C2026" t="s">
        <v>7018</v>
      </c>
      <c r="E2026" s="184"/>
      <c r="G2026" s="184"/>
      <c r="I2026" s="184"/>
      <c r="J2026" t="s">
        <v>595</v>
      </c>
      <c r="K2026" s="184">
        <v>41747</v>
      </c>
      <c r="O2026" s="184"/>
      <c r="P2026" t="s">
        <v>7045</v>
      </c>
      <c r="Q2026" t="s">
        <v>7374</v>
      </c>
      <c r="R2026" s="184">
        <v>9285</v>
      </c>
      <c r="S2026">
        <v>98</v>
      </c>
      <c r="U2026" t="s">
        <v>7076</v>
      </c>
      <c r="V2026" t="s">
        <v>5400</v>
      </c>
      <c r="X2026" t="s">
        <v>5401</v>
      </c>
      <c r="Z2026">
        <v>24100885</v>
      </c>
      <c r="AA2026" t="s">
        <v>7031</v>
      </c>
      <c r="AB2026" t="s">
        <v>5403</v>
      </c>
      <c r="AC2026" t="s">
        <v>3332</v>
      </c>
      <c r="AD2026" t="s">
        <v>5401</v>
      </c>
      <c r="AF2026" t="s">
        <v>18498</v>
      </c>
      <c r="AG2026" t="s">
        <v>18499</v>
      </c>
      <c r="AI2026" t="s">
        <v>18500</v>
      </c>
      <c r="AM2026" t="s">
        <v>5402</v>
      </c>
      <c r="AN2026" t="s">
        <v>2081</v>
      </c>
      <c r="AO2026" t="s">
        <v>18501</v>
      </c>
      <c r="AP2026" t="s">
        <v>7024</v>
      </c>
      <c r="AT2026" s="184">
        <v>44466</v>
      </c>
      <c r="AU2026" t="s">
        <v>7093</v>
      </c>
      <c r="AV2026">
        <v>1385.72</v>
      </c>
      <c r="AW2026" s="184">
        <v>44466</v>
      </c>
      <c r="AX2026" t="s">
        <v>7093</v>
      </c>
      <c r="AY2026">
        <v>3067.35</v>
      </c>
      <c r="AZ2026" s="184">
        <v>44466</v>
      </c>
      <c r="BA2026" t="s">
        <v>7093</v>
      </c>
      <c r="BB2026">
        <v>3067.35</v>
      </c>
      <c r="BC2026">
        <v>25</v>
      </c>
      <c r="BD2026">
        <v>4453.07</v>
      </c>
      <c r="BE2026">
        <v>2022</v>
      </c>
      <c r="BF2026">
        <v>2</v>
      </c>
      <c r="BI2026">
        <v>1</v>
      </c>
      <c r="BJ2026">
        <v>4</v>
      </c>
      <c r="BK2026">
        <v>1</v>
      </c>
      <c r="BO2026" t="s">
        <v>595</v>
      </c>
      <c r="BP2026" s="184">
        <v>43236</v>
      </c>
    </row>
    <row r="2027" spans="1:68">
      <c r="A2027">
        <v>24125114</v>
      </c>
      <c r="B2027">
        <v>24125114</v>
      </c>
      <c r="C2027" t="s">
        <v>7018</v>
      </c>
      <c r="E2027" s="184"/>
      <c r="G2027" s="184"/>
      <c r="H2027" t="s">
        <v>595</v>
      </c>
      <c r="I2027" s="184">
        <v>43825</v>
      </c>
      <c r="K2027" s="184"/>
      <c r="O2027" s="184"/>
      <c r="P2027" t="s">
        <v>7045</v>
      </c>
      <c r="Q2027" t="s">
        <v>7194</v>
      </c>
      <c r="R2027" s="184">
        <v>23130</v>
      </c>
      <c r="S2027">
        <v>61</v>
      </c>
      <c r="V2027" t="s">
        <v>4210</v>
      </c>
      <c r="W2027" t="s">
        <v>4327</v>
      </c>
      <c r="X2027" t="s">
        <v>4484</v>
      </c>
      <c r="Z2027">
        <v>100331919</v>
      </c>
      <c r="AB2027" t="s">
        <v>2871</v>
      </c>
      <c r="AD2027" t="s">
        <v>4484</v>
      </c>
      <c r="AF2027" t="s">
        <v>18503</v>
      </c>
      <c r="AG2027" t="s">
        <v>18504</v>
      </c>
      <c r="AI2027" t="s">
        <v>18505</v>
      </c>
      <c r="AM2027" t="s">
        <v>4485</v>
      </c>
      <c r="AN2027" t="s">
        <v>2046</v>
      </c>
      <c r="AO2027" t="s">
        <v>18506</v>
      </c>
      <c r="AP2027" t="s">
        <v>7024</v>
      </c>
      <c r="AQ2027" t="s">
        <v>18507</v>
      </c>
      <c r="AR2027" t="s">
        <v>18508</v>
      </c>
      <c r="AT2027" s="184">
        <v>35432</v>
      </c>
      <c r="AU2027" t="s">
        <v>18509</v>
      </c>
      <c r="AV2027">
        <v>15</v>
      </c>
      <c r="AW2027" s="184">
        <v>44650</v>
      </c>
      <c r="AX2027" t="s">
        <v>8543</v>
      </c>
      <c r="AY2027">
        <v>100</v>
      </c>
      <c r="AZ2027" s="184">
        <v>42683</v>
      </c>
      <c r="BA2027" t="s">
        <v>18510</v>
      </c>
      <c r="BB2027">
        <v>150</v>
      </c>
      <c r="BC2027">
        <v>40</v>
      </c>
      <c r="BD2027">
        <v>980</v>
      </c>
      <c r="BE2027">
        <v>1997</v>
      </c>
      <c r="BF2027">
        <v>13</v>
      </c>
      <c r="BI2027">
        <v>11</v>
      </c>
      <c r="BJ2027">
        <v>28</v>
      </c>
      <c r="BK2027">
        <v>5</v>
      </c>
      <c r="BP2027" s="184"/>
    </row>
    <row r="2028" spans="1:68">
      <c r="A2028">
        <v>100331919</v>
      </c>
      <c r="B2028">
        <v>24125114</v>
      </c>
      <c r="C2028" t="s">
        <v>7018</v>
      </c>
      <c r="E2028" s="184"/>
      <c r="G2028" s="184"/>
      <c r="H2028" t="s">
        <v>595</v>
      </c>
      <c r="I2028" s="184">
        <v>43825</v>
      </c>
      <c r="K2028" s="184"/>
      <c r="O2028" s="184"/>
      <c r="P2028" t="s">
        <v>7045</v>
      </c>
      <c r="Q2028" t="s">
        <v>7194</v>
      </c>
      <c r="R2028" s="184">
        <v>22530</v>
      </c>
      <c r="S2028">
        <v>62</v>
      </c>
      <c r="V2028" t="s">
        <v>2871</v>
      </c>
      <c r="X2028" t="s">
        <v>4484</v>
      </c>
      <c r="Z2028">
        <v>24125114</v>
      </c>
      <c r="AB2028" t="s">
        <v>4210</v>
      </c>
      <c r="AC2028" t="s">
        <v>4327</v>
      </c>
      <c r="AD2028" t="s">
        <v>4484</v>
      </c>
      <c r="AF2028" t="s">
        <v>18503</v>
      </c>
      <c r="AG2028" t="s">
        <v>18504</v>
      </c>
      <c r="AI2028" t="s">
        <v>18505</v>
      </c>
      <c r="AM2028" t="s">
        <v>4485</v>
      </c>
      <c r="AN2028" t="s">
        <v>2046</v>
      </c>
      <c r="AO2028" t="s">
        <v>18506</v>
      </c>
      <c r="AP2028" t="s">
        <v>7024</v>
      </c>
      <c r="AQ2028" t="s">
        <v>18511</v>
      </c>
      <c r="AT2028" s="184"/>
      <c r="AW2028" s="184"/>
      <c r="AZ2028" s="184"/>
    </row>
    <row r="2029" spans="1:68">
      <c r="A2029">
        <v>24155319</v>
      </c>
      <c r="B2029">
        <v>24155319</v>
      </c>
      <c r="C2029" t="s">
        <v>7018</v>
      </c>
      <c r="D2029" t="s">
        <v>595</v>
      </c>
      <c r="E2029" s="184">
        <v>45195</v>
      </c>
      <c r="G2029" s="184"/>
      <c r="I2029" s="184"/>
      <c r="K2029" s="184"/>
      <c r="O2029" s="184"/>
      <c r="P2029" t="s">
        <v>7045</v>
      </c>
      <c r="Q2029" t="s">
        <v>7383</v>
      </c>
      <c r="R2029" s="184">
        <v>23922</v>
      </c>
      <c r="S2029">
        <v>58</v>
      </c>
      <c r="V2029" t="s">
        <v>2577</v>
      </c>
      <c r="X2029" t="s">
        <v>18512</v>
      </c>
      <c r="AF2029" t="s">
        <v>18513</v>
      </c>
      <c r="AG2029" t="s">
        <v>2577</v>
      </c>
      <c r="AI2029" t="s">
        <v>18514</v>
      </c>
      <c r="AM2029" t="s">
        <v>18515</v>
      </c>
      <c r="AN2029" t="s">
        <v>2274</v>
      </c>
      <c r="AO2029" t="s">
        <v>18516</v>
      </c>
      <c r="AP2029" t="s">
        <v>7024</v>
      </c>
      <c r="AQ2029" t="s">
        <v>18517</v>
      </c>
      <c r="AR2029" t="s">
        <v>18518</v>
      </c>
      <c r="AT2029" s="184">
        <v>35452</v>
      </c>
      <c r="AU2029" t="s">
        <v>18519</v>
      </c>
      <c r="AV2029">
        <v>20</v>
      </c>
      <c r="AW2029" s="184">
        <v>44945</v>
      </c>
      <c r="AX2029" t="s">
        <v>18520</v>
      </c>
      <c r="AY2029">
        <v>30</v>
      </c>
      <c r="AZ2029" s="184">
        <v>42703</v>
      </c>
      <c r="BA2029" t="s">
        <v>18521</v>
      </c>
      <c r="BB2029">
        <v>87</v>
      </c>
      <c r="BC2029">
        <v>79</v>
      </c>
      <c r="BD2029">
        <v>952</v>
      </c>
      <c r="BE2029">
        <v>1997</v>
      </c>
      <c r="BF2029">
        <v>29</v>
      </c>
      <c r="BG2029">
        <v>1</v>
      </c>
      <c r="BH2029">
        <v>30</v>
      </c>
      <c r="BI2029">
        <v>22</v>
      </c>
      <c r="BJ2029">
        <v>28</v>
      </c>
      <c r="BK2029">
        <v>11</v>
      </c>
      <c r="BP2029" s="184"/>
    </row>
    <row r="2030" spans="1:68">
      <c r="A2030">
        <v>24161499</v>
      </c>
      <c r="B2030">
        <v>24161499</v>
      </c>
      <c r="C2030" t="s">
        <v>7018</v>
      </c>
      <c r="E2030" s="184"/>
      <c r="G2030" s="184"/>
      <c r="J2030" t="s">
        <v>595</v>
      </c>
      <c r="K2030" s="184">
        <v>40016</v>
      </c>
      <c r="O2030" s="184"/>
      <c r="P2030" t="s">
        <v>7045</v>
      </c>
      <c r="Q2030" t="s">
        <v>7383</v>
      </c>
      <c r="R2030" s="184">
        <v>21711</v>
      </c>
      <c r="S2030">
        <v>64</v>
      </c>
      <c r="V2030" t="s">
        <v>3114</v>
      </c>
      <c r="X2030" t="s">
        <v>18522</v>
      </c>
      <c r="Z2030">
        <v>100064169</v>
      </c>
      <c r="AB2030" t="s">
        <v>18523</v>
      </c>
      <c r="AC2030" t="s">
        <v>5006</v>
      </c>
      <c r="AD2030" t="s">
        <v>18522</v>
      </c>
      <c r="AF2030" t="s">
        <v>6650</v>
      </c>
      <c r="AG2030" t="s">
        <v>18524</v>
      </c>
      <c r="AI2030" t="s">
        <v>18525</v>
      </c>
      <c r="AM2030" t="s">
        <v>3164</v>
      </c>
      <c r="AN2030" t="s">
        <v>2185</v>
      </c>
      <c r="AO2030" t="s">
        <v>18526</v>
      </c>
      <c r="AP2030" t="s">
        <v>7024</v>
      </c>
      <c r="AQ2030" t="s">
        <v>18527</v>
      </c>
      <c r="AT2030" s="184">
        <v>33878</v>
      </c>
      <c r="AU2030" t="s">
        <v>13024</v>
      </c>
      <c r="AV2030">
        <v>19.95</v>
      </c>
      <c r="AW2030" s="184">
        <v>40280</v>
      </c>
      <c r="AX2030" t="s">
        <v>18528</v>
      </c>
      <c r="AY2030">
        <v>60</v>
      </c>
      <c r="AZ2030" s="184">
        <v>40280</v>
      </c>
      <c r="BA2030" t="s">
        <v>18528</v>
      </c>
      <c r="BB2030">
        <v>60</v>
      </c>
      <c r="BC2030">
        <v>25</v>
      </c>
      <c r="BD2030">
        <v>264.95</v>
      </c>
      <c r="BE2030">
        <v>1993</v>
      </c>
      <c r="BF2030">
        <v>10</v>
      </c>
      <c r="BI2030">
        <v>8</v>
      </c>
      <c r="BJ2030">
        <v>33</v>
      </c>
      <c r="BK2030">
        <v>2</v>
      </c>
      <c r="BP2030" s="184"/>
    </row>
    <row r="2031" spans="1:68">
      <c r="A2031">
        <v>100064169</v>
      </c>
      <c r="B2031">
        <v>24161499</v>
      </c>
      <c r="C2031" t="s">
        <v>7018</v>
      </c>
      <c r="E2031" s="184"/>
      <c r="G2031" s="184"/>
      <c r="I2031" s="184"/>
      <c r="J2031" t="s">
        <v>595</v>
      </c>
      <c r="K2031" s="184">
        <v>40016</v>
      </c>
      <c r="O2031" s="184"/>
      <c r="P2031" t="s">
        <v>7045</v>
      </c>
      <c r="Q2031" t="s">
        <v>7383</v>
      </c>
      <c r="R2031" s="184">
        <v>24456</v>
      </c>
      <c r="S2031">
        <v>57</v>
      </c>
      <c r="V2031" t="s">
        <v>18523</v>
      </c>
      <c r="W2031" t="s">
        <v>5006</v>
      </c>
      <c r="X2031" t="s">
        <v>18522</v>
      </c>
      <c r="Z2031">
        <v>24161499</v>
      </c>
      <c r="AB2031" t="s">
        <v>3114</v>
      </c>
      <c r="AD2031" t="s">
        <v>18522</v>
      </c>
      <c r="AF2031" t="s">
        <v>6650</v>
      </c>
      <c r="AG2031" t="s">
        <v>18524</v>
      </c>
      <c r="AI2031" t="s">
        <v>18525</v>
      </c>
      <c r="AM2031" t="s">
        <v>3164</v>
      </c>
      <c r="AN2031" t="s">
        <v>2185</v>
      </c>
      <c r="AO2031" t="s">
        <v>18526</v>
      </c>
      <c r="AP2031" t="s">
        <v>7024</v>
      </c>
      <c r="AQ2031" t="s">
        <v>18529</v>
      </c>
      <c r="AT2031" s="184">
        <v>38373</v>
      </c>
      <c r="AU2031" t="s">
        <v>18530</v>
      </c>
      <c r="AV2031">
        <v>25</v>
      </c>
      <c r="AW2031" s="184">
        <v>43431</v>
      </c>
      <c r="AX2031" t="s">
        <v>18531</v>
      </c>
      <c r="AY2031">
        <v>25</v>
      </c>
      <c r="AZ2031" s="184">
        <v>42607</v>
      </c>
      <c r="BA2031" t="s">
        <v>18532</v>
      </c>
      <c r="BB2031">
        <v>100</v>
      </c>
      <c r="BC2031">
        <v>35</v>
      </c>
      <c r="BD2031">
        <v>475</v>
      </c>
      <c r="BE2031">
        <v>2005</v>
      </c>
      <c r="BF2031">
        <v>8</v>
      </c>
      <c r="BI2031">
        <v>7</v>
      </c>
      <c r="BJ2031">
        <v>20</v>
      </c>
      <c r="BK2031">
        <v>3</v>
      </c>
      <c r="BP2031" s="184"/>
    </row>
    <row r="2032" spans="1:68">
      <c r="A2032">
        <v>24187254</v>
      </c>
      <c r="B2032">
        <v>24187254</v>
      </c>
      <c r="C2032" t="s">
        <v>7018</v>
      </c>
      <c r="E2032" s="184"/>
      <c r="G2032" s="184"/>
      <c r="I2032" s="184"/>
      <c r="J2032" t="s">
        <v>595</v>
      </c>
      <c r="K2032" s="184">
        <v>42802</v>
      </c>
      <c r="O2032" s="184"/>
      <c r="P2032" t="s">
        <v>7045</v>
      </c>
      <c r="Q2032" t="s">
        <v>7374</v>
      </c>
      <c r="R2032" s="184">
        <v>21855</v>
      </c>
      <c r="S2032">
        <v>64</v>
      </c>
      <c r="U2032" t="s">
        <v>7031</v>
      </c>
      <c r="V2032" t="s">
        <v>2536</v>
      </c>
      <c r="W2032" t="s">
        <v>7246</v>
      </c>
      <c r="X2032" t="s">
        <v>18533</v>
      </c>
      <c r="AF2032" t="s">
        <v>6254</v>
      </c>
      <c r="AG2032" t="s">
        <v>2536</v>
      </c>
      <c r="AI2032" t="s">
        <v>18534</v>
      </c>
      <c r="AM2032" t="s">
        <v>4312</v>
      </c>
      <c r="AN2032" t="s">
        <v>2081</v>
      </c>
      <c r="AO2032" t="s">
        <v>18535</v>
      </c>
      <c r="AP2032" t="s">
        <v>7024</v>
      </c>
      <c r="AT2032" s="184">
        <v>35457</v>
      </c>
      <c r="AU2032" t="s">
        <v>18536</v>
      </c>
      <c r="AV2032">
        <v>25</v>
      </c>
      <c r="AW2032" s="184">
        <v>45281</v>
      </c>
      <c r="AX2032" t="s">
        <v>10208</v>
      </c>
      <c r="AY2032">
        <v>100</v>
      </c>
      <c r="AZ2032" s="184">
        <v>45281</v>
      </c>
      <c r="BA2032" t="s">
        <v>10208</v>
      </c>
      <c r="BB2032">
        <v>100</v>
      </c>
      <c r="BC2032">
        <v>83</v>
      </c>
      <c r="BD2032">
        <v>2735</v>
      </c>
      <c r="BE2032">
        <v>1997</v>
      </c>
      <c r="BF2032">
        <v>40</v>
      </c>
      <c r="BG2032">
        <v>4</v>
      </c>
      <c r="BH2032">
        <v>400</v>
      </c>
      <c r="BI2032">
        <v>23</v>
      </c>
      <c r="BJ2032">
        <v>28</v>
      </c>
      <c r="BK2032">
        <v>12</v>
      </c>
      <c r="BP2032" s="184"/>
    </row>
    <row r="2033" spans="1:68">
      <c r="A2033">
        <v>24192338</v>
      </c>
      <c r="B2033">
        <v>24192338</v>
      </c>
      <c r="C2033" t="s">
        <v>7018</v>
      </c>
      <c r="D2033" t="s">
        <v>595</v>
      </c>
      <c r="E2033" s="184">
        <v>44167</v>
      </c>
      <c r="G2033" s="184"/>
      <c r="I2033" s="184"/>
      <c r="K2033" s="184"/>
      <c r="O2033" s="184"/>
      <c r="P2033" t="s">
        <v>7045</v>
      </c>
      <c r="Q2033" t="s">
        <v>7374</v>
      </c>
      <c r="R2033" s="184">
        <v>16224</v>
      </c>
      <c r="S2033">
        <v>79</v>
      </c>
      <c r="V2033" t="s">
        <v>3043</v>
      </c>
      <c r="X2033" t="s">
        <v>3145</v>
      </c>
      <c r="AF2033" t="s">
        <v>18537</v>
      </c>
      <c r="AG2033" t="s">
        <v>3043</v>
      </c>
      <c r="AI2033" t="s">
        <v>18538</v>
      </c>
      <c r="AM2033" t="s">
        <v>4329</v>
      </c>
      <c r="AN2033" t="s">
        <v>2066</v>
      </c>
      <c r="AO2033" t="s">
        <v>18539</v>
      </c>
      <c r="AP2033" t="s">
        <v>7024</v>
      </c>
      <c r="AT2033" s="184">
        <v>35457</v>
      </c>
      <c r="AU2033" t="s">
        <v>18540</v>
      </c>
      <c r="AV2033">
        <v>15</v>
      </c>
      <c r="AW2033" s="184">
        <v>44802</v>
      </c>
      <c r="AX2033" t="s">
        <v>18541</v>
      </c>
      <c r="AY2033">
        <v>25</v>
      </c>
      <c r="AZ2033" s="184">
        <v>44802</v>
      </c>
      <c r="BA2033" t="s">
        <v>18541</v>
      </c>
      <c r="BB2033">
        <v>25</v>
      </c>
      <c r="BC2033">
        <v>83</v>
      </c>
      <c r="BD2033">
        <v>515</v>
      </c>
      <c r="BE2033">
        <v>1997</v>
      </c>
      <c r="BF2033">
        <v>23</v>
      </c>
      <c r="BG2033">
        <v>1</v>
      </c>
      <c r="BH2033">
        <v>25</v>
      </c>
      <c r="BI2033">
        <v>23</v>
      </c>
      <c r="BJ2033">
        <v>28</v>
      </c>
      <c r="BK2033">
        <v>22</v>
      </c>
      <c r="BP2033" s="184"/>
    </row>
    <row r="2034" spans="1:68">
      <c r="A2034">
        <v>24199192</v>
      </c>
      <c r="B2034">
        <v>24199192</v>
      </c>
      <c r="C2034" t="s">
        <v>7018</v>
      </c>
      <c r="D2034" t="s">
        <v>595</v>
      </c>
      <c r="E2034" s="184">
        <v>43955</v>
      </c>
      <c r="G2034" s="184"/>
      <c r="I2034" s="184"/>
      <c r="K2034" s="184"/>
      <c r="O2034" s="184"/>
      <c r="P2034" t="s">
        <v>7045</v>
      </c>
      <c r="Q2034" t="s">
        <v>7383</v>
      </c>
      <c r="R2034" s="184">
        <v>22076</v>
      </c>
      <c r="S2034">
        <v>63</v>
      </c>
      <c r="V2034" t="s">
        <v>3317</v>
      </c>
      <c r="X2034" t="s">
        <v>18542</v>
      </c>
      <c r="Z2034">
        <v>100064265</v>
      </c>
      <c r="AB2034" t="s">
        <v>2511</v>
      </c>
      <c r="AD2034" t="s">
        <v>18542</v>
      </c>
      <c r="AF2034" t="s">
        <v>18543</v>
      </c>
      <c r="AG2034" t="s">
        <v>18544</v>
      </c>
      <c r="AI2034" t="s">
        <v>18545</v>
      </c>
      <c r="AM2034" t="s">
        <v>18546</v>
      </c>
      <c r="AN2034" t="s">
        <v>2072</v>
      </c>
      <c r="AO2034" t="s">
        <v>18547</v>
      </c>
      <c r="AP2034" t="s">
        <v>7024</v>
      </c>
      <c r="AT2034" s="184">
        <v>35461</v>
      </c>
      <c r="AU2034" t="s">
        <v>18548</v>
      </c>
      <c r="AV2034">
        <v>15</v>
      </c>
      <c r="AW2034" s="184">
        <v>45302</v>
      </c>
      <c r="AX2034" t="s">
        <v>18549</v>
      </c>
      <c r="AY2034">
        <v>50</v>
      </c>
      <c r="AZ2034" s="184">
        <v>45302</v>
      </c>
      <c r="BA2034" t="s">
        <v>18549</v>
      </c>
      <c r="BB2034">
        <v>50</v>
      </c>
      <c r="BC2034">
        <v>90</v>
      </c>
      <c r="BD2034">
        <v>1375</v>
      </c>
      <c r="BE2034">
        <v>1997</v>
      </c>
      <c r="BF2034">
        <v>33</v>
      </c>
      <c r="BG2034">
        <v>2</v>
      </c>
      <c r="BH2034">
        <v>100</v>
      </c>
      <c r="BI2034">
        <v>25</v>
      </c>
      <c r="BJ2034">
        <v>28</v>
      </c>
      <c r="BK2034">
        <v>10</v>
      </c>
      <c r="BP2034" s="184"/>
    </row>
    <row r="2035" spans="1:68">
      <c r="A2035">
        <v>100064265</v>
      </c>
      <c r="B2035">
        <v>24199192</v>
      </c>
      <c r="C2035" t="s">
        <v>7018</v>
      </c>
      <c r="D2035" t="s">
        <v>595</v>
      </c>
      <c r="E2035" s="184">
        <v>43955</v>
      </c>
      <c r="G2035" s="184"/>
      <c r="I2035" s="184"/>
      <c r="K2035" s="184"/>
      <c r="O2035" s="184"/>
      <c r="P2035" t="s">
        <v>7045</v>
      </c>
      <c r="Q2035" t="s">
        <v>7383</v>
      </c>
      <c r="R2035" s="184">
        <v>21702</v>
      </c>
      <c r="S2035">
        <v>64</v>
      </c>
      <c r="V2035" t="s">
        <v>2511</v>
      </c>
      <c r="X2035" t="s">
        <v>18542</v>
      </c>
      <c r="Z2035">
        <v>24199192</v>
      </c>
      <c r="AB2035" t="s">
        <v>3317</v>
      </c>
      <c r="AD2035" t="s">
        <v>18542</v>
      </c>
      <c r="AF2035" t="s">
        <v>18543</v>
      </c>
      <c r="AG2035" t="s">
        <v>18544</v>
      </c>
      <c r="AI2035" t="s">
        <v>18545</v>
      </c>
      <c r="AM2035" t="s">
        <v>18546</v>
      </c>
      <c r="AN2035" t="s">
        <v>2072</v>
      </c>
      <c r="AO2035" t="s">
        <v>18547</v>
      </c>
      <c r="AP2035" t="s">
        <v>7024</v>
      </c>
      <c r="AT2035" s="184"/>
      <c r="AW2035" s="184"/>
      <c r="AZ2035" s="184"/>
      <c r="BP2035" s="184"/>
    </row>
    <row r="2036" spans="1:68">
      <c r="A2036">
        <v>24203481</v>
      </c>
      <c r="B2036">
        <v>24203481</v>
      </c>
      <c r="C2036" t="s">
        <v>7018</v>
      </c>
      <c r="D2036" t="s">
        <v>595</v>
      </c>
      <c r="E2036" s="184">
        <v>43642</v>
      </c>
      <c r="G2036" s="184"/>
      <c r="I2036" s="184"/>
      <c r="K2036" s="184"/>
      <c r="O2036" s="184"/>
      <c r="P2036" t="s">
        <v>7045</v>
      </c>
      <c r="Q2036" t="s">
        <v>7020</v>
      </c>
      <c r="R2036" s="184">
        <v>18629</v>
      </c>
      <c r="S2036">
        <v>73</v>
      </c>
      <c r="U2036" t="s">
        <v>7130</v>
      </c>
      <c r="V2036" t="s">
        <v>3101</v>
      </c>
      <c r="X2036" t="s">
        <v>3274</v>
      </c>
      <c r="AF2036" t="s">
        <v>18550</v>
      </c>
      <c r="AG2036" t="s">
        <v>3101</v>
      </c>
      <c r="AI2036" t="s">
        <v>18551</v>
      </c>
      <c r="AM2036" t="s">
        <v>3275</v>
      </c>
      <c r="AN2036" t="s">
        <v>2129</v>
      </c>
      <c r="AO2036" t="s">
        <v>18552</v>
      </c>
      <c r="AP2036" t="s">
        <v>7024</v>
      </c>
      <c r="AQ2036" t="s">
        <v>18553</v>
      </c>
      <c r="AT2036" s="184">
        <v>35461</v>
      </c>
      <c r="AU2036" t="s">
        <v>18548</v>
      </c>
      <c r="AV2036">
        <v>19.95</v>
      </c>
      <c r="AW2036" s="184">
        <v>45131</v>
      </c>
      <c r="AX2036" t="s">
        <v>13433</v>
      </c>
      <c r="AY2036">
        <v>25</v>
      </c>
      <c r="AZ2036" s="184">
        <v>38148</v>
      </c>
      <c r="BA2036" t="s">
        <v>18554</v>
      </c>
      <c r="BB2036">
        <v>50</v>
      </c>
      <c r="BC2036">
        <v>40</v>
      </c>
      <c r="BD2036">
        <v>509.95</v>
      </c>
      <c r="BE2036">
        <v>1997</v>
      </c>
      <c r="BF2036">
        <v>17</v>
      </c>
      <c r="BG2036">
        <v>3</v>
      </c>
      <c r="BH2036">
        <v>70</v>
      </c>
      <c r="BI2036">
        <v>11</v>
      </c>
      <c r="BJ2036">
        <v>28</v>
      </c>
      <c r="BK2036">
        <v>7</v>
      </c>
      <c r="BP2036" s="184"/>
    </row>
    <row r="2037" spans="1:68">
      <c r="A2037">
        <v>24228181</v>
      </c>
      <c r="B2037">
        <v>24228181</v>
      </c>
      <c r="C2037" t="s">
        <v>7018</v>
      </c>
      <c r="D2037" t="s">
        <v>595</v>
      </c>
      <c r="E2037" s="184">
        <v>44419</v>
      </c>
      <c r="G2037" s="184"/>
      <c r="I2037" s="184"/>
      <c r="K2037" s="184"/>
      <c r="O2037" s="184"/>
      <c r="P2037" t="s">
        <v>7045</v>
      </c>
      <c r="Q2037" t="s">
        <v>7262</v>
      </c>
      <c r="R2037" s="184">
        <v>15958</v>
      </c>
      <c r="S2037">
        <v>80</v>
      </c>
      <c r="V2037" t="s">
        <v>3272</v>
      </c>
      <c r="X2037" t="s">
        <v>18555</v>
      </c>
      <c r="AF2037" t="s">
        <v>18556</v>
      </c>
      <c r="AG2037" t="s">
        <v>3272</v>
      </c>
      <c r="AI2037" t="s">
        <v>18557</v>
      </c>
      <c r="AM2037" t="s">
        <v>5764</v>
      </c>
      <c r="AN2037" t="s">
        <v>65</v>
      </c>
      <c r="AO2037" t="s">
        <v>18558</v>
      </c>
      <c r="AP2037" t="s">
        <v>7024</v>
      </c>
      <c r="AQ2037" t="s">
        <v>18559</v>
      </c>
      <c r="AT2037" s="184">
        <v>35461</v>
      </c>
      <c r="AU2037" t="s">
        <v>18548</v>
      </c>
      <c r="AV2037">
        <v>19.95</v>
      </c>
      <c r="AW2037" s="184">
        <v>45054</v>
      </c>
      <c r="AX2037" t="s">
        <v>15006</v>
      </c>
      <c r="AY2037">
        <v>225</v>
      </c>
      <c r="AZ2037" s="184">
        <v>45054</v>
      </c>
      <c r="BA2037" t="s">
        <v>15006</v>
      </c>
      <c r="BB2037">
        <v>225</v>
      </c>
      <c r="BC2037">
        <v>25</v>
      </c>
      <c r="BD2037">
        <v>864.9</v>
      </c>
      <c r="BE2037">
        <v>1997</v>
      </c>
      <c r="BF2037">
        <v>8</v>
      </c>
      <c r="BG2037">
        <v>2</v>
      </c>
      <c r="BH2037">
        <v>375</v>
      </c>
      <c r="BI2037">
        <v>7</v>
      </c>
      <c r="BJ2037">
        <v>28</v>
      </c>
      <c r="BK2037">
        <v>5</v>
      </c>
      <c r="BP2037" s="184"/>
    </row>
    <row r="2038" spans="1:68">
      <c r="A2038">
        <v>24248718</v>
      </c>
      <c r="B2038">
        <v>24248718</v>
      </c>
      <c r="C2038" t="s">
        <v>7018</v>
      </c>
      <c r="D2038" t="s">
        <v>595</v>
      </c>
      <c r="E2038" s="184">
        <v>44073</v>
      </c>
      <c r="G2038" s="184"/>
      <c r="I2038" s="184"/>
      <c r="K2038" s="184"/>
      <c r="O2038" s="184"/>
      <c r="P2038" t="s">
        <v>7045</v>
      </c>
      <c r="Q2038" t="s">
        <v>7454</v>
      </c>
      <c r="R2038" s="184">
        <v>13588</v>
      </c>
      <c r="S2038">
        <v>87</v>
      </c>
      <c r="V2038" t="s">
        <v>10031</v>
      </c>
      <c r="X2038" t="s">
        <v>18560</v>
      </c>
      <c r="Z2038">
        <v>100064339</v>
      </c>
      <c r="AB2038" t="s">
        <v>4647</v>
      </c>
      <c r="AD2038" t="s">
        <v>3571</v>
      </c>
      <c r="AF2038" t="s">
        <v>18561</v>
      </c>
      <c r="AG2038" t="s">
        <v>18562</v>
      </c>
      <c r="AI2038" t="s">
        <v>18563</v>
      </c>
      <c r="AM2038" t="s">
        <v>3811</v>
      </c>
      <c r="AN2038" t="s">
        <v>2299</v>
      </c>
      <c r="AO2038" t="s">
        <v>18564</v>
      </c>
      <c r="AP2038" t="s">
        <v>7024</v>
      </c>
      <c r="AT2038" s="184">
        <v>35459</v>
      </c>
      <c r="AU2038" t="s">
        <v>18565</v>
      </c>
      <c r="AV2038">
        <v>25</v>
      </c>
      <c r="AW2038" s="184">
        <v>44999</v>
      </c>
      <c r="AX2038" t="s">
        <v>18566</v>
      </c>
      <c r="AY2038">
        <v>100</v>
      </c>
      <c r="AZ2038" s="184">
        <v>39107</v>
      </c>
      <c r="BA2038" t="s">
        <v>18567</v>
      </c>
      <c r="BB2038">
        <v>115</v>
      </c>
      <c r="BC2038">
        <v>90</v>
      </c>
      <c r="BD2038">
        <v>2115</v>
      </c>
      <c r="BE2038">
        <v>1997</v>
      </c>
      <c r="BF2038">
        <v>26</v>
      </c>
      <c r="BG2038">
        <v>2</v>
      </c>
      <c r="BH2038">
        <v>200</v>
      </c>
      <c r="BI2038">
        <v>25</v>
      </c>
      <c r="BJ2038">
        <v>28</v>
      </c>
      <c r="BK2038">
        <v>17</v>
      </c>
      <c r="BP2038" s="184"/>
    </row>
    <row r="2039" spans="1:68">
      <c r="A2039">
        <v>100064339</v>
      </c>
      <c r="B2039">
        <v>24248718</v>
      </c>
      <c r="C2039" t="s">
        <v>7018</v>
      </c>
      <c r="D2039" t="s">
        <v>595</v>
      </c>
      <c r="E2039" s="184">
        <v>44073</v>
      </c>
      <c r="G2039" s="184"/>
      <c r="I2039" s="184"/>
      <c r="K2039" s="184"/>
      <c r="O2039" s="184"/>
      <c r="P2039" t="s">
        <v>7045</v>
      </c>
      <c r="Q2039" t="s">
        <v>7454</v>
      </c>
      <c r="R2039" s="184">
        <v>16773</v>
      </c>
      <c r="S2039">
        <v>78</v>
      </c>
      <c r="V2039" t="s">
        <v>4647</v>
      </c>
      <c r="X2039" t="s">
        <v>3571</v>
      </c>
      <c r="Z2039">
        <v>24248718</v>
      </c>
      <c r="AB2039" t="s">
        <v>10031</v>
      </c>
      <c r="AD2039" t="s">
        <v>18560</v>
      </c>
      <c r="AF2039" t="s">
        <v>18561</v>
      </c>
      <c r="AG2039" t="s">
        <v>18562</v>
      </c>
      <c r="AI2039" t="s">
        <v>18563</v>
      </c>
      <c r="AM2039" t="s">
        <v>3811</v>
      </c>
      <c r="AN2039" t="s">
        <v>2299</v>
      </c>
      <c r="AO2039" t="s">
        <v>18564</v>
      </c>
      <c r="AP2039" t="s">
        <v>7024</v>
      </c>
      <c r="AT2039" s="184"/>
      <c r="AW2039" s="184"/>
      <c r="AZ2039" s="184"/>
      <c r="BP2039" s="184"/>
    </row>
    <row r="2040" spans="1:68">
      <c r="A2040">
        <v>24256117</v>
      </c>
      <c r="B2040">
        <v>24256117</v>
      </c>
      <c r="C2040" t="s">
        <v>7018</v>
      </c>
      <c r="E2040" s="184"/>
      <c r="F2040" t="s">
        <v>595</v>
      </c>
      <c r="G2040" s="184">
        <v>43657</v>
      </c>
      <c r="K2040" s="184"/>
      <c r="O2040" s="184"/>
      <c r="P2040" t="s">
        <v>7045</v>
      </c>
      <c r="Q2040" t="s">
        <v>7020</v>
      </c>
      <c r="R2040" s="184">
        <v>16673</v>
      </c>
      <c r="S2040">
        <v>78</v>
      </c>
      <c r="U2040" t="s">
        <v>7130</v>
      </c>
      <c r="V2040" t="s">
        <v>3635</v>
      </c>
      <c r="X2040" t="s">
        <v>3636</v>
      </c>
      <c r="Z2040">
        <v>100181406</v>
      </c>
      <c r="AA2040" t="s">
        <v>7031</v>
      </c>
      <c r="AB2040" t="s">
        <v>5057</v>
      </c>
      <c r="AD2040" t="s">
        <v>3636</v>
      </c>
      <c r="AF2040" t="s">
        <v>18568</v>
      </c>
      <c r="AG2040" t="s">
        <v>3635</v>
      </c>
      <c r="AI2040" t="s">
        <v>18569</v>
      </c>
      <c r="AJ2040" t="s">
        <v>18570</v>
      </c>
      <c r="AM2040" t="s">
        <v>3637</v>
      </c>
      <c r="AN2040" t="s">
        <v>2112</v>
      </c>
      <c r="AO2040" t="s">
        <v>18571</v>
      </c>
      <c r="AP2040" t="s">
        <v>7024</v>
      </c>
      <c r="AQ2040" t="s">
        <v>18572</v>
      </c>
      <c r="AR2040" t="s">
        <v>18573</v>
      </c>
      <c r="AT2040" s="184">
        <v>35460</v>
      </c>
      <c r="AU2040" t="s">
        <v>18574</v>
      </c>
      <c r="AV2040">
        <v>25</v>
      </c>
      <c r="AW2040" s="184">
        <v>43224</v>
      </c>
      <c r="AX2040" t="s">
        <v>18575</v>
      </c>
      <c r="AY2040">
        <v>1000</v>
      </c>
      <c r="AZ2040" s="184">
        <v>43224</v>
      </c>
      <c r="BA2040" t="s">
        <v>18575</v>
      </c>
      <c r="BB2040">
        <v>1000</v>
      </c>
      <c r="BC2040">
        <v>50</v>
      </c>
      <c r="BD2040">
        <v>1455</v>
      </c>
      <c r="BE2040">
        <v>1997</v>
      </c>
      <c r="BF2040">
        <v>18</v>
      </c>
      <c r="BI2040">
        <v>14</v>
      </c>
      <c r="BJ2040">
        <v>28</v>
      </c>
      <c r="BK2040">
        <v>7</v>
      </c>
      <c r="BP2040" s="184"/>
    </row>
    <row r="2041" spans="1:68">
      <c r="A2041">
        <v>24296022</v>
      </c>
      <c r="B2041">
        <v>24296022</v>
      </c>
      <c r="C2041" t="s">
        <v>7018</v>
      </c>
      <c r="E2041" s="184"/>
      <c r="G2041" s="184"/>
      <c r="I2041" s="184"/>
      <c r="J2041" t="s">
        <v>595</v>
      </c>
      <c r="K2041" s="184">
        <v>43691</v>
      </c>
      <c r="O2041" s="184"/>
      <c r="P2041" t="s">
        <v>7084</v>
      </c>
      <c r="Q2041" t="s">
        <v>7262</v>
      </c>
      <c r="R2041" s="184">
        <v>4019</v>
      </c>
      <c r="S2041">
        <v>113</v>
      </c>
      <c r="U2041" t="s">
        <v>7076</v>
      </c>
      <c r="V2041" t="s">
        <v>5670</v>
      </c>
      <c r="X2041" t="s">
        <v>5671</v>
      </c>
      <c r="AF2041" t="s">
        <v>18576</v>
      </c>
      <c r="AG2041" t="s">
        <v>18577</v>
      </c>
      <c r="AI2041" t="s">
        <v>18578</v>
      </c>
      <c r="AM2041" t="s">
        <v>5672</v>
      </c>
      <c r="AN2041" t="s">
        <v>65</v>
      </c>
      <c r="AO2041" t="s">
        <v>18579</v>
      </c>
      <c r="AP2041" t="s">
        <v>7024</v>
      </c>
      <c r="AQ2041" t="s">
        <v>18580</v>
      </c>
      <c r="AT2041" s="184">
        <v>35464</v>
      </c>
      <c r="AU2041" t="s">
        <v>18581</v>
      </c>
      <c r="AV2041">
        <v>15</v>
      </c>
      <c r="AW2041" s="184">
        <v>43460</v>
      </c>
      <c r="AX2041" t="s">
        <v>7348</v>
      </c>
      <c r="AY2041">
        <v>25000</v>
      </c>
      <c r="AZ2041" s="184">
        <v>43460</v>
      </c>
      <c r="BA2041" t="s">
        <v>7348</v>
      </c>
      <c r="BB2041">
        <v>25000</v>
      </c>
      <c r="BC2041">
        <v>43</v>
      </c>
      <c r="BD2041">
        <v>25523</v>
      </c>
      <c r="BE2041">
        <v>1997</v>
      </c>
      <c r="BF2041">
        <v>15</v>
      </c>
      <c r="BI2041">
        <v>12</v>
      </c>
      <c r="BJ2041">
        <v>28</v>
      </c>
      <c r="BK2041">
        <v>4</v>
      </c>
      <c r="BN2041" t="s">
        <v>595</v>
      </c>
      <c r="BO2041" t="s">
        <v>595</v>
      </c>
      <c r="BP2041" s="184">
        <v>41932</v>
      </c>
    </row>
    <row r="2042" spans="1:68">
      <c r="A2042">
        <v>24296279</v>
      </c>
      <c r="B2042">
        <v>24296279</v>
      </c>
      <c r="C2042" t="s">
        <v>7018</v>
      </c>
      <c r="E2042" s="184"/>
      <c r="G2042" s="184"/>
      <c r="I2042" s="184"/>
      <c r="K2042" s="184"/>
      <c r="N2042" t="s">
        <v>595</v>
      </c>
      <c r="O2042" s="184">
        <v>42243</v>
      </c>
      <c r="P2042" t="s">
        <v>7045</v>
      </c>
      <c r="Q2042" t="s">
        <v>7374</v>
      </c>
      <c r="R2042" s="184">
        <v>14058</v>
      </c>
      <c r="S2042">
        <v>85</v>
      </c>
      <c r="U2042" t="s">
        <v>7031</v>
      </c>
      <c r="V2042" t="s">
        <v>3373</v>
      </c>
      <c r="X2042" t="s">
        <v>18582</v>
      </c>
      <c r="Z2042">
        <v>100064475</v>
      </c>
      <c r="AA2042" t="s">
        <v>7130</v>
      </c>
      <c r="AB2042" t="s">
        <v>2969</v>
      </c>
      <c r="AD2042" t="s">
        <v>18582</v>
      </c>
      <c r="AF2042" t="s">
        <v>6033</v>
      </c>
      <c r="AG2042" t="s">
        <v>18583</v>
      </c>
      <c r="AI2042" t="s">
        <v>18584</v>
      </c>
      <c r="AM2042" t="s">
        <v>18585</v>
      </c>
      <c r="AN2042" t="s">
        <v>2081</v>
      </c>
      <c r="AO2042" t="s">
        <v>18586</v>
      </c>
      <c r="AP2042" t="s">
        <v>7024</v>
      </c>
      <c r="AQ2042" t="s">
        <v>18587</v>
      </c>
      <c r="AT2042" s="184">
        <v>35466</v>
      </c>
      <c r="AU2042" t="s">
        <v>17415</v>
      </c>
      <c r="AV2042">
        <v>15</v>
      </c>
      <c r="AW2042" s="184">
        <v>45047</v>
      </c>
      <c r="AX2042" t="s">
        <v>18588</v>
      </c>
      <c r="AY2042">
        <v>30</v>
      </c>
      <c r="AZ2042" s="184">
        <v>42243</v>
      </c>
      <c r="BA2042" t="s">
        <v>7100</v>
      </c>
      <c r="BB2042">
        <v>10000</v>
      </c>
      <c r="BC2042">
        <v>36</v>
      </c>
      <c r="BD2042">
        <v>10280</v>
      </c>
      <c r="BE2042">
        <v>1997</v>
      </c>
      <c r="BF2042">
        <v>14</v>
      </c>
      <c r="BG2042">
        <v>1</v>
      </c>
      <c r="BH2042">
        <v>30</v>
      </c>
      <c r="BI2042">
        <v>10</v>
      </c>
      <c r="BJ2042">
        <v>28</v>
      </c>
      <c r="BK2042">
        <v>5</v>
      </c>
      <c r="BP2042" s="184"/>
    </row>
    <row r="2043" spans="1:68">
      <c r="A2043">
        <v>100064475</v>
      </c>
      <c r="B2043">
        <v>24296279</v>
      </c>
      <c r="C2043" t="s">
        <v>7018</v>
      </c>
      <c r="E2043" s="184"/>
      <c r="G2043" s="184"/>
      <c r="I2043" s="184"/>
      <c r="K2043" s="184"/>
      <c r="N2043" t="s">
        <v>595</v>
      </c>
      <c r="O2043" s="184">
        <v>42243</v>
      </c>
      <c r="P2043" t="s">
        <v>7045</v>
      </c>
      <c r="Q2043" t="s">
        <v>7374</v>
      </c>
      <c r="R2043" s="184">
        <v>16435</v>
      </c>
      <c r="S2043">
        <v>79</v>
      </c>
      <c r="U2043" t="s">
        <v>7130</v>
      </c>
      <c r="V2043" t="s">
        <v>2969</v>
      </c>
      <c r="X2043" t="s">
        <v>18582</v>
      </c>
      <c r="Z2043">
        <v>24296279</v>
      </c>
      <c r="AA2043" t="s">
        <v>7031</v>
      </c>
      <c r="AB2043" t="s">
        <v>3373</v>
      </c>
      <c r="AD2043" t="s">
        <v>18582</v>
      </c>
      <c r="AF2043" t="s">
        <v>6033</v>
      </c>
      <c r="AG2043" t="s">
        <v>18583</v>
      </c>
      <c r="AI2043" t="s">
        <v>18584</v>
      </c>
      <c r="AM2043" t="s">
        <v>18585</v>
      </c>
      <c r="AN2043" t="s">
        <v>2081</v>
      </c>
      <c r="AO2043" t="s">
        <v>18586</v>
      </c>
      <c r="AP2043" t="s">
        <v>7024</v>
      </c>
      <c r="AT2043" s="184">
        <v>44987</v>
      </c>
      <c r="AU2043" t="s">
        <v>18589</v>
      </c>
      <c r="AV2043">
        <v>25</v>
      </c>
      <c r="AW2043" s="184">
        <v>44987</v>
      </c>
      <c r="AX2043" t="s">
        <v>18589</v>
      </c>
      <c r="AY2043">
        <v>25</v>
      </c>
      <c r="AZ2043" s="184">
        <v>44987</v>
      </c>
      <c r="BA2043" t="s">
        <v>18589</v>
      </c>
      <c r="BB2043">
        <v>25</v>
      </c>
      <c r="BC2043">
        <v>50</v>
      </c>
      <c r="BD2043">
        <v>25</v>
      </c>
      <c r="BE2043">
        <v>2023</v>
      </c>
      <c r="BF2043">
        <v>1</v>
      </c>
      <c r="BG2043">
        <v>1</v>
      </c>
      <c r="BH2043">
        <v>25</v>
      </c>
      <c r="BI2043">
        <v>1</v>
      </c>
      <c r="BJ2043">
        <v>2</v>
      </c>
      <c r="BK2043">
        <v>1</v>
      </c>
      <c r="BP2043" s="184"/>
    </row>
    <row r="2044" spans="1:68">
      <c r="A2044">
        <v>24301327</v>
      </c>
      <c r="B2044">
        <v>24301327</v>
      </c>
      <c r="C2044" t="s">
        <v>7018</v>
      </c>
      <c r="D2044" t="s">
        <v>595</v>
      </c>
      <c r="E2044" s="184">
        <v>44168</v>
      </c>
      <c r="G2044" s="184"/>
      <c r="I2044" s="184"/>
      <c r="K2044" s="184"/>
      <c r="O2044" s="184"/>
      <c r="P2044" t="s">
        <v>7045</v>
      </c>
      <c r="Q2044" t="s">
        <v>7374</v>
      </c>
      <c r="R2044" s="184">
        <v>13516</v>
      </c>
      <c r="S2044">
        <v>87</v>
      </c>
      <c r="V2044" t="s">
        <v>2316</v>
      </c>
      <c r="X2044" t="s">
        <v>18590</v>
      </c>
      <c r="AF2044" t="s">
        <v>18591</v>
      </c>
      <c r="AG2044" t="s">
        <v>5990</v>
      </c>
      <c r="AI2044" t="s">
        <v>18592</v>
      </c>
      <c r="AM2044" t="s">
        <v>3721</v>
      </c>
      <c r="AN2044" t="s">
        <v>2081</v>
      </c>
      <c r="AO2044" t="s">
        <v>18593</v>
      </c>
      <c r="AP2044" t="s">
        <v>7024</v>
      </c>
      <c r="AT2044" s="184">
        <v>35466</v>
      </c>
      <c r="AU2044" t="s">
        <v>18594</v>
      </c>
      <c r="AV2044">
        <v>10</v>
      </c>
      <c r="AW2044" s="184">
        <v>44911</v>
      </c>
      <c r="AX2044" t="s">
        <v>18595</v>
      </c>
      <c r="AY2044">
        <v>20</v>
      </c>
      <c r="AZ2044" s="184">
        <v>42095</v>
      </c>
      <c r="BA2044" t="s">
        <v>18596</v>
      </c>
      <c r="BB2044">
        <v>25</v>
      </c>
      <c r="BC2044">
        <v>47</v>
      </c>
      <c r="BD2044">
        <v>382.5</v>
      </c>
      <c r="BE2044">
        <v>1997</v>
      </c>
      <c r="BF2044">
        <v>20</v>
      </c>
      <c r="BG2044">
        <v>1</v>
      </c>
      <c r="BH2044">
        <v>20</v>
      </c>
      <c r="BI2044">
        <v>13</v>
      </c>
      <c r="BJ2044">
        <v>28</v>
      </c>
      <c r="BK2044">
        <v>4</v>
      </c>
      <c r="BP2044" s="184"/>
    </row>
    <row r="2045" spans="1:68">
      <c r="A2045">
        <v>24365108</v>
      </c>
      <c r="B2045">
        <v>24365108</v>
      </c>
      <c r="C2045" t="s">
        <v>7018</v>
      </c>
      <c r="E2045" s="184"/>
      <c r="G2045" s="184"/>
      <c r="I2045" s="184"/>
      <c r="J2045" t="s">
        <v>595</v>
      </c>
      <c r="K2045" s="184">
        <v>44065</v>
      </c>
      <c r="O2045" s="184"/>
      <c r="P2045" t="s">
        <v>7045</v>
      </c>
      <c r="Q2045" t="s">
        <v>7262</v>
      </c>
      <c r="R2045" s="184">
        <v>21337</v>
      </c>
      <c r="S2045">
        <v>65</v>
      </c>
      <c r="U2045" t="s">
        <v>7076</v>
      </c>
      <c r="V2045" t="s">
        <v>2733</v>
      </c>
      <c r="W2045" t="s">
        <v>2049</v>
      </c>
      <c r="X2045" t="s">
        <v>18597</v>
      </c>
      <c r="AF2045" t="s">
        <v>18598</v>
      </c>
      <c r="AG2045" t="s">
        <v>2733</v>
      </c>
      <c r="AI2045" t="s">
        <v>18599</v>
      </c>
      <c r="AM2045" t="s">
        <v>5836</v>
      </c>
      <c r="AN2045" t="s">
        <v>65</v>
      </c>
      <c r="AO2045" t="s">
        <v>18600</v>
      </c>
      <c r="AP2045" t="s">
        <v>7024</v>
      </c>
      <c r="AQ2045" t="s">
        <v>18601</v>
      </c>
      <c r="AT2045" s="184">
        <v>35472</v>
      </c>
      <c r="AU2045" t="s">
        <v>18602</v>
      </c>
      <c r="AV2045">
        <v>20</v>
      </c>
      <c r="AW2045" s="184">
        <v>45300</v>
      </c>
      <c r="AX2045" t="s">
        <v>7092</v>
      </c>
      <c r="AY2045">
        <v>250</v>
      </c>
      <c r="AZ2045" s="184">
        <v>41625</v>
      </c>
      <c r="BA2045" t="s">
        <v>18603</v>
      </c>
      <c r="BB2045">
        <v>300</v>
      </c>
      <c r="BC2045">
        <v>93</v>
      </c>
      <c r="BD2045">
        <v>6630</v>
      </c>
      <c r="BE2045">
        <v>1997</v>
      </c>
      <c r="BF2045">
        <v>42</v>
      </c>
      <c r="BG2045">
        <v>2</v>
      </c>
      <c r="BH2045">
        <v>500</v>
      </c>
      <c r="BI2045">
        <v>26</v>
      </c>
      <c r="BJ2045">
        <v>28</v>
      </c>
      <c r="BK2045">
        <v>17</v>
      </c>
      <c r="BP2045" s="184"/>
    </row>
    <row r="2046" spans="1:68">
      <c r="A2046">
        <v>24388233</v>
      </c>
      <c r="B2046">
        <v>24388233</v>
      </c>
      <c r="C2046" t="s">
        <v>7018</v>
      </c>
      <c r="E2046" s="184"/>
      <c r="G2046" s="184"/>
      <c r="I2046" s="184"/>
      <c r="J2046" t="s">
        <v>595</v>
      </c>
      <c r="K2046" s="184">
        <v>43691</v>
      </c>
      <c r="O2046" s="184"/>
      <c r="P2046" t="s">
        <v>7029</v>
      </c>
      <c r="Q2046" t="s">
        <v>7383</v>
      </c>
      <c r="R2046" s="184">
        <v>7401</v>
      </c>
      <c r="S2046">
        <v>104</v>
      </c>
      <c r="U2046" t="s">
        <v>7032</v>
      </c>
      <c r="V2046" t="s">
        <v>18604</v>
      </c>
      <c r="W2046" t="s">
        <v>2049</v>
      </c>
      <c r="X2046" t="s">
        <v>18605</v>
      </c>
      <c r="AF2046" t="s">
        <v>6082</v>
      </c>
      <c r="AG2046" t="s">
        <v>18606</v>
      </c>
      <c r="AI2046" t="s">
        <v>18607</v>
      </c>
      <c r="AM2046" t="s">
        <v>3118</v>
      </c>
      <c r="AN2046" t="s">
        <v>2274</v>
      </c>
      <c r="AO2046" t="s">
        <v>18608</v>
      </c>
      <c r="AP2046" t="s">
        <v>7024</v>
      </c>
      <c r="AT2046" s="184">
        <v>35473</v>
      </c>
      <c r="AU2046" t="s">
        <v>18609</v>
      </c>
      <c r="AV2046">
        <v>10</v>
      </c>
      <c r="AW2046" s="184">
        <v>43287</v>
      </c>
      <c r="AX2046" t="s">
        <v>7348</v>
      </c>
      <c r="AY2046">
        <v>4140.0600000000004</v>
      </c>
      <c r="AZ2046" s="184">
        <v>43287</v>
      </c>
      <c r="BA2046" t="s">
        <v>7348</v>
      </c>
      <c r="BB2046">
        <v>4140.0600000000004</v>
      </c>
      <c r="BC2046">
        <v>72</v>
      </c>
      <c r="BD2046">
        <v>6910.06</v>
      </c>
      <c r="BE2046">
        <v>1997</v>
      </c>
      <c r="BF2046">
        <v>45</v>
      </c>
      <c r="BI2046">
        <v>20</v>
      </c>
      <c r="BJ2046">
        <v>28</v>
      </c>
      <c r="BK2046">
        <v>19</v>
      </c>
      <c r="BO2046" t="s">
        <v>595</v>
      </c>
      <c r="BP2046" s="184">
        <v>42423</v>
      </c>
    </row>
    <row r="2047" spans="1:68">
      <c r="A2047">
        <v>24396079</v>
      </c>
      <c r="B2047">
        <v>24396079</v>
      </c>
      <c r="C2047" t="s">
        <v>7018</v>
      </c>
      <c r="D2047" t="s">
        <v>595</v>
      </c>
      <c r="E2047" s="184">
        <v>43892</v>
      </c>
      <c r="G2047" s="184"/>
      <c r="I2047" s="184"/>
      <c r="J2047" t="s">
        <v>595</v>
      </c>
      <c r="K2047" s="184">
        <v>44649</v>
      </c>
      <c r="O2047" s="184"/>
      <c r="P2047" t="s">
        <v>7045</v>
      </c>
      <c r="Q2047" t="s">
        <v>7262</v>
      </c>
      <c r="R2047" s="184">
        <v>21094</v>
      </c>
      <c r="S2047">
        <v>66</v>
      </c>
      <c r="U2047" t="s">
        <v>7076</v>
      </c>
      <c r="V2047" t="s">
        <v>18610</v>
      </c>
      <c r="X2047" t="s">
        <v>4666</v>
      </c>
      <c r="Z2047">
        <v>100361353</v>
      </c>
      <c r="AB2047" t="s">
        <v>2697</v>
      </c>
      <c r="AD2047" t="s">
        <v>5625</v>
      </c>
      <c r="AF2047" t="s">
        <v>18611</v>
      </c>
      <c r="AG2047" t="s">
        <v>18612</v>
      </c>
      <c r="AI2047" t="s">
        <v>18613</v>
      </c>
      <c r="AM2047" t="s">
        <v>14298</v>
      </c>
      <c r="AN2047" t="s">
        <v>65</v>
      </c>
      <c r="AO2047" t="s">
        <v>18614</v>
      </c>
      <c r="AP2047" t="s">
        <v>7024</v>
      </c>
      <c r="AQ2047" t="s">
        <v>18615</v>
      </c>
      <c r="AR2047" t="s">
        <v>18616</v>
      </c>
      <c r="AT2047" s="184">
        <v>35474</v>
      </c>
      <c r="AU2047" t="s">
        <v>18617</v>
      </c>
      <c r="AV2047">
        <v>25</v>
      </c>
      <c r="AW2047" s="184">
        <v>45412</v>
      </c>
      <c r="AX2047" t="s">
        <v>7429</v>
      </c>
      <c r="AY2047">
        <v>25</v>
      </c>
      <c r="AZ2047" s="184">
        <v>45289</v>
      </c>
      <c r="BA2047" t="s">
        <v>18618</v>
      </c>
      <c r="BB2047">
        <v>157.5</v>
      </c>
      <c r="BC2047">
        <v>58</v>
      </c>
      <c r="BD2047">
        <v>3282.5</v>
      </c>
      <c r="BE2047">
        <v>1997</v>
      </c>
      <c r="BF2047">
        <v>102</v>
      </c>
      <c r="BG2047">
        <v>26</v>
      </c>
      <c r="BH2047">
        <v>857.5</v>
      </c>
      <c r="BI2047">
        <v>16</v>
      </c>
      <c r="BJ2047">
        <v>28</v>
      </c>
      <c r="BK2047">
        <v>9</v>
      </c>
      <c r="BP2047" s="184"/>
    </row>
    <row r="2048" spans="1:68">
      <c r="A2048">
        <v>100361353</v>
      </c>
      <c r="B2048">
        <v>24396079</v>
      </c>
      <c r="C2048" t="s">
        <v>7018</v>
      </c>
      <c r="E2048" s="184"/>
      <c r="G2048" s="184"/>
      <c r="I2048" s="184"/>
      <c r="J2048" t="s">
        <v>595</v>
      </c>
      <c r="K2048" s="184">
        <v>44649</v>
      </c>
      <c r="O2048" s="184"/>
      <c r="P2048" t="s">
        <v>7045</v>
      </c>
      <c r="Q2048" t="s">
        <v>7262</v>
      </c>
      <c r="R2048" s="184">
        <v>18901</v>
      </c>
      <c r="S2048">
        <v>72</v>
      </c>
      <c r="V2048" t="s">
        <v>2697</v>
      </c>
      <c r="X2048" t="s">
        <v>5625</v>
      </c>
      <c r="Z2048">
        <v>24396079</v>
      </c>
      <c r="AA2048" t="s">
        <v>7076</v>
      </c>
      <c r="AB2048" t="s">
        <v>18610</v>
      </c>
      <c r="AD2048" t="s">
        <v>4666</v>
      </c>
      <c r="AF2048" t="s">
        <v>18611</v>
      </c>
      <c r="AG2048" t="s">
        <v>18612</v>
      </c>
      <c r="AI2048" t="s">
        <v>18613</v>
      </c>
      <c r="AM2048" t="s">
        <v>14298</v>
      </c>
      <c r="AN2048" t="s">
        <v>65</v>
      </c>
      <c r="AO2048" t="s">
        <v>18614</v>
      </c>
      <c r="AP2048" t="s">
        <v>7024</v>
      </c>
      <c r="AT2048" s="184"/>
      <c r="AW2048" s="184"/>
      <c r="AZ2048" s="184"/>
      <c r="BP2048" s="184"/>
    </row>
    <row r="2049" spans="1:68">
      <c r="A2049">
        <v>24399271</v>
      </c>
      <c r="B2049">
        <v>24399271</v>
      </c>
      <c r="C2049" t="s">
        <v>7018</v>
      </c>
      <c r="E2049" s="184"/>
      <c r="F2049" t="s">
        <v>595</v>
      </c>
      <c r="G2049" s="184">
        <v>44073</v>
      </c>
      <c r="I2049" s="184"/>
      <c r="K2049" s="184"/>
      <c r="O2049" s="184"/>
      <c r="P2049" t="s">
        <v>7045</v>
      </c>
      <c r="Q2049" t="s">
        <v>7383</v>
      </c>
      <c r="R2049" s="184">
        <v>20599</v>
      </c>
      <c r="S2049">
        <v>67</v>
      </c>
      <c r="U2049" t="s">
        <v>7130</v>
      </c>
      <c r="V2049" t="s">
        <v>2903</v>
      </c>
      <c r="W2049" t="s">
        <v>4152</v>
      </c>
      <c r="X2049" t="s">
        <v>18619</v>
      </c>
      <c r="AF2049" t="s">
        <v>18620</v>
      </c>
      <c r="AG2049" t="s">
        <v>2903</v>
      </c>
      <c r="AI2049" t="s">
        <v>18621</v>
      </c>
      <c r="AM2049" t="s">
        <v>2881</v>
      </c>
      <c r="AN2049" t="s">
        <v>2162</v>
      </c>
      <c r="AO2049" t="s">
        <v>18622</v>
      </c>
      <c r="AP2049" t="s">
        <v>7024</v>
      </c>
      <c r="AQ2049" t="s">
        <v>18623</v>
      </c>
      <c r="AR2049" t="s">
        <v>18624</v>
      </c>
      <c r="AT2049" s="184">
        <v>35474</v>
      </c>
      <c r="AU2049" t="s">
        <v>18625</v>
      </c>
      <c r="AV2049">
        <v>10</v>
      </c>
      <c r="AW2049" s="184">
        <v>45290</v>
      </c>
      <c r="AX2049" t="s">
        <v>18626</v>
      </c>
      <c r="AY2049">
        <v>50</v>
      </c>
      <c r="AZ2049" s="184">
        <v>38756</v>
      </c>
      <c r="BA2049" t="s">
        <v>14425</v>
      </c>
      <c r="BB2049">
        <v>300</v>
      </c>
      <c r="BC2049">
        <v>79</v>
      </c>
      <c r="BD2049">
        <v>4040</v>
      </c>
      <c r="BE2049">
        <v>1997</v>
      </c>
      <c r="BF2049">
        <v>40</v>
      </c>
      <c r="BG2049">
        <v>2</v>
      </c>
      <c r="BH2049">
        <v>100</v>
      </c>
      <c r="BI2049">
        <v>22</v>
      </c>
      <c r="BJ2049">
        <v>28</v>
      </c>
      <c r="BK2049">
        <v>14</v>
      </c>
      <c r="BP2049" s="184"/>
    </row>
    <row r="2050" spans="1:68">
      <c r="A2050">
        <v>24427254</v>
      </c>
      <c r="B2050">
        <v>24427254</v>
      </c>
      <c r="C2050" t="s">
        <v>7018</v>
      </c>
      <c r="D2050" t="s">
        <v>595</v>
      </c>
      <c r="E2050" s="184">
        <v>45397</v>
      </c>
      <c r="G2050" s="184"/>
      <c r="I2050" s="184"/>
      <c r="K2050" s="184"/>
      <c r="O2050" s="184"/>
      <c r="P2050" t="s">
        <v>7029</v>
      </c>
      <c r="Q2050" t="s">
        <v>7383</v>
      </c>
      <c r="R2050" s="184">
        <v>17492</v>
      </c>
      <c r="S2050">
        <v>76</v>
      </c>
      <c r="U2050" t="s">
        <v>7031</v>
      </c>
      <c r="V2050" t="s">
        <v>3134</v>
      </c>
      <c r="X2050" t="s">
        <v>18627</v>
      </c>
      <c r="AF2050" t="s">
        <v>18628</v>
      </c>
      <c r="AG2050" t="s">
        <v>3134</v>
      </c>
      <c r="AI2050" t="s">
        <v>18629</v>
      </c>
      <c r="AM2050" t="s">
        <v>4031</v>
      </c>
      <c r="AN2050" t="s">
        <v>2059</v>
      </c>
      <c r="AO2050" t="s">
        <v>18630</v>
      </c>
      <c r="AP2050" t="s">
        <v>7024</v>
      </c>
      <c r="AQ2050" t="s">
        <v>18631</v>
      </c>
      <c r="AR2050" t="s">
        <v>18632</v>
      </c>
      <c r="AT2050" s="184">
        <v>35418</v>
      </c>
      <c r="AU2050" t="s">
        <v>18633</v>
      </c>
      <c r="AV2050">
        <v>10</v>
      </c>
      <c r="AW2050" s="184">
        <v>45248</v>
      </c>
      <c r="AX2050" t="s">
        <v>7168</v>
      </c>
      <c r="AY2050">
        <v>1200</v>
      </c>
      <c r="AZ2050" s="184">
        <v>45248</v>
      </c>
      <c r="BA2050" t="s">
        <v>7168</v>
      </c>
      <c r="BB2050">
        <v>1200</v>
      </c>
      <c r="BC2050">
        <v>80</v>
      </c>
      <c r="BD2050">
        <v>9335</v>
      </c>
      <c r="BE2050">
        <v>1997</v>
      </c>
      <c r="BF2050">
        <v>35</v>
      </c>
      <c r="BG2050">
        <v>2</v>
      </c>
      <c r="BH2050">
        <v>2200</v>
      </c>
      <c r="BI2050">
        <v>23</v>
      </c>
      <c r="BJ2050">
        <v>29</v>
      </c>
      <c r="BK2050">
        <v>19</v>
      </c>
      <c r="BP2050" s="184"/>
    </row>
    <row r="2051" spans="1:68">
      <c r="A2051">
        <v>24431413</v>
      </c>
      <c r="B2051">
        <v>24431413</v>
      </c>
      <c r="C2051" t="s">
        <v>7018</v>
      </c>
      <c r="E2051" s="184"/>
      <c r="F2051" t="s">
        <v>595</v>
      </c>
      <c r="G2051" s="184">
        <v>45104</v>
      </c>
      <c r="I2051" s="184"/>
      <c r="K2051" s="184"/>
      <c r="O2051" s="184"/>
      <c r="P2051" t="s">
        <v>7029</v>
      </c>
      <c r="Q2051" t="s">
        <v>7262</v>
      </c>
      <c r="R2051" s="184">
        <v>23675</v>
      </c>
      <c r="S2051">
        <v>59</v>
      </c>
      <c r="U2051" t="s">
        <v>7076</v>
      </c>
      <c r="V2051" t="s">
        <v>3235</v>
      </c>
      <c r="W2051" t="s">
        <v>2049</v>
      </c>
      <c r="X2051" t="s">
        <v>18634</v>
      </c>
      <c r="Z2051">
        <v>100064755</v>
      </c>
      <c r="AA2051" t="s">
        <v>7031</v>
      </c>
      <c r="AB2051" t="s">
        <v>16774</v>
      </c>
      <c r="AD2051" t="s">
        <v>2977</v>
      </c>
      <c r="AF2051" t="s">
        <v>18635</v>
      </c>
      <c r="AG2051" t="s">
        <v>18636</v>
      </c>
      <c r="AI2051" t="s">
        <v>18637</v>
      </c>
      <c r="AM2051" t="s">
        <v>18638</v>
      </c>
      <c r="AN2051" t="s">
        <v>2106</v>
      </c>
      <c r="AO2051" t="s">
        <v>18639</v>
      </c>
      <c r="AP2051" t="s">
        <v>7024</v>
      </c>
      <c r="AQ2051" t="s">
        <v>18640</v>
      </c>
      <c r="AT2051" s="184">
        <v>35479</v>
      </c>
      <c r="AU2051" t="s">
        <v>18641</v>
      </c>
      <c r="AV2051">
        <v>15</v>
      </c>
      <c r="AW2051" s="184">
        <v>45291</v>
      </c>
      <c r="AX2051" t="s">
        <v>18642</v>
      </c>
      <c r="AY2051">
        <v>525</v>
      </c>
      <c r="AZ2051" s="184">
        <v>44622</v>
      </c>
      <c r="BA2051" t="s">
        <v>18643</v>
      </c>
      <c r="BB2051">
        <v>2000</v>
      </c>
      <c r="BC2051">
        <v>90</v>
      </c>
      <c r="BD2051">
        <v>24790</v>
      </c>
      <c r="BE2051">
        <v>1997</v>
      </c>
      <c r="BF2051">
        <v>33</v>
      </c>
      <c r="BG2051">
        <v>5</v>
      </c>
      <c r="BH2051">
        <v>3575</v>
      </c>
      <c r="BI2051">
        <v>25</v>
      </c>
      <c r="BJ2051">
        <v>28</v>
      </c>
      <c r="BK2051">
        <v>24</v>
      </c>
    </row>
    <row r="2052" spans="1:68">
      <c r="A2052">
        <v>100064755</v>
      </c>
      <c r="B2052">
        <v>24431413</v>
      </c>
      <c r="C2052" t="s">
        <v>7018</v>
      </c>
      <c r="E2052" s="184"/>
      <c r="F2052" t="s">
        <v>595</v>
      </c>
      <c r="G2052" s="184">
        <v>45104</v>
      </c>
      <c r="I2052" s="184"/>
      <c r="K2052" s="184"/>
      <c r="O2052" s="184"/>
      <c r="P2052" t="s">
        <v>7029</v>
      </c>
      <c r="Q2052" t="s">
        <v>7262</v>
      </c>
      <c r="R2052" s="184">
        <v>25289</v>
      </c>
      <c r="S2052">
        <v>55</v>
      </c>
      <c r="U2052" t="s">
        <v>7031</v>
      </c>
      <c r="V2052" t="s">
        <v>16774</v>
      </c>
      <c r="X2052" t="s">
        <v>2977</v>
      </c>
      <c r="Z2052">
        <v>24431413</v>
      </c>
      <c r="AA2052" t="s">
        <v>7076</v>
      </c>
      <c r="AB2052" t="s">
        <v>3235</v>
      </c>
      <c r="AC2052" t="s">
        <v>2049</v>
      </c>
      <c r="AD2052" t="s">
        <v>18634</v>
      </c>
      <c r="AF2052" t="s">
        <v>18635</v>
      </c>
      <c r="AG2052" t="s">
        <v>18636</v>
      </c>
      <c r="AI2052" t="s">
        <v>18637</v>
      </c>
      <c r="AM2052" t="s">
        <v>18638</v>
      </c>
      <c r="AN2052" t="s">
        <v>2106</v>
      </c>
      <c r="AO2052" t="s">
        <v>18639</v>
      </c>
      <c r="AP2052" t="s">
        <v>7024</v>
      </c>
      <c r="AT2052" s="184"/>
      <c r="AW2052" s="184"/>
      <c r="AZ2052" s="184"/>
      <c r="BP2052" s="184"/>
    </row>
    <row r="2053" spans="1:68">
      <c r="A2053">
        <v>24463747</v>
      </c>
      <c r="B2053">
        <v>24463747</v>
      </c>
      <c r="C2053" t="s">
        <v>7018</v>
      </c>
      <c r="E2053" s="184"/>
      <c r="G2053" s="184"/>
      <c r="I2053" s="184"/>
      <c r="J2053" t="s">
        <v>595</v>
      </c>
      <c r="K2053" s="184">
        <v>41302</v>
      </c>
      <c r="O2053" s="184"/>
      <c r="P2053" t="s">
        <v>7045</v>
      </c>
      <c r="Q2053" t="s">
        <v>7030</v>
      </c>
      <c r="R2053" s="184">
        <v>17593</v>
      </c>
      <c r="S2053">
        <v>76</v>
      </c>
      <c r="U2053" t="s">
        <v>7031</v>
      </c>
      <c r="V2053" t="s">
        <v>3702</v>
      </c>
      <c r="W2053" t="s">
        <v>7560</v>
      </c>
      <c r="X2053" t="s">
        <v>5586</v>
      </c>
      <c r="AF2053" t="s">
        <v>6366</v>
      </c>
      <c r="AG2053" t="s">
        <v>3702</v>
      </c>
      <c r="AI2053" t="s">
        <v>18644</v>
      </c>
      <c r="AM2053" t="s">
        <v>3161</v>
      </c>
      <c r="AN2053" t="s">
        <v>2094</v>
      </c>
      <c r="AO2053" t="s">
        <v>18645</v>
      </c>
      <c r="AP2053" t="s">
        <v>7024</v>
      </c>
      <c r="AT2053" s="184">
        <v>35480</v>
      </c>
      <c r="AU2053" t="s">
        <v>18602</v>
      </c>
      <c r="AV2053">
        <v>10</v>
      </c>
      <c r="AW2053" s="184">
        <v>45243</v>
      </c>
      <c r="AX2053" t="s">
        <v>18646</v>
      </c>
      <c r="AY2053">
        <v>100</v>
      </c>
      <c r="AZ2053" s="184">
        <v>44088</v>
      </c>
      <c r="BA2053" t="s">
        <v>18647</v>
      </c>
      <c r="BB2053">
        <v>200</v>
      </c>
      <c r="BC2053">
        <v>68</v>
      </c>
      <c r="BD2053">
        <v>1855</v>
      </c>
      <c r="BE2053">
        <v>1997</v>
      </c>
      <c r="BF2053">
        <v>24</v>
      </c>
      <c r="BG2053">
        <v>2</v>
      </c>
      <c r="BH2053">
        <v>200</v>
      </c>
      <c r="BI2053">
        <v>19</v>
      </c>
      <c r="BJ2053">
        <v>28</v>
      </c>
      <c r="BK2053">
        <v>10</v>
      </c>
      <c r="BP2053" s="184"/>
    </row>
    <row r="2054" spans="1:68">
      <c r="A2054">
        <v>24496879</v>
      </c>
      <c r="B2054">
        <v>24496879</v>
      </c>
      <c r="C2054" t="s">
        <v>7018</v>
      </c>
      <c r="E2054" s="184"/>
      <c r="G2054" s="184"/>
      <c r="I2054" s="184"/>
      <c r="J2054" t="s">
        <v>595</v>
      </c>
      <c r="K2054" s="184">
        <v>38432</v>
      </c>
      <c r="N2054" t="s">
        <v>595</v>
      </c>
      <c r="O2054" s="184">
        <v>39080</v>
      </c>
      <c r="P2054" t="s">
        <v>7029</v>
      </c>
      <c r="Q2054" t="s">
        <v>7030</v>
      </c>
      <c r="R2054" s="184">
        <v>19725</v>
      </c>
      <c r="S2054">
        <v>70</v>
      </c>
      <c r="U2054" t="s">
        <v>7031</v>
      </c>
      <c r="V2054" t="s">
        <v>2511</v>
      </c>
      <c r="W2054" t="s">
        <v>205</v>
      </c>
      <c r="X2054" t="s">
        <v>5373</v>
      </c>
      <c r="AF2054" t="s">
        <v>18648</v>
      </c>
      <c r="AG2054" t="s">
        <v>2511</v>
      </c>
      <c r="AI2054" t="s">
        <v>18649</v>
      </c>
      <c r="AM2054" t="s">
        <v>2717</v>
      </c>
      <c r="AN2054" t="s">
        <v>2089</v>
      </c>
      <c r="AO2054" t="s">
        <v>18650</v>
      </c>
      <c r="AP2054" t="s">
        <v>7024</v>
      </c>
      <c r="AQ2054" t="s">
        <v>18651</v>
      </c>
      <c r="AT2054" s="184">
        <v>35481</v>
      </c>
      <c r="AU2054" t="s">
        <v>18652</v>
      </c>
      <c r="AV2054">
        <v>25</v>
      </c>
      <c r="AW2054" s="184">
        <v>45070</v>
      </c>
      <c r="AX2054" t="s">
        <v>9576</v>
      </c>
      <c r="AY2054">
        <v>1000</v>
      </c>
      <c r="AZ2054" s="184">
        <v>41983</v>
      </c>
      <c r="BA2054" t="s">
        <v>7042</v>
      </c>
      <c r="BB2054">
        <v>100000</v>
      </c>
      <c r="BC2054">
        <v>93</v>
      </c>
      <c r="BD2054">
        <v>217955</v>
      </c>
      <c r="BE2054">
        <v>1997</v>
      </c>
      <c r="BF2054">
        <v>52</v>
      </c>
      <c r="BG2054">
        <v>1</v>
      </c>
      <c r="BH2054">
        <v>1000</v>
      </c>
      <c r="BI2054">
        <v>26</v>
      </c>
      <c r="BJ2054">
        <v>28</v>
      </c>
      <c r="BK2054">
        <v>19</v>
      </c>
      <c r="BP2054" s="184"/>
    </row>
    <row r="2055" spans="1:68">
      <c r="A2055">
        <v>24516601</v>
      </c>
      <c r="B2055">
        <v>24516601</v>
      </c>
      <c r="C2055" t="s">
        <v>7018</v>
      </c>
      <c r="E2055" s="184"/>
      <c r="G2055" s="184"/>
      <c r="I2055" s="184"/>
      <c r="J2055" t="s">
        <v>595</v>
      </c>
      <c r="K2055" s="184">
        <v>39945</v>
      </c>
      <c r="P2055" t="s">
        <v>7045</v>
      </c>
      <c r="Q2055" t="s">
        <v>7383</v>
      </c>
      <c r="R2055" s="184">
        <v>19146</v>
      </c>
      <c r="S2055">
        <v>71</v>
      </c>
      <c r="V2055" t="s">
        <v>3455</v>
      </c>
      <c r="X2055" t="s">
        <v>18653</v>
      </c>
      <c r="Z2055">
        <v>100064961</v>
      </c>
      <c r="AB2055" t="s">
        <v>2733</v>
      </c>
      <c r="AD2055" t="s">
        <v>18653</v>
      </c>
      <c r="AF2055" t="s">
        <v>6220</v>
      </c>
      <c r="AG2055" t="s">
        <v>18654</v>
      </c>
      <c r="AI2055" t="s">
        <v>18655</v>
      </c>
      <c r="AM2055" t="s">
        <v>18656</v>
      </c>
      <c r="AN2055" t="s">
        <v>2185</v>
      </c>
      <c r="AO2055" t="s">
        <v>18657</v>
      </c>
      <c r="AP2055" t="s">
        <v>7024</v>
      </c>
      <c r="AQ2055" t="s">
        <v>18658</v>
      </c>
      <c r="AR2055" t="s">
        <v>18659</v>
      </c>
      <c r="AT2055" s="184">
        <v>35482</v>
      </c>
      <c r="AU2055" t="s">
        <v>18660</v>
      </c>
      <c r="AV2055">
        <v>20</v>
      </c>
      <c r="AW2055" s="184">
        <v>45383</v>
      </c>
      <c r="AX2055" t="s">
        <v>9559</v>
      </c>
      <c r="AY2055">
        <v>100</v>
      </c>
      <c r="AZ2055" s="184">
        <v>39904</v>
      </c>
      <c r="BA2055" t="s">
        <v>18661</v>
      </c>
      <c r="BB2055">
        <v>300</v>
      </c>
      <c r="BC2055">
        <v>97</v>
      </c>
      <c r="BD2055">
        <v>3212</v>
      </c>
      <c r="BE2055">
        <v>1997</v>
      </c>
      <c r="BF2055">
        <v>35</v>
      </c>
      <c r="BG2055">
        <v>2</v>
      </c>
      <c r="BH2055">
        <v>250</v>
      </c>
      <c r="BI2055">
        <v>27</v>
      </c>
      <c r="BJ2055">
        <v>28</v>
      </c>
      <c r="BK2055">
        <v>19</v>
      </c>
    </row>
    <row r="2056" spans="1:68">
      <c r="A2056">
        <v>100064961</v>
      </c>
      <c r="B2056">
        <v>24516601</v>
      </c>
      <c r="C2056" t="s">
        <v>7018</v>
      </c>
      <c r="E2056" s="184"/>
      <c r="G2056" s="184"/>
      <c r="I2056" s="184"/>
      <c r="J2056" t="s">
        <v>595</v>
      </c>
      <c r="K2056" s="184">
        <v>43654</v>
      </c>
      <c r="O2056" s="184"/>
      <c r="P2056" t="s">
        <v>7045</v>
      </c>
      <c r="Q2056" t="s">
        <v>7383</v>
      </c>
      <c r="R2056" s="184">
        <v>19694</v>
      </c>
      <c r="S2056">
        <v>70</v>
      </c>
      <c r="V2056" t="s">
        <v>2733</v>
      </c>
      <c r="X2056" t="s">
        <v>18653</v>
      </c>
      <c r="Z2056">
        <v>24516601</v>
      </c>
      <c r="AB2056" t="s">
        <v>3455</v>
      </c>
      <c r="AD2056" t="s">
        <v>18653</v>
      </c>
      <c r="AF2056" t="s">
        <v>6220</v>
      </c>
      <c r="AG2056" t="s">
        <v>18654</v>
      </c>
      <c r="AI2056" t="s">
        <v>18655</v>
      </c>
      <c r="AM2056" t="s">
        <v>18656</v>
      </c>
      <c r="AN2056" t="s">
        <v>2185</v>
      </c>
      <c r="AO2056" t="s">
        <v>18657</v>
      </c>
      <c r="AP2056" t="s">
        <v>7024</v>
      </c>
      <c r="AT2056" s="184"/>
      <c r="AW2056" s="184"/>
      <c r="AZ2056" s="184"/>
      <c r="BP2056" s="184"/>
    </row>
    <row r="2057" spans="1:68">
      <c r="A2057">
        <v>24543597</v>
      </c>
      <c r="B2057">
        <v>24543597</v>
      </c>
      <c r="C2057" t="s">
        <v>7018</v>
      </c>
      <c r="D2057" t="s">
        <v>595</v>
      </c>
      <c r="E2057" s="184">
        <v>43857</v>
      </c>
      <c r="G2057" s="184"/>
      <c r="I2057" s="184"/>
      <c r="K2057" s="184"/>
      <c r="O2057" s="184"/>
      <c r="P2057" t="s">
        <v>7045</v>
      </c>
      <c r="Q2057" t="s">
        <v>7030</v>
      </c>
      <c r="R2057" s="184">
        <v>12114</v>
      </c>
      <c r="S2057">
        <v>91</v>
      </c>
      <c r="V2057" t="s">
        <v>2958</v>
      </c>
      <c r="X2057" t="s">
        <v>4561</v>
      </c>
      <c r="Z2057">
        <v>100065019</v>
      </c>
      <c r="AA2057" t="s">
        <v>7031</v>
      </c>
      <c r="AB2057" t="s">
        <v>3246</v>
      </c>
      <c r="AD2057" t="s">
        <v>4561</v>
      </c>
      <c r="AF2057" t="s">
        <v>18662</v>
      </c>
      <c r="AG2057" t="s">
        <v>18663</v>
      </c>
      <c r="AI2057" t="s">
        <v>18664</v>
      </c>
      <c r="AM2057" t="s">
        <v>4562</v>
      </c>
      <c r="AN2057" t="s">
        <v>2638</v>
      </c>
      <c r="AO2057" t="s">
        <v>18665</v>
      </c>
      <c r="AP2057" t="s">
        <v>7024</v>
      </c>
      <c r="AT2057" s="184">
        <v>35485</v>
      </c>
      <c r="AU2057" t="s">
        <v>18666</v>
      </c>
      <c r="AV2057">
        <v>15</v>
      </c>
      <c r="AW2057" s="184">
        <v>45041</v>
      </c>
      <c r="AX2057" t="s">
        <v>18667</v>
      </c>
      <c r="AY2057">
        <v>10</v>
      </c>
      <c r="AZ2057" s="184">
        <v>42695</v>
      </c>
      <c r="BA2057" t="s">
        <v>18668</v>
      </c>
      <c r="BB2057">
        <v>25</v>
      </c>
      <c r="BC2057">
        <v>29</v>
      </c>
      <c r="BD2057">
        <v>107</v>
      </c>
      <c r="BE2057">
        <v>1997</v>
      </c>
      <c r="BF2057">
        <v>10</v>
      </c>
      <c r="BG2057">
        <v>1</v>
      </c>
      <c r="BH2057">
        <v>10</v>
      </c>
      <c r="BI2057">
        <v>8</v>
      </c>
      <c r="BJ2057">
        <v>28</v>
      </c>
      <c r="BK2057">
        <v>2</v>
      </c>
      <c r="BP2057" s="184"/>
    </row>
    <row r="2058" spans="1:68">
      <c r="A2058">
        <v>100065019</v>
      </c>
      <c r="B2058">
        <v>24543597</v>
      </c>
      <c r="C2058" t="s">
        <v>7018</v>
      </c>
      <c r="D2058" t="s">
        <v>595</v>
      </c>
      <c r="E2058" s="184">
        <v>43857</v>
      </c>
      <c r="G2058" s="184"/>
      <c r="I2058" s="184"/>
      <c r="K2058" s="184"/>
      <c r="O2058" s="184"/>
      <c r="P2058" t="s">
        <v>7045</v>
      </c>
      <c r="Q2058" t="s">
        <v>7030</v>
      </c>
      <c r="R2058" s="184">
        <v>11595</v>
      </c>
      <c r="S2058">
        <v>92</v>
      </c>
      <c r="U2058" t="s">
        <v>7031</v>
      </c>
      <c r="V2058" t="s">
        <v>3246</v>
      </c>
      <c r="X2058" t="s">
        <v>4561</v>
      </c>
      <c r="Z2058">
        <v>24543597</v>
      </c>
      <c r="AB2058" t="s">
        <v>2958</v>
      </c>
      <c r="AD2058" t="s">
        <v>4561</v>
      </c>
      <c r="AF2058" t="s">
        <v>18662</v>
      </c>
      <c r="AG2058" t="s">
        <v>18663</v>
      </c>
      <c r="AI2058" t="s">
        <v>18664</v>
      </c>
      <c r="AM2058" t="s">
        <v>4562</v>
      </c>
      <c r="AN2058" t="s">
        <v>2638</v>
      </c>
      <c r="AO2058" t="s">
        <v>18665</v>
      </c>
      <c r="AP2058" t="s">
        <v>7024</v>
      </c>
      <c r="AQ2058" t="s">
        <v>18669</v>
      </c>
      <c r="AT2058" s="184"/>
      <c r="AW2058" s="184"/>
      <c r="AZ2058" s="184"/>
      <c r="BP2058" s="184"/>
    </row>
    <row r="2059" spans="1:68">
      <c r="A2059">
        <v>24564635</v>
      </c>
      <c r="B2059">
        <v>24564635</v>
      </c>
      <c r="C2059" t="s">
        <v>7018</v>
      </c>
      <c r="E2059" s="184"/>
      <c r="G2059" s="184"/>
      <c r="H2059" t="s">
        <v>595</v>
      </c>
      <c r="I2059" s="184">
        <v>44070</v>
      </c>
      <c r="K2059" s="184"/>
      <c r="O2059" s="184"/>
      <c r="P2059" t="s">
        <v>7029</v>
      </c>
      <c r="Q2059" t="s">
        <v>7020</v>
      </c>
      <c r="R2059" s="184">
        <v>13695</v>
      </c>
      <c r="S2059">
        <v>86</v>
      </c>
      <c r="U2059" t="s">
        <v>7031</v>
      </c>
      <c r="V2059" t="s">
        <v>2541</v>
      </c>
      <c r="W2059" t="s">
        <v>3226</v>
      </c>
      <c r="X2059" t="s">
        <v>4900</v>
      </c>
      <c r="Z2059">
        <v>100065118</v>
      </c>
      <c r="AA2059" t="s">
        <v>7130</v>
      </c>
      <c r="AB2059" t="s">
        <v>2733</v>
      </c>
      <c r="AC2059" t="s">
        <v>4013</v>
      </c>
      <c r="AD2059" t="s">
        <v>4900</v>
      </c>
      <c r="AF2059" t="s">
        <v>18670</v>
      </c>
      <c r="AG2059" t="s">
        <v>8060</v>
      </c>
      <c r="AI2059" t="s">
        <v>18671</v>
      </c>
      <c r="AM2059" t="s">
        <v>4622</v>
      </c>
      <c r="AN2059" t="s">
        <v>2240</v>
      </c>
      <c r="AO2059" t="s">
        <v>18672</v>
      </c>
      <c r="AP2059" t="s">
        <v>7024</v>
      </c>
      <c r="AQ2059" t="s">
        <v>18673</v>
      </c>
      <c r="AT2059" s="184">
        <v>35405</v>
      </c>
      <c r="AU2059" t="s">
        <v>18674</v>
      </c>
      <c r="AV2059">
        <v>15</v>
      </c>
      <c r="AW2059" s="184">
        <v>45363</v>
      </c>
      <c r="AX2059" t="s">
        <v>18675</v>
      </c>
      <c r="AY2059">
        <v>1000</v>
      </c>
      <c r="AZ2059" s="184">
        <v>44560</v>
      </c>
      <c r="BA2059" t="s">
        <v>18676</v>
      </c>
      <c r="BB2059">
        <v>1500</v>
      </c>
      <c r="BC2059">
        <v>73</v>
      </c>
      <c r="BD2059">
        <v>27540</v>
      </c>
      <c r="BE2059">
        <v>1997</v>
      </c>
      <c r="BF2059">
        <v>53</v>
      </c>
      <c r="BG2059">
        <v>5</v>
      </c>
      <c r="BH2059">
        <v>4200</v>
      </c>
      <c r="BI2059">
        <v>21</v>
      </c>
      <c r="BJ2059">
        <v>29</v>
      </c>
      <c r="BK2059">
        <v>20</v>
      </c>
      <c r="BP2059" s="184"/>
    </row>
    <row r="2060" spans="1:68">
      <c r="A2060">
        <v>100065118</v>
      </c>
      <c r="B2060">
        <v>24564635</v>
      </c>
      <c r="C2060" t="s">
        <v>7018</v>
      </c>
      <c r="E2060" s="184"/>
      <c r="G2060" s="184"/>
      <c r="H2060" t="s">
        <v>595</v>
      </c>
      <c r="I2060" s="184">
        <v>44070</v>
      </c>
      <c r="K2060" s="184"/>
      <c r="O2060" s="184"/>
      <c r="P2060" t="s">
        <v>7029</v>
      </c>
      <c r="Q2060" t="s">
        <v>7020</v>
      </c>
      <c r="R2060" s="184">
        <v>14847</v>
      </c>
      <c r="S2060">
        <v>83</v>
      </c>
      <c r="U2060" t="s">
        <v>7130</v>
      </c>
      <c r="V2060" t="s">
        <v>2733</v>
      </c>
      <c r="W2060" t="s">
        <v>4013</v>
      </c>
      <c r="X2060" t="s">
        <v>4900</v>
      </c>
      <c r="Z2060">
        <v>24564635</v>
      </c>
      <c r="AA2060" t="s">
        <v>7031</v>
      </c>
      <c r="AB2060" t="s">
        <v>2541</v>
      </c>
      <c r="AC2060" t="s">
        <v>3226</v>
      </c>
      <c r="AD2060" t="s">
        <v>4900</v>
      </c>
      <c r="AF2060" t="s">
        <v>18670</v>
      </c>
      <c r="AG2060" t="s">
        <v>8060</v>
      </c>
      <c r="AI2060" t="s">
        <v>18671</v>
      </c>
      <c r="AM2060" t="s">
        <v>4622</v>
      </c>
      <c r="AN2060" t="s">
        <v>2240</v>
      </c>
      <c r="AO2060" t="s">
        <v>18672</v>
      </c>
      <c r="AP2060" t="s">
        <v>7024</v>
      </c>
      <c r="AT2060" s="184"/>
      <c r="AW2060" s="184"/>
      <c r="AZ2060" s="184"/>
      <c r="BP2060" s="184"/>
    </row>
    <row r="2061" spans="1:68">
      <c r="A2061">
        <v>24575029</v>
      </c>
      <c r="B2061">
        <v>24575029</v>
      </c>
      <c r="C2061" t="s">
        <v>7018</v>
      </c>
      <c r="D2061" t="s">
        <v>595</v>
      </c>
      <c r="E2061" s="184">
        <v>44073</v>
      </c>
      <c r="G2061" s="184"/>
      <c r="K2061" s="184"/>
      <c r="O2061" s="184"/>
      <c r="P2061" t="s">
        <v>7019</v>
      </c>
      <c r="Q2061" t="s">
        <v>7020</v>
      </c>
      <c r="R2061" s="184">
        <v>12424</v>
      </c>
      <c r="S2061">
        <v>90</v>
      </c>
      <c r="U2061" t="s">
        <v>7076</v>
      </c>
      <c r="V2061" t="s">
        <v>2705</v>
      </c>
      <c r="X2061" t="s">
        <v>2772</v>
      </c>
      <c r="AF2061" t="s">
        <v>18677</v>
      </c>
      <c r="AG2061" t="s">
        <v>2705</v>
      </c>
      <c r="AI2061" t="s">
        <v>18678</v>
      </c>
      <c r="AM2061" t="s">
        <v>5002</v>
      </c>
      <c r="AN2061" t="s">
        <v>2240</v>
      </c>
      <c r="AO2061" t="s">
        <v>18679</v>
      </c>
      <c r="AP2061" t="s">
        <v>7024</v>
      </c>
      <c r="AQ2061" t="s">
        <v>18680</v>
      </c>
      <c r="AR2061" t="s">
        <v>18681</v>
      </c>
      <c r="AT2061" s="184">
        <v>35486</v>
      </c>
      <c r="AU2061" t="s">
        <v>18682</v>
      </c>
      <c r="AV2061">
        <v>15</v>
      </c>
      <c r="AW2061" s="184">
        <v>44538</v>
      </c>
      <c r="AX2061" t="s">
        <v>18683</v>
      </c>
      <c r="AY2061">
        <v>60</v>
      </c>
      <c r="AZ2061" s="184">
        <v>41198</v>
      </c>
      <c r="BA2061" t="s">
        <v>10939</v>
      </c>
      <c r="BB2061">
        <v>100</v>
      </c>
      <c r="BC2061">
        <v>79</v>
      </c>
      <c r="BD2061">
        <v>912</v>
      </c>
      <c r="BE2061">
        <v>1997</v>
      </c>
      <c r="BF2061">
        <v>41</v>
      </c>
      <c r="BI2061">
        <v>22</v>
      </c>
      <c r="BJ2061">
        <v>28</v>
      </c>
      <c r="BK2061">
        <v>17</v>
      </c>
    </row>
    <row r="2062" spans="1:68">
      <c r="A2062">
        <v>24579989</v>
      </c>
      <c r="B2062">
        <v>24579989</v>
      </c>
      <c r="C2062" t="s">
        <v>7018</v>
      </c>
      <c r="D2062" t="s">
        <v>595</v>
      </c>
      <c r="E2062" s="184">
        <v>43801</v>
      </c>
      <c r="G2062" s="184"/>
      <c r="I2062" s="184"/>
      <c r="K2062" s="184"/>
      <c r="O2062" s="184"/>
      <c r="P2062" t="s">
        <v>7045</v>
      </c>
      <c r="Q2062" t="s">
        <v>7030</v>
      </c>
      <c r="R2062" s="184">
        <v>20821</v>
      </c>
      <c r="S2062">
        <v>67</v>
      </c>
      <c r="V2062" t="s">
        <v>3230</v>
      </c>
      <c r="W2062" t="s">
        <v>3332</v>
      </c>
      <c r="X2062" t="s">
        <v>4381</v>
      </c>
      <c r="AF2062" t="s">
        <v>18684</v>
      </c>
      <c r="AG2062" t="s">
        <v>3230</v>
      </c>
      <c r="AI2062" t="s">
        <v>18685</v>
      </c>
      <c r="AM2062" t="s">
        <v>2564</v>
      </c>
      <c r="AN2062" t="s">
        <v>2089</v>
      </c>
      <c r="AO2062" t="s">
        <v>18686</v>
      </c>
      <c r="AP2062" t="s">
        <v>7024</v>
      </c>
      <c r="AQ2062" t="s">
        <v>18687</v>
      </c>
      <c r="AT2062" s="184">
        <v>35486</v>
      </c>
      <c r="AU2062" t="s">
        <v>18688</v>
      </c>
      <c r="AV2062">
        <v>25</v>
      </c>
      <c r="AW2062" s="184">
        <v>38975</v>
      </c>
      <c r="AX2062" t="s">
        <v>18689</v>
      </c>
      <c r="AY2062">
        <v>25</v>
      </c>
      <c r="AZ2062" s="184">
        <v>35643</v>
      </c>
      <c r="BA2062" t="s">
        <v>18690</v>
      </c>
      <c r="BB2062">
        <v>50</v>
      </c>
      <c r="BC2062">
        <v>29</v>
      </c>
      <c r="BD2062">
        <v>550</v>
      </c>
      <c r="BE2062">
        <v>1997</v>
      </c>
      <c r="BF2062">
        <v>19</v>
      </c>
      <c r="BI2062">
        <v>8</v>
      </c>
      <c r="BJ2062">
        <v>28</v>
      </c>
      <c r="BK2062">
        <v>7</v>
      </c>
      <c r="BP2062" s="184"/>
    </row>
    <row r="2063" spans="1:68">
      <c r="A2063">
        <v>24615619</v>
      </c>
      <c r="B2063">
        <v>24615619</v>
      </c>
      <c r="C2063" t="s">
        <v>7018</v>
      </c>
      <c r="D2063" t="s">
        <v>595</v>
      </c>
      <c r="E2063" s="184">
        <v>44441</v>
      </c>
      <c r="G2063" s="184"/>
      <c r="I2063" s="184"/>
      <c r="K2063" s="184"/>
      <c r="O2063" s="184"/>
      <c r="P2063" t="s">
        <v>7045</v>
      </c>
      <c r="Q2063" t="s">
        <v>7383</v>
      </c>
      <c r="R2063" s="184">
        <v>17059</v>
      </c>
      <c r="S2063">
        <v>77</v>
      </c>
      <c r="V2063" t="s">
        <v>3131</v>
      </c>
      <c r="W2063" t="s">
        <v>4013</v>
      </c>
      <c r="X2063" t="s">
        <v>13924</v>
      </c>
      <c r="AF2063" t="s">
        <v>18691</v>
      </c>
      <c r="AG2063" t="s">
        <v>3131</v>
      </c>
      <c r="AI2063" t="s">
        <v>18692</v>
      </c>
      <c r="AM2063" t="s">
        <v>18693</v>
      </c>
      <c r="AN2063" t="s">
        <v>2313</v>
      </c>
      <c r="AO2063" t="s">
        <v>18694</v>
      </c>
      <c r="AP2063" t="s">
        <v>7024</v>
      </c>
      <c r="AT2063" s="184">
        <v>35488</v>
      </c>
      <c r="AU2063" t="s">
        <v>18660</v>
      </c>
      <c r="AV2063">
        <v>25</v>
      </c>
      <c r="AW2063" s="184">
        <v>45156</v>
      </c>
      <c r="AX2063" t="s">
        <v>18695</v>
      </c>
      <c r="AY2063">
        <v>50</v>
      </c>
      <c r="AZ2063" s="184">
        <v>43724</v>
      </c>
      <c r="BA2063" t="s">
        <v>7877</v>
      </c>
      <c r="BB2063">
        <v>87</v>
      </c>
      <c r="BC2063">
        <v>29</v>
      </c>
      <c r="BD2063">
        <v>910</v>
      </c>
      <c r="BE2063">
        <v>1997</v>
      </c>
      <c r="BF2063">
        <v>22</v>
      </c>
      <c r="BG2063">
        <v>5</v>
      </c>
      <c r="BH2063">
        <v>300</v>
      </c>
      <c r="BI2063">
        <v>8</v>
      </c>
      <c r="BJ2063">
        <v>28</v>
      </c>
      <c r="BK2063">
        <v>6</v>
      </c>
      <c r="BP2063" s="184"/>
    </row>
    <row r="2064" spans="1:68">
      <c r="A2064">
        <v>24619942</v>
      </c>
      <c r="B2064">
        <v>24619942</v>
      </c>
      <c r="C2064" t="s">
        <v>7018</v>
      </c>
      <c r="D2064" t="s">
        <v>595</v>
      </c>
      <c r="E2064" s="184">
        <v>43861</v>
      </c>
      <c r="G2064" s="184"/>
      <c r="I2064" s="184"/>
      <c r="K2064" s="184"/>
      <c r="O2064" s="184"/>
      <c r="P2064" t="s">
        <v>7045</v>
      </c>
      <c r="Q2064" t="s">
        <v>7262</v>
      </c>
      <c r="R2064" s="184">
        <v>16412</v>
      </c>
      <c r="S2064">
        <v>79</v>
      </c>
      <c r="U2064" t="s">
        <v>7031</v>
      </c>
      <c r="V2064" t="s">
        <v>3360</v>
      </c>
      <c r="X2064" t="s">
        <v>4563</v>
      </c>
      <c r="Y2064" t="s">
        <v>7431</v>
      </c>
      <c r="AF2064" t="s">
        <v>18696</v>
      </c>
      <c r="AG2064" t="s">
        <v>3360</v>
      </c>
      <c r="AI2064" t="s">
        <v>18697</v>
      </c>
      <c r="AM2064" t="s">
        <v>18698</v>
      </c>
      <c r="AN2064" t="s">
        <v>2069</v>
      </c>
      <c r="AO2064" t="s">
        <v>18699</v>
      </c>
      <c r="AP2064" t="s">
        <v>7024</v>
      </c>
      <c r="AQ2064" t="s">
        <v>18700</v>
      </c>
      <c r="AT2064" s="184">
        <v>35488</v>
      </c>
      <c r="AU2064" t="s">
        <v>18701</v>
      </c>
      <c r="AV2064">
        <v>25</v>
      </c>
      <c r="AW2064" s="184">
        <v>43766</v>
      </c>
      <c r="AX2064" t="s">
        <v>18702</v>
      </c>
      <c r="AY2064">
        <v>50</v>
      </c>
      <c r="AZ2064" s="184">
        <v>40127</v>
      </c>
      <c r="BA2064" t="s">
        <v>18703</v>
      </c>
      <c r="BB2064">
        <v>60</v>
      </c>
      <c r="BC2064">
        <v>83</v>
      </c>
      <c r="BD2064">
        <v>1655</v>
      </c>
      <c r="BE2064">
        <v>1997</v>
      </c>
      <c r="BF2064">
        <v>45</v>
      </c>
      <c r="BI2064">
        <v>23</v>
      </c>
      <c r="BJ2064">
        <v>28</v>
      </c>
      <c r="BK2064">
        <v>23</v>
      </c>
      <c r="BP2064" s="184"/>
    </row>
    <row r="2065" spans="1:68">
      <c r="A2065">
        <v>24637555</v>
      </c>
      <c r="B2065">
        <v>24637555</v>
      </c>
      <c r="C2065" t="s">
        <v>7018</v>
      </c>
      <c r="E2065" s="184"/>
      <c r="F2065" t="s">
        <v>595</v>
      </c>
      <c r="G2065" s="184">
        <v>44167</v>
      </c>
      <c r="I2065" s="184"/>
      <c r="K2065" s="184"/>
      <c r="O2065" s="184"/>
      <c r="P2065" t="s">
        <v>7045</v>
      </c>
      <c r="Q2065" t="s">
        <v>7374</v>
      </c>
      <c r="R2065" s="184">
        <v>13457</v>
      </c>
      <c r="S2065">
        <v>87</v>
      </c>
      <c r="U2065" t="s">
        <v>7031</v>
      </c>
      <c r="V2065" t="s">
        <v>2771</v>
      </c>
      <c r="X2065" t="s">
        <v>18704</v>
      </c>
      <c r="AF2065" t="s">
        <v>18705</v>
      </c>
      <c r="AG2065" t="s">
        <v>2771</v>
      </c>
      <c r="AI2065" t="s">
        <v>18706</v>
      </c>
      <c r="AM2065" t="s">
        <v>18707</v>
      </c>
      <c r="AN2065" t="s">
        <v>2081</v>
      </c>
      <c r="AO2065" t="s">
        <v>18708</v>
      </c>
      <c r="AP2065" t="s">
        <v>7024</v>
      </c>
      <c r="AQ2065" t="s">
        <v>18709</v>
      </c>
      <c r="AR2065" t="s">
        <v>18710</v>
      </c>
      <c r="AT2065" s="184">
        <v>35489</v>
      </c>
      <c r="AU2065" t="s">
        <v>18711</v>
      </c>
      <c r="AV2065">
        <v>15</v>
      </c>
      <c r="AW2065" s="184">
        <v>44095</v>
      </c>
      <c r="AX2065" t="s">
        <v>18712</v>
      </c>
      <c r="AY2065">
        <v>25</v>
      </c>
      <c r="AZ2065" s="184">
        <v>44095</v>
      </c>
      <c r="BA2065" t="s">
        <v>18712</v>
      </c>
      <c r="BB2065">
        <v>25</v>
      </c>
      <c r="BC2065">
        <v>29</v>
      </c>
      <c r="BD2065">
        <v>140</v>
      </c>
      <c r="BE2065">
        <v>1997</v>
      </c>
      <c r="BF2065">
        <v>8</v>
      </c>
      <c r="BI2065">
        <v>8</v>
      </c>
      <c r="BJ2065">
        <v>28</v>
      </c>
      <c r="BK2065">
        <v>3</v>
      </c>
      <c r="BP2065" s="184"/>
    </row>
    <row r="2066" spans="1:68">
      <c r="A2066">
        <v>24639783</v>
      </c>
      <c r="B2066">
        <v>24639783</v>
      </c>
      <c r="C2066" t="s">
        <v>7018</v>
      </c>
      <c r="D2066" t="s">
        <v>595</v>
      </c>
      <c r="E2066" s="184">
        <v>43864</v>
      </c>
      <c r="G2066" s="184"/>
      <c r="I2066" s="184"/>
      <c r="K2066" s="184"/>
      <c r="O2066" s="184"/>
      <c r="P2066" t="s">
        <v>7045</v>
      </c>
      <c r="Q2066" t="s">
        <v>7262</v>
      </c>
      <c r="R2066" s="184">
        <v>15178</v>
      </c>
      <c r="S2066">
        <v>82</v>
      </c>
      <c r="V2066" t="s">
        <v>4236</v>
      </c>
      <c r="W2066" t="s">
        <v>3830</v>
      </c>
      <c r="X2066" t="s">
        <v>4682</v>
      </c>
      <c r="AF2066" t="s">
        <v>18713</v>
      </c>
      <c r="AG2066" t="s">
        <v>4236</v>
      </c>
      <c r="AI2066" t="s">
        <v>18714</v>
      </c>
      <c r="AM2066" t="s">
        <v>4683</v>
      </c>
      <c r="AN2066" t="s">
        <v>65</v>
      </c>
      <c r="AO2066" t="s">
        <v>18715</v>
      </c>
      <c r="AP2066" t="s">
        <v>7024</v>
      </c>
      <c r="AQ2066" t="s">
        <v>18716</v>
      </c>
      <c r="AR2066" t="s">
        <v>18717</v>
      </c>
      <c r="AT2066" s="184">
        <v>35487</v>
      </c>
      <c r="AU2066" t="s">
        <v>18718</v>
      </c>
      <c r="AV2066">
        <v>25</v>
      </c>
      <c r="AW2066" s="184">
        <v>45135</v>
      </c>
      <c r="AX2066" t="s">
        <v>18719</v>
      </c>
      <c r="AY2066">
        <v>35</v>
      </c>
      <c r="AZ2066" s="184">
        <v>39393</v>
      </c>
      <c r="BA2066" t="s">
        <v>18720</v>
      </c>
      <c r="BB2066">
        <v>87</v>
      </c>
      <c r="BC2066">
        <v>93</v>
      </c>
      <c r="BD2066">
        <v>2124</v>
      </c>
      <c r="BE2066">
        <v>1997</v>
      </c>
      <c r="BF2066">
        <v>49</v>
      </c>
      <c r="BG2066">
        <v>3</v>
      </c>
      <c r="BH2066">
        <v>120</v>
      </c>
      <c r="BI2066">
        <v>26</v>
      </c>
      <c r="BJ2066">
        <v>28</v>
      </c>
      <c r="BK2066">
        <v>14</v>
      </c>
      <c r="BN2066" t="s">
        <v>595</v>
      </c>
      <c r="BP2066" s="184"/>
    </row>
    <row r="2067" spans="1:68">
      <c r="A2067">
        <v>24642746</v>
      </c>
      <c r="B2067">
        <v>24642746</v>
      </c>
      <c r="C2067" t="s">
        <v>7018</v>
      </c>
      <c r="E2067" s="184"/>
      <c r="G2067" s="184"/>
      <c r="I2067" s="184"/>
      <c r="J2067" t="s">
        <v>595</v>
      </c>
      <c r="K2067" s="184">
        <v>38777</v>
      </c>
      <c r="M2067" s="184"/>
      <c r="N2067" t="s">
        <v>595</v>
      </c>
      <c r="O2067" s="184">
        <v>40641</v>
      </c>
      <c r="P2067" t="s">
        <v>7045</v>
      </c>
      <c r="Q2067" t="s">
        <v>7494</v>
      </c>
      <c r="R2067" s="184">
        <v>13752</v>
      </c>
      <c r="S2067">
        <v>86</v>
      </c>
      <c r="U2067" t="s">
        <v>7076</v>
      </c>
      <c r="V2067" t="s">
        <v>2586</v>
      </c>
      <c r="W2067" t="s">
        <v>4139</v>
      </c>
      <c r="X2067" t="s">
        <v>2585</v>
      </c>
      <c r="AF2067" t="s">
        <v>18721</v>
      </c>
      <c r="AG2067" t="s">
        <v>2586</v>
      </c>
      <c r="AI2067" t="s">
        <v>18722</v>
      </c>
      <c r="AM2067" t="s">
        <v>2587</v>
      </c>
      <c r="AN2067" t="s">
        <v>2174</v>
      </c>
      <c r="AO2067" t="s">
        <v>18723</v>
      </c>
      <c r="AP2067" t="s">
        <v>7024</v>
      </c>
      <c r="AT2067" s="184">
        <v>35492</v>
      </c>
      <c r="AU2067" t="s">
        <v>18724</v>
      </c>
      <c r="AV2067">
        <v>15</v>
      </c>
      <c r="AW2067" s="184">
        <v>44851</v>
      </c>
      <c r="AX2067" t="s">
        <v>18725</v>
      </c>
      <c r="AY2067">
        <v>25</v>
      </c>
      <c r="AZ2067" s="184">
        <v>42409</v>
      </c>
      <c r="BA2067" t="s">
        <v>7100</v>
      </c>
      <c r="BB2067">
        <v>31872</v>
      </c>
      <c r="BC2067">
        <v>54</v>
      </c>
      <c r="BD2067">
        <v>105787</v>
      </c>
      <c r="BE2067">
        <v>1997</v>
      </c>
      <c r="BF2067">
        <v>20</v>
      </c>
      <c r="BG2067">
        <v>1</v>
      </c>
      <c r="BH2067">
        <v>25</v>
      </c>
      <c r="BI2067">
        <v>15</v>
      </c>
      <c r="BJ2067">
        <v>28</v>
      </c>
      <c r="BK2067">
        <v>4</v>
      </c>
      <c r="BM2067" t="s">
        <v>595</v>
      </c>
      <c r="BP2067" s="184"/>
    </row>
    <row r="2068" spans="1:68">
      <c r="A2068">
        <v>24643777</v>
      </c>
      <c r="B2068">
        <v>24643777</v>
      </c>
      <c r="C2068" t="s">
        <v>7018</v>
      </c>
      <c r="D2068" t="s">
        <v>595</v>
      </c>
      <c r="E2068" s="184">
        <v>44104</v>
      </c>
      <c r="G2068" s="184"/>
      <c r="I2068" s="184"/>
      <c r="K2068" s="184"/>
      <c r="M2068" s="184"/>
      <c r="O2068" s="184"/>
      <c r="P2068" t="s">
        <v>7045</v>
      </c>
      <c r="Q2068" t="s">
        <v>7383</v>
      </c>
      <c r="R2068" s="184">
        <v>22126</v>
      </c>
      <c r="S2068">
        <v>63</v>
      </c>
      <c r="U2068" t="s">
        <v>7076</v>
      </c>
      <c r="V2068" t="s">
        <v>14917</v>
      </c>
      <c r="X2068" t="s">
        <v>18726</v>
      </c>
      <c r="Z2068">
        <v>100656319</v>
      </c>
      <c r="AB2068" t="s">
        <v>2979</v>
      </c>
      <c r="AD2068" t="s">
        <v>18726</v>
      </c>
      <c r="AF2068" t="s">
        <v>18727</v>
      </c>
      <c r="AG2068" t="s">
        <v>14917</v>
      </c>
      <c r="AI2068" t="s">
        <v>18728</v>
      </c>
      <c r="AM2068" t="s">
        <v>18729</v>
      </c>
      <c r="AN2068" t="s">
        <v>2313</v>
      </c>
      <c r="AO2068" t="s">
        <v>18730</v>
      </c>
      <c r="AP2068" t="s">
        <v>7024</v>
      </c>
      <c r="AQ2068" t="s">
        <v>18731</v>
      </c>
      <c r="AT2068" s="184">
        <v>35492</v>
      </c>
      <c r="AU2068" t="s">
        <v>18732</v>
      </c>
      <c r="AV2068">
        <v>15</v>
      </c>
      <c r="AW2068" s="184">
        <v>45187</v>
      </c>
      <c r="AX2068" t="s">
        <v>7245</v>
      </c>
      <c r="AY2068">
        <v>135</v>
      </c>
      <c r="AZ2068" s="184">
        <v>45187</v>
      </c>
      <c r="BA2068" t="s">
        <v>7245</v>
      </c>
      <c r="BB2068">
        <v>135</v>
      </c>
      <c r="BC2068">
        <v>75</v>
      </c>
      <c r="BD2068">
        <v>995</v>
      </c>
      <c r="BE2068">
        <v>1997</v>
      </c>
      <c r="BF2068">
        <v>23</v>
      </c>
      <c r="BG2068">
        <v>2</v>
      </c>
      <c r="BH2068">
        <v>225</v>
      </c>
      <c r="BI2068">
        <v>21</v>
      </c>
      <c r="BJ2068">
        <v>28</v>
      </c>
      <c r="BK2068">
        <v>7</v>
      </c>
      <c r="BP2068" s="184"/>
    </row>
    <row r="2069" spans="1:68">
      <c r="A2069">
        <v>24685125</v>
      </c>
      <c r="B2069">
        <v>24685125</v>
      </c>
      <c r="C2069" t="s">
        <v>7018</v>
      </c>
      <c r="D2069" t="s">
        <v>595</v>
      </c>
      <c r="E2069" s="184">
        <v>43892</v>
      </c>
      <c r="G2069" s="184"/>
      <c r="I2069" s="184"/>
      <c r="K2069" s="184"/>
      <c r="M2069" s="184"/>
      <c r="O2069" s="184"/>
      <c r="P2069" t="s">
        <v>7045</v>
      </c>
      <c r="Q2069" t="s">
        <v>7160</v>
      </c>
      <c r="R2069" s="184">
        <v>12758</v>
      </c>
      <c r="S2069">
        <v>89</v>
      </c>
      <c r="V2069" t="s">
        <v>18733</v>
      </c>
      <c r="X2069" t="s">
        <v>18734</v>
      </c>
      <c r="AF2069" t="s">
        <v>18735</v>
      </c>
      <c r="AG2069" t="s">
        <v>18733</v>
      </c>
      <c r="AI2069" t="s">
        <v>18736</v>
      </c>
      <c r="AM2069" t="s">
        <v>18737</v>
      </c>
      <c r="AN2069" t="s">
        <v>2395</v>
      </c>
      <c r="AO2069" t="s">
        <v>18738</v>
      </c>
      <c r="AP2069" t="s">
        <v>7024</v>
      </c>
      <c r="AQ2069" t="s">
        <v>18739</v>
      </c>
      <c r="AT2069" s="184">
        <v>35495</v>
      </c>
      <c r="AU2069" t="s">
        <v>18740</v>
      </c>
      <c r="AV2069">
        <v>25</v>
      </c>
      <c r="AW2069" s="184">
        <v>43096</v>
      </c>
      <c r="AX2069" t="s">
        <v>18741</v>
      </c>
      <c r="AY2069">
        <v>40</v>
      </c>
      <c r="AZ2069" s="184">
        <v>38362</v>
      </c>
      <c r="BA2069" t="s">
        <v>18742</v>
      </c>
      <c r="BB2069">
        <v>65</v>
      </c>
      <c r="BC2069">
        <v>43</v>
      </c>
      <c r="BD2069">
        <v>515</v>
      </c>
      <c r="BE2069">
        <v>1997</v>
      </c>
      <c r="BF2069">
        <v>14</v>
      </c>
      <c r="BI2069">
        <v>12</v>
      </c>
      <c r="BJ2069">
        <v>28</v>
      </c>
      <c r="BK2069">
        <v>5</v>
      </c>
      <c r="BP2069" s="184"/>
    </row>
    <row r="2070" spans="1:68">
      <c r="A2070">
        <v>24690984</v>
      </c>
      <c r="B2070">
        <v>24690984</v>
      </c>
      <c r="C2070" t="s">
        <v>7018</v>
      </c>
      <c r="D2070" t="s">
        <v>595</v>
      </c>
      <c r="E2070" s="184">
        <v>44755</v>
      </c>
      <c r="G2070" s="184"/>
      <c r="I2070" s="184"/>
      <c r="J2070" t="s">
        <v>595</v>
      </c>
      <c r="K2070" s="184">
        <v>44756</v>
      </c>
      <c r="M2070" s="184"/>
      <c r="P2070" t="s">
        <v>7045</v>
      </c>
      <c r="Q2070" t="s">
        <v>7020</v>
      </c>
      <c r="R2070" s="184">
        <v>14305</v>
      </c>
      <c r="S2070">
        <v>85</v>
      </c>
      <c r="V2070" t="s">
        <v>3689</v>
      </c>
      <c r="W2070" t="s">
        <v>3689</v>
      </c>
      <c r="X2070" t="s">
        <v>18743</v>
      </c>
      <c r="Y2070" t="s">
        <v>7327</v>
      </c>
      <c r="AF2070" t="s">
        <v>18744</v>
      </c>
      <c r="AG2070" t="s">
        <v>3689</v>
      </c>
      <c r="AI2070" t="s">
        <v>18745</v>
      </c>
      <c r="AM2070" t="s">
        <v>18746</v>
      </c>
      <c r="AN2070" t="s">
        <v>2112</v>
      </c>
      <c r="AO2070" t="s">
        <v>18747</v>
      </c>
      <c r="AP2070" t="s">
        <v>7024</v>
      </c>
      <c r="AQ2070" t="s">
        <v>18748</v>
      </c>
      <c r="AR2070" t="s">
        <v>18749</v>
      </c>
      <c r="AT2070" s="184">
        <v>35495</v>
      </c>
      <c r="AU2070" t="s">
        <v>18750</v>
      </c>
      <c r="AV2070">
        <v>5</v>
      </c>
      <c r="AW2070" s="184">
        <v>45064</v>
      </c>
      <c r="AX2070" t="s">
        <v>10165</v>
      </c>
      <c r="AY2070">
        <v>25</v>
      </c>
      <c r="AZ2070" s="184">
        <v>41473</v>
      </c>
      <c r="BA2070" t="s">
        <v>18751</v>
      </c>
      <c r="BB2070">
        <v>35</v>
      </c>
      <c r="BC2070">
        <v>72</v>
      </c>
      <c r="BD2070">
        <v>497</v>
      </c>
      <c r="BE2070">
        <v>1997</v>
      </c>
      <c r="BF2070">
        <v>21</v>
      </c>
      <c r="BG2070">
        <v>2</v>
      </c>
      <c r="BH2070">
        <v>50</v>
      </c>
      <c r="BI2070">
        <v>20</v>
      </c>
      <c r="BJ2070">
        <v>28</v>
      </c>
      <c r="BK2070">
        <v>8</v>
      </c>
      <c r="BN2070" t="s">
        <v>595</v>
      </c>
      <c r="BP2070" s="184"/>
    </row>
    <row r="2071" spans="1:68">
      <c r="A2071">
        <v>24721706</v>
      </c>
      <c r="B2071">
        <v>24721706</v>
      </c>
      <c r="C2071" t="s">
        <v>7018</v>
      </c>
      <c r="D2071" t="s">
        <v>595</v>
      </c>
      <c r="E2071" s="184">
        <v>43642</v>
      </c>
      <c r="G2071" s="184"/>
      <c r="K2071" s="184"/>
      <c r="M2071" s="184"/>
      <c r="P2071" t="s">
        <v>7045</v>
      </c>
      <c r="Q2071" t="s">
        <v>7262</v>
      </c>
      <c r="R2071" s="184">
        <v>9588</v>
      </c>
      <c r="S2071">
        <v>98</v>
      </c>
      <c r="U2071" t="s">
        <v>7031</v>
      </c>
      <c r="V2071" t="s">
        <v>2665</v>
      </c>
      <c r="W2071" t="s">
        <v>2316</v>
      </c>
      <c r="X2071" t="s">
        <v>3094</v>
      </c>
      <c r="Z2071">
        <v>100065594</v>
      </c>
      <c r="AF2071" t="s">
        <v>18752</v>
      </c>
      <c r="AG2071" t="s">
        <v>18753</v>
      </c>
      <c r="AI2071" t="s">
        <v>18754</v>
      </c>
      <c r="AM2071" t="s">
        <v>2987</v>
      </c>
      <c r="AN2071" t="s">
        <v>2106</v>
      </c>
      <c r="AO2071" t="s">
        <v>18755</v>
      </c>
      <c r="AP2071" t="s">
        <v>7024</v>
      </c>
      <c r="AQ2071" t="s">
        <v>18756</v>
      </c>
      <c r="AR2071" t="s">
        <v>18757</v>
      </c>
      <c r="AT2071" s="184">
        <v>35496</v>
      </c>
      <c r="AU2071" t="s">
        <v>18758</v>
      </c>
      <c r="AV2071">
        <v>15</v>
      </c>
      <c r="AW2071" s="184">
        <v>44651</v>
      </c>
      <c r="AX2071" t="s">
        <v>18759</v>
      </c>
      <c r="AY2071">
        <v>100</v>
      </c>
      <c r="AZ2071" s="184">
        <v>44651</v>
      </c>
      <c r="BA2071" t="s">
        <v>18759</v>
      </c>
      <c r="BB2071">
        <v>100</v>
      </c>
      <c r="BC2071">
        <v>86</v>
      </c>
      <c r="BD2071">
        <v>1435</v>
      </c>
      <c r="BE2071">
        <v>1997</v>
      </c>
      <c r="BF2071">
        <v>35</v>
      </c>
      <c r="BI2071">
        <v>24</v>
      </c>
      <c r="BJ2071">
        <v>28</v>
      </c>
      <c r="BK2071">
        <v>23</v>
      </c>
    </row>
    <row r="2072" spans="1:68">
      <c r="A2072">
        <v>100065594</v>
      </c>
      <c r="B2072">
        <v>24721706</v>
      </c>
      <c r="C2072" t="s">
        <v>7018</v>
      </c>
      <c r="D2072" t="s">
        <v>595</v>
      </c>
      <c r="E2072" s="184">
        <v>43642</v>
      </c>
      <c r="G2072" s="184"/>
      <c r="K2072" s="184"/>
      <c r="M2072" s="184"/>
      <c r="O2072" s="184"/>
      <c r="P2072" t="s">
        <v>7045</v>
      </c>
      <c r="Q2072" t="s">
        <v>7262</v>
      </c>
      <c r="R2072" s="184"/>
      <c r="Z2072">
        <v>24721706</v>
      </c>
      <c r="AA2072" t="s">
        <v>7031</v>
      </c>
      <c r="AB2072" t="s">
        <v>2665</v>
      </c>
      <c r="AC2072" t="s">
        <v>2316</v>
      </c>
      <c r="AD2072" t="s">
        <v>3094</v>
      </c>
      <c r="AF2072" t="s">
        <v>18752</v>
      </c>
      <c r="AG2072" t="s">
        <v>18753</v>
      </c>
      <c r="AI2072" t="s">
        <v>18754</v>
      </c>
      <c r="AM2072" t="s">
        <v>2987</v>
      </c>
      <c r="AN2072" t="s">
        <v>2106</v>
      </c>
      <c r="AO2072" t="s">
        <v>18755</v>
      </c>
      <c r="AP2072" t="s">
        <v>7024</v>
      </c>
      <c r="AQ2072" t="s">
        <v>18760</v>
      </c>
      <c r="AT2072" s="184"/>
      <c r="AW2072" s="184"/>
      <c r="AZ2072" s="184"/>
      <c r="BP2072" s="184"/>
    </row>
    <row r="2073" spans="1:68">
      <c r="A2073">
        <v>24791667</v>
      </c>
      <c r="B2073">
        <v>24791667</v>
      </c>
      <c r="C2073" t="s">
        <v>7018</v>
      </c>
      <c r="D2073" t="s">
        <v>595</v>
      </c>
      <c r="E2073" s="184">
        <v>43647</v>
      </c>
      <c r="G2073" s="184"/>
      <c r="I2073" s="184"/>
      <c r="K2073" s="184"/>
      <c r="O2073" s="184"/>
      <c r="P2073" t="s">
        <v>7045</v>
      </c>
      <c r="Q2073" t="s">
        <v>7383</v>
      </c>
      <c r="R2073" s="184">
        <v>12206</v>
      </c>
      <c r="S2073">
        <v>90</v>
      </c>
      <c r="V2073" t="s">
        <v>3536</v>
      </c>
      <c r="X2073" t="s">
        <v>3537</v>
      </c>
      <c r="AF2073" t="s">
        <v>18761</v>
      </c>
      <c r="AG2073" t="s">
        <v>3536</v>
      </c>
      <c r="AI2073" t="s">
        <v>18762</v>
      </c>
      <c r="AM2073" t="s">
        <v>3538</v>
      </c>
      <c r="AN2073" t="s">
        <v>2185</v>
      </c>
      <c r="AO2073" t="s">
        <v>18763</v>
      </c>
      <c r="AP2073" t="s">
        <v>7024</v>
      </c>
      <c r="AQ2073" t="s">
        <v>18764</v>
      </c>
      <c r="AT2073" s="184">
        <v>35501</v>
      </c>
      <c r="AU2073" t="s">
        <v>18765</v>
      </c>
      <c r="AV2073">
        <v>5</v>
      </c>
      <c r="AW2073" s="184">
        <v>39069</v>
      </c>
      <c r="AX2073" t="s">
        <v>18766</v>
      </c>
      <c r="AY2073">
        <v>35</v>
      </c>
      <c r="AZ2073" s="184">
        <v>39069</v>
      </c>
      <c r="BA2073" t="s">
        <v>18766</v>
      </c>
      <c r="BB2073">
        <v>35</v>
      </c>
      <c r="BC2073">
        <v>33</v>
      </c>
      <c r="BD2073">
        <v>490</v>
      </c>
      <c r="BE2073">
        <v>1997</v>
      </c>
      <c r="BF2073">
        <v>17</v>
      </c>
      <c r="BI2073">
        <v>9</v>
      </c>
      <c r="BJ2073">
        <v>28</v>
      </c>
      <c r="BK2073">
        <v>5</v>
      </c>
      <c r="BP2073" s="184"/>
    </row>
    <row r="2074" spans="1:68">
      <c r="A2074">
        <v>24827065</v>
      </c>
      <c r="B2074">
        <v>24827065</v>
      </c>
      <c r="C2074" t="s">
        <v>7018</v>
      </c>
      <c r="D2074" t="s">
        <v>595</v>
      </c>
      <c r="E2074" s="184">
        <v>43642</v>
      </c>
      <c r="G2074" s="184"/>
      <c r="I2074" s="184"/>
      <c r="K2074" s="184"/>
      <c r="O2074" s="184"/>
      <c r="P2074" t="s">
        <v>7045</v>
      </c>
      <c r="Q2074" t="s">
        <v>7020</v>
      </c>
      <c r="R2074" s="184">
        <v>20059</v>
      </c>
      <c r="S2074">
        <v>69</v>
      </c>
      <c r="U2074" t="s">
        <v>7076</v>
      </c>
      <c r="V2074" t="s">
        <v>3276</v>
      </c>
      <c r="W2074" t="s">
        <v>3332</v>
      </c>
      <c r="X2074" t="s">
        <v>3277</v>
      </c>
      <c r="AF2074" t="s">
        <v>18767</v>
      </c>
      <c r="AG2074" t="s">
        <v>3276</v>
      </c>
      <c r="AI2074" t="s">
        <v>18768</v>
      </c>
      <c r="AM2074" t="s">
        <v>3278</v>
      </c>
      <c r="AN2074" t="s">
        <v>2240</v>
      </c>
      <c r="AO2074" t="s">
        <v>18769</v>
      </c>
      <c r="AP2074" t="s">
        <v>7024</v>
      </c>
      <c r="AT2074" s="184">
        <v>35506</v>
      </c>
      <c r="AU2074" t="s">
        <v>18770</v>
      </c>
      <c r="AV2074">
        <v>15</v>
      </c>
      <c r="AW2074" s="184">
        <v>43476</v>
      </c>
      <c r="AX2074" t="s">
        <v>18771</v>
      </c>
      <c r="AY2074">
        <v>50</v>
      </c>
      <c r="AZ2074" s="184">
        <v>43476</v>
      </c>
      <c r="BA2074" t="s">
        <v>18771</v>
      </c>
      <c r="BB2074">
        <v>50</v>
      </c>
      <c r="BC2074">
        <v>40</v>
      </c>
      <c r="BD2074">
        <v>315</v>
      </c>
      <c r="BE2074">
        <v>1997</v>
      </c>
      <c r="BF2074">
        <v>12</v>
      </c>
      <c r="BI2074">
        <v>11</v>
      </c>
      <c r="BJ2074">
        <v>28</v>
      </c>
      <c r="BK2074">
        <v>8</v>
      </c>
      <c r="BP2074" s="184"/>
    </row>
    <row r="2075" spans="1:68">
      <c r="A2075">
        <v>24844078</v>
      </c>
      <c r="B2075">
        <v>24844078</v>
      </c>
      <c r="C2075" t="s">
        <v>7018</v>
      </c>
      <c r="D2075" t="s">
        <v>595</v>
      </c>
      <c r="E2075" s="184">
        <v>44167</v>
      </c>
      <c r="G2075" s="184"/>
      <c r="I2075" s="184"/>
      <c r="K2075" s="184"/>
      <c r="P2075" t="s">
        <v>7045</v>
      </c>
      <c r="Q2075" t="s">
        <v>7454</v>
      </c>
      <c r="R2075" s="184">
        <v>18415</v>
      </c>
      <c r="S2075">
        <v>73</v>
      </c>
      <c r="U2075" t="s">
        <v>7076</v>
      </c>
      <c r="V2075" t="s">
        <v>2609</v>
      </c>
      <c r="X2075" t="s">
        <v>18772</v>
      </c>
      <c r="AF2075" t="s">
        <v>18773</v>
      </c>
      <c r="AG2075" t="s">
        <v>2609</v>
      </c>
      <c r="AI2075" t="s">
        <v>18774</v>
      </c>
      <c r="AM2075" t="s">
        <v>18775</v>
      </c>
      <c r="AN2075" t="s">
        <v>2299</v>
      </c>
      <c r="AO2075" t="s">
        <v>18776</v>
      </c>
      <c r="AP2075" t="s">
        <v>7024</v>
      </c>
      <c r="AQ2075" t="s">
        <v>18777</v>
      </c>
      <c r="AR2075" t="s">
        <v>18778</v>
      </c>
      <c r="AT2075" s="184">
        <v>35506</v>
      </c>
      <c r="AU2075" t="s">
        <v>18779</v>
      </c>
      <c r="AV2075">
        <v>5</v>
      </c>
      <c r="AW2075" s="184">
        <v>44936</v>
      </c>
      <c r="AX2075" t="s">
        <v>17054</v>
      </c>
      <c r="AY2075">
        <v>10</v>
      </c>
      <c r="AZ2075" s="184">
        <v>44155</v>
      </c>
      <c r="BA2075" t="s">
        <v>18780</v>
      </c>
      <c r="BB2075">
        <v>25</v>
      </c>
      <c r="BC2075">
        <v>54</v>
      </c>
      <c r="BD2075">
        <v>305</v>
      </c>
      <c r="BE2075">
        <v>1997</v>
      </c>
      <c r="BF2075">
        <v>22</v>
      </c>
      <c r="BG2075">
        <v>1</v>
      </c>
      <c r="BH2075">
        <v>10</v>
      </c>
      <c r="BI2075">
        <v>15</v>
      </c>
      <c r="BJ2075">
        <v>28</v>
      </c>
      <c r="BK2075">
        <v>5</v>
      </c>
      <c r="BP2075" s="184"/>
    </row>
    <row r="2076" spans="1:68">
      <c r="A2076">
        <v>24849622</v>
      </c>
      <c r="B2076">
        <v>24849622</v>
      </c>
      <c r="C2076" t="s">
        <v>7018</v>
      </c>
      <c r="E2076" s="184"/>
      <c r="G2076" s="184"/>
      <c r="I2076" s="184"/>
      <c r="J2076" t="s">
        <v>595</v>
      </c>
      <c r="K2076" s="184">
        <v>45398</v>
      </c>
      <c r="O2076" s="184"/>
      <c r="P2076" t="s">
        <v>7019</v>
      </c>
      <c r="Q2076" t="s">
        <v>7160</v>
      </c>
      <c r="R2076" s="184">
        <v>9490</v>
      </c>
      <c r="S2076">
        <v>98</v>
      </c>
      <c r="U2076" t="s">
        <v>7130</v>
      </c>
      <c r="V2076" t="s">
        <v>18781</v>
      </c>
      <c r="X2076" t="s">
        <v>3163</v>
      </c>
      <c r="AF2076" t="s">
        <v>18782</v>
      </c>
      <c r="AG2076" t="s">
        <v>18781</v>
      </c>
      <c r="AI2076" t="s">
        <v>18783</v>
      </c>
      <c r="AM2076" t="s">
        <v>18784</v>
      </c>
      <c r="AN2076" t="s">
        <v>4637</v>
      </c>
      <c r="AO2076" t="s">
        <v>18785</v>
      </c>
      <c r="AP2076" t="s">
        <v>7024</v>
      </c>
      <c r="AQ2076" t="s">
        <v>18786</v>
      </c>
      <c r="AT2076" s="184">
        <v>35506</v>
      </c>
      <c r="AU2076" t="s">
        <v>18787</v>
      </c>
      <c r="AV2076">
        <v>10</v>
      </c>
      <c r="AW2076" s="184">
        <v>45042</v>
      </c>
      <c r="AX2076" t="s">
        <v>18788</v>
      </c>
      <c r="AY2076">
        <v>87</v>
      </c>
      <c r="AZ2076" s="184">
        <v>45042</v>
      </c>
      <c r="BA2076" t="s">
        <v>18788</v>
      </c>
      <c r="BB2076">
        <v>87</v>
      </c>
      <c r="BC2076">
        <v>68</v>
      </c>
      <c r="BD2076">
        <v>1081</v>
      </c>
      <c r="BE2076">
        <v>1997</v>
      </c>
      <c r="BF2076">
        <v>30</v>
      </c>
      <c r="BG2076">
        <v>1</v>
      </c>
      <c r="BH2076">
        <v>87</v>
      </c>
      <c r="BI2076">
        <v>19</v>
      </c>
      <c r="BJ2076">
        <v>28</v>
      </c>
      <c r="BK2076">
        <v>7</v>
      </c>
      <c r="BN2076" t="s">
        <v>595</v>
      </c>
      <c r="BP2076" s="184"/>
    </row>
    <row r="2077" spans="1:68">
      <c r="A2077">
        <v>24886038</v>
      </c>
      <c r="B2077">
        <v>24886038</v>
      </c>
      <c r="C2077" t="s">
        <v>7018</v>
      </c>
      <c r="D2077" t="s">
        <v>595</v>
      </c>
      <c r="E2077" s="184">
        <v>43647</v>
      </c>
      <c r="G2077" s="184"/>
      <c r="I2077" s="184"/>
      <c r="K2077" s="184"/>
      <c r="M2077" s="184"/>
      <c r="O2077" s="184"/>
      <c r="P2077" t="s">
        <v>7045</v>
      </c>
      <c r="Q2077" t="s">
        <v>7020</v>
      </c>
      <c r="R2077" s="184">
        <v>14609</v>
      </c>
      <c r="S2077">
        <v>84</v>
      </c>
      <c r="U2077" t="s">
        <v>7076</v>
      </c>
      <c r="V2077" t="s">
        <v>2602</v>
      </c>
      <c r="X2077" t="s">
        <v>3539</v>
      </c>
      <c r="AF2077" t="s">
        <v>18789</v>
      </c>
      <c r="AG2077" t="s">
        <v>2602</v>
      </c>
      <c r="AI2077" t="s">
        <v>18790</v>
      </c>
      <c r="AM2077" t="s">
        <v>3060</v>
      </c>
      <c r="AN2077" t="s">
        <v>2112</v>
      </c>
      <c r="AO2077" t="s">
        <v>18791</v>
      </c>
      <c r="AP2077" t="s">
        <v>7024</v>
      </c>
      <c r="AT2077" s="184">
        <v>35507</v>
      </c>
      <c r="AU2077" t="s">
        <v>18792</v>
      </c>
      <c r="AV2077">
        <v>15</v>
      </c>
      <c r="AW2077" s="184">
        <v>45198</v>
      </c>
      <c r="AX2077" t="s">
        <v>11934</v>
      </c>
      <c r="AY2077">
        <v>25</v>
      </c>
      <c r="AZ2077" s="184">
        <v>45198</v>
      </c>
      <c r="BA2077" t="s">
        <v>11934</v>
      </c>
      <c r="BB2077">
        <v>25</v>
      </c>
      <c r="BC2077">
        <v>43</v>
      </c>
      <c r="BD2077">
        <v>285</v>
      </c>
      <c r="BE2077">
        <v>1997</v>
      </c>
      <c r="BF2077">
        <v>15</v>
      </c>
      <c r="BG2077">
        <v>2</v>
      </c>
      <c r="BH2077">
        <v>50</v>
      </c>
      <c r="BI2077">
        <v>12</v>
      </c>
      <c r="BJ2077">
        <v>28</v>
      </c>
      <c r="BK2077">
        <v>10</v>
      </c>
      <c r="BP2077" s="184"/>
    </row>
    <row r="2078" spans="1:68">
      <c r="A2078">
        <v>24906059</v>
      </c>
      <c r="B2078">
        <v>24906059</v>
      </c>
      <c r="C2078" t="s">
        <v>7018</v>
      </c>
      <c r="D2078" t="s">
        <v>595</v>
      </c>
      <c r="E2078" s="184">
        <v>43745</v>
      </c>
      <c r="G2078" s="184"/>
      <c r="I2078" s="184"/>
      <c r="K2078" s="184"/>
      <c r="M2078" s="184"/>
      <c r="P2078" t="s">
        <v>7045</v>
      </c>
      <c r="Q2078" t="s">
        <v>7494</v>
      </c>
      <c r="R2078" s="184">
        <v>13180</v>
      </c>
      <c r="S2078">
        <v>88</v>
      </c>
      <c r="U2078" t="s">
        <v>7076</v>
      </c>
      <c r="V2078" t="s">
        <v>3542</v>
      </c>
      <c r="X2078" t="s">
        <v>4117</v>
      </c>
      <c r="AF2078" t="s">
        <v>18793</v>
      </c>
      <c r="AG2078" t="s">
        <v>3542</v>
      </c>
      <c r="AI2078" t="s">
        <v>18794</v>
      </c>
      <c r="AM2078" t="s">
        <v>3770</v>
      </c>
      <c r="AN2078" t="s">
        <v>2174</v>
      </c>
      <c r="AO2078" t="s">
        <v>18795</v>
      </c>
      <c r="AP2078" t="s">
        <v>7024</v>
      </c>
      <c r="AQ2078" t="s">
        <v>18796</v>
      </c>
      <c r="AT2078" s="184">
        <v>35508</v>
      </c>
      <c r="AU2078" t="s">
        <v>18797</v>
      </c>
      <c r="AV2078">
        <v>10</v>
      </c>
      <c r="AW2078" s="184">
        <v>45295</v>
      </c>
      <c r="AX2078" t="s">
        <v>18798</v>
      </c>
      <c r="AY2078">
        <v>200</v>
      </c>
      <c r="AZ2078" s="184">
        <v>43796</v>
      </c>
      <c r="BA2078" t="s">
        <v>18799</v>
      </c>
      <c r="BB2078">
        <v>300</v>
      </c>
      <c r="BC2078">
        <v>54</v>
      </c>
      <c r="BD2078">
        <v>2160</v>
      </c>
      <c r="BE2078">
        <v>1997</v>
      </c>
      <c r="BF2078">
        <v>21</v>
      </c>
      <c r="BG2078">
        <v>1</v>
      </c>
      <c r="BH2078">
        <v>200</v>
      </c>
      <c r="BI2078">
        <v>15</v>
      </c>
      <c r="BJ2078">
        <v>28</v>
      </c>
      <c r="BK2078">
        <v>4</v>
      </c>
      <c r="BN2078" t="s">
        <v>595</v>
      </c>
      <c r="BP2078" s="184"/>
    </row>
    <row r="2079" spans="1:68">
      <c r="A2079">
        <v>24922049</v>
      </c>
      <c r="B2079">
        <v>24922049</v>
      </c>
      <c r="C2079" t="s">
        <v>7018</v>
      </c>
      <c r="D2079" t="s">
        <v>595</v>
      </c>
      <c r="E2079" s="184">
        <v>43773</v>
      </c>
      <c r="G2079" s="184"/>
      <c r="I2079" s="184"/>
      <c r="K2079" s="184"/>
      <c r="P2079" t="s">
        <v>7019</v>
      </c>
      <c r="Q2079" t="s">
        <v>7374</v>
      </c>
      <c r="R2079" s="184">
        <v>19238</v>
      </c>
      <c r="S2079">
        <v>71</v>
      </c>
      <c r="U2079" t="s">
        <v>7031</v>
      </c>
      <c r="V2079" t="s">
        <v>2979</v>
      </c>
      <c r="W2079" t="s">
        <v>7067</v>
      </c>
      <c r="X2079" t="s">
        <v>4260</v>
      </c>
      <c r="AF2079" t="s">
        <v>18800</v>
      </c>
      <c r="AG2079" t="s">
        <v>2979</v>
      </c>
      <c r="AI2079" t="s">
        <v>18801</v>
      </c>
      <c r="AM2079" t="s">
        <v>3109</v>
      </c>
      <c r="AN2079" t="s">
        <v>2081</v>
      </c>
      <c r="AO2079" t="s">
        <v>18802</v>
      </c>
      <c r="AP2079" t="s">
        <v>7024</v>
      </c>
      <c r="AT2079" s="184">
        <v>35509</v>
      </c>
      <c r="AU2079" t="s">
        <v>18787</v>
      </c>
      <c r="AV2079">
        <v>5</v>
      </c>
      <c r="AW2079" s="184">
        <v>44994</v>
      </c>
      <c r="AX2079" t="s">
        <v>12922</v>
      </c>
      <c r="AY2079">
        <v>60</v>
      </c>
      <c r="AZ2079" s="184">
        <v>44994</v>
      </c>
      <c r="BA2079" t="s">
        <v>12922</v>
      </c>
      <c r="BB2079">
        <v>60</v>
      </c>
      <c r="BC2079">
        <v>47</v>
      </c>
      <c r="BD2079">
        <v>334</v>
      </c>
      <c r="BE2079">
        <v>1997</v>
      </c>
      <c r="BF2079">
        <v>14</v>
      </c>
      <c r="BG2079">
        <v>2</v>
      </c>
      <c r="BH2079">
        <v>90</v>
      </c>
      <c r="BI2079">
        <v>13</v>
      </c>
      <c r="BJ2079">
        <v>28</v>
      </c>
      <c r="BK2079">
        <v>3</v>
      </c>
      <c r="BP2079" s="184"/>
    </row>
    <row r="2080" spans="1:68">
      <c r="A2080">
        <v>24927501</v>
      </c>
      <c r="B2080">
        <v>24927501</v>
      </c>
      <c r="C2080" t="s">
        <v>7018</v>
      </c>
      <c r="D2080" t="s">
        <v>595</v>
      </c>
      <c r="E2080" s="184">
        <v>44167</v>
      </c>
      <c r="G2080" s="184"/>
      <c r="I2080" s="184"/>
      <c r="K2080" s="184"/>
      <c r="P2080" t="s">
        <v>7045</v>
      </c>
      <c r="Q2080" t="s">
        <v>7020</v>
      </c>
      <c r="R2080" s="184">
        <v>22024</v>
      </c>
      <c r="S2080">
        <v>64</v>
      </c>
      <c r="U2080" t="s">
        <v>7076</v>
      </c>
      <c r="V2080" t="s">
        <v>4330</v>
      </c>
      <c r="X2080" t="s">
        <v>18803</v>
      </c>
      <c r="AF2080" t="s">
        <v>18804</v>
      </c>
      <c r="AG2080" t="s">
        <v>4330</v>
      </c>
      <c r="AI2080" t="s">
        <v>18805</v>
      </c>
      <c r="AM2080" t="s">
        <v>18806</v>
      </c>
      <c r="AN2080" t="s">
        <v>2052</v>
      </c>
      <c r="AO2080" t="s">
        <v>18807</v>
      </c>
      <c r="AP2080" t="s">
        <v>7024</v>
      </c>
      <c r="AQ2080" t="s">
        <v>18808</v>
      </c>
      <c r="AR2080" t="s">
        <v>18809</v>
      </c>
      <c r="AT2080" s="184">
        <v>35510</v>
      </c>
      <c r="AU2080" t="s">
        <v>18810</v>
      </c>
      <c r="AV2080">
        <v>25</v>
      </c>
      <c r="AW2080" s="184">
        <v>39181</v>
      </c>
      <c r="AX2080" t="s">
        <v>18811</v>
      </c>
      <c r="AY2080">
        <v>75</v>
      </c>
      <c r="AZ2080" s="184">
        <v>39181</v>
      </c>
      <c r="BA2080" t="s">
        <v>18811</v>
      </c>
      <c r="BB2080">
        <v>75</v>
      </c>
      <c r="BC2080">
        <v>40</v>
      </c>
      <c r="BD2080">
        <v>580</v>
      </c>
      <c r="BE2080">
        <v>1997</v>
      </c>
      <c r="BF2080">
        <v>17</v>
      </c>
      <c r="BI2080">
        <v>11</v>
      </c>
      <c r="BJ2080">
        <v>28</v>
      </c>
      <c r="BK2080">
        <v>11</v>
      </c>
      <c r="BN2080" t="s">
        <v>595</v>
      </c>
      <c r="BP2080" s="184"/>
    </row>
    <row r="2081" spans="1:68">
      <c r="A2081">
        <v>24927659</v>
      </c>
      <c r="B2081">
        <v>24927659</v>
      </c>
      <c r="C2081" t="s">
        <v>7018</v>
      </c>
      <c r="E2081" s="184"/>
      <c r="F2081" t="s">
        <v>595</v>
      </c>
      <c r="G2081" s="184">
        <v>43731</v>
      </c>
      <c r="I2081" s="184"/>
      <c r="K2081" s="184"/>
      <c r="O2081" s="184"/>
      <c r="P2081" t="s">
        <v>7045</v>
      </c>
      <c r="Q2081" t="s">
        <v>7383</v>
      </c>
      <c r="R2081" s="184">
        <v>16556</v>
      </c>
      <c r="S2081">
        <v>79</v>
      </c>
      <c r="U2081" t="s">
        <v>7076</v>
      </c>
      <c r="V2081" t="s">
        <v>3968</v>
      </c>
      <c r="X2081" t="s">
        <v>3969</v>
      </c>
      <c r="AF2081" t="s">
        <v>18812</v>
      </c>
      <c r="AG2081" t="s">
        <v>3968</v>
      </c>
      <c r="AI2081" t="s">
        <v>18813</v>
      </c>
      <c r="AM2081" t="s">
        <v>3415</v>
      </c>
      <c r="AN2081" t="s">
        <v>2059</v>
      </c>
      <c r="AO2081" t="s">
        <v>18814</v>
      </c>
      <c r="AP2081" t="s">
        <v>7024</v>
      </c>
      <c r="AQ2081" t="s">
        <v>18815</v>
      </c>
      <c r="AR2081" t="s">
        <v>18816</v>
      </c>
      <c r="AT2081" s="184">
        <v>35510</v>
      </c>
      <c r="AU2081" t="s">
        <v>18817</v>
      </c>
      <c r="AV2081">
        <v>25</v>
      </c>
      <c r="AW2081" s="184">
        <v>45235</v>
      </c>
      <c r="AX2081" t="s">
        <v>18818</v>
      </c>
      <c r="AY2081">
        <v>52.5</v>
      </c>
      <c r="AZ2081" s="184">
        <v>41996</v>
      </c>
      <c r="BA2081" t="s">
        <v>18819</v>
      </c>
      <c r="BB2081">
        <v>130</v>
      </c>
      <c r="BC2081">
        <v>93</v>
      </c>
      <c r="BD2081">
        <v>2785.5</v>
      </c>
      <c r="BE2081">
        <v>1997</v>
      </c>
      <c r="BF2081">
        <v>91</v>
      </c>
      <c r="BG2081">
        <v>1</v>
      </c>
      <c r="BH2081">
        <v>52.5</v>
      </c>
      <c r="BI2081">
        <v>26</v>
      </c>
      <c r="BJ2081">
        <v>28</v>
      </c>
      <c r="BK2081">
        <v>25</v>
      </c>
      <c r="BP2081" s="184"/>
    </row>
    <row r="2082" spans="1:68">
      <c r="A2082">
        <v>24937211</v>
      </c>
      <c r="B2082">
        <v>24937211</v>
      </c>
      <c r="C2082" t="s">
        <v>7018</v>
      </c>
      <c r="D2082" t="s">
        <v>595</v>
      </c>
      <c r="E2082" s="184">
        <v>44167</v>
      </c>
      <c r="G2082" s="184"/>
      <c r="I2082" s="184"/>
      <c r="K2082" s="184"/>
      <c r="M2082" s="184"/>
      <c r="O2082" s="184"/>
      <c r="P2082" t="s">
        <v>7045</v>
      </c>
      <c r="Q2082" t="s">
        <v>7160</v>
      </c>
      <c r="R2082" s="184">
        <v>15796</v>
      </c>
      <c r="S2082">
        <v>81</v>
      </c>
      <c r="U2082" t="s">
        <v>7031</v>
      </c>
      <c r="V2082" t="s">
        <v>3373</v>
      </c>
      <c r="X2082" t="s">
        <v>18820</v>
      </c>
      <c r="AF2082" t="s">
        <v>18821</v>
      </c>
      <c r="AG2082" t="s">
        <v>3373</v>
      </c>
      <c r="AI2082" t="s">
        <v>18822</v>
      </c>
      <c r="AM2082" t="s">
        <v>4692</v>
      </c>
      <c r="AN2082" t="s">
        <v>2176</v>
      </c>
      <c r="AO2082" t="s">
        <v>18823</v>
      </c>
      <c r="AP2082" t="s">
        <v>7024</v>
      </c>
      <c r="AQ2082" t="s">
        <v>18824</v>
      </c>
      <c r="AT2082" s="184">
        <v>35510</v>
      </c>
      <c r="AU2082" t="s">
        <v>18825</v>
      </c>
      <c r="AV2082">
        <v>5</v>
      </c>
      <c r="AW2082" s="184">
        <v>45254</v>
      </c>
      <c r="AX2082" t="s">
        <v>7596</v>
      </c>
      <c r="AY2082">
        <v>50</v>
      </c>
      <c r="AZ2082" s="184">
        <v>45254</v>
      </c>
      <c r="BA2082" t="s">
        <v>7596</v>
      </c>
      <c r="BB2082">
        <v>50</v>
      </c>
      <c r="BC2082">
        <v>97</v>
      </c>
      <c r="BD2082">
        <v>1245</v>
      </c>
      <c r="BE2082">
        <v>1997</v>
      </c>
      <c r="BF2082">
        <v>55</v>
      </c>
      <c r="BG2082">
        <v>3</v>
      </c>
      <c r="BH2082">
        <v>100</v>
      </c>
      <c r="BI2082">
        <v>27</v>
      </c>
      <c r="BJ2082">
        <v>28</v>
      </c>
      <c r="BK2082">
        <v>27</v>
      </c>
      <c r="BP2082" s="184"/>
    </row>
    <row r="2083" spans="1:68">
      <c r="A2083">
        <v>24945511</v>
      </c>
      <c r="B2083">
        <v>24945511</v>
      </c>
      <c r="C2083" t="s">
        <v>7018</v>
      </c>
      <c r="D2083" t="s">
        <v>595</v>
      </c>
      <c r="E2083" s="184">
        <v>45120</v>
      </c>
      <c r="G2083" s="184"/>
      <c r="I2083" s="184"/>
      <c r="K2083" s="184"/>
      <c r="M2083" s="184"/>
      <c r="O2083" s="184"/>
      <c r="P2083" t="s">
        <v>7045</v>
      </c>
      <c r="Q2083" t="s">
        <v>7383</v>
      </c>
      <c r="R2083" s="184">
        <v>25029</v>
      </c>
      <c r="S2083">
        <v>55</v>
      </c>
      <c r="V2083" t="s">
        <v>3293</v>
      </c>
      <c r="X2083" t="s">
        <v>18826</v>
      </c>
      <c r="AF2083" t="s">
        <v>18827</v>
      </c>
      <c r="AG2083" t="s">
        <v>3293</v>
      </c>
      <c r="AI2083" t="s">
        <v>18828</v>
      </c>
      <c r="AM2083" t="s">
        <v>18829</v>
      </c>
      <c r="AN2083" t="s">
        <v>2313</v>
      </c>
      <c r="AO2083" t="s">
        <v>18830</v>
      </c>
      <c r="AP2083" t="s">
        <v>7024</v>
      </c>
      <c r="AQ2083" t="s">
        <v>18831</v>
      </c>
      <c r="AT2083" s="184">
        <v>35513</v>
      </c>
      <c r="AU2083" t="s">
        <v>18832</v>
      </c>
      <c r="AV2083">
        <v>25</v>
      </c>
      <c r="AW2083" s="184">
        <v>45376</v>
      </c>
      <c r="AX2083" t="s">
        <v>18833</v>
      </c>
      <c r="AY2083">
        <v>230</v>
      </c>
      <c r="AZ2083" s="184">
        <v>45376</v>
      </c>
      <c r="BA2083" t="s">
        <v>18833</v>
      </c>
      <c r="BB2083">
        <v>230</v>
      </c>
      <c r="BC2083">
        <v>100</v>
      </c>
      <c r="BD2083">
        <v>5290</v>
      </c>
      <c r="BE2083">
        <v>1997</v>
      </c>
      <c r="BF2083">
        <v>55</v>
      </c>
      <c r="BG2083">
        <v>5</v>
      </c>
      <c r="BH2083">
        <v>1150</v>
      </c>
      <c r="BI2083">
        <v>28</v>
      </c>
      <c r="BJ2083">
        <v>28</v>
      </c>
      <c r="BK2083">
        <v>28</v>
      </c>
      <c r="BP2083" s="184"/>
    </row>
    <row r="2084" spans="1:68">
      <c r="A2084">
        <v>24992455</v>
      </c>
      <c r="B2084">
        <v>24992455</v>
      </c>
      <c r="C2084" t="s">
        <v>7018</v>
      </c>
      <c r="D2084" t="s">
        <v>595</v>
      </c>
      <c r="E2084" s="184">
        <v>43620</v>
      </c>
      <c r="G2084" s="184"/>
      <c r="I2084" s="184"/>
      <c r="K2084" s="184"/>
      <c r="O2084" s="184"/>
      <c r="P2084" t="s">
        <v>7045</v>
      </c>
      <c r="Q2084" t="s">
        <v>7262</v>
      </c>
      <c r="R2084" s="184">
        <v>20637</v>
      </c>
      <c r="S2084">
        <v>67</v>
      </c>
      <c r="U2084" t="s">
        <v>7076</v>
      </c>
      <c r="V2084" t="s">
        <v>2911</v>
      </c>
      <c r="W2084" t="s">
        <v>3332</v>
      </c>
      <c r="X2084" t="s">
        <v>2912</v>
      </c>
      <c r="AF2084" t="s">
        <v>18834</v>
      </c>
      <c r="AG2084" t="s">
        <v>2911</v>
      </c>
      <c r="AI2084" t="s">
        <v>18835</v>
      </c>
      <c r="AM2084" t="s">
        <v>2913</v>
      </c>
      <c r="AN2084" t="s">
        <v>2106</v>
      </c>
      <c r="AO2084" t="s">
        <v>18836</v>
      </c>
      <c r="AP2084" t="s">
        <v>7024</v>
      </c>
      <c r="AQ2084" t="s">
        <v>18837</v>
      </c>
      <c r="AR2084" t="s">
        <v>18838</v>
      </c>
      <c r="AT2084" s="184">
        <v>35517</v>
      </c>
      <c r="AU2084" t="s">
        <v>18548</v>
      </c>
      <c r="AV2084">
        <v>19.95</v>
      </c>
      <c r="AW2084" s="184">
        <v>45329</v>
      </c>
      <c r="AX2084" t="s">
        <v>18839</v>
      </c>
      <c r="AY2084">
        <v>35</v>
      </c>
      <c r="AZ2084" s="184">
        <v>41309</v>
      </c>
      <c r="BA2084" t="s">
        <v>13151</v>
      </c>
      <c r="BB2084">
        <v>60</v>
      </c>
      <c r="BC2084">
        <v>93</v>
      </c>
      <c r="BD2084">
        <v>1284.95</v>
      </c>
      <c r="BE2084">
        <v>1997</v>
      </c>
      <c r="BF2084">
        <v>33</v>
      </c>
      <c r="BG2084">
        <v>2</v>
      </c>
      <c r="BH2084">
        <v>70</v>
      </c>
      <c r="BI2084">
        <v>26</v>
      </c>
      <c r="BJ2084">
        <v>28</v>
      </c>
      <c r="BK2084">
        <v>14</v>
      </c>
      <c r="BP2084" s="184"/>
    </row>
    <row r="2085" spans="1:68">
      <c r="A2085">
        <v>25017567</v>
      </c>
      <c r="B2085">
        <v>25017567</v>
      </c>
      <c r="C2085" t="s">
        <v>7018</v>
      </c>
      <c r="E2085" s="184"/>
      <c r="G2085" s="184"/>
      <c r="I2085" s="184"/>
      <c r="J2085" t="s">
        <v>595</v>
      </c>
      <c r="K2085" s="184">
        <v>44229</v>
      </c>
      <c r="O2085" s="184"/>
      <c r="P2085" t="s">
        <v>7045</v>
      </c>
      <c r="Q2085" t="s">
        <v>7374</v>
      </c>
      <c r="R2085" s="184"/>
      <c r="V2085" t="s">
        <v>2661</v>
      </c>
      <c r="X2085" t="s">
        <v>3175</v>
      </c>
      <c r="Z2085">
        <v>100181468</v>
      </c>
      <c r="AB2085" t="s">
        <v>18840</v>
      </c>
      <c r="AD2085" t="s">
        <v>3175</v>
      </c>
      <c r="AF2085" t="s">
        <v>18841</v>
      </c>
      <c r="AG2085" t="s">
        <v>18841</v>
      </c>
      <c r="AI2085" t="s">
        <v>18842</v>
      </c>
      <c r="AM2085" t="s">
        <v>18843</v>
      </c>
      <c r="AN2085" t="s">
        <v>2081</v>
      </c>
      <c r="AO2085" t="s">
        <v>18844</v>
      </c>
      <c r="AP2085" t="s">
        <v>7024</v>
      </c>
      <c r="AT2085" s="184">
        <v>35514</v>
      </c>
      <c r="AU2085" t="s">
        <v>18602</v>
      </c>
      <c r="AV2085">
        <v>10</v>
      </c>
      <c r="AW2085" s="184">
        <v>41688</v>
      </c>
      <c r="AX2085" t="s">
        <v>18845</v>
      </c>
      <c r="AY2085">
        <v>20</v>
      </c>
      <c r="AZ2085" s="184">
        <v>40907</v>
      </c>
      <c r="BA2085" t="s">
        <v>18846</v>
      </c>
      <c r="BB2085">
        <v>255.73</v>
      </c>
      <c r="BC2085">
        <v>25</v>
      </c>
      <c r="BD2085">
        <v>943.31</v>
      </c>
      <c r="BE2085">
        <v>1997</v>
      </c>
      <c r="BF2085">
        <v>13</v>
      </c>
      <c r="BI2085">
        <v>7</v>
      </c>
      <c r="BJ2085">
        <v>28</v>
      </c>
      <c r="BK2085">
        <v>2</v>
      </c>
      <c r="BO2085" t="s">
        <v>595</v>
      </c>
      <c r="BP2085" s="184"/>
    </row>
    <row r="2086" spans="1:68">
      <c r="A2086">
        <v>25028457</v>
      </c>
      <c r="B2086">
        <v>25028457</v>
      </c>
      <c r="C2086" t="s">
        <v>7018</v>
      </c>
      <c r="E2086" s="184"/>
      <c r="G2086" s="184"/>
      <c r="I2086" s="184"/>
      <c r="J2086" t="s">
        <v>595</v>
      </c>
      <c r="K2086" s="184">
        <v>44438</v>
      </c>
      <c r="O2086" s="184"/>
      <c r="P2086" t="s">
        <v>7045</v>
      </c>
      <c r="Q2086" t="s">
        <v>7494</v>
      </c>
      <c r="R2086" s="184">
        <v>20180</v>
      </c>
      <c r="S2086">
        <v>69</v>
      </c>
      <c r="V2086" t="s">
        <v>2547</v>
      </c>
      <c r="X2086" t="s">
        <v>18847</v>
      </c>
      <c r="AF2086" t="s">
        <v>18848</v>
      </c>
      <c r="AG2086" t="s">
        <v>2547</v>
      </c>
      <c r="AI2086" t="s">
        <v>17862</v>
      </c>
      <c r="AM2086" t="s">
        <v>3677</v>
      </c>
      <c r="AN2086" t="s">
        <v>2174</v>
      </c>
      <c r="AO2086" t="s">
        <v>18849</v>
      </c>
      <c r="AP2086" t="s">
        <v>7024</v>
      </c>
      <c r="AQ2086" t="s">
        <v>18850</v>
      </c>
      <c r="AT2086" s="184">
        <v>35515</v>
      </c>
      <c r="AU2086" t="s">
        <v>18851</v>
      </c>
      <c r="AV2086">
        <v>15</v>
      </c>
      <c r="AW2086" s="184">
        <v>45125</v>
      </c>
      <c r="AX2086" t="s">
        <v>7245</v>
      </c>
      <c r="AY2086">
        <v>90</v>
      </c>
      <c r="AZ2086" s="184">
        <v>45125</v>
      </c>
      <c r="BA2086" t="s">
        <v>7245</v>
      </c>
      <c r="BB2086">
        <v>90</v>
      </c>
      <c r="BC2086">
        <v>47</v>
      </c>
      <c r="BD2086">
        <v>774</v>
      </c>
      <c r="BE2086">
        <v>1997</v>
      </c>
      <c r="BF2086">
        <v>13</v>
      </c>
      <c r="BG2086">
        <v>2</v>
      </c>
      <c r="BH2086">
        <v>180</v>
      </c>
      <c r="BI2086">
        <v>13</v>
      </c>
      <c r="BJ2086">
        <v>28</v>
      </c>
      <c r="BK2086">
        <v>6</v>
      </c>
      <c r="BP2086" s="184"/>
    </row>
    <row r="2087" spans="1:68">
      <c r="A2087">
        <v>25046590</v>
      </c>
      <c r="B2087">
        <v>25046590</v>
      </c>
      <c r="C2087" t="s">
        <v>7018</v>
      </c>
      <c r="E2087" s="184"/>
      <c r="G2087" s="184"/>
      <c r="I2087" s="184"/>
      <c r="J2087" t="s">
        <v>595</v>
      </c>
      <c r="K2087" s="184">
        <v>42626</v>
      </c>
      <c r="M2087" s="184"/>
      <c r="O2087" s="184"/>
      <c r="P2087" t="s">
        <v>7045</v>
      </c>
      <c r="Q2087" t="s">
        <v>7160</v>
      </c>
      <c r="R2087" s="184">
        <v>25210</v>
      </c>
      <c r="S2087">
        <v>55</v>
      </c>
      <c r="U2087" t="s">
        <v>7031</v>
      </c>
      <c r="V2087" t="s">
        <v>2851</v>
      </c>
      <c r="W2087" t="s">
        <v>2058</v>
      </c>
      <c r="X2087" t="s">
        <v>18852</v>
      </c>
      <c r="Z2087">
        <v>100066319</v>
      </c>
      <c r="AA2087" t="s">
        <v>7130</v>
      </c>
      <c r="AB2087" t="s">
        <v>3223</v>
      </c>
      <c r="AC2087" t="s">
        <v>7560</v>
      </c>
      <c r="AD2087" t="s">
        <v>18852</v>
      </c>
      <c r="AF2087" t="s">
        <v>18853</v>
      </c>
      <c r="AG2087" t="s">
        <v>18854</v>
      </c>
      <c r="AI2087" t="s">
        <v>18855</v>
      </c>
      <c r="AM2087" t="s">
        <v>18856</v>
      </c>
      <c r="AN2087" t="s">
        <v>2446</v>
      </c>
      <c r="AO2087" t="s">
        <v>18857</v>
      </c>
      <c r="AP2087" t="s">
        <v>7024</v>
      </c>
      <c r="AQ2087" t="s">
        <v>18858</v>
      </c>
      <c r="AR2087" t="s">
        <v>18859</v>
      </c>
      <c r="AT2087" s="184">
        <v>35517</v>
      </c>
      <c r="AU2087" t="s">
        <v>18711</v>
      </c>
      <c r="AV2087">
        <v>15</v>
      </c>
      <c r="AW2087" s="184">
        <v>45125</v>
      </c>
      <c r="AX2087" t="s">
        <v>18860</v>
      </c>
      <c r="AY2087">
        <v>20</v>
      </c>
      <c r="AZ2087" s="184">
        <v>45089</v>
      </c>
      <c r="BA2087" t="s">
        <v>18861</v>
      </c>
      <c r="BB2087">
        <v>25</v>
      </c>
      <c r="BC2087">
        <v>86</v>
      </c>
      <c r="BD2087">
        <v>980</v>
      </c>
      <c r="BE2087">
        <v>1997</v>
      </c>
      <c r="BF2087">
        <v>49</v>
      </c>
      <c r="BG2087">
        <v>4</v>
      </c>
      <c r="BH2087">
        <v>80</v>
      </c>
      <c r="BI2087">
        <v>24</v>
      </c>
      <c r="BJ2087">
        <v>28</v>
      </c>
      <c r="BK2087">
        <v>15</v>
      </c>
      <c r="BP2087" s="184"/>
    </row>
    <row r="2088" spans="1:68">
      <c r="A2088">
        <v>100066319</v>
      </c>
      <c r="B2088">
        <v>25046590</v>
      </c>
      <c r="C2088" t="s">
        <v>7018</v>
      </c>
      <c r="E2088" s="184"/>
      <c r="G2088" s="184"/>
      <c r="I2088" s="184"/>
      <c r="J2088" t="s">
        <v>595</v>
      </c>
      <c r="K2088" s="184">
        <v>43649</v>
      </c>
      <c r="M2088" s="184"/>
      <c r="O2088" s="184"/>
      <c r="P2088" t="s">
        <v>7045</v>
      </c>
      <c r="Q2088" t="s">
        <v>7160</v>
      </c>
      <c r="R2088" s="184">
        <v>13407</v>
      </c>
      <c r="S2088">
        <v>87</v>
      </c>
      <c r="U2088" t="s">
        <v>7130</v>
      </c>
      <c r="V2088" t="s">
        <v>3223</v>
      </c>
      <c r="W2088" t="s">
        <v>7560</v>
      </c>
      <c r="X2088" t="s">
        <v>18852</v>
      </c>
      <c r="Z2088">
        <v>25046590</v>
      </c>
      <c r="AA2088" t="s">
        <v>7031</v>
      </c>
      <c r="AB2088" t="s">
        <v>2851</v>
      </c>
      <c r="AC2088" t="s">
        <v>2058</v>
      </c>
      <c r="AD2088" t="s">
        <v>18852</v>
      </c>
      <c r="AF2088" t="s">
        <v>18853</v>
      </c>
      <c r="AG2088" t="s">
        <v>18854</v>
      </c>
      <c r="AI2088" t="s">
        <v>18855</v>
      </c>
      <c r="AM2088" t="s">
        <v>18856</v>
      </c>
      <c r="AN2088" t="s">
        <v>2446</v>
      </c>
      <c r="AO2088" t="s">
        <v>18857</v>
      </c>
      <c r="AP2088" t="s">
        <v>7024</v>
      </c>
      <c r="AT2088" s="184"/>
      <c r="AW2088" s="184"/>
      <c r="AZ2088" s="184"/>
      <c r="BP2088" s="184"/>
    </row>
    <row r="2089" spans="1:68">
      <c r="A2089">
        <v>25056375</v>
      </c>
      <c r="B2089">
        <v>25056375</v>
      </c>
      <c r="C2089" t="s">
        <v>7018</v>
      </c>
      <c r="E2089" s="184"/>
      <c r="G2089" s="184"/>
      <c r="I2089" s="184"/>
      <c r="J2089" t="s">
        <v>595</v>
      </c>
      <c r="K2089" s="184">
        <v>43641</v>
      </c>
      <c r="O2089" s="184"/>
      <c r="P2089" t="s">
        <v>7045</v>
      </c>
      <c r="Q2089" t="s">
        <v>7383</v>
      </c>
      <c r="R2089" s="184">
        <v>18598</v>
      </c>
      <c r="S2089">
        <v>73</v>
      </c>
      <c r="V2089" t="s">
        <v>3134</v>
      </c>
      <c r="W2089" t="s">
        <v>3237</v>
      </c>
      <c r="X2089" t="s">
        <v>3135</v>
      </c>
      <c r="AF2089" t="s">
        <v>6509</v>
      </c>
      <c r="AG2089" t="s">
        <v>3134</v>
      </c>
      <c r="AI2089" t="s">
        <v>18862</v>
      </c>
      <c r="AM2089" t="s">
        <v>3136</v>
      </c>
      <c r="AN2089" t="s">
        <v>2313</v>
      </c>
      <c r="AO2089" t="s">
        <v>18863</v>
      </c>
      <c r="AP2089" t="s">
        <v>7024</v>
      </c>
      <c r="AT2089" s="184">
        <v>35520</v>
      </c>
      <c r="AU2089" t="s">
        <v>18864</v>
      </c>
      <c r="AV2089">
        <v>25</v>
      </c>
      <c r="AW2089" s="184">
        <v>45310</v>
      </c>
      <c r="AX2089" t="s">
        <v>11811</v>
      </c>
      <c r="AY2089">
        <v>60</v>
      </c>
      <c r="AZ2089" s="184">
        <v>43614</v>
      </c>
      <c r="BA2089" t="s">
        <v>18865</v>
      </c>
      <c r="BB2089">
        <v>100</v>
      </c>
      <c r="BC2089">
        <v>75</v>
      </c>
      <c r="BD2089">
        <v>880</v>
      </c>
      <c r="BE2089">
        <v>1997</v>
      </c>
      <c r="BF2089">
        <v>21</v>
      </c>
      <c r="BG2089">
        <v>1</v>
      </c>
      <c r="BH2089">
        <v>60</v>
      </c>
      <c r="BI2089">
        <v>21</v>
      </c>
      <c r="BJ2089">
        <v>28</v>
      </c>
      <c r="BK2089">
        <v>16</v>
      </c>
      <c r="BP2089" s="184"/>
    </row>
    <row r="2090" spans="1:68">
      <c r="A2090">
        <v>25082470</v>
      </c>
      <c r="B2090">
        <v>25082470</v>
      </c>
      <c r="C2090" t="s">
        <v>7018</v>
      </c>
      <c r="D2090" t="s">
        <v>595</v>
      </c>
      <c r="E2090" s="184">
        <v>43970</v>
      </c>
      <c r="G2090" s="184"/>
      <c r="I2090" s="184"/>
      <c r="K2090" s="184"/>
      <c r="M2090" s="184"/>
      <c r="O2090" s="184"/>
      <c r="P2090" t="s">
        <v>7045</v>
      </c>
      <c r="Q2090" t="s">
        <v>7383</v>
      </c>
      <c r="R2090" s="184">
        <v>21337</v>
      </c>
      <c r="S2090">
        <v>65</v>
      </c>
      <c r="V2090" t="s">
        <v>3246</v>
      </c>
      <c r="X2090" t="s">
        <v>18866</v>
      </c>
      <c r="Z2090">
        <v>100066382</v>
      </c>
      <c r="AB2090" t="s">
        <v>3302</v>
      </c>
      <c r="AD2090" t="s">
        <v>18866</v>
      </c>
      <c r="AF2090" t="s">
        <v>18867</v>
      </c>
      <c r="AG2090" t="s">
        <v>18868</v>
      </c>
      <c r="AI2090" t="s">
        <v>18869</v>
      </c>
      <c r="AM2090" t="s">
        <v>18870</v>
      </c>
      <c r="AN2090" t="s">
        <v>2059</v>
      </c>
      <c r="AO2090" t="s">
        <v>18871</v>
      </c>
      <c r="AP2090" t="s">
        <v>7024</v>
      </c>
      <c r="AT2090" s="184">
        <v>35521</v>
      </c>
      <c r="AU2090" t="s">
        <v>18660</v>
      </c>
      <c r="AV2090">
        <v>20</v>
      </c>
      <c r="AW2090" s="184">
        <v>45307</v>
      </c>
      <c r="AX2090" t="s">
        <v>18872</v>
      </c>
      <c r="AY2090">
        <v>100</v>
      </c>
      <c r="AZ2090" s="184">
        <v>45307</v>
      </c>
      <c r="BA2090" t="s">
        <v>18872</v>
      </c>
      <c r="BB2090">
        <v>100</v>
      </c>
      <c r="BC2090">
        <v>97</v>
      </c>
      <c r="BD2090">
        <v>2430</v>
      </c>
      <c r="BE2090">
        <v>1997</v>
      </c>
      <c r="BF2090">
        <v>34</v>
      </c>
      <c r="BG2090">
        <v>4</v>
      </c>
      <c r="BH2090">
        <v>400</v>
      </c>
      <c r="BI2090">
        <v>27</v>
      </c>
      <c r="BJ2090">
        <v>28</v>
      </c>
      <c r="BK2090">
        <v>21</v>
      </c>
      <c r="BP2090" s="184"/>
    </row>
    <row r="2091" spans="1:68">
      <c r="A2091">
        <v>100066382</v>
      </c>
      <c r="B2091">
        <v>25082470</v>
      </c>
      <c r="C2091" t="s">
        <v>7018</v>
      </c>
      <c r="D2091" t="s">
        <v>595</v>
      </c>
      <c r="E2091" s="184">
        <v>43970</v>
      </c>
      <c r="G2091" s="184"/>
      <c r="I2091" s="184"/>
      <c r="K2091" s="184"/>
      <c r="M2091" s="184"/>
      <c r="O2091" s="184"/>
      <c r="P2091" t="s">
        <v>7045</v>
      </c>
      <c r="Q2091" t="s">
        <v>7383</v>
      </c>
      <c r="R2091" s="184">
        <v>30651</v>
      </c>
      <c r="S2091">
        <v>40</v>
      </c>
      <c r="V2091" t="s">
        <v>3302</v>
      </c>
      <c r="X2091" t="s">
        <v>18866</v>
      </c>
      <c r="Z2091">
        <v>25082470</v>
      </c>
      <c r="AB2091" t="s">
        <v>3246</v>
      </c>
      <c r="AD2091" t="s">
        <v>18866</v>
      </c>
      <c r="AF2091" t="s">
        <v>18867</v>
      </c>
      <c r="AG2091" t="s">
        <v>18868</v>
      </c>
      <c r="AI2091" t="s">
        <v>18869</v>
      </c>
      <c r="AM2091" t="s">
        <v>18870</v>
      </c>
      <c r="AN2091" t="s">
        <v>2059</v>
      </c>
      <c r="AO2091" t="s">
        <v>18871</v>
      </c>
      <c r="AP2091" t="s">
        <v>7024</v>
      </c>
      <c r="AT2091" s="184"/>
      <c r="AW2091" s="184"/>
      <c r="AZ2091" s="184"/>
      <c r="BP2091" s="184"/>
    </row>
    <row r="2092" spans="1:68">
      <c r="A2092">
        <v>25089103</v>
      </c>
      <c r="B2092">
        <v>25089103</v>
      </c>
      <c r="C2092" t="s">
        <v>7018</v>
      </c>
      <c r="D2092" t="s">
        <v>595</v>
      </c>
      <c r="E2092" s="184">
        <v>45153</v>
      </c>
      <c r="G2092" s="184"/>
      <c r="I2092" s="184"/>
      <c r="K2092" s="184"/>
      <c r="M2092" s="184"/>
      <c r="O2092" s="184"/>
      <c r="P2092" t="s">
        <v>7029</v>
      </c>
      <c r="Q2092" t="s">
        <v>7020</v>
      </c>
      <c r="R2092" s="184">
        <v>23640</v>
      </c>
      <c r="S2092">
        <v>59</v>
      </c>
      <c r="V2092" t="s">
        <v>3400</v>
      </c>
      <c r="W2092" t="s">
        <v>2049</v>
      </c>
      <c r="X2092" t="s">
        <v>2772</v>
      </c>
      <c r="AF2092" t="s">
        <v>18873</v>
      </c>
      <c r="AG2092" t="s">
        <v>3400</v>
      </c>
      <c r="AI2092" t="s">
        <v>18874</v>
      </c>
      <c r="AM2092" t="s">
        <v>3004</v>
      </c>
      <c r="AN2092" t="s">
        <v>2112</v>
      </c>
      <c r="AO2092" t="s">
        <v>18875</v>
      </c>
      <c r="AP2092" t="s">
        <v>7024</v>
      </c>
      <c r="AQ2092" t="s">
        <v>18876</v>
      </c>
      <c r="AR2092" t="s">
        <v>18877</v>
      </c>
      <c r="AT2092" s="184">
        <v>35516</v>
      </c>
      <c r="AU2092" t="s">
        <v>18878</v>
      </c>
      <c r="AV2092">
        <v>15</v>
      </c>
      <c r="AW2092" s="184">
        <v>45370</v>
      </c>
      <c r="AX2092" t="s">
        <v>18879</v>
      </c>
      <c r="AY2092">
        <v>750</v>
      </c>
      <c r="AZ2092" s="184">
        <v>45370</v>
      </c>
      <c r="BA2092" t="s">
        <v>18879</v>
      </c>
      <c r="BB2092">
        <v>750</v>
      </c>
      <c r="BC2092">
        <v>93</v>
      </c>
      <c r="BD2092">
        <v>3022</v>
      </c>
      <c r="BE2092">
        <v>1997</v>
      </c>
      <c r="BF2092">
        <v>32</v>
      </c>
      <c r="BG2092">
        <v>4</v>
      </c>
      <c r="BH2092">
        <v>1215</v>
      </c>
      <c r="BI2092">
        <v>26</v>
      </c>
      <c r="BJ2092">
        <v>28</v>
      </c>
      <c r="BK2092">
        <v>19</v>
      </c>
      <c r="BP2092" s="184"/>
    </row>
    <row r="2093" spans="1:68">
      <c r="A2093">
        <v>25091943</v>
      </c>
      <c r="B2093">
        <v>25091943</v>
      </c>
      <c r="C2093" t="s">
        <v>7018</v>
      </c>
      <c r="D2093" t="s">
        <v>595</v>
      </c>
      <c r="E2093" s="184">
        <v>44104</v>
      </c>
      <c r="G2093" s="184"/>
      <c r="I2093" s="184"/>
      <c r="K2093" s="184"/>
      <c r="M2093" s="184"/>
      <c r="O2093" s="184"/>
      <c r="P2093" t="s">
        <v>7045</v>
      </c>
      <c r="Q2093" t="s">
        <v>7383</v>
      </c>
      <c r="R2093" s="184">
        <v>14717</v>
      </c>
      <c r="S2093">
        <v>84</v>
      </c>
      <c r="V2093" t="s">
        <v>3825</v>
      </c>
      <c r="X2093" t="s">
        <v>18880</v>
      </c>
      <c r="Z2093">
        <v>100066411</v>
      </c>
      <c r="AB2093" t="s">
        <v>13505</v>
      </c>
      <c r="AD2093" t="s">
        <v>18880</v>
      </c>
      <c r="AF2093" t="s">
        <v>18881</v>
      </c>
      <c r="AG2093" t="s">
        <v>18882</v>
      </c>
      <c r="AI2093" t="s">
        <v>18883</v>
      </c>
      <c r="AM2093" t="s">
        <v>8078</v>
      </c>
      <c r="AN2093" t="s">
        <v>2313</v>
      </c>
      <c r="AO2093" t="s">
        <v>18884</v>
      </c>
      <c r="AP2093" t="s">
        <v>7024</v>
      </c>
      <c r="AQ2093" t="s">
        <v>18885</v>
      </c>
      <c r="AT2093" s="184">
        <v>35522</v>
      </c>
      <c r="AU2093" t="s">
        <v>18886</v>
      </c>
      <c r="AV2093">
        <v>28</v>
      </c>
      <c r="AW2093" s="184">
        <v>45272</v>
      </c>
      <c r="AX2093" t="s">
        <v>9001</v>
      </c>
      <c r="AY2093">
        <v>50</v>
      </c>
      <c r="AZ2093" s="184">
        <v>35678</v>
      </c>
      <c r="BA2093" t="s">
        <v>18887</v>
      </c>
      <c r="BB2093">
        <v>54</v>
      </c>
      <c r="BC2093">
        <v>75</v>
      </c>
      <c r="BD2093">
        <v>1005</v>
      </c>
      <c r="BE2093">
        <v>1997</v>
      </c>
      <c r="BF2093">
        <v>31</v>
      </c>
      <c r="BG2093">
        <v>1</v>
      </c>
      <c r="BH2093">
        <v>50</v>
      </c>
      <c r="BI2093">
        <v>21</v>
      </c>
      <c r="BJ2093">
        <v>28</v>
      </c>
      <c r="BK2093">
        <v>10</v>
      </c>
      <c r="BP2093" s="184"/>
    </row>
    <row r="2094" spans="1:68">
      <c r="A2094">
        <v>100066411</v>
      </c>
      <c r="B2094">
        <v>25091943</v>
      </c>
      <c r="C2094" t="s">
        <v>7018</v>
      </c>
      <c r="D2094" t="s">
        <v>595</v>
      </c>
      <c r="E2094" s="184">
        <v>44104</v>
      </c>
      <c r="G2094" s="184"/>
      <c r="K2094" s="184"/>
      <c r="O2094" s="184"/>
      <c r="P2094" t="s">
        <v>7045</v>
      </c>
      <c r="Q2094" t="s">
        <v>7383</v>
      </c>
      <c r="R2094" s="184">
        <v>22037</v>
      </c>
      <c r="S2094">
        <v>64</v>
      </c>
      <c r="V2094" t="s">
        <v>13505</v>
      </c>
      <c r="X2094" t="s">
        <v>18880</v>
      </c>
      <c r="Z2094">
        <v>25091943</v>
      </c>
      <c r="AB2094" t="s">
        <v>3825</v>
      </c>
      <c r="AD2094" t="s">
        <v>18880</v>
      </c>
      <c r="AF2094" t="s">
        <v>18881</v>
      </c>
      <c r="AG2094" t="s">
        <v>18882</v>
      </c>
      <c r="AI2094" t="s">
        <v>18883</v>
      </c>
      <c r="AM2094" t="s">
        <v>8078</v>
      </c>
      <c r="AN2094" t="s">
        <v>2313</v>
      </c>
      <c r="AO2094" t="s">
        <v>18884</v>
      </c>
      <c r="AP2094" t="s">
        <v>7024</v>
      </c>
      <c r="AT2094" s="184"/>
      <c r="AW2094" s="184"/>
      <c r="AZ2094" s="184"/>
      <c r="BP2094" s="184"/>
    </row>
    <row r="2095" spans="1:68">
      <c r="A2095">
        <v>25199423</v>
      </c>
      <c r="B2095">
        <v>25199423</v>
      </c>
      <c r="C2095" t="s">
        <v>7018</v>
      </c>
      <c r="D2095" t="s">
        <v>595</v>
      </c>
      <c r="E2095" s="184">
        <v>43801</v>
      </c>
      <c r="G2095" s="184"/>
      <c r="K2095" s="184"/>
      <c r="P2095" t="s">
        <v>7045</v>
      </c>
      <c r="Q2095" t="s">
        <v>7374</v>
      </c>
      <c r="R2095" s="184">
        <v>12573</v>
      </c>
      <c r="S2095">
        <v>89</v>
      </c>
      <c r="U2095" t="s">
        <v>7031</v>
      </c>
      <c r="V2095" t="s">
        <v>3165</v>
      </c>
      <c r="W2095" t="s">
        <v>2551</v>
      </c>
      <c r="X2095" t="s">
        <v>4383</v>
      </c>
      <c r="AF2095" t="s">
        <v>18888</v>
      </c>
      <c r="AG2095" t="s">
        <v>3165</v>
      </c>
      <c r="AI2095" t="s">
        <v>18889</v>
      </c>
      <c r="AM2095" t="s">
        <v>4384</v>
      </c>
      <c r="AN2095" t="s">
        <v>2081</v>
      </c>
      <c r="AO2095" t="s">
        <v>18890</v>
      </c>
      <c r="AP2095" t="s">
        <v>7024</v>
      </c>
      <c r="AQ2095" t="s">
        <v>18891</v>
      </c>
      <c r="AT2095" s="184">
        <v>35535</v>
      </c>
      <c r="AU2095" t="s">
        <v>18892</v>
      </c>
      <c r="AV2095">
        <v>25</v>
      </c>
      <c r="AW2095" s="184">
        <v>45121</v>
      </c>
      <c r="AX2095" t="s">
        <v>8299</v>
      </c>
      <c r="AY2095">
        <v>50</v>
      </c>
      <c r="AZ2095" s="184">
        <v>45089</v>
      </c>
      <c r="BA2095" t="s">
        <v>9959</v>
      </c>
      <c r="BB2095">
        <v>100</v>
      </c>
      <c r="BC2095">
        <v>75</v>
      </c>
      <c r="BD2095">
        <v>1742</v>
      </c>
      <c r="BE2095">
        <v>1997</v>
      </c>
      <c r="BF2095">
        <v>28</v>
      </c>
      <c r="BG2095">
        <v>2</v>
      </c>
      <c r="BH2095">
        <v>150</v>
      </c>
      <c r="BI2095">
        <v>21</v>
      </c>
      <c r="BJ2095">
        <v>28</v>
      </c>
      <c r="BK2095">
        <v>16</v>
      </c>
      <c r="BN2095" t="s">
        <v>595</v>
      </c>
      <c r="BP2095" s="184"/>
    </row>
    <row r="2096" spans="1:68">
      <c r="A2096">
        <v>25200155</v>
      </c>
      <c r="B2096">
        <v>25200155</v>
      </c>
      <c r="C2096" t="s">
        <v>7018</v>
      </c>
      <c r="D2096" t="s">
        <v>595</v>
      </c>
      <c r="E2096" s="184">
        <v>44073</v>
      </c>
      <c r="G2096" s="184"/>
      <c r="I2096" s="184"/>
      <c r="K2096" s="184"/>
      <c r="O2096" s="184"/>
      <c r="P2096" t="s">
        <v>7045</v>
      </c>
      <c r="Q2096" t="s">
        <v>7383</v>
      </c>
      <c r="R2096" s="184">
        <v>13174</v>
      </c>
      <c r="S2096">
        <v>88</v>
      </c>
      <c r="V2096" t="s">
        <v>4282</v>
      </c>
      <c r="X2096" t="s">
        <v>18893</v>
      </c>
      <c r="AF2096" t="s">
        <v>18894</v>
      </c>
      <c r="AG2096" t="s">
        <v>4282</v>
      </c>
      <c r="AI2096" t="s">
        <v>18895</v>
      </c>
      <c r="AM2096" t="s">
        <v>18896</v>
      </c>
      <c r="AN2096" t="s">
        <v>2185</v>
      </c>
      <c r="AO2096" t="s">
        <v>18897</v>
      </c>
      <c r="AP2096" t="s">
        <v>7024</v>
      </c>
      <c r="AQ2096" t="s">
        <v>18898</v>
      </c>
      <c r="AT2096" s="184">
        <v>35535</v>
      </c>
      <c r="AU2096" t="s">
        <v>18899</v>
      </c>
      <c r="AV2096">
        <v>15</v>
      </c>
      <c r="AW2096" s="184">
        <v>44252</v>
      </c>
      <c r="AX2096" t="s">
        <v>18900</v>
      </c>
      <c r="AY2096">
        <v>70</v>
      </c>
      <c r="AZ2096" s="184">
        <v>44252</v>
      </c>
      <c r="BA2096" t="s">
        <v>18900</v>
      </c>
      <c r="BB2096">
        <v>70</v>
      </c>
      <c r="BC2096">
        <v>43</v>
      </c>
      <c r="BD2096">
        <v>410</v>
      </c>
      <c r="BE2096">
        <v>1997</v>
      </c>
      <c r="BF2096">
        <v>19</v>
      </c>
      <c r="BI2096">
        <v>12</v>
      </c>
      <c r="BJ2096">
        <v>28</v>
      </c>
      <c r="BK2096">
        <v>6</v>
      </c>
      <c r="BN2096" t="s">
        <v>595</v>
      </c>
      <c r="BO2096" t="s">
        <v>595</v>
      </c>
      <c r="BP2096" s="184"/>
    </row>
    <row r="2097" spans="1:68">
      <c r="A2097">
        <v>25242603</v>
      </c>
      <c r="B2097">
        <v>25242603</v>
      </c>
      <c r="C2097" t="s">
        <v>7018</v>
      </c>
      <c r="E2097" s="184"/>
      <c r="G2097" s="184"/>
      <c r="I2097" s="184"/>
      <c r="J2097" t="s">
        <v>595</v>
      </c>
      <c r="K2097" s="184">
        <v>42523</v>
      </c>
      <c r="M2097" s="184"/>
      <c r="P2097" t="s">
        <v>7045</v>
      </c>
      <c r="Q2097" t="s">
        <v>7454</v>
      </c>
      <c r="R2097" s="184">
        <v>19511</v>
      </c>
      <c r="S2097">
        <v>70</v>
      </c>
      <c r="U2097" t="s">
        <v>7076</v>
      </c>
      <c r="V2097" t="s">
        <v>3868</v>
      </c>
      <c r="X2097" t="s">
        <v>18901</v>
      </c>
      <c r="AF2097" t="s">
        <v>6373</v>
      </c>
      <c r="AG2097" t="s">
        <v>3868</v>
      </c>
      <c r="AI2097" t="s">
        <v>18902</v>
      </c>
      <c r="AM2097" t="s">
        <v>5087</v>
      </c>
      <c r="AN2097" t="s">
        <v>2055</v>
      </c>
      <c r="AO2097" t="s">
        <v>18903</v>
      </c>
      <c r="AP2097" t="s">
        <v>7024</v>
      </c>
      <c r="AQ2097" t="s">
        <v>18904</v>
      </c>
      <c r="AR2097" t="s">
        <v>18905</v>
      </c>
      <c r="AT2097" s="184">
        <v>35537</v>
      </c>
      <c r="AU2097" t="s">
        <v>18906</v>
      </c>
      <c r="AV2097">
        <v>10</v>
      </c>
      <c r="AW2097" s="184">
        <v>45284</v>
      </c>
      <c r="AX2097" t="s">
        <v>16902</v>
      </c>
      <c r="AY2097">
        <v>52.5</v>
      </c>
      <c r="AZ2097" s="184">
        <v>42368</v>
      </c>
      <c r="BA2097" t="s">
        <v>18907</v>
      </c>
      <c r="BB2097">
        <v>200</v>
      </c>
      <c r="BC2097">
        <v>65</v>
      </c>
      <c r="BD2097">
        <v>1391.5</v>
      </c>
      <c r="BE2097">
        <v>1997</v>
      </c>
      <c r="BF2097">
        <v>30</v>
      </c>
      <c r="BG2097">
        <v>2</v>
      </c>
      <c r="BH2097">
        <v>77.5</v>
      </c>
      <c r="BI2097">
        <v>18</v>
      </c>
      <c r="BJ2097">
        <v>28</v>
      </c>
      <c r="BK2097">
        <v>6</v>
      </c>
      <c r="BP2097" s="184"/>
    </row>
    <row r="2098" spans="1:68">
      <c r="A2098">
        <v>25304734</v>
      </c>
      <c r="B2098">
        <v>25304734</v>
      </c>
      <c r="C2098" t="s">
        <v>7018</v>
      </c>
      <c r="D2098" t="s">
        <v>595</v>
      </c>
      <c r="E2098" s="184">
        <v>44167</v>
      </c>
      <c r="G2098" s="184"/>
      <c r="I2098" s="184"/>
      <c r="K2098" s="184"/>
      <c r="P2098" t="s">
        <v>7045</v>
      </c>
      <c r="Q2098" t="s">
        <v>7374</v>
      </c>
      <c r="R2098" s="184">
        <v>12316</v>
      </c>
      <c r="S2098">
        <v>90</v>
      </c>
      <c r="V2098" t="s">
        <v>2825</v>
      </c>
      <c r="W2098" t="s">
        <v>8224</v>
      </c>
      <c r="X2098" t="s">
        <v>4094</v>
      </c>
      <c r="AF2098" t="s">
        <v>18908</v>
      </c>
      <c r="AG2098" t="s">
        <v>2825</v>
      </c>
      <c r="AI2098" t="s">
        <v>18909</v>
      </c>
      <c r="AM2098" t="s">
        <v>18910</v>
      </c>
      <c r="AN2098" t="s">
        <v>2081</v>
      </c>
      <c r="AO2098" t="s">
        <v>18911</v>
      </c>
      <c r="AP2098" t="s">
        <v>7024</v>
      </c>
      <c r="AT2098" s="184">
        <v>35542</v>
      </c>
      <c r="AU2098" t="s">
        <v>18912</v>
      </c>
      <c r="AV2098">
        <v>10</v>
      </c>
      <c r="AW2098" s="184">
        <v>44614</v>
      </c>
      <c r="AX2098" t="s">
        <v>17589</v>
      </c>
      <c r="AY2098">
        <v>20</v>
      </c>
      <c r="AZ2098" s="184">
        <v>41738</v>
      </c>
      <c r="BA2098" t="s">
        <v>18913</v>
      </c>
      <c r="BB2098">
        <v>45</v>
      </c>
      <c r="BC2098">
        <v>54</v>
      </c>
      <c r="BD2098">
        <v>832</v>
      </c>
      <c r="BE2098">
        <v>1997</v>
      </c>
      <c r="BF2098">
        <v>36</v>
      </c>
      <c r="BI2098">
        <v>15</v>
      </c>
      <c r="BJ2098">
        <v>28</v>
      </c>
      <c r="BK2098">
        <v>12</v>
      </c>
      <c r="BO2098" t="s">
        <v>595</v>
      </c>
      <c r="BP2098" s="184"/>
    </row>
    <row r="2099" spans="1:68">
      <c r="A2099">
        <v>25315516</v>
      </c>
      <c r="B2099">
        <v>25315516</v>
      </c>
      <c r="C2099" t="s">
        <v>7018</v>
      </c>
      <c r="D2099" t="s">
        <v>595</v>
      </c>
      <c r="E2099" s="184">
        <v>45140</v>
      </c>
      <c r="G2099" s="184"/>
      <c r="I2099" s="184"/>
      <c r="K2099" s="184"/>
      <c r="O2099" s="184"/>
      <c r="P2099" t="s">
        <v>7029</v>
      </c>
      <c r="Q2099" t="s">
        <v>7383</v>
      </c>
      <c r="R2099" s="184">
        <v>25826</v>
      </c>
      <c r="S2099">
        <v>53</v>
      </c>
      <c r="U2099" t="s">
        <v>7130</v>
      </c>
      <c r="V2099" t="s">
        <v>3008</v>
      </c>
      <c r="X2099" t="s">
        <v>3318</v>
      </c>
      <c r="AF2099" t="s">
        <v>18914</v>
      </c>
      <c r="AG2099" t="s">
        <v>3008</v>
      </c>
      <c r="AI2099" t="s">
        <v>18915</v>
      </c>
      <c r="AM2099" t="s">
        <v>18916</v>
      </c>
      <c r="AN2099" t="s">
        <v>2064</v>
      </c>
      <c r="AO2099" t="s">
        <v>18917</v>
      </c>
      <c r="AP2099" t="s">
        <v>7024</v>
      </c>
      <c r="AQ2099" t="s">
        <v>18918</v>
      </c>
      <c r="AR2099" t="s">
        <v>18919</v>
      </c>
      <c r="AT2099" s="184">
        <v>35542</v>
      </c>
      <c r="AU2099" t="s">
        <v>18920</v>
      </c>
      <c r="AV2099">
        <v>20</v>
      </c>
      <c r="AW2099" s="184">
        <v>45408</v>
      </c>
      <c r="AX2099" t="s">
        <v>7429</v>
      </c>
      <c r="AY2099">
        <v>50</v>
      </c>
      <c r="AZ2099" s="184">
        <v>41407</v>
      </c>
      <c r="BA2099" t="s">
        <v>18921</v>
      </c>
      <c r="BB2099">
        <v>325</v>
      </c>
      <c r="BC2099">
        <v>97</v>
      </c>
      <c r="BD2099">
        <v>11717</v>
      </c>
      <c r="BE2099">
        <v>1997</v>
      </c>
      <c r="BF2099">
        <v>167</v>
      </c>
      <c r="BG2099">
        <v>25</v>
      </c>
      <c r="BH2099">
        <v>2115</v>
      </c>
      <c r="BI2099">
        <v>27</v>
      </c>
      <c r="BJ2099">
        <v>28</v>
      </c>
      <c r="BK2099">
        <v>26</v>
      </c>
      <c r="BP2099" s="184"/>
    </row>
    <row r="2100" spans="1:68">
      <c r="A2100">
        <v>25355926</v>
      </c>
      <c r="B2100">
        <v>25355926</v>
      </c>
      <c r="C2100" t="s">
        <v>7018</v>
      </c>
      <c r="E2100" s="184"/>
      <c r="G2100" s="184"/>
      <c r="I2100" s="184"/>
      <c r="J2100" t="s">
        <v>595</v>
      </c>
      <c r="K2100" s="184"/>
      <c r="O2100" s="184"/>
      <c r="P2100" t="s">
        <v>7019</v>
      </c>
      <c r="Q2100" t="s">
        <v>7194</v>
      </c>
      <c r="R2100" s="184">
        <v>16963</v>
      </c>
      <c r="S2100">
        <v>77</v>
      </c>
      <c r="U2100" t="s">
        <v>7076</v>
      </c>
      <c r="V2100" t="s">
        <v>2733</v>
      </c>
      <c r="W2100" t="s">
        <v>3522</v>
      </c>
      <c r="X2100" t="s">
        <v>18922</v>
      </c>
      <c r="Y2100" t="s">
        <v>2428</v>
      </c>
      <c r="AF2100" t="s">
        <v>18923</v>
      </c>
      <c r="AG2100" t="s">
        <v>2733</v>
      </c>
      <c r="AI2100" t="s">
        <v>18924</v>
      </c>
      <c r="AM2100" t="s">
        <v>18925</v>
      </c>
      <c r="AN2100" t="s">
        <v>2046</v>
      </c>
      <c r="AO2100" t="s">
        <v>18926</v>
      </c>
      <c r="AP2100" t="s">
        <v>7024</v>
      </c>
      <c r="AQ2100" t="s">
        <v>18927</v>
      </c>
      <c r="AT2100" s="184">
        <v>35544</v>
      </c>
      <c r="AU2100" t="s">
        <v>18928</v>
      </c>
      <c r="AV2100">
        <v>15</v>
      </c>
      <c r="AW2100" s="184">
        <v>44564</v>
      </c>
      <c r="AX2100" t="s">
        <v>18929</v>
      </c>
      <c r="AY2100">
        <v>60</v>
      </c>
      <c r="AZ2100" s="184">
        <v>38247</v>
      </c>
      <c r="BA2100" t="s">
        <v>18930</v>
      </c>
      <c r="BB2100">
        <v>87</v>
      </c>
      <c r="BC2100">
        <v>68</v>
      </c>
      <c r="BD2100">
        <v>1017</v>
      </c>
      <c r="BE2100">
        <v>1997</v>
      </c>
      <c r="BF2100">
        <v>26</v>
      </c>
      <c r="BI2100">
        <v>19</v>
      </c>
      <c r="BJ2100">
        <v>28</v>
      </c>
      <c r="BK2100">
        <v>9</v>
      </c>
      <c r="BP2100" s="184"/>
    </row>
    <row r="2101" spans="1:68">
      <c r="A2101">
        <v>25362138</v>
      </c>
      <c r="B2101">
        <v>25362138</v>
      </c>
      <c r="C2101" t="s">
        <v>7018</v>
      </c>
      <c r="D2101" t="s">
        <v>595</v>
      </c>
      <c r="E2101" s="184">
        <v>43970</v>
      </c>
      <c r="G2101" s="184"/>
      <c r="I2101" s="184"/>
      <c r="K2101" s="184"/>
      <c r="P2101" t="s">
        <v>7045</v>
      </c>
      <c r="Q2101" t="s">
        <v>7262</v>
      </c>
      <c r="R2101" s="184">
        <v>14086</v>
      </c>
      <c r="S2101">
        <v>85</v>
      </c>
      <c r="U2101" t="s">
        <v>7031</v>
      </c>
      <c r="V2101" t="s">
        <v>18931</v>
      </c>
      <c r="X2101" t="s">
        <v>18932</v>
      </c>
      <c r="AF2101" t="s">
        <v>18933</v>
      </c>
      <c r="AG2101" t="s">
        <v>18931</v>
      </c>
      <c r="AI2101" t="s">
        <v>18934</v>
      </c>
      <c r="AM2101" t="s">
        <v>4101</v>
      </c>
      <c r="AN2101" t="s">
        <v>2266</v>
      </c>
      <c r="AO2101" t="s">
        <v>18935</v>
      </c>
      <c r="AP2101" t="s">
        <v>7024</v>
      </c>
      <c r="AQ2101" t="s">
        <v>18936</v>
      </c>
      <c r="AT2101" s="184">
        <v>35544</v>
      </c>
      <c r="AU2101" t="s">
        <v>18937</v>
      </c>
      <c r="AV2101">
        <v>20</v>
      </c>
      <c r="AW2101" s="184">
        <v>44972</v>
      </c>
      <c r="AX2101" t="s">
        <v>18938</v>
      </c>
      <c r="AY2101">
        <v>100</v>
      </c>
      <c r="AZ2101" s="184">
        <v>44972</v>
      </c>
      <c r="BA2101" t="s">
        <v>18938</v>
      </c>
      <c r="BB2101">
        <v>100</v>
      </c>
      <c r="BC2101">
        <v>97</v>
      </c>
      <c r="BD2101">
        <v>1390</v>
      </c>
      <c r="BE2101">
        <v>1997</v>
      </c>
      <c r="BF2101">
        <v>36</v>
      </c>
      <c r="BG2101">
        <v>1</v>
      </c>
      <c r="BH2101">
        <v>100</v>
      </c>
      <c r="BI2101">
        <v>27</v>
      </c>
      <c r="BJ2101">
        <v>28</v>
      </c>
      <c r="BK2101">
        <v>27</v>
      </c>
      <c r="BP2101" s="184"/>
    </row>
    <row r="2102" spans="1:68">
      <c r="A2102">
        <v>25383969</v>
      </c>
      <c r="B2102">
        <v>25383969</v>
      </c>
      <c r="C2102" t="s">
        <v>7018</v>
      </c>
      <c r="D2102" t="s">
        <v>595</v>
      </c>
      <c r="E2102" s="184">
        <v>45175</v>
      </c>
      <c r="G2102" s="184"/>
      <c r="I2102" s="184"/>
      <c r="K2102" s="184"/>
      <c r="M2102" s="184"/>
      <c r="O2102" s="184"/>
      <c r="P2102" t="s">
        <v>7045</v>
      </c>
      <c r="Q2102" t="s">
        <v>7494</v>
      </c>
      <c r="R2102" s="184">
        <v>13912</v>
      </c>
      <c r="S2102">
        <v>86</v>
      </c>
      <c r="U2102" t="s">
        <v>7031</v>
      </c>
      <c r="V2102" t="s">
        <v>3246</v>
      </c>
      <c r="X2102" t="s">
        <v>18939</v>
      </c>
      <c r="Z2102">
        <v>100067136</v>
      </c>
      <c r="AB2102" t="s">
        <v>2903</v>
      </c>
      <c r="AC2102" t="s">
        <v>3830</v>
      </c>
      <c r="AD2102" t="s">
        <v>18939</v>
      </c>
      <c r="AF2102" t="s">
        <v>18940</v>
      </c>
      <c r="AG2102" t="s">
        <v>18941</v>
      </c>
      <c r="AI2102" t="s">
        <v>18942</v>
      </c>
      <c r="AM2102" t="s">
        <v>3371</v>
      </c>
      <c r="AN2102" t="s">
        <v>2174</v>
      </c>
      <c r="AO2102" t="s">
        <v>18943</v>
      </c>
      <c r="AP2102" t="s">
        <v>7024</v>
      </c>
      <c r="AQ2102" t="s">
        <v>18944</v>
      </c>
      <c r="AT2102" s="184">
        <v>35545</v>
      </c>
      <c r="AU2102" t="s">
        <v>18945</v>
      </c>
      <c r="AV2102">
        <v>15</v>
      </c>
      <c r="AW2102" s="184">
        <v>45328</v>
      </c>
      <c r="AX2102" t="s">
        <v>18946</v>
      </c>
      <c r="AY2102">
        <v>10</v>
      </c>
      <c r="AZ2102" s="184">
        <v>39835</v>
      </c>
      <c r="BA2102" t="s">
        <v>18947</v>
      </c>
      <c r="BB2102">
        <v>25</v>
      </c>
      <c r="BC2102">
        <v>40</v>
      </c>
      <c r="BD2102">
        <v>215</v>
      </c>
      <c r="BE2102">
        <v>1997</v>
      </c>
      <c r="BF2102">
        <v>17</v>
      </c>
      <c r="BG2102">
        <v>3</v>
      </c>
      <c r="BH2102">
        <v>30</v>
      </c>
      <c r="BI2102">
        <v>11</v>
      </c>
      <c r="BJ2102">
        <v>28</v>
      </c>
      <c r="BK2102">
        <v>7</v>
      </c>
      <c r="BP2102" s="184"/>
    </row>
    <row r="2103" spans="1:68">
      <c r="A2103">
        <v>100067136</v>
      </c>
      <c r="B2103">
        <v>25383969</v>
      </c>
      <c r="C2103" t="s">
        <v>7018</v>
      </c>
      <c r="D2103" t="s">
        <v>595</v>
      </c>
      <c r="E2103" s="184">
        <v>45175</v>
      </c>
      <c r="G2103" s="184"/>
      <c r="I2103" s="184"/>
      <c r="K2103" s="184"/>
      <c r="M2103" s="184"/>
      <c r="O2103" s="184"/>
      <c r="P2103" t="s">
        <v>7045</v>
      </c>
      <c r="Q2103" t="s">
        <v>7494</v>
      </c>
      <c r="R2103" s="184">
        <v>15980</v>
      </c>
      <c r="S2103">
        <v>80</v>
      </c>
      <c r="V2103" t="s">
        <v>2903</v>
      </c>
      <c r="W2103" t="s">
        <v>3830</v>
      </c>
      <c r="X2103" t="s">
        <v>18939</v>
      </c>
      <c r="Z2103">
        <v>25383969</v>
      </c>
      <c r="AA2103" t="s">
        <v>7031</v>
      </c>
      <c r="AB2103" t="s">
        <v>3246</v>
      </c>
      <c r="AD2103" t="s">
        <v>18939</v>
      </c>
      <c r="AF2103" t="s">
        <v>18940</v>
      </c>
      <c r="AG2103" t="s">
        <v>18941</v>
      </c>
      <c r="AI2103" t="s">
        <v>18942</v>
      </c>
      <c r="AM2103" t="s">
        <v>3371</v>
      </c>
      <c r="AN2103" t="s">
        <v>2174</v>
      </c>
      <c r="AO2103" t="s">
        <v>18943</v>
      </c>
      <c r="AP2103" t="s">
        <v>7024</v>
      </c>
      <c r="AT2103" s="184"/>
      <c r="AW2103" s="184"/>
      <c r="AZ2103" s="184"/>
      <c r="BP2103" s="184"/>
    </row>
    <row r="2104" spans="1:68">
      <c r="A2104">
        <v>25403718</v>
      </c>
      <c r="B2104">
        <v>25403718</v>
      </c>
      <c r="C2104" t="s">
        <v>7018</v>
      </c>
      <c r="D2104" t="s">
        <v>595</v>
      </c>
      <c r="E2104" s="184">
        <v>43647</v>
      </c>
      <c r="G2104" s="184"/>
      <c r="I2104" s="184"/>
      <c r="K2104" s="184"/>
      <c r="M2104" s="184"/>
      <c r="O2104" s="184"/>
      <c r="P2104" t="s">
        <v>7045</v>
      </c>
      <c r="Q2104" t="s">
        <v>7262</v>
      </c>
      <c r="R2104" s="184">
        <v>18810</v>
      </c>
      <c r="S2104">
        <v>72</v>
      </c>
      <c r="V2104" t="s">
        <v>3317</v>
      </c>
      <c r="X2104" t="s">
        <v>3540</v>
      </c>
      <c r="AF2104" t="s">
        <v>18948</v>
      </c>
      <c r="AG2104" t="s">
        <v>3317</v>
      </c>
      <c r="AI2104" t="s">
        <v>18949</v>
      </c>
      <c r="AM2104" t="s">
        <v>3541</v>
      </c>
      <c r="AN2104" t="s">
        <v>2106</v>
      </c>
      <c r="AO2104" t="s">
        <v>18950</v>
      </c>
      <c r="AP2104" t="s">
        <v>7024</v>
      </c>
      <c r="AQ2104" t="s">
        <v>18951</v>
      </c>
      <c r="AR2104" t="s">
        <v>18952</v>
      </c>
      <c r="AT2104" s="184">
        <v>35548</v>
      </c>
      <c r="AU2104" t="s">
        <v>18953</v>
      </c>
      <c r="AV2104">
        <v>25</v>
      </c>
      <c r="AW2104" s="184">
        <v>45124</v>
      </c>
      <c r="AX2104" t="s">
        <v>7245</v>
      </c>
      <c r="AY2104">
        <v>50</v>
      </c>
      <c r="AZ2104" s="184">
        <v>43655</v>
      </c>
      <c r="BA2104" t="s">
        <v>18954</v>
      </c>
      <c r="BB2104">
        <v>100</v>
      </c>
      <c r="BC2104">
        <v>97</v>
      </c>
      <c r="BD2104">
        <v>1300</v>
      </c>
      <c r="BE2104">
        <v>1997</v>
      </c>
      <c r="BF2104">
        <v>37</v>
      </c>
      <c r="BG2104">
        <v>3</v>
      </c>
      <c r="BH2104">
        <v>135</v>
      </c>
      <c r="BI2104">
        <v>27</v>
      </c>
      <c r="BJ2104">
        <v>28</v>
      </c>
      <c r="BK2104">
        <v>27</v>
      </c>
      <c r="BP2104" s="184"/>
    </row>
    <row r="2105" spans="1:68">
      <c r="A2105">
        <v>25405614</v>
      </c>
      <c r="B2105">
        <v>25405614</v>
      </c>
      <c r="C2105" t="s">
        <v>7018</v>
      </c>
      <c r="E2105" s="184"/>
      <c r="G2105" s="184"/>
      <c r="J2105" t="s">
        <v>595</v>
      </c>
      <c r="K2105" s="184">
        <v>40886</v>
      </c>
      <c r="M2105" s="184"/>
      <c r="O2105" s="184"/>
      <c r="P2105" t="s">
        <v>7045</v>
      </c>
      <c r="Q2105" t="s">
        <v>7262</v>
      </c>
      <c r="R2105" s="184">
        <v>10421</v>
      </c>
      <c r="S2105">
        <v>95</v>
      </c>
      <c r="U2105" t="s">
        <v>7031</v>
      </c>
      <c r="V2105" t="s">
        <v>2851</v>
      </c>
      <c r="X2105" t="s">
        <v>18955</v>
      </c>
      <c r="AF2105" t="s">
        <v>6286</v>
      </c>
      <c r="AG2105" t="s">
        <v>2851</v>
      </c>
      <c r="AI2105" t="s">
        <v>18956</v>
      </c>
      <c r="AM2105" t="s">
        <v>3134</v>
      </c>
      <c r="AN2105" t="s">
        <v>2106</v>
      </c>
      <c r="AO2105" t="s">
        <v>18957</v>
      </c>
      <c r="AP2105" t="s">
        <v>7024</v>
      </c>
      <c r="AQ2105" t="s">
        <v>18958</v>
      </c>
      <c r="AT2105" s="184">
        <v>35548</v>
      </c>
      <c r="AU2105" t="s">
        <v>18959</v>
      </c>
      <c r="AV2105">
        <v>25</v>
      </c>
      <c r="AW2105" s="184">
        <v>43294</v>
      </c>
      <c r="AX2105" t="s">
        <v>18960</v>
      </c>
      <c r="AY2105">
        <v>20</v>
      </c>
      <c r="AZ2105" s="184">
        <v>36812</v>
      </c>
      <c r="BA2105" t="s">
        <v>18961</v>
      </c>
      <c r="BB2105">
        <v>60</v>
      </c>
      <c r="BC2105">
        <v>79</v>
      </c>
      <c r="BD2105">
        <v>1845</v>
      </c>
      <c r="BE2105">
        <v>1997</v>
      </c>
      <c r="BF2105">
        <v>48</v>
      </c>
      <c r="BI2105">
        <v>22</v>
      </c>
      <c r="BJ2105">
        <v>28</v>
      </c>
      <c r="BK2105">
        <v>22</v>
      </c>
      <c r="BN2105" t="s">
        <v>595</v>
      </c>
      <c r="BO2105" t="s">
        <v>595</v>
      </c>
      <c r="BP2105" s="184">
        <v>43552</v>
      </c>
    </row>
    <row r="2106" spans="1:68">
      <c r="A2106">
        <v>25421991</v>
      </c>
      <c r="B2106">
        <v>25421991</v>
      </c>
      <c r="C2106" t="s">
        <v>7018</v>
      </c>
      <c r="E2106" s="184"/>
      <c r="G2106" s="184"/>
      <c r="I2106" s="184"/>
      <c r="J2106" t="s">
        <v>595</v>
      </c>
      <c r="K2106" s="184">
        <v>35535</v>
      </c>
      <c r="O2106" s="184"/>
      <c r="Q2106" t="s">
        <v>7160</v>
      </c>
      <c r="R2106" s="184"/>
      <c r="U2106" t="s">
        <v>7031</v>
      </c>
      <c r="V2106" t="s">
        <v>4022</v>
      </c>
      <c r="W2106" t="s">
        <v>2863</v>
      </c>
      <c r="X2106" t="s">
        <v>3969</v>
      </c>
      <c r="AF2106" t="s">
        <v>6786</v>
      </c>
      <c r="AG2106" t="s">
        <v>4022</v>
      </c>
      <c r="AI2106" t="s">
        <v>18962</v>
      </c>
      <c r="AM2106" t="s">
        <v>2844</v>
      </c>
      <c r="AN2106" t="s">
        <v>2413</v>
      </c>
      <c r="AO2106">
        <v>37075</v>
      </c>
      <c r="AP2106" t="s">
        <v>7024</v>
      </c>
      <c r="AT2106" s="184"/>
      <c r="AW2106" s="184"/>
      <c r="AZ2106" s="184"/>
      <c r="BM2106" t="s">
        <v>595</v>
      </c>
      <c r="BP2106" s="184"/>
    </row>
    <row r="2107" spans="1:68">
      <c r="A2107">
        <v>25425232</v>
      </c>
      <c r="B2107">
        <v>25425232</v>
      </c>
      <c r="C2107" t="s">
        <v>7018</v>
      </c>
      <c r="E2107" s="184"/>
      <c r="G2107" s="184"/>
      <c r="I2107" s="184"/>
      <c r="J2107" t="s">
        <v>595</v>
      </c>
      <c r="K2107" s="184">
        <v>37435</v>
      </c>
      <c r="O2107" s="184"/>
      <c r="P2107" t="s">
        <v>7045</v>
      </c>
      <c r="Q2107" t="s">
        <v>7194</v>
      </c>
      <c r="R2107" s="184">
        <v>19576</v>
      </c>
      <c r="S2107">
        <v>70</v>
      </c>
      <c r="V2107" t="s">
        <v>2697</v>
      </c>
      <c r="W2107" t="s">
        <v>4327</v>
      </c>
      <c r="X2107" t="s">
        <v>4606</v>
      </c>
      <c r="Y2107" t="s">
        <v>8154</v>
      </c>
      <c r="AF2107" t="s">
        <v>6696</v>
      </c>
      <c r="AG2107" t="s">
        <v>2697</v>
      </c>
      <c r="AI2107" t="s">
        <v>18963</v>
      </c>
      <c r="AM2107" t="s">
        <v>7450</v>
      </c>
      <c r="AN2107" t="s">
        <v>2046</v>
      </c>
      <c r="AO2107" t="s">
        <v>18964</v>
      </c>
      <c r="AP2107" t="s">
        <v>7024</v>
      </c>
      <c r="AT2107" s="184">
        <v>35549</v>
      </c>
      <c r="AU2107" t="s">
        <v>18965</v>
      </c>
      <c r="AV2107">
        <v>15</v>
      </c>
      <c r="AW2107" s="184">
        <v>42226</v>
      </c>
      <c r="AX2107" t="s">
        <v>18966</v>
      </c>
      <c r="AY2107">
        <v>25</v>
      </c>
      <c r="AZ2107" s="184">
        <v>42226</v>
      </c>
      <c r="BA2107" t="s">
        <v>18966</v>
      </c>
      <c r="BB2107">
        <v>25</v>
      </c>
      <c r="BC2107">
        <v>18</v>
      </c>
      <c r="BD2107">
        <v>115</v>
      </c>
      <c r="BE2107">
        <v>1997</v>
      </c>
      <c r="BF2107">
        <v>5</v>
      </c>
      <c r="BI2107">
        <v>5</v>
      </c>
      <c r="BJ2107">
        <v>28</v>
      </c>
      <c r="BK2107">
        <v>4</v>
      </c>
      <c r="BP2107" s="184"/>
    </row>
    <row r="2108" spans="1:68">
      <c r="A2108">
        <v>25463217</v>
      </c>
      <c r="B2108">
        <v>25463217</v>
      </c>
      <c r="C2108" t="s">
        <v>7018</v>
      </c>
      <c r="E2108" s="184"/>
      <c r="F2108" t="s">
        <v>595</v>
      </c>
      <c r="G2108" s="184">
        <v>45204</v>
      </c>
      <c r="I2108" s="184"/>
      <c r="K2108" s="184"/>
      <c r="M2108" s="184"/>
      <c r="O2108" s="184"/>
      <c r="P2108" t="s">
        <v>7045</v>
      </c>
      <c r="Q2108" t="s">
        <v>7774</v>
      </c>
      <c r="R2108" s="184">
        <v>16305</v>
      </c>
      <c r="S2108">
        <v>79</v>
      </c>
      <c r="V2108" t="s">
        <v>3480</v>
      </c>
      <c r="X2108" t="s">
        <v>3092</v>
      </c>
      <c r="AF2108" t="s">
        <v>18967</v>
      </c>
      <c r="AG2108" t="s">
        <v>3480</v>
      </c>
      <c r="AI2108" t="s">
        <v>18968</v>
      </c>
      <c r="AM2108" t="s">
        <v>18969</v>
      </c>
      <c r="AN2108" t="s">
        <v>2290</v>
      </c>
      <c r="AO2108" t="s">
        <v>18970</v>
      </c>
      <c r="AP2108" t="s">
        <v>7024</v>
      </c>
      <c r="AQ2108" t="s">
        <v>18971</v>
      </c>
      <c r="AR2108" t="s">
        <v>18972</v>
      </c>
      <c r="AT2108" s="184">
        <v>35552</v>
      </c>
      <c r="AU2108" t="s">
        <v>18973</v>
      </c>
      <c r="AV2108">
        <v>15</v>
      </c>
      <c r="AW2108" s="184">
        <v>45322</v>
      </c>
      <c r="AX2108" t="s">
        <v>13134</v>
      </c>
      <c r="AY2108">
        <v>50</v>
      </c>
      <c r="AZ2108" s="184">
        <v>45322</v>
      </c>
      <c r="BA2108" t="s">
        <v>13134</v>
      </c>
      <c r="BB2108">
        <v>50</v>
      </c>
      <c r="BC2108">
        <v>93</v>
      </c>
      <c r="BD2108">
        <v>1030</v>
      </c>
      <c r="BE2108">
        <v>1997</v>
      </c>
      <c r="BF2108">
        <v>28</v>
      </c>
      <c r="BG2108">
        <v>2</v>
      </c>
      <c r="BH2108">
        <v>100</v>
      </c>
      <c r="BI2108">
        <v>26</v>
      </c>
      <c r="BJ2108">
        <v>28</v>
      </c>
      <c r="BK2108">
        <v>19</v>
      </c>
      <c r="BP2108" s="184"/>
    </row>
    <row r="2109" spans="1:68">
      <c r="A2109">
        <v>25489378</v>
      </c>
      <c r="B2109">
        <v>25489378</v>
      </c>
      <c r="C2109" t="s">
        <v>7018</v>
      </c>
      <c r="D2109" t="s">
        <v>595</v>
      </c>
      <c r="E2109" s="184">
        <v>44104</v>
      </c>
      <c r="G2109" s="184"/>
      <c r="I2109" s="184"/>
      <c r="K2109" s="184"/>
      <c r="M2109" s="184"/>
      <c r="O2109" s="184"/>
      <c r="P2109" t="s">
        <v>7045</v>
      </c>
      <c r="Q2109" t="s">
        <v>7160</v>
      </c>
      <c r="R2109" s="184">
        <v>10711</v>
      </c>
      <c r="S2109">
        <v>95</v>
      </c>
      <c r="U2109" t="s">
        <v>7237</v>
      </c>
      <c r="V2109" t="s">
        <v>3246</v>
      </c>
      <c r="W2109" t="s">
        <v>7384</v>
      </c>
      <c r="X2109" t="s">
        <v>18974</v>
      </c>
      <c r="AF2109" t="s">
        <v>18975</v>
      </c>
      <c r="AG2109" t="s">
        <v>3246</v>
      </c>
      <c r="AI2109" t="s">
        <v>18976</v>
      </c>
      <c r="AM2109" t="s">
        <v>18977</v>
      </c>
      <c r="AN2109" t="s">
        <v>2446</v>
      </c>
      <c r="AO2109" t="s">
        <v>18978</v>
      </c>
      <c r="AP2109" t="s">
        <v>7024</v>
      </c>
      <c r="AT2109" s="184">
        <v>35555</v>
      </c>
      <c r="AU2109" t="s">
        <v>18979</v>
      </c>
      <c r="AV2109">
        <v>10</v>
      </c>
      <c r="AW2109" s="184">
        <v>44025</v>
      </c>
      <c r="AX2109" t="s">
        <v>18980</v>
      </c>
      <c r="AY2109">
        <v>100</v>
      </c>
      <c r="AZ2109" s="184">
        <v>44025</v>
      </c>
      <c r="BA2109" t="s">
        <v>18980</v>
      </c>
      <c r="BB2109">
        <v>100</v>
      </c>
      <c r="BC2109">
        <v>68</v>
      </c>
      <c r="BD2109">
        <v>825</v>
      </c>
      <c r="BE2109">
        <v>1997</v>
      </c>
      <c r="BF2109">
        <v>19</v>
      </c>
      <c r="BI2109">
        <v>19</v>
      </c>
      <c r="BJ2109">
        <v>28</v>
      </c>
      <c r="BK2109">
        <v>13</v>
      </c>
      <c r="BP2109" s="184"/>
    </row>
    <row r="2110" spans="1:68">
      <c r="A2110">
        <v>25507047</v>
      </c>
      <c r="B2110">
        <v>25507047</v>
      </c>
      <c r="C2110" t="s">
        <v>7018</v>
      </c>
      <c r="D2110" t="s">
        <v>595</v>
      </c>
      <c r="E2110" s="184">
        <v>44104</v>
      </c>
      <c r="G2110" s="184"/>
      <c r="I2110" s="184"/>
      <c r="K2110" s="184"/>
      <c r="M2110" s="184"/>
      <c r="O2110" s="184"/>
      <c r="P2110" t="s">
        <v>7045</v>
      </c>
      <c r="Q2110" t="s">
        <v>7494</v>
      </c>
      <c r="R2110" s="184">
        <v>12808</v>
      </c>
      <c r="S2110">
        <v>89</v>
      </c>
      <c r="V2110" t="s">
        <v>3279</v>
      </c>
      <c r="X2110" t="s">
        <v>4752</v>
      </c>
      <c r="AF2110" t="s">
        <v>18981</v>
      </c>
      <c r="AG2110" t="s">
        <v>3279</v>
      </c>
      <c r="AI2110" t="s">
        <v>18982</v>
      </c>
      <c r="AM2110" t="s">
        <v>5300</v>
      </c>
      <c r="AN2110" t="s">
        <v>2484</v>
      </c>
      <c r="AO2110" t="s">
        <v>18983</v>
      </c>
      <c r="AP2110" t="s">
        <v>7024</v>
      </c>
      <c r="AQ2110" t="s">
        <v>18984</v>
      </c>
      <c r="AT2110" s="184">
        <v>35556</v>
      </c>
      <c r="AU2110" t="s">
        <v>18959</v>
      </c>
      <c r="AV2110">
        <v>15</v>
      </c>
      <c r="AW2110" s="184">
        <v>45083</v>
      </c>
      <c r="AX2110" t="s">
        <v>7665</v>
      </c>
      <c r="AY2110">
        <v>35</v>
      </c>
      <c r="AZ2110" s="184">
        <v>45083</v>
      </c>
      <c r="BA2110" t="s">
        <v>7665</v>
      </c>
      <c r="BB2110">
        <v>35</v>
      </c>
      <c r="BC2110">
        <v>93</v>
      </c>
      <c r="BD2110">
        <v>760</v>
      </c>
      <c r="BE2110">
        <v>1997</v>
      </c>
      <c r="BF2110">
        <v>29</v>
      </c>
      <c r="BG2110">
        <v>3</v>
      </c>
      <c r="BH2110">
        <v>105</v>
      </c>
      <c r="BI2110">
        <v>26</v>
      </c>
      <c r="BJ2110">
        <v>28</v>
      </c>
      <c r="BK2110">
        <v>24</v>
      </c>
      <c r="BP2110" s="184"/>
    </row>
    <row r="2111" spans="1:68">
      <c r="A2111">
        <v>25507286</v>
      </c>
      <c r="B2111">
        <v>25507286</v>
      </c>
      <c r="C2111" t="s">
        <v>7018</v>
      </c>
      <c r="D2111" t="s">
        <v>595</v>
      </c>
      <c r="E2111" s="184">
        <v>43773</v>
      </c>
      <c r="G2111" s="184"/>
      <c r="I2111" s="184"/>
      <c r="K2111" s="184"/>
      <c r="M2111" s="184"/>
      <c r="O2111" s="184"/>
      <c r="P2111" t="s">
        <v>7045</v>
      </c>
      <c r="Q2111" t="s">
        <v>7194</v>
      </c>
      <c r="R2111" s="184">
        <v>16303</v>
      </c>
      <c r="S2111">
        <v>79</v>
      </c>
      <c r="V2111" t="s">
        <v>3101</v>
      </c>
      <c r="W2111" t="s">
        <v>7384</v>
      </c>
      <c r="X2111" t="s">
        <v>4261</v>
      </c>
      <c r="Z2111">
        <v>100067486</v>
      </c>
      <c r="AB2111" t="s">
        <v>7046</v>
      </c>
      <c r="AC2111" t="s">
        <v>2511</v>
      </c>
      <c r="AD2111" t="s">
        <v>4261</v>
      </c>
      <c r="AF2111" t="s">
        <v>18985</v>
      </c>
      <c r="AG2111" t="s">
        <v>18986</v>
      </c>
      <c r="AI2111" t="s">
        <v>18987</v>
      </c>
      <c r="AM2111" t="s">
        <v>4262</v>
      </c>
      <c r="AN2111" t="s">
        <v>2046</v>
      </c>
      <c r="AO2111" t="s">
        <v>18988</v>
      </c>
      <c r="AP2111" t="s">
        <v>7024</v>
      </c>
      <c r="AQ2111" t="s">
        <v>18989</v>
      </c>
      <c r="AT2111" s="184">
        <v>35556</v>
      </c>
      <c r="AU2111" t="s">
        <v>18965</v>
      </c>
      <c r="AV2111">
        <v>25</v>
      </c>
      <c r="AW2111" s="184">
        <v>45188</v>
      </c>
      <c r="AX2111" t="s">
        <v>18990</v>
      </c>
      <c r="AY2111">
        <v>50</v>
      </c>
      <c r="AZ2111" s="184">
        <v>37420</v>
      </c>
      <c r="BA2111" t="s">
        <v>18991</v>
      </c>
      <c r="BB2111">
        <v>200</v>
      </c>
      <c r="BC2111">
        <v>68</v>
      </c>
      <c r="BD2111">
        <v>1600</v>
      </c>
      <c r="BE2111">
        <v>1997</v>
      </c>
      <c r="BF2111">
        <v>26</v>
      </c>
      <c r="BG2111">
        <v>2</v>
      </c>
      <c r="BH2111">
        <v>150</v>
      </c>
      <c r="BI2111">
        <v>19</v>
      </c>
      <c r="BJ2111">
        <v>28</v>
      </c>
      <c r="BK2111">
        <v>12</v>
      </c>
      <c r="BP2111" s="184"/>
    </row>
    <row r="2112" spans="1:68">
      <c r="A2112">
        <v>100067486</v>
      </c>
      <c r="B2112">
        <v>25507286</v>
      </c>
      <c r="C2112" t="s">
        <v>7018</v>
      </c>
      <c r="D2112" t="s">
        <v>595</v>
      </c>
      <c r="E2112" s="184">
        <v>43773</v>
      </c>
      <c r="G2112" s="184"/>
      <c r="I2112" s="184"/>
      <c r="K2112" s="184"/>
      <c r="M2112" s="184"/>
      <c r="O2112" s="184"/>
      <c r="P2112" t="s">
        <v>7045</v>
      </c>
      <c r="Q2112" t="s">
        <v>7194</v>
      </c>
      <c r="R2112" s="184">
        <v>11405</v>
      </c>
      <c r="S2112">
        <v>93</v>
      </c>
      <c r="V2112" t="s">
        <v>7046</v>
      </c>
      <c r="W2112" t="s">
        <v>2511</v>
      </c>
      <c r="X2112" t="s">
        <v>4261</v>
      </c>
      <c r="Z2112">
        <v>25507286</v>
      </c>
      <c r="AB2112" t="s">
        <v>3101</v>
      </c>
      <c r="AC2112" t="s">
        <v>7384</v>
      </c>
      <c r="AD2112" t="s">
        <v>4261</v>
      </c>
      <c r="AF2112" t="s">
        <v>18985</v>
      </c>
      <c r="AG2112" t="s">
        <v>18986</v>
      </c>
      <c r="AI2112" t="s">
        <v>18987</v>
      </c>
      <c r="AM2112" t="s">
        <v>4262</v>
      </c>
      <c r="AN2112" t="s">
        <v>2046</v>
      </c>
      <c r="AO2112" t="s">
        <v>18988</v>
      </c>
      <c r="AP2112" t="s">
        <v>7024</v>
      </c>
      <c r="AQ2112" t="s">
        <v>18992</v>
      </c>
      <c r="AT2112" s="184"/>
      <c r="AW2112" s="184"/>
      <c r="AZ2112" s="184"/>
      <c r="BP2112" s="184"/>
    </row>
    <row r="2113" spans="1:68">
      <c r="A2113">
        <v>25566027</v>
      </c>
      <c r="B2113">
        <v>25566027</v>
      </c>
      <c r="C2113" t="s">
        <v>7018</v>
      </c>
      <c r="E2113" s="184"/>
      <c r="G2113" s="184"/>
      <c r="I2113" s="184"/>
      <c r="J2113" t="s">
        <v>595</v>
      </c>
      <c r="K2113" s="184">
        <v>43773</v>
      </c>
      <c r="O2113" s="184"/>
      <c r="P2113" t="s">
        <v>7045</v>
      </c>
      <c r="Q2113" t="s">
        <v>7374</v>
      </c>
      <c r="R2113" s="184">
        <v>17685</v>
      </c>
      <c r="S2113">
        <v>75</v>
      </c>
      <c r="U2113" t="s">
        <v>7076</v>
      </c>
      <c r="V2113" t="s">
        <v>4210</v>
      </c>
      <c r="W2113" t="s">
        <v>7107</v>
      </c>
      <c r="X2113" t="s">
        <v>4232</v>
      </c>
      <c r="AF2113" t="s">
        <v>6469</v>
      </c>
      <c r="AG2113" t="s">
        <v>4210</v>
      </c>
      <c r="AI2113" t="s">
        <v>18993</v>
      </c>
      <c r="AM2113" t="s">
        <v>4233</v>
      </c>
      <c r="AN2113" t="s">
        <v>2081</v>
      </c>
      <c r="AO2113" t="s">
        <v>18994</v>
      </c>
      <c r="AP2113" t="s">
        <v>7024</v>
      </c>
      <c r="AT2113" s="184">
        <v>35558</v>
      </c>
      <c r="AU2113" t="s">
        <v>18995</v>
      </c>
      <c r="AV2113">
        <v>10</v>
      </c>
      <c r="AW2113" s="184">
        <v>43950</v>
      </c>
      <c r="AX2113" t="s">
        <v>18996</v>
      </c>
      <c r="AY2113">
        <v>50</v>
      </c>
      <c r="AZ2113" s="184">
        <v>43950</v>
      </c>
      <c r="BA2113" t="s">
        <v>18996</v>
      </c>
      <c r="BB2113">
        <v>50</v>
      </c>
      <c r="BC2113">
        <v>61</v>
      </c>
      <c r="BD2113">
        <v>885</v>
      </c>
      <c r="BE2113">
        <v>1997</v>
      </c>
      <c r="BF2113">
        <v>28</v>
      </c>
      <c r="BI2113">
        <v>17</v>
      </c>
      <c r="BJ2113">
        <v>28</v>
      </c>
      <c r="BK2113">
        <v>13</v>
      </c>
      <c r="BP2113" s="184"/>
    </row>
    <row r="2114" spans="1:68">
      <c r="A2114">
        <v>25566357</v>
      </c>
      <c r="B2114">
        <v>25566357</v>
      </c>
      <c r="C2114" t="s">
        <v>7018</v>
      </c>
      <c r="E2114" s="184"/>
      <c r="G2114" s="184"/>
      <c r="I2114" s="184"/>
      <c r="J2114" t="s">
        <v>595</v>
      </c>
      <c r="K2114" s="184">
        <v>45400</v>
      </c>
      <c r="M2114" s="184"/>
      <c r="O2114" s="184"/>
      <c r="P2114" t="s">
        <v>7686</v>
      </c>
      <c r="Q2114" t="s">
        <v>7020</v>
      </c>
      <c r="R2114" s="184"/>
      <c r="U2114" t="s">
        <v>7130</v>
      </c>
      <c r="V2114" t="s">
        <v>3101</v>
      </c>
      <c r="X2114" t="s">
        <v>18997</v>
      </c>
      <c r="AF2114" t="s">
        <v>18998</v>
      </c>
      <c r="AG2114" t="s">
        <v>3101</v>
      </c>
      <c r="AI2114" t="s">
        <v>18999</v>
      </c>
      <c r="AM2114" t="s">
        <v>9753</v>
      </c>
      <c r="AN2114" t="s">
        <v>2052</v>
      </c>
      <c r="AO2114" t="s">
        <v>19000</v>
      </c>
      <c r="AP2114" t="s">
        <v>7024</v>
      </c>
      <c r="AT2114" s="184">
        <v>35558</v>
      </c>
      <c r="AU2114" t="s">
        <v>19001</v>
      </c>
      <c r="AV2114">
        <v>20</v>
      </c>
      <c r="AW2114" s="184">
        <v>45390</v>
      </c>
      <c r="AX2114" t="s">
        <v>7296</v>
      </c>
      <c r="AY2114">
        <v>8334</v>
      </c>
      <c r="AZ2114" s="184">
        <v>45390</v>
      </c>
      <c r="BA2114" t="s">
        <v>7296</v>
      </c>
      <c r="BB2114">
        <v>8334</v>
      </c>
      <c r="BC2114">
        <v>58</v>
      </c>
      <c r="BD2114">
        <v>14501.75</v>
      </c>
      <c r="BE2114">
        <v>1997</v>
      </c>
      <c r="BF2114">
        <v>38</v>
      </c>
      <c r="BG2114">
        <v>1</v>
      </c>
      <c r="BH2114">
        <v>8334</v>
      </c>
      <c r="BI2114">
        <v>16</v>
      </c>
      <c r="BJ2114">
        <v>28</v>
      </c>
      <c r="BK2114">
        <v>10</v>
      </c>
      <c r="BO2114" t="s">
        <v>595</v>
      </c>
      <c r="BP2114" s="184">
        <v>42589</v>
      </c>
    </row>
    <row r="2115" spans="1:68">
      <c r="A2115">
        <v>25569674</v>
      </c>
      <c r="B2115">
        <v>25569674</v>
      </c>
      <c r="C2115" t="s">
        <v>7018</v>
      </c>
      <c r="E2115" s="184"/>
      <c r="F2115" t="s">
        <v>595</v>
      </c>
      <c r="G2115" s="184">
        <v>44313</v>
      </c>
      <c r="I2115" s="184"/>
      <c r="K2115" s="184"/>
      <c r="M2115" s="184"/>
      <c r="O2115" s="184"/>
      <c r="P2115" t="s">
        <v>7045</v>
      </c>
      <c r="Q2115" t="s">
        <v>7160</v>
      </c>
      <c r="R2115" s="184">
        <v>13028</v>
      </c>
      <c r="S2115">
        <v>88</v>
      </c>
      <c r="V2115" t="s">
        <v>19002</v>
      </c>
      <c r="W2115" t="s">
        <v>4327</v>
      </c>
      <c r="X2115" t="s">
        <v>19003</v>
      </c>
      <c r="AF2115" t="s">
        <v>19004</v>
      </c>
      <c r="AG2115" t="s">
        <v>19002</v>
      </c>
      <c r="AI2115" t="s">
        <v>19005</v>
      </c>
      <c r="AM2115" t="s">
        <v>4966</v>
      </c>
      <c r="AN2115" t="s">
        <v>2395</v>
      </c>
      <c r="AO2115" t="s">
        <v>19006</v>
      </c>
      <c r="AP2115" t="s">
        <v>7024</v>
      </c>
      <c r="AQ2115" t="s">
        <v>19007</v>
      </c>
      <c r="AR2115" t="s">
        <v>19008</v>
      </c>
      <c r="AT2115" s="184">
        <v>35550</v>
      </c>
      <c r="AU2115" t="s">
        <v>19009</v>
      </c>
      <c r="AV2115">
        <v>15</v>
      </c>
      <c r="AW2115" s="184">
        <v>38149</v>
      </c>
      <c r="AX2115" t="s">
        <v>15749</v>
      </c>
      <c r="AY2115">
        <v>25</v>
      </c>
      <c r="AZ2115" s="184">
        <v>38149</v>
      </c>
      <c r="BA2115" t="s">
        <v>15749</v>
      </c>
      <c r="BB2115">
        <v>25</v>
      </c>
      <c r="BC2115">
        <v>29</v>
      </c>
      <c r="BD2115">
        <v>200</v>
      </c>
      <c r="BE2115">
        <v>1997</v>
      </c>
      <c r="BF2115">
        <v>12</v>
      </c>
      <c r="BI2115">
        <v>8</v>
      </c>
      <c r="BJ2115">
        <v>28</v>
      </c>
      <c r="BK2115">
        <v>8</v>
      </c>
      <c r="BP2115" s="184"/>
    </row>
    <row r="2116" spans="1:68">
      <c r="A2116">
        <v>25570979</v>
      </c>
      <c r="B2116">
        <v>25570979</v>
      </c>
      <c r="C2116" t="s">
        <v>7018</v>
      </c>
      <c r="D2116" t="s">
        <v>595</v>
      </c>
      <c r="E2116" s="184">
        <v>44441</v>
      </c>
      <c r="G2116" s="184"/>
      <c r="I2116" s="184"/>
      <c r="K2116" s="184"/>
      <c r="O2116" s="184"/>
      <c r="P2116" t="s">
        <v>7045</v>
      </c>
      <c r="Q2116" t="s">
        <v>7454</v>
      </c>
      <c r="R2116" s="184">
        <v>15342</v>
      </c>
      <c r="S2116">
        <v>82</v>
      </c>
      <c r="U2116" t="s">
        <v>7032</v>
      </c>
      <c r="V2116" t="s">
        <v>4950</v>
      </c>
      <c r="X2116" t="s">
        <v>19010</v>
      </c>
      <c r="AF2116" t="s">
        <v>19011</v>
      </c>
      <c r="AG2116" t="s">
        <v>4950</v>
      </c>
      <c r="AI2116" t="s">
        <v>19012</v>
      </c>
      <c r="AM2116" t="s">
        <v>17163</v>
      </c>
      <c r="AN2116" t="s">
        <v>2055</v>
      </c>
      <c r="AO2116" t="s">
        <v>19013</v>
      </c>
      <c r="AP2116" t="s">
        <v>7024</v>
      </c>
      <c r="AT2116" s="184">
        <v>35552</v>
      </c>
      <c r="AU2116" t="s">
        <v>19014</v>
      </c>
      <c r="AV2116">
        <v>15</v>
      </c>
      <c r="AW2116" s="184">
        <v>43166</v>
      </c>
      <c r="AX2116" t="s">
        <v>19015</v>
      </c>
      <c r="AY2116">
        <v>20</v>
      </c>
      <c r="AZ2116" s="184">
        <v>42842</v>
      </c>
      <c r="BA2116" t="s">
        <v>19016</v>
      </c>
      <c r="BB2116">
        <v>25</v>
      </c>
      <c r="BC2116">
        <v>33</v>
      </c>
      <c r="BD2116">
        <v>170</v>
      </c>
      <c r="BE2116">
        <v>1997</v>
      </c>
      <c r="BF2116">
        <v>9</v>
      </c>
      <c r="BI2116">
        <v>9</v>
      </c>
      <c r="BJ2116">
        <v>28</v>
      </c>
      <c r="BK2116">
        <v>4</v>
      </c>
      <c r="BP2116" s="184"/>
    </row>
    <row r="2117" spans="1:68">
      <c r="A2117">
        <v>25602327</v>
      </c>
      <c r="B2117">
        <v>25602327</v>
      </c>
      <c r="C2117" t="s">
        <v>7018</v>
      </c>
      <c r="E2117" s="184"/>
      <c r="G2117" s="184"/>
      <c r="I2117" s="184"/>
      <c r="J2117" t="s">
        <v>595</v>
      </c>
      <c r="K2117" s="184">
        <v>39504</v>
      </c>
      <c r="P2117" t="s">
        <v>7084</v>
      </c>
      <c r="Q2117" t="s">
        <v>7774</v>
      </c>
      <c r="R2117" s="184">
        <v>15598</v>
      </c>
      <c r="S2117">
        <v>81</v>
      </c>
      <c r="U2117" t="s">
        <v>7076</v>
      </c>
      <c r="V2117" t="s">
        <v>2779</v>
      </c>
      <c r="W2117" t="s">
        <v>4330</v>
      </c>
      <c r="X2117" t="s">
        <v>5295</v>
      </c>
      <c r="AF2117" t="s">
        <v>19017</v>
      </c>
      <c r="AG2117" t="s">
        <v>2779</v>
      </c>
      <c r="AI2117" t="s">
        <v>19018</v>
      </c>
      <c r="AM2117" t="s">
        <v>3690</v>
      </c>
      <c r="AN2117" t="s">
        <v>2077</v>
      </c>
      <c r="AO2117" t="s">
        <v>19019</v>
      </c>
      <c r="AP2117" t="s">
        <v>7024</v>
      </c>
      <c r="AQ2117" t="s">
        <v>19020</v>
      </c>
      <c r="AT2117" s="184">
        <v>35549</v>
      </c>
      <c r="AU2117" t="s">
        <v>19021</v>
      </c>
      <c r="AV2117">
        <v>1000</v>
      </c>
      <c r="AW2117" s="184">
        <v>45033</v>
      </c>
      <c r="AX2117" t="s">
        <v>19022</v>
      </c>
      <c r="AY2117">
        <v>25000</v>
      </c>
      <c r="AZ2117" s="184">
        <v>40704</v>
      </c>
      <c r="BA2117" t="s">
        <v>19023</v>
      </c>
      <c r="BB2117">
        <v>2940000</v>
      </c>
      <c r="BC2117">
        <v>97</v>
      </c>
      <c r="BD2117">
        <v>21535250.719999999</v>
      </c>
      <c r="BE2117">
        <v>1997</v>
      </c>
      <c r="BF2117">
        <v>126</v>
      </c>
      <c r="BG2117">
        <v>3</v>
      </c>
      <c r="BH2117">
        <v>60000</v>
      </c>
      <c r="BI2117">
        <v>27</v>
      </c>
      <c r="BJ2117">
        <v>28</v>
      </c>
      <c r="BK2117">
        <v>27</v>
      </c>
      <c r="BN2117" t="s">
        <v>595</v>
      </c>
      <c r="BP2117" s="184"/>
    </row>
    <row r="2118" spans="1:68">
      <c r="A2118">
        <v>25618232</v>
      </c>
      <c r="B2118">
        <v>25618232</v>
      </c>
      <c r="C2118" t="s">
        <v>7018</v>
      </c>
      <c r="D2118" t="s">
        <v>595</v>
      </c>
      <c r="E2118" s="184">
        <v>43829</v>
      </c>
      <c r="G2118" s="184"/>
      <c r="I2118" s="184"/>
      <c r="K2118" s="184"/>
      <c r="O2118" s="184"/>
      <c r="P2118" t="s">
        <v>7045</v>
      </c>
      <c r="Q2118" t="s">
        <v>7194</v>
      </c>
      <c r="R2118" s="184">
        <v>23255</v>
      </c>
      <c r="S2118">
        <v>60</v>
      </c>
      <c r="U2118" t="s">
        <v>7130</v>
      </c>
      <c r="V2118" t="s">
        <v>3580</v>
      </c>
      <c r="X2118" t="s">
        <v>19024</v>
      </c>
      <c r="AF2118" t="s">
        <v>19025</v>
      </c>
      <c r="AG2118" t="s">
        <v>3580</v>
      </c>
      <c r="AI2118" t="s">
        <v>19026</v>
      </c>
      <c r="AM2118" t="s">
        <v>11015</v>
      </c>
      <c r="AN2118" t="s">
        <v>2046</v>
      </c>
      <c r="AO2118" t="s">
        <v>19027</v>
      </c>
      <c r="AP2118" t="s">
        <v>7024</v>
      </c>
      <c r="AQ2118" t="s">
        <v>19028</v>
      </c>
      <c r="AR2118" t="s">
        <v>19029</v>
      </c>
      <c r="AT2118" s="184">
        <v>35563</v>
      </c>
      <c r="AU2118" t="s">
        <v>19030</v>
      </c>
      <c r="AV2118">
        <v>15</v>
      </c>
      <c r="AW2118" s="184">
        <v>43717</v>
      </c>
      <c r="AX2118" t="s">
        <v>19031</v>
      </c>
      <c r="AY2118">
        <v>50</v>
      </c>
      <c r="AZ2118" s="184">
        <v>38373</v>
      </c>
      <c r="BA2118" t="s">
        <v>19032</v>
      </c>
      <c r="BB2118">
        <v>150</v>
      </c>
      <c r="BC2118">
        <v>43</v>
      </c>
      <c r="BD2118">
        <v>1190</v>
      </c>
      <c r="BE2118">
        <v>1997</v>
      </c>
      <c r="BF2118">
        <v>15</v>
      </c>
      <c r="BI2118">
        <v>12</v>
      </c>
      <c r="BJ2118">
        <v>28</v>
      </c>
      <c r="BK2118">
        <v>8</v>
      </c>
      <c r="BP2118" s="184"/>
    </row>
    <row r="2119" spans="1:68">
      <c r="A2119">
        <v>25642216</v>
      </c>
      <c r="B2119">
        <v>25642216</v>
      </c>
      <c r="C2119" t="s">
        <v>7018</v>
      </c>
      <c r="D2119" t="s">
        <v>595</v>
      </c>
      <c r="E2119" s="184">
        <v>43864</v>
      </c>
      <c r="G2119" s="184"/>
      <c r="I2119" s="184"/>
      <c r="K2119" s="184"/>
      <c r="P2119" t="s">
        <v>7045</v>
      </c>
      <c r="Q2119" t="s">
        <v>7262</v>
      </c>
      <c r="R2119" s="184">
        <v>19480</v>
      </c>
      <c r="S2119">
        <v>71</v>
      </c>
      <c r="V2119" t="s">
        <v>3856</v>
      </c>
      <c r="W2119" t="s">
        <v>7246</v>
      </c>
      <c r="X2119" t="s">
        <v>4703</v>
      </c>
      <c r="AF2119" t="s">
        <v>19033</v>
      </c>
      <c r="AG2119" t="s">
        <v>3856</v>
      </c>
      <c r="AI2119" t="s">
        <v>19034</v>
      </c>
      <c r="AM2119" t="s">
        <v>5493</v>
      </c>
      <c r="AN2119" t="s">
        <v>2069</v>
      </c>
      <c r="AO2119" t="s">
        <v>19035</v>
      </c>
      <c r="AP2119" t="s">
        <v>7024</v>
      </c>
      <c r="AQ2119" t="s">
        <v>19036</v>
      </c>
      <c r="AR2119" t="s">
        <v>19037</v>
      </c>
      <c r="AT2119" s="184">
        <v>35563</v>
      </c>
      <c r="AU2119" t="s">
        <v>19038</v>
      </c>
      <c r="AV2119">
        <v>5</v>
      </c>
      <c r="AW2119" s="184">
        <v>44945</v>
      </c>
      <c r="AX2119" t="s">
        <v>19039</v>
      </c>
      <c r="AY2119">
        <v>5</v>
      </c>
      <c r="AZ2119" s="184">
        <v>43698</v>
      </c>
      <c r="BA2119" t="s">
        <v>19040</v>
      </c>
      <c r="BB2119">
        <v>35</v>
      </c>
      <c r="BC2119">
        <v>40</v>
      </c>
      <c r="BD2119">
        <v>273</v>
      </c>
      <c r="BE2119">
        <v>1997</v>
      </c>
      <c r="BF2119">
        <v>18</v>
      </c>
      <c r="BG2119">
        <v>2</v>
      </c>
      <c r="BH2119">
        <v>10</v>
      </c>
      <c r="BI2119">
        <v>11</v>
      </c>
      <c r="BJ2119">
        <v>28</v>
      </c>
      <c r="BK2119">
        <v>4</v>
      </c>
      <c r="BP2119" s="184"/>
    </row>
    <row r="2120" spans="1:68">
      <c r="A2120">
        <v>25675810</v>
      </c>
      <c r="B2120">
        <v>25675810</v>
      </c>
      <c r="C2120" t="s">
        <v>7018</v>
      </c>
      <c r="E2120" s="184"/>
      <c r="G2120" s="184"/>
      <c r="I2120" s="184"/>
      <c r="J2120" t="s">
        <v>595</v>
      </c>
      <c r="K2120" s="184">
        <v>42320</v>
      </c>
      <c r="M2120" s="184"/>
      <c r="O2120" s="184"/>
      <c r="P2120" t="s">
        <v>7045</v>
      </c>
      <c r="Q2120" t="s">
        <v>7194</v>
      </c>
      <c r="R2120" s="184">
        <v>16798</v>
      </c>
      <c r="S2120">
        <v>78</v>
      </c>
      <c r="V2120" t="s">
        <v>3468</v>
      </c>
      <c r="X2120" t="s">
        <v>3626</v>
      </c>
      <c r="Z2120">
        <v>100181520</v>
      </c>
      <c r="AB2120" t="s">
        <v>2541</v>
      </c>
      <c r="AD2120" t="s">
        <v>19041</v>
      </c>
      <c r="AF2120" t="s">
        <v>6224</v>
      </c>
      <c r="AG2120" t="s">
        <v>19042</v>
      </c>
      <c r="AI2120" t="s">
        <v>19043</v>
      </c>
      <c r="AM2120" t="s">
        <v>12002</v>
      </c>
      <c r="AN2120" t="s">
        <v>2046</v>
      </c>
      <c r="AO2120" t="s">
        <v>19044</v>
      </c>
      <c r="AP2120" t="s">
        <v>7024</v>
      </c>
      <c r="AQ2120" t="s">
        <v>19045</v>
      </c>
      <c r="AT2120" s="184">
        <v>35558</v>
      </c>
      <c r="AU2120" t="s">
        <v>19046</v>
      </c>
      <c r="AV2120">
        <v>25</v>
      </c>
      <c r="AW2120" s="184">
        <v>45372</v>
      </c>
      <c r="AX2120" t="s">
        <v>19047</v>
      </c>
      <c r="AY2120">
        <v>100</v>
      </c>
      <c r="AZ2120" s="184">
        <v>44916</v>
      </c>
      <c r="BA2120" t="s">
        <v>13973</v>
      </c>
      <c r="BB2120">
        <v>200</v>
      </c>
      <c r="BC2120">
        <v>97</v>
      </c>
      <c r="BD2120">
        <v>3350</v>
      </c>
      <c r="BE2120">
        <v>1997</v>
      </c>
      <c r="BF2120">
        <v>59</v>
      </c>
      <c r="BG2120">
        <v>7</v>
      </c>
      <c r="BH2120">
        <v>600</v>
      </c>
      <c r="BI2120">
        <v>27</v>
      </c>
      <c r="BJ2120">
        <v>28</v>
      </c>
      <c r="BK2120">
        <v>25</v>
      </c>
      <c r="BP2120" s="184"/>
    </row>
    <row r="2121" spans="1:68">
      <c r="A2121">
        <v>100181520</v>
      </c>
      <c r="B2121">
        <v>25675810</v>
      </c>
      <c r="C2121" t="s">
        <v>7018</v>
      </c>
      <c r="E2121" s="184"/>
      <c r="G2121" s="184"/>
      <c r="I2121" s="184"/>
      <c r="J2121" t="s">
        <v>595</v>
      </c>
      <c r="K2121" s="184">
        <v>43641</v>
      </c>
      <c r="M2121" s="184"/>
      <c r="P2121" t="s">
        <v>7045</v>
      </c>
      <c r="Q2121" t="s">
        <v>7194</v>
      </c>
      <c r="R2121" s="184">
        <v>17030</v>
      </c>
      <c r="S2121">
        <v>77</v>
      </c>
      <c r="V2121" t="s">
        <v>2541</v>
      </c>
      <c r="X2121" t="s">
        <v>19041</v>
      </c>
      <c r="Z2121">
        <v>25675810</v>
      </c>
      <c r="AB2121" t="s">
        <v>3468</v>
      </c>
      <c r="AD2121" t="s">
        <v>3626</v>
      </c>
      <c r="AF2121" t="s">
        <v>6224</v>
      </c>
      <c r="AG2121" t="s">
        <v>19042</v>
      </c>
      <c r="AI2121" t="s">
        <v>19043</v>
      </c>
      <c r="AM2121" t="s">
        <v>12002</v>
      </c>
      <c r="AN2121" t="s">
        <v>2046</v>
      </c>
      <c r="AO2121" t="s">
        <v>19044</v>
      </c>
      <c r="AP2121" t="s">
        <v>7024</v>
      </c>
      <c r="AQ2121" t="s">
        <v>19045</v>
      </c>
      <c r="AT2121" s="184">
        <v>43808</v>
      </c>
      <c r="AU2121" t="s">
        <v>9267</v>
      </c>
      <c r="AV2121">
        <v>50</v>
      </c>
      <c r="AW2121" s="184">
        <v>43808</v>
      </c>
      <c r="AX2121" t="s">
        <v>9267</v>
      </c>
      <c r="AY2121">
        <v>50</v>
      </c>
      <c r="AZ2121" s="184">
        <v>43808</v>
      </c>
      <c r="BA2121" t="s">
        <v>9267</v>
      </c>
      <c r="BB2121">
        <v>50</v>
      </c>
      <c r="BC2121">
        <v>17</v>
      </c>
      <c r="BD2121">
        <v>50</v>
      </c>
      <c r="BE2121">
        <v>2020</v>
      </c>
      <c r="BF2121">
        <v>1</v>
      </c>
      <c r="BI2121">
        <v>1</v>
      </c>
      <c r="BJ2121">
        <v>6</v>
      </c>
      <c r="BK2121">
        <v>1</v>
      </c>
      <c r="BP2121" s="184"/>
    </row>
    <row r="2122" spans="1:68">
      <c r="A2122">
        <v>25698879</v>
      </c>
      <c r="B2122">
        <v>25698879</v>
      </c>
      <c r="C2122" t="s">
        <v>7018</v>
      </c>
      <c r="E2122" s="184"/>
      <c r="F2122" t="s">
        <v>595</v>
      </c>
      <c r="G2122" s="184">
        <v>43731</v>
      </c>
      <c r="I2122" s="184"/>
      <c r="K2122" s="184"/>
      <c r="M2122" s="184"/>
      <c r="O2122" s="184"/>
      <c r="P2122" t="s">
        <v>7045</v>
      </c>
      <c r="Q2122" t="s">
        <v>7160</v>
      </c>
      <c r="R2122" s="184">
        <v>20941</v>
      </c>
      <c r="S2122">
        <v>67</v>
      </c>
      <c r="U2122" t="s">
        <v>7031</v>
      </c>
      <c r="V2122" t="s">
        <v>2665</v>
      </c>
      <c r="W2122" t="s">
        <v>7246</v>
      </c>
      <c r="X2122" t="s">
        <v>2909</v>
      </c>
      <c r="AF2122" t="s">
        <v>19048</v>
      </c>
      <c r="AG2122" t="s">
        <v>2665</v>
      </c>
      <c r="AI2122" t="s">
        <v>19049</v>
      </c>
      <c r="AM2122" t="s">
        <v>3970</v>
      </c>
      <c r="AN2122" t="s">
        <v>2413</v>
      </c>
      <c r="AO2122" t="s">
        <v>19050</v>
      </c>
      <c r="AP2122" t="s">
        <v>7024</v>
      </c>
      <c r="AQ2122" t="s">
        <v>19051</v>
      </c>
      <c r="AR2122" t="s">
        <v>19052</v>
      </c>
      <c r="AT2122" s="184">
        <v>35569</v>
      </c>
      <c r="AU2122" t="s">
        <v>18928</v>
      </c>
      <c r="AV2122">
        <v>25</v>
      </c>
      <c r="AW2122" s="184">
        <v>45393</v>
      </c>
      <c r="AX2122" t="s">
        <v>7438</v>
      </c>
      <c r="AY2122">
        <v>35</v>
      </c>
      <c r="AZ2122" s="184">
        <v>45393</v>
      </c>
      <c r="BA2122" t="s">
        <v>7438</v>
      </c>
      <c r="BB2122">
        <v>35</v>
      </c>
      <c r="BC2122">
        <v>97</v>
      </c>
      <c r="BD2122">
        <v>965</v>
      </c>
      <c r="BE2122">
        <v>1997</v>
      </c>
      <c r="BF2122">
        <v>30</v>
      </c>
      <c r="BG2122">
        <v>3</v>
      </c>
      <c r="BH2122">
        <v>105</v>
      </c>
      <c r="BI2122">
        <v>27</v>
      </c>
      <c r="BJ2122">
        <v>28</v>
      </c>
      <c r="BK2122">
        <v>23</v>
      </c>
      <c r="BP2122" s="184"/>
    </row>
    <row r="2123" spans="1:68">
      <c r="A2123">
        <v>25712449</v>
      </c>
      <c r="B2123">
        <v>25712449</v>
      </c>
      <c r="C2123" t="s">
        <v>7018</v>
      </c>
      <c r="E2123" s="184"/>
      <c r="G2123" s="184"/>
      <c r="I2123" s="184"/>
      <c r="J2123" t="s">
        <v>595</v>
      </c>
      <c r="K2123" s="184">
        <v>38238</v>
      </c>
      <c r="M2123" s="184"/>
      <c r="O2123" s="184"/>
      <c r="P2123" t="s">
        <v>7045</v>
      </c>
      <c r="Q2123" t="s">
        <v>7020</v>
      </c>
      <c r="R2123" s="184">
        <v>16497</v>
      </c>
      <c r="S2123">
        <v>79</v>
      </c>
      <c r="U2123" t="s">
        <v>7032</v>
      </c>
      <c r="V2123" t="s">
        <v>2541</v>
      </c>
      <c r="X2123" t="s">
        <v>19053</v>
      </c>
      <c r="Y2123" t="s">
        <v>7327</v>
      </c>
      <c r="Z2123">
        <v>100067864</v>
      </c>
      <c r="AA2123" t="s">
        <v>7032</v>
      </c>
      <c r="AB2123" t="s">
        <v>2586</v>
      </c>
      <c r="AD2123" t="s">
        <v>19053</v>
      </c>
      <c r="AE2123" t="s">
        <v>7327</v>
      </c>
      <c r="AF2123" t="s">
        <v>6441</v>
      </c>
      <c r="AG2123" t="s">
        <v>19054</v>
      </c>
      <c r="AI2123" t="s">
        <v>19055</v>
      </c>
      <c r="AM2123" t="s">
        <v>19056</v>
      </c>
      <c r="AN2123" t="s">
        <v>2052</v>
      </c>
      <c r="AO2123" t="s">
        <v>19057</v>
      </c>
      <c r="AP2123" t="s">
        <v>7024</v>
      </c>
      <c r="AQ2123" t="s">
        <v>19058</v>
      </c>
      <c r="AR2123" t="s">
        <v>19059</v>
      </c>
      <c r="AT2123" s="184">
        <v>35569</v>
      </c>
      <c r="AU2123" t="s">
        <v>19060</v>
      </c>
      <c r="AV2123">
        <v>25</v>
      </c>
      <c r="AW2123" s="184">
        <v>38246</v>
      </c>
      <c r="AX2123" t="s">
        <v>19061</v>
      </c>
      <c r="AY2123">
        <v>300</v>
      </c>
      <c r="AZ2123" s="184">
        <v>38246</v>
      </c>
      <c r="BA2123" t="s">
        <v>19061</v>
      </c>
      <c r="BB2123">
        <v>300</v>
      </c>
      <c r="BC2123">
        <v>29</v>
      </c>
      <c r="BD2123">
        <v>1000</v>
      </c>
      <c r="BE2123">
        <v>1997</v>
      </c>
      <c r="BF2123">
        <v>10</v>
      </c>
      <c r="BI2123">
        <v>8</v>
      </c>
      <c r="BJ2123">
        <v>28</v>
      </c>
      <c r="BK2123">
        <v>8</v>
      </c>
      <c r="BP2123" s="184"/>
    </row>
    <row r="2124" spans="1:68">
      <c r="A2124">
        <v>100067864</v>
      </c>
      <c r="B2124">
        <v>25712449</v>
      </c>
      <c r="C2124" t="s">
        <v>7018</v>
      </c>
      <c r="E2124" s="184"/>
      <c r="G2124" s="184"/>
      <c r="I2124" s="184"/>
      <c r="J2124" t="s">
        <v>595</v>
      </c>
      <c r="K2124" s="184">
        <v>38238</v>
      </c>
      <c r="M2124" s="184"/>
      <c r="O2124" s="184"/>
      <c r="P2124" t="s">
        <v>7045</v>
      </c>
      <c r="Q2124" t="s">
        <v>7020</v>
      </c>
      <c r="R2124" s="184">
        <v>16942</v>
      </c>
      <c r="S2124">
        <v>77</v>
      </c>
      <c r="U2124" t="s">
        <v>7032</v>
      </c>
      <c r="V2124" t="s">
        <v>2586</v>
      </c>
      <c r="X2124" t="s">
        <v>19053</v>
      </c>
      <c r="Y2124" t="s">
        <v>7327</v>
      </c>
      <c r="Z2124">
        <v>25712449</v>
      </c>
      <c r="AA2124" t="s">
        <v>7032</v>
      </c>
      <c r="AB2124" t="s">
        <v>2541</v>
      </c>
      <c r="AD2124" t="s">
        <v>19053</v>
      </c>
      <c r="AE2124" t="s">
        <v>7327</v>
      </c>
      <c r="AF2124" t="s">
        <v>6441</v>
      </c>
      <c r="AG2124" t="s">
        <v>19054</v>
      </c>
      <c r="AI2124" t="s">
        <v>19055</v>
      </c>
      <c r="AM2124" t="s">
        <v>19056</v>
      </c>
      <c r="AN2124" t="s">
        <v>2052</v>
      </c>
      <c r="AO2124" t="s">
        <v>19057</v>
      </c>
      <c r="AP2124" t="s">
        <v>7024</v>
      </c>
      <c r="AT2124" s="184"/>
      <c r="AW2124" s="184"/>
      <c r="AZ2124" s="184"/>
      <c r="BP2124" s="184"/>
    </row>
    <row r="2125" spans="1:68">
      <c r="A2125">
        <v>25730508</v>
      </c>
      <c r="B2125">
        <v>25730508</v>
      </c>
      <c r="C2125" t="s">
        <v>7018</v>
      </c>
      <c r="D2125" t="s">
        <v>595</v>
      </c>
      <c r="E2125" s="184">
        <v>43955</v>
      </c>
      <c r="G2125" s="184"/>
      <c r="I2125" s="184"/>
      <c r="K2125" s="184"/>
      <c r="M2125" s="184"/>
      <c r="O2125" s="184"/>
      <c r="P2125" t="s">
        <v>7045</v>
      </c>
      <c r="Q2125" t="s">
        <v>7020</v>
      </c>
      <c r="R2125" s="184">
        <v>19633</v>
      </c>
      <c r="S2125">
        <v>70</v>
      </c>
      <c r="U2125" t="s">
        <v>7130</v>
      </c>
      <c r="V2125" t="s">
        <v>3868</v>
      </c>
      <c r="X2125" t="s">
        <v>4184</v>
      </c>
      <c r="AF2125" t="s">
        <v>19062</v>
      </c>
      <c r="AG2125" t="s">
        <v>3868</v>
      </c>
      <c r="AI2125" t="s">
        <v>19063</v>
      </c>
      <c r="AM2125" t="s">
        <v>19064</v>
      </c>
      <c r="AN2125" t="s">
        <v>2112</v>
      </c>
      <c r="AO2125" t="s">
        <v>19065</v>
      </c>
      <c r="AP2125" t="s">
        <v>7024</v>
      </c>
      <c r="AT2125" s="184">
        <v>35570</v>
      </c>
      <c r="AU2125" t="s">
        <v>19066</v>
      </c>
      <c r="AV2125">
        <v>10</v>
      </c>
      <c r="AW2125" s="184">
        <v>44775</v>
      </c>
      <c r="AX2125" t="s">
        <v>19067</v>
      </c>
      <c r="AY2125">
        <v>10</v>
      </c>
      <c r="AZ2125" s="184">
        <v>44759</v>
      </c>
      <c r="BA2125" t="s">
        <v>19068</v>
      </c>
      <c r="BB2125">
        <v>60</v>
      </c>
      <c r="BC2125">
        <v>83</v>
      </c>
      <c r="BD2125">
        <v>1090</v>
      </c>
      <c r="BE2125">
        <v>1997</v>
      </c>
      <c r="BF2125">
        <v>41</v>
      </c>
      <c r="BG2125">
        <v>2</v>
      </c>
      <c r="BH2125">
        <v>70</v>
      </c>
      <c r="BI2125">
        <v>23</v>
      </c>
      <c r="BJ2125">
        <v>28</v>
      </c>
      <c r="BK2125">
        <v>20</v>
      </c>
      <c r="BP2125" s="184"/>
    </row>
    <row r="2126" spans="1:68">
      <c r="A2126">
        <v>25747916</v>
      </c>
      <c r="B2126">
        <v>25747916</v>
      </c>
      <c r="C2126" t="s">
        <v>7018</v>
      </c>
      <c r="D2126" t="s">
        <v>595</v>
      </c>
      <c r="E2126" s="184">
        <v>43773</v>
      </c>
      <c r="G2126" s="184"/>
      <c r="I2126" s="184"/>
      <c r="K2126" s="184"/>
      <c r="P2126" t="s">
        <v>7045</v>
      </c>
      <c r="Q2126" t="s">
        <v>7262</v>
      </c>
      <c r="R2126" s="184">
        <v>17104</v>
      </c>
      <c r="S2126">
        <v>77</v>
      </c>
      <c r="U2126" t="s">
        <v>7031</v>
      </c>
      <c r="V2126" t="s">
        <v>3384</v>
      </c>
      <c r="X2126" t="s">
        <v>2999</v>
      </c>
      <c r="AF2126" t="s">
        <v>19069</v>
      </c>
      <c r="AG2126" t="s">
        <v>3384</v>
      </c>
      <c r="AI2126" t="s">
        <v>19070</v>
      </c>
      <c r="AM2126" t="s">
        <v>4797</v>
      </c>
      <c r="AN2126" t="s">
        <v>65</v>
      </c>
      <c r="AO2126" t="s">
        <v>19071</v>
      </c>
      <c r="AP2126" t="s">
        <v>7024</v>
      </c>
      <c r="AQ2126" t="s">
        <v>19072</v>
      </c>
      <c r="AT2126" s="184">
        <v>35572</v>
      </c>
      <c r="AU2126" t="s">
        <v>19073</v>
      </c>
      <c r="AV2126">
        <v>25</v>
      </c>
      <c r="AW2126" s="184">
        <v>45313</v>
      </c>
      <c r="AX2126" t="s">
        <v>12049</v>
      </c>
      <c r="AY2126">
        <v>125</v>
      </c>
      <c r="AZ2126" s="184">
        <v>45313</v>
      </c>
      <c r="BA2126" t="s">
        <v>12049</v>
      </c>
      <c r="BB2126">
        <v>125</v>
      </c>
      <c r="BC2126">
        <v>79</v>
      </c>
      <c r="BD2126">
        <v>1410</v>
      </c>
      <c r="BE2126">
        <v>1997</v>
      </c>
      <c r="BF2126">
        <v>27</v>
      </c>
      <c r="BG2126">
        <v>4</v>
      </c>
      <c r="BH2126">
        <v>425</v>
      </c>
      <c r="BI2126">
        <v>22</v>
      </c>
      <c r="BJ2126">
        <v>28</v>
      </c>
      <c r="BK2126">
        <v>8</v>
      </c>
      <c r="BP2126" s="184"/>
    </row>
    <row r="2127" spans="1:68">
      <c r="A2127">
        <v>25797481</v>
      </c>
      <c r="B2127">
        <v>25797481</v>
      </c>
      <c r="C2127" t="s">
        <v>7018</v>
      </c>
      <c r="E2127" s="184"/>
      <c r="F2127" t="s">
        <v>595</v>
      </c>
      <c r="G2127" s="184">
        <v>43761</v>
      </c>
      <c r="I2127" s="184"/>
      <c r="K2127" s="184"/>
      <c r="O2127" s="184"/>
      <c r="P2127" t="s">
        <v>7045</v>
      </c>
      <c r="Q2127" t="s">
        <v>7383</v>
      </c>
      <c r="R2127" s="184">
        <v>12646</v>
      </c>
      <c r="S2127">
        <v>89</v>
      </c>
      <c r="U2127" t="s">
        <v>7031</v>
      </c>
      <c r="V2127" t="s">
        <v>2511</v>
      </c>
      <c r="X2127" t="s">
        <v>4196</v>
      </c>
      <c r="AF2127" t="s">
        <v>19074</v>
      </c>
      <c r="AG2127" t="s">
        <v>2511</v>
      </c>
      <c r="AI2127" t="s">
        <v>19075</v>
      </c>
      <c r="AM2127" t="s">
        <v>4197</v>
      </c>
      <c r="AN2127" t="s">
        <v>2185</v>
      </c>
      <c r="AO2127" t="s">
        <v>19076</v>
      </c>
      <c r="AP2127" t="s">
        <v>7024</v>
      </c>
      <c r="AQ2127" t="s">
        <v>19077</v>
      </c>
      <c r="AT2127" s="184">
        <v>35577</v>
      </c>
      <c r="AU2127" t="s">
        <v>19078</v>
      </c>
      <c r="AV2127">
        <v>25</v>
      </c>
      <c r="AW2127" s="184">
        <v>43648</v>
      </c>
      <c r="AX2127" t="s">
        <v>8586</v>
      </c>
      <c r="AY2127">
        <v>35</v>
      </c>
      <c r="AZ2127" s="184">
        <v>43648</v>
      </c>
      <c r="BA2127" t="s">
        <v>8586</v>
      </c>
      <c r="BB2127">
        <v>35</v>
      </c>
      <c r="BC2127">
        <v>75</v>
      </c>
      <c r="BD2127">
        <v>669</v>
      </c>
      <c r="BE2127">
        <v>1997</v>
      </c>
      <c r="BF2127">
        <v>25</v>
      </c>
      <c r="BI2127">
        <v>21</v>
      </c>
      <c r="BJ2127">
        <v>28</v>
      </c>
      <c r="BK2127">
        <v>18</v>
      </c>
      <c r="BP2127" s="184"/>
    </row>
    <row r="2128" spans="1:68">
      <c r="A2128">
        <v>25823667</v>
      </c>
      <c r="B2128">
        <v>25823667</v>
      </c>
      <c r="C2128" t="s">
        <v>7018</v>
      </c>
      <c r="E2128" s="184"/>
      <c r="G2128" s="184"/>
      <c r="I2128" s="184"/>
      <c r="J2128" t="s">
        <v>595</v>
      </c>
      <c r="K2128" s="184">
        <v>44167</v>
      </c>
      <c r="M2128" s="184"/>
      <c r="P2128" t="s">
        <v>7045</v>
      </c>
      <c r="Q2128" t="s">
        <v>7194</v>
      </c>
      <c r="R2128" s="184">
        <v>19146</v>
      </c>
      <c r="S2128">
        <v>71</v>
      </c>
      <c r="U2128" t="s">
        <v>7031</v>
      </c>
      <c r="V2128" t="s">
        <v>4013</v>
      </c>
      <c r="X2128" t="s">
        <v>19079</v>
      </c>
      <c r="Y2128" t="s">
        <v>15117</v>
      </c>
      <c r="AF2128" t="s">
        <v>19080</v>
      </c>
      <c r="AG2128" t="s">
        <v>19081</v>
      </c>
      <c r="AI2128" t="s">
        <v>19082</v>
      </c>
      <c r="AM2128" t="s">
        <v>4359</v>
      </c>
      <c r="AN2128" t="s">
        <v>2046</v>
      </c>
      <c r="AO2128" t="s">
        <v>19083</v>
      </c>
      <c r="AP2128" t="s">
        <v>7024</v>
      </c>
      <c r="AQ2128" t="s">
        <v>19084</v>
      </c>
      <c r="AR2128" t="s">
        <v>19085</v>
      </c>
      <c r="AT2128" s="184">
        <v>35579</v>
      </c>
      <c r="AU2128" t="s">
        <v>19086</v>
      </c>
      <c r="AV2128">
        <v>15</v>
      </c>
      <c r="AW2128" s="184">
        <v>45385</v>
      </c>
      <c r="AX2128" t="s">
        <v>8610</v>
      </c>
      <c r="AY2128">
        <v>50</v>
      </c>
      <c r="AZ2128" s="184">
        <v>43490</v>
      </c>
      <c r="BA2128" t="s">
        <v>7959</v>
      </c>
      <c r="BB2128">
        <v>65</v>
      </c>
      <c r="BC2128">
        <v>83</v>
      </c>
      <c r="BD2128">
        <v>1192</v>
      </c>
      <c r="BE2128">
        <v>1997</v>
      </c>
      <c r="BF2128">
        <v>28</v>
      </c>
      <c r="BG2128">
        <v>2</v>
      </c>
      <c r="BH2128">
        <v>100</v>
      </c>
      <c r="BI2128">
        <v>23</v>
      </c>
      <c r="BJ2128">
        <v>28</v>
      </c>
      <c r="BK2128">
        <v>16</v>
      </c>
      <c r="BP2128" s="184"/>
    </row>
    <row r="2129" spans="1:68">
      <c r="A2129">
        <v>25841628</v>
      </c>
      <c r="B2129">
        <v>25841628</v>
      </c>
      <c r="C2129" t="s">
        <v>7018</v>
      </c>
      <c r="E2129" s="184"/>
      <c r="F2129" t="s">
        <v>595</v>
      </c>
      <c r="G2129" s="184">
        <v>43731</v>
      </c>
      <c r="I2129" s="184"/>
      <c r="K2129" s="184"/>
      <c r="M2129" s="184"/>
      <c r="O2129" s="184"/>
      <c r="P2129" t="s">
        <v>7045</v>
      </c>
      <c r="Q2129" t="s">
        <v>7494</v>
      </c>
      <c r="R2129" s="184">
        <v>18415</v>
      </c>
      <c r="S2129">
        <v>73</v>
      </c>
      <c r="V2129" t="s">
        <v>3101</v>
      </c>
      <c r="X2129" t="s">
        <v>3971</v>
      </c>
      <c r="AF2129" t="s">
        <v>19087</v>
      </c>
      <c r="AG2129" t="s">
        <v>3101</v>
      </c>
      <c r="AI2129" t="s">
        <v>19088</v>
      </c>
      <c r="AM2129" t="s">
        <v>2940</v>
      </c>
      <c r="AN2129" t="s">
        <v>2484</v>
      </c>
      <c r="AO2129" t="s">
        <v>19089</v>
      </c>
      <c r="AP2129" t="s">
        <v>7024</v>
      </c>
      <c r="AT2129" s="184">
        <v>35583</v>
      </c>
      <c r="AU2129" t="s">
        <v>19090</v>
      </c>
      <c r="AV2129">
        <v>10</v>
      </c>
      <c r="AW2129" s="184">
        <v>45062</v>
      </c>
      <c r="AX2129" t="s">
        <v>19091</v>
      </c>
      <c r="AY2129">
        <v>25</v>
      </c>
      <c r="AZ2129" s="184">
        <v>43602</v>
      </c>
      <c r="BA2129" t="s">
        <v>10786</v>
      </c>
      <c r="BB2129">
        <v>60</v>
      </c>
      <c r="BC2129">
        <v>86</v>
      </c>
      <c r="BD2129">
        <v>1005</v>
      </c>
      <c r="BE2129">
        <v>1997</v>
      </c>
      <c r="BF2129">
        <v>36</v>
      </c>
      <c r="BG2129">
        <v>1</v>
      </c>
      <c r="BH2129">
        <v>25</v>
      </c>
      <c r="BI2129">
        <v>24</v>
      </c>
      <c r="BJ2129">
        <v>28</v>
      </c>
      <c r="BK2129">
        <v>17</v>
      </c>
      <c r="BP2129" s="184"/>
    </row>
    <row r="2130" spans="1:68">
      <c r="A2130">
        <v>25844036</v>
      </c>
      <c r="B2130">
        <v>25844036</v>
      </c>
      <c r="C2130" t="s">
        <v>7018</v>
      </c>
      <c r="E2130" s="184"/>
      <c r="F2130" t="s">
        <v>595</v>
      </c>
      <c r="G2130" s="184">
        <v>43731</v>
      </c>
      <c r="I2130" s="184"/>
      <c r="K2130" s="184"/>
      <c r="M2130" s="184"/>
      <c r="O2130" s="184"/>
      <c r="P2130" t="s">
        <v>7045</v>
      </c>
      <c r="Q2130" t="s">
        <v>7030</v>
      </c>
      <c r="R2130" s="184">
        <v>21094</v>
      </c>
      <c r="S2130">
        <v>66</v>
      </c>
      <c r="U2130" t="s">
        <v>7130</v>
      </c>
      <c r="V2130" t="s">
        <v>2903</v>
      </c>
      <c r="X2130" t="s">
        <v>3972</v>
      </c>
      <c r="AF2130" t="s">
        <v>19092</v>
      </c>
      <c r="AG2130" t="s">
        <v>2903</v>
      </c>
      <c r="AI2130" t="s">
        <v>19093</v>
      </c>
      <c r="AM2130" t="s">
        <v>3181</v>
      </c>
      <c r="AN2130" t="s">
        <v>2094</v>
      </c>
      <c r="AO2130" t="s">
        <v>19094</v>
      </c>
      <c r="AP2130" t="s">
        <v>7024</v>
      </c>
      <c r="AQ2130" t="s">
        <v>19095</v>
      </c>
      <c r="AR2130" t="s">
        <v>19096</v>
      </c>
      <c r="AT2130" s="184">
        <v>35583</v>
      </c>
      <c r="AU2130" t="s">
        <v>19097</v>
      </c>
      <c r="AV2130">
        <v>5</v>
      </c>
      <c r="AW2130" s="184">
        <v>44623</v>
      </c>
      <c r="AX2130" t="s">
        <v>8543</v>
      </c>
      <c r="AY2130">
        <v>100</v>
      </c>
      <c r="AZ2130" s="184">
        <v>44623</v>
      </c>
      <c r="BA2130" t="s">
        <v>8543</v>
      </c>
      <c r="BB2130">
        <v>100</v>
      </c>
      <c r="BC2130">
        <v>65</v>
      </c>
      <c r="BD2130">
        <v>1155</v>
      </c>
      <c r="BE2130">
        <v>1997</v>
      </c>
      <c r="BF2130">
        <v>24</v>
      </c>
      <c r="BI2130">
        <v>18</v>
      </c>
      <c r="BJ2130">
        <v>28</v>
      </c>
      <c r="BK2130">
        <v>7</v>
      </c>
      <c r="BN2130" t="s">
        <v>595</v>
      </c>
      <c r="BP2130" s="184"/>
    </row>
    <row r="2131" spans="1:68">
      <c r="A2131">
        <v>25871112</v>
      </c>
      <c r="B2131">
        <v>25871112</v>
      </c>
      <c r="C2131" t="s">
        <v>7018</v>
      </c>
      <c r="D2131" t="s">
        <v>595</v>
      </c>
      <c r="E2131" s="184">
        <v>43692</v>
      </c>
      <c r="G2131" s="184"/>
      <c r="I2131" s="184"/>
      <c r="K2131" s="184"/>
      <c r="O2131" s="184"/>
      <c r="P2131" t="s">
        <v>7045</v>
      </c>
      <c r="Q2131" t="s">
        <v>7030</v>
      </c>
      <c r="R2131" s="184">
        <v>20192</v>
      </c>
      <c r="S2131">
        <v>69</v>
      </c>
      <c r="U2131" t="s">
        <v>7031</v>
      </c>
      <c r="V2131" t="s">
        <v>3114</v>
      </c>
      <c r="X2131" t="s">
        <v>3725</v>
      </c>
      <c r="AF2131" t="s">
        <v>19098</v>
      </c>
      <c r="AG2131" t="s">
        <v>3114</v>
      </c>
      <c r="AI2131" t="s">
        <v>19099</v>
      </c>
      <c r="AM2131" t="s">
        <v>3601</v>
      </c>
      <c r="AN2131" t="s">
        <v>2201</v>
      </c>
      <c r="AO2131" t="s">
        <v>19100</v>
      </c>
      <c r="AP2131" t="s">
        <v>7024</v>
      </c>
      <c r="AQ2131" t="s">
        <v>19101</v>
      </c>
      <c r="AR2131" t="s">
        <v>19102</v>
      </c>
      <c r="AT2131" s="184">
        <v>35586</v>
      </c>
      <c r="AU2131" t="s">
        <v>19103</v>
      </c>
      <c r="AV2131">
        <v>15</v>
      </c>
      <c r="AW2131" s="184">
        <v>45264</v>
      </c>
      <c r="AX2131" t="s">
        <v>8133</v>
      </c>
      <c r="AY2131">
        <v>35</v>
      </c>
      <c r="AZ2131" s="184">
        <v>45264</v>
      </c>
      <c r="BA2131" t="s">
        <v>8133</v>
      </c>
      <c r="BB2131">
        <v>35</v>
      </c>
      <c r="BC2131">
        <v>65</v>
      </c>
      <c r="BD2131">
        <v>510</v>
      </c>
      <c r="BE2131">
        <v>1997</v>
      </c>
      <c r="BF2131">
        <v>21</v>
      </c>
      <c r="BG2131">
        <v>2</v>
      </c>
      <c r="BH2131">
        <v>70</v>
      </c>
      <c r="BI2131">
        <v>18</v>
      </c>
      <c r="BJ2131">
        <v>28</v>
      </c>
      <c r="BK2131">
        <v>7</v>
      </c>
      <c r="BP2131" s="184"/>
    </row>
    <row r="2132" spans="1:68">
      <c r="A2132">
        <v>25890708</v>
      </c>
      <c r="B2132">
        <v>25890708</v>
      </c>
      <c r="C2132" t="s">
        <v>7018</v>
      </c>
      <c r="E2132" s="184"/>
      <c r="G2132" s="184"/>
      <c r="I2132" s="184"/>
      <c r="J2132" t="s">
        <v>595</v>
      </c>
      <c r="K2132" s="184">
        <v>42356</v>
      </c>
      <c r="O2132" s="184"/>
      <c r="P2132" t="s">
        <v>7084</v>
      </c>
      <c r="Q2132" t="s">
        <v>7020</v>
      </c>
      <c r="R2132" s="184">
        <v>13570</v>
      </c>
      <c r="S2132">
        <v>87</v>
      </c>
      <c r="U2132" t="s">
        <v>7076</v>
      </c>
      <c r="V2132" t="s">
        <v>5568</v>
      </c>
      <c r="W2132" t="s">
        <v>7396</v>
      </c>
      <c r="X2132" t="s">
        <v>5569</v>
      </c>
      <c r="AF2132" t="s">
        <v>19104</v>
      </c>
      <c r="AG2132" t="s">
        <v>5568</v>
      </c>
      <c r="AI2132" t="s">
        <v>19105</v>
      </c>
      <c r="AM2132" t="s">
        <v>5570</v>
      </c>
      <c r="AN2132" t="s">
        <v>2129</v>
      </c>
      <c r="AO2132" t="s">
        <v>19106</v>
      </c>
      <c r="AP2132" t="s">
        <v>7024</v>
      </c>
      <c r="AQ2132" t="s">
        <v>19107</v>
      </c>
      <c r="AR2132" t="s">
        <v>19108</v>
      </c>
      <c r="AT2132" s="184">
        <v>35590</v>
      </c>
      <c r="AU2132" t="s">
        <v>19109</v>
      </c>
      <c r="AV2132">
        <v>10</v>
      </c>
      <c r="AW2132" s="184">
        <v>44536</v>
      </c>
      <c r="AX2132" t="s">
        <v>7093</v>
      </c>
      <c r="AY2132">
        <v>100000</v>
      </c>
      <c r="AZ2132" s="184">
        <v>44536</v>
      </c>
      <c r="BA2132" t="s">
        <v>7093</v>
      </c>
      <c r="BB2132">
        <v>100000</v>
      </c>
      <c r="BC2132">
        <v>54</v>
      </c>
      <c r="BD2132">
        <v>136891</v>
      </c>
      <c r="BE2132">
        <v>1997</v>
      </c>
      <c r="BF2132">
        <v>19</v>
      </c>
      <c r="BI2132">
        <v>15</v>
      </c>
      <c r="BJ2132">
        <v>28</v>
      </c>
      <c r="BK2132">
        <v>13</v>
      </c>
      <c r="BN2132" t="s">
        <v>595</v>
      </c>
      <c r="BO2132" t="s">
        <v>595</v>
      </c>
      <c r="BP2132" s="184">
        <v>43963</v>
      </c>
    </row>
    <row r="2133" spans="1:68">
      <c r="A2133">
        <v>25900424</v>
      </c>
      <c r="B2133">
        <v>25900424</v>
      </c>
      <c r="C2133" t="s">
        <v>7018</v>
      </c>
      <c r="E2133" s="184"/>
      <c r="G2133" s="184"/>
      <c r="I2133" s="184"/>
      <c r="J2133" t="s">
        <v>595</v>
      </c>
      <c r="K2133" s="184">
        <v>43691</v>
      </c>
      <c r="O2133" s="184"/>
      <c r="P2133" t="s">
        <v>7045</v>
      </c>
      <c r="Q2133" t="s">
        <v>7160</v>
      </c>
      <c r="R2133" s="184">
        <v>15707</v>
      </c>
      <c r="S2133">
        <v>81</v>
      </c>
      <c r="V2133" t="s">
        <v>2979</v>
      </c>
      <c r="X2133" t="s">
        <v>19110</v>
      </c>
      <c r="AF2133" t="s">
        <v>6234</v>
      </c>
      <c r="AG2133" t="s">
        <v>6234</v>
      </c>
      <c r="AI2133" t="s">
        <v>19111</v>
      </c>
      <c r="AM2133" t="s">
        <v>2781</v>
      </c>
      <c r="AN2133" t="s">
        <v>2413</v>
      </c>
      <c r="AO2133" t="s">
        <v>19112</v>
      </c>
      <c r="AP2133" t="s">
        <v>7024</v>
      </c>
      <c r="AT2133" s="184">
        <v>35592</v>
      </c>
      <c r="AU2133" t="s">
        <v>19113</v>
      </c>
      <c r="AV2133">
        <v>25</v>
      </c>
      <c r="AW2133" s="184">
        <v>43501</v>
      </c>
      <c r="AX2133" t="s">
        <v>7348</v>
      </c>
      <c r="AY2133">
        <v>436</v>
      </c>
      <c r="AZ2133" s="184">
        <v>43501</v>
      </c>
      <c r="BA2133" t="s">
        <v>7348</v>
      </c>
      <c r="BB2133">
        <v>436</v>
      </c>
      <c r="BC2133">
        <v>65</v>
      </c>
      <c r="BD2133">
        <v>2346</v>
      </c>
      <c r="BE2133">
        <v>1997</v>
      </c>
      <c r="BF2133">
        <v>64</v>
      </c>
      <c r="BI2133">
        <v>18</v>
      </c>
      <c r="BJ2133">
        <v>28</v>
      </c>
      <c r="BK2133">
        <v>17</v>
      </c>
      <c r="BO2133" t="s">
        <v>595</v>
      </c>
      <c r="BP2133" s="184">
        <v>41505</v>
      </c>
    </row>
    <row r="2134" spans="1:68">
      <c r="A2134">
        <v>25917980</v>
      </c>
      <c r="B2134">
        <v>25917980</v>
      </c>
      <c r="C2134" t="s">
        <v>7018</v>
      </c>
      <c r="D2134" t="s">
        <v>595</v>
      </c>
      <c r="E2134" s="184">
        <v>44073</v>
      </c>
      <c r="G2134" s="184"/>
      <c r="I2134" s="184"/>
      <c r="K2134" s="184"/>
      <c r="O2134" s="184"/>
      <c r="P2134" t="s">
        <v>7045</v>
      </c>
      <c r="Q2134" t="s">
        <v>7020</v>
      </c>
      <c r="R2134" s="184">
        <v>12998</v>
      </c>
      <c r="S2134">
        <v>88</v>
      </c>
      <c r="U2134" t="s">
        <v>7076</v>
      </c>
      <c r="V2134" t="s">
        <v>3468</v>
      </c>
      <c r="X2134" t="s">
        <v>2977</v>
      </c>
      <c r="AF2134" t="s">
        <v>19114</v>
      </c>
      <c r="AG2134" t="s">
        <v>3468</v>
      </c>
      <c r="AI2134" t="s">
        <v>19115</v>
      </c>
      <c r="AM2134" t="s">
        <v>19116</v>
      </c>
      <c r="AN2134" t="s">
        <v>2112</v>
      </c>
      <c r="AO2134" t="s">
        <v>19117</v>
      </c>
      <c r="AP2134" t="s">
        <v>7024</v>
      </c>
      <c r="AQ2134" t="s">
        <v>19118</v>
      </c>
      <c r="AT2134" s="184">
        <v>35593</v>
      </c>
      <c r="AU2134" t="s">
        <v>19119</v>
      </c>
      <c r="AV2134">
        <v>10</v>
      </c>
      <c r="AW2134" s="184">
        <v>44377</v>
      </c>
      <c r="AX2134" t="s">
        <v>18022</v>
      </c>
      <c r="AY2134">
        <v>10</v>
      </c>
      <c r="AZ2134" s="184">
        <v>42506</v>
      </c>
      <c r="BA2134" t="s">
        <v>19120</v>
      </c>
      <c r="BB2134">
        <v>25</v>
      </c>
      <c r="BC2134">
        <v>54</v>
      </c>
      <c r="BD2134">
        <v>395</v>
      </c>
      <c r="BE2134">
        <v>1997</v>
      </c>
      <c r="BF2134">
        <v>31</v>
      </c>
      <c r="BI2134">
        <v>15</v>
      </c>
      <c r="BJ2134">
        <v>28</v>
      </c>
      <c r="BK2134">
        <v>10</v>
      </c>
      <c r="BP2134" s="184"/>
    </row>
    <row r="2135" spans="1:68">
      <c r="A2135">
        <v>25919267</v>
      </c>
      <c r="B2135">
        <v>25919267</v>
      </c>
      <c r="C2135" t="s">
        <v>7018</v>
      </c>
      <c r="D2135" t="s">
        <v>595</v>
      </c>
      <c r="E2135" s="184">
        <v>44104</v>
      </c>
      <c r="G2135" s="184"/>
      <c r="I2135" s="184"/>
      <c r="K2135" s="184"/>
      <c r="M2135" s="184"/>
      <c r="O2135" s="184"/>
      <c r="P2135" t="s">
        <v>7045</v>
      </c>
      <c r="Q2135" t="s">
        <v>7383</v>
      </c>
      <c r="R2135" s="184">
        <v>15531</v>
      </c>
      <c r="S2135">
        <v>81</v>
      </c>
      <c r="V2135" t="s">
        <v>3165</v>
      </c>
      <c r="X2135" t="s">
        <v>19121</v>
      </c>
      <c r="AF2135" t="s">
        <v>19122</v>
      </c>
      <c r="AG2135" t="s">
        <v>3165</v>
      </c>
      <c r="AI2135" t="s">
        <v>19123</v>
      </c>
      <c r="AM2135" t="s">
        <v>3926</v>
      </c>
      <c r="AN2135" t="s">
        <v>2059</v>
      </c>
      <c r="AO2135" t="s">
        <v>19124</v>
      </c>
      <c r="AP2135" t="s">
        <v>7024</v>
      </c>
      <c r="AT2135" s="184">
        <v>35593</v>
      </c>
      <c r="AU2135" t="s">
        <v>19125</v>
      </c>
      <c r="AV2135">
        <v>10</v>
      </c>
      <c r="AW2135" s="184">
        <v>45366</v>
      </c>
      <c r="AX2135" t="s">
        <v>19126</v>
      </c>
      <c r="AY2135">
        <v>15</v>
      </c>
      <c r="AZ2135" s="184">
        <v>44252</v>
      </c>
      <c r="BA2135" t="s">
        <v>19127</v>
      </c>
      <c r="BB2135">
        <v>25</v>
      </c>
      <c r="BC2135">
        <v>58</v>
      </c>
      <c r="BD2135">
        <v>343</v>
      </c>
      <c r="BE2135">
        <v>1997</v>
      </c>
      <c r="BF2135">
        <v>23</v>
      </c>
      <c r="BG2135">
        <v>4</v>
      </c>
      <c r="BH2135">
        <v>50</v>
      </c>
      <c r="BI2135">
        <v>16</v>
      </c>
      <c r="BJ2135">
        <v>28</v>
      </c>
      <c r="BK2135">
        <v>9</v>
      </c>
      <c r="BP2135" s="184"/>
    </row>
    <row r="2136" spans="1:68">
      <c r="A2136">
        <v>25920943</v>
      </c>
      <c r="B2136">
        <v>25920943</v>
      </c>
      <c r="C2136" t="s">
        <v>7018</v>
      </c>
      <c r="D2136" t="s">
        <v>595</v>
      </c>
      <c r="E2136" s="184">
        <v>44104</v>
      </c>
      <c r="G2136" s="184"/>
      <c r="H2136" t="s">
        <v>595</v>
      </c>
      <c r="I2136" s="184">
        <v>44109</v>
      </c>
      <c r="K2136" s="184"/>
      <c r="M2136" s="184"/>
      <c r="O2136" s="184"/>
      <c r="P2136" t="s">
        <v>7019</v>
      </c>
      <c r="Q2136" t="s">
        <v>7020</v>
      </c>
      <c r="R2136" s="184">
        <v>16519</v>
      </c>
      <c r="S2136">
        <v>79</v>
      </c>
      <c r="U2136" t="s">
        <v>7031</v>
      </c>
      <c r="V2136" t="s">
        <v>3689</v>
      </c>
      <c r="X2136" t="s">
        <v>5010</v>
      </c>
      <c r="AF2136" t="s">
        <v>19128</v>
      </c>
      <c r="AG2136" t="s">
        <v>3689</v>
      </c>
      <c r="AI2136" t="s">
        <v>19129</v>
      </c>
      <c r="AM2136" t="s">
        <v>5011</v>
      </c>
      <c r="AN2136" t="s">
        <v>2052</v>
      </c>
      <c r="AO2136" t="s">
        <v>19130</v>
      </c>
      <c r="AP2136" t="s">
        <v>7024</v>
      </c>
      <c r="AQ2136" t="s">
        <v>19131</v>
      </c>
      <c r="AR2136" t="s">
        <v>19132</v>
      </c>
      <c r="AT2136" s="184">
        <v>35593</v>
      </c>
      <c r="AU2136" t="s">
        <v>19133</v>
      </c>
      <c r="AV2136">
        <v>10</v>
      </c>
      <c r="AW2136" s="184">
        <v>44860</v>
      </c>
      <c r="AX2136" t="s">
        <v>17508</v>
      </c>
      <c r="AY2136">
        <v>60</v>
      </c>
      <c r="AZ2136" s="184">
        <v>44860</v>
      </c>
      <c r="BA2136" t="s">
        <v>17508</v>
      </c>
      <c r="BB2136">
        <v>60</v>
      </c>
      <c r="BC2136">
        <v>47</v>
      </c>
      <c r="BD2136">
        <v>590.5</v>
      </c>
      <c r="BE2136">
        <v>1997</v>
      </c>
      <c r="BF2136">
        <v>20</v>
      </c>
      <c r="BG2136">
        <v>1</v>
      </c>
      <c r="BH2136">
        <v>60</v>
      </c>
      <c r="BI2136">
        <v>13</v>
      </c>
      <c r="BJ2136">
        <v>28</v>
      </c>
      <c r="BK2136">
        <v>7</v>
      </c>
      <c r="BP2136" s="184"/>
    </row>
    <row r="2137" spans="1:68">
      <c r="A2137">
        <v>25959248</v>
      </c>
      <c r="B2137">
        <v>25959248</v>
      </c>
      <c r="C2137" t="s">
        <v>7018</v>
      </c>
      <c r="D2137" t="s">
        <v>595</v>
      </c>
      <c r="E2137" s="184">
        <v>44104</v>
      </c>
      <c r="G2137" s="184"/>
      <c r="I2137" s="184"/>
      <c r="K2137" s="184"/>
      <c r="M2137" s="184"/>
      <c r="O2137" s="184"/>
      <c r="P2137" t="s">
        <v>7045</v>
      </c>
      <c r="Q2137" t="s">
        <v>7454</v>
      </c>
      <c r="R2137" s="184">
        <v>14403</v>
      </c>
      <c r="S2137">
        <v>84</v>
      </c>
      <c r="V2137" t="s">
        <v>19134</v>
      </c>
      <c r="W2137" t="s">
        <v>3951</v>
      </c>
      <c r="X2137" t="s">
        <v>17912</v>
      </c>
      <c r="AF2137" t="s">
        <v>19135</v>
      </c>
      <c r="AG2137" t="s">
        <v>19134</v>
      </c>
      <c r="AI2137" t="s">
        <v>19136</v>
      </c>
      <c r="AM2137" t="s">
        <v>3900</v>
      </c>
      <c r="AN2137" t="s">
        <v>2055</v>
      </c>
      <c r="AO2137" t="s">
        <v>19137</v>
      </c>
      <c r="AP2137" t="s">
        <v>7024</v>
      </c>
      <c r="AQ2137" t="s">
        <v>19138</v>
      </c>
      <c r="AR2137" t="s">
        <v>19139</v>
      </c>
      <c r="AT2137" s="184">
        <v>35598</v>
      </c>
      <c r="AU2137" t="s">
        <v>19140</v>
      </c>
      <c r="AV2137">
        <v>25</v>
      </c>
      <c r="AW2137" s="184">
        <v>43528</v>
      </c>
      <c r="AX2137" t="s">
        <v>19141</v>
      </c>
      <c r="AY2137">
        <v>35</v>
      </c>
      <c r="AZ2137" s="184">
        <v>42058</v>
      </c>
      <c r="BA2137" t="s">
        <v>19142</v>
      </c>
      <c r="BB2137">
        <v>40</v>
      </c>
      <c r="BC2137">
        <v>47</v>
      </c>
      <c r="BD2137">
        <v>455</v>
      </c>
      <c r="BE2137">
        <v>1997</v>
      </c>
      <c r="BF2137">
        <v>15</v>
      </c>
      <c r="BI2137">
        <v>13</v>
      </c>
      <c r="BJ2137">
        <v>28</v>
      </c>
      <c r="BK2137">
        <v>10</v>
      </c>
      <c r="BN2137" t="s">
        <v>595</v>
      </c>
      <c r="BP2137" s="184"/>
    </row>
    <row r="2138" spans="1:68">
      <c r="A2138">
        <v>25961368</v>
      </c>
      <c r="B2138">
        <v>25961368</v>
      </c>
      <c r="C2138" t="s">
        <v>7018</v>
      </c>
      <c r="D2138" t="s">
        <v>595</v>
      </c>
      <c r="E2138" s="184">
        <v>44167</v>
      </c>
      <c r="G2138" s="184"/>
      <c r="H2138" t="s">
        <v>595</v>
      </c>
      <c r="I2138" s="184">
        <v>44167</v>
      </c>
      <c r="K2138" s="184"/>
      <c r="O2138" s="184"/>
      <c r="P2138" t="s">
        <v>7045</v>
      </c>
      <c r="Q2138" t="s">
        <v>7194</v>
      </c>
      <c r="R2138" s="184">
        <v>13881</v>
      </c>
      <c r="S2138">
        <v>86</v>
      </c>
      <c r="V2138" t="s">
        <v>4720</v>
      </c>
      <c r="X2138" t="s">
        <v>19143</v>
      </c>
      <c r="AF2138" t="s">
        <v>19144</v>
      </c>
      <c r="AG2138" t="s">
        <v>4720</v>
      </c>
      <c r="AI2138" t="s">
        <v>19145</v>
      </c>
      <c r="AM2138" t="s">
        <v>4375</v>
      </c>
      <c r="AN2138" t="s">
        <v>2046</v>
      </c>
      <c r="AO2138" t="s">
        <v>19146</v>
      </c>
      <c r="AP2138" t="s">
        <v>7024</v>
      </c>
      <c r="AQ2138" t="s">
        <v>19147</v>
      </c>
      <c r="AT2138" s="184">
        <v>35587</v>
      </c>
      <c r="AU2138" t="s">
        <v>19148</v>
      </c>
      <c r="AV2138">
        <v>15</v>
      </c>
      <c r="AW2138" s="184">
        <v>44753</v>
      </c>
      <c r="AX2138" t="s">
        <v>17589</v>
      </c>
      <c r="AY2138">
        <v>10</v>
      </c>
      <c r="AZ2138" s="184">
        <v>42201</v>
      </c>
      <c r="BA2138" t="s">
        <v>19149</v>
      </c>
      <c r="BB2138">
        <v>60</v>
      </c>
      <c r="BC2138">
        <v>58</v>
      </c>
      <c r="BD2138">
        <v>463</v>
      </c>
      <c r="BE2138">
        <v>1997</v>
      </c>
      <c r="BF2138">
        <v>22</v>
      </c>
      <c r="BG2138">
        <v>1</v>
      </c>
      <c r="BH2138">
        <v>10</v>
      </c>
      <c r="BI2138">
        <v>16</v>
      </c>
      <c r="BJ2138">
        <v>28</v>
      </c>
      <c r="BK2138">
        <v>8</v>
      </c>
      <c r="BP2138" s="184"/>
    </row>
    <row r="2139" spans="1:68">
      <c r="A2139">
        <v>25976770</v>
      </c>
      <c r="B2139">
        <v>25976770</v>
      </c>
      <c r="C2139" t="s">
        <v>7018</v>
      </c>
      <c r="D2139" t="s">
        <v>595</v>
      </c>
      <c r="E2139" s="184">
        <v>43908</v>
      </c>
      <c r="G2139" s="184"/>
      <c r="I2139" s="184"/>
      <c r="K2139" s="184"/>
      <c r="M2139" s="184"/>
      <c r="O2139" s="184"/>
      <c r="P2139" t="s">
        <v>7045</v>
      </c>
      <c r="Q2139" t="s">
        <v>7194</v>
      </c>
      <c r="R2139" s="184">
        <v>18568</v>
      </c>
      <c r="S2139">
        <v>73</v>
      </c>
      <c r="U2139" t="s">
        <v>7076</v>
      </c>
      <c r="V2139" t="s">
        <v>2903</v>
      </c>
      <c r="W2139" t="s">
        <v>3226</v>
      </c>
      <c r="X2139" t="s">
        <v>19150</v>
      </c>
      <c r="AF2139" t="s">
        <v>19151</v>
      </c>
      <c r="AG2139" t="s">
        <v>2903</v>
      </c>
      <c r="AI2139" t="s">
        <v>19152</v>
      </c>
      <c r="AM2139" t="s">
        <v>15840</v>
      </c>
      <c r="AN2139" t="s">
        <v>2046</v>
      </c>
      <c r="AO2139" t="s">
        <v>19153</v>
      </c>
      <c r="AP2139" t="s">
        <v>7024</v>
      </c>
      <c r="AQ2139" t="s">
        <v>19154</v>
      </c>
      <c r="AT2139" s="184">
        <v>35599</v>
      </c>
      <c r="AU2139" t="s">
        <v>18150</v>
      </c>
      <c r="AV2139">
        <v>15</v>
      </c>
      <c r="AW2139" s="184">
        <v>45342</v>
      </c>
      <c r="AX2139" t="s">
        <v>7168</v>
      </c>
      <c r="AY2139">
        <v>20</v>
      </c>
      <c r="AZ2139" s="184">
        <v>42375</v>
      </c>
      <c r="BA2139" t="s">
        <v>19155</v>
      </c>
      <c r="BB2139">
        <v>60</v>
      </c>
      <c r="BC2139">
        <v>65</v>
      </c>
      <c r="BD2139">
        <v>640</v>
      </c>
      <c r="BE2139">
        <v>1997</v>
      </c>
      <c r="BF2139">
        <v>23</v>
      </c>
      <c r="BG2139">
        <v>2</v>
      </c>
      <c r="BH2139">
        <v>40</v>
      </c>
      <c r="BI2139">
        <v>18</v>
      </c>
      <c r="BJ2139">
        <v>28</v>
      </c>
      <c r="BK2139">
        <v>6</v>
      </c>
      <c r="BP2139" s="184"/>
    </row>
    <row r="2140" spans="1:68">
      <c r="A2140">
        <v>25992330</v>
      </c>
      <c r="B2140">
        <v>25992330</v>
      </c>
      <c r="C2140" t="s">
        <v>7018</v>
      </c>
      <c r="D2140" t="s">
        <v>595</v>
      </c>
      <c r="E2140" s="184">
        <v>44167</v>
      </c>
      <c r="G2140" s="184"/>
      <c r="I2140" s="184"/>
      <c r="K2140" s="184"/>
      <c r="M2140" s="184"/>
      <c r="O2140" s="184"/>
      <c r="P2140" t="s">
        <v>7045</v>
      </c>
      <c r="Q2140" t="s">
        <v>7160</v>
      </c>
      <c r="R2140" s="184">
        <v>21916</v>
      </c>
      <c r="S2140">
        <v>64</v>
      </c>
      <c r="V2140" t="s">
        <v>2541</v>
      </c>
      <c r="X2140" t="s">
        <v>19156</v>
      </c>
      <c r="Z2140">
        <v>100068583</v>
      </c>
      <c r="AA2140" t="s">
        <v>7130</v>
      </c>
      <c r="AB2140" t="s">
        <v>3209</v>
      </c>
      <c r="AD2140" t="s">
        <v>19156</v>
      </c>
      <c r="AF2140" t="s">
        <v>19157</v>
      </c>
      <c r="AG2140" t="s">
        <v>19158</v>
      </c>
      <c r="AI2140" t="s">
        <v>19159</v>
      </c>
      <c r="AM2140" t="s">
        <v>19160</v>
      </c>
      <c r="AN2140" t="s">
        <v>2413</v>
      </c>
      <c r="AO2140" t="s">
        <v>19161</v>
      </c>
      <c r="AP2140" t="s">
        <v>7024</v>
      </c>
      <c r="AQ2140" t="s">
        <v>19162</v>
      </c>
      <c r="AT2140" s="184">
        <v>35601</v>
      </c>
      <c r="AU2140" t="s">
        <v>19163</v>
      </c>
      <c r="AV2140">
        <v>15</v>
      </c>
      <c r="AW2140" s="184">
        <v>40557</v>
      </c>
      <c r="AX2140" t="s">
        <v>19164</v>
      </c>
      <c r="AY2140">
        <v>20</v>
      </c>
      <c r="AZ2140" s="184">
        <v>39895</v>
      </c>
      <c r="BA2140" t="s">
        <v>14174</v>
      </c>
      <c r="BB2140">
        <v>35</v>
      </c>
      <c r="BC2140">
        <v>43</v>
      </c>
      <c r="BD2140">
        <v>447</v>
      </c>
      <c r="BE2140">
        <v>1997</v>
      </c>
      <c r="BF2140">
        <v>22</v>
      </c>
      <c r="BI2140">
        <v>12</v>
      </c>
      <c r="BJ2140">
        <v>28</v>
      </c>
      <c r="BK2140">
        <v>5</v>
      </c>
      <c r="BN2140" t="s">
        <v>595</v>
      </c>
      <c r="BP2140" s="184"/>
    </row>
    <row r="2141" spans="1:68">
      <c r="A2141">
        <v>100068583</v>
      </c>
      <c r="B2141">
        <v>25992330</v>
      </c>
      <c r="C2141" t="s">
        <v>7018</v>
      </c>
      <c r="D2141" t="s">
        <v>595</v>
      </c>
      <c r="E2141" s="184">
        <v>44167</v>
      </c>
      <c r="G2141" s="184"/>
      <c r="I2141" s="184"/>
      <c r="K2141" s="184"/>
      <c r="M2141" s="184"/>
      <c r="O2141" s="184"/>
      <c r="P2141" t="s">
        <v>7045</v>
      </c>
      <c r="Q2141" t="s">
        <v>7160</v>
      </c>
      <c r="R2141" s="184"/>
      <c r="U2141" t="s">
        <v>7130</v>
      </c>
      <c r="V2141" t="s">
        <v>3209</v>
      </c>
      <c r="X2141" t="s">
        <v>19156</v>
      </c>
      <c r="Z2141">
        <v>25992330</v>
      </c>
      <c r="AB2141" t="s">
        <v>2541</v>
      </c>
      <c r="AD2141" t="s">
        <v>19156</v>
      </c>
      <c r="AF2141" t="s">
        <v>19157</v>
      </c>
      <c r="AG2141" t="s">
        <v>19158</v>
      </c>
      <c r="AI2141" t="s">
        <v>19159</v>
      </c>
      <c r="AM2141" t="s">
        <v>19160</v>
      </c>
      <c r="AN2141" t="s">
        <v>2413</v>
      </c>
      <c r="AO2141" t="s">
        <v>19161</v>
      </c>
      <c r="AP2141" t="s">
        <v>7024</v>
      </c>
      <c r="AQ2141" t="s">
        <v>19162</v>
      </c>
      <c r="AT2141" s="184"/>
      <c r="AW2141" s="184"/>
      <c r="AZ2141" s="184"/>
      <c r="BP2141" s="184"/>
    </row>
    <row r="2142" spans="1:68">
      <c r="A2142">
        <v>25996034</v>
      </c>
      <c r="B2142">
        <v>25996034</v>
      </c>
      <c r="C2142" t="s">
        <v>7018</v>
      </c>
      <c r="E2142" s="184"/>
      <c r="G2142" s="184"/>
      <c r="I2142" s="184"/>
      <c r="K2142" s="184"/>
      <c r="N2142" t="s">
        <v>595</v>
      </c>
      <c r="O2142" s="184">
        <v>37553</v>
      </c>
      <c r="P2142" t="s">
        <v>7045</v>
      </c>
      <c r="Q2142" t="s">
        <v>7383</v>
      </c>
      <c r="R2142" s="184">
        <v>11411</v>
      </c>
      <c r="S2142">
        <v>93</v>
      </c>
      <c r="U2142" t="s">
        <v>7076</v>
      </c>
      <c r="V2142" t="s">
        <v>3101</v>
      </c>
      <c r="W2142" t="s">
        <v>4013</v>
      </c>
      <c r="X2142" t="s">
        <v>4813</v>
      </c>
      <c r="AF2142" t="s">
        <v>19165</v>
      </c>
      <c r="AG2142" t="s">
        <v>19166</v>
      </c>
      <c r="AI2142" t="s">
        <v>19167</v>
      </c>
      <c r="AM2142" t="s">
        <v>4074</v>
      </c>
      <c r="AN2142" t="s">
        <v>2139</v>
      </c>
      <c r="AO2142" t="s">
        <v>19168</v>
      </c>
      <c r="AP2142" t="s">
        <v>7024</v>
      </c>
      <c r="AT2142" s="184">
        <v>35601</v>
      </c>
      <c r="AU2142" t="s">
        <v>19119</v>
      </c>
      <c r="AV2142">
        <v>10</v>
      </c>
      <c r="AW2142" s="184">
        <v>40469</v>
      </c>
      <c r="AX2142" t="s">
        <v>17190</v>
      </c>
      <c r="AY2142">
        <v>25</v>
      </c>
      <c r="AZ2142" s="184">
        <v>37795</v>
      </c>
      <c r="BA2142" t="s">
        <v>7180</v>
      </c>
      <c r="BB2142">
        <v>10000</v>
      </c>
      <c r="BC2142">
        <v>50</v>
      </c>
      <c r="BD2142">
        <v>20240</v>
      </c>
      <c r="BE2142">
        <v>1997</v>
      </c>
      <c r="BF2142">
        <v>18</v>
      </c>
      <c r="BI2142">
        <v>14</v>
      </c>
      <c r="BJ2142">
        <v>28</v>
      </c>
      <c r="BK2142">
        <v>14</v>
      </c>
      <c r="BO2142" t="s">
        <v>595</v>
      </c>
      <c r="BP2142" s="184">
        <v>40881</v>
      </c>
    </row>
    <row r="2143" spans="1:68">
      <c r="A2143">
        <v>26012427</v>
      </c>
      <c r="B2143">
        <v>26012427</v>
      </c>
      <c r="C2143" t="s">
        <v>7018</v>
      </c>
      <c r="D2143" t="s">
        <v>595</v>
      </c>
      <c r="E2143" s="184">
        <v>43970</v>
      </c>
      <c r="G2143" s="184"/>
      <c r="I2143" s="184"/>
      <c r="K2143" s="184"/>
      <c r="O2143" s="184"/>
      <c r="P2143" t="s">
        <v>7045</v>
      </c>
      <c r="Q2143" t="s">
        <v>7160</v>
      </c>
      <c r="R2143" s="184">
        <v>14246</v>
      </c>
      <c r="S2143">
        <v>85</v>
      </c>
      <c r="V2143" t="s">
        <v>3400</v>
      </c>
      <c r="X2143" t="s">
        <v>19169</v>
      </c>
      <c r="AF2143" t="s">
        <v>19170</v>
      </c>
      <c r="AG2143" t="s">
        <v>3400</v>
      </c>
      <c r="AI2143" t="s">
        <v>19171</v>
      </c>
      <c r="AM2143" t="s">
        <v>5104</v>
      </c>
      <c r="AN2143" t="s">
        <v>2176</v>
      </c>
      <c r="AO2143" t="s">
        <v>19172</v>
      </c>
      <c r="AP2143" t="s">
        <v>7024</v>
      </c>
      <c r="AQ2143" t="s">
        <v>19173</v>
      </c>
      <c r="AT2143" s="184">
        <v>35604</v>
      </c>
      <c r="AU2143" t="s">
        <v>19125</v>
      </c>
      <c r="AV2143">
        <v>15</v>
      </c>
      <c r="AW2143" s="184">
        <v>45371</v>
      </c>
      <c r="AX2143" t="s">
        <v>18397</v>
      </c>
      <c r="AY2143">
        <v>50</v>
      </c>
      <c r="AZ2143" s="184">
        <v>45371</v>
      </c>
      <c r="BA2143" t="s">
        <v>18397</v>
      </c>
      <c r="BB2143">
        <v>50</v>
      </c>
      <c r="BC2143">
        <v>97</v>
      </c>
      <c r="BD2143">
        <v>1500</v>
      </c>
      <c r="BE2143">
        <v>1997</v>
      </c>
      <c r="BF2143">
        <v>35</v>
      </c>
      <c r="BG2143">
        <v>2</v>
      </c>
      <c r="BH2143">
        <v>100</v>
      </c>
      <c r="BI2143">
        <v>27</v>
      </c>
      <c r="BJ2143">
        <v>28</v>
      </c>
      <c r="BK2143">
        <v>25</v>
      </c>
      <c r="BN2143" t="s">
        <v>595</v>
      </c>
      <c r="BP2143" s="184"/>
    </row>
    <row r="2144" spans="1:68">
      <c r="A2144">
        <v>26045112</v>
      </c>
      <c r="B2144">
        <v>26045112</v>
      </c>
      <c r="C2144" t="s">
        <v>7018</v>
      </c>
      <c r="D2144" t="s">
        <v>595</v>
      </c>
      <c r="E2144" s="184">
        <v>45148</v>
      </c>
      <c r="G2144" s="184"/>
      <c r="I2144" s="184"/>
      <c r="K2144" s="184"/>
      <c r="M2144" s="184"/>
      <c r="O2144" s="184"/>
      <c r="P2144" t="s">
        <v>7045</v>
      </c>
      <c r="Q2144" t="s">
        <v>7383</v>
      </c>
      <c r="R2144" s="184">
        <v>15980</v>
      </c>
      <c r="S2144">
        <v>80</v>
      </c>
      <c r="V2144" t="s">
        <v>3360</v>
      </c>
      <c r="X2144" t="s">
        <v>2999</v>
      </c>
      <c r="Z2144">
        <v>100068726</v>
      </c>
      <c r="AB2144" t="s">
        <v>3510</v>
      </c>
      <c r="AD2144" t="s">
        <v>2999</v>
      </c>
      <c r="AF2144" t="s">
        <v>19174</v>
      </c>
      <c r="AG2144" t="s">
        <v>19175</v>
      </c>
      <c r="AI2144" t="s">
        <v>19176</v>
      </c>
      <c r="AM2144" t="s">
        <v>19177</v>
      </c>
      <c r="AN2144" t="s">
        <v>2185</v>
      </c>
      <c r="AO2144" t="s">
        <v>19178</v>
      </c>
      <c r="AP2144" t="s">
        <v>7024</v>
      </c>
      <c r="AT2144" s="184">
        <v>35605</v>
      </c>
      <c r="AU2144" t="s">
        <v>19179</v>
      </c>
      <c r="AV2144">
        <v>10</v>
      </c>
      <c r="AW2144" s="184">
        <v>45125</v>
      </c>
      <c r="AX2144" t="s">
        <v>19180</v>
      </c>
      <c r="AY2144">
        <v>10</v>
      </c>
      <c r="AZ2144" s="184">
        <v>42976</v>
      </c>
      <c r="BA2144" t="s">
        <v>19181</v>
      </c>
      <c r="BB2144">
        <v>25</v>
      </c>
      <c r="BC2144">
        <v>61</v>
      </c>
      <c r="BD2144">
        <v>346.97</v>
      </c>
      <c r="BE2144">
        <v>1997</v>
      </c>
      <c r="BF2144">
        <v>28</v>
      </c>
      <c r="BG2144">
        <v>6</v>
      </c>
      <c r="BH2144">
        <v>52</v>
      </c>
      <c r="BI2144">
        <v>17</v>
      </c>
      <c r="BJ2144">
        <v>28</v>
      </c>
      <c r="BK2144">
        <v>15</v>
      </c>
      <c r="BP2144" s="184"/>
    </row>
    <row r="2145" spans="1:68">
      <c r="A2145">
        <v>100068726</v>
      </c>
      <c r="B2145">
        <v>26045112</v>
      </c>
      <c r="C2145" t="s">
        <v>7018</v>
      </c>
      <c r="D2145" t="s">
        <v>595</v>
      </c>
      <c r="E2145" s="184">
        <v>45148</v>
      </c>
      <c r="G2145" s="184"/>
      <c r="I2145" s="184"/>
      <c r="K2145" s="184"/>
      <c r="M2145" s="184"/>
      <c r="O2145" s="184"/>
      <c r="P2145" t="s">
        <v>7045</v>
      </c>
      <c r="Q2145" t="s">
        <v>7383</v>
      </c>
      <c r="R2145" s="184">
        <v>15980</v>
      </c>
      <c r="S2145">
        <v>80</v>
      </c>
      <c r="V2145" t="s">
        <v>3510</v>
      </c>
      <c r="X2145" t="s">
        <v>2999</v>
      </c>
      <c r="Z2145">
        <v>26045112</v>
      </c>
      <c r="AB2145" t="s">
        <v>3360</v>
      </c>
      <c r="AD2145" t="s">
        <v>2999</v>
      </c>
      <c r="AF2145" t="s">
        <v>19174</v>
      </c>
      <c r="AG2145" t="s">
        <v>19175</v>
      </c>
      <c r="AI2145" t="s">
        <v>19176</v>
      </c>
      <c r="AM2145" t="s">
        <v>19177</v>
      </c>
      <c r="AN2145" t="s">
        <v>2185</v>
      </c>
      <c r="AO2145" t="s">
        <v>19178</v>
      </c>
      <c r="AP2145" t="s">
        <v>7024</v>
      </c>
      <c r="AT2145" s="184"/>
      <c r="AW2145" s="184"/>
      <c r="AZ2145" s="184"/>
      <c r="BP2145" s="184"/>
    </row>
    <row r="2146" spans="1:68">
      <c r="A2146">
        <v>26056770</v>
      </c>
      <c r="B2146">
        <v>26056770</v>
      </c>
      <c r="C2146" t="s">
        <v>7018</v>
      </c>
      <c r="D2146" t="s">
        <v>595</v>
      </c>
      <c r="E2146" s="184">
        <v>45152</v>
      </c>
      <c r="G2146" s="184"/>
      <c r="I2146" s="184"/>
      <c r="K2146" s="184"/>
      <c r="P2146" t="s">
        <v>7045</v>
      </c>
      <c r="Q2146" t="s">
        <v>7262</v>
      </c>
      <c r="R2146" s="184">
        <v>23392</v>
      </c>
      <c r="S2146">
        <v>60</v>
      </c>
      <c r="U2146" t="s">
        <v>7031</v>
      </c>
      <c r="V2146" t="s">
        <v>3922</v>
      </c>
      <c r="W2146" t="s">
        <v>4327</v>
      </c>
      <c r="X2146" t="s">
        <v>19182</v>
      </c>
      <c r="AF2146" t="s">
        <v>19183</v>
      </c>
      <c r="AG2146" t="s">
        <v>3922</v>
      </c>
      <c r="AI2146" t="s">
        <v>19184</v>
      </c>
      <c r="AM2146" t="s">
        <v>4497</v>
      </c>
      <c r="AN2146" t="s">
        <v>2069</v>
      </c>
      <c r="AO2146" t="s">
        <v>19185</v>
      </c>
      <c r="AP2146" t="s">
        <v>7024</v>
      </c>
      <c r="AQ2146" t="s">
        <v>19186</v>
      </c>
      <c r="AT2146" s="184">
        <v>35606</v>
      </c>
      <c r="AU2146" t="s">
        <v>19187</v>
      </c>
      <c r="AV2146">
        <v>100</v>
      </c>
      <c r="AW2146" s="184">
        <v>45342</v>
      </c>
      <c r="AX2146" t="s">
        <v>12134</v>
      </c>
      <c r="AY2146">
        <v>200</v>
      </c>
      <c r="AZ2146" s="184">
        <v>45342</v>
      </c>
      <c r="BA2146" t="s">
        <v>12134</v>
      </c>
      <c r="BB2146">
        <v>200</v>
      </c>
      <c r="BC2146">
        <v>97</v>
      </c>
      <c r="BD2146">
        <v>4350</v>
      </c>
      <c r="BE2146">
        <v>1997</v>
      </c>
      <c r="BF2146">
        <v>27</v>
      </c>
      <c r="BG2146">
        <v>2</v>
      </c>
      <c r="BH2146">
        <v>400</v>
      </c>
      <c r="BI2146">
        <v>27</v>
      </c>
      <c r="BJ2146">
        <v>28</v>
      </c>
      <c r="BK2146">
        <v>18</v>
      </c>
      <c r="BP2146" s="184"/>
    </row>
    <row r="2147" spans="1:68">
      <c r="A2147">
        <v>26065243</v>
      </c>
      <c r="B2147">
        <v>26065243</v>
      </c>
      <c r="C2147" t="s">
        <v>7018</v>
      </c>
      <c r="D2147" t="s">
        <v>595</v>
      </c>
      <c r="E2147" s="184">
        <v>44313</v>
      </c>
      <c r="G2147" s="184"/>
      <c r="I2147" s="184"/>
      <c r="K2147" s="184"/>
      <c r="M2147" s="184"/>
      <c r="O2147" s="184"/>
      <c r="P2147" t="s">
        <v>7045</v>
      </c>
      <c r="Q2147" t="s">
        <v>7374</v>
      </c>
      <c r="R2147" s="184">
        <v>18749</v>
      </c>
      <c r="S2147">
        <v>73</v>
      </c>
      <c r="U2147" t="s">
        <v>7031</v>
      </c>
      <c r="V2147" t="s">
        <v>2871</v>
      </c>
      <c r="W2147" t="s">
        <v>3226</v>
      </c>
      <c r="X2147" t="s">
        <v>5944</v>
      </c>
      <c r="AF2147" t="s">
        <v>19188</v>
      </c>
      <c r="AG2147" t="s">
        <v>2871</v>
      </c>
      <c r="AI2147" t="s">
        <v>19189</v>
      </c>
      <c r="AM2147" t="s">
        <v>2534</v>
      </c>
      <c r="AN2147" t="s">
        <v>2081</v>
      </c>
      <c r="AO2147" t="s">
        <v>19190</v>
      </c>
      <c r="AP2147" t="s">
        <v>7024</v>
      </c>
      <c r="AQ2147" t="s">
        <v>19191</v>
      </c>
      <c r="AT2147" s="184">
        <v>35607</v>
      </c>
      <c r="AU2147" t="s">
        <v>19192</v>
      </c>
      <c r="AV2147">
        <v>25</v>
      </c>
      <c r="AW2147" s="184">
        <v>45402</v>
      </c>
      <c r="AX2147" t="s">
        <v>7429</v>
      </c>
      <c r="AY2147">
        <v>10</v>
      </c>
      <c r="AZ2147" s="184">
        <v>43087</v>
      </c>
      <c r="BA2147" t="s">
        <v>19193</v>
      </c>
      <c r="BB2147">
        <v>115</v>
      </c>
      <c r="BC2147">
        <v>75</v>
      </c>
      <c r="BD2147">
        <v>2360</v>
      </c>
      <c r="BE2147">
        <v>1997</v>
      </c>
      <c r="BF2147">
        <v>108</v>
      </c>
      <c r="BG2147">
        <v>24</v>
      </c>
      <c r="BH2147">
        <v>240</v>
      </c>
      <c r="BI2147">
        <v>21</v>
      </c>
      <c r="BJ2147">
        <v>28</v>
      </c>
      <c r="BK2147">
        <v>13</v>
      </c>
      <c r="BN2147" t="s">
        <v>595</v>
      </c>
      <c r="BP2147" s="184"/>
    </row>
    <row r="2148" spans="1:68">
      <c r="A2148">
        <v>26072959</v>
      </c>
      <c r="B2148">
        <v>26072959</v>
      </c>
      <c r="C2148" t="s">
        <v>7018</v>
      </c>
      <c r="E2148" s="184"/>
      <c r="G2148" s="184"/>
      <c r="I2148" s="184"/>
      <c r="J2148" t="s">
        <v>595</v>
      </c>
      <c r="K2148" s="184">
        <v>41088</v>
      </c>
      <c r="M2148" s="184"/>
      <c r="O2148" s="184"/>
      <c r="P2148" t="s">
        <v>7045</v>
      </c>
      <c r="Q2148" t="s">
        <v>7454</v>
      </c>
      <c r="R2148" s="184">
        <v>14642</v>
      </c>
      <c r="S2148">
        <v>84</v>
      </c>
      <c r="U2148" t="s">
        <v>7032</v>
      </c>
      <c r="V2148" t="s">
        <v>2863</v>
      </c>
      <c r="W2148" t="s">
        <v>7268</v>
      </c>
      <c r="X2148" t="s">
        <v>19194</v>
      </c>
      <c r="AF2148" t="s">
        <v>6243</v>
      </c>
      <c r="AG2148" t="s">
        <v>2863</v>
      </c>
      <c r="AI2148" t="s">
        <v>19195</v>
      </c>
      <c r="AM2148" t="s">
        <v>12711</v>
      </c>
      <c r="AN2148" t="s">
        <v>2299</v>
      </c>
      <c r="AO2148" t="s">
        <v>19196</v>
      </c>
      <c r="AP2148" t="s">
        <v>7024</v>
      </c>
      <c r="AQ2148" t="s">
        <v>19197</v>
      </c>
      <c r="AR2148" t="s">
        <v>19198</v>
      </c>
      <c r="AT2148" s="184">
        <v>35607</v>
      </c>
      <c r="AU2148" t="s">
        <v>19199</v>
      </c>
      <c r="AV2148">
        <v>15</v>
      </c>
      <c r="AW2148" s="184">
        <v>45411</v>
      </c>
      <c r="AX2148" t="s">
        <v>7414</v>
      </c>
      <c r="AY2148">
        <v>15</v>
      </c>
      <c r="AZ2148" s="184">
        <v>40484</v>
      </c>
      <c r="BA2148" t="s">
        <v>19200</v>
      </c>
      <c r="BB2148">
        <v>25</v>
      </c>
      <c r="BC2148">
        <v>68</v>
      </c>
      <c r="BD2148">
        <v>2935</v>
      </c>
      <c r="BE2148">
        <v>1997</v>
      </c>
      <c r="BF2148">
        <v>194</v>
      </c>
      <c r="BG2148">
        <v>24</v>
      </c>
      <c r="BH2148">
        <v>360</v>
      </c>
      <c r="BI2148">
        <v>19</v>
      </c>
      <c r="BJ2148">
        <v>28</v>
      </c>
      <c r="BK2148">
        <v>18</v>
      </c>
      <c r="BN2148" t="s">
        <v>595</v>
      </c>
      <c r="BP2148" s="184"/>
    </row>
    <row r="2149" spans="1:68">
      <c r="A2149">
        <v>26086314</v>
      </c>
      <c r="B2149">
        <v>26086314</v>
      </c>
      <c r="C2149" t="s">
        <v>7018</v>
      </c>
      <c r="E2149" s="184"/>
      <c r="G2149" s="184"/>
      <c r="I2149" s="184"/>
      <c r="J2149" t="s">
        <v>595</v>
      </c>
      <c r="K2149" s="184">
        <v>41197</v>
      </c>
      <c r="M2149" s="184"/>
      <c r="O2149" s="184"/>
      <c r="P2149" t="s">
        <v>7045</v>
      </c>
      <c r="Q2149" t="s">
        <v>7160</v>
      </c>
      <c r="R2149" s="184">
        <v>10130</v>
      </c>
      <c r="S2149">
        <v>96</v>
      </c>
      <c r="U2149" t="s">
        <v>7031</v>
      </c>
      <c r="V2149" t="s">
        <v>19201</v>
      </c>
      <c r="X2149" t="s">
        <v>19202</v>
      </c>
      <c r="Z2149">
        <v>100068840</v>
      </c>
      <c r="AA2149" t="s">
        <v>7130</v>
      </c>
      <c r="AB2149" t="s">
        <v>19203</v>
      </c>
      <c r="AD2149" t="s">
        <v>19202</v>
      </c>
      <c r="AF2149" t="s">
        <v>19204</v>
      </c>
      <c r="AG2149" t="s">
        <v>19205</v>
      </c>
      <c r="AI2149" t="s">
        <v>19206</v>
      </c>
      <c r="AM2149" t="s">
        <v>3970</v>
      </c>
      <c r="AN2149" t="s">
        <v>2413</v>
      </c>
      <c r="AO2149" t="s">
        <v>19207</v>
      </c>
      <c r="AP2149" t="s">
        <v>7024</v>
      </c>
      <c r="AT2149" s="184">
        <v>35611</v>
      </c>
      <c r="AU2149" t="s">
        <v>19208</v>
      </c>
      <c r="AV2149">
        <v>15</v>
      </c>
      <c r="AW2149" s="184">
        <v>43483</v>
      </c>
      <c r="AX2149" t="s">
        <v>10445</v>
      </c>
      <c r="AY2149">
        <v>25</v>
      </c>
      <c r="AZ2149" s="184">
        <v>43483</v>
      </c>
      <c r="BA2149" t="s">
        <v>10445</v>
      </c>
      <c r="BB2149">
        <v>25</v>
      </c>
      <c r="BC2149">
        <v>29</v>
      </c>
      <c r="BD2149">
        <v>200</v>
      </c>
      <c r="BE2149">
        <v>1997</v>
      </c>
      <c r="BF2149">
        <v>10</v>
      </c>
      <c r="BI2149">
        <v>8</v>
      </c>
      <c r="BJ2149">
        <v>28</v>
      </c>
      <c r="BK2149">
        <v>3</v>
      </c>
      <c r="BL2149" t="s">
        <v>595</v>
      </c>
      <c r="BM2149" t="s">
        <v>595</v>
      </c>
      <c r="BP2149" s="184"/>
    </row>
    <row r="2150" spans="1:68">
      <c r="A2150">
        <v>100068840</v>
      </c>
      <c r="B2150">
        <v>26086314</v>
      </c>
      <c r="C2150" t="s">
        <v>7018</v>
      </c>
      <c r="E2150" s="184"/>
      <c r="G2150" s="184"/>
      <c r="I2150" s="184"/>
      <c r="J2150" t="s">
        <v>595</v>
      </c>
      <c r="K2150" s="184">
        <v>43647</v>
      </c>
      <c r="M2150" s="184"/>
      <c r="O2150" s="184"/>
      <c r="P2150" t="s">
        <v>7045</v>
      </c>
      <c r="Q2150" t="s">
        <v>7160</v>
      </c>
      <c r="R2150" s="184">
        <v>13424</v>
      </c>
      <c r="S2150">
        <v>87</v>
      </c>
      <c r="U2150" t="s">
        <v>7130</v>
      </c>
      <c r="V2150" t="s">
        <v>19203</v>
      </c>
      <c r="X2150" t="s">
        <v>19202</v>
      </c>
      <c r="Z2150">
        <v>26086314</v>
      </c>
      <c r="AA2150" t="s">
        <v>7031</v>
      </c>
      <c r="AB2150" t="s">
        <v>19201</v>
      </c>
      <c r="AD2150" t="s">
        <v>19202</v>
      </c>
      <c r="AF2150" t="s">
        <v>19204</v>
      </c>
      <c r="AG2150" t="s">
        <v>19205</v>
      </c>
      <c r="AI2150" t="s">
        <v>19206</v>
      </c>
      <c r="AM2150" t="s">
        <v>3970</v>
      </c>
      <c r="AN2150" t="s">
        <v>2413</v>
      </c>
      <c r="AO2150" t="s">
        <v>19207</v>
      </c>
      <c r="AP2150" t="s">
        <v>7024</v>
      </c>
      <c r="AQ2150" t="s">
        <v>19209</v>
      </c>
      <c r="AT2150" s="184"/>
      <c r="AW2150" s="184"/>
      <c r="AZ2150" s="184"/>
      <c r="BL2150" t="s">
        <v>595</v>
      </c>
      <c r="BP2150" s="184"/>
    </row>
    <row r="2151" spans="1:68">
      <c r="A2151">
        <v>26098806</v>
      </c>
      <c r="B2151">
        <v>26098806</v>
      </c>
      <c r="C2151" t="s">
        <v>7018</v>
      </c>
      <c r="D2151" t="s">
        <v>595</v>
      </c>
      <c r="E2151" s="184">
        <v>45195</v>
      </c>
      <c r="G2151" s="184"/>
      <c r="I2151" s="184"/>
      <c r="K2151" s="184"/>
      <c r="M2151" s="184"/>
      <c r="O2151" s="184"/>
      <c r="P2151" t="s">
        <v>7045</v>
      </c>
      <c r="Q2151" t="s">
        <v>7383</v>
      </c>
      <c r="R2151" s="184">
        <v>22330</v>
      </c>
      <c r="S2151">
        <v>63</v>
      </c>
      <c r="U2151" t="s">
        <v>7237</v>
      </c>
      <c r="V2151" t="s">
        <v>2511</v>
      </c>
      <c r="X2151" t="s">
        <v>19210</v>
      </c>
      <c r="AF2151" t="s">
        <v>19211</v>
      </c>
      <c r="AG2151" t="s">
        <v>2511</v>
      </c>
      <c r="AI2151" t="s">
        <v>19212</v>
      </c>
      <c r="AM2151" t="s">
        <v>19213</v>
      </c>
      <c r="AN2151" t="s">
        <v>2274</v>
      </c>
      <c r="AO2151" t="s">
        <v>19214</v>
      </c>
      <c r="AP2151" t="s">
        <v>7024</v>
      </c>
      <c r="AQ2151" t="s">
        <v>19215</v>
      </c>
      <c r="AT2151" s="184">
        <v>35611</v>
      </c>
      <c r="AU2151" t="s">
        <v>19216</v>
      </c>
      <c r="AV2151">
        <v>25</v>
      </c>
      <c r="AW2151" s="184">
        <v>45090</v>
      </c>
      <c r="AX2151" t="s">
        <v>10696</v>
      </c>
      <c r="AY2151">
        <v>50</v>
      </c>
      <c r="AZ2151" s="184">
        <v>41978</v>
      </c>
      <c r="BA2151" t="s">
        <v>19217</v>
      </c>
      <c r="BB2151">
        <v>90</v>
      </c>
      <c r="BC2151">
        <v>61</v>
      </c>
      <c r="BD2151">
        <v>855</v>
      </c>
      <c r="BE2151">
        <v>1997</v>
      </c>
      <c r="BF2151">
        <v>18</v>
      </c>
      <c r="BG2151">
        <v>3</v>
      </c>
      <c r="BH2151">
        <v>150</v>
      </c>
      <c r="BI2151">
        <v>17</v>
      </c>
      <c r="BJ2151">
        <v>28</v>
      </c>
      <c r="BK2151">
        <v>7</v>
      </c>
      <c r="BP2151" s="184"/>
    </row>
    <row r="2152" spans="1:68">
      <c r="A2152">
        <v>26110528</v>
      </c>
      <c r="B2152">
        <v>26110528</v>
      </c>
      <c r="C2152" t="s">
        <v>7018</v>
      </c>
      <c r="D2152" t="s">
        <v>595</v>
      </c>
      <c r="E2152" s="184">
        <v>45195</v>
      </c>
      <c r="G2152" s="184"/>
      <c r="I2152" s="184"/>
      <c r="K2152" s="184"/>
      <c r="M2152" s="184"/>
      <c r="O2152" s="184"/>
      <c r="P2152" t="s">
        <v>7045</v>
      </c>
      <c r="Q2152" t="s">
        <v>7020</v>
      </c>
      <c r="R2152" s="184">
        <v>13408</v>
      </c>
      <c r="S2152">
        <v>87</v>
      </c>
      <c r="U2152" t="s">
        <v>7076</v>
      </c>
      <c r="V2152" t="s">
        <v>19218</v>
      </c>
      <c r="W2152" t="s">
        <v>2049</v>
      </c>
      <c r="X2152" t="s">
        <v>19219</v>
      </c>
      <c r="AF2152" t="s">
        <v>19220</v>
      </c>
      <c r="AG2152" t="s">
        <v>19218</v>
      </c>
      <c r="AI2152" t="s">
        <v>19221</v>
      </c>
      <c r="AM2152" t="s">
        <v>3645</v>
      </c>
      <c r="AN2152" t="s">
        <v>2363</v>
      </c>
      <c r="AO2152" t="s">
        <v>19222</v>
      </c>
      <c r="AP2152" t="s">
        <v>7024</v>
      </c>
      <c r="AT2152" s="184">
        <v>35608</v>
      </c>
      <c r="AU2152" t="s">
        <v>19223</v>
      </c>
      <c r="AV2152">
        <v>15</v>
      </c>
      <c r="AW2152" s="184">
        <v>45098</v>
      </c>
      <c r="AX2152" t="s">
        <v>19224</v>
      </c>
      <c r="AY2152">
        <v>25</v>
      </c>
      <c r="AZ2152" s="184">
        <v>45077</v>
      </c>
      <c r="BA2152" t="s">
        <v>19225</v>
      </c>
      <c r="BB2152">
        <v>75</v>
      </c>
      <c r="BC2152">
        <v>29</v>
      </c>
      <c r="BD2152">
        <v>280</v>
      </c>
      <c r="BE2152">
        <v>1997</v>
      </c>
      <c r="BF2152">
        <v>12</v>
      </c>
      <c r="BG2152">
        <v>2</v>
      </c>
      <c r="BH2152">
        <v>100</v>
      </c>
      <c r="BI2152">
        <v>8</v>
      </c>
      <c r="BJ2152">
        <v>28</v>
      </c>
      <c r="BK2152">
        <v>4</v>
      </c>
      <c r="BP2152" s="184"/>
    </row>
    <row r="2153" spans="1:68">
      <c r="A2153">
        <v>26116244</v>
      </c>
      <c r="B2153">
        <v>26116244</v>
      </c>
      <c r="C2153" t="s">
        <v>7018</v>
      </c>
      <c r="E2153" s="184"/>
      <c r="G2153" s="184"/>
      <c r="I2153" s="184"/>
      <c r="J2153" t="s">
        <v>595</v>
      </c>
      <c r="K2153" s="184">
        <v>44167</v>
      </c>
      <c r="O2153" s="184"/>
      <c r="P2153" t="s">
        <v>7045</v>
      </c>
      <c r="Q2153" t="s">
        <v>7160</v>
      </c>
      <c r="R2153" s="184">
        <v>17530</v>
      </c>
      <c r="S2153">
        <v>76</v>
      </c>
      <c r="U2153" t="s">
        <v>7031</v>
      </c>
      <c r="V2153" t="s">
        <v>2697</v>
      </c>
      <c r="W2153" t="s">
        <v>3951</v>
      </c>
      <c r="X2153" t="s">
        <v>19226</v>
      </c>
      <c r="AF2153" t="s">
        <v>19227</v>
      </c>
      <c r="AG2153" t="s">
        <v>2697</v>
      </c>
      <c r="AI2153" t="s">
        <v>19228</v>
      </c>
      <c r="AM2153" t="s">
        <v>12624</v>
      </c>
      <c r="AN2153" t="s">
        <v>4637</v>
      </c>
      <c r="AO2153" t="s">
        <v>19229</v>
      </c>
      <c r="AP2153" t="s">
        <v>7024</v>
      </c>
      <c r="AQ2153" t="s">
        <v>19230</v>
      </c>
      <c r="AR2153" t="s">
        <v>19231</v>
      </c>
      <c r="AT2153" s="184">
        <v>35605</v>
      </c>
      <c r="AU2153" t="s">
        <v>19232</v>
      </c>
      <c r="AV2153">
        <v>15</v>
      </c>
      <c r="AW2153" s="184">
        <v>45083</v>
      </c>
      <c r="AX2153" t="s">
        <v>13944</v>
      </c>
      <c r="AY2153">
        <v>25</v>
      </c>
      <c r="AZ2153" s="184">
        <v>45083</v>
      </c>
      <c r="BA2153" t="s">
        <v>13944</v>
      </c>
      <c r="BB2153">
        <v>25</v>
      </c>
      <c r="BC2153">
        <v>97</v>
      </c>
      <c r="BD2153">
        <v>663</v>
      </c>
      <c r="BE2153">
        <v>1997</v>
      </c>
      <c r="BF2153">
        <v>28</v>
      </c>
      <c r="BG2153">
        <v>2</v>
      </c>
      <c r="BH2153">
        <v>50</v>
      </c>
      <c r="BI2153">
        <v>27</v>
      </c>
      <c r="BJ2153">
        <v>28</v>
      </c>
      <c r="BK2153">
        <v>27</v>
      </c>
      <c r="BP2153" s="184"/>
    </row>
    <row r="2154" spans="1:68">
      <c r="A2154">
        <v>26117465</v>
      </c>
      <c r="B2154">
        <v>26117465</v>
      </c>
      <c r="C2154" t="s">
        <v>7018</v>
      </c>
      <c r="D2154" t="s">
        <v>595</v>
      </c>
      <c r="E2154" s="184">
        <v>45174</v>
      </c>
      <c r="G2154" s="184"/>
      <c r="I2154" s="184"/>
      <c r="K2154" s="184"/>
      <c r="M2154" s="184"/>
      <c r="O2154" s="184"/>
      <c r="P2154" t="s">
        <v>7045</v>
      </c>
      <c r="Q2154" t="s">
        <v>7020</v>
      </c>
      <c r="R2154" s="184">
        <v>20323</v>
      </c>
      <c r="S2154">
        <v>68</v>
      </c>
      <c r="U2154" t="s">
        <v>7130</v>
      </c>
      <c r="V2154" t="s">
        <v>4800</v>
      </c>
      <c r="W2154" t="s">
        <v>8224</v>
      </c>
      <c r="X2154" t="s">
        <v>3828</v>
      </c>
      <c r="AF2154" t="s">
        <v>19233</v>
      </c>
      <c r="AG2154" t="s">
        <v>4800</v>
      </c>
      <c r="AI2154" t="s">
        <v>19234</v>
      </c>
      <c r="AM2154" t="s">
        <v>3211</v>
      </c>
      <c r="AN2154" t="s">
        <v>2465</v>
      </c>
      <c r="AO2154" t="s">
        <v>19235</v>
      </c>
      <c r="AP2154" t="s">
        <v>7024</v>
      </c>
      <c r="AQ2154" t="s">
        <v>19236</v>
      </c>
      <c r="AT2154" s="184">
        <v>35605</v>
      </c>
      <c r="AU2154" t="s">
        <v>19237</v>
      </c>
      <c r="AV2154">
        <v>25</v>
      </c>
      <c r="AW2154" s="184">
        <v>41842</v>
      </c>
      <c r="AX2154" t="s">
        <v>19238</v>
      </c>
      <c r="AY2154">
        <v>50</v>
      </c>
      <c r="AZ2154" s="184">
        <v>41842</v>
      </c>
      <c r="BA2154" t="s">
        <v>19238</v>
      </c>
      <c r="BB2154">
        <v>50</v>
      </c>
      <c r="BC2154">
        <v>18</v>
      </c>
      <c r="BD2154">
        <v>150</v>
      </c>
      <c r="BE2154">
        <v>1997</v>
      </c>
      <c r="BF2154">
        <v>5</v>
      </c>
      <c r="BI2154">
        <v>5</v>
      </c>
      <c r="BJ2154">
        <v>28</v>
      </c>
      <c r="BK2154">
        <v>2</v>
      </c>
      <c r="BP2154" s="184"/>
    </row>
    <row r="2155" spans="1:68">
      <c r="A2155">
        <v>26120014</v>
      </c>
      <c r="B2155">
        <v>26120014</v>
      </c>
      <c r="C2155" t="s">
        <v>7018</v>
      </c>
      <c r="D2155" t="s">
        <v>595</v>
      </c>
      <c r="E2155" s="184">
        <v>44067</v>
      </c>
      <c r="G2155" s="184"/>
      <c r="I2155" s="184"/>
      <c r="K2155" s="184"/>
      <c r="M2155" s="184"/>
      <c r="O2155" s="184"/>
      <c r="P2155" t="s">
        <v>7084</v>
      </c>
      <c r="Q2155" t="s">
        <v>7262</v>
      </c>
      <c r="R2155" s="184">
        <v>17989</v>
      </c>
      <c r="S2155">
        <v>75</v>
      </c>
      <c r="U2155" t="s">
        <v>7031</v>
      </c>
      <c r="V2155" t="s">
        <v>3246</v>
      </c>
      <c r="W2155" t="s">
        <v>3951</v>
      </c>
      <c r="X2155" t="s">
        <v>4867</v>
      </c>
      <c r="Z2155">
        <v>100068912</v>
      </c>
      <c r="AA2155" t="s">
        <v>7130</v>
      </c>
      <c r="AB2155" t="s">
        <v>2958</v>
      </c>
      <c r="AD2155" t="s">
        <v>4867</v>
      </c>
      <c r="AF2155" t="s">
        <v>19239</v>
      </c>
      <c r="AG2155" t="s">
        <v>19240</v>
      </c>
      <c r="AI2155" t="s">
        <v>19241</v>
      </c>
      <c r="AM2155" t="s">
        <v>3700</v>
      </c>
      <c r="AN2155" t="s">
        <v>2069</v>
      </c>
      <c r="AO2155" t="s">
        <v>19242</v>
      </c>
      <c r="AP2155" t="s">
        <v>7024</v>
      </c>
      <c r="AQ2155" t="s">
        <v>19243</v>
      </c>
      <c r="AR2155" t="s">
        <v>19244</v>
      </c>
      <c r="AT2155" s="184">
        <v>35613</v>
      </c>
      <c r="AU2155" t="s">
        <v>19245</v>
      </c>
      <c r="AV2155">
        <v>25</v>
      </c>
      <c r="AW2155" s="184">
        <v>45369</v>
      </c>
      <c r="AX2155" t="s">
        <v>19246</v>
      </c>
      <c r="AY2155">
        <v>600</v>
      </c>
      <c r="AZ2155" s="184">
        <v>40842</v>
      </c>
      <c r="BA2155" t="s">
        <v>19247</v>
      </c>
      <c r="BB2155">
        <v>40000.01</v>
      </c>
      <c r="BC2155">
        <v>100</v>
      </c>
      <c r="BD2155">
        <v>530245.63</v>
      </c>
      <c r="BE2155">
        <v>1998</v>
      </c>
      <c r="BF2155">
        <v>81</v>
      </c>
      <c r="BG2155">
        <v>12</v>
      </c>
      <c r="BH2155">
        <v>58850</v>
      </c>
      <c r="BI2155">
        <v>28</v>
      </c>
      <c r="BJ2155">
        <v>28</v>
      </c>
      <c r="BK2155">
        <v>28</v>
      </c>
      <c r="BP2155" s="184"/>
    </row>
    <row r="2156" spans="1:68">
      <c r="A2156">
        <v>100068912</v>
      </c>
      <c r="B2156">
        <v>26120014</v>
      </c>
      <c r="C2156" t="s">
        <v>7018</v>
      </c>
      <c r="D2156" t="s">
        <v>595</v>
      </c>
      <c r="E2156" s="184">
        <v>44067</v>
      </c>
      <c r="G2156" s="184"/>
      <c r="I2156" s="184"/>
      <c r="K2156" s="184"/>
      <c r="O2156" s="184"/>
      <c r="P2156" t="s">
        <v>7084</v>
      </c>
      <c r="Q2156" t="s">
        <v>7262</v>
      </c>
      <c r="R2156" s="184">
        <v>19360</v>
      </c>
      <c r="S2156">
        <v>71</v>
      </c>
      <c r="U2156" t="s">
        <v>7130</v>
      </c>
      <c r="V2156" t="s">
        <v>2958</v>
      </c>
      <c r="X2156" t="s">
        <v>4867</v>
      </c>
      <c r="Z2156">
        <v>26120014</v>
      </c>
      <c r="AA2156" t="s">
        <v>7031</v>
      </c>
      <c r="AB2156" t="s">
        <v>3246</v>
      </c>
      <c r="AC2156" t="s">
        <v>3951</v>
      </c>
      <c r="AD2156" t="s">
        <v>4867</v>
      </c>
      <c r="AF2156" t="s">
        <v>19239</v>
      </c>
      <c r="AG2156" t="s">
        <v>19240</v>
      </c>
      <c r="AI2156" t="s">
        <v>19241</v>
      </c>
      <c r="AM2156" t="s">
        <v>3700</v>
      </c>
      <c r="AN2156" t="s">
        <v>2069</v>
      </c>
      <c r="AO2156" t="s">
        <v>19242</v>
      </c>
      <c r="AP2156" t="s">
        <v>7024</v>
      </c>
      <c r="AT2156" s="184"/>
      <c r="AW2156" s="184"/>
      <c r="AZ2156" s="184"/>
      <c r="BP2156" s="184"/>
    </row>
    <row r="2157" spans="1:68">
      <c r="A2157">
        <v>26122242</v>
      </c>
      <c r="B2157">
        <v>26122242</v>
      </c>
      <c r="C2157" t="s">
        <v>7018</v>
      </c>
      <c r="E2157" s="184"/>
      <c r="G2157" s="184"/>
      <c r="I2157" s="184"/>
      <c r="J2157" t="s">
        <v>595</v>
      </c>
      <c r="K2157" s="184">
        <v>42055</v>
      </c>
      <c r="M2157" s="184"/>
      <c r="O2157" s="184"/>
      <c r="P2157" t="s">
        <v>7045</v>
      </c>
      <c r="Q2157" t="s">
        <v>7194</v>
      </c>
      <c r="R2157" s="184">
        <v>19353</v>
      </c>
      <c r="S2157">
        <v>71</v>
      </c>
      <c r="U2157" t="s">
        <v>7094</v>
      </c>
      <c r="V2157" t="s">
        <v>3580</v>
      </c>
      <c r="W2157" t="s">
        <v>7407</v>
      </c>
      <c r="X2157" t="s">
        <v>5896</v>
      </c>
      <c r="AF2157" t="s">
        <v>6566</v>
      </c>
      <c r="AG2157" t="s">
        <v>3580</v>
      </c>
      <c r="AI2157" t="s">
        <v>19248</v>
      </c>
      <c r="AM2157" t="s">
        <v>19249</v>
      </c>
      <c r="AN2157" t="s">
        <v>2046</v>
      </c>
      <c r="AO2157" t="s">
        <v>19250</v>
      </c>
      <c r="AP2157" t="s">
        <v>7024</v>
      </c>
      <c r="AQ2157" t="s">
        <v>19251</v>
      </c>
      <c r="AR2157" t="s">
        <v>19252</v>
      </c>
      <c r="AT2157" s="184">
        <v>35613</v>
      </c>
      <c r="AU2157" t="s">
        <v>19253</v>
      </c>
      <c r="AV2157">
        <v>15</v>
      </c>
      <c r="AW2157" s="184">
        <v>45357</v>
      </c>
      <c r="AX2157" t="s">
        <v>9748</v>
      </c>
      <c r="AY2157">
        <v>70</v>
      </c>
      <c r="AZ2157" s="184">
        <v>45357</v>
      </c>
      <c r="BA2157" t="s">
        <v>9748</v>
      </c>
      <c r="BB2157">
        <v>70</v>
      </c>
      <c r="BC2157">
        <v>68</v>
      </c>
      <c r="BD2157">
        <v>790</v>
      </c>
      <c r="BE2157">
        <v>1998</v>
      </c>
      <c r="BF2157">
        <v>19</v>
      </c>
      <c r="BG2157">
        <v>2</v>
      </c>
      <c r="BH2157">
        <v>130</v>
      </c>
      <c r="BI2157">
        <v>19</v>
      </c>
      <c r="BJ2157">
        <v>28</v>
      </c>
      <c r="BK2157">
        <v>8</v>
      </c>
      <c r="BN2157" t="s">
        <v>595</v>
      </c>
      <c r="BP2157" s="184"/>
    </row>
    <row r="2158" spans="1:68">
      <c r="A2158">
        <v>26132514</v>
      </c>
      <c r="B2158">
        <v>26132514</v>
      </c>
      <c r="C2158" t="s">
        <v>7018</v>
      </c>
      <c r="D2158" t="s">
        <v>595</v>
      </c>
      <c r="E2158" s="184">
        <v>44167</v>
      </c>
      <c r="G2158" s="184"/>
      <c r="I2158" s="184"/>
      <c r="K2158" s="184"/>
      <c r="O2158" s="184"/>
      <c r="P2158" t="s">
        <v>7045</v>
      </c>
      <c r="Q2158" t="s">
        <v>7374</v>
      </c>
      <c r="R2158" s="184">
        <v>18264</v>
      </c>
      <c r="S2158">
        <v>74</v>
      </c>
      <c r="U2158" t="s">
        <v>7032</v>
      </c>
      <c r="V2158" t="s">
        <v>3463</v>
      </c>
      <c r="W2158" t="s">
        <v>4139</v>
      </c>
      <c r="X2158" t="s">
        <v>19254</v>
      </c>
      <c r="Z2158">
        <v>100068959</v>
      </c>
      <c r="AA2158" t="s">
        <v>7031</v>
      </c>
      <c r="AB2158" t="s">
        <v>2982</v>
      </c>
      <c r="AD2158" t="s">
        <v>19255</v>
      </c>
      <c r="AF2158" t="s">
        <v>19256</v>
      </c>
      <c r="AG2158" t="s">
        <v>19257</v>
      </c>
      <c r="AI2158" t="s">
        <v>19258</v>
      </c>
      <c r="AM2158" t="s">
        <v>19259</v>
      </c>
      <c r="AN2158" t="s">
        <v>2081</v>
      </c>
      <c r="AO2158" t="s">
        <v>19260</v>
      </c>
      <c r="AP2158" t="s">
        <v>7024</v>
      </c>
      <c r="AQ2158" t="s">
        <v>19261</v>
      </c>
      <c r="AR2158" t="s">
        <v>19262</v>
      </c>
      <c r="AT2158" s="184">
        <v>35612</v>
      </c>
      <c r="AU2158" t="s">
        <v>19263</v>
      </c>
      <c r="AV2158">
        <v>150</v>
      </c>
      <c r="AW2158" s="184">
        <v>44624</v>
      </c>
      <c r="AX2158" t="s">
        <v>19264</v>
      </c>
      <c r="AY2158">
        <v>500</v>
      </c>
      <c r="AZ2158" s="184">
        <v>44264</v>
      </c>
      <c r="BA2158" t="s">
        <v>19265</v>
      </c>
      <c r="BB2158">
        <v>100000</v>
      </c>
      <c r="BC2158">
        <v>68</v>
      </c>
      <c r="BD2158">
        <v>563070.57999999996</v>
      </c>
      <c r="BE2158">
        <v>1998</v>
      </c>
      <c r="BF2158">
        <v>38</v>
      </c>
      <c r="BI2158">
        <v>19</v>
      </c>
      <c r="BJ2158">
        <v>28</v>
      </c>
      <c r="BK2158">
        <v>11</v>
      </c>
      <c r="BP2158" s="184"/>
    </row>
    <row r="2159" spans="1:68">
      <c r="A2159">
        <v>100068959</v>
      </c>
      <c r="B2159">
        <v>26132514</v>
      </c>
      <c r="C2159" t="s">
        <v>7018</v>
      </c>
      <c r="D2159" t="s">
        <v>595</v>
      </c>
      <c r="E2159" s="184">
        <v>44167</v>
      </c>
      <c r="G2159" s="184"/>
      <c r="I2159" s="184"/>
      <c r="K2159" s="184"/>
      <c r="O2159" s="184"/>
      <c r="P2159" t="s">
        <v>7045</v>
      </c>
      <c r="Q2159" t="s">
        <v>7374</v>
      </c>
      <c r="R2159" s="184">
        <v>18264</v>
      </c>
      <c r="S2159">
        <v>74</v>
      </c>
      <c r="U2159" t="s">
        <v>7031</v>
      </c>
      <c r="V2159" t="s">
        <v>2982</v>
      </c>
      <c r="X2159" t="s">
        <v>19255</v>
      </c>
      <c r="Z2159">
        <v>26132514</v>
      </c>
      <c r="AA2159" t="s">
        <v>7032</v>
      </c>
      <c r="AB2159" t="s">
        <v>3463</v>
      </c>
      <c r="AC2159" t="s">
        <v>4139</v>
      </c>
      <c r="AD2159" t="s">
        <v>19254</v>
      </c>
      <c r="AF2159" t="s">
        <v>19256</v>
      </c>
      <c r="AG2159" t="s">
        <v>19257</v>
      </c>
      <c r="AI2159" t="s">
        <v>19258</v>
      </c>
      <c r="AM2159" t="s">
        <v>19259</v>
      </c>
      <c r="AN2159" t="s">
        <v>2081</v>
      </c>
      <c r="AO2159" t="s">
        <v>19260</v>
      </c>
      <c r="AP2159" t="s">
        <v>7024</v>
      </c>
      <c r="AT2159" s="184"/>
      <c r="AW2159" s="184"/>
      <c r="AZ2159" s="184"/>
      <c r="BP2159" s="184"/>
    </row>
    <row r="2160" spans="1:68">
      <c r="A2160">
        <v>26152819</v>
      </c>
      <c r="B2160">
        <v>26152819</v>
      </c>
      <c r="C2160" t="s">
        <v>7018</v>
      </c>
      <c r="E2160" s="184"/>
      <c r="G2160" s="184"/>
      <c r="I2160" s="184"/>
      <c r="J2160" t="s">
        <v>595</v>
      </c>
      <c r="K2160" s="184">
        <v>43801</v>
      </c>
      <c r="M2160" s="184"/>
      <c r="O2160" s="184"/>
      <c r="P2160" t="s">
        <v>7045</v>
      </c>
      <c r="Q2160" t="s">
        <v>7374</v>
      </c>
      <c r="R2160" s="184">
        <v>17868</v>
      </c>
      <c r="S2160">
        <v>75</v>
      </c>
      <c r="U2160" t="s">
        <v>7031</v>
      </c>
      <c r="V2160" t="s">
        <v>2898</v>
      </c>
      <c r="W2160" t="s">
        <v>7396</v>
      </c>
      <c r="X2160" t="s">
        <v>4296</v>
      </c>
      <c r="Z2160">
        <v>100069017</v>
      </c>
      <c r="AB2160" t="s">
        <v>3463</v>
      </c>
      <c r="AD2160" t="s">
        <v>4296</v>
      </c>
      <c r="AF2160" t="s">
        <v>6503</v>
      </c>
      <c r="AG2160" t="s">
        <v>19266</v>
      </c>
      <c r="AI2160" t="s">
        <v>19267</v>
      </c>
      <c r="AJ2160" t="s">
        <v>19268</v>
      </c>
      <c r="AM2160" t="s">
        <v>4297</v>
      </c>
      <c r="AN2160" t="s">
        <v>2526</v>
      </c>
      <c r="AO2160" t="s">
        <v>19269</v>
      </c>
      <c r="AP2160" t="s">
        <v>7024</v>
      </c>
      <c r="AQ2160" t="s">
        <v>19270</v>
      </c>
      <c r="AT2160" s="184">
        <v>35619</v>
      </c>
      <c r="AU2160" t="s">
        <v>19271</v>
      </c>
      <c r="AV2160">
        <v>15</v>
      </c>
      <c r="AW2160" s="184">
        <v>45327</v>
      </c>
      <c r="AX2160" t="s">
        <v>19272</v>
      </c>
      <c r="AY2160">
        <v>100</v>
      </c>
      <c r="AZ2160" s="184">
        <v>44799</v>
      </c>
      <c r="BA2160" t="s">
        <v>19273</v>
      </c>
      <c r="BB2160">
        <v>115</v>
      </c>
      <c r="BC2160">
        <v>75</v>
      </c>
      <c r="BD2160">
        <v>1230</v>
      </c>
      <c r="BE2160">
        <v>1998</v>
      </c>
      <c r="BF2160">
        <v>25</v>
      </c>
      <c r="BG2160">
        <v>2</v>
      </c>
      <c r="BH2160">
        <v>215</v>
      </c>
      <c r="BI2160">
        <v>21</v>
      </c>
      <c r="BJ2160">
        <v>28</v>
      </c>
      <c r="BK2160">
        <v>8</v>
      </c>
      <c r="BN2160" t="s">
        <v>595</v>
      </c>
      <c r="BP2160" s="184"/>
    </row>
    <row r="2161" spans="1:68">
      <c r="A2161">
        <v>100069017</v>
      </c>
      <c r="B2161">
        <v>26152819</v>
      </c>
      <c r="C2161" t="s">
        <v>7018</v>
      </c>
      <c r="E2161" s="184"/>
      <c r="G2161" s="184"/>
      <c r="I2161" s="184"/>
      <c r="J2161" t="s">
        <v>595</v>
      </c>
      <c r="K2161" s="184">
        <v>43801</v>
      </c>
      <c r="M2161" s="184"/>
      <c r="O2161" s="184"/>
      <c r="P2161" t="s">
        <v>7045</v>
      </c>
      <c r="Q2161" t="s">
        <v>7374</v>
      </c>
      <c r="R2161" s="184">
        <v>17868</v>
      </c>
      <c r="S2161">
        <v>75</v>
      </c>
      <c r="V2161" t="s">
        <v>3463</v>
      </c>
      <c r="X2161" t="s">
        <v>4296</v>
      </c>
      <c r="Z2161">
        <v>26152819</v>
      </c>
      <c r="AA2161" t="s">
        <v>7031</v>
      </c>
      <c r="AB2161" t="s">
        <v>2898</v>
      </c>
      <c r="AC2161" t="s">
        <v>7396</v>
      </c>
      <c r="AD2161" t="s">
        <v>4296</v>
      </c>
      <c r="AF2161" t="s">
        <v>6503</v>
      </c>
      <c r="AG2161" t="s">
        <v>19266</v>
      </c>
      <c r="AI2161" t="s">
        <v>19267</v>
      </c>
      <c r="AJ2161" t="s">
        <v>19268</v>
      </c>
      <c r="AM2161" t="s">
        <v>4297</v>
      </c>
      <c r="AN2161" t="s">
        <v>2526</v>
      </c>
      <c r="AO2161" t="s">
        <v>19269</v>
      </c>
      <c r="AP2161" t="s">
        <v>7024</v>
      </c>
      <c r="AQ2161" t="s">
        <v>19274</v>
      </c>
      <c r="AT2161" s="184"/>
      <c r="AW2161" s="184"/>
      <c r="AZ2161" s="184"/>
      <c r="BP2161" s="184"/>
    </row>
    <row r="2162" spans="1:68">
      <c r="A2162">
        <v>26168997</v>
      </c>
      <c r="B2162">
        <v>26168997</v>
      </c>
      <c r="C2162" t="s">
        <v>7018</v>
      </c>
      <c r="E2162" s="184"/>
      <c r="G2162" s="184"/>
      <c r="H2162" t="s">
        <v>595</v>
      </c>
      <c r="I2162" s="184">
        <v>44074</v>
      </c>
      <c r="K2162" s="184"/>
      <c r="N2162" t="s">
        <v>595</v>
      </c>
      <c r="O2162" s="184">
        <v>39122</v>
      </c>
      <c r="P2162" t="s">
        <v>7029</v>
      </c>
      <c r="Q2162" t="s">
        <v>7494</v>
      </c>
      <c r="R2162" s="184">
        <v>8431</v>
      </c>
      <c r="S2162">
        <v>101</v>
      </c>
      <c r="U2162" t="s">
        <v>7130</v>
      </c>
      <c r="V2162" t="s">
        <v>3223</v>
      </c>
      <c r="X2162" t="s">
        <v>4781</v>
      </c>
      <c r="Z2162">
        <v>100181572</v>
      </c>
      <c r="AA2162" t="s">
        <v>7031</v>
      </c>
      <c r="AB2162" t="s">
        <v>4093</v>
      </c>
      <c r="AC2162" t="s">
        <v>8224</v>
      </c>
      <c r="AD2162" t="s">
        <v>4781</v>
      </c>
      <c r="AF2162" t="s">
        <v>19275</v>
      </c>
      <c r="AG2162" t="s">
        <v>19276</v>
      </c>
      <c r="AI2162" t="s">
        <v>19277</v>
      </c>
      <c r="AJ2162" t="s">
        <v>19278</v>
      </c>
      <c r="AM2162" t="s">
        <v>3770</v>
      </c>
      <c r="AN2162" t="s">
        <v>2174</v>
      </c>
      <c r="AO2162">
        <v>75252</v>
      </c>
      <c r="AP2162" t="s">
        <v>7024</v>
      </c>
      <c r="AT2162" s="184">
        <v>35622</v>
      </c>
      <c r="AU2162" t="s">
        <v>19279</v>
      </c>
      <c r="AV2162">
        <v>100</v>
      </c>
      <c r="AW2162" s="184">
        <v>43622</v>
      </c>
      <c r="AX2162" t="s">
        <v>19280</v>
      </c>
      <c r="AY2162">
        <v>1000</v>
      </c>
      <c r="AZ2162" s="184">
        <v>43385</v>
      </c>
      <c r="BA2162" t="s">
        <v>9427</v>
      </c>
      <c r="BB2162">
        <v>10000</v>
      </c>
      <c r="BC2162">
        <v>65</v>
      </c>
      <c r="BD2162">
        <v>31927</v>
      </c>
      <c r="BE2162">
        <v>1998</v>
      </c>
      <c r="BF2162">
        <v>25</v>
      </c>
      <c r="BI2162">
        <v>18</v>
      </c>
      <c r="BJ2162">
        <v>28</v>
      </c>
      <c r="BK2162">
        <v>6</v>
      </c>
      <c r="BP2162" s="184"/>
    </row>
    <row r="2163" spans="1:68">
      <c r="A2163">
        <v>100181572</v>
      </c>
      <c r="B2163">
        <v>26168997</v>
      </c>
      <c r="C2163" t="s">
        <v>7018</v>
      </c>
      <c r="E2163" s="184"/>
      <c r="G2163" s="184"/>
      <c r="H2163" t="s">
        <v>595</v>
      </c>
      <c r="I2163" s="184">
        <v>44074</v>
      </c>
      <c r="K2163" s="184"/>
      <c r="N2163" t="s">
        <v>595</v>
      </c>
      <c r="O2163" s="184">
        <v>38617</v>
      </c>
      <c r="P2163" t="s">
        <v>7029</v>
      </c>
      <c r="Q2163" t="s">
        <v>7494</v>
      </c>
      <c r="R2163" s="184">
        <v>8177</v>
      </c>
      <c r="S2163">
        <v>101</v>
      </c>
      <c r="U2163" t="s">
        <v>7031</v>
      </c>
      <c r="V2163" t="s">
        <v>4093</v>
      </c>
      <c r="W2163" t="s">
        <v>8224</v>
      </c>
      <c r="X2163" t="s">
        <v>4781</v>
      </c>
      <c r="Z2163">
        <v>26168997</v>
      </c>
      <c r="AA2163" t="s">
        <v>7130</v>
      </c>
      <c r="AB2163" t="s">
        <v>3223</v>
      </c>
      <c r="AD2163" t="s">
        <v>4781</v>
      </c>
      <c r="AF2163" t="s">
        <v>19275</v>
      </c>
      <c r="AG2163" t="s">
        <v>19276</v>
      </c>
      <c r="AI2163" t="s">
        <v>19277</v>
      </c>
      <c r="AJ2163" t="s">
        <v>19278</v>
      </c>
      <c r="AM2163" t="s">
        <v>3770</v>
      </c>
      <c r="AN2163" t="s">
        <v>2174</v>
      </c>
      <c r="AO2163">
        <v>75252</v>
      </c>
      <c r="AP2163" t="s">
        <v>7024</v>
      </c>
      <c r="AT2163" s="184"/>
      <c r="AW2163" s="184"/>
      <c r="AZ2163" s="184"/>
      <c r="BP2163" s="184">
        <v>41291</v>
      </c>
    </row>
    <row r="2164" spans="1:68">
      <c r="A2164">
        <v>26169813</v>
      </c>
      <c r="B2164">
        <v>26169813</v>
      </c>
      <c r="C2164" t="s">
        <v>7018</v>
      </c>
      <c r="D2164" t="s">
        <v>595</v>
      </c>
      <c r="E2164" s="184">
        <v>43663</v>
      </c>
      <c r="G2164" s="184"/>
      <c r="I2164" s="184"/>
      <c r="K2164" s="184"/>
      <c r="M2164" s="184"/>
      <c r="O2164" s="184"/>
      <c r="P2164" t="s">
        <v>7045</v>
      </c>
      <c r="Q2164" t="s">
        <v>7383</v>
      </c>
      <c r="R2164" s="184">
        <v>16578</v>
      </c>
      <c r="S2164">
        <v>78</v>
      </c>
      <c r="V2164" t="s">
        <v>3279</v>
      </c>
      <c r="W2164" t="s">
        <v>4139</v>
      </c>
      <c r="X2164" t="s">
        <v>3280</v>
      </c>
      <c r="AF2164" t="s">
        <v>19281</v>
      </c>
      <c r="AG2164" t="s">
        <v>3279</v>
      </c>
      <c r="AI2164" t="s">
        <v>19282</v>
      </c>
      <c r="AM2164" t="s">
        <v>3281</v>
      </c>
      <c r="AN2164" t="s">
        <v>2313</v>
      </c>
      <c r="AO2164" t="s">
        <v>19283</v>
      </c>
      <c r="AP2164" t="s">
        <v>7024</v>
      </c>
      <c r="AT2164" s="184">
        <v>35622</v>
      </c>
      <c r="AU2164" t="s">
        <v>19284</v>
      </c>
      <c r="AV2164">
        <v>15</v>
      </c>
      <c r="AW2164" s="184">
        <v>45415</v>
      </c>
      <c r="AX2164" t="s">
        <v>19285</v>
      </c>
      <c r="AY2164">
        <v>40</v>
      </c>
      <c r="AZ2164" s="184">
        <v>42621</v>
      </c>
      <c r="BA2164" t="s">
        <v>19286</v>
      </c>
      <c r="BB2164">
        <v>45</v>
      </c>
      <c r="BC2164">
        <v>61</v>
      </c>
      <c r="BD2164">
        <v>570</v>
      </c>
      <c r="BE2164">
        <v>1998</v>
      </c>
      <c r="BF2164">
        <v>22</v>
      </c>
      <c r="BG2164">
        <v>5</v>
      </c>
      <c r="BH2164">
        <v>155</v>
      </c>
      <c r="BI2164">
        <v>17</v>
      </c>
      <c r="BJ2164">
        <v>28</v>
      </c>
      <c r="BK2164">
        <v>12</v>
      </c>
      <c r="BP2164" s="184"/>
    </row>
    <row r="2165" spans="1:68">
      <c r="A2165">
        <v>26171074</v>
      </c>
      <c r="B2165">
        <v>26171074</v>
      </c>
      <c r="C2165" t="s">
        <v>7018</v>
      </c>
      <c r="D2165" t="s">
        <v>595</v>
      </c>
      <c r="E2165" s="184">
        <v>44168</v>
      </c>
      <c r="G2165" s="184"/>
      <c r="H2165" t="s">
        <v>595</v>
      </c>
      <c r="I2165" s="184">
        <v>44168</v>
      </c>
      <c r="K2165" s="184"/>
      <c r="M2165" s="184"/>
      <c r="O2165" s="184"/>
      <c r="P2165" t="s">
        <v>7045</v>
      </c>
      <c r="Q2165" t="s">
        <v>7374</v>
      </c>
      <c r="R2165" s="184">
        <v>18994</v>
      </c>
      <c r="S2165">
        <v>72</v>
      </c>
      <c r="U2165" t="s">
        <v>7031</v>
      </c>
      <c r="V2165" t="s">
        <v>2982</v>
      </c>
      <c r="W2165" t="s">
        <v>7407</v>
      </c>
      <c r="X2165" t="s">
        <v>17219</v>
      </c>
      <c r="Z2165">
        <v>100572547</v>
      </c>
      <c r="AB2165" t="s">
        <v>3468</v>
      </c>
      <c r="AD2165" t="s">
        <v>17219</v>
      </c>
      <c r="AF2165" t="s">
        <v>19287</v>
      </c>
      <c r="AG2165" t="s">
        <v>19288</v>
      </c>
      <c r="AI2165" t="s">
        <v>19289</v>
      </c>
      <c r="AM2165" t="s">
        <v>4949</v>
      </c>
      <c r="AN2165" t="s">
        <v>2081</v>
      </c>
      <c r="AO2165" t="s">
        <v>19290</v>
      </c>
      <c r="AP2165" t="s">
        <v>7024</v>
      </c>
      <c r="AT2165" s="184">
        <v>35622</v>
      </c>
      <c r="AU2165" t="s">
        <v>19291</v>
      </c>
      <c r="AV2165">
        <v>25</v>
      </c>
      <c r="AW2165" s="184">
        <v>38960</v>
      </c>
      <c r="AX2165" t="s">
        <v>19292</v>
      </c>
      <c r="AY2165">
        <v>15</v>
      </c>
      <c r="AZ2165" s="184">
        <v>36305</v>
      </c>
      <c r="BA2165" t="s">
        <v>19293</v>
      </c>
      <c r="BB2165">
        <v>87</v>
      </c>
      <c r="BC2165">
        <v>22</v>
      </c>
      <c r="BD2165">
        <v>292</v>
      </c>
      <c r="BE2165">
        <v>1998</v>
      </c>
      <c r="BF2165">
        <v>9</v>
      </c>
      <c r="BI2165">
        <v>6</v>
      </c>
      <c r="BJ2165">
        <v>28</v>
      </c>
      <c r="BK2165">
        <v>3</v>
      </c>
      <c r="BP2165" s="184"/>
    </row>
    <row r="2166" spans="1:68">
      <c r="A2166">
        <v>100572547</v>
      </c>
      <c r="B2166">
        <v>26171074</v>
      </c>
      <c r="C2166" t="s">
        <v>7018</v>
      </c>
      <c r="D2166" t="s">
        <v>595</v>
      </c>
      <c r="E2166" s="184">
        <v>44168</v>
      </c>
      <c r="G2166" s="184"/>
      <c r="H2166" t="s">
        <v>595</v>
      </c>
      <c r="I2166" s="184">
        <v>44168</v>
      </c>
      <c r="K2166" s="184"/>
      <c r="O2166" s="184"/>
      <c r="P2166" t="s">
        <v>7045</v>
      </c>
      <c r="Q2166" t="s">
        <v>7374</v>
      </c>
      <c r="R2166" s="184"/>
      <c r="V2166" t="s">
        <v>3468</v>
      </c>
      <c r="X2166" t="s">
        <v>17219</v>
      </c>
      <c r="Z2166">
        <v>26171074</v>
      </c>
      <c r="AA2166" t="s">
        <v>7031</v>
      </c>
      <c r="AB2166" t="s">
        <v>2982</v>
      </c>
      <c r="AC2166" t="s">
        <v>7407</v>
      </c>
      <c r="AD2166" t="s">
        <v>17219</v>
      </c>
      <c r="AF2166" t="s">
        <v>19287</v>
      </c>
      <c r="AG2166" t="s">
        <v>19288</v>
      </c>
      <c r="AI2166" t="s">
        <v>19289</v>
      </c>
      <c r="AM2166" t="s">
        <v>4949</v>
      </c>
      <c r="AN2166" t="s">
        <v>2081</v>
      </c>
      <c r="AO2166" t="s">
        <v>19290</v>
      </c>
      <c r="AP2166" t="s">
        <v>7024</v>
      </c>
      <c r="AQ2166" t="s">
        <v>19294</v>
      </c>
      <c r="AT2166" s="184"/>
      <c r="AW2166" s="184"/>
      <c r="AZ2166" s="184"/>
      <c r="BP2166" s="184"/>
    </row>
    <row r="2167" spans="1:68">
      <c r="A2167">
        <v>26178178</v>
      </c>
      <c r="B2167">
        <v>26178178</v>
      </c>
      <c r="C2167" t="s">
        <v>7018</v>
      </c>
      <c r="D2167" t="s">
        <v>595</v>
      </c>
      <c r="E2167" s="184">
        <v>43808</v>
      </c>
      <c r="G2167" s="184"/>
      <c r="I2167" s="184"/>
      <c r="K2167" s="184"/>
      <c r="O2167" s="184"/>
      <c r="P2167" t="s">
        <v>7045</v>
      </c>
      <c r="Q2167" t="s">
        <v>7030</v>
      </c>
      <c r="R2167" s="184">
        <v>15554</v>
      </c>
      <c r="S2167">
        <v>81</v>
      </c>
      <c r="U2167" t="s">
        <v>7031</v>
      </c>
      <c r="V2167" t="s">
        <v>3373</v>
      </c>
      <c r="W2167" t="s">
        <v>3332</v>
      </c>
      <c r="X2167" t="s">
        <v>3040</v>
      </c>
      <c r="AF2167" t="s">
        <v>19295</v>
      </c>
      <c r="AG2167" t="s">
        <v>3373</v>
      </c>
      <c r="AI2167" t="s">
        <v>19296</v>
      </c>
      <c r="AM2167" t="s">
        <v>4455</v>
      </c>
      <c r="AN2167" t="s">
        <v>2201</v>
      </c>
      <c r="AO2167" t="s">
        <v>19297</v>
      </c>
      <c r="AP2167" t="s">
        <v>7024</v>
      </c>
      <c r="AQ2167" t="s">
        <v>19298</v>
      </c>
      <c r="AR2167" t="s">
        <v>19299</v>
      </c>
      <c r="AT2167" s="184">
        <v>35625</v>
      </c>
      <c r="AU2167" t="s">
        <v>19300</v>
      </c>
      <c r="AV2167">
        <v>25</v>
      </c>
      <c r="AW2167" s="184">
        <v>45400</v>
      </c>
      <c r="AX2167" t="s">
        <v>7429</v>
      </c>
      <c r="AY2167">
        <v>20</v>
      </c>
      <c r="AZ2167" s="184">
        <v>42218</v>
      </c>
      <c r="BA2167" t="s">
        <v>19301</v>
      </c>
      <c r="BB2167">
        <v>100</v>
      </c>
      <c r="BC2167">
        <v>100</v>
      </c>
      <c r="BD2167">
        <v>3290</v>
      </c>
      <c r="BE2167">
        <v>1998</v>
      </c>
      <c r="BF2167">
        <v>134</v>
      </c>
      <c r="BG2167">
        <v>24</v>
      </c>
      <c r="BH2167">
        <v>480</v>
      </c>
      <c r="BI2167">
        <v>28</v>
      </c>
      <c r="BJ2167">
        <v>28</v>
      </c>
      <c r="BK2167">
        <v>28</v>
      </c>
      <c r="BN2167" t="s">
        <v>595</v>
      </c>
    </row>
    <row r="2168" spans="1:68">
      <c r="A2168">
        <v>26180034</v>
      </c>
      <c r="B2168">
        <v>26180034</v>
      </c>
      <c r="C2168" t="s">
        <v>7018</v>
      </c>
      <c r="E2168" s="184"/>
      <c r="G2168" s="184"/>
      <c r="I2168" s="184"/>
      <c r="J2168" t="s">
        <v>595</v>
      </c>
      <c r="K2168" s="184">
        <v>37438</v>
      </c>
      <c r="M2168" s="184"/>
      <c r="O2168" s="184"/>
      <c r="P2168" t="s">
        <v>7029</v>
      </c>
      <c r="Q2168" t="s">
        <v>7020</v>
      </c>
      <c r="R2168" s="184">
        <v>9618</v>
      </c>
      <c r="S2168">
        <v>98</v>
      </c>
      <c r="U2168" t="s">
        <v>7031</v>
      </c>
      <c r="V2168" t="s">
        <v>5035</v>
      </c>
      <c r="X2168" t="s">
        <v>5762</v>
      </c>
      <c r="Z2168">
        <v>100069091</v>
      </c>
      <c r="AA2168" t="s">
        <v>7076</v>
      </c>
      <c r="AB2168" t="s">
        <v>3565</v>
      </c>
      <c r="AD2168" t="s">
        <v>5760</v>
      </c>
      <c r="AF2168" t="s">
        <v>19302</v>
      </c>
      <c r="AG2168" t="s">
        <v>19303</v>
      </c>
      <c r="AI2168" t="s">
        <v>19304</v>
      </c>
      <c r="AM2168" t="s">
        <v>19305</v>
      </c>
      <c r="AN2168" t="s">
        <v>2052</v>
      </c>
      <c r="AO2168" t="s">
        <v>19306</v>
      </c>
      <c r="AP2168" t="s">
        <v>7024</v>
      </c>
      <c r="AT2168" s="184">
        <v>35625</v>
      </c>
      <c r="AU2168" t="s">
        <v>19307</v>
      </c>
      <c r="AV2168">
        <v>25</v>
      </c>
      <c r="AW2168" s="184">
        <v>44845</v>
      </c>
      <c r="AX2168" t="s">
        <v>7597</v>
      </c>
      <c r="AY2168">
        <v>4.25</v>
      </c>
      <c r="AZ2168" s="184">
        <v>44363</v>
      </c>
      <c r="BA2168" t="s">
        <v>19308</v>
      </c>
      <c r="BB2168">
        <v>1000</v>
      </c>
      <c r="BC2168">
        <v>93</v>
      </c>
      <c r="BD2168">
        <v>23829.25</v>
      </c>
      <c r="BE2168">
        <v>1998</v>
      </c>
      <c r="BF2168">
        <v>39</v>
      </c>
      <c r="BG2168">
        <v>2</v>
      </c>
      <c r="BH2168">
        <v>604.25</v>
      </c>
      <c r="BI2168">
        <v>26</v>
      </c>
      <c r="BJ2168">
        <v>28</v>
      </c>
      <c r="BK2168">
        <v>26</v>
      </c>
      <c r="BP2168" s="184"/>
    </row>
    <row r="2169" spans="1:68">
      <c r="A2169">
        <v>100069091</v>
      </c>
      <c r="B2169">
        <v>26180034</v>
      </c>
      <c r="C2169" t="s">
        <v>7018</v>
      </c>
      <c r="E2169" s="184"/>
      <c r="G2169" s="184"/>
      <c r="I2169" s="184"/>
      <c r="J2169" t="s">
        <v>595</v>
      </c>
      <c r="K2169" s="184">
        <v>37438</v>
      </c>
      <c r="M2169" s="184"/>
      <c r="O2169" s="184"/>
      <c r="P2169" t="s">
        <v>7029</v>
      </c>
      <c r="Q2169" t="s">
        <v>7020</v>
      </c>
      <c r="R2169" s="184">
        <v>15832</v>
      </c>
      <c r="S2169">
        <v>81</v>
      </c>
      <c r="U2169" t="s">
        <v>7076</v>
      </c>
      <c r="V2169" t="s">
        <v>3565</v>
      </c>
      <c r="X2169" t="s">
        <v>5760</v>
      </c>
      <c r="Z2169">
        <v>26180034</v>
      </c>
      <c r="AA2169" t="s">
        <v>7031</v>
      </c>
      <c r="AB2169" t="s">
        <v>5035</v>
      </c>
      <c r="AD2169" t="s">
        <v>5762</v>
      </c>
      <c r="AF2169" t="s">
        <v>19302</v>
      </c>
      <c r="AG2169" t="s">
        <v>19303</v>
      </c>
      <c r="AI2169" t="s">
        <v>19304</v>
      </c>
      <c r="AM2169" t="s">
        <v>19305</v>
      </c>
      <c r="AN2169" t="s">
        <v>2052</v>
      </c>
      <c r="AO2169" t="s">
        <v>19306</v>
      </c>
      <c r="AP2169" t="s">
        <v>7024</v>
      </c>
      <c r="AT2169" s="184"/>
      <c r="AW2169" s="184"/>
      <c r="AZ2169" s="184"/>
      <c r="BP2169" s="184"/>
    </row>
    <row r="2170" spans="1:68">
      <c r="A2170">
        <v>26201046</v>
      </c>
      <c r="B2170">
        <v>26201046</v>
      </c>
      <c r="C2170" t="s">
        <v>7018</v>
      </c>
      <c r="D2170" t="s">
        <v>595</v>
      </c>
      <c r="E2170" s="184">
        <v>43955</v>
      </c>
      <c r="G2170" s="184"/>
      <c r="I2170" s="184"/>
      <c r="K2170" s="184"/>
      <c r="P2170" t="s">
        <v>7045</v>
      </c>
      <c r="Q2170" t="s">
        <v>7030</v>
      </c>
      <c r="R2170" s="184">
        <v>15008</v>
      </c>
      <c r="S2170">
        <v>83</v>
      </c>
      <c r="U2170" t="s">
        <v>7031</v>
      </c>
      <c r="V2170" t="s">
        <v>3141</v>
      </c>
      <c r="W2170" t="s">
        <v>4013</v>
      </c>
      <c r="X2170" t="s">
        <v>19309</v>
      </c>
      <c r="AF2170" t="s">
        <v>19310</v>
      </c>
      <c r="AG2170" t="s">
        <v>3141</v>
      </c>
      <c r="AI2170" t="s">
        <v>19311</v>
      </c>
      <c r="AM2170" t="s">
        <v>4344</v>
      </c>
      <c r="AN2170" t="s">
        <v>2089</v>
      </c>
      <c r="AO2170" t="s">
        <v>19312</v>
      </c>
      <c r="AP2170" t="s">
        <v>7024</v>
      </c>
      <c r="AT2170" s="184">
        <v>35628</v>
      </c>
      <c r="AU2170" t="s">
        <v>19313</v>
      </c>
      <c r="AV2170">
        <v>25</v>
      </c>
      <c r="AW2170" s="184">
        <v>43502</v>
      </c>
      <c r="AX2170" t="s">
        <v>19314</v>
      </c>
      <c r="AY2170">
        <v>50</v>
      </c>
      <c r="AZ2170" s="184">
        <v>41750</v>
      </c>
      <c r="BA2170" t="s">
        <v>19315</v>
      </c>
      <c r="BB2170">
        <v>55</v>
      </c>
      <c r="BC2170">
        <v>75</v>
      </c>
      <c r="BD2170">
        <v>1005</v>
      </c>
      <c r="BE2170">
        <v>1998</v>
      </c>
      <c r="BF2170">
        <v>28</v>
      </c>
      <c r="BI2170">
        <v>21</v>
      </c>
      <c r="BJ2170">
        <v>28</v>
      </c>
      <c r="BK2170">
        <v>20</v>
      </c>
      <c r="BP2170" s="184"/>
    </row>
    <row r="2171" spans="1:68">
      <c r="A2171">
        <v>26218750</v>
      </c>
      <c r="B2171">
        <v>26218750</v>
      </c>
      <c r="C2171" t="s">
        <v>7018</v>
      </c>
      <c r="D2171" t="s">
        <v>595</v>
      </c>
      <c r="E2171" s="184">
        <v>45153</v>
      </c>
      <c r="G2171" s="184"/>
      <c r="I2171" s="184"/>
      <c r="K2171" s="184"/>
      <c r="M2171" s="184"/>
      <c r="O2171" s="184"/>
      <c r="P2171" t="s">
        <v>7045</v>
      </c>
      <c r="Q2171" t="s">
        <v>7494</v>
      </c>
      <c r="R2171" s="184">
        <v>17008</v>
      </c>
      <c r="S2171">
        <v>77</v>
      </c>
      <c r="U2171" t="s">
        <v>7076</v>
      </c>
      <c r="V2171" t="s">
        <v>19316</v>
      </c>
      <c r="X2171" t="s">
        <v>3200</v>
      </c>
      <c r="AF2171" t="s">
        <v>19317</v>
      </c>
      <c r="AG2171" t="s">
        <v>19316</v>
      </c>
      <c r="AI2171" t="s">
        <v>19318</v>
      </c>
      <c r="AM2171" t="s">
        <v>2582</v>
      </c>
      <c r="AN2171" t="s">
        <v>2174</v>
      </c>
      <c r="AO2171" t="s">
        <v>19319</v>
      </c>
      <c r="AP2171" t="s">
        <v>7024</v>
      </c>
      <c r="AQ2171" t="s">
        <v>19320</v>
      </c>
      <c r="AT2171" s="184">
        <v>35629</v>
      </c>
      <c r="AU2171" t="s">
        <v>19321</v>
      </c>
      <c r="AV2171">
        <v>15</v>
      </c>
      <c r="AW2171" s="184">
        <v>44958</v>
      </c>
      <c r="AX2171" t="s">
        <v>19322</v>
      </c>
      <c r="AY2171">
        <v>5</v>
      </c>
      <c r="AZ2171" s="184">
        <v>35996</v>
      </c>
      <c r="BA2171" t="s">
        <v>19323</v>
      </c>
      <c r="BB2171">
        <v>25</v>
      </c>
      <c r="BC2171">
        <v>29</v>
      </c>
      <c r="BD2171">
        <v>140</v>
      </c>
      <c r="BE2171">
        <v>1998</v>
      </c>
      <c r="BF2171">
        <v>16</v>
      </c>
      <c r="BG2171">
        <v>3</v>
      </c>
      <c r="BH2171">
        <v>15</v>
      </c>
      <c r="BI2171">
        <v>8</v>
      </c>
      <c r="BJ2171">
        <v>28</v>
      </c>
      <c r="BK2171">
        <v>5</v>
      </c>
      <c r="BP2171" s="184"/>
    </row>
    <row r="2172" spans="1:68">
      <c r="A2172">
        <v>26241984</v>
      </c>
      <c r="B2172">
        <v>26241984</v>
      </c>
      <c r="C2172" t="s">
        <v>7018</v>
      </c>
      <c r="E2172" s="184"/>
      <c r="F2172" t="s">
        <v>595</v>
      </c>
      <c r="G2172" s="184">
        <v>43647</v>
      </c>
      <c r="I2172" s="184"/>
      <c r="K2172" s="184"/>
      <c r="M2172" s="184"/>
      <c r="O2172" s="184"/>
      <c r="P2172" t="s">
        <v>7045</v>
      </c>
      <c r="Q2172" t="s">
        <v>7030</v>
      </c>
      <c r="R2172" s="184">
        <v>19618</v>
      </c>
      <c r="S2172">
        <v>70</v>
      </c>
      <c r="U2172" t="s">
        <v>7076</v>
      </c>
      <c r="V2172" t="s">
        <v>3011</v>
      </c>
      <c r="W2172" t="s">
        <v>7407</v>
      </c>
      <c r="X2172" t="s">
        <v>3414</v>
      </c>
      <c r="AF2172" t="s">
        <v>19324</v>
      </c>
      <c r="AG2172" t="s">
        <v>3011</v>
      </c>
      <c r="AI2172" t="s">
        <v>19325</v>
      </c>
      <c r="AM2172" t="s">
        <v>3415</v>
      </c>
      <c r="AN2172" t="s">
        <v>2094</v>
      </c>
      <c r="AO2172" t="s">
        <v>19326</v>
      </c>
      <c r="AP2172" t="s">
        <v>7024</v>
      </c>
      <c r="AT2172" s="184">
        <v>35634</v>
      </c>
      <c r="AU2172" t="s">
        <v>19327</v>
      </c>
      <c r="AV2172">
        <v>15</v>
      </c>
      <c r="AW2172" s="184">
        <v>43979</v>
      </c>
      <c r="AX2172" t="s">
        <v>19328</v>
      </c>
      <c r="AY2172">
        <v>125</v>
      </c>
      <c r="AZ2172" s="184">
        <v>43979</v>
      </c>
      <c r="BA2172" t="s">
        <v>19328</v>
      </c>
      <c r="BB2172">
        <v>125</v>
      </c>
      <c r="BC2172">
        <v>86</v>
      </c>
      <c r="BD2172">
        <v>1230</v>
      </c>
      <c r="BE2172">
        <v>1998</v>
      </c>
      <c r="BF2172">
        <v>28</v>
      </c>
      <c r="BI2172">
        <v>24</v>
      </c>
      <c r="BJ2172">
        <v>28</v>
      </c>
      <c r="BK2172">
        <v>24</v>
      </c>
      <c r="BP2172" s="184"/>
    </row>
    <row r="2173" spans="1:68">
      <c r="A2173">
        <v>26254474</v>
      </c>
      <c r="B2173">
        <v>26254474</v>
      </c>
      <c r="C2173" t="s">
        <v>7018</v>
      </c>
      <c r="E2173" s="184"/>
      <c r="G2173" s="184"/>
      <c r="I2173" s="184"/>
      <c r="J2173" t="s">
        <v>595</v>
      </c>
      <c r="K2173" s="184">
        <v>44119</v>
      </c>
      <c r="M2173" s="184"/>
      <c r="P2173" t="s">
        <v>7045</v>
      </c>
      <c r="Q2173" t="s">
        <v>7194</v>
      </c>
      <c r="R2173" s="184">
        <v>16985</v>
      </c>
      <c r="S2173">
        <v>77</v>
      </c>
      <c r="V2173" t="s">
        <v>5495</v>
      </c>
      <c r="X2173" t="s">
        <v>2706</v>
      </c>
      <c r="AF2173" t="s">
        <v>19329</v>
      </c>
      <c r="AG2173" t="s">
        <v>5495</v>
      </c>
      <c r="AI2173" t="s">
        <v>19330</v>
      </c>
      <c r="AM2173" t="s">
        <v>2513</v>
      </c>
      <c r="AN2173" t="s">
        <v>2046</v>
      </c>
      <c r="AO2173" t="s">
        <v>19331</v>
      </c>
      <c r="AP2173" t="s">
        <v>7024</v>
      </c>
      <c r="AQ2173" t="s">
        <v>19332</v>
      </c>
      <c r="AR2173" t="s">
        <v>19333</v>
      </c>
      <c r="AT2173" s="184">
        <v>35639</v>
      </c>
      <c r="AU2173" t="s">
        <v>18548</v>
      </c>
      <c r="AV2173">
        <v>15</v>
      </c>
      <c r="AW2173" s="184">
        <v>45195</v>
      </c>
      <c r="AX2173" t="s">
        <v>9461</v>
      </c>
      <c r="AY2173">
        <v>100</v>
      </c>
      <c r="AZ2173" s="184">
        <v>45195</v>
      </c>
      <c r="BA2173" t="s">
        <v>9461</v>
      </c>
      <c r="BB2173">
        <v>100</v>
      </c>
      <c r="BC2173">
        <v>90</v>
      </c>
      <c r="BD2173">
        <v>1410</v>
      </c>
      <c r="BE2173">
        <v>1998</v>
      </c>
      <c r="BF2173">
        <v>31</v>
      </c>
      <c r="BG2173">
        <v>2</v>
      </c>
      <c r="BH2173">
        <v>200</v>
      </c>
      <c r="BI2173">
        <v>25</v>
      </c>
      <c r="BJ2173">
        <v>28</v>
      </c>
      <c r="BK2173">
        <v>13</v>
      </c>
      <c r="BP2173" s="184"/>
    </row>
    <row r="2174" spans="1:68">
      <c r="A2174">
        <v>26283283</v>
      </c>
      <c r="B2174">
        <v>26283283</v>
      </c>
      <c r="C2174" t="s">
        <v>7018</v>
      </c>
      <c r="D2174" t="s">
        <v>595</v>
      </c>
      <c r="E2174" s="184">
        <v>44419</v>
      </c>
      <c r="G2174" s="184"/>
      <c r="I2174" s="184"/>
      <c r="K2174" s="184"/>
      <c r="M2174" s="184"/>
      <c r="O2174" s="184"/>
      <c r="P2174" t="s">
        <v>7045</v>
      </c>
      <c r="Q2174" t="s">
        <v>7262</v>
      </c>
      <c r="R2174" s="184">
        <v>12994</v>
      </c>
      <c r="S2174">
        <v>88</v>
      </c>
      <c r="U2174" t="s">
        <v>7031</v>
      </c>
      <c r="V2174" t="s">
        <v>19334</v>
      </c>
      <c r="X2174" t="s">
        <v>19335</v>
      </c>
      <c r="AF2174" t="s">
        <v>19336</v>
      </c>
      <c r="AG2174" t="s">
        <v>19334</v>
      </c>
      <c r="AI2174" t="s">
        <v>19337</v>
      </c>
      <c r="AM2174" t="s">
        <v>19338</v>
      </c>
      <c r="AN2174" t="s">
        <v>2069</v>
      </c>
      <c r="AO2174" t="s">
        <v>19339</v>
      </c>
      <c r="AP2174" t="s">
        <v>7024</v>
      </c>
      <c r="AQ2174" t="s">
        <v>19340</v>
      </c>
      <c r="AT2174" s="184">
        <v>35636</v>
      </c>
      <c r="AU2174" t="s">
        <v>19341</v>
      </c>
      <c r="AV2174">
        <v>25</v>
      </c>
      <c r="AW2174" s="184">
        <v>44824</v>
      </c>
      <c r="AX2174" t="s">
        <v>13391</v>
      </c>
      <c r="AY2174">
        <v>35</v>
      </c>
      <c r="AZ2174" s="184">
        <v>43703</v>
      </c>
      <c r="BA2174" t="s">
        <v>19342</v>
      </c>
      <c r="BB2174">
        <v>40</v>
      </c>
      <c r="BC2174">
        <v>25</v>
      </c>
      <c r="BD2174">
        <v>290</v>
      </c>
      <c r="BE2174">
        <v>1998</v>
      </c>
      <c r="BF2174">
        <v>10</v>
      </c>
      <c r="BG2174">
        <v>2</v>
      </c>
      <c r="BH2174">
        <v>70</v>
      </c>
      <c r="BI2174">
        <v>7</v>
      </c>
      <c r="BJ2174">
        <v>28</v>
      </c>
      <c r="BK2174">
        <v>3</v>
      </c>
      <c r="BP2174" s="184"/>
    </row>
    <row r="2175" spans="1:68">
      <c r="A2175">
        <v>26294744</v>
      </c>
      <c r="B2175">
        <v>26294744</v>
      </c>
      <c r="C2175" t="s">
        <v>7018</v>
      </c>
      <c r="D2175" t="s">
        <v>595</v>
      </c>
      <c r="E2175" s="184">
        <v>43642</v>
      </c>
      <c r="G2175" s="184"/>
      <c r="I2175" s="184"/>
      <c r="K2175" s="184"/>
      <c r="M2175" s="184"/>
      <c r="O2175" s="184"/>
      <c r="P2175" t="s">
        <v>7045</v>
      </c>
      <c r="Q2175" t="s">
        <v>7383</v>
      </c>
      <c r="R2175" s="184">
        <v>18629</v>
      </c>
      <c r="S2175">
        <v>73</v>
      </c>
      <c r="U2175" t="s">
        <v>7031</v>
      </c>
      <c r="V2175" t="s">
        <v>2889</v>
      </c>
      <c r="W2175" t="s">
        <v>2058</v>
      </c>
      <c r="X2175" t="s">
        <v>3282</v>
      </c>
      <c r="AF2175" t="s">
        <v>19343</v>
      </c>
      <c r="AG2175" t="s">
        <v>2889</v>
      </c>
      <c r="AI2175" t="s">
        <v>19344</v>
      </c>
      <c r="AM2175" t="s">
        <v>3082</v>
      </c>
      <c r="AN2175" t="s">
        <v>2313</v>
      </c>
      <c r="AO2175" t="s">
        <v>19345</v>
      </c>
      <c r="AP2175" t="s">
        <v>7024</v>
      </c>
      <c r="AQ2175" t="s">
        <v>19346</v>
      </c>
      <c r="AT2175" s="184">
        <v>35640</v>
      </c>
      <c r="AU2175" t="s">
        <v>19347</v>
      </c>
      <c r="AV2175">
        <v>10</v>
      </c>
      <c r="AW2175" s="184">
        <v>45258</v>
      </c>
      <c r="AX2175" t="s">
        <v>8836</v>
      </c>
      <c r="AY2175">
        <v>26.25</v>
      </c>
      <c r="AZ2175" s="184">
        <v>45258</v>
      </c>
      <c r="BA2175" t="s">
        <v>8836</v>
      </c>
      <c r="BB2175">
        <v>26.25</v>
      </c>
      <c r="BC2175">
        <v>29</v>
      </c>
      <c r="BD2175">
        <v>572.5</v>
      </c>
      <c r="BE2175">
        <v>1998</v>
      </c>
      <c r="BF2175">
        <v>24</v>
      </c>
      <c r="BG2175">
        <v>5</v>
      </c>
      <c r="BH2175">
        <v>127.5</v>
      </c>
      <c r="BI2175">
        <v>8</v>
      </c>
      <c r="BJ2175">
        <v>28</v>
      </c>
      <c r="BK2175">
        <v>7</v>
      </c>
      <c r="BP2175" s="184"/>
    </row>
    <row r="2176" spans="1:68">
      <c r="A2176">
        <v>26330092</v>
      </c>
      <c r="B2176">
        <v>26330092</v>
      </c>
      <c r="C2176" t="s">
        <v>7018</v>
      </c>
      <c r="D2176" t="s">
        <v>595</v>
      </c>
      <c r="E2176" s="184">
        <v>44167</v>
      </c>
      <c r="G2176" s="184"/>
      <c r="I2176" s="184"/>
      <c r="K2176" s="184"/>
      <c r="M2176" s="184"/>
      <c r="P2176" t="s">
        <v>7045</v>
      </c>
      <c r="Q2176" t="s">
        <v>7374</v>
      </c>
      <c r="R2176" s="184">
        <v>13455</v>
      </c>
      <c r="S2176">
        <v>87</v>
      </c>
      <c r="U2176" t="s">
        <v>7076</v>
      </c>
      <c r="V2176" t="s">
        <v>19348</v>
      </c>
      <c r="X2176" t="s">
        <v>19349</v>
      </c>
      <c r="AF2176" t="s">
        <v>19350</v>
      </c>
      <c r="AG2176" t="s">
        <v>19348</v>
      </c>
      <c r="AI2176" t="s">
        <v>19351</v>
      </c>
      <c r="AM2176" t="s">
        <v>19352</v>
      </c>
      <c r="AN2176" t="s">
        <v>2081</v>
      </c>
      <c r="AO2176" t="s">
        <v>19353</v>
      </c>
      <c r="AP2176" t="s">
        <v>7024</v>
      </c>
      <c r="AQ2176" t="s">
        <v>19354</v>
      </c>
      <c r="AR2176" t="s">
        <v>19355</v>
      </c>
      <c r="AT2176" s="184">
        <v>35641</v>
      </c>
      <c r="AU2176" t="s">
        <v>19356</v>
      </c>
      <c r="AV2176">
        <v>25</v>
      </c>
      <c r="AW2176" s="184">
        <v>41003</v>
      </c>
      <c r="AX2176" t="s">
        <v>19357</v>
      </c>
      <c r="AY2176">
        <v>35</v>
      </c>
      <c r="AZ2176" s="184">
        <v>38453</v>
      </c>
      <c r="BA2176" t="s">
        <v>19358</v>
      </c>
      <c r="BB2176">
        <v>45</v>
      </c>
      <c r="BC2176">
        <v>40</v>
      </c>
      <c r="BD2176">
        <v>485</v>
      </c>
      <c r="BE2176">
        <v>1998</v>
      </c>
      <c r="BF2176">
        <v>17</v>
      </c>
      <c r="BI2176">
        <v>11</v>
      </c>
      <c r="BJ2176">
        <v>28</v>
      </c>
      <c r="BK2176">
        <v>6</v>
      </c>
      <c r="BN2176" t="s">
        <v>595</v>
      </c>
      <c r="BP2176" s="184"/>
    </row>
    <row r="2177" spans="1:68">
      <c r="A2177">
        <v>26331223</v>
      </c>
      <c r="B2177">
        <v>26331223</v>
      </c>
      <c r="C2177" t="s">
        <v>7018</v>
      </c>
      <c r="D2177" t="s">
        <v>595</v>
      </c>
      <c r="E2177" s="184">
        <v>44073</v>
      </c>
      <c r="G2177" s="184"/>
      <c r="I2177" s="184"/>
      <c r="K2177" s="184"/>
      <c r="M2177" s="184"/>
      <c r="P2177" t="s">
        <v>7045</v>
      </c>
      <c r="Q2177" t="s">
        <v>7020</v>
      </c>
      <c r="R2177" s="184">
        <v>19299</v>
      </c>
      <c r="S2177">
        <v>71</v>
      </c>
      <c r="U2177" t="s">
        <v>7031</v>
      </c>
      <c r="V2177" t="s">
        <v>3663</v>
      </c>
      <c r="W2177" t="s">
        <v>7384</v>
      </c>
      <c r="X2177" t="s">
        <v>2706</v>
      </c>
      <c r="AF2177" t="s">
        <v>19359</v>
      </c>
      <c r="AG2177" t="s">
        <v>3663</v>
      </c>
      <c r="AI2177" t="s">
        <v>19360</v>
      </c>
      <c r="AM2177" t="s">
        <v>19361</v>
      </c>
      <c r="AN2177" t="s">
        <v>2129</v>
      </c>
      <c r="AO2177" t="s">
        <v>19362</v>
      </c>
      <c r="AP2177" t="s">
        <v>7024</v>
      </c>
      <c r="AQ2177" t="s">
        <v>19363</v>
      </c>
      <c r="AR2177" t="s">
        <v>19364</v>
      </c>
      <c r="AT2177" s="184">
        <v>35641</v>
      </c>
      <c r="AU2177" t="s">
        <v>19365</v>
      </c>
      <c r="AV2177">
        <v>20</v>
      </c>
      <c r="AW2177" s="184">
        <v>44355</v>
      </c>
      <c r="AX2177" t="s">
        <v>19366</v>
      </c>
      <c r="AY2177">
        <v>80</v>
      </c>
      <c r="AZ2177" s="184">
        <v>42830</v>
      </c>
      <c r="BA2177" t="s">
        <v>19367</v>
      </c>
      <c r="BB2177">
        <v>120</v>
      </c>
      <c r="BC2177">
        <v>86</v>
      </c>
      <c r="BD2177">
        <v>4215</v>
      </c>
      <c r="BE2177">
        <v>1998</v>
      </c>
      <c r="BF2177">
        <v>108</v>
      </c>
      <c r="BI2177">
        <v>24</v>
      </c>
      <c r="BJ2177">
        <v>28</v>
      </c>
      <c r="BK2177">
        <v>21</v>
      </c>
      <c r="BP2177" s="184"/>
    </row>
    <row r="2178" spans="1:68">
      <c r="A2178">
        <v>26343939</v>
      </c>
      <c r="B2178">
        <v>26343939</v>
      </c>
      <c r="C2178" t="s">
        <v>7018</v>
      </c>
      <c r="E2178" s="184"/>
      <c r="G2178" s="184"/>
      <c r="I2178" s="184"/>
      <c r="J2178" t="s">
        <v>595</v>
      </c>
      <c r="K2178" s="184">
        <v>42522</v>
      </c>
      <c r="O2178" s="184"/>
      <c r="P2178" t="s">
        <v>7045</v>
      </c>
      <c r="Q2178" t="s">
        <v>7374</v>
      </c>
      <c r="R2178" s="184">
        <v>16398</v>
      </c>
      <c r="S2178">
        <v>79</v>
      </c>
      <c r="U2178" t="s">
        <v>7130</v>
      </c>
      <c r="V2178" t="s">
        <v>5670</v>
      </c>
      <c r="W2178" t="s">
        <v>7407</v>
      </c>
      <c r="X2178" t="s">
        <v>2999</v>
      </c>
      <c r="AF2178" t="s">
        <v>19368</v>
      </c>
      <c r="AG2178" t="s">
        <v>5670</v>
      </c>
      <c r="AI2178" t="s">
        <v>19369</v>
      </c>
      <c r="AM2178" t="s">
        <v>17336</v>
      </c>
      <c r="AN2178" t="s">
        <v>2081</v>
      </c>
      <c r="AO2178" t="s">
        <v>19370</v>
      </c>
      <c r="AP2178" t="s">
        <v>7024</v>
      </c>
      <c r="AQ2178" t="s">
        <v>19371</v>
      </c>
      <c r="AT2178" s="184">
        <v>35641</v>
      </c>
      <c r="AU2178" t="s">
        <v>19372</v>
      </c>
      <c r="AV2178">
        <v>10</v>
      </c>
      <c r="AW2178" s="184">
        <v>45426</v>
      </c>
      <c r="AX2178" t="s">
        <v>7422</v>
      </c>
      <c r="AY2178">
        <v>8</v>
      </c>
      <c r="AZ2178" s="184">
        <v>41878</v>
      </c>
      <c r="BA2178" t="s">
        <v>19373</v>
      </c>
      <c r="BB2178">
        <v>130</v>
      </c>
      <c r="BC2178">
        <v>54</v>
      </c>
      <c r="BD2178">
        <v>2733.16</v>
      </c>
      <c r="BE2178">
        <v>1998</v>
      </c>
      <c r="BF2178">
        <v>120</v>
      </c>
      <c r="BG2178">
        <v>27</v>
      </c>
      <c r="BH2178">
        <v>484</v>
      </c>
      <c r="BI2178">
        <v>15</v>
      </c>
      <c r="BJ2178">
        <v>28</v>
      </c>
      <c r="BK2178">
        <v>9</v>
      </c>
      <c r="BP2178" s="184"/>
    </row>
    <row r="2179" spans="1:68">
      <c r="A2179">
        <v>26372482</v>
      </c>
      <c r="B2179">
        <v>26372482</v>
      </c>
      <c r="C2179" t="s">
        <v>7018</v>
      </c>
      <c r="D2179" t="s">
        <v>595</v>
      </c>
      <c r="E2179" s="184">
        <v>43620</v>
      </c>
      <c r="G2179" s="184"/>
      <c r="I2179" s="184"/>
      <c r="K2179" s="184"/>
      <c r="O2179" s="184"/>
      <c r="P2179" t="s">
        <v>7045</v>
      </c>
      <c r="Q2179" t="s">
        <v>7262</v>
      </c>
      <c r="R2179" s="184">
        <v>18718</v>
      </c>
      <c r="S2179">
        <v>73</v>
      </c>
      <c r="V2179" t="s">
        <v>2832</v>
      </c>
      <c r="X2179" t="s">
        <v>2914</v>
      </c>
      <c r="AF2179" t="s">
        <v>19374</v>
      </c>
      <c r="AG2179" t="s">
        <v>2832</v>
      </c>
      <c r="AI2179" t="s">
        <v>19375</v>
      </c>
      <c r="AM2179" t="s">
        <v>19376</v>
      </c>
      <c r="AN2179" t="s">
        <v>2106</v>
      </c>
      <c r="AO2179" t="s">
        <v>19377</v>
      </c>
      <c r="AP2179" t="s">
        <v>7024</v>
      </c>
      <c r="AT2179" s="184">
        <v>35643</v>
      </c>
      <c r="AU2179" t="s">
        <v>19378</v>
      </c>
      <c r="AV2179">
        <v>50</v>
      </c>
      <c r="AW2179" s="184">
        <v>42870</v>
      </c>
      <c r="AX2179" t="s">
        <v>19379</v>
      </c>
      <c r="AY2179">
        <v>35</v>
      </c>
      <c r="AZ2179" s="184">
        <v>36469</v>
      </c>
      <c r="BA2179" t="s">
        <v>19380</v>
      </c>
      <c r="BB2179">
        <v>340</v>
      </c>
      <c r="BC2179">
        <v>25</v>
      </c>
      <c r="BD2179">
        <v>1935</v>
      </c>
      <c r="BE2179">
        <v>1998</v>
      </c>
      <c r="BF2179">
        <v>16</v>
      </c>
      <c r="BI2179">
        <v>7</v>
      </c>
      <c r="BJ2179">
        <v>28</v>
      </c>
      <c r="BK2179">
        <v>4</v>
      </c>
      <c r="BP2179" s="184"/>
    </row>
    <row r="2180" spans="1:68">
      <c r="A2180">
        <v>26461863</v>
      </c>
      <c r="B2180">
        <v>26461863</v>
      </c>
      <c r="C2180" t="s">
        <v>7018</v>
      </c>
      <c r="E2180" s="184"/>
      <c r="G2180" s="184"/>
      <c r="I2180" s="184"/>
      <c r="J2180" t="s">
        <v>595</v>
      </c>
      <c r="K2180" s="184"/>
      <c r="O2180" s="184"/>
      <c r="Q2180" t="s">
        <v>7374</v>
      </c>
      <c r="R2180" s="184"/>
      <c r="U2180" t="s">
        <v>7076</v>
      </c>
      <c r="V2180" t="s">
        <v>3919</v>
      </c>
      <c r="X2180" t="s">
        <v>2570</v>
      </c>
      <c r="AF2180" t="s">
        <v>6795</v>
      </c>
      <c r="AG2180" t="s">
        <v>3919</v>
      </c>
      <c r="AI2180" t="s">
        <v>19381</v>
      </c>
      <c r="AM2180" t="s">
        <v>4446</v>
      </c>
      <c r="AN2180" t="s">
        <v>2081</v>
      </c>
      <c r="AO2180" t="s">
        <v>19382</v>
      </c>
      <c r="AP2180" t="s">
        <v>7024</v>
      </c>
      <c r="AT2180" s="184"/>
      <c r="AW2180" s="184"/>
      <c r="AZ2180" s="184"/>
      <c r="BP2180" s="184"/>
    </row>
    <row r="2181" spans="1:68">
      <c r="A2181">
        <v>26461889</v>
      </c>
      <c r="B2181">
        <v>26461889</v>
      </c>
      <c r="C2181" t="s">
        <v>7018</v>
      </c>
      <c r="E2181" s="184"/>
      <c r="G2181" s="184"/>
      <c r="I2181" s="184"/>
      <c r="J2181" t="s">
        <v>595</v>
      </c>
      <c r="K2181" s="184"/>
      <c r="M2181" s="184"/>
      <c r="O2181" s="184"/>
      <c r="P2181" t="s">
        <v>8550</v>
      </c>
      <c r="Q2181" t="s">
        <v>7383</v>
      </c>
      <c r="R2181" s="184"/>
      <c r="V2181" t="s">
        <v>2511</v>
      </c>
      <c r="W2181" t="s">
        <v>3332</v>
      </c>
      <c r="X2181" t="s">
        <v>19383</v>
      </c>
      <c r="AF2181" t="s">
        <v>6787</v>
      </c>
      <c r="AG2181" t="s">
        <v>2511</v>
      </c>
      <c r="AI2181" t="s">
        <v>19384</v>
      </c>
      <c r="AJ2181" t="s">
        <v>19385</v>
      </c>
      <c r="AM2181" t="s">
        <v>3815</v>
      </c>
      <c r="AN2181" t="s">
        <v>2059</v>
      </c>
      <c r="AO2181">
        <v>45202</v>
      </c>
      <c r="AP2181" t="s">
        <v>7024</v>
      </c>
      <c r="AT2181" s="184"/>
      <c r="AW2181" s="184"/>
      <c r="AZ2181" s="184"/>
      <c r="BP2181" s="184"/>
    </row>
    <row r="2182" spans="1:68">
      <c r="A2182">
        <v>26461913</v>
      </c>
      <c r="B2182">
        <v>26461913</v>
      </c>
      <c r="C2182" t="s">
        <v>7018</v>
      </c>
      <c r="E2182" s="184"/>
      <c r="G2182" s="184"/>
      <c r="I2182" s="184"/>
      <c r="J2182" t="s">
        <v>595</v>
      </c>
      <c r="K2182" s="184">
        <v>37438</v>
      </c>
      <c r="P2182" t="s">
        <v>7045</v>
      </c>
      <c r="Q2182" t="s">
        <v>7194</v>
      </c>
      <c r="R2182" s="184"/>
      <c r="U2182" t="s">
        <v>7076</v>
      </c>
      <c r="V2182" t="s">
        <v>3801</v>
      </c>
      <c r="W2182" t="s">
        <v>7107</v>
      </c>
      <c r="X2182" t="s">
        <v>3277</v>
      </c>
      <c r="AF2182" t="s">
        <v>6718</v>
      </c>
      <c r="AG2182" t="s">
        <v>3801</v>
      </c>
      <c r="AI2182" t="s">
        <v>19386</v>
      </c>
      <c r="AJ2182" t="s">
        <v>19387</v>
      </c>
      <c r="AM2182" t="s">
        <v>19388</v>
      </c>
      <c r="AN2182" t="s">
        <v>2046</v>
      </c>
      <c r="AO2182" t="s">
        <v>19389</v>
      </c>
      <c r="AP2182" t="s">
        <v>7024</v>
      </c>
      <c r="AT2182" s="184">
        <v>32812</v>
      </c>
      <c r="AU2182" t="s">
        <v>19390</v>
      </c>
      <c r="AV2182">
        <v>15</v>
      </c>
      <c r="AW2182" s="184">
        <v>39504</v>
      </c>
      <c r="AX2182" t="s">
        <v>11426</v>
      </c>
      <c r="AY2182">
        <v>35</v>
      </c>
      <c r="AZ2182" s="184">
        <v>39504</v>
      </c>
      <c r="BA2182" t="s">
        <v>11426</v>
      </c>
      <c r="BB2182">
        <v>35</v>
      </c>
      <c r="BC2182">
        <v>6</v>
      </c>
      <c r="BD2182">
        <v>50</v>
      </c>
      <c r="BE2182">
        <v>1990</v>
      </c>
      <c r="BF2182">
        <v>2</v>
      </c>
      <c r="BI2182">
        <v>2</v>
      </c>
      <c r="BJ2182">
        <v>36</v>
      </c>
      <c r="BK2182">
        <v>1</v>
      </c>
      <c r="BP2182" s="184"/>
    </row>
    <row r="2183" spans="1:68">
      <c r="A2183">
        <v>26499319</v>
      </c>
      <c r="B2183">
        <v>26499319</v>
      </c>
      <c r="C2183" t="s">
        <v>7018</v>
      </c>
      <c r="E2183" s="184"/>
      <c r="G2183" s="184"/>
      <c r="I2183" s="184"/>
      <c r="J2183" t="s">
        <v>595</v>
      </c>
      <c r="K2183" s="184">
        <v>44167</v>
      </c>
      <c r="M2183" s="184"/>
      <c r="O2183" s="184"/>
      <c r="P2183" t="s">
        <v>7045</v>
      </c>
      <c r="Q2183" t="s">
        <v>7262</v>
      </c>
      <c r="R2183" s="184">
        <v>16326</v>
      </c>
      <c r="S2183">
        <v>79</v>
      </c>
      <c r="V2183" t="s">
        <v>2733</v>
      </c>
      <c r="X2183" t="s">
        <v>3661</v>
      </c>
      <c r="AF2183" t="s">
        <v>19391</v>
      </c>
      <c r="AG2183" t="s">
        <v>2733</v>
      </c>
      <c r="AI2183" t="s">
        <v>19392</v>
      </c>
      <c r="AM2183" t="s">
        <v>4126</v>
      </c>
      <c r="AN2183" t="s">
        <v>2069</v>
      </c>
      <c r="AO2183" t="s">
        <v>19393</v>
      </c>
      <c r="AP2183" t="s">
        <v>7024</v>
      </c>
      <c r="AQ2183" t="s">
        <v>19394</v>
      </c>
      <c r="AT2183" s="184">
        <v>35660</v>
      </c>
      <c r="AU2183" t="s">
        <v>19395</v>
      </c>
      <c r="AV2183">
        <v>10</v>
      </c>
      <c r="AW2183" s="184">
        <v>44523</v>
      </c>
      <c r="AX2183" t="s">
        <v>19396</v>
      </c>
      <c r="AY2183">
        <v>10</v>
      </c>
      <c r="AZ2183" s="184">
        <v>41340</v>
      </c>
      <c r="BA2183" t="s">
        <v>19397</v>
      </c>
      <c r="BB2183">
        <v>25</v>
      </c>
      <c r="BC2183">
        <v>61</v>
      </c>
      <c r="BD2183">
        <v>327</v>
      </c>
      <c r="BE2183">
        <v>1998</v>
      </c>
      <c r="BF2183">
        <v>23</v>
      </c>
      <c r="BI2183">
        <v>17</v>
      </c>
      <c r="BJ2183">
        <v>28</v>
      </c>
      <c r="BK2183">
        <v>5</v>
      </c>
      <c r="BP2183" s="184"/>
    </row>
    <row r="2184" spans="1:68">
      <c r="A2184">
        <v>26501023</v>
      </c>
      <c r="B2184">
        <v>26501023</v>
      </c>
      <c r="C2184" t="s">
        <v>7018</v>
      </c>
      <c r="E2184" s="184"/>
      <c r="G2184" s="184"/>
      <c r="I2184" s="184"/>
      <c r="J2184" t="s">
        <v>595</v>
      </c>
      <c r="K2184" s="184">
        <v>40442</v>
      </c>
      <c r="O2184" s="184"/>
      <c r="P2184" t="s">
        <v>7686</v>
      </c>
      <c r="Q2184" t="s">
        <v>7454</v>
      </c>
      <c r="R2184" s="184">
        <v>8827</v>
      </c>
      <c r="S2184">
        <v>100</v>
      </c>
      <c r="U2184" t="s">
        <v>7031</v>
      </c>
      <c r="V2184" t="s">
        <v>5414</v>
      </c>
      <c r="X2184" t="s">
        <v>19398</v>
      </c>
      <c r="AF2184" t="s">
        <v>6559</v>
      </c>
      <c r="AG2184" t="s">
        <v>5414</v>
      </c>
      <c r="AI2184" t="s">
        <v>19399</v>
      </c>
      <c r="AM2184" t="s">
        <v>2608</v>
      </c>
      <c r="AN2184" t="s">
        <v>2299</v>
      </c>
      <c r="AO2184" t="s">
        <v>11524</v>
      </c>
      <c r="AP2184" t="s">
        <v>7024</v>
      </c>
      <c r="AT2184" s="184">
        <v>35660</v>
      </c>
      <c r="AU2184" t="s">
        <v>19400</v>
      </c>
      <c r="AV2184">
        <v>5</v>
      </c>
      <c r="AW2184" s="184">
        <v>44620</v>
      </c>
      <c r="AX2184" t="s">
        <v>7093</v>
      </c>
      <c r="AY2184">
        <v>5000</v>
      </c>
      <c r="AZ2184" s="184">
        <v>44620</v>
      </c>
      <c r="BA2184" t="s">
        <v>7093</v>
      </c>
      <c r="BB2184">
        <v>5000</v>
      </c>
      <c r="BC2184">
        <v>61</v>
      </c>
      <c r="BD2184">
        <v>5614</v>
      </c>
      <c r="BE2184">
        <v>1998</v>
      </c>
      <c r="BF2184">
        <v>56</v>
      </c>
      <c r="BI2184">
        <v>17</v>
      </c>
      <c r="BJ2184">
        <v>28</v>
      </c>
      <c r="BK2184">
        <v>15</v>
      </c>
      <c r="BM2184" t="s">
        <v>595</v>
      </c>
      <c r="BO2184" t="s">
        <v>595</v>
      </c>
      <c r="BP2184" s="184">
        <v>44197</v>
      </c>
    </row>
    <row r="2185" spans="1:68">
      <c r="A2185">
        <v>26515536</v>
      </c>
      <c r="B2185">
        <v>26515536</v>
      </c>
      <c r="C2185" t="s">
        <v>7018</v>
      </c>
      <c r="D2185" t="s">
        <v>595</v>
      </c>
      <c r="E2185" s="184">
        <v>45195</v>
      </c>
      <c r="G2185" s="184"/>
      <c r="I2185" s="184"/>
      <c r="K2185" s="184"/>
      <c r="M2185" s="184"/>
      <c r="P2185" t="s">
        <v>7045</v>
      </c>
      <c r="Q2185" t="s">
        <v>7383</v>
      </c>
      <c r="R2185" s="184">
        <v>25056</v>
      </c>
      <c r="S2185">
        <v>55</v>
      </c>
      <c r="U2185" t="s">
        <v>7076</v>
      </c>
      <c r="V2185" t="s">
        <v>2671</v>
      </c>
      <c r="X2185" t="s">
        <v>19401</v>
      </c>
      <c r="AF2185" t="s">
        <v>19402</v>
      </c>
      <c r="AG2185" t="s">
        <v>2671</v>
      </c>
      <c r="AI2185" t="s">
        <v>19403</v>
      </c>
      <c r="AM2185" t="s">
        <v>19404</v>
      </c>
      <c r="AN2185" t="s">
        <v>2059</v>
      </c>
      <c r="AO2185" t="s">
        <v>19405</v>
      </c>
      <c r="AP2185" t="s">
        <v>7024</v>
      </c>
      <c r="AT2185" s="184">
        <v>35662</v>
      </c>
      <c r="AU2185" t="s">
        <v>19406</v>
      </c>
      <c r="AV2185">
        <v>20</v>
      </c>
      <c r="AW2185" s="184">
        <v>45265</v>
      </c>
      <c r="AX2185" t="s">
        <v>19407</v>
      </c>
      <c r="AY2185">
        <v>150</v>
      </c>
      <c r="AZ2185" s="184">
        <v>45265</v>
      </c>
      <c r="BA2185" t="s">
        <v>19407</v>
      </c>
      <c r="BB2185">
        <v>150</v>
      </c>
      <c r="BC2185">
        <v>47</v>
      </c>
      <c r="BD2185">
        <v>550</v>
      </c>
      <c r="BE2185">
        <v>1998</v>
      </c>
      <c r="BF2185">
        <v>19</v>
      </c>
      <c r="BG2185">
        <v>1</v>
      </c>
      <c r="BH2185">
        <v>150</v>
      </c>
      <c r="BI2185">
        <v>13</v>
      </c>
      <c r="BJ2185">
        <v>28</v>
      </c>
      <c r="BK2185">
        <v>6</v>
      </c>
      <c r="BP2185" s="184"/>
    </row>
    <row r="2186" spans="1:68">
      <c r="A2186">
        <v>26525659</v>
      </c>
      <c r="B2186">
        <v>26525659</v>
      </c>
      <c r="C2186" t="s">
        <v>7018</v>
      </c>
      <c r="E2186" s="184"/>
      <c r="G2186" s="184"/>
      <c r="I2186" s="184"/>
      <c r="J2186" t="s">
        <v>595</v>
      </c>
      <c r="K2186" s="184">
        <v>44073</v>
      </c>
      <c r="O2186" s="184"/>
      <c r="P2186" t="s">
        <v>7045</v>
      </c>
      <c r="Q2186" t="s">
        <v>7383</v>
      </c>
      <c r="R2186" s="184">
        <v>10531</v>
      </c>
      <c r="S2186">
        <v>95</v>
      </c>
      <c r="U2186" t="s">
        <v>7130</v>
      </c>
      <c r="V2186" t="s">
        <v>3722</v>
      </c>
      <c r="X2186" t="s">
        <v>19408</v>
      </c>
      <c r="AF2186" t="s">
        <v>19409</v>
      </c>
      <c r="AG2186" t="s">
        <v>3722</v>
      </c>
      <c r="AI2186" t="s">
        <v>19410</v>
      </c>
      <c r="AM2186" t="s">
        <v>16289</v>
      </c>
      <c r="AN2186" t="s">
        <v>2072</v>
      </c>
      <c r="AO2186" t="s">
        <v>19411</v>
      </c>
      <c r="AP2186" t="s">
        <v>7024</v>
      </c>
      <c r="AT2186" s="184">
        <v>35663</v>
      </c>
      <c r="AU2186" t="s">
        <v>19412</v>
      </c>
      <c r="AV2186">
        <v>10</v>
      </c>
      <c r="AW2186" s="184">
        <v>45315</v>
      </c>
      <c r="AX2186" t="s">
        <v>19413</v>
      </c>
      <c r="AY2186">
        <v>25</v>
      </c>
      <c r="AZ2186" s="184">
        <v>43483</v>
      </c>
      <c r="BA2186" t="s">
        <v>19414</v>
      </c>
      <c r="BB2186">
        <v>50</v>
      </c>
      <c r="BC2186">
        <v>100</v>
      </c>
      <c r="BD2186">
        <v>1450</v>
      </c>
      <c r="BE2186">
        <v>1998</v>
      </c>
      <c r="BF2186">
        <v>61</v>
      </c>
      <c r="BG2186">
        <v>5</v>
      </c>
      <c r="BH2186">
        <v>125</v>
      </c>
      <c r="BI2186">
        <v>28</v>
      </c>
      <c r="BJ2186">
        <v>28</v>
      </c>
      <c r="BK2186">
        <v>28</v>
      </c>
      <c r="BP2186" s="184"/>
    </row>
    <row r="2187" spans="1:68">
      <c r="A2187">
        <v>26562835</v>
      </c>
      <c r="B2187">
        <v>26562835</v>
      </c>
      <c r="C2187" t="s">
        <v>7018</v>
      </c>
      <c r="D2187" t="s">
        <v>595</v>
      </c>
      <c r="E2187" s="184">
        <v>43892</v>
      </c>
      <c r="G2187" s="184"/>
      <c r="I2187" s="184"/>
      <c r="K2187" s="184"/>
      <c r="M2187" s="184"/>
      <c r="O2187" s="184"/>
      <c r="P2187" t="s">
        <v>7045</v>
      </c>
      <c r="Q2187" t="s">
        <v>7262</v>
      </c>
      <c r="R2187" s="184">
        <v>18334</v>
      </c>
      <c r="S2187">
        <v>74</v>
      </c>
      <c r="U2187" t="s">
        <v>7031</v>
      </c>
      <c r="V2187" t="s">
        <v>5057</v>
      </c>
      <c r="X2187" t="s">
        <v>5506</v>
      </c>
      <c r="AF2187" t="s">
        <v>19415</v>
      </c>
      <c r="AG2187" t="s">
        <v>5057</v>
      </c>
      <c r="AI2187" t="s">
        <v>19416</v>
      </c>
      <c r="AM2187" t="s">
        <v>2656</v>
      </c>
      <c r="AN2187" t="s">
        <v>65</v>
      </c>
      <c r="AO2187" t="s">
        <v>19417</v>
      </c>
      <c r="AP2187" t="s">
        <v>7024</v>
      </c>
      <c r="AQ2187" t="s">
        <v>19418</v>
      </c>
      <c r="AT2187" s="184">
        <v>35671</v>
      </c>
      <c r="AU2187" t="s">
        <v>19419</v>
      </c>
      <c r="AV2187">
        <v>20</v>
      </c>
      <c r="AW2187" s="184">
        <v>45418</v>
      </c>
      <c r="AX2187" t="s">
        <v>7422</v>
      </c>
      <c r="AY2187">
        <v>10</v>
      </c>
      <c r="AZ2187" s="184">
        <v>44635</v>
      </c>
      <c r="BA2187" t="s">
        <v>19420</v>
      </c>
      <c r="BB2187">
        <v>100</v>
      </c>
      <c r="BC2187">
        <v>93</v>
      </c>
      <c r="BD2187">
        <v>1878</v>
      </c>
      <c r="BE2187">
        <v>1998</v>
      </c>
      <c r="BF2187">
        <v>79</v>
      </c>
      <c r="BG2187">
        <v>24</v>
      </c>
      <c r="BH2187">
        <v>255</v>
      </c>
      <c r="BI2187">
        <v>26</v>
      </c>
      <c r="BJ2187">
        <v>28</v>
      </c>
      <c r="BK2187">
        <v>19</v>
      </c>
      <c r="BP2187" s="184"/>
    </row>
    <row r="2188" spans="1:68">
      <c r="A2188">
        <v>26564880</v>
      </c>
      <c r="B2188">
        <v>26564880</v>
      </c>
      <c r="C2188" t="s">
        <v>7018</v>
      </c>
      <c r="E2188" s="184"/>
      <c r="F2188" t="s">
        <v>595</v>
      </c>
      <c r="G2188" s="184">
        <v>45132</v>
      </c>
      <c r="I2188" s="184"/>
      <c r="K2188" s="184"/>
      <c r="O2188" s="184"/>
      <c r="P2188" t="s">
        <v>7045</v>
      </c>
      <c r="Q2188" t="s">
        <v>7494</v>
      </c>
      <c r="R2188" s="184">
        <v>23501</v>
      </c>
      <c r="S2188">
        <v>60</v>
      </c>
      <c r="U2188" t="s">
        <v>7076</v>
      </c>
      <c r="V2188" t="s">
        <v>2586</v>
      </c>
      <c r="X2188" t="s">
        <v>19421</v>
      </c>
      <c r="Z2188">
        <v>100069882</v>
      </c>
      <c r="AB2188" t="s">
        <v>2665</v>
      </c>
      <c r="AD2188" t="s">
        <v>19421</v>
      </c>
      <c r="AF2188" t="s">
        <v>19422</v>
      </c>
      <c r="AG2188" t="s">
        <v>19423</v>
      </c>
      <c r="AI2188" t="s">
        <v>19424</v>
      </c>
      <c r="AM2188" t="s">
        <v>2582</v>
      </c>
      <c r="AN2188" t="s">
        <v>2174</v>
      </c>
      <c r="AO2188" t="s">
        <v>19425</v>
      </c>
      <c r="AP2188" t="s">
        <v>7024</v>
      </c>
      <c r="AQ2188" t="s">
        <v>19426</v>
      </c>
      <c r="AT2188" s="184">
        <v>35671</v>
      </c>
      <c r="AU2188" t="s">
        <v>19427</v>
      </c>
      <c r="AV2188">
        <v>20</v>
      </c>
      <c r="AW2188" s="184">
        <v>45266</v>
      </c>
      <c r="AX2188" t="s">
        <v>7742</v>
      </c>
      <c r="AY2188">
        <v>100</v>
      </c>
      <c r="AZ2188" s="184">
        <v>42721</v>
      </c>
      <c r="BA2188" t="s">
        <v>19428</v>
      </c>
      <c r="BB2188">
        <v>200</v>
      </c>
      <c r="BC2188">
        <v>72</v>
      </c>
      <c r="BD2188">
        <v>1605</v>
      </c>
      <c r="BE2188">
        <v>1998</v>
      </c>
      <c r="BF2188">
        <v>22</v>
      </c>
      <c r="BG2188">
        <v>2</v>
      </c>
      <c r="BH2188">
        <v>200</v>
      </c>
      <c r="BI2188">
        <v>20</v>
      </c>
      <c r="BJ2188">
        <v>28</v>
      </c>
      <c r="BK2188">
        <v>10</v>
      </c>
      <c r="BP2188" s="184"/>
    </row>
    <row r="2189" spans="1:68">
      <c r="A2189">
        <v>100069882</v>
      </c>
      <c r="B2189">
        <v>26564880</v>
      </c>
      <c r="C2189" t="s">
        <v>7018</v>
      </c>
      <c r="E2189" s="184"/>
      <c r="F2189" t="s">
        <v>595</v>
      </c>
      <c r="G2189" s="184">
        <v>45132</v>
      </c>
      <c r="I2189" s="184"/>
      <c r="K2189" s="184"/>
      <c r="M2189" s="184"/>
      <c r="O2189" s="184"/>
      <c r="P2189" t="s">
        <v>7045</v>
      </c>
      <c r="Q2189" t="s">
        <v>7494</v>
      </c>
      <c r="R2189" s="184">
        <v>23501</v>
      </c>
      <c r="S2189">
        <v>60</v>
      </c>
      <c r="V2189" t="s">
        <v>2665</v>
      </c>
      <c r="X2189" t="s">
        <v>19421</v>
      </c>
      <c r="Z2189">
        <v>26564880</v>
      </c>
      <c r="AA2189" t="s">
        <v>7076</v>
      </c>
      <c r="AB2189" t="s">
        <v>2586</v>
      </c>
      <c r="AD2189" t="s">
        <v>19421</v>
      </c>
      <c r="AF2189" t="s">
        <v>19422</v>
      </c>
      <c r="AG2189" t="s">
        <v>19423</v>
      </c>
      <c r="AI2189" t="s">
        <v>19424</v>
      </c>
      <c r="AM2189" t="s">
        <v>2582</v>
      </c>
      <c r="AN2189" t="s">
        <v>2174</v>
      </c>
      <c r="AO2189" t="s">
        <v>19425</v>
      </c>
      <c r="AP2189" t="s">
        <v>7024</v>
      </c>
      <c r="AT2189" s="184"/>
      <c r="AW2189" s="184"/>
      <c r="AZ2189" s="184"/>
      <c r="BP2189" s="184"/>
    </row>
    <row r="2190" spans="1:68">
      <c r="A2190">
        <v>26566133</v>
      </c>
      <c r="B2190">
        <v>26566133</v>
      </c>
      <c r="C2190" t="s">
        <v>7018</v>
      </c>
      <c r="E2190" s="184"/>
      <c r="F2190" t="s">
        <v>595</v>
      </c>
      <c r="G2190" s="184">
        <v>43731</v>
      </c>
      <c r="I2190" s="184"/>
      <c r="K2190" s="184"/>
      <c r="O2190" s="184"/>
      <c r="P2190" t="s">
        <v>7045</v>
      </c>
      <c r="Q2190" t="s">
        <v>7383</v>
      </c>
      <c r="R2190" s="184">
        <v>18994</v>
      </c>
      <c r="S2190">
        <v>72</v>
      </c>
      <c r="U2190" t="s">
        <v>7031</v>
      </c>
      <c r="V2190" t="s">
        <v>3825</v>
      </c>
      <c r="X2190" t="s">
        <v>3864</v>
      </c>
      <c r="Z2190">
        <v>100298753</v>
      </c>
      <c r="AA2190" t="s">
        <v>7130</v>
      </c>
      <c r="AB2190" t="s">
        <v>3580</v>
      </c>
      <c r="AC2190" t="s">
        <v>3226</v>
      </c>
      <c r="AD2190" t="s">
        <v>3864</v>
      </c>
      <c r="AF2190" t="s">
        <v>19429</v>
      </c>
      <c r="AG2190" t="s">
        <v>19430</v>
      </c>
      <c r="AI2190" t="s">
        <v>19431</v>
      </c>
      <c r="AM2190" t="s">
        <v>3865</v>
      </c>
      <c r="AN2190" t="s">
        <v>2059</v>
      </c>
      <c r="AO2190" t="s">
        <v>19432</v>
      </c>
      <c r="AP2190" t="s">
        <v>7024</v>
      </c>
      <c r="AQ2190" t="s">
        <v>19433</v>
      </c>
      <c r="AT2190" s="184">
        <v>35671</v>
      </c>
      <c r="AU2190" t="s">
        <v>19434</v>
      </c>
      <c r="AV2190">
        <v>20</v>
      </c>
      <c r="AW2190" s="184">
        <v>40926</v>
      </c>
      <c r="AX2190" t="s">
        <v>19435</v>
      </c>
      <c r="AY2190">
        <v>35</v>
      </c>
      <c r="AZ2190" s="184">
        <v>40926</v>
      </c>
      <c r="BA2190" t="s">
        <v>19435</v>
      </c>
      <c r="BB2190">
        <v>35</v>
      </c>
      <c r="BC2190">
        <v>40</v>
      </c>
      <c r="BD2190">
        <v>340</v>
      </c>
      <c r="BE2190">
        <v>1998</v>
      </c>
      <c r="BF2190">
        <v>12</v>
      </c>
      <c r="BI2190">
        <v>11</v>
      </c>
      <c r="BJ2190">
        <v>28</v>
      </c>
      <c r="BK2190">
        <v>5</v>
      </c>
      <c r="BP2190" s="184"/>
    </row>
    <row r="2191" spans="1:68">
      <c r="A2191">
        <v>100298753</v>
      </c>
      <c r="B2191">
        <v>26566133</v>
      </c>
      <c r="C2191" t="s">
        <v>7018</v>
      </c>
      <c r="E2191" s="184"/>
      <c r="F2191" t="s">
        <v>595</v>
      </c>
      <c r="G2191" s="184">
        <v>43731</v>
      </c>
      <c r="I2191" s="184"/>
      <c r="K2191" s="184"/>
      <c r="O2191" s="184"/>
      <c r="P2191" t="s">
        <v>7045</v>
      </c>
      <c r="Q2191" t="s">
        <v>7383</v>
      </c>
      <c r="R2191" s="184"/>
      <c r="U2191" t="s">
        <v>7130</v>
      </c>
      <c r="V2191" t="s">
        <v>3580</v>
      </c>
      <c r="W2191" t="s">
        <v>3226</v>
      </c>
      <c r="X2191" t="s">
        <v>3864</v>
      </c>
      <c r="Z2191">
        <v>26566133</v>
      </c>
      <c r="AA2191" t="s">
        <v>7031</v>
      </c>
      <c r="AB2191" t="s">
        <v>3825</v>
      </c>
      <c r="AD2191" t="s">
        <v>3864</v>
      </c>
      <c r="AF2191" t="s">
        <v>19429</v>
      </c>
      <c r="AG2191" t="s">
        <v>19430</v>
      </c>
      <c r="AI2191" t="s">
        <v>19431</v>
      </c>
      <c r="AM2191" t="s">
        <v>3865</v>
      </c>
      <c r="AN2191" t="s">
        <v>2059</v>
      </c>
      <c r="AO2191" t="s">
        <v>19432</v>
      </c>
      <c r="AP2191" t="s">
        <v>7024</v>
      </c>
      <c r="AT2191" s="184"/>
      <c r="AW2191" s="184"/>
      <c r="AZ2191" s="184"/>
      <c r="BP2191" s="184"/>
    </row>
    <row r="2192" spans="1:68">
      <c r="A2192">
        <v>26579508</v>
      </c>
      <c r="B2192">
        <v>26579508</v>
      </c>
      <c r="C2192" t="s">
        <v>7018</v>
      </c>
      <c r="D2192" t="s">
        <v>595</v>
      </c>
      <c r="E2192" s="184">
        <v>44441</v>
      </c>
      <c r="G2192" s="184"/>
      <c r="K2192" s="184"/>
      <c r="M2192" s="184"/>
      <c r="O2192" s="184"/>
      <c r="P2192" t="s">
        <v>7045</v>
      </c>
      <c r="Q2192" t="s">
        <v>7383</v>
      </c>
      <c r="R2192" s="184">
        <v>16640</v>
      </c>
      <c r="S2192">
        <v>78</v>
      </c>
      <c r="V2192" t="s">
        <v>2832</v>
      </c>
      <c r="W2192" t="s">
        <v>4013</v>
      </c>
      <c r="X2192" t="s">
        <v>19436</v>
      </c>
      <c r="AF2192" t="s">
        <v>19437</v>
      </c>
      <c r="AG2192" t="s">
        <v>2832</v>
      </c>
      <c r="AI2192" t="s">
        <v>19438</v>
      </c>
      <c r="AM2192" t="s">
        <v>3357</v>
      </c>
      <c r="AN2192" t="s">
        <v>2185</v>
      </c>
      <c r="AO2192" t="s">
        <v>19439</v>
      </c>
      <c r="AP2192" t="s">
        <v>7024</v>
      </c>
      <c r="AQ2192" t="s">
        <v>19440</v>
      </c>
      <c r="AT2192" s="184">
        <v>35678</v>
      </c>
      <c r="AU2192" t="s">
        <v>18548</v>
      </c>
      <c r="AV2192">
        <v>19.95</v>
      </c>
      <c r="AW2192" s="184">
        <v>45392</v>
      </c>
      <c r="AX2192" t="s">
        <v>14823</v>
      </c>
      <c r="AY2192">
        <v>25</v>
      </c>
      <c r="AZ2192" s="184">
        <v>42914</v>
      </c>
      <c r="BA2192" t="s">
        <v>19441</v>
      </c>
      <c r="BB2192">
        <v>60</v>
      </c>
      <c r="BC2192">
        <v>40</v>
      </c>
      <c r="BD2192">
        <v>404.95</v>
      </c>
      <c r="BE2192">
        <v>1998</v>
      </c>
      <c r="BF2192">
        <v>13</v>
      </c>
      <c r="BG2192">
        <v>2</v>
      </c>
      <c r="BH2192">
        <v>60</v>
      </c>
      <c r="BI2192">
        <v>11</v>
      </c>
      <c r="BJ2192">
        <v>28</v>
      </c>
      <c r="BK2192">
        <v>2</v>
      </c>
      <c r="BP2192" s="184"/>
    </row>
    <row r="2193" spans="1:68">
      <c r="A2193">
        <v>26582403</v>
      </c>
      <c r="B2193">
        <v>26582403</v>
      </c>
      <c r="C2193" t="s">
        <v>7018</v>
      </c>
      <c r="E2193" s="184"/>
      <c r="G2193" s="184"/>
      <c r="I2193" s="184"/>
      <c r="J2193" t="s">
        <v>595</v>
      </c>
      <c r="K2193" s="184">
        <v>37424</v>
      </c>
      <c r="M2193" s="184"/>
      <c r="O2193" s="184"/>
      <c r="P2193" t="s">
        <v>7045</v>
      </c>
      <c r="Q2193" t="s">
        <v>7020</v>
      </c>
      <c r="R2193" s="184">
        <v>14135</v>
      </c>
      <c r="S2193">
        <v>85</v>
      </c>
      <c r="U2193" t="s">
        <v>7031</v>
      </c>
      <c r="V2193" t="s">
        <v>2541</v>
      </c>
      <c r="W2193" t="s">
        <v>4152</v>
      </c>
      <c r="X2193" t="s">
        <v>19442</v>
      </c>
      <c r="AF2193" t="s">
        <v>6652</v>
      </c>
      <c r="AG2193" t="s">
        <v>2541</v>
      </c>
      <c r="AI2193" t="s">
        <v>19443</v>
      </c>
      <c r="AM2193" t="s">
        <v>4949</v>
      </c>
      <c r="AN2193" t="s">
        <v>2240</v>
      </c>
      <c r="AO2193">
        <v>6095</v>
      </c>
      <c r="AP2193" t="s">
        <v>7024</v>
      </c>
      <c r="AT2193" s="184">
        <v>35661</v>
      </c>
      <c r="AU2193" t="s">
        <v>19444</v>
      </c>
      <c r="AV2193">
        <v>25</v>
      </c>
      <c r="AW2193" s="184">
        <v>37358</v>
      </c>
      <c r="AX2193" t="s">
        <v>19445</v>
      </c>
      <c r="AY2193">
        <v>20</v>
      </c>
      <c r="AZ2193" s="184">
        <v>37207</v>
      </c>
      <c r="BA2193" t="s">
        <v>19446</v>
      </c>
      <c r="BB2193">
        <v>35</v>
      </c>
      <c r="BC2193">
        <v>22</v>
      </c>
      <c r="BD2193">
        <v>260</v>
      </c>
      <c r="BE2193">
        <v>1998</v>
      </c>
      <c r="BF2193">
        <v>9</v>
      </c>
      <c r="BI2193">
        <v>6</v>
      </c>
      <c r="BJ2193">
        <v>28</v>
      </c>
      <c r="BK2193">
        <v>6</v>
      </c>
      <c r="BP2193" s="184"/>
    </row>
    <row r="2194" spans="1:68">
      <c r="A2194">
        <v>26587642</v>
      </c>
      <c r="B2194">
        <v>26587642</v>
      </c>
      <c r="C2194" t="s">
        <v>7018</v>
      </c>
      <c r="D2194" t="s">
        <v>595</v>
      </c>
      <c r="E2194" s="184">
        <v>44104</v>
      </c>
      <c r="G2194" s="184"/>
      <c r="I2194" s="184"/>
      <c r="K2194" s="184"/>
      <c r="M2194" s="184"/>
      <c r="O2194" s="184"/>
      <c r="P2194" t="s">
        <v>7045</v>
      </c>
      <c r="Q2194" t="s">
        <v>7494</v>
      </c>
      <c r="R2194" s="184">
        <v>21094</v>
      </c>
      <c r="S2194">
        <v>66</v>
      </c>
      <c r="V2194" t="s">
        <v>3147</v>
      </c>
      <c r="X2194" t="s">
        <v>19447</v>
      </c>
      <c r="AF2194" t="s">
        <v>19448</v>
      </c>
      <c r="AG2194" t="s">
        <v>3147</v>
      </c>
      <c r="AI2194" t="s">
        <v>19449</v>
      </c>
      <c r="AM2194" t="s">
        <v>4015</v>
      </c>
      <c r="AN2194" t="s">
        <v>2174</v>
      </c>
      <c r="AO2194" t="s">
        <v>19450</v>
      </c>
      <c r="AP2194" t="s">
        <v>7024</v>
      </c>
      <c r="AQ2194" t="s">
        <v>19451</v>
      </c>
      <c r="AR2194" t="s">
        <v>19452</v>
      </c>
      <c r="AT2194" s="184">
        <v>35675</v>
      </c>
      <c r="AU2194" t="s">
        <v>19453</v>
      </c>
      <c r="AV2194">
        <v>15</v>
      </c>
      <c r="AW2194" s="184">
        <v>45258</v>
      </c>
      <c r="AX2194" t="s">
        <v>8836</v>
      </c>
      <c r="AY2194">
        <v>52.5</v>
      </c>
      <c r="AZ2194" s="184">
        <v>44818</v>
      </c>
      <c r="BA2194" t="s">
        <v>14540</v>
      </c>
      <c r="BB2194">
        <v>100</v>
      </c>
      <c r="BC2194">
        <v>93</v>
      </c>
      <c r="BD2194">
        <v>1482.5</v>
      </c>
      <c r="BE2194">
        <v>1998</v>
      </c>
      <c r="BF2194">
        <v>35</v>
      </c>
      <c r="BG2194">
        <v>3</v>
      </c>
      <c r="BH2194">
        <v>202.5</v>
      </c>
      <c r="BI2194">
        <v>26</v>
      </c>
      <c r="BJ2194">
        <v>28</v>
      </c>
      <c r="BK2194">
        <v>15</v>
      </c>
      <c r="BP2194" s="184"/>
    </row>
    <row r="2195" spans="1:68">
      <c r="A2195">
        <v>26624056</v>
      </c>
      <c r="B2195">
        <v>26624056</v>
      </c>
      <c r="C2195" t="s">
        <v>7018</v>
      </c>
      <c r="D2195" t="s">
        <v>595</v>
      </c>
      <c r="E2195" s="184">
        <v>44073</v>
      </c>
      <c r="G2195" s="184"/>
      <c r="I2195" s="184"/>
      <c r="K2195" s="184"/>
      <c r="M2195" s="184"/>
      <c r="O2195" s="184"/>
      <c r="P2195" t="s">
        <v>7045</v>
      </c>
      <c r="Q2195" t="s">
        <v>7383</v>
      </c>
      <c r="R2195" s="184">
        <v>13611</v>
      </c>
      <c r="S2195">
        <v>87</v>
      </c>
      <c r="U2195" t="s">
        <v>7130</v>
      </c>
      <c r="V2195" t="s">
        <v>2586</v>
      </c>
      <c r="W2195" t="s">
        <v>3226</v>
      </c>
      <c r="X2195" t="s">
        <v>19454</v>
      </c>
      <c r="AF2195" t="s">
        <v>19455</v>
      </c>
      <c r="AG2195" t="s">
        <v>2586</v>
      </c>
      <c r="AI2195" t="s">
        <v>19456</v>
      </c>
      <c r="AM2195" t="s">
        <v>3345</v>
      </c>
      <c r="AN2195" t="s">
        <v>2274</v>
      </c>
      <c r="AO2195" t="s">
        <v>19457</v>
      </c>
      <c r="AP2195" t="s">
        <v>7024</v>
      </c>
      <c r="AQ2195" t="s">
        <v>19458</v>
      </c>
      <c r="AR2195" t="s">
        <v>19459</v>
      </c>
      <c r="AT2195" s="184">
        <v>35678</v>
      </c>
      <c r="AU2195" t="s">
        <v>19460</v>
      </c>
      <c r="AV2195">
        <v>25</v>
      </c>
      <c r="AW2195" s="184">
        <v>44658</v>
      </c>
      <c r="AX2195" t="s">
        <v>8747</v>
      </c>
      <c r="AY2195">
        <v>35</v>
      </c>
      <c r="AZ2195" s="184">
        <v>41471</v>
      </c>
      <c r="BA2195" t="s">
        <v>19461</v>
      </c>
      <c r="BB2195">
        <v>100</v>
      </c>
      <c r="BC2195">
        <v>72</v>
      </c>
      <c r="BD2195">
        <v>1310</v>
      </c>
      <c r="BE2195">
        <v>1998</v>
      </c>
      <c r="BF2195">
        <v>31</v>
      </c>
      <c r="BI2195">
        <v>20</v>
      </c>
      <c r="BJ2195">
        <v>28</v>
      </c>
      <c r="BK2195">
        <v>10</v>
      </c>
      <c r="BN2195" t="s">
        <v>595</v>
      </c>
      <c r="BP2195" s="184"/>
    </row>
    <row r="2196" spans="1:68">
      <c r="A2196">
        <v>26635920</v>
      </c>
      <c r="B2196">
        <v>26635920</v>
      </c>
      <c r="C2196" t="s">
        <v>7018</v>
      </c>
      <c r="E2196" s="184"/>
      <c r="G2196" s="184"/>
      <c r="I2196" s="184"/>
      <c r="J2196" t="s">
        <v>595</v>
      </c>
      <c r="K2196" s="184">
        <v>40945</v>
      </c>
      <c r="M2196" s="184"/>
      <c r="O2196" s="184"/>
      <c r="P2196" t="s">
        <v>7045</v>
      </c>
      <c r="Q2196" t="s">
        <v>7030</v>
      </c>
      <c r="R2196" s="184">
        <v>13420</v>
      </c>
      <c r="S2196">
        <v>87</v>
      </c>
      <c r="U2196" t="s">
        <v>7031</v>
      </c>
      <c r="V2196" t="s">
        <v>3783</v>
      </c>
      <c r="W2196" t="s">
        <v>8224</v>
      </c>
      <c r="X2196" t="s">
        <v>4671</v>
      </c>
      <c r="Z2196">
        <v>100070115</v>
      </c>
      <c r="AA2196" t="s">
        <v>7130</v>
      </c>
      <c r="AB2196" t="s">
        <v>2580</v>
      </c>
      <c r="AC2196" t="s">
        <v>7107</v>
      </c>
      <c r="AD2196" t="s">
        <v>4671</v>
      </c>
      <c r="AF2196" t="s">
        <v>19462</v>
      </c>
      <c r="AG2196" t="s">
        <v>19463</v>
      </c>
      <c r="AI2196" t="s">
        <v>19464</v>
      </c>
      <c r="AM2196" t="s">
        <v>9053</v>
      </c>
      <c r="AN2196" t="s">
        <v>2094</v>
      </c>
      <c r="AO2196" t="s">
        <v>19465</v>
      </c>
      <c r="AP2196" t="s">
        <v>7024</v>
      </c>
      <c r="AQ2196" t="s">
        <v>19466</v>
      </c>
      <c r="AR2196" t="s">
        <v>19467</v>
      </c>
      <c r="AT2196" s="184">
        <v>35685</v>
      </c>
      <c r="AU2196" t="s">
        <v>19468</v>
      </c>
      <c r="AV2196">
        <v>50</v>
      </c>
      <c r="AW2196" s="184">
        <v>44943</v>
      </c>
      <c r="AX2196" t="s">
        <v>19469</v>
      </c>
      <c r="AY2196">
        <v>50</v>
      </c>
      <c r="AZ2196" s="184">
        <v>41541</v>
      </c>
      <c r="BA2196" t="s">
        <v>13151</v>
      </c>
      <c r="BB2196">
        <v>100</v>
      </c>
      <c r="BC2196">
        <v>61</v>
      </c>
      <c r="BD2196">
        <v>1550</v>
      </c>
      <c r="BE2196">
        <v>1998</v>
      </c>
      <c r="BF2196">
        <v>18</v>
      </c>
      <c r="BG2196">
        <v>1</v>
      </c>
      <c r="BH2196">
        <v>50</v>
      </c>
      <c r="BI2196">
        <v>17</v>
      </c>
      <c r="BJ2196">
        <v>28</v>
      </c>
      <c r="BK2196">
        <v>15</v>
      </c>
      <c r="BN2196" t="s">
        <v>595</v>
      </c>
      <c r="BP2196" s="184"/>
    </row>
    <row r="2197" spans="1:68">
      <c r="A2197">
        <v>100070115</v>
      </c>
      <c r="B2197">
        <v>26635920</v>
      </c>
      <c r="C2197" t="s">
        <v>7018</v>
      </c>
      <c r="E2197" s="184"/>
      <c r="G2197" s="184"/>
      <c r="I2197" s="184"/>
      <c r="J2197" t="s">
        <v>595</v>
      </c>
      <c r="K2197" s="184">
        <v>40945</v>
      </c>
      <c r="M2197" s="184"/>
      <c r="O2197" s="184"/>
      <c r="P2197" t="s">
        <v>7045</v>
      </c>
      <c r="Q2197" t="s">
        <v>7030</v>
      </c>
      <c r="R2197" s="184">
        <v>18233</v>
      </c>
      <c r="S2197">
        <v>74</v>
      </c>
      <c r="U2197" t="s">
        <v>7130</v>
      </c>
      <c r="V2197" t="s">
        <v>2580</v>
      </c>
      <c r="W2197" t="s">
        <v>7107</v>
      </c>
      <c r="X2197" t="s">
        <v>4671</v>
      </c>
      <c r="Z2197">
        <v>26635920</v>
      </c>
      <c r="AA2197" t="s">
        <v>7031</v>
      </c>
      <c r="AB2197" t="s">
        <v>3783</v>
      </c>
      <c r="AC2197" t="s">
        <v>8224</v>
      </c>
      <c r="AD2197" t="s">
        <v>4671</v>
      </c>
      <c r="AF2197" t="s">
        <v>19462</v>
      </c>
      <c r="AG2197" t="s">
        <v>19463</v>
      </c>
      <c r="AI2197" t="s">
        <v>19464</v>
      </c>
      <c r="AM2197" t="s">
        <v>9053</v>
      </c>
      <c r="AN2197" t="s">
        <v>2094</v>
      </c>
      <c r="AO2197" t="s">
        <v>19465</v>
      </c>
      <c r="AP2197" t="s">
        <v>7024</v>
      </c>
      <c r="AT2197" s="184"/>
      <c r="AW2197" s="184"/>
      <c r="AZ2197" s="184"/>
      <c r="BP2197" s="184"/>
    </row>
    <row r="2198" spans="1:68">
      <c r="A2198">
        <v>26674762</v>
      </c>
      <c r="B2198">
        <v>26674762</v>
      </c>
      <c r="C2198" t="s">
        <v>7018</v>
      </c>
      <c r="E2198" s="184"/>
      <c r="F2198" t="s">
        <v>595</v>
      </c>
      <c r="G2198" s="184">
        <v>43691</v>
      </c>
      <c r="I2198" s="184"/>
      <c r="K2198" s="184"/>
      <c r="O2198" s="184"/>
      <c r="P2198" t="s">
        <v>7019</v>
      </c>
      <c r="Q2198" t="s">
        <v>7374</v>
      </c>
      <c r="R2198" s="184">
        <v>15919</v>
      </c>
      <c r="S2198">
        <v>80</v>
      </c>
      <c r="U2198" t="s">
        <v>7032</v>
      </c>
      <c r="V2198" t="s">
        <v>2989</v>
      </c>
      <c r="X2198" t="s">
        <v>19470</v>
      </c>
      <c r="AF2198" t="s">
        <v>19471</v>
      </c>
      <c r="AG2198" t="s">
        <v>2989</v>
      </c>
      <c r="AI2198" t="s">
        <v>19472</v>
      </c>
      <c r="AM2198" t="s">
        <v>19473</v>
      </c>
      <c r="AN2198" t="s">
        <v>2081</v>
      </c>
      <c r="AO2198" t="s">
        <v>19474</v>
      </c>
      <c r="AP2198" t="s">
        <v>7024</v>
      </c>
      <c r="AQ2198" t="s">
        <v>19475</v>
      </c>
      <c r="AR2198" t="s">
        <v>19476</v>
      </c>
      <c r="AT2198" s="184">
        <v>35690</v>
      </c>
      <c r="AU2198" t="s">
        <v>19477</v>
      </c>
      <c r="AV2198">
        <v>25</v>
      </c>
      <c r="AW2198" s="184">
        <v>44853</v>
      </c>
      <c r="AX2198" t="s">
        <v>7832</v>
      </c>
      <c r="AY2198">
        <v>60</v>
      </c>
      <c r="AZ2198" s="184">
        <v>44853</v>
      </c>
      <c r="BA2198" t="s">
        <v>7832</v>
      </c>
      <c r="BB2198">
        <v>60</v>
      </c>
      <c r="BC2198">
        <v>25</v>
      </c>
      <c r="BD2198">
        <v>285</v>
      </c>
      <c r="BE2198">
        <v>1998</v>
      </c>
      <c r="BF2198">
        <v>8</v>
      </c>
      <c r="BG2198">
        <v>1</v>
      </c>
      <c r="BH2198">
        <v>60</v>
      </c>
      <c r="BI2198">
        <v>7</v>
      </c>
      <c r="BJ2198">
        <v>28</v>
      </c>
      <c r="BK2198">
        <v>3</v>
      </c>
      <c r="BP2198" s="184"/>
    </row>
    <row r="2199" spans="1:68">
      <c r="A2199">
        <v>26684027</v>
      </c>
      <c r="B2199">
        <v>26684027</v>
      </c>
      <c r="C2199" t="s">
        <v>7018</v>
      </c>
      <c r="D2199" t="s">
        <v>595</v>
      </c>
      <c r="E2199" s="184">
        <v>43970</v>
      </c>
      <c r="G2199" s="184"/>
      <c r="I2199" s="184"/>
      <c r="K2199" s="184"/>
      <c r="O2199" s="184"/>
      <c r="P2199" t="s">
        <v>7045</v>
      </c>
      <c r="Q2199" t="s">
        <v>7160</v>
      </c>
      <c r="R2199" s="184">
        <v>24473</v>
      </c>
      <c r="S2199">
        <v>57</v>
      </c>
      <c r="U2199" t="s">
        <v>7032</v>
      </c>
      <c r="V2199" t="s">
        <v>2511</v>
      </c>
      <c r="W2199" t="s">
        <v>4013</v>
      </c>
      <c r="X2199" t="s">
        <v>2768</v>
      </c>
      <c r="AF2199" t="s">
        <v>19478</v>
      </c>
      <c r="AG2199" t="s">
        <v>2511</v>
      </c>
      <c r="AI2199" t="s">
        <v>19479</v>
      </c>
      <c r="AM2199" t="s">
        <v>4692</v>
      </c>
      <c r="AN2199" t="s">
        <v>2176</v>
      </c>
      <c r="AO2199" t="s">
        <v>19480</v>
      </c>
      <c r="AP2199" t="s">
        <v>7024</v>
      </c>
      <c r="AQ2199" t="s">
        <v>19481</v>
      </c>
      <c r="AR2199" t="s">
        <v>19482</v>
      </c>
      <c r="AT2199" s="184">
        <v>35689</v>
      </c>
      <c r="AU2199" t="s">
        <v>19434</v>
      </c>
      <c r="AV2199">
        <v>15</v>
      </c>
      <c r="AW2199" s="184">
        <v>45082</v>
      </c>
      <c r="AX2199" t="s">
        <v>14173</v>
      </c>
      <c r="AY2199">
        <v>25</v>
      </c>
      <c r="AZ2199" s="184">
        <v>41464</v>
      </c>
      <c r="BA2199" t="s">
        <v>19483</v>
      </c>
      <c r="BB2199">
        <v>50</v>
      </c>
      <c r="BC2199">
        <v>97</v>
      </c>
      <c r="BD2199">
        <v>2355</v>
      </c>
      <c r="BE2199">
        <v>1998</v>
      </c>
      <c r="BF2199">
        <v>112</v>
      </c>
      <c r="BG2199">
        <v>3</v>
      </c>
      <c r="BH2199">
        <v>95</v>
      </c>
      <c r="BI2199">
        <v>27</v>
      </c>
      <c r="BJ2199">
        <v>28</v>
      </c>
      <c r="BK2199">
        <v>27</v>
      </c>
      <c r="BP2199" s="184"/>
    </row>
    <row r="2200" spans="1:68">
      <c r="A2200">
        <v>26708115</v>
      </c>
      <c r="B2200">
        <v>26708115</v>
      </c>
      <c r="C2200" t="s">
        <v>7018</v>
      </c>
      <c r="E2200" s="184"/>
      <c r="G2200" s="184"/>
      <c r="I2200" s="184"/>
      <c r="J2200" t="s">
        <v>595</v>
      </c>
      <c r="K2200" s="184">
        <v>40346</v>
      </c>
      <c r="M2200" s="184"/>
      <c r="O2200" s="184"/>
      <c r="P2200" t="s">
        <v>7084</v>
      </c>
      <c r="Q2200" t="s">
        <v>7383</v>
      </c>
      <c r="R2200" s="184">
        <v>7948</v>
      </c>
      <c r="S2200">
        <v>102</v>
      </c>
      <c r="U2200" t="s">
        <v>7094</v>
      </c>
      <c r="V2200" t="s">
        <v>17568</v>
      </c>
      <c r="W2200" t="s">
        <v>8224</v>
      </c>
      <c r="X2200" t="s">
        <v>19484</v>
      </c>
      <c r="AF2200" t="s">
        <v>6232</v>
      </c>
      <c r="AG2200" t="s">
        <v>19485</v>
      </c>
      <c r="AI2200" t="s">
        <v>19486</v>
      </c>
      <c r="AM2200" t="s">
        <v>19487</v>
      </c>
      <c r="AN2200" t="s">
        <v>2059</v>
      </c>
      <c r="AO2200" t="s">
        <v>19488</v>
      </c>
      <c r="AP2200" t="s">
        <v>7024</v>
      </c>
      <c r="AQ2200" t="s">
        <v>19489</v>
      </c>
      <c r="AR2200" t="s">
        <v>19490</v>
      </c>
      <c r="AT2200" s="184">
        <v>35695</v>
      </c>
      <c r="AU2200" t="s">
        <v>19406</v>
      </c>
      <c r="AV2200">
        <v>20</v>
      </c>
      <c r="AW2200" s="184">
        <v>44265</v>
      </c>
      <c r="AX2200" t="s">
        <v>7309</v>
      </c>
      <c r="AY2200">
        <v>50000</v>
      </c>
      <c r="AZ2200" s="184">
        <v>44265</v>
      </c>
      <c r="BA2200" t="s">
        <v>7309</v>
      </c>
      <c r="BB2200">
        <v>50000</v>
      </c>
      <c r="BC2200">
        <v>68</v>
      </c>
      <c r="BD2200">
        <v>52395</v>
      </c>
      <c r="BE2200">
        <v>1998</v>
      </c>
      <c r="BF2200">
        <v>58</v>
      </c>
      <c r="BI2200">
        <v>19</v>
      </c>
      <c r="BJ2200">
        <v>28</v>
      </c>
      <c r="BK2200">
        <v>11</v>
      </c>
      <c r="BO2200" t="s">
        <v>595</v>
      </c>
      <c r="BP2200" s="184">
        <v>43140</v>
      </c>
    </row>
    <row r="2201" spans="1:68">
      <c r="A2201">
        <v>26709428</v>
      </c>
      <c r="B2201">
        <v>26709428</v>
      </c>
      <c r="C2201" t="s">
        <v>7018</v>
      </c>
      <c r="E2201" s="184"/>
      <c r="G2201" s="184"/>
      <c r="I2201" s="184"/>
      <c r="J2201" t="s">
        <v>595</v>
      </c>
      <c r="K2201" s="184">
        <v>41075</v>
      </c>
      <c r="O2201" s="184"/>
      <c r="P2201" t="s">
        <v>7045</v>
      </c>
      <c r="Q2201" t="s">
        <v>7020</v>
      </c>
      <c r="R2201" s="184">
        <v>11356</v>
      </c>
      <c r="S2201">
        <v>93</v>
      </c>
      <c r="U2201" t="s">
        <v>7032</v>
      </c>
      <c r="V2201" t="s">
        <v>19491</v>
      </c>
      <c r="X2201" t="s">
        <v>19492</v>
      </c>
      <c r="AF2201" t="s">
        <v>6396</v>
      </c>
      <c r="AG2201" t="s">
        <v>19491</v>
      </c>
      <c r="AI2201" t="s">
        <v>19493</v>
      </c>
      <c r="AM2201" t="s">
        <v>3004</v>
      </c>
      <c r="AN2201" t="s">
        <v>2112</v>
      </c>
      <c r="AO2201" t="s">
        <v>19494</v>
      </c>
      <c r="AP2201" t="s">
        <v>7024</v>
      </c>
      <c r="AT2201" s="184">
        <v>35695</v>
      </c>
      <c r="AU2201" t="s">
        <v>19406</v>
      </c>
      <c r="AV2201">
        <v>15</v>
      </c>
      <c r="AW2201" s="184">
        <v>42905</v>
      </c>
      <c r="AX2201" t="s">
        <v>19495</v>
      </c>
      <c r="AY2201">
        <v>35</v>
      </c>
      <c r="AZ2201" s="184">
        <v>41689</v>
      </c>
      <c r="BA2201" t="s">
        <v>19496</v>
      </c>
      <c r="BB2201">
        <v>70</v>
      </c>
      <c r="BC2201">
        <v>65</v>
      </c>
      <c r="BD2201">
        <v>1205</v>
      </c>
      <c r="BE2201">
        <v>1998</v>
      </c>
      <c r="BF2201">
        <v>40</v>
      </c>
      <c r="BI2201">
        <v>18</v>
      </c>
      <c r="BJ2201">
        <v>28</v>
      </c>
      <c r="BK2201">
        <v>15</v>
      </c>
      <c r="BP2201" s="184"/>
    </row>
    <row r="2202" spans="1:68">
      <c r="A2202">
        <v>26717231</v>
      </c>
      <c r="B2202">
        <v>26717231</v>
      </c>
      <c r="C2202" t="s">
        <v>7018</v>
      </c>
      <c r="D2202" t="s">
        <v>595</v>
      </c>
      <c r="E2202" s="184">
        <v>44152</v>
      </c>
      <c r="G2202" s="184"/>
      <c r="I2202" s="184"/>
      <c r="K2202" s="184"/>
      <c r="P2202" t="s">
        <v>7045</v>
      </c>
      <c r="Q2202" t="s">
        <v>7383</v>
      </c>
      <c r="R2202" s="184">
        <v>16581</v>
      </c>
      <c r="S2202">
        <v>78</v>
      </c>
      <c r="U2202" t="s">
        <v>7031</v>
      </c>
      <c r="V2202" t="s">
        <v>4676</v>
      </c>
      <c r="X2202" t="s">
        <v>4125</v>
      </c>
      <c r="Z2202">
        <v>100070333</v>
      </c>
      <c r="AA2202" t="s">
        <v>7130</v>
      </c>
      <c r="AB2202" t="s">
        <v>19497</v>
      </c>
      <c r="AD2202" t="s">
        <v>4125</v>
      </c>
      <c r="AF2202" t="s">
        <v>19498</v>
      </c>
      <c r="AG2202" t="s">
        <v>19499</v>
      </c>
      <c r="AI2202" t="s">
        <v>19500</v>
      </c>
      <c r="AM2202" t="s">
        <v>3428</v>
      </c>
      <c r="AN2202" t="s">
        <v>2118</v>
      </c>
      <c r="AO2202" t="s">
        <v>19501</v>
      </c>
      <c r="AP2202" t="s">
        <v>7024</v>
      </c>
      <c r="AQ2202" t="s">
        <v>19502</v>
      </c>
      <c r="AT2202" s="184">
        <v>35706</v>
      </c>
      <c r="AU2202" t="s">
        <v>18548</v>
      </c>
      <c r="AV2202">
        <v>19.95</v>
      </c>
      <c r="AW2202" s="184">
        <v>44924</v>
      </c>
      <c r="AX2202" t="s">
        <v>19503</v>
      </c>
      <c r="AY2202">
        <v>100</v>
      </c>
      <c r="AZ2202" s="184">
        <v>44560</v>
      </c>
      <c r="BA2202" t="s">
        <v>19504</v>
      </c>
      <c r="BB2202">
        <v>250</v>
      </c>
      <c r="BC2202">
        <v>33</v>
      </c>
      <c r="BD2202">
        <v>1019.95</v>
      </c>
      <c r="BE2202">
        <v>1998</v>
      </c>
      <c r="BF2202">
        <v>10</v>
      </c>
      <c r="BG2202">
        <v>1</v>
      </c>
      <c r="BH2202">
        <v>100</v>
      </c>
      <c r="BI2202">
        <v>9</v>
      </c>
      <c r="BJ2202">
        <v>28</v>
      </c>
      <c r="BK2202">
        <v>4</v>
      </c>
      <c r="BP2202" s="184"/>
    </row>
    <row r="2203" spans="1:68">
      <c r="A2203">
        <v>100070333</v>
      </c>
      <c r="B2203">
        <v>26717231</v>
      </c>
      <c r="C2203" t="s">
        <v>7018</v>
      </c>
      <c r="D2203" t="s">
        <v>595</v>
      </c>
      <c r="E2203" s="184">
        <v>44152</v>
      </c>
      <c r="G2203" s="184"/>
      <c r="I2203" s="184"/>
      <c r="K2203" s="184"/>
      <c r="M2203" s="184"/>
      <c r="O2203" s="184"/>
      <c r="P2203" t="s">
        <v>7045</v>
      </c>
      <c r="Q2203" t="s">
        <v>7383</v>
      </c>
      <c r="R2203" s="184">
        <v>17216</v>
      </c>
      <c r="S2203">
        <v>77</v>
      </c>
      <c r="U2203" t="s">
        <v>7130</v>
      </c>
      <c r="V2203" t="s">
        <v>19497</v>
      </c>
      <c r="X2203" t="s">
        <v>4125</v>
      </c>
      <c r="Z2203">
        <v>26717231</v>
      </c>
      <c r="AA2203" t="s">
        <v>7031</v>
      </c>
      <c r="AB2203" t="s">
        <v>4676</v>
      </c>
      <c r="AD2203" t="s">
        <v>4125</v>
      </c>
      <c r="AF2203" t="s">
        <v>19498</v>
      </c>
      <c r="AG2203" t="s">
        <v>19499</v>
      </c>
      <c r="AI2203" t="s">
        <v>19500</v>
      </c>
      <c r="AM2203" t="s">
        <v>3428</v>
      </c>
      <c r="AN2203" t="s">
        <v>2118</v>
      </c>
      <c r="AO2203" t="s">
        <v>19501</v>
      </c>
      <c r="AP2203" t="s">
        <v>7024</v>
      </c>
      <c r="AQ2203" t="s">
        <v>19505</v>
      </c>
      <c r="AT2203" s="184"/>
      <c r="AW2203" s="184"/>
      <c r="AZ2203" s="184"/>
      <c r="BP2203" s="184"/>
    </row>
    <row r="2204" spans="1:68">
      <c r="A2204">
        <v>26726315</v>
      </c>
      <c r="B2204">
        <v>26726315</v>
      </c>
      <c r="C2204" t="s">
        <v>7018</v>
      </c>
      <c r="D2204" t="s">
        <v>595</v>
      </c>
      <c r="E2204" s="184">
        <v>45112</v>
      </c>
      <c r="G2204" s="184"/>
      <c r="I2204" s="184"/>
      <c r="K2204" s="184"/>
      <c r="M2204" s="184"/>
      <c r="O2204" s="184"/>
      <c r="P2204" t="s">
        <v>7045</v>
      </c>
      <c r="Q2204" t="s">
        <v>7383</v>
      </c>
      <c r="R2204" s="184">
        <v>21339</v>
      </c>
      <c r="S2204">
        <v>65</v>
      </c>
      <c r="U2204" t="s">
        <v>7076</v>
      </c>
      <c r="V2204" t="s">
        <v>4448</v>
      </c>
      <c r="X2204" t="s">
        <v>19506</v>
      </c>
      <c r="AF2204" t="s">
        <v>19507</v>
      </c>
      <c r="AG2204" t="s">
        <v>4448</v>
      </c>
      <c r="AI2204" t="s">
        <v>19508</v>
      </c>
      <c r="AM2204" t="s">
        <v>2679</v>
      </c>
      <c r="AN2204" t="s">
        <v>2072</v>
      </c>
      <c r="AO2204" t="s">
        <v>19509</v>
      </c>
      <c r="AP2204" t="s">
        <v>7024</v>
      </c>
      <c r="AQ2204" t="s">
        <v>19510</v>
      </c>
      <c r="AT2204" s="184">
        <v>35702</v>
      </c>
      <c r="AU2204" t="s">
        <v>19511</v>
      </c>
      <c r="AV2204">
        <v>15</v>
      </c>
      <c r="AW2204" s="184">
        <v>45061</v>
      </c>
      <c r="AX2204" t="s">
        <v>19512</v>
      </c>
      <c r="AY2204">
        <v>50</v>
      </c>
      <c r="AZ2204" s="184">
        <v>45061</v>
      </c>
      <c r="BA2204" t="s">
        <v>19512</v>
      </c>
      <c r="BB2204">
        <v>50</v>
      </c>
      <c r="BC2204">
        <v>22</v>
      </c>
      <c r="BD2204">
        <v>190</v>
      </c>
      <c r="BE2204">
        <v>1998</v>
      </c>
      <c r="BF2204">
        <v>6</v>
      </c>
      <c r="BG2204">
        <v>2</v>
      </c>
      <c r="BH2204">
        <v>100</v>
      </c>
      <c r="BI2204">
        <v>6</v>
      </c>
      <c r="BJ2204">
        <v>28</v>
      </c>
      <c r="BK2204">
        <v>2</v>
      </c>
      <c r="BP2204" s="184"/>
    </row>
    <row r="2205" spans="1:68">
      <c r="A2205">
        <v>26748129</v>
      </c>
      <c r="B2205">
        <v>26748129</v>
      </c>
      <c r="C2205" t="s">
        <v>7018</v>
      </c>
      <c r="E2205" s="184"/>
      <c r="F2205" t="s">
        <v>595</v>
      </c>
      <c r="G2205" s="184">
        <v>44073</v>
      </c>
      <c r="I2205" s="184"/>
      <c r="K2205" s="184"/>
      <c r="O2205" s="184"/>
      <c r="P2205" t="s">
        <v>7045</v>
      </c>
      <c r="Q2205" t="s">
        <v>7020</v>
      </c>
      <c r="R2205" s="184">
        <v>11784</v>
      </c>
      <c r="S2205">
        <v>92</v>
      </c>
      <c r="V2205" t="s">
        <v>15505</v>
      </c>
      <c r="X2205" t="s">
        <v>19513</v>
      </c>
      <c r="AF2205" t="s">
        <v>19514</v>
      </c>
      <c r="AG2205" t="s">
        <v>15505</v>
      </c>
      <c r="AI2205" t="s">
        <v>19515</v>
      </c>
      <c r="AM2205" t="s">
        <v>19516</v>
      </c>
      <c r="AN2205" t="s">
        <v>2129</v>
      </c>
      <c r="AO2205" t="s">
        <v>19517</v>
      </c>
      <c r="AP2205" t="s">
        <v>7024</v>
      </c>
      <c r="AQ2205" t="s">
        <v>19518</v>
      </c>
      <c r="AT2205" s="184">
        <v>35709</v>
      </c>
      <c r="AU2205" t="s">
        <v>19519</v>
      </c>
      <c r="AV2205">
        <v>25</v>
      </c>
      <c r="AW2205" s="184">
        <v>43901</v>
      </c>
      <c r="AX2205" t="s">
        <v>19520</v>
      </c>
      <c r="AY2205">
        <v>25</v>
      </c>
      <c r="AZ2205" s="184">
        <v>43901</v>
      </c>
      <c r="BA2205" t="s">
        <v>19520</v>
      </c>
      <c r="BB2205">
        <v>25</v>
      </c>
      <c r="BC2205">
        <v>65</v>
      </c>
      <c r="BD2205">
        <v>430</v>
      </c>
      <c r="BE2205">
        <v>1998</v>
      </c>
      <c r="BF2205">
        <v>18</v>
      </c>
      <c r="BI2205">
        <v>18</v>
      </c>
      <c r="BJ2205">
        <v>28</v>
      </c>
      <c r="BK2205">
        <v>6</v>
      </c>
      <c r="BP2205" s="184"/>
    </row>
    <row r="2206" spans="1:68">
      <c r="A2206">
        <v>26756825</v>
      </c>
      <c r="B2206">
        <v>26756825</v>
      </c>
      <c r="C2206" t="s">
        <v>7018</v>
      </c>
      <c r="E2206" s="184"/>
      <c r="G2206" s="184"/>
      <c r="I2206" s="184"/>
      <c r="J2206" t="s">
        <v>595</v>
      </c>
      <c r="K2206" s="184">
        <v>44104</v>
      </c>
      <c r="M2206" s="184"/>
      <c r="P2206" t="s">
        <v>7045</v>
      </c>
      <c r="Q2206" t="s">
        <v>7774</v>
      </c>
      <c r="R2206" s="184">
        <v>21641</v>
      </c>
      <c r="S2206">
        <v>65</v>
      </c>
      <c r="U2206" t="s">
        <v>7031</v>
      </c>
      <c r="V2206" t="s">
        <v>3632</v>
      </c>
      <c r="W2206" t="s">
        <v>7067</v>
      </c>
      <c r="X2206" t="s">
        <v>3682</v>
      </c>
      <c r="AF2206" t="s">
        <v>19521</v>
      </c>
      <c r="AG2206" t="s">
        <v>3632</v>
      </c>
      <c r="AI2206" t="s">
        <v>19522</v>
      </c>
      <c r="AM2206" t="s">
        <v>19523</v>
      </c>
      <c r="AN2206" t="s">
        <v>2077</v>
      </c>
      <c r="AO2206" t="s">
        <v>19524</v>
      </c>
      <c r="AP2206" t="s">
        <v>7024</v>
      </c>
      <c r="AQ2206" t="s">
        <v>19525</v>
      </c>
      <c r="AR2206" t="s">
        <v>19526</v>
      </c>
      <c r="AT2206" s="184">
        <v>35709</v>
      </c>
      <c r="AU2206" t="s">
        <v>19527</v>
      </c>
      <c r="AV2206">
        <v>25</v>
      </c>
      <c r="AW2206" s="184">
        <v>45316</v>
      </c>
      <c r="AX2206" t="s">
        <v>10458</v>
      </c>
      <c r="AY2206">
        <v>100</v>
      </c>
      <c r="AZ2206" s="184">
        <v>43126</v>
      </c>
      <c r="BA2206" t="s">
        <v>19528</v>
      </c>
      <c r="BB2206">
        <v>1000</v>
      </c>
      <c r="BC2206">
        <v>83</v>
      </c>
      <c r="BD2206">
        <v>4060</v>
      </c>
      <c r="BE2206">
        <v>1998</v>
      </c>
      <c r="BF2206">
        <v>44</v>
      </c>
      <c r="BG2206">
        <v>5</v>
      </c>
      <c r="BH2206">
        <v>450</v>
      </c>
      <c r="BI2206">
        <v>23</v>
      </c>
      <c r="BJ2206">
        <v>28</v>
      </c>
      <c r="BK2206">
        <v>12</v>
      </c>
      <c r="BP2206" s="184"/>
    </row>
    <row r="2207" spans="1:68">
      <c r="A2207">
        <v>26764167</v>
      </c>
      <c r="B2207">
        <v>26764167</v>
      </c>
      <c r="C2207" t="s">
        <v>7018</v>
      </c>
      <c r="D2207" t="s">
        <v>595</v>
      </c>
      <c r="E2207" s="184">
        <v>43971</v>
      </c>
      <c r="G2207" s="184"/>
      <c r="I2207" s="184"/>
      <c r="K2207" s="184"/>
      <c r="M2207" s="184"/>
      <c r="O2207" s="184"/>
      <c r="P2207" t="s">
        <v>7045</v>
      </c>
      <c r="Q2207" t="s">
        <v>7374</v>
      </c>
      <c r="R2207" s="184">
        <v>10594</v>
      </c>
      <c r="S2207">
        <v>95</v>
      </c>
      <c r="V2207" t="s">
        <v>2718</v>
      </c>
      <c r="X2207" t="s">
        <v>19529</v>
      </c>
      <c r="AF2207" t="s">
        <v>19530</v>
      </c>
      <c r="AG2207" t="s">
        <v>2718</v>
      </c>
      <c r="AI2207" t="s">
        <v>19531</v>
      </c>
      <c r="AM2207" t="s">
        <v>19532</v>
      </c>
      <c r="AN2207" t="s">
        <v>2081</v>
      </c>
      <c r="AO2207" t="s">
        <v>19533</v>
      </c>
      <c r="AP2207" t="s">
        <v>7024</v>
      </c>
      <c r="AT2207" s="184">
        <v>35709</v>
      </c>
      <c r="AU2207" t="s">
        <v>19534</v>
      </c>
      <c r="AV2207">
        <v>25</v>
      </c>
      <c r="AW2207" s="184">
        <v>42026</v>
      </c>
      <c r="AX2207" t="s">
        <v>19535</v>
      </c>
      <c r="AY2207">
        <v>50</v>
      </c>
      <c r="AZ2207" s="184">
        <v>40231</v>
      </c>
      <c r="BA2207" t="s">
        <v>19536</v>
      </c>
      <c r="BB2207">
        <v>75</v>
      </c>
      <c r="BC2207">
        <v>61</v>
      </c>
      <c r="BD2207">
        <v>975</v>
      </c>
      <c r="BE2207">
        <v>1998</v>
      </c>
      <c r="BF2207">
        <v>17</v>
      </c>
      <c r="BI2207">
        <v>17</v>
      </c>
      <c r="BJ2207">
        <v>28</v>
      </c>
      <c r="BK2207">
        <v>13</v>
      </c>
      <c r="BP2207" s="184"/>
    </row>
    <row r="2208" spans="1:68">
      <c r="A2208">
        <v>26792200</v>
      </c>
      <c r="B2208">
        <v>26792200</v>
      </c>
      <c r="C2208" t="s">
        <v>7018</v>
      </c>
      <c r="E2208" s="184"/>
      <c r="G2208" s="184"/>
      <c r="H2208" t="s">
        <v>595</v>
      </c>
      <c r="I2208" s="184">
        <v>44167</v>
      </c>
      <c r="K2208" s="184"/>
      <c r="O2208" s="184"/>
      <c r="P2208" t="s">
        <v>7045</v>
      </c>
      <c r="Q2208" t="s">
        <v>7383</v>
      </c>
      <c r="R2208" s="184">
        <v>17958</v>
      </c>
      <c r="S2208">
        <v>75</v>
      </c>
      <c r="U2208" t="s">
        <v>7076</v>
      </c>
      <c r="V2208" t="s">
        <v>3223</v>
      </c>
      <c r="X2208" t="s">
        <v>19537</v>
      </c>
      <c r="AF2208" t="s">
        <v>19538</v>
      </c>
      <c r="AG2208" t="s">
        <v>3223</v>
      </c>
      <c r="AI2208" t="s">
        <v>19539</v>
      </c>
      <c r="AM2208" t="s">
        <v>3761</v>
      </c>
      <c r="AN2208" t="s">
        <v>2059</v>
      </c>
      <c r="AO2208" t="s">
        <v>19540</v>
      </c>
      <c r="AP2208" t="s">
        <v>7024</v>
      </c>
      <c r="AQ2208" t="s">
        <v>19541</v>
      </c>
      <c r="AT2208" s="184">
        <v>35705</v>
      </c>
      <c r="AU2208" t="s">
        <v>19395</v>
      </c>
      <c r="AV2208">
        <v>5</v>
      </c>
      <c r="AW2208" s="184">
        <v>45107</v>
      </c>
      <c r="AX2208" t="s">
        <v>19542</v>
      </c>
      <c r="AY2208">
        <v>100</v>
      </c>
      <c r="AZ2208" s="184">
        <v>44371</v>
      </c>
      <c r="BA2208" t="s">
        <v>19543</v>
      </c>
      <c r="BB2208">
        <v>125</v>
      </c>
      <c r="BC2208">
        <v>54</v>
      </c>
      <c r="BD2208">
        <v>1220</v>
      </c>
      <c r="BE2208">
        <v>1998</v>
      </c>
      <c r="BF2208">
        <v>22</v>
      </c>
      <c r="BG2208">
        <v>1</v>
      </c>
      <c r="BH2208">
        <v>100</v>
      </c>
      <c r="BI2208">
        <v>15</v>
      </c>
      <c r="BJ2208">
        <v>28</v>
      </c>
      <c r="BK2208">
        <v>11</v>
      </c>
      <c r="BP2208" s="184"/>
    </row>
    <row r="2209" spans="1:68">
      <c r="A2209">
        <v>26823831</v>
      </c>
      <c r="B2209">
        <v>26823831</v>
      </c>
      <c r="C2209" t="s">
        <v>7018</v>
      </c>
      <c r="E2209" s="184"/>
      <c r="G2209" s="184"/>
      <c r="J2209" t="s">
        <v>595</v>
      </c>
      <c r="K2209" s="184">
        <v>41400</v>
      </c>
      <c r="M2209" s="184"/>
      <c r="O2209" s="184"/>
      <c r="P2209" t="s">
        <v>7045</v>
      </c>
      <c r="Q2209" t="s">
        <v>7262</v>
      </c>
      <c r="R2209" s="184">
        <v>14732</v>
      </c>
      <c r="S2209">
        <v>84</v>
      </c>
      <c r="U2209" t="s">
        <v>7076</v>
      </c>
      <c r="V2209" t="s">
        <v>4330</v>
      </c>
      <c r="W2209" t="s">
        <v>3830</v>
      </c>
      <c r="X2209" t="s">
        <v>5617</v>
      </c>
      <c r="AF2209" t="s">
        <v>19544</v>
      </c>
      <c r="AG2209" t="s">
        <v>19545</v>
      </c>
      <c r="AI2209" t="s">
        <v>19546</v>
      </c>
      <c r="AM2209" t="s">
        <v>2730</v>
      </c>
      <c r="AN2209" t="s">
        <v>2069</v>
      </c>
      <c r="AO2209" t="s">
        <v>19547</v>
      </c>
      <c r="AP2209" t="s">
        <v>7024</v>
      </c>
      <c r="AQ2209" t="s">
        <v>19548</v>
      </c>
      <c r="AT2209" s="184">
        <v>35713</v>
      </c>
      <c r="AU2209" t="s">
        <v>19549</v>
      </c>
      <c r="AV2209">
        <v>20</v>
      </c>
      <c r="AW2209" s="184">
        <v>42597</v>
      </c>
      <c r="AX2209" t="s">
        <v>19550</v>
      </c>
      <c r="AY2209">
        <v>25000</v>
      </c>
      <c r="AZ2209" s="184">
        <v>42597</v>
      </c>
      <c r="BA2209" t="s">
        <v>19550</v>
      </c>
      <c r="BB2209">
        <v>25000</v>
      </c>
      <c r="BC2209">
        <v>72</v>
      </c>
      <c r="BD2209">
        <v>30370</v>
      </c>
      <c r="BE2209">
        <v>1998</v>
      </c>
      <c r="BF2209">
        <v>22</v>
      </c>
      <c r="BI2209">
        <v>20</v>
      </c>
      <c r="BJ2209">
        <v>28</v>
      </c>
      <c r="BK2209">
        <v>20</v>
      </c>
      <c r="BO2209" t="s">
        <v>595</v>
      </c>
      <c r="BP2209" s="184">
        <v>42369</v>
      </c>
    </row>
    <row r="2210" spans="1:68">
      <c r="A2210">
        <v>26826743</v>
      </c>
      <c r="B2210">
        <v>26826743</v>
      </c>
      <c r="C2210" t="s">
        <v>7018</v>
      </c>
      <c r="E2210" s="184"/>
      <c r="G2210" s="184"/>
      <c r="I2210" s="184"/>
      <c r="J2210" t="s">
        <v>595</v>
      </c>
      <c r="K2210" s="184">
        <v>40956</v>
      </c>
      <c r="M2210" s="184"/>
      <c r="O2210" s="184"/>
      <c r="P2210" t="s">
        <v>7045</v>
      </c>
      <c r="Q2210" t="s">
        <v>7030</v>
      </c>
      <c r="R2210" s="184">
        <v>17502</v>
      </c>
      <c r="S2210">
        <v>76</v>
      </c>
      <c r="V2210" t="s">
        <v>4647</v>
      </c>
      <c r="W2210" t="s">
        <v>3163</v>
      </c>
      <c r="X2210" t="s">
        <v>19551</v>
      </c>
      <c r="AF2210" t="s">
        <v>6554</v>
      </c>
      <c r="AG2210" t="s">
        <v>4647</v>
      </c>
      <c r="AI2210" t="s">
        <v>19552</v>
      </c>
      <c r="AM2210" t="s">
        <v>2564</v>
      </c>
      <c r="AN2210" t="s">
        <v>2089</v>
      </c>
      <c r="AO2210" t="s">
        <v>19553</v>
      </c>
      <c r="AP2210" t="s">
        <v>7024</v>
      </c>
      <c r="AQ2210" t="s">
        <v>19554</v>
      </c>
      <c r="AT2210" s="184">
        <v>35713</v>
      </c>
      <c r="AU2210" t="s">
        <v>19555</v>
      </c>
      <c r="AV2210">
        <v>15</v>
      </c>
      <c r="AW2210" s="184">
        <v>44484</v>
      </c>
      <c r="AX2210" t="s">
        <v>19556</v>
      </c>
      <c r="AY2210">
        <v>25</v>
      </c>
      <c r="AZ2210" s="184">
        <v>43833</v>
      </c>
      <c r="BA2210" t="s">
        <v>19557</v>
      </c>
      <c r="BB2210">
        <v>100</v>
      </c>
      <c r="BC2210">
        <v>65</v>
      </c>
      <c r="BD2210">
        <v>699</v>
      </c>
      <c r="BE2210">
        <v>1998</v>
      </c>
      <c r="BF2210">
        <v>36</v>
      </c>
      <c r="BI2210">
        <v>18</v>
      </c>
      <c r="BJ2210">
        <v>28</v>
      </c>
      <c r="BK2210">
        <v>9</v>
      </c>
      <c r="BP2210" s="184"/>
    </row>
    <row r="2211" spans="1:68">
      <c r="A2211">
        <v>26830604</v>
      </c>
      <c r="B2211">
        <v>26830604</v>
      </c>
      <c r="C2211" t="s">
        <v>7018</v>
      </c>
      <c r="D2211" t="s">
        <v>595</v>
      </c>
      <c r="E2211" s="184">
        <v>43745</v>
      </c>
      <c r="G2211" s="184"/>
      <c r="I2211" s="184"/>
      <c r="K2211" s="184"/>
      <c r="M2211" s="184"/>
      <c r="O2211" s="184"/>
      <c r="P2211" t="s">
        <v>7045</v>
      </c>
      <c r="Q2211" t="s">
        <v>7020</v>
      </c>
      <c r="R2211" s="184">
        <v>16390</v>
      </c>
      <c r="S2211">
        <v>79</v>
      </c>
      <c r="V2211" t="s">
        <v>2614</v>
      </c>
      <c r="X2211" t="s">
        <v>4118</v>
      </c>
      <c r="Z2211">
        <v>100070545</v>
      </c>
      <c r="AB2211" t="s">
        <v>2958</v>
      </c>
      <c r="AD2211" t="s">
        <v>19558</v>
      </c>
      <c r="AF2211" t="s">
        <v>19559</v>
      </c>
      <c r="AG2211" t="s">
        <v>19560</v>
      </c>
      <c r="AI2211" t="s">
        <v>19561</v>
      </c>
      <c r="AM2211" t="s">
        <v>4119</v>
      </c>
      <c r="AN2211" t="s">
        <v>2052</v>
      </c>
      <c r="AO2211" t="s">
        <v>19562</v>
      </c>
      <c r="AP2211" t="s">
        <v>7024</v>
      </c>
      <c r="AQ2211" t="s">
        <v>19563</v>
      </c>
      <c r="AT2211" s="184">
        <v>35716</v>
      </c>
      <c r="AU2211" t="s">
        <v>19564</v>
      </c>
      <c r="AV2211">
        <v>25</v>
      </c>
      <c r="AW2211" s="184">
        <v>45246</v>
      </c>
      <c r="AX2211" t="s">
        <v>7807</v>
      </c>
      <c r="AY2211">
        <v>150</v>
      </c>
      <c r="AZ2211" s="184">
        <v>45246</v>
      </c>
      <c r="BA2211" t="s">
        <v>7807</v>
      </c>
      <c r="BB2211">
        <v>150</v>
      </c>
      <c r="BC2211">
        <v>83</v>
      </c>
      <c r="BD2211">
        <v>2580.21</v>
      </c>
      <c r="BE2211">
        <v>1998</v>
      </c>
      <c r="BF2211">
        <v>52</v>
      </c>
      <c r="BG2211">
        <v>5</v>
      </c>
      <c r="BH2211">
        <v>525</v>
      </c>
      <c r="BI2211">
        <v>23</v>
      </c>
      <c r="BJ2211">
        <v>28</v>
      </c>
      <c r="BK2211">
        <v>14</v>
      </c>
      <c r="BP2211" s="184"/>
    </row>
    <row r="2212" spans="1:68">
      <c r="A2212">
        <v>100070545</v>
      </c>
      <c r="B2212">
        <v>26830604</v>
      </c>
      <c r="C2212" t="s">
        <v>7018</v>
      </c>
      <c r="D2212" t="s">
        <v>595</v>
      </c>
      <c r="E2212" s="184">
        <v>43745</v>
      </c>
      <c r="G2212" s="184"/>
      <c r="I2212" s="184"/>
      <c r="K2212" s="184"/>
      <c r="P2212" t="s">
        <v>7045</v>
      </c>
      <c r="Q2212" t="s">
        <v>7020</v>
      </c>
      <c r="R2212" s="184">
        <v>17654</v>
      </c>
      <c r="S2212">
        <v>76</v>
      </c>
      <c r="V2212" t="s">
        <v>2958</v>
      </c>
      <c r="X2212" t="s">
        <v>19558</v>
      </c>
      <c r="Z2212">
        <v>26830604</v>
      </c>
      <c r="AB2212" t="s">
        <v>2614</v>
      </c>
      <c r="AD2212" t="s">
        <v>4118</v>
      </c>
      <c r="AF2212" t="s">
        <v>19559</v>
      </c>
      <c r="AG2212" t="s">
        <v>19560</v>
      </c>
      <c r="AI2212" t="s">
        <v>19561</v>
      </c>
      <c r="AM2212" t="s">
        <v>4119</v>
      </c>
      <c r="AN2212" t="s">
        <v>2052</v>
      </c>
      <c r="AO2212" t="s">
        <v>19562</v>
      </c>
      <c r="AP2212" t="s">
        <v>7024</v>
      </c>
      <c r="AT2212" s="184"/>
      <c r="AW2212" s="184"/>
      <c r="AZ2212" s="184"/>
      <c r="BP2212" s="184"/>
    </row>
    <row r="2213" spans="1:68">
      <c r="A2213">
        <v>26833228</v>
      </c>
      <c r="B2213">
        <v>26833228</v>
      </c>
      <c r="C2213" t="s">
        <v>7018</v>
      </c>
      <c r="D2213" t="s">
        <v>595</v>
      </c>
      <c r="E2213" s="184">
        <v>44438</v>
      </c>
      <c r="G2213" s="184"/>
      <c r="I2213" s="184"/>
      <c r="K2213" s="184"/>
      <c r="M2213" s="184"/>
      <c r="P2213" t="s">
        <v>7045</v>
      </c>
      <c r="Q2213" t="s">
        <v>7383</v>
      </c>
      <c r="R2213" s="184">
        <v>11323</v>
      </c>
      <c r="S2213">
        <v>93</v>
      </c>
      <c r="U2213" t="s">
        <v>7076</v>
      </c>
      <c r="V2213" t="s">
        <v>3400</v>
      </c>
      <c r="X2213" t="s">
        <v>9138</v>
      </c>
      <c r="AF2213" t="s">
        <v>19565</v>
      </c>
      <c r="AG2213" t="s">
        <v>3400</v>
      </c>
      <c r="AI2213" t="s">
        <v>19566</v>
      </c>
      <c r="AM2213" t="s">
        <v>19567</v>
      </c>
      <c r="AN2213" t="s">
        <v>2072</v>
      </c>
      <c r="AO2213" t="s">
        <v>19568</v>
      </c>
      <c r="AP2213" t="s">
        <v>7024</v>
      </c>
      <c r="AQ2213" t="s">
        <v>19569</v>
      </c>
      <c r="AT2213" s="184">
        <v>35716</v>
      </c>
      <c r="AU2213" t="s">
        <v>19570</v>
      </c>
      <c r="AV2213">
        <v>5</v>
      </c>
      <c r="AW2213" s="184">
        <v>45247</v>
      </c>
      <c r="AX2213" t="s">
        <v>19571</v>
      </c>
      <c r="AY2213">
        <v>25</v>
      </c>
      <c r="AZ2213" s="184">
        <v>45247</v>
      </c>
      <c r="BA2213" t="s">
        <v>19571</v>
      </c>
      <c r="BB2213">
        <v>25</v>
      </c>
      <c r="BC2213">
        <v>36</v>
      </c>
      <c r="BD2213">
        <v>295</v>
      </c>
      <c r="BE2213">
        <v>1998</v>
      </c>
      <c r="BF2213">
        <v>14</v>
      </c>
      <c r="BG2213">
        <v>3</v>
      </c>
      <c r="BH2213">
        <v>75</v>
      </c>
      <c r="BI2213">
        <v>10</v>
      </c>
      <c r="BJ2213">
        <v>28</v>
      </c>
      <c r="BK2213">
        <v>8</v>
      </c>
      <c r="BP2213" s="184"/>
    </row>
    <row r="2214" spans="1:68">
      <c r="A2214">
        <v>26852848</v>
      </c>
      <c r="B2214">
        <v>26852848</v>
      </c>
      <c r="C2214" t="s">
        <v>7018</v>
      </c>
      <c r="D2214" t="s">
        <v>595</v>
      </c>
      <c r="E2214" s="184">
        <v>44167</v>
      </c>
      <c r="G2214" s="184"/>
      <c r="I2214" s="184"/>
      <c r="K2214" s="184"/>
      <c r="M2214" s="184"/>
      <c r="O2214" s="184"/>
      <c r="P2214" t="s">
        <v>7045</v>
      </c>
      <c r="Q2214" t="s">
        <v>7030</v>
      </c>
      <c r="R2214" s="184">
        <v>15342</v>
      </c>
      <c r="S2214">
        <v>82</v>
      </c>
      <c r="U2214" t="s">
        <v>7130</v>
      </c>
      <c r="V2214" t="s">
        <v>3043</v>
      </c>
      <c r="X2214" t="s">
        <v>19572</v>
      </c>
      <c r="AF2214" t="s">
        <v>19573</v>
      </c>
      <c r="AG2214" t="s">
        <v>3043</v>
      </c>
      <c r="AI2214" t="s">
        <v>19574</v>
      </c>
      <c r="AM2214" t="s">
        <v>19575</v>
      </c>
      <c r="AN2214" t="s">
        <v>2094</v>
      </c>
      <c r="AO2214" t="s">
        <v>19576</v>
      </c>
      <c r="AP2214" t="s">
        <v>7024</v>
      </c>
      <c r="AQ2214" t="s">
        <v>19577</v>
      </c>
      <c r="AT2214" s="184">
        <v>35720</v>
      </c>
      <c r="AU2214" t="s">
        <v>19578</v>
      </c>
      <c r="AV2214">
        <v>15</v>
      </c>
      <c r="AW2214" s="184">
        <v>44944</v>
      </c>
      <c r="AX2214" t="s">
        <v>11563</v>
      </c>
      <c r="AY2214">
        <v>100</v>
      </c>
      <c r="AZ2214" s="184">
        <v>44944</v>
      </c>
      <c r="BA2214" t="s">
        <v>11563</v>
      </c>
      <c r="BB2214">
        <v>100</v>
      </c>
      <c r="BC2214">
        <v>79</v>
      </c>
      <c r="BD2214">
        <v>1345</v>
      </c>
      <c r="BE2214">
        <v>1998</v>
      </c>
      <c r="BF2214">
        <v>47</v>
      </c>
      <c r="BG2214">
        <v>2</v>
      </c>
      <c r="BH2214">
        <v>125</v>
      </c>
      <c r="BI2214">
        <v>22</v>
      </c>
      <c r="BJ2214">
        <v>28</v>
      </c>
      <c r="BK2214">
        <v>13</v>
      </c>
      <c r="BP2214" s="184"/>
    </row>
    <row r="2215" spans="1:68">
      <c r="A2215">
        <v>26868851</v>
      </c>
      <c r="B2215">
        <v>26868851</v>
      </c>
      <c r="C2215" t="s">
        <v>7018</v>
      </c>
      <c r="E2215" s="184"/>
      <c r="F2215" t="s">
        <v>595</v>
      </c>
      <c r="G2215" s="184">
        <v>43731</v>
      </c>
      <c r="I2215" s="184"/>
      <c r="K2215" s="184"/>
      <c r="M2215" s="184"/>
      <c r="O2215" s="184"/>
      <c r="P2215" t="s">
        <v>7045</v>
      </c>
      <c r="Q2215" t="s">
        <v>7160</v>
      </c>
      <c r="R2215" s="184">
        <v>18994</v>
      </c>
      <c r="S2215">
        <v>72</v>
      </c>
      <c r="U2215" t="s">
        <v>7076</v>
      </c>
      <c r="V2215" t="s">
        <v>2903</v>
      </c>
      <c r="X2215" t="s">
        <v>3974</v>
      </c>
      <c r="AF2215" t="s">
        <v>19579</v>
      </c>
      <c r="AG2215" t="s">
        <v>2903</v>
      </c>
      <c r="AI2215" t="s">
        <v>19580</v>
      </c>
      <c r="AM2215" t="s">
        <v>3975</v>
      </c>
      <c r="AN2215" t="s">
        <v>2413</v>
      </c>
      <c r="AO2215" t="s">
        <v>19581</v>
      </c>
      <c r="AP2215" t="s">
        <v>7024</v>
      </c>
      <c r="AQ2215" t="s">
        <v>19582</v>
      </c>
      <c r="AR2215" t="s">
        <v>19583</v>
      </c>
      <c r="AT2215" s="184">
        <v>35727</v>
      </c>
      <c r="AU2215" t="s">
        <v>19584</v>
      </c>
      <c r="AV2215">
        <v>20.95</v>
      </c>
      <c r="AW2215" s="184">
        <v>45090</v>
      </c>
      <c r="AX2215" t="s">
        <v>19585</v>
      </c>
      <c r="AY2215">
        <v>55</v>
      </c>
      <c r="AZ2215" s="184">
        <v>37694</v>
      </c>
      <c r="BA2215" t="s">
        <v>19586</v>
      </c>
      <c r="BB2215">
        <v>75</v>
      </c>
      <c r="BC2215">
        <v>61</v>
      </c>
      <c r="BD2215">
        <v>1105.95</v>
      </c>
      <c r="BE2215">
        <v>1998</v>
      </c>
      <c r="BF2215">
        <v>38</v>
      </c>
      <c r="BG2215">
        <v>1</v>
      </c>
      <c r="BH2215">
        <v>55</v>
      </c>
      <c r="BI2215">
        <v>17</v>
      </c>
      <c r="BJ2215">
        <v>28</v>
      </c>
      <c r="BK2215">
        <v>9</v>
      </c>
      <c r="BP2215" s="184"/>
    </row>
    <row r="2216" spans="1:68">
      <c r="A2216">
        <v>26876151</v>
      </c>
      <c r="B2216">
        <v>26876151</v>
      </c>
      <c r="C2216" t="s">
        <v>7018</v>
      </c>
      <c r="D2216" t="s">
        <v>595</v>
      </c>
      <c r="E2216" s="184">
        <v>45119</v>
      </c>
      <c r="G2216" s="184"/>
      <c r="I2216" s="184"/>
      <c r="K2216" s="184"/>
      <c r="M2216" s="184"/>
      <c r="P2216" t="s">
        <v>7045</v>
      </c>
      <c r="Q2216" t="s">
        <v>7020</v>
      </c>
      <c r="R2216" s="184">
        <v>19968</v>
      </c>
      <c r="S2216">
        <v>69</v>
      </c>
      <c r="U2216" t="s">
        <v>7031</v>
      </c>
      <c r="V2216" t="s">
        <v>4587</v>
      </c>
      <c r="X2216" t="s">
        <v>19587</v>
      </c>
      <c r="Z2216">
        <v>100070669</v>
      </c>
      <c r="AB2216" t="s">
        <v>2580</v>
      </c>
      <c r="AD2216" t="s">
        <v>19587</v>
      </c>
      <c r="AF2216" t="s">
        <v>19588</v>
      </c>
      <c r="AG2216" t="s">
        <v>19589</v>
      </c>
      <c r="AI2216" t="s">
        <v>18968</v>
      </c>
      <c r="AM2216" t="s">
        <v>19590</v>
      </c>
      <c r="AN2216" t="s">
        <v>2112</v>
      </c>
      <c r="AO2216" t="s">
        <v>19591</v>
      </c>
      <c r="AP2216" t="s">
        <v>7024</v>
      </c>
      <c r="AQ2216" t="s">
        <v>19592</v>
      </c>
      <c r="AT2216" s="184">
        <v>35726</v>
      </c>
      <c r="AU2216" t="s">
        <v>19570</v>
      </c>
      <c r="AV2216">
        <v>10</v>
      </c>
      <c r="AW2216" s="184">
        <v>45300</v>
      </c>
      <c r="AX2216" t="s">
        <v>19593</v>
      </c>
      <c r="AY2216">
        <v>15</v>
      </c>
      <c r="AZ2216" s="184">
        <v>43977</v>
      </c>
      <c r="BA2216" t="s">
        <v>19594</v>
      </c>
      <c r="BB2216">
        <v>60</v>
      </c>
      <c r="BC2216">
        <v>50</v>
      </c>
      <c r="BD2216">
        <v>238</v>
      </c>
      <c r="BE2216">
        <v>1998</v>
      </c>
      <c r="BF2216">
        <v>14</v>
      </c>
      <c r="BG2216">
        <v>1</v>
      </c>
      <c r="BH2216">
        <v>15</v>
      </c>
      <c r="BI2216">
        <v>14</v>
      </c>
      <c r="BJ2216">
        <v>28</v>
      </c>
      <c r="BK2216">
        <v>4</v>
      </c>
      <c r="BN2216" t="s">
        <v>595</v>
      </c>
      <c r="BP2216" s="184"/>
    </row>
    <row r="2217" spans="1:68">
      <c r="A2217">
        <v>100070669</v>
      </c>
      <c r="B2217">
        <v>26876151</v>
      </c>
      <c r="C2217" t="s">
        <v>7018</v>
      </c>
      <c r="D2217" t="s">
        <v>595</v>
      </c>
      <c r="E2217" s="184">
        <v>45119</v>
      </c>
      <c r="G2217" s="184"/>
      <c r="I2217" s="184"/>
      <c r="K2217" s="184"/>
      <c r="M2217" s="184"/>
      <c r="O2217" s="184"/>
      <c r="P2217" t="s">
        <v>7045</v>
      </c>
      <c r="Q2217" t="s">
        <v>7020</v>
      </c>
      <c r="R2217" s="184">
        <v>19968</v>
      </c>
      <c r="S2217">
        <v>69</v>
      </c>
      <c r="V2217" t="s">
        <v>2580</v>
      </c>
      <c r="X2217" t="s">
        <v>19587</v>
      </c>
      <c r="Z2217">
        <v>26876151</v>
      </c>
      <c r="AA2217" t="s">
        <v>7031</v>
      </c>
      <c r="AB2217" t="s">
        <v>4587</v>
      </c>
      <c r="AD2217" t="s">
        <v>19587</v>
      </c>
      <c r="AF2217" t="s">
        <v>19588</v>
      </c>
      <c r="AG2217" t="s">
        <v>19589</v>
      </c>
      <c r="AI2217" t="s">
        <v>18968</v>
      </c>
      <c r="AM2217" t="s">
        <v>19590</v>
      </c>
      <c r="AN2217" t="s">
        <v>2112</v>
      </c>
      <c r="AO2217" t="s">
        <v>19591</v>
      </c>
      <c r="AP2217" t="s">
        <v>7024</v>
      </c>
      <c r="AT2217" s="184"/>
      <c r="AW2217" s="184"/>
      <c r="AZ2217" s="184"/>
      <c r="BP2217" s="184"/>
    </row>
    <row r="2218" spans="1:68">
      <c r="A2218">
        <v>26882522</v>
      </c>
      <c r="B2218">
        <v>26882522</v>
      </c>
      <c r="C2218" t="s">
        <v>7018</v>
      </c>
      <c r="E2218" s="184"/>
      <c r="F2218" t="s">
        <v>595</v>
      </c>
      <c r="G2218" s="184">
        <v>43731</v>
      </c>
      <c r="I2218" s="184"/>
      <c r="K2218" s="184"/>
      <c r="M2218" s="184"/>
      <c r="O2218" s="184"/>
      <c r="P2218" t="s">
        <v>7045</v>
      </c>
      <c r="Q2218" t="s">
        <v>7454</v>
      </c>
      <c r="R2218" s="184">
        <v>11930</v>
      </c>
      <c r="S2218">
        <v>91</v>
      </c>
      <c r="U2218" t="s">
        <v>7032</v>
      </c>
      <c r="V2218" t="s">
        <v>3384</v>
      </c>
      <c r="X2218" t="s">
        <v>3976</v>
      </c>
      <c r="Z2218">
        <v>100070683</v>
      </c>
      <c r="AA2218" t="s">
        <v>7130</v>
      </c>
      <c r="AB2218" t="s">
        <v>2989</v>
      </c>
      <c r="AC2218" t="s">
        <v>3522</v>
      </c>
      <c r="AD2218" t="s">
        <v>3976</v>
      </c>
      <c r="AF2218" t="s">
        <v>19595</v>
      </c>
      <c r="AG2218" t="s">
        <v>19596</v>
      </c>
      <c r="AI2218" t="s">
        <v>19597</v>
      </c>
      <c r="AM2218" t="s">
        <v>3977</v>
      </c>
      <c r="AN2218" t="s">
        <v>2299</v>
      </c>
      <c r="AO2218" t="s">
        <v>19598</v>
      </c>
      <c r="AP2218" t="s">
        <v>7024</v>
      </c>
      <c r="AQ2218" t="s">
        <v>19599</v>
      </c>
      <c r="AT2218" s="184">
        <v>35727</v>
      </c>
      <c r="AU2218" t="s">
        <v>19600</v>
      </c>
      <c r="AV2218">
        <v>25</v>
      </c>
      <c r="AW2218" s="184">
        <v>44529</v>
      </c>
      <c r="AX2218" t="s">
        <v>19601</v>
      </c>
      <c r="AY2218">
        <v>15</v>
      </c>
      <c r="AZ2218" s="184">
        <v>40339</v>
      </c>
      <c r="BA2218" t="s">
        <v>19602</v>
      </c>
      <c r="BB2218">
        <v>125</v>
      </c>
      <c r="BC2218">
        <v>83</v>
      </c>
      <c r="BD2218">
        <v>1775</v>
      </c>
      <c r="BE2218">
        <v>1998</v>
      </c>
      <c r="BF2218">
        <v>107</v>
      </c>
      <c r="BI2218">
        <v>23</v>
      </c>
      <c r="BJ2218">
        <v>28</v>
      </c>
      <c r="BK2218">
        <v>20</v>
      </c>
      <c r="BP2218" s="184"/>
    </row>
    <row r="2219" spans="1:68">
      <c r="A2219">
        <v>100070683</v>
      </c>
      <c r="B2219">
        <v>26882522</v>
      </c>
      <c r="C2219" t="s">
        <v>7018</v>
      </c>
      <c r="E2219" s="184"/>
      <c r="F2219" t="s">
        <v>595</v>
      </c>
      <c r="G2219" s="184">
        <v>43731</v>
      </c>
      <c r="I2219" s="184"/>
      <c r="K2219" s="184"/>
      <c r="M2219" s="184"/>
      <c r="O2219" s="184"/>
      <c r="P2219" t="s">
        <v>7045</v>
      </c>
      <c r="Q2219" t="s">
        <v>7454</v>
      </c>
      <c r="R2219" s="184">
        <v>13882</v>
      </c>
      <c r="S2219">
        <v>86</v>
      </c>
      <c r="U2219" t="s">
        <v>7130</v>
      </c>
      <c r="V2219" t="s">
        <v>2989</v>
      </c>
      <c r="W2219" t="s">
        <v>3522</v>
      </c>
      <c r="X2219" t="s">
        <v>3976</v>
      </c>
      <c r="Z2219">
        <v>26882522</v>
      </c>
      <c r="AA2219" t="s">
        <v>7032</v>
      </c>
      <c r="AB2219" t="s">
        <v>3384</v>
      </c>
      <c r="AD2219" t="s">
        <v>3976</v>
      </c>
      <c r="AF2219" t="s">
        <v>19595</v>
      </c>
      <c r="AG2219" t="s">
        <v>19596</v>
      </c>
      <c r="AI2219" t="s">
        <v>19597</v>
      </c>
      <c r="AM2219" t="s">
        <v>3977</v>
      </c>
      <c r="AN2219" t="s">
        <v>2299</v>
      </c>
      <c r="AO2219" t="s">
        <v>19598</v>
      </c>
      <c r="AP2219" t="s">
        <v>7024</v>
      </c>
      <c r="AT2219" s="184"/>
      <c r="AW2219" s="184"/>
      <c r="AZ2219" s="184"/>
      <c r="BP2219" s="184"/>
    </row>
    <row r="2220" spans="1:68">
      <c r="A2220">
        <v>26886473</v>
      </c>
      <c r="B2220">
        <v>26886473</v>
      </c>
      <c r="C2220" t="s">
        <v>7018</v>
      </c>
      <c r="E2220" s="184"/>
      <c r="G2220" s="184"/>
      <c r="I2220" s="184"/>
      <c r="J2220" t="s">
        <v>595</v>
      </c>
      <c r="K2220" s="184">
        <v>44452</v>
      </c>
      <c r="M2220" s="184"/>
      <c r="O2220" s="184"/>
      <c r="P2220" t="s">
        <v>7045</v>
      </c>
      <c r="Q2220" t="s">
        <v>7194</v>
      </c>
      <c r="R2220" s="184">
        <v>15321</v>
      </c>
      <c r="S2220">
        <v>82</v>
      </c>
      <c r="U2220" t="s">
        <v>7076</v>
      </c>
      <c r="V2220" t="s">
        <v>2954</v>
      </c>
      <c r="X2220" t="s">
        <v>4184</v>
      </c>
      <c r="Z2220">
        <v>100070693</v>
      </c>
      <c r="AB2220" t="s">
        <v>4316</v>
      </c>
      <c r="AD2220" t="s">
        <v>4184</v>
      </c>
      <c r="AF2220" t="s">
        <v>19603</v>
      </c>
      <c r="AG2220" t="s">
        <v>19604</v>
      </c>
      <c r="AI2220" t="s">
        <v>19605</v>
      </c>
      <c r="AM2220" t="s">
        <v>4351</v>
      </c>
      <c r="AN2220" t="s">
        <v>2046</v>
      </c>
      <c r="AO2220" t="s">
        <v>19606</v>
      </c>
      <c r="AP2220" t="s">
        <v>7024</v>
      </c>
      <c r="AQ2220" t="s">
        <v>19607</v>
      </c>
      <c r="AR2220" t="s">
        <v>19608</v>
      </c>
      <c r="AT2220" s="184">
        <v>35730</v>
      </c>
      <c r="AU2220" t="s">
        <v>19609</v>
      </c>
      <c r="AV2220">
        <v>15</v>
      </c>
      <c r="AW2220" s="184">
        <v>44924</v>
      </c>
      <c r="AX2220" t="s">
        <v>10193</v>
      </c>
      <c r="AY2220">
        <v>50</v>
      </c>
      <c r="AZ2220" s="184">
        <v>40737</v>
      </c>
      <c r="BA2220" t="s">
        <v>19610</v>
      </c>
      <c r="BB2220">
        <v>200</v>
      </c>
      <c r="BC2220">
        <v>50</v>
      </c>
      <c r="BD2220">
        <v>820</v>
      </c>
      <c r="BE2220">
        <v>1998</v>
      </c>
      <c r="BF2220">
        <v>14</v>
      </c>
      <c r="BG2220">
        <v>1</v>
      </c>
      <c r="BH2220">
        <v>50</v>
      </c>
      <c r="BI2220">
        <v>14</v>
      </c>
      <c r="BJ2220">
        <v>28</v>
      </c>
      <c r="BK2220">
        <v>3</v>
      </c>
      <c r="BN2220" t="s">
        <v>595</v>
      </c>
      <c r="BP2220" s="184"/>
    </row>
    <row r="2221" spans="1:68">
      <c r="A2221">
        <v>100070693</v>
      </c>
      <c r="B2221">
        <v>26886473</v>
      </c>
      <c r="C2221" t="s">
        <v>7018</v>
      </c>
      <c r="E2221" s="184"/>
      <c r="G2221" s="184"/>
      <c r="I2221" s="184"/>
      <c r="J2221" t="s">
        <v>595</v>
      </c>
      <c r="K2221" s="184">
        <v>44452</v>
      </c>
      <c r="M2221" s="184"/>
      <c r="O2221" s="184"/>
      <c r="P2221" t="s">
        <v>7045</v>
      </c>
      <c r="Q2221" t="s">
        <v>7194</v>
      </c>
      <c r="R2221" s="184">
        <v>15311</v>
      </c>
      <c r="S2221">
        <v>82</v>
      </c>
      <c r="V2221" t="s">
        <v>4316</v>
      </c>
      <c r="X2221" t="s">
        <v>4184</v>
      </c>
      <c r="Z2221">
        <v>26886473</v>
      </c>
      <c r="AA2221" t="s">
        <v>7076</v>
      </c>
      <c r="AB2221" t="s">
        <v>2954</v>
      </c>
      <c r="AD2221" t="s">
        <v>4184</v>
      </c>
      <c r="AF2221" t="s">
        <v>19603</v>
      </c>
      <c r="AG2221" t="s">
        <v>19604</v>
      </c>
      <c r="AI2221" t="s">
        <v>19605</v>
      </c>
      <c r="AM2221" t="s">
        <v>4351</v>
      </c>
      <c r="AN2221" t="s">
        <v>2046</v>
      </c>
      <c r="AO2221" t="s">
        <v>19606</v>
      </c>
      <c r="AP2221" t="s">
        <v>7024</v>
      </c>
      <c r="AT2221" s="184">
        <v>44193</v>
      </c>
      <c r="AU2221" t="s">
        <v>7099</v>
      </c>
      <c r="AV2221">
        <v>50</v>
      </c>
      <c r="AW2221" s="184">
        <v>45295</v>
      </c>
      <c r="AX2221" t="s">
        <v>13610</v>
      </c>
      <c r="AY2221">
        <v>50</v>
      </c>
      <c r="AZ2221" s="184">
        <v>45295</v>
      </c>
      <c r="BA2221" t="s">
        <v>13610</v>
      </c>
      <c r="BB2221">
        <v>50</v>
      </c>
      <c r="BC2221">
        <v>60</v>
      </c>
      <c r="BD2221">
        <v>150</v>
      </c>
      <c r="BE2221">
        <v>2021</v>
      </c>
      <c r="BF2221">
        <v>3</v>
      </c>
      <c r="BG2221">
        <v>1</v>
      </c>
      <c r="BH2221">
        <v>50</v>
      </c>
      <c r="BI2221">
        <v>3</v>
      </c>
      <c r="BJ2221">
        <v>5</v>
      </c>
      <c r="BK2221">
        <v>1</v>
      </c>
      <c r="BP2221" s="184"/>
    </row>
    <row r="2222" spans="1:68">
      <c r="A2222">
        <v>26888289</v>
      </c>
      <c r="B2222">
        <v>26888289</v>
      </c>
      <c r="C2222" t="s">
        <v>7018</v>
      </c>
      <c r="D2222" t="s">
        <v>595</v>
      </c>
      <c r="E2222" s="184">
        <v>43642</v>
      </c>
      <c r="G2222" s="184"/>
      <c r="I2222" s="184"/>
      <c r="K2222" s="184"/>
      <c r="M2222" s="184"/>
      <c r="O2222" s="184"/>
      <c r="P2222" t="s">
        <v>7045</v>
      </c>
      <c r="Q2222" t="s">
        <v>7383</v>
      </c>
      <c r="R2222" s="184">
        <v>14880</v>
      </c>
      <c r="S2222">
        <v>83</v>
      </c>
      <c r="U2222" t="s">
        <v>7031</v>
      </c>
      <c r="V2222" t="s">
        <v>3283</v>
      </c>
      <c r="X2222" t="s">
        <v>3284</v>
      </c>
      <c r="AF2222" t="s">
        <v>19611</v>
      </c>
      <c r="AG2222" t="s">
        <v>3283</v>
      </c>
      <c r="AI2222" t="s">
        <v>19612</v>
      </c>
      <c r="AM2222" t="s">
        <v>3285</v>
      </c>
      <c r="AN2222" t="s">
        <v>2313</v>
      </c>
      <c r="AO2222" t="s">
        <v>19613</v>
      </c>
      <c r="AP2222" t="s">
        <v>7024</v>
      </c>
      <c r="AT2222" s="184">
        <v>35727</v>
      </c>
      <c r="AU2222" t="s">
        <v>19614</v>
      </c>
      <c r="AV2222">
        <v>20</v>
      </c>
      <c r="AW2222" s="184">
        <v>45169</v>
      </c>
      <c r="AX2222" t="s">
        <v>19615</v>
      </c>
      <c r="AY2222">
        <v>25</v>
      </c>
      <c r="AZ2222" s="184">
        <v>43367</v>
      </c>
      <c r="BA2222" t="s">
        <v>19616</v>
      </c>
      <c r="BB2222">
        <v>60</v>
      </c>
      <c r="BC2222">
        <v>97</v>
      </c>
      <c r="BD2222">
        <v>880</v>
      </c>
      <c r="BE2222">
        <v>1998</v>
      </c>
      <c r="BF2222">
        <v>44</v>
      </c>
      <c r="BG2222">
        <v>3</v>
      </c>
      <c r="BH2222">
        <v>75</v>
      </c>
      <c r="BI2222">
        <v>27</v>
      </c>
      <c r="BJ2222">
        <v>28</v>
      </c>
      <c r="BK2222">
        <v>27</v>
      </c>
      <c r="BP2222" s="184"/>
    </row>
    <row r="2223" spans="1:68">
      <c r="A2223">
        <v>26890764</v>
      </c>
      <c r="B2223">
        <v>26890764</v>
      </c>
      <c r="C2223" t="s">
        <v>7018</v>
      </c>
      <c r="E2223" s="184"/>
      <c r="F2223" t="s">
        <v>595</v>
      </c>
      <c r="G2223" s="184">
        <v>43731</v>
      </c>
      <c r="I2223" s="184"/>
      <c r="K2223" s="184"/>
      <c r="M2223" s="184"/>
      <c r="O2223" s="184"/>
      <c r="P2223" t="s">
        <v>7045</v>
      </c>
      <c r="Q2223" t="s">
        <v>7454</v>
      </c>
      <c r="R2223" s="184">
        <v>21470</v>
      </c>
      <c r="S2223">
        <v>65</v>
      </c>
      <c r="U2223" t="s">
        <v>7076</v>
      </c>
      <c r="V2223" t="s">
        <v>2665</v>
      </c>
      <c r="W2223" t="s">
        <v>2665</v>
      </c>
      <c r="X2223" t="s">
        <v>3978</v>
      </c>
      <c r="AF2223" t="s">
        <v>19617</v>
      </c>
      <c r="AG2223" t="s">
        <v>2665</v>
      </c>
      <c r="AI2223" t="s">
        <v>19618</v>
      </c>
      <c r="AM2223" t="s">
        <v>3979</v>
      </c>
      <c r="AN2223" t="s">
        <v>2299</v>
      </c>
      <c r="AO2223" t="s">
        <v>19619</v>
      </c>
      <c r="AP2223" t="s">
        <v>7024</v>
      </c>
      <c r="AQ2223" t="s">
        <v>19620</v>
      </c>
      <c r="AR2223" t="s">
        <v>19621</v>
      </c>
      <c r="AT2223" s="184">
        <v>35730</v>
      </c>
      <c r="AU2223" t="s">
        <v>19622</v>
      </c>
      <c r="AV2223">
        <v>50</v>
      </c>
      <c r="AW2223" s="184">
        <v>44466</v>
      </c>
      <c r="AX2223" t="s">
        <v>19623</v>
      </c>
      <c r="AY2223">
        <v>250</v>
      </c>
      <c r="AZ2223" s="184">
        <v>44466</v>
      </c>
      <c r="BA2223" t="s">
        <v>19623</v>
      </c>
      <c r="BB2223">
        <v>250</v>
      </c>
      <c r="BC2223">
        <v>90</v>
      </c>
      <c r="BD2223">
        <v>4350</v>
      </c>
      <c r="BE2223">
        <v>1998</v>
      </c>
      <c r="BF2223">
        <v>28</v>
      </c>
      <c r="BI2223">
        <v>25</v>
      </c>
      <c r="BJ2223">
        <v>28</v>
      </c>
      <c r="BK2223">
        <v>25</v>
      </c>
      <c r="BP2223" s="184"/>
    </row>
    <row r="2224" spans="1:68">
      <c r="A2224">
        <v>26890921</v>
      </c>
      <c r="B2224">
        <v>26890921</v>
      </c>
      <c r="C2224" t="s">
        <v>7018</v>
      </c>
      <c r="D2224" t="s">
        <v>595</v>
      </c>
      <c r="E2224" s="184">
        <v>45147</v>
      </c>
      <c r="G2224" s="184"/>
      <c r="I2224" s="184"/>
      <c r="K2224" s="184"/>
      <c r="M2224" s="184"/>
      <c r="O2224" s="184"/>
      <c r="P2224" t="s">
        <v>7045</v>
      </c>
      <c r="Q2224" t="s">
        <v>7383</v>
      </c>
      <c r="R2224" s="184">
        <v>15220</v>
      </c>
      <c r="S2224">
        <v>82</v>
      </c>
      <c r="V2224" t="s">
        <v>2851</v>
      </c>
      <c r="X2224" t="s">
        <v>19624</v>
      </c>
      <c r="Z2224">
        <v>100070712</v>
      </c>
      <c r="AB2224" t="s">
        <v>2903</v>
      </c>
      <c r="AD2224" t="s">
        <v>19624</v>
      </c>
      <c r="AF2224" t="s">
        <v>19625</v>
      </c>
      <c r="AG2224" t="s">
        <v>19626</v>
      </c>
      <c r="AI2224" t="s">
        <v>19627</v>
      </c>
      <c r="AM2224" t="s">
        <v>19628</v>
      </c>
      <c r="AN2224" t="s">
        <v>2144</v>
      </c>
      <c r="AO2224" t="s">
        <v>19629</v>
      </c>
      <c r="AP2224" t="s">
        <v>7024</v>
      </c>
      <c r="AT2224" s="184">
        <v>35731</v>
      </c>
      <c r="AU2224" t="s">
        <v>19630</v>
      </c>
      <c r="AV2224">
        <v>25</v>
      </c>
      <c r="AW2224" s="184">
        <v>45097</v>
      </c>
      <c r="AX2224" t="s">
        <v>14855</v>
      </c>
      <c r="AY2224">
        <v>100</v>
      </c>
      <c r="AZ2224" s="184">
        <v>45097</v>
      </c>
      <c r="BA2224" t="s">
        <v>14855</v>
      </c>
      <c r="BB2224">
        <v>100</v>
      </c>
      <c r="BC2224">
        <v>22</v>
      </c>
      <c r="BD2224">
        <v>370</v>
      </c>
      <c r="BE2224">
        <v>1998</v>
      </c>
      <c r="BF2224">
        <v>7</v>
      </c>
      <c r="BG2224">
        <v>3</v>
      </c>
      <c r="BH2224">
        <v>250</v>
      </c>
      <c r="BI2224">
        <v>6</v>
      </c>
      <c r="BJ2224">
        <v>28</v>
      </c>
      <c r="BK2224">
        <v>2</v>
      </c>
      <c r="BP2224" s="184"/>
    </row>
    <row r="2225" spans="1:68">
      <c r="A2225">
        <v>100070712</v>
      </c>
      <c r="B2225">
        <v>26890921</v>
      </c>
      <c r="C2225" t="s">
        <v>7018</v>
      </c>
      <c r="D2225" t="s">
        <v>595</v>
      </c>
      <c r="E2225" s="184">
        <v>45147</v>
      </c>
      <c r="G2225" s="184"/>
      <c r="I2225" s="184"/>
      <c r="K2225" s="184"/>
      <c r="M2225" s="184"/>
      <c r="O2225" s="184"/>
      <c r="P2225" t="s">
        <v>7045</v>
      </c>
      <c r="Q2225" t="s">
        <v>7383</v>
      </c>
      <c r="R2225" s="184">
        <v>14977</v>
      </c>
      <c r="S2225">
        <v>83</v>
      </c>
      <c r="V2225" t="s">
        <v>2903</v>
      </c>
      <c r="X2225" t="s">
        <v>19624</v>
      </c>
      <c r="Z2225">
        <v>26890921</v>
      </c>
      <c r="AB2225" t="s">
        <v>2851</v>
      </c>
      <c r="AD2225" t="s">
        <v>19624</v>
      </c>
      <c r="AF2225" t="s">
        <v>19625</v>
      </c>
      <c r="AG2225" t="s">
        <v>19626</v>
      </c>
      <c r="AI2225" t="s">
        <v>19627</v>
      </c>
      <c r="AM2225" t="s">
        <v>19628</v>
      </c>
      <c r="AN2225" t="s">
        <v>2144</v>
      </c>
      <c r="AO2225" t="s">
        <v>19629</v>
      </c>
      <c r="AP2225" t="s">
        <v>7024</v>
      </c>
      <c r="AT2225" s="184"/>
      <c r="AW2225" s="184"/>
      <c r="AZ2225" s="184"/>
      <c r="BP2225" s="184"/>
    </row>
    <row r="2226" spans="1:68">
      <c r="A2226">
        <v>26905695</v>
      </c>
      <c r="B2226">
        <v>26905695</v>
      </c>
      <c r="C2226" t="s">
        <v>7018</v>
      </c>
      <c r="E2226" s="184"/>
      <c r="G2226" s="184"/>
      <c r="H2226" t="s">
        <v>595</v>
      </c>
      <c r="I2226" s="184">
        <v>44167</v>
      </c>
      <c r="K2226" s="184"/>
      <c r="M2226" s="184"/>
      <c r="O2226" s="184"/>
      <c r="P2226" t="s">
        <v>7045</v>
      </c>
      <c r="Q2226" t="s">
        <v>7160</v>
      </c>
      <c r="R2226" s="184">
        <v>16411</v>
      </c>
      <c r="S2226">
        <v>79</v>
      </c>
      <c r="U2226" t="s">
        <v>7237</v>
      </c>
      <c r="V2226" t="s">
        <v>2863</v>
      </c>
      <c r="X2226" t="s">
        <v>2706</v>
      </c>
      <c r="AF2226" t="s">
        <v>19631</v>
      </c>
      <c r="AG2226" t="s">
        <v>2863</v>
      </c>
      <c r="AI2226" t="s">
        <v>19632</v>
      </c>
      <c r="AM2226" t="s">
        <v>4515</v>
      </c>
      <c r="AN2226" t="s">
        <v>2395</v>
      </c>
      <c r="AO2226" t="s">
        <v>19633</v>
      </c>
      <c r="AP2226" t="s">
        <v>7024</v>
      </c>
      <c r="AQ2226" t="s">
        <v>19634</v>
      </c>
      <c r="AR2226" t="s">
        <v>19635</v>
      </c>
      <c r="AT2226" s="184">
        <v>35734</v>
      </c>
      <c r="AU2226" t="s">
        <v>19636</v>
      </c>
      <c r="AV2226">
        <v>25</v>
      </c>
      <c r="AW2226" s="184">
        <v>44858</v>
      </c>
      <c r="AX2226" t="s">
        <v>19637</v>
      </c>
      <c r="AY2226">
        <v>50</v>
      </c>
      <c r="AZ2226" s="184">
        <v>39528</v>
      </c>
      <c r="BA2226" t="s">
        <v>19638</v>
      </c>
      <c r="BB2226">
        <v>250</v>
      </c>
      <c r="BC2226">
        <v>75</v>
      </c>
      <c r="BD2226">
        <v>3085</v>
      </c>
      <c r="BE2226">
        <v>1998</v>
      </c>
      <c r="BF2226">
        <v>30</v>
      </c>
      <c r="BG2226">
        <v>1</v>
      </c>
      <c r="BH2226">
        <v>50</v>
      </c>
      <c r="BI2226">
        <v>21</v>
      </c>
      <c r="BJ2226">
        <v>28</v>
      </c>
      <c r="BK2226">
        <v>13</v>
      </c>
      <c r="BP2226" s="184"/>
    </row>
    <row r="2227" spans="1:68">
      <c r="A2227">
        <v>26918250</v>
      </c>
      <c r="B2227">
        <v>26918250</v>
      </c>
      <c r="C2227" t="s">
        <v>7018</v>
      </c>
      <c r="D2227" t="s">
        <v>595</v>
      </c>
      <c r="E2227" s="184">
        <v>45154</v>
      </c>
      <c r="G2227" s="184"/>
      <c r="I2227" s="184"/>
      <c r="K2227" s="184"/>
      <c r="M2227" s="184"/>
      <c r="P2227" t="s">
        <v>7045</v>
      </c>
      <c r="Q2227" t="s">
        <v>7383</v>
      </c>
      <c r="R2227" s="184">
        <v>19672</v>
      </c>
      <c r="S2227">
        <v>70</v>
      </c>
      <c r="U2227" t="s">
        <v>7031</v>
      </c>
      <c r="V2227" t="s">
        <v>4236</v>
      </c>
      <c r="W2227" t="s">
        <v>3830</v>
      </c>
      <c r="X2227" t="s">
        <v>19639</v>
      </c>
      <c r="AF2227" t="s">
        <v>19640</v>
      </c>
      <c r="AG2227" t="s">
        <v>4236</v>
      </c>
      <c r="AI2227" t="s">
        <v>19641</v>
      </c>
      <c r="AM2227" t="s">
        <v>19642</v>
      </c>
      <c r="AN2227" t="s">
        <v>2144</v>
      </c>
      <c r="AO2227" t="s">
        <v>19643</v>
      </c>
      <c r="AP2227" t="s">
        <v>7024</v>
      </c>
      <c r="AQ2227" t="s">
        <v>19644</v>
      </c>
      <c r="AT2227" s="184">
        <v>35737</v>
      </c>
      <c r="AU2227" t="s">
        <v>19645</v>
      </c>
      <c r="AV2227">
        <v>25</v>
      </c>
      <c r="AW2227" s="184">
        <v>44812</v>
      </c>
      <c r="AX2227" t="s">
        <v>19646</v>
      </c>
      <c r="AY2227">
        <v>50</v>
      </c>
      <c r="AZ2227" s="184">
        <v>44812</v>
      </c>
      <c r="BA2227" t="s">
        <v>19646</v>
      </c>
      <c r="BB2227">
        <v>50</v>
      </c>
      <c r="BC2227">
        <v>8</v>
      </c>
      <c r="BD2227">
        <v>90</v>
      </c>
      <c r="BE2227">
        <v>1998</v>
      </c>
      <c r="BF2227">
        <v>3</v>
      </c>
      <c r="BG2227">
        <v>1</v>
      </c>
      <c r="BH2227">
        <v>50</v>
      </c>
      <c r="BI2227">
        <v>2</v>
      </c>
      <c r="BJ2227">
        <v>28</v>
      </c>
      <c r="BK2227">
        <v>1</v>
      </c>
      <c r="BP2227" s="184"/>
    </row>
    <row r="2228" spans="1:68">
      <c r="A2228">
        <v>26936765</v>
      </c>
      <c r="B2228">
        <v>26936765</v>
      </c>
      <c r="C2228" t="s">
        <v>7018</v>
      </c>
      <c r="E2228" s="184"/>
      <c r="G2228" s="184"/>
      <c r="I2228" s="184"/>
      <c r="K2228" s="184"/>
      <c r="L2228" t="s">
        <v>595</v>
      </c>
      <c r="M2228" s="184">
        <v>44398</v>
      </c>
      <c r="O2228" s="184"/>
      <c r="P2228" t="s">
        <v>7029</v>
      </c>
      <c r="Q2228" t="s">
        <v>7494</v>
      </c>
      <c r="R2228" s="184">
        <v>17630</v>
      </c>
      <c r="S2228">
        <v>76</v>
      </c>
      <c r="V2228" t="s">
        <v>2867</v>
      </c>
      <c r="X2228" t="s">
        <v>9660</v>
      </c>
      <c r="Z2228">
        <v>100070849</v>
      </c>
      <c r="AB2228" t="s">
        <v>5851</v>
      </c>
      <c r="AD2228" t="s">
        <v>9660</v>
      </c>
      <c r="AF2228" t="s">
        <v>19647</v>
      </c>
      <c r="AG2228" t="s">
        <v>19648</v>
      </c>
      <c r="AI2228" t="s">
        <v>19649</v>
      </c>
      <c r="AM2228" t="s">
        <v>2582</v>
      </c>
      <c r="AN2228" t="s">
        <v>2174</v>
      </c>
      <c r="AO2228" t="s">
        <v>19650</v>
      </c>
      <c r="AP2228" t="s">
        <v>7024</v>
      </c>
      <c r="AT2228" s="184">
        <v>35740</v>
      </c>
      <c r="AU2228" t="s">
        <v>19651</v>
      </c>
      <c r="AV2228">
        <v>15</v>
      </c>
      <c r="AW2228" s="184">
        <v>45291</v>
      </c>
      <c r="AX2228" t="s">
        <v>7092</v>
      </c>
      <c r="AY2228">
        <v>2000</v>
      </c>
      <c r="AZ2228" s="184">
        <v>45291</v>
      </c>
      <c r="BA2228" t="s">
        <v>7092</v>
      </c>
      <c r="BB2228">
        <v>2000</v>
      </c>
      <c r="BC2228">
        <v>75</v>
      </c>
      <c r="BD2228">
        <v>6825</v>
      </c>
      <c r="BE2228">
        <v>1998</v>
      </c>
      <c r="BF2228">
        <v>29</v>
      </c>
      <c r="BG2228">
        <v>2</v>
      </c>
      <c r="BH2228">
        <v>3000</v>
      </c>
      <c r="BI2228">
        <v>21</v>
      </c>
      <c r="BJ2228">
        <v>28</v>
      </c>
      <c r="BK2228">
        <v>12</v>
      </c>
      <c r="BP2228" s="184"/>
    </row>
    <row r="2229" spans="1:68">
      <c r="A2229">
        <v>100070849</v>
      </c>
      <c r="B2229">
        <v>26936765</v>
      </c>
      <c r="C2229" t="s">
        <v>7018</v>
      </c>
      <c r="E2229" s="184"/>
      <c r="G2229" s="184"/>
      <c r="I2229" s="184"/>
      <c r="K2229" s="184"/>
      <c r="L2229" t="s">
        <v>595</v>
      </c>
      <c r="M2229" s="184">
        <v>44398</v>
      </c>
      <c r="O2229" s="184"/>
      <c r="P2229" t="s">
        <v>7029</v>
      </c>
      <c r="Q2229" t="s">
        <v>7494</v>
      </c>
      <c r="R2229" s="184"/>
      <c r="V2229" t="s">
        <v>5851</v>
      </c>
      <c r="X2229" t="s">
        <v>9660</v>
      </c>
      <c r="Z2229">
        <v>26936765</v>
      </c>
      <c r="AB2229" t="s">
        <v>2867</v>
      </c>
      <c r="AD2229" t="s">
        <v>9660</v>
      </c>
      <c r="AF2229" t="s">
        <v>19647</v>
      </c>
      <c r="AG2229" t="s">
        <v>19648</v>
      </c>
      <c r="AI2229" t="s">
        <v>19649</v>
      </c>
      <c r="AM2229" t="s">
        <v>2582</v>
      </c>
      <c r="AN2229" t="s">
        <v>2174</v>
      </c>
      <c r="AO2229" t="s">
        <v>19650</v>
      </c>
      <c r="AP2229" t="s">
        <v>7024</v>
      </c>
      <c r="AQ2229" t="s">
        <v>19652</v>
      </c>
      <c r="AT2229" s="184">
        <v>43605</v>
      </c>
      <c r="AU2229" t="s">
        <v>19653</v>
      </c>
      <c r="AV2229">
        <v>100</v>
      </c>
      <c r="AW2229" s="184">
        <v>44322</v>
      </c>
      <c r="AX2229" t="s">
        <v>7714</v>
      </c>
      <c r="AY2229">
        <v>100</v>
      </c>
      <c r="AZ2229" s="184">
        <v>43802</v>
      </c>
      <c r="BA2229" t="s">
        <v>19654</v>
      </c>
      <c r="BB2229">
        <v>250</v>
      </c>
      <c r="BC2229">
        <v>50</v>
      </c>
      <c r="BD2229">
        <v>550</v>
      </c>
      <c r="BE2229">
        <v>2019</v>
      </c>
      <c r="BF2229">
        <v>4</v>
      </c>
      <c r="BI2229">
        <v>3</v>
      </c>
      <c r="BJ2229">
        <v>6</v>
      </c>
      <c r="BK2229">
        <v>3</v>
      </c>
      <c r="BP2229" s="184"/>
    </row>
    <row r="2230" spans="1:68">
      <c r="A2230">
        <v>26949420</v>
      </c>
      <c r="B2230">
        <v>26949420</v>
      </c>
      <c r="C2230" t="s">
        <v>7018</v>
      </c>
      <c r="E2230" s="184"/>
      <c r="G2230" s="184"/>
      <c r="I2230" s="184"/>
      <c r="J2230" t="s">
        <v>595</v>
      </c>
      <c r="K2230" s="184">
        <v>40945</v>
      </c>
      <c r="M2230" s="184"/>
      <c r="O2230" s="184"/>
      <c r="P2230" t="s">
        <v>7045</v>
      </c>
      <c r="Q2230" t="s">
        <v>7030</v>
      </c>
      <c r="R2230" s="184">
        <v>18629</v>
      </c>
      <c r="S2230">
        <v>73</v>
      </c>
      <c r="V2230" t="s">
        <v>2979</v>
      </c>
      <c r="X2230" t="s">
        <v>19655</v>
      </c>
      <c r="AF2230" t="s">
        <v>6647</v>
      </c>
      <c r="AG2230" t="s">
        <v>2979</v>
      </c>
      <c r="AI2230" t="s">
        <v>19656</v>
      </c>
      <c r="AM2230" t="s">
        <v>4462</v>
      </c>
      <c r="AN2230" t="s">
        <v>2201</v>
      </c>
      <c r="AO2230" t="s">
        <v>19657</v>
      </c>
      <c r="AP2230" t="s">
        <v>7024</v>
      </c>
      <c r="AT2230" s="184">
        <v>35745</v>
      </c>
      <c r="AU2230" t="s">
        <v>19658</v>
      </c>
      <c r="AV2230">
        <v>15</v>
      </c>
      <c r="AW2230" s="184">
        <v>41863</v>
      </c>
      <c r="AX2230" t="s">
        <v>19659</v>
      </c>
      <c r="AY2230">
        <v>25</v>
      </c>
      <c r="AZ2230" s="184">
        <v>41863</v>
      </c>
      <c r="BA2230" t="s">
        <v>19659</v>
      </c>
      <c r="BB2230">
        <v>25</v>
      </c>
      <c r="BC2230">
        <v>33</v>
      </c>
      <c r="BD2230">
        <v>266</v>
      </c>
      <c r="BE2230">
        <v>1998</v>
      </c>
      <c r="BF2230">
        <v>14</v>
      </c>
      <c r="BI2230">
        <v>9</v>
      </c>
      <c r="BJ2230">
        <v>28</v>
      </c>
      <c r="BK2230">
        <v>4</v>
      </c>
      <c r="BP2230" s="184"/>
    </row>
    <row r="2231" spans="1:68">
      <c r="A2231">
        <v>26968115</v>
      </c>
      <c r="B2231">
        <v>26968115</v>
      </c>
      <c r="C2231" t="s">
        <v>7018</v>
      </c>
      <c r="E2231" s="184"/>
      <c r="G2231" s="184"/>
      <c r="I2231" s="184"/>
      <c r="J2231" t="s">
        <v>595</v>
      </c>
      <c r="K2231" s="184">
        <v>43731</v>
      </c>
      <c r="M2231" s="184"/>
      <c r="O2231" s="184"/>
      <c r="P2231" t="s">
        <v>7045</v>
      </c>
      <c r="Q2231" t="s">
        <v>7383</v>
      </c>
      <c r="R2231" s="184">
        <v>17107</v>
      </c>
      <c r="S2231">
        <v>77</v>
      </c>
      <c r="V2231" t="s">
        <v>2724</v>
      </c>
      <c r="W2231" t="s">
        <v>4013</v>
      </c>
      <c r="X2231" t="s">
        <v>3823</v>
      </c>
      <c r="Z2231">
        <v>100219642</v>
      </c>
      <c r="AB2231" t="s">
        <v>3101</v>
      </c>
      <c r="AD2231" t="s">
        <v>3823</v>
      </c>
      <c r="AF2231" t="s">
        <v>6507</v>
      </c>
      <c r="AG2231" t="s">
        <v>19660</v>
      </c>
      <c r="AI2231" t="s">
        <v>19661</v>
      </c>
      <c r="AM2231" t="s">
        <v>3824</v>
      </c>
      <c r="AN2231" t="s">
        <v>2059</v>
      </c>
      <c r="AO2231" t="s">
        <v>19662</v>
      </c>
      <c r="AP2231" t="s">
        <v>7024</v>
      </c>
      <c r="AQ2231" t="s">
        <v>19663</v>
      </c>
      <c r="AT2231" s="184">
        <v>35751</v>
      </c>
      <c r="AU2231" t="s">
        <v>19664</v>
      </c>
      <c r="AV2231">
        <v>15</v>
      </c>
      <c r="AW2231" s="184">
        <v>44792</v>
      </c>
      <c r="AX2231" t="s">
        <v>19665</v>
      </c>
      <c r="AY2231">
        <v>100</v>
      </c>
      <c r="AZ2231" s="184">
        <v>44792</v>
      </c>
      <c r="BA2231" t="s">
        <v>19665</v>
      </c>
      <c r="BB2231">
        <v>100</v>
      </c>
      <c r="BC2231">
        <v>65</v>
      </c>
      <c r="BD2231">
        <v>1065</v>
      </c>
      <c r="BE2231">
        <v>1998</v>
      </c>
      <c r="BF2231">
        <v>21</v>
      </c>
      <c r="BG2231">
        <v>1</v>
      </c>
      <c r="BH2231">
        <v>100</v>
      </c>
      <c r="BI2231">
        <v>18</v>
      </c>
      <c r="BJ2231">
        <v>28</v>
      </c>
      <c r="BK2231">
        <v>9</v>
      </c>
      <c r="BP2231" s="184"/>
    </row>
    <row r="2232" spans="1:68">
      <c r="A2232">
        <v>100219642</v>
      </c>
      <c r="B2232">
        <v>26968115</v>
      </c>
      <c r="C2232" t="s">
        <v>7018</v>
      </c>
      <c r="E2232" s="184"/>
      <c r="G2232" s="184"/>
      <c r="I2232" s="184"/>
      <c r="J2232" t="s">
        <v>595</v>
      </c>
      <c r="K2232" s="184">
        <v>43731</v>
      </c>
      <c r="O2232" s="184"/>
      <c r="P2232" t="s">
        <v>7045</v>
      </c>
      <c r="Q2232" t="s">
        <v>7383</v>
      </c>
      <c r="R2232" s="184">
        <v>17989</v>
      </c>
      <c r="S2232">
        <v>75</v>
      </c>
      <c r="V2232" t="s">
        <v>3101</v>
      </c>
      <c r="X2232" t="s">
        <v>3823</v>
      </c>
      <c r="Z2232">
        <v>26968115</v>
      </c>
      <c r="AB2232" t="s">
        <v>2724</v>
      </c>
      <c r="AC2232" t="s">
        <v>4013</v>
      </c>
      <c r="AD2232" t="s">
        <v>3823</v>
      </c>
      <c r="AF2232" t="s">
        <v>6507</v>
      </c>
      <c r="AG2232" t="s">
        <v>19660</v>
      </c>
      <c r="AI2232" t="s">
        <v>19661</v>
      </c>
      <c r="AM2232" t="s">
        <v>3824</v>
      </c>
      <c r="AN2232" t="s">
        <v>2059</v>
      </c>
      <c r="AO2232" t="s">
        <v>19662</v>
      </c>
      <c r="AP2232" t="s">
        <v>7024</v>
      </c>
      <c r="AT2232" s="184"/>
      <c r="AW2232" s="184"/>
      <c r="AZ2232" s="184"/>
      <c r="BP2232" s="184"/>
    </row>
    <row r="2233" spans="1:68">
      <c r="A2233">
        <v>26970293</v>
      </c>
      <c r="B2233">
        <v>26970293</v>
      </c>
      <c r="C2233" t="s">
        <v>7018</v>
      </c>
      <c r="D2233" t="s">
        <v>595</v>
      </c>
      <c r="E2233" s="184">
        <v>44073</v>
      </c>
      <c r="G2233" s="184"/>
      <c r="I2233" s="184"/>
      <c r="J2233" t="s">
        <v>595</v>
      </c>
      <c r="K2233" s="184">
        <v>44649</v>
      </c>
      <c r="O2233" s="184"/>
      <c r="P2233" t="s">
        <v>7019</v>
      </c>
      <c r="Q2233" t="s">
        <v>7383</v>
      </c>
      <c r="R2233" s="184">
        <v>17642</v>
      </c>
      <c r="S2233">
        <v>76</v>
      </c>
      <c r="U2233" t="s">
        <v>7076</v>
      </c>
      <c r="V2233" t="s">
        <v>2733</v>
      </c>
      <c r="W2233" t="s">
        <v>4139</v>
      </c>
      <c r="X2233" t="s">
        <v>19666</v>
      </c>
      <c r="AF2233" t="s">
        <v>19667</v>
      </c>
      <c r="AG2233" t="s">
        <v>2733</v>
      </c>
      <c r="AI2233" t="s">
        <v>19668</v>
      </c>
      <c r="AM2233" t="s">
        <v>19669</v>
      </c>
      <c r="AN2233" t="s">
        <v>2313</v>
      </c>
      <c r="AO2233" t="s">
        <v>19670</v>
      </c>
      <c r="AP2233" t="s">
        <v>7024</v>
      </c>
      <c r="AQ2233" t="s">
        <v>19671</v>
      </c>
      <c r="AT2233" s="184">
        <v>35751</v>
      </c>
      <c r="AU2233" t="s">
        <v>19672</v>
      </c>
      <c r="AV2233">
        <v>25</v>
      </c>
      <c r="AW2233" s="184">
        <v>43229</v>
      </c>
      <c r="AX2233" t="s">
        <v>19673</v>
      </c>
      <c r="AY2233">
        <v>60</v>
      </c>
      <c r="AZ2233" s="184">
        <v>43229</v>
      </c>
      <c r="BA2233" t="s">
        <v>19673</v>
      </c>
      <c r="BB2233">
        <v>60</v>
      </c>
      <c r="BC2233">
        <v>43</v>
      </c>
      <c r="BD2233">
        <v>509.97</v>
      </c>
      <c r="BE2233">
        <v>1998</v>
      </c>
      <c r="BF2233">
        <v>17</v>
      </c>
      <c r="BI2233">
        <v>12</v>
      </c>
      <c r="BJ2233">
        <v>28</v>
      </c>
      <c r="BK2233">
        <v>3</v>
      </c>
      <c r="BL2233" t="s">
        <v>595</v>
      </c>
      <c r="BP2233" s="184"/>
    </row>
    <row r="2234" spans="1:68">
      <c r="A2234">
        <v>26979013</v>
      </c>
      <c r="B2234">
        <v>26979013</v>
      </c>
      <c r="C2234" t="s">
        <v>7018</v>
      </c>
      <c r="D2234" t="s">
        <v>595</v>
      </c>
      <c r="E2234" s="184">
        <v>44167</v>
      </c>
      <c r="G2234" s="184"/>
      <c r="H2234" t="s">
        <v>595</v>
      </c>
      <c r="I2234" s="184">
        <v>44167</v>
      </c>
      <c r="K2234" s="184"/>
      <c r="M2234" s="184"/>
      <c r="O2234" s="184"/>
      <c r="P2234" t="s">
        <v>7045</v>
      </c>
      <c r="Q2234" t="s">
        <v>7374</v>
      </c>
      <c r="R2234" s="184">
        <v>9953</v>
      </c>
      <c r="S2234">
        <v>97</v>
      </c>
      <c r="V2234" t="s">
        <v>2828</v>
      </c>
      <c r="X2234" t="s">
        <v>19674</v>
      </c>
      <c r="AF2234" t="s">
        <v>19675</v>
      </c>
      <c r="AG2234" t="s">
        <v>2828</v>
      </c>
      <c r="AI2234" t="s">
        <v>19676</v>
      </c>
      <c r="AM2234" t="s">
        <v>4362</v>
      </c>
      <c r="AN2234" t="s">
        <v>2081</v>
      </c>
      <c r="AO2234" t="s">
        <v>19677</v>
      </c>
      <c r="AP2234" t="s">
        <v>7024</v>
      </c>
      <c r="AQ2234" t="s">
        <v>19678</v>
      </c>
      <c r="AT2234" s="184">
        <v>35755</v>
      </c>
      <c r="AU2234" t="s">
        <v>19679</v>
      </c>
      <c r="AV2234">
        <v>25</v>
      </c>
      <c r="AW2234" s="184">
        <v>45391</v>
      </c>
      <c r="AX2234" t="s">
        <v>15495</v>
      </c>
      <c r="AY2234">
        <v>500</v>
      </c>
      <c r="AZ2234" s="184">
        <v>45391</v>
      </c>
      <c r="BA2234" t="s">
        <v>15495</v>
      </c>
      <c r="BB2234">
        <v>500</v>
      </c>
      <c r="BC2234">
        <v>33</v>
      </c>
      <c r="BD2234">
        <v>1855</v>
      </c>
      <c r="BE2234">
        <v>1998</v>
      </c>
      <c r="BF2234">
        <v>15</v>
      </c>
      <c r="BG2234">
        <v>2</v>
      </c>
      <c r="BH2234">
        <v>625</v>
      </c>
      <c r="BI2234">
        <v>9</v>
      </c>
      <c r="BJ2234">
        <v>28</v>
      </c>
      <c r="BK2234">
        <v>6</v>
      </c>
      <c r="BP2234" s="184"/>
    </row>
    <row r="2235" spans="1:68">
      <c r="A2235">
        <v>27006311</v>
      </c>
      <c r="B2235">
        <v>27006311</v>
      </c>
      <c r="C2235" t="s">
        <v>7018</v>
      </c>
      <c r="D2235" t="s">
        <v>595</v>
      </c>
      <c r="E2235" s="184">
        <v>45140</v>
      </c>
      <c r="G2235" s="184"/>
      <c r="I2235" s="184"/>
      <c r="K2235" s="184"/>
      <c r="O2235" s="184"/>
      <c r="P2235" t="s">
        <v>7045</v>
      </c>
      <c r="Q2235" t="s">
        <v>7494</v>
      </c>
      <c r="R2235" s="184">
        <v>22916</v>
      </c>
      <c r="S2235">
        <v>61</v>
      </c>
      <c r="V2235" t="s">
        <v>3232</v>
      </c>
      <c r="W2235" t="s">
        <v>19680</v>
      </c>
      <c r="X2235" t="s">
        <v>19681</v>
      </c>
      <c r="AF2235" t="s">
        <v>19682</v>
      </c>
      <c r="AG2235" t="s">
        <v>3232</v>
      </c>
      <c r="AI2235" t="s">
        <v>19683</v>
      </c>
      <c r="AM2235" t="s">
        <v>19684</v>
      </c>
      <c r="AN2235" t="s">
        <v>2174</v>
      </c>
      <c r="AO2235" t="s">
        <v>19685</v>
      </c>
      <c r="AP2235" t="s">
        <v>7024</v>
      </c>
      <c r="AQ2235" t="s">
        <v>19686</v>
      </c>
      <c r="AT2235" s="184">
        <v>35766</v>
      </c>
      <c r="AU2235" t="s">
        <v>19687</v>
      </c>
      <c r="AV2235">
        <v>5</v>
      </c>
      <c r="AW2235" s="184">
        <v>45062</v>
      </c>
      <c r="AX2235" t="s">
        <v>11545</v>
      </c>
      <c r="AY2235">
        <v>35</v>
      </c>
      <c r="AZ2235" s="184">
        <v>43423</v>
      </c>
      <c r="BA2235" t="s">
        <v>19688</v>
      </c>
      <c r="BB2235">
        <v>40</v>
      </c>
      <c r="BC2235">
        <v>25</v>
      </c>
      <c r="BD2235">
        <v>250</v>
      </c>
      <c r="BE2235">
        <v>1998</v>
      </c>
      <c r="BF2235">
        <v>8</v>
      </c>
      <c r="BG2235">
        <v>1</v>
      </c>
      <c r="BH2235">
        <v>35</v>
      </c>
      <c r="BI2235">
        <v>7</v>
      </c>
      <c r="BJ2235">
        <v>28</v>
      </c>
      <c r="BK2235">
        <v>4</v>
      </c>
      <c r="BP2235" s="184"/>
    </row>
    <row r="2236" spans="1:68">
      <c r="A2236">
        <v>27008887</v>
      </c>
      <c r="B2236">
        <v>27008887</v>
      </c>
      <c r="C2236" t="s">
        <v>7018</v>
      </c>
      <c r="D2236" t="s">
        <v>595</v>
      </c>
      <c r="E2236" s="184">
        <v>44103</v>
      </c>
      <c r="G2236" s="184"/>
      <c r="I2236" s="184"/>
      <c r="K2236" s="184"/>
      <c r="M2236" s="184"/>
      <c r="O2236" s="184"/>
      <c r="P2236" t="s">
        <v>7029</v>
      </c>
      <c r="Q2236" t="s">
        <v>7454</v>
      </c>
      <c r="R2236" s="184">
        <v>15646</v>
      </c>
      <c r="S2236">
        <v>81</v>
      </c>
      <c r="U2236" t="s">
        <v>7076</v>
      </c>
      <c r="V2236" t="s">
        <v>19689</v>
      </c>
      <c r="X2236" t="s">
        <v>3112</v>
      </c>
      <c r="AF2236" t="s">
        <v>19690</v>
      </c>
      <c r="AG2236" t="s">
        <v>19689</v>
      </c>
      <c r="AI2236" t="s">
        <v>19691</v>
      </c>
      <c r="AM2236" t="s">
        <v>3905</v>
      </c>
      <c r="AN2236" t="s">
        <v>2055</v>
      </c>
      <c r="AO2236" t="s">
        <v>19692</v>
      </c>
      <c r="AP2236" t="s">
        <v>7024</v>
      </c>
      <c r="AQ2236" t="s">
        <v>19693</v>
      </c>
      <c r="AT2236" s="184">
        <v>35765</v>
      </c>
      <c r="AU2236" t="s">
        <v>19694</v>
      </c>
      <c r="AV2236">
        <v>25</v>
      </c>
      <c r="AW2236" s="184">
        <v>45412</v>
      </c>
      <c r="AX2236" t="s">
        <v>7429</v>
      </c>
      <c r="AY2236">
        <v>25</v>
      </c>
      <c r="AZ2236" s="184">
        <v>44558</v>
      </c>
      <c r="BA2236" t="s">
        <v>9928</v>
      </c>
      <c r="BB2236">
        <v>2500</v>
      </c>
      <c r="BC2236">
        <v>75</v>
      </c>
      <c r="BD2236">
        <v>9715</v>
      </c>
      <c r="BE2236">
        <v>1998</v>
      </c>
      <c r="BF2236">
        <v>109</v>
      </c>
      <c r="BG2236">
        <v>25</v>
      </c>
      <c r="BH2236">
        <v>1600</v>
      </c>
      <c r="BI2236">
        <v>21</v>
      </c>
      <c r="BJ2236">
        <v>28</v>
      </c>
      <c r="BK2236">
        <v>20</v>
      </c>
      <c r="BN2236" t="s">
        <v>595</v>
      </c>
      <c r="BP2236" s="184"/>
    </row>
    <row r="2237" spans="1:68">
      <c r="A2237">
        <v>27015239</v>
      </c>
      <c r="B2237">
        <v>27015239</v>
      </c>
      <c r="C2237" t="s">
        <v>7018</v>
      </c>
      <c r="E2237" s="184"/>
      <c r="G2237" s="184"/>
      <c r="H2237" t="s">
        <v>595</v>
      </c>
      <c r="I2237" s="184">
        <v>44109</v>
      </c>
      <c r="K2237" s="184"/>
      <c r="M2237" s="184"/>
      <c r="O2237" s="184"/>
      <c r="P2237" t="s">
        <v>7045</v>
      </c>
      <c r="Q2237" t="s">
        <v>7194</v>
      </c>
      <c r="R2237" s="184">
        <v>17807</v>
      </c>
      <c r="S2237">
        <v>75</v>
      </c>
      <c r="V2237" t="s">
        <v>3246</v>
      </c>
      <c r="W2237" t="s">
        <v>7246</v>
      </c>
      <c r="X2237" t="s">
        <v>4963</v>
      </c>
      <c r="Z2237">
        <v>100071134</v>
      </c>
      <c r="AB2237" t="s">
        <v>3002</v>
      </c>
      <c r="AC2237" t="s">
        <v>4139</v>
      </c>
      <c r="AD2237" t="s">
        <v>4963</v>
      </c>
      <c r="AF2237" t="s">
        <v>19695</v>
      </c>
      <c r="AG2237" t="s">
        <v>19696</v>
      </c>
      <c r="AI2237" t="s">
        <v>19697</v>
      </c>
      <c r="AM2237" t="s">
        <v>4964</v>
      </c>
      <c r="AN2237" t="s">
        <v>2046</v>
      </c>
      <c r="AO2237" t="s">
        <v>19698</v>
      </c>
      <c r="AP2237" t="s">
        <v>7024</v>
      </c>
      <c r="AQ2237" t="s">
        <v>19699</v>
      </c>
      <c r="AT2237" s="184">
        <v>35765</v>
      </c>
      <c r="AU2237" t="s">
        <v>19700</v>
      </c>
      <c r="AV2237">
        <v>25</v>
      </c>
      <c r="AW2237" s="184">
        <v>43584</v>
      </c>
      <c r="AX2237" t="s">
        <v>19701</v>
      </c>
      <c r="AY2237">
        <v>100</v>
      </c>
      <c r="AZ2237" s="184">
        <v>43584</v>
      </c>
      <c r="BA2237" t="s">
        <v>19701</v>
      </c>
      <c r="BB2237">
        <v>100</v>
      </c>
      <c r="BC2237">
        <v>50</v>
      </c>
      <c r="BD2237">
        <v>898</v>
      </c>
      <c r="BE2237">
        <v>1998</v>
      </c>
      <c r="BF2237">
        <v>17</v>
      </c>
      <c r="BI2237">
        <v>14</v>
      </c>
      <c r="BJ2237">
        <v>28</v>
      </c>
      <c r="BK2237">
        <v>4</v>
      </c>
      <c r="BP2237" s="184"/>
    </row>
    <row r="2238" spans="1:68">
      <c r="A2238">
        <v>100071134</v>
      </c>
      <c r="B2238">
        <v>27015239</v>
      </c>
      <c r="C2238" t="s">
        <v>7018</v>
      </c>
      <c r="E2238" s="184"/>
      <c r="G2238" s="184"/>
      <c r="H2238" t="s">
        <v>595</v>
      </c>
      <c r="I2238" s="184">
        <v>44109</v>
      </c>
      <c r="K2238" s="184"/>
      <c r="M2238" s="184"/>
      <c r="O2238" s="184"/>
      <c r="P2238" t="s">
        <v>7045</v>
      </c>
      <c r="Q2238" t="s">
        <v>7194</v>
      </c>
      <c r="R2238" s="184">
        <v>21763</v>
      </c>
      <c r="S2238">
        <v>64</v>
      </c>
      <c r="V2238" t="s">
        <v>3002</v>
      </c>
      <c r="W2238" t="s">
        <v>4139</v>
      </c>
      <c r="X2238" t="s">
        <v>4963</v>
      </c>
      <c r="Z2238">
        <v>27015239</v>
      </c>
      <c r="AB2238" t="s">
        <v>3246</v>
      </c>
      <c r="AC2238" t="s">
        <v>7246</v>
      </c>
      <c r="AD2238" t="s">
        <v>4963</v>
      </c>
      <c r="AF2238" t="s">
        <v>19695</v>
      </c>
      <c r="AG2238" t="s">
        <v>19696</v>
      </c>
      <c r="AI2238" t="s">
        <v>19697</v>
      </c>
      <c r="AM2238" t="s">
        <v>4964</v>
      </c>
      <c r="AN2238" t="s">
        <v>2046</v>
      </c>
      <c r="AO2238" t="s">
        <v>19698</v>
      </c>
      <c r="AP2238" t="s">
        <v>7024</v>
      </c>
      <c r="AT2238" s="184"/>
      <c r="AW2238" s="184"/>
      <c r="AZ2238" s="184"/>
      <c r="BP2238" s="184"/>
    </row>
    <row r="2239" spans="1:68">
      <c r="A2239">
        <v>27076934</v>
      </c>
      <c r="B2239">
        <v>27076934</v>
      </c>
      <c r="C2239" t="s">
        <v>7018</v>
      </c>
      <c r="D2239" t="s">
        <v>595</v>
      </c>
      <c r="E2239" s="184">
        <v>44399</v>
      </c>
      <c r="G2239" s="184"/>
      <c r="K2239" s="184"/>
      <c r="M2239" s="184"/>
      <c r="O2239" s="184"/>
      <c r="P2239" t="s">
        <v>7045</v>
      </c>
      <c r="Q2239" t="s">
        <v>7383</v>
      </c>
      <c r="R2239" s="184">
        <v>20154</v>
      </c>
      <c r="S2239">
        <v>69</v>
      </c>
      <c r="U2239" t="s">
        <v>7076</v>
      </c>
      <c r="V2239" t="s">
        <v>3480</v>
      </c>
      <c r="X2239" t="s">
        <v>19702</v>
      </c>
      <c r="AF2239" t="s">
        <v>19703</v>
      </c>
      <c r="AG2239" t="s">
        <v>3480</v>
      </c>
      <c r="AI2239" t="s">
        <v>19704</v>
      </c>
      <c r="AM2239" t="s">
        <v>19705</v>
      </c>
      <c r="AN2239" t="s">
        <v>2313</v>
      </c>
      <c r="AO2239" t="s">
        <v>19706</v>
      </c>
      <c r="AP2239" t="s">
        <v>7024</v>
      </c>
      <c r="AQ2239" t="s">
        <v>19707</v>
      </c>
      <c r="AT2239" s="184">
        <v>35795</v>
      </c>
      <c r="AU2239" t="s">
        <v>19708</v>
      </c>
      <c r="AV2239">
        <v>20</v>
      </c>
      <c r="AW2239" s="184">
        <v>45002</v>
      </c>
      <c r="AX2239" t="s">
        <v>7922</v>
      </c>
      <c r="AY2239">
        <v>36.75</v>
      </c>
      <c r="AZ2239" s="184">
        <v>45002</v>
      </c>
      <c r="BA2239" t="s">
        <v>7922</v>
      </c>
      <c r="BB2239">
        <v>36.75</v>
      </c>
      <c r="BC2239">
        <v>25</v>
      </c>
      <c r="BD2239">
        <v>241.75</v>
      </c>
      <c r="BE2239">
        <v>1998</v>
      </c>
      <c r="BF2239">
        <v>9</v>
      </c>
      <c r="BG2239">
        <v>1</v>
      </c>
      <c r="BH2239">
        <v>36.75</v>
      </c>
      <c r="BI2239">
        <v>7</v>
      </c>
      <c r="BJ2239">
        <v>28</v>
      </c>
      <c r="BK2239">
        <v>2</v>
      </c>
      <c r="BP2239" s="184"/>
    </row>
    <row r="2240" spans="1:68">
      <c r="A2240">
        <v>27094069</v>
      </c>
      <c r="B2240">
        <v>27094069</v>
      </c>
      <c r="C2240" t="s">
        <v>7018</v>
      </c>
      <c r="D2240" t="s">
        <v>595</v>
      </c>
      <c r="E2240" s="184">
        <v>44167</v>
      </c>
      <c r="G2240" s="184"/>
      <c r="I2240" s="184"/>
      <c r="K2240" s="184"/>
      <c r="M2240" s="184"/>
      <c r="O2240" s="184"/>
      <c r="P2240" t="s">
        <v>7045</v>
      </c>
      <c r="Q2240" t="s">
        <v>7494</v>
      </c>
      <c r="R2240" s="184">
        <v>21520</v>
      </c>
      <c r="S2240">
        <v>65</v>
      </c>
      <c r="U2240" t="s">
        <v>7076</v>
      </c>
      <c r="V2240" t="s">
        <v>3463</v>
      </c>
      <c r="W2240" t="s">
        <v>7963</v>
      </c>
      <c r="X2240" t="s">
        <v>4705</v>
      </c>
      <c r="AF2240" t="s">
        <v>19709</v>
      </c>
      <c r="AG2240" t="s">
        <v>3463</v>
      </c>
      <c r="AI2240" t="s">
        <v>19710</v>
      </c>
      <c r="AM2240" t="s">
        <v>19711</v>
      </c>
      <c r="AN2240" t="s">
        <v>2174</v>
      </c>
      <c r="AO2240" t="s">
        <v>19712</v>
      </c>
      <c r="AP2240" t="s">
        <v>7024</v>
      </c>
      <c r="AT2240" s="184">
        <v>35793</v>
      </c>
      <c r="AU2240" t="s">
        <v>19713</v>
      </c>
      <c r="AV2240">
        <v>25</v>
      </c>
      <c r="AW2240" s="184">
        <v>45188</v>
      </c>
      <c r="AX2240" t="s">
        <v>9097</v>
      </c>
      <c r="AY2240">
        <v>80</v>
      </c>
      <c r="AZ2240" s="184">
        <v>45188</v>
      </c>
      <c r="BA2240" t="s">
        <v>9097</v>
      </c>
      <c r="BB2240">
        <v>80</v>
      </c>
      <c r="BC2240">
        <v>86</v>
      </c>
      <c r="BD2240">
        <v>1321</v>
      </c>
      <c r="BE2240">
        <v>1998</v>
      </c>
      <c r="BF2240">
        <v>26</v>
      </c>
      <c r="BG2240">
        <v>2</v>
      </c>
      <c r="BH2240">
        <v>155</v>
      </c>
      <c r="BI2240">
        <v>24</v>
      </c>
      <c r="BJ2240">
        <v>28</v>
      </c>
      <c r="BK2240">
        <v>16</v>
      </c>
      <c r="BP2240" s="184"/>
    </row>
    <row r="2241" spans="1:68">
      <c r="A2241">
        <v>27103886</v>
      </c>
      <c r="B2241">
        <v>27103886</v>
      </c>
      <c r="C2241" t="s">
        <v>7018</v>
      </c>
      <c r="D2241" t="s">
        <v>595</v>
      </c>
      <c r="E2241" s="184">
        <v>43955</v>
      </c>
      <c r="G2241" s="184"/>
      <c r="K2241" s="184"/>
      <c r="M2241" s="184"/>
      <c r="O2241" s="184"/>
      <c r="P2241" t="s">
        <v>7045</v>
      </c>
      <c r="Q2241" t="s">
        <v>7030</v>
      </c>
      <c r="R2241" s="184">
        <v>10259</v>
      </c>
      <c r="S2241">
        <v>96</v>
      </c>
      <c r="U2241" t="s">
        <v>7031</v>
      </c>
      <c r="V2241" t="s">
        <v>5791</v>
      </c>
      <c r="X2241" t="s">
        <v>4196</v>
      </c>
      <c r="AF2241" t="s">
        <v>19714</v>
      </c>
      <c r="AG2241" t="s">
        <v>5791</v>
      </c>
      <c r="AI2241" t="s">
        <v>19715</v>
      </c>
      <c r="AM2241" t="s">
        <v>19716</v>
      </c>
      <c r="AN2241" t="s">
        <v>2089</v>
      </c>
      <c r="AO2241" t="s">
        <v>19717</v>
      </c>
      <c r="AP2241" t="s">
        <v>7024</v>
      </c>
      <c r="AQ2241" t="s">
        <v>19718</v>
      </c>
      <c r="AR2241" t="s">
        <v>19719</v>
      </c>
      <c r="AT2241" s="184">
        <v>35795</v>
      </c>
      <c r="AU2241" t="s">
        <v>19672</v>
      </c>
      <c r="AV2241">
        <v>25</v>
      </c>
      <c r="AW2241" s="184">
        <v>43728</v>
      </c>
      <c r="AX2241" t="s">
        <v>7229</v>
      </c>
      <c r="AY2241">
        <v>50</v>
      </c>
      <c r="AZ2241" s="184">
        <v>43728</v>
      </c>
      <c r="BA2241" t="s">
        <v>7229</v>
      </c>
      <c r="BB2241">
        <v>50</v>
      </c>
      <c r="BC2241">
        <v>72</v>
      </c>
      <c r="BD2241">
        <v>983</v>
      </c>
      <c r="BE2241">
        <v>1998</v>
      </c>
      <c r="BF2241">
        <v>32</v>
      </c>
      <c r="BI2241">
        <v>20</v>
      </c>
      <c r="BJ2241">
        <v>28</v>
      </c>
      <c r="BK2241">
        <v>10</v>
      </c>
      <c r="BP2241" s="184"/>
    </row>
    <row r="2242" spans="1:68">
      <c r="A2242">
        <v>27116854</v>
      </c>
      <c r="B2242">
        <v>27116854</v>
      </c>
      <c r="C2242" t="s">
        <v>7018</v>
      </c>
      <c r="E2242" s="184"/>
      <c r="F2242" t="s">
        <v>595</v>
      </c>
      <c r="G2242" s="184">
        <v>44585</v>
      </c>
      <c r="I2242" s="184"/>
      <c r="K2242" s="184"/>
      <c r="O2242" s="184"/>
      <c r="P2242" t="s">
        <v>7045</v>
      </c>
      <c r="Q2242" t="s">
        <v>7454</v>
      </c>
      <c r="R2242" s="184">
        <v>19504</v>
      </c>
      <c r="S2242">
        <v>70</v>
      </c>
      <c r="V2242" t="s">
        <v>2697</v>
      </c>
      <c r="W2242" t="s">
        <v>7107</v>
      </c>
      <c r="X2242" t="s">
        <v>19720</v>
      </c>
      <c r="AF2242" t="s">
        <v>19721</v>
      </c>
      <c r="AG2242" t="s">
        <v>2697</v>
      </c>
      <c r="AI2242" t="s">
        <v>19722</v>
      </c>
      <c r="AM2242" t="s">
        <v>3855</v>
      </c>
      <c r="AN2242" t="s">
        <v>2055</v>
      </c>
      <c r="AO2242">
        <v>98107</v>
      </c>
      <c r="AP2242" t="s">
        <v>7024</v>
      </c>
      <c r="AQ2242" t="s">
        <v>19723</v>
      </c>
      <c r="AT2242" s="184">
        <v>30543</v>
      </c>
      <c r="AU2242" t="s">
        <v>19724</v>
      </c>
      <c r="AV2242">
        <v>18</v>
      </c>
      <c r="AW2242" s="184">
        <v>35810</v>
      </c>
      <c r="AX2242" t="s">
        <v>19725</v>
      </c>
      <c r="AY2242">
        <v>15</v>
      </c>
      <c r="AZ2242" s="184">
        <v>30923</v>
      </c>
      <c r="BA2242" t="s">
        <v>7073</v>
      </c>
      <c r="BB2242">
        <v>18</v>
      </c>
      <c r="BC2242">
        <v>8</v>
      </c>
      <c r="BD2242">
        <v>51</v>
      </c>
      <c r="BE2242">
        <v>1984</v>
      </c>
      <c r="BF2242">
        <v>3</v>
      </c>
      <c r="BI2242">
        <v>3</v>
      </c>
      <c r="BJ2242">
        <v>42</v>
      </c>
      <c r="BK2242">
        <v>2</v>
      </c>
      <c r="BP2242" s="184"/>
    </row>
    <row r="2243" spans="1:68">
      <c r="A2243">
        <v>27135300</v>
      </c>
      <c r="B2243">
        <v>27135300</v>
      </c>
      <c r="C2243" t="s">
        <v>7018</v>
      </c>
      <c r="E2243" s="184"/>
      <c r="G2243" s="184"/>
      <c r="I2243" s="184"/>
      <c r="K2243" s="184"/>
      <c r="M2243" s="184"/>
      <c r="N2243" t="s">
        <v>595</v>
      </c>
      <c r="O2243" s="184">
        <v>36733</v>
      </c>
      <c r="P2243" t="s">
        <v>7045</v>
      </c>
      <c r="Q2243" t="s">
        <v>7374</v>
      </c>
      <c r="R2243" s="184">
        <v>7406</v>
      </c>
      <c r="S2243">
        <v>104</v>
      </c>
      <c r="U2243" t="s">
        <v>7031</v>
      </c>
      <c r="V2243" t="s">
        <v>3103</v>
      </c>
      <c r="W2243" t="s">
        <v>7268</v>
      </c>
      <c r="X2243" t="s">
        <v>3321</v>
      </c>
      <c r="AF2243" t="s">
        <v>19726</v>
      </c>
      <c r="AG2243" t="s">
        <v>3103</v>
      </c>
      <c r="AI2243" t="s">
        <v>19727</v>
      </c>
      <c r="AM2243" t="s">
        <v>5789</v>
      </c>
      <c r="AN2243" t="s">
        <v>2081</v>
      </c>
      <c r="AO2243" t="s">
        <v>19728</v>
      </c>
      <c r="AP2243" t="s">
        <v>7024</v>
      </c>
      <c r="AT2243" s="184">
        <v>35803</v>
      </c>
      <c r="AU2243" t="s">
        <v>19729</v>
      </c>
      <c r="AV2243">
        <v>15</v>
      </c>
      <c r="AW2243" s="184">
        <v>38695</v>
      </c>
      <c r="AX2243" t="s">
        <v>19730</v>
      </c>
      <c r="AY2243">
        <v>50</v>
      </c>
      <c r="AZ2243" s="184">
        <v>37795</v>
      </c>
      <c r="BA2243" t="s">
        <v>7180</v>
      </c>
      <c r="BB2243">
        <v>10000</v>
      </c>
      <c r="BC2243">
        <v>23</v>
      </c>
      <c r="BD2243">
        <v>20482</v>
      </c>
      <c r="BE2243">
        <v>1998</v>
      </c>
      <c r="BF2243">
        <v>13</v>
      </c>
      <c r="BI2243">
        <v>6</v>
      </c>
      <c r="BJ2243">
        <v>27</v>
      </c>
      <c r="BK2243">
        <v>3</v>
      </c>
      <c r="BO2243" t="s">
        <v>595</v>
      </c>
      <c r="BP2243" s="184">
        <v>42833</v>
      </c>
    </row>
    <row r="2244" spans="1:68">
      <c r="A2244">
        <v>27137116</v>
      </c>
      <c r="B2244">
        <v>27137116</v>
      </c>
      <c r="C2244" t="s">
        <v>7018</v>
      </c>
      <c r="E2244" s="184"/>
      <c r="F2244" t="s">
        <v>595</v>
      </c>
      <c r="G2244" s="184">
        <v>43731</v>
      </c>
      <c r="I2244" s="184"/>
      <c r="K2244" s="184"/>
      <c r="M2244" s="184"/>
      <c r="O2244" s="184"/>
      <c r="P2244" t="s">
        <v>7045</v>
      </c>
      <c r="Q2244" t="s">
        <v>7383</v>
      </c>
      <c r="R2244" s="184">
        <v>18203</v>
      </c>
      <c r="S2244">
        <v>74</v>
      </c>
      <c r="U2244" t="s">
        <v>7031</v>
      </c>
      <c r="V2244" t="s">
        <v>3080</v>
      </c>
      <c r="W2244" t="s">
        <v>7356</v>
      </c>
      <c r="X2244" t="s">
        <v>3980</v>
      </c>
      <c r="AF2244" t="s">
        <v>19731</v>
      </c>
      <c r="AG2244" t="s">
        <v>3080</v>
      </c>
      <c r="AI2244" t="s">
        <v>19732</v>
      </c>
      <c r="AM2244" t="s">
        <v>3815</v>
      </c>
      <c r="AN2244" t="s">
        <v>2059</v>
      </c>
      <c r="AO2244" t="s">
        <v>19733</v>
      </c>
      <c r="AP2244" t="s">
        <v>7024</v>
      </c>
      <c r="AT2244" s="184">
        <v>35803</v>
      </c>
      <c r="AU2244" t="s">
        <v>19734</v>
      </c>
      <c r="AV2244">
        <v>25</v>
      </c>
      <c r="AW2244" s="184">
        <v>45076</v>
      </c>
      <c r="AX2244" t="s">
        <v>19735</v>
      </c>
      <c r="AY2244">
        <v>100</v>
      </c>
      <c r="AZ2244" s="184">
        <v>45076</v>
      </c>
      <c r="BA2244" t="s">
        <v>19735</v>
      </c>
      <c r="BB2244">
        <v>100</v>
      </c>
      <c r="BC2244">
        <v>71</v>
      </c>
      <c r="BD2244">
        <v>1735</v>
      </c>
      <c r="BE2244">
        <v>1998</v>
      </c>
      <c r="BF2244">
        <v>25</v>
      </c>
      <c r="BG2244">
        <v>1</v>
      </c>
      <c r="BH2244">
        <v>100</v>
      </c>
      <c r="BI2244">
        <v>19</v>
      </c>
      <c r="BJ2244">
        <v>27</v>
      </c>
      <c r="BK2244">
        <v>6</v>
      </c>
      <c r="BP2244" s="184"/>
    </row>
    <row r="2245" spans="1:68">
      <c r="A2245">
        <v>27138890</v>
      </c>
      <c r="B2245">
        <v>27138890</v>
      </c>
      <c r="C2245" t="s">
        <v>7018</v>
      </c>
      <c r="D2245" t="s">
        <v>595</v>
      </c>
      <c r="E2245" s="184">
        <v>44104</v>
      </c>
      <c r="G2245" s="184"/>
      <c r="I2245" s="184"/>
      <c r="K2245" s="184"/>
      <c r="M2245" s="184"/>
      <c r="O2245" s="184"/>
      <c r="P2245" t="s">
        <v>7045</v>
      </c>
      <c r="Q2245" t="s">
        <v>7020</v>
      </c>
      <c r="R2245" s="184">
        <v>19877</v>
      </c>
      <c r="S2245">
        <v>69</v>
      </c>
      <c r="U2245" t="s">
        <v>7076</v>
      </c>
      <c r="V2245" t="s">
        <v>19736</v>
      </c>
      <c r="W2245" t="s">
        <v>7560</v>
      </c>
      <c r="X2245" t="s">
        <v>2537</v>
      </c>
      <c r="AF2245" t="s">
        <v>19737</v>
      </c>
      <c r="AG2245" t="s">
        <v>19736</v>
      </c>
      <c r="AI2245" t="s">
        <v>19738</v>
      </c>
      <c r="AM2245" t="s">
        <v>19739</v>
      </c>
      <c r="AN2245" t="s">
        <v>2052</v>
      </c>
      <c r="AO2245" t="s">
        <v>19740</v>
      </c>
      <c r="AP2245" t="s">
        <v>7024</v>
      </c>
      <c r="AQ2245" t="s">
        <v>19741</v>
      </c>
      <c r="AT2245" s="184">
        <v>35804</v>
      </c>
      <c r="AU2245" t="s">
        <v>19742</v>
      </c>
      <c r="AV2245">
        <v>20</v>
      </c>
      <c r="AW2245" s="184">
        <v>45316</v>
      </c>
      <c r="AX2245" t="s">
        <v>10915</v>
      </c>
      <c r="AY2245">
        <v>25</v>
      </c>
      <c r="AZ2245" s="184">
        <v>39290</v>
      </c>
      <c r="BA2245" t="s">
        <v>19743</v>
      </c>
      <c r="BB2245">
        <v>35</v>
      </c>
      <c r="BC2245">
        <v>86</v>
      </c>
      <c r="BD2245">
        <v>633</v>
      </c>
      <c r="BE2245">
        <v>1998</v>
      </c>
      <c r="BF2245">
        <v>24</v>
      </c>
      <c r="BG2245">
        <v>3</v>
      </c>
      <c r="BH2245">
        <v>75</v>
      </c>
      <c r="BI2245">
        <v>23</v>
      </c>
      <c r="BJ2245">
        <v>27</v>
      </c>
      <c r="BK2245">
        <v>12</v>
      </c>
      <c r="BP2245" s="184"/>
    </row>
    <row r="2246" spans="1:68">
      <c r="A2246">
        <v>27145077</v>
      </c>
      <c r="B2246">
        <v>27145077</v>
      </c>
      <c r="C2246" t="s">
        <v>7018</v>
      </c>
      <c r="E2246" s="184"/>
      <c r="G2246" s="184"/>
      <c r="I2246" s="184"/>
      <c r="J2246" t="s">
        <v>595</v>
      </c>
      <c r="K2246" s="184">
        <v>41921</v>
      </c>
      <c r="M2246" s="184"/>
      <c r="O2246" s="184"/>
      <c r="P2246" t="s">
        <v>7045</v>
      </c>
      <c r="Q2246" t="s">
        <v>7383</v>
      </c>
      <c r="R2246" s="184">
        <v>8652</v>
      </c>
      <c r="S2246">
        <v>100</v>
      </c>
      <c r="U2246" t="s">
        <v>7031</v>
      </c>
      <c r="V2246" t="s">
        <v>2851</v>
      </c>
      <c r="W2246" t="s">
        <v>4382</v>
      </c>
      <c r="X2246" t="s">
        <v>19744</v>
      </c>
      <c r="AF2246" t="s">
        <v>6211</v>
      </c>
      <c r="AG2246" t="s">
        <v>2851</v>
      </c>
      <c r="AI2246" t="s">
        <v>19745</v>
      </c>
      <c r="AM2246" t="s">
        <v>19746</v>
      </c>
      <c r="AN2246" t="s">
        <v>2059</v>
      </c>
      <c r="AO2246" t="s">
        <v>19747</v>
      </c>
      <c r="AP2246" t="s">
        <v>7024</v>
      </c>
      <c r="AQ2246" t="s">
        <v>19748</v>
      </c>
      <c r="AT2246" s="184">
        <v>35804</v>
      </c>
      <c r="AU2246" t="s">
        <v>19749</v>
      </c>
      <c r="AV2246">
        <v>25</v>
      </c>
      <c r="AW2246" s="184">
        <v>45412</v>
      </c>
      <c r="AX2246" t="s">
        <v>7429</v>
      </c>
      <c r="AY2246">
        <v>10</v>
      </c>
      <c r="AZ2246" s="184">
        <v>36697</v>
      </c>
      <c r="BA2246" t="s">
        <v>19750</v>
      </c>
      <c r="BB2246">
        <v>1000</v>
      </c>
      <c r="BC2246">
        <v>93</v>
      </c>
      <c r="BD2246">
        <v>3120</v>
      </c>
      <c r="BE2246">
        <v>1998</v>
      </c>
      <c r="BF2246">
        <v>189</v>
      </c>
      <c r="BG2246">
        <v>24</v>
      </c>
      <c r="BH2246">
        <v>240</v>
      </c>
      <c r="BI2246">
        <v>25</v>
      </c>
      <c r="BJ2246">
        <v>27</v>
      </c>
      <c r="BK2246">
        <v>19</v>
      </c>
      <c r="BP2246" s="184"/>
    </row>
    <row r="2247" spans="1:68">
      <c r="A2247">
        <v>27145697</v>
      </c>
      <c r="B2247">
        <v>27145697</v>
      </c>
      <c r="C2247" t="s">
        <v>7018</v>
      </c>
      <c r="E2247" s="184"/>
      <c r="G2247" s="184"/>
      <c r="I2247" s="184"/>
      <c r="J2247" t="s">
        <v>595</v>
      </c>
      <c r="K2247" s="184">
        <v>41414</v>
      </c>
      <c r="M2247" s="184"/>
      <c r="O2247" s="184"/>
      <c r="P2247" t="s">
        <v>7045</v>
      </c>
      <c r="Q2247" t="s">
        <v>7374</v>
      </c>
      <c r="R2247" s="184">
        <v>16901</v>
      </c>
      <c r="S2247">
        <v>78</v>
      </c>
      <c r="U2247" t="s">
        <v>7076</v>
      </c>
      <c r="V2247" t="s">
        <v>4330</v>
      </c>
      <c r="W2247" t="s">
        <v>7407</v>
      </c>
      <c r="X2247" t="s">
        <v>19751</v>
      </c>
      <c r="AF2247" t="s">
        <v>6614</v>
      </c>
      <c r="AG2247" t="s">
        <v>4330</v>
      </c>
      <c r="AI2247" t="s">
        <v>19752</v>
      </c>
      <c r="AM2247" t="s">
        <v>19753</v>
      </c>
      <c r="AN2247" t="s">
        <v>2081</v>
      </c>
      <c r="AO2247" t="s">
        <v>19754</v>
      </c>
      <c r="AP2247" t="s">
        <v>7024</v>
      </c>
      <c r="AQ2247" t="s">
        <v>19755</v>
      </c>
      <c r="AT2247" s="184">
        <v>35807</v>
      </c>
      <c r="AU2247" t="s">
        <v>19756</v>
      </c>
      <c r="AV2247">
        <v>15</v>
      </c>
      <c r="AW2247" s="184">
        <v>44400</v>
      </c>
      <c r="AX2247" t="s">
        <v>19757</v>
      </c>
      <c r="AY2247">
        <v>50</v>
      </c>
      <c r="AZ2247" s="184">
        <v>44201</v>
      </c>
      <c r="BA2247" t="s">
        <v>19758</v>
      </c>
      <c r="BB2247">
        <v>100</v>
      </c>
      <c r="BC2247">
        <v>30</v>
      </c>
      <c r="BD2247">
        <v>545</v>
      </c>
      <c r="BE2247">
        <v>1998</v>
      </c>
      <c r="BF2247">
        <v>10</v>
      </c>
      <c r="BI2247">
        <v>8</v>
      </c>
      <c r="BJ2247">
        <v>27</v>
      </c>
      <c r="BK2247">
        <v>3</v>
      </c>
      <c r="BN2247" t="s">
        <v>595</v>
      </c>
      <c r="BO2247" t="s">
        <v>595</v>
      </c>
      <c r="BP2247" s="184"/>
    </row>
    <row r="2248" spans="1:68">
      <c r="A2248">
        <v>27147479</v>
      </c>
      <c r="B2248">
        <v>27147479</v>
      </c>
      <c r="C2248" t="s">
        <v>7018</v>
      </c>
      <c r="D2248" t="s">
        <v>595</v>
      </c>
      <c r="E2248" s="184">
        <v>43857</v>
      </c>
      <c r="G2248" s="184"/>
      <c r="K2248" s="184"/>
      <c r="M2248" s="184"/>
      <c r="O2248" s="184"/>
      <c r="P2248" t="s">
        <v>7045</v>
      </c>
      <c r="Q2248" t="s">
        <v>7774</v>
      </c>
      <c r="R2248" s="184">
        <v>17034</v>
      </c>
      <c r="S2248">
        <v>77</v>
      </c>
      <c r="V2248" t="s">
        <v>3574</v>
      </c>
      <c r="X2248" t="s">
        <v>4565</v>
      </c>
      <c r="AF2248" t="s">
        <v>19759</v>
      </c>
      <c r="AG2248" t="s">
        <v>3574</v>
      </c>
      <c r="AI2248" t="s">
        <v>19760</v>
      </c>
      <c r="AM2248" t="s">
        <v>3690</v>
      </c>
      <c r="AN2248" t="s">
        <v>2077</v>
      </c>
      <c r="AO2248" t="s">
        <v>19761</v>
      </c>
      <c r="AP2248" t="s">
        <v>7024</v>
      </c>
      <c r="AQ2248" t="s">
        <v>19762</v>
      </c>
      <c r="AR2248" t="s">
        <v>19763</v>
      </c>
      <c r="AT2248" s="184">
        <v>35807</v>
      </c>
      <c r="AU2248" t="s">
        <v>19764</v>
      </c>
      <c r="AV2248">
        <v>15</v>
      </c>
      <c r="AW2248" s="184">
        <v>44792</v>
      </c>
      <c r="AX2248" t="s">
        <v>17980</v>
      </c>
      <c r="AY2248">
        <v>50</v>
      </c>
      <c r="AZ2248" s="184">
        <v>44792</v>
      </c>
      <c r="BA2248" t="s">
        <v>17980</v>
      </c>
      <c r="BB2248">
        <v>50</v>
      </c>
      <c r="BC2248">
        <v>89</v>
      </c>
      <c r="BD2248">
        <v>810</v>
      </c>
      <c r="BE2248">
        <v>1998</v>
      </c>
      <c r="BF2248">
        <v>26</v>
      </c>
      <c r="BG2248">
        <v>1</v>
      </c>
      <c r="BH2248">
        <v>50</v>
      </c>
      <c r="BI2248">
        <v>24</v>
      </c>
      <c r="BJ2248">
        <v>27</v>
      </c>
      <c r="BK2248">
        <v>23</v>
      </c>
      <c r="BP2248" s="184"/>
    </row>
    <row r="2249" spans="1:68">
      <c r="A2249">
        <v>27197946</v>
      </c>
      <c r="B2249">
        <v>27197946</v>
      </c>
      <c r="C2249" t="s">
        <v>7018</v>
      </c>
      <c r="E2249" s="184"/>
      <c r="G2249" s="184"/>
      <c r="I2249" s="184"/>
      <c r="K2249" s="184"/>
      <c r="L2249" t="s">
        <v>595</v>
      </c>
      <c r="M2249" s="184">
        <v>44600</v>
      </c>
      <c r="O2249" s="184"/>
      <c r="P2249" t="s">
        <v>7029</v>
      </c>
      <c r="Q2249" t="s">
        <v>7774</v>
      </c>
      <c r="R2249" s="184"/>
      <c r="V2249" t="s">
        <v>3550</v>
      </c>
      <c r="X2249" t="s">
        <v>2962</v>
      </c>
      <c r="AF2249" t="s">
        <v>19765</v>
      </c>
      <c r="AG2249" t="s">
        <v>3550</v>
      </c>
      <c r="AI2249" t="s">
        <v>19766</v>
      </c>
      <c r="AM2249" t="s">
        <v>3690</v>
      </c>
      <c r="AN2249" t="s">
        <v>2077</v>
      </c>
      <c r="AO2249" t="s">
        <v>19767</v>
      </c>
      <c r="AP2249" t="s">
        <v>7024</v>
      </c>
      <c r="AQ2249" t="s">
        <v>19768</v>
      </c>
      <c r="AT2249" s="184">
        <v>35814</v>
      </c>
      <c r="AU2249" t="s">
        <v>19769</v>
      </c>
      <c r="AV2249">
        <v>10</v>
      </c>
      <c r="AW2249" s="184">
        <v>45225</v>
      </c>
      <c r="AX2249" t="s">
        <v>7382</v>
      </c>
      <c r="AY2249">
        <v>2000</v>
      </c>
      <c r="AZ2249" s="184">
        <v>45225</v>
      </c>
      <c r="BA2249" t="s">
        <v>7382</v>
      </c>
      <c r="BB2249">
        <v>2000</v>
      </c>
      <c r="BC2249">
        <v>86</v>
      </c>
      <c r="BD2249">
        <v>9515</v>
      </c>
      <c r="BE2249">
        <v>1998</v>
      </c>
      <c r="BF2249">
        <v>52</v>
      </c>
      <c r="BG2249">
        <v>2</v>
      </c>
      <c r="BH2249">
        <v>4000</v>
      </c>
      <c r="BI2249">
        <v>23</v>
      </c>
      <c r="BJ2249">
        <v>27</v>
      </c>
      <c r="BK2249">
        <v>17</v>
      </c>
      <c r="BP2249" s="184"/>
    </row>
    <row r="2250" spans="1:68">
      <c r="A2250">
        <v>27199777</v>
      </c>
      <c r="B2250">
        <v>27199777</v>
      </c>
      <c r="C2250" t="s">
        <v>7018</v>
      </c>
      <c r="E2250" s="184"/>
      <c r="G2250" s="184"/>
      <c r="I2250" s="184"/>
      <c r="J2250" t="s">
        <v>595</v>
      </c>
      <c r="K2250" s="184">
        <v>44950</v>
      </c>
      <c r="O2250" s="184"/>
      <c r="P2250" t="s">
        <v>7045</v>
      </c>
      <c r="Q2250" t="s">
        <v>7383</v>
      </c>
      <c r="R2250" s="184">
        <v>14027</v>
      </c>
      <c r="S2250">
        <v>85</v>
      </c>
      <c r="V2250" t="s">
        <v>5537</v>
      </c>
      <c r="X2250" t="s">
        <v>19770</v>
      </c>
      <c r="AF2250" t="s">
        <v>19771</v>
      </c>
      <c r="AG2250" t="s">
        <v>5537</v>
      </c>
      <c r="AI2250" t="s">
        <v>19772</v>
      </c>
      <c r="AM2250" t="s">
        <v>19773</v>
      </c>
      <c r="AN2250" t="s">
        <v>2118</v>
      </c>
      <c r="AO2250" t="s">
        <v>19774</v>
      </c>
      <c r="AP2250" t="s">
        <v>7024</v>
      </c>
      <c r="AQ2250" t="s">
        <v>19775</v>
      </c>
      <c r="AT2250" s="184">
        <v>35815</v>
      </c>
      <c r="AU2250" t="s">
        <v>19776</v>
      </c>
      <c r="AV2250">
        <v>15</v>
      </c>
      <c r="AW2250" s="184">
        <v>44943</v>
      </c>
      <c r="AX2250" t="s">
        <v>7721</v>
      </c>
      <c r="AY2250">
        <v>2000</v>
      </c>
      <c r="AZ2250" s="184">
        <v>44943</v>
      </c>
      <c r="BA2250" t="s">
        <v>7721</v>
      </c>
      <c r="BB2250">
        <v>2000</v>
      </c>
      <c r="BC2250">
        <v>30</v>
      </c>
      <c r="BD2250">
        <v>2150</v>
      </c>
      <c r="BE2250">
        <v>1998</v>
      </c>
      <c r="BF2250">
        <v>9</v>
      </c>
      <c r="BG2250">
        <v>1</v>
      </c>
      <c r="BH2250">
        <v>2000</v>
      </c>
      <c r="BI2250">
        <v>8</v>
      </c>
      <c r="BJ2250">
        <v>27</v>
      </c>
      <c r="BK2250">
        <v>2</v>
      </c>
      <c r="BL2250" t="s">
        <v>595</v>
      </c>
      <c r="BN2250" t="s">
        <v>595</v>
      </c>
      <c r="BO2250" t="s">
        <v>595</v>
      </c>
      <c r="BP2250" s="184">
        <v>44642</v>
      </c>
    </row>
    <row r="2251" spans="1:68">
      <c r="A2251">
        <v>27211044</v>
      </c>
      <c r="B2251">
        <v>27211044</v>
      </c>
      <c r="C2251" t="s">
        <v>7018</v>
      </c>
      <c r="E2251" s="184"/>
      <c r="G2251" s="184"/>
      <c r="I2251" s="184"/>
      <c r="J2251" t="s">
        <v>595</v>
      </c>
      <c r="K2251" s="184">
        <v>39524</v>
      </c>
      <c r="O2251" s="184"/>
      <c r="P2251" t="s">
        <v>7084</v>
      </c>
      <c r="Q2251" t="s">
        <v>7194</v>
      </c>
      <c r="R2251" s="184">
        <v>15830</v>
      </c>
      <c r="S2251">
        <v>81</v>
      </c>
      <c r="U2251" t="s">
        <v>7076</v>
      </c>
      <c r="V2251" t="s">
        <v>3584</v>
      </c>
      <c r="W2251" t="s">
        <v>19777</v>
      </c>
      <c r="X2251" t="s">
        <v>19778</v>
      </c>
      <c r="AF2251" t="s">
        <v>6343</v>
      </c>
      <c r="AG2251" t="s">
        <v>3584</v>
      </c>
      <c r="AI2251" t="s">
        <v>19779</v>
      </c>
      <c r="AM2251" t="s">
        <v>14262</v>
      </c>
      <c r="AN2251" t="s">
        <v>2046</v>
      </c>
      <c r="AO2251" t="s">
        <v>19780</v>
      </c>
      <c r="AP2251" t="s">
        <v>7024</v>
      </c>
      <c r="AQ2251" t="s">
        <v>19781</v>
      </c>
      <c r="AR2251" t="s">
        <v>19782</v>
      </c>
      <c r="AT2251" s="184">
        <v>35817</v>
      </c>
      <c r="AU2251" t="s">
        <v>19672</v>
      </c>
      <c r="AV2251">
        <v>50</v>
      </c>
      <c r="AW2251" s="184">
        <v>44410</v>
      </c>
      <c r="AX2251" t="s">
        <v>7093</v>
      </c>
      <c r="AY2251">
        <v>31000</v>
      </c>
      <c r="AZ2251" s="184">
        <v>44196</v>
      </c>
      <c r="BA2251" t="s">
        <v>7309</v>
      </c>
      <c r="BB2251">
        <v>56000</v>
      </c>
      <c r="BC2251">
        <v>71</v>
      </c>
      <c r="BD2251">
        <v>88447</v>
      </c>
      <c r="BE2251">
        <v>1998</v>
      </c>
      <c r="BF2251">
        <v>86</v>
      </c>
      <c r="BI2251">
        <v>19</v>
      </c>
      <c r="BJ2251">
        <v>27</v>
      </c>
      <c r="BK2251">
        <v>5</v>
      </c>
      <c r="BO2251" t="s">
        <v>595</v>
      </c>
      <c r="BP2251" s="184">
        <v>43101</v>
      </c>
    </row>
    <row r="2252" spans="1:68">
      <c r="A2252">
        <v>27283589</v>
      </c>
      <c r="B2252">
        <v>27283589</v>
      </c>
      <c r="C2252" t="s">
        <v>7018</v>
      </c>
      <c r="E2252" s="184"/>
      <c r="G2252" s="184"/>
      <c r="I2252" s="184"/>
      <c r="K2252" s="184"/>
      <c r="M2252" s="184"/>
      <c r="N2252" t="s">
        <v>595</v>
      </c>
      <c r="O2252" s="184">
        <v>41852</v>
      </c>
      <c r="P2252" t="s">
        <v>7045</v>
      </c>
      <c r="Q2252" t="s">
        <v>7262</v>
      </c>
      <c r="R2252" s="184">
        <v>11970</v>
      </c>
      <c r="S2252">
        <v>91</v>
      </c>
      <c r="V2252" t="s">
        <v>3764</v>
      </c>
      <c r="W2252" t="s">
        <v>4327</v>
      </c>
      <c r="X2252" t="s">
        <v>4777</v>
      </c>
      <c r="AF2252" t="s">
        <v>19783</v>
      </c>
      <c r="AG2252" t="s">
        <v>3764</v>
      </c>
      <c r="AI2252" t="s">
        <v>19784</v>
      </c>
      <c r="AM2252" t="s">
        <v>5618</v>
      </c>
      <c r="AN2252" t="s">
        <v>2106</v>
      </c>
      <c r="AO2252" t="s">
        <v>19785</v>
      </c>
      <c r="AP2252" t="s">
        <v>7024</v>
      </c>
      <c r="AT2252" s="184">
        <v>35825</v>
      </c>
      <c r="AU2252" t="s">
        <v>19786</v>
      </c>
      <c r="AV2252">
        <v>25</v>
      </c>
      <c r="AW2252" s="184">
        <v>41859</v>
      </c>
      <c r="AX2252" t="s">
        <v>7042</v>
      </c>
      <c r="AY2252">
        <v>30000</v>
      </c>
      <c r="AZ2252" s="184">
        <v>41859</v>
      </c>
      <c r="BA2252" t="s">
        <v>7042</v>
      </c>
      <c r="BB2252">
        <v>30000</v>
      </c>
      <c r="BC2252">
        <v>45</v>
      </c>
      <c r="BD2252">
        <v>30325</v>
      </c>
      <c r="BE2252">
        <v>1998</v>
      </c>
      <c r="BF2252">
        <v>12</v>
      </c>
      <c r="BI2252">
        <v>12</v>
      </c>
      <c r="BJ2252">
        <v>27</v>
      </c>
      <c r="BK2252">
        <v>10</v>
      </c>
      <c r="BP2252" s="184"/>
    </row>
    <row r="2253" spans="1:68">
      <c r="A2253">
        <v>27328178</v>
      </c>
      <c r="B2253">
        <v>27328178</v>
      </c>
      <c r="C2253" t="s">
        <v>7018</v>
      </c>
      <c r="E2253" s="184"/>
      <c r="G2253" s="184"/>
      <c r="I2253" s="184"/>
      <c r="J2253" t="s">
        <v>595</v>
      </c>
      <c r="K2253" s="184">
        <v>44564</v>
      </c>
      <c r="M2253" s="184"/>
      <c r="O2253" s="184"/>
      <c r="P2253" t="s">
        <v>7045</v>
      </c>
      <c r="Q2253" t="s">
        <v>7374</v>
      </c>
      <c r="R2253" s="184">
        <v>18994</v>
      </c>
      <c r="S2253">
        <v>72</v>
      </c>
      <c r="V2253" t="s">
        <v>2821</v>
      </c>
      <c r="W2253" t="s">
        <v>7695</v>
      </c>
      <c r="X2253" t="s">
        <v>19787</v>
      </c>
      <c r="AF2253" t="s">
        <v>19788</v>
      </c>
      <c r="AG2253" t="s">
        <v>2821</v>
      </c>
      <c r="AI2253" t="s">
        <v>19789</v>
      </c>
      <c r="AM2253" t="s">
        <v>3109</v>
      </c>
      <c r="AN2253" t="s">
        <v>2081</v>
      </c>
      <c r="AO2253" t="s">
        <v>19790</v>
      </c>
      <c r="AP2253" t="s">
        <v>7024</v>
      </c>
      <c r="AT2253" s="184">
        <v>35837</v>
      </c>
      <c r="AU2253" t="s">
        <v>19791</v>
      </c>
      <c r="AV2253">
        <v>15</v>
      </c>
      <c r="AW2253" s="184">
        <v>44561</v>
      </c>
      <c r="AX2253" t="s">
        <v>7093</v>
      </c>
      <c r="AY2253">
        <v>2894.16</v>
      </c>
      <c r="AZ2253" s="184">
        <v>44561</v>
      </c>
      <c r="BA2253" t="s">
        <v>7093</v>
      </c>
      <c r="BB2253">
        <v>2894.16</v>
      </c>
      <c r="BC2253">
        <v>41</v>
      </c>
      <c r="BD2253">
        <v>3140.16</v>
      </c>
      <c r="BE2253">
        <v>1998</v>
      </c>
      <c r="BF2253">
        <v>19</v>
      </c>
      <c r="BI2253">
        <v>11</v>
      </c>
      <c r="BJ2253">
        <v>27</v>
      </c>
      <c r="BK2253">
        <v>8</v>
      </c>
      <c r="BO2253" t="s">
        <v>595</v>
      </c>
      <c r="BP2253" s="184">
        <v>43103</v>
      </c>
    </row>
    <row r="2254" spans="1:68">
      <c r="A2254">
        <v>27330877</v>
      </c>
      <c r="B2254">
        <v>27330877</v>
      </c>
      <c r="C2254" t="s">
        <v>7018</v>
      </c>
      <c r="E2254" s="184"/>
      <c r="G2254" s="184"/>
      <c r="I2254" s="184"/>
      <c r="J2254" t="s">
        <v>595</v>
      </c>
      <c r="K2254" s="184">
        <v>42390</v>
      </c>
      <c r="O2254" s="184"/>
      <c r="P2254" t="s">
        <v>7045</v>
      </c>
      <c r="Q2254" t="s">
        <v>7494</v>
      </c>
      <c r="R2254" s="184">
        <v>19633</v>
      </c>
      <c r="S2254">
        <v>70</v>
      </c>
      <c r="U2254" t="s">
        <v>7031</v>
      </c>
      <c r="V2254" t="s">
        <v>3658</v>
      </c>
      <c r="W2254" t="s">
        <v>7046</v>
      </c>
      <c r="X2254" t="s">
        <v>3024</v>
      </c>
      <c r="AF2254" t="s">
        <v>6371</v>
      </c>
      <c r="AG2254" t="s">
        <v>3658</v>
      </c>
      <c r="AI2254" t="s">
        <v>19792</v>
      </c>
      <c r="AM2254" t="s">
        <v>19793</v>
      </c>
      <c r="AN2254" t="s">
        <v>2484</v>
      </c>
      <c r="AO2254" t="s">
        <v>19794</v>
      </c>
      <c r="AP2254" t="s">
        <v>7024</v>
      </c>
      <c r="AQ2254" t="s">
        <v>19795</v>
      </c>
      <c r="AR2254" t="s">
        <v>19796</v>
      </c>
      <c r="AT2254" s="184">
        <v>35837</v>
      </c>
      <c r="AU2254" t="s">
        <v>19797</v>
      </c>
      <c r="AV2254">
        <v>20</v>
      </c>
      <c r="AW2254" s="184">
        <v>45358</v>
      </c>
      <c r="AX2254" t="s">
        <v>13596</v>
      </c>
      <c r="AY2254">
        <v>50</v>
      </c>
      <c r="AZ2254" s="184">
        <v>41696</v>
      </c>
      <c r="BA2254" t="s">
        <v>19798</v>
      </c>
      <c r="BB2254">
        <v>100</v>
      </c>
      <c r="BC2254">
        <v>100</v>
      </c>
      <c r="BD2254">
        <v>1515</v>
      </c>
      <c r="BE2254">
        <v>1998</v>
      </c>
      <c r="BF2254">
        <v>31</v>
      </c>
      <c r="BG2254">
        <v>2</v>
      </c>
      <c r="BH2254">
        <v>100</v>
      </c>
      <c r="BI2254">
        <v>27</v>
      </c>
      <c r="BJ2254">
        <v>27</v>
      </c>
      <c r="BK2254">
        <v>27</v>
      </c>
      <c r="BP2254" s="184"/>
    </row>
    <row r="2255" spans="1:68">
      <c r="A2255">
        <v>27341155</v>
      </c>
      <c r="B2255">
        <v>27341155</v>
      </c>
      <c r="C2255" t="s">
        <v>7018</v>
      </c>
      <c r="E2255" s="184"/>
      <c r="F2255" t="s">
        <v>595</v>
      </c>
      <c r="G2255" s="184">
        <v>43731</v>
      </c>
      <c r="I2255" s="184"/>
      <c r="K2255" s="184"/>
      <c r="M2255" s="184"/>
      <c r="O2255" s="184"/>
      <c r="P2255" t="s">
        <v>7045</v>
      </c>
      <c r="Q2255" t="s">
        <v>7454</v>
      </c>
      <c r="R2255" s="184">
        <v>18050</v>
      </c>
      <c r="S2255">
        <v>74</v>
      </c>
      <c r="U2255" t="s">
        <v>7031</v>
      </c>
      <c r="V2255" t="s">
        <v>3981</v>
      </c>
      <c r="W2255" t="s">
        <v>7046</v>
      </c>
      <c r="X2255" t="s">
        <v>3982</v>
      </c>
      <c r="AF2255" t="s">
        <v>19799</v>
      </c>
      <c r="AG2255" t="s">
        <v>3981</v>
      </c>
      <c r="AI2255" t="s">
        <v>19800</v>
      </c>
      <c r="AM2255" t="s">
        <v>3983</v>
      </c>
      <c r="AN2255" t="s">
        <v>2055</v>
      </c>
      <c r="AO2255" t="s">
        <v>19801</v>
      </c>
      <c r="AP2255" t="s">
        <v>7024</v>
      </c>
      <c r="AQ2255" t="s">
        <v>19802</v>
      </c>
      <c r="AR2255" t="s">
        <v>19803</v>
      </c>
      <c r="AT2255" s="184">
        <v>35839</v>
      </c>
      <c r="AU2255" t="s">
        <v>19804</v>
      </c>
      <c r="AV2255">
        <v>20</v>
      </c>
      <c r="AW2255" s="184">
        <v>45089</v>
      </c>
      <c r="AX2255" t="s">
        <v>19805</v>
      </c>
      <c r="AY2255">
        <v>50</v>
      </c>
      <c r="AZ2255" s="184">
        <v>41813</v>
      </c>
      <c r="BA2255" t="s">
        <v>19806</v>
      </c>
      <c r="BB2255">
        <v>87</v>
      </c>
      <c r="BC2255">
        <v>86</v>
      </c>
      <c r="BD2255">
        <v>1559</v>
      </c>
      <c r="BE2255">
        <v>1998</v>
      </c>
      <c r="BF2255">
        <v>42</v>
      </c>
      <c r="BG2255">
        <v>2</v>
      </c>
      <c r="BH2255">
        <v>100</v>
      </c>
      <c r="BI2255">
        <v>23</v>
      </c>
      <c r="BJ2255">
        <v>27</v>
      </c>
      <c r="BK2255">
        <v>22</v>
      </c>
      <c r="BN2255" t="s">
        <v>595</v>
      </c>
      <c r="BP2255" s="184"/>
    </row>
    <row r="2256" spans="1:68">
      <c r="A2256">
        <v>27350230</v>
      </c>
      <c r="B2256">
        <v>27350230</v>
      </c>
      <c r="C2256" t="s">
        <v>7018</v>
      </c>
      <c r="E2256" s="184"/>
      <c r="F2256" t="s">
        <v>595</v>
      </c>
      <c r="G2256" s="184">
        <v>43731</v>
      </c>
      <c r="K2256" s="184"/>
      <c r="M2256" s="184"/>
      <c r="O2256" s="184"/>
      <c r="P2256" t="s">
        <v>7045</v>
      </c>
      <c r="Q2256" t="s">
        <v>7454</v>
      </c>
      <c r="R2256" s="184">
        <v>19725</v>
      </c>
      <c r="S2256">
        <v>70</v>
      </c>
      <c r="U2256" t="s">
        <v>7076</v>
      </c>
      <c r="V2256" t="s">
        <v>3101</v>
      </c>
      <c r="X2256" t="s">
        <v>3984</v>
      </c>
      <c r="AF2256" t="s">
        <v>19807</v>
      </c>
      <c r="AG2256" t="s">
        <v>3101</v>
      </c>
      <c r="AI2256" t="s">
        <v>19808</v>
      </c>
      <c r="AM2256" t="s">
        <v>3985</v>
      </c>
      <c r="AN2256" t="s">
        <v>2055</v>
      </c>
      <c r="AO2256" t="s">
        <v>19809</v>
      </c>
      <c r="AP2256" t="s">
        <v>7024</v>
      </c>
      <c r="AQ2256" t="s">
        <v>19810</v>
      </c>
      <c r="AT2256" s="184">
        <v>35839</v>
      </c>
      <c r="AU2256" t="s">
        <v>19811</v>
      </c>
      <c r="AV2256">
        <v>25</v>
      </c>
      <c r="AW2256" s="184">
        <v>45411</v>
      </c>
      <c r="AX2256" t="s">
        <v>7414</v>
      </c>
      <c r="AY2256">
        <v>20</v>
      </c>
      <c r="AZ2256" s="184">
        <v>43157</v>
      </c>
      <c r="BA2256" t="s">
        <v>7959</v>
      </c>
      <c r="BB2256">
        <v>50</v>
      </c>
      <c r="BC2256">
        <v>97</v>
      </c>
      <c r="BD2256">
        <v>2980</v>
      </c>
      <c r="BE2256">
        <v>1998</v>
      </c>
      <c r="BF2256">
        <v>207</v>
      </c>
      <c r="BG2256">
        <v>24</v>
      </c>
      <c r="BH2256">
        <v>480</v>
      </c>
      <c r="BI2256">
        <v>26</v>
      </c>
      <c r="BJ2256">
        <v>27</v>
      </c>
      <c r="BK2256">
        <v>24</v>
      </c>
      <c r="BP2256" s="184"/>
    </row>
    <row r="2257" spans="1:68">
      <c r="A2257">
        <v>27372663</v>
      </c>
      <c r="B2257">
        <v>27372663</v>
      </c>
      <c r="C2257" t="s">
        <v>7018</v>
      </c>
      <c r="E2257" s="184"/>
      <c r="F2257" t="s">
        <v>595</v>
      </c>
      <c r="G2257" s="184">
        <v>43647</v>
      </c>
      <c r="I2257" s="184"/>
      <c r="K2257" s="184"/>
      <c r="M2257" s="184"/>
      <c r="O2257" s="184"/>
      <c r="P2257" t="s">
        <v>7045</v>
      </c>
      <c r="Q2257" t="s">
        <v>7020</v>
      </c>
      <c r="R2257" s="184">
        <v>9903</v>
      </c>
      <c r="S2257">
        <v>97</v>
      </c>
      <c r="V2257" t="s">
        <v>3598</v>
      </c>
      <c r="X2257" t="s">
        <v>3599</v>
      </c>
      <c r="AF2257" t="s">
        <v>19812</v>
      </c>
      <c r="AG2257" t="s">
        <v>3598</v>
      </c>
      <c r="AI2257" t="s">
        <v>19813</v>
      </c>
      <c r="AM2257" t="s">
        <v>14112</v>
      </c>
      <c r="AN2257" t="s">
        <v>2129</v>
      </c>
      <c r="AO2257" t="s">
        <v>19814</v>
      </c>
      <c r="AP2257" t="s">
        <v>7024</v>
      </c>
      <c r="AT2257" s="184">
        <v>35842</v>
      </c>
      <c r="AU2257" t="s">
        <v>19815</v>
      </c>
      <c r="AV2257">
        <v>25</v>
      </c>
      <c r="AW2257" s="184">
        <v>44949</v>
      </c>
      <c r="AX2257" t="s">
        <v>19816</v>
      </c>
      <c r="AY2257">
        <v>25</v>
      </c>
      <c r="AZ2257" s="184">
        <v>44949</v>
      </c>
      <c r="BA2257" t="s">
        <v>19816</v>
      </c>
      <c r="BB2257">
        <v>25</v>
      </c>
      <c r="BC2257">
        <v>52</v>
      </c>
      <c r="BD2257">
        <v>295</v>
      </c>
      <c r="BE2257">
        <v>1998</v>
      </c>
      <c r="BF2257">
        <v>14</v>
      </c>
      <c r="BG2257">
        <v>1</v>
      </c>
      <c r="BH2257">
        <v>25</v>
      </c>
      <c r="BI2257">
        <v>14</v>
      </c>
      <c r="BJ2257">
        <v>27</v>
      </c>
      <c r="BK2257">
        <v>6</v>
      </c>
      <c r="BP2257" s="184"/>
    </row>
    <row r="2258" spans="1:68">
      <c r="A2258">
        <v>27382613</v>
      </c>
      <c r="B2258">
        <v>27382613</v>
      </c>
      <c r="C2258" t="s">
        <v>7018</v>
      </c>
      <c r="D2258" t="s">
        <v>595</v>
      </c>
      <c r="E2258" s="184">
        <v>43682</v>
      </c>
      <c r="G2258" s="184"/>
      <c r="I2258" s="184"/>
      <c r="K2258" s="184"/>
      <c r="O2258" s="184"/>
      <c r="P2258" t="s">
        <v>7045</v>
      </c>
      <c r="Q2258" t="s">
        <v>7262</v>
      </c>
      <c r="R2258" s="184">
        <v>21482</v>
      </c>
      <c r="S2258">
        <v>65</v>
      </c>
      <c r="V2258" t="s">
        <v>3695</v>
      </c>
      <c r="X2258" t="s">
        <v>2986</v>
      </c>
      <c r="AF2258" t="s">
        <v>19817</v>
      </c>
      <c r="AG2258" t="s">
        <v>3695</v>
      </c>
      <c r="AI2258" t="s">
        <v>19818</v>
      </c>
      <c r="AM2258" t="s">
        <v>3697</v>
      </c>
      <c r="AN2258" t="s">
        <v>2106</v>
      </c>
      <c r="AO2258" t="s">
        <v>19819</v>
      </c>
      <c r="AP2258" t="s">
        <v>7024</v>
      </c>
      <c r="AQ2258" t="s">
        <v>19820</v>
      </c>
      <c r="AR2258" t="s">
        <v>19821</v>
      </c>
      <c r="AT2258" s="184">
        <v>35843</v>
      </c>
      <c r="AU2258" t="s">
        <v>19822</v>
      </c>
      <c r="AV2258">
        <v>15</v>
      </c>
      <c r="AW2258" s="184">
        <v>44020</v>
      </c>
      <c r="AX2258" t="s">
        <v>19823</v>
      </c>
      <c r="AY2258">
        <v>50</v>
      </c>
      <c r="AZ2258" s="184">
        <v>42139</v>
      </c>
      <c r="BA2258" t="s">
        <v>19824</v>
      </c>
      <c r="BB2258">
        <v>87</v>
      </c>
      <c r="BC2258">
        <v>71</v>
      </c>
      <c r="BD2258">
        <v>893</v>
      </c>
      <c r="BE2258">
        <v>1998</v>
      </c>
      <c r="BF2258">
        <v>42</v>
      </c>
      <c r="BI2258">
        <v>19</v>
      </c>
      <c r="BJ2258">
        <v>27</v>
      </c>
      <c r="BK2258">
        <v>7</v>
      </c>
      <c r="BP2258" s="184"/>
    </row>
    <row r="2259" spans="1:68">
      <c r="A2259">
        <v>27396316</v>
      </c>
      <c r="B2259">
        <v>27396316</v>
      </c>
      <c r="C2259" t="s">
        <v>7018</v>
      </c>
      <c r="E2259" s="184"/>
      <c r="G2259" s="184"/>
      <c r="I2259" s="184"/>
      <c r="J2259" t="s">
        <v>595</v>
      </c>
      <c r="K2259" s="184">
        <v>43675</v>
      </c>
      <c r="M2259" s="184"/>
      <c r="O2259" s="184"/>
      <c r="P2259" t="s">
        <v>7029</v>
      </c>
      <c r="Q2259" t="s">
        <v>7454</v>
      </c>
      <c r="R2259" s="184">
        <v>14758</v>
      </c>
      <c r="S2259">
        <v>83</v>
      </c>
      <c r="V2259" t="s">
        <v>3652</v>
      </c>
      <c r="X2259" t="s">
        <v>3653</v>
      </c>
      <c r="Z2259">
        <v>100310331</v>
      </c>
      <c r="AB2259" t="s">
        <v>4169</v>
      </c>
      <c r="AD2259" t="s">
        <v>5369</v>
      </c>
      <c r="AF2259" t="s">
        <v>1097</v>
      </c>
      <c r="AG2259" t="s">
        <v>3652</v>
      </c>
      <c r="AI2259" t="s">
        <v>19825</v>
      </c>
      <c r="AM2259" t="s">
        <v>3654</v>
      </c>
      <c r="AN2259" t="s">
        <v>2299</v>
      </c>
      <c r="AO2259" t="s">
        <v>19826</v>
      </c>
      <c r="AP2259" t="s">
        <v>7024</v>
      </c>
      <c r="AT2259" s="184">
        <v>35845</v>
      </c>
      <c r="AU2259" t="s">
        <v>19827</v>
      </c>
      <c r="AV2259">
        <v>15</v>
      </c>
      <c r="AW2259" s="184">
        <v>45061</v>
      </c>
      <c r="AX2259" t="s">
        <v>19828</v>
      </c>
      <c r="AY2259">
        <v>1000</v>
      </c>
      <c r="AZ2259" s="184">
        <v>43759</v>
      </c>
      <c r="BA2259" t="s">
        <v>19829</v>
      </c>
      <c r="BB2259">
        <v>260537</v>
      </c>
      <c r="BC2259">
        <v>86</v>
      </c>
      <c r="BD2259">
        <v>364612</v>
      </c>
      <c r="BE2259">
        <v>1998</v>
      </c>
      <c r="BF2259">
        <v>33</v>
      </c>
      <c r="BG2259">
        <v>3</v>
      </c>
      <c r="BH2259">
        <v>2000</v>
      </c>
      <c r="BI2259">
        <v>23</v>
      </c>
      <c r="BJ2259">
        <v>27</v>
      </c>
      <c r="BK2259">
        <v>20</v>
      </c>
      <c r="BP2259" s="184"/>
    </row>
    <row r="2260" spans="1:68">
      <c r="A2260">
        <v>100310331</v>
      </c>
      <c r="B2260">
        <v>27396316</v>
      </c>
      <c r="C2260" t="s">
        <v>7018</v>
      </c>
      <c r="E2260" s="184"/>
      <c r="G2260" s="184"/>
      <c r="J2260" t="s">
        <v>595</v>
      </c>
      <c r="K2260" s="184">
        <v>43747</v>
      </c>
      <c r="O2260" s="184"/>
      <c r="P2260" t="s">
        <v>7029</v>
      </c>
      <c r="Q2260" t="s">
        <v>7454</v>
      </c>
      <c r="R2260" s="184"/>
      <c r="V2260" t="s">
        <v>4169</v>
      </c>
      <c r="X2260" t="s">
        <v>5369</v>
      </c>
      <c r="Z2260">
        <v>27396316</v>
      </c>
      <c r="AB2260" t="s">
        <v>3652</v>
      </c>
      <c r="AD2260" t="s">
        <v>3653</v>
      </c>
      <c r="AF2260" t="s">
        <v>1097</v>
      </c>
      <c r="AG2260" t="s">
        <v>3652</v>
      </c>
      <c r="AI2260" t="s">
        <v>19825</v>
      </c>
      <c r="AM2260" t="s">
        <v>3654</v>
      </c>
      <c r="AN2260" t="s">
        <v>2299</v>
      </c>
      <c r="AO2260" t="s">
        <v>19826</v>
      </c>
      <c r="AP2260" t="s">
        <v>7024</v>
      </c>
      <c r="AT2260" s="184"/>
      <c r="AW2260" s="184"/>
      <c r="AZ2260" s="184"/>
      <c r="BO2260" t="s">
        <v>595</v>
      </c>
      <c r="BP2260" s="184">
        <v>43572</v>
      </c>
    </row>
    <row r="2261" spans="1:68">
      <c r="A2261">
        <v>27403310</v>
      </c>
      <c r="B2261">
        <v>27403310</v>
      </c>
      <c r="C2261" t="s">
        <v>7018</v>
      </c>
      <c r="E2261" s="184"/>
      <c r="G2261" s="184"/>
      <c r="I2261" s="184"/>
      <c r="K2261" s="184"/>
      <c r="M2261" s="184"/>
      <c r="N2261" t="s">
        <v>595</v>
      </c>
      <c r="O2261" s="184">
        <v>37383</v>
      </c>
      <c r="P2261" t="s">
        <v>7045</v>
      </c>
      <c r="Q2261" t="s">
        <v>7454</v>
      </c>
      <c r="R2261" s="184">
        <v>4457</v>
      </c>
      <c r="S2261">
        <v>112</v>
      </c>
      <c r="U2261" t="s">
        <v>7031</v>
      </c>
      <c r="V2261" t="s">
        <v>19830</v>
      </c>
      <c r="W2261" t="s">
        <v>4327</v>
      </c>
      <c r="X2261" t="s">
        <v>3238</v>
      </c>
      <c r="AF2261" t="s">
        <v>6013</v>
      </c>
      <c r="AG2261" t="s">
        <v>19831</v>
      </c>
      <c r="AI2261" t="s">
        <v>19832</v>
      </c>
      <c r="AM2261" t="s">
        <v>19833</v>
      </c>
      <c r="AN2261" t="s">
        <v>2299</v>
      </c>
      <c r="AO2261" t="s">
        <v>19834</v>
      </c>
      <c r="AP2261" t="s">
        <v>7024</v>
      </c>
      <c r="AT2261" s="184">
        <v>35856</v>
      </c>
      <c r="AU2261" t="s">
        <v>19835</v>
      </c>
      <c r="AV2261">
        <v>25</v>
      </c>
      <c r="AW2261" s="184">
        <v>37383</v>
      </c>
      <c r="AX2261" t="s">
        <v>19836</v>
      </c>
      <c r="AY2261">
        <v>10000</v>
      </c>
      <c r="AZ2261" s="184">
        <v>37383</v>
      </c>
      <c r="BA2261" t="s">
        <v>19836</v>
      </c>
      <c r="BB2261">
        <v>10000</v>
      </c>
      <c r="BC2261">
        <v>15</v>
      </c>
      <c r="BD2261">
        <v>10625</v>
      </c>
      <c r="BE2261">
        <v>1998</v>
      </c>
      <c r="BF2261">
        <v>5</v>
      </c>
      <c r="BI2261">
        <v>4</v>
      </c>
      <c r="BJ2261">
        <v>27</v>
      </c>
      <c r="BK2261">
        <v>2</v>
      </c>
      <c r="BM2261" t="s">
        <v>595</v>
      </c>
      <c r="BO2261" t="s">
        <v>595</v>
      </c>
      <c r="BP2261" s="184">
        <v>40985</v>
      </c>
    </row>
    <row r="2262" spans="1:68">
      <c r="A2262">
        <v>27419001</v>
      </c>
      <c r="B2262">
        <v>27419001</v>
      </c>
      <c r="C2262" t="s">
        <v>7018</v>
      </c>
      <c r="E2262" s="184"/>
      <c r="G2262" s="184"/>
      <c r="I2262" s="184"/>
      <c r="J2262" t="s">
        <v>595</v>
      </c>
      <c r="K2262" s="184">
        <v>42481</v>
      </c>
      <c r="O2262" s="184"/>
      <c r="P2262" t="s">
        <v>7045</v>
      </c>
      <c r="Q2262" t="s">
        <v>7383</v>
      </c>
      <c r="R2262" s="184">
        <v>16175</v>
      </c>
      <c r="S2262">
        <v>80</v>
      </c>
      <c r="U2262" t="s">
        <v>7031</v>
      </c>
      <c r="V2262" t="s">
        <v>2541</v>
      </c>
      <c r="W2262" t="s">
        <v>15927</v>
      </c>
      <c r="X2262" t="s">
        <v>3733</v>
      </c>
      <c r="Z2262">
        <v>100072624</v>
      </c>
      <c r="AA2262" t="s">
        <v>7130</v>
      </c>
      <c r="AB2262" t="s">
        <v>2518</v>
      </c>
      <c r="AD2262" t="s">
        <v>3733</v>
      </c>
      <c r="AF2262" t="s">
        <v>19837</v>
      </c>
      <c r="AG2262" t="s">
        <v>19838</v>
      </c>
      <c r="AI2262" t="s">
        <v>19839</v>
      </c>
      <c r="AM2262" t="s">
        <v>17039</v>
      </c>
      <c r="AN2262" t="s">
        <v>2072</v>
      </c>
      <c r="AO2262" t="s">
        <v>19840</v>
      </c>
      <c r="AP2262" t="s">
        <v>7024</v>
      </c>
      <c r="AQ2262" t="s">
        <v>19841</v>
      </c>
      <c r="AT2262" s="184">
        <v>35849</v>
      </c>
      <c r="AU2262" t="s">
        <v>19842</v>
      </c>
      <c r="AV2262">
        <v>25</v>
      </c>
      <c r="AW2262" s="184">
        <v>45299</v>
      </c>
      <c r="AX2262" t="s">
        <v>7742</v>
      </c>
      <c r="AY2262">
        <v>50</v>
      </c>
      <c r="AZ2262" s="184">
        <v>36955</v>
      </c>
      <c r="BA2262" t="s">
        <v>19843</v>
      </c>
      <c r="BB2262">
        <v>75</v>
      </c>
      <c r="BC2262">
        <v>97</v>
      </c>
      <c r="BD2262">
        <v>4039</v>
      </c>
      <c r="BE2262">
        <v>1998</v>
      </c>
      <c r="BF2262">
        <v>102</v>
      </c>
      <c r="BG2262">
        <v>4</v>
      </c>
      <c r="BH2262">
        <v>190</v>
      </c>
      <c r="BI2262">
        <v>26</v>
      </c>
      <c r="BJ2262">
        <v>27</v>
      </c>
      <c r="BK2262">
        <v>23</v>
      </c>
      <c r="BP2262" s="184"/>
    </row>
    <row r="2263" spans="1:68">
      <c r="A2263">
        <v>100072624</v>
      </c>
      <c r="B2263">
        <v>27419001</v>
      </c>
      <c r="C2263" t="s">
        <v>7018</v>
      </c>
      <c r="E2263" s="184"/>
      <c r="G2263" s="184"/>
      <c r="I2263" s="184"/>
      <c r="J2263" t="s">
        <v>595</v>
      </c>
      <c r="K2263" s="184">
        <v>43654</v>
      </c>
      <c r="O2263" s="184"/>
      <c r="P2263" t="s">
        <v>7045</v>
      </c>
      <c r="Q2263" t="s">
        <v>7383</v>
      </c>
      <c r="R2263" s="184">
        <v>20546</v>
      </c>
      <c r="S2263">
        <v>68</v>
      </c>
      <c r="U2263" t="s">
        <v>7130</v>
      </c>
      <c r="V2263" t="s">
        <v>2518</v>
      </c>
      <c r="X2263" t="s">
        <v>3733</v>
      </c>
      <c r="Z2263">
        <v>27419001</v>
      </c>
      <c r="AA2263" t="s">
        <v>7031</v>
      </c>
      <c r="AB2263" t="s">
        <v>2541</v>
      </c>
      <c r="AC2263" t="s">
        <v>15927</v>
      </c>
      <c r="AD2263" t="s">
        <v>3733</v>
      </c>
      <c r="AF2263" t="s">
        <v>19837</v>
      </c>
      <c r="AG2263" t="s">
        <v>19838</v>
      </c>
      <c r="AI2263" t="s">
        <v>19839</v>
      </c>
      <c r="AM2263" t="s">
        <v>17039</v>
      </c>
      <c r="AN2263" t="s">
        <v>2072</v>
      </c>
      <c r="AO2263" t="s">
        <v>19840</v>
      </c>
      <c r="AP2263" t="s">
        <v>7024</v>
      </c>
      <c r="AT2263" s="184"/>
      <c r="AW2263" s="184"/>
      <c r="AZ2263" s="184"/>
      <c r="BP2263" s="184"/>
    </row>
    <row r="2264" spans="1:68">
      <c r="A2264">
        <v>27421635</v>
      </c>
      <c r="B2264">
        <v>27421635</v>
      </c>
      <c r="C2264" t="s">
        <v>7018</v>
      </c>
      <c r="D2264" t="s">
        <v>595</v>
      </c>
      <c r="E2264" s="184">
        <v>44104</v>
      </c>
      <c r="G2264" s="184"/>
      <c r="I2264" s="184"/>
      <c r="K2264" s="184"/>
      <c r="P2264" t="s">
        <v>7045</v>
      </c>
      <c r="Q2264" t="s">
        <v>7383</v>
      </c>
      <c r="R2264" s="184">
        <v>19998</v>
      </c>
      <c r="S2264">
        <v>69</v>
      </c>
      <c r="V2264" t="s">
        <v>19844</v>
      </c>
      <c r="X2264" t="s">
        <v>13929</v>
      </c>
      <c r="Z2264">
        <v>100072639</v>
      </c>
      <c r="AB2264" t="s">
        <v>19845</v>
      </c>
      <c r="AD2264" t="s">
        <v>13929</v>
      </c>
      <c r="AF2264" t="s">
        <v>19846</v>
      </c>
      <c r="AG2264" t="s">
        <v>19847</v>
      </c>
      <c r="AI2264" t="s">
        <v>19848</v>
      </c>
      <c r="AM2264" t="s">
        <v>19849</v>
      </c>
      <c r="AN2264" t="s">
        <v>2059</v>
      </c>
      <c r="AO2264" t="s">
        <v>19850</v>
      </c>
      <c r="AP2264" t="s">
        <v>7024</v>
      </c>
      <c r="AQ2264" t="s">
        <v>19851</v>
      </c>
      <c r="AT2264" s="184">
        <v>35849</v>
      </c>
      <c r="AU2264" t="s">
        <v>19852</v>
      </c>
      <c r="AV2264">
        <v>15</v>
      </c>
      <c r="AW2264" s="184">
        <v>45302</v>
      </c>
      <c r="AX2264" t="s">
        <v>13280</v>
      </c>
      <c r="AY2264">
        <v>50</v>
      </c>
      <c r="AZ2264" s="184">
        <v>43866</v>
      </c>
      <c r="BA2264" t="s">
        <v>19853</v>
      </c>
      <c r="BB2264">
        <v>75</v>
      </c>
      <c r="BC2264">
        <v>100</v>
      </c>
      <c r="BD2264">
        <v>3630</v>
      </c>
      <c r="BE2264">
        <v>1998</v>
      </c>
      <c r="BF2264">
        <v>104</v>
      </c>
      <c r="BG2264">
        <v>6</v>
      </c>
      <c r="BH2264">
        <v>255</v>
      </c>
      <c r="BI2264">
        <v>27</v>
      </c>
      <c r="BJ2264">
        <v>27</v>
      </c>
      <c r="BK2264">
        <v>27</v>
      </c>
      <c r="BP2264" s="184"/>
    </row>
    <row r="2265" spans="1:68">
      <c r="A2265">
        <v>100072639</v>
      </c>
      <c r="B2265">
        <v>27421635</v>
      </c>
      <c r="C2265" t="s">
        <v>7018</v>
      </c>
      <c r="D2265" t="s">
        <v>595</v>
      </c>
      <c r="E2265" s="184">
        <v>44104</v>
      </c>
      <c r="G2265" s="184"/>
      <c r="I2265" s="184"/>
      <c r="K2265" s="184"/>
      <c r="M2265" s="184"/>
      <c r="O2265" s="184"/>
      <c r="P2265" t="s">
        <v>7045</v>
      </c>
      <c r="Q2265" t="s">
        <v>7383</v>
      </c>
      <c r="R2265" s="184">
        <v>19329</v>
      </c>
      <c r="S2265">
        <v>71</v>
      </c>
      <c r="V2265" t="s">
        <v>19845</v>
      </c>
      <c r="X2265" t="s">
        <v>13929</v>
      </c>
      <c r="Z2265">
        <v>27421635</v>
      </c>
      <c r="AB2265" t="s">
        <v>19844</v>
      </c>
      <c r="AD2265" t="s">
        <v>13929</v>
      </c>
      <c r="AF2265" t="s">
        <v>19846</v>
      </c>
      <c r="AG2265" t="s">
        <v>19847</v>
      </c>
      <c r="AI2265" t="s">
        <v>19848</v>
      </c>
      <c r="AM2265" t="s">
        <v>19849</v>
      </c>
      <c r="AN2265" t="s">
        <v>2059</v>
      </c>
      <c r="AO2265" t="s">
        <v>19850</v>
      </c>
      <c r="AP2265" t="s">
        <v>7024</v>
      </c>
      <c r="AT2265" s="184"/>
      <c r="AW2265" s="184"/>
      <c r="AZ2265" s="184"/>
      <c r="BP2265" s="184"/>
    </row>
    <row r="2266" spans="1:68">
      <c r="A2266">
        <v>27446376</v>
      </c>
      <c r="B2266">
        <v>27446376</v>
      </c>
      <c r="C2266" t="s">
        <v>7018</v>
      </c>
      <c r="D2266" t="s">
        <v>595</v>
      </c>
      <c r="E2266" s="184">
        <v>45160</v>
      </c>
      <c r="G2266" s="184"/>
      <c r="I2266" s="184"/>
      <c r="K2266" s="184"/>
      <c r="O2266" s="184"/>
      <c r="P2266" t="s">
        <v>7019</v>
      </c>
      <c r="Q2266" t="s">
        <v>7262</v>
      </c>
      <c r="R2266" s="184">
        <v>23191</v>
      </c>
      <c r="S2266">
        <v>60</v>
      </c>
      <c r="U2266" t="s">
        <v>7032</v>
      </c>
      <c r="V2266" t="s">
        <v>4093</v>
      </c>
      <c r="W2266" t="s">
        <v>7407</v>
      </c>
      <c r="X2266" t="s">
        <v>19854</v>
      </c>
      <c r="AF2266" t="s">
        <v>19855</v>
      </c>
      <c r="AG2266" t="s">
        <v>4093</v>
      </c>
      <c r="AI2266" t="s">
        <v>19856</v>
      </c>
      <c r="AM2266" t="s">
        <v>19857</v>
      </c>
      <c r="AN2266" t="s">
        <v>2069</v>
      </c>
      <c r="AO2266" t="s">
        <v>19858</v>
      </c>
      <c r="AP2266" t="s">
        <v>7024</v>
      </c>
      <c r="AQ2266" t="s">
        <v>19859</v>
      </c>
      <c r="AT2266" s="184">
        <v>35853</v>
      </c>
      <c r="AU2266" t="s">
        <v>19860</v>
      </c>
      <c r="AV2266">
        <v>15</v>
      </c>
      <c r="AW2266" s="184">
        <v>45362</v>
      </c>
      <c r="AX2266" t="s">
        <v>9212</v>
      </c>
      <c r="AY2266">
        <v>40</v>
      </c>
      <c r="AZ2266" s="184">
        <v>44985</v>
      </c>
      <c r="BA2266" t="s">
        <v>12922</v>
      </c>
      <c r="BB2266">
        <v>87</v>
      </c>
      <c r="BC2266">
        <v>89</v>
      </c>
      <c r="BD2266">
        <v>2262</v>
      </c>
      <c r="BE2266">
        <v>1998</v>
      </c>
      <c r="BF2266">
        <v>72</v>
      </c>
      <c r="BG2266">
        <v>5</v>
      </c>
      <c r="BH2266">
        <v>267</v>
      </c>
      <c r="BI2266">
        <v>24</v>
      </c>
      <c r="BJ2266">
        <v>27</v>
      </c>
      <c r="BK2266">
        <v>16</v>
      </c>
      <c r="BP2266" s="184"/>
    </row>
    <row r="2267" spans="1:68">
      <c r="A2267">
        <v>27446723</v>
      </c>
      <c r="B2267">
        <v>27446723</v>
      </c>
      <c r="C2267" t="s">
        <v>7018</v>
      </c>
      <c r="D2267" t="s">
        <v>595</v>
      </c>
      <c r="E2267" s="184">
        <v>44313</v>
      </c>
      <c r="G2267" s="184"/>
      <c r="I2267" s="184"/>
      <c r="K2267" s="184"/>
      <c r="M2267" s="184"/>
      <c r="O2267" s="184"/>
      <c r="P2267" t="s">
        <v>7045</v>
      </c>
      <c r="Q2267" t="s">
        <v>7160</v>
      </c>
      <c r="R2267" s="184">
        <v>14550</v>
      </c>
      <c r="S2267">
        <v>84</v>
      </c>
      <c r="U2267" t="s">
        <v>7031</v>
      </c>
      <c r="V2267" t="s">
        <v>15867</v>
      </c>
      <c r="W2267" t="s">
        <v>7384</v>
      </c>
      <c r="X2267" t="s">
        <v>19861</v>
      </c>
      <c r="AF2267" t="s">
        <v>19862</v>
      </c>
      <c r="AG2267" t="s">
        <v>15867</v>
      </c>
      <c r="AI2267" t="s">
        <v>19863</v>
      </c>
      <c r="AM2267" t="s">
        <v>5045</v>
      </c>
      <c r="AN2267" t="s">
        <v>2395</v>
      </c>
      <c r="AO2267" t="s">
        <v>19864</v>
      </c>
      <c r="AP2267" t="s">
        <v>7024</v>
      </c>
      <c r="AQ2267" t="s">
        <v>19865</v>
      </c>
      <c r="AR2267" t="s">
        <v>19866</v>
      </c>
      <c r="AT2267" s="184">
        <v>35853</v>
      </c>
      <c r="AU2267" t="s">
        <v>19867</v>
      </c>
      <c r="AV2267">
        <v>15</v>
      </c>
      <c r="AW2267" s="184">
        <v>45258</v>
      </c>
      <c r="AX2267" t="s">
        <v>19868</v>
      </c>
      <c r="AY2267">
        <v>40</v>
      </c>
      <c r="AZ2267" s="184">
        <v>45258</v>
      </c>
      <c r="BA2267" t="s">
        <v>19868</v>
      </c>
      <c r="BB2267">
        <v>40</v>
      </c>
      <c r="BC2267">
        <v>60</v>
      </c>
      <c r="BD2267">
        <v>635</v>
      </c>
      <c r="BE2267">
        <v>1998</v>
      </c>
      <c r="BF2267">
        <v>22</v>
      </c>
      <c r="BG2267">
        <v>2</v>
      </c>
      <c r="BH2267">
        <v>80</v>
      </c>
      <c r="BI2267">
        <v>16</v>
      </c>
      <c r="BJ2267">
        <v>27</v>
      </c>
      <c r="BK2267">
        <v>7</v>
      </c>
      <c r="BP2267" s="184"/>
    </row>
    <row r="2268" spans="1:68">
      <c r="A2268">
        <v>27447770</v>
      </c>
      <c r="B2268">
        <v>27447770</v>
      </c>
      <c r="C2268" t="s">
        <v>7018</v>
      </c>
      <c r="D2268" t="s">
        <v>595</v>
      </c>
      <c r="E2268" s="184">
        <v>44070</v>
      </c>
      <c r="G2268" s="184"/>
      <c r="I2268" s="184"/>
      <c r="K2268" s="184"/>
      <c r="O2268" s="184"/>
      <c r="P2268" t="s">
        <v>7045</v>
      </c>
      <c r="Q2268" t="s">
        <v>7020</v>
      </c>
      <c r="R2268" s="184">
        <v>19694</v>
      </c>
      <c r="S2268">
        <v>70</v>
      </c>
      <c r="U2268" t="s">
        <v>7076</v>
      </c>
      <c r="V2268" t="s">
        <v>2903</v>
      </c>
      <c r="W2268" t="s">
        <v>7107</v>
      </c>
      <c r="X2268" t="s">
        <v>9138</v>
      </c>
      <c r="AF2268" t="s">
        <v>19869</v>
      </c>
      <c r="AG2268" t="s">
        <v>2903</v>
      </c>
      <c r="AI2268" t="s">
        <v>13858</v>
      </c>
      <c r="AM2268" t="s">
        <v>19870</v>
      </c>
      <c r="AN2268" t="s">
        <v>2112</v>
      </c>
      <c r="AO2268" t="s">
        <v>19871</v>
      </c>
      <c r="AP2268" t="s">
        <v>7024</v>
      </c>
      <c r="AQ2268" t="s">
        <v>19872</v>
      </c>
      <c r="AT2268" s="184">
        <v>35853</v>
      </c>
      <c r="AU2268" t="s">
        <v>19873</v>
      </c>
      <c r="AV2268">
        <v>20</v>
      </c>
      <c r="AW2268" s="184">
        <v>45301</v>
      </c>
      <c r="AX2268" t="s">
        <v>17851</v>
      </c>
      <c r="AY2268">
        <v>110</v>
      </c>
      <c r="AZ2268" s="184">
        <v>45301</v>
      </c>
      <c r="BA2268" t="s">
        <v>17851</v>
      </c>
      <c r="BB2268">
        <v>110</v>
      </c>
      <c r="BC2268">
        <v>93</v>
      </c>
      <c r="BD2268">
        <v>1311.5</v>
      </c>
      <c r="BE2268">
        <v>1998</v>
      </c>
      <c r="BF2268">
        <v>39</v>
      </c>
      <c r="BG2268">
        <v>4</v>
      </c>
      <c r="BH2268">
        <v>321.5</v>
      </c>
      <c r="BI2268">
        <v>25</v>
      </c>
      <c r="BJ2268">
        <v>27</v>
      </c>
      <c r="BK2268">
        <v>13</v>
      </c>
      <c r="BP2268" s="184"/>
    </row>
    <row r="2269" spans="1:68">
      <c r="A2269">
        <v>27455260</v>
      </c>
      <c r="B2269">
        <v>27455260</v>
      </c>
      <c r="C2269" t="s">
        <v>7018</v>
      </c>
      <c r="E2269" s="184"/>
      <c r="F2269" t="s">
        <v>595</v>
      </c>
      <c r="G2269" s="184">
        <v>43745</v>
      </c>
      <c r="I2269" s="184"/>
      <c r="K2269" s="184"/>
      <c r="O2269" s="184"/>
      <c r="P2269" t="s">
        <v>7045</v>
      </c>
      <c r="Q2269" t="s">
        <v>7494</v>
      </c>
      <c r="R2269" s="184">
        <v>10548</v>
      </c>
      <c r="S2269">
        <v>95</v>
      </c>
      <c r="U2269" t="s">
        <v>7094</v>
      </c>
      <c r="V2269" t="s">
        <v>4079</v>
      </c>
      <c r="W2269" t="s">
        <v>4327</v>
      </c>
      <c r="X2269" t="s">
        <v>2530</v>
      </c>
      <c r="AF2269" t="s">
        <v>19874</v>
      </c>
      <c r="AG2269" t="s">
        <v>4079</v>
      </c>
      <c r="AI2269" t="s">
        <v>19875</v>
      </c>
      <c r="AM2269" t="s">
        <v>4012</v>
      </c>
      <c r="AN2269" t="s">
        <v>2174</v>
      </c>
      <c r="AO2269" t="s">
        <v>19876</v>
      </c>
      <c r="AP2269" t="s">
        <v>7024</v>
      </c>
      <c r="AT2269" s="184">
        <v>35853</v>
      </c>
      <c r="AU2269" t="s">
        <v>19877</v>
      </c>
      <c r="AV2269">
        <v>15</v>
      </c>
      <c r="AW2269" s="184">
        <v>43796</v>
      </c>
      <c r="AX2269" t="s">
        <v>19878</v>
      </c>
      <c r="AY2269">
        <v>15</v>
      </c>
      <c r="AZ2269" s="184">
        <v>43213</v>
      </c>
      <c r="BA2269" t="s">
        <v>19879</v>
      </c>
      <c r="BB2269">
        <v>25</v>
      </c>
      <c r="BC2269">
        <v>23</v>
      </c>
      <c r="BD2269">
        <v>165</v>
      </c>
      <c r="BE2269">
        <v>1998</v>
      </c>
      <c r="BF2269">
        <v>10</v>
      </c>
      <c r="BI2269">
        <v>6</v>
      </c>
      <c r="BJ2269">
        <v>27</v>
      </c>
      <c r="BK2269">
        <v>4</v>
      </c>
      <c r="BP2269" s="184"/>
    </row>
    <row r="2270" spans="1:68">
      <c r="A2270">
        <v>27469477</v>
      </c>
      <c r="B2270">
        <v>27469477</v>
      </c>
      <c r="C2270" t="s">
        <v>7018</v>
      </c>
      <c r="E2270" s="184"/>
      <c r="G2270" s="184"/>
      <c r="I2270" s="184"/>
      <c r="J2270" t="s">
        <v>595</v>
      </c>
      <c r="K2270" s="184">
        <v>44073</v>
      </c>
      <c r="O2270" s="184"/>
      <c r="P2270" t="s">
        <v>7045</v>
      </c>
      <c r="Q2270" t="s">
        <v>7020</v>
      </c>
      <c r="R2270" s="184">
        <v>19329</v>
      </c>
      <c r="S2270">
        <v>71</v>
      </c>
      <c r="U2270" t="s">
        <v>7076</v>
      </c>
      <c r="V2270" t="s">
        <v>2718</v>
      </c>
      <c r="X2270" t="s">
        <v>4918</v>
      </c>
      <c r="AF2270" t="s">
        <v>19880</v>
      </c>
      <c r="AG2270" t="s">
        <v>2718</v>
      </c>
      <c r="AI2270" t="s">
        <v>19881</v>
      </c>
      <c r="AM2270" t="s">
        <v>4919</v>
      </c>
      <c r="AN2270" t="s">
        <v>2129</v>
      </c>
      <c r="AO2270" t="s">
        <v>19882</v>
      </c>
      <c r="AP2270" t="s">
        <v>7024</v>
      </c>
      <c r="AQ2270" t="s">
        <v>19883</v>
      </c>
      <c r="AR2270" t="s">
        <v>19884</v>
      </c>
      <c r="AT2270" s="184">
        <v>35856</v>
      </c>
      <c r="AU2270" t="s">
        <v>19885</v>
      </c>
      <c r="AV2270">
        <v>15</v>
      </c>
      <c r="AW2270" s="184">
        <v>45194</v>
      </c>
      <c r="AX2270" t="s">
        <v>7821</v>
      </c>
      <c r="AY2270">
        <v>25</v>
      </c>
      <c r="AZ2270" s="184">
        <v>45194</v>
      </c>
      <c r="BA2270" t="s">
        <v>7821</v>
      </c>
      <c r="BB2270">
        <v>25</v>
      </c>
      <c r="BC2270">
        <v>93</v>
      </c>
      <c r="BD2270">
        <v>755</v>
      </c>
      <c r="BE2270">
        <v>1998</v>
      </c>
      <c r="BF2270">
        <v>32</v>
      </c>
      <c r="BG2270">
        <v>2</v>
      </c>
      <c r="BH2270">
        <v>50</v>
      </c>
      <c r="BI2270">
        <v>25</v>
      </c>
      <c r="BJ2270">
        <v>27</v>
      </c>
      <c r="BK2270">
        <v>22</v>
      </c>
      <c r="BP2270" s="184"/>
    </row>
    <row r="2271" spans="1:68">
      <c r="A2271">
        <v>27480300</v>
      </c>
      <c r="B2271">
        <v>27480300</v>
      </c>
      <c r="C2271" t="s">
        <v>7018</v>
      </c>
      <c r="E2271" s="184"/>
      <c r="G2271" s="184"/>
      <c r="I2271" s="184"/>
      <c r="K2271" s="184"/>
      <c r="N2271" t="s">
        <v>595</v>
      </c>
      <c r="O2271" s="184">
        <v>36122</v>
      </c>
      <c r="P2271" t="s">
        <v>7045</v>
      </c>
      <c r="Q2271" t="s">
        <v>7374</v>
      </c>
      <c r="R2271" s="184">
        <v>9022</v>
      </c>
      <c r="S2271">
        <v>99</v>
      </c>
      <c r="U2271" t="s">
        <v>7031</v>
      </c>
      <c r="V2271" t="s">
        <v>19886</v>
      </c>
      <c r="X2271" t="s">
        <v>19887</v>
      </c>
      <c r="AF2271" t="s">
        <v>6036</v>
      </c>
      <c r="AG2271" t="s">
        <v>19888</v>
      </c>
      <c r="AI2271" t="s">
        <v>19889</v>
      </c>
      <c r="AM2271" t="s">
        <v>4329</v>
      </c>
      <c r="AN2271" t="s">
        <v>2066</v>
      </c>
      <c r="AO2271" t="s">
        <v>19890</v>
      </c>
      <c r="AP2271" t="s">
        <v>7024</v>
      </c>
      <c r="AT2271" s="184">
        <v>35858</v>
      </c>
      <c r="AU2271" t="s">
        <v>19891</v>
      </c>
      <c r="AV2271">
        <v>15</v>
      </c>
      <c r="AW2271" s="184">
        <v>39790</v>
      </c>
      <c r="AX2271" t="s">
        <v>19892</v>
      </c>
      <c r="AY2271">
        <v>5</v>
      </c>
      <c r="AZ2271" s="184">
        <v>36122</v>
      </c>
      <c r="BA2271" t="s">
        <v>7929</v>
      </c>
      <c r="BB2271">
        <v>10000</v>
      </c>
      <c r="BC2271">
        <v>23</v>
      </c>
      <c r="BD2271">
        <v>10185</v>
      </c>
      <c r="BE2271">
        <v>1998</v>
      </c>
      <c r="BF2271">
        <v>10</v>
      </c>
      <c r="BI2271">
        <v>6</v>
      </c>
      <c r="BJ2271">
        <v>27</v>
      </c>
      <c r="BK2271">
        <v>2</v>
      </c>
      <c r="BO2271" t="s">
        <v>595</v>
      </c>
      <c r="BP2271" s="184">
        <v>43004</v>
      </c>
    </row>
    <row r="2272" spans="1:68">
      <c r="A2272">
        <v>27480748</v>
      </c>
      <c r="B2272">
        <v>27480748</v>
      </c>
      <c r="C2272" t="s">
        <v>7018</v>
      </c>
      <c r="D2272" t="s">
        <v>595</v>
      </c>
      <c r="E2272" s="184">
        <v>43642</v>
      </c>
      <c r="G2272" s="184"/>
      <c r="I2272" s="184"/>
      <c r="K2272" s="184"/>
      <c r="O2272" s="184"/>
      <c r="P2272" t="s">
        <v>7045</v>
      </c>
      <c r="Q2272" t="s">
        <v>7262</v>
      </c>
      <c r="R2272" s="184">
        <v>19784</v>
      </c>
      <c r="S2272">
        <v>70</v>
      </c>
      <c r="V2272" t="s">
        <v>2541</v>
      </c>
      <c r="X2272" t="s">
        <v>3286</v>
      </c>
      <c r="Z2272">
        <v>100072832</v>
      </c>
      <c r="AB2272" t="s">
        <v>2733</v>
      </c>
      <c r="AD2272" t="s">
        <v>3286</v>
      </c>
      <c r="AF2272" t="s">
        <v>19893</v>
      </c>
      <c r="AG2272" t="s">
        <v>19894</v>
      </c>
      <c r="AI2272" t="s">
        <v>19895</v>
      </c>
      <c r="AM2272" t="s">
        <v>3287</v>
      </c>
      <c r="AN2272" t="s">
        <v>2106</v>
      </c>
      <c r="AO2272" t="s">
        <v>19896</v>
      </c>
      <c r="AP2272" t="s">
        <v>7024</v>
      </c>
      <c r="AQ2272" t="s">
        <v>19897</v>
      </c>
      <c r="AR2272" t="s">
        <v>19898</v>
      </c>
      <c r="AT2272" s="184">
        <v>35858</v>
      </c>
      <c r="AU2272" t="s">
        <v>19899</v>
      </c>
      <c r="AV2272">
        <v>25</v>
      </c>
      <c r="AW2272" s="184">
        <v>45089</v>
      </c>
      <c r="AX2272" t="s">
        <v>12461</v>
      </c>
      <c r="AY2272">
        <v>25</v>
      </c>
      <c r="AZ2272" s="184">
        <v>43637</v>
      </c>
      <c r="BA2272" t="s">
        <v>19900</v>
      </c>
      <c r="BB2272">
        <v>100</v>
      </c>
      <c r="BC2272">
        <v>41</v>
      </c>
      <c r="BD2272">
        <v>593.95000000000005</v>
      </c>
      <c r="BE2272">
        <v>1998</v>
      </c>
      <c r="BF2272">
        <v>13</v>
      </c>
      <c r="BG2272">
        <v>1</v>
      </c>
      <c r="BH2272">
        <v>25</v>
      </c>
      <c r="BI2272">
        <v>11</v>
      </c>
      <c r="BJ2272">
        <v>27</v>
      </c>
      <c r="BK2272">
        <v>5</v>
      </c>
      <c r="BP2272" s="184"/>
    </row>
    <row r="2273" spans="1:68">
      <c r="A2273">
        <v>100072832</v>
      </c>
      <c r="B2273">
        <v>27480748</v>
      </c>
      <c r="C2273" t="s">
        <v>7018</v>
      </c>
      <c r="D2273" t="s">
        <v>595</v>
      </c>
      <c r="E2273" s="184">
        <v>43642</v>
      </c>
      <c r="G2273" s="184"/>
      <c r="I2273" s="184"/>
      <c r="K2273" s="184"/>
      <c r="M2273" s="184"/>
      <c r="O2273" s="184"/>
      <c r="P2273" t="s">
        <v>7045</v>
      </c>
      <c r="Q2273" t="s">
        <v>7262</v>
      </c>
      <c r="R2273" s="184">
        <v>19784</v>
      </c>
      <c r="S2273">
        <v>70</v>
      </c>
      <c r="V2273" t="s">
        <v>2733</v>
      </c>
      <c r="X2273" t="s">
        <v>3286</v>
      </c>
      <c r="Z2273">
        <v>27480748</v>
      </c>
      <c r="AB2273" t="s">
        <v>2541</v>
      </c>
      <c r="AD2273" t="s">
        <v>3286</v>
      </c>
      <c r="AF2273" t="s">
        <v>19893</v>
      </c>
      <c r="AG2273" t="s">
        <v>19894</v>
      </c>
      <c r="AI2273" t="s">
        <v>19895</v>
      </c>
      <c r="AM2273" t="s">
        <v>3287</v>
      </c>
      <c r="AN2273" t="s">
        <v>2106</v>
      </c>
      <c r="AO2273" t="s">
        <v>19896</v>
      </c>
      <c r="AP2273" t="s">
        <v>7024</v>
      </c>
      <c r="AT2273" s="184"/>
      <c r="AW2273" s="184"/>
      <c r="AZ2273" s="184"/>
      <c r="BP2273" s="184"/>
    </row>
    <row r="2274" spans="1:68">
      <c r="A2274">
        <v>27489913</v>
      </c>
      <c r="B2274">
        <v>27489913</v>
      </c>
      <c r="C2274" t="s">
        <v>7018</v>
      </c>
      <c r="D2274" t="s">
        <v>595</v>
      </c>
      <c r="E2274" s="184">
        <v>44119</v>
      </c>
      <c r="G2274" s="184"/>
      <c r="I2274" s="184"/>
      <c r="K2274" s="184"/>
      <c r="O2274" s="184"/>
      <c r="P2274" t="s">
        <v>7045</v>
      </c>
      <c r="Q2274" t="s">
        <v>7020</v>
      </c>
      <c r="R2274" s="184">
        <v>17500</v>
      </c>
      <c r="S2274">
        <v>76</v>
      </c>
      <c r="V2274" t="s">
        <v>3011</v>
      </c>
      <c r="W2274" t="s">
        <v>3226</v>
      </c>
      <c r="X2274" t="s">
        <v>19901</v>
      </c>
      <c r="AF2274" t="s">
        <v>19902</v>
      </c>
      <c r="AG2274" t="s">
        <v>3011</v>
      </c>
      <c r="AI2274" t="s">
        <v>19903</v>
      </c>
      <c r="AM2274" t="s">
        <v>19904</v>
      </c>
      <c r="AN2274" t="s">
        <v>2240</v>
      </c>
      <c r="AO2274" t="s">
        <v>19905</v>
      </c>
      <c r="AP2274" t="s">
        <v>7024</v>
      </c>
      <c r="AQ2274" t="s">
        <v>19906</v>
      </c>
      <c r="AR2274" t="s">
        <v>19907</v>
      </c>
      <c r="AT2274" s="184">
        <v>35859</v>
      </c>
      <c r="AU2274" t="s">
        <v>19908</v>
      </c>
      <c r="AV2274">
        <v>25</v>
      </c>
      <c r="AW2274" s="184">
        <v>42674</v>
      </c>
      <c r="AX2274" t="s">
        <v>19909</v>
      </c>
      <c r="AY2274">
        <v>15</v>
      </c>
      <c r="AZ2274" s="184">
        <v>36644</v>
      </c>
      <c r="BA2274" t="s">
        <v>19910</v>
      </c>
      <c r="BB2274">
        <v>100</v>
      </c>
      <c r="BC2274">
        <v>71</v>
      </c>
      <c r="BD2274">
        <v>1094</v>
      </c>
      <c r="BE2274">
        <v>1998</v>
      </c>
      <c r="BF2274">
        <v>53</v>
      </c>
      <c r="BI2274">
        <v>19</v>
      </c>
      <c r="BJ2274">
        <v>27</v>
      </c>
      <c r="BK2274">
        <v>19</v>
      </c>
      <c r="BP2274" s="184"/>
    </row>
    <row r="2275" spans="1:68">
      <c r="A2275">
        <v>27491604</v>
      </c>
      <c r="B2275">
        <v>27491604</v>
      </c>
      <c r="C2275" t="s">
        <v>7018</v>
      </c>
      <c r="D2275" t="s">
        <v>595</v>
      </c>
      <c r="E2275" s="184">
        <v>44168</v>
      </c>
      <c r="G2275" s="184"/>
      <c r="I2275" s="184"/>
      <c r="K2275" s="184"/>
      <c r="O2275" s="184"/>
      <c r="P2275" t="s">
        <v>7019</v>
      </c>
      <c r="Q2275" t="s">
        <v>7374</v>
      </c>
      <c r="R2275" s="184">
        <v>19784</v>
      </c>
      <c r="S2275">
        <v>70</v>
      </c>
      <c r="U2275" t="s">
        <v>7076</v>
      </c>
      <c r="V2275" t="s">
        <v>7349</v>
      </c>
      <c r="W2275" t="s">
        <v>7248</v>
      </c>
      <c r="X2275" t="s">
        <v>19911</v>
      </c>
      <c r="AF2275" t="s">
        <v>19912</v>
      </c>
      <c r="AG2275" t="s">
        <v>7349</v>
      </c>
      <c r="AI2275" t="s">
        <v>19913</v>
      </c>
      <c r="AM2275" t="s">
        <v>16620</v>
      </c>
      <c r="AN2275" t="s">
        <v>2081</v>
      </c>
      <c r="AO2275" t="s">
        <v>19914</v>
      </c>
      <c r="AP2275" t="s">
        <v>7024</v>
      </c>
      <c r="AQ2275" t="s">
        <v>19915</v>
      </c>
      <c r="AT2275" s="184">
        <v>35859</v>
      </c>
      <c r="AU2275" t="s">
        <v>19916</v>
      </c>
      <c r="AV2275">
        <v>15</v>
      </c>
      <c r="AW2275" s="184">
        <v>41271</v>
      </c>
      <c r="AX2275" t="s">
        <v>19917</v>
      </c>
      <c r="AY2275">
        <v>20</v>
      </c>
      <c r="AZ2275" s="184">
        <v>41036</v>
      </c>
      <c r="BA2275" t="s">
        <v>19918</v>
      </c>
      <c r="BB2275">
        <v>65</v>
      </c>
      <c r="BC2275">
        <v>38</v>
      </c>
      <c r="BD2275">
        <v>410</v>
      </c>
      <c r="BE2275">
        <v>1998</v>
      </c>
      <c r="BF2275">
        <v>17</v>
      </c>
      <c r="BI2275">
        <v>10</v>
      </c>
      <c r="BJ2275">
        <v>27</v>
      </c>
      <c r="BK2275">
        <v>5</v>
      </c>
      <c r="BP2275" s="184"/>
    </row>
    <row r="2276" spans="1:68">
      <c r="A2276">
        <v>27497460</v>
      </c>
      <c r="B2276">
        <v>27497460</v>
      </c>
      <c r="C2276" t="s">
        <v>7018</v>
      </c>
      <c r="D2276" t="s">
        <v>595</v>
      </c>
      <c r="E2276" s="184">
        <v>43642</v>
      </c>
      <c r="G2276" s="184"/>
      <c r="I2276" s="184"/>
      <c r="K2276" s="184"/>
      <c r="O2276" s="184"/>
      <c r="P2276" t="s">
        <v>7045</v>
      </c>
      <c r="Q2276" t="s">
        <v>7774</v>
      </c>
      <c r="R2276" s="184">
        <v>13023</v>
      </c>
      <c r="S2276">
        <v>88</v>
      </c>
      <c r="U2276" t="s">
        <v>7076</v>
      </c>
      <c r="V2276" t="s">
        <v>3288</v>
      </c>
      <c r="W2276" t="s">
        <v>7469</v>
      </c>
      <c r="X2276" t="s">
        <v>2864</v>
      </c>
      <c r="AF2276" t="s">
        <v>19919</v>
      </c>
      <c r="AG2276" t="s">
        <v>3288</v>
      </c>
      <c r="AI2276" t="s">
        <v>19920</v>
      </c>
      <c r="AM2276" t="s">
        <v>3289</v>
      </c>
      <c r="AN2276" t="s">
        <v>2290</v>
      </c>
      <c r="AO2276" t="s">
        <v>19921</v>
      </c>
      <c r="AP2276" t="s">
        <v>7024</v>
      </c>
      <c r="AQ2276" t="s">
        <v>19922</v>
      </c>
      <c r="AT2276" s="184">
        <v>35860</v>
      </c>
      <c r="AU2276" t="s">
        <v>19923</v>
      </c>
      <c r="AV2276">
        <v>15</v>
      </c>
      <c r="AW2276" s="184">
        <v>44483</v>
      </c>
      <c r="AX2276" t="s">
        <v>14121</v>
      </c>
      <c r="AY2276">
        <v>25</v>
      </c>
      <c r="AZ2276" s="184">
        <v>43526</v>
      </c>
      <c r="BA2276" t="s">
        <v>19924</v>
      </c>
      <c r="BB2276">
        <v>60</v>
      </c>
      <c r="BC2276">
        <v>38</v>
      </c>
      <c r="BD2276">
        <v>415</v>
      </c>
      <c r="BE2276">
        <v>1998</v>
      </c>
      <c r="BF2276">
        <v>17</v>
      </c>
      <c r="BI2276">
        <v>10</v>
      </c>
      <c r="BJ2276">
        <v>27</v>
      </c>
      <c r="BK2276">
        <v>5</v>
      </c>
      <c r="BP2276" s="184"/>
    </row>
    <row r="2277" spans="1:68">
      <c r="A2277">
        <v>27507409</v>
      </c>
      <c r="B2277">
        <v>27507409</v>
      </c>
      <c r="C2277" t="s">
        <v>7018</v>
      </c>
      <c r="E2277" s="184"/>
      <c r="G2277" s="184"/>
      <c r="I2277" s="184"/>
      <c r="J2277" t="s">
        <v>595</v>
      </c>
      <c r="K2277" s="184">
        <v>44104</v>
      </c>
      <c r="O2277" s="184"/>
      <c r="P2277" t="s">
        <v>7045</v>
      </c>
      <c r="Q2277" t="s">
        <v>7494</v>
      </c>
      <c r="R2277" s="184">
        <v>17518</v>
      </c>
      <c r="S2277">
        <v>76</v>
      </c>
      <c r="V2277" t="s">
        <v>2580</v>
      </c>
      <c r="W2277" t="s">
        <v>3875</v>
      </c>
      <c r="X2277" t="s">
        <v>3828</v>
      </c>
      <c r="AF2277" t="s">
        <v>19925</v>
      </c>
      <c r="AG2277" t="s">
        <v>2580</v>
      </c>
      <c r="AI2277" t="s">
        <v>19926</v>
      </c>
      <c r="AM2277" t="s">
        <v>3881</v>
      </c>
      <c r="AN2277" t="s">
        <v>2174</v>
      </c>
      <c r="AO2277" t="s">
        <v>19927</v>
      </c>
      <c r="AP2277" t="s">
        <v>7024</v>
      </c>
      <c r="AQ2277" t="s">
        <v>19928</v>
      </c>
      <c r="AR2277" t="s">
        <v>19929</v>
      </c>
      <c r="AT2277" s="184">
        <v>35865</v>
      </c>
      <c r="AU2277" t="s">
        <v>17198</v>
      </c>
      <c r="AV2277">
        <v>15</v>
      </c>
      <c r="AW2277" s="184">
        <v>45406</v>
      </c>
      <c r="AX2277" t="s">
        <v>19930</v>
      </c>
      <c r="AY2277">
        <v>10</v>
      </c>
      <c r="AZ2277" s="184">
        <v>36886</v>
      </c>
      <c r="BA2277" t="s">
        <v>19931</v>
      </c>
      <c r="BB2277">
        <v>85</v>
      </c>
      <c r="BC2277">
        <v>71</v>
      </c>
      <c r="BD2277">
        <v>980</v>
      </c>
      <c r="BE2277">
        <v>1998</v>
      </c>
      <c r="BF2277">
        <v>36</v>
      </c>
      <c r="BG2277">
        <v>3</v>
      </c>
      <c r="BH2277">
        <v>40</v>
      </c>
      <c r="BI2277">
        <v>19</v>
      </c>
      <c r="BJ2277">
        <v>27</v>
      </c>
      <c r="BK2277">
        <v>4</v>
      </c>
      <c r="BP2277" s="184"/>
    </row>
    <row r="2278" spans="1:68">
      <c r="A2278">
        <v>27514652</v>
      </c>
      <c r="B2278">
        <v>27514652</v>
      </c>
      <c r="C2278" t="s">
        <v>7018</v>
      </c>
      <c r="E2278" s="184"/>
      <c r="F2278" t="s">
        <v>595</v>
      </c>
      <c r="G2278" s="184">
        <v>44073</v>
      </c>
      <c r="I2278" s="184"/>
      <c r="K2278" s="184"/>
      <c r="O2278" s="184"/>
      <c r="P2278" t="s">
        <v>7045</v>
      </c>
      <c r="Q2278" t="s">
        <v>7383</v>
      </c>
      <c r="R2278" s="184">
        <v>12758</v>
      </c>
      <c r="S2278">
        <v>89</v>
      </c>
      <c r="U2278" t="s">
        <v>7076</v>
      </c>
      <c r="V2278" t="s">
        <v>10122</v>
      </c>
      <c r="W2278" t="s">
        <v>4210</v>
      </c>
      <c r="X2278" t="s">
        <v>2749</v>
      </c>
      <c r="AF2278" t="s">
        <v>19932</v>
      </c>
      <c r="AG2278" t="s">
        <v>10122</v>
      </c>
      <c r="AI2278" t="s">
        <v>19933</v>
      </c>
      <c r="AM2278" t="s">
        <v>4225</v>
      </c>
      <c r="AN2278" t="s">
        <v>2072</v>
      </c>
      <c r="AO2278" t="s">
        <v>19934</v>
      </c>
      <c r="AP2278" t="s">
        <v>7024</v>
      </c>
      <c r="AQ2278" t="s">
        <v>19935</v>
      </c>
      <c r="AT2278" s="184">
        <v>35866</v>
      </c>
      <c r="AU2278" t="s">
        <v>19936</v>
      </c>
      <c r="AV2278">
        <v>25</v>
      </c>
      <c r="AW2278" s="184">
        <v>44546</v>
      </c>
      <c r="AX2278" t="s">
        <v>19937</v>
      </c>
      <c r="AY2278">
        <v>25</v>
      </c>
      <c r="AZ2278" s="184">
        <v>44229</v>
      </c>
      <c r="BA2278" t="s">
        <v>19938</v>
      </c>
      <c r="BB2278">
        <v>100</v>
      </c>
      <c r="BC2278">
        <v>71</v>
      </c>
      <c r="BD2278">
        <v>1605</v>
      </c>
      <c r="BE2278">
        <v>1998</v>
      </c>
      <c r="BF2278">
        <v>34</v>
      </c>
      <c r="BI2278">
        <v>19</v>
      </c>
      <c r="BJ2278">
        <v>27</v>
      </c>
      <c r="BK2278">
        <v>7</v>
      </c>
      <c r="BP2278" s="184"/>
    </row>
    <row r="2279" spans="1:68">
      <c r="A2279">
        <v>27535020</v>
      </c>
      <c r="B2279">
        <v>27535020</v>
      </c>
      <c r="C2279" t="s">
        <v>7018</v>
      </c>
      <c r="D2279" t="s">
        <v>595</v>
      </c>
      <c r="E2279" s="184">
        <v>45113</v>
      </c>
      <c r="I2279" s="184"/>
      <c r="K2279" s="184"/>
      <c r="M2279" s="184"/>
      <c r="O2279" s="184"/>
      <c r="P2279" t="s">
        <v>7045</v>
      </c>
      <c r="Q2279" t="s">
        <v>7383</v>
      </c>
      <c r="R2279" s="184">
        <v>22553</v>
      </c>
      <c r="S2279">
        <v>62</v>
      </c>
      <c r="U2279" t="s">
        <v>7031</v>
      </c>
      <c r="V2279" t="s">
        <v>2879</v>
      </c>
      <c r="W2279" t="s">
        <v>3332</v>
      </c>
      <c r="X2279" t="s">
        <v>19939</v>
      </c>
      <c r="AF2279" t="s">
        <v>19940</v>
      </c>
      <c r="AG2279" t="s">
        <v>2879</v>
      </c>
      <c r="AI2279" t="s">
        <v>19941</v>
      </c>
      <c r="AM2279" t="s">
        <v>19942</v>
      </c>
      <c r="AN2279" t="s">
        <v>2162</v>
      </c>
      <c r="AO2279" t="s">
        <v>19943</v>
      </c>
      <c r="AP2279" t="s">
        <v>7024</v>
      </c>
      <c r="AQ2279" t="s">
        <v>19944</v>
      </c>
      <c r="AR2279" t="s">
        <v>19945</v>
      </c>
      <c r="AT2279" s="184">
        <v>35867</v>
      </c>
      <c r="AU2279" t="s">
        <v>19946</v>
      </c>
      <c r="AV2279">
        <v>15</v>
      </c>
      <c r="AW2279" s="184">
        <v>45097</v>
      </c>
      <c r="AX2279" t="s">
        <v>19947</v>
      </c>
      <c r="AY2279">
        <v>25</v>
      </c>
      <c r="AZ2279" s="184">
        <v>45097</v>
      </c>
      <c r="BA2279" t="s">
        <v>19947</v>
      </c>
      <c r="BB2279">
        <v>25</v>
      </c>
      <c r="BC2279">
        <v>26</v>
      </c>
      <c r="BD2279">
        <v>240</v>
      </c>
      <c r="BE2279">
        <v>1998</v>
      </c>
      <c r="BF2279">
        <v>10</v>
      </c>
      <c r="BG2279">
        <v>1</v>
      </c>
      <c r="BH2279">
        <v>25</v>
      </c>
      <c r="BI2279">
        <v>7</v>
      </c>
      <c r="BJ2279">
        <v>27</v>
      </c>
      <c r="BK2279">
        <v>3</v>
      </c>
      <c r="BP2279" s="184"/>
    </row>
    <row r="2280" spans="1:68">
      <c r="A2280">
        <v>27550789</v>
      </c>
      <c r="B2280">
        <v>27550789</v>
      </c>
      <c r="C2280" t="s">
        <v>7018</v>
      </c>
      <c r="D2280" t="s">
        <v>595</v>
      </c>
      <c r="E2280" s="184">
        <v>44104</v>
      </c>
      <c r="G2280" s="184"/>
      <c r="I2280" s="184"/>
      <c r="K2280" s="184"/>
      <c r="O2280" s="184"/>
      <c r="P2280" t="s">
        <v>7045</v>
      </c>
      <c r="Q2280" t="s">
        <v>7494</v>
      </c>
      <c r="R2280" s="184">
        <v>20090</v>
      </c>
      <c r="S2280">
        <v>69</v>
      </c>
      <c r="U2280" t="s">
        <v>7076</v>
      </c>
      <c r="V2280" t="s">
        <v>3527</v>
      </c>
      <c r="W2280" t="s">
        <v>19948</v>
      </c>
      <c r="X2280" t="s">
        <v>19949</v>
      </c>
      <c r="AF2280" t="s">
        <v>19950</v>
      </c>
      <c r="AG2280" t="s">
        <v>3527</v>
      </c>
      <c r="AI2280" t="s">
        <v>19951</v>
      </c>
      <c r="AM2280" t="s">
        <v>19952</v>
      </c>
      <c r="AN2280" t="s">
        <v>2174</v>
      </c>
      <c r="AO2280" t="s">
        <v>19953</v>
      </c>
      <c r="AP2280" t="s">
        <v>7024</v>
      </c>
      <c r="AQ2280" t="s">
        <v>19954</v>
      </c>
      <c r="AR2280" t="s">
        <v>19955</v>
      </c>
      <c r="AT2280" s="184">
        <v>35874</v>
      </c>
      <c r="AU2280" t="s">
        <v>19956</v>
      </c>
      <c r="AV2280">
        <v>19.95</v>
      </c>
      <c r="AW2280" s="184">
        <v>45266</v>
      </c>
      <c r="AX2280" t="s">
        <v>16902</v>
      </c>
      <c r="AY2280">
        <v>26.25</v>
      </c>
      <c r="AZ2280" s="184">
        <v>43516</v>
      </c>
      <c r="BA2280" t="s">
        <v>7959</v>
      </c>
      <c r="BB2280">
        <v>35</v>
      </c>
      <c r="BC2280">
        <v>67</v>
      </c>
      <c r="BD2280">
        <v>511.2</v>
      </c>
      <c r="BE2280">
        <v>1998</v>
      </c>
      <c r="BF2280">
        <v>18</v>
      </c>
      <c r="BG2280">
        <v>1</v>
      </c>
      <c r="BH2280">
        <v>26.25</v>
      </c>
      <c r="BI2280">
        <v>18</v>
      </c>
      <c r="BJ2280">
        <v>27</v>
      </c>
      <c r="BK2280">
        <v>8</v>
      </c>
      <c r="BP2280" s="184"/>
    </row>
    <row r="2281" spans="1:68">
      <c r="A2281">
        <v>27560200</v>
      </c>
      <c r="B2281">
        <v>27560200</v>
      </c>
      <c r="C2281" t="s">
        <v>7018</v>
      </c>
      <c r="E2281" s="184"/>
      <c r="G2281" s="184"/>
      <c r="I2281" s="184"/>
      <c r="J2281" t="s">
        <v>595</v>
      </c>
      <c r="K2281" s="184">
        <v>44167</v>
      </c>
      <c r="O2281" s="184"/>
      <c r="P2281" t="s">
        <v>7045</v>
      </c>
      <c r="Q2281" t="s">
        <v>7374</v>
      </c>
      <c r="R2281" s="184">
        <v>16210</v>
      </c>
      <c r="S2281">
        <v>79</v>
      </c>
      <c r="U2281" t="s">
        <v>7031</v>
      </c>
      <c r="V2281" t="s">
        <v>2871</v>
      </c>
      <c r="W2281" t="s">
        <v>19957</v>
      </c>
      <c r="X2281" t="s">
        <v>19958</v>
      </c>
      <c r="AF2281" t="s">
        <v>19959</v>
      </c>
      <c r="AG2281" t="s">
        <v>2871</v>
      </c>
      <c r="AI2281" t="s">
        <v>19960</v>
      </c>
      <c r="AM2281" t="s">
        <v>4567</v>
      </c>
      <c r="AN2281" t="s">
        <v>2081</v>
      </c>
      <c r="AO2281" t="s">
        <v>19961</v>
      </c>
      <c r="AP2281" t="s">
        <v>7024</v>
      </c>
      <c r="AQ2281" t="s">
        <v>19962</v>
      </c>
      <c r="AT2281" s="184">
        <v>35871</v>
      </c>
      <c r="AU2281" t="s">
        <v>19963</v>
      </c>
      <c r="AV2281">
        <v>15</v>
      </c>
      <c r="AW2281" s="184">
        <v>44523</v>
      </c>
      <c r="AX2281" t="s">
        <v>19964</v>
      </c>
      <c r="AY2281">
        <v>15</v>
      </c>
      <c r="AZ2281" s="184">
        <v>44053</v>
      </c>
      <c r="BA2281" t="s">
        <v>19965</v>
      </c>
      <c r="BB2281">
        <v>25</v>
      </c>
      <c r="BC2281">
        <v>30</v>
      </c>
      <c r="BD2281">
        <v>160</v>
      </c>
      <c r="BE2281">
        <v>1998</v>
      </c>
      <c r="BF2281">
        <v>8</v>
      </c>
      <c r="BI2281">
        <v>8</v>
      </c>
      <c r="BJ2281">
        <v>27</v>
      </c>
      <c r="BK2281">
        <v>3</v>
      </c>
      <c r="BP2281" s="184"/>
    </row>
    <row r="2282" spans="1:68">
      <c r="A2282">
        <v>27561240</v>
      </c>
      <c r="B2282">
        <v>27561240</v>
      </c>
      <c r="C2282" t="s">
        <v>7018</v>
      </c>
      <c r="D2282" t="s">
        <v>595</v>
      </c>
      <c r="E2282" s="184">
        <v>43640</v>
      </c>
      <c r="G2282" s="184"/>
      <c r="I2282" s="184"/>
      <c r="K2282" s="184"/>
      <c r="M2282" s="184"/>
      <c r="O2282" s="184"/>
      <c r="P2282" t="s">
        <v>7045</v>
      </c>
      <c r="Q2282" t="s">
        <v>7383</v>
      </c>
      <c r="R2282" s="184">
        <v>12864</v>
      </c>
      <c r="S2282">
        <v>89</v>
      </c>
      <c r="V2282" t="s">
        <v>2992</v>
      </c>
      <c r="X2282" t="s">
        <v>19966</v>
      </c>
      <c r="Z2282">
        <v>100073010</v>
      </c>
      <c r="AB2282" t="s">
        <v>3101</v>
      </c>
      <c r="AD2282" t="s">
        <v>19966</v>
      </c>
      <c r="AF2282" t="s">
        <v>19967</v>
      </c>
      <c r="AG2282" t="s">
        <v>19968</v>
      </c>
      <c r="AI2282" t="s">
        <v>19969</v>
      </c>
      <c r="AM2282" t="s">
        <v>2994</v>
      </c>
      <c r="AN2282" t="s">
        <v>2072</v>
      </c>
      <c r="AO2282" t="s">
        <v>19970</v>
      </c>
      <c r="AP2282" t="s">
        <v>7024</v>
      </c>
      <c r="AQ2282" t="s">
        <v>19971</v>
      </c>
      <c r="AT2282" s="184">
        <v>35872</v>
      </c>
      <c r="AU2282" t="s">
        <v>19972</v>
      </c>
      <c r="AV2282">
        <v>15</v>
      </c>
      <c r="AW2282" s="184">
        <v>43614</v>
      </c>
      <c r="AX2282" t="s">
        <v>14071</v>
      </c>
      <c r="AY2282">
        <v>50</v>
      </c>
      <c r="AZ2282" s="184">
        <v>39654</v>
      </c>
      <c r="BA2282" t="s">
        <v>19973</v>
      </c>
      <c r="BB2282">
        <v>60</v>
      </c>
      <c r="BC2282">
        <v>45</v>
      </c>
      <c r="BD2282">
        <v>445</v>
      </c>
      <c r="BE2282">
        <v>1998</v>
      </c>
      <c r="BF2282">
        <v>12</v>
      </c>
      <c r="BI2282">
        <v>12</v>
      </c>
      <c r="BJ2282">
        <v>27</v>
      </c>
      <c r="BK2282">
        <v>9</v>
      </c>
      <c r="BP2282" s="184"/>
    </row>
    <row r="2283" spans="1:68">
      <c r="A2283">
        <v>100073010</v>
      </c>
      <c r="B2283">
        <v>27561240</v>
      </c>
      <c r="C2283" t="s">
        <v>7018</v>
      </c>
      <c r="D2283" t="s">
        <v>595</v>
      </c>
      <c r="E2283" s="184">
        <v>43640</v>
      </c>
      <c r="G2283" s="184"/>
      <c r="I2283" s="184"/>
      <c r="K2283" s="184"/>
      <c r="M2283" s="184"/>
      <c r="O2283" s="184"/>
      <c r="P2283" t="s">
        <v>7045</v>
      </c>
      <c r="Q2283" t="s">
        <v>7383</v>
      </c>
      <c r="R2283" s="184">
        <v>15942</v>
      </c>
      <c r="S2283">
        <v>80</v>
      </c>
      <c r="V2283" t="s">
        <v>3101</v>
      </c>
      <c r="X2283" t="s">
        <v>19966</v>
      </c>
      <c r="Z2283">
        <v>27561240</v>
      </c>
      <c r="AB2283" t="s">
        <v>2992</v>
      </c>
      <c r="AD2283" t="s">
        <v>19966</v>
      </c>
      <c r="AF2283" t="s">
        <v>19967</v>
      </c>
      <c r="AG2283" t="s">
        <v>19968</v>
      </c>
      <c r="AI2283" t="s">
        <v>19969</v>
      </c>
      <c r="AM2283" t="s">
        <v>2994</v>
      </c>
      <c r="AN2283" t="s">
        <v>2072</v>
      </c>
      <c r="AO2283" t="s">
        <v>19970</v>
      </c>
      <c r="AP2283" t="s">
        <v>7024</v>
      </c>
      <c r="AQ2283" t="s">
        <v>19971</v>
      </c>
      <c r="AT2283" s="184">
        <v>44853</v>
      </c>
      <c r="AU2283" t="s">
        <v>9576</v>
      </c>
      <c r="AV2283">
        <v>35</v>
      </c>
      <c r="AW2283" s="184">
        <v>44853</v>
      </c>
      <c r="AX2283" t="s">
        <v>9576</v>
      </c>
      <c r="AY2283">
        <v>35</v>
      </c>
      <c r="AZ2283" s="184">
        <v>44853</v>
      </c>
      <c r="BA2283" t="s">
        <v>9576</v>
      </c>
      <c r="BB2283">
        <v>35</v>
      </c>
      <c r="BC2283">
        <v>34</v>
      </c>
      <c r="BD2283">
        <v>35</v>
      </c>
      <c r="BE2283">
        <v>2023</v>
      </c>
      <c r="BF2283">
        <v>1</v>
      </c>
      <c r="BG2283">
        <v>1</v>
      </c>
      <c r="BH2283">
        <v>35</v>
      </c>
      <c r="BI2283">
        <v>1</v>
      </c>
      <c r="BJ2283">
        <v>3</v>
      </c>
      <c r="BK2283">
        <v>1</v>
      </c>
      <c r="BP2283" s="184"/>
    </row>
    <row r="2284" spans="1:68">
      <c r="A2284">
        <v>27592435</v>
      </c>
      <c r="B2284">
        <v>27592435</v>
      </c>
      <c r="C2284" t="s">
        <v>7018</v>
      </c>
      <c r="E2284" s="184"/>
      <c r="G2284" s="184"/>
      <c r="I2284" s="184"/>
      <c r="J2284" t="s">
        <v>595</v>
      </c>
      <c r="K2284" s="184">
        <v>40494</v>
      </c>
      <c r="O2284" s="184"/>
      <c r="P2284" t="s">
        <v>7019</v>
      </c>
      <c r="Q2284" t="s">
        <v>7374</v>
      </c>
      <c r="R2284" s="184">
        <v>21855</v>
      </c>
      <c r="S2284">
        <v>64</v>
      </c>
      <c r="V2284" t="s">
        <v>4363</v>
      </c>
      <c r="X2284" t="s">
        <v>5732</v>
      </c>
      <c r="Z2284">
        <v>100073119</v>
      </c>
      <c r="AB2284" t="s">
        <v>4234</v>
      </c>
      <c r="AD2284" t="s">
        <v>5732</v>
      </c>
      <c r="AF2284" t="s">
        <v>6538</v>
      </c>
      <c r="AG2284" t="s">
        <v>19974</v>
      </c>
      <c r="AI2284" t="s">
        <v>19975</v>
      </c>
      <c r="AM2284" t="s">
        <v>19976</v>
      </c>
      <c r="AN2284" t="s">
        <v>2081</v>
      </c>
      <c r="AO2284" t="s">
        <v>19977</v>
      </c>
      <c r="AP2284" t="s">
        <v>7024</v>
      </c>
      <c r="AT2284" s="184">
        <v>35874</v>
      </c>
      <c r="AU2284" t="s">
        <v>19978</v>
      </c>
      <c r="AV2284">
        <v>50</v>
      </c>
      <c r="AW2284" s="184">
        <v>41786</v>
      </c>
      <c r="AX2284" t="s">
        <v>19979</v>
      </c>
      <c r="AY2284">
        <v>60</v>
      </c>
      <c r="AZ2284" s="184">
        <v>41786</v>
      </c>
      <c r="BA2284" t="s">
        <v>19979</v>
      </c>
      <c r="BB2284">
        <v>60</v>
      </c>
      <c r="BC2284">
        <v>52</v>
      </c>
      <c r="BD2284">
        <v>660</v>
      </c>
      <c r="BE2284">
        <v>1998</v>
      </c>
      <c r="BF2284">
        <v>16</v>
      </c>
      <c r="BI2284">
        <v>14</v>
      </c>
      <c r="BJ2284">
        <v>27</v>
      </c>
      <c r="BK2284">
        <v>7</v>
      </c>
      <c r="BP2284" s="184"/>
    </row>
    <row r="2285" spans="1:68">
      <c r="A2285">
        <v>100073119</v>
      </c>
      <c r="B2285">
        <v>27592435</v>
      </c>
      <c r="C2285" t="s">
        <v>7018</v>
      </c>
      <c r="E2285" s="184"/>
      <c r="G2285" s="184"/>
      <c r="I2285" s="184"/>
      <c r="J2285" t="s">
        <v>595</v>
      </c>
      <c r="K2285" s="184">
        <v>40494</v>
      </c>
      <c r="O2285" s="184"/>
      <c r="P2285" t="s">
        <v>7019</v>
      </c>
      <c r="Q2285" t="s">
        <v>7374</v>
      </c>
      <c r="R2285" s="184">
        <v>23132</v>
      </c>
      <c r="S2285">
        <v>61</v>
      </c>
      <c r="V2285" t="s">
        <v>4234</v>
      </c>
      <c r="X2285" t="s">
        <v>5732</v>
      </c>
      <c r="Z2285">
        <v>27592435</v>
      </c>
      <c r="AB2285" t="s">
        <v>4363</v>
      </c>
      <c r="AD2285" t="s">
        <v>5732</v>
      </c>
      <c r="AF2285" t="s">
        <v>6538</v>
      </c>
      <c r="AG2285" t="s">
        <v>19974</v>
      </c>
      <c r="AI2285" t="s">
        <v>19975</v>
      </c>
      <c r="AM2285" t="s">
        <v>19976</v>
      </c>
      <c r="AN2285" t="s">
        <v>2081</v>
      </c>
      <c r="AO2285" t="s">
        <v>19977</v>
      </c>
      <c r="AP2285" t="s">
        <v>7024</v>
      </c>
      <c r="AT2285" s="184"/>
      <c r="AW2285" s="184"/>
      <c r="AZ2285" s="184"/>
      <c r="BP2285" s="184"/>
    </row>
    <row r="2286" spans="1:68">
      <c r="A2286">
        <v>27604321</v>
      </c>
      <c r="B2286">
        <v>27604321</v>
      </c>
      <c r="C2286" t="s">
        <v>7018</v>
      </c>
      <c r="E2286" s="184"/>
      <c r="G2286" s="184"/>
      <c r="I2286" s="184"/>
      <c r="J2286" t="s">
        <v>595</v>
      </c>
      <c r="K2286" s="184">
        <v>43801</v>
      </c>
      <c r="O2286" s="184"/>
      <c r="P2286" t="s">
        <v>7045</v>
      </c>
      <c r="Q2286" t="s">
        <v>7030</v>
      </c>
      <c r="R2286" s="184">
        <v>20424</v>
      </c>
      <c r="S2286">
        <v>68</v>
      </c>
      <c r="U2286" t="s">
        <v>7076</v>
      </c>
      <c r="V2286" t="s">
        <v>3147</v>
      </c>
      <c r="X2286" t="s">
        <v>4298</v>
      </c>
      <c r="AF2286" t="s">
        <v>6494</v>
      </c>
      <c r="AG2286" t="s">
        <v>3147</v>
      </c>
      <c r="AI2286" t="s">
        <v>19980</v>
      </c>
      <c r="AM2286" t="s">
        <v>4299</v>
      </c>
      <c r="AN2286" t="s">
        <v>2089</v>
      </c>
      <c r="AO2286" t="s">
        <v>19981</v>
      </c>
      <c r="AP2286" t="s">
        <v>7024</v>
      </c>
      <c r="AQ2286" t="s">
        <v>19982</v>
      </c>
      <c r="AR2286" t="s">
        <v>19983</v>
      </c>
      <c r="AT2286" s="184">
        <v>35874</v>
      </c>
      <c r="AU2286" t="s">
        <v>19984</v>
      </c>
      <c r="AV2286">
        <v>15</v>
      </c>
      <c r="AW2286" s="184">
        <v>44519</v>
      </c>
      <c r="AX2286" t="s">
        <v>19985</v>
      </c>
      <c r="AY2286">
        <v>100</v>
      </c>
      <c r="AZ2286" s="184">
        <v>44519</v>
      </c>
      <c r="BA2286" t="s">
        <v>19985</v>
      </c>
      <c r="BB2286">
        <v>100</v>
      </c>
      <c r="BC2286">
        <v>41</v>
      </c>
      <c r="BD2286">
        <v>920</v>
      </c>
      <c r="BE2286">
        <v>1998</v>
      </c>
      <c r="BF2286">
        <v>31</v>
      </c>
      <c r="BI2286">
        <v>11</v>
      </c>
      <c r="BJ2286">
        <v>27</v>
      </c>
      <c r="BK2286">
        <v>3</v>
      </c>
      <c r="BP2286" s="184"/>
    </row>
    <row r="2287" spans="1:68">
      <c r="A2287">
        <v>27609403</v>
      </c>
      <c r="B2287">
        <v>27609403</v>
      </c>
      <c r="C2287" t="s">
        <v>7018</v>
      </c>
      <c r="D2287" t="s">
        <v>595</v>
      </c>
      <c r="E2287" s="184">
        <v>43745</v>
      </c>
      <c r="G2287" s="184"/>
      <c r="I2287" s="184"/>
      <c r="K2287" s="184"/>
      <c r="M2287" s="184"/>
      <c r="O2287" s="184"/>
      <c r="P2287" t="s">
        <v>7045</v>
      </c>
      <c r="Q2287" t="s">
        <v>7383</v>
      </c>
      <c r="R2287" s="184">
        <v>14093</v>
      </c>
      <c r="S2287">
        <v>85</v>
      </c>
      <c r="U2287" t="s">
        <v>7130</v>
      </c>
      <c r="V2287" t="s">
        <v>3510</v>
      </c>
      <c r="W2287" t="s">
        <v>7836</v>
      </c>
      <c r="X2287" t="s">
        <v>4120</v>
      </c>
      <c r="Z2287">
        <v>100073167</v>
      </c>
      <c r="AB2287" t="s">
        <v>2551</v>
      </c>
      <c r="AC2287" t="s">
        <v>4327</v>
      </c>
      <c r="AD2287" t="s">
        <v>4120</v>
      </c>
      <c r="AF2287" t="s">
        <v>19986</v>
      </c>
      <c r="AG2287" t="s">
        <v>3510</v>
      </c>
      <c r="AI2287" t="s">
        <v>19987</v>
      </c>
      <c r="AJ2287" t="s">
        <v>19988</v>
      </c>
      <c r="AM2287" t="s">
        <v>19989</v>
      </c>
      <c r="AN2287" t="s">
        <v>2059</v>
      </c>
      <c r="AO2287" t="s">
        <v>19990</v>
      </c>
      <c r="AP2287" t="s">
        <v>7024</v>
      </c>
      <c r="AQ2287" t="s">
        <v>19991</v>
      </c>
      <c r="AR2287" t="s">
        <v>19992</v>
      </c>
      <c r="AT2287" s="184">
        <v>35881</v>
      </c>
      <c r="AU2287" t="s">
        <v>19956</v>
      </c>
      <c r="AV2287">
        <v>19.95</v>
      </c>
      <c r="AW2287" s="184">
        <v>45192</v>
      </c>
      <c r="AX2287" t="s">
        <v>7832</v>
      </c>
      <c r="AY2287">
        <v>25</v>
      </c>
      <c r="AZ2287" s="184">
        <v>45192</v>
      </c>
      <c r="BA2287" t="s">
        <v>7832</v>
      </c>
      <c r="BB2287">
        <v>25</v>
      </c>
      <c r="BC2287">
        <v>56</v>
      </c>
      <c r="BD2287">
        <v>369.95</v>
      </c>
      <c r="BE2287">
        <v>1998</v>
      </c>
      <c r="BF2287">
        <v>15</v>
      </c>
      <c r="BG2287">
        <v>1</v>
      </c>
      <c r="BH2287">
        <v>25</v>
      </c>
      <c r="BI2287">
        <v>15</v>
      </c>
      <c r="BJ2287">
        <v>27</v>
      </c>
      <c r="BK2287">
        <v>12</v>
      </c>
      <c r="BP2287" s="184"/>
    </row>
    <row r="2288" spans="1:68">
      <c r="A2288">
        <v>100073167</v>
      </c>
      <c r="B2288">
        <v>27609403</v>
      </c>
      <c r="C2288" t="s">
        <v>7018</v>
      </c>
      <c r="D2288" t="s">
        <v>595</v>
      </c>
      <c r="E2288" s="184">
        <v>43745</v>
      </c>
      <c r="G2288" s="184"/>
      <c r="I2288" s="184"/>
      <c r="K2288" s="184"/>
      <c r="O2288" s="184"/>
      <c r="P2288" t="s">
        <v>7045</v>
      </c>
      <c r="Q2288" t="s">
        <v>7383</v>
      </c>
      <c r="R2288" s="184">
        <v>13881</v>
      </c>
      <c r="S2288">
        <v>86</v>
      </c>
      <c r="V2288" t="s">
        <v>2551</v>
      </c>
      <c r="W2288" t="s">
        <v>4327</v>
      </c>
      <c r="X2288" t="s">
        <v>4120</v>
      </c>
      <c r="Z2288">
        <v>27609403</v>
      </c>
      <c r="AA2288" t="s">
        <v>7130</v>
      </c>
      <c r="AB2288" t="s">
        <v>3510</v>
      </c>
      <c r="AC2288" t="s">
        <v>7836</v>
      </c>
      <c r="AD2288" t="s">
        <v>4120</v>
      </c>
      <c r="AF2288" t="s">
        <v>19986</v>
      </c>
      <c r="AG2288" t="s">
        <v>3510</v>
      </c>
      <c r="AI2288" t="s">
        <v>19987</v>
      </c>
      <c r="AJ2288" t="s">
        <v>19988</v>
      </c>
      <c r="AM2288" t="s">
        <v>19989</v>
      </c>
      <c r="AN2288" t="s">
        <v>2059</v>
      </c>
      <c r="AO2288" t="s">
        <v>19990</v>
      </c>
      <c r="AP2288" t="s">
        <v>7024</v>
      </c>
      <c r="AT2288" s="184"/>
      <c r="AW2288" s="184"/>
      <c r="AZ2288" s="184"/>
      <c r="BO2288" t="s">
        <v>595</v>
      </c>
      <c r="BP2288" s="184"/>
    </row>
    <row r="2289" spans="1:68">
      <c r="A2289">
        <v>27623826</v>
      </c>
      <c r="B2289">
        <v>27623826</v>
      </c>
      <c r="C2289" t="s">
        <v>7018</v>
      </c>
      <c r="D2289" t="s">
        <v>595</v>
      </c>
      <c r="E2289" s="184">
        <v>44073</v>
      </c>
      <c r="G2289" s="184"/>
      <c r="H2289" t="s">
        <v>595</v>
      </c>
      <c r="I2289" s="184">
        <v>44073</v>
      </c>
      <c r="K2289" s="184"/>
      <c r="M2289" s="184"/>
      <c r="O2289" s="184"/>
      <c r="P2289" t="s">
        <v>7029</v>
      </c>
      <c r="Q2289" t="s">
        <v>7020</v>
      </c>
      <c r="R2289" s="184">
        <v>21240</v>
      </c>
      <c r="S2289">
        <v>66</v>
      </c>
      <c r="U2289" t="s">
        <v>7076</v>
      </c>
      <c r="V2289" t="s">
        <v>2586</v>
      </c>
      <c r="X2289" t="s">
        <v>4933</v>
      </c>
      <c r="AF2289" t="s">
        <v>19993</v>
      </c>
      <c r="AG2289" t="s">
        <v>2586</v>
      </c>
      <c r="AI2289" t="s">
        <v>19994</v>
      </c>
      <c r="AM2289" t="s">
        <v>4694</v>
      </c>
      <c r="AN2289" t="s">
        <v>2206</v>
      </c>
      <c r="AO2289" t="s">
        <v>19995</v>
      </c>
      <c r="AP2289" t="s">
        <v>7024</v>
      </c>
      <c r="AQ2289" t="s">
        <v>19996</v>
      </c>
      <c r="AR2289" t="s">
        <v>19997</v>
      </c>
      <c r="AT2289" s="184">
        <v>35881</v>
      </c>
      <c r="AU2289" t="s">
        <v>19998</v>
      </c>
      <c r="AV2289">
        <v>25</v>
      </c>
      <c r="AW2289" s="184">
        <v>44823</v>
      </c>
      <c r="AX2289" t="s">
        <v>19999</v>
      </c>
      <c r="AY2289">
        <v>250</v>
      </c>
      <c r="AZ2289" s="184">
        <v>44823</v>
      </c>
      <c r="BA2289" t="s">
        <v>19999</v>
      </c>
      <c r="BB2289">
        <v>250</v>
      </c>
      <c r="BC2289">
        <v>45</v>
      </c>
      <c r="BD2289">
        <v>1720</v>
      </c>
      <c r="BE2289">
        <v>1998</v>
      </c>
      <c r="BF2289">
        <v>23</v>
      </c>
      <c r="BG2289">
        <v>2</v>
      </c>
      <c r="BH2289">
        <v>400</v>
      </c>
      <c r="BI2289">
        <v>12</v>
      </c>
      <c r="BJ2289">
        <v>27</v>
      </c>
      <c r="BK2289">
        <v>7</v>
      </c>
      <c r="BP2289" s="184"/>
    </row>
    <row r="2290" spans="1:68">
      <c r="A2290">
        <v>27625052</v>
      </c>
      <c r="B2290">
        <v>27625052</v>
      </c>
      <c r="C2290" t="s">
        <v>7018</v>
      </c>
      <c r="E2290" s="184"/>
      <c r="G2290" s="184"/>
      <c r="I2290" s="184"/>
      <c r="J2290" t="s">
        <v>595</v>
      </c>
      <c r="K2290" s="184">
        <v>44386</v>
      </c>
      <c r="O2290" s="184"/>
      <c r="P2290" t="s">
        <v>7084</v>
      </c>
      <c r="Q2290" t="s">
        <v>7374</v>
      </c>
      <c r="R2290" s="184">
        <v>15576</v>
      </c>
      <c r="S2290">
        <v>81</v>
      </c>
      <c r="V2290" t="s">
        <v>3184</v>
      </c>
      <c r="W2290" t="s">
        <v>5006</v>
      </c>
      <c r="X2290" t="s">
        <v>20000</v>
      </c>
      <c r="Z2290">
        <v>100659527</v>
      </c>
      <c r="AB2290" t="s">
        <v>17960</v>
      </c>
      <c r="AC2290" t="s">
        <v>4152</v>
      </c>
      <c r="AD2290" t="s">
        <v>20000</v>
      </c>
      <c r="AF2290" t="s">
        <v>20001</v>
      </c>
      <c r="AG2290" t="s">
        <v>20002</v>
      </c>
      <c r="AI2290" t="s">
        <v>20003</v>
      </c>
      <c r="AJ2290" t="s">
        <v>20004</v>
      </c>
      <c r="AM2290" t="s">
        <v>2570</v>
      </c>
      <c r="AN2290" t="s">
        <v>2081</v>
      </c>
      <c r="AO2290" t="s">
        <v>20005</v>
      </c>
      <c r="AP2290" t="s">
        <v>7024</v>
      </c>
      <c r="AQ2290" t="s">
        <v>20006</v>
      </c>
      <c r="AR2290" t="s">
        <v>20007</v>
      </c>
      <c r="AT2290" s="184">
        <v>35881</v>
      </c>
      <c r="AU2290" t="s">
        <v>20008</v>
      </c>
      <c r="AV2290">
        <v>25</v>
      </c>
      <c r="AW2290" s="184">
        <v>44481</v>
      </c>
      <c r="AX2290" t="s">
        <v>7093</v>
      </c>
      <c r="AY2290">
        <v>60000</v>
      </c>
      <c r="AZ2290" s="184">
        <v>44481</v>
      </c>
      <c r="BA2290" t="s">
        <v>7093</v>
      </c>
      <c r="BB2290">
        <v>60000</v>
      </c>
      <c r="BC2290">
        <v>45</v>
      </c>
      <c r="BD2290">
        <v>60519</v>
      </c>
      <c r="BE2290">
        <v>1998</v>
      </c>
      <c r="BF2290">
        <v>15</v>
      </c>
      <c r="BI2290">
        <v>12</v>
      </c>
      <c r="BJ2290">
        <v>27</v>
      </c>
      <c r="BK2290">
        <v>5</v>
      </c>
      <c r="BN2290" t="s">
        <v>595</v>
      </c>
      <c r="BO2290" t="s">
        <v>595</v>
      </c>
      <c r="BP2290" s="184">
        <v>43908</v>
      </c>
    </row>
    <row r="2291" spans="1:68">
      <c r="A2291">
        <v>100659527</v>
      </c>
      <c r="B2291">
        <v>27625052</v>
      </c>
      <c r="C2291" t="s">
        <v>7018</v>
      </c>
      <c r="E2291" s="184"/>
      <c r="G2291" s="184"/>
      <c r="I2291" s="184"/>
      <c r="J2291" t="s">
        <v>595</v>
      </c>
      <c r="K2291" s="184">
        <v>44386</v>
      </c>
      <c r="M2291" s="184"/>
      <c r="O2291" s="184"/>
      <c r="P2291" t="s">
        <v>7084</v>
      </c>
      <c r="Q2291" t="s">
        <v>7374</v>
      </c>
      <c r="R2291" s="184"/>
      <c r="V2291" t="s">
        <v>17960</v>
      </c>
      <c r="W2291" t="s">
        <v>4152</v>
      </c>
      <c r="X2291" t="s">
        <v>20000</v>
      </c>
      <c r="Z2291">
        <v>27625052</v>
      </c>
      <c r="AB2291" t="s">
        <v>3184</v>
      </c>
      <c r="AC2291" t="s">
        <v>5006</v>
      </c>
      <c r="AD2291" t="s">
        <v>20000</v>
      </c>
      <c r="AF2291" t="s">
        <v>20001</v>
      </c>
      <c r="AG2291" t="s">
        <v>20002</v>
      </c>
      <c r="AI2291" t="s">
        <v>20003</v>
      </c>
      <c r="AJ2291" t="s">
        <v>20004</v>
      </c>
      <c r="AM2291" t="s">
        <v>2570</v>
      </c>
      <c r="AN2291" t="s">
        <v>2081</v>
      </c>
      <c r="AO2291" t="s">
        <v>20005</v>
      </c>
      <c r="AP2291" t="s">
        <v>7024</v>
      </c>
      <c r="AT2291" s="184"/>
      <c r="AW2291" s="184"/>
      <c r="AZ2291" s="184"/>
      <c r="BO2291" t="s">
        <v>595</v>
      </c>
      <c r="BP2291" s="184">
        <v>42189</v>
      </c>
    </row>
    <row r="2292" spans="1:68">
      <c r="A2292">
        <v>27628924</v>
      </c>
      <c r="B2292">
        <v>27628924</v>
      </c>
      <c r="C2292" t="s">
        <v>7018</v>
      </c>
      <c r="D2292" t="s">
        <v>595</v>
      </c>
      <c r="E2292" s="184">
        <v>43640</v>
      </c>
      <c r="G2292" s="184"/>
      <c r="K2292" s="184"/>
      <c r="P2292" t="s">
        <v>7045</v>
      </c>
      <c r="Q2292" t="s">
        <v>7383</v>
      </c>
      <c r="R2292" s="184">
        <v>21002</v>
      </c>
      <c r="S2292">
        <v>66</v>
      </c>
      <c r="V2292" t="s">
        <v>2995</v>
      </c>
      <c r="X2292" t="s">
        <v>2996</v>
      </c>
      <c r="Z2292">
        <v>100073212</v>
      </c>
      <c r="AB2292" t="s">
        <v>3480</v>
      </c>
      <c r="AD2292" t="s">
        <v>5716</v>
      </c>
      <c r="AF2292" t="s">
        <v>20009</v>
      </c>
      <c r="AG2292" t="s">
        <v>20010</v>
      </c>
      <c r="AI2292" t="s">
        <v>20011</v>
      </c>
      <c r="AM2292" t="s">
        <v>2997</v>
      </c>
      <c r="AN2292" t="s">
        <v>2274</v>
      </c>
      <c r="AO2292" t="s">
        <v>20012</v>
      </c>
      <c r="AP2292" t="s">
        <v>7024</v>
      </c>
      <c r="AQ2292" t="s">
        <v>20013</v>
      </c>
      <c r="AR2292" t="s">
        <v>20014</v>
      </c>
      <c r="AT2292" s="184">
        <v>35879</v>
      </c>
      <c r="AU2292" t="s">
        <v>20015</v>
      </c>
      <c r="AV2292">
        <v>25</v>
      </c>
      <c r="AW2292" s="184">
        <v>45209</v>
      </c>
      <c r="AX2292" t="s">
        <v>15021</v>
      </c>
      <c r="AY2292">
        <v>100</v>
      </c>
      <c r="AZ2292" s="184">
        <v>45209</v>
      </c>
      <c r="BA2292" t="s">
        <v>15021</v>
      </c>
      <c r="BB2292">
        <v>100</v>
      </c>
      <c r="BC2292">
        <v>93</v>
      </c>
      <c r="BD2292">
        <v>2430</v>
      </c>
      <c r="BE2292">
        <v>1998</v>
      </c>
      <c r="BF2292">
        <v>46</v>
      </c>
      <c r="BG2292">
        <v>2</v>
      </c>
      <c r="BH2292">
        <v>150</v>
      </c>
      <c r="BI2292">
        <v>25</v>
      </c>
      <c r="BJ2292">
        <v>27</v>
      </c>
      <c r="BK2292">
        <v>18</v>
      </c>
      <c r="BP2292" s="184"/>
    </row>
    <row r="2293" spans="1:68">
      <c r="A2293">
        <v>100073212</v>
      </c>
      <c r="B2293">
        <v>27628924</v>
      </c>
      <c r="C2293" t="s">
        <v>7018</v>
      </c>
      <c r="D2293" t="s">
        <v>595</v>
      </c>
      <c r="E2293" s="184">
        <v>43640</v>
      </c>
      <c r="G2293" s="184"/>
      <c r="I2293" s="184"/>
      <c r="K2293" s="184"/>
      <c r="O2293" s="184"/>
      <c r="P2293" t="s">
        <v>7045</v>
      </c>
      <c r="Q2293" t="s">
        <v>7383</v>
      </c>
      <c r="R2293" s="184">
        <v>21306</v>
      </c>
      <c r="S2293">
        <v>66</v>
      </c>
      <c r="V2293" t="s">
        <v>3480</v>
      </c>
      <c r="X2293" t="s">
        <v>5716</v>
      </c>
      <c r="Z2293">
        <v>27628924</v>
      </c>
      <c r="AB2293" t="s">
        <v>2995</v>
      </c>
      <c r="AD2293" t="s">
        <v>2996</v>
      </c>
      <c r="AF2293" t="s">
        <v>20009</v>
      </c>
      <c r="AG2293" t="s">
        <v>20010</v>
      </c>
      <c r="AI2293" t="s">
        <v>20011</v>
      </c>
      <c r="AM2293" t="s">
        <v>2997</v>
      </c>
      <c r="AN2293" t="s">
        <v>2274</v>
      </c>
      <c r="AO2293" t="s">
        <v>20012</v>
      </c>
      <c r="AP2293" t="s">
        <v>7024</v>
      </c>
      <c r="AT2293" s="184"/>
      <c r="AW2293" s="184"/>
      <c r="AZ2293" s="184"/>
      <c r="BP2293" s="184"/>
    </row>
    <row r="2294" spans="1:68">
      <c r="A2294">
        <v>27640580</v>
      </c>
      <c r="B2294">
        <v>27640580</v>
      </c>
      <c r="C2294" t="s">
        <v>7018</v>
      </c>
      <c r="D2294" t="s">
        <v>595</v>
      </c>
      <c r="E2294" s="184">
        <v>44104</v>
      </c>
      <c r="G2294" s="184"/>
      <c r="K2294" s="184"/>
      <c r="M2294" s="184"/>
      <c r="O2294" s="184"/>
      <c r="P2294" t="s">
        <v>7045</v>
      </c>
      <c r="Q2294" t="s">
        <v>7262</v>
      </c>
      <c r="R2294" s="184">
        <v>18780</v>
      </c>
      <c r="S2294">
        <v>72</v>
      </c>
      <c r="U2294" t="s">
        <v>7076</v>
      </c>
      <c r="V2294" t="s">
        <v>3043</v>
      </c>
      <c r="W2294" t="s">
        <v>2049</v>
      </c>
      <c r="X2294" t="s">
        <v>20016</v>
      </c>
      <c r="Z2294">
        <v>100541265</v>
      </c>
      <c r="AA2294" t="s">
        <v>7031</v>
      </c>
      <c r="AB2294" t="s">
        <v>4676</v>
      </c>
      <c r="AD2294" t="s">
        <v>20016</v>
      </c>
      <c r="AF2294" t="s">
        <v>20017</v>
      </c>
      <c r="AG2294" t="s">
        <v>20018</v>
      </c>
      <c r="AI2294" t="s">
        <v>20019</v>
      </c>
      <c r="AM2294" t="s">
        <v>20020</v>
      </c>
      <c r="AN2294" t="s">
        <v>2266</v>
      </c>
      <c r="AO2294" t="s">
        <v>20021</v>
      </c>
      <c r="AP2294" t="s">
        <v>7024</v>
      </c>
      <c r="AT2294" s="184">
        <v>35880</v>
      </c>
      <c r="AU2294" t="s">
        <v>20022</v>
      </c>
      <c r="AV2294">
        <v>20</v>
      </c>
      <c r="AW2294" s="184">
        <v>45225</v>
      </c>
      <c r="AX2294" t="s">
        <v>7684</v>
      </c>
      <c r="AY2294">
        <v>75</v>
      </c>
      <c r="AZ2294" s="184">
        <v>45225</v>
      </c>
      <c r="BA2294" t="s">
        <v>7684</v>
      </c>
      <c r="BB2294">
        <v>75</v>
      </c>
      <c r="BC2294">
        <v>89</v>
      </c>
      <c r="BD2294">
        <v>2025</v>
      </c>
      <c r="BE2294">
        <v>1998</v>
      </c>
      <c r="BF2294">
        <v>48</v>
      </c>
      <c r="BG2294">
        <v>2</v>
      </c>
      <c r="BH2294">
        <v>125</v>
      </c>
      <c r="BI2294">
        <v>24</v>
      </c>
      <c r="BJ2294">
        <v>27</v>
      </c>
      <c r="BK2294">
        <v>12</v>
      </c>
      <c r="BP2294" s="184"/>
    </row>
    <row r="2295" spans="1:68">
      <c r="A2295">
        <v>100541265</v>
      </c>
      <c r="B2295">
        <v>27640580</v>
      </c>
      <c r="C2295" t="s">
        <v>7018</v>
      </c>
      <c r="D2295" t="s">
        <v>595</v>
      </c>
      <c r="E2295" s="184">
        <v>44104</v>
      </c>
      <c r="G2295" s="184"/>
      <c r="K2295" s="184"/>
      <c r="M2295" s="184"/>
      <c r="O2295" s="184"/>
      <c r="P2295" t="s">
        <v>7045</v>
      </c>
      <c r="Q2295" t="s">
        <v>7262</v>
      </c>
      <c r="R2295" s="184">
        <v>18517</v>
      </c>
      <c r="S2295">
        <v>73</v>
      </c>
      <c r="U2295" t="s">
        <v>7031</v>
      </c>
      <c r="V2295" t="s">
        <v>4676</v>
      </c>
      <c r="X2295" t="s">
        <v>20016</v>
      </c>
      <c r="Z2295">
        <v>27640580</v>
      </c>
      <c r="AA2295" t="s">
        <v>7076</v>
      </c>
      <c r="AB2295" t="s">
        <v>3043</v>
      </c>
      <c r="AC2295" t="s">
        <v>2049</v>
      </c>
      <c r="AD2295" t="s">
        <v>20016</v>
      </c>
      <c r="AF2295" t="s">
        <v>20017</v>
      </c>
      <c r="AG2295" t="s">
        <v>20018</v>
      </c>
      <c r="AI2295" t="s">
        <v>20019</v>
      </c>
      <c r="AM2295" t="s">
        <v>20020</v>
      </c>
      <c r="AN2295" t="s">
        <v>2266</v>
      </c>
      <c r="AO2295" t="s">
        <v>20021</v>
      </c>
      <c r="AP2295" t="s">
        <v>7024</v>
      </c>
      <c r="AQ2295" t="s">
        <v>20023</v>
      </c>
      <c r="AT2295" s="184"/>
      <c r="AW2295" s="184"/>
      <c r="AZ2295" s="184"/>
      <c r="BP2295" s="184"/>
    </row>
    <row r="2296" spans="1:68">
      <c r="A2296">
        <v>27680354</v>
      </c>
      <c r="B2296">
        <v>27680354</v>
      </c>
      <c r="C2296" t="s">
        <v>7018</v>
      </c>
      <c r="E2296" s="184"/>
      <c r="F2296" t="s">
        <v>595</v>
      </c>
      <c r="G2296" s="184">
        <v>45104</v>
      </c>
      <c r="I2296" s="184"/>
      <c r="K2296" s="184"/>
      <c r="M2296" s="184"/>
      <c r="O2296" s="184"/>
      <c r="P2296" t="s">
        <v>7045</v>
      </c>
      <c r="Q2296" t="s">
        <v>7383</v>
      </c>
      <c r="R2296" s="184">
        <v>22995</v>
      </c>
      <c r="S2296">
        <v>61</v>
      </c>
      <c r="U2296" t="s">
        <v>7076</v>
      </c>
      <c r="V2296" t="s">
        <v>20024</v>
      </c>
      <c r="X2296" t="s">
        <v>20025</v>
      </c>
      <c r="AF2296" t="s">
        <v>20026</v>
      </c>
      <c r="AG2296" t="s">
        <v>20024</v>
      </c>
      <c r="AI2296" t="s">
        <v>20027</v>
      </c>
      <c r="AM2296" t="s">
        <v>3211</v>
      </c>
      <c r="AN2296" t="s">
        <v>2144</v>
      </c>
      <c r="AO2296" t="s">
        <v>20028</v>
      </c>
      <c r="AP2296" t="s">
        <v>7024</v>
      </c>
      <c r="AQ2296" t="s">
        <v>20029</v>
      </c>
      <c r="AR2296" t="s">
        <v>20030</v>
      </c>
      <c r="AT2296" s="184">
        <v>35888</v>
      </c>
      <c r="AU2296" t="s">
        <v>20031</v>
      </c>
      <c r="AV2296">
        <v>25</v>
      </c>
      <c r="AW2296" s="184">
        <v>45412</v>
      </c>
      <c r="AX2296" t="s">
        <v>8516</v>
      </c>
      <c r="AY2296">
        <v>230</v>
      </c>
      <c r="AZ2296" s="184">
        <v>40736</v>
      </c>
      <c r="BA2296" t="s">
        <v>20032</v>
      </c>
      <c r="BB2296">
        <v>250</v>
      </c>
      <c r="BC2296">
        <v>89</v>
      </c>
      <c r="BD2296">
        <v>3205</v>
      </c>
      <c r="BE2296">
        <v>1998</v>
      </c>
      <c r="BF2296">
        <v>25</v>
      </c>
      <c r="BG2296">
        <v>2</v>
      </c>
      <c r="BH2296">
        <v>455</v>
      </c>
      <c r="BI2296">
        <v>24</v>
      </c>
      <c r="BJ2296">
        <v>27</v>
      </c>
      <c r="BK2296">
        <v>10</v>
      </c>
      <c r="BP2296" s="184"/>
    </row>
    <row r="2297" spans="1:68">
      <c r="A2297">
        <v>27693670</v>
      </c>
      <c r="B2297">
        <v>27693670</v>
      </c>
      <c r="C2297" t="s">
        <v>7018</v>
      </c>
      <c r="E2297" s="184"/>
      <c r="G2297" s="184"/>
      <c r="I2297" s="184"/>
      <c r="J2297" t="s">
        <v>595</v>
      </c>
      <c r="K2297" s="184">
        <v>38250</v>
      </c>
      <c r="M2297" s="184"/>
      <c r="O2297" s="184"/>
      <c r="P2297" t="s">
        <v>7029</v>
      </c>
      <c r="Q2297" t="s">
        <v>7160</v>
      </c>
      <c r="R2297" s="184">
        <v>17654</v>
      </c>
      <c r="S2297">
        <v>76</v>
      </c>
      <c r="U2297" t="s">
        <v>7076</v>
      </c>
      <c r="V2297" t="s">
        <v>4916</v>
      </c>
      <c r="W2297" t="s">
        <v>4139</v>
      </c>
      <c r="X2297" t="s">
        <v>5695</v>
      </c>
      <c r="AF2297" t="s">
        <v>6256</v>
      </c>
      <c r="AG2297" t="s">
        <v>4916</v>
      </c>
      <c r="AI2297" t="s">
        <v>20033</v>
      </c>
      <c r="AM2297" t="s">
        <v>3975</v>
      </c>
      <c r="AN2297" t="s">
        <v>2413</v>
      </c>
      <c r="AO2297" t="s">
        <v>20034</v>
      </c>
      <c r="AP2297" t="s">
        <v>7024</v>
      </c>
      <c r="AQ2297" t="s">
        <v>20035</v>
      </c>
      <c r="AT2297" s="184">
        <v>35894</v>
      </c>
      <c r="AU2297" t="s">
        <v>19936</v>
      </c>
      <c r="AV2297">
        <v>29</v>
      </c>
      <c r="AW2297" s="184">
        <v>45408</v>
      </c>
      <c r="AX2297" t="s">
        <v>8483</v>
      </c>
      <c r="AY2297">
        <v>25</v>
      </c>
      <c r="AZ2297" s="184">
        <v>43735</v>
      </c>
      <c r="BA2297" t="s">
        <v>20036</v>
      </c>
      <c r="BB2297">
        <v>350</v>
      </c>
      <c r="BC2297">
        <v>78</v>
      </c>
      <c r="BD2297">
        <v>3485</v>
      </c>
      <c r="BE2297">
        <v>1998</v>
      </c>
      <c r="BF2297">
        <v>101</v>
      </c>
      <c r="BG2297">
        <v>25</v>
      </c>
      <c r="BH2297">
        <v>700</v>
      </c>
      <c r="BI2297">
        <v>21</v>
      </c>
      <c r="BJ2297">
        <v>27</v>
      </c>
      <c r="BK2297">
        <v>11</v>
      </c>
      <c r="BP2297" s="184"/>
    </row>
    <row r="2298" spans="1:68">
      <c r="A2298">
        <v>27754837</v>
      </c>
      <c r="B2298">
        <v>27754837</v>
      </c>
      <c r="C2298" t="s">
        <v>7018</v>
      </c>
      <c r="D2298" t="s">
        <v>595</v>
      </c>
      <c r="E2298" s="184">
        <v>43642</v>
      </c>
      <c r="G2298" s="184"/>
      <c r="I2298" s="184"/>
      <c r="K2298" s="184"/>
      <c r="M2298" s="184"/>
      <c r="O2298" s="184"/>
      <c r="P2298" t="s">
        <v>7019</v>
      </c>
      <c r="Q2298" t="s">
        <v>7383</v>
      </c>
      <c r="R2298" s="184">
        <v>19085</v>
      </c>
      <c r="S2298">
        <v>72</v>
      </c>
      <c r="V2298" t="s">
        <v>3290</v>
      </c>
      <c r="W2298" t="s">
        <v>3332</v>
      </c>
      <c r="X2298" t="s">
        <v>3291</v>
      </c>
      <c r="AF2298" t="s">
        <v>20037</v>
      </c>
      <c r="AG2298" t="s">
        <v>3290</v>
      </c>
      <c r="AI2298" t="s">
        <v>20038</v>
      </c>
      <c r="AM2298" t="s">
        <v>3292</v>
      </c>
      <c r="AN2298" t="s">
        <v>2144</v>
      </c>
      <c r="AO2298" t="s">
        <v>20039</v>
      </c>
      <c r="AP2298" t="s">
        <v>7024</v>
      </c>
      <c r="AQ2298" t="s">
        <v>20040</v>
      </c>
      <c r="AT2298" s="184">
        <v>35907</v>
      </c>
      <c r="AU2298" t="s">
        <v>20041</v>
      </c>
      <c r="AV2298">
        <v>15</v>
      </c>
      <c r="AW2298" s="184">
        <v>45407</v>
      </c>
      <c r="AX2298" t="s">
        <v>16684</v>
      </c>
      <c r="AY2298">
        <v>25</v>
      </c>
      <c r="AZ2298" s="184">
        <v>44831</v>
      </c>
      <c r="BA2298" t="s">
        <v>20042</v>
      </c>
      <c r="BB2298">
        <v>60</v>
      </c>
      <c r="BC2298">
        <v>82</v>
      </c>
      <c r="BD2298">
        <v>890</v>
      </c>
      <c r="BE2298">
        <v>1998</v>
      </c>
      <c r="BF2298">
        <v>31</v>
      </c>
      <c r="BG2298">
        <v>4</v>
      </c>
      <c r="BH2298">
        <v>135</v>
      </c>
      <c r="BI2298">
        <v>22</v>
      </c>
      <c r="BJ2298">
        <v>27</v>
      </c>
      <c r="BK2298">
        <v>11</v>
      </c>
    </row>
    <row r="2299" spans="1:68">
      <c r="A2299">
        <v>27759125</v>
      </c>
      <c r="B2299">
        <v>27759125</v>
      </c>
      <c r="C2299" t="s">
        <v>7018</v>
      </c>
      <c r="D2299" t="s">
        <v>595</v>
      </c>
      <c r="E2299" s="184">
        <v>43864</v>
      </c>
      <c r="G2299" s="184"/>
      <c r="I2299" s="184"/>
      <c r="K2299" s="184"/>
      <c r="M2299" s="184"/>
      <c r="O2299" s="184"/>
      <c r="P2299" t="s">
        <v>7045</v>
      </c>
      <c r="Q2299" t="s">
        <v>7383</v>
      </c>
      <c r="R2299" s="184">
        <v>14226</v>
      </c>
      <c r="S2299">
        <v>85</v>
      </c>
      <c r="U2299" t="s">
        <v>7130</v>
      </c>
      <c r="V2299" t="s">
        <v>3872</v>
      </c>
      <c r="W2299" t="s">
        <v>2963</v>
      </c>
      <c r="X2299" t="s">
        <v>4690</v>
      </c>
      <c r="AF2299" t="s">
        <v>20043</v>
      </c>
      <c r="AG2299" t="s">
        <v>3872</v>
      </c>
      <c r="AI2299" t="s">
        <v>20044</v>
      </c>
      <c r="AM2299" t="s">
        <v>4691</v>
      </c>
      <c r="AN2299" t="s">
        <v>2064</v>
      </c>
      <c r="AO2299" t="s">
        <v>20045</v>
      </c>
      <c r="AP2299" t="s">
        <v>7024</v>
      </c>
      <c r="AQ2299" t="s">
        <v>20046</v>
      </c>
      <c r="AR2299" t="s">
        <v>20047</v>
      </c>
      <c r="AT2299" s="184">
        <v>35914</v>
      </c>
      <c r="AU2299" t="s">
        <v>20048</v>
      </c>
      <c r="AV2299">
        <v>25</v>
      </c>
      <c r="AW2299" s="184">
        <v>45281</v>
      </c>
      <c r="AX2299" t="s">
        <v>20049</v>
      </c>
      <c r="AY2299">
        <v>25</v>
      </c>
      <c r="AZ2299" s="184">
        <v>38456</v>
      </c>
      <c r="BA2299" t="s">
        <v>20050</v>
      </c>
      <c r="BB2299">
        <v>65</v>
      </c>
      <c r="BC2299">
        <v>78</v>
      </c>
      <c r="BD2299">
        <v>1055</v>
      </c>
      <c r="BE2299">
        <v>1998</v>
      </c>
      <c r="BF2299">
        <v>23</v>
      </c>
      <c r="BG2299">
        <v>1</v>
      </c>
      <c r="BH2299">
        <v>25</v>
      </c>
      <c r="BI2299">
        <v>21</v>
      </c>
      <c r="BJ2299">
        <v>27</v>
      </c>
      <c r="BK2299">
        <v>9</v>
      </c>
    </row>
    <row r="2300" spans="1:68">
      <c r="A2300">
        <v>27783844</v>
      </c>
      <c r="B2300">
        <v>27783844</v>
      </c>
      <c r="C2300" t="s">
        <v>7018</v>
      </c>
      <c r="E2300" s="184"/>
      <c r="G2300" s="184"/>
      <c r="I2300" s="184"/>
      <c r="J2300" t="s">
        <v>595</v>
      </c>
      <c r="K2300" s="184">
        <v>45406</v>
      </c>
      <c r="M2300" s="184"/>
      <c r="O2300" s="184"/>
      <c r="P2300" t="s">
        <v>7045</v>
      </c>
      <c r="Q2300" t="s">
        <v>7494</v>
      </c>
      <c r="R2300" s="184">
        <v>13622</v>
      </c>
      <c r="S2300">
        <v>87</v>
      </c>
      <c r="V2300" t="s">
        <v>2593</v>
      </c>
      <c r="W2300" t="s">
        <v>7396</v>
      </c>
      <c r="X2300" t="s">
        <v>3852</v>
      </c>
      <c r="AF2300" t="s">
        <v>20051</v>
      </c>
      <c r="AG2300" t="s">
        <v>2593</v>
      </c>
      <c r="AI2300" t="s">
        <v>20052</v>
      </c>
      <c r="AM2300" t="s">
        <v>2582</v>
      </c>
      <c r="AN2300" t="s">
        <v>2174</v>
      </c>
      <c r="AO2300" t="s">
        <v>20053</v>
      </c>
      <c r="AP2300" t="s">
        <v>7024</v>
      </c>
      <c r="AQ2300" t="s">
        <v>20054</v>
      </c>
      <c r="AT2300" s="184">
        <v>35916</v>
      </c>
      <c r="AU2300" t="s">
        <v>20055</v>
      </c>
      <c r="AV2300">
        <v>25</v>
      </c>
      <c r="AW2300" s="184">
        <v>44958</v>
      </c>
      <c r="AX2300" t="s">
        <v>20056</v>
      </c>
      <c r="AY2300">
        <v>300</v>
      </c>
      <c r="AZ2300" s="184">
        <v>44958</v>
      </c>
      <c r="BA2300" t="s">
        <v>20056</v>
      </c>
      <c r="BB2300">
        <v>300</v>
      </c>
      <c r="BC2300">
        <v>56</v>
      </c>
      <c r="BD2300">
        <v>3163.25</v>
      </c>
      <c r="BE2300">
        <v>1998</v>
      </c>
      <c r="BF2300">
        <v>24</v>
      </c>
      <c r="BG2300">
        <v>2</v>
      </c>
      <c r="BH2300">
        <v>580</v>
      </c>
      <c r="BI2300">
        <v>15</v>
      </c>
      <c r="BJ2300">
        <v>27</v>
      </c>
      <c r="BK2300">
        <v>7</v>
      </c>
      <c r="BP2300" s="184"/>
    </row>
    <row r="2301" spans="1:68">
      <c r="A2301">
        <v>27790450</v>
      </c>
      <c r="B2301">
        <v>27790450</v>
      </c>
      <c r="C2301" t="s">
        <v>7018</v>
      </c>
      <c r="E2301" s="184"/>
      <c r="G2301" s="184"/>
      <c r="I2301" s="184"/>
      <c r="J2301" t="s">
        <v>595</v>
      </c>
      <c r="K2301" s="184">
        <v>38726</v>
      </c>
      <c r="M2301" s="184"/>
      <c r="O2301" s="184"/>
      <c r="P2301" t="s">
        <v>7029</v>
      </c>
      <c r="Q2301" t="s">
        <v>7383</v>
      </c>
      <c r="R2301" s="184">
        <v>15302</v>
      </c>
      <c r="S2301">
        <v>82</v>
      </c>
      <c r="U2301" t="s">
        <v>7031</v>
      </c>
      <c r="V2301" t="s">
        <v>2511</v>
      </c>
      <c r="W2301" t="s">
        <v>2058</v>
      </c>
      <c r="X2301" t="s">
        <v>5559</v>
      </c>
      <c r="Z2301">
        <v>100073677</v>
      </c>
      <c r="AA2301" t="s">
        <v>7130</v>
      </c>
      <c r="AB2301" t="s">
        <v>2609</v>
      </c>
      <c r="AC2301" t="s">
        <v>2049</v>
      </c>
      <c r="AD2301" t="s">
        <v>5559</v>
      </c>
      <c r="AF2301" t="s">
        <v>20057</v>
      </c>
      <c r="AG2301" t="s">
        <v>20058</v>
      </c>
      <c r="AI2301" t="s">
        <v>20059</v>
      </c>
      <c r="AM2301" t="s">
        <v>5560</v>
      </c>
      <c r="AN2301" t="s">
        <v>2185</v>
      </c>
      <c r="AO2301" t="s">
        <v>20060</v>
      </c>
      <c r="AP2301" t="s">
        <v>7024</v>
      </c>
      <c r="AQ2301" t="s">
        <v>20061</v>
      </c>
      <c r="AT2301" s="184">
        <v>35916</v>
      </c>
      <c r="AU2301" t="s">
        <v>20062</v>
      </c>
      <c r="AV2301">
        <v>50</v>
      </c>
      <c r="AW2301" s="184">
        <v>44522</v>
      </c>
      <c r="AX2301" t="s">
        <v>20063</v>
      </c>
      <c r="AY2301">
        <v>2500</v>
      </c>
      <c r="AZ2301" s="184">
        <v>42587</v>
      </c>
      <c r="BA2301" t="s">
        <v>14683</v>
      </c>
      <c r="BB2301">
        <v>4250</v>
      </c>
      <c r="BC2301">
        <v>82</v>
      </c>
      <c r="BD2301">
        <v>45775</v>
      </c>
      <c r="BE2301">
        <v>1998</v>
      </c>
      <c r="BF2301">
        <v>26</v>
      </c>
      <c r="BI2301">
        <v>22</v>
      </c>
      <c r="BJ2301">
        <v>27</v>
      </c>
      <c r="BK2301">
        <v>12</v>
      </c>
      <c r="BM2301" t="s">
        <v>595</v>
      </c>
      <c r="BP2301" s="184"/>
    </row>
    <row r="2302" spans="1:68">
      <c r="A2302">
        <v>100073677</v>
      </c>
      <c r="B2302">
        <v>27790450</v>
      </c>
      <c r="C2302" t="s">
        <v>7018</v>
      </c>
      <c r="E2302" s="184"/>
      <c r="G2302" s="184"/>
      <c r="I2302" s="184"/>
      <c r="J2302" t="s">
        <v>595</v>
      </c>
      <c r="K2302" s="184">
        <v>43654</v>
      </c>
      <c r="M2302" s="184"/>
      <c r="O2302" s="184"/>
      <c r="P2302" t="s">
        <v>7029</v>
      </c>
      <c r="Q2302" t="s">
        <v>7383</v>
      </c>
      <c r="R2302" s="184">
        <v>14744</v>
      </c>
      <c r="S2302">
        <v>84</v>
      </c>
      <c r="U2302" t="s">
        <v>7130</v>
      </c>
      <c r="V2302" t="s">
        <v>2609</v>
      </c>
      <c r="W2302" t="s">
        <v>2049</v>
      </c>
      <c r="X2302" t="s">
        <v>5559</v>
      </c>
      <c r="Z2302">
        <v>27790450</v>
      </c>
      <c r="AA2302" t="s">
        <v>7031</v>
      </c>
      <c r="AB2302" t="s">
        <v>2511</v>
      </c>
      <c r="AC2302" t="s">
        <v>2058</v>
      </c>
      <c r="AD2302" t="s">
        <v>5559</v>
      </c>
      <c r="AF2302" t="s">
        <v>20057</v>
      </c>
      <c r="AG2302" t="s">
        <v>20058</v>
      </c>
      <c r="AI2302" t="s">
        <v>20059</v>
      </c>
      <c r="AM2302" t="s">
        <v>5560</v>
      </c>
      <c r="AN2302" t="s">
        <v>2185</v>
      </c>
      <c r="AO2302" t="s">
        <v>20060</v>
      </c>
      <c r="AP2302" t="s">
        <v>7024</v>
      </c>
      <c r="AT2302" s="184"/>
      <c r="AW2302" s="184"/>
      <c r="AZ2302" s="184"/>
      <c r="BP2302" s="184"/>
    </row>
    <row r="2303" spans="1:68">
      <c r="A2303">
        <v>27795558</v>
      </c>
      <c r="B2303">
        <v>27795558</v>
      </c>
      <c r="C2303" t="s">
        <v>7018</v>
      </c>
      <c r="D2303" t="s">
        <v>595</v>
      </c>
      <c r="E2303" s="184">
        <v>43642</v>
      </c>
      <c r="G2303" s="184"/>
      <c r="I2303" s="184"/>
      <c r="K2303" s="184"/>
      <c r="M2303" s="184"/>
      <c r="O2303" s="184"/>
      <c r="P2303" t="s">
        <v>7045</v>
      </c>
      <c r="Q2303" t="s">
        <v>7383</v>
      </c>
      <c r="R2303" s="184">
        <v>16352</v>
      </c>
      <c r="S2303">
        <v>79</v>
      </c>
      <c r="U2303" t="s">
        <v>7076</v>
      </c>
      <c r="V2303" t="s">
        <v>3293</v>
      </c>
      <c r="W2303" t="s">
        <v>7407</v>
      </c>
      <c r="X2303" t="s">
        <v>3051</v>
      </c>
      <c r="AF2303" t="s">
        <v>20064</v>
      </c>
      <c r="AG2303" t="s">
        <v>3293</v>
      </c>
      <c r="AI2303" t="s">
        <v>20065</v>
      </c>
      <c r="AM2303" t="s">
        <v>2878</v>
      </c>
      <c r="AN2303" t="s">
        <v>2313</v>
      </c>
      <c r="AO2303" t="s">
        <v>20066</v>
      </c>
      <c r="AP2303" t="s">
        <v>7024</v>
      </c>
      <c r="AT2303" s="184">
        <v>35919</v>
      </c>
      <c r="AU2303" t="s">
        <v>20067</v>
      </c>
      <c r="AV2303">
        <v>10</v>
      </c>
      <c r="AW2303" s="184">
        <v>45329</v>
      </c>
      <c r="AX2303" t="s">
        <v>20068</v>
      </c>
      <c r="AY2303">
        <v>25</v>
      </c>
      <c r="AZ2303" s="184">
        <v>43410</v>
      </c>
      <c r="BA2303" t="s">
        <v>20069</v>
      </c>
      <c r="BB2303">
        <v>35</v>
      </c>
      <c r="BC2303">
        <v>41</v>
      </c>
      <c r="BD2303">
        <v>460</v>
      </c>
      <c r="BE2303">
        <v>1998</v>
      </c>
      <c r="BF2303">
        <v>20</v>
      </c>
      <c r="BG2303">
        <v>3</v>
      </c>
      <c r="BH2303">
        <v>75</v>
      </c>
      <c r="BI2303">
        <v>11</v>
      </c>
      <c r="BJ2303">
        <v>27</v>
      </c>
      <c r="BK2303">
        <v>7</v>
      </c>
      <c r="BP2303" s="184"/>
    </row>
    <row r="2304" spans="1:68">
      <c r="A2304">
        <v>27795970</v>
      </c>
      <c r="B2304">
        <v>27795970</v>
      </c>
      <c r="C2304" t="s">
        <v>7018</v>
      </c>
      <c r="E2304" s="184"/>
      <c r="G2304" s="184"/>
      <c r="I2304" s="184"/>
      <c r="J2304" t="s">
        <v>595</v>
      </c>
      <c r="K2304" s="184">
        <v>44104</v>
      </c>
      <c r="M2304" s="184"/>
      <c r="O2304" s="184"/>
      <c r="P2304" t="s">
        <v>7045</v>
      </c>
      <c r="Q2304" t="s">
        <v>7383</v>
      </c>
      <c r="R2304" s="184">
        <v>12272</v>
      </c>
      <c r="S2304">
        <v>90</v>
      </c>
      <c r="U2304" t="s">
        <v>7031</v>
      </c>
      <c r="V2304" t="s">
        <v>2541</v>
      </c>
      <c r="X2304" t="s">
        <v>20070</v>
      </c>
      <c r="AF2304" t="s">
        <v>20071</v>
      </c>
      <c r="AG2304" t="s">
        <v>2541</v>
      </c>
      <c r="AI2304" t="s">
        <v>20072</v>
      </c>
      <c r="AM2304" t="s">
        <v>3694</v>
      </c>
      <c r="AN2304" t="s">
        <v>2313</v>
      </c>
      <c r="AO2304" t="s">
        <v>20073</v>
      </c>
      <c r="AP2304" t="s">
        <v>7024</v>
      </c>
      <c r="AQ2304" t="s">
        <v>20074</v>
      </c>
      <c r="AT2304" s="184">
        <v>35919</v>
      </c>
      <c r="AU2304" t="s">
        <v>20075</v>
      </c>
      <c r="AV2304">
        <v>25</v>
      </c>
      <c r="AW2304" s="184">
        <v>45258</v>
      </c>
      <c r="AX2304" t="s">
        <v>9774</v>
      </c>
      <c r="AY2304">
        <v>25</v>
      </c>
      <c r="AZ2304" s="184">
        <v>43760</v>
      </c>
      <c r="BA2304" t="s">
        <v>20076</v>
      </c>
      <c r="BB2304">
        <v>60</v>
      </c>
      <c r="BC2304">
        <v>78</v>
      </c>
      <c r="BD2304">
        <v>973</v>
      </c>
      <c r="BE2304">
        <v>1998</v>
      </c>
      <c r="BF2304">
        <v>32</v>
      </c>
      <c r="BG2304">
        <v>3</v>
      </c>
      <c r="BH2304">
        <v>75</v>
      </c>
      <c r="BI2304">
        <v>21</v>
      </c>
      <c r="BJ2304">
        <v>27</v>
      </c>
      <c r="BK2304">
        <v>10</v>
      </c>
      <c r="BP2304" s="184"/>
    </row>
    <row r="2305" spans="1:68">
      <c r="A2305">
        <v>27797810</v>
      </c>
      <c r="B2305">
        <v>27797810</v>
      </c>
      <c r="C2305" t="s">
        <v>7018</v>
      </c>
      <c r="E2305" s="184"/>
      <c r="F2305" t="s">
        <v>595</v>
      </c>
      <c r="G2305" s="184">
        <v>44167</v>
      </c>
      <c r="I2305" s="184"/>
      <c r="K2305" s="184"/>
      <c r="M2305" s="184"/>
      <c r="O2305" s="184"/>
      <c r="P2305" t="s">
        <v>7045</v>
      </c>
      <c r="Q2305" t="s">
        <v>7194</v>
      </c>
      <c r="R2305" s="184">
        <v>17826</v>
      </c>
      <c r="S2305">
        <v>75</v>
      </c>
      <c r="U2305" t="s">
        <v>7076</v>
      </c>
      <c r="V2305" t="s">
        <v>3504</v>
      </c>
      <c r="W2305" t="s">
        <v>7407</v>
      </c>
      <c r="X2305" t="s">
        <v>20077</v>
      </c>
      <c r="AF2305" t="s">
        <v>20078</v>
      </c>
      <c r="AG2305" t="s">
        <v>3504</v>
      </c>
      <c r="AI2305" t="s">
        <v>20079</v>
      </c>
      <c r="AM2305" t="s">
        <v>20080</v>
      </c>
      <c r="AN2305" t="s">
        <v>4512</v>
      </c>
      <c r="AO2305" t="s">
        <v>20081</v>
      </c>
      <c r="AP2305" t="s">
        <v>7024</v>
      </c>
      <c r="AQ2305" t="s">
        <v>20082</v>
      </c>
      <c r="AR2305" t="s">
        <v>20083</v>
      </c>
      <c r="AT2305" s="184">
        <v>35919</v>
      </c>
      <c r="AU2305" t="s">
        <v>20084</v>
      </c>
      <c r="AV2305">
        <v>15</v>
      </c>
      <c r="AW2305" s="184">
        <v>44428</v>
      </c>
      <c r="AX2305" t="s">
        <v>20085</v>
      </c>
      <c r="AY2305">
        <v>10</v>
      </c>
      <c r="AZ2305" s="184">
        <v>36221</v>
      </c>
      <c r="BA2305" t="s">
        <v>20086</v>
      </c>
      <c r="BB2305">
        <v>25</v>
      </c>
      <c r="BC2305">
        <v>26</v>
      </c>
      <c r="BD2305">
        <v>105</v>
      </c>
      <c r="BE2305">
        <v>1998</v>
      </c>
      <c r="BF2305">
        <v>8</v>
      </c>
      <c r="BI2305">
        <v>7</v>
      </c>
      <c r="BJ2305">
        <v>27</v>
      </c>
      <c r="BK2305">
        <v>2</v>
      </c>
      <c r="BM2305" t="s">
        <v>595</v>
      </c>
      <c r="BN2305" t="s">
        <v>595</v>
      </c>
      <c r="BP2305" s="184"/>
    </row>
    <row r="2306" spans="1:68">
      <c r="A2306">
        <v>27805878</v>
      </c>
      <c r="B2306">
        <v>27805878</v>
      </c>
      <c r="C2306" t="s">
        <v>7018</v>
      </c>
      <c r="E2306" s="184"/>
      <c r="G2306" s="184"/>
      <c r="I2306" s="184"/>
      <c r="J2306" t="s">
        <v>595</v>
      </c>
      <c r="K2306" s="184">
        <v>40722</v>
      </c>
      <c r="M2306" s="184"/>
      <c r="O2306" s="184"/>
      <c r="P2306" t="s">
        <v>7045</v>
      </c>
      <c r="Q2306" t="s">
        <v>7262</v>
      </c>
      <c r="R2306" s="184">
        <v>22705</v>
      </c>
      <c r="S2306">
        <v>62</v>
      </c>
      <c r="U2306" t="s">
        <v>7094</v>
      </c>
      <c r="V2306" t="s">
        <v>3131</v>
      </c>
      <c r="W2306" t="s">
        <v>7246</v>
      </c>
      <c r="X2306" t="s">
        <v>20087</v>
      </c>
      <c r="AF2306" t="s">
        <v>6586</v>
      </c>
      <c r="AG2306" t="s">
        <v>3131</v>
      </c>
      <c r="AI2306" t="s">
        <v>20088</v>
      </c>
      <c r="AM2306" t="s">
        <v>20089</v>
      </c>
      <c r="AN2306" t="s">
        <v>2106</v>
      </c>
      <c r="AO2306" t="s">
        <v>20090</v>
      </c>
      <c r="AP2306" t="s">
        <v>7024</v>
      </c>
      <c r="AQ2306" t="s">
        <v>20091</v>
      </c>
      <c r="AR2306" t="s">
        <v>20092</v>
      </c>
      <c r="AT2306" s="184">
        <v>35920</v>
      </c>
      <c r="AU2306" t="s">
        <v>20093</v>
      </c>
      <c r="AV2306">
        <v>20</v>
      </c>
      <c r="AW2306" s="184">
        <v>44773</v>
      </c>
      <c r="AX2306" t="s">
        <v>20094</v>
      </c>
      <c r="AY2306">
        <v>25</v>
      </c>
      <c r="AZ2306" s="184">
        <v>39646</v>
      </c>
      <c r="BA2306" t="s">
        <v>19973</v>
      </c>
      <c r="BB2306">
        <v>45</v>
      </c>
      <c r="BC2306">
        <v>60</v>
      </c>
      <c r="BD2306">
        <v>605</v>
      </c>
      <c r="BE2306">
        <v>1998</v>
      </c>
      <c r="BF2306">
        <v>22</v>
      </c>
      <c r="BG2306">
        <v>1</v>
      </c>
      <c r="BH2306">
        <v>25</v>
      </c>
      <c r="BI2306">
        <v>16</v>
      </c>
      <c r="BJ2306">
        <v>27</v>
      </c>
      <c r="BK2306">
        <v>6</v>
      </c>
      <c r="BN2306" t="s">
        <v>595</v>
      </c>
      <c r="BP2306" s="184"/>
    </row>
    <row r="2307" spans="1:68">
      <c r="A2307">
        <v>27811843</v>
      </c>
      <c r="B2307">
        <v>27811843</v>
      </c>
      <c r="C2307" t="s">
        <v>7018</v>
      </c>
      <c r="D2307" t="s">
        <v>595</v>
      </c>
      <c r="E2307" s="184">
        <v>44455</v>
      </c>
      <c r="G2307" s="184"/>
      <c r="I2307" s="184"/>
      <c r="K2307" s="184"/>
      <c r="M2307" s="184"/>
      <c r="O2307" s="184"/>
      <c r="P2307" t="s">
        <v>7045</v>
      </c>
      <c r="Q2307" t="s">
        <v>7383</v>
      </c>
      <c r="R2307" s="184">
        <v>19028</v>
      </c>
      <c r="S2307">
        <v>72</v>
      </c>
      <c r="V2307" t="s">
        <v>20095</v>
      </c>
      <c r="W2307" t="s">
        <v>7469</v>
      </c>
      <c r="X2307" t="s">
        <v>20096</v>
      </c>
      <c r="AF2307" t="s">
        <v>20097</v>
      </c>
      <c r="AG2307" t="s">
        <v>20095</v>
      </c>
      <c r="AI2307" t="s">
        <v>20098</v>
      </c>
      <c r="AM2307" t="s">
        <v>2703</v>
      </c>
      <c r="AN2307" t="s">
        <v>2064</v>
      </c>
      <c r="AO2307" t="s">
        <v>20099</v>
      </c>
      <c r="AP2307" t="s">
        <v>7024</v>
      </c>
      <c r="AQ2307" t="s">
        <v>20100</v>
      </c>
      <c r="AT2307" s="184">
        <v>35921</v>
      </c>
      <c r="AU2307" t="s">
        <v>20101</v>
      </c>
      <c r="AV2307">
        <v>15</v>
      </c>
      <c r="AW2307" s="184">
        <v>44530</v>
      </c>
      <c r="AX2307" t="s">
        <v>20102</v>
      </c>
      <c r="AY2307">
        <v>25</v>
      </c>
      <c r="AZ2307" s="184">
        <v>40107</v>
      </c>
      <c r="BA2307" t="s">
        <v>20103</v>
      </c>
      <c r="BB2307">
        <v>60</v>
      </c>
      <c r="BC2307">
        <v>34</v>
      </c>
      <c r="BD2307">
        <v>285</v>
      </c>
      <c r="BE2307">
        <v>1998</v>
      </c>
      <c r="BF2307">
        <v>11</v>
      </c>
      <c r="BI2307">
        <v>9</v>
      </c>
      <c r="BJ2307">
        <v>27</v>
      </c>
      <c r="BK2307">
        <v>2</v>
      </c>
      <c r="BP2307" s="184"/>
    </row>
    <row r="2308" spans="1:68">
      <c r="A2308">
        <v>27813989</v>
      </c>
      <c r="B2308">
        <v>27813989</v>
      </c>
      <c r="C2308" t="s">
        <v>7018</v>
      </c>
      <c r="E2308" s="184"/>
      <c r="F2308" t="s">
        <v>595</v>
      </c>
      <c r="G2308" s="184">
        <v>43731</v>
      </c>
      <c r="I2308" s="184"/>
      <c r="K2308" s="184"/>
      <c r="M2308" s="184"/>
      <c r="O2308" s="184"/>
      <c r="P2308" t="s">
        <v>7045</v>
      </c>
      <c r="Q2308" t="s">
        <v>7454</v>
      </c>
      <c r="R2308" s="184">
        <v>15207</v>
      </c>
      <c r="S2308">
        <v>82</v>
      </c>
      <c r="U2308" t="s">
        <v>7130</v>
      </c>
      <c r="V2308" t="s">
        <v>3302</v>
      </c>
      <c r="W2308" t="s">
        <v>2316</v>
      </c>
      <c r="X2308" t="s">
        <v>2749</v>
      </c>
      <c r="AF2308" t="s">
        <v>20104</v>
      </c>
      <c r="AG2308" t="s">
        <v>3302</v>
      </c>
      <c r="AI2308" t="s">
        <v>20105</v>
      </c>
      <c r="AM2308" t="s">
        <v>3855</v>
      </c>
      <c r="AN2308" t="s">
        <v>2055</v>
      </c>
      <c r="AO2308" t="s">
        <v>20106</v>
      </c>
      <c r="AP2308" t="s">
        <v>7024</v>
      </c>
      <c r="AQ2308" t="s">
        <v>20107</v>
      </c>
      <c r="AT2308" s="184">
        <v>35922</v>
      </c>
      <c r="AU2308" t="s">
        <v>20108</v>
      </c>
      <c r="AV2308">
        <v>10</v>
      </c>
      <c r="AW2308" s="184">
        <v>43087</v>
      </c>
      <c r="AX2308" t="s">
        <v>20109</v>
      </c>
      <c r="AY2308">
        <v>5</v>
      </c>
      <c r="AZ2308" s="184">
        <v>42331</v>
      </c>
      <c r="BA2308" t="s">
        <v>20110</v>
      </c>
      <c r="BB2308">
        <v>25</v>
      </c>
      <c r="BC2308">
        <v>26</v>
      </c>
      <c r="BD2308">
        <v>220</v>
      </c>
      <c r="BE2308">
        <v>1998</v>
      </c>
      <c r="BF2308">
        <v>12</v>
      </c>
      <c r="BI2308">
        <v>7</v>
      </c>
      <c r="BJ2308">
        <v>27</v>
      </c>
      <c r="BK2308">
        <v>6</v>
      </c>
      <c r="BP2308" s="184"/>
    </row>
    <row r="2309" spans="1:68">
      <c r="A2309">
        <v>27818624</v>
      </c>
      <c r="B2309">
        <v>27818624</v>
      </c>
      <c r="C2309" t="s">
        <v>7018</v>
      </c>
      <c r="E2309" s="184"/>
      <c r="I2309" s="184"/>
      <c r="J2309" t="s">
        <v>595</v>
      </c>
      <c r="K2309" s="184">
        <v>44104</v>
      </c>
      <c r="M2309" s="184"/>
      <c r="O2309" s="184"/>
      <c r="P2309" t="s">
        <v>7045</v>
      </c>
      <c r="Q2309" t="s">
        <v>7383</v>
      </c>
      <c r="R2309" s="184">
        <v>16857</v>
      </c>
      <c r="S2309">
        <v>78</v>
      </c>
      <c r="U2309" t="s">
        <v>7076</v>
      </c>
      <c r="V2309" t="s">
        <v>4330</v>
      </c>
      <c r="W2309" t="s">
        <v>3332</v>
      </c>
      <c r="X2309" t="s">
        <v>3346</v>
      </c>
      <c r="AF2309" t="s">
        <v>20111</v>
      </c>
      <c r="AG2309" t="s">
        <v>4330</v>
      </c>
      <c r="AI2309" t="s">
        <v>20112</v>
      </c>
      <c r="AM2309" t="s">
        <v>3815</v>
      </c>
      <c r="AN2309" t="s">
        <v>2059</v>
      </c>
      <c r="AO2309" t="s">
        <v>20113</v>
      </c>
      <c r="AP2309" t="s">
        <v>7024</v>
      </c>
      <c r="AQ2309" t="s">
        <v>20114</v>
      </c>
      <c r="AT2309" s="184">
        <v>35923</v>
      </c>
      <c r="AU2309" t="s">
        <v>20115</v>
      </c>
      <c r="AV2309">
        <v>25</v>
      </c>
      <c r="AW2309" s="184">
        <v>45397</v>
      </c>
      <c r="AX2309" t="s">
        <v>7972</v>
      </c>
      <c r="AY2309">
        <v>50</v>
      </c>
      <c r="AZ2309" s="184">
        <v>38351</v>
      </c>
      <c r="BA2309" t="s">
        <v>20116</v>
      </c>
      <c r="BB2309">
        <v>75</v>
      </c>
      <c r="BC2309">
        <v>93</v>
      </c>
      <c r="BD2309">
        <v>1295</v>
      </c>
      <c r="BE2309">
        <v>1998</v>
      </c>
      <c r="BF2309">
        <v>28</v>
      </c>
      <c r="BG2309">
        <v>2</v>
      </c>
      <c r="BH2309">
        <v>100</v>
      </c>
      <c r="BI2309">
        <v>25</v>
      </c>
      <c r="BJ2309">
        <v>27</v>
      </c>
      <c r="BK2309">
        <v>14</v>
      </c>
      <c r="BP2309" s="184"/>
    </row>
    <row r="2310" spans="1:68">
      <c r="A2310">
        <v>27824564</v>
      </c>
      <c r="B2310">
        <v>27824564</v>
      </c>
      <c r="C2310" t="s">
        <v>7018</v>
      </c>
      <c r="E2310" s="184"/>
      <c r="G2310" s="184"/>
      <c r="I2310" s="184"/>
      <c r="K2310" s="184"/>
      <c r="L2310" t="s">
        <v>595</v>
      </c>
      <c r="M2310" s="184">
        <v>44265</v>
      </c>
      <c r="O2310" s="184"/>
      <c r="P2310" t="s">
        <v>7045</v>
      </c>
      <c r="Q2310" t="s">
        <v>7774</v>
      </c>
      <c r="R2310" s="184">
        <v>11841</v>
      </c>
      <c r="S2310">
        <v>91</v>
      </c>
      <c r="U2310" t="s">
        <v>7130</v>
      </c>
      <c r="V2310" t="s">
        <v>3510</v>
      </c>
      <c r="W2310" t="s">
        <v>2316</v>
      </c>
      <c r="X2310" t="s">
        <v>2772</v>
      </c>
      <c r="AF2310" t="s">
        <v>20117</v>
      </c>
      <c r="AG2310" t="s">
        <v>3510</v>
      </c>
      <c r="AI2310" t="s">
        <v>20118</v>
      </c>
      <c r="AM2310" t="s">
        <v>3682</v>
      </c>
      <c r="AN2310" t="s">
        <v>2290</v>
      </c>
      <c r="AO2310" t="s">
        <v>20119</v>
      </c>
      <c r="AP2310" t="s">
        <v>7024</v>
      </c>
      <c r="AQ2310" t="s">
        <v>20120</v>
      </c>
      <c r="AR2310" t="s">
        <v>20121</v>
      </c>
      <c r="AT2310" s="184">
        <v>35923</v>
      </c>
      <c r="AU2310" t="s">
        <v>20122</v>
      </c>
      <c r="AV2310">
        <v>25</v>
      </c>
      <c r="AW2310" s="184">
        <v>45363</v>
      </c>
      <c r="AX2310" t="s">
        <v>7092</v>
      </c>
      <c r="AY2310">
        <v>500</v>
      </c>
      <c r="AZ2310" s="184">
        <v>45363</v>
      </c>
      <c r="BA2310" t="s">
        <v>7092</v>
      </c>
      <c r="BB2310">
        <v>500</v>
      </c>
      <c r="BC2310">
        <v>100</v>
      </c>
      <c r="BD2310">
        <v>5071.76</v>
      </c>
      <c r="BE2310">
        <v>1998</v>
      </c>
      <c r="BF2310">
        <v>56</v>
      </c>
      <c r="BG2310">
        <v>2</v>
      </c>
      <c r="BH2310">
        <v>900</v>
      </c>
      <c r="BI2310">
        <v>27</v>
      </c>
      <c r="BJ2310">
        <v>27</v>
      </c>
      <c r="BK2310">
        <v>27</v>
      </c>
      <c r="BP2310" s="184"/>
    </row>
    <row r="2311" spans="1:68">
      <c r="A2311">
        <v>27844091</v>
      </c>
      <c r="B2311">
        <v>27844091</v>
      </c>
      <c r="C2311" t="s">
        <v>7018</v>
      </c>
      <c r="E2311" s="184"/>
      <c r="I2311" s="184"/>
      <c r="J2311" t="s">
        <v>595</v>
      </c>
      <c r="K2311" s="184">
        <v>44104</v>
      </c>
      <c r="M2311" s="184"/>
      <c r="O2311" s="184"/>
      <c r="P2311" t="s">
        <v>7045</v>
      </c>
      <c r="Q2311" t="s">
        <v>7160</v>
      </c>
      <c r="R2311" s="184">
        <v>18692</v>
      </c>
      <c r="S2311">
        <v>73</v>
      </c>
      <c r="V2311" t="s">
        <v>2821</v>
      </c>
      <c r="X2311" t="s">
        <v>2964</v>
      </c>
      <c r="AF2311" t="s">
        <v>20123</v>
      </c>
      <c r="AG2311" t="s">
        <v>2821</v>
      </c>
      <c r="AI2311" t="s">
        <v>20124</v>
      </c>
      <c r="AM2311" t="s">
        <v>20125</v>
      </c>
      <c r="AN2311" t="s">
        <v>2446</v>
      </c>
      <c r="AO2311" t="s">
        <v>20126</v>
      </c>
      <c r="AP2311" t="s">
        <v>7024</v>
      </c>
      <c r="AQ2311" t="s">
        <v>20127</v>
      </c>
      <c r="AR2311" t="s">
        <v>20128</v>
      </c>
      <c r="AT2311" s="184">
        <v>35930</v>
      </c>
      <c r="AU2311" t="s">
        <v>20129</v>
      </c>
      <c r="AV2311">
        <v>15</v>
      </c>
      <c r="AW2311" s="184">
        <v>45180</v>
      </c>
      <c r="AX2311" t="s">
        <v>20130</v>
      </c>
      <c r="AY2311">
        <v>200</v>
      </c>
      <c r="AZ2311" s="184">
        <v>44573</v>
      </c>
      <c r="BA2311" t="s">
        <v>20131</v>
      </c>
      <c r="BB2311">
        <v>250</v>
      </c>
      <c r="BC2311">
        <v>89</v>
      </c>
      <c r="BD2311">
        <v>2365</v>
      </c>
      <c r="BE2311">
        <v>1998</v>
      </c>
      <c r="BF2311">
        <v>42</v>
      </c>
      <c r="BG2311">
        <v>3</v>
      </c>
      <c r="BH2311">
        <v>500</v>
      </c>
      <c r="BI2311">
        <v>24</v>
      </c>
      <c r="BJ2311">
        <v>27</v>
      </c>
      <c r="BK2311">
        <v>11</v>
      </c>
      <c r="BP2311" s="184"/>
    </row>
    <row r="2312" spans="1:68">
      <c r="A2312">
        <v>27844232</v>
      </c>
      <c r="B2312">
        <v>27844232</v>
      </c>
      <c r="C2312" t="s">
        <v>7018</v>
      </c>
      <c r="D2312" t="s">
        <v>595</v>
      </c>
      <c r="E2312" s="184">
        <v>44167</v>
      </c>
      <c r="G2312" s="184"/>
      <c r="H2312" t="s">
        <v>595</v>
      </c>
      <c r="I2312" s="184">
        <v>44167</v>
      </c>
      <c r="K2312" s="184"/>
      <c r="M2312" s="184"/>
      <c r="O2312" s="184"/>
      <c r="P2312" t="s">
        <v>7045</v>
      </c>
      <c r="Q2312" t="s">
        <v>7030</v>
      </c>
      <c r="R2312" s="184">
        <v>22117</v>
      </c>
      <c r="S2312">
        <v>63</v>
      </c>
      <c r="U2312" t="s">
        <v>7031</v>
      </c>
      <c r="V2312" t="s">
        <v>15363</v>
      </c>
      <c r="W2312" t="s">
        <v>7067</v>
      </c>
      <c r="X2312" t="s">
        <v>20132</v>
      </c>
      <c r="AF2312" t="s">
        <v>20133</v>
      </c>
      <c r="AG2312" t="s">
        <v>15363</v>
      </c>
      <c r="AI2312" t="s">
        <v>20134</v>
      </c>
      <c r="AM2312" t="s">
        <v>4209</v>
      </c>
      <c r="AN2312" t="s">
        <v>2201</v>
      </c>
      <c r="AO2312" t="s">
        <v>20135</v>
      </c>
      <c r="AP2312" t="s">
        <v>7024</v>
      </c>
      <c r="AQ2312" t="s">
        <v>20136</v>
      </c>
      <c r="AT2312" s="184">
        <v>35930</v>
      </c>
      <c r="AU2312" t="s">
        <v>20137</v>
      </c>
      <c r="AV2312">
        <v>15</v>
      </c>
      <c r="AW2312" s="184">
        <v>45234</v>
      </c>
      <c r="AX2312" t="s">
        <v>7168</v>
      </c>
      <c r="AY2312">
        <v>50</v>
      </c>
      <c r="AZ2312" s="184">
        <v>45234</v>
      </c>
      <c r="BA2312" t="s">
        <v>7168</v>
      </c>
      <c r="BB2312">
        <v>50</v>
      </c>
      <c r="BC2312">
        <v>97</v>
      </c>
      <c r="BD2312">
        <v>1295</v>
      </c>
      <c r="BE2312">
        <v>1998</v>
      </c>
      <c r="BF2312">
        <v>51</v>
      </c>
      <c r="BG2312">
        <v>2</v>
      </c>
      <c r="BH2312">
        <v>100</v>
      </c>
      <c r="BI2312">
        <v>26</v>
      </c>
      <c r="BJ2312">
        <v>27</v>
      </c>
      <c r="BK2312">
        <v>26</v>
      </c>
      <c r="BP2312" s="184"/>
    </row>
    <row r="2313" spans="1:68">
      <c r="A2313">
        <v>27847409</v>
      </c>
      <c r="B2313">
        <v>27847409</v>
      </c>
      <c r="C2313" t="s">
        <v>7018</v>
      </c>
      <c r="D2313" t="s">
        <v>595</v>
      </c>
      <c r="E2313" s="184">
        <v>43642</v>
      </c>
      <c r="G2313" s="184"/>
      <c r="I2313" s="184"/>
      <c r="K2313" s="184"/>
      <c r="M2313" s="184"/>
      <c r="O2313" s="184"/>
      <c r="P2313" t="s">
        <v>7045</v>
      </c>
      <c r="Q2313" t="s">
        <v>7383</v>
      </c>
      <c r="R2313" s="184">
        <v>11906</v>
      </c>
      <c r="S2313">
        <v>91</v>
      </c>
      <c r="U2313" t="s">
        <v>7031</v>
      </c>
      <c r="V2313" t="s">
        <v>3294</v>
      </c>
      <c r="W2313" t="s">
        <v>4139</v>
      </c>
      <c r="X2313" t="s">
        <v>3295</v>
      </c>
      <c r="AF2313" t="s">
        <v>20138</v>
      </c>
      <c r="AG2313" t="s">
        <v>3294</v>
      </c>
      <c r="AI2313" t="s">
        <v>20139</v>
      </c>
      <c r="AM2313" t="s">
        <v>3296</v>
      </c>
      <c r="AN2313" t="s">
        <v>2162</v>
      </c>
      <c r="AO2313" t="s">
        <v>20140</v>
      </c>
      <c r="AP2313" t="s">
        <v>7024</v>
      </c>
      <c r="AT2313" s="184">
        <v>35930</v>
      </c>
      <c r="AU2313" t="s">
        <v>20141</v>
      </c>
      <c r="AV2313">
        <v>100</v>
      </c>
      <c r="AW2313" s="184">
        <v>44228</v>
      </c>
      <c r="AX2313" t="s">
        <v>20142</v>
      </c>
      <c r="AY2313">
        <v>125</v>
      </c>
      <c r="AZ2313" s="184">
        <v>44228</v>
      </c>
      <c r="BA2313" t="s">
        <v>20142</v>
      </c>
      <c r="BB2313">
        <v>125</v>
      </c>
      <c r="BC2313">
        <v>89</v>
      </c>
      <c r="BD2313">
        <v>3050</v>
      </c>
      <c r="BE2313">
        <v>1998</v>
      </c>
      <c r="BF2313">
        <v>26</v>
      </c>
      <c r="BI2313">
        <v>24</v>
      </c>
      <c r="BJ2313">
        <v>27</v>
      </c>
      <c r="BK2313">
        <v>24</v>
      </c>
      <c r="BP2313" s="184"/>
    </row>
    <row r="2314" spans="1:68">
      <c r="A2314">
        <v>27847953</v>
      </c>
      <c r="B2314">
        <v>27847953</v>
      </c>
      <c r="C2314" t="s">
        <v>7018</v>
      </c>
      <c r="D2314" t="s">
        <v>595</v>
      </c>
      <c r="E2314" s="184">
        <v>43642</v>
      </c>
      <c r="G2314" s="184"/>
      <c r="I2314" s="184"/>
      <c r="K2314" s="184"/>
      <c r="M2314" s="184"/>
      <c r="O2314" s="184"/>
      <c r="P2314" t="s">
        <v>7029</v>
      </c>
      <c r="Q2314" t="s">
        <v>7383</v>
      </c>
      <c r="R2314" s="184">
        <v>15741</v>
      </c>
      <c r="S2314">
        <v>81</v>
      </c>
      <c r="V2314" t="s">
        <v>2786</v>
      </c>
      <c r="X2314" t="s">
        <v>3297</v>
      </c>
      <c r="AF2314" t="s">
        <v>20143</v>
      </c>
      <c r="AG2314" t="s">
        <v>2786</v>
      </c>
      <c r="AI2314" t="s">
        <v>20144</v>
      </c>
      <c r="AM2314" t="s">
        <v>3298</v>
      </c>
      <c r="AN2314" t="s">
        <v>2274</v>
      </c>
      <c r="AO2314" t="s">
        <v>20145</v>
      </c>
      <c r="AP2314" t="s">
        <v>7024</v>
      </c>
      <c r="AQ2314" t="s">
        <v>20146</v>
      </c>
      <c r="AT2314" s="184">
        <v>35930</v>
      </c>
      <c r="AU2314" t="s">
        <v>20147</v>
      </c>
      <c r="AV2314">
        <v>25</v>
      </c>
      <c r="AW2314" s="184">
        <v>44586</v>
      </c>
      <c r="AX2314" t="s">
        <v>20148</v>
      </c>
      <c r="AY2314">
        <v>800</v>
      </c>
      <c r="AZ2314" s="184">
        <v>44586</v>
      </c>
      <c r="BA2314" t="s">
        <v>20148</v>
      </c>
      <c r="BB2314">
        <v>800</v>
      </c>
      <c r="BC2314">
        <v>78</v>
      </c>
      <c r="BD2314">
        <v>5200</v>
      </c>
      <c r="BE2314">
        <v>1998</v>
      </c>
      <c r="BF2314">
        <v>25</v>
      </c>
      <c r="BI2314">
        <v>21</v>
      </c>
      <c r="BJ2314">
        <v>27</v>
      </c>
      <c r="BK2314">
        <v>16</v>
      </c>
      <c r="BP2314" s="184"/>
    </row>
    <row r="2315" spans="1:68">
      <c r="A2315">
        <v>27852128</v>
      </c>
      <c r="B2315">
        <v>27852128</v>
      </c>
      <c r="C2315" t="s">
        <v>7018</v>
      </c>
      <c r="E2315" s="184"/>
      <c r="G2315" s="184"/>
      <c r="I2315" s="184"/>
      <c r="J2315" t="s">
        <v>595</v>
      </c>
      <c r="K2315" s="184">
        <v>37999</v>
      </c>
      <c r="M2315" s="184"/>
      <c r="P2315" t="s">
        <v>7045</v>
      </c>
      <c r="Q2315" t="s">
        <v>7383</v>
      </c>
      <c r="R2315" s="184">
        <v>13305</v>
      </c>
      <c r="S2315">
        <v>87</v>
      </c>
      <c r="U2315" t="s">
        <v>7076</v>
      </c>
      <c r="V2315" t="s">
        <v>3468</v>
      </c>
      <c r="X2315" t="s">
        <v>20149</v>
      </c>
      <c r="AF2315" t="s">
        <v>6739</v>
      </c>
      <c r="AG2315" t="s">
        <v>3468</v>
      </c>
      <c r="AI2315" t="s">
        <v>20150</v>
      </c>
      <c r="AM2315" t="s">
        <v>12659</v>
      </c>
      <c r="AN2315" t="s">
        <v>2313</v>
      </c>
      <c r="AO2315" t="s">
        <v>20151</v>
      </c>
      <c r="AP2315" t="s">
        <v>7024</v>
      </c>
      <c r="AT2315" s="184">
        <v>35930</v>
      </c>
      <c r="AU2315" t="s">
        <v>20152</v>
      </c>
      <c r="AV2315">
        <v>20</v>
      </c>
      <c r="AW2315" s="184">
        <v>35930</v>
      </c>
      <c r="AX2315" t="s">
        <v>20152</v>
      </c>
      <c r="AY2315">
        <v>20</v>
      </c>
      <c r="AZ2315" s="184">
        <v>35930</v>
      </c>
      <c r="BA2315" t="s">
        <v>20152</v>
      </c>
      <c r="BB2315">
        <v>20</v>
      </c>
      <c r="BC2315">
        <v>4</v>
      </c>
      <c r="BD2315">
        <v>20</v>
      </c>
      <c r="BE2315">
        <v>1998</v>
      </c>
      <c r="BF2315">
        <v>1</v>
      </c>
      <c r="BI2315">
        <v>1</v>
      </c>
      <c r="BJ2315">
        <v>27</v>
      </c>
      <c r="BK2315">
        <v>1</v>
      </c>
      <c r="BM2315" t="s">
        <v>595</v>
      </c>
      <c r="BO2315" t="s">
        <v>595</v>
      </c>
      <c r="BP2315" s="184">
        <v>44411</v>
      </c>
    </row>
    <row r="2316" spans="1:68">
      <c r="A2316">
        <v>27894195</v>
      </c>
      <c r="B2316">
        <v>27894195</v>
      </c>
      <c r="C2316" t="s">
        <v>7018</v>
      </c>
      <c r="E2316" s="184"/>
      <c r="G2316" s="184"/>
      <c r="I2316" s="184"/>
      <c r="J2316" t="s">
        <v>595</v>
      </c>
      <c r="K2316" s="184">
        <v>43649</v>
      </c>
      <c r="M2316" s="184"/>
      <c r="O2316" s="184"/>
      <c r="P2316" t="s">
        <v>7045</v>
      </c>
      <c r="Q2316" t="s">
        <v>7030</v>
      </c>
      <c r="R2316" s="184">
        <v>18045</v>
      </c>
      <c r="S2316">
        <v>74</v>
      </c>
      <c r="V2316" t="s">
        <v>3103</v>
      </c>
      <c r="X2316" t="s">
        <v>3112</v>
      </c>
      <c r="Z2316">
        <v>100073980</v>
      </c>
      <c r="AB2316" t="s">
        <v>2954</v>
      </c>
      <c r="AD2316" t="s">
        <v>20153</v>
      </c>
      <c r="AF2316" t="s">
        <v>6210</v>
      </c>
      <c r="AG2316" t="s">
        <v>20154</v>
      </c>
      <c r="AI2316" t="s">
        <v>20155</v>
      </c>
      <c r="AM2316" t="s">
        <v>3472</v>
      </c>
      <c r="AN2316" t="s">
        <v>2638</v>
      </c>
      <c r="AO2316" t="s">
        <v>20156</v>
      </c>
      <c r="AP2316" t="s">
        <v>7024</v>
      </c>
      <c r="AQ2316" t="s">
        <v>20157</v>
      </c>
      <c r="AR2316" t="s">
        <v>20158</v>
      </c>
      <c r="AT2316" s="184">
        <v>35941</v>
      </c>
      <c r="AU2316" t="s">
        <v>20159</v>
      </c>
      <c r="AV2316">
        <v>25</v>
      </c>
      <c r="AW2316" s="184">
        <v>45014</v>
      </c>
      <c r="AX2316" t="s">
        <v>20160</v>
      </c>
      <c r="AY2316">
        <v>150</v>
      </c>
      <c r="AZ2316" s="184">
        <v>43539</v>
      </c>
      <c r="BA2316" t="s">
        <v>20161</v>
      </c>
      <c r="BB2316">
        <v>250</v>
      </c>
      <c r="BC2316">
        <v>78</v>
      </c>
      <c r="BD2316">
        <v>2925</v>
      </c>
      <c r="BE2316">
        <v>1998</v>
      </c>
      <c r="BF2316">
        <v>25</v>
      </c>
      <c r="BG2316">
        <v>1</v>
      </c>
      <c r="BH2316">
        <v>150</v>
      </c>
      <c r="BI2316">
        <v>21</v>
      </c>
      <c r="BJ2316">
        <v>27</v>
      </c>
      <c r="BK2316">
        <v>7</v>
      </c>
      <c r="BP2316" s="184"/>
    </row>
    <row r="2317" spans="1:68">
      <c r="A2317">
        <v>100073980</v>
      </c>
      <c r="B2317">
        <v>27894195</v>
      </c>
      <c r="C2317" t="s">
        <v>7018</v>
      </c>
      <c r="E2317" s="184"/>
      <c r="G2317" s="184"/>
      <c r="I2317" s="184"/>
      <c r="J2317" t="s">
        <v>595</v>
      </c>
      <c r="K2317" s="184">
        <v>43649</v>
      </c>
      <c r="O2317" s="184"/>
      <c r="P2317" t="s">
        <v>7045</v>
      </c>
      <c r="Q2317" t="s">
        <v>7030</v>
      </c>
      <c r="R2317" s="184">
        <v>19562</v>
      </c>
      <c r="S2317">
        <v>70</v>
      </c>
      <c r="V2317" t="s">
        <v>2954</v>
      </c>
      <c r="X2317" t="s">
        <v>20153</v>
      </c>
      <c r="Z2317">
        <v>27894195</v>
      </c>
      <c r="AB2317" t="s">
        <v>3103</v>
      </c>
      <c r="AD2317" t="s">
        <v>3112</v>
      </c>
      <c r="AF2317" t="s">
        <v>6210</v>
      </c>
      <c r="AG2317" t="s">
        <v>20154</v>
      </c>
      <c r="AI2317" t="s">
        <v>20155</v>
      </c>
      <c r="AM2317" t="s">
        <v>3472</v>
      </c>
      <c r="AN2317" t="s">
        <v>2638</v>
      </c>
      <c r="AO2317" t="s">
        <v>20156</v>
      </c>
      <c r="AP2317" t="s">
        <v>7024</v>
      </c>
      <c r="AT2317" s="184"/>
      <c r="AW2317" s="184"/>
      <c r="AZ2317" s="184"/>
      <c r="BP2317" s="184"/>
    </row>
    <row r="2318" spans="1:68">
      <c r="A2318">
        <v>27910710</v>
      </c>
      <c r="B2318">
        <v>27910710</v>
      </c>
      <c r="C2318" t="s">
        <v>7018</v>
      </c>
      <c r="E2318" s="184"/>
      <c r="G2318" s="184"/>
      <c r="I2318" s="184"/>
      <c r="J2318" t="s">
        <v>595</v>
      </c>
      <c r="K2318" s="184">
        <v>38672</v>
      </c>
      <c r="O2318" s="184"/>
      <c r="P2318" t="s">
        <v>7045</v>
      </c>
      <c r="Q2318" t="s">
        <v>7454</v>
      </c>
      <c r="R2318" s="184"/>
      <c r="U2318" t="s">
        <v>7076</v>
      </c>
      <c r="V2318" t="s">
        <v>20162</v>
      </c>
      <c r="W2318" t="s">
        <v>8224</v>
      </c>
      <c r="X2318" t="s">
        <v>20163</v>
      </c>
      <c r="AF2318" t="s">
        <v>6581</v>
      </c>
      <c r="AG2318" t="s">
        <v>20162</v>
      </c>
      <c r="AI2318" t="s">
        <v>20164</v>
      </c>
      <c r="AM2318" t="s">
        <v>3750</v>
      </c>
      <c r="AN2318" t="s">
        <v>2055</v>
      </c>
      <c r="AO2318" t="s">
        <v>20165</v>
      </c>
      <c r="AP2318" t="s">
        <v>7024</v>
      </c>
      <c r="AT2318" s="184">
        <v>35944</v>
      </c>
      <c r="AU2318" t="s">
        <v>20166</v>
      </c>
      <c r="AV2318">
        <v>15</v>
      </c>
      <c r="AW2318" s="184">
        <v>40945</v>
      </c>
      <c r="AX2318" t="s">
        <v>20167</v>
      </c>
      <c r="AY2318">
        <v>25</v>
      </c>
      <c r="AZ2318" s="184">
        <v>36227</v>
      </c>
      <c r="BA2318" t="s">
        <v>20168</v>
      </c>
      <c r="BB2318">
        <v>60</v>
      </c>
      <c r="BC2318">
        <v>52</v>
      </c>
      <c r="BD2318">
        <v>540</v>
      </c>
      <c r="BE2318">
        <v>1998</v>
      </c>
      <c r="BF2318">
        <v>20</v>
      </c>
      <c r="BI2318">
        <v>14</v>
      </c>
      <c r="BJ2318">
        <v>27</v>
      </c>
      <c r="BK2318">
        <v>13</v>
      </c>
      <c r="BP2318" s="184"/>
    </row>
    <row r="2319" spans="1:68">
      <c r="A2319">
        <v>27922715</v>
      </c>
      <c r="B2319">
        <v>27922715</v>
      </c>
      <c r="C2319" t="s">
        <v>7018</v>
      </c>
      <c r="E2319" s="184"/>
      <c r="G2319" s="184"/>
      <c r="I2319" s="184"/>
      <c r="J2319" t="s">
        <v>595</v>
      </c>
      <c r="K2319" s="184">
        <v>44609</v>
      </c>
      <c r="O2319" s="184"/>
      <c r="P2319" t="s">
        <v>7686</v>
      </c>
      <c r="Q2319" t="s">
        <v>7262</v>
      </c>
      <c r="R2319" s="184">
        <v>20629</v>
      </c>
      <c r="S2319">
        <v>67</v>
      </c>
      <c r="U2319" t="s">
        <v>7031</v>
      </c>
      <c r="V2319" t="s">
        <v>4676</v>
      </c>
      <c r="W2319" t="s">
        <v>7963</v>
      </c>
      <c r="X2319" t="s">
        <v>20169</v>
      </c>
      <c r="AF2319" t="s">
        <v>20170</v>
      </c>
      <c r="AG2319" t="s">
        <v>4676</v>
      </c>
      <c r="AI2319" t="s">
        <v>20171</v>
      </c>
      <c r="AM2319" t="s">
        <v>7345</v>
      </c>
      <c r="AN2319" t="s">
        <v>65</v>
      </c>
      <c r="AO2319" t="s">
        <v>20172</v>
      </c>
      <c r="AP2319" t="s">
        <v>7024</v>
      </c>
      <c r="AQ2319" t="s">
        <v>20173</v>
      </c>
      <c r="AT2319" s="184">
        <v>35948</v>
      </c>
      <c r="AU2319" t="s">
        <v>20174</v>
      </c>
      <c r="AV2319">
        <v>25</v>
      </c>
      <c r="AW2319" s="184">
        <v>45337</v>
      </c>
      <c r="AX2319" t="s">
        <v>20175</v>
      </c>
      <c r="AY2319">
        <v>5000</v>
      </c>
      <c r="AZ2319" s="184">
        <v>45337</v>
      </c>
      <c r="BA2319" t="s">
        <v>20175</v>
      </c>
      <c r="BB2319">
        <v>5000</v>
      </c>
      <c r="BC2319">
        <v>93</v>
      </c>
      <c r="BD2319">
        <v>43107</v>
      </c>
      <c r="BE2319">
        <v>1998</v>
      </c>
      <c r="BF2319">
        <v>31</v>
      </c>
      <c r="BG2319">
        <v>2</v>
      </c>
      <c r="BH2319">
        <v>10000</v>
      </c>
      <c r="BI2319">
        <v>25</v>
      </c>
      <c r="BJ2319">
        <v>27</v>
      </c>
      <c r="BK2319">
        <v>13</v>
      </c>
      <c r="BP2319" s="184"/>
    </row>
    <row r="2320" spans="1:68">
      <c r="A2320">
        <v>27924323</v>
      </c>
      <c r="B2320">
        <v>27924323</v>
      </c>
      <c r="C2320" t="s">
        <v>7018</v>
      </c>
      <c r="D2320" t="s">
        <v>595</v>
      </c>
      <c r="E2320" s="184">
        <v>43642</v>
      </c>
      <c r="G2320" s="184"/>
      <c r="I2320" s="184"/>
      <c r="K2320" s="184"/>
      <c r="M2320" s="184"/>
      <c r="O2320" s="184"/>
      <c r="P2320" t="s">
        <v>7045</v>
      </c>
      <c r="Q2320" t="s">
        <v>7383</v>
      </c>
      <c r="R2320" s="184">
        <v>19862</v>
      </c>
      <c r="S2320">
        <v>69</v>
      </c>
      <c r="V2320" t="s">
        <v>3299</v>
      </c>
      <c r="X2320" t="s">
        <v>3300</v>
      </c>
      <c r="AF2320" t="s">
        <v>20176</v>
      </c>
      <c r="AG2320" t="s">
        <v>3299</v>
      </c>
      <c r="AI2320" t="s">
        <v>20177</v>
      </c>
      <c r="AM2320" t="s">
        <v>3301</v>
      </c>
      <c r="AN2320" t="s">
        <v>2313</v>
      </c>
      <c r="AO2320" t="s">
        <v>20178</v>
      </c>
      <c r="AP2320" t="s">
        <v>7024</v>
      </c>
      <c r="AT2320" s="184">
        <v>35948</v>
      </c>
      <c r="AU2320" t="s">
        <v>20147</v>
      </c>
      <c r="AV2320">
        <v>15</v>
      </c>
      <c r="AW2320" s="184">
        <v>44333</v>
      </c>
      <c r="AX2320" t="s">
        <v>20179</v>
      </c>
      <c r="AY2320">
        <v>65</v>
      </c>
      <c r="AZ2320" s="184">
        <v>44333</v>
      </c>
      <c r="BA2320" t="s">
        <v>20179</v>
      </c>
      <c r="BB2320">
        <v>65</v>
      </c>
      <c r="BC2320">
        <v>45</v>
      </c>
      <c r="BD2320">
        <v>550</v>
      </c>
      <c r="BE2320">
        <v>1998</v>
      </c>
      <c r="BF2320">
        <v>12</v>
      </c>
      <c r="BI2320">
        <v>12</v>
      </c>
      <c r="BJ2320">
        <v>27</v>
      </c>
      <c r="BK2320">
        <v>4</v>
      </c>
      <c r="BP2320" s="184"/>
    </row>
    <row r="2321" spans="1:68">
      <c r="A2321">
        <v>27932300</v>
      </c>
      <c r="B2321">
        <v>27932300</v>
      </c>
      <c r="C2321" t="s">
        <v>7018</v>
      </c>
      <c r="E2321" s="184"/>
      <c r="G2321" s="184"/>
      <c r="I2321" s="184"/>
      <c r="J2321" t="s">
        <v>595</v>
      </c>
      <c r="K2321" s="184">
        <v>44452</v>
      </c>
      <c r="O2321" s="184"/>
      <c r="P2321" t="s">
        <v>7045</v>
      </c>
      <c r="Q2321" t="s">
        <v>7160</v>
      </c>
      <c r="R2321" s="184">
        <v>17221</v>
      </c>
      <c r="S2321">
        <v>77</v>
      </c>
      <c r="U2321" t="s">
        <v>7130</v>
      </c>
      <c r="V2321" t="s">
        <v>20180</v>
      </c>
      <c r="X2321" t="s">
        <v>20181</v>
      </c>
      <c r="Z2321">
        <v>100074121</v>
      </c>
      <c r="AB2321" t="s">
        <v>2541</v>
      </c>
      <c r="AD2321" t="s">
        <v>20181</v>
      </c>
      <c r="AF2321" t="s">
        <v>20182</v>
      </c>
      <c r="AG2321" t="s">
        <v>20183</v>
      </c>
      <c r="AI2321" t="s">
        <v>20184</v>
      </c>
      <c r="AM2321" t="s">
        <v>4515</v>
      </c>
      <c r="AN2321" t="s">
        <v>2395</v>
      </c>
      <c r="AO2321" t="s">
        <v>20185</v>
      </c>
      <c r="AP2321" t="s">
        <v>7024</v>
      </c>
      <c r="AQ2321" t="s">
        <v>20186</v>
      </c>
      <c r="AR2321" t="s">
        <v>20187</v>
      </c>
      <c r="AT2321" s="184">
        <v>35954</v>
      </c>
      <c r="AU2321" t="s">
        <v>20188</v>
      </c>
      <c r="AV2321">
        <v>25</v>
      </c>
      <c r="AW2321" s="184">
        <v>44196</v>
      </c>
      <c r="AX2321" t="s">
        <v>9633</v>
      </c>
      <c r="AY2321">
        <v>100</v>
      </c>
      <c r="AZ2321" s="184">
        <v>44196</v>
      </c>
      <c r="BA2321" t="s">
        <v>9633</v>
      </c>
      <c r="BB2321">
        <v>100</v>
      </c>
      <c r="BC2321">
        <v>23</v>
      </c>
      <c r="BD2321">
        <v>290</v>
      </c>
      <c r="BE2321">
        <v>1998</v>
      </c>
      <c r="BF2321">
        <v>8</v>
      </c>
      <c r="BI2321">
        <v>6</v>
      </c>
      <c r="BJ2321">
        <v>27</v>
      </c>
      <c r="BK2321">
        <v>4</v>
      </c>
      <c r="BP2321" s="184"/>
    </row>
    <row r="2322" spans="1:68">
      <c r="A2322">
        <v>100074121</v>
      </c>
      <c r="B2322">
        <v>27932300</v>
      </c>
      <c r="C2322" t="s">
        <v>7018</v>
      </c>
      <c r="E2322" s="184"/>
      <c r="G2322" s="184"/>
      <c r="I2322" s="184"/>
      <c r="J2322" t="s">
        <v>595</v>
      </c>
      <c r="K2322" s="184">
        <v>44452</v>
      </c>
      <c r="O2322" s="184"/>
      <c r="P2322" t="s">
        <v>7045</v>
      </c>
      <c r="Q2322" t="s">
        <v>7160</v>
      </c>
      <c r="R2322" s="184">
        <v>16501</v>
      </c>
      <c r="S2322">
        <v>79</v>
      </c>
      <c r="V2322" t="s">
        <v>2541</v>
      </c>
      <c r="X2322" t="s">
        <v>20181</v>
      </c>
      <c r="Z2322">
        <v>27932300</v>
      </c>
      <c r="AA2322" t="s">
        <v>7130</v>
      </c>
      <c r="AB2322" t="s">
        <v>20180</v>
      </c>
      <c r="AD2322" t="s">
        <v>20181</v>
      </c>
      <c r="AF2322" t="s">
        <v>20182</v>
      </c>
      <c r="AG2322" t="s">
        <v>20183</v>
      </c>
      <c r="AI2322" t="s">
        <v>20184</v>
      </c>
      <c r="AM2322" t="s">
        <v>4515</v>
      </c>
      <c r="AN2322" t="s">
        <v>2395</v>
      </c>
      <c r="AO2322" t="s">
        <v>20185</v>
      </c>
      <c r="AP2322" t="s">
        <v>7024</v>
      </c>
      <c r="AT2322" s="184"/>
      <c r="AW2322" s="184"/>
      <c r="AZ2322" s="184"/>
    </row>
    <row r="2323" spans="1:68">
      <c r="A2323">
        <v>27949262</v>
      </c>
      <c r="B2323">
        <v>27949262</v>
      </c>
      <c r="C2323" t="s">
        <v>7018</v>
      </c>
      <c r="D2323" t="s">
        <v>595</v>
      </c>
      <c r="E2323" s="184">
        <v>44070</v>
      </c>
      <c r="G2323" s="184"/>
      <c r="H2323" t="s">
        <v>595</v>
      </c>
      <c r="I2323" s="184">
        <v>44328</v>
      </c>
      <c r="K2323" s="184"/>
      <c r="M2323" s="184"/>
      <c r="O2323" s="184"/>
      <c r="P2323" t="s">
        <v>7045</v>
      </c>
      <c r="Q2323" t="s">
        <v>7262</v>
      </c>
      <c r="R2323" s="184">
        <v>14535</v>
      </c>
      <c r="S2323">
        <v>84</v>
      </c>
      <c r="V2323" t="s">
        <v>4892</v>
      </c>
      <c r="X2323" t="s">
        <v>4893</v>
      </c>
      <c r="AF2323" t="s">
        <v>20189</v>
      </c>
      <c r="AG2323" t="s">
        <v>4892</v>
      </c>
      <c r="AI2323" t="s">
        <v>20190</v>
      </c>
      <c r="AM2323" t="s">
        <v>3205</v>
      </c>
      <c r="AN2323" t="s">
        <v>2106</v>
      </c>
      <c r="AO2323" t="s">
        <v>20191</v>
      </c>
      <c r="AP2323" t="s">
        <v>7024</v>
      </c>
      <c r="AQ2323" t="s">
        <v>20192</v>
      </c>
      <c r="AT2323" s="184">
        <v>35961</v>
      </c>
      <c r="AU2323" t="s">
        <v>20193</v>
      </c>
      <c r="AV2323">
        <v>25</v>
      </c>
      <c r="AW2323" s="184">
        <v>44894</v>
      </c>
      <c r="AX2323" t="s">
        <v>20194</v>
      </c>
      <c r="AY2323">
        <v>10</v>
      </c>
      <c r="AZ2323" s="184">
        <v>41282</v>
      </c>
      <c r="BA2323" t="s">
        <v>14525</v>
      </c>
      <c r="BB2323">
        <v>50</v>
      </c>
      <c r="BC2323">
        <v>60</v>
      </c>
      <c r="BD2323">
        <v>1660</v>
      </c>
      <c r="BE2323">
        <v>1998</v>
      </c>
      <c r="BF2323">
        <v>133</v>
      </c>
      <c r="BG2323">
        <v>8</v>
      </c>
      <c r="BH2323">
        <v>80</v>
      </c>
      <c r="BI2323">
        <v>16</v>
      </c>
      <c r="BJ2323">
        <v>27</v>
      </c>
      <c r="BK2323">
        <v>11</v>
      </c>
      <c r="BP2323" s="184"/>
    </row>
    <row r="2324" spans="1:68">
      <c r="A2324">
        <v>27952902</v>
      </c>
      <c r="B2324">
        <v>27952902</v>
      </c>
      <c r="C2324" t="s">
        <v>7018</v>
      </c>
      <c r="D2324" t="s">
        <v>595</v>
      </c>
      <c r="E2324" s="184">
        <v>44167</v>
      </c>
      <c r="G2324" s="184"/>
      <c r="I2324" s="184"/>
      <c r="K2324" s="184"/>
      <c r="M2324" s="184"/>
      <c r="O2324" s="184"/>
      <c r="P2324" t="s">
        <v>7045</v>
      </c>
      <c r="Q2324" t="s">
        <v>7020</v>
      </c>
      <c r="R2324" s="184">
        <v>10600</v>
      </c>
      <c r="S2324">
        <v>95</v>
      </c>
      <c r="V2324" t="s">
        <v>3179</v>
      </c>
      <c r="X2324" t="s">
        <v>20195</v>
      </c>
      <c r="AF2324" t="s">
        <v>20196</v>
      </c>
      <c r="AG2324" t="s">
        <v>3179</v>
      </c>
      <c r="AI2324" t="s">
        <v>20197</v>
      </c>
      <c r="AM2324" t="s">
        <v>20198</v>
      </c>
      <c r="AN2324" t="s">
        <v>2129</v>
      </c>
      <c r="AO2324" t="s">
        <v>20199</v>
      </c>
      <c r="AP2324" t="s">
        <v>7024</v>
      </c>
      <c r="AT2324" s="184">
        <v>35961</v>
      </c>
      <c r="AU2324" t="s">
        <v>20200</v>
      </c>
      <c r="AV2324">
        <v>25</v>
      </c>
      <c r="AW2324" s="184">
        <v>43712</v>
      </c>
      <c r="AX2324" t="s">
        <v>20201</v>
      </c>
      <c r="AY2324">
        <v>100</v>
      </c>
      <c r="AZ2324" s="184">
        <v>43712</v>
      </c>
      <c r="BA2324" t="s">
        <v>20201</v>
      </c>
      <c r="BB2324">
        <v>100</v>
      </c>
      <c r="BC2324">
        <v>78</v>
      </c>
      <c r="BD2324">
        <v>1950</v>
      </c>
      <c r="BE2324">
        <v>1998</v>
      </c>
      <c r="BF2324">
        <v>32</v>
      </c>
      <c r="BI2324">
        <v>21</v>
      </c>
      <c r="BJ2324">
        <v>27</v>
      </c>
      <c r="BK2324">
        <v>20</v>
      </c>
      <c r="BP2324" s="184"/>
    </row>
    <row r="2325" spans="1:68">
      <c r="A2325">
        <v>27970953</v>
      </c>
      <c r="B2325">
        <v>27970953</v>
      </c>
      <c r="C2325" t="s">
        <v>7018</v>
      </c>
      <c r="D2325" t="s">
        <v>595</v>
      </c>
      <c r="E2325" s="184">
        <v>45125</v>
      </c>
      <c r="G2325" s="184"/>
      <c r="I2325" s="184"/>
      <c r="K2325" s="184"/>
      <c r="M2325" s="184"/>
      <c r="O2325" s="184"/>
      <c r="P2325" t="s">
        <v>7045</v>
      </c>
      <c r="Q2325" t="s">
        <v>7020</v>
      </c>
      <c r="R2325" s="184">
        <v>13516</v>
      </c>
      <c r="S2325">
        <v>87</v>
      </c>
      <c r="V2325" t="s">
        <v>2863</v>
      </c>
      <c r="X2325" t="s">
        <v>20202</v>
      </c>
      <c r="AF2325" t="s">
        <v>20203</v>
      </c>
      <c r="AG2325" t="s">
        <v>2863</v>
      </c>
      <c r="AI2325" t="s">
        <v>20204</v>
      </c>
      <c r="AM2325" t="s">
        <v>3439</v>
      </c>
      <c r="AN2325" t="s">
        <v>2112</v>
      </c>
      <c r="AO2325" t="s">
        <v>20205</v>
      </c>
      <c r="AP2325" t="s">
        <v>7024</v>
      </c>
      <c r="AQ2325" t="s">
        <v>20206</v>
      </c>
      <c r="AT2325" s="184">
        <v>35965</v>
      </c>
      <c r="AU2325" t="s">
        <v>20207</v>
      </c>
      <c r="AV2325">
        <v>25</v>
      </c>
      <c r="AW2325" s="184">
        <v>44939</v>
      </c>
      <c r="AX2325" t="s">
        <v>20208</v>
      </c>
      <c r="AY2325">
        <v>25</v>
      </c>
      <c r="AZ2325" s="184">
        <v>44939</v>
      </c>
      <c r="BA2325" t="s">
        <v>20208</v>
      </c>
      <c r="BB2325">
        <v>25</v>
      </c>
      <c r="BC2325">
        <v>19</v>
      </c>
      <c r="BD2325">
        <v>145</v>
      </c>
      <c r="BE2325">
        <v>1998</v>
      </c>
      <c r="BF2325">
        <v>6</v>
      </c>
      <c r="BG2325">
        <v>1</v>
      </c>
      <c r="BH2325">
        <v>25</v>
      </c>
      <c r="BI2325">
        <v>5</v>
      </c>
      <c r="BJ2325">
        <v>27</v>
      </c>
      <c r="BK2325">
        <v>2</v>
      </c>
      <c r="BP2325" s="184"/>
    </row>
    <row r="2326" spans="1:68">
      <c r="A2326">
        <v>27976679</v>
      </c>
      <c r="B2326">
        <v>27976679</v>
      </c>
      <c r="C2326" t="s">
        <v>7018</v>
      </c>
      <c r="D2326" t="s">
        <v>595</v>
      </c>
      <c r="E2326" s="184">
        <v>44104</v>
      </c>
      <c r="G2326" s="184"/>
      <c r="H2326" t="s">
        <v>595</v>
      </c>
      <c r="I2326" s="184">
        <v>44109</v>
      </c>
      <c r="K2326" s="184"/>
      <c r="O2326" s="184"/>
      <c r="P2326" t="s">
        <v>7029</v>
      </c>
      <c r="Q2326" t="s">
        <v>7383</v>
      </c>
      <c r="R2326" s="184">
        <v>20576</v>
      </c>
      <c r="S2326">
        <v>68</v>
      </c>
      <c r="V2326" t="s">
        <v>2841</v>
      </c>
      <c r="X2326" t="s">
        <v>5012</v>
      </c>
      <c r="AF2326" t="s">
        <v>20209</v>
      </c>
      <c r="AG2326" t="s">
        <v>2841</v>
      </c>
      <c r="AI2326" t="s">
        <v>20210</v>
      </c>
      <c r="AM2326" t="s">
        <v>2830</v>
      </c>
      <c r="AN2326" t="s">
        <v>2185</v>
      </c>
      <c r="AO2326" t="s">
        <v>20211</v>
      </c>
      <c r="AP2326" t="s">
        <v>7024</v>
      </c>
      <c r="AQ2326" t="s">
        <v>20212</v>
      </c>
      <c r="AT2326" s="184">
        <v>35968</v>
      </c>
      <c r="AU2326" t="s">
        <v>20213</v>
      </c>
      <c r="AV2326">
        <v>25</v>
      </c>
      <c r="AW2326" s="184">
        <v>44872</v>
      </c>
      <c r="AX2326" t="s">
        <v>20214</v>
      </c>
      <c r="AY2326">
        <v>100</v>
      </c>
      <c r="AZ2326" s="184">
        <v>44530</v>
      </c>
      <c r="BA2326" t="s">
        <v>20215</v>
      </c>
      <c r="BB2326">
        <v>1000</v>
      </c>
      <c r="BC2326">
        <v>89</v>
      </c>
      <c r="BD2326">
        <v>9285</v>
      </c>
      <c r="BE2326">
        <v>1998</v>
      </c>
      <c r="BF2326">
        <v>46</v>
      </c>
      <c r="BG2326">
        <v>1</v>
      </c>
      <c r="BH2326">
        <v>100</v>
      </c>
      <c r="BI2326">
        <v>24</v>
      </c>
      <c r="BJ2326">
        <v>27</v>
      </c>
      <c r="BK2326">
        <v>20</v>
      </c>
      <c r="BP2326" s="184"/>
    </row>
    <row r="2327" spans="1:68">
      <c r="A2327">
        <v>27981042</v>
      </c>
      <c r="B2327">
        <v>27981042</v>
      </c>
      <c r="C2327" t="s">
        <v>7018</v>
      </c>
      <c r="E2327" s="184"/>
      <c r="G2327" s="184"/>
      <c r="I2327" s="184"/>
      <c r="J2327" t="s">
        <v>595</v>
      </c>
      <c r="K2327" s="184">
        <v>43801</v>
      </c>
      <c r="M2327" s="184"/>
      <c r="O2327" s="184"/>
      <c r="P2327" t="s">
        <v>7045</v>
      </c>
      <c r="Q2327" t="s">
        <v>7374</v>
      </c>
      <c r="R2327" s="184">
        <v>27395</v>
      </c>
      <c r="S2327">
        <v>49</v>
      </c>
      <c r="U2327" t="s">
        <v>7076</v>
      </c>
      <c r="V2327" t="s">
        <v>4300</v>
      </c>
      <c r="W2327" t="s">
        <v>7085</v>
      </c>
      <c r="X2327" t="s">
        <v>4301</v>
      </c>
      <c r="AF2327" t="s">
        <v>6452</v>
      </c>
      <c r="AG2327" t="s">
        <v>4300</v>
      </c>
      <c r="AI2327" t="s">
        <v>20216</v>
      </c>
      <c r="AM2327" t="s">
        <v>4302</v>
      </c>
      <c r="AN2327" t="s">
        <v>2081</v>
      </c>
      <c r="AO2327" t="s">
        <v>20217</v>
      </c>
      <c r="AP2327" t="s">
        <v>7024</v>
      </c>
      <c r="AQ2327" t="s">
        <v>20218</v>
      </c>
      <c r="AT2327" s="184">
        <v>35968</v>
      </c>
      <c r="AU2327" t="s">
        <v>20219</v>
      </c>
      <c r="AV2327">
        <v>20</v>
      </c>
      <c r="AW2327" s="184">
        <v>45134</v>
      </c>
      <c r="AX2327" t="s">
        <v>7832</v>
      </c>
      <c r="AY2327">
        <v>100</v>
      </c>
      <c r="AZ2327" s="184">
        <v>45134</v>
      </c>
      <c r="BA2327" t="s">
        <v>7832</v>
      </c>
      <c r="BB2327">
        <v>100</v>
      </c>
      <c r="BC2327">
        <v>86</v>
      </c>
      <c r="BD2327">
        <v>1269</v>
      </c>
      <c r="BE2327">
        <v>1998</v>
      </c>
      <c r="BF2327">
        <v>23</v>
      </c>
      <c r="BG2327">
        <v>2</v>
      </c>
      <c r="BH2327">
        <v>175</v>
      </c>
      <c r="BI2327">
        <v>23</v>
      </c>
      <c r="BJ2327">
        <v>27</v>
      </c>
      <c r="BK2327">
        <v>19</v>
      </c>
      <c r="BP2327" s="184"/>
    </row>
    <row r="2328" spans="1:68">
      <c r="A2328">
        <v>27990126</v>
      </c>
      <c r="B2328">
        <v>27990126</v>
      </c>
      <c r="C2328" t="s">
        <v>7018</v>
      </c>
      <c r="E2328" s="184"/>
      <c r="G2328" s="184"/>
      <c r="H2328" t="s">
        <v>595</v>
      </c>
      <c r="I2328" s="184">
        <v>44071</v>
      </c>
      <c r="K2328" s="184"/>
      <c r="M2328" s="184"/>
      <c r="O2328" s="184"/>
      <c r="P2328" t="s">
        <v>7045</v>
      </c>
      <c r="Q2328" t="s">
        <v>7020</v>
      </c>
      <c r="R2328" s="184">
        <v>18142</v>
      </c>
      <c r="S2328">
        <v>74</v>
      </c>
      <c r="U2328" t="s">
        <v>7032</v>
      </c>
      <c r="V2328" t="s">
        <v>3468</v>
      </c>
      <c r="W2328" t="s">
        <v>7560</v>
      </c>
      <c r="X2328" t="s">
        <v>4904</v>
      </c>
      <c r="Z2328">
        <v>100074307</v>
      </c>
      <c r="AA2328" t="s">
        <v>7032</v>
      </c>
      <c r="AB2328" t="s">
        <v>4303</v>
      </c>
      <c r="AD2328" t="s">
        <v>4904</v>
      </c>
      <c r="AF2328" t="s">
        <v>20220</v>
      </c>
      <c r="AG2328" t="s">
        <v>20221</v>
      </c>
      <c r="AI2328" t="s">
        <v>20222</v>
      </c>
      <c r="AJ2328" t="s">
        <v>2196</v>
      </c>
      <c r="AM2328" t="s">
        <v>4905</v>
      </c>
      <c r="AN2328" t="s">
        <v>2052</v>
      </c>
      <c r="AO2328">
        <v>1945</v>
      </c>
      <c r="AP2328" t="s">
        <v>7024</v>
      </c>
      <c r="AQ2328" t="s">
        <v>20223</v>
      </c>
      <c r="AR2328" t="s">
        <v>20224</v>
      </c>
      <c r="AT2328" s="184">
        <v>31131</v>
      </c>
      <c r="AU2328" t="s">
        <v>20225</v>
      </c>
      <c r="AV2328">
        <v>18</v>
      </c>
      <c r="AW2328" s="184">
        <v>45412</v>
      </c>
      <c r="AX2328" t="s">
        <v>7429</v>
      </c>
      <c r="AY2328">
        <v>10</v>
      </c>
      <c r="AZ2328" s="184">
        <v>43788</v>
      </c>
      <c r="BA2328" t="s">
        <v>20226</v>
      </c>
      <c r="BB2328">
        <v>100</v>
      </c>
      <c r="BC2328">
        <v>98</v>
      </c>
      <c r="BD2328">
        <v>4205</v>
      </c>
      <c r="BE2328">
        <v>1985</v>
      </c>
      <c r="BF2328">
        <v>218</v>
      </c>
      <c r="BG2328">
        <v>24</v>
      </c>
      <c r="BH2328">
        <v>240</v>
      </c>
      <c r="BI2328">
        <v>39</v>
      </c>
      <c r="BJ2328">
        <v>40</v>
      </c>
      <c r="BK2328">
        <v>20</v>
      </c>
      <c r="BP2328" s="184"/>
    </row>
    <row r="2329" spans="1:68">
      <c r="A2329">
        <v>100074307</v>
      </c>
      <c r="B2329">
        <v>27990126</v>
      </c>
      <c r="C2329" t="s">
        <v>7018</v>
      </c>
      <c r="E2329" s="184"/>
      <c r="G2329" s="184"/>
      <c r="H2329" t="s">
        <v>595</v>
      </c>
      <c r="I2329" s="184">
        <v>44071</v>
      </c>
      <c r="K2329" s="184"/>
      <c r="M2329" s="184"/>
      <c r="O2329" s="184"/>
      <c r="P2329" t="s">
        <v>7045</v>
      </c>
      <c r="Q2329" t="s">
        <v>7020</v>
      </c>
      <c r="R2329" s="184">
        <v>17441</v>
      </c>
      <c r="S2329">
        <v>76</v>
      </c>
      <c r="U2329" t="s">
        <v>7032</v>
      </c>
      <c r="V2329" t="s">
        <v>4303</v>
      </c>
      <c r="X2329" t="s">
        <v>4904</v>
      </c>
      <c r="Z2329">
        <v>27990126</v>
      </c>
      <c r="AA2329" t="s">
        <v>7032</v>
      </c>
      <c r="AB2329" t="s">
        <v>3468</v>
      </c>
      <c r="AC2329" t="s">
        <v>7560</v>
      </c>
      <c r="AD2329" t="s">
        <v>4904</v>
      </c>
      <c r="AF2329" t="s">
        <v>20220</v>
      </c>
      <c r="AG2329" t="s">
        <v>20221</v>
      </c>
      <c r="AI2329" t="s">
        <v>20222</v>
      </c>
      <c r="AJ2329" t="s">
        <v>2196</v>
      </c>
      <c r="AM2329" t="s">
        <v>4905</v>
      </c>
      <c r="AN2329" t="s">
        <v>2052</v>
      </c>
      <c r="AO2329">
        <v>1945</v>
      </c>
      <c r="AP2329" t="s">
        <v>7024</v>
      </c>
      <c r="AT2329" s="184"/>
      <c r="AW2329" s="184"/>
      <c r="AZ2329" s="184"/>
      <c r="BP2329" s="184"/>
    </row>
    <row r="2330" spans="1:68">
      <c r="A2330">
        <v>27991744</v>
      </c>
      <c r="B2330">
        <v>27991744</v>
      </c>
      <c r="C2330" t="s">
        <v>7018</v>
      </c>
      <c r="E2330" s="184"/>
      <c r="G2330" s="184"/>
      <c r="I2330" s="184"/>
      <c r="K2330" s="184"/>
      <c r="N2330" t="s">
        <v>595</v>
      </c>
      <c r="O2330" s="184">
        <v>44747</v>
      </c>
      <c r="P2330" t="s">
        <v>7045</v>
      </c>
      <c r="Q2330" t="s">
        <v>7383</v>
      </c>
      <c r="R2330" s="184">
        <v>14314</v>
      </c>
      <c r="S2330">
        <v>85</v>
      </c>
      <c r="U2330" t="s">
        <v>7076</v>
      </c>
      <c r="V2330" t="s">
        <v>3220</v>
      </c>
      <c r="X2330" t="s">
        <v>20227</v>
      </c>
      <c r="AF2330" t="s">
        <v>20228</v>
      </c>
      <c r="AG2330" t="s">
        <v>3220</v>
      </c>
      <c r="AI2330" t="s">
        <v>20229</v>
      </c>
      <c r="AM2330" t="s">
        <v>2823</v>
      </c>
      <c r="AN2330" t="s">
        <v>2059</v>
      </c>
      <c r="AO2330" t="s">
        <v>20230</v>
      </c>
      <c r="AP2330" t="s">
        <v>7024</v>
      </c>
      <c r="AQ2330" t="s">
        <v>20231</v>
      </c>
      <c r="AT2330" s="184">
        <v>35968</v>
      </c>
      <c r="AU2330" t="s">
        <v>20232</v>
      </c>
      <c r="AV2330">
        <v>48.95</v>
      </c>
      <c r="AW2330" s="184">
        <v>45343</v>
      </c>
      <c r="AX2330" t="s">
        <v>20233</v>
      </c>
      <c r="AY2330">
        <v>285</v>
      </c>
      <c r="AZ2330" s="184">
        <v>44742</v>
      </c>
      <c r="BA2330" t="s">
        <v>20234</v>
      </c>
      <c r="BB2330">
        <v>49740</v>
      </c>
      <c r="BC2330">
        <v>93</v>
      </c>
      <c r="BD2330">
        <v>53219.95</v>
      </c>
      <c r="BE2330">
        <v>1998</v>
      </c>
      <c r="BF2330">
        <v>28</v>
      </c>
      <c r="BG2330">
        <v>3</v>
      </c>
      <c r="BH2330">
        <v>50215</v>
      </c>
      <c r="BI2330">
        <v>25</v>
      </c>
      <c r="BJ2330">
        <v>27</v>
      </c>
      <c r="BK2330">
        <v>16</v>
      </c>
      <c r="BP2330" s="184"/>
    </row>
    <row r="2331" spans="1:68">
      <c r="A2331">
        <v>28047314</v>
      </c>
      <c r="B2331">
        <v>28047314</v>
      </c>
      <c r="C2331" t="s">
        <v>7018</v>
      </c>
      <c r="D2331" t="s">
        <v>595</v>
      </c>
      <c r="E2331" s="184">
        <v>44104</v>
      </c>
      <c r="F2331" t="s">
        <v>595</v>
      </c>
      <c r="G2331" s="184">
        <v>44649</v>
      </c>
      <c r="I2331" s="184"/>
      <c r="K2331" s="184"/>
      <c r="O2331" s="184"/>
      <c r="P2331" t="s">
        <v>7029</v>
      </c>
      <c r="Q2331" t="s">
        <v>7020</v>
      </c>
      <c r="R2331" s="184">
        <v>17172</v>
      </c>
      <c r="S2331">
        <v>77</v>
      </c>
      <c r="U2331" t="s">
        <v>7031</v>
      </c>
      <c r="V2331" t="s">
        <v>2871</v>
      </c>
      <c r="X2331" t="s">
        <v>20235</v>
      </c>
      <c r="AF2331" t="s">
        <v>20236</v>
      </c>
      <c r="AG2331" t="s">
        <v>2871</v>
      </c>
      <c r="AI2331" t="s">
        <v>20237</v>
      </c>
      <c r="AM2331" t="s">
        <v>5519</v>
      </c>
      <c r="AN2331" t="s">
        <v>2465</v>
      </c>
      <c r="AO2331" t="s">
        <v>20238</v>
      </c>
      <c r="AP2331" t="s">
        <v>7024</v>
      </c>
      <c r="AQ2331" t="s">
        <v>20239</v>
      </c>
      <c r="AT2331" s="184">
        <v>35984</v>
      </c>
      <c r="AU2331" t="s">
        <v>20240</v>
      </c>
      <c r="AV2331">
        <v>15</v>
      </c>
      <c r="AW2331" s="184">
        <v>44813</v>
      </c>
      <c r="AX2331" t="s">
        <v>17980</v>
      </c>
      <c r="AY2331">
        <v>600</v>
      </c>
      <c r="AZ2331" s="184">
        <v>44495</v>
      </c>
      <c r="BA2331" t="s">
        <v>7851</v>
      </c>
      <c r="BB2331">
        <v>1000</v>
      </c>
      <c r="BC2331">
        <v>86</v>
      </c>
      <c r="BD2331">
        <v>4125</v>
      </c>
      <c r="BE2331">
        <v>1999</v>
      </c>
      <c r="BF2331">
        <v>31</v>
      </c>
      <c r="BG2331">
        <v>1</v>
      </c>
      <c r="BH2331">
        <v>600</v>
      </c>
      <c r="BI2331">
        <v>23</v>
      </c>
      <c r="BJ2331">
        <v>27</v>
      </c>
      <c r="BK2331">
        <v>20</v>
      </c>
      <c r="BN2331" t="s">
        <v>595</v>
      </c>
      <c r="BP2331" s="184"/>
    </row>
    <row r="2332" spans="1:68">
      <c r="A2332">
        <v>28063063</v>
      </c>
      <c r="B2332">
        <v>28063063</v>
      </c>
      <c r="C2332" t="s">
        <v>7018</v>
      </c>
      <c r="E2332" s="184"/>
      <c r="G2332" s="184"/>
      <c r="I2332" s="184"/>
      <c r="J2332" t="s">
        <v>595</v>
      </c>
      <c r="K2332" s="184">
        <v>38190</v>
      </c>
      <c r="M2332" s="184"/>
      <c r="O2332" s="184"/>
      <c r="P2332" t="s">
        <v>7045</v>
      </c>
      <c r="Q2332" t="s">
        <v>7030</v>
      </c>
      <c r="R2332" s="184">
        <v>17593</v>
      </c>
      <c r="S2332">
        <v>76</v>
      </c>
      <c r="V2332" t="s">
        <v>20241</v>
      </c>
      <c r="W2332" t="s">
        <v>7560</v>
      </c>
      <c r="X2332" t="s">
        <v>20242</v>
      </c>
      <c r="AF2332" t="s">
        <v>20243</v>
      </c>
      <c r="AG2332" t="s">
        <v>20241</v>
      </c>
      <c r="AI2332" t="s">
        <v>20244</v>
      </c>
      <c r="AM2332" t="s">
        <v>2658</v>
      </c>
      <c r="AN2332" t="s">
        <v>2089</v>
      </c>
      <c r="AO2332" t="s">
        <v>20245</v>
      </c>
      <c r="AP2332" t="s">
        <v>7024</v>
      </c>
      <c r="AQ2332" t="s">
        <v>20246</v>
      </c>
      <c r="AT2332" s="184">
        <v>35986</v>
      </c>
      <c r="AU2332" t="s">
        <v>20247</v>
      </c>
      <c r="AV2332">
        <v>25</v>
      </c>
      <c r="AW2332" s="184">
        <v>43320</v>
      </c>
      <c r="AX2332" t="s">
        <v>20248</v>
      </c>
      <c r="AY2332">
        <v>50</v>
      </c>
      <c r="AZ2332" s="184">
        <v>38936</v>
      </c>
      <c r="BA2332" t="s">
        <v>20249</v>
      </c>
      <c r="BB2332">
        <v>75</v>
      </c>
      <c r="BC2332">
        <v>63</v>
      </c>
      <c r="BD2332">
        <v>930</v>
      </c>
      <c r="BE2332">
        <v>1999</v>
      </c>
      <c r="BF2332">
        <v>22</v>
      </c>
      <c r="BI2332">
        <v>17</v>
      </c>
      <c r="BJ2332">
        <v>27</v>
      </c>
      <c r="BK2332">
        <v>9</v>
      </c>
      <c r="BP2332" s="184"/>
    </row>
    <row r="2333" spans="1:68">
      <c r="A2333">
        <v>28084523</v>
      </c>
      <c r="B2333">
        <v>28084523</v>
      </c>
      <c r="C2333" t="s">
        <v>7018</v>
      </c>
      <c r="E2333" s="184"/>
      <c r="G2333" s="184"/>
      <c r="I2333" s="184"/>
      <c r="J2333" t="s">
        <v>595</v>
      </c>
      <c r="K2333" s="184">
        <v>44783</v>
      </c>
      <c r="M2333" s="184"/>
      <c r="O2333" s="184"/>
      <c r="P2333" t="s">
        <v>7029</v>
      </c>
      <c r="Q2333" t="s">
        <v>7020</v>
      </c>
      <c r="R2333" s="184">
        <v>15219</v>
      </c>
      <c r="S2333">
        <v>82</v>
      </c>
      <c r="V2333" t="s">
        <v>4303</v>
      </c>
      <c r="X2333" t="s">
        <v>20250</v>
      </c>
      <c r="Z2333">
        <v>100074612</v>
      </c>
      <c r="AB2333" t="s">
        <v>20251</v>
      </c>
      <c r="AC2333" t="s">
        <v>5006</v>
      </c>
      <c r="AD2333" t="s">
        <v>3201</v>
      </c>
      <c r="AF2333" t="s">
        <v>20252</v>
      </c>
      <c r="AG2333" t="s">
        <v>20253</v>
      </c>
      <c r="AI2333" t="s">
        <v>20254</v>
      </c>
      <c r="AM2333" t="s">
        <v>13790</v>
      </c>
      <c r="AN2333" t="s">
        <v>2052</v>
      </c>
      <c r="AO2333" t="s">
        <v>20255</v>
      </c>
      <c r="AP2333" t="s">
        <v>7024</v>
      </c>
      <c r="AT2333" s="184">
        <v>33129</v>
      </c>
      <c r="AU2333" t="s">
        <v>20256</v>
      </c>
      <c r="AV2333">
        <v>15</v>
      </c>
      <c r="AW2333" s="184">
        <v>43826</v>
      </c>
      <c r="AX2333" t="s">
        <v>20257</v>
      </c>
      <c r="AY2333">
        <v>500</v>
      </c>
      <c r="AZ2333" s="184">
        <v>43826</v>
      </c>
      <c r="BA2333" t="s">
        <v>20257</v>
      </c>
      <c r="BB2333">
        <v>500</v>
      </c>
      <c r="BC2333">
        <v>86</v>
      </c>
      <c r="BD2333">
        <v>9260</v>
      </c>
      <c r="BE2333">
        <v>1991</v>
      </c>
      <c r="BF2333">
        <v>47</v>
      </c>
      <c r="BI2333">
        <v>30</v>
      </c>
      <c r="BJ2333">
        <v>35</v>
      </c>
      <c r="BK2333">
        <v>30</v>
      </c>
      <c r="BN2333" t="s">
        <v>595</v>
      </c>
      <c r="BP2333" s="184"/>
    </row>
    <row r="2334" spans="1:68">
      <c r="A2334">
        <v>100074612</v>
      </c>
      <c r="B2334">
        <v>28084523</v>
      </c>
      <c r="C2334" t="s">
        <v>7018</v>
      </c>
      <c r="E2334" s="184"/>
      <c r="G2334" s="184"/>
      <c r="I2334" s="184"/>
      <c r="J2334" t="s">
        <v>595</v>
      </c>
      <c r="K2334" s="184">
        <v>44783</v>
      </c>
      <c r="O2334" s="184"/>
      <c r="P2334" t="s">
        <v>7029</v>
      </c>
      <c r="Q2334" t="s">
        <v>7020</v>
      </c>
      <c r="R2334" s="184">
        <v>17168</v>
      </c>
      <c r="S2334">
        <v>77</v>
      </c>
      <c r="V2334" t="s">
        <v>20251</v>
      </c>
      <c r="W2334" t="s">
        <v>5006</v>
      </c>
      <c r="X2334" t="s">
        <v>3201</v>
      </c>
      <c r="Z2334">
        <v>28084523</v>
      </c>
      <c r="AB2334" t="s">
        <v>4303</v>
      </c>
      <c r="AD2334" t="s">
        <v>20250</v>
      </c>
      <c r="AF2334" t="s">
        <v>20252</v>
      </c>
      <c r="AG2334" t="s">
        <v>20253</v>
      </c>
      <c r="AI2334" t="s">
        <v>20254</v>
      </c>
      <c r="AM2334" t="s">
        <v>13790</v>
      </c>
      <c r="AN2334" t="s">
        <v>2052</v>
      </c>
      <c r="AO2334" t="s">
        <v>20255</v>
      </c>
      <c r="AP2334" t="s">
        <v>7024</v>
      </c>
      <c r="AQ2334" t="s">
        <v>20258</v>
      </c>
      <c r="AT2334" s="184">
        <v>44165</v>
      </c>
      <c r="AU2334" t="s">
        <v>20259</v>
      </c>
      <c r="AV2334">
        <v>500</v>
      </c>
      <c r="AW2334" s="184">
        <v>45287</v>
      </c>
      <c r="AX2334" t="s">
        <v>9378</v>
      </c>
      <c r="AY2334">
        <v>500</v>
      </c>
      <c r="AZ2334" s="184">
        <v>45287</v>
      </c>
      <c r="BA2334" t="s">
        <v>9378</v>
      </c>
      <c r="BB2334">
        <v>500</v>
      </c>
      <c r="BC2334">
        <v>80</v>
      </c>
      <c r="BD2334">
        <v>2000</v>
      </c>
      <c r="BE2334">
        <v>2021</v>
      </c>
      <c r="BF2334">
        <v>4</v>
      </c>
      <c r="BG2334">
        <v>2</v>
      </c>
      <c r="BH2334">
        <v>1000</v>
      </c>
      <c r="BI2334">
        <v>4</v>
      </c>
      <c r="BJ2334">
        <v>5</v>
      </c>
      <c r="BK2334">
        <v>4</v>
      </c>
      <c r="BP2334" s="184"/>
    </row>
    <row r="2335" spans="1:68">
      <c r="A2335">
        <v>28089142</v>
      </c>
      <c r="B2335">
        <v>28089142</v>
      </c>
      <c r="C2335" t="s">
        <v>7018</v>
      </c>
      <c r="E2335" s="184"/>
      <c r="F2335" t="s">
        <v>595</v>
      </c>
      <c r="G2335" s="184">
        <v>44104</v>
      </c>
      <c r="I2335" s="184"/>
      <c r="K2335" s="184"/>
      <c r="M2335" s="184"/>
      <c r="O2335" s="184"/>
      <c r="P2335" t="s">
        <v>7045</v>
      </c>
      <c r="Q2335" t="s">
        <v>7030</v>
      </c>
      <c r="R2335" s="184">
        <v>16803</v>
      </c>
      <c r="S2335">
        <v>78</v>
      </c>
      <c r="U2335" t="s">
        <v>7076</v>
      </c>
      <c r="V2335" t="s">
        <v>20260</v>
      </c>
      <c r="W2335" t="s">
        <v>2049</v>
      </c>
      <c r="X2335" t="s">
        <v>20261</v>
      </c>
      <c r="AF2335" t="s">
        <v>20262</v>
      </c>
      <c r="AG2335" t="s">
        <v>20260</v>
      </c>
      <c r="AI2335" t="s">
        <v>20263</v>
      </c>
      <c r="AM2335" t="s">
        <v>2873</v>
      </c>
      <c r="AN2335" t="s">
        <v>2094</v>
      </c>
      <c r="AO2335" t="s">
        <v>20264</v>
      </c>
      <c r="AP2335" t="s">
        <v>7024</v>
      </c>
      <c r="AQ2335" t="s">
        <v>20265</v>
      </c>
      <c r="AR2335" t="s">
        <v>20266</v>
      </c>
      <c r="AT2335" s="184">
        <v>35993</v>
      </c>
      <c r="AU2335" t="s">
        <v>20267</v>
      </c>
      <c r="AV2335">
        <v>25</v>
      </c>
      <c r="AW2335" s="184">
        <v>45426</v>
      </c>
      <c r="AX2335" t="s">
        <v>7422</v>
      </c>
      <c r="AY2335">
        <v>12</v>
      </c>
      <c r="AZ2335" s="184">
        <v>40042</v>
      </c>
      <c r="BA2335" t="s">
        <v>20268</v>
      </c>
      <c r="BB2335">
        <v>60</v>
      </c>
      <c r="BC2335">
        <v>75</v>
      </c>
      <c r="BD2335">
        <v>1739</v>
      </c>
      <c r="BE2335">
        <v>1999</v>
      </c>
      <c r="BF2335">
        <v>132</v>
      </c>
      <c r="BG2335">
        <v>25</v>
      </c>
      <c r="BH2335">
        <v>300</v>
      </c>
      <c r="BI2335">
        <v>20</v>
      </c>
      <c r="BJ2335">
        <v>27</v>
      </c>
      <c r="BK2335">
        <v>11</v>
      </c>
      <c r="BP2335" s="184"/>
    </row>
    <row r="2336" spans="1:68">
      <c r="A2336">
        <v>28089845</v>
      </c>
      <c r="B2336">
        <v>28089845</v>
      </c>
      <c r="C2336" t="s">
        <v>7018</v>
      </c>
      <c r="D2336" t="s">
        <v>595</v>
      </c>
      <c r="E2336" s="184">
        <v>44152</v>
      </c>
      <c r="G2336" s="184"/>
      <c r="I2336" s="184"/>
      <c r="K2336" s="184"/>
      <c r="M2336" s="184"/>
      <c r="O2336" s="184"/>
      <c r="P2336" t="s">
        <v>7045</v>
      </c>
      <c r="Q2336" t="s">
        <v>7454</v>
      </c>
      <c r="R2336" s="184">
        <v>14360</v>
      </c>
      <c r="S2336">
        <v>85</v>
      </c>
      <c r="V2336" t="s">
        <v>3101</v>
      </c>
      <c r="X2336" t="s">
        <v>20269</v>
      </c>
      <c r="AF2336" t="s">
        <v>20270</v>
      </c>
      <c r="AG2336" t="s">
        <v>3101</v>
      </c>
      <c r="AI2336" t="s">
        <v>20271</v>
      </c>
      <c r="AJ2336" t="s">
        <v>20272</v>
      </c>
      <c r="AM2336" t="s">
        <v>3878</v>
      </c>
      <c r="AN2336" t="s">
        <v>2055</v>
      </c>
      <c r="AO2336" t="s">
        <v>20273</v>
      </c>
      <c r="AP2336" t="s">
        <v>7024</v>
      </c>
      <c r="AQ2336" t="s">
        <v>20274</v>
      </c>
      <c r="AT2336" s="184">
        <v>35993</v>
      </c>
      <c r="AU2336" t="s">
        <v>20275</v>
      </c>
      <c r="AV2336">
        <v>15</v>
      </c>
      <c r="AW2336" s="184">
        <v>45089</v>
      </c>
      <c r="AX2336" t="s">
        <v>20276</v>
      </c>
      <c r="AY2336">
        <v>50</v>
      </c>
      <c r="AZ2336" s="184">
        <v>45089</v>
      </c>
      <c r="BA2336" t="s">
        <v>20276</v>
      </c>
      <c r="BB2336">
        <v>50</v>
      </c>
      <c r="BC2336">
        <v>67</v>
      </c>
      <c r="BD2336">
        <v>745</v>
      </c>
      <c r="BE2336">
        <v>1999</v>
      </c>
      <c r="BF2336">
        <v>29</v>
      </c>
      <c r="BG2336">
        <v>3</v>
      </c>
      <c r="BH2336">
        <v>125</v>
      </c>
      <c r="BI2336">
        <v>18</v>
      </c>
      <c r="BJ2336">
        <v>27</v>
      </c>
      <c r="BK2336">
        <v>17</v>
      </c>
      <c r="BN2336" t="s">
        <v>595</v>
      </c>
      <c r="BP2336" s="184"/>
    </row>
    <row r="2337" spans="1:68">
      <c r="A2337">
        <v>28103562</v>
      </c>
      <c r="B2337">
        <v>28103562</v>
      </c>
      <c r="C2337" t="s">
        <v>7018</v>
      </c>
      <c r="D2337" t="s">
        <v>595</v>
      </c>
      <c r="E2337" s="184">
        <v>44167</v>
      </c>
      <c r="G2337" s="184"/>
      <c r="H2337" t="s">
        <v>595</v>
      </c>
      <c r="I2337" s="184">
        <v>44167</v>
      </c>
      <c r="K2337" s="184"/>
      <c r="M2337" s="184"/>
      <c r="O2337" s="184"/>
      <c r="P2337" t="s">
        <v>7045</v>
      </c>
      <c r="Q2337" t="s">
        <v>7030</v>
      </c>
      <c r="R2337" s="184">
        <v>19539</v>
      </c>
      <c r="S2337">
        <v>70</v>
      </c>
      <c r="U2337" t="s">
        <v>7031</v>
      </c>
      <c r="V2337" t="s">
        <v>2541</v>
      </c>
      <c r="X2337" t="s">
        <v>2509</v>
      </c>
      <c r="AF2337" t="s">
        <v>20277</v>
      </c>
      <c r="AG2337" t="s">
        <v>2541</v>
      </c>
      <c r="AI2337" t="s">
        <v>20278</v>
      </c>
      <c r="AM2337" t="s">
        <v>3437</v>
      </c>
      <c r="AN2337" t="s">
        <v>2089</v>
      </c>
      <c r="AO2337" t="s">
        <v>20279</v>
      </c>
      <c r="AP2337" t="s">
        <v>7024</v>
      </c>
      <c r="AQ2337" t="s">
        <v>20280</v>
      </c>
      <c r="AR2337" t="s">
        <v>20281</v>
      </c>
      <c r="AT2337" s="184">
        <v>36003</v>
      </c>
      <c r="AU2337" t="s">
        <v>20282</v>
      </c>
      <c r="AV2337">
        <v>20</v>
      </c>
      <c r="AW2337" s="184">
        <v>45299</v>
      </c>
      <c r="AX2337" t="s">
        <v>20283</v>
      </c>
      <c r="AY2337">
        <v>30</v>
      </c>
      <c r="AZ2337" s="184">
        <v>45299</v>
      </c>
      <c r="BA2337" t="s">
        <v>20283</v>
      </c>
      <c r="BB2337">
        <v>30</v>
      </c>
      <c r="BC2337">
        <v>41</v>
      </c>
      <c r="BD2337">
        <v>265</v>
      </c>
      <c r="BE2337">
        <v>1999</v>
      </c>
      <c r="BF2337">
        <v>12</v>
      </c>
      <c r="BG2337">
        <v>2</v>
      </c>
      <c r="BH2337">
        <v>55</v>
      </c>
      <c r="BI2337">
        <v>11</v>
      </c>
      <c r="BJ2337">
        <v>27</v>
      </c>
      <c r="BK2337">
        <v>3</v>
      </c>
      <c r="BP2337" s="184"/>
    </row>
    <row r="2338" spans="1:68">
      <c r="A2338">
        <v>28109700</v>
      </c>
      <c r="B2338">
        <v>28109700</v>
      </c>
      <c r="C2338" t="s">
        <v>7018</v>
      </c>
      <c r="E2338" s="184"/>
      <c r="G2338" s="184"/>
      <c r="I2338" s="184"/>
      <c r="J2338" t="s">
        <v>595</v>
      </c>
      <c r="K2338" s="184">
        <v>43641</v>
      </c>
      <c r="O2338" s="184"/>
      <c r="P2338" t="s">
        <v>7045</v>
      </c>
      <c r="Q2338" t="s">
        <v>7262</v>
      </c>
      <c r="R2338" s="184">
        <v>14489</v>
      </c>
      <c r="S2338">
        <v>84</v>
      </c>
      <c r="V2338" t="s">
        <v>3137</v>
      </c>
      <c r="W2338" t="s">
        <v>3830</v>
      </c>
      <c r="X2338" t="s">
        <v>3138</v>
      </c>
      <c r="AF2338" t="s">
        <v>6660</v>
      </c>
      <c r="AG2338" t="s">
        <v>3137</v>
      </c>
      <c r="AI2338" t="s">
        <v>20284</v>
      </c>
      <c r="AM2338" t="s">
        <v>2915</v>
      </c>
      <c r="AN2338" t="s">
        <v>2106</v>
      </c>
      <c r="AO2338" t="s">
        <v>20285</v>
      </c>
      <c r="AP2338" t="s">
        <v>7024</v>
      </c>
      <c r="AT2338" s="184">
        <v>35999</v>
      </c>
      <c r="AU2338" t="s">
        <v>20286</v>
      </c>
      <c r="AV2338">
        <v>15</v>
      </c>
      <c r="AW2338" s="184">
        <v>39839</v>
      </c>
      <c r="AX2338" t="s">
        <v>20287</v>
      </c>
      <c r="AY2338">
        <v>15</v>
      </c>
      <c r="AZ2338" s="184">
        <v>37862</v>
      </c>
      <c r="BA2338" t="s">
        <v>20288</v>
      </c>
      <c r="BB2338">
        <v>60</v>
      </c>
      <c r="BC2338">
        <v>30</v>
      </c>
      <c r="BD2338">
        <v>235</v>
      </c>
      <c r="BE2338">
        <v>1999</v>
      </c>
      <c r="BF2338">
        <v>13</v>
      </c>
      <c r="BI2338">
        <v>8</v>
      </c>
      <c r="BJ2338">
        <v>27</v>
      </c>
      <c r="BK2338">
        <v>7</v>
      </c>
      <c r="BP2338" s="184"/>
    </row>
    <row r="2339" spans="1:68">
      <c r="A2339">
        <v>28115731</v>
      </c>
      <c r="B2339">
        <v>28115731</v>
      </c>
      <c r="C2339" t="s">
        <v>7018</v>
      </c>
      <c r="D2339" t="s">
        <v>595</v>
      </c>
      <c r="E2339" s="184">
        <v>43801</v>
      </c>
      <c r="G2339" s="184"/>
      <c r="I2339" s="184"/>
      <c r="K2339" s="184"/>
      <c r="M2339" s="184"/>
      <c r="O2339" s="184"/>
      <c r="P2339" t="s">
        <v>7045</v>
      </c>
      <c r="Q2339" t="s">
        <v>7374</v>
      </c>
      <c r="R2339" s="184">
        <v>19957</v>
      </c>
      <c r="S2339">
        <v>69</v>
      </c>
      <c r="U2339" t="s">
        <v>7076</v>
      </c>
      <c r="V2339" t="s">
        <v>4385</v>
      </c>
      <c r="X2339" t="s">
        <v>4386</v>
      </c>
      <c r="AF2339" t="s">
        <v>20289</v>
      </c>
      <c r="AG2339" t="s">
        <v>4385</v>
      </c>
      <c r="AI2339" t="s">
        <v>20290</v>
      </c>
      <c r="AM2339" t="s">
        <v>4387</v>
      </c>
      <c r="AN2339" t="s">
        <v>2526</v>
      </c>
      <c r="AO2339" t="s">
        <v>20291</v>
      </c>
      <c r="AP2339" t="s">
        <v>7024</v>
      </c>
      <c r="AQ2339" t="s">
        <v>20292</v>
      </c>
      <c r="AT2339" s="184">
        <v>36003</v>
      </c>
      <c r="AU2339" t="s">
        <v>20247</v>
      </c>
      <c r="AV2339">
        <v>50</v>
      </c>
      <c r="AW2339" s="184">
        <v>44174</v>
      </c>
      <c r="AX2339" t="s">
        <v>20293</v>
      </c>
      <c r="AY2339">
        <v>60</v>
      </c>
      <c r="AZ2339" s="184">
        <v>44174</v>
      </c>
      <c r="BA2339" t="s">
        <v>20293</v>
      </c>
      <c r="BB2339">
        <v>60</v>
      </c>
      <c r="BC2339">
        <v>41</v>
      </c>
      <c r="BD2339">
        <v>860</v>
      </c>
      <c r="BE2339">
        <v>1999</v>
      </c>
      <c r="BF2339">
        <v>21</v>
      </c>
      <c r="BI2339">
        <v>11</v>
      </c>
      <c r="BJ2339">
        <v>27</v>
      </c>
      <c r="BK2339">
        <v>5</v>
      </c>
      <c r="BP2339" s="184"/>
    </row>
    <row r="2340" spans="1:68">
      <c r="A2340">
        <v>28131621</v>
      </c>
      <c r="B2340">
        <v>28131621</v>
      </c>
      <c r="C2340" t="s">
        <v>7018</v>
      </c>
      <c r="D2340" t="s">
        <v>595</v>
      </c>
      <c r="E2340" s="184">
        <v>44328</v>
      </c>
      <c r="G2340" s="184"/>
      <c r="I2340" s="184"/>
      <c r="K2340" s="184"/>
      <c r="M2340" s="184"/>
      <c r="O2340" s="184"/>
      <c r="P2340" t="s">
        <v>7045</v>
      </c>
      <c r="Q2340" t="s">
        <v>7374</v>
      </c>
      <c r="R2340" s="184">
        <v>16984</v>
      </c>
      <c r="S2340">
        <v>77</v>
      </c>
      <c r="V2340" t="s">
        <v>3411</v>
      </c>
      <c r="X2340" t="s">
        <v>20294</v>
      </c>
      <c r="AF2340" t="s">
        <v>20295</v>
      </c>
      <c r="AG2340" t="s">
        <v>3411</v>
      </c>
      <c r="AI2340" t="s">
        <v>20296</v>
      </c>
      <c r="AM2340" t="s">
        <v>4799</v>
      </c>
      <c r="AN2340" t="s">
        <v>2081</v>
      </c>
      <c r="AO2340" t="s">
        <v>20297</v>
      </c>
      <c r="AP2340" t="s">
        <v>7024</v>
      </c>
      <c r="AQ2340" t="s">
        <v>20298</v>
      </c>
      <c r="AR2340" t="s">
        <v>20299</v>
      </c>
      <c r="AT2340" s="184">
        <v>36010</v>
      </c>
      <c r="AU2340" t="s">
        <v>20300</v>
      </c>
      <c r="AV2340">
        <v>20</v>
      </c>
      <c r="AW2340" s="184">
        <v>45392</v>
      </c>
      <c r="AX2340" t="s">
        <v>14823</v>
      </c>
      <c r="AY2340">
        <v>35</v>
      </c>
      <c r="AZ2340" s="184">
        <v>45392</v>
      </c>
      <c r="BA2340" t="s">
        <v>14823</v>
      </c>
      <c r="BB2340">
        <v>35</v>
      </c>
      <c r="BC2340">
        <v>67</v>
      </c>
      <c r="BD2340">
        <v>496</v>
      </c>
      <c r="BE2340">
        <v>1999</v>
      </c>
      <c r="BF2340">
        <v>26</v>
      </c>
      <c r="BG2340">
        <v>2</v>
      </c>
      <c r="BH2340">
        <v>60</v>
      </c>
      <c r="BI2340">
        <v>18</v>
      </c>
      <c r="BJ2340">
        <v>27</v>
      </c>
      <c r="BK2340">
        <v>4</v>
      </c>
      <c r="BP2340" s="184"/>
    </row>
    <row r="2341" spans="1:68">
      <c r="A2341">
        <v>28148641</v>
      </c>
      <c r="B2341">
        <v>28148641</v>
      </c>
      <c r="C2341" t="s">
        <v>7018</v>
      </c>
      <c r="D2341" t="s">
        <v>595</v>
      </c>
      <c r="E2341" s="184">
        <v>43642</v>
      </c>
      <c r="G2341" s="184"/>
      <c r="I2341" s="184"/>
      <c r="K2341" s="184"/>
      <c r="M2341" s="184"/>
      <c r="O2341" s="184"/>
      <c r="P2341" t="s">
        <v>7045</v>
      </c>
      <c r="Q2341" t="s">
        <v>7383</v>
      </c>
      <c r="R2341" s="184">
        <v>10141</v>
      </c>
      <c r="S2341">
        <v>96</v>
      </c>
      <c r="V2341" t="s">
        <v>3302</v>
      </c>
      <c r="X2341" t="s">
        <v>3303</v>
      </c>
      <c r="AF2341" t="s">
        <v>20301</v>
      </c>
      <c r="AG2341" t="s">
        <v>3302</v>
      </c>
      <c r="AI2341" t="s">
        <v>20302</v>
      </c>
      <c r="AM2341" t="s">
        <v>3121</v>
      </c>
      <c r="AN2341" t="s">
        <v>2144</v>
      </c>
      <c r="AO2341" t="s">
        <v>20303</v>
      </c>
      <c r="AP2341" t="s">
        <v>7024</v>
      </c>
      <c r="AT2341" s="184">
        <v>36020</v>
      </c>
      <c r="AU2341" t="s">
        <v>20304</v>
      </c>
      <c r="AV2341">
        <v>25</v>
      </c>
      <c r="AW2341" s="184">
        <v>44862</v>
      </c>
      <c r="AX2341" t="s">
        <v>20305</v>
      </c>
      <c r="AY2341">
        <v>10</v>
      </c>
      <c r="AZ2341" s="184">
        <v>40917</v>
      </c>
      <c r="BA2341" t="s">
        <v>20306</v>
      </c>
      <c r="BB2341">
        <v>115</v>
      </c>
      <c r="BC2341">
        <v>78</v>
      </c>
      <c r="BD2341">
        <v>1665</v>
      </c>
      <c r="BE2341">
        <v>1999</v>
      </c>
      <c r="BF2341">
        <v>73</v>
      </c>
      <c r="BG2341">
        <v>7</v>
      </c>
      <c r="BH2341">
        <v>70</v>
      </c>
      <c r="BI2341">
        <v>21</v>
      </c>
      <c r="BJ2341">
        <v>27</v>
      </c>
      <c r="BK2341">
        <v>17</v>
      </c>
      <c r="BP2341" s="184"/>
    </row>
    <row r="2342" spans="1:68">
      <c r="A2342">
        <v>28187185</v>
      </c>
      <c r="B2342">
        <v>28187185</v>
      </c>
      <c r="C2342" t="s">
        <v>7018</v>
      </c>
      <c r="D2342" t="s">
        <v>595</v>
      </c>
      <c r="E2342" s="184">
        <v>44065</v>
      </c>
      <c r="G2342" s="184"/>
      <c r="I2342" s="184"/>
      <c r="K2342" s="184"/>
      <c r="M2342" s="184"/>
      <c r="O2342" s="184"/>
      <c r="P2342" t="s">
        <v>7045</v>
      </c>
      <c r="Q2342" t="s">
        <v>7383</v>
      </c>
      <c r="R2342" s="184">
        <v>20341</v>
      </c>
      <c r="S2342">
        <v>68</v>
      </c>
      <c r="U2342" t="s">
        <v>7076</v>
      </c>
      <c r="V2342" t="s">
        <v>3223</v>
      </c>
      <c r="X2342" t="s">
        <v>16819</v>
      </c>
      <c r="AF2342" t="s">
        <v>20307</v>
      </c>
      <c r="AG2342" t="s">
        <v>3223</v>
      </c>
      <c r="AI2342" t="s">
        <v>20308</v>
      </c>
      <c r="AM2342" t="s">
        <v>3158</v>
      </c>
      <c r="AN2342" t="s">
        <v>2059</v>
      </c>
      <c r="AO2342" t="s">
        <v>20309</v>
      </c>
      <c r="AP2342" t="s">
        <v>7024</v>
      </c>
      <c r="AQ2342" t="s">
        <v>20310</v>
      </c>
      <c r="AR2342" t="s">
        <v>20311</v>
      </c>
      <c r="AT2342" s="184">
        <v>36032</v>
      </c>
      <c r="AU2342" t="s">
        <v>20312</v>
      </c>
      <c r="AV2342">
        <v>35</v>
      </c>
      <c r="AW2342" s="184">
        <v>45231</v>
      </c>
      <c r="AX2342" t="s">
        <v>9576</v>
      </c>
      <c r="AY2342">
        <v>105</v>
      </c>
      <c r="AZ2342" s="184">
        <v>42319</v>
      </c>
      <c r="BA2342" t="s">
        <v>20313</v>
      </c>
      <c r="BB2342">
        <v>250</v>
      </c>
      <c r="BC2342">
        <v>86</v>
      </c>
      <c r="BD2342">
        <v>3000</v>
      </c>
      <c r="BE2342">
        <v>1999</v>
      </c>
      <c r="BF2342">
        <v>30</v>
      </c>
      <c r="BG2342">
        <v>2</v>
      </c>
      <c r="BH2342">
        <v>305</v>
      </c>
      <c r="BI2342">
        <v>23</v>
      </c>
      <c r="BJ2342">
        <v>27</v>
      </c>
      <c r="BK2342">
        <v>14</v>
      </c>
      <c r="BP2342" s="184"/>
    </row>
    <row r="2343" spans="1:68">
      <c r="A2343">
        <v>28215374</v>
      </c>
      <c r="B2343">
        <v>28215374</v>
      </c>
      <c r="C2343" t="s">
        <v>7018</v>
      </c>
      <c r="E2343" s="184"/>
      <c r="G2343" s="184"/>
      <c r="I2343" s="184"/>
      <c r="J2343" t="s">
        <v>595</v>
      </c>
      <c r="K2343" s="184">
        <v>44804</v>
      </c>
      <c r="O2343" s="184"/>
      <c r="P2343" t="s">
        <v>7686</v>
      </c>
      <c r="Q2343" t="s">
        <v>7454</v>
      </c>
      <c r="R2343" s="184">
        <v>18264</v>
      </c>
      <c r="S2343">
        <v>74</v>
      </c>
      <c r="U2343" t="s">
        <v>7076</v>
      </c>
      <c r="V2343" t="s">
        <v>2958</v>
      </c>
      <c r="W2343" t="s">
        <v>3624</v>
      </c>
      <c r="X2343" t="s">
        <v>20314</v>
      </c>
      <c r="Z2343">
        <v>100075023</v>
      </c>
      <c r="AA2343" t="s">
        <v>7031</v>
      </c>
      <c r="AB2343" t="s">
        <v>3326</v>
      </c>
      <c r="AC2343" t="s">
        <v>3830</v>
      </c>
      <c r="AD2343" t="s">
        <v>20315</v>
      </c>
      <c r="AF2343" t="s">
        <v>20316</v>
      </c>
      <c r="AG2343" t="s">
        <v>20317</v>
      </c>
      <c r="AI2343" t="s">
        <v>20318</v>
      </c>
      <c r="AM2343" t="s">
        <v>2608</v>
      </c>
      <c r="AN2343" t="s">
        <v>2299</v>
      </c>
      <c r="AO2343" t="s">
        <v>20319</v>
      </c>
      <c r="AP2343" t="s">
        <v>7024</v>
      </c>
      <c r="AQ2343" t="s">
        <v>20320</v>
      </c>
      <c r="AR2343" t="s">
        <v>20321</v>
      </c>
      <c r="AT2343" s="184">
        <v>36042</v>
      </c>
      <c r="AU2343" t="s">
        <v>20322</v>
      </c>
      <c r="AV2343">
        <v>25</v>
      </c>
      <c r="AW2343" s="184">
        <v>44172</v>
      </c>
      <c r="AX2343" t="s">
        <v>8325</v>
      </c>
      <c r="AY2343">
        <v>5000</v>
      </c>
      <c r="AZ2343" s="184">
        <v>44172</v>
      </c>
      <c r="BA2343" t="s">
        <v>8325</v>
      </c>
      <c r="BB2343">
        <v>5000</v>
      </c>
      <c r="BC2343">
        <v>75</v>
      </c>
      <c r="BD2343">
        <v>18635</v>
      </c>
      <c r="BE2343">
        <v>1999</v>
      </c>
      <c r="BF2343">
        <v>31</v>
      </c>
      <c r="BI2343">
        <v>20</v>
      </c>
      <c r="BJ2343">
        <v>27</v>
      </c>
      <c r="BK2343">
        <v>12</v>
      </c>
      <c r="BN2343" t="s">
        <v>595</v>
      </c>
      <c r="BO2343" t="s">
        <v>595</v>
      </c>
      <c r="BP2343" s="184">
        <v>44598</v>
      </c>
    </row>
    <row r="2344" spans="1:68">
      <c r="A2344">
        <v>100075023</v>
      </c>
      <c r="B2344">
        <v>28215374</v>
      </c>
      <c r="C2344" t="s">
        <v>7018</v>
      </c>
      <c r="E2344" s="184"/>
      <c r="G2344" s="184"/>
      <c r="I2344" s="184"/>
      <c r="J2344" t="s">
        <v>595</v>
      </c>
      <c r="K2344" s="184">
        <v>44804</v>
      </c>
      <c r="O2344" s="184"/>
      <c r="P2344" t="s">
        <v>7686</v>
      </c>
      <c r="Q2344" t="s">
        <v>7454</v>
      </c>
      <c r="R2344" s="184">
        <v>15676</v>
      </c>
      <c r="S2344">
        <v>81</v>
      </c>
      <c r="U2344" t="s">
        <v>7031</v>
      </c>
      <c r="V2344" t="s">
        <v>3326</v>
      </c>
      <c r="W2344" t="s">
        <v>3830</v>
      </c>
      <c r="X2344" t="s">
        <v>20315</v>
      </c>
      <c r="Z2344">
        <v>28215374</v>
      </c>
      <c r="AA2344" t="s">
        <v>7076</v>
      </c>
      <c r="AB2344" t="s">
        <v>2958</v>
      </c>
      <c r="AC2344" t="s">
        <v>3624</v>
      </c>
      <c r="AD2344" t="s">
        <v>20314</v>
      </c>
      <c r="AF2344" t="s">
        <v>20316</v>
      </c>
      <c r="AG2344" t="s">
        <v>20317</v>
      </c>
      <c r="AI2344" t="s">
        <v>20318</v>
      </c>
      <c r="AM2344" t="s">
        <v>2608</v>
      </c>
      <c r="AN2344" t="s">
        <v>2299</v>
      </c>
      <c r="AO2344" t="s">
        <v>20319</v>
      </c>
      <c r="AP2344" t="s">
        <v>7024</v>
      </c>
      <c r="AT2344" s="184"/>
      <c r="AW2344" s="184"/>
      <c r="AZ2344" s="184"/>
      <c r="BO2344" t="s">
        <v>595</v>
      </c>
      <c r="BP2344" s="184">
        <v>44409</v>
      </c>
    </row>
    <row r="2345" spans="1:68">
      <c r="A2345">
        <v>28215838</v>
      </c>
      <c r="B2345">
        <v>28215838</v>
      </c>
      <c r="C2345" t="s">
        <v>7018</v>
      </c>
      <c r="E2345" s="184"/>
      <c r="F2345" t="s">
        <v>595</v>
      </c>
      <c r="G2345" s="184">
        <v>43731</v>
      </c>
      <c r="I2345" s="184"/>
      <c r="K2345" s="184"/>
      <c r="M2345" s="184"/>
      <c r="O2345" s="184"/>
      <c r="P2345" t="s">
        <v>7045</v>
      </c>
      <c r="Q2345" t="s">
        <v>7160</v>
      </c>
      <c r="R2345" s="184">
        <v>13608</v>
      </c>
      <c r="S2345">
        <v>87</v>
      </c>
      <c r="U2345" t="s">
        <v>7130</v>
      </c>
      <c r="V2345" t="s">
        <v>2602</v>
      </c>
      <c r="W2345" t="s">
        <v>7407</v>
      </c>
      <c r="X2345" t="s">
        <v>3986</v>
      </c>
      <c r="AF2345" t="s">
        <v>20323</v>
      </c>
      <c r="AG2345" t="s">
        <v>2602</v>
      </c>
      <c r="AI2345" t="s">
        <v>20324</v>
      </c>
      <c r="AM2345" t="s">
        <v>4091</v>
      </c>
      <c r="AN2345" t="s">
        <v>2446</v>
      </c>
      <c r="AO2345" t="s">
        <v>20325</v>
      </c>
      <c r="AP2345" t="s">
        <v>7024</v>
      </c>
      <c r="AQ2345" t="s">
        <v>20326</v>
      </c>
      <c r="AT2345" s="184">
        <v>36042</v>
      </c>
      <c r="AU2345" t="s">
        <v>20327</v>
      </c>
      <c r="AV2345">
        <v>25</v>
      </c>
      <c r="AW2345" s="184">
        <v>45369</v>
      </c>
      <c r="AX2345" t="s">
        <v>17352</v>
      </c>
      <c r="AY2345">
        <v>50</v>
      </c>
      <c r="AZ2345" s="184">
        <v>45369</v>
      </c>
      <c r="BA2345" t="s">
        <v>17352</v>
      </c>
      <c r="BB2345">
        <v>50</v>
      </c>
      <c r="BC2345">
        <v>89</v>
      </c>
      <c r="BD2345">
        <v>690</v>
      </c>
      <c r="BE2345">
        <v>1999</v>
      </c>
      <c r="BF2345">
        <v>26</v>
      </c>
      <c r="BG2345">
        <v>2</v>
      </c>
      <c r="BH2345">
        <v>75</v>
      </c>
      <c r="BI2345">
        <v>24</v>
      </c>
      <c r="BJ2345">
        <v>27</v>
      </c>
      <c r="BK2345">
        <v>23</v>
      </c>
      <c r="BP2345" s="184"/>
    </row>
    <row r="2346" spans="1:68">
      <c r="A2346">
        <v>28223980</v>
      </c>
      <c r="B2346">
        <v>28223980</v>
      </c>
      <c r="C2346" t="s">
        <v>7018</v>
      </c>
      <c r="D2346" t="s">
        <v>595</v>
      </c>
      <c r="E2346" s="184">
        <v>44236</v>
      </c>
      <c r="G2346" s="184"/>
      <c r="K2346" s="184"/>
      <c r="M2346" s="184"/>
      <c r="O2346" s="184"/>
      <c r="P2346" t="s">
        <v>7045</v>
      </c>
      <c r="Q2346" t="s">
        <v>7383</v>
      </c>
      <c r="R2346" s="184">
        <v>17502</v>
      </c>
      <c r="S2346">
        <v>76</v>
      </c>
      <c r="U2346" t="s">
        <v>7031</v>
      </c>
      <c r="V2346" t="s">
        <v>20328</v>
      </c>
      <c r="X2346" t="s">
        <v>20329</v>
      </c>
      <c r="AF2346" t="s">
        <v>20330</v>
      </c>
      <c r="AG2346" t="s">
        <v>20328</v>
      </c>
      <c r="AI2346" t="s">
        <v>20331</v>
      </c>
      <c r="AM2346" t="s">
        <v>4497</v>
      </c>
      <c r="AN2346" t="s">
        <v>2059</v>
      </c>
      <c r="AO2346" t="s">
        <v>20332</v>
      </c>
      <c r="AP2346" t="s">
        <v>7024</v>
      </c>
      <c r="AT2346" s="184">
        <v>36046</v>
      </c>
      <c r="AU2346" t="s">
        <v>20333</v>
      </c>
      <c r="AV2346">
        <v>25</v>
      </c>
      <c r="AW2346" s="184">
        <v>42275</v>
      </c>
      <c r="AX2346" t="s">
        <v>20334</v>
      </c>
      <c r="AY2346">
        <v>8</v>
      </c>
      <c r="AZ2346" s="184">
        <v>40302</v>
      </c>
      <c r="BA2346" t="s">
        <v>20335</v>
      </c>
      <c r="BB2346">
        <v>87</v>
      </c>
      <c r="BC2346">
        <v>45</v>
      </c>
      <c r="BD2346">
        <v>766</v>
      </c>
      <c r="BE2346">
        <v>1999</v>
      </c>
      <c r="BF2346">
        <v>38</v>
      </c>
      <c r="BI2346">
        <v>12</v>
      </c>
      <c r="BJ2346">
        <v>27</v>
      </c>
      <c r="BK2346">
        <v>6</v>
      </c>
      <c r="BP2346" s="184"/>
    </row>
    <row r="2347" spans="1:68">
      <c r="A2347">
        <v>28227163</v>
      </c>
      <c r="B2347">
        <v>28227163</v>
      </c>
      <c r="C2347" t="s">
        <v>7018</v>
      </c>
      <c r="E2347" s="184"/>
      <c r="G2347" s="184"/>
      <c r="I2347" s="184"/>
      <c r="J2347" t="s">
        <v>595</v>
      </c>
      <c r="K2347" s="184">
        <v>40886</v>
      </c>
      <c r="M2347" s="184"/>
      <c r="O2347" s="184"/>
      <c r="P2347" t="s">
        <v>7045</v>
      </c>
      <c r="Q2347" t="s">
        <v>7194</v>
      </c>
      <c r="R2347" s="184">
        <v>17654</v>
      </c>
      <c r="S2347">
        <v>76</v>
      </c>
      <c r="U2347" t="s">
        <v>7031</v>
      </c>
      <c r="V2347" t="s">
        <v>16103</v>
      </c>
      <c r="W2347" t="s">
        <v>7407</v>
      </c>
      <c r="X2347" t="s">
        <v>4184</v>
      </c>
      <c r="AF2347" t="s">
        <v>6577</v>
      </c>
      <c r="AG2347" t="s">
        <v>16103</v>
      </c>
      <c r="AI2347" t="s">
        <v>20336</v>
      </c>
      <c r="AM2347" t="s">
        <v>20337</v>
      </c>
      <c r="AN2347" t="s">
        <v>2046</v>
      </c>
      <c r="AO2347" t="s">
        <v>20338</v>
      </c>
      <c r="AP2347" t="s">
        <v>7024</v>
      </c>
      <c r="AT2347" s="184">
        <v>36047</v>
      </c>
      <c r="AU2347" t="s">
        <v>20339</v>
      </c>
      <c r="AV2347">
        <v>25</v>
      </c>
      <c r="AW2347" s="184">
        <v>41520</v>
      </c>
      <c r="AX2347" t="s">
        <v>20340</v>
      </c>
      <c r="AY2347">
        <v>25</v>
      </c>
      <c r="AZ2347" s="184">
        <v>36874</v>
      </c>
      <c r="BA2347" t="s">
        <v>20341</v>
      </c>
      <c r="BB2347">
        <v>50</v>
      </c>
      <c r="BC2347">
        <v>26</v>
      </c>
      <c r="BD2347">
        <v>564</v>
      </c>
      <c r="BE2347">
        <v>1999</v>
      </c>
      <c r="BF2347">
        <v>19</v>
      </c>
      <c r="BI2347">
        <v>7</v>
      </c>
      <c r="BJ2347">
        <v>27</v>
      </c>
      <c r="BK2347">
        <v>4</v>
      </c>
      <c r="BP2347" s="184"/>
    </row>
    <row r="2348" spans="1:68">
      <c r="A2348">
        <v>28249159</v>
      </c>
      <c r="B2348">
        <v>28249159</v>
      </c>
      <c r="C2348" t="s">
        <v>7018</v>
      </c>
      <c r="E2348" s="184"/>
      <c r="G2348" s="184"/>
      <c r="J2348" t="s">
        <v>595</v>
      </c>
      <c r="K2348" s="184">
        <v>37435</v>
      </c>
      <c r="M2348" s="184"/>
      <c r="O2348" s="184"/>
      <c r="P2348" t="s">
        <v>7045</v>
      </c>
      <c r="Q2348" t="s">
        <v>7494</v>
      </c>
      <c r="R2348" s="184">
        <v>18286</v>
      </c>
      <c r="S2348">
        <v>74</v>
      </c>
      <c r="U2348" t="s">
        <v>7031</v>
      </c>
      <c r="V2348" t="s">
        <v>3692</v>
      </c>
      <c r="X2348" t="s">
        <v>20342</v>
      </c>
      <c r="Z2348">
        <v>100075147</v>
      </c>
      <c r="AA2348" t="s">
        <v>7130</v>
      </c>
      <c r="AB2348" t="s">
        <v>3288</v>
      </c>
      <c r="AD2348" t="s">
        <v>20342</v>
      </c>
      <c r="AF2348" t="s">
        <v>6691</v>
      </c>
      <c r="AG2348" t="s">
        <v>20343</v>
      </c>
      <c r="AI2348" t="s">
        <v>20344</v>
      </c>
      <c r="AM2348" t="s">
        <v>4006</v>
      </c>
      <c r="AN2348" t="s">
        <v>2174</v>
      </c>
      <c r="AO2348" t="s">
        <v>20345</v>
      </c>
      <c r="AP2348" t="s">
        <v>7024</v>
      </c>
      <c r="AT2348" s="184">
        <v>36053</v>
      </c>
      <c r="AU2348" t="s">
        <v>20346</v>
      </c>
      <c r="AV2348">
        <v>25</v>
      </c>
      <c r="AW2348" s="184">
        <v>36826</v>
      </c>
      <c r="AX2348" t="s">
        <v>20347</v>
      </c>
      <c r="AY2348">
        <v>40</v>
      </c>
      <c r="AZ2348" s="184">
        <v>36826</v>
      </c>
      <c r="BA2348" t="s">
        <v>20347</v>
      </c>
      <c r="BB2348">
        <v>40</v>
      </c>
      <c r="BC2348">
        <v>12</v>
      </c>
      <c r="BD2348">
        <v>125</v>
      </c>
      <c r="BE2348">
        <v>1999</v>
      </c>
      <c r="BF2348">
        <v>5</v>
      </c>
      <c r="BI2348">
        <v>3</v>
      </c>
      <c r="BJ2348">
        <v>27</v>
      </c>
      <c r="BK2348">
        <v>3</v>
      </c>
      <c r="BP2348" s="184"/>
    </row>
    <row r="2349" spans="1:68">
      <c r="A2349">
        <v>100075147</v>
      </c>
      <c r="B2349">
        <v>28249159</v>
      </c>
      <c r="C2349" t="s">
        <v>7018</v>
      </c>
      <c r="E2349" s="184"/>
      <c r="G2349" s="184"/>
      <c r="I2349" s="184"/>
      <c r="J2349" t="s">
        <v>595</v>
      </c>
      <c r="K2349" s="184">
        <v>37435</v>
      </c>
      <c r="O2349" s="184"/>
      <c r="P2349" t="s">
        <v>7045</v>
      </c>
      <c r="Q2349" t="s">
        <v>7494</v>
      </c>
      <c r="R2349" s="184">
        <v>18416</v>
      </c>
      <c r="S2349">
        <v>73</v>
      </c>
      <c r="U2349" t="s">
        <v>7130</v>
      </c>
      <c r="V2349" t="s">
        <v>3288</v>
      </c>
      <c r="X2349" t="s">
        <v>20342</v>
      </c>
      <c r="Z2349">
        <v>28249159</v>
      </c>
      <c r="AA2349" t="s">
        <v>7031</v>
      </c>
      <c r="AB2349" t="s">
        <v>3692</v>
      </c>
      <c r="AD2349" t="s">
        <v>20342</v>
      </c>
      <c r="AF2349" t="s">
        <v>6691</v>
      </c>
      <c r="AG2349" t="s">
        <v>20343</v>
      </c>
      <c r="AI2349" t="s">
        <v>20344</v>
      </c>
      <c r="AM2349" t="s">
        <v>4006</v>
      </c>
      <c r="AN2349" t="s">
        <v>2174</v>
      </c>
      <c r="AO2349" t="s">
        <v>20345</v>
      </c>
      <c r="AP2349" t="s">
        <v>7024</v>
      </c>
      <c r="AT2349" s="184"/>
      <c r="AW2349" s="184"/>
      <c r="AZ2349" s="184"/>
      <c r="BP2349" s="184"/>
    </row>
    <row r="2350" spans="1:68">
      <c r="A2350">
        <v>28251650</v>
      </c>
      <c r="B2350">
        <v>28251650</v>
      </c>
      <c r="C2350" t="s">
        <v>7018</v>
      </c>
      <c r="D2350" t="s">
        <v>595</v>
      </c>
      <c r="E2350" s="184">
        <v>45195</v>
      </c>
      <c r="G2350" s="184"/>
      <c r="I2350" s="184"/>
      <c r="K2350" s="184"/>
      <c r="O2350" s="184"/>
      <c r="P2350" t="s">
        <v>7045</v>
      </c>
      <c r="Q2350" t="s">
        <v>7383</v>
      </c>
      <c r="R2350" s="184">
        <v>24898</v>
      </c>
      <c r="S2350">
        <v>56</v>
      </c>
      <c r="V2350" t="s">
        <v>4022</v>
      </c>
      <c r="W2350" t="s">
        <v>4013</v>
      </c>
      <c r="X2350" t="s">
        <v>20348</v>
      </c>
      <c r="AF2350" t="s">
        <v>20349</v>
      </c>
      <c r="AG2350" t="s">
        <v>4022</v>
      </c>
      <c r="AI2350" t="s">
        <v>20350</v>
      </c>
      <c r="AM2350" t="s">
        <v>20351</v>
      </c>
      <c r="AN2350" t="s">
        <v>2274</v>
      </c>
      <c r="AO2350" t="s">
        <v>20352</v>
      </c>
      <c r="AP2350" t="s">
        <v>7024</v>
      </c>
      <c r="AQ2350" t="s">
        <v>20353</v>
      </c>
      <c r="AR2350" t="s">
        <v>20354</v>
      </c>
      <c r="AT2350" s="184">
        <v>36053</v>
      </c>
      <c r="AU2350" t="s">
        <v>20355</v>
      </c>
      <c r="AV2350">
        <v>20</v>
      </c>
      <c r="AW2350" s="184">
        <v>45412</v>
      </c>
      <c r="AX2350" t="s">
        <v>14823</v>
      </c>
      <c r="AY2350">
        <v>25</v>
      </c>
      <c r="AZ2350" s="184">
        <v>39846</v>
      </c>
      <c r="BA2350" t="s">
        <v>20356</v>
      </c>
      <c r="BB2350">
        <v>50</v>
      </c>
      <c r="BC2350">
        <v>60</v>
      </c>
      <c r="BD2350">
        <v>595</v>
      </c>
      <c r="BE2350">
        <v>1999</v>
      </c>
      <c r="BF2350">
        <v>21</v>
      </c>
      <c r="BG2350">
        <v>3</v>
      </c>
      <c r="BH2350">
        <v>90</v>
      </c>
      <c r="BI2350">
        <v>16</v>
      </c>
      <c r="BJ2350">
        <v>27</v>
      </c>
      <c r="BK2350">
        <v>7</v>
      </c>
      <c r="BP2350" s="184"/>
    </row>
    <row r="2351" spans="1:68">
      <c r="A2351">
        <v>28265593</v>
      </c>
      <c r="B2351">
        <v>28265593</v>
      </c>
      <c r="C2351" t="s">
        <v>7018</v>
      </c>
      <c r="D2351" t="s">
        <v>595</v>
      </c>
      <c r="E2351" s="184">
        <v>44118</v>
      </c>
      <c r="G2351" s="184"/>
      <c r="I2351" s="184"/>
      <c r="K2351" s="184"/>
      <c r="O2351" s="184"/>
      <c r="P2351" t="s">
        <v>7045</v>
      </c>
      <c r="Q2351" t="s">
        <v>7374</v>
      </c>
      <c r="R2351" s="184">
        <v>20106</v>
      </c>
      <c r="S2351">
        <v>69</v>
      </c>
      <c r="U2351" t="s">
        <v>7076</v>
      </c>
      <c r="V2351" t="s">
        <v>3101</v>
      </c>
      <c r="X2351" t="s">
        <v>20357</v>
      </c>
      <c r="AF2351" t="s">
        <v>20358</v>
      </c>
      <c r="AG2351" t="s">
        <v>3101</v>
      </c>
      <c r="AI2351" t="s">
        <v>20359</v>
      </c>
      <c r="AM2351" t="s">
        <v>2570</v>
      </c>
      <c r="AN2351" t="s">
        <v>2081</v>
      </c>
      <c r="AO2351" t="s">
        <v>20360</v>
      </c>
      <c r="AP2351" t="s">
        <v>7024</v>
      </c>
      <c r="AQ2351" t="s">
        <v>20361</v>
      </c>
      <c r="AR2351" t="s">
        <v>20362</v>
      </c>
      <c r="AT2351" s="184">
        <v>36059</v>
      </c>
      <c r="AU2351" t="s">
        <v>20363</v>
      </c>
      <c r="AV2351">
        <v>15</v>
      </c>
      <c r="AW2351" s="184">
        <v>43355</v>
      </c>
      <c r="AX2351" t="s">
        <v>8727</v>
      </c>
      <c r="AY2351">
        <v>25</v>
      </c>
      <c r="AZ2351" s="184">
        <v>40931</v>
      </c>
      <c r="BA2351" t="s">
        <v>20364</v>
      </c>
      <c r="BB2351">
        <v>55</v>
      </c>
      <c r="BC2351">
        <v>78</v>
      </c>
      <c r="BD2351">
        <v>1325</v>
      </c>
      <c r="BE2351">
        <v>1999</v>
      </c>
      <c r="BF2351">
        <v>43</v>
      </c>
      <c r="BI2351">
        <v>21</v>
      </c>
      <c r="BJ2351">
        <v>27</v>
      </c>
      <c r="BK2351">
        <v>21</v>
      </c>
      <c r="BP2351" s="184"/>
    </row>
    <row r="2352" spans="1:68">
      <c r="A2352">
        <v>28281806</v>
      </c>
      <c r="B2352">
        <v>28281806</v>
      </c>
      <c r="C2352" t="s">
        <v>7018</v>
      </c>
      <c r="E2352" s="184"/>
      <c r="F2352" t="s">
        <v>595</v>
      </c>
      <c r="G2352" s="184">
        <v>43731</v>
      </c>
      <c r="I2352" s="184"/>
      <c r="K2352" s="184"/>
      <c r="M2352" s="184"/>
      <c r="O2352" s="184"/>
      <c r="P2352" t="s">
        <v>7019</v>
      </c>
      <c r="Q2352" t="s">
        <v>7160</v>
      </c>
      <c r="R2352" s="184">
        <v>18780</v>
      </c>
      <c r="S2352">
        <v>72</v>
      </c>
      <c r="V2352" t="s">
        <v>3103</v>
      </c>
      <c r="X2352" t="s">
        <v>3866</v>
      </c>
      <c r="AF2352" t="s">
        <v>20365</v>
      </c>
      <c r="AG2352" t="s">
        <v>3103</v>
      </c>
      <c r="AI2352" t="s">
        <v>20366</v>
      </c>
      <c r="AM2352" t="s">
        <v>3867</v>
      </c>
      <c r="AN2352" t="s">
        <v>2413</v>
      </c>
      <c r="AO2352" t="s">
        <v>20367</v>
      </c>
      <c r="AP2352" t="s">
        <v>7024</v>
      </c>
      <c r="AQ2352" t="s">
        <v>20368</v>
      </c>
      <c r="AR2352" t="s">
        <v>20369</v>
      </c>
      <c r="AT2352" s="184">
        <v>36060</v>
      </c>
      <c r="AU2352" t="s">
        <v>20370</v>
      </c>
      <c r="AV2352">
        <v>25</v>
      </c>
      <c r="AW2352" s="184">
        <v>43822</v>
      </c>
      <c r="AX2352" t="s">
        <v>20371</v>
      </c>
      <c r="AY2352">
        <v>60</v>
      </c>
      <c r="AZ2352" s="184">
        <v>43822</v>
      </c>
      <c r="BA2352" t="s">
        <v>20371</v>
      </c>
      <c r="BB2352">
        <v>60</v>
      </c>
      <c r="BC2352">
        <v>41</v>
      </c>
      <c r="BD2352">
        <v>680</v>
      </c>
      <c r="BE2352">
        <v>1999</v>
      </c>
      <c r="BF2352">
        <v>15</v>
      </c>
      <c r="BI2352">
        <v>11</v>
      </c>
      <c r="BJ2352">
        <v>27</v>
      </c>
      <c r="BK2352">
        <v>4</v>
      </c>
      <c r="BP2352" s="184"/>
    </row>
    <row r="2353" spans="1:68">
      <c r="A2353">
        <v>28291375</v>
      </c>
      <c r="B2353">
        <v>28291375</v>
      </c>
      <c r="C2353" t="s">
        <v>7018</v>
      </c>
      <c r="E2353" s="184"/>
      <c r="F2353" t="s">
        <v>595</v>
      </c>
      <c r="G2353" s="184">
        <v>43731</v>
      </c>
      <c r="I2353" s="184"/>
      <c r="K2353" s="184"/>
      <c r="M2353" s="184"/>
      <c r="O2353" s="184"/>
      <c r="P2353" t="s">
        <v>7045</v>
      </c>
      <c r="Q2353" t="s">
        <v>7494</v>
      </c>
      <c r="R2353" s="184">
        <v>18313</v>
      </c>
      <c r="S2353">
        <v>74</v>
      </c>
      <c r="V2353" t="s">
        <v>2969</v>
      </c>
      <c r="X2353" t="s">
        <v>3988</v>
      </c>
      <c r="AF2353" t="s">
        <v>20372</v>
      </c>
      <c r="AG2353" t="s">
        <v>2969</v>
      </c>
      <c r="AI2353" t="s">
        <v>20373</v>
      </c>
      <c r="AM2353" t="s">
        <v>3989</v>
      </c>
      <c r="AN2353" t="s">
        <v>2174</v>
      </c>
      <c r="AO2353" t="s">
        <v>20374</v>
      </c>
      <c r="AP2353" t="s">
        <v>7024</v>
      </c>
      <c r="AQ2353" t="s">
        <v>20375</v>
      </c>
      <c r="AR2353" t="s">
        <v>20376</v>
      </c>
      <c r="AT2353" s="184">
        <v>36060</v>
      </c>
      <c r="AU2353" t="s">
        <v>20377</v>
      </c>
      <c r="AV2353">
        <v>25</v>
      </c>
      <c r="AW2353" s="184">
        <v>44657</v>
      </c>
      <c r="AX2353" t="s">
        <v>20378</v>
      </c>
      <c r="AY2353">
        <v>25</v>
      </c>
      <c r="AZ2353" s="184">
        <v>39965</v>
      </c>
      <c r="BA2353" t="s">
        <v>20379</v>
      </c>
      <c r="BB2353">
        <v>30</v>
      </c>
      <c r="BC2353">
        <v>63</v>
      </c>
      <c r="BD2353">
        <v>705</v>
      </c>
      <c r="BE2353">
        <v>1999</v>
      </c>
      <c r="BF2353">
        <v>37</v>
      </c>
      <c r="BI2353">
        <v>17</v>
      </c>
      <c r="BJ2353">
        <v>27</v>
      </c>
      <c r="BK2353">
        <v>13</v>
      </c>
      <c r="BP2353" s="184"/>
    </row>
    <row r="2354" spans="1:68">
      <c r="A2354">
        <v>28316883</v>
      </c>
      <c r="B2354">
        <v>28316883</v>
      </c>
      <c r="C2354" t="s">
        <v>7018</v>
      </c>
      <c r="D2354" t="s">
        <v>595</v>
      </c>
      <c r="E2354" s="184">
        <v>44113</v>
      </c>
      <c r="G2354" s="184"/>
      <c r="I2354" s="184"/>
      <c r="K2354" s="184"/>
      <c r="M2354" s="184"/>
      <c r="O2354" s="184"/>
      <c r="P2354" t="s">
        <v>7029</v>
      </c>
      <c r="Q2354" t="s">
        <v>7262</v>
      </c>
      <c r="R2354" s="184">
        <v>15492</v>
      </c>
      <c r="S2354">
        <v>81</v>
      </c>
      <c r="U2354" t="s">
        <v>7130</v>
      </c>
      <c r="V2354" t="s">
        <v>7290</v>
      </c>
      <c r="X2354" t="s">
        <v>20380</v>
      </c>
      <c r="AF2354" t="s">
        <v>20381</v>
      </c>
      <c r="AG2354" t="s">
        <v>7290</v>
      </c>
      <c r="AI2354" t="s">
        <v>20382</v>
      </c>
      <c r="AM2354" t="s">
        <v>20383</v>
      </c>
      <c r="AN2354" t="s">
        <v>65</v>
      </c>
      <c r="AO2354" t="s">
        <v>20384</v>
      </c>
      <c r="AP2354" t="s">
        <v>7024</v>
      </c>
      <c r="AQ2354" t="s">
        <v>20385</v>
      </c>
      <c r="AR2354" t="s">
        <v>20386</v>
      </c>
      <c r="AT2354" s="184">
        <v>36070</v>
      </c>
      <c r="AU2354" t="s">
        <v>19956</v>
      </c>
      <c r="AV2354">
        <v>19.95</v>
      </c>
      <c r="AW2354" s="184">
        <v>45318</v>
      </c>
      <c r="AX2354" t="s">
        <v>20387</v>
      </c>
      <c r="AY2354">
        <v>250</v>
      </c>
      <c r="AZ2354" s="184">
        <v>45318</v>
      </c>
      <c r="BA2354" t="s">
        <v>20387</v>
      </c>
      <c r="BB2354">
        <v>250</v>
      </c>
      <c r="BC2354">
        <v>100</v>
      </c>
      <c r="BD2354">
        <v>5164.95</v>
      </c>
      <c r="BE2354">
        <v>1999</v>
      </c>
      <c r="BF2354">
        <v>39</v>
      </c>
      <c r="BG2354">
        <v>4</v>
      </c>
      <c r="BH2354">
        <v>700</v>
      </c>
      <c r="BI2354">
        <v>27</v>
      </c>
      <c r="BJ2354">
        <v>27</v>
      </c>
      <c r="BK2354">
        <v>27</v>
      </c>
      <c r="BP2354" s="184"/>
    </row>
    <row r="2355" spans="1:68">
      <c r="A2355">
        <v>28322998</v>
      </c>
      <c r="B2355">
        <v>28322998</v>
      </c>
      <c r="C2355" t="s">
        <v>7018</v>
      </c>
      <c r="D2355" t="s">
        <v>595</v>
      </c>
      <c r="E2355" s="184">
        <v>43745</v>
      </c>
      <c r="G2355" s="184"/>
      <c r="I2355" s="184"/>
      <c r="K2355" s="184"/>
      <c r="O2355" s="184"/>
      <c r="P2355" t="s">
        <v>7045</v>
      </c>
      <c r="Q2355" t="s">
        <v>7160</v>
      </c>
      <c r="R2355" s="184">
        <v>15554</v>
      </c>
      <c r="S2355">
        <v>81</v>
      </c>
      <c r="V2355" t="s">
        <v>2954</v>
      </c>
      <c r="W2355" t="s">
        <v>2316</v>
      </c>
      <c r="X2355" t="s">
        <v>4122</v>
      </c>
      <c r="AF2355" t="s">
        <v>20388</v>
      </c>
      <c r="AG2355" t="s">
        <v>2954</v>
      </c>
      <c r="AI2355" t="s">
        <v>20389</v>
      </c>
      <c r="AM2355" t="s">
        <v>4091</v>
      </c>
      <c r="AN2355" t="s">
        <v>2413</v>
      </c>
      <c r="AO2355" t="s">
        <v>20390</v>
      </c>
      <c r="AP2355" t="s">
        <v>7024</v>
      </c>
      <c r="AQ2355" t="s">
        <v>20391</v>
      </c>
      <c r="AT2355" s="184">
        <v>36068</v>
      </c>
      <c r="AU2355" t="s">
        <v>20392</v>
      </c>
      <c r="AV2355">
        <v>25</v>
      </c>
      <c r="AW2355" s="184">
        <v>44469</v>
      </c>
      <c r="AX2355" t="s">
        <v>20393</v>
      </c>
      <c r="AY2355">
        <v>10</v>
      </c>
      <c r="AZ2355" s="184">
        <v>39337</v>
      </c>
      <c r="BA2355" t="s">
        <v>20394</v>
      </c>
      <c r="BB2355">
        <v>60</v>
      </c>
      <c r="BC2355">
        <v>56</v>
      </c>
      <c r="BD2355">
        <v>645</v>
      </c>
      <c r="BE2355">
        <v>1999</v>
      </c>
      <c r="BF2355">
        <v>24</v>
      </c>
      <c r="BI2355">
        <v>15</v>
      </c>
      <c r="BJ2355">
        <v>27</v>
      </c>
      <c r="BK2355">
        <v>6</v>
      </c>
      <c r="BN2355" t="s">
        <v>595</v>
      </c>
      <c r="BP2355" s="184"/>
    </row>
    <row r="2356" spans="1:68">
      <c r="A2356">
        <v>28327146</v>
      </c>
      <c r="B2356">
        <v>28327146</v>
      </c>
      <c r="C2356" t="s">
        <v>7018</v>
      </c>
      <c r="D2356" t="s">
        <v>595</v>
      </c>
      <c r="E2356" s="184">
        <v>43801</v>
      </c>
      <c r="G2356" s="184"/>
      <c r="I2356" s="184"/>
      <c r="K2356" s="184"/>
      <c r="O2356" s="184"/>
      <c r="P2356" t="s">
        <v>7045</v>
      </c>
      <c r="Q2356" t="s">
        <v>7374</v>
      </c>
      <c r="R2356" s="184">
        <v>15888</v>
      </c>
      <c r="S2356">
        <v>80</v>
      </c>
      <c r="U2356" t="s">
        <v>7031</v>
      </c>
      <c r="V2356" t="s">
        <v>3632</v>
      </c>
      <c r="X2356" t="s">
        <v>4388</v>
      </c>
      <c r="AF2356" t="s">
        <v>20395</v>
      </c>
      <c r="AG2356" t="s">
        <v>3632</v>
      </c>
      <c r="AI2356" t="s">
        <v>20396</v>
      </c>
      <c r="AM2356" t="s">
        <v>3973</v>
      </c>
      <c r="AN2356" t="s">
        <v>2081</v>
      </c>
      <c r="AO2356" t="s">
        <v>20397</v>
      </c>
      <c r="AP2356" t="s">
        <v>7024</v>
      </c>
      <c r="AQ2356" t="s">
        <v>20398</v>
      </c>
      <c r="AR2356" t="s">
        <v>20399</v>
      </c>
      <c r="AT2356" s="184">
        <v>36070</v>
      </c>
      <c r="AU2356" t="s">
        <v>20400</v>
      </c>
      <c r="AV2356">
        <v>25</v>
      </c>
      <c r="AW2356" s="184">
        <v>45051</v>
      </c>
      <c r="AX2356" t="s">
        <v>20401</v>
      </c>
      <c r="AY2356">
        <v>500</v>
      </c>
      <c r="AZ2356" s="184">
        <v>45051</v>
      </c>
      <c r="BA2356" t="s">
        <v>20401</v>
      </c>
      <c r="BB2356">
        <v>500</v>
      </c>
      <c r="BC2356">
        <v>78</v>
      </c>
      <c r="BD2356">
        <v>2845</v>
      </c>
      <c r="BE2356">
        <v>1999</v>
      </c>
      <c r="BF2356">
        <v>41</v>
      </c>
      <c r="BG2356">
        <v>1</v>
      </c>
      <c r="BH2356">
        <v>500</v>
      </c>
      <c r="BI2356">
        <v>21</v>
      </c>
      <c r="BJ2356">
        <v>27</v>
      </c>
      <c r="BK2356">
        <v>10</v>
      </c>
      <c r="BN2356" t="s">
        <v>595</v>
      </c>
      <c r="BP2356" s="184"/>
    </row>
    <row r="2357" spans="1:68">
      <c r="A2357">
        <v>28349298</v>
      </c>
      <c r="B2357">
        <v>28349298</v>
      </c>
      <c r="C2357" t="s">
        <v>7018</v>
      </c>
      <c r="D2357" t="s">
        <v>595</v>
      </c>
      <c r="E2357" s="184">
        <v>43745</v>
      </c>
      <c r="G2357" s="184"/>
      <c r="I2357" s="184"/>
      <c r="K2357" s="184"/>
      <c r="O2357" s="184"/>
      <c r="P2357" t="s">
        <v>7045</v>
      </c>
      <c r="Q2357" t="s">
        <v>7020</v>
      </c>
      <c r="R2357" s="184">
        <v>15376</v>
      </c>
      <c r="S2357">
        <v>82</v>
      </c>
      <c r="U2357" t="s">
        <v>7130</v>
      </c>
      <c r="V2357" t="s">
        <v>4124</v>
      </c>
      <c r="W2357" t="s">
        <v>2049</v>
      </c>
      <c r="X2357" t="s">
        <v>4125</v>
      </c>
      <c r="AF2357" t="s">
        <v>20402</v>
      </c>
      <c r="AG2357" t="s">
        <v>4124</v>
      </c>
      <c r="AI2357" t="s">
        <v>20403</v>
      </c>
      <c r="AM2357" t="s">
        <v>4126</v>
      </c>
      <c r="AN2357" t="s">
        <v>2052</v>
      </c>
      <c r="AO2357" t="s">
        <v>20404</v>
      </c>
      <c r="AP2357" t="s">
        <v>7024</v>
      </c>
      <c r="AQ2357" t="s">
        <v>20405</v>
      </c>
      <c r="AR2357" t="s">
        <v>20406</v>
      </c>
      <c r="AT2357" s="184">
        <v>36077</v>
      </c>
      <c r="AU2357" t="s">
        <v>20407</v>
      </c>
      <c r="AV2357">
        <v>15</v>
      </c>
      <c r="AW2357" s="184">
        <v>43776</v>
      </c>
      <c r="AX2357" t="s">
        <v>20408</v>
      </c>
      <c r="AY2357">
        <v>15</v>
      </c>
      <c r="AZ2357" s="184">
        <v>43384</v>
      </c>
      <c r="BA2357" t="s">
        <v>20409</v>
      </c>
      <c r="BB2357">
        <v>25</v>
      </c>
      <c r="BC2357">
        <v>38</v>
      </c>
      <c r="BD2357">
        <v>175</v>
      </c>
      <c r="BE2357">
        <v>1999</v>
      </c>
      <c r="BF2357">
        <v>11</v>
      </c>
      <c r="BI2357">
        <v>10</v>
      </c>
      <c r="BJ2357">
        <v>27</v>
      </c>
      <c r="BK2357">
        <v>4</v>
      </c>
      <c r="BN2357" t="s">
        <v>595</v>
      </c>
      <c r="BP2357" s="184"/>
    </row>
    <row r="2358" spans="1:68">
      <c r="A2358">
        <v>28356251</v>
      </c>
      <c r="B2358">
        <v>28356251</v>
      </c>
      <c r="C2358" t="s">
        <v>7018</v>
      </c>
      <c r="E2358" s="184"/>
      <c r="G2358" s="184"/>
      <c r="I2358" s="184"/>
      <c r="J2358" t="s">
        <v>595</v>
      </c>
      <c r="K2358" s="184">
        <v>43731</v>
      </c>
      <c r="M2358" s="184"/>
      <c r="O2358" s="184"/>
      <c r="P2358" t="s">
        <v>7045</v>
      </c>
      <c r="Q2358" t="s">
        <v>7383</v>
      </c>
      <c r="R2358" s="184">
        <v>18780</v>
      </c>
      <c r="S2358">
        <v>72</v>
      </c>
      <c r="U2358" t="s">
        <v>7031</v>
      </c>
      <c r="V2358" t="s">
        <v>3825</v>
      </c>
      <c r="X2358" t="s">
        <v>3826</v>
      </c>
      <c r="AF2358" t="s">
        <v>6389</v>
      </c>
      <c r="AG2358" t="s">
        <v>3825</v>
      </c>
      <c r="AI2358" t="s">
        <v>20410</v>
      </c>
      <c r="AM2358" t="s">
        <v>20411</v>
      </c>
      <c r="AN2358" t="s">
        <v>2059</v>
      </c>
      <c r="AO2358" t="s">
        <v>20412</v>
      </c>
      <c r="AP2358" t="s">
        <v>7024</v>
      </c>
      <c r="AT2358" s="184">
        <v>36074</v>
      </c>
      <c r="AU2358" t="s">
        <v>20413</v>
      </c>
      <c r="AV2358">
        <v>20</v>
      </c>
      <c r="AW2358" s="184">
        <v>44469</v>
      </c>
      <c r="AX2358" t="s">
        <v>20414</v>
      </c>
      <c r="AY2358">
        <v>100</v>
      </c>
      <c r="AZ2358" s="184">
        <v>44469</v>
      </c>
      <c r="BA2358" t="s">
        <v>20414</v>
      </c>
      <c r="BB2358">
        <v>100</v>
      </c>
      <c r="BC2358">
        <v>67</v>
      </c>
      <c r="BD2358">
        <v>1310</v>
      </c>
      <c r="BE2358">
        <v>1999</v>
      </c>
      <c r="BF2358">
        <v>26</v>
      </c>
      <c r="BI2358">
        <v>18</v>
      </c>
      <c r="BJ2358">
        <v>27</v>
      </c>
      <c r="BK2358">
        <v>8</v>
      </c>
      <c r="BP2358" s="184"/>
    </row>
    <row r="2359" spans="1:68">
      <c r="A2359">
        <v>28360667</v>
      </c>
      <c r="B2359">
        <v>28360667</v>
      </c>
      <c r="C2359" t="s">
        <v>7018</v>
      </c>
      <c r="D2359" t="s">
        <v>595</v>
      </c>
      <c r="E2359" s="184">
        <v>45124</v>
      </c>
      <c r="G2359" s="184"/>
      <c r="I2359" s="184"/>
      <c r="K2359" s="184"/>
      <c r="O2359" s="184"/>
      <c r="P2359" t="s">
        <v>7045</v>
      </c>
      <c r="Q2359" t="s">
        <v>7194</v>
      </c>
      <c r="R2359" s="184">
        <v>24619</v>
      </c>
      <c r="S2359">
        <v>56</v>
      </c>
      <c r="U2359" t="s">
        <v>7031</v>
      </c>
      <c r="V2359" t="s">
        <v>20415</v>
      </c>
      <c r="W2359" t="s">
        <v>4013</v>
      </c>
      <c r="X2359" t="s">
        <v>20416</v>
      </c>
      <c r="AF2359" t="s">
        <v>20417</v>
      </c>
      <c r="AG2359" t="s">
        <v>20415</v>
      </c>
      <c r="AI2359" t="s">
        <v>20418</v>
      </c>
      <c r="AM2359" t="s">
        <v>4359</v>
      </c>
      <c r="AN2359" t="s">
        <v>2046</v>
      </c>
      <c r="AO2359" t="s">
        <v>20419</v>
      </c>
      <c r="AP2359" t="s">
        <v>7024</v>
      </c>
      <c r="AQ2359" t="s">
        <v>20420</v>
      </c>
      <c r="AR2359" t="s">
        <v>20421</v>
      </c>
      <c r="AT2359" s="184">
        <v>36080</v>
      </c>
      <c r="AU2359" t="s">
        <v>20422</v>
      </c>
      <c r="AV2359">
        <v>20</v>
      </c>
      <c r="AW2359" s="184">
        <v>45060</v>
      </c>
      <c r="AX2359" t="s">
        <v>7832</v>
      </c>
      <c r="AY2359">
        <v>50</v>
      </c>
      <c r="AZ2359" s="184">
        <v>41716</v>
      </c>
      <c r="BA2359" t="s">
        <v>20423</v>
      </c>
      <c r="BB2359">
        <v>60</v>
      </c>
      <c r="BC2359">
        <v>56</v>
      </c>
      <c r="BD2359">
        <v>484.95</v>
      </c>
      <c r="BE2359">
        <v>1999</v>
      </c>
      <c r="BF2359">
        <v>16</v>
      </c>
      <c r="BG2359">
        <v>1</v>
      </c>
      <c r="BH2359">
        <v>50</v>
      </c>
      <c r="BI2359">
        <v>15</v>
      </c>
      <c r="BJ2359">
        <v>27</v>
      </c>
      <c r="BK2359">
        <v>5</v>
      </c>
      <c r="BP2359" s="184"/>
    </row>
    <row r="2360" spans="1:68">
      <c r="A2360">
        <v>28361244</v>
      </c>
      <c r="B2360">
        <v>28361244</v>
      </c>
      <c r="C2360" t="s">
        <v>7018</v>
      </c>
      <c r="E2360" s="184"/>
      <c r="F2360" t="s">
        <v>595</v>
      </c>
      <c r="G2360" s="184">
        <v>44073</v>
      </c>
      <c r="I2360" s="184"/>
      <c r="K2360" s="184"/>
      <c r="M2360" s="184"/>
      <c r="O2360" s="184"/>
      <c r="P2360" t="s">
        <v>7045</v>
      </c>
      <c r="Q2360" t="s">
        <v>7020</v>
      </c>
      <c r="R2360" s="184">
        <v>18933</v>
      </c>
      <c r="S2360">
        <v>72</v>
      </c>
      <c r="U2360" t="s">
        <v>7076</v>
      </c>
      <c r="V2360" t="s">
        <v>2523</v>
      </c>
      <c r="W2360" t="s">
        <v>7560</v>
      </c>
      <c r="X2360" t="s">
        <v>20424</v>
      </c>
      <c r="AF2360" t="s">
        <v>20425</v>
      </c>
      <c r="AG2360" t="s">
        <v>2523</v>
      </c>
      <c r="AI2360" t="s">
        <v>20426</v>
      </c>
      <c r="AM2360" t="s">
        <v>20427</v>
      </c>
      <c r="AN2360" t="s">
        <v>2363</v>
      </c>
      <c r="AO2360" t="s">
        <v>20428</v>
      </c>
      <c r="AP2360" t="s">
        <v>7024</v>
      </c>
      <c r="AQ2360" t="s">
        <v>20429</v>
      </c>
      <c r="AR2360" t="s">
        <v>20430</v>
      </c>
      <c r="AT2360" s="184">
        <v>36080</v>
      </c>
      <c r="AU2360" t="s">
        <v>20431</v>
      </c>
      <c r="AV2360">
        <v>25</v>
      </c>
      <c r="AW2360" s="184">
        <v>45094</v>
      </c>
      <c r="AX2360" t="s">
        <v>17239</v>
      </c>
      <c r="AY2360">
        <v>75</v>
      </c>
      <c r="AZ2360" s="184">
        <v>44561</v>
      </c>
      <c r="BA2360" t="s">
        <v>9028</v>
      </c>
      <c r="BB2360">
        <v>200</v>
      </c>
      <c r="BC2360">
        <v>97</v>
      </c>
      <c r="BD2360">
        <v>1825</v>
      </c>
      <c r="BE2360">
        <v>1999</v>
      </c>
      <c r="BF2360">
        <v>31</v>
      </c>
      <c r="BG2360">
        <v>2</v>
      </c>
      <c r="BH2360">
        <v>150</v>
      </c>
      <c r="BI2360">
        <v>26</v>
      </c>
      <c r="BJ2360">
        <v>27</v>
      </c>
      <c r="BK2360">
        <v>26</v>
      </c>
      <c r="BP2360" s="184"/>
    </row>
    <row r="2361" spans="1:68">
      <c r="A2361">
        <v>28387918</v>
      </c>
      <c r="B2361">
        <v>28387918</v>
      </c>
      <c r="C2361" t="s">
        <v>7018</v>
      </c>
      <c r="E2361" s="184"/>
      <c r="G2361" s="184"/>
      <c r="I2361" s="184"/>
      <c r="K2361" s="184"/>
      <c r="M2361" s="184"/>
      <c r="N2361" t="s">
        <v>595</v>
      </c>
      <c r="O2361" s="184">
        <v>38134</v>
      </c>
      <c r="P2361" t="s">
        <v>7045</v>
      </c>
      <c r="Q2361" t="s">
        <v>7454</v>
      </c>
      <c r="R2361" s="184">
        <v>9607</v>
      </c>
      <c r="S2361">
        <v>98</v>
      </c>
      <c r="U2361" t="s">
        <v>7130</v>
      </c>
      <c r="V2361" t="s">
        <v>16193</v>
      </c>
      <c r="X2361" t="s">
        <v>14212</v>
      </c>
      <c r="Z2361">
        <v>100075670</v>
      </c>
      <c r="AA2361" t="s">
        <v>7031</v>
      </c>
      <c r="AB2361" t="s">
        <v>3246</v>
      </c>
      <c r="AD2361" t="s">
        <v>14212</v>
      </c>
      <c r="AF2361" t="s">
        <v>20432</v>
      </c>
      <c r="AG2361" t="s">
        <v>16193</v>
      </c>
      <c r="AI2361" t="s">
        <v>20433</v>
      </c>
      <c r="AJ2361" t="s">
        <v>20434</v>
      </c>
      <c r="AM2361" t="s">
        <v>3855</v>
      </c>
      <c r="AN2361" t="s">
        <v>2055</v>
      </c>
      <c r="AO2361">
        <v>98104</v>
      </c>
      <c r="AP2361" t="s">
        <v>7024</v>
      </c>
      <c r="AQ2361" t="s">
        <v>20435</v>
      </c>
      <c r="AT2361" s="184">
        <v>36091</v>
      </c>
      <c r="AU2361" t="s">
        <v>20436</v>
      </c>
      <c r="AV2361">
        <v>25</v>
      </c>
      <c r="AW2361" s="184">
        <v>42200</v>
      </c>
      <c r="AX2361" t="s">
        <v>20437</v>
      </c>
      <c r="AY2361">
        <v>35</v>
      </c>
      <c r="AZ2361" s="184">
        <v>38141</v>
      </c>
      <c r="BA2361" t="s">
        <v>10310</v>
      </c>
      <c r="BB2361">
        <v>10000</v>
      </c>
      <c r="BC2361">
        <v>63</v>
      </c>
      <c r="BD2361">
        <v>11885</v>
      </c>
      <c r="BE2361">
        <v>1999</v>
      </c>
      <c r="BF2361">
        <v>58</v>
      </c>
      <c r="BI2361">
        <v>17</v>
      </c>
      <c r="BJ2361">
        <v>27</v>
      </c>
      <c r="BK2361">
        <v>16</v>
      </c>
      <c r="BP2361" s="184"/>
    </row>
    <row r="2362" spans="1:68">
      <c r="A2362">
        <v>100075670</v>
      </c>
      <c r="B2362">
        <v>28387918</v>
      </c>
      <c r="C2362" t="s">
        <v>7018</v>
      </c>
      <c r="E2362" s="184"/>
      <c r="G2362" s="184"/>
      <c r="I2362" s="184"/>
      <c r="K2362" s="184"/>
      <c r="M2362" s="184"/>
      <c r="N2362" t="s">
        <v>595</v>
      </c>
      <c r="O2362" s="184">
        <v>38134</v>
      </c>
      <c r="P2362" t="s">
        <v>7045</v>
      </c>
      <c r="Q2362" t="s">
        <v>7454</v>
      </c>
      <c r="R2362" s="184">
        <v>7310</v>
      </c>
      <c r="S2362">
        <v>104</v>
      </c>
      <c r="U2362" t="s">
        <v>7031</v>
      </c>
      <c r="V2362" t="s">
        <v>3246</v>
      </c>
      <c r="X2362" t="s">
        <v>14212</v>
      </c>
      <c r="Z2362">
        <v>28387918</v>
      </c>
      <c r="AA2362" t="s">
        <v>7130</v>
      </c>
      <c r="AB2362" t="s">
        <v>16193</v>
      </c>
      <c r="AD2362" t="s">
        <v>14212</v>
      </c>
      <c r="AF2362" t="s">
        <v>20432</v>
      </c>
      <c r="AG2362" t="s">
        <v>16193</v>
      </c>
      <c r="AI2362" t="s">
        <v>20433</v>
      </c>
      <c r="AJ2362" t="s">
        <v>20434</v>
      </c>
      <c r="AM2362" t="s">
        <v>3855</v>
      </c>
      <c r="AN2362" t="s">
        <v>2055</v>
      </c>
      <c r="AO2362">
        <v>98104</v>
      </c>
      <c r="AP2362" t="s">
        <v>7024</v>
      </c>
      <c r="AQ2362" t="s">
        <v>20438</v>
      </c>
      <c r="AT2362" s="184"/>
      <c r="AW2362" s="184"/>
      <c r="AZ2362" s="184"/>
      <c r="BO2362" t="s">
        <v>595</v>
      </c>
      <c r="BP2362" s="184">
        <v>42404</v>
      </c>
    </row>
    <row r="2363" spans="1:68">
      <c r="A2363">
        <v>28405314</v>
      </c>
      <c r="B2363">
        <v>28405314</v>
      </c>
      <c r="C2363" t="s">
        <v>7018</v>
      </c>
      <c r="E2363" s="184"/>
      <c r="G2363" s="184"/>
      <c r="I2363" s="184"/>
      <c r="J2363" t="s">
        <v>595</v>
      </c>
      <c r="K2363" s="184">
        <v>40953</v>
      </c>
      <c r="O2363" s="184"/>
      <c r="P2363" t="s">
        <v>7045</v>
      </c>
      <c r="Q2363" t="s">
        <v>7030</v>
      </c>
      <c r="R2363" s="184">
        <v>15972</v>
      </c>
      <c r="S2363">
        <v>80</v>
      </c>
      <c r="V2363" t="s">
        <v>2586</v>
      </c>
      <c r="W2363" t="s">
        <v>2058</v>
      </c>
      <c r="X2363" t="s">
        <v>20439</v>
      </c>
      <c r="AF2363" t="s">
        <v>6506</v>
      </c>
      <c r="AG2363" t="s">
        <v>2586</v>
      </c>
      <c r="AI2363" t="s">
        <v>20440</v>
      </c>
      <c r="AM2363" t="s">
        <v>2930</v>
      </c>
      <c r="AN2363" t="s">
        <v>2094</v>
      </c>
      <c r="AO2363" t="s">
        <v>20441</v>
      </c>
      <c r="AP2363" t="s">
        <v>7024</v>
      </c>
      <c r="AQ2363" t="s">
        <v>20442</v>
      </c>
      <c r="AT2363" s="184">
        <v>36089</v>
      </c>
      <c r="AU2363" t="s">
        <v>20443</v>
      </c>
      <c r="AV2363">
        <v>20</v>
      </c>
      <c r="AW2363" s="184">
        <v>44221</v>
      </c>
      <c r="AX2363" t="s">
        <v>20444</v>
      </c>
      <c r="AY2363">
        <v>100</v>
      </c>
      <c r="AZ2363" s="184">
        <v>44221</v>
      </c>
      <c r="BA2363" t="s">
        <v>20444</v>
      </c>
      <c r="BB2363">
        <v>100</v>
      </c>
      <c r="BC2363">
        <v>60</v>
      </c>
      <c r="BD2363">
        <v>877</v>
      </c>
      <c r="BE2363">
        <v>1999</v>
      </c>
      <c r="BF2363">
        <v>20</v>
      </c>
      <c r="BI2363">
        <v>16</v>
      </c>
      <c r="BJ2363">
        <v>27</v>
      </c>
      <c r="BK2363">
        <v>11</v>
      </c>
      <c r="BP2363" s="184"/>
    </row>
    <row r="2364" spans="1:68">
      <c r="A2364">
        <v>28411627</v>
      </c>
      <c r="B2364">
        <v>28411627</v>
      </c>
      <c r="C2364" t="s">
        <v>7018</v>
      </c>
      <c r="E2364" s="184"/>
      <c r="I2364" s="184"/>
      <c r="J2364" t="s">
        <v>595</v>
      </c>
      <c r="K2364" s="184">
        <v>43649</v>
      </c>
      <c r="M2364" s="184"/>
      <c r="O2364" s="184"/>
      <c r="P2364" t="s">
        <v>7045</v>
      </c>
      <c r="Q2364" t="s">
        <v>7030</v>
      </c>
      <c r="R2364" s="184">
        <v>17533</v>
      </c>
      <c r="S2364">
        <v>76</v>
      </c>
      <c r="V2364" t="s">
        <v>3435</v>
      </c>
      <c r="X2364" t="s">
        <v>3473</v>
      </c>
      <c r="Z2364">
        <v>100075763</v>
      </c>
      <c r="AB2364" t="s">
        <v>3730</v>
      </c>
      <c r="AD2364" t="s">
        <v>4631</v>
      </c>
      <c r="AF2364" t="s">
        <v>6515</v>
      </c>
      <c r="AG2364" t="s">
        <v>20445</v>
      </c>
      <c r="AI2364" t="s">
        <v>20446</v>
      </c>
      <c r="AM2364" t="s">
        <v>3181</v>
      </c>
      <c r="AN2364" t="s">
        <v>2094</v>
      </c>
      <c r="AO2364" t="s">
        <v>20447</v>
      </c>
      <c r="AP2364" t="s">
        <v>7024</v>
      </c>
      <c r="AQ2364" t="s">
        <v>20448</v>
      </c>
      <c r="AR2364" t="s">
        <v>20449</v>
      </c>
      <c r="AT2364" s="184">
        <v>36090</v>
      </c>
      <c r="AU2364" t="s">
        <v>20450</v>
      </c>
      <c r="AV2364">
        <v>25</v>
      </c>
      <c r="AW2364" s="184">
        <v>44819</v>
      </c>
      <c r="AX2364" t="s">
        <v>20451</v>
      </c>
      <c r="AY2364">
        <v>35</v>
      </c>
      <c r="AZ2364" s="184">
        <v>42828</v>
      </c>
      <c r="BA2364" t="s">
        <v>20452</v>
      </c>
      <c r="BB2364">
        <v>100</v>
      </c>
      <c r="BC2364">
        <v>67</v>
      </c>
      <c r="BD2364">
        <v>838.49</v>
      </c>
      <c r="BE2364">
        <v>1999</v>
      </c>
      <c r="BF2364">
        <v>21</v>
      </c>
      <c r="BG2364">
        <v>1</v>
      </c>
      <c r="BH2364">
        <v>35</v>
      </c>
      <c r="BI2364">
        <v>18</v>
      </c>
      <c r="BJ2364">
        <v>27</v>
      </c>
      <c r="BK2364">
        <v>5</v>
      </c>
      <c r="BP2364" s="184"/>
    </row>
    <row r="2365" spans="1:68">
      <c r="A2365">
        <v>100075763</v>
      </c>
      <c r="B2365">
        <v>28411627</v>
      </c>
      <c r="C2365" t="s">
        <v>7018</v>
      </c>
      <c r="E2365" s="184"/>
      <c r="G2365" s="184"/>
      <c r="I2365" s="184"/>
      <c r="J2365" t="s">
        <v>595</v>
      </c>
      <c r="K2365" s="184">
        <v>43649</v>
      </c>
      <c r="M2365" s="184"/>
      <c r="O2365" s="184"/>
      <c r="P2365" t="s">
        <v>7045</v>
      </c>
      <c r="Q2365" t="s">
        <v>7030</v>
      </c>
      <c r="R2365" s="184">
        <v>17533</v>
      </c>
      <c r="S2365">
        <v>76</v>
      </c>
      <c r="V2365" t="s">
        <v>3730</v>
      </c>
      <c r="X2365" t="s">
        <v>4631</v>
      </c>
      <c r="Z2365">
        <v>28411627</v>
      </c>
      <c r="AB2365" t="s">
        <v>3435</v>
      </c>
      <c r="AD2365" t="s">
        <v>3473</v>
      </c>
      <c r="AF2365" t="s">
        <v>6515</v>
      </c>
      <c r="AG2365" t="s">
        <v>20445</v>
      </c>
      <c r="AI2365" t="s">
        <v>20446</v>
      </c>
      <c r="AM2365" t="s">
        <v>3181</v>
      </c>
      <c r="AN2365" t="s">
        <v>2094</v>
      </c>
      <c r="AO2365" t="s">
        <v>20447</v>
      </c>
      <c r="AP2365" t="s">
        <v>7024</v>
      </c>
      <c r="AT2365" s="184"/>
      <c r="AW2365" s="184"/>
      <c r="AZ2365" s="184"/>
      <c r="BP2365" s="184"/>
    </row>
    <row r="2366" spans="1:68">
      <c r="A2366">
        <v>28411965</v>
      </c>
      <c r="B2366">
        <v>28411965</v>
      </c>
      <c r="C2366" t="s">
        <v>7018</v>
      </c>
      <c r="E2366" s="184"/>
      <c r="G2366" s="184"/>
      <c r="H2366" t="s">
        <v>595</v>
      </c>
      <c r="I2366" s="184">
        <v>44070</v>
      </c>
      <c r="K2366" s="184"/>
      <c r="M2366" s="184"/>
      <c r="P2366" t="s">
        <v>7045</v>
      </c>
      <c r="Q2366" t="s">
        <v>7020</v>
      </c>
      <c r="R2366" s="184">
        <v>17050</v>
      </c>
      <c r="S2366">
        <v>77</v>
      </c>
      <c r="U2366" t="s">
        <v>7031</v>
      </c>
      <c r="V2366" t="s">
        <v>2687</v>
      </c>
      <c r="W2366" t="s">
        <v>2049</v>
      </c>
      <c r="X2366" t="s">
        <v>4901</v>
      </c>
      <c r="AF2366" t="s">
        <v>20453</v>
      </c>
      <c r="AG2366" t="s">
        <v>2687</v>
      </c>
      <c r="AI2366" t="s">
        <v>20454</v>
      </c>
      <c r="AM2366" t="s">
        <v>4902</v>
      </c>
      <c r="AN2366" t="s">
        <v>2112</v>
      </c>
      <c r="AO2366" t="s">
        <v>20455</v>
      </c>
      <c r="AP2366" t="s">
        <v>7024</v>
      </c>
      <c r="AQ2366" t="s">
        <v>20456</v>
      </c>
      <c r="AT2366" s="184">
        <v>36090</v>
      </c>
      <c r="AU2366" t="s">
        <v>20422</v>
      </c>
      <c r="AV2366">
        <v>25</v>
      </c>
      <c r="AW2366" s="184">
        <v>45340</v>
      </c>
      <c r="AX2366" t="s">
        <v>20457</v>
      </c>
      <c r="AY2366">
        <v>50</v>
      </c>
      <c r="AZ2366" s="184">
        <v>44292</v>
      </c>
      <c r="BA2366" t="s">
        <v>20458</v>
      </c>
      <c r="BB2366">
        <v>100</v>
      </c>
      <c r="BC2366">
        <v>86</v>
      </c>
      <c r="BD2366">
        <v>1520</v>
      </c>
      <c r="BE2366">
        <v>1999</v>
      </c>
      <c r="BF2366">
        <v>41</v>
      </c>
      <c r="BG2366">
        <v>4</v>
      </c>
      <c r="BH2366">
        <v>155</v>
      </c>
      <c r="BI2366">
        <v>23</v>
      </c>
      <c r="BJ2366">
        <v>27</v>
      </c>
      <c r="BK2366">
        <v>16</v>
      </c>
      <c r="BP2366" s="184"/>
    </row>
    <row r="2367" spans="1:68">
      <c r="A2367">
        <v>28437309</v>
      </c>
      <c r="B2367">
        <v>28437309</v>
      </c>
      <c r="C2367" t="s">
        <v>7018</v>
      </c>
      <c r="D2367" t="s">
        <v>595</v>
      </c>
      <c r="E2367" s="184">
        <v>43642</v>
      </c>
      <c r="G2367" s="184"/>
      <c r="I2367" s="184"/>
      <c r="K2367" s="184"/>
      <c r="O2367" s="184"/>
      <c r="P2367" t="s">
        <v>7045</v>
      </c>
      <c r="Q2367" t="s">
        <v>7383</v>
      </c>
      <c r="R2367" s="184">
        <v>16224</v>
      </c>
      <c r="S2367">
        <v>79</v>
      </c>
      <c r="V2367" t="s">
        <v>3304</v>
      </c>
      <c r="X2367" t="s">
        <v>2661</v>
      </c>
      <c r="AF2367" t="s">
        <v>20459</v>
      </c>
      <c r="AG2367" t="s">
        <v>3304</v>
      </c>
      <c r="AI2367" t="s">
        <v>20460</v>
      </c>
      <c r="AM2367" t="s">
        <v>4547</v>
      </c>
      <c r="AN2367" t="s">
        <v>2072</v>
      </c>
      <c r="AO2367" t="s">
        <v>20461</v>
      </c>
      <c r="AP2367" t="s">
        <v>7024</v>
      </c>
      <c r="AT2367" s="184">
        <v>36095</v>
      </c>
      <c r="AU2367" t="s">
        <v>20462</v>
      </c>
      <c r="AV2367">
        <v>15</v>
      </c>
      <c r="AW2367" s="184">
        <v>44551</v>
      </c>
      <c r="AX2367" t="s">
        <v>20463</v>
      </c>
      <c r="AY2367">
        <v>20</v>
      </c>
      <c r="AZ2367" s="184">
        <v>39356</v>
      </c>
      <c r="BA2367" t="s">
        <v>20464</v>
      </c>
      <c r="BB2367">
        <v>25</v>
      </c>
      <c r="BC2367">
        <v>41</v>
      </c>
      <c r="BD2367">
        <v>260</v>
      </c>
      <c r="BE2367">
        <v>1999</v>
      </c>
      <c r="BF2367">
        <v>11</v>
      </c>
      <c r="BI2367">
        <v>11</v>
      </c>
      <c r="BJ2367">
        <v>27</v>
      </c>
      <c r="BK2367">
        <v>10</v>
      </c>
      <c r="BP2367" s="184"/>
    </row>
    <row r="2368" spans="1:68">
      <c r="A2368">
        <v>28457265</v>
      </c>
      <c r="B2368">
        <v>28457265</v>
      </c>
      <c r="C2368" t="s">
        <v>7018</v>
      </c>
      <c r="E2368" s="184"/>
      <c r="G2368" s="184"/>
      <c r="I2368" s="184"/>
      <c r="J2368" t="s">
        <v>595</v>
      </c>
      <c r="K2368" s="184">
        <v>44367</v>
      </c>
      <c r="O2368" s="184"/>
      <c r="P2368" t="s">
        <v>7084</v>
      </c>
      <c r="Q2368" t="s">
        <v>7454</v>
      </c>
      <c r="R2368" s="184">
        <v>10072</v>
      </c>
      <c r="S2368">
        <v>96</v>
      </c>
      <c r="U2368" t="s">
        <v>7031</v>
      </c>
      <c r="V2368" t="s">
        <v>19711</v>
      </c>
      <c r="W2368" t="s">
        <v>4327</v>
      </c>
      <c r="X2368" t="s">
        <v>20465</v>
      </c>
      <c r="AF2368" t="s">
        <v>20466</v>
      </c>
      <c r="AG2368" t="s">
        <v>19711</v>
      </c>
      <c r="AI2368" t="s">
        <v>20467</v>
      </c>
      <c r="AM2368" t="s">
        <v>3855</v>
      </c>
      <c r="AN2368" t="s">
        <v>2055</v>
      </c>
      <c r="AO2368" t="s">
        <v>20468</v>
      </c>
      <c r="AP2368" t="s">
        <v>7024</v>
      </c>
      <c r="AQ2368" t="s">
        <v>20469</v>
      </c>
      <c r="AT2368" s="184">
        <v>36101</v>
      </c>
      <c r="AU2368" t="s">
        <v>20470</v>
      </c>
      <c r="AV2368">
        <v>25</v>
      </c>
      <c r="AW2368" s="184">
        <v>45107</v>
      </c>
      <c r="AX2368" t="s">
        <v>7721</v>
      </c>
      <c r="AY2368">
        <v>31178.73</v>
      </c>
      <c r="AZ2368" s="184">
        <v>44606</v>
      </c>
      <c r="BA2368" t="s">
        <v>7093</v>
      </c>
      <c r="BB2368">
        <v>150000</v>
      </c>
      <c r="BC2368">
        <v>78</v>
      </c>
      <c r="BD2368">
        <v>189723.73</v>
      </c>
      <c r="BE2368">
        <v>1999</v>
      </c>
      <c r="BF2368">
        <v>21</v>
      </c>
      <c r="BG2368">
        <v>1</v>
      </c>
      <c r="BH2368">
        <v>31178.73</v>
      </c>
      <c r="BI2368">
        <v>21</v>
      </c>
      <c r="BJ2368">
        <v>27</v>
      </c>
      <c r="BK2368">
        <v>8</v>
      </c>
      <c r="BO2368" t="s">
        <v>595</v>
      </c>
      <c r="BP2368" s="184">
        <v>44300</v>
      </c>
    </row>
    <row r="2369" spans="1:68">
      <c r="A2369">
        <v>28473866</v>
      </c>
      <c r="B2369">
        <v>28473866</v>
      </c>
      <c r="C2369" t="s">
        <v>7018</v>
      </c>
      <c r="D2369" t="s">
        <v>595</v>
      </c>
      <c r="E2369" s="184">
        <v>45278</v>
      </c>
      <c r="G2369" s="184"/>
      <c r="K2369" s="184"/>
      <c r="M2369" s="184"/>
      <c r="O2369" s="184"/>
      <c r="P2369" t="s">
        <v>7045</v>
      </c>
      <c r="Q2369" t="s">
        <v>7262</v>
      </c>
      <c r="R2369" s="184">
        <v>28210</v>
      </c>
      <c r="S2369">
        <v>47</v>
      </c>
      <c r="V2369" t="s">
        <v>3783</v>
      </c>
      <c r="W2369" t="s">
        <v>7396</v>
      </c>
      <c r="X2369" t="s">
        <v>20471</v>
      </c>
      <c r="AF2369" t="s">
        <v>20472</v>
      </c>
      <c r="AG2369" t="s">
        <v>3783</v>
      </c>
      <c r="AI2369" t="s">
        <v>20473</v>
      </c>
      <c r="AM2369" t="s">
        <v>5415</v>
      </c>
      <c r="AN2369" t="s">
        <v>2219</v>
      </c>
      <c r="AO2369" t="s">
        <v>20474</v>
      </c>
      <c r="AP2369" t="s">
        <v>7024</v>
      </c>
      <c r="AQ2369" t="s">
        <v>20475</v>
      </c>
      <c r="AR2369" t="s">
        <v>20476</v>
      </c>
      <c r="AT2369" s="184">
        <v>36115</v>
      </c>
      <c r="AU2369" t="s">
        <v>20477</v>
      </c>
      <c r="AV2369">
        <v>50</v>
      </c>
      <c r="AW2369" s="184">
        <v>45337</v>
      </c>
      <c r="AX2369" t="s">
        <v>18549</v>
      </c>
      <c r="AY2369">
        <v>50</v>
      </c>
      <c r="AZ2369" s="184">
        <v>38909</v>
      </c>
      <c r="BA2369" t="s">
        <v>20478</v>
      </c>
      <c r="BB2369">
        <v>500</v>
      </c>
      <c r="BC2369">
        <v>97</v>
      </c>
      <c r="BD2369">
        <v>3450</v>
      </c>
      <c r="BE2369">
        <v>1999</v>
      </c>
      <c r="BF2369">
        <v>26</v>
      </c>
      <c r="BG2369">
        <v>2</v>
      </c>
      <c r="BH2369">
        <v>100</v>
      </c>
      <c r="BI2369">
        <v>26</v>
      </c>
      <c r="BJ2369">
        <v>27</v>
      </c>
      <c r="BK2369">
        <v>19</v>
      </c>
      <c r="BP2369" s="184"/>
    </row>
    <row r="2370" spans="1:68">
      <c r="A2370">
        <v>28473957</v>
      </c>
      <c r="B2370">
        <v>28473957</v>
      </c>
      <c r="C2370" t="s">
        <v>7018</v>
      </c>
      <c r="E2370" s="184"/>
      <c r="G2370" s="184"/>
      <c r="I2370" s="184"/>
      <c r="J2370" t="s">
        <v>595</v>
      </c>
      <c r="K2370" s="184">
        <v>38832</v>
      </c>
      <c r="O2370" s="184"/>
      <c r="P2370" t="s">
        <v>7045</v>
      </c>
      <c r="Q2370" t="s">
        <v>7030</v>
      </c>
      <c r="R2370" s="184">
        <v>16102</v>
      </c>
      <c r="S2370">
        <v>80</v>
      </c>
      <c r="U2370" t="s">
        <v>7237</v>
      </c>
      <c r="V2370" t="s">
        <v>2511</v>
      </c>
      <c r="W2370" t="s">
        <v>7246</v>
      </c>
      <c r="X2370" t="s">
        <v>2706</v>
      </c>
      <c r="AF2370" t="s">
        <v>6357</v>
      </c>
      <c r="AG2370" t="s">
        <v>2511</v>
      </c>
      <c r="AI2370" t="s">
        <v>20479</v>
      </c>
      <c r="AM2370" t="s">
        <v>4295</v>
      </c>
      <c r="AN2370" t="s">
        <v>2089</v>
      </c>
      <c r="AO2370" t="s">
        <v>20480</v>
      </c>
      <c r="AP2370" t="s">
        <v>7024</v>
      </c>
      <c r="AQ2370" t="s">
        <v>20481</v>
      </c>
      <c r="AR2370" t="s">
        <v>20482</v>
      </c>
      <c r="AT2370" s="184">
        <v>36115</v>
      </c>
      <c r="AU2370" t="s">
        <v>19046</v>
      </c>
      <c r="AV2370">
        <v>25</v>
      </c>
      <c r="AW2370" s="184">
        <v>45274</v>
      </c>
      <c r="AX2370" t="s">
        <v>7515</v>
      </c>
      <c r="AY2370">
        <v>70</v>
      </c>
      <c r="AZ2370" s="184">
        <v>38341</v>
      </c>
      <c r="BA2370" t="s">
        <v>20483</v>
      </c>
      <c r="BB2370">
        <v>87</v>
      </c>
      <c r="BC2370">
        <v>86</v>
      </c>
      <c r="BD2370">
        <v>1751</v>
      </c>
      <c r="BE2370">
        <v>1999</v>
      </c>
      <c r="BF2370">
        <v>44</v>
      </c>
      <c r="BG2370">
        <v>4</v>
      </c>
      <c r="BH2370">
        <v>205</v>
      </c>
      <c r="BI2370">
        <v>23</v>
      </c>
      <c r="BJ2370">
        <v>27</v>
      </c>
      <c r="BK2370">
        <v>15</v>
      </c>
    </row>
    <row r="2371" spans="1:68">
      <c r="A2371">
        <v>28475861</v>
      </c>
      <c r="B2371">
        <v>28475861</v>
      </c>
      <c r="C2371" t="s">
        <v>7018</v>
      </c>
      <c r="E2371" s="184"/>
      <c r="G2371" s="184"/>
      <c r="I2371" s="184"/>
      <c r="J2371" t="s">
        <v>595</v>
      </c>
      <c r="K2371" s="184">
        <v>39696</v>
      </c>
      <c r="M2371" s="184"/>
      <c r="O2371" s="184"/>
      <c r="P2371" t="s">
        <v>7045</v>
      </c>
      <c r="Q2371" t="s">
        <v>7262</v>
      </c>
      <c r="R2371" s="184">
        <v>20241</v>
      </c>
      <c r="S2371">
        <v>68</v>
      </c>
      <c r="V2371" t="s">
        <v>2733</v>
      </c>
      <c r="W2371" t="s">
        <v>2049</v>
      </c>
      <c r="X2371" t="s">
        <v>20484</v>
      </c>
      <c r="Z2371">
        <v>100076016</v>
      </c>
      <c r="AB2371" t="s">
        <v>20485</v>
      </c>
      <c r="AD2371" t="s">
        <v>20486</v>
      </c>
      <c r="AF2371" t="s">
        <v>6137</v>
      </c>
      <c r="AG2371" t="s">
        <v>20487</v>
      </c>
      <c r="AI2371" t="s">
        <v>20488</v>
      </c>
      <c r="AM2371" t="s">
        <v>3266</v>
      </c>
      <c r="AN2371" t="s">
        <v>2219</v>
      </c>
      <c r="AO2371" t="s">
        <v>20489</v>
      </c>
      <c r="AP2371" t="s">
        <v>7024</v>
      </c>
      <c r="AQ2371" t="s">
        <v>20490</v>
      </c>
      <c r="AR2371" t="s">
        <v>20491</v>
      </c>
      <c r="AT2371" s="184">
        <v>33399</v>
      </c>
      <c r="AU2371" t="s">
        <v>12169</v>
      </c>
      <c r="AV2371">
        <v>15</v>
      </c>
      <c r="AW2371" s="184">
        <v>45019</v>
      </c>
      <c r="AX2371" t="s">
        <v>12715</v>
      </c>
      <c r="AY2371">
        <v>50</v>
      </c>
      <c r="AZ2371" s="184">
        <v>38079</v>
      </c>
      <c r="BA2371" t="s">
        <v>20492</v>
      </c>
      <c r="BB2371">
        <v>300</v>
      </c>
      <c r="BC2371">
        <v>89</v>
      </c>
      <c r="BD2371">
        <v>4455</v>
      </c>
      <c r="BE2371">
        <v>1991</v>
      </c>
      <c r="BF2371">
        <v>73</v>
      </c>
      <c r="BG2371">
        <v>2</v>
      </c>
      <c r="BH2371">
        <v>100</v>
      </c>
      <c r="BI2371">
        <v>30</v>
      </c>
      <c r="BJ2371">
        <v>34</v>
      </c>
      <c r="BK2371">
        <v>28</v>
      </c>
    </row>
    <row r="2372" spans="1:68">
      <c r="A2372">
        <v>100076016</v>
      </c>
      <c r="B2372">
        <v>28475861</v>
      </c>
      <c r="C2372" t="s">
        <v>7018</v>
      </c>
      <c r="E2372" s="184"/>
      <c r="I2372" s="184"/>
      <c r="J2372" t="s">
        <v>595</v>
      </c>
      <c r="K2372" s="184">
        <v>39696</v>
      </c>
      <c r="M2372" s="184"/>
      <c r="O2372" s="184"/>
      <c r="P2372" t="s">
        <v>7045</v>
      </c>
      <c r="Q2372" t="s">
        <v>7262</v>
      </c>
      <c r="R2372" s="184">
        <v>20241</v>
      </c>
      <c r="S2372">
        <v>68</v>
      </c>
      <c r="V2372" t="s">
        <v>20485</v>
      </c>
      <c r="X2372" t="s">
        <v>20486</v>
      </c>
      <c r="Z2372">
        <v>28475861</v>
      </c>
      <c r="AB2372" t="s">
        <v>2733</v>
      </c>
      <c r="AC2372" t="s">
        <v>2049</v>
      </c>
      <c r="AD2372" t="s">
        <v>20484</v>
      </c>
      <c r="AF2372" t="s">
        <v>6137</v>
      </c>
      <c r="AG2372" t="s">
        <v>20487</v>
      </c>
      <c r="AI2372" t="s">
        <v>20488</v>
      </c>
      <c r="AM2372" t="s">
        <v>3266</v>
      </c>
      <c r="AN2372" t="s">
        <v>2219</v>
      </c>
      <c r="AO2372" t="s">
        <v>20489</v>
      </c>
      <c r="AP2372" t="s">
        <v>7024</v>
      </c>
      <c r="AT2372" s="184"/>
      <c r="AW2372" s="184"/>
      <c r="AZ2372" s="184"/>
      <c r="BP2372" s="184"/>
    </row>
    <row r="2373" spans="1:68">
      <c r="A2373">
        <v>28513539</v>
      </c>
      <c r="B2373">
        <v>28513539</v>
      </c>
      <c r="C2373" t="s">
        <v>7018</v>
      </c>
      <c r="D2373" t="s">
        <v>595</v>
      </c>
      <c r="E2373" s="184">
        <v>43801</v>
      </c>
      <c r="G2373" s="184"/>
      <c r="I2373" s="184"/>
      <c r="K2373" s="184"/>
      <c r="M2373" s="184"/>
      <c r="O2373" s="184"/>
      <c r="P2373" t="s">
        <v>7029</v>
      </c>
      <c r="Q2373" t="s">
        <v>7374</v>
      </c>
      <c r="R2373" s="184">
        <v>12637</v>
      </c>
      <c r="S2373">
        <v>89</v>
      </c>
      <c r="U2373" t="s">
        <v>7031</v>
      </c>
      <c r="V2373" t="s">
        <v>2697</v>
      </c>
      <c r="W2373" t="s">
        <v>3830</v>
      </c>
      <c r="X2373" t="s">
        <v>4389</v>
      </c>
      <c r="AF2373" t="s">
        <v>20493</v>
      </c>
      <c r="AG2373" t="s">
        <v>2697</v>
      </c>
      <c r="AI2373" t="s">
        <v>20494</v>
      </c>
      <c r="AM2373" t="s">
        <v>2534</v>
      </c>
      <c r="AN2373" t="s">
        <v>2081</v>
      </c>
      <c r="AO2373" t="s">
        <v>20495</v>
      </c>
      <c r="AP2373" t="s">
        <v>7024</v>
      </c>
      <c r="AQ2373" t="s">
        <v>20496</v>
      </c>
      <c r="AR2373" t="s">
        <v>20497</v>
      </c>
      <c r="AT2373" s="184">
        <v>36115</v>
      </c>
      <c r="AU2373" t="s">
        <v>20498</v>
      </c>
      <c r="AV2373">
        <v>15</v>
      </c>
      <c r="AW2373" s="184">
        <v>45170</v>
      </c>
      <c r="AX2373" t="s">
        <v>20499</v>
      </c>
      <c r="AY2373">
        <v>1000</v>
      </c>
      <c r="AZ2373" s="184">
        <v>45170</v>
      </c>
      <c r="BA2373" t="s">
        <v>20499</v>
      </c>
      <c r="BB2373">
        <v>1000</v>
      </c>
      <c r="BC2373">
        <v>34</v>
      </c>
      <c r="BD2373">
        <v>4040</v>
      </c>
      <c r="BE2373">
        <v>1999</v>
      </c>
      <c r="BF2373">
        <v>16</v>
      </c>
      <c r="BG2373">
        <v>2</v>
      </c>
      <c r="BH2373">
        <v>2000</v>
      </c>
      <c r="BI2373">
        <v>9</v>
      </c>
      <c r="BJ2373">
        <v>27</v>
      </c>
      <c r="BK2373">
        <v>5</v>
      </c>
      <c r="BP2373" s="184"/>
    </row>
    <row r="2374" spans="1:68">
      <c r="A2374">
        <v>28543999</v>
      </c>
      <c r="B2374">
        <v>28543999</v>
      </c>
      <c r="C2374" t="s">
        <v>7018</v>
      </c>
      <c r="E2374" s="184"/>
      <c r="G2374" s="184"/>
      <c r="J2374" t="s">
        <v>595</v>
      </c>
      <c r="K2374" s="184">
        <v>37438</v>
      </c>
      <c r="M2374" s="184"/>
      <c r="O2374" s="184"/>
      <c r="P2374" t="s">
        <v>7045</v>
      </c>
      <c r="Q2374" t="s">
        <v>7374</v>
      </c>
      <c r="R2374" s="184">
        <v>24807</v>
      </c>
      <c r="S2374">
        <v>56</v>
      </c>
      <c r="U2374" t="s">
        <v>7076</v>
      </c>
      <c r="V2374" t="s">
        <v>20500</v>
      </c>
      <c r="X2374" t="s">
        <v>20501</v>
      </c>
      <c r="AF2374" t="s">
        <v>6150</v>
      </c>
      <c r="AG2374" t="s">
        <v>20500</v>
      </c>
      <c r="AI2374" t="s">
        <v>20502</v>
      </c>
      <c r="AM2374" t="s">
        <v>5817</v>
      </c>
      <c r="AN2374" t="s">
        <v>2081</v>
      </c>
      <c r="AO2374" t="s">
        <v>20503</v>
      </c>
      <c r="AP2374" t="s">
        <v>7024</v>
      </c>
      <c r="AQ2374" t="s">
        <v>20504</v>
      </c>
      <c r="AR2374" t="s">
        <v>20505</v>
      </c>
      <c r="AT2374" s="184">
        <v>36122</v>
      </c>
      <c r="AU2374" t="s">
        <v>20506</v>
      </c>
      <c r="AV2374">
        <v>25</v>
      </c>
      <c r="AW2374" s="184">
        <v>45356</v>
      </c>
      <c r="AX2374" t="s">
        <v>7339</v>
      </c>
      <c r="AY2374">
        <v>300</v>
      </c>
      <c r="AZ2374" s="184">
        <v>45356</v>
      </c>
      <c r="BA2374" t="s">
        <v>7339</v>
      </c>
      <c r="BB2374">
        <v>300</v>
      </c>
      <c r="BC2374">
        <v>82</v>
      </c>
      <c r="BD2374">
        <v>5025</v>
      </c>
      <c r="BE2374">
        <v>1999</v>
      </c>
      <c r="BF2374">
        <v>31</v>
      </c>
      <c r="BG2374">
        <v>2</v>
      </c>
      <c r="BH2374">
        <v>600</v>
      </c>
      <c r="BI2374">
        <v>22</v>
      </c>
      <c r="BJ2374">
        <v>27</v>
      </c>
      <c r="BK2374">
        <v>10</v>
      </c>
      <c r="BN2374" t="s">
        <v>595</v>
      </c>
      <c r="BP2374" s="184"/>
    </row>
    <row r="2375" spans="1:68">
      <c r="A2375">
        <v>28547206</v>
      </c>
      <c r="B2375">
        <v>28547206</v>
      </c>
      <c r="C2375" t="s">
        <v>7018</v>
      </c>
      <c r="D2375" t="s">
        <v>595</v>
      </c>
      <c r="E2375" s="184">
        <v>45117</v>
      </c>
      <c r="G2375" s="184"/>
      <c r="K2375" s="184"/>
      <c r="O2375" s="184"/>
      <c r="P2375" t="s">
        <v>7045</v>
      </c>
      <c r="Q2375" t="s">
        <v>7383</v>
      </c>
      <c r="R2375" s="184">
        <v>23802</v>
      </c>
      <c r="S2375">
        <v>59</v>
      </c>
      <c r="U2375" t="s">
        <v>7076</v>
      </c>
      <c r="V2375" t="s">
        <v>20507</v>
      </c>
      <c r="X2375" t="s">
        <v>20508</v>
      </c>
      <c r="AF2375" t="s">
        <v>20509</v>
      </c>
      <c r="AG2375" t="s">
        <v>20507</v>
      </c>
      <c r="AI2375" t="s">
        <v>20510</v>
      </c>
      <c r="AM2375" t="s">
        <v>20511</v>
      </c>
      <c r="AN2375" t="s">
        <v>2144</v>
      </c>
      <c r="AO2375" t="s">
        <v>20512</v>
      </c>
      <c r="AP2375" t="s">
        <v>7024</v>
      </c>
      <c r="AT2375" s="184">
        <v>36122</v>
      </c>
      <c r="AU2375" t="s">
        <v>20513</v>
      </c>
      <c r="AV2375">
        <v>15</v>
      </c>
      <c r="AW2375" s="184">
        <v>44956</v>
      </c>
      <c r="AX2375" t="s">
        <v>20514</v>
      </c>
      <c r="AY2375">
        <v>25</v>
      </c>
      <c r="AZ2375" s="184">
        <v>44956</v>
      </c>
      <c r="BA2375" t="s">
        <v>20514</v>
      </c>
      <c r="BB2375">
        <v>25</v>
      </c>
      <c r="BC2375">
        <v>67</v>
      </c>
      <c r="BD2375">
        <v>495</v>
      </c>
      <c r="BE2375">
        <v>1999</v>
      </c>
      <c r="BF2375">
        <v>23</v>
      </c>
      <c r="BG2375">
        <v>1</v>
      </c>
      <c r="BH2375">
        <v>25</v>
      </c>
      <c r="BI2375">
        <v>18</v>
      </c>
      <c r="BJ2375">
        <v>27</v>
      </c>
      <c r="BK2375">
        <v>13</v>
      </c>
      <c r="BP2375" s="184"/>
    </row>
    <row r="2376" spans="1:68">
      <c r="A2376">
        <v>28566529</v>
      </c>
      <c r="B2376">
        <v>28566529</v>
      </c>
      <c r="C2376" t="s">
        <v>7018</v>
      </c>
      <c r="E2376" s="184"/>
      <c r="G2376" s="184"/>
      <c r="I2376" s="184"/>
      <c r="J2376" t="s">
        <v>595</v>
      </c>
      <c r="K2376" s="184">
        <v>43117</v>
      </c>
      <c r="M2376" s="184"/>
      <c r="O2376" s="184"/>
      <c r="P2376" t="s">
        <v>7045</v>
      </c>
      <c r="Q2376" t="s">
        <v>7383</v>
      </c>
      <c r="R2376" s="184">
        <v>22520</v>
      </c>
      <c r="S2376">
        <v>62</v>
      </c>
      <c r="U2376" t="s">
        <v>7031</v>
      </c>
      <c r="V2376" t="s">
        <v>3922</v>
      </c>
      <c r="W2376" t="s">
        <v>2316</v>
      </c>
      <c r="X2376" t="s">
        <v>20515</v>
      </c>
      <c r="AF2376" t="s">
        <v>6318</v>
      </c>
      <c r="AG2376" t="s">
        <v>3922</v>
      </c>
      <c r="AI2376" t="s">
        <v>20516</v>
      </c>
      <c r="AM2376" t="s">
        <v>2737</v>
      </c>
      <c r="AN2376" t="s">
        <v>2059</v>
      </c>
      <c r="AO2376" t="s">
        <v>20517</v>
      </c>
      <c r="AP2376" t="s">
        <v>7024</v>
      </c>
      <c r="AQ2376" t="s">
        <v>20518</v>
      </c>
      <c r="AR2376" t="s">
        <v>20519</v>
      </c>
      <c r="AT2376" s="184">
        <v>36129</v>
      </c>
      <c r="AU2376" t="s">
        <v>20520</v>
      </c>
      <c r="AV2376">
        <v>25</v>
      </c>
      <c r="AW2376" s="184">
        <v>45258</v>
      </c>
      <c r="AX2376" t="s">
        <v>10549</v>
      </c>
      <c r="AY2376">
        <v>100</v>
      </c>
      <c r="AZ2376" s="184">
        <v>45258</v>
      </c>
      <c r="BA2376" t="s">
        <v>10549</v>
      </c>
      <c r="BB2376">
        <v>100</v>
      </c>
      <c r="BC2376">
        <v>93</v>
      </c>
      <c r="BD2376">
        <v>2075</v>
      </c>
      <c r="BE2376">
        <v>1999</v>
      </c>
      <c r="BF2376">
        <v>48</v>
      </c>
      <c r="BG2376">
        <v>2</v>
      </c>
      <c r="BH2376">
        <v>200</v>
      </c>
      <c r="BI2376">
        <v>25</v>
      </c>
      <c r="BJ2376">
        <v>27</v>
      </c>
      <c r="BK2376">
        <v>20</v>
      </c>
      <c r="BP2376" s="184"/>
    </row>
    <row r="2377" spans="1:68">
      <c r="A2377">
        <v>28570554</v>
      </c>
      <c r="B2377">
        <v>28570554</v>
      </c>
      <c r="C2377" t="s">
        <v>7018</v>
      </c>
      <c r="D2377" t="s">
        <v>595</v>
      </c>
      <c r="E2377" s="184">
        <v>43745</v>
      </c>
      <c r="G2377" s="184"/>
      <c r="I2377" s="184"/>
      <c r="K2377" s="184"/>
      <c r="M2377" s="184"/>
      <c r="O2377" s="184"/>
      <c r="P2377" t="s">
        <v>7045</v>
      </c>
      <c r="Q2377" t="s">
        <v>7020</v>
      </c>
      <c r="R2377" s="184">
        <v>20699</v>
      </c>
      <c r="S2377">
        <v>67</v>
      </c>
      <c r="V2377" t="s">
        <v>20521</v>
      </c>
      <c r="X2377" t="s">
        <v>4127</v>
      </c>
      <c r="Z2377">
        <v>100076418</v>
      </c>
      <c r="AB2377" t="s">
        <v>2541</v>
      </c>
      <c r="AD2377" t="s">
        <v>20522</v>
      </c>
      <c r="AF2377" t="s">
        <v>20523</v>
      </c>
      <c r="AG2377" t="s">
        <v>20524</v>
      </c>
      <c r="AI2377" t="s">
        <v>20525</v>
      </c>
      <c r="AM2377" t="s">
        <v>4128</v>
      </c>
      <c r="AN2377" t="s">
        <v>2052</v>
      </c>
      <c r="AO2377" t="s">
        <v>20526</v>
      </c>
      <c r="AP2377" t="s">
        <v>7024</v>
      </c>
      <c r="AQ2377" t="s">
        <v>20527</v>
      </c>
      <c r="AT2377" s="184">
        <v>36130</v>
      </c>
      <c r="AU2377" t="s">
        <v>20528</v>
      </c>
      <c r="AV2377">
        <v>10</v>
      </c>
      <c r="AW2377" s="184">
        <v>44075</v>
      </c>
      <c r="AX2377" t="s">
        <v>20529</v>
      </c>
      <c r="AY2377">
        <v>25</v>
      </c>
      <c r="AZ2377" s="184">
        <v>43700</v>
      </c>
      <c r="BA2377" t="s">
        <v>20530</v>
      </c>
      <c r="BB2377">
        <v>50</v>
      </c>
      <c r="BC2377">
        <v>52</v>
      </c>
      <c r="BD2377">
        <v>575</v>
      </c>
      <c r="BE2377">
        <v>1999</v>
      </c>
      <c r="BF2377">
        <v>14</v>
      </c>
      <c r="BI2377">
        <v>14</v>
      </c>
      <c r="BJ2377">
        <v>27</v>
      </c>
      <c r="BK2377">
        <v>11</v>
      </c>
    </row>
    <row r="2378" spans="1:68">
      <c r="A2378">
        <v>100076418</v>
      </c>
      <c r="B2378">
        <v>28570554</v>
      </c>
      <c r="C2378" t="s">
        <v>7018</v>
      </c>
      <c r="D2378" t="s">
        <v>595</v>
      </c>
      <c r="E2378" s="184">
        <v>43745</v>
      </c>
      <c r="G2378" s="184"/>
      <c r="I2378" s="184"/>
      <c r="K2378" s="184"/>
      <c r="M2378" s="184"/>
      <c r="O2378" s="184"/>
      <c r="P2378" t="s">
        <v>7045</v>
      </c>
      <c r="Q2378" t="s">
        <v>7020</v>
      </c>
      <c r="R2378" s="184">
        <v>20699</v>
      </c>
      <c r="S2378">
        <v>67</v>
      </c>
      <c r="V2378" t="s">
        <v>2541</v>
      </c>
      <c r="X2378" t="s">
        <v>20522</v>
      </c>
      <c r="Z2378">
        <v>28570554</v>
      </c>
      <c r="AB2378" t="s">
        <v>20521</v>
      </c>
      <c r="AD2378" t="s">
        <v>4127</v>
      </c>
      <c r="AF2378" t="s">
        <v>20523</v>
      </c>
      <c r="AG2378" t="s">
        <v>20524</v>
      </c>
      <c r="AI2378" t="s">
        <v>20525</v>
      </c>
      <c r="AM2378" t="s">
        <v>4128</v>
      </c>
      <c r="AN2378" t="s">
        <v>2052</v>
      </c>
      <c r="AO2378" t="s">
        <v>20526</v>
      </c>
      <c r="AP2378" t="s">
        <v>7024</v>
      </c>
      <c r="AT2378" s="184"/>
      <c r="AW2378" s="184"/>
      <c r="AZ2378" s="184"/>
      <c r="BP2378" s="184"/>
    </row>
    <row r="2379" spans="1:68">
      <c r="A2379">
        <v>28573525</v>
      </c>
      <c r="B2379">
        <v>28573525</v>
      </c>
      <c r="C2379" t="s">
        <v>7018</v>
      </c>
      <c r="D2379" t="s">
        <v>595</v>
      </c>
      <c r="E2379" s="184">
        <v>44104</v>
      </c>
      <c r="G2379" s="184"/>
      <c r="I2379" s="184"/>
      <c r="K2379" s="184"/>
      <c r="M2379" s="184"/>
      <c r="O2379" s="184"/>
      <c r="P2379" t="s">
        <v>7045</v>
      </c>
      <c r="Q2379" t="s">
        <v>7020</v>
      </c>
      <c r="R2379" s="184">
        <v>18872</v>
      </c>
      <c r="S2379">
        <v>72</v>
      </c>
      <c r="V2379" t="s">
        <v>3593</v>
      </c>
      <c r="X2379" t="s">
        <v>20531</v>
      </c>
      <c r="Z2379">
        <v>100076444</v>
      </c>
      <c r="AB2379" t="s">
        <v>2786</v>
      </c>
      <c r="AD2379" t="s">
        <v>20531</v>
      </c>
      <c r="AF2379" t="s">
        <v>20532</v>
      </c>
      <c r="AG2379" t="s">
        <v>20533</v>
      </c>
      <c r="AI2379" t="s">
        <v>20534</v>
      </c>
      <c r="AM2379" t="s">
        <v>4359</v>
      </c>
      <c r="AN2379" t="s">
        <v>2255</v>
      </c>
      <c r="AO2379" t="s">
        <v>20535</v>
      </c>
      <c r="AP2379" t="s">
        <v>7024</v>
      </c>
      <c r="AQ2379" t="s">
        <v>20536</v>
      </c>
      <c r="AR2379" t="s">
        <v>20537</v>
      </c>
      <c r="AT2379" s="184">
        <v>36136</v>
      </c>
      <c r="AU2379" t="s">
        <v>20538</v>
      </c>
      <c r="AV2379">
        <v>15</v>
      </c>
      <c r="AW2379" s="184">
        <v>45274</v>
      </c>
      <c r="AX2379" t="s">
        <v>11384</v>
      </c>
      <c r="AY2379">
        <v>25</v>
      </c>
      <c r="AZ2379" s="184">
        <v>39813</v>
      </c>
      <c r="BA2379" t="s">
        <v>11225</v>
      </c>
      <c r="BB2379">
        <v>35</v>
      </c>
      <c r="BC2379">
        <v>75</v>
      </c>
      <c r="BD2379">
        <v>655</v>
      </c>
      <c r="BE2379">
        <v>1999</v>
      </c>
      <c r="BF2379">
        <v>26</v>
      </c>
      <c r="BG2379">
        <v>2</v>
      </c>
      <c r="BH2379">
        <v>50</v>
      </c>
      <c r="BI2379">
        <v>20</v>
      </c>
      <c r="BJ2379">
        <v>27</v>
      </c>
      <c r="BK2379">
        <v>6</v>
      </c>
      <c r="BP2379" s="184"/>
    </row>
    <row r="2380" spans="1:68">
      <c r="A2380">
        <v>100076444</v>
      </c>
      <c r="B2380">
        <v>28573525</v>
      </c>
      <c r="C2380" t="s">
        <v>7018</v>
      </c>
      <c r="D2380" t="s">
        <v>595</v>
      </c>
      <c r="E2380" s="184">
        <v>44104</v>
      </c>
      <c r="G2380" s="184"/>
      <c r="I2380" s="184"/>
      <c r="K2380" s="184"/>
      <c r="M2380" s="184"/>
      <c r="O2380" s="184"/>
      <c r="P2380" t="s">
        <v>7045</v>
      </c>
      <c r="Q2380" t="s">
        <v>7020</v>
      </c>
      <c r="R2380" s="184">
        <v>18264</v>
      </c>
      <c r="S2380">
        <v>74</v>
      </c>
      <c r="V2380" t="s">
        <v>2786</v>
      </c>
      <c r="X2380" t="s">
        <v>20531</v>
      </c>
      <c r="Z2380">
        <v>28573525</v>
      </c>
      <c r="AB2380" t="s">
        <v>3593</v>
      </c>
      <c r="AD2380" t="s">
        <v>20531</v>
      </c>
      <c r="AF2380" t="s">
        <v>20532</v>
      </c>
      <c r="AG2380" t="s">
        <v>20533</v>
      </c>
      <c r="AI2380" t="s">
        <v>20534</v>
      </c>
      <c r="AM2380" t="s">
        <v>4359</v>
      </c>
      <c r="AN2380" t="s">
        <v>2255</v>
      </c>
      <c r="AO2380" t="s">
        <v>20535</v>
      </c>
      <c r="AP2380" t="s">
        <v>7024</v>
      </c>
      <c r="AT2380" s="184"/>
      <c r="AW2380" s="184"/>
      <c r="AZ2380" s="184"/>
    </row>
    <row r="2381" spans="1:68">
      <c r="A2381">
        <v>28598415</v>
      </c>
      <c r="B2381">
        <v>28598415</v>
      </c>
      <c r="C2381" t="s">
        <v>7018</v>
      </c>
      <c r="D2381" t="s">
        <v>595</v>
      </c>
      <c r="E2381" s="184">
        <v>44441</v>
      </c>
      <c r="G2381" s="184"/>
      <c r="K2381" s="184"/>
      <c r="O2381" s="184"/>
      <c r="P2381" t="s">
        <v>7019</v>
      </c>
      <c r="Q2381" t="s">
        <v>7020</v>
      </c>
      <c r="R2381" s="184">
        <v>15986</v>
      </c>
      <c r="S2381">
        <v>80</v>
      </c>
      <c r="U2381" t="s">
        <v>7032</v>
      </c>
      <c r="V2381" t="s">
        <v>20539</v>
      </c>
      <c r="W2381" t="s">
        <v>7248</v>
      </c>
      <c r="X2381" t="s">
        <v>20540</v>
      </c>
      <c r="AF2381" t="s">
        <v>20541</v>
      </c>
      <c r="AG2381" t="s">
        <v>20539</v>
      </c>
      <c r="AI2381" t="s">
        <v>20542</v>
      </c>
      <c r="AM2381" t="s">
        <v>20543</v>
      </c>
      <c r="AN2381" t="s">
        <v>2129</v>
      </c>
      <c r="AO2381" t="s">
        <v>20544</v>
      </c>
      <c r="AP2381" t="s">
        <v>7024</v>
      </c>
      <c r="AQ2381" t="s">
        <v>20545</v>
      </c>
      <c r="AT2381" s="184">
        <v>36143</v>
      </c>
      <c r="AU2381" t="s">
        <v>20546</v>
      </c>
      <c r="AV2381">
        <v>15</v>
      </c>
      <c r="AW2381" s="184">
        <v>45344</v>
      </c>
      <c r="AX2381" t="s">
        <v>14993</v>
      </c>
      <c r="AY2381">
        <v>60</v>
      </c>
      <c r="AZ2381" s="184">
        <v>45344</v>
      </c>
      <c r="BA2381" t="s">
        <v>14993</v>
      </c>
      <c r="BB2381">
        <v>60</v>
      </c>
      <c r="BC2381">
        <v>52</v>
      </c>
      <c r="BD2381">
        <v>775</v>
      </c>
      <c r="BE2381">
        <v>1999</v>
      </c>
      <c r="BF2381">
        <v>21</v>
      </c>
      <c r="BG2381">
        <v>7</v>
      </c>
      <c r="BH2381">
        <v>275</v>
      </c>
      <c r="BI2381">
        <v>14</v>
      </c>
      <c r="BJ2381">
        <v>27</v>
      </c>
      <c r="BK2381">
        <v>7</v>
      </c>
      <c r="BP2381" s="184"/>
    </row>
    <row r="2382" spans="1:68">
      <c r="A2382">
        <v>28630218</v>
      </c>
      <c r="B2382">
        <v>28630218</v>
      </c>
      <c r="C2382" t="s">
        <v>7018</v>
      </c>
      <c r="D2382" t="s">
        <v>595</v>
      </c>
      <c r="E2382" s="184">
        <v>45195</v>
      </c>
      <c r="I2382" s="184"/>
      <c r="K2382" s="184"/>
      <c r="M2382" s="184"/>
      <c r="O2382" s="184"/>
      <c r="P2382" t="s">
        <v>7019</v>
      </c>
      <c r="Q2382" t="s">
        <v>7374</v>
      </c>
      <c r="R2382" s="184">
        <v>19725</v>
      </c>
      <c r="S2382">
        <v>70</v>
      </c>
      <c r="U2382" t="s">
        <v>7076</v>
      </c>
      <c r="V2382" t="s">
        <v>2547</v>
      </c>
      <c r="X2382" t="s">
        <v>19182</v>
      </c>
      <c r="AF2382" t="s">
        <v>20547</v>
      </c>
      <c r="AG2382" t="s">
        <v>2547</v>
      </c>
      <c r="AI2382" t="s">
        <v>20548</v>
      </c>
      <c r="AM2382" t="s">
        <v>4362</v>
      </c>
      <c r="AN2382" t="s">
        <v>2081</v>
      </c>
      <c r="AO2382" t="s">
        <v>20549</v>
      </c>
      <c r="AP2382" t="s">
        <v>7024</v>
      </c>
      <c r="AT2382" s="184">
        <v>36147</v>
      </c>
      <c r="AU2382" t="s">
        <v>20550</v>
      </c>
      <c r="AV2382">
        <v>25</v>
      </c>
      <c r="AW2382" s="184">
        <v>45260</v>
      </c>
      <c r="AX2382" t="s">
        <v>8112</v>
      </c>
      <c r="AY2382">
        <v>25</v>
      </c>
      <c r="AZ2382" s="184">
        <v>44487</v>
      </c>
      <c r="BA2382" t="s">
        <v>20551</v>
      </c>
      <c r="BB2382">
        <v>60</v>
      </c>
      <c r="BC2382">
        <v>89</v>
      </c>
      <c r="BD2382">
        <v>915</v>
      </c>
      <c r="BE2382">
        <v>1999</v>
      </c>
      <c r="BF2382">
        <v>31</v>
      </c>
      <c r="BG2382">
        <v>3</v>
      </c>
      <c r="BH2382">
        <v>75</v>
      </c>
      <c r="BI2382">
        <v>24</v>
      </c>
      <c r="BJ2382">
        <v>27</v>
      </c>
      <c r="BK2382">
        <v>15</v>
      </c>
      <c r="BP2382" s="184"/>
    </row>
    <row r="2383" spans="1:68">
      <c r="A2383">
        <v>28633790</v>
      </c>
      <c r="B2383">
        <v>28633790</v>
      </c>
      <c r="C2383" t="s">
        <v>7018</v>
      </c>
      <c r="D2383" t="s">
        <v>595</v>
      </c>
      <c r="E2383" s="184">
        <v>43892</v>
      </c>
      <c r="G2383" s="184"/>
      <c r="I2383" s="184"/>
      <c r="K2383" s="184"/>
      <c r="M2383" s="184"/>
      <c r="O2383" s="184"/>
      <c r="P2383" t="s">
        <v>7045</v>
      </c>
      <c r="Q2383" t="s">
        <v>7160</v>
      </c>
      <c r="R2383" s="184">
        <v>20891</v>
      </c>
      <c r="S2383">
        <v>67</v>
      </c>
      <c r="U2383" t="s">
        <v>7076</v>
      </c>
      <c r="V2383" t="s">
        <v>3095</v>
      </c>
      <c r="X2383" t="s">
        <v>20552</v>
      </c>
      <c r="AF2383" t="s">
        <v>20553</v>
      </c>
      <c r="AG2383" t="s">
        <v>3095</v>
      </c>
      <c r="AI2383" t="s">
        <v>20554</v>
      </c>
      <c r="AM2383" t="s">
        <v>9318</v>
      </c>
      <c r="AN2383" t="s">
        <v>4637</v>
      </c>
      <c r="AO2383" t="s">
        <v>20555</v>
      </c>
      <c r="AP2383" t="s">
        <v>7024</v>
      </c>
      <c r="AQ2383" t="s">
        <v>20556</v>
      </c>
      <c r="AR2383" t="s">
        <v>20557</v>
      </c>
      <c r="AT2383" s="184">
        <v>36150</v>
      </c>
      <c r="AU2383" t="s">
        <v>20558</v>
      </c>
      <c r="AV2383">
        <v>25</v>
      </c>
      <c r="AW2383" s="184">
        <v>39419</v>
      </c>
      <c r="AX2383" t="s">
        <v>20559</v>
      </c>
      <c r="AY2383">
        <v>25</v>
      </c>
      <c r="AZ2383" s="184">
        <v>38342</v>
      </c>
      <c r="BA2383" t="s">
        <v>20560</v>
      </c>
      <c r="BB2383">
        <v>100</v>
      </c>
      <c r="BC2383">
        <v>30</v>
      </c>
      <c r="BD2383">
        <v>585</v>
      </c>
      <c r="BE2383">
        <v>1999</v>
      </c>
      <c r="BF2383">
        <v>14</v>
      </c>
      <c r="BI2383">
        <v>8</v>
      </c>
      <c r="BJ2383">
        <v>27</v>
      </c>
      <c r="BK2383">
        <v>7</v>
      </c>
    </row>
    <row r="2384" spans="1:68">
      <c r="A2384">
        <v>28640852</v>
      </c>
      <c r="B2384">
        <v>28640852</v>
      </c>
      <c r="C2384" t="s">
        <v>7018</v>
      </c>
      <c r="D2384" t="s">
        <v>595</v>
      </c>
      <c r="E2384" s="184">
        <v>45139</v>
      </c>
      <c r="G2384" s="184"/>
      <c r="I2384" s="184"/>
      <c r="K2384" s="184"/>
      <c r="M2384" s="184"/>
      <c r="O2384" s="184"/>
      <c r="P2384" t="s">
        <v>7045</v>
      </c>
      <c r="Q2384" t="s">
        <v>7383</v>
      </c>
      <c r="R2384" s="184">
        <v>22507</v>
      </c>
      <c r="S2384">
        <v>62</v>
      </c>
      <c r="V2384" t="s">
        <v>20561</v>
      </c>
      <c r="W2384" t="s">
        <v>7407</v>
      </c>
      <c r="X2384" t="s">
        <v>20562</v>
      </c>
      <c r="AF2384" t="s">
        <v>20563</v>
      </c>
      <c r="AG2384" t="s">
        <v>20561</v>
      </c>
      <c r="AI2384" t="s">
        <v>20564</v>
      </c>
      <c r="AM2384" t="s">
        <v>20565</v>
      </c>
      <c r="AN2384" t="s">
        <v>2162</v>
      </c>
      <c r="AO2384" t="s">
        <v>20566</v>
      </c>
      <c r="AP2384" t="s">
        <v>7024</v>
      </c>
      <c r="AQ2384" t="s">
        <v>20567</v>
      </c>
      <c r="AT2384" s="184">
        <v>36151</v>
      </c>
      <c r="AU2384" t="s">
        <v>20568</v>
      </c>
      <c r="AV2384">
        <v>15</v>
      </c>
      <c r="AW2384" s="184">
        <v>44992</v>
      </c>
      <c r="AX2384" t="s">
        <v>20569</v>
      </c>
      <c r="AY2384">
        <v>30</v>
      </c>
      <c r="AZ2384" s="184">
        <v>44992</v>
      </c>
      <c r="BA2384" t="s">
        <v>20569</v>
      </c>
      <c r="BB2384">
        <v>30</v>
      </c>
      <c r="BC2384">
        <v>23</v>
      </c>
      <c r="BD2384">
        <v>170</v>
      </c>
      <c r="BE2384">
        <v>1999</v>
      </c>
      <c r="BF2384">
        <v>7</v>
      </c>
      <c r="BG2384">
        <v>1</v>
      </c>
      <c r="BH2384">
        <v>30</v>
      </c>
      <c r="BI2384">
        <v>6</v>
      </c>
      <c r="BJ2384">
        <v>27</v>
      </c>
      <c r="BK2384">
        <v>2</v>
      </c>
      <c r="BP2384" s="184"/>
    </row>
    <row r="2385" spans="1:68">
      <c r="A2385">
        <v>28643195</v>
      </c>
      <c r="B2385">
        <v>28643195</v>
      </c>
      <c r="C2385" t="s">
        <v>7018</v>
      </c>
      <c r="E2385" s="184"/>
      <c r="G2385" s="184"/>
      <c r="I2385" s="184"/>
      <c r="J2385" t="s">
        <v>595</v>
      </c>
      <c r="K2385" s="184">
        <v>39759</v>
      </c>
      <c r="O2385" s="184"/>
      <c r="P2385" t="s">
        <v>7045</v>
      </c>
      <c r="Q2385" t="s">
        <v>7454</v>
      </c>
      <c r="R2385" s="184">
        <v>16438</v>
      </c>
      <c r="S2385">
        <v>79</v>
      </c>
      <c r="U2385" t="s">
        <v>7130</v>
      </c>
      <c r="V2385" t="s">
        <v>3131</v>
      </c>
      <c r="X2385" t="s">
        <v>20570</v>
      </c>
      <c r="Z2385">
        <v>100076727</v>
      </c>
      <c r="AB2385" t="s">
        <v>2600</v>
      </c>
      <c r="AC2385" t="s">
        <v>3112</v>
      </c>
      <c r="AD2385" t="s">
        <v>20570</v>
      </c>
      <c r="AF2385" t="s">
        <v>6282</v>
      </c>
      <c r="AG2385" t="s">
        <v>20571</v>
      </c>
      <c r="AI2385" t="s">
        <v>20572</v>
      </c>
      <c r="AM2385" t="s">
        <v>20573</v>
      </c>
      <c r="AN2385" t="s">
        <v>2299</v>
      </c>
      <c r="AO2385" t="s">
        <v>20574</v>
      </c>
      <c r="AP2385" t="s">
        <v>7024</v>
      </c>
      <c r="AQ2385" t="s">
        <v>20575</v>
      </c>
      <c r="AR2385" t="s">
        <v>20576</v>
      </c>
      <c r="AT2385" s="184">
        <v>36152</v>
      </c>
      <c r="AU2385" t="s">
        <v>20577</v>
      </c>
      <c r="AV2385">
        <v>15</v>
      </c>
      <c r="AW2385" s="184">
        <v>45392</v>
      </c>
      <c r="AX2385" t="s">
        <v>7053</v>
      </c>
      <c r="AY2385">
        <v>75</v>
      </c>
      <c r="AZ2385" s="184">
        <v>41647</v>
      </c>
      <c r="BA2385" t="s">
        <v>20578</v>
      </c>
      <c r="BB2385">
        <v>300</v>
      </c>
      <c r="BC2385">
        <v>78</v>
      </c>
      <c r="BD2385">
        <v>3020</v>
      </c>
      <c r="BE2385">
        <v>1999</v>
      </c>
      <c r="BF2385">
        <v>49</v>
      </c>
      <c r="BG2385">
        <v>21</v>
      </c>
      <c r="BH2385">
        <v>1100</v>
      </c>
      <c r="BI2385">
        <v>21</v>
      </c>
      <c r="BJ2385">
        <v>27</v>
      </c>
      <c r="BK2385">
        <v>9</v>
      </c>
      <c r="BP2385" s="184"/>
    </row>
    <row r="2386" spans="1:68">
      <c r="A2386">
        <v>100076727</v>
      </c>
      <c r="B2386">
        <v>28643195</v>
      </c>
      <c r="C2386" t="s">
        <v>7018</v>
      </c>
      <c r="E2386" s="184"/>
      <c r="G2386" s="184"/>
      <c r="I2386" s="184"/>
      <c r="J2386" t="s">
        <v>595</v>
      </c>
      <c r="K2386" s="184">
        <v>43649</v>
      </c>
      <c r="M2386" s="184"/>
      <c r="O2386" s="184"/>
      <c r="P2386" t="s">
        <v>7045</v>
      </c>
      <c r="Q2386" t="s">
        <v>7454</v>
      </c>
      <c r="R2386" s="184">
        <v>16438</v>
      </c>
      <c r="S2386">
        <v>79</v>
      </c>
      <c r="V2386" t="s">
        <v>2600</v>
      </c>
      <c r="W2386" t="s">
        <v>3112</v>
      </c>
      <c r="X2386" t="s">
        <v>20570</v>
      </c>
      <c r="Z2386">
        <v>28643195</v>
      </c>
      <c r="AA2386" t="s">
        <v>7130</v>
      </c>
      <c r="AB2386" t="s">
        <v>3131</v>
      </c>
      <c r="AD2386" t="s">
        <v>20570</v>
      </c>
      <c r="AF2386" t="s">
        <v>6282</v>
      </c>
      <c r="AG2386" t="s">
        <v>20571</v>
      </c>
      <c r="AI2386" t="s">
        <v>20572</v>
      </c>
      <c r="AM2386" t="s">
        <v>20573</v>
      </c>
      <c r="AN2386" t="s">
        <v>2299</v>
      </c>
      <c r="AO2386" t="s">
        <v>20574</v>
      </c>
      <c r="AP2386" t="s">
        <v>7024</v>
      </c>
      <c r="AT2386" s="184"/>
      <c r="AW2386" s="184"/>
      <c r="AZ2386" s="184"/>
      <c r="BP2386" s="184"/>
    </row>
    <row r="2387" spans="1:68">
      <c r="A2387">
        <v>28655751</v>
      </c>
      <c r="B2387">
        <v>28655751</v>
      </c>
      <c r="C2387" t="s">
        <v>7018</v>
      </c>
      <c r="E2387" s="184"/>
      <c r="G2387" s="184"/>
      <c r="I2387" s="184"/>
      <c r="J2387" t="s">
        <v>595</v>
      </c>
      <c r="K2387" s="184">
        <v>43920</v>
      </c>
      <c r="M2387" s="184"/>
      <c r="O2387" s="184"/>
      <c r="P2387" t="s">
        <v>7045</v>
      </c>
      <c r="Q2387" t="s">
        <v>7262</v>
      </c>
      <c r="R2387" s="184">
        <v>14639</v>
      </c>
      <c r="S2387">
        <v>84</v>
      </c>
      <c r="V2387" t="s">
        <v>4032</v>
      </c>
      <c r="X2387" t="s">
        <v>4803</v>
      </c>
      <c r="AF2387" t="s">
        <v>6595</v>
      </c>
      <c r="AG2387" t="s">
        <v>4032</v>
      </c>
      <c r="AI2387" t="s">
        <v>20579</v>
      </c>
      <c r="AM2387" t="s">
        <v>4804</v>
      </c>
      <c r="AN2387" t="s">
        <v>2069</v>
      </c>
      <c r="AO2387" t="s">
        <v>20580</v>
      </c>
      <c r="AP2387" t="s">
        <v>7024</v>
      </c>
      <c r="AQ2387" t="s">
        <v>20581</v>
      </c>
      <c r="AT2387" s="184">
        <v>36157</v>
      </c>
      <c r="AU2387" t="s">
        <v>20582</v>
      </c>
      <c r="AV2387">
        <v>25</v>
      </c>
      <c r="AW2387" s="184">
        <v>44755</v>
      </c>
      <c r="AX2387" t="s">
        <v>20583</v>
      </c>
      <c r="AY2387">
        <v>50</v>
      </c>
      <c r="AZ2387" s="184">
        <v>36544</v>
      </c>
      <c r="BA2387" t="s">
        <v>20584</v>
      </c>
      <c r="BB2387">
        <v>100</v>
      </c>
      <c r="BC2387">
        <v>41</v>
      </c>
      <c r="BD2387">
        <v>585</v>
      </c>
      <c r="BE2387">
        <v>1999</v>
      </c>
      <c r="BF2387">
        <v>12</v>
      </c>
      <c r="BG2387">
        <v>1</v>
      </c>
      <c r="BH2387">
        <v>50</v>
      </c>
      <c r="BI2387">
        <v>11</v>
      </c>
      <c r="BJ2387">
        <v>27</v>
      </c>
      <c r="BK2387">
        <v>4</v>
      </c>
      <c r="BP2387" s="184"/>
    </row>
    <row r="2388" spans="1:68">
      <c r="A2388">
        <v>28663441</v>
      </c>
      <c r="B2388">
        <v>28663441</v>
      </c>
      <c r="C2388" t="s">
        <v>7018</v>
      </c>
      <c r="E2388" s="184"/>
      <c r="G2388" s="184"/>
      <c r="I2388" s="184"/>
      <c r="J2388" t="s">
        <v>595</v>
      </c>
      <c r="K2388" s="184">
        <v>43388</v>
      </c>
      <c r="M2388" s="184"/>
      <c r="O2388" s="184"/>
      <c r="P2388" t="s">
        <v>7045</v>
      </c>
      <c r="Q2388" t="s">
        <v>7030</v>
      </c>
      <c r="R2388" s="184">
        <v>13455</v>
      </c>
      <c r="S2388">
        <v>87</v>
      </c>
      <c r="V2388" t="s">
        <v>20585</v>
      </c>
      <c r="X2388" t="s">
        <v>20586</v>
      </c>
      <c r="AF2388" t="s">
        <v>6569</v>
      </c>
      <c r="AG2388" t="s">
        <v>20585</v>
      </c>
      <c r="AI2388" t="s">
        <v>20587</v>
      </c>
      <c r="AM2388" t="s">
        <v>2564</v>
      </c>
      <c r="AN2388" t="s">
        <v>2089</v>
      </c>
      <c r="AO2388" t="s">
        <v>20588</v>
      </c>
      <c r="AP2388" t="s">
        <v>7024</v>
      </c>
      <c r="AT2388" s="184">
        <v>36160</v>
      </c>
      <c r="AU2388" t="s">
        <v>20589</v>
      </c>
      <c r="AV2388">
        <v>25</v>
      </c>
      <c r="AW2388" s="184">
        <v>44781</v>
      </c>
      <c r="AX2388" t="s">
        <v>13610</v>
      </c>
      <c r="AY2388">
        <v>25</v>
      </c>
      <c r="AZ2388" s="184">
        <v>44781</v>
      </c>
      <c r="BA2388" t="s">
        <v>13610</v>
      </c>
      <c r="BB2388">
        <v>25</v>
      </c>
      <c r="BC2388">
        <v>71</v>
      </c>
      <c r="BD2388">
        <v>630</v>
      </c>
      <c r="BE2388">
        <v>1999</v>
      </c>
      <c r="BF2388">
        <v>32</v>
      </c>
      <c r="BG2388">
        <v>1</v>
      </c>
      <c r="BH2388">
        <v>25</v>
      </c>
      <c r="BI2388">
        <v>19</v>
      </c>
      <c r="BJ2388">
        <v>27</v>
      </c>
      <c r="BK2388">
        <v>12</v>
      </c>
      <c r="BP2388" s="184"/>
    </row>
    <row r="2389" spans="1:68">
      <c r="A2389">
        <v>28663870</v>
      </c>
      <c r="B2389">
        <v>28663870</v>
      </c>
      <c r="C2389" t="s">
        <v>7018</v>
      </c>
      <c r="D2389" t="s">
        <v>595</v>
      </c>
      <c r="E2389" s="184">
        <v>44065</v>
      </c>
      <c r="G2389" s="184"/>
      <c r="K2389" s="184"/>
      <c r="M2389" s="184"/>
      <c r="O2389" s="184"/>
      <c r="P2389" t="s">
        <v>7045</v>
      </c>
      <c r="Q2389" t="s">
        <v>7383</v>
      </c>
      <c r="R2389" s="184">
        <v>20333</v>
      </c>
      <c r="S2389">
        <v>68</v>
      </c>
      <c r="V2389" t="s">
        <v>2832</v>
      </c>
      <c r="X2389" t="s">
        <v>20590</v>
      </c>
      <c r="AF2389" t="s">
        <v>20591</v>
      </c>
      <c r="AG2389" t="s">
        <v>2832</v>
      </c>
      <c r="AI2389" t="s">
        <v>20592</v>
      </c>
      <c r="AM2389" t="s">
        <v>20593</v>
      </c>
      <c r="AN2389" t="s">
        <v>2059</v>
      </c>
      <c r="AO2389" t="s">
        <v>20594</v>
      </c>
      <c r="AP2389" t="s">
        <v>7024</v>
      </c>
      <c r="AQ2389" t="s">
        <v>20595</v>
      </c>
      <c r="AT2389" s="184">
        <v>36160</v>
      </c>
      <c r="AU2389" t="s">
        <v>20596</v>
      </c>
      <c r="AV2389">
        <v>25</v>
      </c>
      <c r="AW2389" s="184">
        <v>45269</v>
      </c>
      <c r="AX2389" t="s">
        <v>20597</v>
      </c>
      <c r="AY2389">
        <v>120</v>
      </c>
      <c r="AZ2389" s="184">
        <v>45269</v>
      </c>
      <c r="BA2389" t="s">
        <v>20597</v>
      </c>
      <c r="BB2389">
        <v>120</v>
      </c>
      <c r="BC2389">
        <v>82</v>
      </c>
      <c r="BD2389">
        <v>1765</v>
      </c>
      <c r="BE2389">
        <v>1999</v>
      </c>
      <c r="BF2389">
        <v>26</v>
      </c>
      <c r="BG2389">
        <v>2</v>
      </c>
      <c r="BH2389">
        <v>240</v>
      </c>
      <c r="BI2389">
        <v>22</v>
      </c>
      <c r="BJ2389">
        <v>27</v>
      </c>
      <c r="BK2389">
        <v>17</v>
      </c>
      <c r="BP2389" s="184"/>
    </row>
    <row r="2390" spans="1:68">
      <c r="A2390">
        <v>28669505</v>
      </c>
      <c r="B2390">
        <v>28669505</v>
      </c>
      <c r="C2390" t="s">
        <v>7018</v>
      </c>
      <c r="D2390" t="s">
        <v>595</v>
      </c>
      <c r="E2390" s="184">
        <v>45147</v>
      </c>
      <c r="G2390" s="184"/>
      <c r="I2390" s="184"/>
      <c r="K2390" s="184"/>
      <c r="M2390" s="184"/>
      <c r="O2390" s="184"/>
      <c r="P2390" t="s">
        <v>7045</v>
      </c>
      <c r="Q2390" t="s">
        <v>7383</v>
      </c>
      <c r="R2390" s="184">
        <v>22616</v>
      </c>
      <c r="S2390">
        <v>62</v>
      </c>
      <c r="U2390" t="s">
        <v>7031</v>
      </c>
      <c r="V2390" t="s">
        <v>2832</v>
      </c>
      <c r="X2390" t="s">
        <v>20598</v>
      </c>
      <c r="AF2390" t="s">
        <v>20599</v>
      </c>
      <c r="AG2390" t="s">
        <v>2832</v>
      </c>
      <c r="AI2390" t="s">
        <v>20600</v>
      </c>
      <c r="AM2390" t="s">
        <v>15904</v>
      </c>
      <c r="AN2390" t="s">
        <v>2313</v>
      </c>
      <c r="AO2390" t="s">
        <v>20601</v>
      </c>
      <c r="AP2390" t="s">
        <v>7024</v>
      </c>
      <c r="AQ2390" t="s">
        <v>20602</v>
      </c>
      <c r="AR2390" t="s">
        <v>20603</v>
      </c>
      <c r="AT2390" s="184">
        <v>36164</v>
      </c>
      <c r="AU2390" t="s">
        <v>20558</v>
      </c>
      <c r="AV2390">
        <v>15</v>
      </c>
      <c r="AW2390" s="184">
        <v>45321</v>
      </c>
      <c r="AX2390" t="s">
        <v>10915</v>
      </c>
      <c r="AY2390">
        <v>25</v>
      </c>
      <c r="AZ2390" s="184">
        <v>43271</v>
      </c>
      <c r="BA2390" t="s">
        <v>20604</v>
      </c>
      <c r="BB2390">
        <v>87</v>
      </c>
      <c r="BC2390">
        <v>39</v>
      </c>
      <c r="BD2390">
        <v>587</v>
      </c>
      <c r="BE2390">
        <v>1999</v>
      </c>
      <c r="BF2390">
        <v>20</v>
      </c>
      <c r="BG2390">
        <v>3</v>
      </c>
      <c r="BH2390">
        <v>75</v>
      </c>
      <c r="BI2390">
        <v>10</v>
      </c>
      <c r="BJ2390">
        <v>26</v>
      </c>
      <c r="BK2390">
        <v>5</v>
      </c>
      <c r="BP2390" s="184"/>
    </row>
    <row r="2391" spans="1:68">
      <c r="A2391">
        <v>28671105</v>
      </c>
      <c r="B2391">
        <v>28671105</v>
      </c>
      <c r="C2391" t="s">
        <v>7018</v>
      </c>
      <c r="D2391" t="s">
        <v>595</v>
      </c>
      <c r="E2391" s="184">
        <v>44438</v>
      </c>
      <c r="G2391" s="184"/>
      <c r="I2391" s="184"/>
      <c r="K2391" s="184"/>
      <c r="M2391" s="184"/>
      <c r="O2391" s="184"/>
      <c r="P2391" t="s">
        <v>7045</v>
      </c>
      <c r="Q2391" t="s">
        <v>7262</v>
      </c>
      <c r="R2391" s="184">
        <v>15707</v>
      </c>
      <c r="S2391">
        <v>81</v>
      </c>
      <c r="U2391" t="s">
        <v>7031</v>
      </c>
      <c r="V2391" t="s">
        <v>3393</v>
      </c>
      <c r="W2391" t="s">
        <v>3522</v>
      </c>
      <c r="X2391" t="s">
        <v>20605</v>
      </c>
      <c r="AF2391" t="s">
        <v>20606</v>
      </c>
      <c r="AG2391" t="s">
        <v>3393</v>
      </c>
      <c r="AI2391" t="s">
        <v>20607</v>
      </c>
      <c r="AM2391" t="s">
        <v>10576</v>
      </c>
      <c r="AN2391" t="s">
        <v>2266</v>
      </c>
      <c r="AO2391" t="s">
        <v>20608</v>
      </c>
      <c r="AP2391" t="s">
        <v>7024</v>
      </c>
      <c r="AQ2391" t="s">
        <v>20609</v>
      </c>
      <c r="AR2391" t="s">
        <v>20610</v>
      </c>
      <c r="AT2391" s="184">
        <v>36164</v>
      </c>
      <c r="AU2391" t="s">
        <v>20611</v>
      </c>
      <c r="AV2391">
        <v>15</v>
      </c>
      <c r="AW2391" s="184">
        <v>45089</v>
      </c>
      <c r="AX2391" t="s">
        <v>20612</v>
      </c>
      <c r="AY2391">
        <v>25</v>
      </c>
      <c r="AZ2391" s="184">
        <v>45089</v>
      </c>
      <c r="BA2391" t="s">
        <v>20612</v>
      </c>
      <c r="BB2391">
        <v>25</v>
      </c>
      <c r="BC2391">
        <v>39</v>
      </c>
      <c r="BD2391">
        <v>210</v>
      </c>
      <c r="BE2391">
        <v>1999</v>
      </c>
      <c r="BF2391">
        <v>12</v>
      </c>
      <c r="BG2391">
        <v>2</v>
      </c>
      <c r="BH2391">
        <v>40</v>
      </c>
      <c r="BI2391">
        <v>10</v>
      </c>
      <c r="BJ2391">
        <v>26</v>
      </c>
      <c r="BK2391">
        <v>3</v>
      </c>
      <c r="BN2391" t="s">
        <v>595</v>
      </c>
      <c r="BP2391" s="184"/>
    </row>
    <row r="2392" spans="1:68">
      <c r="A2392">
        <v>28686152</v>
      </c>
      <c r="B2392">
        <v>28686152</v>
      </c>
      <c r="C2392" t="s">
        <v>7018</v>
      </c>
      <c r="E2392" s="184"/>
      <c r="G2392" s="184"/>
      <c r="I2392" s="184"/>
      <c r="J2392" t="s">
        <v>595</v>
      </c>
      <c r="K2392" s="184">
        <v>44328</v>
      </c>
      <c r="M2392" s="184"/>
      <c r="O2392" s="184"/>
      <c r="P2392" t="s">
        <v>7045</v>
      </c>
      <c r="Q2392" t="s">
        <v>7160</v>
      </c>
      <c r="R2392" s="184">
        <v>18172</v>
      </c>
      <c r="S2392">
        <v>74</v>
      </c>
      <c r="U2392" t="s">
        <v>7130</v>
      </c>
      <c r="V2392" t="s">
        <v>4131</v>
      </c>
      <c r="W2392" t="s">
        <v>3226</v>
      </c>
      <c r="X2392" t="s">
        <v>3427</v>
      </c>
      <c r="AF2392" t="s">
        <v>20613</v>
      </c>
      <c r="AG2392" t="s">
        <v>4131</v>
      </c>
      <c r="AI2392" t="s">
        <v>20614</v>
      </c>
      <c r="AM2392" t="s">
        <v>20615</v>
      </c>
      <c r="AN2392" t="s">
        <v>2675</v>
      </c>
      <c r="AO2392" t="s">
        <v>20616</v>
      </c>
      <c r="AP2392" t="s">
        <v>7024</v>
      </c>
      <c r="AQ2392" t="s">
        <v>20617</v>
      </c>
      <c r="AR2392" t="s">
        <v>20618</v>
      </c>
      <c r="AT2392" s="184">
        <v>36179</v>
      </c>
      <c r="AU2392" t="s">
        <v>20619</v>
      </c>
      <c r="AV2392">
        <v>15</v>
      </c>
      <c r="AW2392" s="184">
        <v>45322</v>
      </c>
      <c r="AX2392" t="s">
        <v>17940</v>
      </c>
      <c r="AY2392">
        <v>50</v>
      </c>
      <c r="AZ2392" s="184">
        <v>41652</v>
      </c>
      <c r="BA2392" t="s">
        <v>20620</v>
      </c>
      <c r="BB2392">
        <v>90</v>
      </c>
      <c r="BC2392">
        <v>89</v>
      </c>
      <c r="BD2392">
        <v>1332</v>
      </c>
      <c r="BE2392">
        <v>1999</v>
      </c>
      <c r="BF2392">
        <v>33</v>
      </c>
      <c r="BG2392">
        <v>2</v>
      </c>
      <c r="BH2392">
        <v>100</v>
      </c>
      <c r="BI2392">
        <v>23</v>
      </c>
      <c r="BJ2392">
        <v>26</v>
      </c>
      <c r="BK2392">
        <v>14</v>
      </c>
      <c r="BP2392" s="184"/>
    </row>
    <row r="2393" spans="1:68">
      <c r="A2393">
        <v>28694735</v>
      </c>
      <c r="B2393">
        <v>28694735</v>
      </c>
      <c r="C2393" t="s">
        <v>7018</v>
      </c>
      <c r="E2393" s="184"/>
      <c r="G2393" s="184"/>
      <c r="I2393" s="184"/>
      <c r="K2393" s="184"/>
      <c r="L2393" t="s">
        <v>595</v>
      </c>
      <c r="M2393" s="184">
        <v>43923</v>
      </c>
      <c r="O2393" s="184"/>
      <c r="P2393" t="s">
        <v>7045</v>
      </c>
      <c r="Q2393" t="s">
        <v>7262</v>
      </c>
      <c r="R2393" s="184">
        <v>12071</v>
      </c>
      <c r="S2393">
        <v>91</v>
      </c>
      <c r="U2393" t="s">
        <v>7031</v>
      </c>
      <c r="V2393" t="s">
        <v>4093</v>
      </c>
      <c r="W2393" t="s">
        <v>4139</v>
      </c>
      <c r="X2393" t="s">
        <v>7598</v>
      </c>
      <c r="AF2393" t="s">
        <v>20621</v>
      </c>
      <c r="AG2393" t="s">
        <v>4093</v>
      </c>
      <c r="AI2393" t="s">
        <v>20622</v>
      </c>
      <c r="AM2393" t="s">
        <v>3262</v>
      </c>
      <c r="AN2393" t="s">
        <v>2106</v>
      </c>
      <c r="AO2393" t="s">
        <v>20623</v>
      </c>
      <c r="AP2393" t="s">
        <v>7024</v>
      </c>
      <c r="AT2393" s="184">
        <v>36168</v>
      </c>
      <c r="AU2393" t="s">
        <v>20624</v>
      </c>
      <c r="AV2393">
        <v>10</v>
      </c>
      <c r="AW2393" s="184">
        <v>44777</v>
      </c>
      <c r="AX2393" t="s">
        <v>20625</v>
      </c>
      <c r="AY2393">
        <v>400</v>
      </c>
      <c r="AZ2393" s="184">
        <v>44777</v>
      </c>
      <c r="BA2393" t="s">
        <v>20625</v>
      </c>
      <c r="BB2393">
        <v>400</v>
      </c>
      <c r="BC2393">
        <v>85</v>
      </c>
      <c r="BD2393">
        <v>2645</v>
      </c>
      <c r="BE2393">
        <v>1999</v>
      </c>
      <c r="BF2393">
        <v>26</v>
      </c>
      <c r="BG2393">
        <v>1</v>
      </c>
      <c r="BH2393">
        <v>400</v>
      </c>
      <c r="BI2393">
        <v>22</v>
      </c>
      <c r="BJ2393">
        <v>26</v>
      </c>
      <c r="BK2393">
        <v>16</v>
      </c>
      <c r="BP2393" s="184"/>
    </row>
    <row r="2394" spans="1:68">
      <c r="A2394">
        <v>28695252</v>
      </c>
      <c r="B2394">
        <v>28695252</v>
      </c>
      <c r="C2394" t="s">
        <v>7018</v>
      </c>
      <c r="D2394" t="s">
        <v>595</v>
      </c>
      <c r="E2394" s="184">
        <v>44104</v>
      </c>
      <c r="G2394" s="184"/>
      <c r="I2394" s="184"/>
      <c r="K2394" s="184"/>
      <c r="M2394" s="184"/>
      <c r="O2394" s="184"/>
      <c r="P2394" t="s">
        <v>7045</v>
      </c>
      <c r="Q2394" t="s">
        <v>7454</v>
      </c>
      <c r="R2394" s="184">
        <v>16027</v>
      </c>
      <c r="S2394">
        <v>80</v>
      </c>
      <c r="V2394" t="s">
        <v>2541</v>
      </c>
      <c r="W2394" t="s">
        <v>4152</v>
      </c>
      <c r="X2394" t="s">
        <v>20626</v>
      </c>
      <c r="AF2394" t="s">
        <v>20627</v>
      </c>
      <c r="AG2394" t="s">
        <v>2541</v>
      </c>
      <c r="AI2394" t="s">
        <v>20628</v>
      </c>
      <c r="AM2394" t="s">
        <v>20629</v>
      </c>
      <c r="AN2394" t="s">
        <v>2055</v>
      </c>
      <c r="AO2394" t="s">
        <v>20630</v>
      </c>
      <c r="AP2394" t="s">
        <v>7024</v>
      </c>
      <c r="AQ2394" t="s">
        <v>20631</v>
      </c>
      <c r="AT2394" s="184">
        <v>36168</v>
      </c>
      <c r="AU2394" t="s">
        <v>20632</v>
      </c>
      <c r="AV2394">
        <v>25</v>
      </c>
      <c r="AW2394" s="184">
        <v>44117</v>
      </c>
      <c r="AX2394" t="s">
        <v>16417</v>
      </c>
      <c r="AY2394">
        <v>60</v>
      </c>
      <c r="AZ2394" s="184">
        <v>44117</v>
      </c>
      <c r="BA2394" t="s">
        <v>16417</v>
      </c>
      <c r="BB2394">
        <v>60</v>
      </c>
      <c r="BC2394">
        <v>54</v>
      </c>
      <c r="BD2394">
        <v>605</v>
      </c>
      <c r="BE2394">
        <v>1999</v>
      </c>
      <c r="BF2394">
        <v>20</v>
      </c>
      <c r="BI2394">
        <v>14</v>
      </c>
      <c r="BJ2394">
        <v>26</v>
      </c>
      <c r="BK2394">
        <v>4</v>
      </c>
      <c r="BP2394" s="184"/>
    </row>
    <row r="2395" spans="1:68">
      <c r="A2395">
        <v>28718815</v>
      </c>
      <c r="B2395">
        <v>28718815</v>
      </c>
      <c r="C2395" t="s">
        <v>7018</v>
      </c>
      <c r="E2395" s="184"/>
      <c r="G2395" s="184"/>
      <c r="I2395" s="184"/>
      <c r="J2395" t="s">
        <v>595</v>
      </c>
      <c r="K2395" s="184">
        <v>38128</v>
      </c>
      <c r="M2395" s="184"/>
      <c r="N2395" t="s">
        <v>595</v>
      </c>
      <c r="O2395" s="184">
        <v>41997</v>
      </c>
      <c r="P2395" t="s">
        <v>7045</v>
      </c>
      <c r="Q2395" t="s">
        <v>7194</v>
      </c>
      <c r="R2395" s="184">
        <v>14268</v>
      </c>
      <c r="S2395">
        <v>85</v>
      </c>
      <c r="U2395" t="s">
        <v>7032</v>
      </c>
      <c r="V2395" t="s">
        <v>3288</v>
      </c>
      <c r="W2395" t="s">
        <v>7107</v>
      </c>
      <c r="X2395" t="s">
        <v>5065</v>
      </c>
      <c r="AF2395" t="s">
        <v>20633</v>
      </c>
      <c r="AG2395" t="s">
        <v>3288</v>
      </c>
      <c r="AI2395" t="s">
        <v>20634</v>
      </c>
      <c r="AM2395" t="s">
        <v>3787</v>
      </c>
      <c r="AN2395" t="s">
        <v>2046</v>
      </c>
      <c r="AO2395" t="s">
        <v>20635</v>
      </c>
      <c r="AP2395" t="s">
        <v>7024</v>
      </c>
      <c r="AQ2395" t="s">
        <v>20636</v>
      </c>
      <c r="AR2395" t="s">
        <v>20637</v>
      </c>
      <c r="AT2395" s="184">
        <v>36174</v>
      </c>
      <c r="AU2395" t="s">
        <v>20638</v>
      </c>
      <c r="AV2395">
        <v>20</v>
      </c>
      <c r="AW2395" s="184">
        <v>45281</v>
      </c>
      <c r="AX2395" t="s">
        <v>20639</v>
      </c>
      <c r="AY2395">
        <v>100</v>
      </c>
      <c r="AZ2395" s="184">
        <v>41997</v>
      </c>
      <c r="BA2395" t="s">
        <v>7042</v>
      </c>
      <c r="BB2395">
        <v>22662.92</v>
      </c>
      <c r="BC2395">
        <v>74</v>
      </c>
      <c r="BD2395">
        <v>34420.120000000003</v>
      </c>
      <c r="BE2395">
        <v>1999</v>
      </c>
      <c r="BF2395">
        <v>23</v>
      </c>
      <c r="BG2395">
        <v>2</v>
      </c>
      <c r="BH2395">
        <v>600</v>
      </c>
      <c r="BI2395">
        <v>19</v>
      </c>
      <c r="BJ2395">
        <v>26</v>
      </c>
      <c r="BK2395">
        <v>10</v>
      </c>
      <c r="BP2395" s="184"/>
    </row>
    <row r="2396" spans="1:68">
      <c r="A2396">
        <v>28726958</v>
      </c>
      <c r="B2396">
        <v>28726958</v>
      </c>
      <c r="C2396" t="s">
        <v>7018</v>
      </c>
      <c r="D2396" t="s">
        <v>595</v>
      </c>
      <c r="E2396" s="184">
        <v>45141</v>
      </c>
      <c r="G2396" s="184"/>
      <c r="I2396" s="184"/>
      <c r="K2396" s="184"/>
      <c r="O2396" s="184"/>
      <c r="P2396" t="s">
        <v>7045</v>
      </c>
      <c r="Q2396" t="s">
        <v>7160</v>
      </c>
      <c r="R2396" s="184">
        <v>19450</v>
      </c>
      <c r="S2396">
        <v>71</v>
      </c>
      <c r="V2396" t="s">
        <v>2832</v>
      </c>
      <c r="X2396" t="s">
        <v>20640</v>
      </c>
      <c r="Z2396">
        <v>100077136</v>
      </c>
      <c r="AB2396" t="s">
        <v>2903</v>
      </c>
      <c r="AD2396" t="s">
        <v>20640</v>
      </c>
      <c r="AF2396" t="s">
        <v>20641</v>
      </c>
      <c r="AG2396" t="s">
        <v>20642</v>
      </c>
      <c r="AI2396" t="s">
        <v>20643</v>
      </c>
      <c r="AM2396" t="s">
        <v>20644</v>
      </c>
      <c r="AN2396" t="s">
        <v>2675</v>
      </c>
      <c r="AO2396" t="s">
        <v>20645</v>
      </c>
      <c r="AP2396" t="s">
        <v>7024</v>
      </c>
      <c r="AT2396" s="184">
        <v>36174</v>
      </c>
      <c r="AU2396" t="s">
        <v>20646</v>
      </c>
      <c r="AV2396">
        <v>15</v>
      </c>
      <c r="AW2396" s="184">
        <v>45295</v>
      </c>
      <c r="AX2396" t="s">
        <v>20647</v>
      </c>
      <c r="AY2396">
        <v>15</v>
      </c>
      <c r="AZ2396" s="184">
        <v>45295</v>
      </c>
      <c r="BA2396" t="s">
        <v>20647</v>
      </c>
      <c r="BB2396">
        <v>15</v>
      </c>
      <c r="BC2396">
        <v>31</v>
      </c>
      <c r="BD2396">
        <v>120</v>
      </c>
      <c r="BE2396">
        <v>1999</v>
      </c>
      <c r="BF2396">
        <v>8</v>
      </c>
      <c r="BG2396">
        <v>2</v>
      </c>
      <c r="BH2396">
        <v>30</v>
      </c>
      <c r="BI2396">
        <v>8</v>
      </c>
      <c r="BJ2396">
        <v>26</v>
      </c>
      <c r="BK2396">
        <v>4</v>
      </c>
      <c r="BP2396" s="184"/>
    </row>
    <row r="2397" spans="1:68">
      <c r="A2397">
        <v>100077136</v>
      </c>
      <c r="B2397">
        <v>28726958</v>
      </c>
      <c r="C2397" t="s">
        <v>7018</v>
      </c>
      <c r="D2397" t="s">
        <v>595</v>
      </c>
      <c r="E2397" s="184">
        <v>45141</v>
      </c>
      <c r="G2397" s="184"/>
      <c r="I2397" s="184"/>
      <c r="K2397" s="184"/>
      <c r="M2397" s="184"/>
      <c r="O2397" s="184"/>
      <c r="P2397" t="s">
        <v>7045</v>
      </c>
      <c r="Q2397" t="s">
        <v>7160</v>
      </c>
      <c r="R2397" s="184">
        <v>21265</v>
      </c>
      <c r="S2397">
        <v>66</v>
      </c>
      <c r="V2397" t="s">
        <v>2903</v>
      </c>
      <c r="X2397" t="s">
        <v>20640</v>
      </c>
      <c r="Z2397">
        <v>28726958</v>
      </c>
      <c r="AB2397" t="s">
        <v>2832</v>
      </c>
      <c r="AD2397" t="s">
        <v>20640</v>
      </c>
      <c r="AF2397" t="s">
        <v>20641</v>
      </c>
      <c r="AG2397" t="s">
        <v>20642</v>
      </c>
      <c r="AI2397" t="s">
        <v>20643</v>
      </c>
      <c r="AM2397" t="s">
        <v>20644</v>
      </c>
      <c r="AN2397" t="s">
        <v>2675</v>
      </c>
      <c r="AO2397" t="s">
        <v>20645</v>
      </c>
      <c r="AP2397" t="s">
        <v>7024</v>
      </c>
      <c r="AT2397" s="184"/>
      <c r="AW2397" s="184"/>
      <c r="AZ2397" s="184"/>
      <c r="BP2397" s="184"/>
    </row>
    <row r="2398" spans="1:68">
      <c r="A2398">
        <v>28779064</v>
      </c>
      <c r="B2398">
        <v>28779064</v>
      </c>
      <c r="C2398" t="s">
        <v>7018</v>
      </c>
      <c r="E2398" s="184"/>
      <c r="G2398" s="184"/>
      <c r="I2398" s="184"/>
      <c r="J2398" t="s">
        <v>595</v>
      </c>
      <c r="K2398" s="184">
        <v>40388</v>
      </c>
      <c r="M2398" s="184"/>
      <c r="O2398" s="184"/>
      <c r="P2398" t="s">
        <v>7045</v>
      </c>
      <c r="Q2398" t="s">
        <v>7030</v>
      </c>
      <c r="R2398" s="184">
        <v>19869</v>
      </c>
      <c r="S2398">
        <v>69</v>
      </c>
      <c r="U2398" t="s">
        <v>7076</v>
      </c>
      <c r="V2398" t="s">
        <v>7446</v>
      </c>
      <c r="X2398" t="s">
        <v>18211</v>
      </c>
      <c r="Z2398">
        <v>100181829</v>
      </c>
      <c r="AA2398" t="s">
        <v>7031</v>
      </c>
      <c r="AB2398" t="s">
        <v>3311</v>
      </c>
      <c r="AC2398" t="s">
        <v>3145</v>
      </c>
      <c r="AD2398" t="s">
        <v>18211</v>
      </c>
      <c r="AF2398" t="s">
        <v>6674</v>
      </c>
      <c r="AG2398" t="s">
        <v>7446</v>
      </c>
      <c r="AI2398" t="s">
        <v>20648</v>
      </c>
      <c r="AJ2398" t="s">
        <v>20649</v>
      </c>
      <c r="AM2398" t="s">
        <v>3325</v>
      </c>
      <c r="AN2398" t="s">
        <v>2094</v>
      </c>
      <c r="AO2398">
        <v>81212</v>
      </c>
      <c r="AP2398" t="s">
        <v>7024</v>
      </c>
      <c r="AQ2398" t="s">
        <v>20650</v>
      </c>
      <c r="AT2398" s="184">
        <v>34050</v>
      </c>
      <c r="AU2398" t="s">
        <v>14149</v>
      </c>
      <c r="AV2398">
        <v>25</v>
      </c>
      <c r="AW2398" s="184">
        <v>39840</v>
      </c>
      <c r="AX2398" t="s">
        <v>20651</v>
      </c>
      <c r="AY2398">
        <v>15</v>
      </c>
      <c r="AZ2398" s="184">
        <v>38681</v>
      </c>
      <c r="BA2398" t="s">
        <v>20652</v>
      </c>
      <c r="BB2398">
        <v>25</v>
      </c>
      <c r="BC2398">
        <v>25</v>
      </c>
      <c r="BD2398">
        <v>180</v>
      </c>
      <c r="BE2398">
        <v>1993</v>
      </c>
      <c r="BF2398">
        <v>10</v>
      </c>
      <c r="BI2398">
        <v>8</v>
      </c>
      <c r="BJ2398">
        <v>32</v>
      </c>
      <c r="BK2398">
        <v>5</v>
      </c>
      <c r="BP2398" s="184"/>
    </row>
    <row r="2399" spans="1:68">
      <c r="A2399">
        <v>100181829</v>
      </c>
      <c r="B2399">
        <v>28779064</v>
      </c>
      <c r="C2399" t="s">
        <v>7018</v>
      </c>
      <c r="E2399" s="184"/>
      <c r="G2399" s="184"/>
      <c r="I2399" s="184"/>
      <c r="J2399" t="s">
        <v>595</v>
      </c>
      <c r="K2399" s="184">
        <v>40388</v>
      </c>
      <c r="O2399" s="184"/>
      <c r="P2399" t="s">
        <v>7045</v>
      </c>
      <c r="Q2399" t="s">
        <v>7030</v>
      </c>
      <c r="R2399" s="184"/>
      <c r="U2399" t="s">
        <v>7031</v>
      </c>
      <c r="V2399" t="s">
        <v>3311</v>
      </c>
      <c r="W2399" t="s">
        <v>3145</v>
      </c>
      <c r="X2399" t="s">
        <v>18211</v>
      </c>
      <c r="Z2399">
        <v>28779064</v>
      </c>
      <c r="AA2399" t="s">
        <v>7076</v>
      </c>
      <c r="AB2399" t="s">
        <v>7446</v>
      </c>
      <c r="AD2399" t="s">
        <v>18211</v>
      </c>
      <c r="AF2399" t="s">
        <v>6674</v>
      </c>
      <c r="AG2399" t="s">
        <v>7446</v>
      </c>
      <c r="AI2399" t="s">
        <v>20648</v>
      </c>
      <c r="AJ2399" t="s">
        <v>20649</v>
      </c>
      <c r="AM2399" t="s">
        <v>3325</v>
      </c>
      <c r="AN2399" t="s">
        <v>2094</v>
      </c>
      <c r="AO2399">
        <v>81212</v>
      </c>
      <c r="AP2399" t="s">
        <v>7024</v>
      </c>
      <c r="AT2399" s="184"/>
      <c r="AW2399" s="184"/>
      <c r="AZ2399" s="184"/>
      <c r="BO2399" t="s">
        <v>595</v>
      </c>
      <c r="BP2399" s="184">
        <v>41786</v>
      </c>
    </row>
    <row r="2400" spans="1:68">
      <c r="A2400">
        <v>28800068</v>
      </c>
      <c r="B2400">
        <v>28800068</v>
      </c>
      <c r="C2400" t="s">
        <v>7018</v>
      </c>
      <c r="E2400" s="184"/>
      <c r="F2400" t="s">
        <v>595</v>
      </c>
      <c r="G2400" s="184">
        <v>43731</v>
      </c>
      <c r="I2400" s="184"/>
      <c r="K2400" s="184"/>
      <c r="O2400" s="184"/>
      <c r="P2400" t="s">
        <v>7045</v>
      </c>
      <c r="Q2400" t="s">
        <v>7494</v>
      </c>
      <c r="R2400" s="184">
        <v>20760</v>
      </c>
      <c r="S2400">
        <v>67</v>
      </c>
      <c r="U2400" t="s">
        <v>7130</v>
      </c>
      <c r="V2400" t="s">
        <v>3990</v>
      </c>
      <c r="W2400" t="s">
        <v>4013</v>
      </c>
      <c r="X2400" t="s">
        <v>2624</v>
      </c>
      <c r="AF2400" t="s">
        <v>20653</v>
      </c>
      <c r="AG2400" t="s">
        <v>3990</v>
      </c>
      <c r="AI2400" t="s">
        <v>20654</v>
      </c>
      <c r="AM2400" t="s">
        <v>2633</v>
      </c>
      <c r="AN2400" t="s">
        <v>2174</v>
      </c>
      <c r="AO2400" t="s">
        <v>20655</v>
      </c>
      <c r="AP2400" t="s">
        <v>7024</v>
      </c>
      <c r="AT2400" s="184">
        <v>36182</v>
      </c>
      <c r="AU2400" t="s">
        <v>20656</v>
      </c>
      <c r="AV2400">
        <v>15</v>
      </c>
      <c r="AW2400" s="184">
        <v>44172</v>
      </c>
      <c r="AX2400" t="s">
        <v>20657</v>
      </c>
      <c r="AY2400">
        <v>7</v>
      </c>
      <c r="AZ2400" s="184">
        <v>42724</v>
      </c>
      <c r="BA2400" t="s">
        <v>20658</v>
      </c>
      <c r="BB2400">
        <v>40</v>
      </c>
      <c r="BC2400">
        <v>81</v>
      </c>
      <c r="BD2400">
        <v>863</v>
      </c>
      <c r="BE2400">
        <v>1999</v>
      </c>
      <c r="BF2400">
        <v>42</v>
      </c>
      <c r="BI2400">
        <v>21</v>
      </c>
      <c r="BJ2400">
        <v>26</v>
      </c>
      <c r="BK2400">
        <v>16</v>
      </c>
      <c r="BP2400" s="184"/>
    </row>
    <row r="2401" spans="1:68">
      <c r="A2401">
        <v>28801512</v>
      </c>
      <c r="B2401">
        <v>28801512</v>
      </c>
      <c r="C2401" t="s">
        <v>7018</v>
      </c>
      <c r="E2401" s="184"/>
      <c r="G2401" s="184"/>
      <c r="I2401" s="184"/>
      <c r="J2401" t="s">
        <v>595</v>
      </c>
      <c r="K2401" s="184">
        <v>37803</v>
      </c>
      <c r="O2401" s="184"/>
      <c r="P2401" t="s">
        <v>7045</v>
      </c>
      <c r="Q2401" t="s">
        <v>7383</v>
      </c>
      <c r="R2401" s="184"/>
      <c r="U2401" t="s">
        <v>7130</v>
      </c>
      <c r="V2401" t="s">
        <v>2651</v>
      </c>
      <c r="W2401" t="s">
        <v>7560</v>
      </c>
      <c r="X2401" t="s">
        <v>20659</v>
      </c>
      <c r="AF2401" t="s">
        <v>6545</v>
      </c>
      <c r="AG2401" t="s">
        <v>2651</v>
      </c>
      <c r="AI2401" t="s">
        <v>20660</v>
      </c>
      <c r="AJ2401" t="s">
        <v>20661</v>
      </c>
      <c r="AM2401" t="s">
        <v>20662</v>
      </c>
      <c r="AN2401" t="s">
        <v>2419</v>
      </c>
      <c r="AO2401" t="s">
        <v>20663</v>
      </c>
      <c r="AP2401" t="s">
        <v>7024</v>
      </c>
      <c r="AQ2401" t="s">
        <v>20664</v>
      </c>
      <c r="AR2401" t="s">
        <v>20665</v>
      </c>
      <c r="AT2401" s="184">
        <v>36182</v>
      </c>
      <c r="AU2401" t="s">
        <v>20666</v>
      </c>
      <c r="AV2401">
        <v>15</v>
      </c>
      <c r="AW2401" s="184">
        <v>44280</v>
      </c>
      <c r="AX2401" t="s">
        <v>7714</v>
      </c>
      <c r="AY2401">
        <v>25</v>
      </c>
      <c r="AZ2401" s="184">
        <v>41702</v>
      </c>
      <c r="BA2401" t="s">
        <v>20667</v>
      </c>
      <c r="BB2401">
        <v>50</v>
      </c>
      <c r="BC2401">
        <v>70</v>
      </c>
      <c r="BD2401">
        <v>675</v>
      </c>
      <c r="BE2401">
        <v>1999</v>
      </c>
      <c r="BF2401">
        <v>40</v>
      </c>
      <c r="BI2401">
        <v>18</v>
      </c>
      <c r="BJ2401">
        <v>26</v>
      </c>
      <c r="BK2401">
        <v>17</v>
      </c>
      <c r="BN2401" t="s">
        <v>595</v>
      </c>
      <c r="BP2401" s="184"/>
    </row>
    <row r="2402" spans="1:68">
      <c r="A2402">
        <v>28802254</v>
      </c>
      <c r="B2402">
        <v>28802254</v>
      </c>
      <c r="C2402" t="s">
        <v>7018</v>
      </c>
      <c r="D2402" t="s">
        <v>595</v>
      </c>
      <c r="E2402" s="184">
        <v>44167</v>
      </c>
      <c r="G2402" s="184"/>
      <c r="I2402" s="184"/>
      <c r="K2402" s="184"/>
      <c r="O2402" s="184"/>
      <c r="P2402" t="s">
        <v>7045</v>
      </c>
      <c r="Q2402" t="s">
        <v>7262</v>
      </c>
      <c r="R2402" s="184">
        <v>13818</v>
      </c>
      <c r="S2402">
        <v>86</v>
      </c>
      <c r="U2402" t="s">
        <v>7031</v>
      </c>
      <c r="V2402" t="s">
        <v>3373</v>
      </c>
      <c r="W2402" t="s">
        <v>5006</v>
      </c>
      <c r="X2402" t="s">
        <v>16066</v>
      </c>
      <c r="AF2402" t="s">
        <v>20668</v>
      </c>
      <c r="AG2402" t="s">
        <v>3373</v>
      </c>
      <c r="AI2402" t="s">
        <v>20669</v>
      </c>
      <c r="AM2402" t="s">
        <v>2616</v>
      </c>
      <c r="AN2402" t="s">
        <v>2069</v>
      </c>
      <c r="AO2402" t="s">
        <v>20670</v>
      </c>
      <c r="AP2402" t="s">
        <v>7024</v>
      </c>
      <c r="AQ2402" t="s">
        <v>20671</v>
      </c>
      <c r="AR2402" t="s">
        <v>20672</v>
      </c>
      <c r="AT2402" s="184">
        <v>36182</v>
      </c>
      <c r="AU2402" t="s">
        <v>20673</v>
      </c>
      <c r="AV2402">
        <v>25</v>
      </c>
      <c r="AW2402" s="184">
        <v>45380</v>
      </c>
      <c r="AX2402" t="s">
        <v>11161</v>
      </c>
      <c r="AY2402">
        <v>25</v>
      </c>
      <c r="AZ2402" s="184">
        <v>44643</v>
      </c>
      <c r="BA2402" t="s">
        <v>9670</v>
      </c>
      <c r="BB2402">
        <v>35</v>
      </c>
      <c r="BC2402">
        <v>81</v>
      </c>
      <c r="BD2402">
        <v>793</v>
      </c>
      <c r="BE2402">
        <v>1999</v>
      </c>
      <c r="BF2402">
        <v>28</v>
      </c>
      <c r="BG2402">
        <v>1</v>
      </c>
      <c r="BH2402">
        <v>25</v>
      </c>
      <c r="BI2402">
        <v>21</v>
      </c>
      <c r="BJ2402">
        <v>26</v>
      </c>
      <c r="BK2402">
        <v>6</v>
      </c>
      <c r="BP2402" s="184"/>
    </row>
    <row r="2403" spans="1:68">
      <c r="A2403">
        <v>28810182</v>
      </c>
      <c r="B2403">
        <v>28810182</v>
      </c>
      <c r="C2403" t="s">
        <v>7018</v>
      </c>
      <c r="D2403" t="s">
        <v>595</v>
      </c>
      <c r="E2403" s="184">
        <v>43955</v>
      </c>
      <c r="G2403" s="184"/>
      <c r="I2403" s="184"/>
      <c r="K2403" s="184"/>
      <c r="M2403" s="184"/>
      <c r="O2403" s="184"/>
      <c r="P2403" t="s">
        <v>7045</v>
      </c>
      <c r="Q2403" t="s">
        <v>7454</v>
      </c>
      <c r="R2403" s="184">
        <v>15992</v>
      </c>
      <c r="S2403">
        <v>80</v>
      </c>
      <c r="U2403" t="s">
        <v>7130</v>
      </c>
      <c r="V2403" t="s">
        <v>3101</v>
      </c>
      <c r="W2403" t="s">
        <v>4013</v>
      </c>
      <c r="X2403" t="s">
        <v>20674</v>
      </c>
      <c r="AF2403" t="s">
        <v>20675</v>
      </c>
      <c r="AG2403" t="s">
        <v>3101</v>
      </c>
      <c r="AI2403" t="s">
        <v>20676</v>
      </c>
      <c r="AM2403" t="s">
        <v>13110</v>
      </c>
      <c r="AN2403" t="s">
        <v>2055</v>
      </c>
      <c r="AO2403" t="s">
        <v>20677</v>
      </c>
      <c r="AP2403" t="s">
        <v>7024</v>
      </c>
      <c r="AQ2403" t="s">
        <v>20678</v>
      </c>
      <c r="AR2403" t="s">
        <v>20679</v>
      </c>
      <c r="AT2403" s="184">
        <v>36185</v>
      </c>
      <c r="AU2403" t="s">
        <v>20680</v>
      </c>
      <c r="AV2403">
        <v>15</v>
      </c>
      <c r="AW2403" s="184">
        <v>45278</v>
      </c>
      <c r="AX2403" t="s">
        <v>16902</v>
      </c>
      <c r="AY2403">
        <v>52.5</v>
      </c>
      <c r="AZ2403" s="184">
        <v>44938</v>
      </c>
      <c r="BA2403" t="s">
        <v>18520</v>
      </c>
      <c r="BB2403">
        <v>75</v>
      </c>
      <c r="BC2403">
        <v>93</v>
      </c>
      <c r="BD2403">
        <v>1522.5</v>
      </c>
      <c r="BE2403">
        <v>1999</v>
      </c>
      <c r="BF2403">
        <v>103</v>
      </c>
      <c r="BG2403">
        <v>2</v>
      </c>
      <c r="BH2403">
        <v>127.5</v>
      </c>
      <c r="BI2403">
        <v>24</v>
      </c>
      <c r="BJ2403">
        <v>26</v>
      </c>
      <c r="BK2403">
        <v>23</v>
      </c>
      <c r="BP2403" s="184"/>
    </row>
    <row r="2404" spans="1:68">
      <c r="A2404">
        <v>28830602</v>
      </c>
      <c r="B2404">
        <v>28830602</v>
      </c>
      <c r="C2404" t="s">
        <v>7018</v>
      </c>
      <c r="E2404" s="184"/>
      <c r="G2404" s="184"/>
      <c r="I2404" s="184"/>
      <c r="J2404" t="s">
        <v>595</v>
      </c>
      <c r="K2404" s="184">
        <v>42521</v>
      </c>
      <c r="O2404" s="184"/>
      <c r="P2404" t="s">
        <v>7045</v>
      </c>
      <c r="Q2404" t="s">
        <v>7030</v>
      </c>
      <c r="R2404" s="184">
        <v>17261</v>
      </c>
      <c r="S2404">
        <v>77</v>
      </c>
      <c r="U2404" t="s">
        <v>7130</v>
      </c>
      <c r="V2404" t="s">
        <v>3516</v>
      </c>
      <c r="X2404" t="s">
        <v>20681</v>
      </c>
      <c r="AF2404" t="s">
        <v>6484</v>
      </c>
      <c r="AG2404" t="s">
        <v>3516</v>
      </c>
      <c r="AI2404" t="s">
        <v>20682</v>
      </c>
      <c r="AM2404" t="s">
        <v>3495</v>
      </c>
      <c r="AN2404" t="s">
        <v>2201</v>
      </c>
      <c r="AO2404" t="s">
        <v>20683</v>
      </c>
      <c r="AP2404" t="s">
        <v>7024</v>
      </c>
      <c r="AQ2404" t="s">
        <v>20684</v>
      </c>
      <c r="AR2404" t="s">
        <v>20685</v>
      </c>
      <c r="AT2404" s="184">
        <v>36187</v>
      </c>
      <c r="AU2404" t="s">
        <v>20686</v>
      </c>
      <c r="AV2404">
        <v>15</v>
      </c>
      <c r="AW2404" s="184">
        <v>44740</v>
      </c>
      <c r="AX2404" t="s">
        <v>20687</v>
      </c>
      <c r="AY2404">
        <v>10.1</v>
      </c>
      <c r="AZ2404" s="184">
        <v>37200</v>
      </c>
      <c r="BA2404" t="s">
        <v>20688</v>
      </c>
      <c r="BB2404">
        <v>60</v>
      </c>
      <c r="BC2404">
        <v>89</v>
      </c>
      <c r="BD2404">
        <v>922.3</v>
      </c>
      <c r="BE2404">
        <v>1999</v>
      </c>
      <c r="BF2404">
        <v>83</v>
      </c>
      <c r="BG2404">
        <v>1</v>
      </c>
      <c r="BH2404">
        <v>10.1</v>
      </c>
      <c r="BI2404">
        <v>23</v>
      </c>
      <c r="BJ2404">
        <v>26</v>
      </c>
      <c r="BK2404">
        <v>22</v>
      </c>
      <c r="BP2404" s="184"/>
    </row>
    <row r="2405" spans="1:68">
      <c r="A2405">
        <v>28832855</v>
      </c>
      <c r="B2405">
        <v>28832855</v>
      </c>
      <c r="C2405" t="s">
        <v>7018</v>
      </c>
      <c r="E2405" s="184"/>
      <c r="G2405" s="184"/>
      <c r="I2405" s="184"/>
      <c r="J2405" t="s">
        <v>595</v>
      </c>
      <c r="K2405" s="184">
        <v>45006</v>
      </c>
      <c r="O2405" s="184"/>
      <c r="P2405" t="s">
        <v>7084</v>
      </c>
      <c r="Q2405" t="s">
        <v>7383</v>
      </c>
      <c r="R2405" s="184">
        <v>16377</v>
      </c>
      <c r="S2405">
        <v>79</v>
      </c>
      <c r="U2405" t="s">
        <v>7076</v>
      </c>
      <c r="V2405" t="s">
        <v>12301</v>
      </c>
      <c r="X2405" t="s">
        <v>4030</v>
      </c>
      <c r="AF2405" t="s">
        <v>20689</v>
      </c>
      <c r="AG2405" t="s">
        <v>12301</v>
      </c>
      <c r="AI2405" t="s">
        <v>20690</v>
      </c>
      <c r="AM2405" t="s">
        <v>6927</v>
      </c>
      <c r="AN2405" t="s">
        <v>2064</v>
      </c>
      <c r="AO2405" t="s">
        <v>20691</v>
      </c>
      <c r="AP2405" t="s">
        <v>7024</v>
      </c>
      <c r="AQ2405" t="s">
        <v>20692</v>
      </c>
      <c r="AT2405" s="184">
        <v>36187</v>
      </c>
      <c r="AU2405" t="s">
        <v>20693</v>
      </c>
      <c r="AV2405">
        <v>50</v>
      </c>
      <c r="AW2405" s="184">
        <v>45411</v>
      </c>
      <c r="AX2405" t="s">
        <v>7296</v>
      </c>
      <c r="AY2405">
        <v>10500</v>
      </c>
      <c r="AZ2405" s="184">
        <v>45076</v>
      </c>
      <c r="BA2405" t="s">
        <v>7721</v>
      </c>
      <c r="BB2405">
        <v>15000</v>
      </c>
      <c r="BC2405">
        <v>43</v>
      </c>
      <c r="BD2405">
        <v>27315</v>
      </c>
      <c r="BE2405">
        <v>1999</v>
      </c>
      <c r="BF2405">
        <v>18</v>
      </c>
      <c r="BG2405">
        <v>2</v>
      </c>
      <c r="BH2405">
        <v>25500</v>
      </c>
      <c r="BI2405">
        <v>11</v>
      </c>
      <c r="BJ2405">
        <v>26</v>
      </c>
      <c r="BK2405">
        <v>3</v>
      </c>
      <c r="BO2405" t="s">
        <v>595</v>
      </c>
      <c r="BP2405" s="184">
        <v>44435</v>
      </c>
    </row>
    <row r="2406" spans="1:68">
      <c r="A2406">
        <v>28874071</v>
      </c>
      <c r="B2406">
        <v>28874071</v>
      </c>
      <c r="C2406" t="s">
        <v>7018</v>
      </c>
      <c r="D2406" t="s">
        <v>595</v>
      </c>
      <c r="E2406" s="184">
        <v>44167</v>
      </c>
      <c r="G2406" s="184"/>
      <c r="I2406" s="184"/>
      <c r="K2406" s="184"/>
      <c r="O2406" s="184"/>
      <c r="P2406" t="s">
        <v>7045</v>
      </c>
      <c r="Q2406" t="s">
        <v>7160</v>
      </c>
      <c r="R2406" s="184">
        <v>20201</v>
      </c>
      <c r="S2406">
        <v>69</v>
      </c>
      <c r="V2406" t="s">
        <v>3504</v>
      </c>
      <c r="X2406" t="s">
        <v>3378</v>
      </c>
      <c r="AF2406" t="s">
        <v>20694</v>
      </c>
      <c r="AG2406" t="s">
        <v>3504</v>
      </c>
      <c r="AI2406" t="s">
        <v>20695</v>
      </c>
      <c r="AM2406" t="s">
        <v>20696</v>
      </c>
      <c r="AN2406" t="s">
        <v>2176</v>
      </c>
      <c r="AO2406" t="s">
        <v>20697</v>
      </c>
      <c r="AP2406" t="s">
        <v>7024</v>
      </c>
      <c r="AQ2406" t="s">
        <v>20698</v>
      </c>
      <c r="AR2406" t="s">
        <v>20699</v>
      </c>
      <c r="AT2406" s="184">
        <v>36202</v>
      </c>
      <c r="AU2406" t="s">
        <v>20700</v>
      </c>
      <c r="AV2406">
        <v>15</v>
      </c>
      <c r="AW2406" s="184">
        <v>45093</v>
      </c>
      <c r="AX2406" t="s">
        <v>20701</v>
      </c>
      <c r="AY2406">
        <v>50</v>
      </c>
      <c r="AZ2406" s="184">
        <v>40304</v>
      </c>
      <c r="BA2406" t="s">
        <v>19602</v>
      </c>
      <c r="BB2406">
        <v>125</v>
      </c>
      <c r="BC2406">
        <v>85</v>
      </c>
      <c r="BD2406">
        <v>1550</v>
      </c>
      <c r="BE2406">
        <v>1999</v>
      </c>
      <c r="BF2406">
        <v>40</v>
      </c>
      <c r="BG2406">
        <v>1</v>
      </c>
      <c r="BH2406">
        <v>50</v>
      </c>
      <c r="BI2406">
        <v>22</v>
      </c>
      <c r="BJ2406">
        <v>26</v>
      </c>
      <c r="BK2406">
        <v>15</v>
      </c>
      <c r="BP2406" s="184"/>
    </row>
    <row r="2407" spans="1:68">
      <c r="A2407">
        <v>28886174</v>
      </c>
      <c r="B2407">
        <v>28886174</v>
      </c>
      <c r="C2407" t="s">
        <v>7018</v>
      </c>
      <c r="D2407" t="s">
        <v>595</v>
      </c>
      <c r="E2407" s="184">
        <v>45152</v>
      </c>
      <c r="G2407" s="184"/>
      <c r="I2407" s="184"/>
      <c r="K2407" s="184"/>
      <c r="M2407" s="184"/>
      <c r="O2407" s="184"/>
      <c r="P2407" t="s">
        <v>7045</v>
      </c>
      <c r="Q2407" t="s">
        <v>7494</v>
      </c>
      <c r="R2407" s="184">
        <v>15615</v>
      </c>
      <c r="S2407">
        <v>81</v>
      </c>
      <c r="V2407" t="s">
        <v>2697</v>
      </c>
      <c r="W2407" t="s">
        <v>7085</v>
      </c>
      <c r="X2407" t="s">
        <v>20702</v>
      </c>
      <c r="AF2407" t="s">
        <v>20703</v>
      </c>
      <c r="AG2407" t="s">
        <v>2697</v>
      </c>
      <c r="AI2407" t="s">
        <v>20704</v>
      </c>
      <c r="AM2407" t="s">
        <v>20705</v>
      </c>
      <c r="AN2407" t="s">
        <v>2174</v>
      </c>
      <c r="AO2407" t="s">
        <v>20706</v>
      </c>
      <c r="AP2407" t="s">
        <v>7024</v>
      </c>
      <c r="AQ2407" t="s">
        <v>20707</v>
      </c>
      <c r="AT2407" s="184">
        <v>36202</v>
      </c>
      <c r="AU2407" t="s">
        <v>20708</v>
      </c>
      <c r="AV2407">
        <v>15</v>
      </c>
      <c r="AW2407" s="184">
        <v>45411</v>
      </c>
      <c r="AX2407" t="s">
        <v>8516</v>
      </c>
      <c r="AY2407">
        <v>50</v>
      </c>
      <c r="AZ2407" s="184">
        <v>45411</v>
      </c>
      <c r="BA2407" t="s">
        <v>8516</v>
      </c>
      <c r="BB2407">
        <v>50</v>
      </c>
      <c r="BC2407">
        <v>39</v>
      </c>
      <c r="BD2407">
        <v>330</v>
      </c>
      <c r="BE2407">
        <v>1999</v>
      </c>
      <c r="BF2407">
        <v>12</v>
      </c>
      <c r="BG2407">
        <v>2</v>
      </c>
      <c r="BH2407">
        <v>75</v>
      </c>
      <c r="BI2407">
        <v>10</v>
      </c>
      <c r="BJ2407">
        <v>26</v>
      </c>
      <c r="BK2407">
        <v>5</v>
      </c>
      <c r="BP2407" s="184"/>
    </row>
    <row r="2408" spans="1:68">
      <c r="A2408">
        <v>28892800</v>
      </c>
      <c r="B2408">
        <v>28892800</v>
      </c>
      <c r="C2408" t="s">
        <v>7018</v>
      </c>
      <c r="D2408" t="s">
        <v>595</v>
      </c>
      <c r="E2408" s="184">
        <v>44414</v>
      </c>
      <c r="G2408" s="184"/>
      <c r="I2408" s="184"/>
      <c r="K2408" s="184"/>
      <c r="M2408" s="184"/>
      <c r="O2408" s="184"/>
      <c r="P2408" t="s">
        <v>7045</v>
      </c>
      <c r="Q2408" t="s">
        <v>7020</v>
      </c>
      <c r="R2408" s="184">
        <v>22174</v>
      </c>
      <c r="S2408">
        <v>63</v>
      </c>
      <c r="V2408" t="s">
        <v>20709</v>
      </c>
      <c r="X2408" t="s">
        <v>20710</v>
      </c>
      <c r="AF2408" t="s">
        <v>20711</v>
      </c>
      <c r="AG2408" t="s">
        <v>20709</v>
      </c>
      <c r="AI2408" t="s">
        <v>20712</v>
      </c>
      <c r="AM2408" t="s">
        <v>20713</v>
      </c>
      <c r="AN2408" t="s">
        <v>2112</v>
      </c>
      <c r="AO2408" t="s">
        <v>20714</v>
      </c>
      <c r="AP2408" t="s">
        <v>7024</v>
      </c>
      <c r="AQ2408" t="s">
        <v>20715</v>
      </c>
      <c r="AT2408" s="184">
        <v>36203</v>
      </c>
      <c r="AU2408" t="s">
        <v>20716</v>
      </c>
      <c r="AV2408">
        <v>20</v>
      </c>
      <c r="AW2408" s="184">
        <v>45352</v>
      </c>
      <c r="AX2408" t="s">
        <v>20717</v>
      </c>
      <c r="AY2408">
        <v>25</v>
      </c>
      <c r="AZ2408" s="184">
        <v>44564</v>
      </c>
      <c r="BA2408" t="s">
        <v>13683</v>
      </c>
      <c r="BB2408">
        <v>35</v>
      </c>
      <c r="BC2408">
        <v>31</v>
      </c>
      <c r="BD2408">
        <v>260</v>
      </c>
      <c r="BE2408">
        <v>1999</v>
      </c>
      <c r="BF2408">
        <v>11</v>
      </c>
      <c r="BG2408">
        <v>2</v>
      </c>
      <c r="BH2408">
        <v>50</v>
      </c>
      <c r="BI2408">
        <v>8</v>
      </c>
      <c r="BJ2408">
        <v>26</v>
      </c>
      <c r="BK2408">
        <v>3</v>
      </c>
      <c r="BP2408" s="184"/>
    </row>
    <row r="2409" spans="1:68">
      <c r="A2409">
        <v>28921260</v>
      </c>
      <c r="B2409">
        <v>28921260</v>
      </c>
      <c r="C2409" t="s">
        <v>7018</v>
      </c>
      <c r="D2409" t="s">
        <v>595</v>
      </c>
      <c r="E2409" s="184">
        <v>43970</v>
      </c>
      <c r="G2409" s="184"/>
      <c r="I2409" s="184"/>
      <c r="K2409" s="184"/>
      <c r="M2409" s="184"/>
      <c r="O2409" s="184"/>
      <c r="P2409" t="s">
        <v>7045</v>
      </c>
      <c r="Q2409" t="s">
        <v>7454</v>
      </c>
      <c r="R2409" s="184">
        <v>9649</v>
      </c>
      <c r="S2409">
        <v>97</v>
      </c>
      <c r="U2409" t="s">
        <v>7667</v>
      </c>
      <c r="V2409" t="s">
        <v>4327</v>
      </c>
      <c r="W2409" t="s">
        <v>3455</v>
      </c>
      <c r="X2409" t="s">
        <v>3389</v>
      </c>
      <c r="AF2409" t="s">
        <v>20718</v>
      </c>
      <c r="AG2409" t="s">
        <v>20719</v>
      </c>
      <c r="AI2409" t="s">
        <v>20720</v>
      </c>
      <c r="AM2409" t="s">
        <v>3918</v>
      </c>
      <c r="AN2409" t="s">
        <v>2055</v>
      </c>
      <c r="AO2409" t="s">
        <v>20721</v>
      </c>
      <c r="AP2409" t="s">
        <v>7024</v>
      </c>
      <c r="AT2409" s="184">
        <v>36213</v>
      </c>
      <c r="AU2409" t="s">
        <v>20722</v>
      </c>
      <c r="AV2409">
        <v>25</v>
      </c>
      <c r="AW2409" s="184">
        <v>43979</v>
      </c>
      <c r="AX2409" t="s">
        <v>20723</v>
      </c>
      <c r="AY2409">
        <v>75</v>
      </c>
      <c r="AZ2409" s="184">
        <v>42954</v>
      </c>
      <c r="BA2409" t="s">
        <v>20724</v>
      </c>
      <c r="BB2409">
        <v>100</v>
      </c>
      <c r="BC2409">
        <v>66</v>
      </c>
      <c r="BD2409">
        <v>1890</v>
      </c>
      <c r="BE2409">
        <v>1999</v>
      </c>
      <c r="BF2409">
        <v>29</v>
      </c>
      <c r="BI2409">
        <v>17</v>
      </c>
      <c r="BJ2409">
        <v>26</v>
      </c>
      <c r="BK2409">
        <v>6</v>
      </c>
      <c r="BP2409" s="184"/>
    </row>
    <row r="2410" spans="1:68">
      <c r="A2410">
        <v>28927424</v>
      </c>
      <c r="B2410">
        <v>28927424</v>
      </c>
      <c r="C2410" t="s">
        <v>7018</v>
      </c>
      <c r="D2410" t="s">
        <v>595</v>
      </c>
      <c r="E2410" s="184">
        <v>45125</v>
      </c>
      <c r="G2410" s="184"/>
      <c r="I2410" s="184"/>
      <c r="K2410" s="184"/>
      <c r="M2410" s="184"/>
      <c r="O2410" s="184"/>
      <c r="P2410" t="s">
        <v>7045</v>
      </c>
      <c r="Q2410" t="s">
        <v>7020</v>
      </c>
      <c r="R2410" s="184">
        <v>18091</v>
      </c>
      <c r="S2410">
        <v>74</v>
      </c>
      <c r="U2410" t="s">
        <v>7076</v>
      </c>
      <c r="V2410" t="s">
        <v>20725</v>
      </c>
      <c r="X2410" t="s">
        <v>20726</v>
      </c>
      <c r="AF2410" t="s">
        <v>20727</v>
      </c>
      <c r="AG2410" t="s">
        <v>20725</v>
      </c>
      <c r="AI2410" t="s">
        <v>20728</v>
      </c>
      <c r="AM2410" t="s">
        <v>20729</v>
      </c>
      <c r="AN2410" t="s">
        <v>2129</v>
      </c>
      <c r="AO2410" t="s">
        <v>20730</v>
      </c>
      <c r="AP2410" t="s">
        <v>7024</v>
      </c>
      <c r="AQ2410" t="s">
        <v>20731</v>
      </c>
      <c r="AT2410" s="184">
        <v>36213</v>
      </c>
      <c r="AU2410" t="s">
        <v>20732</v>
      </c>
      <c r="AV2410">
        <v>15</v>
      </c>
      <c r="AW2410" s="184">
        <v>45365</v>
      </c>
      <c r="AX2410" t="s">
        <v>11841</v>
      </c>
      <c r="AY2410">
        <v>25</v>
      </c>
      <c r="AZ2410" s="184">
        <v>45365</v>
      </c>
      <c r="BA2410" t="s">
        <v>11841</v>
      </c>
      <c r="BB2410">
        <v>25</v>
      </c>
      <c r="BC2410">
        <v>43</v>
      </c>
      <c r="BD2410">
        <v>285</v>
      </c>
      <c r="BE2410">
        <v>1999</v>
      </c>
      <c r="BF2410">
        <v>13</v>
      </c>
      <c r="BG2410">
        <v>2</v>
      </c>
      <c r="BH2410">
        <v>50</v>
      </c>
      <c r="BI2410">
        <v>11</v>
      </c>
      <c r="BJ2410">
        <v>26</v>
      </c>
      <c r="BK2410">
        <v>6</v>
      </c>
      <c r="BP2410" s="184"/>
    </row>
    <row r="2411" spans="1:68">
      <c r="A2411">
        <v>28930634</v>
      </c>
      <c r="B2411">
        <v>28930634</v>
      </c>
      <c r="C2411" t="s">
        <v>7018</v>
      </c>
      <c r="E2411" s="184"/>
      <c r="F2411" t="s">
        <v>595</v>
      </c>
      <c r="G2411" s="184">
        <v>43731</v>
      </c>
      <c r="I2411" s="184"/>
      <c r="K2411" s="184"/>
      <c r="O2411" s="184"/>
      <c r="P2411" t="s">
        <v>7045</v>
      </c>
      <c r="Q2411" t="s">
        <v>7160</v>
      </c>
      <c r="R2411" s="184">
        <v>15059</v>
      </c>
      <c r="S2411">
        <v>83</v>
      </c>
      <c r="V2411" t="s">
        <v>3991</v>
      </c>
      <c r="X2411" t="s">
        <v>3992</v>
      </c>
      <c r="AF2411" t="s">
        <v>20733</v>
      </c>
      <c r="AG2411" t="s">
        <v>3991</v>
      </c>
      <c r="AI2411" t="s">
        <v>20734</v>
      </c>
      <c r="AM2411" t="s">
        <v>3993</v>
      </c>
      <c r="AN2411" t="s">
        <v>2413</v>
      </c>
      <c r="AO2411" t="s">
        <v>20735</v>
      </c>
      <c r="AP2411" t="s">
        <v>7024</v>
      </c>
      <c r="AQ2411" t="s">
        <v>20736</v>
      </c>
      <c r="AR2411" t="s">
        <v>20737</v>
      </c>
      <c r="AT2411" s="184">
        <v>36213</v>
      </c>
      <c r="AU2411" t="s">
        <v>20738</v>
      </c>
      <c r="AV2411">
        <v>25</v>
      </c>
      <c r="AW2411" s="184">
        <v>45330</v>
      </c>
      <c r="AX2411" t="s">
        <v>10915</v>
      </c>
      <c r="AY2411">
        <v>25</v>
      </c>
      <c r="AZ2411" s="184">
        <v>45330</v>
      </c>
      <c r="BA2411" t="s">
        <v>10915</v>
      </c>
      <c r="BB2411">
        <v>25</v>
      </c>
      <c r="BC2411">
        <v>66</v>
      </c>
      <c r="BD2411">
        <v>493</v>
      </c>
      <c r="BE2411">
        <v>1999</v>
      </c>
      <c r="BF2411">
        <v>20</v>
      </c>
      <c r="BG2411">
        <v>2</v>
      </c>
      <c r="BH2411">
        <v>50</v>
      </c>
      <c r="BI2411">
        <v>17</v>
      </c>
      <c r="BJ2411">
        <v>26</v>
      </c>
      <c r="BK2411">
        <v>7</v>
      </c>
      <c r="BP2411" s="184"/>
    </row>
    <row r="2412" spans="1:68">
      <c r="A2412">
        <v>28932986</v>
      </c>
      <c r="B2412">
        <v>28932986</v>
      </c>
      <c r="C2412" t="s">
        <v>7018</v>
      </c>
      <c r="E2412" s="184"/>
      <c r="G2412" s="184"/>
      <c r="I2412" s="184"/>
      <c r="J2412" t="s">
        <v>595</v>
      </c>
      <c r="K2412" s="184">
        <v>37439</v>
      </c>
      <c r="M2412" s="184"/>
      <c r="O2412" s="184"/>
      <c r="P2412" t="s">
        <v>7045</v>
      </c>
      <c r="Q2412" t="s">
        <v>7383</v>
      </c>
      <c r="R2412" s="184">
        <v>11018</v>
      </c>
      <c r="S2412">
        <v>94</v>
      </c>
      <c r="U2412" t="s">
        <v>7031</v>
      </c>
      <c r="V2412" t="s">
        <v>5522</v>
      </c>
      <c r="W2412" t="s">
        <v>3830</v>
      </c>
      <c r="X2412" t="s">
        <v>5523</v>
      </c>
      <c r="Y2412" t="s">
        <v>15117</v>
      </c>
      <c r="AF2412" t="s">
        <v>20739</v>
      </c>
      <c r="AG2412" t="s">
        <v>5522</v>
      </c>
      <c r="AI2412" t="s">
        <v>20740</v>
      </c>
      <c r="AM2412" t="s">
        <v>3783</v>
      </c>
      <c r="AN2412" t="s">
        <v>2139</v>
      </c>
      <c r="AO2412" t="s">
        <v>20741</v>
      </c>
      <c r="AP2412" t="s">
        <v>7024</v>
      </c>
      <c r="AQ2412" t="s">
        <v>20742</v>
      </c>
      <c r="AT2412" s="184">
        <v>33086</v>
      </c>
      <c r="AU2412" t="s">
        <v>20743</v>
      </c>
      <c r="AV2412">
        <v>75</v>
      </c>
      <c r="AW2412" s="184">
        <v>45047</v>
      </c>
      <c r="AX2412" t="s">
        <v>20744</v>
      </c>
      <c r="AY2412">
        <v>250</v>
      </c>
      <c r="AZ2412" s="184">
        <v>38064</v>
      </c>
      <c r="BA2412" t="s">
        <v>20492</v>
      </c>
      <c r="BB2412">
        <v>5000</v>
      </c>
      <c r="BC2412">
        <v>78</v>
      </c>
      <c r="BD2412">
        <v>49732</v>
      </c>
      <c r="BE2412">
        <v>1991</v>
      </c>
      <c r="BF2412">
        <v>42</v>
      </c>
      <c r="BG2412">
        <v>2</v>
      </c>
      <c r="BH2412">
        <v>500</v>
      </c>
      <c r="BI2412">
        <v>27</v>
      </c>
      <c r="BJ2412">
        <v>35</v>
      </c>
      <c r="BK2412">
        <v>18</v>
      </c>
      <c r="BP2412" s="184"/>
    </row>
    <row r="2413" spans="1:68">
      <c r="A2413">
        <v>28937043</v>
      </c>
      <c r="B2413">
        <v>28937043</v>
      </c>
      <c r="C2413" t="s">
        <v>7018</v>
      </c>
      <c r="D2413" t="s">
        <v>595</v>
      </c>
      <c r="E2413" s="184">
        <v>43642</v>
      </c>
      <c r="G2413" s="184"/>
      <c r="I2413" s="184"/>
      <c r="K2413" s="184"/>
      <c r="M2413" s="184"/>
      <c r="O2413" s="184"/>
      <c r="P2413" t="s">
        <v>7019</v>
      </c>
      <c r="Q2413" t="s">
        <v>7383</v>
      </c>
      <c r="R2413" s="184">
        <v>6849</v>
      </c>
      <c r="S2413">
        <v>105</v>
      </c>
      <c r="U2413" t="s">
        <v>7076</v>
      </c>
      <c r="V2413" t="s">
        <v>3306</v>
      </c>
      <c r="X2413" t="s">
        <v>3307</v>
      </c>
      <c r="AF2413" t="s">
        <v>20745</v>
      </c>
      <c r="AG2413" t="s">
        <v>3306</v>
      </c>
      <c r="AI2413" t="s">
        <v>20746</v>
      </c>
      <c r="AM2413" t="s">
        <v>3308</v>
      </c>
      <c r="AN2413" t="s">
        <v>2313</v>
      </c>
      <c r="AO2413" t="s">
        <v>20747</v>
      </c>
      <c r="AP2413" t="s">
        <v>7024</v>
      </c>
      <c r="AT2413" s="184">
        <v>36214</v>
      </c>
      <c r="AU2413" t="s">
        <v>20748</v>
      </c>
      <c r="AV2413">
        <v>15</v>
      </c>
      <c r="AW2413" s="184">
        <v>41901</v>
      </c>
      <c r="AX2413" t="s">
        <v>15992</v>
      </c>
      <c r="AY2413">
        <v>60</v>
      </c>
      <c r="AZ2413" s="184">
        <v>41901</v>
      </c>
      <c r="BA2413" t="s">
        <v>15992</v>
      </c>
      <c r="BB2413">
        <v>60</v>
      </c>
      <c r="BC2413">
        <v>27</v>
      </c>
      <c r="BD2413">
        <v>240</v>
      </c>
      <c r="BE2413">
        <v>1999</v>
      </c>
      <c r="BF2413">
        <v>9</v>
      </c>
      <c r="BI2413">
        <v>7</v>
      </c>
      <c r="BJ2413">
        <v>26</v>
      </c>
      <c r="BK2413">
        <v>3</v>
      </c>
    </row>
    <row r="2414" spans="1:68">
      <c r="A2414">
        <v>28942852</v>
      </c>
      <c r="B2414">
        <v>28942852</v>
      </c>
      <c r="C2414" t="s">
        <v>7018</v>
      </c>
      <c r="E2414" s="184"/>
      <c r="G2414" s="184"/>
      <c r="J2414" t="s">
        <v>595</v>
      </c>
      <c r="K2414" s="184">
        <v>44249</v>
      </c>
      <c r="O2414" s="184"/>
      <c r="P2414" t="s">
        <v>7045</v>
      </c>
      <c r="Q2414" t="s">
        <v>7194</v>
      </c>
      <c r="R2414" s="184">
        <v>15858</v>
      </c>
      <c r="S2414">
        <v>80</v>
      </c>
      <c r="V2414" t="s">
        <v>2586</v>
      </c>
      <c r="W2414" t="s">
        <v>7407</v>
      </c>
      <c r="X2414" t="s">
        <v>2732</v>
      </c>
      <c r="AF2414" t="s">
        <v>20749</v>
      </c>
      <c r="AG2414" t="s">
        <v>2586</v>
      </c>
      <c r="AI2414" t="s">
        <v>20750</v>
      </c>
      <c r="AM2414" t="s">
        <v>4402</v>
      </c>
      <c r="AN2414" t="s">
        <v>2046</v>
      </c>
      <c r="AO2414" t="s">
        <v>20751</v>
      </c>
      <c r="AP2414" t="s">
        <v>7024</v>
      </c>
      <c r="AQ2414" t="s">
        <v>20752</v>
      </c>
      <c r="AT2414" s="184">
        <v>36216</v>
      </c>
      <c r="AU2414" t="s">
        <v>20700</v>
      </c>
      <c r="AV2414">
        <v>25</v>
      </c>
      <c r="AW2414" s="184">
        <v>45381</v>
      </c>
      <c r="AX2414" t="s">
        <v>13386</v>
      </c>
      <c r="AY2414">
        <v>36.75</v>
      </c>
      <c r="AZ2414" s="184">
        <v>36626</v>
      </c>
      <c r="BA2414" t="s">
        <v>20753</v>
      </c>
      <c r="BB2414">
        <v>100</v>
      </c>
      <c r="BC2414">
        <v>89</v>
      </c>
      <c r="BD2414">
        <v>2091.5500000000002</v>
      </c>
      <c r="BE2414">
        <v>1999</v>
      </c>
      <c r="BF2414">
        <v>51</v>
      </c>
      <c r="BG2414">
        <v>16</v>
      </c>
      <c r="BH2414">
        <v>391.55</v>
      </c>
      <c r="BI2414">
        <v>23</v>
      </c>
      <c r="BJ2414">
        <v>26</v>
      </c>
      <c r="BK2414">
        <v>16</v>
      </c>
      <c r="BP2414" s="184"/>
    </row>
    <row r="2415" spans="1:68">
      <c r="A2415">
        <v>28971091</v>
      </c>
      <c r="B2415">
        <v>28971091</v>
      </c>
      <c r="C2415" t="s">
        <v>7018</v>
      </c>
      <c r="D2415" t="s">
        <v>595</v>
      </c>
      <c r="E2415" s="184">
        <v>44070</v>
      </c>
      <c r="G2415" s="184"/>
      <c r="I2415" s="184"/>
      <c r="K2415" s="184"/>
      <c r="M2415" s="184"/>
      <c r="O2415" s="184"/>
      <c r="P2415" t="s">
        <v>7045</v>
      </c>
      <c r="Q2415" t="s">
        <v>7383</v>
      </c>
      <c r="R2415" s="184">
        <v>16089</v>
      </c>
      <c r="S2415">
        <v>80</v>
      </c>
      <c r="U2415" t="s">
        <v>7031</v>
      </c>
      <c r="V2415" t="s">
        <v>3103</v>
      </c>
      <c r="X2415" t="s">
        <v>20754</v>
      </c>
      <c r="AF2415" t="s">
        <v>20755</v>
      </c>
      <c r="AG2415" t="s">
        <v>3103</v>
      </c>
      <c r="AI2415" t="s">
        <v>20756</v>
      </c>
      <c r="AM2415" t="s">
        <v>20757</v>
      </c>
      <c r="AN2415" t="s">
        <v>2313</v>
      </c>
      <c r="AO2415" t="s">
        <v>20758</v>
      </c>
      <c r="AP2415" t="s">
        <v>7024</v>
      </c>
      <c r="AQ2415" t="s">
        <v>20759</v>
      </c>
      <c r="AT2415" s="184">
        <v>36227</v>
      </c>
      <c r="AU2415" t="s">
        <v>20760</v>
      </c>
      <c r="AV2415">
        <v>25</v>
      </c>
      <c r="AW2415" s="184">
        <v>45418</v>
      </c>
      <c r="AX2415" t="s">
        <v>7422</v>
      </c>
      <c r="AY2415">
        <v>10</v>
      </c>
      <c r="AZ2415" s="184">
        <v>44658</v>
      </c>
      <c r="BA2415" t="s">
        <v>17687</v>
      </c>
      <c r="BB2415">
        <v>100</v>
      </c>
      <c r="BC2415">
        <v>74</v>
      </c>
      <c r="BD2415">
        <v>1250</v>
      </c>
      <c r="BE2415">
        <v>1999</v>
      </c>
      <c r="BF2415">
        <v>32</v>
      </c>
      <c r="BG2415">
        <v>14</v>
      </c>
      <c r="BH2415">
        <v>140</v>
      </c>
      <c r="BI2415">
        <v>19</v>
      </c>
      <c r="BJ2415">
        <v>26</v>
      </c>
      <c r="BK2415">
        <v>15</v>
      </c>
      <c r="BP2415" s="184"/>
    </row>
    <row r="2416" spans="1:68">
      <c r="A2416">
        <v>29025079</v>
      </c>
      <c r="B2416">
        <v>29025079</v>
      </c>
      <c r="C2416" t="s">
        <v>7018</v>
      </c>
      <c r="D2416" t="s">
        <v>595</v>
      </c>
      <c r="E2416" s="184">
        <v>43745</v>
      </c>
      <c r="G2416" s="184"/>
      <c r="I2416" s="184"/>
      <c r="K2416" s="184"/>
      <c r="M2416" s="184"/>
      <c r="O2416" s="184"/>
      <c r="P2416" t="s">
        <v>7045</v>
      </c>
      <c r="Q2416" t="s">
        <v>7454</v>
      </c>
      <c r="R2416" s="184">
        <v>12497</v>
      </c>
      <c r="S2416">
        <v>90</v>
      </c>
      <c r="U2416" t="s">
        <v>7130</v>
      </c>
      <c r="V2416" t="s">
        <v>2586</v>
      </c>
      <c r="W2416" t="s">
        <v>3095</v>
      </c>
      <c r="X2416" t="s">
        <v>4129</v>
      </c>
      <c r="AF2416" t="s">
        <v>20761</v>
      </c>
      <c r="AG2416" t="s">
        <v>2586</v>
      </c>
      <c r="AI2416" t="s">
        <v>20762</v>
      </c>
      <c r="AM2416" t="s">
        <v>3551</v>
      </c>
      <c r="AN2416" t="s">
        <v>2299</v>
      </c>
      <c r="AO2416" t="s">
        <v>20763</v>
      </c>
      <c r="AP2416" t="s">
        <v>7024</v>
      </c>
      <c r="AT2416" s="184">
        <v>36234</v>
      </c>
      <c r="AU2416" t="s">
        <v>20764</v>
      </c>
      <c r="AV2416">
        <v>20</v>
      </c>
      <c r="AW2416" s="184">
        <v>43853</v>
      </c>
      <c r="AX2416" t="s">
        <v>17306</v>
      </c>
      <c r="AY2416">
        <v>100</v>
      </c>
      <c r="AZ2416" s="184">
        <v>42907</v>
      </c>
      <c r="BA2416" t="s">
        <v>20765</v>
      </c>
      <c r="BB2416">
        <v>115</v>
      </c>
      <c r="BC2416">
        <v>81</v>
      </c>
      <c r="BD2416">
        <v>3120</v>
      </c>
      <c r="BE2416">
        <v>1999</v>
      </c>
      <c r="BF2416">
        <v>54</v>
      </c>
      <c r="BI2416">
        <v>21</v>
      </c>
      <c r="BJ2416">
        <v>26</v>
      </c>
      <c r="BK2416">
        <v>19</v>
      </c>
      <c r="BP2416" s="184"/>
    </row>
    <row r="2417" spans="1:68">
      <c r="A2417">
        <v>29044575</v>
      </c>
      <c r="B2417">
        <v>29044575</v>
      </c>
      <c r="C2417" t="s">
        <v>7018</v>
      </c>
      <c r="D2417" t="s">
        <v>595</v>
      </c>
      <c r="E2417" s="184">
        <v>43647</v>
      </c>
      <c r="G2417" s="184"/>
      <c r="K2417" s="184"/>
      <c r="M2417" s="184"/>
      <c r="O2417" s="184"/>
      <c r="P2417" t="s">
        <v>7045</v>
      </c>
      <c r="Q2417" t="s">
        <v>7383</v>
      </c>
      <c r="R2417" s="184">
        <v>18780</v>
      </c>
      <c r="S2417">
        <v>72</v>
      </c>
      <c r="V2417" t="s">
        <v>3542</v>
      </c>
      <c r="W2417" t="s">
        <v>4327</v>
      </c>
      <c r="X2417" t="s">
        <v>3543</v>
      </c>
      <c r="AF2417" t="s">
        <v>20766</v>
      </c>
      <c r="AG2417" t="s">
        <v>3542</v>
      </c>
      <c r="AI2417" t="s">
        <v>20767</v>
      </c>
      <c r="AM2417" t="s">
        <v>3544</v>
      </c>
      <c r="AN2417" t="s">
        <v>2185</v>
      </c>
      <c r="AO2417" t="s">
        <v>20768</v>
      </c>
      <c r="AP2417" t="s">
        <v>7024</v>
      </c>
      <c r="AT2417" s="184">
        <v>36238</v>
      </c>
      <c r="AU2417" t="s">
        <v>20769</v>
      </c>
      <c r="AV2417">
        <v>25</v>
      </c>
      <c r="AW2417" s="184">
        <v>44151</v>
      </c>
      <c r="AX2417" t="s">
        <v>20770</v>
      </c>
      <c r="AY2417">
        <v>35</v>
      </c>
      <c r="AZ2417" s="184">
        <v>44151</v>
      </c>
      <c r="BA2417" t="s">
        <v>20770</v>
      </c>
      <c r="BB2417">
        <v>35</v>
      </c>
      <c r="BC2417">
        <v>39</v>
      </c>
      <c r="BD2417">
        <v>255</v>
      </c>
      <c r="BE2417">
        <v>1999</v>
      </c>
      <c r="BF2417">
        <v>11</v>
      </c>
      <c r="BI2417">
        <v>10</v>
      </c>
      <c r="BJ2417">
        <v>26</v>
      </c>
      <c r="BK2417">
        <v>3</v>
      </c>
      <c r="BP2417" s="184"/>
    </row>
    <row r="2418" spans="1:68">
      <c r="A2418">
        <v>29053519</v>
      </c>
      <c r="B2418">
        <v>29053519</v>
      </c>
      <c r="C2418" t="s">
        <v>7018</v>
      </c>
      <c r="D2418" t="s">
        <v>595</v>
      </c>
      <c r="E2418" s="184">
        <v>44104</v>
      </c>
      <c r="G2418" s="184"/>
      <c r="I2418" s="184"/>
      <c r="K2418" s="184"/>
      <c r="M2418" s="184"/>
      <c r="O2418" s="184"/>
      <c r="P2418" t="s">
        <v>7045</v>
      </c>
      <c r="Q2418" t="s">
        <v>7020</v>
      </c>
      <c r="R2418" s="184">
        <v>20149</v>
      </c>
      <c r="S2418">
        <v>69</v>
      </c>
      <c r="U2418" t="s">
        <v>7031</v>
      </c>
      <c r="V2418" t="s">
        <v>2511</v>
      </c>
      <c r="X2418" t="s">
        <v>20771</v>
      </c>
      <c r="AF2418" t="s">
        <v>20772</v>
      </c>
      <c r="AG2418" t="s">
        <v>2511</v>
      </c>
      <c r="AI2418" t="s">
        <v>20773</v>
      </c>
      <c r="AM2418" t="s">
        <v>20774</v>
      </c>
      <c r="AN2418" t="s">
        <v>2465</v>
      </c>
      <c r="AO2418" t="s">
        <v>20775</v>
      </c>
      <c r="AP2418" t="s">
        <v>7024</v>
      </c>
      <c r="AQ2418" t="s">
        <v>20776</v>
      </c>
      <c r="AR2418" t="s">
        <v>20777</v>
      </c>
      <c r="AT2418" s="184">
        <v>36248</v>
      </c>
      <c r="AU2418" t="s">
        <v>20778</v>
      </c>
      <c r="AV2418">
        <v>19.95</v>
      </c>
      <c r="AW2418" s="184">
        <v>45260</v>
      </c>
      <c r="AX2418" t="s">
        <v>20779</v>
      </c>
      <c r="AY2418">
        <v>100</v>
      </c>
      <c r="AZ2418" s="184">
        <v>45260</v>
      </c>
      <c r="BA2418" t="s">
        <v>20779</v>
      </c>
      <c r="BB2418">
        <v>100</v>
      </c>
      <c r="BC2418">
        <v>85</v>
      </c>
      <c r="BD2418">
        <v>1423.95</v>
      </c>
      <c r="BE2418">
        <v>1999</v>
      </c>
      <c r="BF2418">
        <v>37</v>
      </c>
      <c r="BG2418">
        <v>4</v>
      </c>
      <c r="BH2418">
        <v>325</v>
      </c>
      <c r="BI2418">
        <v>22</v>
      </c>
      <c r="BJ2418">
        <v>26</v>
      </c>
      <c r="BK2418">
        <v>12</v>
      </c>
      <c r="BP2418" s="184"/>
    </row>
    <row r="2419" spans="1:68">
      <c r="A2419">
        <v>29071677</v>
      </c>
      <c r="B2419">
        <v>29071677</v>
      </c>
      <c r="C2419" t="s">
        <v>7018</v>
      </c>
      <c r="D2419" t="s">
        <v>595</v>
      </c>
      <c r="E2419" s="184">
        <v>43857</v>
      </c>
      <c r="G2419" s="184"/>
      <c r="I2419" s="184"/>
      <c r="K2419" s="184"/>
      <c r="M2419" s="184"/>
      <c r="O2419" s="184"/>
      <c r="P2419" t="s">
        <v>7045</v>
      </c>
      <c r="Q2419" t="s">
        <v>7383</v>
      </c>
      <c r="R2419" s="184">
        <v>18801</v>
      </c>
      <c r="S2419">
        <v>72</v>
      </c>
      <c r="U2419" t="s">
        <v>7076</v>
      </c>
      <c r="V2419" t="s">
        <v>2925</v>
      </c>
      <c r="X2419" t="s">
        <v>2926</v>
      </c>
      <c r="AF2419" t="s">
        <v>20780</v>
      </c>
      <c r="AG2419" t="s">
        <v>2925</v>
      </c>
      <c r="AI2419" t="s">
        <v>20781</v>
      </c>
      <c r="AM2419" t="s">
        <v>2900</v>
      </c>
      <c r="AN2419" t="s">
        <v>2185</v>
      </c>
      <c r="AO2419" t="s">
        <v>20782</v>
      </c>
      <c r="AP2419" t="s">
        <v>7024</v>
      </c>
      <c r="AQ2419" t="s">
        <v>20783</v>
      </c>
      <c r="AR2419" t="s">
        <v>20784</v>
      </c>
      <c r="AT2419" s="184">
        <v>36241</v>
      </c>
      <c r="AU2419" t="s">
        <v>20785</v>
      </c>
      <c r="AV2419">
        <v>20</v>
      </c>
      <c r="AW2419" s="184">
        <v>45380</v>
      </c>
      <c r="AX2419" t="s">
        <v>8185</v>
      </c>
      <c r="AY2419">
        <v>52.5</v>
      </c>
      <c r="AZ2419" s="184">
        <v>38327</v>
      </c>
      <c r="BA2419" t="s">
        <v>20786</v>
      </c>
      <c r="BB2419">
        <v>100</v>
      </c>
      <c r="BC2419">
        <v>100</v>
      </c>
      <c r="BD2419">
        <v>2612.5</v>
      </c>
      <c r="BE2419">
        <v>1999</v>
      </c>
      <c r="BF2419">
        <v>123</v>
      </c>
      <c r="BG2419">
        <v>2</v>
      </c>
      <c r="BH2419">
        <v>102.5</v>
      </c>
      <c r="BI2419">
        <v>26</v>
      </c>
      <c r="BJ2419">
        <v>26</v>
      </c>
      <c r="BK2419">
        <v>26</v>
      </c>
      <c r="BP2419" s="184"/>
    </row>
    <row r="2420" spans="1:68">
      <c r="A2420">
        <v>29077377</v>
      </c>
      <c r="B2420">
        <v>29077377</v>
      </c>
      <c r="C2420" t="s">
        <v>7018</v>
      </c>
      <c r="E2420" s="184"/>
      <c r="G2420" s="184"/>
      <c r="I2420" s="184"/>
      <c r="J2420" t="s">
        <v>595</v>
      </c>
      <c r="K2420" s="184">
        <v>41088</v>
      </c>
      <c r="M2420" s="184"/>
      <c r="O2420" s="184"/>
      <c r="P2420" t="s">
        <v>7045</v>
      </c>
      <c r="Q2420" t="s">
        <v>7374</v>
      </c>
      <c r="R2420" s="184">
        <v>15165</v>
      </c>
      <c r="S2420">
        <v>82</v>
      </c>
      <c r="V2420" t="s">
        <v>3683</v>
      </c>
      <c r="X2420" t="s">
        <v>20787</v>
      </c>
      <c r="AF2420" t="s">
        <v>20788</v>
      </c>
      <c r="AG2420" t="s">
        <v>3683</v>
      </c>
      <c r="AI2420" t="s">
        <v>20789</v>
      </c>
      <c r="AM2420" t="s">
        <v>4393</v>
      </c>
      <c r="AN2420" t="s">
        <v>2081</v>
      </c>
      <c r="AO2420" t="s">
        <v>20790</v>
      </c>
      <c r="AP2420" t="s">
        <v>7024</v>
      </c>
      <c r="AQ2420" t="s">
        <v>20791</v>
      </c>
      <c r="AR2420" t="s">
        <v>20792</v>
      </c>
      <c r="AT2420" s="184">
        <v>36242</v>
      </c>
      <c r="AU2420" t="s">
        <v>20793</v>
      </c>
      <c r="AV2420">
        <v>10</v>
      </c>
      <c r="AW2420" s="184">
        <v>44685</v>
      </c>
      <c r="AX2420" t="s">
        <v>20794</v>
      </c>
      <c r="AY2420">
        <v>200</v>
      </c>
      <c r="AZ2420" s="184">
        <v>44685</v>
      </c>
      <c r="BA2420" t="s">
        <v>20794</v>
      </c>
      <c r="BB2420">
        <v>200</v>
      </c>
      <c r="BC2420">
        <v>89</v>
      </c>
      <c r="BD2420">
        <v>4510</v>
      </c>
      <c r="BE2420">
        <v>1999</v>
      </c>
      <c r="BF2420">
        <v>204</v>
      </c>
      <c r="BG2420">
        <v>1</v>
      </c>
      <c r="BH2420">
        <v>200</v>
      </c>
      <c r="BI2420">
        <v>23</v>
      </c>
      <c r="BJ2420">
        <v>26</v>
      </c>
      <c r="BK2420">
        <v>22</v>
      </c>
      <c r="BM2420" t="s">
        <v>595</v>
      </c>
    </row>
    <row r="2421" spans="1:68">
      <c r="A2421">
        <v>29084316</v>
      </c>
      <c r="B2421">
        <v>29084316</v>
      </c>
      <c r="C2421" t="s">
        <v>7018</v>
      </c>
      <c r="D2421" t="s">
        <v>595</v>
      </c>
      <c r="E2421" s="184">
        <v>44168</v>
      </c>
      <c r="G2421" s="184"/>
      <c r="K2421" s="184"/>
      <c r="M2421" s="184"/>
      <c r="O2421" s="184"/>
      <c r="P2421" t="s">
        <v>7045</v>
      </c>
      <c r="Q2421" t="s">
        <v>7374</v>
      </c>
      <c r="R2421" s="184">
        <v>21245</v>
      </c>
      <c r="S2421">
        <v>66</v>
      </c>
      <c r="U2421" t="s">
        <v>7031</v>
      </c>
      <c r="V2421" t="s">
        <v>2697</v>
      </c>
      <c r="X2421" t="s">
        <v>20795</v>
      </c>
      <c r="AF2421" t="s">
        <v>20796</v>
      </c>
      <c r="AG2421" t="s">
        <v>2697</v>
      </c>
      <c r="AI2421" t="s">
        <v>20797</v>
      </c>
      <c r="AM2421" t="s">
        <v>4434</v>
      </c>
      <c r="AN2421" t="s">
        <v>2081</v>
      </c>
      <c r="AO2421" t="s">
        <v>20798</v>
      </c>
      <c r="AP2421" t="s">
        <v>7024</v>
      </c>
      <c r="AQ2421" t="s">
        <v>20799</v>
      </c>
      <c r="AT2421" s="184">
        <v>36245</v>
      </c>
      <c r="AU2421" t="s">
        <v>20785</v>
      </c>
      <c r="AV2421">
        <v>15</v>
      </c>
      <c r="AW2421" s="184">
        <v>44676</v>
      </c>
      <c r="AX2421" t="s">
        <v>20800</v>
      </c>
      <c r="AY2421">
        <v>3</v>
      </c>
      <c r="AZ2421" s="184">
        <v>36612</v>
      </c>
      <c r="BA2421" t="s">
        <v>20801</v>
      </c>
      <c r="BB2421">
        <v>60</v>
      </c>
      <c r="BC2421">
        <v>27</v>
      </c>
      <c r="BD2421">
        <v>104</v>
      </c>
      <c r="BE2421">
        <v>1999</v>
      </c>
      <c r="BF2421">
        <v>8</v>
      </c>
      <c r="BG2421">
        <v>1</v>
      </c>
      <c r="BH2421">
        <v>3</v>
      </c>
      <c r="BI2421">
        <v>7</v>
      </c>
      <c r="BJ2421">
        <v>26</v>
      </c>
      <c r="BK2421">
        <v>2</v>
      </c>
    </row>
    <row r="2422" spans="1:68">
      <c r="A2422">
        <v>29109295</v>
      </c>
      <c r="B2422">
        <v>29109295</v>
      </c>
      <c r="C2422" t="s">
        <v>7018</v>
      </c>
      <c r="E2422" s="184"/>
      <c r="G2422" s="184"/>
      <c r="I2422" s="184"/>
      <c r="J2422" t="s">
        <v>595</v>
      </c>
      <c r="K2422" s="184">
        <v>44104</v>
      </c>
      <c r="O2422" s="184"/>
      <c r="P2422" t="s">
        <v>7045</v>
      </c>
      <c r="Q2422" t="s">
        <v>7454</v>
      </c>
      <c r="R2422" s="184">
        <v>10385</v>
      </c>
      <c r="S2422">
        <v>95</v>
      </c>
      <c r="V2422" t="s">
        <v>2771</v>
      </c>
      <c r="X2422" t="s">
        <v>20802</v>
      </c>
      <c r="Z2422">
        <v>100078342</v>
      </c>
      <c r="AB2422" t="s">
        <v>4210</v>
      </c>
      <c r="AD2422" t="s">
        <v>20802</v>
      </c>
      <c r="AF2422" t="s">
        <v>20803</v>
      </c>
      <c r="AG2422" t="s">
        <v>20804</v>
      </c>
      <c r="AI2422" t="s">
        <v>20805</v>
      </c>
      <c r="AM2422" t="s">
        <v>3465</v>
      </c>
      <c r="AN2422" t="s">
        <v>2055</v>
      </c>
      <c r="AO2422" t="s">
        <v>20806</v>
      </c>
      <c r="AP2422" t="s">
        <v>7024</v>
      </c>
      <c r="AQ2422" t="s">
        <v>20807</v>
      </c>
      <c r="AR2422" t="s">
        <v>20808</v>
      </c>
      <c r="AT2422" s="184">
        <v>36251</v>
      </c>
      <c r="AU2422" t="s">
        <v>20700</v>
      </c>
      <c r="AV2422">
        <v>50</v>
      </c>
      <c r="AW2422" s="184">
        <v>44700</v>
      </c>
      <c r="AX2422" t="s">
        <v>20809</v>
      </c>
      <c r="AY2422">
        <v>300</v>
      </c>
      <c r="AZ2422" s="184">
        <v>44700</v>
      </c>
      <c r="BA2422" t="s">
        <v>20809</v>
      </c>
      <c r="BB2422">
        <v>300</v>
      </c>
      <c r="BC2422">
        <v>62</v>
      </c>
      <c r="BD2422">
        <v>2450</v>
      </c>
      <c r="BE2422">
        <v>1999</v>
      </c>
      <c r="BF2422">
        <v>26</v>
      </c>
      <c r="BG2422">
        <v>1</v>
      </c>
      <c r="BH2422">
        <v>300</v>
      </c>
      <c r="BI2422">
        <v>16</v>
      </c>
      <c r="BJ2422">
        <v>26</v>
      </c>
      <c r="BK2422">
        <v>8</v>
      </c>
      <c r="BP2422" s="184"/>
    </row>
    <row r="2423" spans="1:68">
      <c r="A2423">
        <v>100078342</v>
      </c>
      <c r="B2423">
        <v>29109295</v>
      </c>
      <c r="C2423" t="s">
        <v>7018</v>
      </c>
      <c r="E2423" s="184"/>
      <c r="G2423" s="184"/>
      <c r="I2423" s="184"/>
      <c r="J2423" t="s">
        <v>595</v>
      </c>
      <c r="K2423" s="184">
        <v>44104</v>
      </c>
      <c r="O2423" s="184"/>
      <c r="P2423" t="s">
        <v>7045</v>
      </c>
      <c r="Q2423" t="s">
        <v>7454</v>
      </c>
      <c r="R2423" s="184">
        <v>10824</v>
      </c>
      <c r="S2423">
        <v>94</v>
      </c>
      <c r="V2423" t="s">
        <v>4210</v>
      </c>
      <c r="X2423" t="s">
        <v>20802</v>
      </c>
      <c r="Z2423">
        <v>29109295</v>
      </c>
      <c r="AB2423" t="s">
        <v>2771</v>
      </c>
      <c r="AD2423" t="s">
        <v>20802</v>
      </c>
      <c r="AF2423" t="s">
        <v>20803</v>
      </c>
      <c r="AG2423" t="s">
        <v>20804</v>
      </c>
      <c r="AI2423" t="s">
        <v>20805</v>
      </c>
      <c r="AM2423" t="s">
        <v>3465</v>
      </c>
      <c r="AN2423" t="s">
        <v>2055</v>
      </c>
      <c r="AO2423" t="s">
        <v>20806</v>
      </c>
      <c r="AP2423" t="s">
        <v>7024</v>
      </c>
      <c r="AT2423" s="184"/>
      <c r="AW2423" s="184"/>
      <c r="AZ2423" s="184"/>
      <c r="BP2423" s="184"/>
    </row>
    <row r="2424" spans="1:68">
      <c r="A2424">
        <v>29138963</v>
      </c>
      <c r="B2424">
        <v>29138963</v>
      </c>
      <c r="C2424" t="s">
        <v>7018</v>
      </c>
      <c r="D2424" t="s">
        <v>595</v>
      </c>
      <c r="E2424" s="184">
        <v>44455</v>
      </c>
      <c r="G2424" s="184"/>
      <c r="K2424" s="184"/>
      <c r="O2424" s="184"/>
      <c r="P2424" t="s">
        <v>7045</v>
      </c>
      <c r="Q2424" t="s">
        <v>7194</v>
      </c>
      <c r="R2424" s="184">
        <v>21061</v>
      </c>
      <c r="S2424">
        <v>66</v>
      </c>
      <c r="U2424" t="s">
        <v>7130</v>
      </c>
      <c r="V2424" t="s">
        <v>3011</v>
      </c>
      <c r="X2424" t="s">
        <v>2833</v>
      </c>
      <c r="AF2424" t="s">
        <v>20810</v>
      </c>
      <c r="AG2424" t="s">
        <v>3011</v>
      </c>
      <c r="AI2424" t="s">
        <v>20811</v>
      </c>
      <c r="AM2424" t="s">
        <v>5039</v>
      </c>
      <c r="AN2424" t="s">
        <v>2046</v>
      </c>
      <c r="AO2424" t="s">
        <v>20812</v>
      </c>
      <c r="AP2424" t="s">
        <v>7024</v>
      </c>
      <c r="AT2424" s="184">
        <v>36262</v>
      </c>
      <c r="AU2424" t="s">
        <v>20813</v>
      </c>
      <c r="AV2424">
        <v>25</v>
      </c>
      <c r="AW2424" s="184">
        <v>44750</v>
      </c>
      <c r="AX2424" t="s">
        <v>20814</v>
      </c>
      <c r="AY2424">
        <v>25</v>
      </c>
      <c r="AZ2424" s="184">
        <v>44330</v>
      </c>
      <c r="BA2424" t="s">
        <v>20815</v>
      </c>
      <c r="BB2424">
        <v>60</v>
      </c>
      <c r="BC2424">
        <v>39</v>
      </c>
      <c r="BD2424">
        <v>390</v>
      </c>
      <c r="BE2424">
        <v>1999</v>
      </c>
      <c r="BF2424">
        <v>10</v>
      </c>
      <c r="BG2424">
        <v>1</v>
      </c>
      <c r="BH2424">
        <v>25</v>
      </c>
      <c r="BI2424">
        <v>10</v>
      </c>
      <c r="BJ2424">
        <v>26</v>
      </c>
      <c r="BK2424">
        <v>2</v>
      </c>
      <c r="BP2424" s="184"/>
    </row>
    <row r="2425" spans="1:68">
      <c r="A2425">
        <v>29178985</v>
      </c>
      <c r="B2425">
        <v>29178985</v>
      </c>
      <c r="C2425" t="s">
        <v>7018</v>
      </c>
      <c r="E2425" s="184"/>
      <c r="G2425" s="184"/>
      <c r="I2425" s="184"/>
      <c r="J2425" t="s">
        <v>595</v>
      </c>
      <c r="K2425" s="184">
        <v>45273</v>
      </c>
      <c r="M2425" s="184"/>
      <c r="P2425" t="s">
        <v>7084</v>
      </c>
      <c r="Q2425" t="s">
        <v>7262</v>
      </c>
      <c r="R2425" s="184">
        <v>8037</v>
      </c>
      <c r="S2425">
        <v>102</v>
      </c>
      <c r="U2425" t="s">
        <v>7076</v>
      </c>
      <c r="V2425" t="s">
        <v>3095</v>
      </c>
      <c r="W2425" t="s">
        <v>3830</v>
      </c>
      <c r="X2425" t="s">
        <v>20816</v>
      </c>
      <c r="AF2425" t="s">
        <v>20817</v>
      </c>
      <c r="AG2425" t="s">
        <v>3095</v>
      </c>
      <c r="AI2425" t="s">
        <v>20818</v>
      </c>
      <c r="AM2425" t="s">
        <v>16077</v>
      </c>
      <c r="AN2425" t="s">
        <v>2069</v>
      </c>
      <c r="AO2425" t="s">
        <v>20819</v>
      </c>
      <c r="AP2425" t="s">
        <v>7024</v>
      </c>
      <c r="AT2425" s="184">
        <v>36266</v>
      </c>
      <c r="AU2425" t="s">
        <v>20820</v>
      </c>
      <c r="AV2425">
        <v>25</v>
      </c>
      <c r="AW2425" s="184">
        <v>45272</v>
      </c>
      <c r="AX2425" t="s">
        <v>7296</v>
      </c>
      <c r="AY2425">
        <v>13190</v>
      </c>
      <c r="AZ2425" s="184">
        <v>45272</v>
      </c>
      <c r="BA2425" t="s">
        <v>7296</v>
      </c>
      <c r="BB2425">
        <v>13190</v>
      </c>
      <c r="BC2425">
        <v>54</v>
      </c>
      <c r="BD2425">
        <v>14098</v>
      </c>
      <c r="BE2425">
        <v>1999</v>
      </c>
      <c r="BF2425">
        <v>19</v>
      </c>
      <c r="BG2425">
        <v>1</v>
      </c>
      <c r="BH2425">
        <v>13190</v>
      </c>
      <c r="BI2425">
        <v>14</v>
      </c>
      <c r="BJ2425">
        <v>26</v>
      </c>
      <c r="BK2425">
        <v>4</v>
      </c>
      <c r="BL2425" t="s">
        <v>595</v>
      </c>
      <c r="BM2425" t="s">
        <v>595</v>
      </c>
      <c r="BO2425" t="s">
        <v>595</v>
      </c>
    </row>
    <row r="2426" spans="1:68">
      <c r="A2426">
        <v>29200102</v>
      </c>
      <c r="B2426">
        <v>29200102</v>
      </c>
      <c r="C2426" t="s">
        <v>7018</v>
      </c>
      <c r="D2426" t="s">
        <v>595</v>
      </c>
      <c r="E2426" s="184">
        <v>43857</v>
      </c>
      <c r="G2426" s="184"/>
      <c r="I2426" s="184"/>
      <c r="K2426" s="184"/>
      <c r="M2426" s="184"/>
      <c r="O2426" s="184"/>
      <c r="P2426" t="s">
        <v>7045</v>
      </c>
      <c r="Q2426" t="s">
        <v>7374</v>
      </c>
      <c r="R2426" s="184">
        <v>16528</v>
      </c>
      <c r="S2426">
        <v>79</v>
      </c>
      <c r="U2426" t="s">
        <v>7076</v>
      </c>
      <c r="V2426" t="s">
        <v>3293</v>
      </c>
      <c r="W2426" t="s">
        <v>4013</v>
      </c>
      <c r="X2426" t="s">
        <v>4566</v>
      </c>
      <c r="AF2426" t="s">
        <v>20821</v>
      </c>
      <c r="AG2426" t="s">
        <v>3293</v>
      </c>
      <c r="AI2426" t="s">
        <v>20822</v>
      </c>
      <c r="AM2426" t="s">
        <v>4738</v>
      </c>
      <c r="AN2426" t="s">
        <v>2081</v>
      </c>
      <c r="AO2426" t="s">
        <v>20823</v>
      </c>
      <c r="AP2426" t="s">
        <v>7024</v>
      </c>
      <c r="AQ2426" t="s">
        <v>20824</v>
      </c>
      <c r="AT2426" s="184">
        <v>36273</v>
      </c>
      <c r="AU2426" t="s">
        <v>20825</v>
      </c>
      <c r="AV2426">
        <v>50</v>
      </c>
      <c r="AW2426" s="184">
        <v>44306</v>
      </c>
      <c r="AX2426" t="s">
        <v>20826</v>
      </c>
      <c r="AY2426">
        <v>100</v>
      </c>
      <c r="AZ2426" s="184">
        <v>44306</v>
      </c>
      <c r="BA2426" t="s">
        <v>20826</v>
      </c>
      <c r="BB2426">
        <v>100</v>
      </c>
      <c r="BC2426">
        <v>85</v>
      </c>
      <c r="BD2426">
        <v>2035</v>
      </c>
      <c r="BE2426">
        <v>1999</v>
      </c>
      <c r="BF2426">
        <v>22</v>
      </c>
      <c r="BI2426">
        <v>22</v>
      </c>
      <c r="BJ2426">
        <v>26</v>
      </c>
      <c r="BK2426">
        <v>20</v>
      </c>
      <c r="BN2426" t="s">
        <v>595</v>
      </c>
    </row>
    <row r="2427" spans="1:68">
      <c r="A2427">
        <v>29206919</v>
      </c>
      <c r="B2427">
        <v>29206919</v>
      </c>
      <c r="C2427" t="s">
        <v>7018</v>
      </c>
      <c r="D2427" t="s">
        <v>595</v>
      </c>
      <c r="E2427" s="184">
        <v>44104</v>
      </c>
      <c r="G2427" s="184"/>
      <c r="I2427" s="184"/>
      <c r="K2427" s="184"/>
      <c r="O2427" s="184"/>
      <c r="P2427" t="s">
        <v>7029</v>
      </c>
      <c r="Q2427" t="s">
        <v>7494</v>
      </c>
      <c r="R2427" s="184">
        <v>16975</v>
      </c>
      <c r="S2427">
        <v>77</v>
      </c>
      <c r="U2427" t="s">
        <v>7130</v>
      </c>
      <c r="V2427" t="s">
        <v>5144</v>
      </c>
      <c r="W2427" t="s">
        <v>7695</v>
      </c>
      <c r="X2427" t="s">
        <v>20827</v>
      </c>
      <c r="Z2427">
        <v>100078656</v>
      </c>
      <c r="AA2427" t="s">
        <v>7032</v>
      </c>
      <c r="AB2427" t="s">
        <v>2511</v>
      </c>
      <c r="AC2427" t="s">
        <v>205</v>
      </c>
      <c r="AD2427" t="s">
        <v>20827</v>
      </c>
      <c r="AF2427" t="s">
        <v>20828</v>
      </c>
      <c r="AG2427" t="s">
        <v>20829</v>
      </c>
      <c r="AI2427" t="s">
        <v>20830</v>
      </c>
      <c r="AM2427" t="s">
        <v>2582</v>
      </c>
      <c r="AN2427" t="s">
        <v>2174</v>
      </c>
      <c r="AO2427" t="s">
        <v>20831</v>
      </c>
      <c r="AP2427" t="s">
        <v>7024</v>
      </c>
      <c r="AQ2427" t="s">
        <v>20832</v>
      </c>
      <c r="AT2427" s="184">
        <v>36277</v>
      </c>
      <c r="AU2427" t="s">
        <v>20833</v>
      </c>
      <c r="AV2427">
        <v>35</v>
      </c>
      <c r="AW2427" s="184">
        <v>45097</v>
      </c>
      <c r="AX2427" t="s">
        <v>20834</v>
      </c>
      <c r="AY2427">
        <v>1000</v>
      </c>
      <c r="AZ2427" s="184">
        <v>44243</v>
      </c>
      <c r="BA2427" t="s">
        <v>20835</v>
      </c>
      <c r="BB2427">
        <v>2000</v>
      </c>
      <c r="BC2427">
        <v>89</v>
      </c>
      <c r="BD2427">
        <v>12205</v>
      </c>
      <c r="BE2427">
        <v>1999</v>
      </c>
      <c r="BF2427">
        <v>27</v>
      </c>
      <c r="BG2427">
        <v>1</v>
      </c>
      <c r="BH2427">
        <v>1000</v>
      </c>
      <c r="BI2427">
        <v>23</v>
      </c>
      <c r="BJ2427">
        <v>26</v>
      </c>
      <c r="BK2427">
        <v>16</v>
      </c>
    </row>
    <row r="2428" spans="1:68">
      <c r="A2428">
        <v>100078656</v>
      </c>
      <c r="B2428">
        <v>29206919</v>
      </c>
      <c r="C2428" t="s">
        <v>7018</v>
      </c>
      <c r="D2428" t="s">
        <v>595</v>
      </c>
      <c r="E2428" s="184">
        <v>44104</v>
      </c>
      <c r="G2428" s="184"/>
      <c r="I2428" s="184"/>
      <c r="K2428" s="184"/>
      <c r="M2428" s="184"/>
      <c r="O2428" s="184"/>
      <c r="P2428" t="s">
        <v>7029</v>
      </c>
      <c r="Q2428" t="s">
        <v>7494</v>
      </c>
      <c r="R2428" s="184">
        <v>16301</v>
      </c>
      <c r="S2428">
        <v>79</v>
      </c>
      <c r="U2428" t="s">
        <v>7032</v>
      </c>
      <c r="V2428" t="s">
        <v>2511</v>
      </c>
      <c r="W2428" t="s">
        <v>205</v>
      </c>
      <c r="X2428" t="s">
        <v>20827</v>
      </c>
      <c r="Z2428">
        <v>29206919</v>
      </c>
      <c r="AA2428" t="s">
        <v>7130</v>
      </c>
      <c r="AB2428" t="s">
        <v>5144</v>
      </c>
      <c r="AC2428" t="s">
        <v>7695</v>
      </c>
      <c r="AD2428" t="s">
        <v>20827</v>
      </c>
      <c r="AF2428" t="s">
        <v>20828</v>
      </c>
      <c r="AG2428" t="s">
        <v>20829</v>
      </c>
      <c r="AI2428" t="s">
        <v>20830</v>
      </c>
      <c r="AM2428" t="s">
        <v>2582</v>
      </c>
      <c r="AN2428" t="s">
        <v>2174</v>
      </c>
      <c r="AO2428" t="s">
        <v>20831</v>
      </c>
      <c r="AP2428" t="s">
        <v>7024</v>
      </c>
      <c r="AQ2428" t="s">
        <v>20832</v>
      </c>
      <c r="AT2428" s="184"/>
      <c r="AW2428" s="184"/>
      <c r="AZ2428" s="184"/>
      <c r="BP2428" s="184"/>
    </row>
    <row r="2429" spans="1:68">
      <c r="A2429">
        <v>29217957</v>
      </c>
      <c r="B2429">
        <v>29217957</v>
      </c>
      <c r="C2429" t="s">
        <v>7018</v>
      </c>
      <c r="D2429" t="s">
        <v>595</v>
      </c>
      <c r="E2429" s="184">
        <v>45124</v>
      </c>
      <c r="G2429" s="184"/>
      <c r="I2429" s="184"/>
      <c r="K2429" s="184"/>
      <c r="M2429" s="184"/>
      <c r="O2429" s="184"/>
      <c r="P2429" t="s">
        <v>7045</v>
      </c>
      <c r="Q2429" t="s">
        <v>7160</v>
      </c>
      <c r="R2429" s="184">
        <v>24838</v>
      </c>
      <c r="S2429">
        <v>56</v>
      </c>
      <c r="U2429" t="s">
        <v>7076</v>
      </c>
      <c r="V2429" t="s">
        <v>20836</v>
      </c>
      <c r="X2429" t="s">
        <v>2612</v>
      </c>
      <c r="AF2429" t="s">
        <v>20837</v>
      </c>
      <c r="AG2429" t="s">
        <v>20836</v>
      </c>
      <c r="AI2429" t="s">
        <v>20838</v>
      </c>
      <c r="AM2429" t="s">
        <v>20839</v>
      </c>
      <c r="AN2429" t="s">
        <v>2176</v>
      </c>
      <c r="AO2429" t="s">
        <v>20840</v>
      </c>
      <c r="AP2429" t="s">
        <v>7024</v>
      </c>
      <c r="AQ2429" t="s">
        <v>20841</v>
      </c>
      <c r="AR2429" t="s">
        <v>20842</v>
      </c>
      <c r="AT2429" s="184">
        <v>36283</v>
      </c>
      <c r="AU2429" t="s">
        <v>20843</v>
      </c>
      <c r="AV2429">
        <v>15</v>
      </c>
      <c r="AW2429" s="184">
        <v>41579</v>
      </c>
      <c r="AX2429" t="s">
        <v>20844</v>
      </c>
      <c r="AY2429">
        <v>100</v>
      </c>
      <c r="AZ2429" s="184">
        <v>41495</v>
      </c>
      <c r="BA2429" t="s">
        <v>20845</v>
      </c>
      <c r="BB2429">
        <v>240</v>
      </c>
      <c r="BC2429">
        <v>58</v>
      </c>
      <c r="BD2429">
        <v>2970</v>
      </c>
      <c r="BE2429">
        <v>1999</v>
      </c>
      <c r="BF2429">
        <v>40</v>
      </c>
      <c r="BI2429">
        <v>15</v>
      </c>
      <c r="BJ2429">
        <v>26</v>
      </c>
      <c r="BK2429">
        <v>15</v>
      </c>
      <c r="BN2429" t="s">
        <v>595</v>
      </c>
    </row>
    <row r="2430" spans="1:68">
      <c r="A2430">
        <v>29218708</v>
      </c>
      <c r="B2430">
        <v>29218708</v>
      </c>
      <c r="C2430" t="s">
        <v>7018</v>
      </c>
      <c r="D2430" t="s">
        <v>595</v>
      </c>
      <c r="E2430" s="184">
        <v>44104</v>
      </c>
      <c r="G2430" s="184"/>
      <c r="K2430" s="184"/>
      <c r="O2430" s="184"/>
      <c r="P2430" t="s">
        <v>7045</v>
      </c>
      <c r="Q2430" t="s">
        <v>7160</v>
      </c>
      <c r="R2430" s="184">
        <v>17989</v>
      </c>
      <c r="S2430">
        <v>75</v>
      </c>
      <c r="U2430" t="s">
        <v>7667</v>
      </c>
      <c r="V2430" t="s">
        <v>2898</v>
      </c>
      <c r="W2430" t="s">
        <v>205</v>
      </c>
      <c r="X2430" t="s">
        <v>4737</v>
      </c>
      <c r="AF2430" t="s">
        <v>20846</v>
      </c>
      <c r="AG2430" t="s">
        <v>2898</v>
      </c>
      <c r="AI2430" t="s">
        <v>20847</v>
      </c>
      <c r="AM2430" t="s">
        <v>13532</v>
      </c>
      <c r="AN2430" t="s">
        <v>2446</v>
      </c>
      <c r="AO2430" t="s">
        <v>20848</v>
      </c>
      <c r="AP2430" t="s">
        <v>7024</v>
      </c>
      <c r="AT2430" s="184">
        <v>36283</v>
      </c>
      <c r="AU2430" t="s">
        <v>20849</v>
      </c>
      <c r="AV2430">
        <v>25</v>
      </c>
      <c r="AW2430" s="184">
        <v>43903</v>
      </c>
      <c r="AX2430" t="s">
        <v>20850</v>
      </c>
      <c r="AY2430">
        <v>100</v>
      </c>
      <c r="AZ2430" s="184">
        <v>43903</v>
      </c>
      <c r="BA2430" t="s">
        <v>20850</v>
      </c>
      <c r="BB2430">
        <v>100</v>
      </c>
      <c r="BC2430">
        <v>81</v>
      </c>
      <c r="BD2430">
        <v>1760</v>
      </c>
      <c r="BE2430">
        <v>1999</v>
      </c>
      <c r="BF2430">
        <v>23</v>
      </c>
      <c r="BI2430">
        <v>21</v>
      </c>
      <c r="BJ2430">
        <v>26</v>
      </c>
      <c r="BK2430">
        <v>20</v>
      </c>
      <c r="BP2430" s="184"/>
    </row>
    <row r="2431" spans="1:68">
      <c r="A2431">
        <v>29223302</v>
      </c>
      <c r="B2431">
        <v>29223302</v>
      </c>
      <c r="C2431" t="s">
        <v>7018</v>
      </c>
      <c r="E2431" s="184"/>
      <c r="G2431" s="184"/>
      <c r="I2431" s="184"/>
      <c r="J2431" t="s">
        <v>595</v>
      </c>
      <c r="K2431" s="184">
        <v>41337</v>
      </c>
      <c r="M2431" s="184"/>
      <c r="O2431" s="184"/>
      <c r="P2431" t="s">
        <v>7045</v>
      </c>
      <c r="Q2431" t="s">
        <v>7160</v>
      </c>
      <c r="R2431" s="184">
        <v>21593</v>
      </c>
      <c r="S2431">
        <v>65</v>
      </c>
      <c r="V2431" t="s">
        <v>2586</v>
      </c>
      <c r="W2431" t="s">
        <v>205</v>
      </c>
      <c r="X2431" t="s">
        <v>4315</v>
      </c>
      <c r="Z2431">
        <v>100078729</v>
      </c>
      <c r="AB2431" t="s">
        <v>2786</v>
      </c>
      <c r="AD2431" t="s">
        <v>20851</v>
      </c>
      <c r="AF2431" t="s">
        <v>6310</v>
      </c>
      <c r="AG2431" t="s">
        <v>20852</v>
      </c>
      <c r="AI2431" t="s">
        <v>20853</v>
      </c>
      <c r="AM2431" t="s">
        <v>2802</v>
      </c>
      <c r="AN2431" t="s">
        <v>2176</v>
      </c>
      <c r="AO2431" t="s">
        <v>20854</v>
      </c>
      <c r="AP2431" t="s">
        <v>7024</v>
      </c>
      <c r="AQ2431" t="s">
        <v>20855</v>
      </c>
      <c r="AT2431" s="184">
        <v>36286</v>
      </c>
      <c r="AU2431" t="s">
        <v>20856</v>
      </c>
      <c r="AV2431">
        <v>15</v>
      </c>
      <c r="AW2431" s="184">
        <v>45044</v>
      </c>
      <c r="AX2431" t="s">
        <v>20857</v>
      </c>
      <c r="AY2431">
        <v>150</v>
      </c>
      <c r="AZ2431" s="184">
        <v>45044</v>
      </c>
      <c r="BA2431" t="s">
        <v>20857</v>
      </c>
      <c r="BB2431">
        <v>150</v>
      </c>
      <c r="BC2431">
        <v>97</v>
      </c>
      <c r="BD2431">
        <v>2340</v>
      </c>
      <c r="BE2431">
        <v>1999</v>
      </c>
      <c r="BF2431">
        <v>38</v>
      </c>
      <c r="BG2431">
        <v>2</v>
      </c>
      <c r="BH2431">
        <v>300</v>
      </c>
      <c r="BI2431">
        <v>25</v>
      </c>
      <c r="BJ2431">
        <v>26</v>
      </c>
      <c r="BK2431">
        <v>25</v>
      </c>
      <c r="BP2431" s="184"/>
    </row>
    <row r="2432" spans="1:68">
      <c r="A2432">
        <v>100078729</v>
      </c>
      <c r="B2432">
        <v>29223302</v>
      </c>
      <c r="C2432" t="s">
        <v>7018</v>
      </c>
      <c r="E2432" s="184"/>
      <c r="G2432" s="184"/>
      <c r="I2432" s="184"/>
      <c r="J2432" t="s">
        <v>595</v>
      </c>
      <c r="K2432" s="184">
        <v>41337</v>
      </c>
      <c r="M2432" s="184"/>
      <c r="O2432" s="184"/>
      <c r="P2432" t="s">
        <v>7045</v>
      </c>
      <c r="Q2432" t="s">
        <v>7160</v>
      </c>
      <c r="R2432" s="184">
        <v>15596</v>
      </c>
      <c r="S2432">
        <v>81</v>
      </c>
      <c r="V2432" t="s">
        <v>2786</v>
      </c>
      <c r="X2432" t="s">
        <v>20851</v>
      </c>
      <c r="Z2432">
        <v>29223302</v>
      </c>
      <c r="AB2432" t="s">
        <v>2586</v>
      </c>
      <c r="AC2432" t="s">
        <v>205</v>
      </c>
      <c r="AD2432" t="s">
        <v>4315</v>
      </c>
      <c r="AF2432" t="s">
        <v>6310</v>
      </c>
      <c r="AG2432" t="s">
        <v>20852</v>
      </c>
      <c r="AI2432" t="s">
        <v>20853</v>
      </c>
      <c r="AM2432" t="s">
        <v>2802</v>
      </c>
      <c r="AN2432" t="s">
        <v>2176</v>
      </c>
      <c r="AO2432" t="s">
        <v>20854</v>
      </c>
      <c r="AP2432" t="s">
        <v>7024</v>
      </c>
      <c r="AT2432" s="184"/>
      <c r="AW2432" s="184"/>
      <c r="AZ2432" s="184"/>
      <c r="BP2432" s="184"/>
    </row>
    <row r="2433" spans="1:68">
      <c r="A2433">
        <v>29246634</v>
      </c>
      <c r="B2433">
        <v>29246634</v>
      </c>
      <c r="C2433" t="s">
        <v>7018</v>
      </c>
      <c r="E2433" s="184"/>
      <c r="G2433" s="184"/>
      <c r="I2433" s="184"/>
      <c r="J2433" t="s">
        <v>595</v>
      </c>
      <c r="K2433" s="184">
        <v>43640</v>
      </c>
      <c r="M2433" s="184"/>
      <c r="P2433" t="s">
        <v>7029</v>
      </c>
      <c r="Q2433" t="s">
        <v>7030</v>
      </c>
      <c r="R2433" s="184">
        <v>16193</v>
      </c>
      <c r="S2433">
        <v>80</v>
      </c>
      <c r="T2433" t="s">
        <v>2635</v>
      </c>
      <c r="U2433" t="s">
        <v>7031</v>
      </c>
      <c r="V2433" t="s">
        <v>2541</v>
      </c>
      <c r="X2433" t="s">
        <v>2689</v>
      </c>
      <c r="Z2433">
        <v>100078865</v>
      </c>
      <c r="AA2433" t="s">
        <v>7130</v>
      </c>
      <c r="AB2433" t="s">
        <v>2691</v>
      </c>
      <c r="AD2433" t="s">
        <v>2689</v>
      </c>
      <c r="AF2433" t="s">
        <v>6205</v>
      </c>
      <c r="AG2433" t="s">
        <v>20858</v>
      </c>
      <c r="AI2433" t="s">
        <v>20859</v>
      </c>
      <c r="AM2433" t="s">
        <v>2690</v>
      </c>
      <c r="AN2433" t="s">
        <v>2094</v>
      </c>
      <c r="AO2433" t="s">
        <v>20860</v>
      </c>
      <c r="AP2433" t="s">
        <v>7024</v>
      </c>
      <c r="AQ2433" t="s">
        <v>20861</v>
      </c>
      <c r="AT2433" s="184">
        <v>36293</v>
      </c>
      <c r="AU2433" t="s">
        <v>20862</v>
      </c>
      <c r="AV2433">
        <v>25</v>
      </c>
      <c r="AW2433" s="184">
        <v>43504</v>
      </c>
      <c r="AX2433" t="s">
        <v>7928</v>
      </c>
      <c r="AY2433">
        <v>1000</v>
      </c>
      <c r="AZ2433" s="184">
        <v>43504</v>
      </c>
      <c r="BA2433" t="s">
        <v>7928</v>
      </c>
      <c r="BB2433">
        <v>1000</v>
      </c>
      <c r="BC2433">
        <v>54</v>
      </c>
      <c r="BD2433">
        <v>2800</v>
      </c>
      <c r="BE2433">
        <v>1999</v>
      </c>
      <c r="BF2433">
        <v>18</v>
      </c>
      <c r="BI2433">
        <v>14</v>
      </c>
      <c r="BJ2433">
        <v>26</v>
      </c>
      <c r="BK2433">
        <v>6</v>
      </c>
      <c r="BP2433" s="184"/>
    </row>
    <row r="2434" spans="1:68">
      <c r="A2434">
        <v>100078865</v>
      </c>
      <c r="B2434">
        <v>29246634</v>
      </c>
      <c r="C2434" t="s">
        <v>7018</v>
      </c>
      <c r="E2434" s="184"/>
      <c r="G2434" s="184"/>
      <c r="I2434" s="184"/>
      <c r="J2434" t="s">
        <v>595</v>
      </c>
      <c r="K2434" s="184">
        <v>43640</v>
      </c>
      <c r="O2434" s="184"/>
      <c r="P2434" t="s">
        <v>7029</v>
      </c>
      <c r="Q2434" t="s">
        <v>7030</v>
      </c>
      <c r="R2434" s="184">
        <v>16072</v>
      </c>
      <c r="S2434">
        <v>80</v>
      </c>
      <c r="U2434" t="s">
        <v>7130</v>
      </c>
      <c r="V2434" t="s">
        <v>2691</v>
      </c>
      <c r="X2434" t="s">
        <v>2689</v>
      </c>
      <c r="Z2434">
        <v>29246634</v>
      </c>
      <c r="AA2434" t="s">
        <v>7031</v>
      </c>
      <c r="AB2434" t="s">
        <v>2541</v>
      </c>
      <c r="AD2434" t="s">
        <v>2689</v>
      </c>
      <c r="AF2434" t="s">
        <v>6205</v>
      </c>
      <c r="AG2434" t="s">
        <v>20858</v>
      </c>
      <c r="AI2434" t="s">
        <v>20859</v>
      </c>
      <c r="AM2434" t="s">
        <v>2690</v>
      </c>
      <c r="AN2434" t="s">
        <v>2094</v>
      </c>
      <c r="AO2434" t="s">
        <v>20860</v>
      </c>
      <c r="AP2434" t="s">
        <v>7024</v>
      </c>
      <c r="AT2434" s="184"/>
      <c r="AW2434" s="184"/>
      <c r="AZ2434" s="184"/>
      <c r="BP2434" s="184"/>
    </row>
    <row r="2435" spans="1:68">
      <c r="A2435">
        <v>29269040</v>
      </c>
      <c r="B2435">
        <v>29269040</v>
      </c>
      <c r="C2435" t="s">
        <v>7018</v>
      </c>
      <c r="D2435" t="s">
        <v>595</v>
      </c>
      <c r="E2435" s="184">
        <v>44438</v>
      </c>
      <c r="G2435" s="184"/>
      <c r="I2435" s="184"/>
      <c r="K2435" s="184"/>
      <c r="M2435" s="184"/>
      <c r="O2435" s="184"/>
      <c r="P2435" t="s">
        <v>7045</v>
      </c>
      <c r="Q2435" t="s">
        <v>7383</v>
      </c>
      <c r="R2435" s="184">
        <v>20302</v>
      </c>
      <c r="S2435">
        <v>68</v>
      </c>
      <c r="V2435" t="s">
        <v>15040</v>
      </c>
      <c r="X2435" t="s">
        <v>20863</v>
      </c>
      <c r="Z2435">
        <v>100078999</v>
      </c>
      <c r="AB2435" t="s">
        <v>20864</v>
      </c>
      <c r="AC2435" t="s">
        <v>4013</v>
      </c>
      <c r="AD2435" t="s">
        <v>20863</v>
      </c>
      <c r="AF2435" t="s">
        <v>20865</v>
      </c>
      <c r="AG2435" t="s">
        <v>20866</v>
      </c>
      <c r="AI2435" t="s">
        <v>20867</v>
      </c>
      <c r="AM2435" t="s">
        <v>20868</v>
      </c>
      <c r="AN2435" t="s">
        <v>2072</v>
      </c>
      <c r="AO2435" t="s">
        <v>20869</v>
      </c>
      <c r="AP2435" t="s">
        <v>7024</v>
      </c>
      <c r="AT2435" s="184">
        <v>36298</v>
      </c>
      <c r="AU2435" t="s">
        <v>20870</v>
      </c>
      <c r="AV2435">
        <v>20</v>
      </c>
      <c r="AW2435" s="184">
        <v>44354</v>
      </c>
      <c r="AX2435" t="s">
        <v>20871</v>
      </c>
      <c r="AY2435">
        <v>100</v>
      </c>
      <c r="AZ2435" s="184">
        <v>44354</v>
      </c>
      <c r="BA2435" t="s">
        <v>20871</v>
      </c>
      <c r="BB2435">
        <v>100</v>
      </c>
      <c r="BC2435">
        <v>24</v>
      </c>
      <c r="BD2435">
        <v>280</v>
      </c>
      <c r="BE2435">
        <v>1999</v>
      </c>
      <c r="BF2435">
        <v>6</v>
      </c>
      <c r="BI2435">
        <v>6</v>
      </c>
      <c r="BJ2435">
        <v>26</v>
      </c>
      <c r="BK2435">
        <v>2</v>
      </c>
      <c r="BP2435" s="184"/>
    </row>
    <row r="2436" spans="1:68">
      <c r="A2436">
        <v>100078999</v>
      </c>
      <c r="B2436">
        <v>29269040</v>
      </c>
      <c r="C2436" t="s">
        <v>7018</v>
      </c>
      <c r="D2436" t="s">
        <v>595</v>
      </c>
      <c r="E2436" s="184">
        <v>44438</v>
      </c>
      <c r="G2436" s="184"/>
      <c r="I2436" s="184"/>
      <c r="K2436" s="184"/>
      <c r="M2436" s="184"/>
      <c r="O2436" s="184"/>
      <c r="P2436" t="s">
        <v>7045</v>
      </c>
      <c r="Q2436" t="s">
        <v>7383</v>
      </c>
      <c r="R2436" s="184">
        <v>20302</v>
      </c>
      <c r="S2436">
        <v>68</v>
      </c>
      <c r="V2436" t="s">
        <v>20864</v>
      </c>
      <c r="W2436" t="s">
        <v>4013</v>
      </c>
      <c r="X2436" t="s">
        <v>20863</v>
      </c>
      <c r="Z2436">
        <v>29269040</v>
      </c>
      <c r="AB2436" t="s">
        <v>15040</v>
      </c>
      <c r="AD2436" t="s">
        <v>20863</v>
      </c>
      <c r="AF2436" t="s">
        <v>20865</v>
      </c>
      <c r="AG2436" t="s">
        <v>20866</v>
      </c>
      <c r="AI2436" t="s">
        <v>20867</v>
      </c>
      <c r="AM2436" t="s">
        <v>20868</v>
      </c>
      <c r="AN2436" t="s">
        <v>2072</v>
      </c>
      <c r="AO2436" t="s">
        <v>20869</v>
      </c>
      <c r="AP2436" t="s">
        <v>7024</v>
      </c>
      <c r="AQ2436" t="s">
        <v>20872</v>
      </c>
      <c r="AT2436" s="184">
        <v>45291</v>
      </c>
      <c r="AU2436" t="s">
        <v>7152</v>
      </c>
      <c r="AV2436">
        <v>52.5</v>
      </c>
      <c r="AW2436" s="184">
        <v>45291</v>
      </c>
      <c r="AX2436" t="s">
        <v>7152</v>
      </c>
      <c r="AY2436">
        <v>52.5</v>
      </c>
      <c r="AZ2436" s="184">
        <v>45291</v>
      </c>
      <c r="BA2436" t="s">
        <v>7152</v>
      </c>
      <c r="BB2436">
        <v>52.5</v>
      </c>
      <c r="BC2436">
        <v>50</v>
      </c>
      <c r="BD2436">
        <v>52.5</v>
      </c>
      <c r="BE2436">
        <v>2024</v>
      </c>
      <c r="BF2436">
        <v>1</v>
      </c>
      <c r="BG2436">
        <v>1</v>
      </c>
      <c r="BH2436">
        <v>52.5</v>
      </c>
      <c r="BI2436">
        <v>1</v>
      </c>
      <c r="BJ2436">
        <v>2</v>
      </c>
      <c r="BK2436">
        <v>1</v>
      </c>
      <c r="BP2436" s="184"/>
    </row>
    <row r="2437" spans="1:68">
      <c r="A2437">
        <v>29276235</v>
      </c>
      <c r="B2437">
        <v>29276235</v>
      </c>
      <c r="C2437" t="s">
        <v>7018</v>
      </c>
      <c r="D2437" t="s">
        <v>595</v>
      </c>
      <c r="E2437" s="184">
        <v>44419</v>
      </c>
      <c r="G2437" s="184"/>
      <c r="I2437" s="184"/>
      <c r="K2437" s="184"/>
      <c r="M2437" s="184"/>
      <c r="O2437" s="184"/>
      <c r="P2437" t="s">
        <v>7045</v>
      </c>
      <c r="Q2437" t="s">
        <v>7194</v>
      </c>
      <c r="R2437" s="184">
        <v>17564</v>
      </c>
      <c r="S2437">
        <v>76</v>
      </c>
      <c r="V2437" t="s">
        <v>2758</v>
      </c>
      <c r="X2437" t="s">
        <v>20873</v>
      </c>
      <c r="AF2437" t="s">
        <v>20874</v>
      </c>
      <c r="AG2437" t="s">
        <v>2758</v>
      </c>
      <c r="AI2437" t="s">
        <v>20875</v>
      </c>
      <c r="AM2437" t="s">
        <v>8571</v>
      </c>
      <c r="AN2437" t="s">
        <v>4512</v>
      </c>
      <c r="AO2437" t="s">
        <v>20876</v>
      </c>
      <c r="AP2437" t="s">
        <v>7024</v>
      </c>
      <c r="AQ2437" t="s">
        <v>20877</v>
      </c>
      <c r="AT2437" s="184">
        <v>36301</v>
      </c>
      <c r="AU2437" t="s">
        <v>20878</v>
      </c>
      <c r="AV2437">
        <v>25</v>
      </c>
      <c r="AW2437" s="184">
        <v>45120</v>
      </c>
      <c r="AX2437" t="s">
        <v>7832</v>
      </c>
      <c r="AY2437">
        <v>25</v>
      </c>
      <c r="AZ2437" s="184">
        <v>44040</v>
      </c>
      <c r="BA2437" t="s">
        <v>20879</v>
      </c>
      <c r="BB2437">
        <v>60</v>
      </c>
      <c r="BC2437">
        <v>62</v>
      </c>
      <c r="BD2437">
        <v>460</v>
      </c>
      <c r="BE2437">
        <v>1999</v>
      </c>
      <c r="BF2437">
        <v>16</v>
      </c>
      <c r="BG2437">
        <v>1</v>
      </c>
      <c r="BH2437">
        <v>25</v>
      </c>
      <c r="BI2437">
        <v>16</v>
      </c>
      <c r="BJ2437">
        <v>26</v>
      </c>
      <c r="BK2437">
        <v>8</v>
      </c>
      <c r="BP2437" s="184"/>
    </row>
    <row r="2438" spans="1:68">
      <c r="A2438">
        <v>29283892</v>
      </c>
      <c r="B2438">
        <v>29283892</v>
      </c>
      <c r="C2438" t="s">
        <v>7018</v>
      </c>
      <c r="D2438" t="s">
        <v>595</v>
      </c>
      <c r="E2438" s="184">
        <v>43647</v>
      </c>
      <c r="G2438" s="184"/>
      <c r="I2438" s="184"/>
      <c r="K2438" s="184"/>
      <c r="M2438" s="184"/>
      <c r="O2438" s="184"/>
      <c r="P2438" t="s">
        <v>7045</v>
      </c>
      <c r="Q2438" t="s">
        <v>7030</v>
      </c>
      <c r="R2438" s="184">
        <v>16113</v>
      </c>
      <c r="S2438">
        <v>80</v>
      </c>
      <c r="V2438" t="s">
        <v>3043</v>
      </c>
      <c r="W2438" t="s">
        <v>2049</v>
      </c>
      <c r="X2438" t="s">
        <v>3442</v>
      </c>
      <c r="AF2438" t="s">
        <v>20880</v>
      </c>
      <c r="AG2438" t="s">
        <v>3043</v>
      </c>
      <c r="AI2438" t="s">
        <v>20881</v>
      </c>
      <c r="AM2438" t="s">
        <v>3443</v>
      </c>
      <c r="AN2438" t="s">
        <v>2094</v>
      </c>
      <c r="AO2438" t="s">
        <v>20882</v>
      </c>
      <c r="AP2438" t="s">
        <v>7024</v>
      </c>
      <c r="AQ2438" t="s">
        <v>20883</v>
      </c>
      <c r="AT2438" s="184">
        <v>36301</v>
      </c>
      <c r="AU2438" t="s">
        <v>20884</v>
      </c>
      <c r="AV2438">
        <v>25</v>
      </c>
      <c r="AW2438" s="184">
        <v>45246</v>
      </c>
      <c r="AX2438" t="s">
        <v>10696</v>
      </c>
      <c r="AY2438">
        <v>75</v>
      </c>
      <c r="AZ2438" s="184">
        <v>43698</v>
      </c>
      <c r="BA2438" t="s">
        <v>20885</v>
      </c>
      <c r="BB2438">
        <v>100</v>
      </c>
      <c r="BC2438">
        <v>77</v>
      </c>
      <c r="BD2438">
        <v>885</v>
      </c>
      <c r="BE2438">
        <v>1999</v>
      </c>
      <c r="BF2438">
        <v>21</v>
      </c>
      <c r="BG2438">
        <v>2</v>
      </c>
      <c r="BH2438">
        <v>150</v>
      </c>
      <c r="BI2438">
        <v>20</v>
      </c>
      <c r="BJ2438">
        <v>26</v>
      </c>
      <c r="BK2438">
        <v>12</v>
      </c>
      <c r="BP2438" s="184"/>
    </row>
    <row r="2439" spans="1:68">
      <c r="A2439">
        <v>29294089</v>
      </c>
      <c r="B2439">
        <v>29294089</v>
      </c>
      <c r="C2439" t="s">
        <v>7018</v>
      </c>
      <c r="D2439" t="s">
        <v>595</v>
      </c>
      <c r="E2439" s="184">
        <v>44104</v>
      </c>
      <c r="G2439" s="184"/>
      <c r="I2439" s="184"/>
      <c r="K2439" s="184"/>
      <c r="O2439" s="184"/>
      <c r="P2439" t="s">
        <v>7019</v>
      </c>
      <c r="Q2439" t="s">
        <v>7383</v>
      </c>
      <c r="R2439" s="184">
        <v>10809</v>
      </c>
      <c r="S2439">
        <v>94</v>
      </c>
      <c r="V2439" t="s">
        <v>20886</v>
      </c>
      <c r="X2439" t="s">
        <v>20887</v>
      </c>
      <c r="AF2439" t="s">
        <v>20888</v>
      </c>
      <c r="AG2439" t="s">
        <v>20886</v>
      </c>
      <c r="AI2439" t="s">
        <v>20889</v>
      </c>
      <c r="AM2439" t="s">
        <v>3100</v>
      </c>
      <c r="AN2439" t="s">
        <v>2059</v>
      </c>
      <c r="AO2439" t="s">
        <v>20890</v>
      </c>
      <c r="AP2439" t="s">
        <v>7024</v>
      </c>
      <c r="AQ2439" t="s">
        <v>20891</v>
      </c>
      <c r="AT2439" s="184">
        <v>36304</v>
      </c>
      <c r="AU2439" t="s">
        <v>20892</v>
      </c>
      <c r="AV2439">
        <v>15</v>
      </c>
      <c r="AW2439" s="184">
        <v>44455</v>
      </c>
      <c r="AX2439" t="s">
        <v>8351</v>
      </c>
      <c r="AY2439">
        <v>60</v>
      </c>
      <c r="AZ2439" s="184">
        <v>44455</v>
      </c>
      <c r="BA2439" t="s">
        <v>8351</v>
      </c>
      <c r="BB2439">
        <v>60</v>
      </c>
      <c r="BC2439">
        <v>70</v>
      </c>
      <c r="BD2439">
        <v>686</v>
      </c>
      <c r="BE2439">
        <v>1999</v>
      </c>
      <c r="BF2439">
        <v>26</v>
      </c>
      <c r="BI2439">
        <v>18</v>
      </c>
      <c r="BJ2439">
        <v>26</v>
      </c>
      <c r="BK2439">
        <v>6</v>
      </c>
      <c r="BP2439" s="184"/>
    </row>
    <row r="2440" spans="1:68">
      <c r="A2440">
        <v>29330040</v>
      </c>
      <c r="B2440">
        <v>29330040</v>
      </c>
      <c r="C2440" t="s">
        <v>7018</v>
      </c>
      <c r="D2440" t="s">
        <v>595</v>
      </c>
      <c r="E2440" s="184">
        <v>45117</v>
      </c>
      <c r="G2440" s="184"/>
      <c r="I2440" s="184"/>
      <c r="K2440" s="184"/>
      <c r="O2440" s="184"/>
      <c r="P2440" t="s">
        <v>7045</v>
      </c>
      <c r="Q2440" t="s">
        <v>7383</v>
      </c>
      <c r="R2440" s="184">
        <v>16106</v>
      </c>
      <c r="S2440">
        <v>80</v>
      </c>
      <c r="V2440" t="s">
        <v>2832</v>
      </c>
      <c r="W2440" t="s">
        <v>2049</v>
      </c>
      <c r="X2440" t="s">
        <v>14446</v>
      </c>
      <c r="AF2440" t="s">
        <v>20893</v>
      </c>
      <c r="AG2440" t="s">
        <v>2832</v>
      </c>
      <c r="AI2440" t="s">
        <v>20894</v>
      </c>
      <c r="AM2440" t="s">
        <v>18896</v>
      </c>
      <c r="AN2440" t="s">
        <v>2185</v>
      </c>
      <c r="AO2440" t="s">
        <v>20895</v>
      </c>
      <c r="AP2440" t="s">
        <v>7024</v>
      </c>
      <c r="AQ2440" t="s">
        <v>20896</v>
      </c>
      <c r="AR2440" t="s">
        <v>20897</v>
      </c>
      <c r="AT2440" s="184">
        <v>36318</v>
      </c>
      <c r="AU2440" t="s">
        <v>20898</v>
      </c>
      <c r="AV2440">
        <v>25</v>
      </c>
      <c r="AW2440" s="184">
        <v>44847</v>
      </c>
      <c r="AX2440" t="s">
        <v>11563</v>
      </c>
      <c r="AY2440">
        <v>35</v>
      </c>
      <c r="AZ2440" s="184">
        <v>44847</v>
      </c>
      <c r="BA2440" t="s">
        <v>11563</v>
      </c>
      <c r="BB2440">
        <v>35</v>
      </c>
      <c r="BC2440">
        <v>24</v>
      </c>
      <c r="BD2440">
        <v>170</v>
      </c>
      <c r="BE2440">
        <v>1999</v>
      </c>
      <c r="BF2440">
        <v>6</v>
      </c>
      <c r="BG2440">
        <v>1</v>
      </c>
      <c r="BH2440">
        <v>35</v>
      </c>
      <c r="BI2440">
        <v>6</v>
      </c>
      <c r="BJ2440">
        <v>26</v>
      </c>
      <c r="BK2440">
        <v>3</v>
      </c>
      <c r="BP2440" s="184"/>
    </row>
    <row r="2441" spans="1:68">
      <c r="A2441">
        <v>29345394</v>
      </c>
      <c r="B2441">
        <v>29345394</v>
      </c>
      <c r="C2441" t="s">
        <v>7018</v>
      </c>
      <c r="D2441" t="s">
        <v>595</v>
      </c>
      <c r="E2441" s="184">
        <v>43703</v>
      </c>
      <c r="G2441" s="184"/>
      <c r="I2441" s="184"/>
      <c r="K2441" s="184"/>
      <c r="O2441" s="184"/>
      <c r="P2441" t="s">
        <v>7045</v>
      </c>
      <c r="Q2441" t="s">
        <v>7454</v>
      </c>
      <c r="R2441" s="184">
        <v>17418</v>
      </c>
      <c r="S2441">
        <v>76</v>
      </c>
      <c r="V2441" t="s">
        <v>3748</v>
      </c>
      <c r="X2441" t="s">
        <v>3749</v>
      </c>
      <c r="AF2441" t="s">
        <v>20899</v>
      </c>
      <c r="AG2441" t="s">
        <v>3748</v>
      </c>
      <c r="AI2441" t="s">
        <v>20900</v>
      </c>
      <c r="AM2441" t="s">
        <v>3750</v>
      </c>
      <c r="AN2441" t="s">
        <v>2055</v>
      </c>
      <c r="AO2441" t="s">
        <v>20901</v>
      </c>
      <c r="AP2441" t="s">
        <v>7024</v>
      </c>
      <c r="AQ2441" t="s">
        <v>20902</v>
      </c>
      <c r="AT2441" s="184">
        <v>36305</v>
      </c>
      <c r="AU2441" t="s">
        <v>20903</v>
      </c>
      <c r="AV2441">
        <v>25</v>
      </c>
      <c r="AW2441" s="184">
        <v>45414</v>
      </c>
      <c r="AX2441" t="s">
        <v>7422</v>
      </c>
      <c r="AY2441">
        <v>5</v>
      </c>
      <c r="AZ2441" s="184">
        <v>41246</v>
      </c>
      <c r="BA2441" t="s">
        <v>20904</v>
      </c>
      <c r="BB2441">
        <v>25</v>
      </c>
      <c r="BC2441">
        <v>93</v>
      </c>
      <c r="BD2441">
        <v>940</v>
      </c>
      <c r="BE2441">
        <v>1999</v>
      </c>
      <c r="BF2441">
        <v>140</v>
      </c>
      <c r="BG2441">
        <v>24</v>
      </c>
      <c r="BH2441">
        <v>120</v>
      </c>
      <c r="BI2441">
        <v>24</v>
      </c>
      <c r="BJ2441">
        <v>26</v>
      </c>
      <c r="BK2441">
        <v>23</v>
      </c>
      <c r="BP2441" s="184"/>
    </row>
    <row r="2442" spans="1:68">
      <c r="A2442">
        <v>29351046</v>
      </c>
      <c r="B2442">
        <v>29351046</v>
      </c>
      <c r="C2442" t="s">
        <v>7018</v>
      </c>
      <c r="E2442" s="184"/>
      <c r="F2442" t="s">
        <v>595</v>
      </c>
      <c r="G2442" s="184">
        <v>43731</v>
      </c>
      <c r="I2442" s="184"/>
      <c r="K2442" s="184"/>
      <c r="O2442" s="184"/>
      <c r="P2442" t="s">
        <v>7045</v>
      </c>
      <c r="Q2442" t="s">
        <v>7454</v>
      </c>
      <c r="R2442" s="184">
        <v>16316</v>
      </c>
      <c r="S2442">
        <v>79</v>
      </c>
      <c r="U2442" t="s">
        <v>7032</v>
      </c>
      <c r="V2442" t="s">
        <v>3868</v>
      </c>
      <c r="X2442" t="s">
        <v>2998</v>
      </c>
      <c r="AF2442" t="s">
        <v>20905</v>
      </c>
      <c r="AG2442" t="s">
        <v>3868</v>
      </c>
      <c r="AI2442" t="s">
        <v>20906</v>
      </c>
      <c r="AM2442" t="s">
        <v>3460</v>
      </c>
      <c r="AN2442" t="s">
        <v>2299</v>
      </c>
      <c r="AO2442" t="s">
        <v>20907</v>
      </c>
      <c r="AP2442" t="s">
        <v>7024</v>
      </c>
      <c r="AQ2442" t="s">
        <v>20908</v>
      </c>
      <c r="AT2442" s="184">
        <v>36319</v>
      </c>
      <c r="AU2442" t="s">
        <v>20909</v>
      </c>
      <c r="AV2442">
        <v>25</v>
      </c>
      <c r="AW2442" s="184">
        <v>45082</v>
      </c>
      <c r="AX2442" t="s">
        <v>20910</v>
      </c>
      <c r="AY2442">
        <v>25</v>
      </c>
      <c r="AZ2442" s="184">
        <v>43100</v>
      </c>
      <c r="BA2442" t="s">
        <v>20911</v>
      </c>
      <c r="BB2442">
        <v>100</v>
      </c>
      <c r="BC2442">
        <v>74</v>
      </c>
      <c r="BD2442">
        <v>1515</v>
      </c>
      <c r="BE2442">
        <v>1999</v>
      </c>
      <c r="BF2442">
        <v>40</v>
      </c>
      <c r="BG2442">
        <v>1</v>
      </c>
      <c r="BH2442">
        <v>25</v>
      </c>
      <c r="BI2442">
        <v>19</v>
      </c>
      <c r="BJ2442">
        <v>26</v>
      </c>
      <c r="BK2442">
        <v>11</v>
      </c>
      <c r="BP2442" s="184"/>
    </row>
    <row r="2443" spans="1:68">
      <c r="A2443">
        <v>29354065</v>
      </c>
      <c r="B2443">
        <v>29354065</v>
      </c>
      <c r="C2443" t="s">
        <v>7018</v>
      </c>
      <c r="D2443" t="s">
        <v>595</v>
      </c>
      <c r="E2443" s="184">
        <v>43669</v>
      </c>
      <c r="G2443" s="184"/>
      <c r="I2443" s="184"/>
      <c r="K2443" s="184"/>
      <c r="M2443" s="184"/>
      <c r="O2443" s="184"/>
      <c r="P2443" t="s">
        <v>7045</v>
      </c>
      <c r="Q2443" t="s">
        <v>7030</v>
      </c>
      <c r="R2443" s="184">
        <v>16438</v>
      </c>
      <c r="S2443">
        <v>79</v>
      </c>
      <c r="U2443" t="s">
        <v>7076</v>
      </c>
      <c r="V2443" t="s">
        <v>3463</v>
      </c>
      <c r="W2443" t="s">
        <v>4013</v>
      </c>
      <c r="X2443" t="s">
        <v>3661</v>
      </c>
      <c r="AF2443" t="s">
        <v>20912</v>
      </c>
      <c r="AG2443" t="s">
        <v>3463</v>
      </c>
      <c r="AI2443" t="s">
        <v>20913</v>
      </c>
      <c r="AM2443" t="s">
        <v>3662</v>
      </c>
      <c r="AN2443" t="s">
        <v>2094</v>
      </c>
      <c r="AO2443" t="s">
        <v>20914</v>
      </c>
      <c r="AP2443" t="s">
        <v>7024</v>
      </c>
      <c r="AQ2443" t="s">
        <v>20915</v>
      </c>
      <c r="AR2443" t="s">
        <v>20916</v>
      </c>
      <c r="AT2443" s="184">
        <v>36319</v>
      </c>
      <c r="AU2443" t="s">
        <v>20917</v>
      </c>
      <c r="AV2443">
        <v>25</v>
      </c>
      <c r="AW2443" s="184">
        <v>45400</v>
      </c>
      <c r="AX2443" t="s">
        <v>7524</v>
      </c>
      <c r="AY2443">
        <v>35</v>
      </c>
      <c r="AZ2443" s="184">
        <v>44656</v>
      </c>
      <c r="BA2443" t="s">
        <v>20918</v>
      </c>
      <c r="BB2443">
        <v>40</v>
      </c>
      <c r="BC2443">
        <v>85</v>
      </c>
      <c r="BD2443">
        <v>865</v>
      </c>
      <c r="BE2443">
        <v>1999</v>
      </c>
      <c r="BF2443">
        <v>38</v>
      </c>
      <c r="BG2443">
        <v>2</v>
      </c>
      <c r="BH2443">
        <v>70</v>
      </c>
      <c r="BI2443">
        <v>22</v>
      </c>
      <c r="BJ2443">
        <v>26</v>
      </c>
      <c r="BK2443">
        <v>12</v>
      </c>
      <c r="BP2443" s="184"/>
    </row>
    <row r="2444" spans="1:68">
      <c r="A2444">
        <v>29383064</v>
      </c>
      <c r="B2444">
        <v>29383064</v>
      </c>
      <c r="C2444" t="s">
        <v>7018</v>
      </c>
      <c r="E2444" s="184"/>
      <c r="G2444" s="184"/>
      <c r="I2444" s="184"/>
      <c r="J2444" t="s">
        <v>595</v>
      </c>
      <c r="K2444" s="184">
        <v>42899</v>
      </c>
      <c r="M2444" s="184"/>
      <c r="O2444" s="184"/>
      <c r="P2444" t="s">
        <v>7045</v>
      </c>
      <c r="Q2444" t="s">
        <v>7030</v>
      </c>
      <c r="R2444" s="184"/>
      <c r="V2444" t="s">
        <v>3603</v>
      </c>
      <c r="X2444" t="s">
        <v>20919</v>
      </c>
      <c r="Z2444">
        <v>93476778</v>
      </c>
      <c r="AB2444" t="s">
        <v>20920</v>
      </c>
      <c r="AD2444" t="s">
        <v>20919</v>
      </c>
      <c r="AF2444" t="s">
        <v>20921</v>
      </c>
      <c r="AG2444" t="s">
        <v>20922</v>
      </c>
      <c r="AI2444" t="s">
        <v>20923</v>
      </c>
      <c r="AM2444" t="s">
        <v>2873</v>
      </c>
      <c r="AN2444" t="s">
        <v>2094</v>
      </c>
      <c r="AO2444" t="s">
        <v>20924</v>
      </c>
      <c r="AP2444" t="s">
        <v>7024</v>
      </c>
      <c r="AQ2444" t="s">
        <v>20925</v>
      </c>
      <c r="AR2444" t="s">
        <v>20926</v>
      </c>
      <c r="AT2444" s="184">
        <v>36318</v>
      </c>
      <c r="AU2444" t="s">
        <v>20927</v>
      </c>
      <c r="AV2444">
        <v>25</v>
      </c>
      <c r="AW2444" s="184">
        <v>45313</v>
      </c>
      <c r="AX2444" t="s">
        <v>19413</v>
      </c>
      <c r="AY2444">
        <v>100</v>
      </c>
      <c r="AZ2444" s="184">
        <v>45313</v>
      </c>
      <c r="BA2444" t="s">
        <v>19413</v>
      </c>
      <c r="BB2444">
        <v>100</v>
      </c>
      <c r="BC2444">
        <v>93</v>
      </c>
      <c r="BD2444">
        <v>1252</v>
      </c>
      <c r="BE2444">
        <v>1999</v>
      </c>
      <c r="BF2444">
        <v>64</v>
      </c>
      <c r="BG2444">
        <v>7</v>
      </c>
      <c r="BH2444">
        <v>270</v>
      </c>
      <c r="BI2444">
        <v>24</v>
      </c>
      <c r="BJ2444">
        <v>26</v>
      </c>
      <c r="BK2444">
        <v>16</v>
      </c>
      <c r="BN2444" t="s">
        <v>595</v>
      </c>
      <c r="BP2444" s="184"/>
    </row>
    <row r="2445" spans="1:68">
      <c r="A2445">
        <v>93476778</v>
      </c>
      <c r="B2445">
        <v>29383064</v>
      </c>
      <c r="C2445" t="s">
        <v>7018</v>
      </c>
      <c r="E2445" s="184"/>
      <c r="G2445" s="184"/>
      <c r="I2445" s="184"/>
      <c r="J2445" t="s">
        <v>595</v>
      </c>
      <c r="K2445" s="184">
        <v>42899</v>
      </c>
      <c r="O2445" s="184"/>
      <c r="P2445" t="s">
        <v>7045</v>
      </c>
      <c r="Q2445" t="s">
        <v>7030</v>
      </c>
      <c r="R2445" s="184">
        <v>23193</v>
      </c>
      <c r="S2445">
        <v>60</v>
      </c>
      <c r="V2445" t="s">
        <v>20920</v>
      </c>
      <c r="X2445" t="s">
        <v>20919</v>
      </c>
      <c r="Z2445">
        <v>29383064</v>
      </c>
      <c r="AB2445" t="s">
        <v>3603</v>
      </c>
      <c r="AD2445" t="s">
        <v>20919</v>
      </c>
      <c r="AF2445" t="s">
        <v>20921</v>
      </c>
      <c r="AG2445" t="s">
        <v>20922</v>
      </c>
      <c r="AI2445" t="s">
        <v>20923</v>
      </c>
      <c r="AM2445" t="s">
        <v>2873</v>
      </c>
      <c r="AN2445" t="s">
        <v>2094</v>
      </c>
      <c r="AO2445" t="s">
        <v>20924</v>
      </c>
      <c r="AP2445" t="s">
        <v>7024</v>
      </c>
      <c r="AQ2445" t="s">
        <v>20928</v>
      </c>
      <c r="AT2445" s="184">
        <v>42279</v>
      </c>
      <c r="AU2445" t="s">
        <v>20929</v>
      </c>
      <c r="AV2445">
        <v>25</v>
      </c>
      <c r="AW2445" s="184">
        <v>43946</v>
      </c>
      <c r="AX2445" t="s">
        <v>9633</v>
      </c>
      <c r="AY2445">
        <v>25</v>
      </c>
      <c r="AZ2445" s="184">
        <v>43946</v>
      </c>
      <c r="BA2445" t="s">
        <v>9633</v>
      </c>
      <c r="BB2445">
        <v>25</v>
      </c>
      <c r="BC2445">
        <v>20</v>
      </c>
      <c r="BD2445">
        <v>50</v>
      </c>
      <c r="BE2445">
        <v>2016</v>
      </c>
      <c r="BF2445">
        <v>2</v>
      </c>
      <c r="BI2445">
        <v>2</v>
      </c>
      <c r="BJ2445">
        <v>10</v>
      </c>
      <c r="BK2445">
        <v>1</v>
      </c>
      <c r="BP2445" s="184"/>
    </row>
    <row r="2446" spans="1:68">
      <c r="A2446">
        <v>29396801</v>
      </c>
      <c r="B2446">
        <v>29396801</v>
      </c>
      <c r="C2446" t="s">
        <v>7018</v>
      </c>
      <c r="E2446" s="184"/>
      <c r="F2446" t="s">
        <v>595</v>
      </c>
      <c r="G2446" s="184">
        <v>43731</v>
      </c>
      <c r="I2446" s="184"/>
      <c r="K2446" s="184"/>
      <c r="O2446" s="184"/>
      <c r="P2446" t="s">
        <v>7045</v>
      </c>
      <c r="Q2446" t="s">
        <v>7020</v>
      </c>
      <c r="R2446" s="184">
        <v>16469</v>
      </c>
      <c r="S2446">
        <v>79</v>
      </c>
      <c r="U2446" t="s">
        <v>7076</v>
      </c>
      <c r="V2446" t="s">
        <v>3400</v>
      </c>
      <c r="W2446" t="s">
        <v>2049</v>
      </c>
      <c r="X2446" t="s">
        <v>3994</v>
      </c>
      <c r="AF2446" t="s">
        <v>20930</v>
      </c>
      <c r="AG2446" t="s">
        <v>3400</v>
      </c>
      <c r="AI2446" t="s">
        <v>20931</v>
      </c>
      <c r="AM2446" t="s">
        <v>3885</v>
      </c>
      <c r="AN2446" t="s">
        <v>2465</v>
      </c>
      <c r="AO2446" t="s">
        <v>20932</v>
      </c>
      <c r="AP2446" t="s">
        <v>7024</v>
      </c>
      <c r="AQ2446" t="s">
        <v>20933</v>
      </c>
      <c r="AR2446" t="s">
        <v>20934</v>
      </c>
      <c r="AT2446" s="184">
        <v>36325</v>
      </c>
      <c r="AU2446" t="s">
        <v>20935</v>
      </c>
      <c r="AV2446">
        <v>15</v>
      </c>
      <c r="AW2446" s="184">
        <v>45349</v>
      </c>
      <c r="AX2446" t="s">
        <v>20936</v>
      </c>
      <c r="AY2446">
        <v>15</v>
      </c>
      <c r="AZ2446" s="184">
        <v>41628</v>
      </c>
      <c r="BA2446" t="s">
        <v>7273</v>
      </c>
      <c r="BB2446">
        <v>25</v>
      </c>
      <c r="BC2446">
        <v>50</v>
      </c>
      <c r="BD2446">
        <v>255</v>
      </c>
      <c r="BE2446">
        <v>1999</v>
      </c>
      <c r="BF2446">
        <v>19</v>
      </c>
      <c r="BG2446">
        <v>3</v>
      </c>
      <c r="BH2446">
        <v>35</v>
      </c>
      <c r="BI2446">
        <v>13</v>
      </c>
      <c r="BJ2446">
        <v>26</v>
      </c>
      <c r="BK2446">
        <v>6</v>
      </c>
      <c r="BP2446" s="184"/>
    </row>
    <row r="2447" spans="1:68">
      <c r="A2447">
        <v>29409984</v>
      </c>
      <c r="B2447">
        <v>29409984</v>
      </c>
      <c r="C2447" t="s">
        <v>7018</v>
      </c>
      <c r="D2447" t="s">
        <v>595</v>
      </c>
      <c r="E2447" s="184">
        <v>43801</v>
      </c>
      <c r="G2447" s="184"/>
      <c r="I2447" s="184"/>
      <c r="K2447" s="184"/>
      <c r="O2447" s="184"/>
      <c r="P2447" t="s">
        <v>7045</v>
      </c>
      <c r="Q2447" t="s">
        <v>7194</v>
      </c>
      <c r="R2447" s="184">
        <v>13427</v>
      </c>
      <c r="S2447">
        <v>87</v>
      </c>
      <c r="U2447" t="s">
        <v>7031</v>
      </c>
      <c r="V2447" t="s">
        <v>3103</v>
      </c>
      <c r="W2447" t="s">
        <v>2058</v>
      </c>
      <c r="X2447" t="s">
        <v>3216</v>
      </c>
      <c r="AF2447" t="s">
        <v>20937</v>
      </c>
      <c r="AG2447" t="s">
        <v>3103</v>
      </c>
      <c r="AI2447" t="s">
        <v>20938</v>
      </c>
      <c r="AM2447" t="s">
        <v>4390</v>
      </c>
      <c r="AN2447" t="s">
        <v>2046</v>
      </c>
      <c r="AO2447" t="s">
        <v>20939</v>
      </c>
      <c r="AP2447" t="s">
        <v>7024</v>
      </c>
      <c r="AQ2447" t="s">
        <v>20940</v>
      </c>
      <c r="AR2447" t="s">
        <v>20941</v>
      </c>
      <c r="AT2447" s="184">
        <v>36329</v>
      </c>
      <c r="AU2447" t="s">
        <v>20942</v>
      </c>
      <c r="AV2447">
        <v>25</v>
      </c>
      <c r="AW2447" s="184">
        <v>44460</v>
      </c>
      <c r="AX2447" t="s">
        <v>9333</v>
      </c>
      <c r="AY2447">
        <v>25</v>
      </c>
      <c r="AZ2447" s="184">
        <v>44460</v>
      </c>
      <c r="BA2447" t="s">
        <v>9333</v>
      </c>
      <c r="BB2447">
        <v>25</v>
      </c>
      <c r="BC2447">
        <v>47</v>
      </c>
      <c r="BD2447">
        <v>320</v>
      </c>
      <c r="BE2447">
        <v>1999</v>
      </c>
      <c r="BF2447">
        <v>14</v>
      </c>
      <c r="BI2447">
        <v>12</v>
      </c>
      <c r="BJ2447">
        <v>26</v>
      </c>
      <c r="BK2447">
        <v>6</v>
      </c>
      <c r="BP2447" s="184"/>
    </row>
    <row r="2448" spans="1:68">
      <c r="A2448">
        <v>29418324</v>
      </c>
      <c r="B2448">
        <v>29418324</v>
      </c>
      <c r="C2448" t="s">
        <v>7018</v>
      </c>
      <c r="E2448" s="184"/>
      <c r="F2448" t="s">
        <v>595</v>
      </c>
      <c r="G2448" s="184">
        <v>43731</v>
      </c>
      <c r="I2448" s="184"/>
      <c r="K2448" s="184"/>
      <c r="O2448" s="184"/>
      <c r="P2448" t="s">
        <v>7045</v>
      </c>
      <c r="Q2448" t="s">
        <v>7494</v>
      </c>
      <c r="R2448" s="184">
        <v>18902</v>
      </c>
      <c r="S2448">
        <v>72</v>
      </c>
      <c r="V2448" t="s">
        <v>2586</v>
      </c>
      <c r="X2448" t="s">
        <v>3995</v>
      </c>
      <c r="AF2448" t="s">
        <v>20943</v>
      </c>
      <c r="AG2448" t="s">
        <v>2586</v>
      </c>
      <c r="AI2448" t="s">
        <v>20944</v>
      </c>
      <c r="AM2448" t="s">
        <v>3996</v>
      </c>
      <c r="AN2448" t="s">
        <v>2174</v>
      </c>
      <c r="AO2448" t="s">
        <v>20945</v>
      </c>
      <c r="AP2448" t="s">
        <v>7024</v>
      </c>
      <c r="AT2448" s="184">
        <v>36328</v>
      </c>
      <c r="AU2448" t="s">
        <v>20946</v>
      </c>
      <c r="AV2448">
        <v>25</v>
      </c>
      <c r="AW2448" s="184">
        <v>45119</v>
      </c>
      <c r="AX2448" t="s">
        <v>7159</v>
      </c>
      <c r="AY2448">
        <v>75</v>
      </c>
      <c r="AZ2448" s="184">
        <v>44805</v>
      </c>
      <c r="BA2448" t="s">
        <v>20947</v>
      </c>
      <c r="BB2448">
        <v>100</v>
      </c>
      <c r="BC2448">
        <v>89</v>
      </c>
      <c r="BD2448">
        <v>1067</v>
      </c>
      <c r="BE2448">
        <v>1999</v>
      </c>
      <c r="BF2448">
        <v>31</v>
      </c>
      <c r="BG2448">
        <v>2</v>
      </c>
      <c r="BH2448">
        <v>175</v>
      </c>
      <c r="BI2448">
        <v>23</v>
      </c>
      <c r="BJ2448">
        <v>26</v>
      </c>
      <c r="BK2448">
        <v>9</v>
      </c>
      <c r="BP2448" s="184"/>
    </row>
    <row r="2449" spans="1:68">
      <c r="A2449">
        <v>29443132</v>
      </c>
      <c r="B2449">
        <v>29443132</v>
      </c>
      <c r="C2449" t="s">
        <v>7018</v>
      </c>
      <c r="E2449" s="184"/>
      <c r="G2449" s="184"/>
      <c r="I2449" s="184"/>
      <c r="J2449" t="s">
        <v>595</v>
      </c>
      <c r="K2449" s="184">
        <v>43881</v>
      </c>
      <c r="M2449" s="184"/>
      <c r="O2449" s="184"/>
      <c r="P2449" t="s">
        <v>7045</v>
      </c>
      <c r="Q2449" t="s">
        <v>7160</v>
      </c>
      <c r="R2449" s="184">
        <v>20637</v>
      </c>
      <c r="S2449">
        <v>67</v>
      </c>
      <c r="U2449" t="s">
        <v>7031</v>
      </c>
      <c r="V2449" t="s">
        <v>3536</v>
      </c>
      <c r="X2449" t="s">
        <v>20948</v>
      </c>
      <c r="Z2449">
        <v>100351873</v>
      </c>
      <c r="AA2449" t="s">
        <v>7130</v>
      </c>
      <c r="AB2449" t="s">
        <v>3444</v>
      </c>
      <c r="AD2449" t="s">
        <v>20948</v>
      </c>
      <c r="AF2449" t="s">
        <v>20949</v>
      </c>
      <c r="AG2449" t="s">
        <v>20950</v>
      </c>
      <c r="AI2449" t="s">
        <v>20951</v>
      </c>
      <c r="AM2449" t="s">
        <v>2766</v>
      </c>
      <c r="AN2449" t="s">
        <v>2176</v>
      </c>
      <c r="AO2449" t="s">
        <v>20952</v>
      </c>
      <c r="AP2449" t="s">
        <v>7024</v>
      </c>
      <c r="AQ2449" t="s">
        <v>20953</v>
      </c>
      <c r="AT2449" s="184">
        <v>36335</v>
      </c>
      <c r="AU2449" t="s">
        <v>20954</v>
      </c>
      <c r="AV2449">
        <v>25</v>
      </c>
      <c r="AW2449" s="184">
        <v>45042</v>
      </c>
      <c r="AX2449" t="s">
        <v>7890</v>
      </c>
      <c r="AY2449">
        <v>250</v>
      </c>
      <c r="AZ2449" s="184">
        <v>45042</v>
      </c>
      <c r="BA2449" t="s">
        <v>7890</v>
      </c>
      <c r="BB2449">
        <v>250</v>
      </c>
      <c r="BC2449">
        <v>89</v>
      </c>
      <c r="BD2449">
        <v>3225</v>
      </c>
      <c r="BE2449">
        <v>1999</v>
      </c>
      <c r="BF2449">
        <v>27</v>
      </c>
      <c r="BG2449">
        <v>3</v>
      </c>
      <c r="BH2449">
        <v>750</v>
      </c>
      <c r="BI2449">
        <v>23</v>
      </c>
      <c r="BJ2449">
        <v>26</v>
      </c>
      <c r="BK2449">
        <v>20</v>
      </c>
      <c r="BP2449" s="184"/>
    </row>
    <row r="2450" spans="1:68">
      <c r="A2450">
        <v>100351873</v>
      </c>
      <c r="B2450">
        <v>29443132</v>
      </c>
      <c r="C2450" t="s">
        <v>7018</v>
      </c>
      <c r="E2450" s="184"/>
      <c r="G2450" s="184"/>
      <c r="I2450" s="184"/>
      <c r="J2450" t="s">
        <v>595</v>
      </c>
      <c r="K2450" s="184">
        <v>43881</v>
      </c>
      <c r="M2450" s="184"/>
      <c r="O2450" s="184"/>
      <c r="P2450" t="s">
        <v>7045</v>
      </c>
      <c r="Q2450" t="s">
        <v>7160</v>
      </c>
      <c r="R2450" s="184">
        <v>19904</v>
      </c>
      <c r="S2450">
        <v>69</v>
      </c>
      <c r="U2450" t="s">
        <v>7130</v>
      </c>
      <c r="V2450" t="s">
        <v>3444</v>
      </c>
      <c r="X2450" t="s">
        <v>20948</v>
      </c>
      <c r="Z2450">
        <v>29443132</v>
      </c>
      <c r="AA2450" t="s">
        <v>7031</v>
      </c>
      <c r="AB2450" t="s">
        <v>3536</v>
      </c>
      <c r="AD2450" t="s">
        <v>20948</v>
      </c>
      <c r="AF2450" t="s">
        <v>20949</v>
      </c>
      <c r="AG2450" t="s">
        <v>20950</v>
      </c>
      <c r="AI2450" t="s">
        <v>20951</v>
      </c>
      <c r="AM2450" t="s">
        <v>2766</v>
      </c>
      <c r="AN2450" t="s">
        <v>2176</v>
      </c>
      <c r="AO2450" t="s">
        <v>20952</v>
      </c>
      <c r="AP2450" t="s">
        <v>7024</v>
      </c>
      <c r="AT2450" s="184"/>
      <c r="AW2450" s="184"/>
      <c r="AZ2450" s="184"/>
      <c r="BP2450" s="184"/>
    </row>
    <row r="2451" spans="1:68">
      <c r="A2451">
        <v>29445921</v>
      </c>
      <c r="B2451">
        <v>29445921</v>
      </c>
      <c r="C2451" t="s">
        <v>7018</v>
      </c>
      <c r="E2451" s="184"/>
      <c r="G2451" s="184"/>
      <c r="I2451" s="184"/>
      <c r="J2451" t="s">
        <v>595</v>
      </c>
      <c r="K2451" s="184">
        <v>43886</v>
      </c>
      <c r="M2451" s="184"/>
      <c r="O2451" s="184"/>
      <c r="P2451" t="s">
        <v>7084</v>
      </c>
      <c r="Q2451" t="s">
        <v>7030</v>
      </c>
      <c r="R2451" s="184">
        <v>11324</v>
      </c>
      <c r="S2451">
        <v>93</v>
      </c>
      <c r="V2451" t="s">
        <v>5351</v>
      </c>
      <c r="X2451" t="s">
        <v>5352</v>
      </c>
      <c r="AF2451" t="s">
        <v>20955</v>
      </c>
      <c r="AG2451" t="s">
        <v>5351</v>
      </c>
      <c r="AI2451" t="s">
        <v>20956</v>
      </c>
      <c r="AM2451" t="s">
        <v>3787</v>
      </c>
      <c r="AN2451" t="s">
        <v>2094</v>
      </c>
      <c r="AO2451" t="s">
        <v>20957</v>
      </c>
      <c r="AP2451" t="s">
        <v>7024</v>
      </c>
      <c r="AT2451" s="184">
        <v>36334</v>
      </c>
      <c r="AU2451" t="s">
        <v>20942</v>
      </c>
      <c r="AV2451">
        <v>25</v>
      </c>
      <c r="AW2451" s="184">
        <v>43916</v>
      </c>
      <c r="AX2451" t="s">
        <v>8257</v>
      </c>
      <c r="AY2451">
        <v>336657.14</v>
      </c>
      <c r="AZ2451" s="184">
        <v>43916</v>
      </c>
      <c r="BA2451" t="s">
        <v>8257</v>
      </c>
      <c r="BB2451">
        <v>336657.14</v>
      </c>
      <c r="BC2451">
        <v>8</v>
      </c>
      <c r="BD2451">
        <v>394226.24</v>
      </c>
      <c r="BE2451">
        <v>1999</v>
      </c>
      <c r="BF2451">
        <v>3</v>
      </c>
      <c r="BI2451">
        <v>2</v>
      </c>
      <c r="BJ2451">
        <v>26</v>
      </c>
      <c r="BK2451">
        <v>1</v>
      </c>
      <c r="BO2451" t="s">
        <v>595</v>
      </c>
      <c r="BP2451" s="184"/>
    </row>
    <row r="2452" spans="1:68">
      <c r="A2452">
        <v>29474905</v>
      </c>
      <c r="B2452">
        <v>29474905</v>
      </c>
      <c r="C2452" t="s">
        <v>7018</v>
      </c>
      <c r="E2452" s="184"/>
      <c r="G2452" s="184"/>
      <c r="I2452" s="184"/>
      <c r="J2452" t="s">
        <v>595</v>
      </c>
      <c r="K2452" s="184">
        <v>43623</v>
      </c>
      <c r="M2452" s="184"/>
      <c r="O2452" s="184"/>
      <c r="P2452" t="s">
        <v>7045</v>
      </c>
      <c r="Q2452" t="s">
        <v>7494</v>
      </c>
      <c r="R2452" s="184">
        <v>12694</v>
      </c>
      <c r="S2452">
        <v>89</v>
      </c>
      <c r="U2452" t="s">
        <v>7031</v>
      </c>
      <c r="V2452" t="s">
        <v>2898</v>
      </c>
      <c r="W2452" t="s">
        <v>4139</v>
      </c>
      <c r="X2452" t="s">
        <v>5409</v>
      </c>
      <c r="AF2452" t="s">
        <v>20958</v>
      </c>
      <c r="AG2452" t="s">
        <v>2898</v>
      </c>
      <c r="AI2452" t="s">
        <v>20959</v>
      </c>
      <c r="AM2452" t="s">
        <v>2730</v>
      </c>
      <c r="AN2452" t="s">
        <v>2174</v>
      </c>
      <c r="AO2452" t="s">
        <v>20960</v>
      </c>
      <c r="AP2452" t="s">
        <v>7024</v>
      </c>
      <c r="AT2452" s="184">
        <v>36340</v>
      </c>
      <c r="AU2452" t="s">
        <v>20961</v>
      </c>
      <c r="AV2452">
        <v>108.95</v>
      </c>
      <c r="AW2452" s="184">
        <v>43951</v>
      </c>
      <c r="AX2452" t="s">
        <v>10786</v>
      </c>
      <c r="AY2452">
        <v>60</v>
      </c>
      <c r="AZ2452" s="184">
        <v>43623</v>
      </c>
      <c r="BA2452" t="s">
        <v>7348</v>
      </c>
      <c r="BB2452">
        <v>123489.22</v>
      </c>
      <c r="BC2452">
        <v>74</v>
      </c>
      <c r="BD2452">
        <v>127111.17</v>
      </c>
      <c r="BE2452">
        <v>1999</v>
      </c>
      <c r="BF2452">
        <v>22</v>
      </c>
      <c r="BI2452">
        <v>19</v>
      </c>
      <c r="BJ2452">
        <v>26</v>
      </c>
      <c r="BK2452">
        <v>14</v>
      </c>
      <c r="BP2452" s="184"/>
    </row>
    <row r="2453" spans="1:68">
      <c r="A2453">
        <v>29479490</v>
      </c>
      <c r="B2453">
        <v>29479490</v>
      </c>
      <c r="C2453" t="s">
        <v>7018</v>
      </c>
      <c r="E2453" s="184"/>
      <c r="H2453" t="s">
        <v>595</v>
      </c>
      <c r="I2453" s="184">
        <v>44070</v>
      </c>
      <c r="K2453" s="184"/>
      <c r="M2453" s="184"/>
      <c r="O2453" s="184"/>
      <c r="P2453" t="s">
        <v>7045</v>
      </c>
      <c r="Q2453" t="s">
        <v>7383</v>
      </c>
      <c r="R2453" s="184">
        <v>14537</v>
      </c>
      <c r="S2453">
        <v>84</v>
      </c>
      <c r="V2453" t="s">
        <v>2733</v>
      </c>
      <c r="W2453" t="s">
        <v>3522</v>
      </c>
      <c r="X2453" t="s">
        <v>4903</v>
      </c>
      <c r="AF2453" t="s">
        <v>20962</v>
      </c>
      <c r="AG2453" t="s">
        <v>2733</v>
      </c>
      <c r="AI2453" t="s">
        <v>20963</v>
      </c>
      <c r="AM2453" t="s">
        <v>3631</v>
      </c>
      <c r="AN2453" t="s">
        <v>2313</v>
      </c>
      <c r="AO2453" t="s">
        <v>20964</v>
      </c>
      <c r="AP2453" t="s">
        <v>7024</v>
      </c>
      <c r="AQ2453" t="s">
        <v>20965</v>
      </c>
      <c r="AR2453" t="s">
        <v>20966</v>
      </c>
      <c r="AT2453" s="184">
        <v>36341</v>
      </c>
      <c r="AU2453" t="s">
        <v>20967</v>
      </c>
      <c r="AV2453">
        <v>15</v>
      </c>
      <c r="AW2453" s="184">
        <v>44271</v>
      </c>
      <c r="AX2453" t="s">
        <v>20968</v>
      </c>
      <c r="AY2453">
        <v>75</v>
      </c>
      <c r="AZ2453" s="184">
        <v>44271</v>
      </c>
      <c r="BA2453" t="s">
        <v>20968</v>
      </c>
      <c r="BB2453">
        <v>75</v>
      </c>
      <c r="BC2453">
        <v>74</v>
      </c>
      <c r="BD2453">
        <v>865</v>
      </c>
      <c r="BE2453">
        <v>1999</v>
      </c>
      <c r="BF2453">
        <v>23</v>
      </c>
      <c r="BI2453">
        <v>19</v>
      </c>
      <c r="BJ2453">
        <v>26</v>
      </c>
      <c r="BK2453">
        <v>12</v>
      </c>
      <c r="BP2453" s="184"/>
    </row>
    <row r="2454" spans="1:68">
      <c r="A2454">
        <v>29482551</v>
      </c>
      <c r="B2454">
        <v>29482551</v>
      </c>
      <c r="C2454" t="s">
        <v>7018</v>
      </c>
      <c r="E2454" s="184"/>
      <c r="G2454" s="184"/>
      <c r="I2454" s="184"/>
      <c r="J2454" t="s">
        <v>595</v>
      </c>
      <c r="K2454" s="184">
        <v>42960</v>
      </c>
      <c r="M2454" s="184"/>
      <c r="O2454" s="184"/>
      <c r="P2454" t="s">
        <v>7045</v>
      </c>
      <c r="Q2454" t="s">
        <v>7020</v>
      </c>
      <c r="R2454" s="184">
        <v>21291</v>
      </c>
      <c r="S2454">
        <v>66</v>
      </c>
      <c r="U2454" t="s">
        <v>7076</v>
      </c>
      <c r="V2454" t="s">
        <v>2903</v>
      </c>
      <c r="X2454" t="s">
        <v>20969</v>
      </c>
      <c r="AF2454" t="s">
        <v>6619</v>
      </c>
      <c r="AG2454" t="s">
        <v>2903</v>
      </c>
      <c r="AI2454" t="s">
        <v>20970</v>
      </c>
      <c r="AM2454" t="s">
        <v>4101</v>
      </c>
      <c r="AN2454" t="s">
        <v>2052</v>
      </c>
      <c r="AO2454" t="s">
        <v>20971</v>
      </c>
      <c r="AP2454" t="s">
        <v>7024</v>
      </c>
      <c r="AT2454" s="184">
        <v>36349</v>
      </c>
      <c r="AU2454" t="s">
        <v>20972</v>
      </c>
      <c r="AV2454">
        <v>25</v>
      </c>
      <c r="AW2454" s="184">
        <v>45321</v>
      </c>
      <c r="AX2454" t="s">
        <v>13776</v>
      </c>
      <c r="AY2454">
        <v>5</v>
      </c>
      <c r="AZ2454" s="184">
        <v>39120</v>
      </c>
      <c r="BA2454" t="s">
        <v>20973</v>
      </c>
      <c r="BB2454">
        <v>100</v>
      </c>
      <c r="BC2454">
        <v>58</v>
      </c>
      <c r="BD2454">
        <v>418.63</v>
      </c>
      <c r="BE2454">
        <v>2000</v>
      </c>
      <c r="BF2454">
        <v>27</v>
      </c>
      <c r="BG2454">
        <v>3</v>
      </c>
      <c r="BH2454">
        <v>55</v>
      </c>
      <c r="BI2454">
        <v>15</v>
      </c>
      <c r="BJ2454">
        <v>26</v>
      </c>
      <c r="BK2454">
        <v>4</v>
      </c>
      <c r="BP2454" s="184"/>
    </row>
    <row r="2455" spans="1:68">
      <c r="A2455">
        <v>29495728</v>
      </c>
      <c r="B2455">
        <v>29495728</v>
      </c>
      <c r="C2455" t="s">
        <v>7018</v>
      </c>
      <c r="E2455" s="184"/>
      <c r="G2455" s="184"/>
      <c r="I2455" s="184"/>
      <c r="K2455" s="184"/>
      <c r="M2455" s="184"/>
      <c r="N2455" t="s">
        <v>595</v>
      </c>
      <c r="O2455" s="184">
        <v>40499</v>
      </c>
      <c r="P2455" t="s">
        <v>7045</v>
      </c>
      <c r="Q2455" t="s">
        <v>7383</v>
      </c>
      <c r="R2455" s="184">
        <v>11903</v>
      </c>
      <c r="S2455">
        <v>91</v>
      </c>
      <c r="U2455" t="s">
        <v>7031</v>
      </c>
      <c r="V2455" t="s">
        <v>2597</v>
      </c>
      <c r="W2455" t="s">
        <v>7268</v>
      </c>
      <c r="X2455" t="s">
        <v>20974</v>
      </c>
      <c r="Y2455" t="s">
        <v>7047</v>
      </c>
      <c r="Z2455">
        <v>100181893</v>
      </c>
      <c r="AA2455" t="s">
        <v>7130</v>
      </c>
      <c r="AB2455" t="s">
        <v>3101</v>
      </c>
      <c r="AC2455" t="s">
        <v>4210</v>
      </c>
      <c r="AD2455" t="s">
        <v>20974</v>
      </c>
      <c r="AF2455" t="s">
        <v>6002</v>
      </c>
      <c r="AG2455" t="s">
        <v>2597</v>
      </c>
      <c r="AI2455" t="s">
        <v>20975</v>
      </c>
      <c r="AM2455" t="s">
        <v>20976</v>
      </c>
      <c r="AN2455" t="s">
        <v>2064</v>
      </c>
      <c r="AO2455" t="s">
        <v>20977</v>
      </c>
      <c r="AP2455" t="s">
        <v>7024</v>
      </c>
      <c r="AQ2455" t="s">
        <v>20978</v>
      </c>
      <c r="AT2455" s="184">
        <v>36353</v>
      </c>
      <c r="AU2455" t="s">
        <v>20979</v>
      </c>
      <c r="AV2455">
        <v>25</v>
      </c>
      <c r="AW2455" s="184">
        <v>42991</v>
      </c>
      <c r="AX2455" t="s">
        <v>20980</v>
      </c>
      <c r="AY2455">
        <v>75</v>
      </c>
      <c r="AZ2455" s="184">
        <v>40499</v>
      </c>
      <c r="BA2455" t="s">
        <v>7415</v>
      </c>
      <c r="BB2455">
        <v>10000</v>
      </c>
      <c r="BC2455">
        <v>62</v>
      </c>
      <c r="BD2455">
        <v>11065</v>
      </c>
      <c r="BE2455">
        <v>2000</v>
      </c>
      <c r="BF2455">
        <v>21</v>
      </c>
      <c r="BI2455">
        <v>16</v>
      </c>
      <c r="BJ2455">
        <v>26</v>
      </c>
      <c r="BK2455">
        <v>11</v>
      </c>
      <c r="BP2455" s="184"/>
    </row>
    <row r="2456" spans="1:68">
      <c r="A2456">
        <v>100181893</v>
      </c>
      <c r="B2456">
        <v>29495728</v>
      </c>
      <c r="C2456" t="s">
        <v>7018</v>
      </c>
      <c r="E2456" s="184"/>
      <c r="G2456" s="184"/>
      <c r="I2456" s="184"/>
      <c r="K2456" s="184"/>
      <c r="M2456" s="184"/>
      <c r="N2456" t="s">
        <v>595</v>
      </c>
      <c r="O2456" s="184">
        <v>40499</v>
      </c>
      <c r="P2456" t="s">
        <v>7045</v>
      </c>
      <c r="Q2456" t="s">
        <v>7383</v>
      </c>
      <c r="R2456" s="184">
        <v>14296</v>
      </c>
      <c r="S2456">
        <v>85</v>
      </c>
      <c r="U2456" t="s">
        <v>7130</v>
      </c>
      <c r="V2456" t="s">
        <v>3101</v>
      </c>
      <c r="W2456" t="s">
        <v>4210</v>
      </c>
      <c r="X2456" t="s">
        <v>20974</v>
      </c>
      <c r="Z2456">
        <v>29495728</v>
      </c>
      <c r="AA2456" t="s">
        <v>7031</v>
      </c>
      <c r="AB2456" t="s">
        <v>2597</v>
      </c>
      <c r="AC2456" t="s">
        <v>7268</v>
      </c>
      <c r="AD2456" t="s">
        <v>20974</v>
      </c>
      <c r="AE2456" t="s">
        <v>7047</v>
      </c>
      <c r="AF2456" t="s">
        <v>6002</v>
      </c>
      <c r="AG2456" t="s">
        <v>2597</v>
      </c>
      <c r="AI2456" t="s">
        <v>20975</v>
      </c>
      <c r="AM2456" t="s">
        <v>20976</v>
      </c>
      <c r="AN2456" t="s">
        <v>2064</v>
      </c>
      <c r="AO2456" t="s">
        <v>20977</v>
      </c>
      <c r="AP2456" t="s">
        <v>7024</v>
      </c>
      <c r="AT2456" s="184"/>
      <c r="AW2456" s="184"/>
      <c r="AZ2456" s="184"/>
      <c r="BO2456" t="s">
        <v>595</v>
      </c>
      <c r="BP2456" s="184">
        <v>41171</v>
      </c>
    </row>
    <row r="2457" spans="1:68">
      <c r="A2457">
        <v>29528817</v>
      </c>
      <c r="B2457">
        <v>29528817</v>
      </c>
      <c r="C2457" t="s">
        <v>7018</v>
      </c>
      <c r="E2457" s="184"/>
      <c r="G2457" s="184"/>
      <c r="I2457" s="184"/>
      <c r="J2457" t="s">
        <v>595</v>
      </c>
      <c r="K2457" s="184">
        <v>41197</v>
      </c>
      <c r="M2457" s="184"/>
      <c r="O2457" s="184"/>
      <c r="P2457" t="s">
        <v>7045</v>
      </c>
      <c r="Q2457" t="s">
        <v>7020</v>
      </c>
      <c r="R2457" s="184">
        <v>15459</v>
      </c>
      <c r="S2457">
        <v>82</v>
      </c>
      <c r="V2457" t="s">
        <v>2742</v>
      </c>
      <c r="X2457" t="s">
        <v>3539</v>
      </c>
      <c r="Z2457">
        <v>100080095</v>
      </c>
      <c r="AB2457" t="s">
        <v>2697</v>
      </c>
      <c r="AD2457" t="s">
        <v>3539</v>
      </c>
      <c r="AF2457" t="s">
        <v>6146</v>
      </c>
      <c r="AG2457" t="s">
        <v>20981</v>
      </c>
      <c r="AI2457" t="s">
        <v>20982</v>
      </c>
      <c r="AM2457" t="s">
        <v>3654</v>
      </c>
      <c r="AN2457" t="s">
        <v>2052</v>
      </c>
      <c r="AO2457" t="s">
        <v>20983</v>
      </c>
      <c r="AP2457" t="s">
        <v>7024</v>
      </c>
      <c r="AQ2457" t="s">
        <v>20984</v>
      </c>
      <c r="AT2457" s="184">
        <v>36360</v>
      </c>
      <c r="AU2457" t="s">
        <v>20985</v>
      </c>
      <c r="AV2457">
        <v>25</v>
      </c>
      <c r="AW2457" s="184">
        <v>44403</v>
      </c>
      <c r="AX2457" t="s">
        <v>20986</v>
      </c>
      <c r="AY2457">
        <v>150</v>
      </c>
      <c r="AZ2457" s="184">
        <v>44291</v>
      </c>
      <c r="BA2457" t="s">
        <v>20987</v>
      </c>
      <c r="BB2457">
        <v>250</v>
      </c>
      <c r="BC2457">
        <v>81</v>
      </c>
      <c r="BD2457">
        <v>4725</v>
      </c>
      <c r="BE2457">
        <v>2000</v>
      </c>
      <c r="BF2457">
        <v>34</v>
      </c>
      <c r="BI2457">
        <v>21</v>
      </c>
      <c r="BJ2457">
        <v>26</v>
      </c>
      <c r="BK2457">
        <v>14</v>
      </c>
      <c r="BN2457" t="s">
        <v>595</v>
      </c>
      <c r="BP2457" s="184"/>
    </row>
    <row r="2458" spans="1:68">
      <c r="A2458">
        <v>100080095</v>
      </c>
      <c r="B2458">
        <v>29528817</v>
      </c>
      <c r="C2458" t="s">
        <v>7018</v>
      </c>
      <c r="E2458" s="184"/>
      <c r="G2458" s="184"/>
      <c r="I2458" s="184"/>
      <c r="J2458" t="s">
        <v>595</v>
      </c>
      <c r="K2458" s="184">
        <v>41197</v>
      </c>
      <c r="O2458" s="184"/>
      <c r="P2458" t="s">
        <v>7045</v>
      </c>
      <c r="Q2458" t="s">
        <v>7020</v>
      </c>
      <c r="R2458" s="184">
        <v>15620</v>
      </c>
      <c r="S2458">
        <v>81</v>
      </c>
      <c r="V2458" t="s">
        <v>2697</v>
      </c>
      <c r="X2458" t="s">
        <v>3539</v>
      </c>
      <c r="Z2458">
        <v>29528817</v>
      </c>
      <c r="AB2458" t="s">
        <v>2742</v>
      </c>
      <c r="AD2458" t="s">
        <v>3539</v>
      </c>
      <c r="AF2458" t="s">
        <v>6146</v>
      </c>
      <c r="AG2458" t="s">
        <v>20981</v>
      </c>
      <c r="AI2458" t="s">
        <v>20982</v>
      </c>
      <c r="AM2458" t="s">
        <v>3654</v>
      </c>
      <c r="AN2458" t="s">
        <v>2052</v>
      </c>
      <c r="AO2458" t="s">
        <v>20983</v>
      </c>
      <c r="AP2458" t="s">
        <v>7024</v>
      </c>
      <c r="AT2458" s="184"/>
      <c r="AW2458" s="184"/>
      <c r="AZ2458" s="184"/>
      <c r="BP2458" s="184"/>
    </row>
    <row r="2459" spans="1:68">
      <c r="A2459">
        <v>29548088</v>
      </c>
      <c r="B2459">
        <v>29548088</v>
      </c>
      <c r="C2459" t="s">
        <v>7018</v>
      </c>
      <c r="E2459" s="184"/>
      <c r="G2459" s="184"/>
      <c r="I2459" s="184"/>
      <c r="K2459" s="184"/>
      <c r="M2459" s="184"/>
      <c r="N2459" t="s">
        <v>595</v>
      </c>
      <c r="O2459" s="184">
        <v>40239</v>
      </c>
      <c r="P2459" t="s">
        <v>7045</v>
      </c>
      <c r="Q2459" t="s">
        <v>7020</v>
      </c>
      <c r="R2459" s="184">
        <v>14610</v>
      </c>
      <c r="S2459">
        <v>84</v>
      </c>
      <c r="U2459" t="s">
        <v>7130</v>
      </c>
      <c r="V2459" t="s">
        <v>4300</v>
      </c>
      <c r="X2459" t="s">
        <v>5787</v>
      </c>
      <c r="Z2459">
        <v>100181898</v>
      </c>
      <c r="AA2459" t="s">
        <v>7031</v>
      </c>
      <c r="AB2459" t="s">
        <v>14847</v>
      </c>
      <c r="AC2459" t="s">
        <v>4013</v>
      </c>
      <c r="AD2459" t="s">
        <v>20988</v>
      </c>
      <c r="AF2459" t="s">
        <v>20989</v>
      </c>
      <c r="AG2459" t="s">
        <v>4300</v>
      </c>
      <c r="AI2459" t="s">
        <v>20990</v>
      </c>
      <c r="AM2459" t="s">
        <v>5788</v>
      </c>
      <c r="AN2459" t="s">
        <v>2363</v>
      </c>
      <c r="AO2459" t="s">
        <v>20991</v>
      </c>
      <c r="AP2459" t="s">
        <v>7024</v>
      </c>
      <c r="AT2459" s="184">
        <v>36362</v>
      </c>
      <c r="AU2459" t="s">
        <v>20992</v>
      </c>
      <c r="AV2459">
        <v>25</v>
      </c>
      <c r="AW2459" s="184">
        <v>43158</v>
      </c>
      <c r="AX2459" t="s">
        <v>16639</v>
      </c>
      <c r="AY2459">
        <v>1000</v>
      </c>
      <c r="AZ2459" s="184">
        <v>40239</v>
      </c>
      <c r="BA2459" t="s">
        <v>20993</v>
      </c>
      <c r="BB2459">
        <v>10000</v>
      </c>
      <c r="BC2459">
        <v>77</v>
      </c>
      <c r="BD2459">
        <v>20531</v>
      </c>
      <c r="BE2459">
        <v>2000</v>
      </c>
      <c r="BF2459">
        <v>48</v>
      </c>
      <c r="BI2459">
        <v>20</v>
      </c>
      <c r="BJ2459">
        <v>26</v>
      </c>
      <c r="BK2459">
        <v>20</v>
      </c>
      <c r="BO2459" t="s">
        <v>595</v>
      </c>
      <c r="BP2459" s="184">
        <v>43622</v>
      </c>
    </row>
    <row r="2460" spans="1:68">
      <c r="A2460">
        <v>29564820</v>
      </c>
      <c r="B2460">
        <v>29564820</v>
      </c>
      <c r="C2460" t="s">
        <v>7018</v>
      </c>
      <c r="E2460" s="184"/>
      <c r="G2460" s="184"/>
      <c r="I2460" s="184"/>
      <c r="K2460" s="184"/>
      <c r="M2460" s="184"/>
      <c r="N2460" t="s">
        <v>595</v>
      </c>
      <c r="O2460" s="184">
        <v>42565</v>
      </c>
      <c r="P2460" t="s">
        <v>7045</v>
      </c>
      <c r="Q2460" t="s">
        <v>7454</v>
      </c>
      <c r="R2460" s="184">
        <v>11444</v>
      </c>
      <c r="S2460">
        <v>93</v>
      </c>
      <c r="U2460" t="s">
        <v>7076</v>
      </c>
      <c r="V2460" t="s">
        <v>3470</v>
      </c>
      <c r="X2460" t="s">
        <v>2983</v>
      </c>
      <c r="AF2460" t="s">
        <v>20994</v>
      </c>
      <c r="AG2460" t="s">
        <v>3470</v>
      </c>
      <c r="AI2460" t="s">
        <v>20995</v>
      </c>
      <c r="AM2460" t="s">
        <v>2608</v>
      </c>
      <c r="AN2460" t="s">
        <v>2299</v>
      </c>
      <c r="AO2460" t="s">
        <v>20996</v>
      </c>
      <c r="AP2460" t="s">
        <v>7024</v>
      </c>
      <c r="AQ2460" t="s">
        <v>20997</v>
      </c>
      <c r="AT2460" s="184">
        <v>36339</v>
      </c>
      <c r="AU2460" t="s">
        <v>20998</v>
      </c>
      <c r="AV2460">
        <v>25</v>
      </c>
      <c r="AW2460" s="184">
        <v>45405</v>
      </c>
      <c r="AX2460" t="s">
        <v>20999</v>
      </c>
      <c r="AY2460">
        <v>50</v>
      </c>
      <c r="AZ2460" s="184">
        <v>42570</v>
      </c>
      <c r="BA2460" t="s">
        <v>7267</v>
      </c>
      <c r="BB2460">
        <v>30000</v>
      </c>
      <c r="BC2460">
        <v>97</v>
      </c>
      <c r="BD2460">
        <v>64899.92</v>
      </c>
      <c r="BE2460">
        <v>1999</v>
      </c>
      <c r="BF2460">
        <v>189</v>
      </c>
      <c r="BG2460">
        <v>3</v>
      </c>
      <c r="BH2460">
        <v>150</v>
      </c>
      <c r="BI2460">
        <v>25</v>
      </c>
      <c r="BJ2460">
        <v>26</v>
      </c>
      <c r="BK2460">
        <v>23</v>
      </c>
      <c r="BP2460" s="184"/>
    </row>
    <row r="2461" spans="1:68">
      <c r="A2461">
        <v>29601762</v>
      </c>
      <c r="B2461">
        <v>29601762</v>
      </c>
      <c r="C2461" t="s">
        <v>7018</v>
      </c>
      <c r="D2461" t="s">
        <v>595</v>
      </c>
      <c r="E2461" s="184">
        <v>43879</v>
      </c>
      <c r="G2461" s="184"/>
      <c r="I2461" s="184"/>
      <c r="K2461" s="184"/>
      <c r="M2461" s="184"/>
      <c r="O2461" s="184"/>
      <c r="P2461" t="s">
        <v>7019</v>
      </c>
      <c r="Q2461" t="s">
        <v>7194</v>
      </c>
      <c r="R2461" s="184">
        <v>16533</v>
      </c>
      <c r="S2461">
        <v>79</v>
      </c>
      <c r="U2461" t="s">
        <v>7031</v>
      </c>
      <c r="V2461" t="s">
        <v>2904</v>
      </c>
      <c r="X2461" t="s">
        <v>21000</v>
      </c>
      <c r="Z2461">
        <v>100349364</v>
      </c>
      <c r="AA2461" t="s">
        <v>7130</v>
      </c>
      <c r="AD2461" t="s">
        <v>21000</v>
      </c>
      <c r="AF2461" t="s">
        <v>21001</v>
      </c>
      <c r="AG2461" t="s">
        <v>21001</v>
      </c>
      <c r="AI2461" t="s">
        <v>21002</v>
      </c>
      <c r="AM2461" t="s">
        <v>14354</v>
      </c>
      <c r="AN2461" t="s">
        <v>2046</v>
      </c>
      <c r="AO2461" t="s">
        <v>21003</v>
      </c>
      <c r="AP2461" t="s">
        <v>7024</v>
      </c>
      <c r="AQ2461" t="s">
        <v>21004</v>
      </c>
      <c r="AT2461" s="184">
        <v>36371</v>
      </c>
      <c r="AU2461" t="s">
        <v>21005</v>
      </c>
      <c r="AV2461">
        <v>15</v>
      </c>
      <c r="AW2461" s="184">
        <v>45062</v>
      </c>
      <c r="AX2461" t="s">
        <v>21006</v>
      </c>
      <c r="AY2461">
        <v>60</v>
      </c>
      <c r="AZ2461" s="184">
        <v>45062</v>
      </c>
      <c r="BA2461" t="s">
        <v>21006</v>
      </c>
      <c r="BB2461">
        <v>60</v>
      </c>
      <c r="BC2461">
        <v>77</v>
      </c>
      <c r="BD2461">
        <v>885</v>
      </c>
      <c r="BE2461">
        <v>2000</v>
      </c>
      <c r="BF2461">
        <v>43</v>
      </c>
      <c r="BG2461">
        <v>1</v>
      </c>
      <c r="BH2461">
        <v>60</v>
      </c>
      <c r="BI2461">
        <v>20</v>
      </c>
      <c r="BJ2461">
        <v>26</v>
      </c>
      <c r="BK2461">
        <v>12</v>
      </c>
      <c r="BP2461" s="184"/>
    </row>
    <row r="2462" spans="1:68">
      <c r="A2462">
        <v>100349364</v>
      </c>
      <c r="B2462">
        <v>29601762</v>
      </c>
      <c r="C2462" t="s">
        <v>7018</v>
      </c>
      <c r="D2462" t="s">
        <v>595</v>
      </c>
      <c r="E2462" s="184">
        <v>43879</v>
      </c>
      <c r="G2462" s="184"/>
      <c r="I2462" s="184"/>
      <c r="K2462" s="184"/>
      <c r="M2462" s="184"/>
      <c r="O2462" s="184"/>
      <c r="P2462" t="s">
        <v>7019</v>
      </c>
      <c r="Q2462" t="s">
        <v>7194</v>
      </c>
      <c r="R2462" s="184"/>
      <c r="U2462" t="s">
        <v>7130</v>
      </c>
      <c r="X2462" t="s">
        <v>21000</v>
      </c>
      <c r="Z2462">
        <v>29601762</v>
      </c>
      <c r="AA2462" t="s">
        <v>7031</v>
      </c>
      <c r="AB2462" t="s">
        <v>2904</v>
      </c>
      <c r="AD2462" t="s">
        <v>21000</v>
      </c>
      <c r="AF2462" t="s">
        <v>21001</v>
      </c>
      <c r="AG2462" t="s">
        <v>21001</v>
      </c>
      <c r="AI2462" t="s">
        <v>21002</v>
      </c>
      <c r="AM2462" t="s">
        <v>14354</v>
      </c>
      <c r="AN2462" t="s">
        <v>2046</v>
      </c>
      <c r="AO2462" t="s">
        <v>21003</v>
      </c>
      <c r="AP2462" t="s">
        <v>7024</v>
      </c>
      <c r="AT2462" s="184"/>
      <c r="AW2462" s="184"/>
      <c r="AZ2462" s="184"/>
      <c r="BP2462" s="184"/>
    </row>
    <row r="2463" spans="1:68">
      <c r="A2463">
        <v>29602430</v>
      </c>
      <c r="B2463">
        <v>29602430</v>
      </c>
      <c r="C2463" t="s">
        <v>7018</v>
      </c>
      <c r="E2463" s="184"/>
      <c r="G2463" s="184"/>
      <c r="I2463" s="184"/>
      <c r="J2463" t="s">
        <v>595</v>
      </c>
      <c r="K2463" s="184">
        <v>41711</v>
      </c>
      <c r="M2463" s="184"/>
      <c r="O2463" s="184"/>
      <c r="P2463" t="s">
        <v>7045</v>
      </c>
      <c r="Q2463" t="s">
        <v>7454</v>
      </c>
      <c r="R2463" s="184">
        <v>20274</v>
      </c>
      <c r="S2463">
        <v>68</v>
      </c>
      <c r="U2463" t="s">
        <v>7130</v>
      </c>
      <c r="V2463" t="s">
        <v>2523</v>
      </c>
      <c r="W2463" t="s">
        <v>7268</v>
      </c>
      <c r="X2463" t="s">
        <v>21007</v>
      </c>
      <c r="Z2463">
        <v>100080579</v>
      </c>
      <c r="AA2463" t="s">
        <v>7031</v>
      </c>
      <c r="AB2463" t="s">
        <v>7356</v>
      </c>
      <c r="AC2463" t="s">
        <v>3908</v>
      </c>
      <c r="AD2463" t="s">
        <v>21007</v>
      </c>
      <c r="AF2463" t="s">
        <v>6543</v>
      </c>
      <c r="AG2463" t="s">
        <v>21008</v>
      </c>
      <c r="AI2463" t="s">
        <v>21009</v>
      </c>
      <c r="AM2463" t="s">
        <v>4002</v>
      </c>
      <c r="AN2463" t="s">
        <v>2055</v>
      </c>
      <c r="AO2463" t="s">
        <v>21010</v>
      </c>
      <c r="AP2463" t="s">
        <v>7024</v>
      </c>
      <c r="AQ2463" t="s">
        <v>21011</v>
      </c>
      <c r="AT2463" s="184">
        <v>36368</v>
      </c>
      <c r="AU2463" t="s">
        <v>20992</v>
      </c>
      <c r="AV2463">
        <v>15</v>
      </c>
      <c r="AW2463" s="184">
        <v>45014</v>
      </c>
      <c r="AX2463" t="s">
        <v>21012</v>
      </c>
      <c r="AY2463">
        <v>73</v>
      </c>
      <c r="AZ2463" s="184">
        <v>43315</v>
      </c>
      <c r="BA2463" t="s">
        <v>21013</v>
      </c>
      <c r="BB2463">
        <v>75</v>
      </c>
      <c r="BC2463">
        <v>54</v>
      </c>
      <c r="BD2463">
        <v>778</v>
      </c>
      <c r="BE2463">
        <v>2000</v>
      </c>
      <c r="BF2463">
        <v>20</v>
      </c>
      <c r="BG2463">
        <v>1</v>
      </c>
      <c r="BH2463">
        <v>73</v>
      </c>
      <c r="BI2463">
        <v>14</v>
      </c>
      <c r="BJ2463">
        <v>26</v>
      </c>
      <c r="BK2463">
        <v>6</v>
      </c>
      <c r="BP2463" s="184"/>
    </row>
    <row r="2464" spans="1:68">
      <c r="A2464">
        <v>100080579</v>
      </c>
      <c r="B2464">
        <v>29602430</v>
      </c>
      <c r="C2464" t="s">
        <v>7018</v>
      </c>
      <c r="E2464" s="184"/>
      <c r="G2464" s="184"/>
      <c r="I2464" s="184"/>
      <c r="J2464" t="s">
        <v>595</v>
      </c>
      <c r="K2464" s="184">
        <v>43649</v>
      </c>
      <c r="M2464" s="184"/>
      <c r="O2464" s="184"/>
      <c r="P2464" t="s">
        <v>7045</v>
      </c>
      <c r="Q2464" t="s">
        <v>7454</v>
      </c>
      <c r="R2464" s="184">
        <v>20271</v>
      </c>
      <c r="S2464">
        <v>68</v>
      </c>
      <c r="U2464" t="s">
        <v>7031</v>
      </c>
      <c r="V2464" t="s">
        <v>7356</v>
      </c>
      <c r="W2464" t="s">
        <v>3908</v>
      </c>
      <c r="X2464" t="s">
        <v>21007</v>
      </c>
      <c r="Z2464">
        <v>29602430</v>
      </c>
      <c r="AA2464" t="s">
        <v>7130</v>
      </c>
      <c r="AB2464" t="s">
        <v>2523</v>
      </c>
      <c r="AC2464" t="s">
        <v>7268</v>
      </c>
      <c r="AD2464" t="s">
        <v>21007</v>
      </c>
      <c r="AF2464" t="s">
        <v>6543</v>
      </c>
      <c r="AG2464" t="s">
        <v>21008</v>
      </c>
      <c r="AI2464" t="s">
        <v>21009</v>
      </c>
      <c r="AM2464" t="s">
        <v>4002</v>
      </c>
      <c r="AN2464" t="s">
        <v>2055</v>
      </c>
      <c r="AO2464" t="s">
        <v>21010</v>
      </c>
      <c r="AP2464" t="s">
        <v>7024</v>
      </c>
      <c r="AT2464" s="184"/>
      <c r="AW2464" s="184"/>
      <c r="AZ2464" s="184"/>
      <c r="BP2464" s="184"/>
    </row>
    <row r="2465" spans="1:68">
      <c r="A2465">
        <v>29604659</v>
      </c>
      <c r="B2465">
        <v>29604659</v>
      </c>
      <c r="C2465" t="s">
        <v>7018</v>
      </c>
      <c r="E2465" s="184"/>
      <c r="G2465" s="184"/>
      <c r="I2465" s="184"/>
      <c r="J2465" t="s">
        <v>595</v>
      </c>
      <c r="K2465" s="184">
        <v>41955</v>
      </c>
      <c r="M2465" s="184"/>
      <c r="O2465" s="184"/>
      <c r="P2465" t="s">
        <v>7045</v>
      </c>
      <c r="Q2465" t="s">
        <v>7383</v>
      </c>
      <c r="R2465" s="184">
        <v>15827</v>
      </c>
      <c r="S2465">
        <v>81</v>
      </c>
      <c r="U2465" t="s">
        <v>7130</v>
      </c>
      <c r="V2465" t="s">
        <v>4330</v>
      </c>
      <c r="X2465" t="s">
        <v>21014</v>
      </c>
      <c r="AF2465" t="s">
        <v>21015</v>
      </c>
      <c r="AG2465" t="s">
        <v>4330</v>
      </c>
      <c r="AI2465" t="s">
        <v>21016</v>
      </c>
      <c r="AM2465" t="s">
        <v>4031</v>
      </c>
      <c r="AN2465" t="s">
        <v>2059</v>
      </c>
      <c r="AO2465" t="s">
        <v>21017</v>
      </c>
      <c r="AP2465" t="s">
        <v>7024</v>
      </c>
      <c r="AQ2465" t="s">
        <v>21018</v>
      </c>
      <c r="AT2465" s="184">
        <v>36341</v>
      </c>
      <c r="AU2465" t="s">
        <v>21019</v>
      </c>
      <c r="AV2465">
        <v>25</v>
      </c>
      <c r="AW2465" s="184">
        <v>43830</v>
      </c>
      <c r="AX2465" t="s">
        <v>21020</v>
      </c>
      <c r="AY2465">
        <v>30</v>
      </c>
      <c r="AZ2465" s="184">
        <v>39624</v>
      </c>
      <c r="BA2465" t="s">
        <v>21021</v>
      </c>
      <c r="BB2465">
        <v>50</v>
      </c>
      <c r="BC2465">
        <v>74</v>
      </c>
      <c r="BD2465">
        <v>962</v>
      </c>
      <c r="BE2465">
        <v>1999</v>
      </c>
      <c r="BF2465">
        <v>35</v>
      </c>
      <c r="BI2465">
        <v>19</v>
      </c>
      <c r="BJ2465">
        <v>26</v>
      </c>
      <c r="BK2465">
        <v>15</v>
      </c>
    </row>
    <row r="2466" spans="1:68">
      <c r="A2466">
        <v>29613221</v>
      </c>
      <c r="B2466">
        <v>29613221</v>
      </c>
      <c r="C2466" t="s">
        <v>7018</v>
      </c>
      <c r="E2466" s="184"/>
      <c r="G2466" s="184"/>
      <c r="H2466" t="s">
        <v>595</v>
      </c>
      <c r="I2466" s="184">
        <v>44355</v>
      </c>
      <c r="K2466" s="184"/>
      <c r="M2466" s="184"/>
      <c r="N2466" t="s">
        <v>595</v>
      </c>
      <c r="O2466" s="184">
        <v>44390</v>
      </c>
      <c r="P2466" t="s">
        <v>7045</v>
      </c>
      <c r="Q2466" t="s">
        <v>7160</v>
      </c>
      <c r="R2466" s="184">
        <v>14008</v>
      </c>
      <c r="S2466">
        <v>86</v>
      </c>
      <c r="V2466" t="s">
        <v>3444</v>
      </c>
      <c r="W2466" t="s">
        <v>3332</v>
      </c>
      <c r="X2466" t="s">
        <v>3776</v>
      </c>
      <c r="Z2466">
        <v>100080640</v>
      </c>
      <c r="AB2466" t="s">
        <v>2832</v>
      </c>
      <c r="AC2466" t="s">
        <v>205</v>
      </c>
      <c r="AD2466" t="s">
        <v>3776</v>
      </c>
      <c r="AF2466" t="s">
        <v>21022</v>
      </c>
      <c r="AG2466" t="s">
        <v>3444</v>
      </c>
      <c r="AI2466" t="s">
        <v>21023</v>
      </c>
      <c r="AM2466" t="s">
        <v>2869</v>
      </c>
      <c r="AN2466" t="s">
        <v>2413</v>
      </c>
      <c r="AO2466" t="s">
        <v>21024</v>
      </c>
      <c r="AP2466" t="s">
        <v>7024</v>
      </c>
      <c r="AQ2466" t="s">
        <v>21025</v>
      </c>
      <c r="AR2466" t="s">
        <v>21026</v>
      </c>
      <c r="AT2466" s="184">
        <v>36367</v>
      </c>
      <c r="AU2466" t="s">
        <v>21027</v>
      </c>
      <c r="AV2466">
        <v>15</v>
      </c>
      <c r="AW2466" s="184">
        <v>45369</v>
      </c>
      <c r="AX2466" t="s">
        <v>13371</v>
      </c>
      <c r="AY2466">
        <v>25</v>
      </c>
      <c r="AZ2466" s="184">
        <v>45242</v>
      </c>
      <c r="BA2466" t="s">
        <v>9677</v>
      </c>
      <c r="BB2466">
        <v>26.25</v>
      </c>
      <c r="BC2466">
        <v>93</v>
      </c>
      <c r="BD2466">
        <v>1100.5</v>
      </c>
      <c r="BE2466">
        <v>2000</v>
      </c>
      <c r="BF2466">
        <v>53</v>
      </c>
      <c r="BG2466">
        <v>7</v>
      </c>
      <c r="BH2466">
        <v>177.5</v>
      </c>
      <c r="BI2466">
        <v>24</v>
      </c>
      <c r="BJ2466">
        <v>26</v>
      </c>
      <c r="BK2466">
        <v>13</v>
      </c>
      <c r="BN2466" t="s">
        <v>595</v>
      </c>
      <c r="BP2466" s="184"/>
    </row>
    <row r="2467" spans="1:68">
      <c r="A2467">
        <v>100080640</v>
      </c>
      <c r="B2467">
        <v>29613221</v>
      </c>
      <c r="C2467" t="s">
        <v>7018</v>
      </c>
      <c r="E2467" s="184"/>
      <c r="G2467" s="184"/>
      <c r="H2467" t="s">
        <v>595</v>
      </c>
      <c r="I2467" s="184">
        <v>44355</v>
      </c>
      <c r="K2467" s="184"/>
      <c r="M2467" s="184"/>
      <c r="N2467" t="s">
        <v>595</v>
      </c>
      <c r="O2467" s="184">
        <v>44390</v>
      </c>
      <c r="P2467" t="s">
        <v>7045</v>
      </c>
      <c r="Q2467" t="s">
        <v>7160</v>
      </c>
      <c r="R2467" s="184">
        <v>13347</v>
      </c>
      <c r="S2467">
        <v>87</v>
      </c>
      <c r="V2467" t="s">
        <v>2832</v>
      </c>
      <c r="W2467" t="s">
        <v>205</v>
      </c>
      <c r="X2467" t="s">
        <v>3776</v>
      </c>
      <c r="Z2467">
        <v>29613221</v>
      </c>
      <c r="AB2467" t="s">
        <v>3444</v>
      </c>
      <c r="AC2467" t="s">
        <v>3332</v>
      </c>
      <c r="AD2467" t="s">
        <v>3776</v>
      </c>
      <c r="AF2467" t="s">
        <v>21022</v>
      </c>
      <c r="AG2467" t="s">
        <v>3444</v>
      </c>
      <c r="AI2467" t="s">
        <v>21023</v>
      </c>
      <c r="AM2467" t="s">
        <v>2869</v>
      </c>
      <c r="AN2467" t="s">
        <v>2413</v>
      </c>
      <c r="AO2467" t="s">
        <v>21024</v>
      </c>
      <c r="AP2467" t="s">
        <v>7024</v>
      </c>
      <c r="AQ2467" t="s">
        <v>21028</v>
      </c>
      <c r="AT2467" s="184">
        <v>44936</v>
      </c>
      <c r="AU2467" t="s">
        <v>21029</v>
      </c>
      <c r="AV2467">
        <v>25</v>
      </c>
      <c r="AW2467" s="184">
        <v>45043</v>
      </c>
      <c r="AX2467" t="s">
        <v>21030</v>
      </c>
      <c r="AY2467">
        <v>25</v>
      </c>
      <c r="AZ2467" s="184">
        <v>45043</v>
      </c>
      <c r="BA2467" t="s">
        <v>21030</v>
      </c>
      <c r="BB2467">
        <v>25</v>
      </c>
      <c r="BC2467">
        <v>50</v>
      </c>
      <c r="BD2467">
        <v>50</v>
      </c>
      <c r="BE2467">
        <v>2023</v>
      </c>
      <c r="BF2467">
        <v>2</v>
      </c>
      <c r="BG2467">
        <v>2</v>
      </c>
      <c r="BH2467">
        <v>50</v>
      </c>
      <c r="BI2467">
        <v>1</v>
      </c>
      <c r="BJ2467">
        <v>2</v>
      </c>
      <c r="BK2467">
        <v>1</v>
      </c>
      <c r="BO2467" t="s">
        <v>595</v>
      </c>
      <c r="BP2467" s="184"/>
    </row>
    <row r="2468" spans="1:68">
      <c r="A2468">
        <v>29634227</v>
      </c>
      <c r="B2468">
        <v>29634227</v>
      </c>
      <c r="C2468" t="s">
        <v>7018</v>
      </c>
      <c r="D2468" t="s">
        <v>595</v>
      </c>
      <c r="E2468" s="184">
        <v>43801</v>
      </c>
      <c r="G2468" s="184"/>
      <c r="I2468" s="184"/>
      <c r="K2468" s="184"/>
      <c r="M2468" s="184"/>
      <c r="O2468" s="184"/>
      <c r="P2468" t="s">
        <v>7045</v>
      </c>
      <c r="Q2468" t="s">
        <v>7030</v>
      </c>
      <c r="R2468" s="184">
        <v>19968</v>
      </c>
      <c r="S2468">
        <v>69</v>
      </c>
      <c r="V2468" t="s">
        <v>4391</v>
      </c>
      <c r="X2468" t="s">
        <v>4392</v>
      </c>
      <c r="Y2468" t="s">
        <v>7047</v>
      </c>
      <c r="AF2468" t="s">
        <v>21031</v>
      </c>
      <c r="AG2468" t="s">
        <v>4391</v>
      </c>
      <c r="AI2468" t="s">
        <v>21032</v>
      </c>
      <c r="AM2468" t="s">
        <v>4344</v>
      </c>
      <c r="AN2468" t="s">
        <v>2089</v>
      </c>
      <c r="AO2468" t="s">
        <v>21033</v>
      </c>
      <c r="AP2468" t="s">
        <v>7024</v>
      </c>
      <c r="AQ2468" t="s">
        <v>21034</v>
      </c>
      <c r="AR2468" t="s">
        <v>21035</v>
      </c>
      <c r="AT2468" s="184">
        <v>36381</v>
      </c>
      <c r="AU2468" t="s">
        <v>21036</v>
      </c>
      <c r="AV2468">
        <v>25</v>
      </c>
      <c r="AW2468" s="184">
        <v>45225</v>
      </c>
      <c r="AX2468" t="s">
        <v>21037</v>
      </c>
      <c r="AY2468">
        <v>25</v>
      </c>
      <c r="AZ2468" s="184">
        <v>37445</v>
      </c>
      <c r="BA2468" t="s">
        <v>21038</v>
      </c>
      <c r="BB2468">
        <v>30</v>
      </c>
      <c r="BC2468">
        <v>93</v>
      </c>
      <c r="BD2468">
        <v>764</v>
      </c>
      <c r="BE2468">
        <v>2000</v>
      </c>
      <c r="BF2468">
        <v>32</v>
      </c>
      <c r="BG2468">
        <v>2</v>
      </c>
      <c r="BH2468">
        <v>50</v>
      </c>
      <c r="BI2468">
        <v>24</v>
      </c>
      <c r="BJ2468">
        <v>26</v>
      </c>
      <c r="BK2468">
        <v>23</v>
      </c>
      <c r="BP2468" s="184"/>
    </row>
    <row r="2469" spans="1:68">
      <c r="A2469">
        <v>29634813</v>
      </c>
      <c r="B2469">
        <v>29634813</v>
      </c>
      <c r="C2469" t="s">
        <v>7018</v>
      </c>
      <c r="D2469" t="s">
        <v>595</v>
      </c>
      <c r="E2469" s="184">
        <v>43845</v>
      </c>
      <c r="G2469" s="184"/>
      <c r="K2469" s="184"/>
      <c r="M2469" s="184"/>
      <c r="O2469" s="184"/>
      <c r="P2469" t="s">
        <v>7045</v>
      </c>
      <c r="Q2469" t="s">
        <v>7262</v>
      </c>
      <c r="R2469" s="184">
        <v>16893</v>
      </c>
      <c r="S2469">
        <v>78</v>
      </c>
      <c r="U2469" t="s">
        <v>7076</v>
      </c>
      <c r="V2469" t="s">
        <v>21039</v>
      </c>
      <c r="X2469" t="s">
        <v>21040</v>
      </c>
      <c r="Z2469">
        <v>100080710</v>
      </c>
      <c r="AA2469" t="s">
        <v>7031</v>
      </c>
      <c r="AB2469" t="s">
        <v>4587</v>
      </c>
      <c r="AD2469" t="s">
        <v>21041</v>
      </c>
      <c r="AF2469" t="s">
        <v>21042</v>
      </c>
      <c r="AG2469" t="s">
        <v>21043</v>
      </c>
      <c r="AI2469" t="s">
        <v>21044</v>
      </c>
      <c r="AM2469" t="s">
        <v>5764</v>
      </c>
      <c r="AN2469" t="s">
        <v>65</v>
      </c>
      <c r="AO2469" t="s">
        <v>21045</v>
      </c>
      <c r="AP2469" t="s">
        <v>7024</v>
      </c>
      <c r="AQ2469" t="s">
        <v>21046</v>
      </c>
      <c r="AR2469" t="s">
        <v>21047</v>
      </c>
      <c r="AT2469" s="184">
        <v>36381</v>
      </c>
      <c r="AU2469" t="s">
        <v>21048</v>
      </c>
      <c r="AV2469">
        <v>25</v>
      </c>
      <c r="AW2469" s="184">
        <v>44264</v>
      </c>
      <c r="AX2469" t="s">
        <v>21049</v>
      </c>
      <c r="AY2469">
        <v>50</v>
      </c>
      <c r="AZ2469" s="184">
        <v>42715</v>
      </c>
      <c r="BA2469" t="s">
        <v>7959</v>
      </c>
      <c r="BB2469">
        <v>100</v>
      </c>
      <c r="BC2469">
        <v>50</v>
      </c>
      <c r="BD2469">
        <v>900</v>
      </c>
      <c r="BE2469">
        <v>2000</v>
      </c>
      <c r="BF2469">
        <v>17</v>
      </c>
      <c r="BI2469">
        <v>13</v>
      </c>
      <c r="BJ2469">
        <v>26</v>
      </c>
      <c r="BK2469">
        <v>4</v>
      </c>
      <c r="BP2469" s="184"/>
    </row>
    <row r="2470" spans="1:68">
      <c r="A2470">
        <v>100080710</v>
      </c>
      <c r="B2470">
        <v>29634813</v>
      </c>
      <c r="C2470" t="s">
        <v>7018</v>
      </c>
      <c r="D2470" t="s">
        <v>595</v>
      </c>
      <c r="E2470" s="184">
        <v>43845</v>
      </c>
      <c r="G2470" s="184"/>
      <c r="I2470" s="184"/>
      <c r="K2470" s="184"/>
      <c r="M2470" s="184"/>
      <c r="O2470" s="184"/>
      <c r="P2470" t="s">
        <v>7045</v>
      </c>
      <c r="Q2470" t="s">
        <v>7262</v>
      </c>
      <c r="R2470" s="184">
        <v>32217</v>
      </c>
      <c r="S2470">
        <v>36</v>
      </c>
      <c r="U2470" t="s">
        <v>7031</v>
      </c>
      <c r="V2470" t="s">
        <v>4587</v>
      </c>
      <c r="X2470" t="s">
        <v>21041</v>
      </c>
      <c r="Z2470">
        <v>29634813</v>
      </c>
      <c r="AA2470" t="s">
        <v>7076</v>
      </c>
      <c r="AB2470" t="s">
        <v>21039</v>
      </c>
      <c r="AD2470" t="s">
        <v>21040</v>
      </c>
      <c r="AF2470" t="s">
        <v>21042</v>
      </c>
      <c r="AG2470" t="s">
        <v>21043</v>
      </c>
      <c r="AI2470" t="s">
        <v>21044</v>
      </c>
      <c r="AM2470" t="s">
        <v>5764</v>
      </c>
      <c r="AN2470" t="s">
        <v>65</v>
      </c>
      <c r="AO2470" t="s">
        <v>21045</v>
      </c>
      <c r="AP2470" t="s">
        <v>7024</v>
      </c>
      <c r="AT2470" s="184"/>
      <c r="AW2470" s="184"/>
      <c r="AZ2470" s="184"/>
      <c r="BP2470" s="184"/>
    </row>
    <row r="2471" spans="1:68">
      <c r="A2471">
        <v>29673746</v>
      </c>
      <c r="B2471">
        <v>29673746</v>
      </c>
      <c r="C2471" t="s">
        <v>7018</v>
      </c>
      <c r="D2471" t="s">
        <v>595</v>
      </c>
      <c r="E2471" s="184">
        <v>44070</v>
      </c>
      <c r="G2471" s="184"/>
      <c r="I2471" s="184"/>
      <c r="K2471" s="184"/>
      <c r="M2471" s="184"/>
      <c r="P2471" t="s">
        <v>7045</v>
      </c>
      <c r="Q2471" t="s">
        <v>7262</v>
      </c>
      <c r="R2471" s="184">
        <v>17483</v>
      </c>
      <c r="S2471">
        <v>76</v>
      </c>
      <c r="U2471" t="s">
        <v>7130</v>
      </c>
      <c r="V2471" t="s">
        <v>2586</v>
      </c>
      <c r="X2471" t="s">
        <v>21050</v>
      </c>
      <c r="Z2471">
        <v>100080804</v>
      </c>
      <c r="AA2471" t="s">
        <v>7031</v>
      </c>
      <c r="AB2471" t="s">
        <v>2597</v>
      </c>
      <c r="AD2471" t="s">
        <v>21050</v>
      </c>
      <c r="AF2471" t="s">
        <v>21051</v>
      </c>
      <c r="AG2471" t="s">
        <v>21052</v>
      </c>
      <c r="AI2471" t="s">
        <v>21053</v>
      </c>
      <c r="AM2471" t="s">
        <v>3205</v>
      </c>
      <c r="AN2471" t="s">
        <v>2106</v>
      </c>
      <c r="AO2471" t="s">
        <v>21054</v>
      </c>
      <c r="AP2471" t="s">
        <v>7024</v>
      </c>
      <c r="AQ2471" t="s">
        <v>21055</v>
      </c>
      <c r="AT2471" s="184">
        <v>36384</v>
      </c>
      <c r="AU2471" t="s">
        <v>21056</v>
      </c>
      <c r="AV2471">
        <v>25</v>
      </c>
      <c r="AW2471" s="184">
        <v>45016</v>
      </c>
      <c r="AX2471" t="s">
        <v>21057</v>
      </c>
      <c r="AY2471">
        <v>25</v>
      </c>
      <c r="AZ2471" s="184">
        <v>41008</v>
      </c>
      <c r="BA2471" t="s">
        <v>21058</v>
      </c>
      <c r="BB2471">
        <v>50</v>
      </c>
      <c r="BC2471">
        <v>74</v>
      </c>
      <c r="BD2471">
        <v>1030</v>
      </c>
      <c r="BE2471">
        <v>2000</v>
      </c>
      <c r="BF2471">
        <v>33</v>
      </c>
      <c r="BG2471">
        <v>1</v>
      </c>
      <c r="BH2471">
        <v>25</v>
      </c>
      <c r="BI2471">
        <v>19</v>
      </c>
      <c r="BJ2471">
        <v>26</v>
      </c>
      <c r="BK2471">
        <v>14</v>
      </c>
      <c r="BN2471" t="s">
        <v>595</v>
      </c>
      <c r="BP2471" s="184"/>
    </row>
    <row r="2472" spans="1:68">
      <c r="A2472">
        <v>100080804</v>
      </c>
      <c r="B2472">
        <v>29673746</v>
      </c>
      <c r="C2472" t="s">
        <v>7018</v>
      </c>
      <c r="D2472" t="s">
        <v>595</v>
      </c>
      <c r="E2472" s="184">
        <v>44070</v>
      </c>
      <c r="G2472" s="184"/>
      <c r="I2472" s="184"/>
      <c r="K2472" s="184"/>
      <c r="M2472" s="184"/>
      <c r="O2472" s="184"/>
      <c r="P2472" t="s">
        <v>7045</v>
      </c>
      <c r="Q2472" t="s">
        <v>7262</v>
      </c>
      <c r="R2472" s="184">
        <v>16361</v>
      </c>
      <c r="S2472">
        <v>79</v>
      </c>
      <c r="U2472" t="s">
        <v>7031</v>
      </c>
      <c r="V2472" t="s">
        <v>2597</v>
      </c>
      <c r="X2472" t="s">
        <v>21050</v>
      </c>
      <c r="Z2472">
        <v>29673746</v>
      </c>
      <c r="AA2472" t="s">
        <v>7130</v>
      </c>
      <c r="AB2472" t="s">
        <v>2586</v>
      </c>
      <c r="AD2472" t="s">
        <v>21050</v>
      </c>
      <c r="AF2472" t="s">
        <v>21051</v>
      </c>
      <c r="AG2472" t="s">
        <v>21052</v>
      </c>
      <c r="AI2472" t="s">
        <v>21053</v>
      </c>
      <c r="AM2472" t="s">
        <v>3205</v>
      </c>
      <c r="AN2472" t="s">
        <v>2106</v>
      </c>
      <c r="AO2472" t="s">
        <v>21054</v>
      </c>
      <c r="AP2472" t="s">
        <v>7024</v>
      </c>
      <c r="AT2472" s="184">
        <v>43993</v>
      </c>
      <c r="AU2472" t="s">
        <v>21059</v>
      </c>
      <c r="AV2472">
        <v>50</v>
      </c>
      <c r="AW2472" s="184">
        <v>43993</v>
      </c>
      <c r="AX2472" t="s">
        <v>21059</v>
      </c>
      <c r="AY2472">
        <v>50</v>
      </c>
      <c r="AZ2472" s="184">
        <v>43993</v>
      </c>
      <c r="BA2472" t="s">
        <v>21059</v>
      </c>
      <c r="BB2472">
        <v>50</v>
      </c>
      <c r="BC2472">
        <v>20</v>
      </c>
      <c r="BD2472">
        <v>50</v>
      </c>
      <c r="BE2472">
        <v>2020</v>
      </c>
      <c r="BF2472">
        <v>1</v>
      </c>
      <c r="BI2472">
        <v>1</v>
      </c>
      <c r="BJ2472">
        <v>5</v>
      </c>
      <c r="BK2472">
        <v>1</v>
      </c>
      <c r="BP2472" s="184"/>
    </row>
    <row r="2473" spans="1:68">
      <c r="A2473">
        <v>29691599</v>
      </c>
      <c r="B2473">
        <v>29691599</v>
      </c>
      <c r="C2473" t="s">
        <v>7018</v>
      </c>
      <c r="E2473" s="184"/>
      <c r="G2473" s="184"/>
      <c r="I2473" s="184"/>
      <c r="J2473" t="s">
        <v>595</v>
      </c>
      <c r="K2473" s="184">
        <v>43409</v>
      </c>
      <c r="M2473" s="184"/>
      <c r="O2473" s="184"/>
      <c r="P2473" t="s">
        <v>7686</v>
      </c>
      <c r="Q2473" t="s">
        <v>7383</v>
      </c>
      <c r="R2473" s="184">
        <v>19725</v>
      </c>
      <c r="S2473">
        <v>70</v>
      </c>
      <c r="U2473" t="s">
        <v>7094</v>
      </c>
      <c r="V2473" t="s">
        <v>3008</v>
      </c>
      <c r="W2473" t="s">
        <v>2049</v>
      </c>
      <c r="X2473" t="s">
        <v>21060</v>
      </c>
      <c r="AF2473" t="s">
        <v>6065</v>
      </c>
      <c r="AG2473" t="s">
        <v>21061</v>
      </c>
      <c r="AI2473" t="s">
        <v>21062</v>
      </c>
      <c r="AM2473" t="s">
        <v>2703</v>
      </c>
      <c r="AN2473" t="s">
        <v>2064</v>
      </c>
      <c r="AO2473" t="s">
        <v>21063</v>
      </c>
      <c r="AP2473" t="s">
        <v>7024</v>
      </c>
      <c r="AT2473" s="184">
        <v>36385</v>
      </c>
      <c r="AU2473" t="s">
        <v>21064</v>
      </c>
      <c r="AV2473">
        <v>15</v>
      </c>
      <c r="AW2473" s="184">
        <v>43409</v>
      </c>
      <c r="AX2473" t="s">
        <v>7348</v>
      </c>
      <c r="AY2473">
        <v>8375.27</v>
      </c>
      <c r="AZ2473" s="184">
        <v>43409</v>
      </c>
      <c r="BA2473" t="s">
        <v>7348</v>
      </c>
      <c r="BB2473">
        <v>8375.27</v>
      </c>
      <c r="BC2473">
        <v>12</v>
      </c>
      <c r="BD2473">
        <v>8405.27</v>
      </c>
      <c r="BE2473">
        <v>2000</v>
      </c>
      <c r="BF2473">
        <v>3</v>
      </c>
      <c r="BI2473">
        <v>3</v>
      </c>
      <c r="BJ2473">
        <v>26</v>
      </c>
      <c r="BK2473">
        <v>2</v>
      </c>
      <c r="BO2473" t="s">
        <v>595</v>
      </c>
      <c r="BP2473" s="184">
        <v>43158</v>
      </c>
    </row>
    <row r="2474" spans="1:68">
      <c r="A2474">
        <v>29695004</v>
      </c>
      <c r="B2474">
        <v>29695004</v>
      </c>
      <c r="C2474" t="s">
        <v>7018</v>
      </c>
      <c r="D2474" t="s">
        <v>595</v>
      </c>
      <c r="E2474" s="184">
        <v>44104</v>
      </c>
      <c r="G2474" s="184"/>
      <c r="I2474" s="184"/>
      <c r="K2474" s="184"/>
      <c r="M2474" s="184"/>
      <c r="O2474" s="184"/>
      <c r="P2474" t="s">
        <v>7045</v>
      </c>
      <c r="Q2474" t="s">
        <v>7383</v>
      </c>
      <c r="R2474" s="184">
        <v>21947</v>
      </c>
      <c r="S2474">
        <v>64</v>
      </c>
      <c r="U2474" t="s">
        <v>7130</v>
      </c>
      <c r="V2474" t="s">
        <v>5495</v>
      </c>
      <c r="W2474" t="s">
        <v>4139</v>
      </c>
      <c r="X2474" t="s">
        <v>2999</v>
      </c>
      <c r="AF2474" t="s">
        <v>21065</v>
      </c>
      <c r="AG2474" t="s">
        <v>5495</v>
      </c>
      <c r="AI2474" t="s">
        <v>21066</v>
      </c>
      <c r="AM2474" t="s">
        <v>4944</v>
      </c>
      <c r="AN2474" t="s">
        <v>2059</v>
      </c>
      <c r="AO2474" t="s">
        <v>21067</v>
      </c>
      <c r="AP2474" t="s">
        <v>7024</v>
      </c>
      <c r="AT2474" s="184">
        <v>36385</v>
      </c>
      <c r="AU2474" t="s">
        <v>21068</v>
      </c>
      <c r="AV2474">
        <v>15</v>
      </c>
      <c r="AW2474" s="184">
        <v>44978</v>
      </c>
      <c r="AX2474" t="s">
        <v>8370</v>
      </c>
      <c r="AY2474">
        <v>50</v>
      </c>
      <c r="AZ2474" s="184">
        <v>44305</v>
      </c>
      <c r="BA2474" t="s">
        <v>21069</v>
      </c>
      <c r="BB2474">
        <v>115</v>
      </c>
      <c r="BC2474">
        <v>66</v>
      </c>
      <c r="BD2474">
        <v>1055</v>
      </c>
      <c r="BE2474">
        <v>2000</v>
      </c>
      <c r="BF2474">
        <v>23</v>
      </c>
      <c r="BG2474">
        <v>2</v>
      </c>
      <c r="BH2474">
        <v>100</v>
      </c>
      <c r="BI2474">
        <v>17</v>
      </c>
      <c r="BJ2474">
        <v>26</v>
      </c>
      <c r="BK2474">
        <v>7</v>
      </c>
      <c r="BP2474" s="184"/>
    </row>
    <row r="2475" spans="1:68">
      <c r="A2475">
        <v>29723657</v>
      </c>
      <c r="B2475">
        <v>29723657</v>
      </c>
      <c r="C2475" t="s">
        <v>7018</v>
      </c>
      <c r="D2475" t="s">
        <v>595</v>
      </c>
      <c r="E2475" s="184">
        <v>44073</v>
      </c>
      <c r="G2475" s="184"/>
      <c r="I2475" s="184"/>
      <c r="K2475" s="184"/>
      <c r="M2475" s="184"/>
      <c r="O2475" s="184"/>
      <c r="P2475" t="s">
        <v>7045</v>
      </c>
      <c r="Q2475" t="s">
        <v>7383</v>
      </c>
      <c r="R2475" s="184">
        <v>21763</v>
      </c>
      <c r="S2475">
        <v>64</v>
      </c>
      <c r="V2475" t="s">
        <v>3748</v>
      </c>
      <c r="X2475" t="s">
        <v>3339</v>
      </c>
      <c r="AF2475" t="s">
        <v>21070</v>
      </c>
      <c r="AG2475" t="s">
        <v>3748</v>
      </c>
      <c r="AI2475" t="s">
        <v>21071</v>
      </c>
      <c r="AM2475" t="s">
        <v>3082</v>
      </c>
      <c r="AN2475" t="s">
        <v>2313</v>
      </c>
      <c r="AO2475" t="s">
        <v>21072</v>
      </c>
      <c r="AP2475" t="s">
        <v>7024</v>
      </c>
      <c r="AT2475" s="184">
        <v>36389</v>
      </c>
      <c r="AU2475" t="s">
        <v>21073</v>
      </c>
      <c r="AV2475">
        <v>15</v>
      </c>
      <c r="AW2475" s="184">
        <v>45229</v>
      </c>
      <c r="AX2475" t="s">
        <v>8133</v>
      </c>
      <c r="AY2475">
        <v>35</v>
      </c>
      <c r="AZ2475" s="184">
        <v>42713</v>
      </c>
      <c r="BA2475" t="s">
        <v>21074</v>
      </c>
      <c r="BB2475">
        <v>100</v>
      </c>
      <c r="BC2475">
        <v>97</v>
      </c>
      <c r="BD2475">
        <v>2687</v>
      </c>
      <c r="BE2475">
        <v>2000</v>
      </c>
      <c r="BF2475">
        <v>50</v>
      </c>
      <c r="BG2475">
        <v>6</v>
      </c>
      <c r="BH2475">
        <v>190</v>
      </c>
      <c r="BI2475">
        <v>25</v>
      </c>
      <c r="BJ2475">
        <v>26</v>
      </c>
      <c r="BK2475">
        <v>25</v>
      </c>
      <c r="BP2475" s="184"/>
    </row>
    <row r="2476" spans="1:68">
      <c r="A2476">
        <v>29727104</v>
      </c>
      <c r="B2476">
        <v>29727104</v>
      </c>
      <c r="C2476" t="s">
        <v>7018</v>
      </c>
      <c r="D2476" t="s">
        <v>595</v>
      </c>
      <c r="E2476" s="184">
        <v>43642</v>
      </c>
      <c r="G2476" s="184"/>
      <c r="I2476" s="184"/>
      <c r="K2476" s="184"/>
      <c r="M2476" s="184"/>
      <c r="O2476" s="184"/>
      <c r="P2476" t="s">
        <v>7045</v>
      </c>
      <c r="Q2476" t="s">
        <v>7262</v>
      </c>
      <c r="R2476" s="184">
        <v>20607</v>
      </c>
      <c r="S2476">
        <v>67</v>
      </c>
      <c r="U2476" t="s">
        <v>7031</v>
      </c>
      <c r="V2476" t="s">
        <v>2832</v>
      </c>
      <c r="W2476" t="s">
        <v>7246</v>
      </c>
      <c r="X2476" t="s">
        <v>3309</v>
      </c>
      <c r="AF2476" t="s">
        <v>21075</v>
      </c>
      <c r="AG2476" t="s">
        <v>2832</v>
      </c>
      <c r="AI2476" t="s">
        <v>21076</v>
      </c>
      <c r="AM2476" t="s">
        <v>3310</v>
      </c>
      <c r="AN2476" t="s">
        <v>2106</v>
      </c>
      <c r="AO2476" t="s">
        <v>21077</v>
      </c>
      <c r="AP2476" t="s">
        <v>7024</v>
      </c>
      <c r="AQ2476" t="s">
        <v>21078</v>
      </c>
      <c r="AR2476" t="s">
        <v>21079</v>
      </c>
      <c r="AT2476" s="184">
        <v>36389</v>
      </c>
      <c r="AU2476" t="s">
        <v>21068</v>
      </c>
      <c r="AV2476">
        <v>15</v>
      </c>
      <c r="AW2476" s="184">
        <v>45329</v>
      </c>
      <c r="AX2476" t="s">
        <v>8905</v>
      </c>
      <c r="AY2476">
        <v>36.75</v>
      </c>
      <c r="AZ2476" s="184">
        <v>45329</v>
      </c>
      <c r="BA2476" t="s">
        <v>8905</v>
      </c>
      <c r="BB2476">
        <v>36.75</v>
      </c>
      <c r="BC2476">
        <v>66</v>
      </c>
      <c r="BD2476">
        <v>656.75</v>
      </c>
      <c r="BE2476">
        <v>2000</v>
      </c>
      <c r="BF2476">
        <v>28</v>
      </c>
      <c r="BG2476">
        <v>3</v>
      </c>
      <c r="BH2476">
        <v>96.75</v>
      </c>
      <c r="BI2476">
        <v>17</v>
      </c>
      <c r="BJ2476">
        <v>26</v>
      </c>
      <c r="BK2476">
        <v>9</v>
      </c>
      <c r="BP2476" s="184"/>
    </row>
    <row r="2477" spans="1:68">
      <c r="A2477">
        <v>29744646</v>
      </c>
      <c r="B2477">
        <v>29744646</v>
      </c>
      <c r="C2477" t="s">
        <v>7018</v>
      </c>
      <c r="E2477" s="184"/>
      <c r="G2477" s="184"/>
      <c r="I2477" s="184"/>
      <c r="K2477" s="184"/>
      <c r="L2477" t="s">
        <v>595</v>
      </c>
      <c r="M2477" s="184">
        <v>44265</v>
      </c>
      <c r="O2477" s="184"/>
      <c r="P2477" t="s">
        <v>7045</v>
      </c>
      <c r="Q2477" t="s">
        <v>7383</v>
      </c>
      <c r="R2477" s="184">
        <v>14326</v>
      </c>
      <c r="S2477">
        <v>85</v>
      </c>
      <c r="U2477" t="s">
        <v>7031</v>
      </c>
      <c r="V2477" t="s">
        <v>3134</v>
      </c>
      <c r="W2477" t="s">
        <v>4139</v>
      </c>
      <c r="X2477" t="s">
        <v>21080</v>
      </c>
      <c r="Z2477">
        <v>100080993</v>
      </c>
      <c r="AA2477" t="s">
        <v>7130</v>
      </c>
      <c r="AB2477" t="s">
        <v>3504</v>
      </c>
      <c r="AD2477" t="s">
        <v>21080</v>
      </c>
      <c r="AF2477" t="s">
        <v>21081</v>
      </c>
      <c r="AG2477" t="s">
        <v>21082</v>
      </c>
      <c r="AI2477" t="s">
        <v>21083</v>
      </c>
      <c r="AM2477" t="s">
        <v>21084</v>
      </c>
      <c r="AN2477" t="s">
        <v>2064</v>
      </c>
      <c r="AO2477" t="s">
        <v>21085</v>
      </c>
      <c r="AP2477" t="s">
        <v>7024</v>
      </c>
      <c r="AQ2477" t="s">
        <v>21086</v>
      </c>
      <c r="AR2477" t="s">
        <v>21087</v>
      </c>
      <c r="AT2477" s="184">
        <v>36389</v>
      </c>
      <c r="AU2477" t="s">
        <v>21088</v>
      </c>
      <c r="AV2477">
        <v>25</v>
      </c>
      <c r="AW2477" s="184">
        <v>45224</v>
      </c>
      <c r="AX2477" t="s">
        <v>21089</v>
      </c>
      <c r="AY2477">
        <v>50</v>
      </c>
      <c r="AZ2477" s="184">
        <v>45224</v>
      </c>
      <c r="BA2477" t="s">
        <v>21089</v>
      </c>
      <c r="BB2477">
        <v>50</v>
      </c>
      <c r="BC2477">
        <v>81</v>
      </c>
      <c r="BD2477">
        <v>810</v>
      </c>
      <c r="BE2477">
        <v>2000</v>
      </c>
      <c r="BF2477">
        <v>23</v>
      </c>
      <c r="BG2477">
        <v>2</v>
      </c>
      <c r="BH2477">
        <v>100</v>
      </c>
      <c r="BI2477">
        <v>21</v>
      </c>
      <c r="BJ2477">
        <v>26</v>
      </c>
      <c r="BK2477">
        <v>13</v>
      </c>
      <c r="BP2477" s="184"/>
    </row>
    <row r="2478" spans="1:68">
      <c r="A2478">
        <v>100080993</v>
      </c>
      <c r="B2478">
        <v>29744646</v>
      </c>
      <c r="C2478" t="s">
        <v>7018</v>
      </c>
      <c r="E2478" s="184"/>
      <c r="G2478" s="184"/>
      <c r="I2478" s="184"/>
      <c r="K2478" s="184"/>
      <c r="L2478" t="s">
        <v>595</v>
      </c>
      <c r="M2478" s="184">
        <v>44265</v>
      </c>
      <c r="O2478" s="184"/>
      <c r="P2478" t="s">
        <v>7045</v>
      </c>
      <c r="Q2478" t="s">
        <v>7383</v>
      </c>
      <c r="R2478" s="184">
        <v>14882</v>
      </c>
      <c r="S2478">
        <v>83</v>
      </c>
      <c r="U2478" t="s">
        <v>7130</v>
      </c>
      <c r="V2478" t="s">
        <v>3504</v>
      </c>
      <c r="X2478" t="s">
        <v>21080</v>
      </c>
      <c r="Z2478">
        <v>29744646</v>
      </c>
      <c r="AA2478" t="s">
        <v>7031</v>
      </c>
      <c r="AB2478" t="s">
        <v>3134</v>
      </c>
      <c r="AC2478" t="s">
        <v>4139</v>
      </c>
      <c r="AD2478" t="s">
        <v>21080</v>
      </c>
      <c r="AF2478" t="s">
        <v>21081</v>
      </c>
      <c r="AG2478" t="s">
        <v>21082</v>
      </c>
      <c r="AI2478" t="s">
        <v>21083</v>
      </c>
      <c r="AM2478" t="s">
        <v>21084</v>
      </c>
      <c r="AN2478" t="s">
        <v>2064</v>
      </c>
      <c r="AO2478" t="s">
        <v>21085</v>
      </c>
      <c r="AP2478" t="s">
        <v>7024</v>
      </c>
      <c r="AQ2478" t="s">
        <v>21090</v>
      </c>
      <c r="AT2478" s="184"/>
      <c r="AW2478" s="184"/>
      <c r="AZ2478" s="184"/>
      <c r="BP2478" s="184"/>
    </row>
    <row r="2479" spans="1:68">
      <c r="A2479">
        <v>29762267</v>
      </c>
      <c r="B2479">
        <v>29762267</v>
      </c>
      <c r="C2479" t="s">
        <v>7018</v>
      </c>
      <c r="E2479" s="184"/>
      <c r="G2479" s="184"/>
      <c r="J2479" t="s">
        <v>595</v>
      </c>
      <c r="K2479" s="184">
        <v>41088</v>
      </c>
      <c r="M2479" s="184"/>
      <c r="O2479" s="184"/>
      <c r="P2479" t="s">
        <v>7029</v>
      </c>
      <c r="Q2479" t="s">
        <v>7262</v>
      </c>
      <c r="R2479" s="184">
        <v>17624</v>
      </c>
      <c r="S2479">
        <v>76</v>
      </c>
      <c r="U2479" t="s">
        <v>7031</v>
      </c>
      <c r="V2479" t="s">
        <v>2724</v>
      </c>
      <c r="W2479" t="s">
        <v>4152</v>
      </c>
      <c r="X2479" t="s">
        <v>3323</v>
      </c>
      <c r="Z2479">
        <v>100081024</v>
      </c>
      <c r="AA2479" t="s">
        <v>7076</v>
      </c>
      <c r="AB2479" t="s">
        <v>2845</v>
      </c>
      <c r="AC2479" t="s">
        <v>5006</v>
      </c>
      <c r="AD2479" t="s">
        <v>5909</v>
      </c>
      <c r="AF2479" t="s">
        <v>21091</v>
      </c>
      <c r="AG2479" t="s">
        <v>21092</v>
      </c>
      <c r="AI2479" t="s">
        <v>21093</v>
      </c>
      <c r="AM2479" t="s">
        <v>4686</v>
      </c>
      <c r="AN2479" t="s">
        <v>65</v>
      </c>
      <c r="AO2479" t="s">
        <v>21094</v>
      </c>
      <c r="AP2479" t="s">
        <v>7024</v>
      </c>
      <c r="AQ2479" t="s">
        <v>21095</v>
      </c>
      <c r="AR2479" t="s">
        <v>21096</v>
      </c>
      <c r="AT2479" s="184">
        <v>36390</v>
      </c>
      <c r="AU2479" t="s">
        <v>21097</v>
      </c>
      <c r="AV2479">
        <v>25</v>
      </c>
      <c r="AW2479" s="184">
        <v>45061</v>
      </c>
      <c r="AX2479" t="s">
        <v>21098</v>
      </c>
      <c r="AY2479">
        <v>100</v>
      </c>
      <c r="AZ2479" s="184">
        <v>41271</v>
      </c>
      <c r="BA2479" t="s">
        <v>21099</v>
      </c>
      <c r="BB2479">
        <v>2000</v>
      </c>
      <c r="BC2479">
        <v>89</v>
      </c>
      <c r="BD2479">
        <v>15315</v>
      </c>
      <c r="BE2479">
        <v>2000</v>
      </c>
      <c r="BF2479">
        <v>62</v>
      </c>
      <c r="BG2479">
        <v>2</v>
      </c>
      <c r="BH2479">
        <v>600</v>
      </c>
      <c r="BI2479">
        <v>23</v>
      </c>
      <c r="BJ2479">
        <v>26</v>
      </c>
      <c r="BK2479">
        <v>15</v>
      </c>
      <c r="BP2479" s="184"/>
    </row>
    <row r="2480" spans="1:68">
      <c r="A2480">
        <v>100081024</v>
      </c>
      <c r="B2480">
        <v>29762267</v>
      </c>
      <c r="C2480" t="s">
        <v>7018</v>
      </c>
      <c r="E2480" s="184"/>
      <c r="G2480" s="184"/>
      <c r="I2480" s="184"/>
      <c r="J2480" t="s">
        <v>595</v>
      </c>
      <c r="K2480" s="184">
        <v>41088</v>
      </c>
      <c r="M2480" s="184"/>
      <c r="O2480" s="184"/>
      <c r="P2480" t="s">
        <v>7029</v>
      </c>
      <c r="Q2480" t="s">
        <v>7262</v>
      </c>
      <c r="R2480" s="184">
        <v>17899</v>
      </c>
      <c r="S2480">
        <v>75</v>
      </c>
      <c r="U2480" t="s">
        <v>7076</v>
      </c>
      <c r="V2480" t="s">
        <v>2845</v>
      </c>
      <c r="W2480" t="s">
        <v>5006</v>
      </c>
      <c r="X2480" t="s">
        <v>5909</v>
      </c>
      <c r="Z2480">
        <v>29762267</v>
      </c>
      <c r="AA2480" t="s">
        <v>7031</v>
      </c>
      <c r="AB2480" t="s">
        <v>2724</v>
      </c>
      <c r="AC2480" t="s">
        <v>4152</v>
      </c>
      <c r="AD2480" t="s">
        <v>3323</v>
      </c>
      <c r="AF2480" t="s">
        <v>21091</v>
      </c>
      <c r="AG2480" t="s">
        <v>21092</v>
      </c>
      <c r="AI2480" t="s">
        <v>21093</v>
      </c>
      <c r="AM2480" t="s">
        <v>4686</v>
      </c>
      <c r="AN2480" t="s">
        <v>65</v>
      </c>
      <c r="AO2480" t="s">
        <v>21094</v>
      </c>
      <c r="AP2480" t="s">
        <v>7024</v>
      </c>
      <c r="AQ2480" t="s">
        <v>21100</v>
      </c>
      <c r="AR2480" t="s">
        <v>21101</v>
      </c>
      <c r="AT2480" s="184">
        <v>43312</v>
      </c>
      <c r="AU2480" t="s">
        <v>21102</v>
      </c>
      <c r="AV2480">
        <v>50</v>
      </c>
      <c r="AW2480" s="184">
        <v>44538</v>
      </c>
      <c r="AX2480" t="s">
        <v>21103</v>
      </c>
      <c r="AY2480">
        <v>100</v>
      </c>
      <c r="AZ2480" s="184">
        <v>44538</v>
      </c>
      <c r="BA2480" t="s">
        <v>21103</v>
      </c>
      <c r="BB2480">
        <v>100</v>
      </c>
      <c r="BC2480">
        <v>58</v>
      </c>
      <c r="BD2480">
        <v>450</v>
      </c>
      <c r="BE2480">
        <v>2019</v>
      </c>
      <c r="BF2480">
        <v>6</v>
      </c>
      <c r="BI2480">
        <v>4</v>
      </c>
      <c r="BJ2480">
        <v>7</v>
      </c>
      <c r="BK2480">
        <v>4</v>
      </c>
      <c r="BN2480" t="s">
        <v>595</v>
      </c>
      <c r="BP2480" s="184"/>
    </row>
    <row r="2481" spans="1:68">
      <c r="A2481">
        <v>29824232</v>
      </c>
      <c r="B2481">
        <v>29824232</v>
      </c>
      <c r="C2481" t="s">
        <v>7018</v>
      </c>
      <c r="D2481" t="s">
        <v>595</v>
      </c>
      <c r="E2481" s="184">
        <v>43642</v>
      </c>
      <c r="G2481" s="184"/>
      <c r="K2481" s="184"/>
      <c r="M2481" s="184"/>
      <c r="O2481" s="184"/>
      <c r="P2481" t="s">
        <v>7019</v>
      </c>
      <c r="Q2481" t="s">
        <v>7262</v>
      </c>
      <c r="R2481" s="184">
        <v>10959</v>
      </c>
      <c r="S2481">
        <v>94</v>
      </c>
      <c r="U2481" t="s">
        <v>7031</v>
      </c>
      <c r="V2481" t="s">
        <v>3311</v>
      </c>
      <c r="X2481" t="s">
        <v>3312</v>
      </c>
      <c r="AF2481" t="s">
        <v>21104</v>
      </c>
      <c r="AG2481" t="s">
        <v>3311</v>
      </c>
      <c r="AI2481" t="s">
        <v>21105</v>
      </c>
      <c r="AM2481" t="s">
        <v>3313</v>
      </c>
      <c r="AN2481" t="s">
        <v>2106</v>
      </c>
      <c r="AO2481" t="s">
        <v>21106</v>
      </c>
      <c r="AP2481" t="s">
        <v>7024</v>
      </c>
      <c r="AT2481" s="184">
        <v>36392</v>
      </c>
      <c r="AU2481" t="s">
        <v>21107</v>
      </c>
      <c r="AV2481">
        <v>25</v>
      </c>
      <c r="AW2481" s="184">
        <v>40105</v>
      </c>
      <c r="AX2481" t="s">
        <v>21108</v>
      </c>
      <c r="AY2481">
        <v>87</v>
      </c>
      <c r="AZ2481" s="184">
        <v>40105</v>
      </c>
      <c r="BA2481" t="s">
        <v>21108</v>
      </c>
      <c r="BB2481">
        <v>87</v>
      </c>
      <c r="BC2481">
        <v>35</v>
      </c>
      <c r="BD2481">
        <v>522</v>
      </c>
      <c r="BE2481">
        <v>2000</v>
      </c>
      <c r="BF2481">
        <v>10</v>
      </c>
      <c r="BI2481">
        <v>9</v>
      </c>
      <c r="BJ2481">
        <v>26</v>
      </c>
      <c r="BK2481">
        <v>7</v>
      </c>
      <c r="BP2481" s="184"/>
    </row>
    <row r="2482" spans="1:68">
      <c r="A2482">
        <v>29824323</v>
      </c>
      <c r="B2482">
        <v>29824323</v>
      </c>
      <c r="C2482" t="s">
        <v>7018</v>
      </c>
      <c r="D2482" t="s">
        <v>595</v>
      </c>
      <c r="E2482" s="184">
        <v>43864</v>
      </c>
      <c r="G2482" s="184"/>
      <c r="I2482" s="184"/>
      <c r="K2482" s="184"/>
      <c r="M2482" s="184"/>
      <c r="O2482" s="184"/>
      <c r="P2482" t="s">
        <v>7045</v>
      </c>
      <c r="Q2482" t="s">
        <v>7020</v>
      </c>
      <c r="R2482" s="184">
        <v>18902</v>
      </c>
      <c r="S2482">
        <v>72</v>
      </c>
      <c r="U2482" t="s">
        <v>7076</v>
      </c>
      <c r="V2482" t="s">
        <v>2602</v>
      </c>
      <c r="X2482" t="s">
        <v>4716</v>
      </c>
      <c r="AF2482" t="s">
        <v>21109</v>
      </c>
      <c r="AG2482" t="s">
        <v>2602</v>
      </c>
      <c r="AI2482" t="s">
        <v>21110</v>
      </c>
      <c r="AM2482" t="s">
        <v>4717</v>
      </c>
      <c r="AN2482" t="s">
        <v>2112</v>
      </c>
      <c r="AO2482" t="s">
        <v>21111</v>
      </c>
      <c r="AP2482" t="s">
        <v>7024</v>
      </c>
      <c r="AQ2482" t="s">
        <v>21112</v>
      </c>
      <c r="AT2482" s="184">
        <v>36392</v>
      </c>
      <c r="AU2482" t="s">
        <v>21113</v>
      </c>
      <c r="AV2482">
        <v>15</v>
      </c>
      <c r="AW2482" s="184">
        <v>45402</v>
      </c>
      <c r="AX2482" t="s">
        <v>7429</v>
      </c>
      <c r="AY2482">
        <v>15</v>
      </c>
      <c r="AZ2482" s="184">
        <v>43977</v>
      </c>
      <c r="BA2482" t="s">
        <v>7373</v>
      </c>
      <c r="BB2482">
        <v>87</v>
      </c>
      <c r="BC2482">
        <v>77</v>
      </c>
      <c r="BD2482">
        <v>1427</v>
      </c>
      <c r="BE2482">
        <v>2000</v>
      </c>
      <c r="BF2482">
        <v>63</v>
      </c>
      <c r="BG2482">
        <v>25</v>
      </c>
      <c r="BH2482">
        <v>320</v>
      </c>
      <c r="BI2482">
        <v>20</v>
      </c>
      <c r="BJ2482">
        <v>26</v>
      </c>
      <c r="BK2482">
        <v>13</v>
      </c>
      <c r="BP2482" s="184"/>
    </row>
    <row r="2483" spans="1:68">
      <c r="A2483">
        <v>29856390</v>
      </c>
      <c r="B2483">
        <v>29856390</v>
      </c>
      <c r="C2483" t="s">
        <v>7018</v>
      </c>
      <c r="E2483" s="184"/>
      <c r="G2483" s="184"/>
      <c r="I2483" s="184"/>
      <c r="J2483" t="s">
        <v>595</v>
      </c>
      <c r="K2483" s="184">
        <v>40886</v>
      </c>
      <c r="M2483" s="184"/>
      <c r="O2483" s="184"/>
      <c r="P2483" t="s">
        <v>7045</v>
      </c>
      <c r="Q2483" t="s">
        <v>7374</v>
      </c>
      <c r="R2483" s="184">
        <v>9423</v>
      </c>
      <c r="S2483">
        <v>98</v>
      </c>
      <c r="U2483" t="s">
        <v>7031</v>
      </c>
      <c r="V2483" t="s">
        <v>2551</v>
      </c>
      <c r="W2483" t="s">
        <v>7396</v>
      </c>
      <c r="X2483" t="s">
        <v>21114</v>
      </c>
      <c r="AF2483" t="s">
        <v>6677</v>
      </c>
      <c r="AG2483" t="s">
        <v>2551</v>
      </c>
      <c r="AI2483" t="s">
        <v>21115</v>
      </c>
      <c r="AM2483" t="s">
        <v>3109</v>
      </c>
      <c r="AN2483" t="s">
        <v>2081</v>
      </c>
      <c r="AO2483" t="s">
        <v>21116</v>
      </c>
      <c r="AP2483" t="s">
        <v>7024</v>
      </c>
      <c r="AT2483" s="184">
        <v>36398</v>
      </c>
      <c r="AU2483" t="s">
        <v>21117</v>
      </c>
      <c r="AV2483">
        <v>25</v>
      </c>
      <c r="AW2483" s="184">
        <v>41914</v>
      </c>
      <c r="AX2483" t="s">
        <v>12927</v>
      </c>
      <c r="AY2483">
        <v>25</v>
      </c>
      <c r="AZ2483" s="184">
        <v>41914</v>
      </c>
      <c r="BA2483" t="s">
        <v>12927</v>
      </c>
      <c r="BB2483">
        <v>25</v>
      </c>
      <c r="BC2483">
        <v>31</v>
      </c>
      <c r="BD2483">
        <v>173</v>
      </c>
      <c r="BE2483">
        <v>2000</v>
      </c>
      <c r="BF2483">
        <v>8</v>
      </c>
      <c r="BI2483">
        <v>8</v>
      </c>
      <c r="BJ2483">
        <v>26</v>
      </c>
      <c r="BK2483">
        <v>2</v>
      </c>
      <c r="BP2483" s="184"/>
    </row>
    <row r="2484" spans="1:68">
      <c r="A2484">
        <v>29861267</v>
      </c>
      <c r="B2484">
        <v>29861267</v>
      </c>
      <c r="C2484" t="s">
        <v>7018</v>
      </c>
      <c r="D2484" t="s">
        <v>595</v>
      </c>
      <c r="E2484" s="184">
        <v>43970</v>
      </c>
      <c r="G2484" s="184"/>
      <c r="K2484" s="184"/>
      <c r="M2484" s="184"/>
      <c r="O2484" s="184"/>
      <c r="P2484" t="s">
        <v>7045</v>
      </c>
      <c r="Q2484" t="s">
        <v>7374</v>
      </c>
      <c r="R2484" s="184">
        <v>16285</v>
      </c>
      <c r="S2484">
        <v>79</v>
      </c>
      <c r="V2484" t="s">
        <v>21118</v>
      </c>
      <c r="X2484" t="s">
        <v>21119</v>
      </c>
      <c r="AF2484" t="s">
        <v>21120</v>
      </c>
      <c r="AG2484" t="s">
        <v>21118</v>
      </c>
      <c r="AI2484" t="s">
        <v>21121</v>
      </c>
      <c r="AM2484" t="s">
        <v>9745</v>
      </c>
      <c r="AN2484" t="s">
        <v>2081</v>
      </c>
      <c r="AO2484" t="s">
        <v>21122</v>
      </c>
      <c r="AP2484" t="s">
        <v>7024</v>
      </c>
      <c r="AT2484" s="184">
        <v>36399</v>
      </c>
      <c r="AU2484" t="s">
        <v>21117</v>
      </c>
      <c r="AV2484">
        <v>15</v>
      </c>
      <c r="AW2484" s="184">
        <v>44421</v>
      </c>
      <c r="AX2484" t="s">
        <v>21123</v>
      </c>
      <c r="AY2484">
        <v>20</v>
      </c>
      <c r="AZ2484" s="184">
        <v>37776</v>
      </c>
      <c r="BA2484" t="s">
        <v>21124</v>
      </c>
      <c r="BB2484">
        <v>35</v>
      </c>
      <c r="BC2484">
        <v>85</v>
      </c>
      <c r="BD2484">
        <v>1160</v>
      </c>
      <c r="BE2484">
        <v>2000</v>
      </c>
      <c r="BF2484">
        <v>51</v>
      </c>
      <c r="BI2484">
        <v>22</v>
      </c>
      <c r="BJ2484">
        <v>26</v>
      </c>
      <c r="BK2484">
        <v>17</v>
      </c>
      <c r="BP2484" s="184"/>
    </row>
    <row r="2485" spans="1:68">
      <c r="A2485">
        <v>29863735</v>
      </c>
      <c r="B2485">
        <v>29863735</v>
      </c>
      <c r="C2485" t="s">
        <v>7018</v>
      </c>
      <c r="D2485" t="s">
        <v>595</v>
      </c>
      <c r="E2485" s="184">
        <v>43647</v>
      </c>
      <c r="G2485" s="184"/>
      <c r="I2485" s="184"/>
      <c r="K2485" s="184"/>
      <c r="M2485" s="184"/>
      <c r="O2485" s="184"/>
      <c r="P2485" t="s">
        <v>7045</v>
      </c>
      <c r="Q2485" t="s">
        <v>7383</v>
      </c>
      <c r="R2485" s="184">
        <v>18841</v>
      </c>
      <c r="S2485">
        <v>72</v>
      </c>
      <c r="U2485" t="s">
        <v>7076</v>
      </c>
      <c r="V2485" t="s">
        <v>3545</v>
      </c>
      <c r="X2485" t="s">
        <v>3546</v>
      </c>
      <c r="AF2485" t="s">
        <v>21125</v>
      </c>
      <c r="AG2485" t="s">
        <v>3545</v>
      </c>
      <c r="AI2485" t="s">
        <v>21126</v>
      </c>
      <c r="AM2485" t="s">
        <v>2878</v>
      </c>
      <c r="AN2485" t="s">
        <v>2313</v>
      </c>
      <c r="AO2485" t="s">
        <v>21127</v>
      </c>
      <c r="AP2485" t="s">
        <v>7024</v>
      </c>
      <c r="AQ2485" t="s">
        <v>21128</v>
      </c>
      <c r="AT2485" s="184">
        <v>36399</v>
      </c>
      <c r="AU2485" t="s">
        <v>14637</v>
      </c>
      <c r="AV2485">
        <v>25</v>
      </c>
      <c r="AW2485" s="184">
        <v>45261</v>
      </c>
      <c r="AX2485" t="s">
        <v>21129</v>
      </c>
      <c r="AY2485">
        <v>200</v>
      </c>
      <c r="AZ2485" s="184">
        <v>45261</v>
      </c>
      <c r="BA2485" t="s">
        <v>21129</v>
      </c>
      <c r="BB2485">
        <v>200</v>
      </c>
      <c r="BC2485">
        <v>93</v>
      </c>
      <c r="BD2485">
        <v>3235</v>
      </c>
      <c r="BE2485">
        <v>2000</v>
      </c>
      <c r="BF2485">
        <v>33</v>
      </c>
      <c r="BG2485">
        <v>2</v>
      </c>
      <c r="BH2485">
        <v>300</v>
      </c>
      <c r="BI2485">
        <v>24</v>
      </c>
      <c r="BJ2485">
        <v>26</v>
      </c>
      <c r="BK2485">
        <v>14</v>
      </c>
      <c r="BP2485" s="184"/>
    </row>
    <row r="2486" spans="1:68">
      <c r="A2486">
        <v>29917531</v>
      </c>
      <c r="B2486">
        <v>29917531</v>
      </c>
      <c r="C2486" t="s">
        <v>7018</v>
      </c>
      <c r="E2486" s="184"/>
      <c r="G2486" s="184"/>
      <c r="I2486" s="184"/>
      <c r="J2486" t="s">
        <v>595</v>
      </c>
      <c r="K2486" s="184">
        <v>39293</v>
      </c>
      <c r="M2486" s="184"/>
      <c r="O2486" s="184"/>
      <c r="P2486" t="s">
        <v>7045</v>
      </c>
      <c r="Q2486" t="s">
        <v>7374</v>
      </c>
      <c r="R2486" s="184">
        <v>11994</v>
      </c>
      <c r="S2486">
        <v>91</v>
      </c>
      <c r="U2486" t="s">
        <v>7130</v>
      </c>
      <c r="V2486" t="s">
        <v>2718</v>
      </c>
      <c r="X2486" t="s">
        <v>21130</v>
      </c>
      <c r="Z2486">
        <v>100081552</v>
      </c>
      <c r="AB2486" t="s">
        <v>4151</v>
      </c>
      <c r="AD2486" t="s">
        <v>21130</v>
      </c>
      <c r="AF2486" t="s">
        <v>6655</v>
      </c>
      <c r="AG2486" t="s">
        <v>21131</v>
      </c>
      <c r="AI2486" t="s">
        <v>21132</v>
      </c>
      <c r="AM2486" t="s">
        <v>10189</v>
      </c>
      <c r="AN2486" t="s">
        <v>2081</v>
      </c>
      <c r="AO2486" t="s">
        <v>21133</v>
      </c>
      <c r="AP2486" t="s">
        <v>7024</v>
      </c>
      <c r="AQ2486" t="s">
        <v>21134</v>
      </c>
      <c r="AR2486" t="s">
        <v>21135</v>
      </c>
      <c r="AT2486" s="184">
        <v>36362</v>
      </c>
      <c r="AU2486" t="s">
        <v>14778</v>
      </c>
      <c r="AV2486">
        <v>10</v>
      </c>
      <c r="AW2486" s="184">
        <v>45411</v>
      </c>
      <c r="AX2486" t="s">
        <v>21136</v>
      </c>
      <c r="AY2486">
        <v>10</v>
      </c>
      <c r="AZ2486" s="184">
        <v>38845</v>
      </c>
      <c r="BA2486" t="s">
        <v>21137</v>
      </c>
      <c r="BB2486">
        <v>60</v>
      </c>
      <c r="BC2486">
        <v>54</v>
      </c>
      <c r="BD2486">
        <v>340</v>
      </c>
      <c r="BE2486">
        <v>2000</v>
      </c>
      <c r="BF2486">
        <v>18</v>
      </c>
      <c r="BG2486">
        <v>3</v>
      </c>
      <c r="BH2486">
        <v>30</v>
      </c>
      <c r="BI2486">
        <v>14</v>
      </c>
      <c r="BJ2486">
        <v>26</v>
      </c>
      <c r="BK2486">
        <v>5</v>
      </c>
      <c r="BP2486" s="184"/>
    </row>
    <row r="2487" spans="1:68">
      <c r="A2487">
        <v>100081552</v>
      </c>
      <c r="B2487">
        <v>29917531</v>
      </c>
      <c r="C2487" t="s">
        <v>7018</v>
      </c>
      <c r="E2487" s="184"/>
      <c r="G2487" s="184"/>
      <c r="I2487" s="184"/>
      <c r="J2487" t="s">
        <v>595</v>
      </c>
      <c r="K2487" s="184">
        <v>39293</v>
      </c>
      <c r="M2487" s="184"/>
      <c r="O2487" s="184"/>
      <c r="P2487" t="s">
        <v>7045</v>
      </c>
      <c r="Q2487" t="s">
        <v>7374</v>
      </c>
      <c r="R2487" s="184">
        <v>11630</v>
      </c>
      <c r="S2487">
        <v>92</v>
      </c>
      <c r="V2487" t="s">
        <v>4151</v>
      </c>
      <c r="X2487" t="s">
        <v>21130</v>
      </c>
      <c r="Z2487">
        <v>29917531</v>
      </c>
      <c r="AA2487" t="s">
        <v>7130</v>
      </c>
      <c r="AB2487" t="s">
        <v>2718</v>
      </c>
      <c r="AD2487" t="s">
        <v>21130</v>
      </c>
      <c r="AF2487" t="s">
        <v>6655</v>
      </c>
      <c r="AG2487" t="s">
        <v>21131</v>
      </c>
      <c r="AI2487" t="s">
        <v>21132</v>
      </c>
      <c r="AM2487" t="s">
        <v>10189</v>
      </c>
      <c r="AN2487" t="s">
        <v>2081</v>
      </c>
      <c r="AO2487" t="s">
        <v>21133</v>
      </c>
      <c r="AP2487" t="s">
        <v>7024</v>
      </c>
      <c r="AT2487" s="184"/>
      <c r="AW2487" s="184"/>
      <c r="AZ2487" s="184"/>
      <c r="BP2487" s="184"/>
    </row>
    <row r="2488" spans="1:68">
      <c r="A2488">
        <v>29930963</v>
      </c>
      <c r="B2488">
        <v>29930963</v>
      </c>
      <c r="C2488" t="s">
        <v>7018</v>
      </c>
      <c r="E2488" s="184"/>
      <c r="G2488" s="184"/>
      <c r="I2488" s="184"/>
      <c r="J2488" t="s">
        <v>595</v>
      </c>
      <c r="K2488" s="184">
        <v>41716</v>
      </c>
      <c r="M2488" s="184"/>
      <c r="O2488" s="184"/>
      <c r="P2488" t="s">
        <v>7045</v>
      </c>
      <c r="Q2488" t="s">
        <v>7454</v>
      </c>
      <c r="R2488" s="184">
        <v>12932</v>
      </c>
      <c r="S2488">
        <v>88</v>
      </c>
      <c r="U2488" t="s">
        <v>7032</v>
      </c>
      <c r="V2488" t="s">
        <v>2511</v>
      </c>
      <c r="W2488" t="s">
        <v>17960</v>
      </c>
      <c r="X2488" t="s">
        <v>21138</v>
      </c>
      <c r="Z2488">
        <v>100081616</v>
      </c>
      <c r="AA2488" t="s">
        <v>7032</v>
      </c>
      <c r="AB2488" t="s">
        <v>3431</v>
      </c>
      <c r="AC2488" t="s">
        <v>7248</v>
      </c>
      <c r="AD2488" t="s">
        <v>21138</v>
      </c>
      <c r="AF2488" t="s">
        <v>6546</v>
      </c>
      <c r="AG2488" t="s">
        <v>21139</v>
      </c>
      <c r="AI2488" t="s">
        <v>21140</v>
      </c>
      <c r="AM2488" t="s">
        <v>2608</v>
      </c>
      <c r="AN2488" t="s">
        <v>2299</v>
      </c>
      <c r="AO2488" t="s">
        <v>15996</v>
      </c>
      <c r="AP2488" t="s">
        <v>7024</v>
      </c>
      <c r="AQ2488" t="s">
        <v>21141</v>
      </c>
      <c r="AR2488" t="s">
        <v>21142</v>
      </c>
      <c r="AT2488" s="184">
        <v>36376</v>
      </c>
      <c r="AU2488" t="s">
        <v>20998</v>
      </c>
      <c r="AV2488">
        <v>25</v>
      </c>
      <c r="AW2488" s="184">
        <v>44879</v>
      </c>
      <c r="AX2488" t="s">
        <v>18267</v>
      </c>
      <c r="AY2488">
        <v>50</v>
      </c>
      <c r="AZ2488" s="184">
        <v>41971</v>
      </c>
      <c r="BA2488" t="s">
        <v>19217</v>
      </c>
      <c r="BB2488">
        <v>87</v>
      </c>
      <c r="BC2488">
        <v>77</v>
      </c>
      <c r="BD2488">
        <v>797</v>
      </c>
      <c r="BE2488">
        <v>2000</v>
      </c>
      <c r="BF2488">
        <v>21</v>
      </c>
      <c r="BG2488">
        <v>1</v>
      </c>
      <c r="BH2488">
        <v>50</v>
      </c>
      <c r="BI2488">
        <v>20</v>
      </c>
      <c r="BJ2488">
        <v>26</v>
      </c>
      <c r="BK2488">
        <v>13</v>
      </c>
      <c r="BP2488" s="184"/>
    </row>
    <row r="2489" spans="1:68">
      <c r="A2489">
        <v>100081616</v>
      </c>
      <c r="B2489">
        <v>29930963</v>
      </c>
      <c r="C2489" t="s">
        <v>7018</v>
      </c>
      <c r="E2489" s="184"/>
      <c r="G2489" s="184"/>
      <c r="I2489" s="184"/>
      <c r="J2489" t="s">
        <v>595</v>
      </c>
      <c r="K2489" s="184">
        <v>41716</v>
      </c>
      <c r="M2489" s="184"/>
      <c r="O2489" s="184"/>
      <c r="P2489" t="s">
        <v>7045</v>
      </c>
      <c r="Q2489" t="s">
        <v>7454</v>
      </c>
      <c r="R2489" s="184">
        <v>13307</v>
      </c>
      <c r="S2489">
        <v>87</v>
      </c>
      <c r="U2489" t="s">
        <v>7032</v>
      </c>
      <c r="V2489" t="s">
        <v>3431</v>
      </c>
      <c r="W2489" t="s">
        <v>7248</v>
      </c>
      <c r="X2489" t="s">
        <v>21138</v>
      </c>
      <c r="Z2489">
        <v>29930963</v>
      </c>
      <c r="AA2489" t="s">
        <v>7032</v>
      </c>
      <c r="AB2489" t="s">
        <v>2511</v>
      </c>
      <c r="AC2489" t="s">
        <v>17960</v>
      </c>
      <c r="AD2489" t="s">
        <v>21138</v>
      </c>
      <c r="AF2489" t="s">
        <v>6546</v>
      </c>
      <c r="AG2489" t="s">
        <v>21139</v>
      </c>
      <c r="AI2489" t="s">
        <v>21140</v>
      </c>
      <c r="AM2489" t="s">
        <v>2608</v>
      </c>
      <c r="AN2489" t="s">
        <v>2299</v>
      </c>
      <c r="AO2489" t="s">
        <v>15996</v>
      </c>
      <c r="AP2489" t="s">
        <v>7024</v>
      </c>
      <c r="AT2489" s="184"/>
      <c r="AW2489" s="184"/>
      <c r="AZ2489" s="184"/>
      <c r="BP2489" s="184"/>
    </row>
    <row r="2490" spans="1:68">
      <c r="A2490">
        <v>29960929</v>
      </c>
      <c r="B2490">
        <v>29960929</v>
      </c>
      <c r="C2490" t="s">
        <v>7018</v>
      </c>
      <c r="E2490" s="184"/>
      <c r="G2490" s="184"/>
      <c r="I2490" s="184"/>
      <c r="K2490" s="184"/>
      <c r="L2490" t="s">
        <v>595</v>
      </c>
      <c r="M2490" s="184">
        <v>44501</v>
      </c>
      <c r="O2490" s="184"/>
      <c r="P2490" t="s">
        <v>7029</v>
      </c>
      <c r="Q2490" t="s">
        <v>7374</v>
      </c>
      <c r="R2490" s="184">
        <v>15014</v>
      </c>
      <c r="S2490">
        <v>83</v>
      </c>
      <c r="U2490" t="s">
        <v>7031</v>
      </c>
      <c r="V2490" t="s">
        <v>14917</v>
      </c>
      <c r="X2490" t="s">
        <v>21143</v>
      </c>
      <c r="AF2490" t="s">
        <v>21144</v>
      </c>
      <c r="AG2490" t="s">
        <v>14917</v>
      </c>
      <c r="AI2490" t="s">
        <v>21145</v>
      </c>
      <c r="AM2490" t="s">
        <v>4864</v>
      </c>
      <c r="AN2490" t="s">
        <v>2081</v>
      </c>
      <c r="AO2490" t="s">
        <v>21146</v>
      </c>
      <c r="AP2490" t="s">
        <v>7024</v>
      </c>
      <c r="AQ2490" t="s">
        <v>21147</v>
      </c>
      <c r="AT2490" s="184">
        <v>36389</v>
      </c>
      <c r="AU2490" t="s">
        <v>21148</v>
      </c>
      <c r="AV2490">
        <v>60</v>
      </c>
      <c r="AW2490" s="184">
        <v>45247</v>
      </c>
      <c r="AX2490" t="s">
        <v>7053</v>
      </c>
      <c r="AY2490">
        <v>500</v>
      </c>
      <c r="AZ2490" s="184">
        <v>45247</v>
      </c>
      <c r="BA2490" t="s">
        <v>7053</v>
      </c>
      <c r="BB2490">
        <v>500</v>
      </c>
      <c r="BC2490">
        <v>77</v>
      </c>
      <c r="BD2490">
        <v>5860</v>
      </c>
      <c r="BE2490">
        <v>2000</v>
      </c>
      <c r="BF2490">
        <v>26</v>
      </c>
      <c r="BG2490">
        <v>2</v>
      </c>
      <c r="BH2490">
        <v>1000</v>
      </c>
      <c r="BI2490">
        <v>20</v>
      </c>
      <c r="BJ2490">
        <v>26</v>
      </c>
      <c r="BK2490">
        <v>9</v>
      </c>
      <c r="BP2490" s="184"/>
    </row>
    <row r="2491" spans="1:68">
      <c r="A2491">
        <v>29975604</v>
      </c>
      <c r="B2491">
        <v>29975604</v>
      </c>
      <c r="C2491" t="s">
        <v>7018</v>
      </c>
      <c r="E2491" s="184"/>
      <c r="G2491" s="184"/>
      <c r="I2491" s="184"/>
      <c r="J2491" t="s">
        <v>595</v>
      </c>
      <c r="K2491" s="184">
        <v>45399</v>
      </c>
      <c r="M2491" s="184"/>
      <c r="O2491" s="184"/>
      <c r="P2491" t="s">
        <v>7045</v>
      </c>
      <c r="Q2491" t="s">
        <v>7383</v>
      </c>
      <c r="R2491" s="184">
        <v>8341</v>
      </c>
      <c r="S2491">
        <v>101</v>
      </c>
      <c r="U2491" t="s">
        <v>7076</v>
      </c>
      <c r="V2491" t="s">
        <v>5400</v>
      </c>
      <c r="W2491" t="s">
        <v>7560</v>
      </c>
      <c r="X2491" t="s">
        <v>21149</v>
      </c>
      <c r="AF2491" t="s">
        <v>21150</v>
      </c>
      <c r="AG2491" t="s">
        <v>5400</v>
      </c>
      <c r="AI2491" t="s">
        <v>21151</v>
      </c>
      <c r="AM2491" t="s">
        <v>3717</v>
      </c>
      <c r="AN2491" t="s">
        <v>2059</v>
      </c>
      <c r="AO2491" t="s">
        <v>21152</v>
      </c>
      <c r="AP2491" t="s">
        <v>7024</v>
      </c>
      <c r="AT2491" s="184">
        <v>36389</v>
      </c>
      <c r="AU2491" t="s">
        <v>21019</v>
      </c>
      <c r="AV2491">
        <v>50</v>
      </c>
      <c r="AW2491" s="184">
        <v>41927</v>
      </c>
      <c r="AX2491" t="s">
        <v>21153</v>
      </c>
      <c r="AY2491">
        <v>40</v>
      </c>
      <c r="AZ2491" s="184">
        <v>37270</v>
      </c>
      <c r="BA2491" t="s">
        <v>21154</v>
      </c>
      <c r="BB2491">
        <v>150</v>
      </c>
      <c r="BC2491">
        <v>62</v>
      </c>
      <c r="BD2491">
        <v>2169</v>
      </c>
      <c r="BE2491">
        <v>2000</v>
      </c>
      <c r="BF2491">
        <v>51</v>
      </c>
      <c r="BI2491">
        <v>16</v>
      </c>
      <c r="BJ2491">
        <v>26</v>
      </c>
      <c r="BK2491">
        <v>16</v>
      </c>
      <c r="BO2491" t="s">
        <v>595</v>
      </c>
      <c r="BP2491" s="184">
        <v>45328</v>
      </c>
    </row>
    <row r="2492" spans="1:68">
      <c r="A2492">
        <v>29993631</v>
      </c>
      <c r="B2492">
        <v>29993631</v>
      </c>
      <c r="C2492" t="s">
        <v>7018</v>
      </c>
      <c r="D2492" t="s">
        <v>595</v>
      </c>
      <c r="E2492" s="184">
        <v>43647</v>
      </c>
      <c r="G2492" s="184"/>
      <c r="I2492" s="184"/>
      <c r="K2492" s="184"/>
      <c r="O2492" s="184"/>
      <c r="P2492" t="s">
        <v>7045</v>
      </c>
      <c r="Q2492" t="s">
        <v>7020</v>
      </c>
      <c r="R2492" s="184">
        <v>18110</v>
      </c>
      <c r="S2492">
        <v>74</v>
      </c>
      <c r="V2492" t="s">
        <v>3547</v>
      </c>
      <c r="X2492" t="s">
        <v>3548</v>
      </c>
      <c r="AF2492" t="s">
        <v>21155</v>
      </c>
      <c r="AG2492" t="s">
        <v>3547</v>
      </c>
      <c r="AI2492" t="s">
        <v>21156</v>
      </c>
      <c r="AM2492" t="s">
        <v>3549</v>
      </c>
      <c r="AN2492" t="s">
        <v>2112</v>
      </c>
      <c r="AO2492" t="s">
        <v>21157</v>
      </c>
      <c r="AP2492" t="s">
        <v>7024</v>
      </c>
      <c r="AT2492" s="184">
        <v>36419</v>
      </c>
      <c r="AU2492" t="s">
        <v>21158</v>
      </c>
      <c r="AV2492">
        <v>15</v>
      </c>
      <c r="AW2492" s="184">
        <v>45366</v>
      </c>
      <c r="AX2492" t="s">
        <v>10925</v>
      </c>
      <c r="AY2492">
        <v>300</v>
      </c>
      <c r="AZ2492" s="184">
        <v>43025</v>
      </c>
      <c r="BA2492" t="s">
        <v>13288</v>
      </c>
      <c r="BB2492">
        <v>1000</v>
      </c>
      <c r="BC2492">
        <v>70</v>
      </c>
      <c r="BD2492">
        <v>7060</v>
      </c>
      <c r="BE2492">
        <v>2000</v>
      </c>
      <c r="BF2492">
        <v>45</v>
      </c>
      <c r="BG2492">
        <v>2</v>
      </c>
      <c r="BH2492">
        <v>600</v>
      </c>
      <c r="BI2492">
        <v>18</v>
      </c>
      <c r="BJ2492">
        <v>26</v>
      </c>
      <c r="BK2492">
        <v>7</v>
      </c>
      <c r="BP2492" s="184"/>
    </row>
    <row r="2493" spans="1:68">
      <c r="A2493">
        <v>30048292</v>
      </c>
      <c r="B2493">
        <v>30048292</v>
      </c>
      <c r="C2493" t="s">
        <v>7018</v>
      </c>
      <c r="D2493" t="s">
        <v>595</v>
      </c>
      <c r="E2493" s="184">
        <v>44167</v>
      </c>
      <c r="G2493" s="184"/>
      <c r="I2493" s="184"/>
      <c r="K2493" s="184"/>
      <c r="O2493" s="184"/>
      <c r="P2493" t="s">
        <v>7045</v>
      </c>
      <c r="Q2493" t="s">
        <v>7160</v>
      </c>
      <c r="R2493" s="184">
        <v>18507</v>
      </c>
      <c r="S2493">
        <v>73</v>
      </c>
      <c r="V2493" t="s">
        <v>2602</v>
      </c>
      <c r="X2493" t="s">
        <v>14865</v>
      </c>
      <c r="AF2493" t="s">
        <v>21159</v>
      </c>
      <c r="AG2493" t="s">
        <v>2602</v>
      </c>
      <c r="AI2493" t="s">
        <v>21160</v>
      </c>
      <c r="AM2493" t="s">
        <v>4966</v>
      </c>
      <c r="AN2493" t="s">
        <v>2395</v>
      </c>
      <c r="AO2493" t="s">
        <v>21161</v>
      </c>
      <c r="AP2493" t="s">
        <v>7024</v>
      </c>
      <c r="AQ2493" t="s">
        <v>21162</v>
      </c>
      <c r="AT2493" s="184">
        <v>36410</v>
      </c>
      <c r="AU2493" t="s">
        <v>21163</v>
      </c>
      <c r="AV2493">
        <v>25</v>
      </c>
      <c r="AW2493" s="184">
        <v>45154</v>
      </c>
      <c r="AX2493" t="s">
        <v>21164</v>
      </c>
      <c r="AY2493">
        <v>250</v>
      </c>
      <c r="AZ2493" s="184">
        <v>45154</v>
      </c>
      <c r="BA2493" t="s">
        <v>21164</v>
      </c>
      <c r="BB2493">
        <v>250</v>
      </c>
      <c r="BC2493">
        <v>97</v>
      </c>
      <c r="BD2493">
        <v>3870</v>
      </c>
      <c r="BE2493">
        <v>2000</v>
      </c>
      <c r="BF2493">
        <v>28</v>
      </c>
      <c r="BG2493">
        <v>2</v>
      </c>
      <c r="BH2493">
        <v>500</v>
      </c>
      <c r="BI2493">
        <v>25</v>
      </c>
      <c r="BJ2493">
        <v>26</v>
      </c>
      <c r="BK2493">
        <v>25</v>
      </c>
      <c r="BP2493" s="184"/>
    </row>
    <row r="2494" spans="1:68">
      <c r="A2494">
        <v>30052443</v>
      </c>
      <c r="B2494">
        <v>30052443</v>
      </c>
      <c r="C2494" t="s">
        <v>7018</v>
      </c>
      <c r="D2494" t="s">
        <v>595</v>
      </c>
      <c r="E2494" s="184">
        <v>43801</v>
      </c>
      <c r="G2494" s="184"/>
      <c r="I2494" s="184"/>
      <c r="K2494" s="184"/>
      <c r="M2494" s="184"/>
      <c r="O2494" s="184"/>
      <c r="P2494" t="s">
        <v>7045</v>
      </c>
      <c r="Q2494" t="s">
        <v>7374</v>
      </c>
      <c r="R2494" s="184">
        <v>17064</v>
      </c>
      <c r="S2494">
        <v>77</v>
      </c>
      <c r="U2494" t="s">
        <v>7076</v>
      </c>
      <c r="V2494" t="s">
        <v>3317</v>
      </c>
      <c r="W2494" t="s">
        <v>4943</v>
      </c>
      <c r="X2494" t="s">
        <v>3040</v>
      </c>
      <c r="Z2494">
        <v>100082099</v>
      </c>
      <c r="AB2494" t="s">
        <v>3384</v>
      </c>
      <c r="AD2494" t="s">
        <v>2977</v>
      </c>
      <c r="AF2494" t="s">
        <v>21165</v>
      </c>
      <c r="AG2494" t="s">
        <v>21166</v>
      </c>
      <c r="AI2494" t="s">
        <v>21167</v>
      </c>
      <c r="AM2494" t="s">
        <v>4393</v>
      </c>
      <c r="AN2494" t="s">
        <v>2081</v>
      </c>
      <c r="AO2494" t="s">
        <v>21168</v>
      </c>
      <c r="AP2494" t="s">
        <v>7024</v>
      </c>
      <c r="AT2494" s="184">
        <v>36411</v>
      </c>
      <c r="AU2494" t="s">
        <v>21169</v>
      </c>
      <c r="AV2494">
        <v>15</v>
      </c>
      <c r="AW2494" s="184">
        <v>45098</v>
      </c>
      <c r="AX2494" t="s">
        <v>21170</v>
      </c>
      <c r="AY2494">
        <v>150</v>
      </c>
      <c r="AZ2494" s="184">
        <v>44685</v>
      </c>
      <c r="BA2494" t="s">
        <v>21171</v>
      </c>
      <c r="BB2494">
        <v>200</v>
      </c>
      <c r="BC2494">
        <v>66</v>
      </c>
      <c r="BD2494">
        <v>1420</v>
      </c>
      <c r="BE2494">
        <v>2000</v>
      </c>
      <c r="BF2494">
        <v>25</v>
      </c>
      <c r="BG2494">
        <v>2</v>
      </c>
      <c r="BH2494">
        <v>350</v>
      </c>
      <c r="BI2494">
        <v>17</v>
      </c>
      <c r="BJ2494">
        <v>26</v>
      </c>
      <c r="BK2494">
        <v>6</v>
      </c>
      <c r="BP2494" s="184"/>
    </row>
    <row r="2495" spans="1:68">
      <c r="A2495">
        <v>100082099</v>
      </c>
      <c r="B2495">
        <v>30052443</v>
      </c>
      <c r="C2495" t="s">
        <v>7018</v>
      </c>
      <c r="D2495" t="s">
        <v>595</v>
      </c>
      <c r="E2495" s="184">
        <v>43801</v>
      </c>
      <c r="G2495" s="184"/>
      <c r="I2495" s="184"/>
      <c r="K2495" s="184"/>
      <c r="M2495" s="184"/>
      <c r="O2495" s="184"/>
      <c r="P2495" t="s">
        <v>7045</v>
      </c>
      <c r="Q2495" t="s">
        <v>7374</v>
      </c>
      <c r="R2495" s="184">
        <v>16285</v>
      </c>
      <c r="S2495">
        <v>79</v>
      </c>
      <c r="V2495" t="s">
        <v>3384</v>
      </c>
      <c r="X2495" t="s">
        <v>2977</v>
      </c>
      <c r="Z2495">
        <v>30052443</v>
      </c>
      <c r="AA2495" t="s">
        <v>7076</v>
      </c>
      <c r="AB2495" t="s">
        <v>3317</v>
      </c>
      <c r="AC2495" t="s">
        <v>4943</v>
      </c>
      <c r="AD2495" t="s">
        <v>3040</v>
      </c>
      <c r="AF2495" t="s">
        <v>21165</v>
      </c>
      <c r="AG2495" t="s">
        <v>21166</v>
      </c>
      <c r="AI2495" t="s">
        <v>21167</v>
      </c>
      <c r="AM2495" t="s">
        <v>4393</v>
      </c>
      <c r="AN2495" t="s">
        <v>2081</v>
      </c>
      <c r="AO2495" t="s">
        <v>21168</v>
      </c>
      <c r="AP2495" t="s">
        <v>7024</v>
      </c>
      <c r="AT2495" s="184"/>
      <c r="AW2495" s="184"/>
      <c r="AZ2495" s="184"/>
      <c r="BP2495" s="184"/>
    </row>
    <row r="2496" spans="1:68">
      <c r="A2496">
        <v>30059711</v>
      </c>
      <c r="B2496">
        <v>30059711</v>
      </c>
      <c r="C2496" t="s">
        <v>7018</v>
      </c>
      <c r="D2496" t="s">
        <v>595</v>
      </c>
      <c r="E2496" s="184">
        <v>44167</v>
      </c>
      <c r="G2496" s="184"/>
      <c r="I2496" s="184"/>
      <c r="K2496" s="184"/>
      <c r="M2496" s="184"/>
      <c r="O2496" s="184"/>
      <c r="P2496" t="s">
        <v>7045</v>
      </c>
      <c r="Q2496" t="s">
        <v>7262</v>
      </c>
      <c r="R2496" s="184">
        <v>20668</v>
      </c>
      <c r="S2496">
        <v>67</v>
      </c>
      <c r="V2496" t="s">
        <v>11917</v>
      </c>
      <c r="W2496" t="s">
        <v>7469</v>
      </c>
      <c r="X2496" t="s">
        <v>21172</v>
      </c>
      <c r="Z2496">
        <v>100082124</v>
      </c>
      <c r="AB2496" t="s">
        <v>2593</v>
      </c>
      <c r="AC2496" t="s">
        <v>7407</v>
      </c>
      <c r="AD2496" t="s">
        <v>21173</v>
      </c>
      <c r="AF2496" t="s">
        <v>21174</v>
      </c>
      <c r="AG2496" t="s">
        <v>21175</v>
      </c>
      <c r="AI2496" t="s">
        <v>21176</v>
      </c>
      <c r="AM2496" t="s">
        <v>21177</v>
      </c>
      <c r="AN2496" t="s">
        <v>65</v>
      </c>
      <c r="AO2496" t="s">
        <v>21178</v>
      </c>
      <c r="AP2496" t="s">
        <v>7024</v>
      </c>
      <c r="AQ2496" t="s">
        <v>21179</v>
      </c>
      <c r="AT2496" s="184">
        <v>36412</v>
      </c>
      <c r="AU2496" t="s">
        <v>21180</v>
      </c>
      <c r="AV2496">
        <v>15</v>
      </c>
      <c r="AW2496" s="184">
        <v>43609</v>
      </c>
      <c r="AX2496" t="s">
        <v>21181</v>
      </c>
      <c r="AY2496">
        <v>25</v>
      </c>
      <c r="AZ2496" s="184">
        <v>42895</v>
      </c>
      <c r="BA2496" t="s">
        <v>21182</v>
      </c>
      <c r="BB2496">
        <v>50</v>
      </c>
      <c r="BC2496">
        <v>31</v>
      </c>
      <c r="BD2496">
        <v>225</v>
      </c>
      <c r="BE2496">
        <v>2000</v>
      </c>
      <c r="BF2496">
        <v>8</v>
      </c>
      <c r="BI2496">
        <v>8</v>
      </c>
      <c r="BJ2496">
        <v>26</v>
      </c>
      <c r="BK2496">
        <v>5</v>
      </c>
      <c r="BP2496" s="184"/>
    </row>
    <row r="2497" spans="1:68">
      <c r="A2497">
        <v>100082124</v>
      </c>
      <c r="B2497">
        <v>30059711</v>
      </c>
      <c r="C2497" t="s">
        <v>7018</v>
      </c>
      <c r="D2497" t="s">
        <v>595</v>
      </c>
      <c r="E2497" s="184">
        <v>44167</v>
      </c>
      <c r="G2497" s="184"/>
      <c r="I2497" s="184"/>
      <c r="K2497" s="184"/>
      <c r="M2497" s="184"/>
      <c r="O2497" s="184"/>
      <c r="P2497" t="s">
        <v>7045</v>
      </c>
      <c r="Q2497" t="s">
        <v>7262</v>
      </c>
      <c r="R2497" s="184">
        <v>22525</v>
      </c>
      <c r="S2497">
        <v>62</v>
      </c>
      <c r="V2497" t="s">
        <v>2593</v>
      </c>
      <c r="W2497" t="s">
        <v>7407</v>
      </c>
      <c r="X2497" t="s">
        <v>21173</v>
      </c>
      <c r="Z2497">
        <v>30059711</v>
      </c>
      <c r="AB2497" t="s">
        <v>11917</v>
      </c>
      <c r="AC2497" t="s">
        <v>7469</v>
      </c>
      <c r="AD2497" t="s">
        <v>21172</v>
      </c>
      <c r="AF2497" t="s">
        <v>21174</v>
      </c>
      <c r="AG2497" t="s">
        <v>21175</v>
      </c>
      <c r="AI2497" t="s">
        <v>21176</v>
      </c>
      <c r="AM2497" t="s">
        <v>21177</v>
      </c>
      <c r="AN2497" t="s">
        <v>65</v>
      </c>
      <c r="AO2497" t="s">
        <v>21178</v>
      </c>
      <c r="AP2497" t="s">
        <v>7024</v>
      </c>
      <c r="AT2497" s="184"/>
      <c r="AW2497" s="184"/>
      <c r="AZ2497" s="184"/>
      <c r="BP2497" s="184"/>
    </row>
    <row r="2498" spans="1:68">
      <c r="A2498">
        <v>30082457</v>
      </c>
      <c r="B2498">
        <v>30082457</v>
      </c>
      <c r="C2498" t="s">
        <v>7018</v>
      </c>
      <c r="E2498" s="184"/>
      <c r="G2498" s="184"/>
      <c r="I2498" s="184"/>
      <c r="J2498" t="s">
        <v>595</v>
      </c>
      <c r="K2498" s="184">
        <v>41414</v>
      </c>
      <c r="O2498" s="184"/>
      <c r="P2498" t="s">
        <v>7084</v>
      </c>
      <c r="Q2498" t="s">
        <v>7374</v>
      </c>
      <c r="R2498" s="184">
        <v>11325</v>
      </c>
      <c r="S2498">
        <v>93</v>
      </c>
      <c r="U2498" t="s">
        <v>7076</v>
      </c>
      <c r="V2498" t="s">
        <v>2602</v>
      </c>
      <c r="W2498" t="s">
        <v>21183</v>
      </c>
      <c r="X2498" t="s">
        <v>21184</v>
      </c>
      <c r="AF2498" t="s">
        <v>6229</v>
      </c>
      <c r="AG2498" t="s">
        <v>2602</v>
      </c>
      <c r="AI2498" t="s">
        <v>21185</v>
      </c>
      <c r="AM2498" t="s">
        <v>21186</v>
      </c>
      <c r="AN2498" t="s">
        <v>2081</v>
      </c>
      <c r="AO2498" t="s">
        <v>21187</v>
      </c>
      <c r="AP2498" t="s">
        <v>7024</v>
      </c>
      <c r="AT2498" s="184">
        <v>36416</v>
      </c>
      <c r="AU2498" t="s">
        <v>21188</v>
      </c>
      <c r="AV2498">
        <v>20</v>
      </c>
      <c r="AW2498" s="184">
        <v>44733</v>
      </c>
      <c r="AX2498" t="s">
        <v>7093</v>
      </c>
      <c r="AY2498">
        <v>19.36</v>
      </c>
      <c r="AZ2498" s="184">
        <v>44697</v>
      </c>
      <c r="BA2498" t="s">
        <v>7093</v>
      </c>
      <c r="BB2498">
        <v>68695.33</v>
      </c>
      <c r="BC2498">
        <v>58</v>
      </c>
      <c r="BD2498">
        <v>71144.69</v>
      </c>
      <c r="BE2498">
        <v>2000</v>
      </c>
      <c r="BF2498">
        <v>30</v>
      </c>
      <c r="BG2498">
        <v>2</v>
      </c>
      <c r="BH2498">
        <v>68714.69</v>
      </c>
      <c r="BI2498">
        <v>15</v>
      </c>
      <c r="BJ2498">
        <v>26</v>
      </c>
      <c r="BK2498">
        <v>13</v>
      </c>
      <c r="BO2498" t="s">
        <v>595</v>
      </c>
      <c r="BP2498" s="184">
        <v>44016</v>
      </c>
    </row>
    <row r="2499" spans="1:68">
      <c r="A2499">
        <v>30086292</v>
      </c>
      <c r="B2499">
        <v>30086292</v>
      </c>
      <c r="C2499" t="s">
        <v>7018</v>
      </c>
      <c r="D2499" t="s">
        <v>595</v>
      </c>
      <c r="E2499" s="184">
        <v>44313</v>
      </c>
      <c r="G2499" s="184"/>
      <c r="I2499" s="184"/>
      <c r="K2499" s="184"/>
      <c r="O2499" s="184"/>
      <c r="P2499" t="s">
        <v>7045</v>
      </c>
      <c r="Q2499" t="s">
        <v>7160</v>
      </c>
      <c r="R2499" s="184">
        <v>13020</v>
      </c>
      <c r="S2499">
        <v>88</v>
      </c>
      <c r="V2499" t="s">
        <v>2541</v>
      </c>
      <c r="W2499" t="s">
        <v>2316</v>
      </c>
      <c r="X2499" t="s">
        <v>21189</v>
      </c>
      <c r="Y2499" t="s">
        <v>8154</v>
      </c>
      <c r="AF2499" t="s">
        <v>21190</v>
      </c>
      <c r="AG2499" t="s">
        <v>2541</v>
      </c>
      <c r="AI2499" t="s">
        <v>21191</v>
      </c>
      <c r="AM2499" t="s">
        <v>21192</v>
      </c>
      <c r="AN2499" t="s">
        <v>2176</v>
      </c>
      <c r="AO2499" t="s">
        <v>21193</v>
      </c>
      <c r="AP2499" t="s">
        <v>7024</v>
      </c>
      <c r="AQ2499" t="s">
        <v>21194</v>
      </c>
      <c r="AR2499" t="s">
        <v>21195</v>
      </c>
      <c r="AT2499" s="184">
        <v>36416</v>
      </c>
      <c r="AU2499" t="s">
        <v>21196</v>
      </c>
      <c r="AV2499">
        <v>50</v>
      </c>
      <c r="AW2499" s="184">
        <v>44704</v>
      </c>
      <c r="AX2499" t="s">
        <v>21197</v>
      </c>
      <c r="AY2499">
        <v>100</v>
      </c>
      <c r="AZ2499" s="184">
        <v>41663</v>
      </c>
      <c r="BA2499" t="s">
        <v>21198</v>
      </c>
      <c r="BB2499">
        <v>250</v>
      </c>
      <c r="BC2499">
        <v>81</v>
      </c>
      <c r="BD2499">
        <v>2800</v>
      </c>
      <c r="BE2499">
        <v>2000</v>
      </c>
      <c r="BF2499">
        <v>22</v>
      </c>
      <c r="BG2499">
        <v>1</v>
      </c>
      <c r="BH2499">
        <v>100</v>
      </c>
      <c r="BI2499">
        <v>21</v>
      </c>
      <c r="BJ2499">
        <v>26</v>
      </c>
      <c r="BK2499">
        <v>18</v>
      </c>
      <c r="BP2499" s="184"/>
    </row>
    <row r="2500" spans="1:68">
      <c r="A2500">
        <v>30090948</v>
      </c>
      <c r="B2500">
        <v>30090948</v>
      </c>
      <c r="C2500" t="s">
        <v>7018</v>
      </c>
      <c r="D2500" t="s">
        <v>595</v>
      </c>
      <c r="E2500" s="184">
        <v>44167</v>
      </c>
      <c r="G2500" s="184"/>
      <c r="I2500" s="184"/>
      <c r="K2500" s="184"/>
      <c r="M2500" s="184"/>
      <c r="O2500" s="184"/>
      <c r="P2500" t="s">
        <v>7045</v>
      </c>
      <c r="Q2500" t="s">
        <v>7374</v>
      </c>
      <c r="R2500" s="184">
        <v>10502</v>
      </c>
      <c r="S2500">
        <v>95</v>
      </c>
      <c r="V2500" t="s">
        <v>3444</v>
      </c>
      <c r="X2500" t="s">
        <v>2594</v>
      </c>
      <c r="Z2500">
        <v>100082243</v>
      </c>
      <c r="AB2500" t="s">
        <v>2904</v>
      </c>
      <c r="AD2500" t="s">
        <v>2594</v>
      </c>
      <c r="AF2500" t="s">
        <v>21199</v>
      </c>
      <c r="AG2500" t="s">
        <v>21200</v>
      </c>
      <c r="AI2500" t="s">
        <v>21201</v>
      </c>
      <c r="AJ2500" t="s">
        <v>21202</v>
      </c>
      <c r="AM2500" t="s">
        <v>21203</v>
      </c>
      <c r="AN2500" t="s">
        <v>2081</v>
      </c>
      <c r="AO2500" t="s">
        <v>21204</v>
      </c>
      <c r="AP2500" t="s">
        <v>7024</v>
      </c>
      <c r="AQ2500" t="s">
        <v>21205</v>
      </c>
      <c r="AT2500" s="184">
        <v>36418</v>
      </c>
      <c r="AU2500" t="s">
        <v>21206</v>
      </c>
      <c r="AV2500">
        <v>20</v>
      </c>
      <c r="AW2500" s="184">
        <v>44104</v>
      </c>
      <c r="AX2500" t="s">
        <v>21207</v>
      </c>
      <c r="AY2500">
        <v>25</v>
      </c>
      <c r="AZ2500" s="184">
        <v>42292</v>
      </c>
      <c r="BA2500" t="s">
        <v>21208</v>
      </c>
      <c r="BB2500">
        <v>75</v>
      </c>
      <c r="BC2500">
        <v>58</v>
      </c>
      <c r="BD2500">
        <v>1235</v>
      </c>
      <c r="BE2500">
        <v>2000</v>
      </c>
      <c r="BF2500">
        <v>31</v>
      </c>
      <c r="BI2500">
        <v>15</v>
      </c>
      <c r="BJ2500">
        <v>26</v>
      </c>
      <c r="BK2500">
        <v>13</v>
      </c>
    </row>
    <row r="2501" spans="1:68">
      <c r="A2501">
        <v>100082243</v>
      </c>
      <c r="B2501">
        <v>30090948</v>
      </c>
      <c r="C2501" t="s">
        <v>7018</v>
      </c>
      <c r="D2501" t="s">
        <v>595</v>
      </c>
      <c r="E2501" s="184">
        <v>44167</v>
      </c>
      <c r="G2501" s="184"/>
      <c r="I2501" s="184"/>
      <c r="K2501" s="184"/>
      <c r="M2501" s="184"/>
      <c r="O2501" s="184"/>
      <c r="P2501" t="s">
        <v>7045</v>
      </c>
      <c r="Q2501" t="s">
        <v>7374</v>
      </c>
      <c r="R2501" s="184"/>
      <c r="V2501" t="s">
        <v>2904</v>
      </c>
      <c r="X2501" t="s">
        <v>2594</v>
      </c>
      <c r="Z2501">
        <v>30090948</v>
      </c>
      <c r="AB2501" t="s">
        <v>3444</v>
      </c>
      <c r="AD2501" t="s">
        <v>2594</v>
      </c>
      <c r="AF2501" t="s">
        <v>21199</v>
      </c>
      <c r="AG2501" t="s">
        <v>21200</v>
      </c>
      <c r="AI2501" t="s">
        <v>21201</v>
      </c>
      <c r="AJ2501" t="s">
        <v>21202</v>
      </c>
      <c r="AM2501" t="s">
        <v>21203</v>
      </c>
      <c r="AN2501" t="s">
        <v>2081</v>
      </c>
      <c r="AO2501" t="s">
        <v>21204</v>
      </c>
      <c r="AP2501" t="s">
        <v>7024</v>
      </c>
      <c r="AT2501" s="184">
        <v>43760</v>
      </c>
      <c r="AU2501" t="s">
        <v>21209</v>
      </c>
      <c r="AV2501">
        <v>30</v>
      </c>
      <c r="AW2501" s="184">
        <v>43760</v>
      </c>
      <c r="AX2501" t="s">
        <v>21209</v>
      </c>
      <c r="AY2501">
        <v>30</v>
      </c>
      <c r="AZ2501" s="184">
        <v>43760</v>
      </c>
      <c r="BA2501" t="s">
        <v>21209</v>
      </c>
      <c r="BB2501">
        <v>30</v>
      </c>
      <c r="BC2501">
        <v>17</v>
      </c>
      <c r="BD2501">
        <v>30</v>
      </c>
      <c r="BE2501">
        <v>2020</v>
      </c>
      <c r="BF2501">
        <v>1</v>
      </c>
      <c r="BI2501">
        <v>1</v>
      </c>
      <c r="BJ2501">
        <v>6</v>
      </c>
      <c r="BK2501">
        <v>1</v>
      </c>
      <c r="BP2501" s="184"/>
    </row>
    <row r="2502" spans="1:68">
      <c r="A2502">
        <v>100082244</v>
      </c>
      <c r="B2502">
        <v>30090948</v>
      </c>
      <c r="C2502" t="s">
        <v>7018</v>
      </c>
      <c r="D2502" t="s">
        <v>595</v>
      </c>
      <c r="E2502" s="184">
        <v>44167</v>
      </c>
      <c r="G2502" s="184"/>
      <c r="I2502" s="184"/>
      <c r="K2502" s="184"/>
      <c r="M2502" s="184"/>
      <c r="O2502" s="184"/>
      <c r="P2502" t="s">
        <v>7045</v>
      </c>
      <c r="Q2502" t="s">
        <v>7374</v>
      </c>
      <c r="R2502" s="184"/>
      <c r="V2502" t="s">
        <v>4502</v>
      </c>
      <c r="X2502" t="s">
        <v>2594</v>
      </c>
      <c r="Z2502">
        <v>30090948</v>
      </c>
      <c r="AB2502" t="s">
        <v>3444</v>
      </c>
      <c r="AD2502" t="s">
        <v>2594</v>
      </c>
      <c r="AF2502" t="s">
        <v>21199</v>
      </c>
      <c r="AG2502" t="s">
        <v>21200</v>
      </c>
      <c r="AI2502" t="s">
        <v>21201</v>
      </c>
      <c r="AJ2502" t="s">
        <v>21202</v>
      </c>
      <c r="AM2502" t="s">
        <v>21203</v>
      </c>
      <c r="AN2502" t="s">
        <v>2081</v>
      </c>
      <c r="AO2502" t="s">
        <v>21204</v>
      </c>
      <c r="AP2502" t="s">
        <v>7024</v>
      </c>
      <c r="AT2502" s="184"/>
      <c r="AW2502" s="184"/>
      <c r="AZ2502" s="184"/>
      <c r="BP2502" s="184"/>
    </row>
    <row r="2503" spans="1:68">
      <c r="A2503">
        <v>30115372</v>
      </c>
      <c r="B2503">
        <v>30115372</v>
      </c>
      <c r="C2503" t="s">
        <v>7018</v>
      </c>
      <c r="E2503" s="184"/>
      <c r="G2503" s="184"/>
      <c r="I2503" s="184"/>
      <c r="J2503" t="s">
        <v>595</v>
      </c>
      <c r="K2503" s="184">
        <v>40550</v>
      </c>
      <c r="M2503" s="184"/>
      <c r="O2503" s="184"/>
      <c r="P2503" t="s">
        <v>7045</v>
      </c>
      <c r="Q2503" t="s">
        <v>7030</v>
      </c>
      <c r="R2503" s="184">
        <v>12055</v>
      </c>
      <c r="S2503">
        <v>91</v>
      </c>
      <c r="U2503" t="s">
        <v>7076</v>
      </c>
      <c r="V2503" t="s">
        <v>3101</v>
      </c>
      <c r="W2503" t="s">
        <v>3179</v>
      </c>
      <c r="X2503" t="s">
        <v>21210</v>
      </c>
      <c r="AF2503" t="s">
        <v>6682</v>
      </c>
      <c r="AG2503" t="s">
        <v>3101</v>
      </c>
      <c r="AI2503" t="s">
        <v>21211</v>
      </c>
      <c r="AM2503" t="s">
        <v>3010</v>
      </c>
      <c r="AN2503" t="s">
        <v>2094</v>
      </c>
      <c r="AO2503" t="s">
        <v>21212</v>
      </c>
      <c r="AP2503" t="s">
        <v>7024</v>
      </c>
      <c r="AT2503" s="184">
        <v>36423</v>
      </c>
      <c r="AU2503" t="s">
        <v>21213</v>
      </c>
      <c r="AV2503">
        <v>15</v>
      </c>
      <c r="AW2503" s="184">
        <v>44293</v>
      </c>
      <c r="AX2503" t="s">
        <v>7309</v>
      </c>
      <c r="AY2503">
        <v>25019.23</v>
      </c>
      <c r="AZ2503" s="184">
        <v>44293</v>
      </c>
      <c r="BA2503" t="s">
        <v>7309</v>
      </c>
      <c r="BB2503">
        <v>25019.23</v>
      </c>
      <c r="BC2503">
        <v>39</v>
      </c>
      <c r="BD2503">
        <v>25159.23</v>
      </c>
      <c r="BE2503">
        <v>2000</v>
      </c>
      <c r="BF2503">
        <v>10</v>
      </c>
      <c r="BI2503">
        <v>10</v>
      </c>
      <c r="BJ2503">
        <v>26</v>
      </c>
      <c r="BK2503">
        <v>7</v>
      </c>
      <c r="BM2503" t="s">
        <v>595</v>
      </c>
      <c r="BO2503" t="s">
        <v>595</v>
      </c>
      <c r="BP2503" s="184"/>
    </row>
    <row r="2504" spans="1:68">
      <c r="A2504">
        <v>30138325</v>
      </c>
      <c r="B2504">
        <v>30138325</v>
      </c>
      <c r="C2504" t="s">
        <v>7018</v>
      </c>
      <c r="E2504" s="184"/>
      <c r="G2504" s="184"/>
      <c r="H2504" t="s">
        <v>595</v>
      </c>
      <c r="I2504" s="184">
        <v>44903</v>
      </c>
      <c r="K2504" s="184"/>
      <c r="M2504" s="184"/>
      <c r="N2504" t="s">
        <v>595</v>
      </c>
      <c r="O2504" s="184">
        <v>44923</v>
      </c>
      <c r="P2504" t="s">
        <v>7045</v>
      </c>
      <c r="Q2504" t="s">
        <v>7262</v>
      </c>
      <c r="R2504" s="184">
        <v>19919</v>
      </c>
      <c r="S2504">
        <v>69</v>
      </c>
      <c r="U2504" t="s">
        <v>7031</v>
      </c>
      <c r="V2504" t="s">
        <v>2832</v>
      </c>
      <c r="W2504" t="s">
        <v>8224</v>
      </c>
      <c r="X2504" t="s">
        <v>21214</v>
      </c>
      <c r="Y2504" t="s">
        <v>7047</v>
      </c>
      <c r="AF2504" t="s">
        <v>21215</v>
      </c>
      <c r="AG2504" t="s">
        <v>2832</v>
      </c>
      <c r="AI2504" t="s">
        <v>21216</v>
      </c>
      <c r="AM2504" t="s">
        <v>21217</v>
      </c>
      <c r="AN2504" t="s">
        <v>2106</v>
      </c>
      <c r="AO2504" t="s">
        <v>21218</v>
      </c>
      <c r="AP2504" t="s">
        <v>7024</v>
      </c>
      <c r="AQ2504" t="s">
        <v>21219</v>
      </c>
      <c r="AR2504" t="s">
        <v>21220</v>
      </c>
      <c r="AT2504" s="184">
        <v>36426</v>
      </c>
      <c r="AU2504" t="s">
        <v>21221</v>
      </c>
      <c r="AV2504">
        <v>15</v>
      </c>
      <c r="AW2504" s="184">
        <v>44922</v>
      </c>
      <c r="AX2504" t="s">
        <v>7044</v>
      </c>
      <c r="AY2504">
        <v>20000</v>
      </c>
      <c r="AZ2504" s="184">
        <v>44922</v>
      </c>
      <c r="BA2504" t="s">
        <v>7044</v>
      </c>
      <c r="BB2504">
        <v>20000</v>
      </c>
      <c r="BC2504">
        <v>24</v>
      </c>
      <c r="BD2504">
        <v>20605</v>
      </c>
      <c r="BE2504">
        <v>2000</v>
      </c>
      <c r="BF2504">
        <v>9</v>
      </c>
      <c r="BG2504">
        <v>1</v>
      </c>
      <c r="BH2504">
        <v>20000</v>
      </c>
      <c r="BI2504">
        <v>6</v>
      </c>
      <c r="BJ2504">
        <v>26</v>
      </c>
      <c r="BK2504">
        <v>3</v>
      </c>
      <c r="BP2504" s="184"/>
    </row>
    <row r="2505" spans="1:68">
      <c r="A2505">
        <v>30171011</v>
      </c>
      <c r="B2505">
        <v>30171011</v>
      </c>
      <c r="C2505" t="s">
        <v>7018</v>
      </c>
      <c r="D2505" t="s">
        <v>595</v>
      </c>
      <c r="E2505" s="184">
        <v>43801</v>
      </c>
      <c r="G2505" s="184"/>
      <c r="I2505" s="184"/>
      <c r="K2505" s="184"/>
      <c r="M2505" s="184"/>
      <c r="O2505" s="184"/>
      <c r="P2505" t="s">
        <v>7045</v>
      </c>
      <c r="Q2505" t="s">
        <v>7030</v>
      </c>
      <c r="R2505" s="184">
        <v>15757</v>
      </c>
      <c r="S2505">
        <v>81</v>
      </c>
      <c r="U2505" t="s">
        <v>7076</v>
      </c>
      <c r="V2505" t="s">
        <v>4394</v>
      </c>
      <c r="W2505" t="s">
        <v>4013</v>
      </c>
      <c r="X2505" t="s">
        <v>4395</v>
      </c>
      <c r="AF2505" t="s">
        <v>21222</v>
      </c>
      <c r="AG2505" t="s">
        <v>4394</v>
      </c>
      <c r="AI2505" t="s">
        <v>21223</v>
      </c>
      <c r="AM2505" t="s">
        <v>4396</v>
      </c>
      <c r="AN2505" t="s">
        <v>2089</v>
      </c>
      <c r="AO2505" t="s">
        <v>21224</v>
      </c>
      <c r="AP2505" t="s">
        <v>7024</v>
      </c>
      <c r="AQ2505" t="s">
        <v>21225</v>
      </c>
      <c r="AT2505" s="184">
        <v>36432</v>
      </c>
      <c r="AU2505" t="s">
        <v>21206</v>
      </c>
      <c r="AV2505">
        <v>25</v>
      </c>
      <c r="AW2505" s="184">
        <v>45412</v>
      </c>
      <c r="AX2505" t="s">
        <v>7429</v>
      </c>
      <c r="AY2505">
        <v>20</v>
      </c>
      <c r="AZ2505" s="184">
        <v>37463</v>
      </c>
      <c r="BA2505" t="s">
        <v>21226</v>
      </c>
      <c r="BB2505">
        <v>100</v>
      </c>
      <c r="BC2505">
        <v>85</v>
      </c>
      <c r="BD2505">
        <v>4630</v>
      </c>
      <c r="BE2505">
        <v>2000</v>
      </c>
      <c r="BF2505">
        <v>248</v>
      </c>
      <c r="BG2505">
        <v>48</v>
      </c>
      <c r="BH2505">
        <v>960</v>
      </c>
      <c r="BI2505">
        <v>22</v>
      </c>
      <c r="BJ2505">
        <v>26</v>
      </c>
      <c r="BK2505">
        <v>17</v>
      </c>
      <c r="BN2505" t="s">
        <v>595</v>
      </c>
      <c r="BP2505" s="184"/>
    </row>
    <row r="2506" spans="1:68">
      <c r="A2506">
        <v>30177950</v>
      </c>
      <c r="B2506">
        <v>30177950</v>
      </c>
      <c r="C2506" t="s">
        <v>7018</v>
      </c>
      <c r="D2506" t="s">
        <v>595</v>
      </c>
      <c r="E2506" s="184">
        <v>43745</v>
      </c>
      <c r="G2506" s="184"/>
      <c r="I2506" s="184"/>
      <c r="K2506" s="184"/>
      <c r="M2506" s="184"/>
      <c r="O2506" s="184"/>
      <c r="P2506" t="s">
        <v>7045</v>
      </c>
      <c r="Q2506" t="s">
        <v>7494</v>
      </c>
      <c r="R2506" s="184">
        <v>17422</v>
      </c>
      <c r="S2506">
        <v>76</v>
      </c>
      <c r="U2506" t="s">
        <v>7130</v>
      </c>
      <c r="V2506" t="s">
        <v>3095</v>
      </c>
      <c r="X2506" t="s">
        <v>4130</v>
      </c>
      <c r="AF2506" t="s">
        <v>21227</v>
      </c>
      <c r="AG2506" t="s">
        <v>3095</v>
      </c>
      <c r="AI2506" t="s">
        <v>21228</v>
      </c>
      <c r="AM2506" t="s">
        <v>2582</v>
      </c>
      <c r="AN2506" t="s">
        <v>2174</v>
      </c>
      <c r="AO2506" t="s">
        <v>21229</v>
      </c>
      <c r="AP2506" t="s">
        <v>7024</v>
      </c>
      <c r="AQ2506" t="s">
        <v>21230</v>
      </c>
      <c r="AR2506" t="s">
        <v>21231</v>
      </c>
      <c r="AT2506" s="184">
        <v>36431</v>
      </c>
      <c r="AU2506" t="s">
        <v>21232</v>
      </c>
      <c r="AV2506">
        <v>25</v>
      </c>
      <c r="AW2506" s="184">
        <v>45162</v>
      </c>
      <c r="AX2506" t="s">
        <v>21233</v>
      </c>
      <c r="AY2506">
        <v>40</v>
      </c>
      <c r="AZ2506" s="184">
        <v>42943</v>
      </c>
      <c r="BA2506" t="s">
        <v>7765</v>
      </c>
      <c r="BB2506">
        <v>100</v>
      </c>
      <c r="BC2506">
        <v>39</v>
      </c>
      <c r="BD2506">
        <v>765</v>
      </c>
      <c r="BE2506">
        <v>2000</v>
      </c>
      <c r="BF2506">
        <v>23</v>
      </c>
      <c r="BG2506">
        <v>1</v>
      </c>
      <c r="BH2506">
        <v>40</v>
      </c>
      <c r="BI2506">
        <v>10</v>
      </c>
      <c r="BJ2506">
        <v>26</v>
      </c>
      <c r="BK2506">
        <v>6</v>
      </c>
      <c r="BP2506" s="184"/>
    </row>
    <row r="2507" spans="1:68">
      <c r="A2507">
        <v>30193866</v>
      </c>
      <c r="B2507">
        <v>30193866</v>
      </c>
      <c r="C2507" t="s">
        <v>7018</v>
      </c>
      <c r="D2507" t="s">
        <v>595</v>
      </c>
      <c r="E2507" s="184">
        <v>43640</v>
      </c>
      <c r="G2507" s="184"/>
      <c r="I2507" s="184"/>
      <c r="K2507" s="184"/>
      <c r="M2507" s="184"/>
      <c r="O2507" s="184"/>
      <c r="P2507" t="s">
        <v>7045</v>
      </c>
      <c r="Q2507" t="s">
        <v>7383</v>
      </c>
      <c r="R2507" s="184">
        <v>16070</v>
      </c>
      <c r="S2507">
        <v>80</v>
      </c>
      <c r="U2507" t="s">
        <v>7031</v>
      </c>
      <c r="V2507" t="s">
        <v>2998</v>
      </c>
      <c r="X2507" t="s">
        <v>2999</v>
      </c>
      <c r="AF2507" t="s">
        <v>21234</v>
      </c>
      <c r="AG2507" t="s">
        <v>2998</v>
      </c>
      <c r="AI2507" t="s">
        <v>21235</v>
      </c>
      <c r="AM2507" t="s">
        <v>3000</v>
      </c>
      <c r="AN2507" t="s">
        <v>2274</v>
      </c>
      <c r="AO2507" t="s">
        <v>21236</v>
      </c>
      <c r="AP2507" t="s">
        <v>7024</v>
      </c>
      <c r="AQ2507" t="s">
        <v>21237</v>
      </c>
      <c r="AR2507" t="s">
        <v>21238</v>
      </c>
      <c r="AT2507" s="184">
        <v>36438</v>
      </c>
      <c r="AU2507" t="s">
        <v>21239</v>
      </c>
      <c r="AV2507">
        <v>5</v>
      </c>
      <c r="AW2507" s="184">
        <v>45070</v>
      </c>
      <c r="AX2507" t="s">
        <v>21240</v>
      </c>
      <c r="AY2507">
        <v>17</v>
      </c>
      <c r="AZ2507" s="184">
        <v>42301</v>
      </c>
      <c r="BA2507" t="s">
        <v>21241</v>
      </c>
      <c r="BB2507">
        <v>25</v>
      </c>
      <c r="BC2507">
        <v>89</v>
      </c>
      <c r="BD2507">
        <v>1452</v>
      </c>
      <c r="BE2507">
        <v>2000</v>
      </c>
      <c r="BF2507">
        <v>140</v>
      </c>
      <c r="BG2507">
        <v>1</v>
      </c>
      <c r="BH2507">
        <v>17</v>
      </c>
      <c r="BI2507">
        <v>23</v>
      </c>
      <c r="BJ2507">
        <v>26</v>
      </c>
      <c r="BK2507">
        <v>22</v>
      </c>
      <c r="BP2507" s="184"/>
    </row>
    <row r="2508" spans="1:68">
      <c r="A2508">
        <v>30243232</v>
      </c>
      <c r="B2508">
        <v>30243232</v>
      </c>
      <c r="C2508" t="s">
        <v>7018</v>
      </c>
      <c r="D2508" t="s">
        <v>595</v>
      </c>
      <c r="E2508" s="184">
        <v>43647</v>
      </c>
      <c r="G2508" s="184"/>
      <c r="I2508" s="184"/>
      <c r="K2508" s="184"/>
      <c r="M2508" s="184"/>
      <c r="O2508" s="184"/>
      <c r="P2508" t="s">
        <v>7045</v>
      </c>
      <c r="Q2508" t="s">
        <v>7774</v>
      </c>
      <c r="R2508" s="184">
        <v>14534</v>
      </c>
      <c r="S2508">
        <v>84</v>
      </c>
      <c r="U2508" t="s">
        <v>7130</v>
      </c>
      <c r="V2508" t="s">
        <v>3444</v>
      </c>
      <c r="W2508" t="s">
        <v>7407</v>
      </c>
      <c r="X2508" t="s">
        <v>2947</v>
      </c>
      <c r="Z2508">
        <v>100082816</v>
      </c>
      <c r="AA2508" t="s">
        <v>7031</v>
      </c>
      <c r="AB2508" t="s">
        <v>2697</v>
      </c>
      <c r="AC2508" t="s">
        <v>4382</v>
      </c>
      <c r="AD2508" t="s">
        <v>2947</v>
      </c>
      <c r="AF2508" t="s">
        <v>21242</v>
      </c>
      <c r="AG2508" t="s">
        <v>21243</v>
      </c>
      <c r="AI2508" t="s">
        <v>21244</v>
      </c>
      <c r="AM2508" t="s">
        <v>3063</v>
      </c>
      <c r="AN2508" t="s">
        <v>2077</v>
      </c>
      <c r="AO2508" t="s">
        <v>21245</v>
      </c>
      <c r="AP2508" t="s">
        <v>7024</v>
      </c>
      <c r="AQ2508" t="s">
        <v>21246</v>
      </c>
      <c r="AT2508" s="184">
        <v>36444</v>
      </c>
      <c r="AU2508" t="s">
        <v>21247</v>
      </c>
      <c r="AV2508">
        <v>15</v>
      </c>
      <c r="AW2508" s="184">
        <v>45278</v>
      </c>
      <c r="AX2508" t="s">
        <v>10022</v>
      </c>
      <c r="AY2508">
        <v>25</v>
      </c>
      <c r="AZ2508" s="184">
        <v>42275</v>
      </c>
      <c r="BA2508" t="s">
        <v>18966</v>
      </c>
      <c r="BB2508">
        <v>60</v>
      </c>
      <c r="BC2508">
        <v>70</v>
      </c>
      <c r="BD2508">
        <v>545</v>
      </c>
      <c r="BE2508">
        <v>2000</v>
      </c>
      <c r="BF2508">
        <v>23</v>
      </c>
      <c r="BG2508">
        <v>2</v>
      </c>
      <c r="BH2508">
        <v>50</v>
      </c>
      <c r="BI2508">
        <v>18</v>
      </c>
      <c r="BJ2508">
        <v>26</v>
      </c>
      <c r="BK2508">
        <v>7</v>
      </c>
      <c r="BP2508" s="184"/>
    </row>
    <row r="2509" spans="1:68">
      <c r="A2509">
        <v>100082816</v>
      </c>
      <c r="B2509">
        <v>30243232</v>
      </c>
      <c r="C2509" t="s">
        <v>7018</v>
      </c>
      <c r="D2509" t="s">
        <v>595</v>
      </c>
      <c r="E2509" s="184">
        <v>43647</v>
      </c>
      <c r="G2509" s="184"/>
      <c r="I2509" s="184"/>
      <c r="K2509" s="184"/>
      <c r="M2509" s="184"/>
      <c r="O2509" s="184"/>
      <c r="P2509" t="s">
        <v>7045</v>
      </c>
      <c r="Q2509" t="s">
        <v>7774</v>
      </c>
      <c r="R2509" s="184">
        <v>14418</v>
      </c>
      <c r="S2509">
        <v>84</v>
      </c>
      <c r="U2509" t="s">
        <v>7031</v>
      </c>
      <c r="V2509" t="s">
        <v>2697</v>
      </c>
      <c r="W2509" t="s">
        <v>4382</v>
      </c>
      <c r="X2509" t="s">
        <v>2947</v>
      </c>
      <c r="Z2509">
        <v>30243232</v>
      </c>
      <c r="AA2509" t="s">
        <v>7130</v>
      </c>
      <c r="AB2509" t="s">
        <v>3444</v>
      </c>
      <c r="AC2509" t="s">
        <v>7407</v>
      </c>
      <c r="AD2509" t="s">
        <v>2947</v>
      </c>
      <c r="AF2509" t="s">
        <v>21242</v>
      </c>
      <c r="AG2509" t="s">
        <v>21243</v>
      </c>
      <c r="AI2509" t="s">
        <v>21244</v>
      </c>
      <c r="AM2509" t="s">
        <v>3063</v>
      </c>
      <c r="AN2509" t="s">
        <v>2077</v>
      </c>
      <c r="AO2509" t="s">
        <v>21245</v>
      </c>
      <c r="AP2509" t="s">
        <v>7024</v>
      </c>
      <c r="AT2509" s="184"/>
      <c r="AW2509" s="184"/>
      <c r="AZ2509" s="184"/>
      <c r="BP2509" s="184"/>
    </row>
    <row r="2510" spans="1:68">
      <c r="A2510">
        <v>30269799</v>
      </c>
      <c r="B2510">
        <v>30269799</v>
      </c>
      <c r="C2510" t="s">
        <v>7018</v>
      </c>
      <c r="E2510" s="184"/>
      <c r="G2510" s="184"/>
      <c r="I2510" s="184"/>
      <c r="K2510" s="184"/>
      <c r="M2510" s="184"/>
      <c r="N2510" t="s">
        <v>595</v>
      </c>
      <c r="O2510" s="184">
        <v>40491</v>
      </c>
      <c r="P2510" t="s">
        <v>7045</v>
      </c>
      <c r="Q2510" t="s">
        <v>7160</v>
      </c>
      <c r="R2510" s="184">
        <v>14715</v>
      </c>
      <c r="S2510">
        <v>84</v>
      </c>
      <c r="U2510" t="s">
        <v>7031</v>
      </c>
      <c r="V2510" t="s">
        <v>2511</v>
      </c>
      <c r="W2510" t="s">
        <v>3332</v>
      </c>
      <c r="X2510" t="s">
        <v>2512</v>
      </c>
      <c r="Z2510">
        <v>100082853</v>
      </c>
      <c r="AA2510" t="s">
        <v>7130</v>
      </c>
      <c r="AB2510" t="s">
        <v>2523</v>
      </c>
      <c r="AC2510" t="s">
        <v>3226</v>
      </c>
      <c r="AD2510" t="s">
        <v>2512</v>
      </c>
      <c r="AF2510" t="s">
        <v>21248</v>
      </c>
      <c r="AG2510" t="s">
        <v>21249</v>
      </c>
      <c r="AI2510" t="s">
        <v>21250</v>
      </c>
      <c r="AM2510" t="s">
        <v>5548</v>
      </c>
      <c r="AN2510" t="s">
        <v>2176</v>
      </c>
      <c r="AO2510" t="s">
        <v>21251</v>
      </c>
      <c r="AP2510" t="s">
        <v>7024</v>
      </c>
      <c r="AQ2510" t="s">
        <v>21252</v>
      </c>
      <c r="AR2510" t="s">
        <v>21253</v>
      </c>
      <c r="AT2510" s="184">
        <v>36444</v>
      </c>
      <c r="AU2510" t="s">
        <v>21254</v>
      </c>
      <c r="AV2510">
        <v>100</v>
      </c>
      <c r="AW2510" s="184">
        <v>45214</v>
      </c>
      <c r="AX2510" t="s">
        <v>8152</v>
      </c>
      <c r="AY2510">
        <v>250000</v>
      </c>
      <c r="AZ2510" s="184">
        <v>45214</v>
      </c>
      <c r="BA2510" t="s">
        <v>8152</v>
      </c>
      <c r="BB2510">
        <v>250000</v>
      </c>
      <c r="BC2510">
        <v>66</v>
      </c>
      <c r="BD2510">
        <v>1254650</v>
      </c>
      <c r="BE2510">
        <v>2000</v>
      </c>
      <c r="BF2510">
        <v>21</v>
      </c>
      <c r="BG2510">
        <v>2</v>
      </c>
      <c r="BH2510">
        <v>500000</v>
      </c>
      <c r="BI2510">
        <v>17</v>
      </c>
      <c r="BJ2510">
        <v>26</v>
      </c>
      <c r="BK2510">
        <v>13</v>
      </c>
      <c r="BP2510" s="184"/>
    </row>
    <row r="2511" spans="1:68">
      <c r="A2511">
        <v>100082853</v>
      </c>
      <c r="B2511">
        <v>30269799</v>
      </c>
      <c r="C2511" t="s">
        <v>7018</v>
      </c>
      <c r="E2511" s="184"/>
      <c r="G2511" s="184"/>
      <c r="I2511" s="184"/>
      <c r="K2511" s="184"/>
      <c r="M2511" s="184"/>
      <c r="N2511" t="s">
        <v>595</v>
      </c>
      <c r="O2511" s="184">
        <v>40491</v>
      </c>
      <c r="P2511" t="s">
        <v>7045</v>
      </c>
      <c r="Q2511" t="s">
        <v>7160</v>
      </c>
      <c r="R2511" s="184">
        <v>16157</v>
      </c>
      <c r="S2511">
        <v>80</v>
      </c>
      <c r="U2511" t="s">
        <v>7130</v>
      </c>
      <c r="V2511" t="s">
        <v>2523</v>
      </c>
      <c r="W2511" t="s">
        <v>3226</v>
      </c>
      <c r="X2511" t="s">
        <v>2512</v>
      </c>
      <c r="Z2511">
        <v>30269799</v>
      </c>
      <c r="AA2511" t="s">
        <v>7031</v>
      </c>
      <c r="AB2511" t="s">
        <v>2511</v>
      </c>
      <c r="AC2511" t="s">
        <v>3332</v>
      </c>
      <c r="AD2511" t="s">
        <v>2512</v>
      </c>
      <c r="AF2511" t="s">
        <v>21248</v>
      </c>
      <c r="AG2511" t="s">
        <v>21249</v>
      </c>
      <c r="AI2511" t="s">
        <v>21250</v>
      </c>
      <c r="AM2511" t="s">
        <v>5548</v>
      </c>
      <c r="AN2511" t="s">
        <v>2176</v>
      </c>
      <c r="AO2511" t="s">
        <v>21251</v>
      </c>
      <c r="AP2511" t="s">
        <v>7024</v>
      </c>
      <c r="AQ2511" t="s">
        <v>21255</v>
      </c>
      <c r="AT2511" s="184"/>
      <c r="AW2511" s="184"/>
      <c r="AZ2511" s="184"/>
      <c r="BP2511" s="184"/>
    </row>
    <row r="2512" spans="1:68">
      <c r="A2512">
        <v>30272025</v>
      </c>
      <c r="B2512">
        <v>30272025</v>
      </c>
      <c r="C2512" t="s">
        <v>7018</v>
      </c>
      <c r="E2512" s="184"/>
      <c r="G2512" s="184"/>
      <c r="I2512" s="184"/>
      <c r="J2512" t="s">
        <v>595</v>
      </c>
      <c r="K2512" s="184"/>
      <c r="M2512" s="184"/>
      <c r="O2512" s="184"/>
      <c r="Q2512" t="s">
        <v>7030</v>
      </c>
      <c r="R2512" s="184"/>
      <c r="U2512" t="s">
        <v>7130</v>
      </c>
      <c r="V2512" t="s">
        <v>5600</v>
      </c>
      <c r="X2512" t="s">
        <v>4555</v>
      </c>
      <c r="AF2512" t="s">
        <v>6782</v>
      </c>
      <c r="AG2512" t="s">
        <v>5600</v>
      </c>
      <c r="AI2512" t="s">
        <v>21256</v>
      </c>
      <c r="AM2512" t="s">
        <v>3640</v>
      </c>
      <c r="AN2512" t="s">
        <v>2094</v>
      </c>
      <c r="AO2512">
        <v>80465</v>
      </c>
      <c r="AP2512" t="s">
        <v>7024</v>
      </c>
      <c r="AT2512" s="184"/>
      <c r="AW2512" s="184"/>
      <c r="AZ2512" s="184"/>
      <c r="BP2512" s="184"/>
    </row>
    <row r="2513" spans="1:68">
      <c r="A2513">
        <v>30284194</v>
      </c>
      <c r="B2513">
        <v>30284194</v>
      </c>
      <c r="C2513" t="s">
        <v>7018</v>
      </c>
      <c r="E2513" s="184"/>
      <c r="G2513" s="184"/>
      <c r="I2513" s="184"/>
      <c r="J2513" t="s">
        <v>595</v>
      </c>
      <c r="K2513" s="184">
        <v>39863</v>
      </c>
      <c r="M2513" s="184"/>
      <c r="O2513" s="184"/>
      <c r="P2513" t="s">
        <v>7045</v>
      </c>
      <c r="Q2513" t="s">
        <v>7262</v>
      </c>
      <c r="R2513" s="184">
        <v>14649</v>
      </c>
      <c r="S2513">
        <v>84</v>
      </c>
      <c r="U2513" t="s">
        <v>7076</v>
      </c>
      <c r="V2513" t="s">
        <v>5537</v>
      </c>
      <c r="X2513" t="s">
        <v>21257</v>
      </c>
      <c r="AF2513" t="s">
        <v>6493</v>
      </c>
      <c r="AG2513" t="s">
        <v>5537</v>
      </c>
      <c r="AI2513" t="s">
        <v>21258</v>
      </c>
      <c r="AM2513" t="s">
        <v>4706</v>
      </c>
      <c r="AN2513" t="s">
        <v>2069</v>
      </c>
      <c r="AO2513" t="s">
        <v>21259</v>
      </c>
      <c r="AP2513" t="s">
        <v>7024</v>
      </c>
      <c r="AQ2513" t="s">
        <v>21260</v>
      </c>
      <c r="AT2513" s="184">
        <v>36447</v>
      </c>
      <c r="AU2513" t="s">
        <v>21261</v>
      </c>
      <c r="AV2513">
        <v>25</v>
      </c>
      <c r="AW2513" s="184">
        <v>45035</v>
      </c>
      <c r="AX2513" t="s">
        <v>21262</v>
      </c>
      <c r="AY2513">
        <v>50</v>
      </c>
      <c r="AZ2513" s="184">
        <v>39497</v>
      </c>
      <c r="BA2513" t="s">
        <v>21263</v>
      </c>
      <c r="BB2513">
        <v>120</v>
      </c>
      <c r="BC2513">
        <v>54</v>
      </c>
      <c r="BD2513">
        <v>855</v>
      </c>
      <c r="BE2513">
        <v>2000</v>
      </c>
      <c r="BF2513">
        <v>15</v>
      </c>
      <c r="BG2513">
        <v>1</v>
      </c>
      <c r="BH2513">
        <v>50</v>
      </c>
      <c r="BI2513">
        <v>14</v>
      </c>
      <c r="BJ2513">
        <v>26</v>
      </c>
      <c r="BK2513">
        <v>6</v>
      </c>
      <c r="BN2513" t="s">
        <v>595</v>
      </c>
      <c r="BP2513" s="184"/>
    </row>
    <row r="2514" spans="1:68">
      <c r="A2514">
        <v>55836779</v>
      </c>
      <c r="B2514">
        <v>30312656</v>
      </c>
      <c r="C2514" t="s">
        <v>7018</v>
      </c>
      <c r="E2514" s="184"/>
      <c r="G2514" s="184"/>
      <c r="I2514" s="184"/>
      <c r="J2514" t="s">
        <v>595</v>
      </c>
      <c r="K2514" s="184">
        <v>42522</v>
      </c>
      <c r="M2514" s="184"/>
      <c r="O2514" s="184"/>
      <c r="P2514" t="s">
        <v>7045</v>
      </c>
      <c r="Q2514" t="s">
        <v>7454</v>
      </c>
      <c r="R2514" s="184">
        <v>21921</v>
      </c>
      <c r="S2514">
        <v>64</v>
      </c>
      <c r="U2514" t="s">
        <v>7031</v>
      </c>
      <c r="V2514" t="s">
        <v>2614</v>
      </c>
      <c r="X2514" t="s">
        <v>21264</v>
      </c>
      <c r="Z2514">
        <v>30312656</v>
      </c>
      <c r="AA2514" t="s">
        <v>7076</v>
      </c>
      <c r="AB2514" t="s">
        <v>3101</v>
      </c>
      <c r="AD2514" t="s">
        <v>21265</v>
      </c>
      <c r="AF2514" t="s">
        <v>21266</v>
      </c>
      <c r="AG2514" t="s">
        <v>21267</v>
      </c>
      <c r="AI2514" t="s">
        <v>21268</v>
      </c>
      <c r="AM2514" t="s">
        <v>13311</v>
      </c>
      <c r="AN2514" t="s">
        <v>2055</v>
      </c>
      <c r="AO2514" t="s">
        <v>21269</v>
      </c>
      <c r="AP2514" t="s">
        <v>7024</v>
      </c>
      <c r="AQ2514" t="s">
        <v>21270</v>
      </c>
      <c r="AT2514" s="184">
        <v>40093</v>
      </c>
      <c r="AU2514" t="s">
        <v>21271</v>
      </c>
      <c r="AV2514">
        <v>100</v>
      </c>
      <c r="AW2514" s="184">
        <v>45028</v>
      </c>
      <c r="AX2514" t="s">
        <v>21272</v>
      </c>
      <c r="AY2514">
        <v>15</v>
      </c>
      <c r="AZ2514" s="184">
        <v>40542</v>
      </c>
      <c r="BA2514" t="s">
        <v>21273</v>
      </c>
      <c r="BB2514">
        <v>100</v>
      </c>
      <c r="BC2514">
        <v>94</v>
      </c>
      <c r="BD2514">
        <v>2110</v>
      </c>
      <c r="BE2514">
        <v>2010</v>
      </c>
      <c r="BF2514">
        <v>141</v>
      </c>
      <c r="BG2514">
        <v>12</v>
      </c>
      <c r="BH2514">
        <v>180</v>
      </c>
      <c r="BI2514">
        <v>15</v>
      </c>
      <c r="BJ2514">
        <v>16</v>
      </c>
      <c r="BK2514">
        <v>15</v>
      </c>
      <c r="BP2514" s="184"/>
    </row>
    <row r="2515" spans="1:68">
      <c r="A2515">
        <v>30321715</v>
      </c>
      <c r="B2515">
        <v>30321715</v>
      </c>
      <c r="C2515" t="s">
        <v>7018</v>
      </c>
      <c r="D2515" t="s">
        <v>595</v>
      </c>
      <c r="E2515" s="184">
        <v>44328</v>
      </c>
      <c r="G2515" s="184"/>
      <c r="H2515" t="s">
        <v>595</v>
      </c>
      <c r="I2515" s="184">
        <v>44328</v>
      </c>
      <c r="K2515" s="184"/>
      <c r="M2515" s="184"/>
      <c r="O2515" s="184"/>
      <c r="P2515" t="s">
        <v>7045</v>
      </c>
      <c r="Q2515" t="s">
        <v>7374</v>
      </c>
      <c r="R2515" s="184">
        <v>12997</v>
      </c>
      <c r="S2515">
        <v>88</v>
      </c>
      <c r="V2515" t="s">
        <v>12531</v>
      </c>
      <c r="W2515" t="s">
        <v>7085</v>
      </c>
      <c r="X2515" t="s">
        <v>3518</v>
      </c>
      <c r="Z2515">
        <v>100083021</v>
      </c>
      <c r="AB2515" t="s">
        <v>2832</v>
      </c>
      <c r="AC2515" t="s">
        <v>7560</v>
      </c>
      <c r="AD2515" t="s">
        <v>3518</v>
      </c>
      <c r="AF2515" t="s">
        <v>21274</v>
      </c>
      <c r="AG2515" t="s">
        <v>21275</v>
      </c>
      <c r="AI2515" t="s">
        <v>21276</v>
      </c>
      <c r="AM2515" t="s">
        <v>4329</v>
      </c>
      <c r="AN2515" t="s">
        <v>2066</v>
      </c>
      <c r="AO2515" t="s">
        <v>21277</v>
      </c>
      <c r="AP2515" t="s">
        <v>7024</v>
      </c>
      <c r="AQ2515" t="s">
        <v>21278</v>
      </c>
      <c r="AT2515" s="184">
        <v>36453</v>
      </c>
      <c r="AU2515" t="s">
        <v>21279</v>
      </c>
      <c r="AV2515">
        <v>25</v>
      </c>
      <c r="AW2515" s="184">
        <v>44245</v>
      </c>
      <c r="AX2515" t="s">
        <v>21280</v>
      </c>
      <c r="AY2515">
        <v>50</v>
      </c>
      <c r="AZ2515" s="184">
        <v>37844</v>
      </c>
      <c r="BA2515" t="s">
        <v>21281</v>
      </c>
      <c r="BB2515">
        <v>100</v>
      </c>
      <c r="BC2515">
        <v>89</v>
      </c>
      <c r="BD2515">
        <v>950</v>
      </c>
      <c r="BE2515">
        <v>2000</v>
      </c>
      <c r="BF2515">
        <v>24</v>
      </c>
      <c r="BI2515">
        <v>23</v>
      </c>
      <c r="BJ2515">
        <v>26</v>
      </c>
      <c r="BK2515">
        <v>23</v>
      </c>
      <c r="BP2515" s="184"/>
    </row>
    <row r="2516" spans="1:68">
      <c r="A2516">
        <v>100083021</v>
      </c>
      <c r="B2516">
        <v>30321715</v>
      </c>
      <c r="C2516" t="s">
        <v>7018</v>
      </c>
      <c r="D2516" t="s">
        <v>595</v>
      </c>
      <c r="E2516" s="184">
        <v>44328</v>
      </c>
      <c r="G2516" s="184"/>
      <c r="H2516" t="s">
        <v>595</v>
      </c>
      <c r="I2516" s="184">
        <v>44328</v>
      </c>
      <c r="K2516" s="184"/>
      <c r="M2516" s="184"/>
      <c r="O2516" s="184"/>
      <c r="P2516" t="s">
        <v>7045</v>
      </c>
      <c r="Q2516" t="s">
        <v>7374</v>
      </c>
      <c r="R2516" s="184"/>
      <c r="V2516" t="s">
        <v>2832</v>
      </c>
      <c r="W2516" t="s">
        <v>7560</v>
      </c>
      <c r="X2516" t="s">
        <v>3518</v>
      </c>
      <c r="Z2516">
        <v>30321715</v>
      </c>
      <c r="AB2516" t="s">
        <v>12531</v>
      </c>
      <c r="AC2516" t="s">
        <v>7085</v>
      </c>
      <c r="AD2516" t="s">
        <v>3518</v>
      </c>
      <c r="AF2516" t="s">
        <v>21274</v>
      </c>
      <c r="AG2516" t="s">
        <v>21275</v>
      </c>
      <c r="AI2516" t="s">
        <v>21276</v>
      </c>
      <c r="AM2516" t="s">
        <v>4329</v>
      </c>
      <c r="AN2516" t="s">
        <v>2066</v>
      </c>
      <c r="AO2516" t="s">
        <v>21277</v>
      </c>
      <c r="AP2516" t="s">
        <v>7024</v>
      </c>
      <c r="AT2516" s="184"/>
      <c r="AW2516" s="184"/>
      <c r="AZ2516" s="184"/>
      <c r="BP2516" s="184"/>
    </row>
    <row r="2517" spans="1:68">
      <c r="A2517">
        <v>30325922</v>
      </c>
      <c r="B2517">
        <v>30325922</v>
      </c>
      <c r="C2517" t="s">
        <v>7018</v>
      </c>
      <c r="E2517" s="184"/>
      <c r="G2517" s="184"/>
      <c r="I2517" s="184"/>
      <c r="J2517" t="s">
        <v>595</v>
      </c>
      <c r="K2517" s="184">
        <v>40886</v>
      </c>
      <c r="M2517" s="184"/>
      <c r="O2517" s="184"/>
      <c r="P2517" t="s">
        <v>8550</v>
      </c>
      <c r="Q2517" t="s">
        <v>7160</v>
      </c>
      <c r="R2517" s="184"/>
      <c r="U2517" t="s">
        <v>7076</v>
      </c>
      <c r="V2517" t="s">
        <v>21282</v>
      </c>
      <c r="W2517" t="s">
        <v>3235</v>
      </c>
      <c r="X2517" t="s">
        <v>21283</v>
      </c>
      <c r="AF2517" t="s">
        <v>6760</v>
      </c>
      <c r="AG2517" t="s">
        <v>21282</v>
      </c>
      <c r="AI2517" t="s">
        <v>21284</v>
      </c>
      <c r="AM2517" t="s">
        <v>6925</v>
      </c>
      <c r="AN2517" t="s">
        <v>2675</v>
      </c>
      <c r="AO2517" t="s">
        <v>21285</v>
      </c>
      <c r="AP2517" t="s">
        <v>7024</v>
      </c>
      <c r="AT2517" s="184"/>
      <c r="AW2517" s="184"/>
      <c r="AZ2517" s="184"/>
      <c r="BP2517" s="184"/>
    </row>
    <row r="2518" spans="1:68">
      <c r="A2518">
        <v>30329205</v>
      </c>
      <c r="B2518">
        <v>30329205</v>
      </c>
      <c r="C2518" t="s">
        <v>7018</v>
      </c>
      <c r="E2518" s="184"/>
      <c r="G2518" s="184"/>
      <c r="I2518" s="184"/>
      <c r="K2518" s="184"/>
      <c r="L2518" t="s">
        <v>595</v>
      </c>
      <c r="M2518" s="184">
        <v>45258</v>
      </c>
      <c r="O2518" s="184"/>
      <c r="P2518" t="s">
        <v>7045</v>
      </c>
      <c r="Q2518" t="s">
        <v>7383</v>
      </c>
      <c r="R2518" s="184">
        <v>18955</v>
      </c>
      <c r="S2518">
        <v>72</v>
      </c>
      <c r="U2518" t="s">
        <v>7031</v>
      </c>
      <c r="V2518" t="s">
        <v>2511</v>
      </c>
      <c r="W2518" t="s">
        <v>5006</v>
      </c>
      <c r="X2518" t="s">
        <v>21286</v>
      </c>
      <c r="AF2518" t="s">
        <v>21287</v>
      </c>
      <c r="AG2518" t="s">
        <v>2511</v>
      </c>
      <c r="AI2518" t="s">
        <v>21288</v>
      </c>
      <c r="AM2518" t="s">
        <v>2703</v>
      </c>
      <c r="AN2518" t="s">
        <v>2064</v>
      </c>
      <c r="AO2518" t="s">
        <v>21289</v>
      </c>
      <c r="AP2518" t="s">
        <v>7024</v>
      </c>
      <c r="AQ2518" t="s">
        <v>21290</v>
      </c>
      <c r="AT2518" s="184">
        <v>39153</v>
      </c>
      <c r="AU2518" t="s">
        <v>21291</v>
      </c>
      <c r="AV2518">
        <v>50</v>
      </c>
      <c r="AW2518" s="184">
        <v>45271</v>
      </c>
      <c r="AX2518" t="s">
        <v>21292</v>
      </c>
      <c r="AY2518">
        <v>300</v>
      </c>
      <c r="AZ2518" s="184">
        <v>45271</v>
      </c>
      <c r="BA2518" t="s">
        <v>21292</v>
      </c>
      <c r="BB2518">
        <v>300</v>
      </c>
      <c r="BC2518">
        <v>89</v>
      </c>
      <c r="BD2518">
        <v>3200</v>
      </c>
      <c r="BE2518">
        <v>2007</v>
      </c>
      <c r="BF2518">
        <v>17</v>
      </c>
      <c r="BG2518">
        <v>2</v>
      </c>
      <c r="BH2518">
        <v>550</v>
      </c>
      <c r="BI2518">
        <v>16</v>
      </c>
      <c r="BJ2518">
        <v>18</v>
      </c>
      <c r="BK2518">
        <v>14</v>
      </c>
      <c r="BP2518" s="184"/>
    </row>
    <row r="2519" spans="1:68">
      <c r="A2519">
        <v>30336408</v>
      </c>
      <c r="B2519">
        <v>30336408</v>
      </c>
      <c r="C2519" t="s">
        <v>7018</v>
      </c>
      <c r="E2519" s="184"/>
      <c r="G2519" s="184"/>
      <c r="I2519" s="184"/>
      <c r="K2519" s="184"/>
      <c r="M2519" s="184"/>
      <c r="N2519" t="s">
        <v>595</v>
      </c>
      <c r="O2519" s="184">
        <v>36227</v>
      </c>
      <c r="P2519" t="s">
        <v>7084</v>
      </c>
      <c r="Q2519" t="s">
        <v>7383</v>
      </c>
      <c r="R2519" s="184">
        <v>15432</v>
      </c>
      <c r="S2519">
        <v>82</v>
      </c>
      <c r="U2519" t="s">
        <v>7031</v>
      </c>
      <c r="V2519" t="s">
        <v>2832</v>
      </c>
      <c r="W2519" t="s">
        <v>4382</v>
      </c>
      <c r="X2519" t="s">
        <v>3229</v>
      </c>
      <c r="AF2519" t="s">
        <v>6045</v>
      </c>
      <c r="AG2519" t="s">
        <v>2832</v>
      </c>
      <c r="AI2519" t="s">
        <v>21293</v>
      </c>
      <c r="AM2519" t="s">
        <v>5300</v>
      </c>
      <c r="AN2519" t="s">
        <v>2072</v>
      </c>
      <c r="AO2519" t="s">
        <v>21294</v>
      </c>
      <c r="AP2519" t="s">
        <v>7024</v>
      </c>
      <c r="AT2519" s="184">
        <v>36227</v>
      </c>
      <c r="AU2519" t="s">
        <v>7929</v>
      </c>
      <c r="AV2519">
        <v>10000</v>
      </c>
      <c r="AW2519" s="184">
        <v>45282</v>
      </c>
      <c r="AX2519" t="s">
        <v>7296</v>
      </c>
      <c r="AY2519">
        <v>7167.49</v>
      </c>
      <c r="AZ2519" s="184">
        <v>45044</v>
      </c>
      <c r="BA2519" t="s">
        <v>7721</v>
      </c>
      <c r="BB2519">
        <v>40000</v>
      </c>
      <c r="BC2519">
        <v>8</v>
      </c>
      <c r="BD2519">
        <v>57167.49</v>
      </c>
      <c r="BE2519">
        <v>1999</v>
      </c>
      <c r="BF2519">
        <v>3</v>
      </c>
      <c r="BG2519">
        <v>2</v>
      </c>
      <c r="BH2519">
        <v>47167.49</v>
      </c>
      <c r="BI2519">
        <v>2</v>
      </c>
      <c r="BJ2519">
        <v>26</v>
      </c>
      <c r="BK2519">
        <v>1</v>
      </c>
      <c r="BO2519" t="s">
        <v>595</v>
      </c>
      <c r="BP2519" s="184">
        <v>44741</v>
      </c>
    </row>
    <row r="2520" spans="1:68">
      <c r="A2520">
        <v>30336416</v>
      </c>
      <c r="B2520">
        <v>30336416</v>
      </c>
      <c r="C2520" t="s">
        <v>7018</v>
      </c>
      <c r="E2520" s="184"/>
      <c r="G2520" s="184"/>
      <c r="K2520" s="184"/>
      <c r="M2520" s="184"/>
      <c r="N2520" t="s">
        <v>595</v>
      </c>
      <c r="O2520" s="184">
        <v>36227</v>
      </c>
      <c r="P2520" t="s">
        <v>7045</v>
      </c>
      <c r="Q2520" t="s">
        <v>7383</v>
      </c>
      <c r="R2520" s="184">
        <v>16657</v>
      </c>
      <c r="S2520">
        <v>78</v>
      </c>
      <c r="U2520" t="s">
        <v>7076</v>
      </c>
      <c r="V2520" t="s">
        <v>21295</v>
      </c>
      <c r="X2520" t="s">
        <v>21296</v>
      </c>
      <c r="AF2520" t="s">
        <v>6047</v>
      </c>
      <c r="AG2520" t="s">
        <v>21295</v>
      </c>
      <c r="AI2520" t="s">
        <v>21297</v>
      </c>
      <c r="AM2520" t="s">
        <v>21298</v>
      </c>
      <c r="AN2520" t="s">
        <v>2072</v>
      </c>
      <c r="AO2520" t="s">
        <v>21299</v>
      </c>
      <c r="AP2520" t="s">
        <v>7024</v>
      </c>
      <c r="AT2520" s="184">
        <v>36227</v>
      </c>
      <c r="AU2520" t="s">
        <v>7929</v>
      </c>
      <c r="AV2520">
        <v>10000</v>
      </c>
      <c r="AW2520" s="184">
        <v>44999</v>
      </c>
      <c r="AX2520" t="s">
        <v>21300</v>
      </c>
      <c r="AY2520">
        <v>15</v>
      </c>
      <c r="AZ2520" s="184">
        <v>36227</v>
      </c>
      <c r="BA2520" t="s">
        <v>7929</v>
      </c>
      <c r="BB2520">
        <v>10000</v>
      </c>
      <c r="BC2520">
        <v>12</v>
      </c>
      <c r="BD2520">
        <v>10030</v>
      </c>
      <c r="BE2520">
        <v>1999</v>
      </c>
      <c r="BF2520">
        <v>3</v>
      </c>
      <c r="BG2520">
        <v>1</v>
      </c>
      <c r="BH2520">
        <v>15</v>
      </c>
      <c r="BI2520">
        <v>3</v>
      </c>
      <c r="BJ2520">
        <v>26</v>
      </c>
      <c r="BK2520">
        <v>1</v>
      </c>
      <c r="BP2520" s="184"/>
    </row>
    <row r="2521" spans="1:68">
      <c r="A2521">
        <v>30358329</v>
      </c>
      <c r="B2521">
        <v>30358329</v>
      </c>
      <c r="C2521" t="s">
        <v>7018</v>
      </c>
      <c r="D2521" t="s">
        <v>595</v>
      </c>
      <c r="E2521" s="184">
        <v>43745</v>
      </c>
      <c r="G2521" s="184"/>
      <c r="I2521" s="184"/>
      <c r="K2521" s="184"/>
      <c r="M2521" s="184"/>
      <c r="O2521" s="184"/>
      <c r="P2521" t="s">
        <v>7045</v>
      </c>
      <c r="Q2521" t="s">
        <v>7160</v>
      </c>
      <c r="R2521" s="184">
        <v>14093</v>
      </c>
      <c r="S2521">
        <v>85</v>
      </c>
      <c r="U2521" t="s">
        <v>7076</v>
      </c>
      <c r="V2521" t="s">
        <v>4131</v>
      </c>
      <c r="X2521" t="s">
        <v>4132</v>
      </c>
      <c r="AF2521" t="s">
        <v>21301</v>
      </c>
      <c r="AG2521" t="s">
        <v>4131</v>
      </c>
      <c r="AI2521" t="s">
        <v>21302</v>
      </c>
      <c r="AM2521" t="s">
        <v>4133</v>
      </c>
      <c r="AN2521" t="s">
        <v>2413</v>
      </c>
      <c r="AO2521" t="s">
        <v>21303</v>
      </c>
      <c r="AP2521" t="s">
        <v>7024</v>
      </c>
      <c r="AQ2521" t="s">
        <v>21304</v>
      </c>
      <c r="AR2521" t="s">
        <v>21305</v>
      </c>
      <c r="AT2521" s="184">
        <v>36458</v>
      </c>
      <c r="AU2521" t="s">
        <v>21306</v>
      </c>
      <c r="AV2521">
        <v>25</v>
      </c>
      <c r="AW2521" s="184">
        <v>45372</v>
      </c>
      <c r="AX2521" t="s">
        <v>8490</v>
      </c>
      <c r="AY2521">
        <v>225</v>
      </c>
      <c r="AZ2521" s="184">
        <v>45372</v>
      </c>
      <c r="BA2521" t="s">
        <v>8490</v>
      </c>
      <c r="BB2521">
        <v>225</v>
      </c>
      <c r="BC2521">
        <v>89</v>
      </c>
      <c r="BD2521">
        <v>3675</v>
      </c>
      <c r="BE2521">
        <v>2000</v>
      </c>
      <c r="BF2521">
        <v>38</v>
      </c>
      <c r="BG2521">
        <v>5</v>
      </c>
      <c r="BH2521">
        <v>975</v>
      </c>
      <c r="BI2521">
        <v>23</v>
      </c>
      <c r="BJ2521">
        <v>26</v>
      </c>
      <c r="BK2521">
        <v>15</v>
      </c>
      <c r="BP2521" s="184"/>
    </row>
    <row r="2522" spans="1:68">
      <c r="A2522">
        <v>30360754</v>
      </c>
      <c r="B2522">
        <v>30360754</v>
      </c>
      <c r="C2522" t="s">
        <v>7018</v>
      </c>
      <c r="D2522" t="s">
        <v>595</v>
      </c>
      <c r="E2522" s="184">
        <v>44073</v>
      </c>
      <c r="G2522" s="184"/>
      <c r="I2522" s="184"/>
      <c r="K2522" s="184"/>
      <c r="M2522" s="184"/>
      <c r="O2522" s="184"/>
      <c r="P2522" t="s">
        <v>7045</v>
      </c>
      <c r="Q2522" t="s">
        <v>7030</v>
      </c>
      <c r="R2522" s="184">
        <v>18507</v>
      </c>
      <c r="S2522">
        <v>73</v>
      </c>
      <c r="U2522" t="s">
        <v>7076</v>
      </c>
      <c r="V2522" t="s">
        <v>3043</v>
      </c>
      <c r="X2522" t="s">
        <v>21307</v>
      </c>
      <c r="AF2522" t="s">
        <v>21308</v>
      </c>
      <c r="AG2522" t="s">
        <v>3043</v>
      </c>
      <c r="AI2522" t="s">
        <v>21309</v>
      </c>
      <c r="AM2522" t="s">
        <v>3706</v>
      </c>
      <c r="AN2522" t="s">
        <v>2094</v>
      </c>
      <c r="AO2522" t="s">
        <v>21310</v>
      </c>
      <c r="AP2522" t="s">
        <v>7024</v>
      </c>
      <c r="AQ2522" t="s">
        <v>21311</v>
      </c>
      <c r="AT2522" s="184">
        <v>36458</v>
      </c>
      <c r="AU2522" t="s">
        <v>21261</v>
      </c>
      <c r="AV2522">
        <v>20</v>
      </c>
      <c r="AW2522" s="184">
        <v>45040</v>
      </c>
      <c r="AX2522" t="s">
        <v>10966</v>
      </c>
      <c r="AY2522">
        <v>35</v>
      </c>
      <c r="AZ2522" s="184">
        <v>39174</v>
      </c>
      <c r="BA2522" t="s">
        <v>21312</v>
      </c>
      <c r="BB2522">
        <v>75</v>
      </c>
      <c r="BC2522">
        <v>77</v>
      </c>
      <c r="BD2522">
        <v>925</v>
      </c>
      <c r="BE2522">
        <v>2000</v>
      </c>
      <c r="BF2522">
        <v>27</v>
      </c>
      <c r="BG2522">
        <v>2</v>
      </c>
      <c r="BH2522">
        <v>70</v>
      </c>
      <c r="BI2522">
        <v>20</v>
      </c>
      <c r="BJ2522">
        <v>26</v>
      </c>
      <c r="BK2522">
        <v>6</v>
      </c>
      <c r="BN2522" t="s">
        <v>595</v>
      </c>
    </row>
    <row r="2523" spans="1:68">
      <c r="A2523">
        <v>30392104</v>
      </c>
      <c r="B2523">
        <v>30392104</v>
      </c>
      <c r="C2523" t="s">
        <v>7018</v>
      </c>
      <c r="E2523" s="184"/>
      <c r="G2523" s="184"/>
      <c r="I2523" s="184"/>
      <c r="K2523" s="184"/>
      <c r="M2523" s="184"/>
      <c r="N2523" t="s">
        <v>595</v>
      </c>
      <c r="O2523" s="184">
        <v>41761</v>
      </c>
      <c r="P2523" t="s">
        <v>7029</v>
      </c>
      <c r="Q2523" t="s">
        <v>7030</v>
      </c>
      <c r="R2523" s="184">
        <v>14625</v>
      </c>
      <c r="S2523">
        <v>84</v>
      </c>
      <c r="U2523" t="s">
        <v>7031</v>
      </c>
      <c r="V2523" t="s">
        <v>3103</v>
      </c>
      <c r="W2523" t="s">
        <v>2316</v>
      </c>
      <c r="X2523" t="s">
        <v>5532</v>
      </c>
      <c r="Z2523">
        <v>100083196</v>
      </c>
      <c r="AA2523" t="s">
        <v>7130</v>
      </c>
      <c r="AB2523" t="s">
        <v>2733</v>
      </c>
      <c r="AC2523" t="s">
        <v>3550</v>
      </c>
      <c r="AD2523" t="s">
        <v>5532</v>
      </c>
      <c r="AF2523" t="s">
        <v>21313</v>
      </c>
      <c r="AG2523" t="s">
        <v>21314</v>
      </c>
      <c r="AI2523" t="s">
        <v>21315</v>
      </c>
      <c r="AM2523" t="s">
        <v>4209</v>
      </c>
      <c r="AN2523" t="s">
        <v>2201</v>
      </c>
      <c r="AO2523" t="s">
        <v>21316</v>
      </c>
      <c r="AP2523" t="s">
        <v>7024</v>
      </c>
      <c r="AQ2523" t="s">
        <v>21317</v>
      </c>
      <c r="AT2523" s="184">
        <v>36466</v>
      </c>
      <c r="AU2523" t="s">
        <v>21318</v>
      </c>
      <c r="AV2523">
        <v>25</v>
      </c>
      <c r="AW2523" s="184">
        <v>45104</v>
      </c>
      <c r="AX2523" t="s">
        <v>11643</v>
      </c>
      <c r="AY2523">
        <v>1000</v>
      </c>
      <c r="AZ2523" s="184">
        <v>42668</v>
      </c>
      <c r="BA2523" t="s">
        <v>7267</v>
      </c>
      <c r="BB2523">
        <v>20000</v>
      </c>
      <c r="BC2523">
        <v>54</v>
      </c>
      <c r="BD2523">
        <v>48600</v>
      </c>
      <c r="BE2523">
        <v>2000</v>
      </c>
      <c r="BF2523">
        <v>24</v>
      </c>
      <c r="BG2523">
        <v>3</v>
      </c>
      <c r="BH2523">
        <v>3000</v>
      </c>
      <c r="BI2523">
        <v>14</v>
      </c>
      <c r="BJ2523">
        <v>26</v>
      </c>
      <c r="BK2523">
        <v>12</v>
      </c>
      <c r="BP2523" s="184"/>
    </row>
    <row r="2524" spans="1:68">
      <c r="A2524">
        <v>100083196</v>
      </c>
      <c r="B2524">
        <v>30392104</v>
      </c>
      <c r="C2524" t="s">
        <v>7018</v>
      </c>
      <c r="E2524" s="184"/>
      <c r="G2524" s="184"/>
      <c r="I2524" s="184"/>
      <c r="K2524" s="184"/>
      <c r="N2524" t="s">
        <v>595</v>
      </c>
      <c r="O2524" s="184">
        <v>41761</v>
      </c>
      <c r="P2524" t="s">
        <v>7029</v>
      </c>
      <c r="Q2524" t="s">
        <v>7030</v>
      </c>
      <c r="R2524" s="184">
        <v>14979</v>
      </c>
      <c r="S2524">
        <v>83</v>
      </c>
      <c r="U2524" t="s">
        <v>7130</v>
      </c>
      <c r="V2524" t="s">
        <v>2733</v>
      </c>
      <c r="W2524" t="s">
        <v>3550</v>
      </c>
      <c r="X2524" t="s">
        <v>5532</v>
      </c>
      <c r="Z2524">
        <v>30392104</v>
      </c>
      <c r="AA2524" t="s">
        <v>7031</v>
      </c>
      <c r="AB2524" t="s">
        <v>3103</v>
      </c>
      <c r="AC2524" t="s">
        <v>2316</v>
      </c>
      <c r="AD2524" t="s">
        <v>5532</v>
      </c>
      <c r="AF2524" t="s">
        <v>21313</v>
      </c>
      <c r="AG2524" t="s">
        <v>21314</v>
      </c>
      <c r="AI2524" t="s">
        <v>21315</v>
      </c>
      <c r="AM2524" t="s">
        <v>4209</v>
      </c>
      <c r="AN2524" t="s">
        <v>2201</v>
      </c>
      <c r="AO2524" t="s">
        <v>21316</v>
      </c>
      <c r="AP2524" t="s">
        <v>7024</v>
      </c>
      <c r="AT2524" s="184">
        <v>43816</v>
      </c>
      <c r="AU2524" t="s">
        <v>21319</v>
      </c>
      <c r="AV2524">
        <v>500</v>
      </c>
      <c r="AW2524" s="184">
        <v>43816</v>
      </c>
      <c r="AX2524" t="s">
        <v>21319</v>
      </c>
      <c r="AY2524">
        <v>500</v>
      </c>
      <c r="AZ2524" s="184">
        <v>43816</v>
      </c>
      <c r="BA2524" t="s">
        <v>21319</v>
      </c>
      <c r="BB2524">
        <v>500</v>
      </c>
      <c r="BC2524">
        <v>17</v>
      </c>
      <c r="BD2524">
        <v>500</v>
      </c>
      <c r="BE2524">
        <v>2020</v>
      </c>
      <c r="BF2524">
        <v>1</v>
      </c>
      <c r="BI2524">
        <v>1</v>
      </c>
      <c r="BJ2524">
        <v>6</v>
      </c>
      <c r="BK2524">
        <v>1</v>
      </c>
      <c r="BP2524" s="184"/>
    </row>
    <row r="2525" spans="1:68">
      <c r="A2525">
        <v>30397400</v>
      </c>
      <c r="B2525">
        <v>30397400</v>
      </c>
      <c r="C2525" t="s">
        <v>7018</v>
      </c>
      <c r="E2525" s="184"/>
      <c r="F2525" t="s">
        <v>595</v>
      </c>
      <c r="G2525" s="184">
        <v>43647</v>
      </c>
      <c r="I2525" s="184"/>
      <c r="K2525" s="184"/>
      <c r="M2525" s="184"/>
      <c r="O2525" s="184"/>
      <c r="P2525" t="s">
        <v>7045</v>
      </c>
      <c r="Q2525" t="s">
        <v>7774</v>
      </c>
      <c r="R2525" s="184">
        <v>15785</v>
      </c>
      <c r="S2525">
        <v>81</v>
      </c>
      <c r="U2525" t="s">
        <v>7076</v>
      </c>
      <c r="V2525" t="s">
        <v>3400</v>
      </c>
      <c r="W2525" t="s">
        <v>4139</v>
      </c>
      <c r="X2525" t="s">
        <v>3416</v>
      </c>
      <c r="AF2525" t="s">
        <v>21320</v>
      </c>
      <c r="AG2525" t="s">
        <v>3400</v>
      </c>
      <c r="AI2525" t="s">
        <v>21321</v>
      </c>
      <c r="AM2525" t="s">
        <v>3417</v>
      </c>
      <c r="AN2525" t="s">
        <v>2290</v>
      </c>
      <c r="AO2525" t="s">
        <v>21322</v>
      </c>
      <c r="AP2525" t="s">
        <v>7024</v>
      </c>
      <c r="AQ2525" t="s">
        <v>21323</v>
      </c>
      <c r="AT2525" s="184">
        <v>36465</v>
      </c>
      <c r="AU2525" t="s">
        <v>21324</v>
      </c>
      <c r="AV2525">
        <v>25</v>
      </c>
      <c r="AW2525" s="184">
        <v>45084</v>
      </c>
      <c r="AX2525" t="s">
        <v>21325</v>
      </c>
      <c r="AY2525">
        <v>15</v>
      </c>
      <c r="AZ2525" s="184">
        <v>38624</v>
      </c>
      <c r="BA2525" t="s">
        <v>21326</v>
      </c>
      <c r="BB2525">
        <v>50</v>
      </c>
      <c r="BC2525">
        <v>58</v>
      </c>
      <c r="BD2525">
        <v>1781</v>
      </c>
      <c r="BE2525">
        <v>2000</v>
      </c>
      <c r="BF2525">
        <v>123</v>
      </c>
      <c r="BG2525">
        <v>14</v>
      </c>
      <c r="BH2525">
        <v>210</v>
      </c>
      <c r="BI2525">
        <v>15</v>
      </c>
      <c r="BJ2525">
        <v>26</v>
      </c>
      <c r="BK2525">
        <v>12</v>
      </c>
      <c r="BP2525" s="184"/>
    </row>
    <row r="2526" spans="1:68">
      <c r="A2526">
        <v>30428064</v>
      </c>
      <c r="B2526">
        <v>30428064</v>
      </c>
      <c r="C2526" t="s">
        <v>7018</v>
      </c>
      <c r="D2526" t="s">
        <v>595</v>
      </c>
      <c r="E2526" s="184">
        <v>45147</v>
      </c>
      <c r="G2526" s="184"/>
      <c r="I2526" s="184"/>
      <c r="K2526" s="184"/>
      <c r="M2526" s="184"/>
      <c r="O2526" s="184"/>
      <c r="P2526" t="s">
        <v>7045</v>
      </c>
      <c r="Q2526" t="s">
        <v>7383</v>
      </c>
      <c r="R2526" s="184">
        <v>15250</v>
      </c>
      <c r="S2526">
        <v>82</v>
      </c>
      <c r="V2526" t="s">
        <v>2669</v>
      </c>
      <c r="X2526" t="s">
        <v>21327</v>
      </c>
      <c r="Z2526">
        <v>100181963</v>
      </c>
      <c r="AB2526" t="s">
        <v>2771</v>
      </c>
      <c r="AD2526" t="s">
        <v>21327</v>
      </c>
      <c r="AF2526" t="s">
        <v>21328</v>
      </c>
      <c r="AG2526" t="s">
        <v>2669</v>
      </c>
      <c r="AI2526" t="s">
        <v>21329</v>
      </c>
      <c r="AM2526" t="s">
        <v>3345</v>
      </c>
      <c r="AN2526" t="s">
        <v>2274</v>
      </c>
      <c r="AO2526" t="s">
        <v>21330</v>
      </c>
      <c r="AP2526" t="s">
        <v>7024</v>
      </c>
      <c r="AQ2526" t="s">
        <v>21331</v>
      </c>
      <c r="AT2526" s="184">
        <v>36475</v>
      </c>
      <c r="AU2526" t="s">
        <v>21332</v>
      </c>
      <c r="AV2526">
        <v>25</v>
      </c>
      <c r="AW2526" s="184">
        <v>45320</v>
      </c>
      <c r="AX2526" t="s">
        <v>13414</v>
      </c>
      <c r="AY2526">
        <v>25</v>
      </c>
      <c r="AZ2526" s="184">
        <v>38775</v>
      </c>
      <c r="BA2526" t="s">
        <v>21333</v>
      </c>
      <c r="BB2526">
        <v>50</v>
      </c>
      <c r="BC2526">
        <v>43</v>
      </c>
      <c r="BD2526">
        <v>455</v>
      </c>
      <c r="BE2526">
        <v>2000</v>
      </c>
      <c r="BF2526">
        <v>17</v>
      </c>
      <c r="BG2526">
        <v>4</v>
      </c>
      <c r="BH2526">
        <v>100</v>
      </c>
      <c r="BI2526">
        <v>11</v>
      </c>
      <c r="BJ2526">
        <v>26</v>
      </c>
      <c r="BK2526">
        <v>7</v>
      </c>
      <c r="BP2526" s="184"/>
    </row>
    <row r="2527" spans="1:68">
      <c r="A2527">
        <v>100181963</v>
      </c>
      <c r="B2527">
        <v>30428064</v>
      </c>
      <c r="C2527" t="s">
        <v>7018</v>
      </c>
      <c r="D2527" t="s">
        <v>595</v>
      </c>
      <c r="E2527" s="184">
        <v>45147</v>
      </c>
      <c r="G2527" s="184"/>
      <c r="I2527" s="184"/>
      <c r="K2527" s="184"/>
      <c r="M2527" s="184"/>
      <c r="O2527" s="184"/>
      <c r="P2527" t="s">
        <v>7045</v>
      </c>
      <c r="Q2527" t="s">
        <v>7383</v>
      </c>
      <c r="R2527" s="184">
        <v>7641</v>
      </c>
      <c r="S2527">
        <v>103</v>
      </c>
      <c r="V2527" t="s">
        <v>2771</v>
      </c>
      <c r="X2527" t="s">
        <v>21327</v>
      </c>
      <c r="Z2527">
        <v>30428064</v>
      </c>
      <c r="AB2527" t="s">
        <v>2669</v>
      </c>
      <c r="AD2527" t="s">
        <v>21327</v>
      </c>
      <c r="AF2527" t="s">
        <v>21328</v>
      </c>
      <c r="AG2527" t="s">
        <v>2669</v>
      </c>
      <c r="AI2527" t="s">
        <v>21329</v>
      </c>
      <c r="AM2527" t="s">
        <v>3345</v>
      </c>
      <c r="AN2527" t="s">
        <v>2274</v>
      </c>
      <c r="AO2527" t="s">
        <v>21330</v>
      </c>
      <c r="AP2527" t="s">
        <v>7024</v>
      </c>
      <c r="AT2527" s="184"/>
      <c r="AW2527" s="184"/>
      <c r="AZ2527" s="184"/>
      <c r="BO2527" t="s">
        <v>595</v>
      </c>
      <c r="BP2527" s="184"/>
    </row>
    <row r="2528" spans="1:68">
      <c r="A2528">
        <v>30481048</v>
      </c>
      <c r="B2528">
        <v>30481048</v>
      </c>
      <c r="C2528" t="s">
        <v>7018</v>
      </c>
      <c r="E2528" s="184"/>
      <c r="G2528" s="184"/>
      <c r="I2528" s="184"/>
      <c r="K2528" s="184"/>
      <c r="M2528" s="184"/>
      <c r="N2528" t="s">
        <v>595</v>
      </c>
      <c r="O2528" s="184">
        <v>42707</v>
      </c>
      <c r="P2528" t="s">
        <v>7045</v>
      </c>
      <c r="Q2528" t="s">
        <v>7160</v>
      </c>
      <c r="R2528" s="184">
        <v>16294</v>
      </c>
      <c r="S2528">
        <v>79</v>
      </c>
      <c r="V2528" t="s">
        <v>3230</v>
      </c>
      <c r="W2528" t="s">
        <v>4013</v>
      </c>
      <c r="X2528" t="s">
        <v>5740</v>
      </c>
      <c r="Z2528">
        <v>100083500</v>
      </c>
      <c r="AB2528" t="s">
        <v>2541</v>
      </c>
      <c r="AC2528" t="s">
        <v>3753</v>
      </c>
      <c r="AD2528" t="s">
        <v>5740</v>
      </c>
      <c r="AF2528" t="s">
        <v>21334</v>
      </c>
      <c r="AG2528" t="s">
        <v>21335</v>
      </c>
      <c r="AI2528" t="s">
        <v>21336</v>
      </c>
      <c r="AM2528" t="s">
        <v>4670</v>
      </c>
      <c r="AN2528" t="s">
        <v>2203</v>
      </c>
      <c r="AO2528" t="s">
        <v>21337</v>
      </c>
      <c r="AP2528" t="s">
        <v>7024</v>
      </c>
      <c r="AQ2528" t="s">
        <v>21338</v>
      </c>
      <c r="AR2528" t="s">
        <v>21339</v>
      </c>
      <c r="AT2528" s="184">
        <v>36481</v>
      </c>
      <c r="AU2528" t="s">
        <v>21169</v>
      </c>
      <c r="AV2528">
        <v>20</v>
      </c>
      <c r="AW2528" s="184">
        <v>45277</v>
      </c>
      <c r="AX2528" t="s">
        <v>9159</v>
      </c>
      <c r="AY2528">
        <v>100</v>
      </c>
      <c r="AZ2528" s="184">
        <v>42712</v>
      </c>
      <c r="BA2528" t="s">
        <v>7267</v>
      </c>
      <c r="BB2528">
        <v>20000</v>
      </c>
      <c r="BC2528">
        <v>97</v>
      </c>
      <c r="BD2528">
        <v>22240</v>
      </c>
      <c r="BE2528">
        <v>2000</v>
      </c>
      <c r="BF2528">
        <v>31</v>
      </c>
      <c r="BG2528">
        <v>2</v>
      </c>
      <c r="BH2528">
        <v>200</v>
      </c>
      <c r="BI2528">
        <v>25</v>
      </c>
      <c r="BJ2528">
        <v>26</v>
      </c>
      <c r="BK2528">
        <v>25</v>
      </c>
      <c r="BP2528" s="184"/>
    </row>
    <row r="2529" spans="1:68">
      <c r="A2529">
        <v>100083500</v>
      </c>
      <c r="B2529">
        <v>30481048</v>
      </c>
      <c r="C2529" t="s">
        <v>7018</v>
      </c>
      <c r="E2529" s="184"/>
      <c r="G2529" s="184"/>
      <c r="I2529" s="184"/>
      <c r="K2529" s="184"/>
      <c r="M2529" s="184"/>
      <c r="N2529" t="s">
        <v>595</v>
      </c>
      <c r="O2529" s="184">
        <v>42707</v>
      </c>
      <c r="P2529" t="s">
        <v>7045</v>
      </c>
      <c r="Q2529" t="s">
        <v>7160</v>
      </c>
      <c r="R2529" s="184">
        <v>17124</v>
      </c>
      <c r="S2529">
        <v>77</v>
      </c>
      <c r="V2529" t="s">
        <v>2541</v>
      </c>
      <c r="W2529" t="s">
        <v>3753</v>
      </c>
      <c r="X2529" t="s">
        <v>5740</v>
      </c>
      <c r="Z2529">
        <v>30481048</v>
      </c>
      <c r="AB2529" t="s">
        <v>3230</v>
      </c>
      <c r="AC2529" t="s">
        <v>4013</v>
      </c>
      <c r="AD2529" t="s">
        <v>5740</v>
      </c>
      <c r="AF2529" t="s">
        <v>21334</v>
      </c>
      <c r="AG2529" t="s">
        <v>21335</v>
      </c>
      <c r="AI2529" t="s">
        <v>21336</v>
      </c>
      <c r="AM2529" t="s">
        <v>4670</v>
      </c>
      <c r="AN2529" t="s">
        <v>2203</v>
      </c>
      <c r="AO2529" t="s">
        <v>21337</v>
      </c>
      <c r="AP2529" t="s">
        <v>7024</v>
      </c>
      <c r="AT2529" s="184"/>
      <c r="AW2529" s="184"/>
      <c r="AZ2529" s="184"/>
      <c r="BP2529" s="184"/>
    </row>
    <row r="2530" spans="1:68">
      <c r="A2530">
        <v>30496830</v>
      </c>
      <c r="B2530">
        <v>30496830</v>
      </c>
      <c r="C2530" t="s">
        <v>7018</v>
      </c>
      <c r="D2530" t="s">
        <v>595</v>
      </c>
      <c r="E2530" s="184">
        <v>43642</v>
      </c>
      <c r="G2530" s="184"/>
      <c r="I2530" s="184"/>
      <c r="K2530" s="184"/>
      <c r="M2530" s="184"/>
      <c r="O2530" s="184"/>
      <c r="P2530" t="s">
        <v>7045</v>
      </c>
      <c r="Q2530" t="s">
        <v>7383</v>
      </c>
      <c r="R2530" s="184">
        <v>14022</v>
      </c>
      <c r="S2530">
        <v>85</v>
      </c>
      <c r="U2530" t="s">
        <v>7237</v>
      </c>
      <c r="V2530" t="s">
        <v>3314</v>
      </c>
      <c r="X2530" t="s">
        <v>3315</v>
      </c>
      <c r="AF2530" t="s">
        <v>21340</v>
      </c>
      <c r="AG2530" t="s">
        <v>3314</v>
      </c>
      <c r="AI2530" t="s">
        <v>21341</v>
      </c>
      <c r="AM2530" t="s">
        <v>3316</v>
      </c>
      <c r="AN2530" t="s">
        <v>2313</v>
      </c>
      <c r="AO2530" t="s">
        <v>21342</v>
      </c>
      <c r="AP2530" t="s">
        <v>7024</v>
      </c>
      <c r="AT2530" s="184">
        <v>36480</v>
      </c>
      <c r="AU2530" t="s">
        <v>21343</v>
      </c>
      <c r="AV2530">
        <v>15</v>
      </c>
      <c r="AW2530" s="184">
        <v>45369</v>
      </c>
      <c r="AX2530" t="s">
        <v>10707</v>
      </c>
      <c r="AY2530">
        <v>50</v>
      </c>
      <c r="AZ2530" s="184">
        <v>45369</v>
      </c>
      <c r="BA2530" t="s">
        <v>10707</v>
      </c>
      <c r="BB2530">
        <v>50</v>
      </c>
      <c r="BC2530">
        <v>77</v>
      </c>
      <c r="BD2530">
        <v>2270</v>
      </c>
      <c r="BE2530">
        <v>2000</v>
      </c>
      <c r="BF2530">
        <v>58</v>
      </c>
      <c r="BG2530">
        <v>9</v>
      </c>
      <c r="BH2530">
        <v>425</v>
      </c>
      <c r="BI2530">
        <v>20</v>
      </c>
      <c r="BJ2530">
        <v>26</v>
      </c>
      <c r="BK2530">
        <v>19</v>
      </c>
      <c r="BP2530" s="184"/>
    </row>
    <row r="2531" spans="1:68">
      <c r="A2531">
        <v>30513022</v>
      </c>
      <c r="B2531">
        <v>30513022</v>
      </c>
      <c r="C2531" t="s">
        <v>7018</v>
      </c>
      <c r="E2531" s="184"/>
      <c r="F2531" t="s">
        <v>595</v>
      </c>
      <c r="G2531" s="184">
        <v>43731</v>
      </c>
      <c r="I2531" s="184"/>
      <c r="K2531" s="184"/>
      <c r="M2531" s="184"/>
      <c r="O2531" s="184"/>
      <c r="P2531" t="s">
        <v>7045</v>
      </c>
      <c r="Q2531" t="s">
        <v>7494</v>
      </c>
      <c r="R2531" s="184">
        <v>16984</v>
      </c>
      <c r="S2531">
        <v>77</v>
      </c>
      <c r="V2531" t="s">
        <v>3103</v>
      </c>
      <c r="X2531" t="s">
        <v>3092</v>
      </c>
      <c r="AF2531" t="s">
        <v>21344</v>
      </c>
      <c r="AG2531" t="s">
        <v>3103</v>
      </c>
      <c r="AI2531" t="s">
        <v>21345</v>
      </c>
      <c r="AM2531" t="s">
        <v>3770</v>
      </c>
      <c r="AN2531" t="s">
        <v>2174</v>
      </c>
      <c r="AO2531" t="s">
        <v>21346</v>
      </c>
      <c r="AP2531" t="s">
        <v>7024</v>
      </c>
      <c r="AQ2531" t="s">
        <v>21347</v>
      </c>
      <c r="AR2531" t="s">
        <v>21348</v>
      </c>
      <c r="AT2531" s="184">
        <v>36483</v>
      </c>
      <c r="AU2531" t="s">
        <v>21349</v>
      </c>
      <c r="AV2531">
        <v>15</v>
      </c>
      <c r="AW2531" s="184">
        <v>45303</v>
      </c>
      <c r="AX2531" t="s">
        <v>12156</v>
      </c>
      <c r="AY2531">
        <v>35</v>
      </c>
      <c r="AZ2531" s="184">
        <v>43335</v>
      </c>
      <c r="BA2531" t="s">
        <v>12530</v>
      </c>
      <c r="BB2531">
        <v>60</v>
      </c>
      <c r="BC2531">
        <v>62</v>
      </c>
      <c r="BD2531">
        <v>965</v>
      </c>
      <c r="BE2531">
        <v>2000</v>
      </c>
      <c r="BF2531">
        <v>33</v>
      </c>
      <c r="BG2531">
        <v>5</v>
      </c>
      <c r="BH2531">
        <v>155</v>
      </c>
      <c r="BI2531">
        <v>16</v>
      </c>
      <c r="BJ2531">
        <v>26</v>
      </c>
      <c r="BK2531">
        <v>9</v>
      </c>
      <c r="BP2531" s="184"/>
    </row>
    <row r="2532" spans="1:68">
      <c r="A2532">
        <v>30517130</v>
      </c>
      <c r="B2532">
        <v>30517130</v>
      </c>
      <c r="C2532" t="s">
        <v>7018</v>
      </c>
      <c r="D2532" t="s">
        <v>595</v>
      </c>
      <c r="E2532" s="184">
        <v>43881</v>
      </c>
      <c r="G2532" s="184"/>
      <c r="I2532" s="184"/>
      <c r="K2532" s="184"/>
      <c r="M2532" s="184"/>
      <c r="O2532" s="184"/>
      <c r="P2532" t="s">
        <v>7045</v>
      </c>
      <c r="Q2532" t="s">
        <v>7160</v>
      </c>
      <c r="R2532" s="184">
        <v>19511</v>
      </c>
      <c r="S2532">
        <v>70</v>
      </c>
      <c r="V2532" t="s">
        <v>3593</v>
      </c>
      <c r="X2532" t="s">
        <v>2885</v>
      </c>
      <c r="AF2532" t="s">
        <v>21350</v>
      </c>
      <c r="AG2532" t="s">
        <v>3593</v>
      </c>
      <c r="AI2532" t="s">
        <v>21351</v>
      </c>
      <c r="AM2532" t="s">
        <v>4515</v>
      </c>
      <c r="AN2532" t="s">
        <v>2395</v>
      </c>
      <c r="AO2532" t="s">
        <v>21352</v>
      </c>
      <c r="AP2532" t="s">
        <v>7024</v>
      </c>
      <c r="AQ2532" t="s">
        <v>21353</v>
      </c>
      <c r="AT2532" s="184">
        <v>36490</v>
      </c>
      <c r="AU2532" t="s">
        <v>21354</v>
      </c>
      <c r="AV2532">
        <v>25</v>
      </c>
      <c r="AW2532" s="184">
        <v>45145</v>
      </c>
      <c r="AX2532" t="s">
        <v>21355</v>
      </c>
      <c r="AY2532">
        <v>100</v>
      </c>
      <c r="AZ2532" s="184">
        <v>45145</v>
      </c>
      <c r="BA2532" t="s">
        <v>21355</v>
      </c>
      <c r="BB2532">
        <v>100</v>
      </c>
      <c r="BC2532">
        <v>77</v>
      </c>
      <c r="BD2532">
        <v>1085</v>
      </c>
      <c r="BE2532">
        <v>2000</v>
      </c>
      <c r="BF2532">
        <v>23</v>
      </c>
      <c r="BG2532">
        <v>2</v>
      </c>
      <c r="BH2532">
        <v>200</v>
      </c>
      <c r="BI2532">
        <v>20</v>
      </c>
      <c r="BJ2532">
        <v>26</v>
      </c>
      <c r="BK2532">
        <v>9</v>
      </c>
    </row>
    <row r="2533" spans="1:68">
      <c r="A2533">
        <v>30517338</v>
      </c>
      <c r="B2533">
        <v>30517338</v>
      </c>
      <c r="C2533" t="s">
        <v>7018</v>
      </c>
      <c r="D2533" t="s">
        <v>595</v>
      </c>
      <c r="E2533" s="184">
        <v>44073</v>
      </c>
      <c r="F2533" t="s">
        <v>595</v>
      </c>
      <c r="G2533" s="184">
        <v>44649</v>
      </c>
      <c r="I2533" s="184"/>
      <c r="K2533" s="184"/>
      <c r="M2533" s="184"/>
      <c r="O2533" s="184"/>
      <c r="P2533" t="s">
        <v>7045</v>
      </c>
      <c r="Q2533" t="s">
        <v>7262</v>
      </c>
      <c r="R2533" s="184">
        <v>14440</v>
      </c>
      <c r="S2533">
        <v>84</v>
      </c>
      <c r="U2533" t="s">
        <v>13697</v>
      </c>
      <c r="V2533" t="s">
        <v>4499</v>
      </c>
      <c r="W2533" t="s">
        <v>7560</v>
      </c>
      <c r="X2533" t="s">
        <v>21356</v>
      </c>
      <c r="AF2533" t="s">
        <v>21357</v>
      </c>
      <c r="AG2533" t="s">
        <v>4499</v>
      </c>
      <c r="AI2533" t="s">
        <v>21358</v>
      </c>
      <c r="AM2533" t="s">
        <v>21359</v>
      </c>
      <c r="AN2533" t="s">
        <v>2106</v>
      </c>
      <c r="AO2533" t="s">
        <v>21360</v>
      </c>
      <c r="AP2533" t="s">
        <v>7024</v>
      </c>
      <c r="AQ2533" t="s">
        <v>21361</v>
      </c>
      <c r="AT2533" s="184">
        <v>36490</v>
      </c>
      <c r="AU2533" t="s">
        <v>21362</v>
      </c>
      <c r="AV2533">
        <v>25</v>
      </c>
      <c r="AW2533" s="184">
        <v>45110</v>
      </c>
      <c r="AX2533" t="s">
        <v>7452</v>
      </c>
      <c r="AY2533">
        <v>250.22</v>
      </c>
      <c r="AZ2533" s="184">
        <v>45110</v>
      </c>
      <c r="BA2533" t="s">
        <v>7452</v>
      </c>
      <c r="BB2533">
        <v>250.22</v>
      </c>
      <c r="BC2533">
        <v>74</v>
      </c>
      <c r="BD2533">
        <v>2363.1</v>
      </c>
      <c r="BE2533">
        <v>2000</v>
      </c>
      <c r="BF2533">
        <v>22</v>
      </c>
      <c r="BG2533">
        <v>2</v>
      </c>
      <c r="BH2533">
        <v>500.44</v>
      </c>
      <c r="BI2533">
        <v>19</v>
      </c>
      <c r="BJ2533">
        <v>26</v>
      </c>
      <c r="BK2533">
        <v>8</v>
      </c>
      <c r="BN2533" t="s">
        <v>595</v>
      </c>
      <c r="BP2533" s="184"/>
    </row>
    <row r="2534" spans="1:68">
      <c r="A2534">
        <v>30536239</v>
      </c>
      <c r="B2534">
        <v>30536239</v>
      </c>
      <c r="C2534" t="s">
        <v>7018</v>
      </c>
      <c r="D2534" t="s">
        <v>595</v>
      </c>
      <c r="E2534" s="184">
        <v>45160</v>
      </c>
      <c r="G2534" s="184"/>
      <c r="I2534" s="184"/>
      <c r="K2534" s="184"/>
      <c r="M2534" s="184"/>
      <c r="O2534" s="184"/>
      <c r="P2534" t="s">
        <v>7045</v>
      </c>
      <c r="Q2534" t="s">
        <v>7383</v>
      </c>
      <c r="R2534" s="184">
        <v>22605</v>
      </c>
      <c r="S2534">
        <v>62</v>
      </c>
      <c r="U2534" t="s">
        <v>7076</v>
      </c>
      <c r="V2534" t="s">
        <v>2995</v>
      </c>
      <c r="X2534" t="s">
        <v>21363</v>
      </c>
      <c r="AF2534" t="s">
        <v>21364</v>
      </c>
      <c r="AG2534" t="s">
        <v>2995</v>
      </c>
      <c r="AI2534" t="s">
        <v>21365</v>
      </c>
      <c r="AM2534" t="s">
        <v>21366</v>
      </c>
      <c r="AN2534" t="s">
        <v>2274</v>
      </c>
      <c r="AO2534" t="s">
        <v>21367</v>
      </c>
      <c r="AP2534" t="s">
        <v>7024</v>
      </c>
      <c r="AQ2534" t="s">
        <v>21368</v>
      </c>
      <c r="AT2534" s="184">
        <v>36486</v>
      </c>
      <c r="AU2534" t="s">
        <v>21332</v>
      </c>
      <c r="AV2534">
        <v>15</v>
      </c>
      <c r="AW2534" s="184">
        <v>44685</v>
      </c>
      <c r="AX2534" t="s">
        <v>21369</v>
      </c>
      <c r="AY2534">
        <v>35</v>
      </c>
      <c r="AZ2534" s="184">
        <v>40977</v>
      </c>
      <c r="BA2534" t="s">
        <v>21370</v>
      </c>
      <c r="BB2534">
        <v>50</v>
      </c>
      <c r="BC2534">
        <v>89</v>
      </c>
      <c r="BD2534">
        <v>955</v>
      </c>
      <c r="BE2534">
        <v>2000</v>
      </c>
      <c r="BF2534">
        <v>40</v>
      </c>
      <c r="BG2534">
        <v>1</v>
      </c>
      <c r="BH2534">
        <v>35</v>
      </c>
      <c r="BI2534">
        <v>23</v>
      </c>
      <c r="BJ2534">
        <v>26</v>
      </c>
      <c r="BK2534">
        <v>17</v>
      </c>
      <c r="BP2534" s="184"/>
    </row>
    <row r="2535" spans="1:68">
      <c r="A2535">
        <v>30547053</v>
      </c>
      <c r="B2535">
        <v>30547053</v>
      </c>
      <c r="C2535" t="s">
        <v>7018</v>
      </c>
      <c r="D2535" t="s">
        <v>595</v>
      </c>
      <c r="E2535" s="184">
        <v>43951</v>
      </c>
      <c r="G2535" s="184"/>
      <c r="I2535" s="184"/>
      <c r="K2535" s="184"/>
      <c r="O2535" s="184"/>
      <c r="P2535" t="s">
        <v>7045</v>
      </c>
      <c r="Q2535" t="s">
        <v>7160</v>
      </c>
      <c r="R2535" s="184">
        <v>15342</v>
      </c>
      <c r="S2535">
        <v>82</v>
      </c>
      <c r="U2535" t="s">
        <v>7130</v>
      </c>
      <c r="V2535" t="s">
        <v>21371</v>
      </c>
      <c r="X2535" t="s">
        <v>3360</v>
      </c>
      <c r="AF2535" t="s">
        <v>21372</v>
      </c>
      <c r="AG2535" t="s">
        <v>21371</v>
      </c>
      <c r="AI2535" t="s">
        <v>21373</v>
      </c>
      <c r="AM2535" t="s">
        <v>21374</v>
      </c>
      <c r="AN2535" t="s">
        <v>2395</v>
      </c>
      <c r="AO2535" t="s">
        <v>21375</v>
      </c>
      <c r="AP2535" t="s">
        <v>7024</v>
      </c>
      <c r="AT2535" s="184">
        <v>36493</v>
      </c>
      <c r="AU2535" t="s">
        <v>21376</v>
      </c>
      <c r="AV2535">
        <v>25</v>
      </c>
      <c r="AW2535" s="184">
        <v>41967</v>
      </c>
      <c r="AX2535" t="s">
        <v>12241</v>
      </c>
      <c r="AY2535">
        <v>25</v>
      </c>
      <c r="AZ2535" s="184">
        <v>38233</v>
      </c>
      <c r="BA2535" t="s">
        <v>21377</v>
      </c>
      <c r="BB2535">
        <v>50</v>
      </c>
      <c r="BC2535">
        <v>62</v>
      </c>
      <c r="BD2535">
        <v>500</v>
      </c>
      <c r="BE2535">
        <v>2000</v>
      </c>
      <c r="BF2535">
        <v>17</v>
      </c>
      <c r="BI2535">
        <v>16</v>
      </c>
      <c r="BJ2535">
        <v>26</v>
      </c>
      <c r="BK2535">
        <v>16</v>
      </c>
      <c r="BP2535" s="184"/>
    </row>
    <row r="2536" spans="1:68">
      <c r="A2536">
        <v>30559447</v>
      </c>
      <c r="B2536">
        <v>30559447</v>
      </c>
      <c r="C2536" t="s">
        <v>7018</v>
      </c>
      <c r="D2536" t="s">
        <v>595</v>
      </c>
      <c r="E2536" s="184">
        <v>44328</v>
      </c>
      <c r="G2536" s="184"/>
      <c r="I2536" s="184"/>
      <c r="K2536" s="184"/>
      <c r="M2536" s="184"/>
      <c r="O2536" s="184"/>
      <c r="P2536" t="s">
        <v>7045</v>
      </c>
      <c r="Q2536" t="s">
        <v>7383</v>
      </c>
      <c r="R2536" s="184">
        <v>21337</v>
      </c>
      <c r="S2536">
        <v>65</v>
      </c>
      <c r="V2536" t="s">
        <v>7446</v>
      </c>
      <c r="X2536" t="s">
        <v>21378</v>
      </c>
      <c r="AF2536" t="s">
        <v>21379</v>
      </c>
      <c r="AG2536" t="s">
        <v>7446</v>
      </c>
      <c r="AI2536" t="s">
        <v>21380</v>
      </c>
      <c r="AM2536" t="s">
        <v>4528</v>
      </c>
      <c r="AN2536" t="s">
        <v>2139</v>
      </c>
      <c r="AO2536" t="s">
        <v>21381</v>
      </c>
      <c r="AP2536" t="s">
        <v>7024</v>
      </c>
      <c r="AQ2536" t="s">
        <v>21382</v>
      </c>
      <c r="AT2536" s="184">
        <v>36497</v>
      </c>
      <c r="AU2536" t="s">
        <v>21383</v>
      </c>
      <c r="AV2536">
        <v>15</v>
      </c>
      <c r="AW2536" s="184">
        <v>45412</v>
      </c>
      <c r="AX2536" t="s">
        <v>21384</v>
      </c>
      <c r="AY2536">
        <v>100</v>
      </c>
      <c r="AZ2536" s="184">
        <v>42919</v>
      </c>
      <c r="BA2536" t="s">
        <v>21385</v>
      </c>
      <c r="BB2536">
        <v>200</v>
      </c>
      <c r="BC2536">
        <v>81</v>
      </c>
      <c r="BD2536">
        <v>1730</v>
      </c>
      <c r="BE2536">
        <v>2000</v>
      </c>
      <c r="BF2536">
        <v>21</v>
      </c>
      <c r="BG2536">
        <v>2</v>
      </c>
      <c r="BH2536">
        <v>200</v>
      </c>
      <c r="BI2536">
        <v>21</v>
      </c>
      <c r="BJ2536">
        <v>26</v>
      </c>
      <c r="BK2536">
        <v>18</v>
      </c>
      <c r="BP2536" s="184"/>
    </row>
    <row r="2537" spans="1:68">
      <c r="A2537">
        <v>30569081</v>
      </c>
      <c r="B2537">
        <v>30569081</v>
      </c>
      <c r="C2537" t="s">
        <v>7018</v>
      </c>
      <c r="D2537" t="s">
        <v>595</v>
      </c>
      <c r="E2537" s="184">
        <v>43752</v>
      </c>
      <c r="G2537" s="184"/>
      <c r="I2537" s="184"/>
      <c r="K2537" s="184"/>
      <c r="M2537" s="184"/>
      <c r="O2537" s="184"/>
      <c r="P2537" t="s">
        <v>7029</v>
      </c>
      <c r="Q2537" t="s">
        <v>7374</v>
      </c>
      <c r="R2537" s="184">
        <v>21916</v>
      </c>
      <c r="S2537">
        <v>64</v>
      </c>
      <c r="U2537" t="s">
        <v>7031</v>
      </c>
      <c r="V2537" t="s">
        <v>4179</v>
      </c>
      <c r="W2537" t="s">
        <v>3830</v>
      </c>
      <c r="X2537" t="s">
        <v>4180</v>
      </c>
      <c r="Z2537">
        <v>100083841</v>
      </c>
      <c r="AA2537" t="s">
        <v>7076</v>
      </c>
      <c r="AB2537" t="s">
        <v>21386</v>
      </c>
      <c r="AD2537" t="s">
        <v>21387</v>
      </c>
      <c r="AF2537" t="s">
        <v>21388</v>
      </c>
      <c r="AG2537" t="s">
        <v>21389</v>
      </c>
      <c r="AI2537" t="s">
        <v>21390</v>
      </c>
      <c r="AM2537" t="s">
        <v>4181</v>
      </c>
      <c r="AN2537" t="s">
        <v>2081</v>
      </c>
      <c r="AO2537" t="s">
        <v>21391</v>
      </c>
      <c r="AP2537" t="s">
        <v>7024</v>
      </c>
      <c r="AQ2537" t="s">
        <v>21392</v>
      </c>
      <c r="AR2537" t="s">
        <v>21393</v>
      </c>
      <c r="AT2537" s="184">
        <v>36495</v>
      </c>
      <c r="AU2537" t="s">
        <v>21394</v>
      </c>
      <c r="AV2537">
        <v>25</v>
      </c>
      <c r="AW2537" s="184">
        <v>45289</v>
      </c>
      <c r="AX2537" t="s">
        <v>7749</v>
      </c>
      <c r="AY2537">
        <v>1000</v>
      </c>
      <c r="AZ2537" s="184">
        <v>45289</v>
      </c>
      <c r="BA2537" t="s">
        <v>7749</v>
      </c>
      <c r="BB2537">
        <v>1000</v>
      </c>
      <c r="BC2537">
        <v>93</v>
      </c>
      <c r="BD2537">
        <v>15785</v>
      </c>
      <c r="BE2537">
        <v>2000</v>
      </c>
      <c r="BF2537">
        <v>33</v>
      </c>
      <c r="BG2537">
        <v>2</v>
      </c>
      <c r="BH2537">
        <v>2000</v>
      </c>
      <c r="BI2537">
        <v>24</v>
      </c>
      <c r="BJ2537">
        <v>26</v>
      </c>
      <c r="BK2537">
        <v>12</v>
      </c>
      <c r="BP2537" s="184"/>
    </row>
    <row r="2538" spans="1:68">
      <c r="A2538">
        <v>100083841</v>
      </c>
      <c r="B2538">
        <v>30569081</v>
      </c>
      <c r="C2538" t="s">
        <v>7018</v>
      </c>
      <c r="D2538" t="s">
        <v>595</v>
      </c>
      <c r="E2538" s="184">
        <v>43752</v>
      </c>
      <c r="G2538" s="184"/>
      <c r="I2538" s="184"/>
      <c r="K2538" s="184"/>
      <c r="O2538" s="184"/>
      <c r="P2538" t="s">
        <v>7029</v>
      </c>
      <c r="Q2538" t="s">
        <v>7374</v>
      </c>
      <c r="R2538" s="184">
        <v>21125</v>
      </c>
      <c r="S2538">
        <v>66</v>
      </c>
      <c r="U2538" t="s">
        <v>7076</v>
      </c>
      <c r="V2538" t="s">
        <v>21386</v>
      </c>
      <c r="X2538" t="s">
        <v>21387</v>
      </c>
      <c r="Z2538">
        <v>30569081</v>
      </c>
      <c r="AA2538" t="s">
        <v>7031</v>
      </c>
      <c r="AB2538" t="s">
        <v>4179</v>
      </c>
      <c r="AC2538" t="s">
        <v>3830</v>
      </c>
      <c r="AD2538" t="s">
        <v>4180</v>
      </c>
      <c r="AF2538" t="s">
        <v>21388</v>
      </c>
      <c r="AG2538" t="s">
        <v>21389</v>
      </c>
      <c r="AI2538" t="s">
        <v>21390</v>
      </c>
      <c r="AM2538" t="s">
        <v>4181</v>
      </c>
      <c r="AN2538" t="s">
        <v>2081</v>
      </c>
      <c r="AO2538" t="s">
        <v>21391</v>
      </c>
      <c r="AP2538" t="s">
        <v>7024</v>
      </c>
      <c r="AT2538" s="184"/>
      <c r="AW2538" s="184"/>
      <c r="AZ2538" s="184"/>
      <c r="BP2538" s="184"/>
    </row>
    <row r="2539" spans="1:68">
      <c r="A2539">
        <v>30577878</v>
      </c>
      <c r="B2539">
        <v>30577878</v>
      </c>
      <c r="C2539" t="s">
        <v>7018</v>
      </c>
      <c r="E2539" s="184"/>
      <c r="F2539" t="s">
        <v>595</v>
      </c>
      <c r="G2539" s="184">
        <v>45180</v>
      </c>
      <c r="I2539" s="184"/>
      <c r="K2539" s="184"/>
      <c r="M2539" s="184"/>
      <c r="O2539" s="184"/>
      <c r="P2539" t="s">
        <v>7045</v>
      </c>
      <c r="Q2539" t="s">
        <v>7374</v>
      </c>
      <c r="R2539" s="184">
        <v>18810</v>
      </c>
      <c r="S2539">
        <v>72</v>
      </c>
      <c r="V2539" t="s">
        <v>2697</v>
      </c>
      <c r="X2539" t="s">
        <v>3536</v>
      </c>
      <c r="AF2539" t="s">
        <v>21395</v>
      </c>
      <c r="AG2539" t="s">
        <v>2697</v>
      </c>
      <c r="AI2539" t="s">
        <v>21396</v>
      </c>
      <c r="AM2539" t="s">
        <v>5817</v>
      </c>
      <c r="AN2539" t="s">
        <v>2081</v>
      </c>
      <c r="AO2539" t="s">
        <v>21397</v>
      </c>
      <c r="AP2539" t="s">
        <v>7024</v>
      </c>
      <c r="AT2539" s="184">
        <v>36500</v>
      </c>
      <c r="AU2539" t="s">
        <v>21398</v>
      </c>
      <c r="AV2539">
        <v>20</v>
      </c>
      <c r="AW2539" s="184">
        <v>45217</v>
      </c>
      <c r="AX2539" t="s">
        <v>7684</v>
      </c>
      <c r="AY2539">
        <v>50</v>
      </c>
      <c r="AZ2539" s="184">
        <v>40554</v>
      </c>
      <c r="BA2539" t="s">
        <v>15423</v>
      </c>
      <c r="BB2539">
        <v>125</v>
      </c>
      <c r="BC2539">
        <v>43</v>
      </c>
      <c r="BD2539">
        <v>1030</v>
      </c>
      <c r="BE2539">
        <v>2000</v>
      </c>
      <c r="BF2539">
        <v>17</v>
      </c>
      <c r="BG2539">
        <v>2</v>
      </c>
      <c r="BH2539">
        <v>100</v>
      </c>
      <c r="BI2539">
        <v>11</v>
      </c>
      <c r="BJ2539">
        <v>26</v>
      </c>
      <c r="BK2539">
        <v>4</v>
      </c>
      <c r="BP2539" s="184"/>
    </row>
    <row r="2540" spans="1:68">
      <c r="A2540">
        <v>30581227</v>
      </c>
      <c r="B2540">
        <v>30581227</v>
      </c>
      <c r="C2540" t="s">
        <v>7018</v>
      </c>
      <c r="E2540" s="184"/>
      <c r="G2540" s="184"/>
      <c r="I2540" s="184"/>
      <c r="K2540" s="184"/>
      <c r="M2540" s="184"/>
      <c r="N2540" t="s">
        <v>595</v>
      </c>
      <c r="O2540" s="184">
        <v>40351</v>
      </c>
      <c r="P2540" t="s">
        <v>7045</v>
      </c>
      <c r="Q2540" t="s">
        <v>7494</v>
      </c>
      <c r="R2540" s="184">
        <v>30437</v>
      </c>
      <c r="S2540">
        <v>41</v>
      </c>
      <c r="U2540" t="s">
        <v>7130</v>
      </c>
      <c r="V2540" t="s">
        <v>3868</v>
      </c>
      <c r="X2540" t="s">
        <v>21399</v>
      </c>
      <c r="Z2540">
        <v>100083869</v>
      </c>
      <c r="AA2540" t="s">
        <v>7031</v>
      </c>
      <c r="AB2540" t="s">
        <v>2898</v>
      </c>
      <c r="AC2540" t="s">
        <v>21400</v>
      </c>
      <c r="AD2540" t="s">
        <v>21399</v>
      </c>
      <c r="AF2540" t="s">
        <v>21401</v>
      </c>
      <c r="AG2540" t="s">
        <v>3868</v>
      </c>
      <c r="AI2540" t="s">
        <v>21402</v>
      </c>
      <c r="AM2540" t="s">
        <v>3770</v>
      </c>
      <c r="AN2540" t="s">
        <v>2174</v>
      </c>
      <c r="AO2540">
        <v>75225</v>
      </c>
      <c r="AP2540" t="s">
        <v>7024</v>
      </c>
      <c r="AT2540" s="184">
        <v>36501</v>
      </c>
      <c r="AU2540" t="s">
        <v>21403</v>
      </c>
      <c r="AV2540">
        <v>500</v>
      </c>
      <c r="AW2540" s="184">
        <v>44144</v>
      </c>
      <c r="AX2540" t="s">
        <v>21404</v>
      </c>
      <c r="AY2540">
        <v>25</v>
      </c>
      <c r="AZ2540" s="184">
        <v>36501</v>
      </c>
      <c r="BA2540" t="s">
        <v>21403</v>
      </c>
      <c r="BB2540">
        <v>500</v>
      </c>
      <c r="BC2540">
        <v>12</v>
      </c>
      <c r="BD2540">
        <v>550</v>
      </c>
      <c r="BE2540">
        <v>2000</v>
      </c>
      <c r="BF2540">
        <v>3</v>
      </c>
      <c r="BI2540">
        <v>3</v>
      </c>
      <c r="BJ2540">
        <v>26</v>
      </c>
      <c r="BK2540">
        <v>2</v>
      </c>
      <c r="BP2540" s="184"/>
    </row>
    <row r="2541" spans="1:68">
      <c r="A2541">
        <v>100083869</v>
      </c>
      <c r="B2541">
        <v>30581227</v>
      </c>
      <c r="C2541" t="s">
        <v>7018</v>
      </c>
      <c r="E2541" s="184"/>
      <c r="G2541" s="184"/>
      <c r="I2541" s="184"/>
      <c r="K2541" s="184"/>
      <c r="M2541" s="184"/>
      <c r="N2541" t="s">
        <v>595</v>
      </c>
      <c r="O2541" s="184">
        <v>40351</v>
      </c>
      <c r="P2541" t="s">
        <v>7045</v>
      </c>
      <c r="Q2541" t="s">
        <v>7494</v>
      </c>
      <c r="R2541" s="184">
        <v>19876</v>
      </c>
      <c r="S2541">
        <v>69</v>
      </c>
      <c r="U2541" t="s">
        <v>7031</v>
      </c>
      <c r="V2541" t="s">
        <v>2898</v>
      </c>
      <c r="W2541" t="s">
        <v>21400</v>
      </c>
      <c r="X2541" t="s">
        <v>21399</v>
      </c>
      <c r="Z2541">
        <v>30581227</v>
      </c>
      <c r="AA2541" t="s">
        <v>7130</v>
      </c>
      <c r="AB2541" t="s">
        <v>3868</v>
      </c>
      <c r="AD2541" t="s">
        <v>21399</v>
      </c>
      <c r="AF2541" t="s">
        <v>21401</v>
      </c>
      <c r="AG2541" t="s">
        <v>3868</v>
      </c>
      <c r="AI2541" t="s">
        <v>21402</v>
      </c>
      <c r="AM2541" t="s">
        <v>3770</v>
      </c>
      <c r="AN2541" t="s">
        <v>2174</v>
      </c>
      <c r="AO2541">
        <v>75225</v>
      </c>
      <c r="AP2541" t="s">
        <v>7024</v>
      </c>
      <c r="AT2541" s="184"/>
      <c r="AW2541" s="184"/>
      <c r="AZ2541" s="184"/>
      <c r="BO2541" t="s">
        <v>595</v>
      </c>
      <c r="BP2541" s="184">
        <v>44423</v>
      </c>
    </row>
    <row r="2542" spans="1:68">
      <c r="A2542">
        <v>30628028</v>
      </c>
      <c r="B2542">
        <v>30628028</v>
      </c>
      <c r="C2542" t="s">
        <v>7018</v>
      </c>
      <c r="E2542" s="184"/>
      <c r="G2542" s="184"/>
      <c r="I2542" s="184"/>
      <c r="J2542" t="s">
        <v>595</v>
      </c>
      <c r="K2542" s="184">
        <v>44154</v>
      </c>
      <c r="O2542" s="184"/>
      <c r="P2542" t="s">
        <v>7045</v>
      </c>
      <c r="Q2542" t="s">
        <v>8385</v>
      </c>
      <c r="R2542" s="184">
        <v>10959</v>
      </c>
      <c r="S2542">
        <v>94</v>
      </c>
      <c r="V2542" t="s">
        <v>2832</v>
      </c>
      <c r="X2542" t="s">
        <v>21405</v>
      </c>
      <c r="Z2542">
        <v>100084054</v>
      </c>
      <c r="AB2542" t="s">
        <v>4720</v>
      </c>
      <c r="AD2542" t="s">
        <v>21405</v>
      </c>
      <c r="AF2542" t="s">
        <v>21406</v>
      </c>
      <c r="AG2542" t="s">
        <v>21407</v>
      </c>
      <c r="AI2542" t="s">
        <v>21408</v>
      </c>
      <c r="AM2542" t="s">
        <v>4842</v>
      </c>
      <c r="AN2542" t="s">
        <v>2181</v>
      </c>
      <c r="AO2542" t="s">
        <v>21409</v>
      </c>
      <c r="AP2542" t="s">
        <v>7024</v>
      </c>
      <c r="AT2542" s="184">
        <v>36511</v>
      </c>
      <c r="AU2542" t="s">
        <v>21410</v>
      </c>
      <c r="AV2542">
        <v>100</v>
      </c>
      <c r="AW2542" s="184">
        <v>44328</v>
      </c>
      <c r="AX2542" t="s">
        <v>21411</v>
      </c>
      <c r="AY2542">
        <v>100</v>
      </c>
      <c r="AZ2542" s="184">
        <v>42464</v>
      </c>
      <c r="BA2542" t="s">
        <v>21412</v>
      </c>
      <c r="BB2542">
        <v>250</v>
      </c>
      <c r="BC2542">
        <v>81</v>
      </c>
      <c r="BD2542">
        <v>4150</v>
      </c>
      <c r="BE2542">
        <v>2000</v>
      </c>
      <c r="BF2542">
        <v>23</v>
      </c>
      <c r="BI2542">
        <v>21</v>
      </c>
      <c r="BJ2542">
        <v>26</v>
      </c>
      <c r="BK2542">
        <v>19</v>
      </c>
      <c r="BP2542" s="184"/>
    </row>
    <row r="2543" spans="1:68">
      <c r="A2543">
        <v>100084054</v>
      </c>
      <c r="B2543">
        <v>30628028</v>
      </c>
      <c r="C2543" t="s">
        <v>7018</v>
      </c>
      <c r="E2543" s="184"/>
      <c r="G2543" s="184"/>
      <c r="I2543" s="184"/>
      <c r="J2543" t="s">
        <v>595</v>
      </c>
      <c r="K2543" s="184">
        <v>44154</v>
      </c>
      <c r="O2543" s="184"/>
      <c r="P2543" t="s">
        <v>7045</v>
      </c>
      <c r="Q2543" t="s">
        <v>8385</v>
      </c>
      <c r="R2543" s="184">
        <v>13876</v>
      </c>
      <c r="S2543">
        <v>86</v>
      </c>
      <c r="V2543" t="s">
        <v>4720</v>
      </c>
      <c r="X2543" t="s">
        <v>21405</v>
      </c>
      <c r="Z2543">
        <v>30628028</v>
      </c>
      <c r="AB2543" t="s">
        <v>2832</v>
      </c>
      <c r="AD2543" t="s">
        <v>21405</v>
      </c>
      <c r="AF2543" t="s">
        <v>21406</v>
      </c>
      <c r="AG2543" t="s">
        <v>21407</v>
      </c>
      <c r="AI2543" t="s">
        <v>21408</v>
      </c>
      <c r="AM2543" t="s">
        <v>4842</v>
      </c>
      <c r="AN2543" t="s">
        <v>2181</v>
      </c>
      <c r="AO2543" t="s">
        <v>21409</v>
      </c>
      <c r="AP2543" t="s">
        <v>7024</v>
      </c>
      <c r="AT2543" s="184"/>
      <c r="AW2543" s="184"/>
      <c r="AZ2543" s="184"/>
    </row>
    <row r="2544" spans="1:68">
      <c r="A2544">
        <v>30656136</v>
      </c>
      <c r="B2544">
        <v>30656136</v>
      </c>
      <c r="C2544" t="s">
        <v>7018</v>
      </c>
      <c r="E2544" s="184"/>
      <c r="G2544" s="184"/>
      <c r="I2544" s="184"/>
      <c r="J2544" t="s">
        <v>595</v>
      </c>
      <c r="K2544" s="184">
        <v>42886</v>
      </c>
      <c r="O2544" s="184"/>
      <c r="P2544" t="s">
        <v>7045</v>
      </c>
      <c r="Q2544" t="s">
        <v>7160</v>
      </c>
      <c r="R2544" s="184">
        <v>20363</v>
      </c>
      <c r="S2544">
        <v>68</v>
      </c>
      <c r="U2544" t="s">
        <v>7130</v>
      </c>
      <c r="V2544" t="s">
        <v>3868</v>
      </c>
      <c r="W2544" t="s">
        <v>7067</v>
      </c>
      <c r="X2544" t="s">
        <v>21413</v>
      </c>
      <c r="AF2544" t="s">
        <v>6327</v>
      </c>
      <c r="AG2544" t="s">
        <v>3868</v>
      </c>
      <c r="AI2544" t="s">
        <v>21414</v>
      </c>
      <c r="AM2544" t="s">
        <v>21415</v>
      </c>
      <c r="AN2544" t="s">
        <v>2395</v>
      </c>
      <c r="AO2544" t="s">
        <v>21416</v>
      </c>
      <c r="AP2544" t="s">
        <v>7024</v>
      </c>
      <c r="AQ2544" t="s">
        <v>21417</v>
      </c>
      <c r="AT2544" s="184">
        <v>36514</v>
      </c>
      <c r="AU2544" t="s">
        <v>21418</v>
      </c>
      <c r="AV2544">
        <v>20</v>
      </c>
      <c r="AW2544" s="184">
        <v>45408</v>
      </c>
      <c r="AX2544" t="s">
        <v>8271</v>
      </c>
      <c r="AY2544">
        <v>100</v>
      </c>
      <c r="AZ2544" s="184">
        <v>45408</v>
      </c>
      <c r="BA2544" t="s">
        <v>8271</v>
      </c>
      <c r="BB2544">
        <v>100</v>
      </c>
      <c r="BC2544">
        <v>97</v>
      </c>
      <c r="BD2544">
        <v>2371.5</v>
      </c>
      <c r="BE2544">
        <v>2000</v>
      </c>
      <c r="BF2544">
        <v>63</v>
      </c>
      <c r="BG2544">
        <v>5</v>
      </c>
      <c r="BH2544">
        <v>351.5</v>
      </c>
      <c r="BI2544">
        <v>25</v>
      </c>
      <c r="BJ2544">
        <v>26</v>
      </c>
      <c r="BK2544">
        <v>15</v>
      </c>
      <c r="BP2544" s="184"/>
    </row>
    <row r="2545" spans="1:68">
      <c r="A2545">
        <v>30664387</v>
      </c>
      <c r="B2545">
        <v>30664387</v>
      </c>
      <c r="C2545" t="s">
        <v>7018</v>
      </c>
      <c r="D2545" t="s">
        <v>595</v>
      </c>
      <c r="E2545" s="184">
        <v>43970</v>
      </c>
      <c r="G2545" s="184"/>
      <c r="I2545" s="184"/>
      <c r="K2545" s="184"/>
      <c r="O2545" s="184"/>
      <c r="P2545" t="s">
        <v>7045</v>
      </c>
      <c r="Q2545" t="s">
        <v>7160</v>
      </c>
      <c r="R2545" s="184">
        <v>17624</v>
      </c>
      <c r="S2545">
        <v>76</v>
      </c>
      <c r="U2545" t="s">
        <v>7031</v>
      </c>
      <c r="V2545" t="s">
        <v>8097</v>
      </c>
      <c r="W2545" t="s">
        <v>4382</v>
      </c>
      <c r="X2545" t="s">
        <v>21419</v>
      </c>
      <c r="AF2545" t="s">
        <v>21420</v>
      </c>
      <c r="AG2545" t="s">
        <v>8097</v>
      </c>
      <c r="AI2545" t="s">
        <v>21421</v>
      </c>
      <c r="AM2545" t="s">
        <v>21422</v>
      </c>
      <c r="AN2545" t="s">
        <v>4637</v>
      </c>
      <c r="AO2545" t="s">
        <v>21423</v>
      </c>
      <c r="AP2545" t="s">
        <v>7024</v>
      </c>
      <c r="AQ2545" t="s">
        <v>21424</v>
      </c>
      <c r="AT2545" s="184">
        <v>32990</v>
      </c>
      <c r="AU2545" t="s">
        <v>21425</v>
      </c>
      <c r="AV2545">
        <v>15</v>
      </c>
      <c r="AW2545" s="184">
        <v>45345</v>
      </c>
      <c r="AX2545" t="s">
        <v>10666</v>
      </c>
      <c r="AY2545">
        <v>25</v>
      </c>
      <c r="AZ2545" s="184">
        <v>45286</v>
      </c>
      <c r="BA2545" t="s">
        <v>21426</v>
      </c>
      <c r="BB2545">
        <v>26.25</v>
      </c>
      <c r="BC2545">
        <v>66</v>
      </c>
      <c r="BD2545">
        <v>706.25</v>
      </c>
      <c r="BE2545">
        <v>1990</v>
      </c>
      <c r="BF2545">
        <v>29</v>
      </c>
      <c r="BG2545">
        <v>3</v>
      </c>
      <c r="BH2545">
        <v>76.25</v>
      </c>
      <c r="BI2545">
        <v>23</v>
      </c>
      <c r="BJ2545">
        <v>35</v>
      </c>
      <c r="BK2545">
        <v>8</v>
      </c>
    </row>
    <row r="2546" spans="1:68">
      <c r="A2546">
        <v>30668222</v>
      </c>
      <c r="B2546">
        <v>30668222</v>
      </c>
      <c r="C2546" t="s">
        <v>7018</v>
      </c>
      <c r="E2546" s="184"/>
      <c r="G2546" s="184"/>
      <c r="I2546" s="184"/>
      <c r="K2546" s="184"/>
      <c r="N2546" t="s">
        <v>595</v>
      </c>
      <c r="O2546" s="184">
        <v>38572</v>
      </c>
      <c r="P2546" t="s">
        <v>7045</v>
      </c>
      <c r="Q2546" t="s">
        <v>7194</v>
      </c>
      <c r="R2546" s="184">
        <v>11498</v>
      </c>
      <c r="S2546">
        <v>92</v>
      </c>
      <c r="U2546" t="s">
        <v>7076</v>
      </c>
      <c r="V2546" t="s">
        <v>3053</v>
      </c>
      <c r="X2546" t="s">
        <v>21427</v>
      </c>
      <c r="AF2546" t="s">
        <v>6040</v>
      </c>
      <c r="AG2546" t="s">
        <v>3053</v>
      </c>
      <c r="AI2546" t="s">
        <v>21428</v>
      </c>
      <c r="AM2546" t="s">
        <v>4726</v>
      </c>
      <c r="AN2546" t="s">
        <v>2046</v>
      </c>
      <c r="AO2546" t="s">
        <v>21429</v>
      </c>
      <c r="AP2546" t="s">
        <v>7024</v>
      </c>
      <c r="AQ2546" t="s">
        <v>21430</v>
      </c>
      <c r="AT2546" s="184">
        <v>36515</v>
      </c>
      <c r="AU2546" t="s">
        <v>21431</v>
      </c>
      <c r="AV2546">
        <v>10</v>
      </c>
      <c r="AW2546" s="184">
        <v>40896</v>
      </c>
      <c r="AX2546" t="s">
        <v>14650</v>
      </c>
      <c r="AY2546">
        <v>10</v>
      </c>
      <c r="AZ2546" s="184">
        <v>38572</v>
      </c>
      <c r="BA2546" t="s">
        <v>8406</v>
      </c>
      <c r="BB2546">
        <v>10000</v>
      </c>
      <c r="BC2546">
        <v>16</v>
      </c>
      <c r="BD2546">
        <v>10075</v>
      </c>
      <c r="BE2546">
        <v>2000</v>
      </c>
      <c r="BF2546">
        <v>5</v>
      </c>
      <c r="BI2546">
        <v>4</v>
      </c>
      <c r="BJ2546">
        <v>26</v>
      </c>
      <c r="BK2546">
        <v>1</v>
      </c>
      <c r="BP2546" s="184"/>
    </row>
    <row r="2547" spans="1:68">
      <c r="A2547">
        <v>30678775</v>
      </c>
      <c r="B2547">
        <v>30678775</v>
      </c>
      <c r="C2547" t="s">
        <v>7018</v>
      </c>
      <c r="D2547" t="s">
        <v>595</v>
      </c>
      <c r="E2547" s="184">
        <v>44328</v>
      </c>
      <c r="G2547" s="184"/>
      <c r="I2547" s="184"/>
      <c r="K2547" s="184"/>
      <c r="O2547" s="184"/>
      <c r="P2547" t="s">
        <v>7045</v>
      </c>
      <c r="Q2547" t="s">
        <v>7374</v>
      </c>
      <c r="R2547" s="184">
        <v>14763</v>
      </c>
      <c r="S2547">
        <v>83</v>
      </c>
      <c r="V2547" t="s">
        <v>3740</v>
      </c>
      <c r="X2547" t="s">
        <v>21432</v>
      </c>
      <c r="Z2547">
        <v>100084254</v>
      </c>
      <c r="AA2547" t="s">
        <v>7031</v>
      </c>
      <c r="AB2547" t="s">
        <v>21433</v>
      </c>
      <c r="AD2547" t="s">
        <v>21432</v>
      </c>
      <c r="AF2547" t="s">
        <v>21434</v>
      </c>
      <c r="AG2547" t="s">
        <v>21435</v>
      </c>
      <c r="AI2547" t="s">
        <v>21436</v>
      </c>
      <c r="AM2547" t="s">
        <v>21437</v>
      </c>
      <c r="AN2547" t="s">
        <v>2081</v>
      </c>
      <c r="AO2547" t="s">
        <v>21438</v>
      </c>
      <c r="AP2547" t="s">
        <v>7024</v>
      </c>
      <c r="AQ2547" t="s">
        <v>21439</v>
      </c>
      <c r="AT2547" s="184">
        <v>36521</v>
      </c>
      <c r="AU2547" t="s">
        <v>21440</v>
      </c>
      <c r="AV2547">
        <v>25</v>
      </c>
      <c r="AW2547" s="184">
        <v>43573</v>
      </c>
      <c r="AX2547" t="s">
        <v>11863</v>
      </c>
      <c r="AY2547">
        <v>18</v>
      </c>
      <c r="AZ2547" s="184">
        <v>42871</v>
      </c>
      <c r="BA2547" t="s">
        <v>7959</v>
      </c>
      <c r="BB2547">
        <v>200</v>
      </c>
      <c r="BC2547">
        <v>39</v>
      </c>
      <c r="BD2547">
        <v>998</v>
      </c>
      <c r="BE2547">
        <v>2000</v>
      </c>
      <c r="BF2547">
        <v>20</v>
      </c>
      <c r="BI2547">
        <v>10</v>
      </c>
      <c r="BJ2547">
        <v>26</v>
      </c>
      <c r="BK2547">
        <v>8</v>
      </c>
      <c r="BP2547" s="184"/>
    </row>
    <row r="2548" spans="1:68">
      <c r="A2548">
        <v>100084254</v>
      </c>
      <c r="B2548">
        <v>30678775</v>
      </c>
      <c r="C2548" t="s">
        <v>7018</v>
      </c>
      <c r="D2548" t="s">
        <v>595</v>
      </c>
      <c r="E2548" s="184">
        <v>44328</v>
      </c>
      <c r="G2548" s="184"/>
      <c r="I2548" s="184"/>
      <c r="K2548" s="184"/>
      <c r="M2548" s="184"/>
      <c r="O2548" s="184"/>
      <c r="P2548" t="s">
        <v>7045</v>
      </c>
      <c r="Q2548" t="s">
        <v>7374</v>
      </c>
      <c r="R2548" s="184">
        <v>14519</v>
      </c>
      <c r="S2548">
        <v>84</v>
      </c>
      <c r="U2548" t="s">
        <v>7031</v>
      </c>
      <c r="V2548" t="s">
        <v>21433</v>
      </c>
      <c r="X2548" t="s">
        <v>21432</v>
      </c>
      <c r="Z2548">
        <v>30678775</v>
      </c>
      <c r="AB2548" t="s">
        <v>3740</v>
      </c>
      <c r="AD2548" t="s">
        <v>21432</v>
      </c>
      <c r="AF2548" t="s">
        <v>21434</v>
      </c>
      <c r="AG2548" t="s">
        <v>21435</v>
      </c>
      <c r="AI2548" t="s">
        <v>21436</v>
      </c>
      <c r="AM2548" t="s">
        <v>21437</v>
      </c>
      <c r="AN2548" t="s">
        <v>2081</v>
      </c>
      <c r="AO2548" t="s">
        <v>21438</v>
      </c>
      <c r="AP2548" t="s">
        <v>7024</v>
      </c>
      <c r="AQ2548" t="s">
        <v>21441</v>
      </c>
      <c r="AR2548" t="s">
        <v>21442</v>
      </c>
      <c r="AT2548" s="184">
        <v>43603</v>
      </c>
      <c r="AU2548" t="s">
        <v>11866</v>
      </c>
      <c r="AV2548">
        <v>18</v>
      </c>
      <c r="AW2548" s="184">
        <v>45187</v>
      </c>
      <c r="AX2548" t="s">
        <v>21443</v>
      </c>
      <c r="AY2548">
        <v>18</v>
      </c>
      <c r="AZ2548" s="184">
        <v>45187</v>
      </c>
      <c r="BA2548" t="s">
        <v>21443</v>
      </c>
      <c r="BB2548">
        <v>18</v>
      </c>
      <c r="BC2548">
        <v>84</v>
      </c>
      <c r="BD2548">
        <v>954</v>
      </c>
      <c r="BE2548">
        <v>2019</v>
      </c>
      <c r="BF2548">
        <v>53</v>
      </c>
      <c r="BG2548">
        <v>17</v>
      </c>
      <c r="BH2548">
        <v>306</v>
      </c>
      <c r="BI2548">
        <v>5</v>
      </c>
      <c r="BJ2548">
        <v>6</v>
      </c>
      <c r="BK2548">
        <v>5</v>
      </c>
      <c r="BP2548" s="184"/>
    </row>
    <row r="2549" spans="1:68">
      <c r="A2549">
        <v>30681928</v>
      </c>
      <c r="B2549">
        <v>30681928</v>
      </c>
      <c r="C2549" t="s">
        <v>7018</v>
      </c>
      <c r="E2549" s="184"/>
      <c r="G2549" s="184"/>
      <c r="I2549" s="184"/>
      <c r="J2549" t="s">
        <v>595</v>
      </c>
      <c r="K2549" s="184">
        <v>39784</v>
      </c>
      <c r="M2549" s="184"/>
      <c r="O2549" s="184"/>
      <c r="P2549" t="s">
        <v>7045</v>
      </c>
      <c r="Q2549" t="s">
        <v>7030</v>
      </c>
      <c r="R2549" s="184">
        <v>18694</v>
      </c>
      <c r="S2549">
        <v>73</v>
      </c>
      <c r="V2549" t="s">
        <v>21444</v>
      </c>
      <c r="X2549" t="s">
        <v>2999</v>
      </c>
      <c r="AF2549" t="s">
        <v>6744</v>
      </c>
      <c r="AG2549" t="s">
        <v>21444</v>
      </c>
      <c r="AI2549" t="s">
        <v>21445</v>
      </c>
      <c r="AM2549" t="s">
        <v>11188</v>
      </c>
      <c r="AN2549" t="s">
        <v>2094</v>
      </c>
      <c r="AO2549" t="s">
        <v>21446</v>
      </c>
      <c r="AP2549" t="s">
        <v>7024</v>
      </c>
      <c r="AQ2549" t="s">
        <v>21447</v>
      </c>
      <c r="AT2549" s="184">
        <v>36521</v>
      </c>
      <c r="AU2549" t="s">
        <v>21448</v>
      </c>
      <c r="AV2549">
        <v>15</v>
      </c>
      <c r="AW2549" s="184">
        <v>36521</v>
      </c>
      <c r="AX2549" t="s">
        <v>21448</v>
      </c>
      <c r="AY2549">
        <v>15</v>
      </c>
      <c r="AZ2549" s="184">
        <v>36521</v>
      </c>
      <c r="BA2549" t="s">
        <v>21448</v>
      </c>
      <c r="BB2549">
        <v>15</v>
      </c>
      <c r="BC2549">
        <v>4</v>
      </c>
      <c r="BD2549">
        <v>15</v>
      </c>
      <c r="BE2549">
        <v>2000</v>
      </c>
      <c r="BF2549">
        <v>1</v>
      </c>
      <c r="BI2549">
        <v>1</v>
      </c>
      <c r="BJ2549">
        <v>26</v>
      </c>
      <c r="BK2549">
        <v>1</v>
      </c>
      <c r="BP2549" s="184"/>
    </row>
    <row r="2550" spans="1:68">
      <c r="A2550">
        <v>30691588</v>
      </c>
      <c r="B2550">
        <v>30691588</v>
      </c>
      <c r="C2550" t="s">
        <v>7018</v>
      </c>
      <c r="D2550" t="s">
        <v>595</v>
      </c>
      <c r="E2550" s="184">
        <v>44073</v>
      </c>
      <c r="G2550" s="184"/>
      <c r="I2550" s="184"/>
      <c r="K2550" s="184"/>
      <c r="O2550" s="184"/>
      <c r="P2550" t="s">
        <v>7045</v>
      </c>
      <c r="Q2550" t="s">
        <v>7383</v>
      </c>
      <c r="R2550" s="184">
        <v>20121</v>
      </c>
      <c r="S2550">
        <v>69</v>
      </c>
      <c r="U2550" t="s">
        <v>7031</v>
      </c>
      <c r="V2550" t="s">
        <v>21449</v>
      </c>
      <c r="W2550" t="s">
        <v>4382</v>
      </c>
      <c r="X2550" t="s">
        <v>21450</v>
      </c>
      <c r="AF2550" t="s">
        <v>21451</v>
      </c>
      <c r="AG2550" t="s">
        <v>21449</v>
      </c>
      <c r="AI2550" t="s">
        <v>21452</v>
      </c>
      <c r="AM2550" t="s">
        <v>2629</v>
      </c>
      <c r="AN2550" t="s">
        <v>2185</v>
      </c>
      <c r="AO2550" t="s">
        <v>21453</v>
      </c>
      <c r="AP2550" t="s">
        <v>7024</v>
      </c>
      <c r="AQ2550" t="s">
        <v>21454</v>
      </c>
      <c r="AR2550" t="s">
        <v>21455</v>
      </c>
      <c r="AT2550" s="184">
        <v>36517</v>
      </c>
      <c r="AU2550" t="s">
        <v>21456</v>
      </c>
      <c r="AV2550">
        <v>25</v>
      </c>
      <c r="AW2550" s="184">
        <v>45267</v>
      </c>
      <c r="AX2550" t="s">
        <v>20597</v>
      </c>
      <c r="AY2550">
        <v>36.75</v>
      </c>
      <c r="AZ2550" s="184">
        <v>42550</v>
      </c>
      <c r="BA2550" t="s">
        <v>21457</v>
      </c>
      <c r="BB2550">
        <v>55</v>
      </c>
      <c r="BC2550">
        <v>89</v>
      </c>
      <c r="BD2550">
        <v>921.75</v>
      </c>
      <c r="BE2550">
        <v>2000</v>
      </c>
      <c r="BF2550">
        <v>28</v>
      </c>
      <c r="BG2550">
        <v>2</v>
      </c>
      <c r="BH2550">
        <v>86.75</v>
      </c>
      <c r="BI2550">
        <v>23</v>
      </c>
      <c r="BJ2550">
        <v>26</v>
      </c>
      <c r="BK2550">
        <v>19</v>
      </c>
      <c r="BP2550" s="184"/>
    </row>
    <row r="2551" spans="1:68">
      <c r="A2551">
        <v>30726269</v>
      </c>
      <c r="B2551">
        <v>30726269</v>
      </c>
      <c r="C2551" t="s">
        <v>7018</v>
      </c>
      <c r="E2551" s="184"/>
      <c r="G2551" s="184"/>
      <c r="I2551" s="184"/>
      <c r="J2551" t="s">
        <v>595</v>
      </c>
      <c r="K2551" s="184">
        <v>41661</v>
      </c>
      <c r="M2551" s="184"/>
      <c r="O2551" s="184"/>
      <c r="P2551" t="s">
        <v>7029</v>
      </c>
      <c r="Q2551" t="s">
        <v>7383</v>
      </c>
      <c r="R2551" s="184">
        <v>24047</v>
      </c>
      <c r="S2551">
        <v>58</v>
      </c>
      <c r="V2551" t="s">
        <v>3393</v>
      </c>
      <c r="X2551" t="s">
        <v>21458</v>
      </c>
      <c r="Z2551">
        <v>100084472</v>
      </c>
      <c r="AB2551" t="s">
        <v>3748</v>
      </c>
      <c r="AD2551" t="s">
        <v>21458</v>
      </c>
      <c r="AF2551" t="s">
        <v>6068</v>
      </c>
      <c r="AG2551" t="s">
        <v>21459</v>
      </c>
      <c r="AI2551" t="s">
        <v>21460</v>
      </c>
      <c r="AM2551" t="s">
        <v>21461</v>
      </c>
      <c r="AN2551" t="s">
        <v>2072</v>
      </c>
      <c r="AO2551" t="s">
        <v>21462</v>
      </c>
      <c r="AP2551" t="s">
        <v>7024</v>
      </c>
      <c r="AQ2551" t="s">
        <v>21463</v>
      </c>
      <c r="AT2551" s="184">
        <v>36536</v>
      </c>
      <c r="AU2551" t="s">
        <v>19584</v>
      </c>
      <c r="AV2551">
        <v>20.95</v>
      </c>
      <c r="AW2551" s="184">
        <v>45373</v>
      </c>
      <c r="AX2551" t="s">
        <v>7302</v>
      </c>
      <c r="AY2551">
        <v>1050</v>
      </c>
      <c r="AZ2551" s="184">
        <v>44858</v>
      </c>
      <c r="BA2551" t="s">
        <v>21464</v>
      </c>
      <c r="BB2551">
        <v>1110</v>
      </c>
      <c r="BC2551">
        <v>84</v>
      </c>
      <c r="BD2551">
        <v>12573.06</v>
      </c>
      <c r="BE2551">
        <v>2000</v>
      </c>
      <c r="BF2551">
        <v>29</v>
      </c>
      <c r="BG2551">
        <v>3</v>
      </c>
      <c r="BH2551">
        <v>3190</v>
      </c>
      <c r="BI2551">
        <v>21</v>
      </c>
      <c r="BJ2551">
        <v>25</v>
      </c>
      <c r="BK2551">
        <v>14</v>
      </c>
    </row>
    <row r="2552" spans="1:68">
      <c r="A2552">
        <v>100084472</v>
      </c>
      <c r="B2552">
        <v>30726269</v>
      </c>
      <c r="C2552" t="s">
        <v>7018</v>
      </c>
      <c r="E2552" s="184"/>
      <c r="G2552" s="184"/>
      <c r="I2552" s="184"/>
      <c r="J2552" t="s">
        <v>595</v>
      </c>
      <c r="K2552" s="184">
        <v>43649</v>
      </c>
      <c r="M2552" s="184"/>
      <c r="O2552" s="184"/>
      <c r="P2552" t="s">
        <v>7029</v>
      </c>
      <c r="Q2552" t="s">
        <v>7383</v>
      </c>
      <c r="R2552" s="184">
        <v>22805</v>
      </c>
      <c r="S2552">
        <v>61</v>
      </c>
      <c r="V2552" t="s">
        <v>3748</v>
      </c>
      <c r="X2552" t="s">
        <v>21458</v>
      </c>
      <c r="Z2552">
        <v>30726269</v>
      </c>
      <c r="AB2552" t="s">
        <v>3393</v>
      </c>
      <c r="AD2552" t="s">
        <v>21458</v>
      </c>
      <c r="AF2552" t="s">
        <v>6068</v>
      </c>
      <c r="AG2552" t="s">
        <v>21459</v>
      </c>
      <c r="AI2552" t="s">
        <v>21460</v>
      </c>
      <c r="AM2552" t="s">
        <v>21461</v>
      </c>
      <c r="AN2552" t="s">
        <v>2072</v>
      </c>
      <c r="AO2552" t="s">
        <v>21462</v>
      </c>
      <c r="AP2552" t="s">
        <v>7024</v>
      </c>
      <c r="AT2552" s="184"/>
      <c r="AW2552" s="184"/>
      <c r="AZ2552" s="184"/>
      <c r="BP2552" s="184"/>
    </row>
    <row r="2553" spans="1:68">
      <c r="A2553">
        <v>30727648</v>
      </c>
      <c r="B2553">
        <v>30727648</v>
      </c>
      <c r="C2553" t="s">
        <v>7018</v>
      </c>
      <c r="D2553" t="s">
        <v>595</v>
      </c>
      <c r="E2553" s="184">
        <v>45154</v>
      </c>
      <c r="G2553" s="184"/>
      <c r="I2553" s="184"/>
      <c r="K2553" s="184"/>
      <c r="M2553" s="184"/>
      <c r="O2553" s="184"/>
      <c r="P2553" t="s">
        <v>7045</v>
      </c>
      <c r="Q2553" t="s">
        <v>7383</v>
      </c>
      <c r="R2553" s="184">
        <v>22706</v>
      </c>
      <c r="S2553">
        <v>62</v>
      </c>
      <c r="V2553" t="s">
        <v>3317</v>
      </c>
      <c r="W2553" t="s">
        <v>21465</v>
      </c>
      <c r="X2553" t="s">
        <v>21466</v>
      </c>
      <c r="AF2553" t="s">
        <v>21467</v>
      </c>
      <c r="AG2553" t="s">
        <v>3317</v>
      </c>
      <c r="AI2553" t="s">
        <v>21468</v>
      </c>
      <c r="AM2553" t="s">
        <v>5118</v>
      </c>
      <c r="AN2553" t="s">
        <v>2064</v>
      </c>
      <c r="AO2553" t="s">
        <v>21469</v>
      </c>
      <c r="AP2553" t="s">
        <v>7024</v>
      </c>
      <c r="AT2553" s="184">
        <v>36536</v>
      </c>
      <c r="AU2553" t="s">
        <v>21470</v>
      </c>
      <c r="AV2553">
        <v>15</v>
      </c>
      <c r="AW2553" s="184">
        <v>43699</v>
      </c>
      <c r="AX2553" t="s">
        <v>21471</v>
      </c>
      <c r="AY2553">
        <v>25</v>
      </c>
      <c r="AZ2553" s="184">
        <v>43699</v>
      </c>
      <c r="BA2553" t="s">
        <v>21471</v>
      </c>
      <c r="BB2553">
        <v>25</v>
      </c>
      <c r="BC2553">
        <v>24</v>
      </c>
      <c r="BD2553">
        <v>125</v>
      </c>
      <c r="BE2553">
        <v>2000</v>
      </c>
      <c r="BF2553">
        <v>6</v>
      </c>
      <c r="BI2553">
        <v>6</v>
      </c>
      <c r="BJ2553">
        <v>25</v>
      </c>
      <c r="BK2553">
        <v>3</v>
      </c>
    </row>
    <row r="2554" spans="1:68">
      <c r="A2554">
        <v>30744171</v>
      </c>
      <c r="B2554">
        <v>30744171</v>
      </c>
      <c r="C2554" t="s">
        <v>7018</v>
      </c>
      <c r="D2554" t="s">
        <v>595</v>
      </c>
      <c r="E2554" s="184">
        <v>44438</v>
      </c>
      <c r="G2554" s="184"/>
      <c r="I2554" s="184"/>
      <c r="K2554" s="184"/>
      <c r="M2554" s="184"/>
      <c r="O2554" s="184"/>
      <c r="P2554" t="s">
        <v>7019</v>
      </c>
      <c r="Q2554" t="s">
        <v>7454</v>
      </c>
      <c r="R2554" s="184">
        <v>13348</v>
      </c>
      <c r="S2554">
        <v>87</v>
      </c>
      <c r="V2554" t="s">
        <v>2825</v>
      </c>
      <c r="W2554" t="s">
        <v>205</v>
      </c>
      <c r="X2554" t="s">
        <v>21149</v>
      </c>
      <c r="AF2554" t="s">
        <v>21472</v>
      </c>
      <c r="AG2554" t="s">
        <v>2825</v>
      </c>
      <c r="AI2554" t="s">
        <v>21473</v>
      </c>
      <c r="AM2554" t="s">
        <v>2608</v>
      </c>
      <c r="AN2554" t="s">
        <v>2299</v>
      </c>
      <c r="AO2554" t="s">
        <v>21474</v>
      </c>
      <c r="AP2554" t="s">
        <v>7024</v>
      </c>
      <c r="AT2554" s="184">
        <v>36538</v>
      </c>
      <c r="AU2554" t="s">
        <v>21475</v>
      </c>
      <c r="AV2554">
        <v>25</v>
      </c>
      <c r="AW2554" s="184">
        <v>44841</v>
      </c>
      <c r="AX2554" t="s">
        <v>21476</v>
      </c>
      <c r="AY2554">
        <v>60</v>
      </c>
      <c r="AZ2554" s="184">
        <v>44841</v>
      </c>
      <c r="BA2554" t="s">
        <v>21476</v>
      </c>
      <c r="BB2554">
        <v>60</v>
      </c>
      <c r="BC2554">
        <v>56</v>
      </c>
      <c r="BD2554">
        <v>350</v>
      </c>
      <c r="BE2554">
        <v>2000</v>
      </c>
      <c r="BF2554">
        <v>14</v>
      </c>
      <c r="BG2554">
        <v>1</v>
      </c>
      <c r="BH2554">
        <v>60</v>
      </c>
      <c r="BI2554">
        <v>14</v>
      </c>
      <c r="BJ2554">
        <v>25</v>
      </c>
      <c r="BK2554">
        <v>7</v>
      </c>
      <c r="BP2554" s="184"/>
    </row>
    <row r="2555" spans="1:68">
      <c r="A2555">
        <v>30745830</v>
      </c>
      <c r="B2555">
        <v>30745830</v>
      </c>
      <c r="C2555" t="s">
        <v>7018</v>
      </c>
      <c r="E2555" s="184"/>
      <c r="G2555" s="184"/>
      <c r="J2555" t="s">
        <v>595</v>
      </c>
      <c r="K2555" s="184">
        <v>44073</v>
      </c>
      <c r="M2555" s="184"/>
      <c r="O2555" s="184"/>
      <c r="P2555" t="s">
        <v>7045</v>
      </c>
      <c r="Q2555" t="s">
        <v>7383</v>
      </c>
      <c r="R2555" s="184">
        <v>21885</v>
      </c>
      <c r="S2555">
        <v>64</v>
      </c>
      <c r="U2555" t="s">
        <v>7130</v>
      </c>
      <c r="V2555" t="s">
        <v>3288</v>
      </c>
      <c r="X2555" t="s">
        <v>21477</v>
      </c>
      <c r="Z2555">
        <v>100084566</v>
      </c>
      <c r="AA2555" t="s">
        <v>7031</v>
      </c>
      <c r="AB2555" t="s">
        <v>2597</v>
      </c>
      <c r="AD2555" t="s">
        <v>21477</v>
      </c>
      <c r="AF2555" t="s">
        <v>21478</v>
      </c>
      <c r="AG2555" t="s">
        <v>21479</v>
      </c>
      <c r="AI2555" t="s">
        <v>21480</v>
      </c>
      <c r="AM2555" t="s">
        <v>2830</v>
      </c>
      <c r="AN2555" t="s">
        <v>2185</v>
      </c>
      <c r="AO2555" t="s">
        <v>21481</v>
      </c>
      <c r="AP2555" t="s">
        <v>7024</v>
      </c>
      <c r="AQ2555" t="s">
        <v>21482</v>
      </c>
      <c r="AT2555" s="184">
        <v>36537</v>
      </c>
      <c r="AU2555" t="s">
        <v>21483</v>
      </c>
      <c r="AV2555">
        <v>15</v>
      </c>
      <c r="AW2555" s="184">
        <v>45342</v>
      </c>
      <c r="AX2555" t="s">
        <v>12049</v>
      </c>
      <c r="AY2555">
        <v>75</v>
      </c>
      <c r="AZ2555" s="184">
        <v>44963</v>
      </c>
      <c r="BA2555" t="s">
        <v>18938</v>
      </c>
      <c r="BB2555">
        <v>100</v>
      </c>
      <c r="BC2555">
        <v>88</v>
      </c>
      <c r="BD2555">
        <v>1925</v>
      </c>
      <c r="BE2555">
        <v>2000</v>
      </c>
      <c r="BF2555">
        <v>33</v>
      </c>
      <c r="BG2555">
        <v>5</v>
      </c>
      <c r="BH2555">
        <v>380</v>
      </c>
      <c r="BI2555">
        <v>22</v>
      </c>
      <c r="BJ2555">
        <v>25</v>
      </c>
      <c r="BK2555">
        <v>14</v>
      </c>
    </row>
    <row r="2556" spans="1:68">
      <c r="A2556">
        <v>100084566</v>
      </c>
      <c r="B2556">
        <v>30745830</v>
      </c>
      <c r="C2556" t="s">
        <v>7018</v>
      </c>
      <c r="E2556" s="184"/>
      <c r="G2556" s="184"/>
      <c r="I2556" s="184"/>
      <c r="J2556" t="s">
        <v>595</v>
      </c>
      <c r="K2556" s="184">
        <v>44073</v>
      </c>
      <c r="M2556" s="184"/>
      <c r="O2556" s="184"/>
      <c r="P2556" t="s">
        <v>7045</v>
      </c>
      <c r="Q2556" t="s">
        <v>7383</v>
      </c>
      <c r="R2556" s="184">
        <v>21885</v>
      </c>
      <c r="S2556">
        <v>64</v>
      </c>
      <c r="U2556" t="s">
        <v>7031</v>
      </c>
      <c r="V2556" t="s">
        <v>2597</v>
      </c>
      <c r="X2556" t="s">
        <v>21477</v>
      </c>
      <c r="Z2556">
        <v>30745830</v>
      </c>
      <c r="AA2556" t="s">
        <v>7130</v>
      </c>
      <c r="AB2556" t="s">
        <v>3288</v>
      </c>
      <c r="AD2556" t="s">
        <v>21477</v>
      </c>
      <c r="AF2556" t="s">
        <v>21478</v>
      </c>
      <c r="AG2556" t="s">
        <v>21479</v>
      </c>
      <c r="AI2556" t="s">
        <v>21480</v>
      </c>
      <c r="AM2556" t="s">
        <v>2830</v>
      </c>
      <c r="AN2556" t="s">
        <v>2185</v>
      </c>
      <c r="AO2556" t="s">
        <v>21481</v>
      </c>
      <c r="AP2556" t="s">
        <v>7024</v>
      </c>
      <c r="AT2556" s="184"/>
      <c r="AW2556" s="184"/>
      <c r="AZ2556" s="184"/>
      <c r="BP2556" s="184"/>
    </row>
    <row r="2557" spans="1:68">
      <c r="A2557">
        <v>30781116</v>
      </c>
      <c r="B2557">
        <v>30781116</v>
      </c>
      <c r="C2557" t="s">
        <v>7018</v>
      </c>
      <c r="D2557" t="s">
        <v>595</v>
      </c>
      <c r="E2557" s="184">
        <v>43801</v>
      </c>
      <c r="G2557" s="184"/>
      <c r="I2557" s="184"/>
      <c r="K2557" s="184"/>
      <c r="M2557" s="184"/>
      <c r="O2557" s="184"/>
      <c r="P2557" t="s">
        <v>7045</v>
      </c>
      <c r="Q2557" t="s">
        <v>7383</v>
      </c>
      <c r="R2557" s="184">
        <v>15707</v>
      </c>
      <c r="S2557">
        <v>81</v>
      </c>
      <c r="V2557" t="s">
        <v>3317</v>
      </c>
      <c r="X2557" t="s">
        <v>4397</v>
      </c>
      <c r="Z2557">
        <v>100084704</v>
      </c>
      <c r="AB2557" t="s">
        <v>5842</v>
      </c>
      <c r="AD2557" t="s">
        <v>4397</v>
      </c>
      <c r="AE2557" t="s">
        <v>7941</v>
      </c>
      <c r="AF2557" t="s">
        <v>21484</v>
      </c>
      <c r="AG2557" t="s">
        <v>21485</v>
      </c>
      <c r="AI2557" t="s">
        <v>21486</v>
      </c>
      <c r="AM2557" t="s">
        <v>21487</v>
      </c>
      <c r="AN2557" t="s">
        <v>2185</v>
      </c>
      <c r="AO2557" t="s">
        <v>21488</v>
      </c>
      <c r="AP2557" t="s">
        <v>7024</v>
      </c>
      <c r="AQ2557" t="s">
        <v>21489</v>
      </c>
      <c r="AR2557" t="s">
        <v>21490</v>
      </c>
      <c r="AT2557" s="184">
        <v>36539</v>
      </c>
      <c r="AU2557" t="s">
        <v>21491</v>
      </c>
      <c r="AV2557">
        <v>15</v>
      </c>
      <c r="AW2557" s="184">
        <v>45310</v>
      </c>
      <c r="AX2557" t="s">
        <v>14629</v>
      </c>
      <c r="AY2557">
        <v>21</v>
      </c>
      <c r="AZ2557" s="184">
        <v>43528</v>
      </c>
      <c r="BA2557" t="s">
        <v>21492</v>
      </c>
      <c r="BB2557">
        <v>60</v>
      </c>
      <c r="BC2557">
        <v>68</v>
      </c>
      <c r="BD2557">
        <v>774</v>
      </c>
      <c r="BE2557">
        <v>2000</v>
      </c>
      <c r="BF2557">
        <v>37</v>
      </c>
      <c r="BG2557">
        <v>1</v>
      </c>
      <c r="BH2557">
        <v>21</v>
      </c>
      <c r="BI2557">
        <v>17</v>
      </c>
      <c r="BJ2557">
        <v>25</v>
      </c>
      <c r="BK2557">
        <v>13</v>
      </c>
    </row>
    <row r="2558" spans="1:68">
      <c r="A2558">
        <v>100084704</v>
      </c>
      <c r="B2558">
        <v>30781116</v>
      </c>
      <c r="C2558" t="s">
        <v>7018</v>
      </c>
      <c r="D2558" t="s">
        <v>595</v>
      </c>
      <c r="E2558" s="184">
        <v>43801</v>
      </c>
      <c r="G2558" s="184"/>
      <c r="I2558" s="184"/>
      <c r="K2558" s="184"/>
      <c r="O2558" s="184"/>
      <c r="P2558" t="s">
        <v>7045</v>
      </c>
      <c r="Q2558" t="s">
        <v>7383</v>
      </c>
      <c r="R2558" s="184">
        <v>15707</v>
      </c>
      <c r="S2558">
        <v>81</v>
      </c>
      <c r="V2558" t="s">
        <v>5842</v>
      </c>
      <c r="X2558" t="s">
        <v>4397</v>
      </c>
      <c r="Y2558" t="s">
        <v>7941</v>
      </c>
      <c r="Z2558">
        <v>30781116</v>
      </c>
      <c r="AB2558" t="s">
        <v>3317</v>
      </c>
      <c r="AD2558" t="s">
        <v>4397</v>
      </c>
      <c r="AF2558" t="s">
        <v>21484</v>
      </c>
      <c r="AG2558" t="s">
        <v>21485</v>
      </c>
      <c r="AI2558" t="s">
        <v>21486</v>
      </c>
      <c r="AM2558" t="s">
        <v>21487</v>
      </c>
      <c r="AN2558" t="s">
        <v>2185</v>
      </c>
      <c r="AO2558" t="s">
        <v>21488</v>
      </c>
      <c r="AP2558" t="s">
        <v>7024</v>
      </c>
      <c r="AQ2558" t="s">
        <v>21489</v>
      </c>
      <c r="AT2558" s="184">
        <v>44545</v>
      </c>
      <c r="AU2558" t="s">
        <v>21493</v>
      </c>
      <c r="AV2558">
        <v>25</v>
      </c>
      <c r="AW2558" s="184">
        <v>44545</v>
      </c>
      <c r="AX2558" t="s">
        <v>21493</v>
      </c>
      <c r="AY2558">
        <v>25</v>
      </c>
      <c r="AZ2558" s="184">
        <v>44545</v>
      </c>
      <c r="BA2558" t="s">
        <v>21493</v>
      </c>
      <c r="BB2558">
        <v>25</v>
      </c>
      <c r="BC2558">
        <v>25</v>
      </c>
      <c r="BD2558">
        <v>25</v>
      </c>
      <c r="BE2558">
        <v>2022</v>
      </c>
      <c r="BF2558">
        <v>1</v>
      </c>
      <c r="BI2558">
        <v>1</v>
      </c>
      <c r="BJ2558">
        <v>4</v>
      </c>
      <c r="BK2558">
        <v>1</v>
      </c>
      <c r="BP2558" s="184"/>
    </row>
    <row r="2559" spans="1:68">
      <c r="A2559">
        <v>30820823</v>
      </c>
      <c r="B2559">
        <v>30820823</v>
      </c>
      <c r="C2559" t="s">
        <v>7018</v>
      </c>
      <c r="D2559" t="s">
        <v>595</v>
      </c>
      <c r="E2559" s="184">
        <v>45120</v>
      </c>
      <c r="G2559" s="184"/>
      <c r="I2559" s="184"/>
      <c r="K2559" s="184"/>
      <c r="M2559" s="184"/>
      <c r="O2559" s="184"/>
      <c r="P2559" t="s">
        <v>7045</v>
      </c>
      <c r="Q2559" t="s">
        <v>7194</v>
      </c>
      <c r="R2559" s="184">
        <v>26512</v>
      </c>
      <c r="S2559">
        <v>51</v>
      </c>
      <c r="U2559" t="s">
        <v>7237</v>
      </c>
      <c r="V2559" t="s">
        <v>21494</v>
      </c>
      <c r="W2559" t="s">
        <v>8224</v>
      </c>
      <c r="X2559" t="s">
        <v>3175</v>
      </c>
      <c r="AF2559" t="s">
        <v>21495</v>
      </c>
      <c r="AG2559" t="s">
        <v>21494</v>
      </c>
      <c r="AI2559" t="s">
        <v>21496</v>
      </c>
      <c r="AM2559" t="s">
        <v>3035</v>
      </c>
      <c r="AN2559" t="s">
        <v>2046</v>
      </c>
      <c r="AO2559" t="s">
        <v>21497</v>
      </c>
      <c r="AP2559" t="s">
        <v>7024</v>
      </c>
      <c r="AQ2559" t="s">
        <v>21498</v>
      </c>
      <c r="AT2559" s="184">
        <v>36546</v>
      </c>
      <c r="AU2559" t="s">
        <v>21499</v>
      </c>
      <c r="AV2559">
        <v>15</v>
      </c>
      <c r="AW2559" s="184">
        <v>45043</v>
      </c>
      <c r="AX2559" t="s">
        <v>9262</v>
      </c>
      <c r="AY2559">
        <v>40</v>
      </c>
      <c r="AZ2559" s="184">
        <v>45043</v>
      </c>
      <c r="BA2559" t="s">
        <v>9262</v>
      </c>
      <c r="BB2559">
        <v>40</v>
      </c>
      <c r="BC2559">
        <v>76</v>
      </c>
      <c r="BD2559">
        <v>601</v>
      </c>
      <c r="BE2559">
        <v>2000</v>
      </c>
      <c r="BF2559">
        <v>24</v>
      </c>
      <c r="BG2559">
        <v>2</v>
      </c>
      <c r="BH2559">
        <v>80</v>
      </c>
      <c r="BI2559">
        <v>19</v>
      </c>
      <c r="BJ2559">
        <v>25</v>
      </c>
      <c r="BK2559">
        <v>6</v>
      </c>
      <c r="BP2559" s="184"/>
    </row>
    <row r="2560" spans="1:68">
      <c r="A2560">
        <v>30826119</v>
      </c>
      <c r="B2560">
        <v>30826119</v>
      </c>
      <c r="C2560" t="s">
        <v>7018</v>
      </c>
      <c r="D2560" t="s">
        <v>595</v>
      </c>
      <c r="E2560" s="184">
        <v>45166</v>
      </c>
      <c r="G2560" s="184"/>
      <c r="I2560" s="184"/>
      <c r="K2560" s="184"/>
      <c r="M2560" s="184"/>
      <c r="O2560" s="184"/>
      <c r="P2560" t="s">
        <v>7029</v>
      </c>
      <c r="Q2560" t="s">
        <v>7383</v>
      </c>
      <c r="R2560" s="184">
        <v>25870</v>
      </c>
      <c r="S2560">
        <v>53</v>
      </c>
      <c r="U2560" t="s">
        <v>7076</v>
      </c>
      <c r="V2560" t="s">
        <v>2995</v>
      </c>
      <c r="W2560" t="s">
        <v>7560</v>
      </c>
      <c r="X2560" t="s">
        <v>2912</v>
      </c>
      <c r="AF2560" t="s">
        <v>21500</v>
      </c>
      <c r="AG2560" t="s">
        <v>2995</v>
      </c>
      <c r="AI2560" t="s">
        <v>21501</v>
      </c>
      <c r="AM2560" t="s">
        <v>21502</v>
      </c>
      <c r="AN2560" t="s">
        <v>2274</v>
      </c>
      <c r="AO2560" t="s">
        <v>21503</v>
      </c>
      <c r="AP2560" t="s">
        <v>7024</v>
      </c>
      <c r="AQ2560" t="s">
        <v>21504</v>
      </c>
      <c r="AT2560" s="184">
        <v>36545</v>
      </c>
      <c r="AU2560" t="s">
        <v>21505</v>
      </c>
      <c r="AV2560">
        <v>15</v>
      </c>
      <c r="AW2560" s="184">
        <v>44761</v>
      </c>
      <c r="AX2560" t="s">
        <v>21506</v>
      </c>
      <c r="AY2560">
        <v>600</v>
      </c>
      <c r="AZ2560" s="184">
        <v>44761</v>
      </c>
      <c r="BA2560" t="s">
        <v>21506</v>
      </c>
      <c r="BB2560">
        <v>600</v>
      </c>
      <c r="BC2560">
        <v>76</v>
      </c>
      <c r="BD2560">
        <v>4930</v>
      </c>
      <c r="BE2560">
        <v>2000</v>
      </c>
      <c r="BF2560">
        <v>27</v>
      </c>
      <c r="BG2560">
        <v>1</v>
      </c>
      <c r="BH2560">
        <v>600</v>
      </c>
      <c r="BI2560">
        <v>19</v>
      </c>
      <c r="BJ2560">
        <v>25</v>
      </c>
      <c r="BK2560">
        <v>16</v>
      </c>
      <c r="BP2560" s="184"/>
    </row>
    <row r="2561" spans="1:68">
      <c r="A2561">
        <v>30832083</v>
      </c>
      <c r="B2561">
        <v>30832083</v>
      </c>
      <c r="C2561" t="s">
        <v>7018</v>
      </c>
      <c r="D2561" t="s">
        <v>595</v>
      </c>
      <c r="E2561" s="184">
        <v>44167</v>
      </c>
      <c r="G2561" s="184"/>
      <c r="I2561" s="184"/>
      <c r="K2561" s="184"/>
      <c r="M2561" s="184"/>
      <c r="O2561" s="184"/>
      <c r="P2561" t="s">
        <v>7045</v>
      </c>
      <c r="Q2561" t="s">
        <v>7454</v>
      </c>
      <c r="R2561" s="184">
        <v>12785</v>
      </c>
      <c r="S2561">
        <v>89</v>
      </c>
      <c r="U2561" t="s">
        <v>7032</v>
      </c>
      <c r="V2561" t="s">
        <v>21507</v>
      </c>
      <c r="W2561" t="s">
        <v>205</v>
      </c>
      <c r="X2561" t="s">
        <v>21508</v>
      </c>
      <c r="Z2561">
        <v>100084867</v>
      </c>
      <c r="AA2561" t="s">
        <v>7130</v>
      </c>
      <c r="AB2561" t="s">
        <v>21509</v>
      </c>
      <c r="AD2561" t="s">
        <v>21508</v>
      </c>
      <c r="AF2561" t="s">
        <v>21510</v>
      </c>
      <c r="AG2561" t="s">
        <v>21511</v>
      </c>
      <c r="AI2561" t="s">
        <v>21512</v>
      </c>
      <c r="AM2561" t="s">
        <v>4788</v>
      </c>
      <c r="AN2561" t="s">
        <v>2055</v>
      </c>
      <c r="AO2561" t="s">
        <v>21513</v>
      </c>
      <c r="AP2561" t="s">
        <v>7024</v>
      </c>
      <c r="AQ2561" t="s">
        <v>21514</v>
      </c>
      <c r="AR2561" t="s">
        <v>21515</v>
      </c>
      <c r="AT2561" s="184">
        <v>36543</v>
      </c>
      <c r="AU2561" t="s">
        <v>21516</v>
      </c>
      <c r="AV2561">
        <v>20</v>
      </c>
      <c r="AW2561" s="184">
        <v>41996</v>
      </c>
      <c r="AX2561" t="s">
        <v>14445</v>
      </c>
      <c r="AY2561">
        <v>100</v>
      </c>
      <c r="AZ2561" s="184">
        <v>41996</v>
      </c>
      <c r="BA2561" t="s">
        <v>14445</v>
      </c>
      <c r="BB2561">
        <v>100</v>
      </c>
      <c r="BC2561">
        <v>44</v>
      </c>
      <c r="BD2561">
        <v>1005</v>
      </c>
      <c r="BE2561">
        <v>2000</v>
      </c>
      <c r="BF2561">
        <v>15</v>
      </c>
      <c r="BI2561">
        <v>11</v>
      </c>
      <c r="BJ2561">
        <v>25</v>
      </c>
      <c r="BK2561">
        <v>5</v>
      </c>
      <c r="BN2561" t="s">
        <v>595</v>
      </c>
      <c r="BP2561" s="184"/>
    </row>
    <row r="2562" spans="1:68">
      <c r="A2562">
        <v>100084867</v>
      </c>
      <c r="B2562">
        <v>30832083</v>
      </c>
      <c r="C2562" t="s">
        <v>7018</v>
      </c>
      <c r="D2562" t="s">
        <v>595</v>
      </c>
      <c r="E2562" s="184">
        <v>44167</v>
      </c>
      <c r="G2562" s="184"/>
      <c r="I2562" s="184"/>
      <c r="K2562" s="184"/>
      <c r="O2562" s="184"/>
      <c r="P2562" t="s">
        <v>7045</v>
      </c>
      <c r="Q2562" t="s">
        <v>7454</v>
      </c>
      <c r="R2562" s="184">
        <v>13089</v>
      </c>
      <c r="S2562">
        <v>88</v>
      </c>
      <c r="U2562" t="s">
        <v>7130</v>
      </c>
      <c r="V2562" t="s">
        <v>21509</v>
      </c>
      <c r="X2562" t="s">
        <v>21508</v>
      </c>
      <c r="Z2562">
        <v>30832083</v>
      </c>
      <c r="AA2562" t="s">
        <v>7032</v>
      </c>
      <c r="AB2562" t="s">
        <v>21507</v>
      </c>
      <c r="AC2562" t="s">
        <v>205</v>
      </c>
      <c r="AD2562" t="s">
        <v>21508</v>
      </c>
      <c r="AF2562" t="s">
        <v>21510</v>
      </c>
      <c r="AG2562" t="s">
        <v>21511</v>
      </c>
      <c r="AI2562" t="s">
        <v>21512</v>
      </c>
      <c r="AM2562" t="s">
        <v>4788</v>
      </c>
      <c r="AN2562" t="s">
        <v>2055</v>
      </c>
      <c r="AO2562" t="s">
        <v>21513</v>
      </c>
      <c r="AP2562" t="s">
        <v>7024</v>
      </c>
      <c r="AT2562" s="184"/>
      <c r="AW2562" s="184"/>
      <c r="AZ2562" s="184"/>
      <c r="BP2562" s="184"/>
    </row>
    <row r="2563" spans="1:68">
      <c r="A2563">
        <v>30846273</v>
      </c>
      <c r="B2563">
        <v>30846273</v>
      </c>
      <c r="C2563" t="s">
        <v>7018</v>
      </c>
      <c r="E2563" s="184"/>
      <c r="F2563" t="s">
        <v>595</v>
      </c>
      <c r="G2563" s="184">
        <v>43731</v>
      </c>
      <c r="I2563" s="184"/>
      <c r="K2563" s="184"/>
      <c r="M2563" s="184"/>
      <c r="O2563" s="184"/>
      <c r="P2563" t="s">
        <v>7045</v>
      </c>
      <c r="Q2563" t="s">
        <v>7020</v>
      </c>
      <c r="R2563" s="184">
        <v>17365</v>
      </c>
      <c r="S2563">
        <v>76</v>
      </c>
      <c r="U2563" t="s">
        <v>7031</v>
      </c>
      <c r="V2563" t="s">
        <v>2879</v>
      </c>
      <c r="X2563" t="s">
        <v>3998</v>
      </c>
      <c r="Z2563">
        <v>100084909</v>
      </c>
      <c r="AB2563" t="s">
        <v>21517</v>
      </c>
      <c r="AD2563" t="s">
        <v>3998</v>
      </c>
      <c r="AF2563" t="s">
        <v>21518</v>
      </c>
      <c r="AG2563" t="s">
        <v>21519</v>
      </c>
      <c r="AI2563" t="s">
        <v>21520</v>
      </c>
      <c r="AM2563" t="s">
        <v>3999</v>
      </c>
      <c r="AN2563" t="s">
        <v>2052</v>
      </c>
      <c r="AO2563" t="s">
        <v>21521</v>
      </c>
      <c r="AP2563" t="s">
        <v>7024</v>
      </c>
      <c r="AQ2563" t="s">
        <v>21522</v>
      </c>
      <c r="AR2563" t="s">
        <v>21523</v>
      </c>
      <c r="AT2563" s="184">
        <v>36549</v>
      </c>
      <c r="AU2563" t="s">
        <v>21524</v>
      </c>
      <c r="AV2563">
        <v>25</v>
      </c>
      <c r="AW2563" s="184">
        <v>44544</v>
      </c>
      <c r="AX2563" t="s">
        <v>7851</v>
      </c>
      <c r="AY2563">
        <v>100</v>
      </c>
      <c r="AZ2563" s="184">
        <v>44544</v>
      </c>
      <c r="BA2563" t="s">
        <v>7851</v>
      </c>
      <c r="BB2563">
        <v>100</v>
      </c>
      <c r="BC2563">
        <v>88</v>
      </c>
      <c r="BD2563">
        <v>1290</v>
      </c>
      <c r="BE2563">
        <v>2000</v>
      </c>
      <c r="BF2563">
        <v>24</v>
      </c>
      <c r="BI2563">
        <v>22</v>
      </c>
      <c r="BJ2563">
        <v>25</v>
      </c>
      <c r="BK2563">
        <v>22</v>
      </c>
      <c r="BP2563" s="184"/>
    </row>
    <row r="2564" spans="1:68">
      <c r="A2564">
        <v>100084909</v>
      </c>
      <c r="B2564">
        <v>30846273</v>
      </c>
      <c r="C2564" t="s">
        <v>7018</v>
      </c>
      <c r="E2564" s="184"/>
      <c r="F2564" t="s">
        <v>595</v>
      </c>
      <c r="G2564" s="184">
        <v>43731</v>
      </c>
      <c r="I2564" s="184"/>
      <c r="K2564" s="184"/>
      <c r="M2564" s="184"/>
      <c r="O2564" s="184"/>
      <c r="P2564" t="s">
        <v>7045</v>
      </c>
      <c r="Q2564" t="s">
        <v>7020</v>
      </c>
      <c r="R2564" s="184">
        <v>26193</v>
      </c>
      <c r="S2564">
        <v>52</v>
      </c>
      <c r="V2564" t="s">
        <v>21517</v>
      </c>
      <c r="X2564" t="s">
        <v>3998</v>
      </c>
      <c r="Z2564">
        <v>30846273</v>
      </c>
      <c r="AA2564" t="s">
        <v>7031</v>
      </c>
      <c r="AB2564" t="s">
        <v>2879</v>
      </c>
      <c r="AD2564" t="s">
        <v>3998</v>
      </c>
      <c r="AF2564" t="s">
        <v>21518</v>
      </c>
      <c r="AG2564" t="s">
        <v>21519</v>
      </c>
      <c r="AI2564" t="s">
        <v>21520</v>
      </c>
      <c r="AM2564" t="s">
        <v>3999</v>
      </c>
      <c r="AN2564" t="s">
        <v>2052</v>
      </c>
      <c r="AO2564" t="s">
        <v>21521</v>
      </c>
      <c r="AP2564" t="s">
        <v>7024</v>
      </c>
      <c r="AT2564" s="184"/>
      <c r="AW2564" s="184"/>
      <c r="AZ2564" s="184"/>
      <c r="BP2564" s="184"/>
    </row>
    <row r="2565" spans="1:68">
      <c r="A2565">
        <v>30876254</v>
      </c>
      <c r="B2565">
        <v>30876254</v>
      </c>
      <c r="C2565" t="s">
        <v>7018</v>
      </c>
      <c r="E2565" s="184"/>
      <c r="G2565" s="184"/>
      <c r="I2565" s="184"/>
      <c r="J2565" t="s">
        <v>595</v>
      </c>
      <c r="K2565" s="184">
        <v>42961</v>
      </c>
      <c r="M2565" s="184"/>
      <c r="O2565" s="184"/>
      <c r="P2565" t="s">
        <v>7045</v>
      </c>
      <c r="Q2565" t="s">
        <v>7160</v>
      </c>
      <c r="R2565" s="184">
        <v>24527</v>
      </c>
      <c r="S2565">
        <v>57</v>
      </c>
      <c r="U2565" t="s">
        <v>7130</v>
      </c>
      <c r="V2565" t="s">
        <v>9446</v>
      </c>
      <c r="X2565" t="s">
        <v>21525</v>
      </c>
      <c r="AF2565" t="s">
        <v>6180</v>
      </c>
      <c r="AG2565" t="s">
        <v>9446</v>
      </c>
      <c r="AI2565" t="s">
        <v>21526</v>
      </c>
      <c r="AM2565" t="s">
        <v>3408</v>
      </c>
      <c r="AN2565" t="s">
        <v>2176</v>
      </c>
      <c r="AO2565" t="s">
        <v>21527</v>
      </c>
      <c r="AP2565" t="s">
        <v>7024</v>
      </c>
      <c r="AQ2565" t="s">
        <v>21528</v>
      </c>
      <c r="AT2565" s="184">
        <v>39518</v>
      </c>
      <c r="AU2565" t="s">
        <v>21529</v>
      </c>
      <c r="AV2565">
        <v>100</v>
      </c>
      <c r="AW2565" s="184">
        <v>44701</v>
      </c>
      <c r="AX2565" t="s">
        <v>11867</v>
      </c>
      <c r="AY2565">
        <v>25</v>
      </c>
      <c r="AZ2565" s="184">
        <v>41296</v>
      </c>
      <c r="BA2565" t="s">
        <v>11392</v>
      </c>
      <c r="BB2565">
        <v>250</v>
      </c>
      <c r="BC2565">
        <v>89</v>
      </c>
      <c r="BD2565">
        <v>3750</v>
      </c>
      <c r="BE2565">
        <v>2008</v>
      </c>
      <c r="BF2565">
        <v>102</v>
      </c>
      <c r="BG2565">
        <v>2</v>
      </c>
      <c r="BH2565">
        <v>50</v>
      </c>
      <c r="BI2565">
        <v>15</v>
      </c>
      <c r="BJ2565">
        <v>17</v>
      </c>
      <c r="BK2565">
        <v>15</v>
      </c>
      <c r="BP2565" s="184"/>
    </row>
    <row r="2566" spans="1:68">
      <c r="A2566">
        <v>30881825</v>
      </c>
      <c r="B2566">
        <v>30881825</v>
      </c>
      <c r="C2566" t="s">
        <v>7018</v>
      </c>
      <c r="E2566" s="184"/>
      <c r="G2566" s="184"/>
      <c r="I2566" s="184"/>
      <c r="J2566" t="s">
        <v>595</v>
      </c>
      <c r="K2566" s="184">
        <v>41949</v>
      </c>
      <c r="M2566" s="184"/>
      <c r="O2566" s="184"/>
      <c r="P2566" t="s">
        <v>7045</v>
      </c>
      <c r="Q2566" t="s">
        <v>7030</v>
      </c>
      <c r="R2566" s="184">
        <v>15513</v>
      </c>
      <c r="S2566">
        <v>81</v>
      </c>
      <c r="U2566" t="s">
        <v>7076</v>
      </c>
      <c r="V2566" t="s">
        <v>3230</v>
      </c>
      <c r="X2566" t="s">
        <v>21530</v>
      </c>
      <c r="AF2566" t="s">
        <v>6386</v>
      </c>
      <c r="AG2566" t="s">
        <v>3230</v>
      </c>
      <c r="AI2566" t="s">
        <v>21531</v>
      </c>
      <c r="AM2566" t="s">
        <v>2564</v>
      </c>
      <c r="AN2566" t="s">
        <v>2089</v>
      </c>
      <c r="AO2566" t="s">
        <v>21532</v>
      </c>
      <c r="AP2566" t="s">
        <v>7024</v>
      </c>
      <c r="AQ2566" t="s">
        <v>21533</v>
      </c>
      <c r="AT2566" s="184">
        <v>36553</v>
      </c>
      <c r="AU2566" t="s">
        <v>21534</v>
      </c>
      <c r="AV2566">
        <v>15</v>
      </c>
      <c r="AW2566" s="184">
        <v>44313</v>
      </c>
      <c r="AX2566" t="s">
        <v>21069</v>
      </c>
      <c r="AY2566">
        <v>50</v>
      </c>
      <c r="AZ2566" s="184">
        <v>44313</v>
      </c>
      <c r="BA2566" t="s">
        <v>21069</v>
      </c>
      <c r="BB2566">
        <v>50</v>
      </c>
      <c r="BC2566">
        <v>84</v>
      </c>
      <c r="BD2566">
        <v>1280</v>
      </c>
      <c r="BE2566">
        <v>2000</v>
      </c>
      <c r="BF2566">
        <v>42</v>
      </c>
      <c r="BI2566">
        <v>21</v>
      </c>
      <c r="BJ2566">
        <v>25</v>
      </c>
      <c r="BK2566">
        <v>12</v>
      </c>
      <c r="BP2566" s="184"/>
    </row>
    <row r="2567" spans="1:68">
      <c r="A2567">
        <v>30899082</v>
      </c>
      <c r="B2567">
        <v>30899082</v>
      </c>
      <c r="C2567" t="s">
        <v>7018</v>
      </c>
      <c r="D2567" t="s">
        <v>595</v>
      </c>
      <c r="E2567" s="184">
        <v>45195</v>
      </c>
      <c r="G2567" s="184"/>
      <c r="K2567" s="184"/>
      <c r="M2567" s="184"/>
      <c r="O2567" s="184"/>
      <c r="P2567" t="s">
        <v>7045</v>
      </c>
      <c r="Q2567" t="s">
        <v>7383</v>
      </c>
      <c r="R2567" s="184">
        <v>23506</v>
      </c>
      <c r="S2567">
        <v>60</v>
      </c>
      <c r="V2567" t="s">
        <v>4725</v>
      </c>
      <c r="X2567" t="s">
        <v>21535</v>
      </c>
      <c r="AF2567" t="s">
        <v>21536</v>
      </c>
      <c r="AG2567" t="s">
        <v>4725</v>
      </c>
      <c r="AI2567" t="s">
        <v>21537</v>
      </c>
      <c r="AM2567" t="s">
        <v>21538</v>
      </c>
      <c r="AN2567" t="s">
        <v>2419</v>
      </c>
      <c r="AO2567" t="s">
        <v>21539</v>
      </c>
      <c r="AP2567" t="s">
        <v>7024</v>
      </c>
      <c r="AQ2567" t="s">
        <v>21540</v>
      </c>
      <c r="AR2567" t="s">
        <v>21541</v>
      </c>
      <c r="AT2567" s="184">
        <v>36563</v>
      </c>
      <c r="AU2567" t="s">
        <v>21542</v>
      </c>
      <c r="AV2567">
        <v>15</v>
      </c>
      <c r="AW2567" s="184">
        <v>44826</v>
      </c>
      <c r="AX2567" t="s">
        <v>21543</v>
      </c>
      <c r="AY2567">
        <v>25</v>
      </c>
      <c r="AZ2567" s="184">
        <v>44826</v>
      </c>
      <c r="BA2567" t="s">
        <v>21543</v>
      </c>
      <c r="BB2567">
        <v>25</v>
      </c>
      <c r="BC2567">
        <v>28</v>
      </c>
      <c r="BD2567">
        <v>155</v>
      </c>
      <c r="BE2567">
        <v>2000</v>
      </c>
      <c r="BF2567">
        <v>7</v>
      </c>
      <c r="BG2567">
        <v>1</v>
      </c>
      <c r="BH2567">
        <v>25</v>
      </c>
      <c r="BI2567">
        <v>7</v>
      </c>
      <c r="BJ2567">
        <v>25</v>
      </c>
      <c r="BK2567">
        <v>2</v>
      </c>
    </row>
    <row r="2568" spans="1:68">
      <c r="A2568">
        <v>30899355</v>
      </c>
      <c r="B2568">
        <v>30899355</v>
      </c>
      <c r="C2568" t="s">
        <v>7018</v>
      </c>
      <c r="D2568" t="s">
        <v>595</v>
      </c>
      <c r="E2568" s="184">
        <v>44167</v>
      </c>
      <c r="G2568" s="184"/>
      <c r="I2568" s="184"/>
      <c r="K2568" s="184"/>
      <c r="M2568" s="184"/>
      <c r="O2568" s="184"/>
      <c r="P2568" t="s">
        <v>7019</v>
      </c>
      <c r="Q2568" t="s">
        <v>7383</v>
      </c>
      <c r="R2568" s="184">
        <v>17213</v>
      </c>
      <c r="S2568">
        <v>77</v>
      </c>
      <c r="U2568" t="s">
        <v>7031</v>
      </c>
      <c r="V2568" t="s">
        <v>2541</v>
      </c>
      <c r="W2568" t="s">
        <v>205</v>
      </c>
      <c r="X2568" t="s">
        <v>21544</v>
      </c>
      <c r="AF2568" t="s">
        <v>21545</v>
      </c>
      <c r="AG2568" t="s">
        <v>2541</v>
      </c>
      <c r="AI2568" t="s">
        <v>21546</v>
      </c>
      <c r="AM2568" t="s">
        <v>3408</v>
      </c>
      <c r="AN2568" t="s">
        <v>2059</v>
      </c>
      <c r="AO2568" t="s">
        <v>21547</v>
      </c>
      <c r="AP2568" t="s">
        <v>7024</v>
      </c>
      <c r="AQ2568" t="s">
        <v>21548</v>
      </c>
      <c r="AR2568" t="s">
        <v>21549</v>
      </c>
      <c r="AT2568" s="184">
        <v>36563</v>
      </c>
      <c r="AU2568" t="s">
        <v>21550</v>
      </c>
      <c r="AV2568">
        <v>15</v>
      </c>
      <c r="AW2568" s="184">
        <v>44064</v>
      </c>
      <c r="AX2568" t="s">
        <v>21551</v>
      </c>
      <c r="AY2568">
        <v>20</v>
      </c>
      <c r="AZ2568" s="184">
        <v>43355</v>
      </c>
      <c r="BA2568" t="s">
        <v>8727</v>
      </c>
      <c r="BB2568">
        <v>60</v>
      </c>
      <c r="BC2568">
        <v>52</v>
      </c>
      <c r="BD2568">
        <v>725</v>
      </c>
      <c r="BE2568">
        <v>2000</v>
      </c>
      <c r="BF2568">
        <v>28</v>
      </c>
      <c r="BI2568">
        <v>13</v>
      </c>
      <c r="BJ2568">
        <v>25</v>
      </c>
      <c r="BK2568">
        <v>5</v>
      </c>
      <c r="BP2568" s="184"/>
    </row>
    <row r="2569" spans="1:68">
      <c r="A2569">
        <v>30899744</v>
      </c>
      <c r="B2569">
        <v>30899744</v>
      </c>
      <c r="C2569" t="s">
        <v>7018</v>
      </c>
      <c r="D2569" t="s">
        <v>595</v>
      </c>
      <c r="E2569" s="184">
        <v>43871</v>
      </c>
      <c r="G2569" s="184"/>
      <c r="I2569" s="184"/>
      <c r="K2569" s="184"/>
      <c r="M2569" s="184"/>
      <c r="O2569" s="184"/>
      <c r="P2569" t="s">
        <v>7045</v>
      </c>
      <c r="Q2569" t="s">
        <v>7262</v>
      </c>
      <c r="R2569" s="184">
        <v>20014</v>
      </c>
      <c r="S2569">
        <v>69</v>
      </c>
      <c r="V2569" t="s">
        <v>4758</v>
      </c>
      <c r="W2569" t="s">
        <v>8224</v>
      </c>
      <c r="X2569" t="s">
        <v>4759</v>
      </c>
      <c r="AF2569" t="s">
        <v>21552</v>
      </c>
      <c r="AG2569" t="s">
        <v>4758</v>
      </c>
      <c r="AI2569" t="s">
        <v>21553</v>
      </c>
      <c r="AM2569" t="s">
        <v>2730</v>
      </c>
      <c r="AN2569" t="s">
        <v>2069</v>
      </c>
      <c r="AO2569" t="s">
        <v>21554</v>
      </c>
      <c r="AP2569" t="s">
        <v>7024</v>
      </c>
      <c r="AQ2569" t="s">
        <v>21555</v>
      </c>
      <c r="AR2569" t="s">
        <v>21556</v>
      </c>
      <c r="AT2569" s="184">
        <v>36563</v>
      </c>
      <c r="AU2569" t="s">
        <v>21557</v>
      </c>
      <c r="AV2569">
        <v>35</v>
      </c>
      <c r="AW2569" s="184">
        <v>43951</v>
      </c>
      <c r="AX2569" t="s">
        <v>21558</v>
      </c>
      <c r="AY2569">
        <v>50</v>
      </c>
      <c r="AZ2569" s="184">
        <v>40883</v>
      </c>
      <c r="BA2569" t="s">
        <v>8231</v>
      </c>
      <c r="BB2569">
        <v>150</v>
      </c>
      <c r="BC2569">
        <v>44</v>
      </c>
      <c r="BD2569">
        <v>965</v>
      </c>
      <c r="BE2569">
        <v>2000</v>
      </c>
      <c r="BF2569">
        <v>15</v>
      </c>
      <c r="BI2569">
        <v>11</v>
      </c>
      <c r="BJ2569">
        <v>25</v>
      </c>
      <c r="BK2569">
        <v>4</v>
      </c>
      <c r="BP2569" s="184"/>
    </row>
    <row r="2570" spans="1:68">
      <c r="A2570">
        <v>30921670</v>
      </c>
      <c r="B2570">
        <v>30921670</v>
      </c>
      <c r="C2570" t="s">
        <v>7018</v>
      </c>
      <c r="D2570" t="s">
        <v>595</v>
      </c>
      <c r="E2570" s="184">
        <v>44328</v>
      </c>
      <c r="G2570" s="184"/>
      <c r="I2570" s="184"/>
      <c r="K2570" s="184"/>
      <c r="M2570" s="184"/>
      <c r="O2570" s="184"/>
      <c r="P2570" t="s">
        <v>7045</v>
      </c>
      <c r="Q2570" t="s">
        <v>7262</v>
      </c>
      <c r="R2570" s="184">
        <v>19784</v>
      </c>
      <c r="S2570">
        <v>70</v>
      </c>
      <c r="V2570" t="s">
        <v>3080</v>
      </c>
      <c r="X2570" t="s">
        <v>21559</v>
      </c>
      <c r="AF2570" t="s">
        <v>21560</v>
      </c>
      <c r="AG2570" t="s">
        <v>3080</v>
      </c>
      <c r="AI2570" t="s">
        <v>21561</v>
      </c>
      <c r="AM2570" t="s">
        <v>21562</v>
      </c>
      <c r="AN2570" t="s">
        <v>2069</v>
      </c>
      <c r="AO2570" t="s">
        <v>21563</v>
      </c>
      <c r="AP2570" t="s">
        <v>7024</v>
      </c>
      <c r="AQ2570" t="s">
        <v>21564</v>
      </c>
      <c r="AT2570" s="184">
        <v>36567</v>
      </c>
      <c r="AU2570" t="s">
        <v>21565</v>
      </c>
      <c r="AV2570">
        <v>25</v>
      </c>
      <c r="AW2570" s="184">
        <v>45394</v>
      </c>
      <c r="AX2570" t="s">
        <v>14823</v>
      </c>
      <c r="AY2570">
        <v>100</v>
      </c>
      <c r="AZ2570" s="184">
        <v>45394</v>
      </c>
      <c r="BA2570" t="s">
        <v>14823</v>
      </c>
      <c r="BB2570">
        <v>100</v>
      </c>
      <c r="BC2570">
        <v>56</v>
      </c>
      <c r="BD2570">
        <v>960</v>
      </c>
      <c r="BE2570">
        <v>2000</v>
      </c>
      <c r="BF2570">
        <v>15</v>
      </c>
      <c r="BG2570">
        <v>2</v>
      </c>
      <c r="BH2570">
        <v>200</v>
      </c>
      <c r="BI2570">
        <v>14</v>
      </c>
      <c r="BJ2570">
        <v>25</v>
      </c>
      <c r="BK2570">
        <v>7</v>
      </c>
      <c r="BP2570" s="184"/>
    </row>
    <row r="2571" spans="1:68">
      <c r="A2571">
        <v>30944789</v>
      </c>
      <c r="B2571">
        <v>30944789</v>
      </c>
      <c r="C2571" t="s">
        <v>7018</v>
      </c>
      <c r="E2571" s="184"/>
      <c r="G2571" s="184"/>
      <c r="I2571" s="184"/>
      <c r="J2571" t="s">
        <v>595</v>
      </c>
      <c r="K2571" s="184">
        <v>43641</v>
      </c>
      <c r="M2571" s="184"/>
      <c r="O2571" s="184"/>
      <c r="P2571" t="s">
        <v>7029</v>
      </c>
      <c r="Q2571" t="s">
        <v>7383</v>
      </c>
      <c r="R2571" s="184">
        <v>13733</v>
      </c>
      <c r="S2571">
        <v>86</v>
      </c>
      <c r="U2571" t="s">
        <v>7032</v>
      </c>
      <c r="V2571" t="s">
        <v>2697</v>
      </c>
      <c r="W2571" t="s">
        <v>4139</v>
      </c>
      <c r="X2571" t="s">
        <v>3125</v>
      </c>
      <c r="Z2571">
        <v>100182017</v>
      </c>
      <c r="AA2571" t="s">
        <v>7130</v>
      </c>
      <c r="AB2571" t="s">
        <v>21566</v>
      </c>
      <c r="AD2571" t="s">
        <v>3125</v>
      </c>
      <c r="AF2571" t="s">
        <v>21567</v>
      </c>
      <c r="AG2571" t="s">
        <v>2697</v>
      </c>
      <c r="AI2571" t="s">
        <v>21568</v>
      </c>
      <c r="AM2571" t="s">
        <v>3126</v>
      </c>
      <c r="AN2571" t="s">
        <v>2118</v>
      </c>
      <c r="AO2571">
        <v>68845</v>
      </c>
      <c r="AP2571" t="s">
        <v>7024</v>
      </c>
      <c r="AQ2571" t="s">
        <v>21569</v>
      </c>
      <c r="AR2571" t="s">
        <v>21570</v>
      </c>
      <c r="AT2571" s="184">
        <v>36570</v>
      </c>
      <c r="AU2571" t="s">
        <v>21571</v>
      </c>
      <c r="AV2571">
        <v>25</v>
      </c>
      <c r="AW2571" s="184">
        <v>44614</v>
      </c>
      <c r="AX2571" t="s">
        <v>21572</v>
      </c>
      <c r="AY2571">
        <v>1000</v>
      </c>
      <c r="AZ2571" s="184">
        <v>43510</v>
      </c>
      <c r="BA2571" t="s">
        <v>21573</v>
      </c>
      <c r="BB2571">
        <v>2000</v>
      </c>
      <c r="BC2571">
        <v>92</v>
      </c>
      <c r="BD2571">
        <v>22900</v>
      </c>
      <c r="BE2571">
        <v>2000</v>
      </c>
      <c r="BF2571">
        <v>48</v>
      </c>
      <c r="BI2571">
        <v>23</v>
      </c>
      <c r="BJ2571">
        <v>25</v>
      </c>
      <c r="BK2571">
        <v>23</v>
      </c>
      <c r="BN2571" t="s">
        <v>595</v>
      </c>
    </row>
    <row r="2572" spans="1:68">
      <c r="A2572">
        <v>30948228</v>
      </c>
      <c r="B2572">
        <v>30948228</v>
      </c>
      <c r="C2572" t="s">
        <v>7018</v>
      </c>
      <c r="D2572" t="s">
        <v>595</v>
      </c>
      <c r="E2572" s="184">
        <v>44104</v>
      </c>
      <c r="G2572" s="184"/>
      <c r="I2572" s="184"/>
      <c r="K2572" s="184"/>
      <c r="M2572" s="184"/>
      <c r="P2572" t="s">
        <v>7045</v>
      </c>
      <c r="Q2572" t="s">
        <v>7383</v>
      </c>
      <c r="R2572" s="184">
        <v>19883</v>
      </c>
      <c r="S2572">
        <v>69</v>
      </c>
      <c r="U2572" t="s">
        <v>7031</v>
      </c>
      <c r="V2572" t="s">
        <v>2541</v>
      </c>
      <c r="X2572" t="s">
        <v>21574</v>
      </c>
      <c r="AF2572" t="s">
        <v>21575</v>
      </c>
      <c r="AG2572" t="s">
        <v>2541</v>
      </c>
      <c r="AI2572" t="s">
        <v>21576</v>
      </c>
      <c r="AM2572" t="s">
        <v>21577</v>
      </c>
      <c r="AN2572" t="s">
        <v>2059</v>
      </c>
      <c r="AO2572" t="s">
        <v>21578</v>
      </c>
      <c r="AP2572" t="s">
        <v>7024</v>
      </c>
      <c r="AQ2572" t="s">
        <v>21579</v>
      </c>
      <c r="AR2572" t="s">
        <v>21580</v>
      </c>
      <c r="AT2572" s="184">
        <v>36570</v>
      </c>
      <c r="AU2572" t="s">
        <v>21581</v>
      </c>
      <c r="AV2572">
        <v>15</v>
      </c>
      <c r="AW2572" s="184">
        <v>45378</v>
      </c>
      <c r="AX2572" t="s">
        <v>7648</v>
      </c>
      <c r="AY2572">
        <v>40</v>
      </c>
      <c r="AZ2572" s="184">
        <v>39521</v>
      </c>
      <c r="BA2572" t="s">
        <v>8961</v>
      </c>
      <c r="BB2572">
        <v>60</v>
      </c>
      <c r="BC2572">
        <v>80</v>
      </c>
      <c r="BD2572">
        <v>2247</v>
      </c>
      <c r="BE2572">
        <v>2000</v>
      </c>
      <c r="BF2572">
        <v>80</v>
      </c>
      <c r="BG2572">
        <v>8</v>
      </c>
      <c r="BH2572">
        <v>320</v>
      </c>
      <c r="BI2572">
        <v>20</v>
      </c>
      <c r="BJ2572">
        <v>25</v>
      </c>
      <c r="BK2572">
        <v>19</v>
      </c>
      <c r="BP2572" s="184"/>
    </row>
    <row r="2573" spans="1:68">
      <c r="A2573">
        <v>30974158</v>
      </c>
      <c r="B2573">
        <v>30974158</v>
      </c>
      <c r="C2573" t="s">
        <v>7018</v>
      </c>
      <c r="D2573" t="s">
        <v>595</v>
      </c>
      <c r="E2573" s="184">
        <v>44167</v>
      </c>
      <c r="G2573" s="184"/>
      <c r="I2573" s="184"/>
      <c r="K2573" s="184"/>
      <c r="M2573" s="184"/>
      <c r="O2573" s="184"/>
      <c r="P2573" t="s">
        <v>7045</v>
      </c>
      <c r="Q2573" t="s">
        <v>7374</v>
      </c>
      <c r="R2573" s="184">
        <v>13885</v>
      </c>
      <c r="S2573">
        <v>86</v>
      </c>
      <c r="U2573" t="s">
        <v>7130</v>
      </c>
      <c r="V2573" t="s">
        <v>2602</v>
      </c>
      <c r="W2573" t="s">
        <v>4013</v>
      </c>
      <c r="X2573" t="s">
        <v>21582</v>
      </c>
      <c r="AF2573" t="s">
        <v>21583</v>
      </c>
      <c r="AG2573" t="s">
        <v>2602</v>
      </c>
      <c r="AI2573" t="s">
        <v>21584</v>
      </c>
      <c r="AM2573" t="s">
        <v>10911</v>
      </c>
      <c r="AN2573" t="s">
        <v>2081</v>
      </c>
      <c r="AO2573" t="s">
        <v>21585</v>
      </c>
      <c r="AP2573" t="s">
        <v>7024</v>
      </c>
      <c r="AT2573" s="184">
        <v>36577</v>
      </c>
      <c r="AU2573" t="s">
        <v>21586</v>
      </c>
      <c r="AV2573">
        <v>20</v>
      </c>
      <c r="AW2573" s="184">
        <v>45132</v>
      </c>
      <c r="AX2573" t="s">
        <v>21587</v>
      </c>
      <c r="AY2573">
        <v>100</v>
      </c>
      <c r="AZ2573" s="184">
        <v>45132</v>
      </c>
      <c r="BA2573" t="s">
        <v>21587</v>
      </c>
      <c r="BB2573">
        <v>100</v>
      </c>
      <c r="BC2573">
        <v>44</v>
      </c>
      <c r="BD2573">
        <v>532.16</v>
      </c>
      <c r="BE2573">
        <v>2000</v>
      </c>
      <c r="BF2573">
        <v>13</v>
      </c>
      <c r="BG2573">
        <v>2</v>
      </c>
      <c r="BH2573">
        <v>150</v>
      </c>
      <c r="BI2573">
        <v>11</v>
      </c>
      <c r="BJ2573">
        <v>25</v>
      </c>
      <c r="BK2573">
        <v>4</v>
      </c>
      <c r="BP2573" s="184"/>
    </row>
    <row r="2574" spans="1:68">
      <c r="A2574">
        <v>31000268</v>
      </c>
      <c r="B2574">
        <v>31000268</v>
      </c>
      <c r="C2574" t="s">
        <v>7018</v>
      </c>
      <c r="E2574" s="184"/>
      <c r="G2574" s="184"/>
      <c r="I2574" s="184"/>
      <c r="J2574" t="s">
        <v>595</v>
      </c>
      <c r="K2574" s="184"/>
      <c r="M2574" s="184"/>
      <c r="O2574" s="184"/>
      <c r="P2574" t="s">
        <v>7045</v>
      </c>
      <c r="Q2574" t="s">
        <v>7262</v>
      </c>
      <c r="R2574" s="184">
        <v>22888</v>
      </c>
      <c r="S2574">
        <v>61</v>
      </c>
      <c r="U2574" t="s">
        <v>7130</v>
      </c>
      <c r="V2574" t="s">
        <v>3043</v>
      </c>
      <c r="X2574" t="s">
        <v>21588</v>
      </c>
      <c r="Z2574">
        <v>100085578</v>
      </c>
      <c r="AA2574" t="s">
        <v>7032</v>
      </c>
      <c r="AB2574" t="s">
        <v>3825</v>
      </c>
      <c r="AD2574" t="s">
        <v>21588</v>
      </c>
      <c r="AF2574" t="s">
        <v>6705</v>
      </c>
      <c r="AG2574" t="s">
        <v>21589</v>
      </c>
      <c r="AI2574" t="s">
        <v>21590</v>
      </c>
      <c r="AM2574" t="s">
        <v>21591</v>
      </c>
      <c r="AN2574" t="s">
        <v>2106</v>
      </c>
      <c r="AO2574">
        <v>17112</v>
      </c>
      <c r="AP2574" t="s">
        <v>7024</v>
      </c>
      <c r="AQ2574" t="s">
        <v>21592</v>
      </c>
      <c r="AR2574" t="s">
        <v>21593</v>
      </c>
      <c r="AT2574" s="184">
        <v>36934</v>
      </c>
      <c r="AU2574" t="s">
        <v>21362</v>
      </c>
      <c r="AV2574">
        <v>25</v>
      </c>
      <c r="AW2574" s="184">
        <v>37202</v>
      </c>
      <c r="AX2574" t="s">
        <v>21594</v>
      </c>
      <c r="AY2574">
        <v>20</v>
      </c>
      <c r="AZ2574" s="184">
        <v>37095</v>
      </c>
      <c r="BA2574" t="s">
        <v>21595</v>
      </c>
      <c r="BB2574">
        <v>25</v>
      </c>
      <c r="BC2574">
        <v>5</v>
      </c>
      <c r="BD2574">
        <v>80</v>
      </c>
      <c r="BE2574">
        <v>2001</v>
      </c>
      <c r="BF2574">
        <v>4</v>
      </c>
      <c r="BI2574">
        <v>1</v>
      </c>
      <c r="BJ2574">
        <v>24</v>
      </c>
      <c r="BK2574">
        <v>1</v>
      </c>
      <c r="BL2574" t="s">
        <v>595</v>
      </c>
    </row>
    <row r="2575" spans="1:68">
      <c r="A2575">
        <v>31102262</v>
      </c>
      <c r="B2575">
        <v>31102262</v>
      </c>
      <c r="C2575" t="s">
        <v>7018</v>
      </c>
      <c r="D2575" t="s">
        <v>595</v>
      </c>
      <c r="E2575" s="184">
        <v>44104</v>
      </c>
      <c r="G2575" s="184"/>
      <c r="I2575" s="184"/>
      <c r="K2575" s="184"/>
      <c r="M2575" s="184"/>
      <c r="O2575" s="184"/>
      <c r="P2575" t="s">
        <v>7045</v>
      </c>
      <c r="Q2575" t="s">
        <v>7020</v>
      </c>
      <c r="R2575" s="184">
        <v>12136</v>
      </c>
      <c r="S2575">
        <v>91</v>
      </c>
      <c r="U2575" t="s">
        <v>7031</v>
      </c>
      <c r="V2575" t="s">
        <v>2863</v>
      </c>
      <c r="W2575" t="s">
        <v>2697</v>
      </c>
      <c r="X2575" t="s">
        <v>4073</v>
      </c>
      <c r="Z2575">
        <v>100505899</v>
      </c>
      <c r="AA2575" t="s">
        <v>7130</v>
      </c>
      <c r="AB2575" t="s">
        <v>3554</v>
      </c>
      <c r="AC2575" t="s">
        <v>2049</v>
      </c>
      <c r="AD2575" t="s">
        <v>4073</v>
      </c>
      <c r="AF2575" t="s">
        <v>21596</v>
      </c>
      <c r="AG2575" t="s">
        <v>2863</v>
      </c>
      <c r="AI2575" t="s">
        <v>21597</v>
      </c>
      <c r="AM2575" t="s">
        <v>20702</v>
      </c>
      <c r="AN2575" t="s">
        <v>2052</v>
      </c>
      <c r="AO2575" t="s">
        <v>21598</v>
      </c>
      <c r="AP2575" t="s">
        <v>7024</v>
      </c>
      <c r="AQ2575" t="s">
        <v>21599</v>
      </c>
      <c r="AR2575" t="s">
        <v>21600</v>
      </c>
      <c r="AT2575" s="184">
        <v>36592</v>
      </c>
      <c r="AU2575" t="s">
        <v>21601</v>
      </c>
      <c r="AV2575">
        <v>25</v>
      </c>
      <c r="AW2575" s="184">
        <v>44137</v>
      </c>
      <c r="AX2575" t="s">
        <v>21602</v>
      </c>
      <c r="AY2575">
        <v>25</v>
      </c>
      <c r="AZ2575" s="184">
        <v>44137</v>
      </c>
      <c r="BA2575" t="s">
        <v>21602</v>
      </c>
      <c r="BB2575">
        <v>25</v>
      </c>
      <c r="BC2575">
        <v>72</v>
      </c>
      <c r="BD2575">
        <v>940</v>
      </c>
      <c r="BE2575">
        <v>2000</v>
      </c>
      <c r="BF2575">
        <v>38</v>
      </c>
      <c r="BI2575">
        <v>18</v>
      </c>
      <c r="BJ2575">
        <v>25</v>
      </c>
      <c r="BK2575">
        <v>8</v>
      </c>
      <c r="BP2575" s="184"/>
    </row>
    <row r="2576" spans="1:68">
      <c r="A2576">
        <v>100505899</v>
      </c>
      <c r="B2576">
        <v>31102262</v>
      </c>
      <c r="C2576" t="s">
        <v>7018</v>
      </c>
      <c r="D2576" t="s">
        <v>595</v>
      </c>
      <c r="E2576" s="184">
        <v>44104</v>
      </c>
      <c r="G2576" s="184"/>
      <c r="I2576" s="184"/>
      <c r="K2576" s="184"/>
      <c r="M2576" s="184"/>
      <c r="O2576" s="184"/>
      <c r="P2576" t="s">
        <v>7045</v>
      </c>
      <c r="Q2576" t="s">
        <v>7020</v>
      </c>
      <c r="R2576" s="184">
        <v>16193</v>
      </c>
      <c r="S2576">
        <v>80</v>
      </c>
      <c r="U2576" t="s">
        <v>7130</v>
      </c>
      <c r="V2576" t="s">
        <v>3554</v>
      </c>
      <c r="W2576" t="s">
        <v>2049</v>
      </c>
      <c r="X2576" t="s">
        <v>4073</v>
      </c>
      <c r="Z2576">
        <v>31102262</v>
      </c>
      <c r="AA2576" t="s">
        <v>7031</v>
      </c>
      <c r="AB2576" t="s">
        <v>2863</v>
      </c>
      <c r="AC2576" t="s">
        <v>2697</v>
      </c>
      <c r="AD2576" t="s">
        <v>4073</v>
      </c>
      <c r="AF2576" t="s">
        <v>21596</v>
      </c>
      <c r="AG2576" t="s">
        <v>2863</v>
      </c>
      <c r="AI2576" t="s">
        <v>21597</v>
      </c>
      <c r="AM2576" t="s">
        <v>20702</v>
      </c>
      <c r="AN2576" t="s">
        <v>2052</v>
      </c>
      <c r="AO2576" t="s">
        <v>21598</v>
      </c>
      <c r="AP2576" t="s">
        <v>7024</v>
      </c>
      <c r="AT2576" s="184">
        <v>44851</v>
      </c>
      <c r="AU2576" t="s">
        <v>21603</v>
      </c>
      <c r="AV2576">
        <v>25</v>
      </c>
      <c r="AW2576" s="184">
        <v>44851</v>
      </c>
      <c r="AX2576" t="s">
        <v>21603</v>
      </c>
      <c r="AY2576">
        <v>25</v>
      </c>
      <c r="AZ2576" s="184">
        <v>44851</v>
      </c>
      <c r="BA2576" t="s">
        <v>21603</v>
      </c>
      <c r="BB2576">
        <v>25</v>
      </c>
      <c r="BC2576">
        <v>34</v>
      </c>
      <c r="BD2576">
        <v>25</v>
      </c>
      <c r="BE2576">
        <v>2023</v>
      </c>
      <c r="BF2576">
        <v>1</v>
      </c>
      <c r="BG2576">
        <v>1</v>
      </c>
      <c r="BH2576">
        <v>25</v>
      </c>
      <c r="BI2576">
        <v>1</v>
      </c>
      <c r="BJ2576">
        <v>3</v>
      </c>
      <c r="BK2576">
        <v>1</v>
      </c>
      <c r="BO2576" t="s">
        <v>595</v>
      </c>
      <c r="BP2576" s="184"/>
    </row>
    <row r="2577" spans="1:68">
      <c r="A2577">
        <v>31131105</v>
      </c>
      <c r="B2577">
        <v>31131105</v>
      </c>
      <c r="C2577" t="s">
        <v>7018</v>
      </c>
      <c r="E2577" s="184"/>
      <c r="G2577" s="184"/>
      <c r="I2577" s="184"/>
      <c r="J2577" t="s">
        <v>595</v>
      </c>
      <c r="K2577" s="184">
        <v>37435</v>
      </c>
      <c r="M2577" s="184"/>
      <c r="O2577" s="184"/>
      <c r="P2577" t="s">
        <v>7045</v>
      </c>
      <c r="Q2577" t="s">
        <v>7194</v>
      </c>
      <c r="R2577" s="184">
        <v>7796</v>
      </c>
      <c r="S2577">
        <v>103</v>
      </c>
      <c r="U2577" t="s">
        <v>7031</v>
      </c>
      <c r="V2577" t="s">
        <v>2551</v>
      </c>
      <c r="W2577" t="s">
        <v>4139</v>
      </c>
      <c r="X2577" t="s">
        <v>3980</v>
      </c>
      <c r="Y2577" t="s">
        <v>18166</v>
      </c>
      <c r="AF2577" t="s">
        <v>6683</v>
      </c>
      <c r="AG2577" t="s">
        <v>2551</v>
      </c>
      <c r="AI2577" t="s">
        <v>21604</v>
      </c>
      <c r="AJ2577" t="s">
        <v>21605</v>
      </c>
      <c r="AM2577" t="s">
        <v>21606</v>
      </c>
      <c r="AN2577" t="s">
        <v>2046</v>
      </c>
      <c r="AO2577" t="s">
        <v>21607</v>
      </c>
      <c r="AP2577" t="s">
        <v>7024</v>
      </c>
      <c r="AT2577" s="184">
        <v>36598</v>
      </c>
      <c r="AU2577" t="s">
        <v>21608</v>
      </c>
      <c r="AV2577">
        <v>15</v>
      </c>
      <c r="AW2577" s="184">
        <v>40528</v>
      </c>
      <c r="AX2577" t="s">
        <v>21609</v>
      </c>
      <c r="AY2577">
        <v>15</v>
      </c>
      <c r="AZ2577" s="184">
        <v>37648</v>
      </c>
      <c r="BA2577" t="s">
        <v>21610</v>
      </c>
      <c r="BB2577">
        <v>60</v>
      </c>
      <c r="BC2577">
        <v>16</v>
      </c>
      <c r="BD2577">
        <v>140</v>
      </c>
      <c r="BE2577">
        <v>2000</v>
      </c>
      <c r="BF2577">
        <v>6</v>
      </c>
      <c r="BI2577">
        <v>4</v>
      </c>
      <c r="BJ2577">
        <v>25</v>
      </c>
      <c r="BK2577">
        <v>1</v>
      </c>
      <c r="BP2577" s="184"/>
    </row>
    <row r="2578" spans="1:68">
      <c r="A2578">
        <v>31136146</v>
      </c>
      <c r="B2578">
        <v>31136146</v>
      </c>
      <c r="C2578" t="s">
        <v>7018</v>
      </c>
      <c r="E2578" s="184"/>
      <c r="G2578" s="184"/>
      <c r="I2578" s="184"/>
      <c r="J2578" t="s">
        <v>595</v>
      </c>
      <c r="K2578" s="184">
        <v>41876</v>
      </c>
      <c r="M2578" s="184"/>
      <c r="O2578" s="184"/>
      <c r="P2578" t="s">
        <v>7045</v>
      </c>
      <c r="Q2578" t="s">
        <v>7494</v>
      </c>
      <c r="R2578" s="184">
        <v>16893</v>
      </c>
      <c r="S2578">
        <v>78</v>
      </c>
      <c r="U2578" t="s">
        <v>7031</v>
      </c>
      <c r="V2578" t="s">
        <v>4587</v>
      </c>
      <c r="X2578" t="s">
        <v>5651</v>
      </c>
      <c r="Z2578">
        <v>100086129</v>
      </c>
      <c r="AA2578" t="s">
        <v>7076</v>
      </c>
      <c r="AB2578" t="s">
        <v>3470</v>
      </c>
      <c r="AD2578" t="s">
        <v>5896</v>
      </c>
      <c r="AF2578" t="s">
        <v>21611</v>
      </c>
      <c r="AG2578" t="s">
        <v>21612</v>
      </c>
      <c r="AI2578" t="s">
        <v>21613</v>
      </c>
      <c r="AM2578" t="s">
        <v>3371</v>
      </c>
      <c r="AN2578" t="s">
        <v>2174</v>
      </c>
      <c r="AO2578" t="s">
        <v>21614</v>
      </c>
      <c r="AP2578" t="s">
        <v>7024</v>
      </c>
      <c r="AQ2578" t="s">
        <v>21615</v>
      </c>
      <c r="AT2578" s="184">
        <v>36602</v>
      </c>
      <c r="AU2578" t="s">
        <v>21616</v>
      </c>
      <c r="AV2578">
        <v>1000</v>
      </c>
      <c r="AW2578" s="184">
        <v>41354</v>
      </c>
      <c r="AX2578" t="s">
        <v>21617</v>
      </c>
      <c r="AY2578">
        <v>1000</v>
      </c>
      <c r="AZ2578" s="184">
        <v>39156</v>
      </c>
      <c r="BA2578" t="s">
        <v>21618</v>
      </c>
      <c r="BB2578">
        <v>5000</v>
      </c>
      <c r="BC2578">
        <v>40</v>
      </c>
      <c r="BD2578">
        <v>26175</v>
      </c>
      <c r="BE2578">
        <v>2000</v>
      </c>
      <c r="BF2578">
        <v>12</v>
      </c>
      <c r="BI2578">
        <v>10</v>
      </c>
      <c r="BJ2578">
        <v>25</v>
      </c>
      <c r="BK2578">
        <v>7</v>
      </c>
      <c r="BO2578" t="s">
        <v>595</v>
      </c>
      <c r="BP2578" s="184"/>
    </row>
    <row r="2579" spans="1:68">
      <c r="A2579">
        <v>31149339</v>
      </c>
      <c r="B2579">
        <v>31149339</v>
      </c>
      <c r="C2579" t="s">
        <v>7018</v>
      </c>
      <c r="D2579" t="s">
        <v>595</v>
      </c>
      <c r="E2579" s="184">
        <v>43773</v>
      </c>
      <c r="G2579" s="184"/>
      <c r="I2579" s="184"/>
      <c r="K2579" s="184"/>
      <c r="M2579" s="184"/>
      <c r="O2579" s="184"/>
      <c r="P2579" t="s">
        <v>7045</v>
      </c>
      <c r="Q2579" t="s">
        <v>7194</v>
      </c>
      <c r="R2579" s="184">
        <v>16129</v>
      </c>
      <c r="S2579">
        <v>80</v>
      </c>
      <c r="V2579" t="s">
        <v>4264</v>
      </c>
      <c r="X2579" t="s">
        <v>4265</v>
      </c>
      <c r="Z2579">
        <v>100086188</v>
      </c>
      <c r="AA2579" t="s">
        <v>7076</v>
      </c>
      <c r="AB2579" t="s">
        <v>21619</v>
      </c>
      <c r="AD2579" t="s">
        <v>4265</v>
      </c>
      <c r="AF2579" t="s">
        <v>21620</v>
      </c>
      <c r="AG2579" t="s">
        <v>21621</v>
      </c>
      <c r="AI2579" t="s">
        <v>21622</v>
      </c>
      <c r="AM2579" t="s">
        <v>4266</v>
      </c>
      <c r="AN2579" t="s">
        <v>2046</v>
      </c>
      <c r="AO2579" t="s">
        <v>21623</v>
      </c>
      <c r="AP2579" t="s">
        <v>7024</v>
      </c>
      <c r="AQ2579" t="s">
        <v>21624</v>
      </c>
      <c r="AT2579" s="184">
        <v>36602</v>
      </c>
      <c r="AU2579" t="s">
        <v>21625</v>
      </c>
      <c r="AV2579">
        <v>15</v>
      </c>
      <c r="AW2579" s="184">
        <v>45400</v>
      </c>
      <c r="AX2579" t="s">
        <v>7429</v>
      </c>
      <c r="AY2579">
        <v>10</v>
      </c>
      <c r="AZ2579" s="184">
        <v>39176</v>
      </c>
      <c r="BA2579" t="s">
        <v>21626</v>
      </c>
      <c r="BB2579">
        <v>100</v>
      </c>
      <c r="BC2579">
        <v>76</v>
      </c>
      <c r="BD2579">
        <v>1725</v>
      </c>
      <c r="BE2579">
        <v>2000</v>
      </c>
      <c r="BF2579">
        <v>79</v>
      </c>
      <c r="BG2579">
        <v>24</v>
      </c>
      <c r="BH2579">
        <v>240</v>
      </c>
      <c r="BI2579">
        <v>19</v>
      </c>
      <c r="BJ2579">
        <v>25</v>
      </c>
      <c r="BK2579">
        <v>6</v>
      </c>
      <c r="BP2579" s="184"/>
    </row>
    <row r="2580" spans="1:68">
      <c r="A2580">
        <v>100086188</v>
      </c>
      <c r="B2580">
        <v>31149339</v>
      </c>
      <c r="C2580" t="s">
        <v>7018</v>
      </c>
      <c r="D2580" t="s">
        <v>595</v>
      </c>
      <c r="E2580" s="184">
        <v>43773</v>
      </c>
      <c r="G2580" s="184"/>
      <c r="I2580" s="184"/>
      <c r="K2580" s="184"/>
      <c r="M2580" s="184"/>
      <c r="O2580" s="184"/>
      <c r="P2580" t="s">
        <v>7045</v>
      </c>
      <c r="Q2580" t="s">
        <v>7194</v>
      </c>
      <c r="R2580" s="184">
        <v>20394</v>
      </c>
      <c r="S2580">
        <v>68</v>
      </c>
      <c r="U2580" t="s">
        <v>7076</v>
      </c>
      <c r="V2580" t="s">
        <v>21619</v>
      </c>
      <c r="X2580" t="s">
        <v>4265</v>
      </c>
      <c r="Z2580">
        <v>31149339</v>
      </c>
      <c r="AB2580" t="s">
        <v>4264</v>
      </c>
      <c r="AD2580" t="s">
        <v>4265</v>
      </c>
      <c r="AF2580" t="s">
        <v>21620</v>
      </c>
      <c r="AG2580" t="s">
        <v>21621</v>
      </c>
      <c r="AI2580" t="s">
        <v>21622</v>
      </c>
      <c r="AM2580" t="s">
        <v>4266</v>
      </c>
      <c r="AN2580" t="s">
        <v>2046</v>
      </c>
      <c r="AO2580" t="s">
        <v>21623</v>
      </c>
      <c r="AP2580" t="s">
        <v>7024</v>
      </c>
      <c r="AQ2580" t="s">
        <v>21627</v>
      </c>
      <c r="AR2580" t="s">
        <v>21628</v>
      </c>
      <c r="AT2580" s="184"/>
      <c r="AW2580" s="184"/>
      <c r="AZ2580" s="184"/>
      <c r="BP2580" s="184"/>
    </row>
    <row r="2581" spans="1:68">
      <c r="A2581">
        <v>31160674</v>
      </c>
      <c r="B2581">
        <v>31160674</v>
      </c>
      <c r="C2581" t="s">
        <v>7018</v>
      </c>
      <c r="E2581" s="184"/>
      <c r="G2581" s="184"/>
      <c r="I2581" s="184"/>
      <c r="K2581" s="184"/>
      <c r="M2581" s="184"/>
      <c r="N2581" t="s">
        <v>595</v>
      </c>
      <c r="O2581" s="184">
        <v>38757</v>
      </c>
      <c r="P2581" t="s">
        <v>7045</v>
      </c>
      <c r="Q2581" t="s">
        <v>7020</v>
      </c>
      <c r="R2581" s="184"/>
      <c r="V2581" t="s">
        <v>3101</v>
      </c>
      <c r="X2581" t="s">
        <v>5662</v>
      </c>
      <c r="AF2581" t="s">
        <v>6726</v>
      </c>
      <c r="AG2581" t="s">
        <v>3101</v>
      </c>
      <c r="AI2581" t="s">
        <v>21629</v>
      </c>
      <c r="AM2581" t="s">
        <v>2860</v>
      </c>
      <c r="AN2581" t="s">
        <v>2112</v>
      </c>
      <c r="AO2581" t="s">
        <v>21630</v>
      </c>
      <c r="AP2581" t="s">
        <v>7024</v>
      </c>
      <c r="AT2581" s="184">
        <v>36601</v>
      </c>
      <c r="AU2581" t="s">
        <v>21631</v>
      </c>
      <c r="AV2581">
        <v>35</v>
      </c>
      <c r="AW2581" s="184">
        <v>36601</v>
      </c>
      <c r="AX2581" t="s">
        <v>21631</v>
      </c>
      <c r="AY2581">
        <v>35</v>
      </c>
      <c r="AZ2581" s="184">
        <v>36601</v>
      </c>
      <c r="BA2581" t="s">
        <v>21631</v>
      </c>
      <c r="BB2581">
        <v>35</v>
      </c>
      <c r="BC2581">
        <v>4</v>
      </c>
      <c r="BD2581">
        <v>35</v>
      </c>
      <c r="BE2581">
        <v>2000</v>
      </c>
      <c r="BF2581">
        <v>1</v>
      </c>
      <c r="BI2581">
        <v>1</v>
      </c>
      <c r="BJ2581">
        <v>25</v>
      </c>
      <c r="BK2581">
        <v>1</v>
      </c>
      <c r="BP2581" s="184"/>
    </row>
    <row r="2582" spans="1:68">
      <c r="A2582">
        <v>31164361</v>
      </c>
      <c r="B2582">
        <v>31164361</v>
      </c>
      <c r="C2582" t="s">
        <v>7018</v>
      </c>
      <c r="E2582" s="184"/>
      <c r="G2582" s="184"/>
      <c r="I2582" s="184"/>
      <c r="J2582" t="s">
        <v>595</v>
      </c>
      <c r="K2582" s="184">
        <v>40669</v>
      </c>
      <c r="M2582" s="184"/>
      <c r="O2582" s="184"/>
      <c r="P2582" t="s">
        <v>7045</v>
      </c>
      <c r="Q2582" t="s">
        <v>7262</v>
      </c>
      <c r="R2582" s="184">
        <v>16256</v>
      </c>
      <c r="S2582">
        <v>79</v>
      </c>
      <c r="V2582" t="s">
        <v>3043</v>
      </c>
      <c r="X2582" t="s">
        <v>21632</v>
      </c>
      <c r="Z2582">
        <v>100182032</v>
      </c>
      <c r="AB2582" t="s">
        <v>3825</v>
      </c>
      <c r="AD2582" t="s">
        <v>21632</v>
      </c>
      <c r="AF2582" t="s">
        <v>21633</v>
      </c>
      <c r="AG2582" t="s">
        <v>3043</v>
      </c>
      <c r="AI2582" t="s">
        <v>21634</v>
      </c>
      <c r="AJ2582" t="s">
        <v>21635</v>
      </c>
      <c r="AM2582" t="s">
        <v>2616</v>
      </c>
      <c r="AN2582" t="s">
        <v>2069</v>
      </c>
      <c r="AO2582" t="s">
        <v>21636</v>
      </c>
      <c r="AP2582" t="s">
        <v>7024</v>
      </c>
      <c r="AQ2582" t="s">
        <v>21637</v>
      </c>
      <c r="AT2582" s="184">
        <v>36600</v>
      </c>
      <c r="AU2582" t="s">
        <v>21638</v>
      </c>
      <c r="AV2582">
        <v>15</v>
      </c>
      <c r="AW2582" s="184">
        <v>45405</v>
      </c>
      <c r="AX2582" t="s">
        <v>7524</v>
      </c>
      <c r="AY2582">
        <v>15</v>
      </c>
      <c r="AZ2582" s="184">
        <v>38705</v>
      </c>
      <c r="BA2582" t="s">
        <v>21639</v>
      </c>
      <c r="BB2582">
        <v>25</v>
      </c>
      <c r="BC2582">
        <v>100</v>
      </c>
      <c r="BD2582">
        <v>3400</v>
      </c>
      <c r="BE2582">
        <v>2000</v>
      </c>
      <c r="BF2582">
        <v>241</v>
      </c>
      <c r="BG2582">
        <v>23</v>
      </c>
      <c r="BH2582">
        <v>345</v>
      </c>
      <c r="BI2582">
        <v>25</v>
      </c>
      <c r="BJ2582">
        <v>25</v>
      </c>
      <c r="BK2582">
        <v>25</v>
      </c>
      <c r="BM2582" t="s">
        <v>595</v>
      </c>
      <c r="BP2582" s="184"/>
    </row>
    <row r="2583" spans="1:68">
      <c r="A2583">
        <v>31205693</v>
      </c>
      <c r="B2583">
        <v>31205693</v>
      </c>
      <c r="C2583" t="s">
        <v>7018</v>
      </c>
      <c r="E2583" s="184"/>
      <c r="G2583" s="184"/>
      <c r="I2583" s="184"/>
      <c r="J2583" t="s">
        <v>595</v>
      </c>
      <c r="K2583" s="184">
        <v>37435</v>
      </c>
      <c r="M2583" s="184"/>
      <c r="O2583" s="184"/>
      <c r="P2583" t="s">
        <v>7045</v>
      </c>
      <c r="Q2583" t="s">
        <v>7383</v>
      </c>
      <c r="R2583" s="184">
        <v>8218</v>
      </c>
      <c r="S2583">
        <v>101</v>
      </c>
      <c r="U2583" t="s">
        <v>7130</v>
      </c>
      <c r="V2583" t="s">
        <v>21640</v>
      </c>
      <c r="X2583" t="s">
        <v>12642</v>
      </c>
      <c r="Z2583">
        <v>100086460</v>
      </c>
      <c r="AA2583" t="s">
        <v>7031</v>
      </c>
      <c r="AB2583" t="s">
        <v>21641</v>
      </c>
      <c r="AD2583" t="s">
        <v>12642</v>
      </c>
      <c r="AF2583" t="s">
        <v>6532</v>
      </c>
      <c r="AG2583" t="s">
        <v>21642</v>
      </c>
      <c r="AI2583" t="s">
        <v>21643</v>
      </c>
      <c r="AM2583" t="s">
        <v>3413</v>
      </c>
      <c r="AN2583" t="s">
        <v>2072</v>
      </c>
      <c r="AO2583" t="s">
        <v>21644</v>
      </c>
      <c r="AP2583" t="s">
        <v>7024</v>
      </c>
      <c r="AT2583" s="184">
        <v>36612</v>
      </c>
      <c r="AU2583" t="s">
        <v>21221</v>
      </c>
      <c r="AV2583">
        <v>25</v>
      </c>
      <c r="AW2583" s="184">
        <v>41576</v>
      </c>
      <c r="AX2583" t="s">
        <v>21645</v>
      </c>
      <c r="AY2583">
        <v>10</v>
      </c>
      <c r="AZ2583" s="184">
        <v>40834</v>
      </c>
      <c r="BA2583" t="s">
        <v>21646</v>
      </c>
      <c r="BB2583">
        <v>25</v>
      </c>
      <c r="BC2583">
        <v>56</v>
      </c>
      <c r="BD2583">
        <v>682</v>
      </c>
      <c r="BE2583">
        <v>2000</v>
      </c>
      <c r="BF2583">
        <v>49</v>
      </c>
      <c r="BI2583">
        <v>14</v>
      </c>
      <c r="BJ2583">
        <v>25</v>
      </c>
      <c r="BK2583">
        <v>14</v>
      </c>
      <c r="BP2583" s="184"/>
    </row>
    <row r="2584" spans="1:68">
      <c r="A2584">
        <v>100086460</v>
      </c>
      <c r="B2584">
        <v>31205693</v>
      </c>
      <c r="C2584" t="s">
        <v>7018</v>
      </c>
      <c r="E2584" s="184"/>
      <c r="G2584" s="184"/>
      <c r="I2584" s="184"/>
      <c r="J2584" t="s">
        <v>595</v>
      </c>
      <c r="K2584" s="184">
        <v>37435</v>
      </c>
      <c r="M2584" s="184"/>
      <c r="O2584" s="184"/>
      <c r="P2584" t="s">
        <v>7045</v>
      </c>
      <c r="Q2584" t="s">
        <v>7383</v>
      </c>
      <c r="R2584" s="184">
        <v>7592</v>
      </c>
      <c r="S2584">
        <v>103</v>
      </c>
      <c r="U2584" t="s">
        <v>7031</v>
      </c>
      <c r="V2584" t="s">
        <v>21641</v>
      </c>
      <c r="X2584" t="s">
        <v>12642</v>
      </c>
      <c r="Z2584">
        <v>31205693</v>
      </c>
      <c r="AA2584" t="s">
        <v>7130</v>
      </c>
      <c r="AB2584" t="s">
        <v>21640</v>
      </c>
      <c r="AD2584" t="s">
        <v>12642</v>
      </c>
      <c r="AF2584" t="s">
        <v>6532</v>
      </c>
      <c r="AG2584" t="s">
        <v>21642</v>
      </c>
      <c r="AI2584" t="s">
        <v>21643</v>
      </c>
      <c r="AM2584" t="s">
        <v>3413</v>
      </c>
      <c r="AN2584" t="s">
        <v>2072</v>
      </c>
      <c r="AO2584" t="s">
        <v>21644</v>
      </c>
      <c r="AP2584" t="s">
        <v>7024</v>
      </c>
      <c r="AT2584" s="184"/>
      <c r="AW2584" s="184"/>
      <c r="AZ2584" s="184"/>
      <c r="BP2584" s="184"/>
    </row>
    <row r="2585" spans="1:68">
      <c r="A2585">
        <v>31227861</v>
      </c>
      <c r="B2585">
        <v>31227861</v>
      </c>
      <c r="C2585" t="s">
        <v>7018</v>
      </c>
      <c r="E2585" s="184"/>
      <c r="G2585" s="184"/>
      <c r="I2585" s="184"/>
      <c r="J2585" t="s">
        <v>595</v>
      </c>
      <c r="K2585" s="184">
        <v>43801</v>
      </c>
      <c r="M2585" s="184"/>
      <c r="P2585" t="s">
        <v>7045</v>
      </c>
      <c r="Q2585" t="s">
        <v>7454</v>
      </c>
      <c r="R2585" s="184">
        <v>22920</v>
      </c>
      <c r="S2585">
        <v>61</v>
      </c>
      <c r="V2585" t="s">
        <v>4303</v>
      </c>
      <c r="W2585" t="s">
        <v>7248</v>
      </c>
      <c r="X2585" t="s">
        <v>4304</v>
      </c>
      <c r="Z2585">
        <v>100086560</v>
      </c>
      <c r="AB2585" t="s">
        <v>21647</v>
      </c>
      <c r="AD2585" t="s">
        <v>4304</v>
      </c>
      <c r="AF2585" t="s">
        <v>6608</v>
      </c>
      <c r="AG2585" t="s">
        <v>21648</v>
      </c>
      <c r="AI2585" t="s">
        <v>21649</v>
      </c>
      <c r="AM2585" t="s">
        <v>3855</v>
      </c>
      <c r="AN2585" t="s">
        <v>2055</v>
      </c>
      <c r="AO2585" t="s">
        <v>21650</v>
      </c>
      <c r="AP2585" t="s">
        <v>7024</v>
      </c>
      <c r="AQ2585" t="s">
        <v>21651</v>
      </c>
      <c r="AR2585" t="s">
        <v>21652</v>
      </c>
      <c r="AT2585" s="184">
        <v>36616</v>
      </c>
      <c r="AU2585" t="s">
        <v>21653</v>
      </c>
      <c r="AV2585">
        <v>25</v>
      </c>
      <c r="AW2585" s="184">
        <v>45369</v>
      </c>
      <c r="AX2585" t="s">
        <v>9445</v>
      </c>
      <c r="AY2585">
        <v>50</v>
      </c>
      <c r="AZ2585" s="184">
        <v>45369</v>
      </c>
      <c r="BA2585" t="s">
        <v>9445</v>
      </c>
      <c r="BB2585">
        <v>50</v>
      </c>
      <c r="BC2585">
        <v>64</v>
      </c>
      <c r="BD2585">
        <v>605</v>
      </c>
      <c r="BE2585">
        <v>2000</v>
      </c>
      <c r="BF2585">
        <v>19</v>
      </c>
      <c r="BG2585">
        <v>3</v>
      </c>
      <c r="BH2585">
        <v>135</v>
      </c>
      <c r="BI2585">
        <v>16</v>
      </c>
      <c r="BJ2585">
        <v>25</v>
      </c>
      <c r="BK2585">
        <v>14</v>
      </c>
      <c r="BN2585" t="s">
        <v>595</v>
      </c>
      <c r="BP2585" s="184"/>
    </row>
    <row r="2586" spans="1:68">
      <c r="A2586">
        <v>100086560</v>
      </c>
      <c r="B2586">
        <v>31227861</v>
      </c>
      <c r="C2586" t="s">
        <v>7018</v>
      </c>
      <c r="E2586" s="184"/>
      <c r="G2586" s="184"/>
      <c r="I2586" s="184"/>
      <c r="J2586" t="s">
        <v>595</v>
      </c>
      <c r="K2586" s="184">
        <v>43801</v>
      </c>
      <c r="M2586" s="184"/>
      <c r="P2586" t="s">
        <v>7045</v>
      </c>
      <c r="Q2586" t="s">
        <v>7454</v>
      </c>
      <c r="R2586" s="184">
        <v>20607</v>
      </c>
      <c r="S2586">
        <v>67</v>
      </c>
      <c r="V2586" t="s">
        <v>21647</v>
      </c>
      <c r="X2586" t="s">
        <v>4304</v>
      </c>
      <c r="Z2586">
        <v>31227861</v>
      </c>
      <c r="AB2586" t="s">
        <v>4303</v>
      </c>
      <c r="AC2586" t="s">
        <v>7248</v>
      </c>
      <c r="AD2586" t="s">
        <v>4304</v>
      </c>
      <c r="AF2586" t="s">
        <v>6608</v>
      </c>
      <c r="AG2586" t="s">
        <v>21648</v>
      </c>
      <c r="AI2586" t="s">
        <v>21649</v>
      </c>
      <c r="AM2586" t="s">
        <v>3855</v>
      </c>
      <c r="AN2586" t="s">
        <v>2055</v>
      </c>
      <c r="AO2586" t="s">
        <v>21650</v>
      </c>
      <c r="AP2586" t="s">
        <v>7024</v>
      </c>
      <c r="AT2586" s="184"/>
      <c r="AW2586" s="184"/>
      <c r="AZ2586" s="184"/>
      <c r="BP2586" s="184"/>
    </row>
    <row r="2587" spans="1:68">
      <c r="A2587">
        <v>31229776</v>
      </c>
      <c r="B2587">
        <v>31229776</v>
      </c>
      <c r="C2587" t="s">
        <v>7018</v>
      </c>
      <c r="D2587" t="s">
        <v>595</v>
      </c>
      <c r="E2587" s="184">
        <v>44152</v>
      </c>
      <c r="G2587" s="184"/>
      <c r="I2587" s="184"/>
      <c r="K2587" s="184"/>
      <c r="M2587" s="184"/>
      <c r="O2587" s="184"/>
      <c r="P2587" t="s">
        <v>7045</v>
      </c>
      <c r="Q2587" t="s">
        <v>7020</v>
      </c>
      <c r="R2587" s="184">
        <v>15047</v>
      </c>
      <c r="S2587">
        <v>83</v>
      </c>
      <c r="U2587" t="s">
        <v>7031</v>
      </c>
      <c r="V2587" t="s">
        <v>4013</v>
      </c>
      <c r="W2587" t="s">
        <v>8224</v>
      </c>
      <c r="X2587" t="s">
        <v>21654</v>
      </c>
      <c r="AF2587" t="s">
        <v>21655</v>
      </c>
      <c r="AG2587" t="s">
        <v>21656</v>
      </c>
      <c r="AI2587" t="s">
        <v>21657</v>
      </c>
      <c r="AM2587" t="s">
        <v>4104</v>
      </c>
      <c r="AN2587" t="s">
        <v>2240</v>
      </c>
      <c r="AO2587" t="s">
        <v>21658</v>
      </c>
      <c r="AP2587" t="s">
        <v>7024</v>
      </c>
      <c r="AQ2587" t="s">
        <v>21659</v>
      </c>
      <c r="AR2587" t="s">
        <v>21660</v>
      </c>
      <c r="AT2587" s="184">
        <v>36615</v>
      </c>
      <c r="AU2587" t="s">
        <v>21608</v>
      </c>
      <c r="AV2587">
        <v>25</v>
      </c>
      <c r="AW2587" s="184">
        <v>44420</v>
      </c>
      <c r="AX2587" t="s">
        <v>21661</v>
      </c>
      <c r="AY2587">
        <v>50</v>
      </c>
      <c r="AZ2587" s="184">
        <v>36951</v>
      </c>
      <c r="BA2587" t="s">
        <v>21662</v>
      </c>
      <c r="BB2587">
        <v>60</v>
      </c>
      <c r="BC2587">
        <v>60</v>
      </c>
      <c r="BD2587">
        <v>930</v>
      </c>
      <c r="BE2587">
        <v>2000</v>
      </c>
      <c r="BF2587">
        <v>22</v>
      </c>
      <c r="BI2587">
        <v>15</v>
      </c>
      <c r="BJ2587">
        <v>25</v>
      </c>
      <c r="BK2587">
        <v>7</v>
      </c>
      <c r="BN2587" t="s">
        <v>595</v>
      </c>
      <c r="BP2587" s="184"/>
    </row>
    <row r="2588" spans="1:68">
      <c r="A2588">
        <v>31256431</v>
      </c>
      <c r="B2588">
        <v>31256431</v>
      </c>
      <c r="C2588" t="s">
        <v>7018</v>
      </c>
      <c r="E2588" s="184"/>
      <c r="G2588" s="184"/>
      <c r="H2588" t="s">
        <v>595</v>
      </c>
      <c r="I2588" s="184">
        <v>44504</v>
      </c>
      <c r="K2588" s="184"/>
      <c r="M2588" s="184"/>
      <c r="O2588" s="184"/>
      <c r="P2588" t="s">
        <v>7029</v>
      </c>
      <c r="Q2588" t="s">
        <v>7262</v>
      </c>
      <c r="R2588" s="184">
        <v>13992</v>
      </c>
      <c r="S2588">
        <v>86</v>
      </c>
      <c r="V2588" t="s">
        <v>5102</v>
      </c>
      <c r="X2588" t="s">
        <v>4030</v>
      </c>
      <c r="AF2588" t="s">
        <v>21663</v>
      </c>
      <c r="AG2588" t="s">
        <v>5102</v>
      </c>
      <c r="AI2588" t="s">
        <v>21664</v>
      </c>
      <c r="AM2588" t="s">
        <v>2616</v>
      </c>
      <c r="AN2588" t="s">
        <v>2069</v>
      </c>
      <c r="AO2588" t="s">
        <v>21665</v>
      </c>
      <c r="AP2588" t="s">
        <v>7024</v>
      </c>
      <c r="AQ2588" t="s">
        <v>21666</v>
      </c>
      <c r="AT2588" s="184">
        <v>36622</v>
      </c>
      <c r="AU2588" t="s">
        <v>21667</v>
      </c>
      <c r="AV2588">
        <v>15</v>
      </c>
      <c r="AW2588" s="184">
        <v>44903</v>
      </c>
      <c r="AX2588" t="s">
        <v>9792</v>
      </c>
      <c r="AY2588">
        <v>1593.58</v>
      </c>
      <c r="AZ2588" s="184">
        <v>44903</v>
      </c>
      <c r="BA2588" t="s">
        <v>9792</v>
      </c>
      <c r="BB2588">
        <v>1593.58</v>
      </c>
      <c r="BC2588">
        <v>48</v>
      </c>
      <c r="BD2588">
        <v>3567.77</v>
      </c>
      <c r="BE2588">
        <v>2000</v>
      </c>
      <c r="BF2588">
        <v>15</v>
      </c>
      <c r="BG2588">
        <v>1</v>
      </c>
      <c r="BH2588">
        <v>1593.58</v>
      </c>
      <c r="BI2588">
        <v>12</v>
      </c>
      <c r="BJ2588">
        <v>25</v>
      </c>
      <c r="BK2588">
        <v>3</v>
      </c>
      <c r="BN2588" t="s">
        <v>595</v>
      </c>
      <c r="BP2588" s="184"/>
    </row>
    <row r="2589" spans="1:68">
      <c r="A2589">
        <v>31316722</v>
      </c>
      <c r="B2589">
        <v>31316722</v>
      </c>
      <c r="C2589" t="s">
        <v>7018</v>
      </c>
      <c r="E2589" s="184"/>
      <c r="F2589" t="s">
        <v>595</v>
      </c>
      <c r="G2589" s="184">
        <v>44669</v>
      </c>
      <c r="I2589" s="184"/>
      <c r="K2589" s="184"/>
      <c r="O2589" s="184"/>
      <c r="P2589" t="s">
        <v>7045</v>
      </c>
      <c r="Q2589" t="s">
        <v>7020</v>
      </c>
      <c r="R2589" s="184">
        <v>25124</v>
      </c>
      <c r="S2589">
        <v>55</v>
      </c>
      <c r="V2589" t="s">
        <v>3101</v>
      </c>
      <c r="X2589" t="s">
        <v>21668</v>
      </c>
      <c r="AF2589" t="s">
        <v>21669</v>
      </c>
      <c r="AG2589" t="s">
        <v>3101</v>
      </c>
      <c r="AI2589" t="s">
        <v>21670</v>
      </c>
      <c r="AM2589" t="s">
        <v>4339</v>
      </c>
      <c r="AN2589" t="s">
        <v>2052</v>
      </c>
      <c r="AO2589" t="s">
        <v>21671</v>
      </c>
      <c r="AP2589" t="s">
        <v>7024</v>
      </c>
      <c r="AQ2589" t="s">
        <v>21672</v>
      </c>
      <c r="AR2589" t="s">
        <v>21673</v>
      </c>
      <c r="AT2589" s="184">
        <v>36629</v>
      </c>
      <c r="AU2589" t="s">
        <v>21534</v>
      </c>
      <c r="AV2589">
        <v>15</v>
      </c>
      <c r="AW2589" s="184">
        <v>45258</v>
      </c>
      <c r="AX2589" t="s">
        <v>19868</v>
      </c>
      <c r="AY2589">
        <v>100</v>
      </c>
      <c r="AZ2589" s="184">
        <v>45258</v>
      </c>
      <c r="BA2589" t="s">
        <v>19868</v>
      </c>
      <c r="BB2589">
        <v>100</v>
      </c>
      <c r="BC2589">
        <v>32</v>
      </c>
      <c r="BD2589">
        <v>715</v>
      </c>
      <c r="BE2589">
        <v>2000</v>
      </c>
      <c r="BF2589">
        <v>10</v>
      </c>
      <c r="BG2589">
        <v>2</v>
      </c>
      <c r="BH2589">
        <v>200</v>
      </c>
      <c r="BI2589">
        <v>8</v>
      </c>
      <c r="BJ2589">
        <v>25</v>
      </c>
      <c r="BK2589">
        <v>4</v>
      </c>
      <c r="BP2589" s="184"/>
    </row>
    <row r="2590" spans="1:68">
      <c r="A2590">
        <v>31339922</v>
      </c>
      <c r="B2590">
        <v>31339922</v>
      </c>
      <c r="C2590" t="s">
        <v>7018</v>
      </c>
      <c r="E2590" s="184"/>
      <c r="G2590" s="184"/>
      <c r="I2590" s="184"/>
      <c r="J2590" t="s">
        <v>595</v>
      </c>
      <c r="K2590" s="184">
        <v>44972</v>
      </c>
      <c r="M2590" s="184"/>
      <c r="O2590" s="184"/>
      <c r="P2590" t="s">
        <v>7029</v>
      </c>
      <c r="Q2590" t="s">
        <v>7454</v>
      </c>
      <c r="R2590" s="184">
        <v>14423</v>
      </c>
      <c r="S2590">
        <v>84</v>
      </c>
      <c r="U2590" t="s">
        <v>7031</v>
      </c>
      <c r="V2590" t="s">
        <v>3373</v>
      </c>
      <c r="W2590" t="s">
        <v>8224</v>
      </c>
      <c r="X2590" t="s">
        <v>14095</v>
      </c>
      <c r="AF2590" t="s">
        <v>21674</v>
      </c>
      <c r="AG2590" t="s">
        <v>3373</v>
      </c>
      <c r="AI2590" t="s">
        <v>21675</v>
      </c>
      <c r="AM2590" t="s">
        <v>5087</v>
      </c>
      <c r="AN2590" t="s">
        <v>2055</v>
      </c>
      <c r="AO2590" t="s">
        <v>21676</v>
      </c>
      <c r="AP2590" t="s">
        <v>7024</v>
      </c>
      <c r="AQ2590" t="s">
        <v>21677</v>
      </c>
      <c r="AR2590" t="s">
        <v>21678</v>
      </c>
      <c r="AT2590" s="184">
        <v>36635</v>
      </c>
      <c r="AU2590" t="s">
        <v>21679</v>
      </c>
      <c r="AV2590">
        <v>25</v>
      </c>
      <c r="AW2590" s="184">
        <v>45091</v>
      </c>
      <c r="AX2590" t="s">
        <v>8019</v>
      </c>
      <c r="AY2590">
        <v>1000</v>
      </c>
      <c r="AZ2590" s="184">
        <v>45091</v>
      </c>
      <c r="BA2590" t="s">
        <v>8019</v>
      </c>
      <c r="BB2590">
        <v>1000</v>
      </c>
      <c r="BC2590">
        <v>72</v>
      </c>
      <c r="BD2590">
        <v>9780</v>
      </c>
      <c r="BE2590">
        <v>2000</v>
      </c>
      <c r="BF2590">
        <v>20</v>
      </c>
      <c r="BG2590">
        <v>2</v>
      </c>
      <c r="BH2590">
        <v>2000</v>
      </c>
      <c r="BI2590">
        <v>18</v>
      </c>
      <c r="BJ2590">
        <v>25</v>
      </c>
      <c r="BK2590">
        <v>17</v>
      </c>
      <c r="BP2590" s="184"/>
    </row>
    <row r="2591" spans="1:68">
      <c r="A2591">
        <v>31370398</v>
      </c>
      <c r="B2591">
        <v>31370398</v>
      </c>
      <c r="C2591" t="s">
        <v>7018</v>
      </c>
      <c r="E2591" s="184"/>
      <c r="G2591" s="184"/>
      <c r="I2591" s="184"/>
      <c r="J2591" t="s">
        <v>595</v>
      </c>
      <c r="K2591" s="184">
        <v>41834</v>
      </c>
      <c r="O2591" s="184"/>
      <c r="P2591" t="s">
        <v>7045</v>
      </c>
      <c r="Q2591" t="s">
        <v>7194</v>
      </c>
      <c r="R2591" s="184">
        <v>12875</v>
      </c>
      <c r="S2591">
        <v>89</v>
      </c>
      <c r="V2591" t="s">
        <v>3103</v>
      </c>
      <c r="W2591" t="s">
        <v>7560</v>
      </c>
      <c r="X2591" t="s">
        <v>21680</v>
      </c>
      <c r="Z2591">
        <v>100087004</v>
      </c>
      <c r="AB2591" t="s">
        <v>2648</v>
      </c>
      <c r="AC2591" t="s">
        <v>7067</v>
      </c>
      <c r="AD2591" t="s">
        <v>21680</v>
      </c>
      <c r="AF2591" t="s">
        <v>21681</v>
      </c>
      <c r="AG2591" t="s">
        <v>3103</v>
      </c>
      <c r="AI2591" t="s">
        <v>21682</v>
      </c>
      <c r="AJ2591" t="s">
        <v>21683</v>
      </c>
      <c r="AM2591" t="s">
        <v>4240</v>
      </c>
      <c r="AN2591" t="s">
        <v>2046</v>
      </c>
      <c r="AO2591" t="s">
        <v>21684</v>
      </c>
      <c r="AP2591" t="s">
        <v>7024</v>
      </c>
      <c r="AQ2591" t="s">
        <v>21685</v>
      </c>
      <c r="AR2591" t="s">
        <v>21686</v>
      </c>
      <c r="AT2591" s="184">
        <v>36635</v>
      </c>
      <c r="AU2591" t="s">
        <v>21687</v>
      </c>
      <c r="AV2591">
        <v>25</v>
      </c>
      <c r="AW2591" s="184">
        <v>44120</v>
      </c>
      <c r="AX2591" t="s">
        <v>21688</v>
      </c>
      <c r="AY2591">
        <v>5</v>
      </c>
      <c r="AZ2591" s="184">
        <v>37277</v>
      </c>
      <c r="BA2591" t="s">
        <v>21689</v>
      </c>
      <c r="BB2591">
        <v>60</v>
      </c>
      <c r="BC2591">
        <v>84</v>
      </c>
      <c r="BD2591">
        <v>1920.01</v>
      </c>
      <c r="BE2591">
        <v>2000</v>
      </c>
      <c r="BF2591">
        <v>206</v>
      </c>
      <c r="BI2591">
        <v>21</v>
      </c>
      <c r="BJ2591">
        <v>25</v>
      </c>
      <c r="BK2591">
        <v>21</v>
      </c>
      <c r="BP2591" s="184"/>
    </row>
    <row r="2592" spans="1:68">
      <c r="A2592">
        <v>100087004</v>
      </c>
      <c r="B2592">
        <v>31370398</v>
      </c>
      <c r="C2592" t="s">
        <v>7018</v>
      </c>
      <c r="E2592" s="184"/>
      <c r="G2592" s="184"/>
      <c r="I2592" s="184"/>
      <c r="J2592" t="s">
        <v>595</v>
      </c>
      <c r="K2592" s="184">
        <v>41834</v>
      </c>
      <c r="O2592" s="184"/>
      <c r="P2592" t="s">
        <v>7045</v>
      </c>
      <c r="Q2592" t="s">
        <v>7194</v>
      </c>
      <c r="R2592" s="184">
        <v>10850</v>
      </c>
      <c r="S2592">
        <v>94</v>
      </c>
      <c r="V2592" t="s">
        <v>2648</v>
      </c>
      <c r="W2592" t="s">
        <v>7067</v>
      </c>
      <c r="X2592" t="s">
        <v>21680</v>
      </c>
      <c r="Z2592">
        <v>31370398</v>
      </c>
      <c r="AB2592" t="s">
        <v>3103</v>
      </c>
      <c r="AC2592" t="s">
        <v>7560</v>
      </c>
      <c r="AD2592" t="s">
        <v>21680</v>
      </c>
      <c r="AF2592" t="s">
        <v>21681</v>
      </c>
      <c r="AG2592" t="s">
        <v>3103</v>
      </c>
      <c r="AI2592" t="s">
        <v>21682</v>
      </c>
      <c r="AJ2592" t="s">
        <v>21683</v>
      </c>
      <c r="AM2592" t="s">
        <v>4240</v>
      </c>
      <c r="AN2592" t="s">
        <v>2046</v>
      </c>
      <c r="AO2592" t="s">
        <v>21684</v>
      </c>
      <c r="AP2592" t="s">
        <v>7024</v>
      </c>
      <c r="AT2592" s="184"/>
      <c r="AW2592" s="184"/>
      <c r="AZ2592" s="184"/>
      <c r="BO2592" t="s">
        <v>595</v>
      </c>
      <c r="BP2592" s="184"/>
    </row>
    <row r="2593" spans="1:68">
      <c r="A2593">
        <v>31379282</v>
      </c>
      <c r="B2593">
        <v>31379282</v>
      </c>
      <c r="C2593" t="s">
        <v>7018</v>
      </c>
      <c r="D2593" t="s">
        <v>595</v>
      </c>
      <c r="E2593" s="184">
        <v>44167</v>
      </c>
      <c r="G2593" s="184"/>
      <c r="I2593" s="184"/>
      <c r="K2593" s="184"/>
      <c r="O2593" s="184"/>
      <c r="P2593" t="s">
        <v>7045</v>
      </c>
      <c r="Q2593" t="s">
        <v>7262</v>
      </c>
      <c r="R2593" s="184">
        <v>17868</v>
      </c>
      <c r="S2593">
        <v>75</v>
      </c>
      <c r="V2593" t="s">
        <v>2832</v>
      </c>
      <c r="X2593" t="s">
        <v>21690</v>
      </c>
      <c r="Z2593">
        <v>100087043</v>
      </c>
      <c r="AB2593" t="s">
        <v>2932</v>
      </c>
      <c r="AD2593" t="s">
        <v>21690</v>
      </c>
      <c r="AF2593" t="s">
        <v>21691</v>
      </c>
      <c r="AG2593" t="s">
        <v>21692</v>
      </c>
      <c r="AI2593" t="s">
        <v>21693</v>
      </c>
      <c r="AM2593" t="s">
        <v>4701</v>
      </c>
      <c r="AN2593" t="s">
        <v>2069</v>
      </c>
      <c r="AO2593" t="s">
        <v>21694</v>
      </c>
      <c r="AP2593" t="s">
        <v>7024</v>
      </c>
      <c r="AQ2593" t="s">
        <v>21695</v>
      </c>
      <c r="AR2593" t="s">
        <v>21696</v>
      </c>
      <c r="AT2593" s="184">
        <v>36637</v>
      </c>
      <c r="AU2593" t="s">
        <v>21697</v>
      </c>
      <c r="AV2593">
        <v>25</v>
      </c>
      <c r="AW2593" s="184">
        <v>44980</v>
      </c>
      <c r="AX2593" t="s">
        <v>9677</v>
      </c>
      <c r="AY2593">
        <v>25</v>
      </c>
      <c r="AZ2593" s="184">
        <v>44979</v>
      </c>
      <c r="BA2593" t="s">
        <v>8370</v>
      </c>
      <c r="BB2593">
        <v>75</v>
      </c>
      <c r="BC2593">
        <v>84</v>
      </c>
      <c r="BD2593">
        <v>1400</v>
      </c>
      <c r="BE2593">
        <v>2000</v>
      </c>
      <c r="BF2593">
        <v>29</v>
      </c>
      <c r="BG2593">
        <v>3</v>
      </c>
      <c r="BH2593">
        <v>125</v>
      </c>
      <c r="BI2593">
        <v>21</v>
      </c>
      <c r="BJ2593">
        <v>25</v>
      </c>
      <c r="BK2593">
        <v>12</v>
      </c>
      <c r="BP2593" s="184"/>
    </row>
    <row r="2594" spans="1:68">
      <c r="A2594">
        <v>100087043</v>
      </c>
      <c r="B2594">
        <v>31379282</v>
      </c>
      <c r="C2594" t="s">
        <v>7018</v>
      </c>
      <c r="D2594" t="s">
        <v>595</v>
      </c>
      <c r="E2594" s="184">
        <v>44167</v>
      </c>
      <c r="G2594" s="184"/>
      <c r="I2594" s="184"/>
      <c r="K2594" s="184"/>
      <c r="P2594" t="s">
        <v>7045</v>
      </c>
      <c r="Q2594" t="s">
        <v>7262</v>
      </c>
      <c r="R2594" s="184">
        <v>29563</v>
      </c>
      <c r="S2594">
        <v>43</v>
      </c>
      <c r="V2594" t="s">
        <v>2932</v>
      </c>
      <c r="X2594" t="s">
        <v>21690</v>
      </c>
      <c r="Z2594">
        <v>31379282</v>
      </c>
      <c r="AB2594" t="s">
        <v>2832</v>
      </c>
      <c r="AD2594" t="s">
        <v>21690</v>
      </c>
      <c r="AF2594" t="s">
        <v>21691</v>
      </c>
      <c r="AG2594" t="s">
        <v>21692</v>
      </c>
      <c r="AI2594" t="s">
        <v>21693</v>
      </c>
      <c r="AM2594" t="s">
        <v>4701</v>
      </c>
      <c r="AN2594" t="s">
        <v>2069</v>
      </c>
      <c r="AO2594" t="s">
        <v>21694</v>
      </c>
      <c r="AP2594" t="s">
        <v>7024</v>
      </c>
      <c r="AT2594" s="184"/>
      <c r="AW2594" s="184"/>
      <c r="AZ2594" s="184"/>
      <c r="BP2594" s="184"/>
    </row>
    <row r="2595" spans="1:68">
      <c r="A2595">
        <v>31426240</v>
      </c>
      <c r="B2595">
        <v>31426240</v>
      </c>
      <c r="C2595" t="s">
        <v>7018</v>
      </c>
      <c r="D2595" t="s">
        <v>595</v>
      </c>
      <c r="E2595" s="184">
        <v>43881</v>
      </c>
      <c r="G2595" s="184"/>
      <c r="I2595" s="184"/>
      <c r="K2595" s="184"/>
      <c r="M2595" s="184"/>
      <c r="O2595" s="184"/>
      <c r="P2595" t="s">
        <v>7029</v>
      </c>
      <c r="Q2595" t="s">
        <v>7383</v>
      </c>
      <c r="R2595" s="184">
        <v>10404</v>
      </c>
      <c r="S2595">
        <v>95</v>
      </c>
      <c r="U2595" t="s">
        <v>7031</v>
      </c>
      <c r="V2595" t="s">
        <v>2832</v>
      </c>
      <c r="W2595" t="s">
        <v>2316</v>
      </c>
      <c r="X2595" t="s">
        <v>21698</v>
      </c>
      <c r="AF2595" t="s">
        <v>21699</v>
      </c>
      <c r="AG2595" t="s">
        <v>2832</v>
      </c>
      <c r="AI2595" t="s">
        <v>21700</v>
      </c>
      <c r="AM2595" t="s">
        <v>4469</v>
      </c>
      <c r="AN2595" t="s">
        <v>2064</v>
      </c>
      <c r="AO2595" t="s">
        <v>21701</v>
      </c>
      <c r="AP2595" t="s">
        <v>7024</v>
      </c>
      <c r="AQ2595" t="s">
        <v>21702</v>
      </c>
      <c r="AT2595" s="184">
        <v>36641</v>
      </c>
      <c r="AU2595" t="s">
        <v>21703</v>
      </c>
      <c r="AV2595">
        <v>25</v>
      </c>
      <c r="AW2595" s="184">
        <v>43861</v>
      </c>
      <c r="AX2595" t="s">
        <v>21704</v>
      </c>
      <c r="AY2595">
        <v>500</v>
      </c>
      <c r="AZ2595" s="184">
        <v>43861</v>
      </c>
      <c r="BA2595" t="s">
        <v>21704</v>
      </c>
      <c r="BB2595">
        <v>500</v>
      </c>
      <c r="BC2595">
        <v>84</v>
      </c>
      <c r="BD2595">
        <v>9143</v>
      </c>
      <c r="BE2595">
        <v>2000</v>
      </c>
      <c r="BF2595">
        <v>57</v>
      </c>
      <c r="BI2595">
        <v>21</v>
      </c>
      <c r="BJ2595">
        <v>25</v>
      </c>
      <c r="BK2595">
        <v>21</v>
      </c>
      <c r="BN2595" t="s">
        <v>595</v>
      </c>
      <c r="BP2595" s="184"/>
    </row>
    <row r="2596" spans="1:68">
      <c r="A2596">
        <v>31457534</v>
      </c>
      <c r="B2596">
        <v>31457534</v>
      </c>
      <c r="C2596" t="s">
        <v>7018</v>
      </c>
      <c r="E2596" s="184"/>
      <c r="G2596" s="184"/>
      <c r="I2596" s="184"/>
      <c r="J2596" t="s">
        <v>595</v>
      </c>
      <c r="K2596" s="184">
        <v>43522</v>
      </c>
      <c r="O2596" s="184"/>
      <c r="P2596" t="s">
        <v>7084</v>
      </c>
      <c r="Q2596" t="s">
        <v>7030</v>
      </c>
      <c r="R2596" s="184">
        <v>11988</v>
      </c>
      <c r="S2596">
        <v>91</v>
      </c>
      <c r="U2596" t="s">
        <v>7130</v>
      </c>
      <c r="V2596" t="s">
        <v>2586</v>
      </c>
      <c r="W2596" t="s">
        <v>7560</v>
      </c>
      <c r="X2596" t="s">
        <v>5917</v>
      </c>
      <c r="AF2596" t="s">
        <v>21705</v>
      </c>
      <c r="AG2596" t="s">
        <v>21706</v>
      </c>
      <c r="AI2596" t="s">
        <v>21707</v>
      </c>
      <c r="AM2596" t="s">
        <v>2897</v>
      </c>
      <c r="AN2596" t="s">
        <v>2089</v>
      </c>
      <c r="AO2596" t="s">
        <v>21708</v>
      </c>
      <c r="AP2596" t="s">
        <v>7024</v>
      </c>
      <c r="AT2596" s="184">
        <v>36649</v>
      </c>
      <c r="AU2596" t="s">
        <v>21709</v>
      </c>
      <c r="AV2596">
        <v>50</v>
      </c>
      <c r="AW2596" s="184">
        <v>43243</v>
      </c>
      <c r="AX2596" t="s">
        <v>7445</v>
      </c>
      <c r="AY2596">
        <v>13265.86</v>
      </c>
      <c r="AZ2596" s="184">
        <v>43243</v>
      </c>
      <c r="BA2596" t="s">
        <v>7445</v>
      </c>
      <c r="BB2596">
        <v>13265.86</v>
      </c>
      <c r="BC2596">
        <v>52</v>
      </c>
      <c r="BD2596">
        <v>13949.86</v>
      </c>
      <c r="BE2596">
        <v>2000</v>
      </c>
      <c r="BF2596">
        <v>16</v>
      </c>
      <c r="BI2596">
        <v>13</v>
      </c>
      <c r="BJ2596">
        <v>25</v>
      </c>
      <c r="BK2596">
        <v>6</v>
      </c>
      <c r="BO2596" t="s">
        <v>595</v>
      </c>
      <c r="BP2596" s="184">
        <v>42701</v>
      </c>
    </row>
    <row r="2597" spans="1:68">
      <c r="A2597">
        <v>31505563</v>
      </c>
      <c r="B2597">
        <v>31505563</v>
      </c>
      <c r="C2597" t="s">
        <v>7018</v>
      </c>
      <c r="E2597" s="184"/>
      <c r="G2597" s="184"/>
      <c r="I2597" s="184"/>
      <c r="J2597" t="s">
        <v>595</v>
      </c>
      <c r="K2597" s="184">
        <v>43171</v>
      </c>
      <c r="O2597" s="184"/>
      <c r="P2597" t="s">
        <v>7045</v>
      </c>
      <c r="Q2597" t="s">
        <v>7374</v>
      </c>
      <c r="R2597" s="184">
        <v>18062</v>
      </c>
      <c r="S2597">
        <v>74</v>
      </c>
      <c r="U2597" t="s">
        <v>7076</v>
      </c>
      <c r="V2597" t="s">
        <v>21710</v>
      </c>
      <c r="X2597" t="s">
        <v>17209</v>
      </c>
      <c r="AF2597" t="s">
        <v>6459</v>
      </c>
      <c r="AG2597" t="s">
        <v>21710</v>
      </c>
      <c r="AI2597" t="s">
        <v>21711</v>
      </c>
      <c r="AM2597" t="s">
        <v>21712</v>
      </c>
      <c r="AN2597" t="s">
        <v>2081</v>
      </c>
      <c r="AO2597" t="s">
        <v>21713</v>
      </c>
      <c r="AP2597" t="s">
        <v>7024</v>
      </c>
      <c r="AT2597" s="184">
        <v>36656</v>
      </c>
      <c r="AU2597" t="s">
        <v>21714</v>
      </c>
      <c r="AV2597">
        <v>25</v>
      </c>
      <c r="AW2597" s="184">
        <v>44860</v>
      </c>
      <c r="AX2597" t="s">
        <v>21715</v>
      </c>
      <c r="AY2597">
        <v>100</v>
      </c>
      <c r="AZ2597" s="184">
        <v>44860</v>
      </c>
      <c r="BA2597" t="s">
        <v>21715</v>
      </c>
      <c r="BB2597">
        <v>100</v>
      </c>
      <c r="BC2597">
        <v>88</v>
      </c>
      <c r="BD2597">
        <v>1130</v>
      </c>
      <c r="BE2597">
        <v>2000</v>
      </c>
      <c r="BF2597">
        <v>23</v>
      </c>
      <c r="BG2597">
        <v>1</v>
      </c>
      <c r="BH2597">
        <v>100</v>
      </c>
      <c r="BI2597">
        <v>22</v>
      </c>
      <c r="BJ2597">
        <v>25</v>
      </c>
      <c r="BK2597">
        <v>21</v>
      </c>
      <c r="BP2597" s="184"/>
    </row>
    <row r="2598" spans="1:68">
      <c r="A2598">
        <v>31516354</v>
      </c>
      <c r="B2598">
        <v>31516354</v>
      </c>
      <c r="C2598" t="s">
        <v>7018</v>
      </c>
      <c r="D2598" t="s">
        <v>595</v>
      </c>
      <c r="E2598" s="184">
        <v>44104</v>
      </c>
      <c r="G2598" s="184"/>
      <c r="H2598" t="s">
        <v>595</v>
      </c>
      <c r="I2598" s="184">
        <v>44109</v>
      </c>
      <c r="K2598" s="184"/>
      <c r="M2598" s="184"/>
      <c r="O2598" s="184"/>
      <c r="P2598" t="s">
        <v>7045</v>
      </c>
      <c r="Q2598" t="s">
        <v>7160</v>
      </c>
      <c r="R2598" s="184">
        <v>13360</v>
      </c>
      <c r="S2598">
        <v>87</v>
      </c>
      <c r="V2598" t="s">
        <v>2551</v>
      </c>
      <c r="X2598" t="s">
        <v>5013</v>
      </c>
      <c r="AF2598" t="s">
        <v>21716</v>
      </c>
      <c r="AG2598" t="s">
        <v>2551</v>
      </c>
      <c r="AI2598" t="s">
        <v>21717</v>
      </c>
      <c r="AM2598" t="s">
        <v>5014</v>
      </c>
      <c r="AN2598" t="s">
        <v>2413</v>
      </c>
      <c r="AO2598" t="s">
        <v>21718</v>
      </c>
      <c r="AP2598" t="s">
        <v>7024</v>
      </c>
      <c r="AQ2598" t="s">
        <v>21719</v>
      </c>
      <c r="AR2598" t="s">
        <v>21720</v>
      </c>
      <c r="AT2598" s="184">
        <v>36658</v>
      </c>
      <c r="AU2598" t="s">
        <v>21721</v>
      </c>
      <c r="AV2598">
        <v>100</v>
      </c>
      <c r="AW2598" s="184">
        <v>45288</v>
      </c>
      <c r="AX2598" t="s">
        <v>9378</v>
      </c>
      <c r="AY2598">
        <v>250</v>
      </c>
      <c r="AZ2598" s="184">
        <v>44055</v>
      </c>
      <c r="BA2598" t="s">
        <v>21722</v>
      </c>
      <c r="BB2598">
        <v>1000</v>
      </c>
      <c r="BC2598">
        <v>64</v>
      </c>
      <c r="BD2598">
        <v>3697</v>
      </c>
      <c r="BE2598">
        <v>2000</v>
      </c>
      <c r="BF2598">
        <v>18</v>
      </c>
      <c r="BG2598">
        <v>1</v>
      </c>
      <c r="BH2598">
        <v>250</v>
      </c>
      <c r="BI2598">
        <v>16</v>
      </c>
      <c r="BJ2598">
        <v>25</v>
      </c>
      <c r="BK2598">
        <v>7</v>
      </c>
      <c r="BP2598" s="184"/>
    </row>
    <row r="2599" spans="1:68">
      <c r="A2599">
        <v>31597156</v>
      </c>
      <c r="B2599">
        <v>31597156</v>
      </c>
      <c r="C2599" t="s">
        <v>7018</v>
      </c>
      <c r="D2599" t="s">
        <v>595</v>
      </c>
      <c r="E2599" s="184">
        <v>44067</v>
      </c>
      <c r="G2599" s="184"/>
      <c r="H2599" t="s">
        <v>595</v>
      </c>
      <c r="I2599" s="184">
        <v>44067</v>
      </c>
      <c r="K2599" s="184"/>
      <c r="M2599" s="184"/>
      <c r="O2599" s="184"/>
      <c r="P2599" t="s">
        <v>7045</v>
      </c>
      <c r="Q2599" t="s">
        <v>7454</v>
      </c>
      <c r="R2599" s="184">
        <v>21429</v>
      </c>
      <c r="S2599">
        <v>65</v>
      </c>
      <c r="V2599" t="s">
        <v>7446</v>
      </c>
      <c r="X2599" t="s">
        <v>4851</v>
      </c>
      <c r="AF2599" t="s">
        <v>21723</v>
      </c>
      <c r="AG2599" t="s">
        <v>7446</v>
      </c>
      <c r="AI2599" t="s">
        <v>21724</v>
      </c>
      <c r="AM2599" t="s">
        <v>3855</v>
      </c>
      <c r="AN2599" t="s">
        <v>2055</v>
      </c>
      <c r="AO2599" t="s">
        <v>21725</v>
      </c>
      <c r="AP2599" t="s">
        <v>7024</v>
      </c>
      <c r="AQ2599" t="s">
        <v>21726</v>
      </c>
      <c r="AR2599" t="s">
        <v>21727</v>
      </c>
      <c r="AT2599" s="184">
        <v>36663</v>
      </c>
      <c r="AU2599" t="s">
        <v>21728</v>
      </c>
      <c r="AV2599">
        <v>25</v>
      </c>
      <c r="AW2599" s="184">
        <v>45406</v>
      </c>
      <c r="AX2599" t="s">
        <v>12049</v>
      </c>
      <c r="AY2599">
        <v>100</v>
      </c>
      <c r="AZ2599" s="184">
        <v>45406</v>
      </c>
      <c r="BA2599" t="s">
        <v>12049</v>
      </c>
      <c r="BB2599">
        <v>100</v>
      </c>
      <c r="BC2599">
        <v>96</v>
      </c>
      <c r="BD2599">
        <v>2820</v>
      </c>
      <c r="BE2599">
        <v>2000</v>
      </c>
      <c r="BF2599">
        <v>44</v>
      </c>
      <c r="BG2599">
        <v>2</v>
      </c>
      <c r="BH2599">
        <v>200</v>
      </c>
      <c r="BI2599">
        <v>24</v>
      </c>
      <c r="BJ2599">
        <v>25</v>
      </c>
      <c r="BK2599">
        <v>21</v>
      </c>
      <c r="BP2599" s="184"/>
    </row>
    <row r="2600" spans="1:68">
      <c r="A2600">
        <v>31650187</v>
      </c>
      <c r="B2600">
        <v>31650187</v>
      </c>
      <c r="C2600" t="s">
        <v>7018</v>
      </c>
      <c r="D2600" t="s">
        <v>595</v>
      </c>
      <c r="E2600" s="184">
        <v>43614</v>
      </c>
      <c r="G2600" s="184"/>
      <c r="I2600" s="184"/>
      <c r="K2600" s="184"/>
      <c r="M2600" s="184"/>
      <c r="O2600" s="184"/>
      <c r="P2600" t="s">
        <v>7045</v>
      </c>
      <c r="Q2600" t="s">
        <v>7383</v>
      </c>
      <c r="R2600" s="184">
        <v>19694</v>
      </c>
      <c r="S2600">
        <v>70</v>
      </c>
      <c r="U2600" t="s">
        <v>7130</v>
      </c>
      <c r="V2600" t="s">
        <v>2903</v>
      </c>
      <c r="W2600" t="s">
        <v>4013</v>
      </c>
      <c r="X2600" t="s">
        <v>3099</v>
      </c>
      <c r="AF2600" t="s">
        <v>21729</v>
      </c>
      <c r="AG2600" t="s">
        <v>2903</v>
      </c>
      <c r="AI2600" t="s">
        <v>21730</v>
      </c>
      <c r="AM2600" t="s">
        <v>21731</v>
      </c>
      <c r="AN2600" t="s">
        <v>2162</v>
      </c>
      <c r="AO2600" t="s">
        <v>21732</v>
      </c>
      <c r="AP2600" t="s">
        <v>7024</v>
      </c>
      <c r="AQ2600" t="s">
        <v>21733</v>
      </c>
      <c r="AR2600" t="s">
        <v>21734</v>
      </c>
      <c r="AT2600" s="184">
        <v>36679</v>
      </c>
      <c r="AU2600" t="s">
        <v>21735</v>
      </c>
      <c r="AV2600">
        <v>25</v>
      </c>
      <c r="AW2600" s="184">
        <v>45411</v>
      </c>
      <c r="AX2600" t="s">
        <v>7414</v>
      </c>
      <c r="AY2600">
        <v>13</v>
      </c>
      <c r="AZ2600" s="184">
        <v>41556</v>
      </c>
      <c r="BA2600" t="s">
        <v>21736</v>
      </c>
      <c r="BB2600">
        <v>50</v>
      </c>
      <c r="BC2600">
        <v>88</v>
      </c>
      <c r="BD2600">
        <v>2061</v>
      </c>
      <c r="BE2600">
        <v>2000</v>
      </c>
      <c r="BF2600">
        <v>144</v>
      </c>
      <c r="BG2600">
        <v>24</v>
      </c>
      <c r="BH2600">
        <v>312</v>
      </c>
      <c r="BI2600">
        <v>22</v>
      </c>
      <c r="BJ2600">
        <v>25</v>
      </c>
      <c r="BK2600">
        <v>13</v>
      </c>
      <c r="BP2600" s="184"/>
    </row>
    <row r="2601" spans="1:68">
      <c r="A2601">
        <v>31651425</v>
      </c>
      <c r="B2601">
        <v>31651425</v>
      </c>
      <c r="C2601" t="s">
        <v>7018</v>
      </c>
      <c r="D2601" t="s">
        <v>595</v>
      </c>
      <c r="E2601" s="184">
        <v>43642</v>
      </c>
      <c r="G2601" s="184"/>
      <c r="I2601" s="184"/>
      <c r="K2601" s="184"/>
      <c r="M2601" s="184"/>
      <c r="O2601" s="184"/>
      <c r="P2601" t="s">
        <v>7045</v>
      </c>
      <c r="Q2601" t="s">
        <v>7383</v>
      </c>
      <c r="R2601" s="184">
        <v>19965</v>
      </c>
      <c r="S2601">
        <v>69</v>
      </c>
      <c r="U2601" t="s">
        <v>7076</v>
      </c>
      <c r="V2601" t="s">
        <v>3317</v>
      </c>
      <c r="X2601" t="s">
        <v>3318</v>
      </c>
      <c r="AF2601" t="s">
        <v>21737</v>
      </c>
      <c r="AG2601" t="s">
        <v>3317</v>
      </c>
      <c r="AI2601" t="s">
        <v>21738</v>
      </c>
      <c r="AM2601" t="s">
        <v>3319</v>
      </c>
      <c r="AN2601" t="s">
        <v>2185</v>
      </c>
      <c r="AO2601" t="s">
        <v>21739</v>
      </c>
      <c r="AP2601" t="s">
        <v>7024</v>
      </c>
      <c r="AQ2601" t="s">
        <v>21740</v>
      </c>
      <c r="AR2601" t="s">
        <v>21741</v>
      </c>
      <c r="AT2601" s="184">
        <v>36679</v>
      </c>
      <c r="AU2601" t="s">
        <v>21742</v>
      </c>
      <c r="AV2601">
        <v>20</v>
      </c>
      <c r="AW2601" s="184">
        <v>45411</v>
      </c>
      <c r="AX2601" t="s">
        <v>7414</v>
      </c>
      <c r="AY2601">
        <v>10</v>
      </c>
      <c r="AZ2601" s="184">
        <v>44520</v>
      </c>
      <c r="BA2601" t="s">
        <v>21743</v>
      </c>
      <c r="BB2601">
        <v>50</v>
      </c>
      <c r="BC2601">
        <v>88</v>
      </c>
      <c r="BD2601">
        <v>2324.37</v>
      </c>
      <c r="BE2601">
        <v>2000</v>
      </c>
      <c r="BF2601">
        <v>238</v>
      </c>
      <c r="BG2601">
        <v>24</v>
      </c>
      <c r="BH2601">
        <v>304</v>
      </c>
      <c r="BI2601">
        <v>22</v>
      </c>
      <c r="BJ2601">
        <v>25</v>
      </c>
      <c r="BK2601">
        <v>21</v>
      </c>
      <c r="BP2601" s="184"/>
    </row>
    <row r="2602" spans="1:68">
      <c r="A2602">
        <v>31732993</v>
      </c>
      <c r="B2602">
        <v>31732993</v>
      </c>
      <c r="C2602" t="s">
        <v>7018</v>
      </c>
      <c r="E2602" s="184"/>
      <c r="F2602" t="s">
        <v>595</v>
      </c>
      <c r="G2602" s="184">
        <v>44104</v>
      </c>
      <c r="I2602" s="184"/>
      <c r="K2602" s="184"/>
      <c r="M2602" s="184"/>
      <c r="O2602" s="184"/>
      <c r="P2602" t="s">
        <v>7045</v>
      </c>
      <c r="Q2602" t="s">
        <v>7494</v>
      </c>
      <c r="R2602" s="184">
        <v>15259</v>
      </c>
      <c r="S2602">
        <v>82</v>
      </c>
      <c r="U2602" t="s">
        <v>7130</v>
      </c>
      <c r="V2602" t="s">
        <v>4330</v>
      </c>
      <c r="W2602" t="s">
        <v>3830</v>
      </c>
      <c r="X2602" t="s">
        <v>3120</v>
      </c>
      <c r="AF2602" t="s">
        <v>21744</v>
      </c>
      <c r="AG2602" t="s">
        <v>4330</v>
      </c>
      <c r="AI2602" t="s">
        <v>21745</v>
      </c>
      <c r="AM2602" t="s">
        <v>4006</v>
      </c>
      <c r="AN2602" t="s">
        <v>2174</v>
      </c>
      <c r="AO2602" t="s">
        <v>21746</v>
      </c>
      <c r="AP2602" t="s">
        <v>7024</v>
      </c>
      <c r="AT2602" s="184">
        <v>36696</v>
      </c>
      <c r="AU2602" t="s">
        <v>21747</v>
      </c>
      <c r="AV2602">
        <v>15</v>
      </c>
      <c r="AW2602" s="184">
        <v>43376</v>
      </c>
      <c r="AX2602" t="s">
        <v>21748</v>
      </c>
      <c r="AY2602">
        <v>10</v>
      </c>
      <c r="AZ2602" s="184">
        <v>39198</v>
      </c>
      <c r="BA2602" t="s">
        <v>8741</v>
      </c>
      <c r="BB2602">
        <v>87</v>
      </c>
      <c r="BC2602">
        <v>68</v>
      </c>
      <c r="BD2602">
        <v>647</v>
      </c>
      <c r="BE2602">
        <v>2000</v>
      </c>
      <c r="BF2602">
        <v>26</v>
      </c>
      <c r="BI2602">
        <v>17</v>
      </c>
      <c r="BJ2602">
        <v>25</v>
      </c>
      <c r="BK2602">
        <v>9</v>
      </c>
      <c r="BP2602" s="184"/>
    </row>
    <row r="2603" spans="1:68">
      <c r="A2603">
        <v>31743222</v>
      </c>
      <c r="B2603">
        <v>31743222</v>
      </c>
      <c r="C2603" t="s">
        <v>7018</v>
      </c>
      <c r="D2603" t="s">
        <v>595</v>
      </c>
      <c r="E2603" s="184">
        <v>44328</v>
      </c>
      <c r="G2603" s="184"/>
      <c r="I2603" s="184"/>
      <c r="K2603" s="184"/>
      <c r="M2603" s="184"/>
      <c r="O2603" s="184"/>
      <c r="P2603" t="s">
        <v>7045</v>
      </c>
      <c r="Q2603" t="s">
        <v>7030</v>
      </c>
      <c r="R2603" s="184">
        <v>16681</v>
      </c>
      <c r="S2603">
        <v>78</v>
      </c>
      <c r="V2603" t="s">
        <v>21749</v>
      </c>
      <c r="X2603" t="s">
        <v>21750</v>
      </c>
      <c r="AF2603" t="s">
        <v>21751</v>
      </c>
      <c r="AG2603" t="s">
        <v>21749</v>
      </c>
      <c r="AI2603" t="s">
        <v>21752</v>
      </c>
      <c r="AM2603" t="s">
        <v>4647</v>
      </c>
      <c r="AN2603" t="s">
        <v>2638</v>
      </c>
      <c r="AO2603" t="s">
        <v>21753</v>
      </c>
      <c r="AP2603" t="s">
        <v>7024</v>
      </c>
      <c r="AQ2603" t="s">
        <v>21754</v>
      </c>
      <c r="AT2603" s="184">
        <v>36693</v>
      </c>
      <c r="AU2603" t="s">
        <v>21755</v>
      </c>
      <c r="AV2603">
        <v>50</v>
      </c>
      <c r="AW2603" s="184">
        <v>39213</v>
      </c>
      <c r="AX2603" t="s">
        <v>21756</v>
      </c>
      <c r="AY2603">
        <v>25</v>
      </c>
      <c r="AZ2603" s="184">
        <v>37063</v>
      </c>
      <c r="BA2603" t="s">
        <v>21757</v>
      </c>
      <c r="BB2603">
        <v>75</v>
      </c>
      <c r="BC2603">
        <v>24</v>
      </c>
      <c r="BD2603">
        <v>315</v>
      </c>
      <c r="BE2603">
        <v>2000</v>
      </c>
      <c r="BF2603">
        <v>8</v>
      </c>
      <c r="BI2603">
        <v>6</v>
      </c>
      <c r="BJ2603">
        <v>25</v>
      </c>
      <c r="BK2603">
        <v>5</v>
      </c>
      <c r="BP2603" s="184"/>
    </row>
    <row r="2604" spans="1:68">
      <c r="A2604">
        <v>31760390</v>
      </c>
      <c r="B2604">
        <v>31760390</v>
      </c>
      <c r="C2604" t="s">
        <v>7018</v>
      </c>
      <c r="E2604" s="184"/>
      <c r="G2604" s="184"/>
      <c r="I2604" s="184"/>
      <c r="J2604" t="s">
        <v>595</v>
      </c>
      <c r="K2604" s="184">
        <v>40287</v>
      </c>
      <c r="M2604" s="184"/>
      <c r="O2604" s="184"/>
      <c r="P2604" t="s">
        <v>7045</v>
      </c>
      <c r="Q2604" t="s">
        <v>7374</v>
      </c>
      <c r="R2604" s="184">
        <v>18629</v>
      </c>
      <c r="S2604">
        <v>73</v>
      </c>
      <c r="U2604" t="s">
        <v>7076</v>
      </c>
      <c r="V2604" t="s">
        <v>21758</v>
      </c>
      <c r="X2604" t="s">
        <v>21759</v>
      </c>
      <c r="AF2604" t="s">
        <v>6323</v>
      </c>
      <c r="AG2604" t="s">
        <v>21758</v>
      </c>
      <c r="AI2604" t="s">
        <v>21760</v>
      </c>
      <c r="AM2604" t="s">
        <v>9411</v>
      </c>
      <c r="AN2604" t="s">
        <v>2081</v>
      </c>
      <c r="AO2604" t="s">
        <v>21761</v>
      </c>
      <c r="AP2604" t="s">
        <v>7024</v>
      </c>
      <c r="AT2604" s="184">
        <v>36697</v>
      </c>
      <c r="AU2604" t="s">
        <v>21679</v>
      </c>
      <c r="AV2604">
        <v>25</v>
      </c>
      <c r="AW2604" s="184">
        <v>41603</v>
      </c>
      <c r="AX2604" t="s">
        <v>21762</v>
      </c>
      <c r="AY2604">
        <v>100</v>
      </c>
      <c r="AZ2604" s="184">
        <v>41479</v>
      </c>
      <c r="BA2604" t="s">
        <v>21763</v>
      </c>
      <c r="BB2604">
        <v>200</v>
      </c>
      <c r="BC2604">
        <v>48</v>
      </c>
      <c r="BD2604">
        <v>1535</v>
      </c>
      <c r="BE2604">
        <v>2000</v>
      </c>
      <c r="BF2604">
        <v>16</v>
      </c>
      <c r="BI2604">
        <v>12</v>
      </c>
      <c r="BJ2604">
        <v>25</v>
      </c>
      <c r="BK2604">
        <v>10</v>
      </c>
    </row>
    <row r="2605" spans="1:68">
      <c r="A2605">
        <v>31763261</v>
      </c>
      <c r="B2605">
        <v>31763261</v>
      </c>
      <c r="C2605" t="s">
        <v>7018</v>
      </c>
      <c r="D2605" t="s">
        <v>595</v>
      </c>
      <c r="E2605" s="184">
        <v>43642</v>
      </c>
      <c r="G2605" s="184"/>
      <c r="I2605" s="184"/>
      <c r="K2605" s="184"/>
      <c r="M2605" s="184"/>
      <c r="O2605" s="184"/>
      <c r="P2605" t="s">
        <v>7045</v>
      </c>
      <c r="Q2605" t="s">
        <v>7030</v>
      </c>
      <c r="R2605" s="184">
        <v>19176</v>
      </c>
      <c r="S2605">
        <v>71</v>
      </c>
      <c r="U2605" t="s">
        <v>7094</v>
      </c>
      <c r="V2605" t="s">
        <v>3147</v>
      </c>
      <c r="W2605" t="s">
        <v>3522</v>
      </c>
      <c r="X2605" t="s">
        <v>3320</v>
      </c>
      <c r="AF2605" t="s">
        <v>21764</v>
      </c>
      <c r="AG2605" t="s">
        <v>3147</v>
      </c>
      <c r="AI2605" t="s">
        <v>21765</v>
      </c>
      <c r="AM2605" t="s">
        <v>3113</v>
      </c>
      <c r="AN2605" t="s">
        <v>2094</v>
      </c>
      <c r="AO2605" t="s">
        <v>21766</v>
      </c>
      <c r="AP2605" t="s">
        <v>7024</v>
      </c>
      <c r="AT2605" s="184">
        <v>36698</v>
      </c>
      <c r="AU2605" t="s">
        <v>21767</v>
      </c>
      <c r="AV2605">
        <v>25</v>
      </c>
      <c r="AW2605" s="184">
        <v>45016</v>
      </c>
      <c r="AX2605" t="s">
        <v>10777</v>
      </c>
      <c r="AY2605">
        <v>25</v>
      </c>
      <c r="AZ2605" s="184">
        <v>45016</v>
      </c>
      <c r="BA2605" t="s">
        <v>10777</v>
      </c>
      <c r="BB2605">
        <v>25</v>
      </c>
      <c r="BC2605">
        <v>80</v>
      </c>
      <c r="BD2605">
        <v>525</v>
      </c>
      <c r="BE2605">
        <v>2000</v>
      </c>
      <c r="BF2605">
        <v>21</v>
      </c>
      <c r="BG2605">
        <v>1</v>
      </c>
      <c r="BH2605">
        <v>25</v>
      </c>
      <c r="BI2605">
        <v>20</v>
      </c>
      <c r="BJ2605">
        <v>25</v>
      </c>
      <c r="BK2605">
        <v>9</v>
      </c>
    </row>
    <row r="2606" spans="1:68">
      <c r="A2606">
        <v>31770886</v>
      </c>
      <c r="B2606">
        <v>31770886</v>
      </c>
      <c r="C2606" t="s">
        <v>7018</v>
      </c>
      <c r="D2606" t="s">
        <v>595</v>
      </c>
      <c r="E2606" s="184">
        <v>43642</v>
      </c>
      <c r="G2606" s="184"/>
      <c r="I2606" s="184"/>
      <c r="K2606" s="184"/>
      <c r="M2606" s="184"/>
      <c r="P2606" t="s">
        <v>7045</v>
      </c>
      <c r="Q2606" t="s">
        <v>7383</v>
      </c>
      <c r="R2606" s="184">
        <v>20059</v>
      </c>
      <c r="S2606">
        <v>69</v>
      </c>
      <c r="U2606" t="s">
        <v>7031</v>
      </c>
      <c r="V2606" t="s">
        <v>3321</v>
      </c>
      <c r="W2606" t="s">
        <v>7246</v>
      </c>
      <c r="X2606" t="s">
        <v>3322</v>
      </c>
      <c r="AF2606" t="s">
        <v>21768</v>
      </c>
      <c r="AG2606" t="s">
        <v>3321</v>
      </c>
      <c r="AI2606" t="s">
        <v>21769</v>
      </c>
      <c r="AM2606" t="s">
        <v>3323</v>
      </c>
      <c r="AN2606" t="s">
        <v>2144</v>
      </c>
      <c r="AO2606" t="s">
        <v>21770</v>
      </c>
      <c r="AP2606" t="s">
        <v>7024</v>
      </c>
      <c r="AT2606" s="184">
        <v>36700</v>
      </c>
      <c r="AU2606" t="s">
        <v>21771</v>
      </c>
      <c r="AV2606">
        <v>25</v>
      </c>
      <c r="AW2606" s="184">
        <v>45342</v>
      </c>
      <c r="AX2606" t="s">
        <v>9213</v>
      </c>
      <c r="AY2606">
        <v>50</v>
      </c>
      <c r="AZ2606" s="184">
        <v>41117</v>
      </c>
      <c r="BA2606" t="s">
        <v>10565</v>
      </c>
      <c r="BB2606">
        <v>60</v>
      </c>
      <c r="BC2606">
        <v>76</v>
      </c>
      <c r="BD2606">
        <v>1485</v>
      </c>
      <c r="BE2606">
        <v>2000</v>
      </c>
      <c r="BF2606">
        <v>35</v>
      </c>
      <c r="BG2606">
        <v>3</v>
      </c>
      <c r="BH2606">
        <v>150</v>
      </c>
      <c r="BI2606">
        <v>19</v>
      </c>
      <c r="BJ2606">
        <v>25</v>
      </c>
      <c r="BK2606">
        <v>6</v>
      </c>
      <c r="BP2606" s="184"/>
    </row>
    <row r="2607" spans="1:68">
      <c r="A2607">
        <v>16358277</v>
      </c>
      <c r="B2607">
        <v>31903297</v>
      </c>
      <c r="C2607" t="s">
        <v>7018</v>
      </c>
      <c r="E2607" s="184"/>
      <c r="G2607" s="184"/>
      <c r="I2607" s="184"/>
      <c r="J2607" t="s">
        <v>595</v>
      </c>
      <c r="K2607" s="184">
        <v>43879</v>
      </c>
      <c r="M2607" s="184"/>
      <c r="O2607" s="184"/>
      <c r="P2607" t="s">
        <v>7045</v>
      </c>
      <c r="Q2607" t="s">
        <v>7262</v>
      </c>
      <c r="R2607" s="184">
        <v>17807</v>
      </c>
      <c r="S2607">
        <v>75</v>
      </c>
      <c r="U2607" t="s">
        <v>7076</v>
      </c>
      <c r="V2607" t="s">
        <v>4646</v>
      </c>
      <c r="X2607" t="s">
        <v>3427</v>
      </c>
      <c r="Z2607">
        <v>31903297</v>
      </c>
      <c r="AA2607" t="s">
        <v>7076</v>
      </c>
      <c r="AB2607" t="s">
        <v>11364</v>
      </c>
      <c r="AD2607" t="s">
        <v>21772</v>
      </c>
      <c r="AF2607" t="s">
        <v>21773</v>
      </c>
      <c r="AG2607" t="s">
        <v>21774</v>
      </c>
      <c r="AI2607" t="s">
        <v>21775</v>
      </c>
      <c r="AM2607" t="s">
        <v>21776</v>
      </c>
      <c r="AN2607" t="s">
        <v>65</v>
      </c>
      <c r="AO2607" t="s">
        <v>21777</v>
      </c>
      <c r="AP2607" t="s">
        <v>7024</v>
      </c>
      <c r="AQ2607" t="s">
        <v>21778</v>
      </c>
      <c r="AR2607" t="s">
        <v>21779</v>
      </c>
      <c r="AT2607" s="184">
        <v>34425</v>
      </c>
      <c r="AU2607" t="s">
        <v>21780</v>
      </c>
      <c r="AV2607">
        <v>15</v>
      </c>
      <c r="AW2607" s="184">
        <v>45288</v>
      </c>
      <c r="AX2607" t="s">
        <v>21781</v>
      </c>
      <c r="AY2607">
        <v>150</v>
      </c>
      <c r="AZ2607" s="184">
        <v>45288</v>
      </c>
      <c r="BA2607" t="s">
        <v>21781</v>
      </c>
      <c r="BB2607">
        <v>150</v>
      </c>
      <c r="BC2607">
        <v>88</v>
      </c>
      <c r="BD2607">
        <v>1369.97</v>
      </c>
      <c r="BE2607">
        <v>1994</v>
      </c>
      <c r="BF2607">
        <v>42</v>
      </c>
      <c r="BG2607">
        <v>4</v>
      </c>
      <c r="BH2607">
        <v>300</v>
      </c>
      <c r="BI2607">
        <v>27</v>
      </c>
      <c r="BJ2607">
        <v>31</v>
      </c>
      <c r="BK2607">
        <v>24</v>
      </c>
      <c r="BP2607" s="184"/>
    </row>
    <row r="2608" spans="1:68">
      <c r="A2608">
        <v>32023277</v>
      </c>
      <c r="B2608">
        <v>32023277</v>
      </c>
      <c r="C2608" t="s">
        <v>7018</v>
      </c>
      <c r="D2608" t="s">
        <v>595</v>
      </c>
      <c r="E2608" s="184">
        <v>44104</v>
      </c>
      <c r="G2608" s="184"/>
      <c r="I2608" s="184"/>
      <c r="K2608" s="184"/>
      <c r="M2608" s="184"/>
      <c r="O2608" s="184"/>
      <c r="P2608" t="s">
        <v>7045</v>
      </c>
      <c r="Q2608" t="s">
        <v>7020</v>
      </c>
      <c r="R2608" s="184">
        <v>12930</v>
      </c>
      <c r="S2608">
        <v>88</v>
      </c>
      <c r="U2608" t="s">
        <v>7031</v>
      </c>
      <c r="V2608" t="s">
        <v>3373</v>
      </c>
      <c r="W2608" t="s">
        <v>4013</v>
      </c>
      <c r="X2608" t="s">
        <v>21782</v>
      </c>
      <c r="AF2608" t="s">
        <v>21783</v>
      </c>
      <c r="AG2608" t="s">
        <v>3373</v>
      </c>
      <c r="AI2608" t="s">
        <v>21784</v>
      </c>
      <c r="AM2608" t="s">
        <v>21785</v>
      </c>
      <c r="AN2608" t="s">
        <v>2052</v>
      </c>
      <c r="AO2608" t="s">
        <v>21786</v>
      </c>
      <c r="AP2608" t="s">
        <v>7024</v>
      </c>
      <c r="AQ2608" t="s">
        <v>21787</v>
      </c>
      <c r="AR2608" t="s">
        <v>21788</v>
      </c>
      <c r="AT2608" s="184">
        <v>36727</v>
      </c>
      <c r="AU2608" t="s">
        <v>21789</v>
      </c>
      <c r="AV2608">
        <v>15</v>
      </c>
      <c r="AW2608" s="184">
        <v>45412</v>
      </c>
      <c r="AX2608" t="s">
        <v>14823</v>
      </c>
      <c r="AY2608">
        <v>25</v>
      </c>
      <c r="AZ2608" s="184">
        <v>44978</v>
      </c>
      <c r="BA2608" t="s">
        <v>10777</v>
      </c>
      <c r="BB2608">
        <v>35</v>
      </c>
      <c r="BC2608">
        <v>76</v>
      </c>
      <c r="BD2608">
        <v>733</v>
      </c>
      <c r="BE2608">
        <v>2001</v>
      </c>
      <c r="BF2608">
        <v>26</v>
      </c>
      <c r="BG2608">
        <v>2</v>
      </c>
      <c r="BH2608">
        <v>60</v>
      </c>
      <c r="BI2608">
        <v>19</v>
      </c>
      <c r="BJ2608">
        <v>25</v>
      </c>
      <c r="BK2608">
        <v>6</v>
      </c>
      <c r="BP2608" s="184"/>
    </row>
    <row r="2609" spans="1:68">
      <c r="A2609">
        <v>32044562</v>
      </c>
      <c r="B2609">
        <v>32044562</v>
      </c>
      <c r="C2609" t="s">
        <v>7018</v>
      </c>
      <c r="D2609" t="s">
        <v>595</v>
      </c>
      <c r="E2609" s="184">
        <v>43642</v>
      </c>
      <c r="G2609" s="184"/>
      <c r="I2609" s="184"/>
      <c r="K2609" s="184"/>
      <c r="M2609" s="184"/>
      <c r="O2609" s="184"/>
      <c r="P2609" t="s">
        <v>7045</v>
      </c>
      <c r="Q2609" t="s">
        <v>7030</v>
      </c>
      <c r="R2609" s="184">
        <v>13516</v>
      </c>
      <c r="S2609">
        <v>87</v>
      </c>
      <c r="U2609" t="s">
        <v>7031</v>
      </c>
      <c r="V2609" t="s">
        <v>3324</v>
      </c>
      <c r="X2609" t="s">
        <v>3163</v>
      </c>
      <c r="AF2609" t="s">
        <v>21790</v>
      </c>
      <c r="AG2609" t="s">
        <v>3324</v>
      </c>
      <c r="AI2609" t="s">
        <v>21791</v>
      </c>
      <c r="AM2609" t="s">
        <v>3325</v>
      </c>
      <c r="AN2609" t="s">
        <v>2094</v>
      </c>
      <c r="AO2609" t="s">
        <v>21792</v>
      </c>
      <c r="AP2609" t="s">
        <v>7024</v>
      </c>
      <c r="AT2609" s="184">
        <v>36725</v>
      </c>
      <c r="AU2609" t="s">
        <v>21793</v>
      </c>
      <c r="AV2609">
        <v>15</v>
      </c>
      <c r="AW2609" s="184">
        <v>44335</v>
      </c>
      <c r="AX2609" t="s">
        <v>21794</v>
      </c>
      <c r="AY2609">
        <v>25</v>
      </c>
      <c r="AZ2609" s="184">
        <v>37522</v>
      </c>
      <c r="BA2609" t="s">
        <v>21795</v>
      </c>
      <c r="BB2609">
        <v>60</v>
      </c>
      <c r="BC2609">
        <v>76</v>
      </c>
      <c r="BD2609">
        <v>545</v>
      </c>
      <c r="BE2609">
        <v>2001</v>
      </c>
      <c r="BF2609">
        <v>30</v>
      </c>
      <c r="BI2609">
        <v>19</v>
      </c>
      <c r="BJ2609">
        <v>25</v>
      </c>
      <c r="BK2609">
        <v>13</v>
      </c>
      <c r="BP2609" s="184"/>
    </row>
    <row r="2610" spans="1:68">
      <c r="A2610">
        <v>32122160</v>
      </c>
      <c r="B2610">
        <v>32122160</v>
      </c>
      <c r="C2610" t="s">
        <v>7018</v>
      </c>
      <c r="D2610" t="s">
        <v>595</v>
      </c>
      <c r="E2610" s="184">
        <v>43642</v>
      </c>
      <c r="G2610" s="184"/>
      <c r="I2610" s="184"/>
      <c r="K2610" s="184"/>
      <c r="M2610" s="184"/>
      <c r="O2610" s="184"/>
      <c r="P2610" t="s">
        <v>7045</v>
      </c>
      <c r="Q2610" t="s">
        <v>7262</v>
      </c>
      <c r="R2610" s="184">
        <v>14936</v>
      </c>
      <c r="S2610">
        <v>83</v>
      </c>
      <c r="V2610" t="s">
        <v>3326</v>
      </c>
      <c r="X2610" t="s">
        <v>3327</v>
      </c>
      <c r="Z2610">
        <v>100217432</v>
      </c>
      <c r="AB2610" t="s">
        <v>4602</v>
      </c>
      <c r="AD2610" t="s">
        <v>3327</v>
      </c>
      <c r="AF2610" t="s">
        <v>21796</v>
      </c>
      <c r="AG2610" t="s">
        <v>3326</v>
      </c>
      <c r="AI2610" t="s">
        <v>21797</v>
      </c>
      <c r="AM2610" t="s">
        <v>3328</v>
      </c>
      <c r="AN2610" t="s">
        <v>2106</v>
      </c>
      <c r="AO2610" t="s">
        <v>21798</v>
      </c>
      <c r="AP2610" t="s">
        <v>7024</v>
      </c>
      <c r="AQ2610" t="s">
        <v>21799</v>
      </c>
      <c r="AT2610" s="184">
        <v>36731</v>
      </c>
      <c r="AU2610" t="s">
        <v>21800</v>
      </c>
      <c r="AV2610">
        <v>25</v>
      </c>
      <c r="AW2610" s="184">
        <v>45349</v>
      </c>
      <c r="AX2610" t="s">
        <v>9212</v>
      </c>
      <c r="AY2610">
        <v>50</v>
      </c>
      <c r="AZ2610" s="184">
        <v>42964</v>
      </c>
      <c r="BA2610" t="s">
        <v>21801</v>
      </c>
      <c r="BB2610">
        <v>100</v>
      </c>
      <c r="BC2610">
        <v>76</v>
      </c>
      <c r="BD2610">
        <v>1350</v>
      </c>
      <c r="BE2610">
        <v>2001</v>
      </c>
      <c r="BF2610">
        <v>29</v>
      </c>
      <c r="BG2610">
        <v>5</v>
      </c>
      <c r="BH2610">
        <v>250</v>
      </c>
      <c r="BI2610">
        <v>19</v>
      </c>
      <c r="BJ2610">
        <v>25</v>
      </c>
      <c r="BK2610">
        <v>9</v>
      </c>
      <c r="BP2610" s="184"/>
    </row>
    <row r="2611" spans="1:68">
      <c r="A2611">
        <v>100217432</v>
      </c>
      <c r="B2611">
        <v>32122160</v>
      </c>
      <c r="C2611" t="s">
        <v>7018</v>
      </c>
      <c r="D2611" t="s">
        <v>595</v>
      </c>
      <c r="E2611" s="184">
        <v>43642</v>
      </c>
      <c r="G2611" s="184"/>
      <c r="I2611" s="184"/>
      <c r="K2611" s="184"/>
      <c r="M2611" s="184"/>
      <c r="O2611" s="184"/>
      <c r="P2611" t="s">
        <v>7045</v>
      </c>
      <c r="Q2611" t="s">
        <v>7262</v>
      </c>
      <c r="R2611" s="184"/>
      <c r="V2611" t="s">
        <v>4602</v>
      </c>
      <c r="X2611" t="s">
        <v>3327</v>
      </c>
      <c r="Z2611">
        <v>32122160</v>
      </c>
      <c r="AB2611" t="s">
        <v>3326</v>
      </c>
      <c r="AD2611" t="s">
        <v>3327</v>
      </c>
      <c r="AF2611" t="s">
        <v>21796</v>
      </c>
      <c r="AG2611" t="s">
        <v>3326</v>
      </c>
      <c r="AI2611" t="s">
        <v>21797</v>
      </c>
      <c r="AM2611" t="s">
        <v>3328</v>
      </c>
      <c r="AN2611" t="s">
        <v>2106</v>
      </c>
      <c r="AO2611" t="s">
        <v>21798</v>
      </c>
      <c r="AP2611" t="s">
        <v>7024</v>
      </c>
      <c r="AQ2611" t="s">
        <v>21802</v>
      </c>
      <c r="AT2611" s="184"/>
      <c r="AW2611" s="184"/>
      <c r="AZ2611" s="184"/>
      <c r="BO2611" t="s">
        <v>595</v>
      </c>
      <c r="BP2611" s="184"/>
    </row>
    <row r="2612" spans="1:68">
      <c r="A2612">
        <v>32136590</v>
      </c>
      <c r="B2612">
        <v>32136590</v>
      </c>
      <c r="C2612" t="s">
        <v>7018</v>
      </c>
      <c r="D2612" t="s">
        <v>595</v>
      </c>
      <c r="E2612" s="184">
        <v>44073</v>
      </c>
      <c r="G2612" s="184"/>
      <c r="I2612" s="184"/>
      <c r="K2612" s="184"/>
      <c r="M2612" s="184"/>
      <c r="O2612" s="184"/>
      <c r="P2612" t="s">
        <v>7019</v>
      </c>
      <c r="Q2612" t="s">
        <v>7020</v>
      </c>
      <c r="R2612" s="184">
        <v>15585</v>
      </c>
      <c r="S2612">
        <v>81</v>
      </c>
      <c r="V2612" t="s">
        <v>3053</v>
      </c>
      <c r="W2612" t="s">
        <v>3522</v>
      </c>
      <c r="X2612" t="s">
        <v>21803</v>
      </c>
      <c r="AF2612" t="s">
        <v>21804</v>
      </c>
      <c r="AG2612" t="s">
        <v>3053</v>
      </c>
      <c r="AI2612" t="s">
        <v>21805</v>
      </c>
      <c r="AM2612" t="s">
        <v>21806</v>
      </c>
      <c r="AN2612" t="s">
        <v>2112</v>
      </c>
      <c r="AO2612" t="s">
        <v>21807</v>
      </c>
      <c r="AP2612" t="s">
        <v>7024</v>
      </c>
      <c r="AQ2612" t="s">
        <v>21808</v>
      </c>
      <c r="AT2612" s="184">
        <v>36735</v>
      </c>
      <c r="AU2612" t="s">
        <v>21809</v>
      </c>
      <c r="AV2612">
        <v>10</v>
      </c>
      <c r="AW2612" s="184">
        <v>45061</v>
      </c>
      <c r="AX2612" t="s">
        <v>7665</v>
      </c>
      <c r="AY2612">
        <v>60</v>
      </c>
      <c r="AZ2612" s="184">
        <v>41719</v>
      </c>
      <c r="BA2612" t="s">
        <v>21810</v>
      </c>
      <c r="BB2612">
        <v>87</v>
      </c>
      <c r="BC2612">
        <v>84</v>
      </c>
      <c r="BD2612">
        <v>997</v>
      </c>
      <c r="BE2612">
        <v>2001</v>
      </c>
      <c r="BF2612">
        <v>50</v>
      </c>
      <c r="BG2612">
        <v>2</v>
      </c>
      <c r="BH2612">
        <v>85</v>
      </c>
      <c r="BI2612">
        <v>21</v>
      </c>
      <c r="BJ2612">
        <v>25</v>
      </c>
      <c r="BK2612">
        <v>13</v>
      </c>
      <c r="BP2612" s="184"/>
    </row>
    <row r="2613" spans="1:68">
      <c r="A2613">
        <v>32210494</v>
      </c>
      <c r="B2613">
        <v>32210494</v>
      </c>
      <c r="C2613" t="s">
        <v>7018</v>
      </c>
      <c r="D2613" t="s">
        <v>595</v>
      </c>
      <c r="E2613" s="184">
        <v>44328</v>
      </c>
      <c r="G2613" s="184"/>
      <c r="H2613" t="s">
        <v>595</v>
      </c>
      <c r="I2613" s="184">
        <v>44328</v>
      </c>
      <c r="K2613" s="184"/>
      <c r="M2613" s="184"/>
      <c r="O2613" s="184"/>
      <c r="P2613" t="s">
        <v>7019</v>
      </c>
      <c r="Q2613" t="s">
        <v>7262</v>
      </c>
      <c r="R2613" s="184">
        <v>21946</v>
      </c>
      <c r="S2613">
        <v>64</v>
      </c>
      <c r="U2613" t="s">
        <v>7031</v>
      </c>
      <c r="V2613" t="s">
        <v>3632</v>
      </c>
      <c r="X2613" t="s">
        <v>12044</v>
      </c>
      <c r="AF2613" t="s">
        <v>21811</v>
      </c>
      <c r="AG2613" t="s">
        <v>3632</v>
      </c>
      <c r="AI2613" t="s">
        <v>21812</v>
      </c>
      <c r="AM2613" t="s">
        <v>2616</v>
      </c>
      <c r="AN2613" t="s">
        <v>2069</v>
      </c>
      <c r="AO2613" t="s">
        <v>21813</v>
      </c>
      <c r="AP2613" t="s">
        <v>7024</v>
      </c>
      <c r="AQ2613" t="s">
        <v>21814</v>
      </c>
      <c r="AR2613" t="s">
        <v>21815</v>
      </c>
      <c r="AT2613" s="184">
        <v>36740</v>
      </c>
      <c r="AU2613" t="s">
        <v>21816</v>
      </c>
      <c r="AV2613">
        <v>25</v>
      </c>
      <c r="AW2613" s="184">
        <v>44701</v>
      </c>
      <c r="AX2613" t="s">
        <v>21817</v>
      </c>
      <c r="AY2613">
        <v>25</v>
      </c>
      <c r="AZ2613" s="184">
        <v>42401</v>
      </c>
      <c r="BA2613" t="s">
        <v>21818</v>
      </c>
      <c r="BB2613">
        <v>250</v>
      </c>
      <c r="BC2613">
        <v>92</v>
      </c>
      <c r="BD2613">
        <v>4875</v>
      </c>
      <c r="BE2613">
        <v>2001</v>
      </c>
      <c r="BF2613">
        <v>124</v>
      </c>
      <c r="BG2613">
        <v>1</v>
      </c>
      <c r="BH2613">
        <v>25</v>
      </c>
      <c r="BI2613">
        <v>23</v>
      </c>
      <c r="BJ2613">
        <v>25</v>
      </c>
      <c r="BK2613">
        <v>23</v>
      </c>
      <c r="BP2613" s="184"/>
    </row>
    <row r="2614" spans="1:68">
      <c r="A2614">
        <v>32228355</v>
      </c>
      <c r="B2614">
        <v>32228355</v>
      </c>
      <c r="C2614" t="s">
        <v>7018</v>
      </c>
      <c r="E2614" s="184"/>
      <c r="F2614" t="s">
        <v>595</v>
      </c>
      <c r="G2614" s="184">
        <v>43711</v>
      </c>
      <c r="I2614" s="184"/>
      <c r="K2614" s="184"/>
      <c r="M2614" s="184"/>
      <c r="O2614" s="184"/>
      <c r="P2614" t="s">
        <v>7045</v>
      </c>
      <c r="Q2614" t="s">
        <v>7383</v>
      </c>
      <c r="R2614" s="184">
        <v>20302</v>
      </c>
      <c r="S2614">
        <v>68</v>
      </c>
      <c r="V2614" t="s">
        <v>2871</v>
      </c>
      <c r="W2614" t="s">
        <v>4139</v>
      </c>
      <c r="X2614" t="s">
        <v>3760</v>
      </c>
      <c r="AF2614" t="s">
        <v>21819</v>
      </c>
      <c r="AG2614" t="s">
        <v>2871</v>
      </c>
      <c r="AI2614" t="s">
        <v>21820</v>
      </c>
      <c r="AM2614" t="s">
        <v>3761</v>
      </c>
      <c r="AN2614" t="s">
        <v>2059</v>
      </c>
      <c r="AO2614" t="s">
        <v>21821</v>
      </c>
      <c r="AP2614" t="s">
        <v>7024</v>
      </c>
      <c r="AQ2614" t="s">
        <v>21822</v>
      </c>
      <c r="AR2614" t="s">
        <v>21823</v>
      </c>
      <c r="AT2614" s="184">
        <v>36742</v>
      </c>
      <c r="AU2614" t="s">
        <v>21824</v>
      </c>
      <c r="AV2614">
        <v>25</v>
      </c>
      <c r="AW2614" s="184">
        <v>45012</v>
      </c>
      <c r="AX2614" t="s">
        <v>21057</v>
      </c>
      <c r="AY2614">
        <v>50</v>
      </c>
      <c r="AZ2614" s="184">
        <v>39623</v>
      </c>
      <c r="BA2614" t="s">
        <v>21825</v>
      </c>
      <c r="BB2614">
        <v>65</v>
      </c>
      <c r="BC2614">
        <v>80</v>
      </c>
      <c r="BD2614">
        <v>1275</v>
      </c>
      <c r="BE2614">
        <v>2001</v>
      </c>
      <c r="BF2614">
        <v>25</v>
      </c>
      <c r="BG2614">
        <v>1</v>
      </c>
      <c r="BH2614">
        <v>50</v>
      </c>
      <c r="BI2614">
        <v>20</v>
      </c>
      <c r="BJ2614">
        <v>25</v>
      </c>
      <c r="BK2614">
        <v>10</v>
      </c>
      <c r="BP2614" s="184"/>
    </row>
    <row r="2615" spans="1:68">
      <c r="A2615">
        <v>32230104</v>
      </c>
      <c r="B2615">
        <v>32230104</v>
      </c>
      <c r="C2615" t="s">
        <v>7018</v>
      </c>
      <c r="D2615" t="s">
        <v>595</v>
      </c>
      <c r="E2615" s="184">
        <v>44070</v>
      </c>
      <c r="G2615" s="184"/>
      <c r="I2615" s="184"/>
      <c r="K2615" s="184"/>
      <c r="M2615" s="184"/>
      <c r="O2615" s="184"/>
      <c r="P2615" t="s">
        <v>7045</v>
      </c>
      <c r="Q2615" t="s">
        <v>7383</v>
      </c>
      <c r="R2615" s="184">
        <v>11070</v>
      </c>
      <c r="S2615">
        <v>94</v>
      </c>
      <c r="V2615" t="s">
        <v>3478</v>
      </c>
      <c r="X2615" t="s">
        <v>2512</v>
      </c>
      <c r="AF2615" t="s">
        <v>21826</v>
      </c>
      <c r="AG2615" t="s">
        <v>3478</v>
      </c>
      <c r="AI2615" t="s">
        <v>21827</v>
      </c>
      <c r="AM2615" t="s">
        <v>21828</v>
      </c>
      <c r="AN2615" t="s">
        <v>2313</v>
      </c>
      <c r="AO2615" t="s">
        <v>21829</v>
      </c>
      <c r="AP2615" t="s">
        <v>7024</v>
      </c>
      <c r="AQ2615" t="s">
        <v>21830</v>
      </c>
      <c r="AT2615" s="184">
        <v>36742</v>
      </c>
      <c r="AU2615" t="s">
        <v>21831</v>
      </c>
      <c r="AV2615">
        <v>25</v>
      </c>
      <c r="AW2615" s="184">
        <v>44924</v>
      </c>
      <c r="AX2615" t="s">
        <v>21832</v>
      </c>
      <c r="AY2615">
        <v>150</v>
      </c>
      <c r="AZ2615" s="184">
        <v>44924</v>
      </c>
      <c r="BA2615" t="s">
        <v>21832</v>
      </c>
      <c r="BB2615">
        <v>150</v>
      </c>
      <c r="BC2615">
        <v>88</v>
      </c>
      <c r="BD2615">
        <v>2330</v>
      </c>
      <c r="BE2615">
        <v>2001</v>
      </c>
      <c r="BF2615">
        <v>38</v>
      </c>
      <c r="BG2615">
        <v>2</v>
      </c>
      <c r="BH2615">
        <v>250</v>
      </c>
      <c r="BI2615">
        <v>22</v>
      </c>
      <c r="BJ2615">
        <v>25</v>
      </c>
      <c r="BK2615">
        <v>11</v>
      </c>
      <c r="BP2615" s="184"/>
    </row>
    <row r="2616" spans="1:68">
      <c r="A2616">
        <v>32281461</v>
      </c>
      <c r="B2616">
        <v>32281461</v>
      </c>
      <c r="C2616" t="s">
        <v>7018</v>
      </c>
      <c r="E2616" s="184"/>
      <c r="G2616" s="184"/>
      <c r="I2616" s="184"/>
      <c r="J2616" t="s">
        <v>595</v>
      </c>
      <c r="K2616" s="184">
        <v>43881</v>
      </c>
      <c r="M2616" s="184"/>
      <c r="O2616" s="184"/>
      <c r="P2616" t="s">
        <v>7045</v>
      </c>
      <c r="Q2616" t="s">
        <v>7262</v>
      </c>
      <c r="R2616" s="184">
        <v>18203</v>
      </c>
      <c r="S2616">
        <v>74</v>
      </c>
      <c r="U2616" t="s">
        <v>7076</v>
      </c>
      <c r="V2616" t="s">
        <v>3293</v>
      </c>
      <c r="W2616" t="s">
        <v>3226</v>
      </c>
      <c r="X2616" t="s">
        <v>21833</v>
      </c>
      <c r="AF2616" t="s">
        <v>6382</v>
      </c>
      <c r="AG2616" t="s">
        <v>3293</v>
      </c>
      <c r="AI2616" t="s">
        <v>21834</v>
      </c>
      <c r="AM2616" t="s">
        <v>21835</v>
      </c>
      <c r="AN2616" t="s">
        <v>65</v>
      </c>
      <c r="AO2616" t="s">
        <v>21836</v>
      </c>
      <c r="AP2616" t="s">
        <v>7024</v>
      </c>
      <c r="AQ2616" t="s">
        <v>21837</v>
      </c>
      <c r="AT2616" s="184">
        <v>36748</v>
      </c>
      <c r="AU2616" t="s">
        <v>21838</v>
      </c>
      <c r="AV2616">
        <v>20</v>
      </c>
      <c r="AW2616" s="184">
        <v>45408</v>
      </c>
      <c r="AX2616" t="s">
        <v>8483</v>
      </c>
      <c r="AY2616">
        <v>8</v>
      </c>
      <c r="AZ2616" s="184">
        <v>41480</v>
      </c>
      <c r="BA2616" t="s">
        <v>21839</v>
      </c>
      <c r="BB2616">
        <v>25</v>
      </c>
      <c r="BC2616">
        <v>96</v>
      </c>
      <c r="BD2616">
        <v>1630</v>
      </c>
      <c r="BE2616">
        <v>2001</v>
      </c>
      <c r="BF2616">
        <v>154</v>
      </c>
      <c r="BG2616">
        <v>24</v>
      </c>
      <c r="BH2616">
        <v>192</v>
      </c>
      <c r="BI2616">
        <v>24</v>
      </c>
      <c r="BJ2616">
        <v>25</v>
      </c>
      <c r="BK2616">
        <v>15</v>
      </c>
      <c r="BP2616" s="184"/>
    </row>
    <row r="2617" spans="1:68">
      <c r="A2617">
        <v>32289217</v>
      </c>
      <c r="B2617">
        <v>32289217</v>
      </c>
      <c r="C2617" t="s">
        <v>7018</v>
      </c>
      <c r="D2617" t="s">
        <v>595</v>
      </c>
      <c r="E2617" s="184">
        <v>43879</v>
      </c>
      <c r="G2617" s="184"/>
      <c r="I2617" s="184"/>
      <c r="K2617" s="184"/>
      <c r="M2617" s="184"/>
      <c r="O2617" s="184"/>
      <c r="P2617" t="s">
        <v>7045</v>
      </c>
      <c r="Q2617" t="s">
        <v>7262</v>
      </c>
      <c r="R2617" s="184">
        <v>13302</v>
      </c>
      <c r="S2617">
        <v>87</v>
      </c>
      <c r="U2617" t="s">
        <v>7032</v>
      </c>
      <c r="V2617" t="s">
        <v>4764</v>
      </c>
      <c r="X2617" t="s">
        <v>2706</v>
      </c>
      <c r="AF2617" t="s">
        <v>21840</v>
      </c>
      <c r="AG2617" t="s">
        <v>4764</v>
      </c>
      <c r="AI2617" t="s">
        <v>21841</v>
      </c>
      <c r="AM2617" t="s">
        <v>4747</v>
      </c>
      <c r="AN2617" t="s">
        <v>2069</v>
      </c>
      <c r="AO2617" t="s">
        <v>21842</v>
      </c>
      <c r="AP2617" t="s">
        <v>7024</v>
      </c>
      <c r="AQ2617" t="s">
        <v>21843</v>
      </c>
      <c r="AR2617" t="s">
        <v>21844</v>
      </c>
      <c r="AT2617" s="184">
        <v>36746</v>
      </c>
      <c r="AU2617" t="s">
        <v>21845</v>
      </c>
      <c r="AV2617">
        <v>15</v>
      </c>
      <c r="AW2617" s="184">
        <v>44461</v>
      </c>
      <c r="AX2617" t="s">
        <v>7714</v>
      </c>
      <c r="AY2617">
        <v>50</v>
      </c>
      <c r="AZ2617" s="184">
        <v>43828</v>
      </c>
      <c r="BA2617" t="s">
        <v>21846</v>
      </c>
      <c r="BB2617">
        <v>75</v>
      </c>
      <c r="BC2617">
        <v>52</v>
      </c>
      <c r="BD2617">
        <v>590</v>
      </c>
      <c r="BE2617">
        <v>2001</v>
      </c>
      <c r="BF2617">
        <v>14</v>
      </c>
      <c r="BI2617">
        <v>13</v>
      </c>
      <c r="BJ2617">
        <v>25</v>
      </c>
      <c r="BK2617">
        <v>7</v>
      </c>
      <c r="BP2617" s="184"/>
    </row>
    <row r="2618" spans="1:68">
      <c r="A2618">
        <v>32348880</v>
      </c>
      <c r="B2618">
        <v>32348880</v>
      </c>
      <c r="C2618" t="s">
        <v>7018</v>
      </c>
      <c r="D2618" t="s">
        <v>595</v>
      </c>
      <c r="E2618" s="184">
        <v>44438</v>
      </c>
      <c r="G2618" s="184"/>
      <c r="I2618" s="184"/>
      <c r="K2618" s="184"/>
      <c r="M2618" s="184"/>
      <c r="O2618" s="184"/>
      <c r="P2618" t="s">
        <v>7045</v>
      </c>
      <c r="Q2618" t="s">
        <v>7494</v>
      </c>
      <c r="R2618" s="184">
        <v>13881</v>
      </c>
      <c r="S2618">
        <v>86</v>
      </c>
      <c r="U2618" t="s">
        <v>13909</v>
      </c>
      <c r="V2618" t="s">
        <v>205</v>
      </c>
      <c r="W2618" t="s">
        <v>7963</v>
      </c>
      <c r="X2618" t="s">
        <v>5120</v>
      </c>
      <c r="AF2618" t="s">
        <v>21847</v>
      </c>
      <c r="AG2618" t="s">
        <v>21848</v>
      </c>
      <c r="AI2618" t="s">
        <v>21849</v>
      </c>
      <c r="AM2618" t="s">
        <v>3371</v>
      </c>
      <c r="AN2618" t="s">
        <v>2174</v>
      </c>
      <c r="AO2618" t="s">
        <v>21850</v>
      </c>
      <c r="AP2618" t="s">
        <v>7024</v>
      </c>
      <c r="AQ2618" t="s">
        <v>21851</v>
      </c>
      <c r="AT2618" s="184">
        <v>36752</v>
      </c>
      <c r="AU2618" t="s">
        <v>21852</v>
      </c>
      <c r="AV2618">
        <v>15</v>
      </c>
      <c r="AW2618" s="184">
        <v>44340</v>
      </c>
      <c r="AX2618" t="s">
        <v>21853</v>
      </c>
      <c r="AY2618">
        <v>25</v>
      </c>
      <c r="AZ2618" s="184">
        <v>40801</v>
      </c>
      <c r="BA2618" t="s">
        <v>21854</v>
      </c>
      <c r="BB2618">
        <v>150</v>
      </c>
      <c r="BC2618">
        <v>48</v>
      </c>
      <c r="BD2618">
        <v>1005</v>
      </c>
      <c r="BE2618">
        <v>2001</v>
      </c>
      <c r="BF2618">
        <v>15</v>
      </c>
      <c r="BI2618">
        <v>12</v>
      </c>
      <c r="BJ2618">
        <v>25</v>
      </c>
      <c r="BK2618">
        <v>5</v>
      </c>
    </row>
    <row r="2619" spans="1:68">
      <c r="A2619">
        <v>32368599</v>
      </c>
      <c r="B2619">
        <v>32368599</v>
      </c>
      <c r="C2619" t="s">
        <v>7018</v>
      </c>
      <c r="D2619" t="s">
        <v>595</v>
      </c>
      <c r="E2619" s="184">
        <v>43857</v>
      </c>
      <c r="G2619" s="184"/>
      <c r="I2619" s="184"/>
      <c r="K2619" s="184"/>
      <c r="M2619" s="184"/>
      <c r="O2619" s="184"/>
      <c r="P2619" t="s">
        <v>7045</v>
      </c>
      <c r="Q2619" t="s">
        <v>7374</v>
      </c>
      <c r="R2619" s="184">
        <v>21002</v>
      </c>
      <c r="S2619">
        <v>66</v>
      </c>
      <c r="U2619" t="s">
        <v>7076</v>
      </c>
      <c r="V2619" t="s">
        <v>4569</v>
      </c>
      <c r="X2619" t="s">
        <v>4570</v>
      </c>
      <c r="AF2619" t="s">
        <v>21855</v>
      </c>
      <c r="AG2619" t="s">
        <v>4569</v>
      </c>
      <c r="AI2619" t="s">
        <v>21856</v>
      </c>
      <c r="AM2619" t="s">
        <v>4342</v>
      </c>
      <c r="AN2619" t="s">
        <v>2081</v>
      </c>
      <c r="AO2619" t="s">
        <v>21857</v>
      </c>
      <c r="AP2619" t="s">
        <v>7024</v>
      </c>
      <c r="AQ2619" t="s">
        <v>21858</v>
      </c>
      <c r="AR2619" t="s">
        <v>21859</v>
      </c>
      <c r="AT2619" s="184">
        <v>36754</v>
      </c>
      <c r="AU2619" t="s">
        <v>21860</v>
      </c>
      <c r="AV2619">
        <v>20</v>
      </c>
      <c r="AW2619" s="184">
        <v>45397</v>
      </c>
      <c r="AX2619" t="s">
        <v>7429</v>
      </c>
      <c r="AY2619">
        <v>10</v>
      </c>
      <c r="AZ2619" s="184">
        <v>41955</v>
      </c>
      <c r="BA2619" t="s">
        <v>21861</v>
      </c>
      <c r="BB2619">
        <v>100</v>
      </c>
      <c r="BC2619">
        <v>100</v>
      </c>
      <c r="BD2619">
        <v>2022</v>
      </c>
      <c r="BE2619">
        <v>2001</v>
      </c>
      <c r="BF2619">
        <v>161</v>
      </c>
      <c r="BG2619">
        <v>25</v>
      </c>
      <c r="BH2619">
        <v>265</v>
      </c>
      <c r="BI2619">
        <v>25</v>
      </c>
      <c r="BJ2619">
        <v>25</v>
      </c>
      <c r="BK2619">
        <v>25</v>
      </c>
      <c r="BP2619" s="184"/>
    </row>
    <row r="2620" spans="1:68">
      <c r="A2620">
        <v>32376832</v>
      </c>
      <c r="B2620">
        <v>32376832</v>
      </c>
      <c r="C2620" t="s">
        <v>7018</v>
      </c>
      <c r="E2620" s="184"/>
      <c r="F2620" t="s">
        <v>595</v>
      </c>
      <c r="G2620" s="184">
        <v>43731</v>
      </c>
      <c r="I2620" s="184"/>
      <c r="K2620" s="184"/>
      <c r="M2620" s="184"/>
      <c r="O2620" s="184"/>
      <c r="P2620" t="s">
        <v>7045</v>
      </c>
      <c r="Q2620" t="s">
        <v>7454</v>
      </c>
      <c r="R2620" s="184">
        <v>14265</v>
      </c>
      <c r="S2620">
        <v>85</v>
      </c>
      <c r="V2620" t="s">
        <v>4000</v>
      </c>
      <c r="W2620" t="s">
        <v>5006</v>
      </c>
      <c r="X2620" t="s">
        <v>4001</v>
      </c>
      <c r="Z2620">
        <v>100090533</v>
      </c>
      <c r="AB2620" t="s">
        <v>7356</v>
      </c>
      <c r="AC2620" t="s">
        <v>3080</v>
      </c>
      <c r="AD2620" t="s">
        <v>21862</v>
      </c>
      <c r="AF2620" t="s">
        <v>21863</v>
      </c>
      <c r="AG2620" t="s">
        <v>9955</v>
      </c>
      <c r="AI2620" t="s">
        <v>21864</v>
      </c>
      <c r="AM2620" t="s">
        <v>4002</v>
      </c>
      <c r="AN2620" t="s">
        <v>2055</v>
      </c>
      <c r="AO2620" t="s">
        <v>21865</v>
      </c>
      <c r="AP2620" t="s">
        <v>7024</v>
      </c>
      <c r="AQ2620" t="s">
        <v>21866</v>
      </c>
      <c r="AT2620" s="184">
        <v>36759</v>
      </c>
      <c r="AU2620" t="s">
        <v>21867</v>
      </c>
      <c r="AV2620">
        <v>25</v>
      </c>
      <c r="AW2620" s="184">
        <v>43032</v>
      </c>
      <c r="AX2620" t="s">
        <v>17795</v>
      </c>
      <c r="AY2620">
        <v>30</v>
      </c>
      <c r="AZ2620" s="184">
        <v>42511</v>
      </c>
      <c r="BA2620" t="s">
        <v>21868</v>
      </c>
      <c r="BB2620">
        <v>35</v>
      </c>
      <c r="BC2620">
        <v>56</v>
      </c>
      <c r="BD2620">
        <v>984</v>
      </c>
      <c r="BE2620">
        <v>2001</v>
      </c>
      <c r="BF2620">
        <v>41</v>
      </c>
      <c r="BI2620">
        <v>14</v>
      </c>
      <c r="BJ2620">
        <v>25</v>
      </c>
      <c r="BK2620">
        <v>9</v>
      </c>
      <c r="BP2620" s="184"/>
    </row>
    <row r="2621" spans="1:68">
      <c r="A2621">
        <v>100090533</v>
      </c>
      <c r="B2621">
        <v>32376832</v>
      </c>
      <c r="C2621" t="s">
        <v>7018</v>
      </c>
      <c r="E2621" s="184"/>
      <c r="F2621" t="s">
        <v>595</v>
      </c>
      <c r="G2621" s="184">
        <v>43731</v>
      </c>
      <c r="I2621" s="184"/>
      <c r="K2621" s="184"/>
      <c r="M2621" s="184"/>
      <c r="O2621" s="184"/>
      <c r="P2621" t="s">
        <v>7045</v>
      </c>
      <c r="Q2621" t="s">
        <v>7454</v>
      </c>
      <c r="R2621" s="184">
        <v>14246</v>
      </c>
      <c r="S2621">
        <v>85</v>
      </c>
      <c r="V2621" t="s">
        <v>7356</v>
      </c>
      <c r="W2621" t="s">
        <v>3080</v>
      </c>
      <c r="X2621" t="s">
        <v>21862</v>
      </c>
      <c r="Z2621">
        <v>32376832</v>
      </c>
      <c r="AB2621" t="s">
        <v>4000</v>
      </c>
      <c r="AC2621" t="s">
        <v>5006</v>
      </c>
      <c r="AD2621" t="s">
        <v>4001</v>
      </c>
      <c r="AF2621" t="s">
        <v>21863</v>
      </c>
      <c r="AG2621" t="s">
        <v>9955</v>
      </c>
      <c r="AI2621" t="s">
        <v>21864</v>
      </c>
      <c r="AM2621" t="s">
        <v>4002</v>
      </c>
      <c r="AN2621" t="s">
        <v>2055</v>
      </c>
      <c r="AO2621" t="s">
        <v>21865</v>
      </c>
      <c r="AP2621" t="s">
        <v>7024</v>
      </c>
      <c r="AT2621" s="184"/>
      <c r="AW2621" s="184"/>
      <c r="AZ2621" s="184"/>
      <c r="BP2621" s="184"/>
    </row>
    <row r="2622" spans="1:68">
      <c r="A2622">
        <v>32379612</v>
      </c>
      <c r="B2622">
        <v>32379612</v>
      </c>
      <c r="C2622" t="s">
        <v>7018</v>
      </c>
      <c r="E2622" s="184"/>
      <c r="F2622" t="s">
        <v>595</v>
      </c>
      <c r="G2622" s="184">
        <v>44104</v>
      </c>
      <c r="I2622" s="184"/>
      <c r="K2622" s="184"/>
      <c r="M2622" s="184"/>
      <c r="O2622" s="184"/>
      <c r="P2622" t="s">
        <v>7045</v>
      </c>
      <c r="Q2622" t="s">
        <v>7454</v>
      </c>
      <c r="R2622" s="184">
        <v>18933</v>
      </c>
      <c r="S2622">
        <v>72</v>
      </c>
      <c r="U2622" t="s">
        <v>7130</v>
      </c>
      <c r="V2622" t="s">
        <v>2969</v>
      </c>
      <c r="W2622" t="s">
        <v>4139</v>
      </c>
      <c r="X2622" t="s">
        <v>11832</v>
      </c>
      <c r="AF2622" t="s">
        <v>21869</v>
      </c>
      <c r="AG2622" t="s">
        <v>2969</v>
      </c>
      <c r="AI2622" t="s">
        <v>21870</v>
      </c>
      <c r="AM2622" t="s">
        <v>3611</v>
      </c>
      <c r="AN2622" t="s">
        <v>2055</v>
      </c>
      <c r="AO2622" t="s">
        <v>21871</v>
      </c>
      <c r="AP2622" t="s">
        <v>7024</v>
      </c>
      <c r="AT2622" s="184">
        <v>36759</v>
      </c>
      <c r="AU2622" t="s">
        <v>21872</v>
      </c>
      <c r="AV2622">
        <v>25</v>
      </c>
      <c r="AW2622" s="184">
        <v>45362</v>
      </c>
      <c r="AX2622" t="s">
        <v>12134</v>
      </c>
      <c r="AY2622">
        <v>100</v>
      </c>
      <c r="AZ2622" s="184">
        <v>45362</v>
      </c>
      <c r="BA2622" t="s">
        <v>12134</v>
      </c>
      <c r="BB2622">
        <v>100</v>
      </c>
      <c r="BC2622">
        <v>76</v>
      </c>
      <c r="BD2622">
        <v>1775</v>
      </c>
      <c r="BE2622">
        <v>2001</v>
      </c>
      <c r="BF2622">
        <v>22</v>
      </c>
      <c r="BG2622">
        <v>2</v>
      </c>
      <c r="BH2622">
        <v>200</v>
      </c>
      <c r="BI2622">
        <v>19</v>
      </c>
      <c r="BJ2622">
        <v>25</v>
      </c>
      <c r="BK2622">
        <v>7</v>
      </c>
      <c r="BP2622" s="184"/>
    </row>
    <row r="2623" spans="1:68">
      <c r="A2623">
        <v>32382509</v>
      </c>
      <c r="B2623">
        <v>32382509</v>
      </c>
      <c r="C2623" t="s">
        <v>7018</v>
      </c>
      <c r="D2623" t="s">
        <v>595</v>
      </c>
      <c r="E2623" s="184">
        <v>45112</v>
      </c>
      <c r="G2623" s="184"/>
      <c r="I2623" s="184"/>
      <c r="K2623" s="184"/>
      <c r="M2623" s="184"/>
      <c r="O2623" s="184"/>
      <c r="P2623" t="s">
        <v>7045</v>
      </c>
      <c r="Q2623" t="s">
        <v>7262</v>
      </c>
      <c r="R2623" s="184">
        <v>25657</v>
      </c>
      <c r="S2623">
        <v>54</v>
      </c>
      <c r="V2623" t="s">
        <v>2758</v>
      </c>
      <c r="W2623" t="s">
        <v>4013</v>
      </c>
      <c r="X2623" t="s">
        <v>21873</v>
      </c>
      <c r="AF2623" t="s">
        <v>21874</v>
      </c>
      <c r="AG2623" t="s">
        <v>2758</v>
      </c>
      <c r="AI2623" t="s">
        <v>21875</v>
      </c>
      <c r="AM2623" t="s">
        <v>17278</v>
      </c>
      <c r="AN2623" t="s">
        <v>65</v>
      </c>
      <c r="AO2623" t="s">
        <v>21876</v>
      </c>
      <c r="AP2623" t="s">
        <v>7024</v>
      </c>
      <c r="AQ2623" t="s">
        <v>21877</v>
      </c>
      <c r="AT2623" s="184">
        <v>36759</v>
      </c>
      <c r="AU2623" t="s">
        <v>21809</v>
      </c>
      <c r="AV2623">
        <v>20</v>
      </c>
      <c r="AW2623" s="184">
        <v>45100</v>
      </c>
      <c r="AX2623" t="s">
        <v>21878</v>
      </c>
      <c r="AY2623">
        <v>50</v>
      </c>
      <c r="AZ2623" s="184">
        <v>45100</v>
      </c>
      <c r="BA2623" t="s">
        <v>21878</v>
      </c>
      <c r="BB2623">
        <v>50</v>
      </c>
      <c r="BC2623">
        <v>92</v>
      </c>
      <c r="BD2623">
        <v>1190</v>
      </c>
      <c r="BE2623">
        <v>2001</v>
      </c>
      <c r="BF2623">
        <v>147</v>
      </c>
      <c r="BG2623">
        <v>2</v>
      </c>
      <c r="BH2623">
        <v>100</v>
      </c>
      <c r="BI2623">
        <v>23</v>
      </c>
      <c r="BJ2623">
        <v>25</v>
      </c>
      <c r="BK2623">
        <v>17</v>
      </c>
      <c r="BP2623" s="184"/>
    </row>
    <row r="2624" spans="1:68">
      <c r="A2624">
        <v>32397721</v>
      </c>
      <c r="B2624">
        <v>32397721</v>
      </c>
      <c r="C2624" t="s">
        <v>7018</v>
      </c>
      <c r="D2624" t="s">
        <v>595</v>
      </c>
      <c r="E2624" s="184">
        <v>45141</v>
      </c>
      <c r="G2624" s="184"/>
      <c r="I2624" s="184"/>
      <c r="K2624" s="184"/>
      <c r="M2624" s="184"/>
      <c r="O2624" s="184"/>
      <c r="P2624" t="s">
        <v>7045</v>
      </c>
      <c r="Q2624" t="s">
        <v>7262</v>
      </c>
      <c r="R2624" s="184">
        <v>26124</v>
      </c>
      <c r="S2624">
        <v>52</v>
      </c>
      <c r="V2624" t="s">
        <v>3825</v>
      </c>
      <c r="X2624" t="s">
        <v>21879</v>
      </c>
      <c r="AF2624" t="s">
        <v>21880</v>
      </c>
      <c r="AG2624" t="s">
        <v>3825</v>
      </c>
      <c r="AI2624" t="s">
        <v>21881</v>
      </c>
      <c r="AM2624" t="s">
        <v>19338</v>
      </c>
      <c r="AN2624" t="s">
        <v>2069</v>
      </c>
      <c r="AO2624" t="s">
        <v>21882</v>
      </c>
      <c r="AP2624" t="s">
        <v>7024</v>
      </c>
      <c r="AQ2624" t="s">
        <v>21883</v>
      </c>
      <c r="AR2624" t="s">
        <v>21884</v>
      </c>
      <c r="AT2624" s="184">
        <v>36756</v>
      </c>
      <c r="AU2624" t="s">
        <v>21885</v>
      </c>
      <c r="AV2624">
        <v>25</v>
      </c>
      <c r="AW2624" s="184">
        <v>45397</v>
      </c>
      <c r="AX2624" t="s">
        <v>7429</v>
      </c>
      <c r="AY2624">
        <v>20</v>
      </c>
      <c r="AZ2624" s="184">
        <v>42447</v>
      </c>
      <c r="BA2624" t="s">
        <v>21886</v>
      </c>
      <c r="BB2624">
        <v>87</v>
      </c>
      <c r="BC2624">
        <v>68</v>
      </c>
      <c r="BD2624">
        <v>1767</v>
      </c>
      <c r="BE2624">
        <v>2001</v>
      </c>
      <c r="BF2624">
        <v>74</v>
      </c>
      <c r="BG2624">
        <v>24</v>
      </c>
      <c r="BH2624">
        <v>480</v>
      </c>
      <c r="BI2624">
        <v>17</v>
      </c>
      <c r="BJ2624">
        <v>25</v>
      </c>
      <c r="BK2624">
        <v>6</v>
      </c>
      <c r="BP2624" s="184"/>
    </row>
    <row r="2625" spans="1:68">
      <c r="A2625">
        <v>32407405</v>
      </c>
      <c r="B2625">
        <v>32407405</v>
      </c>
      <c r="C2625" t="s">
        <v>7018</v>
      </c>
      <c r="E2625" s="184"/>
      <c r="G2625" s="184"/>
      <c r="I2625" s="184"/>
      <c r="K2625" s="184"/>
      <c r="L2625" t="s">
        <v>595</v>
      </c>
      <c r="M2625" s="184">
        <v>44515</v>
      </c>
      <c r="O2625" s="184"/>
      <c r="P2625" t="s">
        <v>7084</v>
      </c>
      <c r="Q2625" t="s">
        <v>7374</v>
      </c>
      <c r="R2625" s="184">
        <v>18264</v>
      </c>
      <c r="S2625">
        <v>74</v>
      </c>
      <c r="U2625" t="s">
        <v>7032</v>
      </c>
      <c r="V2625" t="s">
        <v>2932</v>
      </c>
      <c r="X2625" t="s">
        <v>9063</v>
      </c>
      <c r="AF2625" t="s">
        <v>21887</v>
      </c>
      <c r="AG2625" t="s">
        <v>2932</v>
      </c>
      <c r="AI2625" t="s">
        <v>21888</v>
      </c>
      <c r="AM2625" t="s">
        <v>21889</v>
      </c>
      <c r="AN2625" t="s">
        <v>2066</v>
      </c>
      <c r="AO2625" t="s">
        <v>21890</v>
      </c>
      <c r="AP2625" t="s">
        <v>7024</v>
      </c>
      <c r="AQ2625" t="s">
        <v>21891</v>
      </c>
      <c r="AT2625" s="184">
        <v>32227</v>
      </c>
      <c r="AU2625" t="s">
        <v>21892</v>
      </c>
      <c r="AV2625">
        <v>22</v>
      </c>
      <c r="AW2625" s="184">
        <v>45271</v>
      </c>
      <c r="AX2625" t="s">
        <v>9245</v>
      </c>
      <c r="AY2625">
        <v>25000</v>
      </c>
      <c r="AZ2625" s="184">
        <v>45271</v>
      </c>
      <c r="BA2625" t="s">
        <v>9245</v>
      </c>
      <c r="BB2625">
        <v>25000</v>
      </c>
      <c r="BC2625">
        <v>46</v>
      </c>
      <c r="BD2625">
        <v>90339.5</v>
      </c>
      <c r="BE2625">
        <v>1988</v>
      </c>
      <c r="BF2625">
        <v>18</v>
      </c>
      <c r="BG2625">
        <v>2</v>
      </c>
      <c r="BH2625">
        <v>50000</v>
      </c>
      <c r="BI2625">
        <v>17</v>
      </c>
      <c r="BJ2625">
        <v>37</v>
      </c>
      <c r="BK2625">
        <v>9</v>
      </c>
    </row>
    <row r="2626" spans="1:68">
      <c r="A2626">
        <v>32430589</v>
      </c>
      <c r="B2626">
        <v>32430589</v>
      </c>
      <c r="C2626" t="s">
        <v>7018</v>
      </c>
      <c r="E2626" s="184"/>
      <c r="G2626" s="184"/>
      <c r="I2626" s="184"/>
      <c r="J2626" t="s">
        <v>595</v>
      </c>
      <c r="K2626" s="184">
        <v>43620</v>
      </c>
      <c r="M2626" s="184"/>
      <c r="O2626" s="184"/>
      <c r="P2626" t="s">
        <v>7045</v>
      </c>
      <c r="Q2626" t="s">
        <v>7262</v>
      </c>
      <c r="R2626" s="184">
        <v>16254</v>
      </c>
      <c r="S2626">
        <v>79</v>
      </c>
      <c r="U2626" t="s">
        <v>7076</v>
      </c>
      <c r="V2626" t="s">
        <v>2922</v>
      </c>
      <c r="W2626" t="s">
        <v>3830</v>
      </c>
      <c r="X2626" t="s">
        <v>21893</v>
      </c>
      <c r="AF2626" t="s">
        <v>6104</v>
      </c>
      <c r="AG2626" t="s">
        <v>2922</v>
      </c>
      <c r="AI2626" t="s">
        <v>21894</v>
      </c>
      <c r="AM2626" t="s">
        <v>2924</v>
      </c>
      <c r="AN2626" t="s">
        <v>65</v>
      </c>
      <c r="AO2626" t="s">
        <v>21895</v>
      </c>
      <c r="AP2626" t="s">
        <v>7024</v>
      </c>
      <c r="AQ2626" t="s">
        <v>21896</v>
      </c>
      <c r="AT2626" s="184">
        <v>36759</v>
      </c>
      <c r="AU2626" t="s">
        <v>21897</v>
      </c>
      <c r="AV2626">
        <v>30</v>
      </c>
      <c r="AW2626" s="184">
        <v>44039</v>
      </c>
      <c r="AX2626" t="s">
        <v>21898</v>
      </c>
      <c r="AY2626">
        <v>250</v>
      </c>
      <c r="AZ2626" s="184">
        <v>43353</v>
      </c>
      <c r="BA2626" t="s">
        <v>21899</v>
      </c>
      <c r="BB2626">
        <v>300</v>
      </c>
      <c r="BC2626">
        <v>84</v>
      </c>
      <c r="BD2626">
        <v>5830</v>
      </c>
      <c r="BE2626">
        <v>2001</v>
      </c>
      <c r="BF2626">
        <v>46</v>
      </c>
      <c r="BI2626">
        <v>21</v>
      </c>
      <c r="BJ2626">
        <v>25</v>
      </c>
      <c r="BK2626">
        <v>21</v>
      </c>
      <c r="BN2626" t="s">
        <v>595</v>
      </c>
      <c r="BP2626" s="184"/>
    </row>
    <row r="2627" spans="1:68">
      <c r="A2627">
        <v>32438194</v>
      </c>
      <c r="B2627">
        <v>32438194</v>
      </c>
      <c r="C2627" t="s">
        <v>7018</v>
      </c>
      <c r="D2627" t="s">
        <v>595</v>
      </c>
      <c r="E2627" s="184">
        <v>45195</v>
      </c>
      <c r="G2627" s="184"/>
      <c r="K2627" s="184"/>
      <c r="M2627" s="184"/>
      <c r="O2627" s="184"/>
      <c r="P2627" t="s">
        <v>7045</v>
      </c>
      <c r="Q2627" t="s">
        <v>7383</v>
      </c>
      <c r="R2627" s="184">
        <v>24840</v>
      </c>
      <c r="S2627">
        <v>56</v>
      </c>
      <c r="U2627" t="s">
        <v>7031</v>
      </c>
      <c r="V2627" t="s">
        <v>2536</v>
      </c>
      <c r="W2627" t="s">
        <v>4139</v>
      </c>
      <c r="X2627" t="s">
        <v>4024</v>
      </c>
      <c r="AF2627" t="s">
        <v>21900</v>
      </c>
      <c r="AG2627" t="s">
        <v>2536</v>
      </c>
      <c r="AI2627" t="s">
        <v>21901</v>
      </c>
      <c r="AM2627" t="s">
        <v>4091</v>
      </c>
      <c r="AN2627" t="s">
        <v>2064</v>
      </c>
      <c r="AO2627" t="s">
        <v>21902</v>
      </c>
      <c r="AP2627" t="s">
        <v>7024</v>
      </c>
      <c r="AQ2627" t="s">
        <v>21903</v>
      </c>
      <c r="AT2627" s="184">
        <v>36767</v>
      </c>
      <c r="AU2627" t="s">
        <v>21789</v>
      </c>
      <c r="AV2627">
        <v>15</v>
      </c>
      <c r="AW2627" s="184">
        <v>45408</v>
      </c>
      <c r="AX2627" t="s">
        <v>8483</v>
      </c>
      <c r="AY2627">
        <v>10</v>
      </c>
      <c r="AZ2627" s="184">
        <v>37467</v>
      </c>
      <c r="BA2627" t="s">
        <v>21904</v>
      </c>
      <c r="BB2627">
        <v>60</v>
      </c>
      <c r="BC2627">
        <v>100</v>
      </c>
      <c r="BD2627">
        <v>2735</v>
      </c>
      <c r="BE2627">
        <v>2001</v>
      </c>
      <c r="BF2627">
        <v>260</v>
      </c>
      <c r="BG2627">
        <v>24</v>
      </c>
      <c r="BH2627">
        <v>240</v>
      </c>
      <c r="BI2627">
        <v>25</v>
      </c>
      <c r="BJ2627">
        <v>25</v>
      </c>
      <c r="BK2627">
        <v>25</v>
      </c>
    </row>
    <row r="2628" spans="1:68">
      <c r="A2628">
        <v>32483232</v>
      </c>
      <c r="B2628">
        <v>32483232</v>
      </c>
      <c r="C2628" t="s">
        <v>7018</v>
      </c>
      <c r="E2628" s="184"/>
      <c r="G2628" s="184"/>
      <c r="I2628" s="184"/>
      <c r="J2628" t="s">
        <v>595</v>
      </c>
      <c r="K2628" s="184">
        <v>41205</v>
      </c>
      <c r="M2628" s="184"/>
      <c r="O2628" s="184"/>
      <c r="P2628" t="s">
        <v>7045</v>
      </c>
      <c r="Q2628" t="s">
        <v>7454</v>
      </c>
      <c r="R2628" s="184">
        <v>20241</v>
      </c>
      <c r="S2628">
        <v>68</v>
      </c>
      <c r="U2628" t="s">
        <v>7076</v>
      </c>
      <c r="V2628" t="s">
        <v>3011</v>
      </c>
      <c r="X2628" t="s">
        <v>21905</v>
      </c>
      <c r="AF2628" t="s">
        <v>6409</v>
      </c>
      <c r="AG2628" t="s">
        <v>3011</v>
      </c>
      <c r="AI2628" t="s">
        <v>21906</v>
      </c>
      <c r="AM2628" t="s">
        <v>21907</v>
      </c>
      <c r="AN2628" t="s">
        <v>2055</v>
      </c>
      <c r="AO2628">
        <v>98362</v>
      </c>
      <c r="AP2628" t="s">
        <v>7024</v>
      </c>
      <c r="AQ2628" t="s">
        <v>21908</v>
      </c>
      <c r="AR2628" t="s">
        <v>21909</v>
      </c>
      <c r="AT2628" s="184">
        <v>36768</v>
      </c>
      <c r="AU2628" t="s">
        <v>21910</v>
      </c>
      <c r="AV2628">
        <v>35</v>
      </c>
      <c r="AW2628" s="184">
        <v>44499</v>
      </c>
      <c r="AX2628" t="s">
        <v>21911</v>
      </c>
      <c r="AY2628">
        <v>50</v>
      </c>
      <c r="AZ2628" s="184">
        <v>39447</v>
      </c>
      <c r="BA2628" t="s">
        <v>21912</v>
      </c>
      <c r="BB2628">
        <v>150</v>
      </c>
      <c r="BC2628">
        <v>52</v>
      </c>
      <c r="BD2628">
        <v>1245</v>
      </c>
      <c r="BE2628">
        <v>2001</v>
      </c>
      <c r="BF2628">
        <v>17</v>
      </c>
      <c r="BI2628">
        <v>13</v>
      </c>
      <c r="BJ2628">
        <v>25</v>
      </c>
      <c r="BK2628">
        <v>4</v>
      </c>
      <c r="BM2628" t="s">
        <v>595</v>
      </c>
    </row>
    <row r="2629" spans="1:68">
      <c r="A2629">
        <v>32522138</v>
      </c>
      <c r="B2629">
        <v>32522138</v>
      </c>
      <c r="C2629" t="s">
        <v>7018</v>
      </c>
      <c r="D2629" t="s">
        <v>595</v>
      </c>
      <c r="E2629" s="184">
        <v>45180</v>
      </c>
      <c r="G2629" s="184"/>
      <c r="I2629" s="184"/>
      <c r="K2629" s="184"/>
      <c r="M2629" s="184"/>
      <c r="O2629" s="184"/>
      <c r="P2629" t="s">
        <v>7045</v>
      </c>
      <c r="Q2629" t="s">
        <v>7160</v>
      </c>
      <c r="R2629" s="184">
        <v>22463</v>
      </c>
      <c r="S2629">
        <v>62</v>
      </c>
      <c r="V2629" t="s">
        <v>2551</v>
      </c>
      <c r="X2629" t="s">
        <v>2657</v>
      </c>
      <c r="AF2629" t="s">
        <v>21913</v>
      </c>
      <c r="AG2629" t="s">
        <v>2551</v>
      </c>
      <c r="AI2629" t="s">
        <v>21914</v>
      </c>
      <c r="AM2629" t="s">
        <v>3262</v>
      </c>
      <c r="AN2629" t="s">
        <v>2675</v>
      </c>
      <c r="AO2629" t="s">
        <v>21915</v>
      </c>
      <c r="AP2629" t="s">
        <v>7024</v>
      </c>
      <c r="AQ2629" t="s">
        <v>21916</v>
      </c>
      <c r="AT2629" s="184">
        <v>36777</v>
      </c>
      <c r="AU2629" t="s">
        <v>21917</v>
      </c>
      <c r="AV2629">
        <v>20</v>
      </c>
      <c r="AW2629" s="184">
        <v>45028</v>
      </c>
      <c r="AX2629" t="s">
        <v>10966</v>
      </c>
      <c r="AY2629">
        <v>25</v>
      </c>
      <c r="AZ2629" s="184">
        <v>45028</v>
      </c>
      <c r="BA2629" t="s">
        <v>10966</v>
      </c>
      <c r="BB2629">
        <v>25</v>
      </c>
      <c r="BC2629">
        <v>60</v>
      </c>
      <c r="BD2629">
        <v>775</v>
      </c>
      <c r="BE2629">
        <v>2001</v>
      </c>
      <c r="BF2629">
        <v>34</v>
      </c>
      <c r="BG2629">
        <v>3</v>
      </c>
      <c r="BH2629">
        <v>75</v>
      </c>
      <c r="BI2629">
        <v>15</v>
      </c>
      <c r="BJ2629">
        <v>25</v>
      </c>
      <c r="BK2629">
        <v>7</v>
      </c>
      <c r="BP2629" s="184"/>
    </row>
    <row r="2630" spans="1:68">
      <c r="A2630">
        <v>32530735</v>
      </c>
      <c r="B2630">
        <v>32530735</v>
      </c>
      <c r="C2630" t="s">
        <v>7018</v>
      </c>
      <c r="D2630" t="s">
        <v>595</v>
      </c>
      <c r="E2630" s="184">
        <v>44167</v>
      </c>
      <c r="I2630" s="184"/>
      <c r="K2630" s="184"/>
      <c r="M2630" s="184"/>
      <c r="O2630" s="184"/>
      <c r="P2630" t="s">
        <v>7045</v>
      </c>
      <c r="Q2630" t="s">
        <v>7383</v>
      </c>
      <c r="R2630" s="184">
        <v>18290</v>
      </c>
      <c r="S2630">
        <v>74</v>
      </c>
      <c r="V2630" t="s">
        <v>2697</v>
      </c>
      <c r="X2630" t="s">
        <v>21918</v>
      </c>
      <c r="AF2630" t="s">
        <v>21919</v>
      </c>
      <c r="AG2630" t="s">
        <v>2697</v>
      </c>
      <c r="AI2630" t="s">
        <v>21920</v>
      </c>
      <c r="AM2630" t="s">
        <v>4725</v>
      </c>
      <c r="AN2630" t="s">
        <v>2059</v>
      </c>
      <c r="AO2630" t="s">
        <v>21921</v>
      </c>
      <c r="AP2630" t="s">
        <v>7024</v>
      </c>
      <c r="AQ2630" t="s">
        <v>21922</v>
      </c>
      <c r="AT2630" s="184">
        <v>36780</v>
      </c>
      <c r="AU2630" t="s">
        <v>21923</v>
      </c>
      <c r="AV2630">
        <v>20</v>
      </c>
      <c r="AW2630" s="184">
        <v>45051</v>
      </c>
      <c r="AX2630" t="s">
        <v>12922</v>
      </c>
      <c r="AY2630">
        <v>25</v>
      </c>
      <c r="AZ2630" s="184">
        <v>45051</v>
      </c>
      <c r="BA2630" t="s">
        <v>12922</v>
      </c>
      <c r="BB2630">
        <v>25</v>
      </c>
      <c r="BC2630">
        <v>88</v>
      </c>
      <c r="BD2630">
        <v>670</v>
      </c>
      <c r="BE2630">
        <v>2001</v>
      </c>
      <c r="BF2630">
        <v>27</v>
      </c>
      <c r="BG2630">
        <v>1</v>
      </c>
      <c r="BH2630">
        <v>25</v>
      </c>
      <c r="BI2630">
        <v>22</v>
      </c>
      <c r="BJ2630">
        <v>25</v>
      </c>
      <c r="BK2630">
        <v>9</v>
      </c>
      <c r="BN2630" t="s">
        <v>595</v>
      </c>
      <c r="BP2630" s="184"/>
    </row>
    <row r="2631" spans="1:68">
      <c r="A2631">
        <v>32577702</v>
      </c>
      <c r="B2631">
        <v>32577702</v>
      </c>
      <c r="C2631" t="s">
        <v>7018</v>
      </c>
      <c r="E2631" s="184"/>
      <c r="G2631" s="184"/>
      <c r="I2631" s="184"/>
      <c r="K2631" s="184"/>
      <c r="M2631" s="184"/>
      <c r="N2631" t="s">
        <v>595</v>
      </c>
      <c r="O2631" s="184">
        <v>41904</v>
      </c>
      <c r="P2631" t="s">
        <v>7045</v>
      </c>
      <c r="Q2631" t="s">
        <v>7020</v>
      </c>
      <c r="R2631" s="184">
        <v>12254</v>
      </c>
      <c r="S2631">
        <v>90</v>
      </c>
      <c r="U2631" t="s">
        <v>7031</v>
      </c>
      <c r="V2631" t="s">
        <v>3740</v>
      </c>
      <c r="W2631" t="s">
        <v>2316</v>
      </c>
      <c r="X2631" t="s">
        <v>5427</v>
      </c>
      <c r="Z2631">
        <v>100091207</v>
      </c>
      <c r="AA2631" t="s">
        <v>7076</v>
      </c>
      <c r="AB2631" t="s">
        <v>2876</v>
      </c>
      <c r="AC2631" t="s">
        <v>7085</v>
      </c>
      <c r="AD2631" t="s">
        <v>5427</v>
      </c>
      <c r="AF2631" t="s">
        <v>21924</v>
      </c>
      <c r="AG2631" t="s">
        <v>21925</v>
      </c>
      <c r="AI2631" t="s">
        <v>21926</v>
      </c>
      <c r="AM2631" t="s">
        <v>5428</v>
      </c>
      <c r="AN2631" t="s">
        <v>2129</v>
      </c>
      <c r="AO2631" t="s">
        <v>21927</v>
      </c>
      <c r="AP2631" t="s">
        <v>7024</v>
      </c>
      <c r="AQ2631" t="s">
        <v>21928</v>
      </c>
      <c r="AT2631" s="184">
        <v>36783</v>
      </c>
      <c r="AU2631" t="s">
        <v>21929</v>
      </c>
      <c r="AV2631">
        <v>25</v>
      </c>
      <c r="AW2631" s="184">
        <v>44207</v>
      </c>
      <c r="AX2631" t="s">
        <v>7099</v>
      </c>
      <c r="AY2631">
        <v>25</v>
      </c>
      <c r="AZ2631" s="184">
        <v>42422</v>
      </c>
      <c r="BA2631" t="s">
        <v>7100</v>
      </c>
      <c r="BB2631">
        <v>50000</v>
      </c>
      <c r="BC2631">
        <v>64</v>
      </c>
      <c r="BD2631">
        <v>102375</v>
      </c>
      <c r="BE2631">
        <v>2001</v>
      </c>
      <c r="BF2631">
        <v>21</v>
      </c>
      <c r="BI2631">
        <v>16</v>
      </c>
      <c r="BJ2631">
        <v>25</v>
      </c>
      <c r="BK2631">
        <v>10</v>
      </c>
      <c r="BP2631" s="184"/>
    </row>
    <row r="2632" spans="1:68">
      <c r="A2632">
        <v>100091207</v>
      </c>
      <c r="B2632">
        <v>32577702</v>
      </c>
      <c r="C2632" t="s">
        <v>7018</v>
      </c>
      <c r="E2632" s="184"/>
      <c r="G2632" s="184"/>
      <c r="I2632" s="184"/>
      <c r="K2632" s="184"/>
      <c r="M2632" s="184"/>
      <c r="N2632" t="s">
        <v>595</v>
      </c>
      <c r="O2632" s="184">
        <v>43084</v>
      </c>
      <c r="P2632" t="s">
        <v>7045</v>
      </c>
      <c r="Q2632" t="s">
        <v>7020</v>
      </c>
      <c r="R2632" s="184">
        <v>12284</v>
      </c>
      <c r="S2632">
        <v>90</v>
      </c>
      <c r="U2632" t="s">
        <v>7076</v>
      </c>
      <c r="V2632" t="s">
        <v>2876</v>
      </c>
      <c r="W2632" t="s">
        <v>7085</v>
      </c>
      <c r="X2632" t="s">
        <v>5427</v>
      </c>
      <c r="Z2632">
        <v>32577702</v>
      </c>
      <c r="AA2632" t="s">
        <v>7031</v>
      </c>
      <c r="AB2632" t="s">
        <v>3740</v>
      </c>
      <c r="AC2632" t="s">
        <v>2316</v>
      </c>
      <c r="AD2632" t="s">
        <v>5427</v>
      </c>
      <c r="AF2632" t="s">
        <v>21924</v>
      </c>
      <c r="AG2632" t="s">
        <v>21925</v>
      </c>
      <c r="AI2632" t="s">
        <v>21926</v>
      </c>
      <c r="AM2632" t="s">
        <v>5428</v>
      </c>
      <c r="AN2632" t="s">
        <v>2129</v>
      </c>
      <c r="AO2632" t="s">
        <v>21927</v>
      </c>
      <c r="AP2632" t="s">
        <v>7024</v>
      </c>
      <c r="AT2632" s="184"/>
      <c r="AW2632" s="184"/>
      <c r="AZ2632" s="184"/>
      <c r="BP2632" s="184"/>
    </row>
    <row r="2633" spans="1:68">
      <c r="A2633">
        <v>32583510</v>
      </c>
      <c r="B2633">
        <v>32583510</v>
      </c>
      <c r="C2633" t="s">
        <v>7018</v>
      </c>
      <c r="D2633" t="s">
        <v>595</v>
      </c>
      <c r="E2633" s="184">
        <v>45181</v>
      </c>
      <c r="G2633" s="184"/>
      <c r="I2633" s="184"/>
      <c r="K2633" s="184"/>
      <c r="M2633" s="184"/>
      <c r="O2633" s="184"/>
      <c r="P2633" t="s">
        <v>7045</v>
      </c>
      <c r="Q2633" t="s">
        <v>7374</v>
      </c>
      <c r="R2633" s="184">
        <v>22505</v>
      </c>
      <c r="S2633">
        <v>62</v>
      </c>
      <c r="U2633" t="s">
        <v>7031</v>
      </c>
      <c r="V2633" t="s">
        <v>2511</v>
      </c>
      <c r="W2633" t="s">
        <v>2058</v>
      </c>
      <c r="X2633" t="s">
        <v>4228</v>
      </c>
      <c r="AF2633" t="s">
        <v>21930</v>
      </c>
      <c r="AG2633" t="s">
        <v>2511</v>
      </c>
      <c r="AI2633" t="s">
        <v>21931</v>
      </c>
      <c r="AM2633" t="s">
        <v>21932</v>
      </c>
      <c r="AN2633" t="s">
        <v>2066</v>
      </c>
      <c r="AO2633" t="s">
        <v>21933</v>
      </c>
      <c r="AP2633" t="s">
        <v>7024</v>
      </c>
      <c r="AQ2633" t="s">
        <v>21934</v>
      </c>
      <c r="AR2633" t="s">
        <v>21935</v>
      </c>
      <c r="AT2633" s="184">
        <v>36782</v>
      </c>
      <c r="AU2633" t="s">
        <v>21936</v>
      </c>
      <c r="AV2633">
        <v>25</v>
      </c>
      <c r="AW2633" s="184">
        <v>45345</v>
      </c>
      <c r="AX2633" t="s">
        <v>18397</v>
      </c>
      <c r="AY2633">
        <v>50</v>
      </c>
      <c r="AZ2633" s="184">
        <v>45345</v>
      </c>
      <c r="BA2633" t="s">
        <v>18397</v>
      </c>
      <c r="BB2633">
        <v>50</v>
      </c>
      <c r="BC2633">
        <v>44</v>
      </c>
      <c r="BD2633">
        <v>470</v>
      </c>
      <c r="BE2633">
        <v>2001</v>
      </c>
      <c r="BF2633">
        <v>13</v>
      </c>
      <c r="BG2633">
        <v>3</v>
      </c>
      <c r="BH2633">
        <v>150</v>
      </c>
      <c r="BI2633">
        <v>11</v>
      </c>
      <c r="BJ2633">
        <v>25</v>
      </c>
      <c r="BK2633">
        <v>8</v>
      </c>
      <c r="BP2633" s="184"/>
    </row>
    <row r="2634" spans="1:68">
      <c r="A2634">
        <v>32613689</v>
      </c>
      <c r="B2634">
        <v>32613689</v>
      </c>
      <c r="C2634" t="s">
        <v>7018</v>
      </c>
      <c r="E2634" s="184"/>
      <c r="G2634" s="184"/>
      <c r="I2634" s="184"/>
      <c r="J2634" t="s">
        <v>595</v>
      </c>
      <c r="K2634" s="184">
        <v>44073</v>
      </c>
      <c r="M2634" s="184"/>
      <c r="O2634" s="184"/>
      <c r="P2634" t="s">
        <v>7019</v>
      </c>
      <c r="Q2634" t="s">
        <v>7383</v>
      </c>
      <c r="R2634" s="184">
        <v>17754</v>
      </c>
      <c r="S2634">
        <v>75</v>
      </c>
      <c r="U2634" t="s">
        <v>7076</v>
      </c>
      <c r="V2634" t="s">
        <v>7341</v>
      </c>
      <c r="X2634" t="s">
        <v>21937</v>
      </c>
      <c r="AF2634" t="s">
        <v>21938</v>
      </c>
      <c r="AG2634" t="s">
        <v>7341</v>
      </c>
      <c r="AI2634" t="s">
        <v>21939</v>
      </c>
      <c r="AM2634" t="s">
        <v>3911</v>
      </c>
      <c r="AN2634" t="s">
        <v>2274</v>
      </c>
      <c r="AO2634" t="s">
        <v>21940</v>
      </c>
      <c r="AP2634" t="s">
        <v>7024</v>
      </c>
      <c r="AQ2634" t="s">
        <v>21941</v>
      </c>
      <c r="AR2634" t="s">
        <v>21942</v>
      </c>
      <c r="AT2634" s="184">
        <v>36789</v>
      </c>
      <c r="AU2634" t="s">
        <v>21943</v>
      </c>
      <c r="AV2634">
        <v>15</v>
      </c>
      <c r="AW2634" s="184">
        <v>45054</v>
      </c>
      <c r="AX2634" t="s">
        <v>10966</v>
      </c>
      <c r="AY2634">
        <v>60</v>
      </c>
      <c r="AZ2634" s="184">
        <v>41827</v>
      </c>
      <c r="BA2634" t="s">
        <v>21944</v>
      </c>
      <c r="BB2634">
        <v>90</v>
      </c>
      <c r="BC2634">
        <v>72</v>
      </c>
      <c r="BD2634">
        <v>979</v>
      </c>
      <c r="BE2634">
        <v>2001</v>
      </c>
      <c r="BF2634">
        <v>22</v>
      </c>
      <c r="BG2634">
        <v>2</v>
      </c>
      <c r="BH2634">
        <v>85</v>
      </c>
      <c r="BI2634">
        <v>18</v>
      </c>
      <c r="BJ2634">
        <v>25</v>
      </c>
      <c r="BK2634">
        <v>10</v>
      </c>
      <c r="BP2634" s="184"/>
    </row>
    <row r="2635" spans="1:68">
      <c r="A2635">
        <v>32622664</v>
      </c>
      <c r="B2635">
        <v>32622664</v>
      </c>
      <c r="C2635" t="s">
        <v>7018</v>
      </c>
      <c r="D2635" t="s">
        <v>595</v>
      </c>
      <c r="E2635" s="184">
        <v>44167</v>
      </c>
      <c r="G2635" s="184"/>
      <c r="I2635" s="184"/>
      <c r="K2635" s="184"/>
      <c r="M2635" s="184"/>
      <c r="P2635" t="s">
        <v>7045</v>
      </c>
      <c r="Q2635" t="s">
        <v>7160</v>
      </c>
      <c r="R2635" s="184">
        <v>17303</v>
      </c>
      <c r="S2635">
        <v>76</v>
      </c>
      <c r="V2635" t="s">
        <v>2718</v>
      </c>
      <c r="X2635" t="s">
        <v>21945</v>
      </c>
      <c r="AF2635" t="s">
        <v>21946</v>
      </c>
      <c r="AG2635" t="s">
        <v>2718</v>
      </c>
      <c r="AI2635" t="s">
        <v>21947</v>
      </c>
      <c r="AM2635" t="s">
        <v>2844</v>
      </c>
      <c r="AN2635" t="s">
        <v>2176</v>
      </c>
      <c r="AO2635" t="s">
        <v>21948</v>
      </c>
      <c r="AP2635" t="s">
        <v>7024</v>
      </c>
      <c r="AQ2635" t="s">
        <v>21949</v>
      </c>
      <c r="AT2635" s="184">
        <v>36794</v>
      </c>
      <c r="AU2635" t="s">
        <v>21929</v>
      </c>
      <c r="AV2635">
        <v>15</v>
      </c>
      <c r="AW2635" s="184">
        <v>45043</v>
      </c>
      <c r="AX2635" t="s">
        <v>15637</v>
      </c>
      <c r="AY2635">
        <v>100</v>
      </c>
      <c r="AZ2635" s="184">
        <v>45043</v>
      </c>
      <c r="BA2635" t="s">
        <v>15637</v>
      </c>
      <c r="BB2635">
        <v>100</v>
      </c>
      <c r="BC2635">
        <v>80</v>
      </c>
      <c r="BD2635">
        <v>1510</v>
      </c>
      <c r="BE2635">
        <v>2001</v>
      </c>
      <c r="BF2635">
        <v>21</v>
      </c>
      <c r="BG2635">
        <v>1</v>
      </c>
      <c r="BH2635">
        <v>100</v>
      </c>
      <c r="BI2635">
        <v>20</v>
      </c>
      <c r="BJ2635">
        <v>25</v>
      </c>
      <c r="BK2635">
        <v>13</v>
      </c>
      <c r="BP2635" s="184"/>
    </row>
    <row r="2636" spans="1:68">
      <c r="A2636">
        <v>32634362</v>
      </c>
      <c r="B2636">
        <v>32634362</v>
      </c>
      <c r="C2636" t="s">
        <v>7018</v>
      </c>
      <c r="D2636" t="s">
        <v>595</v>
      </c>
      <c r="E2636" s="184">
        <v>44104</v>
      </c>
      <c r="G2636" s="184"/>
      <c r="I2636" s="184"/>
      <c r="K2636" s="184"/>
      <c r="M2636" s="184"/>
      <c r="O2636" s="184"/>
      <c r="P2636" t="s">
        <v>7045</v>
      </c>
      <c r="Q2636" t="s">
        <v>7383</v>
      </c>
      <c r="R2636" s="184">
        <v>15497</v>
      </c>
      <c r="S2636">
        <v>81</v>
      </c>
      <c r="V2636" t="s">
        <v>2593</v>
      </c>
      <c r="X2636" t="s">
        <v>5410</v>
      </c>
      <c r="AF2636" t="s">
        <v>21950</v>
      </c>
      <c r="AG2636" t="s">
        <v>2593</v>
      </c>
      <c r="AI2636" t="s">
        <v>21951</v>
      </c>
      <c r="AM2636" t="s">
        <v>21952</v>
      </c>
      <c r="AN2636" t="s">
        <v>2059</v>
      </c>
      <c r="AO2636" t="s">
        <v>21953</v>
      </c>
      <c r="AP2636" t="s">
        <v>7024</v>
      </c>
      <c r="AT2636" s="184">
        <v>36795</v>
      </c>
      <c r="AU2636" t="s">
        <v>21954</v>
      </c>
      <c r="AV2636">
        <v>15</v>
      </c>
      <c r="AW2636" s="184">
        <v>45289</v>
      </c>
      <c r="AX2636" t="s">
        <v>21955</v>
      </c>
      <c r="AY2636">
        <v>25</v>
      </c>
      <c r="AZ2636" s="184">
        <v>42558</v>
      </c>
      <c r="BA2636" t="s">
        <v>21956</v>
      </c>
      <c r="BB2636">
        <v>100</v>
      </c>
      <c r="BC2636">
        <v>76</v>
      </c>
      <c r="BD2636">
        <v>1555</v>
      </c>
      <c r="BE2636">
        <v>2001</v>
      </c>
      <c r="BF2636">
        <v>39</v>
      </c>
      <c r="BG2636">
        <v>2</v>
      </c>
      <c r="BH2636">
        <v>50</v>
      </c>
      <c r="BI2636">
        <v>19</v>
      </c>
      <c r="BJ2636">
        <v>25</v>
      </c>
      <c r="BK2636">
        <v>13</v>
      </c>
      <c r="BP2636" s="184"/>
    </row>
    <row r="2637" spans="1:68">
      <c r="A2637">
        <v>32653107</v>
      </c>
      <c r="B2637">
        <v>32653107</v>
      </c>
      <c r="C2637" t="s">
        <v>7018</v>
      </c>
      <c r="E2637" s="184"/>
      <c r="G2637" s="184"/>
      <c r="I2637" s="184"/>
      <c r="J2637" t="s">
        <v>595</v>
      </c>
      <c r="K2637" s="184">
        <v>44284</v>
      </c>
      <c r="M2637" s="184"/>
      <c r="O2637" s="184"/>
      <c r="P2637" t="s">
        <v>7045</v>
      </c>
      <c r="Q2637" t="s">
        <v>7374</v>
      </c>
      <c r="R2637" s="184"/>
      <c r="V2637" t="s">
        <v>21957</v>
      </c>
      <c r="W2637" t="s">
        <v>5006</v>
      </c>
      <c r="X2637" t="s">
        <v>21958</v>
      </c>
      <c r="AF2637" t="s">
        <v>21959</v>
      </c>
      <c r="AG2637" t="s">
        <v>21957</v>
      </c>
      <c r="AI2637" t="s">
        <v>21960</v>
      </c>
      <c r="AM2637" t="s">
        <v>21961</v>
      </c>
      <c r="AN2637" t="s">
        <v>2081</v>
      </c>
      <c r="AO2637" t="s">
        <v>21962</v>
      </c>
      <c r="AP2637" t="s">
        <v>7024</v>
      </c>
      <c r="AT2637" s="184">
        <v>36801</v>
      </c>
      <c r="AU2637" t="s">
        <v>21963</v>
      </c>
      <c r="AV2637">
        <v>15</v>
      </c>
      <c r="AW2637" s="184">
        <v>42906</v>
      </c>
      <c r="AX2637" t="s">
        <v>21964</v>
      </c>
      <c r="AY2637">
        <v>10</v>
      </c>
      <c r="AZ2637" s="184">
        <v>39097</v>
      </c>
      <c r="BA2637" t="s">
        <v>21965</v>
      </c>
      <c r="BB2637">
        <v>20</v>
      </c>
      <c r="BC2637">
        <v>48</v>
      </c>
      <c r="BD2637">
        <v>300</v>
      </c>
      <c r="BE2637">
        <v>2001</v>
      </c>
      <c r="BF2637">
        <v>20</v>
      </c>
      <c r="BI2637">
        <v>12</v>
      </c>
      <c r="BJ2637">
        <v>25</v>
      </c>
      <c r="BK2637">
        <v>9</v>
      </c>
      <c r="BM2637" t="s">
        <v>595</v>
      </c>
      <c r="BO2637" t="s">
        <v>595</v>
      </c>
      <c r="BP2637" s="184"/>
    </row>
    <row r="2638" spans="1:68">
      <c r="A2638">
        <v>32689382</v>
      </c>
      <c r="B2638">
        <v>32689382</v>
      </c>
      <c r="C2638" t="s">
        <v>7018</v>
      </c>
      <c r="E2638" s="184"/>
      <c r="G2638" s="184"/>
      <c r="I2638" s="184"/>
      <c r="J2638" t="s">
        <v>595</v>
      </c>
      <c r="K2638" s="184">
        <v>40301</v>
      </c>
      <c r="M2638" s="184"/>
      <c r="O2638" s="184"/>
      <c r="P2638" t="s">
        <v>7045</v>
      </c>
      <c r="Q2638" t="s">
        <v>7262</v>
      </c>
      <c r="R2638" s="184">
        <v>15226</v>
      </c>
      <c r="S2638">
        <v>82</v>
      </c>
      <c r="U2638" t="s">
        <v>7076</v>
      </c>
      <c r="V2638" t="s">
        <v>3230</v>
      </c>
      <c r="X2638" t="s">
        <v>5821</v>
      </c>
      <c r="Z2638">
        <v>100091582</v>
      </c>
      <c r="AA2638" t="s">
        <v>7031</v>
      </c>
      <c r="AB2638" t="s">
        <v>3908</v>
      </c>
      <c r="AC2638" t="s">
        <v>7356</v>
      </c>
      <c r="AD2638" t="s">
        <v>2772</v>
      </c>
      <c r="AF2638" t="s">
        <v>21966</v>
      </c>
      <c r="AG2638" t="s">
        <v>21967</v>
      </c>
      <c r="AI2638" t="s">
        <v>21968</v>
      </c>
      <c r="AM2638" t="s">
        <v>2616</v>
      </c>
      <c r="AN2638" t="s">
        <v>2069</v>
      </c>
      <c r="AO2638" t="s">
        <v>21969</v>
      </c>
      <c r="AP2638" t="s">
        <v>7024</v>
      </c>
      <c r="AQ2638" t="s">
        <v>21970</v>
      </c>
      <c r="AR2638" t="s">
        <v>21971</v>
      </c>
      <c r="AT2638" s="184">
        <v>36811</v>
      </c>
      <c r="AU2638" t="s">
        <v>21972</v>
      </c>
      <c r="AV2638">
        <v>25</v>
      </c>
      <c r="AW2638" s="184">
        <v>45348</v>
      </c>
      <c r="AX2638" t="s">
        <v>7749</v>
      </c>
      <c r="AY2638">
        <v>250</v>
      </c>
      <c r="AZ2638" s="184">
        <v>41626</v>
      </c>
      <c r="BA2638" t="s">
        <v>21973</v>
      </c>
      <c r="BB2638">
        <v>3000</v>
      </c>
      <c r="BC2638">
        <v>100</v>
      </c>
      <c r="BD2638">
        <v>19725</v>
      </c>
      <c r="BE2638">
        <v>2001</v>
      </c>
      <c r="BF2638">
        <v>31</v>
      </c>
      <c r="BG2638">
        <v>2</v>
      </c>
      <c r="BH2638">
        <v>750</v>
      </c>
      <c r="BI2638">
        <v>25</v>
      </c>
      <c r="BJ2638">
        <v>25</v>
      </c>
      <c r="BK2638">
        <v>25</v>
      </c>
      <c r="BP2638" s="184"/>
    </row>
    <row r="2639" spans="1:68">
      <c r="A2639">
        <v>100091582</v>
      </c>
      <c r="B2639">
        <v>32689382</v>
      </c>
      <c r="C2639" t="s">
        <v>7018</v>
      </c>
      <c r="E2639" s="184"/>
      <c r="G2639" s="184"/>
      <c r="I2639" s="184"/>
      <c r="J2639" t="s">
        <v>595</v>
      </c>
      <c r="K2639" s="184">
        <v>40301</v>
      </c>
      <c r="M2639" s="184"/>
      <c r="O2639" s="184"/>
      <c r="P2639" t="s">
        <v>7045</v>
      </c>
      <c r="Q2639" t="s">
        <v>7262</v>
      </c>
      <c r="R2639" s="184">
        <v>16582</v>
      </c>
      <c r="S2639">
        <v>78</v>
      </c>
      <c r="U2639" t="s">
        <v>7031</v>
      </c>
      <c r="V2639" t="s">
        <v>3908</v>
      </c>
      <c r="W2639" t="s">
        <v>7356</v>
      </c>
      <c r="X2639" t="s">
        <v>2772</v>
      </c>
      <c r="Z2639">
        <v>32689382</v>
      </c>
      <c r="AA2639" t="s">
        <v>7076</v>
      </c>
      <c r="AB2639" t="s">
        <v>3230</v>
      </c>
      <c r="AD2639" t="s">
        <v>5821</v>
      </c>
      <c r="AF2639" t="s">
        <v>21966</v>
      </c>
      <c r="AG2639" t="s">
        <v>21967</v>
      </c>
      <c r="AI2639" t="s">
        <v>21968</v>
      </c>
      <c r="AM2639" t="s">
        <v>2616</v>
      </c>
      <c r="AN2639" t="s">
        <v>2069</v>
      </c>
      <c r="AO2639" t="s">
        <v>21969</v>
      </c>
      <c r="AP2639" t="s">
        <v>7024</v>
      </c>
      <c r="AT2639" s="184"/>
      <c r="AW2639" s="184"/>
      <c r="AZ2639" s="184"/>
    </row>
    <row r="2640" spans="1:68">
      <c r="A2640">
        <v>32727638</v>
      </c>
      <c r="B2640">
        <v>32727638</v>
      </c>
      <c r="C2640" t="s">
        <v>7018</v>
      </c>
      <c r="E2640" s="184"/>
      <c r="G2640" s="184"/>
      <c r="I2640" s="184"/>
      <c r="J2640" t="s">
        <v>595</v>
      </c>
      <c r="K2640" s="184">
        <v>44167</v>
      </c>
      <c r="M2640" s="184"/>
      <c r="O2640" s="184"/>
      <c r="P2640" t="s">
        <v>7045</v>
      </c>
      <c r="Q2640" t="s">
        <v>7194</v>
      </c>
      <c r="R2640" s="184">
        <v>15341</v>
      </c>
      <c r="S2640">
        <v>82</v>
      </c>
      <c r="U2640" t="s">
        <v>7130</v>
      </c>
      <c r="V2640" t="s">
        <v>21974</v>
      </c>
      <c r="X2640" t="s">
        <v>21975</v>
      </c>
      <c r="AF2640" t="s">
        <v>21976</v>
      </c>
      <c r="AG2640" t="s">
        <v>21974</v>
      </c>
      <c r="AI2640" t="s">
        <v>21977</v>
      </c>
      <c r="AM2640" t="s">
        <v>4439</v>
      </c>
      <c r="AN2640" t="s">
        <v>2046</v>
      </c>
      <c r="AO2640" t="s">
        <v>21978</v>
      </c>
      <c r="AP2640" t="s">
        <v>7024</v>
      </c>
      <c r="AQ2640" t="s">
        <v>21979</v>
      </c>
      <c r="AT2640" s="184">
        <v>36822</v>
      </c>
      <c r="AU2640" t="s">
        <v>21980</v>
      </c>
      <c r="AV2640">
        <v>15</v>
      </c>
      <c r="AW2640" s="184">
        <v>45246</v>
      </c>
      <c r="AX2640" t="s">
        <v>9454</v>
      </c>
      <c r="AY2640">
        <v>150</v>
      </c>
      <c r="AZ2640" s="184">
        <v>45246</v>
      </c>
      <c r="BA2640" t="s">
        <v>9454</v>
      </c>
      <c r="BB2640">
        <v>150</v>
      </c>
      <c r="BC2640">
        <v>92</v>
      </c>
      <c r="BD2640">
        <v>1175</v>
      </c>
      <c r="BE2640">
        <v>2001</v>
      </c>
      <c r="BF2640">
        <v>23</v>
      </c>
      <c r="BG2640">
        <v>2</v>
      </c>
      <c r="BH2640">
        <v>250</v>
      </c>
      <c r="BI2640">
        <v>23</v>
      </c>
      <c r="BJ2640">
        <v>25</v>
      </c>
      <c r="BK2640">
        <v>19</v>
      </c>
      <c r="BP2640" s="184"/>
    </row>
    <row r="2641" spans="1:68">
      <c r="A2641">
        <v>32740995</v>
      </c>
      <c r="B2641">
        <v>32740995</v>
      </c>
      <c r="C2641" t="s">
        <v>7018</v>
      </c>
      <c r="D2641" t="s">
        <v>595</v>
      </c>
      <c r="E2641" s="184">
        <v>44167</v>
      </c>
      <c r="G2641" s="184"/>
      <c r="I2641" s="184"/>
      <c r="K2641" s="184"/>
      <c r="M2641" s="184"/>
      <c r="O2641" s="184"/>
      <c r="P2641" t="s">
        <v>7045</v>
      </c>
      <c r="Q2641" t="s">
        <v>7194</v>
      </c>
      <c r="R2641" s="184">
        <v>15676</v>
      </c>
      <c r="S2641">
        <v>81</v>
      </c>
      <c r="V2641" t="s">
        <v>13262</v>
      </c>
      <c r="X2641" t="s">
        <v>21981</v>
      </c>
      <c r="AF2641" t="s">
        <v>21982</v>
      </c>
      <c r="AG2641" t="s">
        <v>13262</v>
      </c>
      <c r="AI2641" t="s">
        <v>21983</v>
      </c>
      <c r="AM2641" t="s">
        <v>4266</v>
      </c>
      <c r="AN2641" t="s">
        <v>2046</v>
      </c>
      <c r="AO2641" t="s">
        <v>21984</v>
      </c>
      <c r="AP2641" t="s">
        <v>7024</v>
      </c>
      <c r="AQ2641" t="s">
        <v>21985</v>
      </c>
      <c r="AT2641" s="184">
        <v>36823</v>
      </c>
      <c r="AU2641" t="s">
        <v>21793</v>
      </c>
      <c r="AV2641">
        <v>25</v>
      </c>
      <c r="AW2641" s="184">
        <v>39146</v>
      </c>
      <c r="AX2641" t="s">
        <v>21986</v>
      </c>
      <c r="AY2641">
        <v>25</v>
      </c>
      <c r="AZ2641" s="184">
        <v>39146</v>
      </c>
      <c r="BA2641" t="s">
        <v>21986</v>
      </c>
      <c r="BB2641">
        <v>25</v>
      </c>
      <c r="BC2641">
        <v>32</v>
      </c>
      <c r="BD2641">
        <v>200</v>
      </c>
      <c r="BE2641">
        <v>2001</v>
      </c>
      <c r="BF2641">
        <v>8</v>
      </c>
      <c r="BI2641">
        <v>8</v>
      </c>
      <c r="BJ2641">
        <v>25</v>
      </c>
      <c r="BK2641">
        <v>8</v>
      </c>
      <c r="BP2641" s="184"/>
    </row>
    <row r="2642" spans="1:68">
      <c r="A2642">
        <v>32748246</v>
      </c>
      <c r="B2642">
        <v>32748246</v>
      </c>
      <c r="C2642" t="s">
        <v>7018</v>
      </c>
      <c r="D2642" t="s">
        <v>595</v>
      </c>
      <c r="E2642" s="184">
        <v>44073</v>
      </c>
      <c r="G2642" s="184"/>
      <c r="I2642" s="184"/>
      <c r="K2642" s="184"/>
      <c r="M2642" s="184"/>
      <c r="O2642" s="184"/>
      <c r="P2642" t="s">
        <v>7045</v>
      </c>
      <c r="Q2642" t="s">
        <v>7774</v>
      </c>
      <c r="R2642" s="184">
        <v>13636</v>
      </c>
      <c r="S2642">
        <v>87</v>
      </c>
      <c r="U2642" t="s">
        <v>7076</v>
      </c>
      <c r="V2642" t="s">
        <v>5102</v>
      </c>
      <c r="W2642" t="s">
        <v>4139</v>
      </c>
      <c r="X2642" t="s">
        <v>21987</v>
      </c>
      <c r="AF2642" t="s">
        <v>21988</v>
      </c>
      <c r="AG2642" t="s">
        <v>5102</v>
      </c>
      <c r="AI2642" t="s">
        <v>21989</v>
      </c>
      <c r="AM2642" t="s">
        <v>2853</v>
      </c>
      <c r="AN2642" t="s">
        <v>2077</v>
      </c>
      <c r="AO2642" t="s">
        <v>21990</v>
      </c>
      <c r="AP2642" t="s">
        <v>7024</v>
      </c>
      <c r="AT2642" s="184">
        <v>36824</v>
      </c>
      <c r="AU2642" t="s">
        <v>21991</v>
      </c>
      <c r="AV2642">
        <v>25</v>
      </c>
      <c r="AW2642" s="184">
        <v>43368</v>
      </c>
      <c r="AX2642" t="s">
        <v>8727</v>
      </c>
      <c r="AY2642">
        <v>35</v>
      </c>
      <c r="AZ2642" s="184">
        <v>40659</v>
      </c>
      <c r="BA2642" t="s">
        <v>21992</v>
      </c>
      <c r="BB2642">
        <v>87</v>
      </c>
      <c r="BC2642">
        <v>64</v>
      </c>
      <c r="BD2642">
        <v>717</v>
      </c>
      <c r="BE2642">
        <v>2001</v>
      </c>
      <c r="BF2642">
        <v>21</v>
      </c>
      <c r="BI2642">
        <v>16</v>
      </c>
      <c r="BJ2642">
        <v>25</v>
      </c>
      <c r="BK2642">
        <v>12</v>
      </c>
    </row>
    <row r="2643" spans="1:68">
      <c r="A2643">
        <v>32755092</v>
      </c>
      <c r="B2643">
        <v>32755092</v>
      </c>
      <c r="C2643" t="s">
        <v>7018</v>
      </c>
      <c r="D2643" t="s">
        <v>595</v>
      </c>
      <c r="E2643" s="184">
        <v>44167</v>
      </c>
      <c r="G2643" s="184"/>
      <c r="I2643" s="184"/>
      <c r="K2643" s="184"/>
      <c r="M2643" s="184"/>
      <c r="O2643" s="184"/>
      <c r="P2643" t="s">
        <v>7029</v>
      </c>
      <c r="Q2643" t="s">
        <v>7374</v>
      </c>
      <c r="R2643" s="184">
        <v>14916</v>
      </c>
      <c r="S2643">
        <v>83</v>
      </c>
      <c r="T2643" t="s">
        <v>21993</v>
      </c>
      <c r="U2643" t="s">
        <v>7130</v>
      </c>
      <c r="V2643" t="s">
        <v>16073</v>
      </c>
      <c r="X2643" t="s">
        <v>21994</v>
      </c>
      <c r="Z2643">
        <v>100091800</v>
      </c>
      <c r="AB2643" t="s">
        <v>2898</v>
      </c>
      <c r="AD2643" t="s">
        <v>21994</v>
      </c>
      <c r="AF2643" t="s">
        <v>21995</v>
      </c>
      <c r="AG2643" t="s">
        <v>21996</v>
      </c>
      <c r="AI2643" t="s">
        <v>21997</v>
      </c>
      <c r="AM2643" t="s">
        <v>4268</v>
      </c>
      <c r="AN2643" t="s">
        <v>2081</v>
      </c>
      <c r="AO2643" t="s">
        <v>21998</v>
      </c>
      <c r="AP2643" t="s">
        <v>7024</v>
      </c>
      <c r="AQ2643" t="s">
        <v>21999</v>
      </c>
      <c r="AR2643" t="s">
        <v>22000</v>
      </c>
      <c r="AT2643" s="184">
        <v>36825</v>
      </c>
      <c r="AU2643" t="s">
        <v>22001</v>
      </c>
      <c r="AV2643">
        <v>25</v>
      </c>
      <c r="AW2643" s="184">
        <v>45407</v>
      </c>
      <c r="AX2643" t="s">
        <v>14823</v>
      </c>
      <c r="AY2643">
        <v>1000</v>
      </c>
      <c r="AZ2643" s="184">
        <v>45407</v>
      </c>
      <c r="BA2643" t="s">
        <v>14823</v>
      </c>
      <c r="BB2643">
        <v>1000</v>
      </c>
      <c r="BC2643">
        <v>68</v>
      </c>
      <c r="BD2643">
        <v>12375</v>
      </c>
      <c r="BE2643">
        <v>2001</v>
      </c>
      <c r="BF2643">
        <v>31</v>
      </c>
      <c r="BG2643">
        <v>1</v>
      </c>
      <c r="BH2643">
        <v>1000</v>
      </c>
      <c r="BI2643">
        <v>17</v>
      </c>
      <c r="BJ2643">
        <v>25</v>
      </c>
      <c r="BK2643">
        <v>11</v>
      </c>
      <c r="BP2643" s="184"/>
    </row>
    <row r="2644" spans="1:68">
      <c r="A2644">
        <v>100091800</v>
      </c>
      <c r="B2644">
        <v>32755092</v>
      </c>
      <c r="C2644" t="s">
        <v>7018</v>
      </c>
      <c r="D2644" t="s">
        <v>595</v>
      </c>
      <c r="E2644" s="184">
        <v>44167</v>
      </c>
      <c r="G2644" s="184"/>
      <c r="I2644" s="184"/>
      <c r="K2644" s="184"/>
      <c r="M2644" s="184"/>
      <c r="O2644" s="184"/>
      <c r="P2644" t="s">
        <v>7029</v>
      </c>
      <c r="Q2644" t="s">
        <v>7374</v>
      </c>
      <c r="R2644" s="184">
        <v>13547</v>
      </c>
      <c r="S2644">
        <v>87</v>
      </c>
      <c r="V2644" t="s">
        <v>2898</v>
      </c>
      <c r="X2644" t="s">
        <v>21994</v>
      </c>
      <c r="Z2644">
        <v>32755092</v>
      </c>
      <c r="AA2644" t="s">
        <v>7130</v>
      </c>
      <c r="AB2644" t="s">
        <v>16073</v>
      </c>
      <c r="AD2644" t="s">
        <v>21994</v>
      </c>
      <c r="AF2644" t="s">
        <v>21995</v>
      </c>
      <c r="AG2644" t="s">
        <v>21996</v>
      </c>
      <c r="AI2644" t="s">
        <v>21997</v>
      </c>
      <c r="AM2644" t="s">
        <v>4268</v>
      </c>
      <c r="AN2644" t="s">
        <v>2081</v>
      </c>
      <c r="AO2644" t="s">
        <v>21998</v>
      </c>
      <c r="AP2644" t="s">
        <v>7024</v>
      </c>
      <c r="AT2644" s="184"/>
      <c r="AW2644" s="184"/>
      <c r="AZ2644" s="184"/>
      <c r="BP2644" s="184"/>
    </row>
    <row r="2645" spans="1:68">
      <c r="A2645">
        <v>32778680</v>
      </c>
      <c r="B2645">
        <v>32778680</v>
      </c>
      <c r="C2645" t="s">
        <v>7018</v>
      </c>
      <c r="E2645" s="184"/>
      <c r="G2645" s="184"/>
      <c r="I2645" s="184"/>
      <c r="K2645" s="184"/>
      <c r="L2645" t="s">
        <v>595</v>
      </c>
      <c r="M2645" s="184">
        <v>44265</v>
      </c>
      <c r="O2645" s="184"/>
      <c r="P2645" t="s">
        <v>7045</v>
      </c>
      <c r="Q2645" t="s">
        <v>7383</v>
      </c>
      <c r="R2645" s="184">
        <v>16926</v>
      </c>
      <c r="S2645">
        <v>78</v>
      </c>
      <c r="U2645" t="s">
        <v>7031</v>
      </c>
      <c r="V2645" t="s">
        <v>2511</v>
      </c>
      <c r="X2645" t="s">
        <v>22002</v>
      </c>
      <c r="Z2645">
        <v>100091884</v>
      </c>
      <c r="AA2645" t="s">
        <v>7031</v>
      </c>
      <c r="AB2645" t="s">
        <v>22003</v>
      </c>
      <c r="AC2645" t="s">
        <v>7560</v>
      </c>
      <c r="AD2645" t="s">
        <v>22002</v>
      </c>
      <c r="AF2645" t="s">
        <v>22004</v>
      </c>
      <c r="AG2645" t="s">
        <v>22005</v>
      </c>
      <c r="AI2645" t="s">
        <v>22006</v>
      </c>
      <c r="AM2645" t="s">
        <v>4088</v>
      </c>
      <c r="AN2645" t="s">
        <v>2313</v>
      </c>
      <c r="AO2645" t="s">
        <v>22007</v>
      </c>
      <c r="AP2645" t="s">
        <v>7024</v>
      </c>
      <c r="AQ2645" t="s">
        <v>22008</v>
      </c>
      <c r="AR2645" t="s">
        <v>22009</v>
      </c>
      <c r="AT2645" s="184">
        <v>36830</v>
      </c>
      <c r="AU2645" t="s">
        <v>22010</v>
      </c>
      <c r="AV2645">
        <v>15</v>
      </c>
      <c r="AW2645" s="184">
        <v>44803</v>
      </c>
      <c r="AX2645" t="s">
        <v>22011</v>
      </c>
      <c r="AY2645">
        <v>100</v>
      </c>
      <c r="AZ2645" s="184">
        <v>44803</v>
      </c>
      <c r="BA2645" t="s">
        <v>22011</v>
      </c>
      <c r="BB2645">
        <v>100</v>
      </c>
      <c r="BC2645">
        <v>84</v>
      </c>
      <c r="BD2645">
        <v>1120</v>
      </c>
      <c r="BE2645">
        <v>2001</v>
      </c>
      <c r="BF2645">
        <v>22</v>
      </c>
      <c r="BG2645">
        <v>1</v>
      </c>
      <c r="BH2645">
        <v>100</v>
      </c>
      <c r="BI2645">
        <v>21</v>
      </c>
      <c r="BJ2645">
        <v>25</v>
      </c>
      <c r="BK2645">
        <v>17</v>
      </c>
      <c r="BP2645" s="184"/>
    </row>
    <row r="2646" spans="1:68">
      <c r="A2646">
        <v>100091884</v>
      </c>
      <c r="B2646">
        <v>32778680</v>
      </c>
      <c r="C2646" t="s">
        <v>7018</v>
      </c>
      <c r="E2646" s="184"/>
      <c r="G2646" s="184"/>
      <c r="I2646" s="184"/>
      <c r="K2646" s="184"/>
      <c r="L2646" t="s">
        <v>595</v>
      </c>
      <c r="M2646" s="184">
        <v>44265</v>
      </c>
      <c r="O2646" s="184"/>
      <c r="P2646" t="s">
        <v>7045</v>
      </c>
      <c r="Q2646" t="s">
        <v>7383</v>
      </c>
      <c r="R2646" s="184">
        <v>29221</v>
      </c>
      <c r="S2646">
        <v>44</v>
      </c>
      <c r="U2646" t="s">
        <v>7031</v>
      </c>
      <c r="V2646" t="s">
        <v>22003</v>
      </c>
      <c r="W2646" t="s">
        <v>7560</v>
      </c>
      <c r="X2646" t="s">
        <v>22002</v>
      </c>
      <c r="Z2646">
        <v>32778680</v>
      </c>
      <c r="AA2646" t="s">
        <v>7031</v>
      </c>
      <c r="AB2646" t="s">
        <v>2511</v>
      </c>
      <c r="AD2646" t="s">
        <v>22002</v>
      </c>
      <c r="AF2646" t="s">
        <v>22004</v>
      </c>
      <c r="AG2646" t="s">
        <v>22005</v>
      </c>
      <c r="AI2646" t="s">
        <v>22006</v>
      </c>
      <c r="AM2646" t="s">
        <v>4088</v>
      </c>
      <c r="AN2646" t="s">
        <v>2313</v>
      </c>
      <c r="AO2646" t="s">
        <v>22007</v>
      </c>
      <c r="AP2646" t="s">
        <v>7024</v>
      </c>
      <c r="AQ2646" t="s">
        <v>22009</v>
      </c>
      <c r="AT2646" s="184">
        <v>45231</v>
      </c>
      <c r="AU2646" t="s">
        <v>8185</v>
      </c>
      <c r="AV2646">
        <v>100</v>
      </c>
      <c r="AW2646" s="184">
        <v>45231</v>
      </c>
      <c r="AX2646" t="s">
        <v>8185</v>
      </c>
      <c r="AY2646">
        <v>100</v>
      </c>
      <c r="AZ2646" s="184">
        <v>45231</v>
      </c>
      <c r="BA2646" t="s">
        <v>8185</v>
      </c>
      <c r="BB2646">
        <v>100</v>
      </c>
      <c r="BC2646">
        <v>50</v>
      </c>
      <c r="BD2646">
        <v>100</v>
      </c>
      <c r="BE2646">
        <v>2024</v>
      </c>
      <c r="BF2646">
        <v>1</v>
      </c>
      <c r="BG2646">
        <v>1</v>
      </c>
      <c r="BH2646">
        <v>100</v>
      </c>
      <c r="BI2646">
        <v>1</v>
      </c>
      <c r="BJ2646">
        <v>2</v>
      </c>
      <c r="BK2646">
        <v>1</v>
      </c>
    </row>
    <row r="2647" spans="1:68">
      <c r="A2647">
        <v>32779845</v>
      </c>
      <c r="B2647">
        <v>32779845</v>
      </c>
      <c r="C2647" t="s">
        <v>7018</v>
      </c>
      <c r="E2647" s="184"/>
      <c r="G2647" s="184"/>
      <c r="I2647" s="184"/>
      <c r="J2647" t="s">
        <v>595</v>
      </c>
      <c r="K2647" s="184">
        <v>39512</v>
      </c>
      <c r="O2647" s="184"/>
      <c r="P2647" t="s">
        <v>7045</v>
      </c>
      <c r="Q2647" t="s">
        <v>7374</v>
      </c>
      <c r="R2647" s="184">
        <v>14278</v>
      </c>
      <c r="S2647">
        <v>85</v>
      </c>
      <c r="U2647" t="s">
        <v>7031</v>
      </c>
      <c r="V2647" t="s">
        <v>3206</v>
      </c>
      <c r="W2647" t="s">
        <v>7375</v>
      </c>
      <c r="X2647" t="s">
        <v>22012</v>
      </c>
      <c r="Z2647">
        <v>100091889</v>
      </c>
      <c r="AA2647" t="s">
        <v>7130</v>
      </c>
      <c r="AB2647" t="s">
        <v>3101</v>
      </c>
      <c r="AD2647" t="s">
        <v>22012</v>
      </c>
      <c r="AF2647" t="s">
        <v>22013</v>
      </c>
      <c r="AG2647" t="s">
        <v>22014</v>
      </c>
      <c r="AI2647" t="s">
        <v>22015</v>
      </c>
      <c r="AM2647" t="s">
        <v>9745</v>
      </c>
      <c r="AN2647" t="s">
        <v>2081</v>
      </c>
      <c r="AO2647" t="s">
        <v>22016</v>
      </c>
      <c r="AP2647" t="s">
        <v>7024</v>
      </c>
      <c r="AT2647" s="184">
        <v>36832</v>
      </c>
      <c r="AU2647" t="s">
        <v>22017</v>
      </c>
      <c r="AV2647">
        <v>100</v>
      </c>
      <c r="AW2647" s="184">
        <v>41233</v>
      </c>
      <c r="AX2647" t="s">
        <v>22018</v>
      </c>
      <c r="AY2647">
        <v>500</v>
      </c>
      <c r="AZ2647" s="184">
        <v>40161</v>
      </c>
      <c r="BA2647" t="s">
        <v>18388</v>
      </c>
      <c r="BB2647">
        <v>1000</v>
      </c>
      <c r="BC2647">
        <v>52</v>
      </c>
      <c r="BD2647">
        <v>9600</v>
      </c>
      <c r="BE2647">
        <v>2001</v>
      </c>
      <c r="BF2647">
        <v>14</v>
      </c>
      <c r="BI2647">
        <v>13</v>
      </c>
      <c r="BJ2647">
        <v>25</v>
      </c>
      <c r="BK2647">
        <v>13</v>
      </c>
      <c r="BP2647" s="184"/>
    </row>
    <row r="2648" spans="1:68">
      <c r="A2648">
        <v>100091889</v>
      </c>
      <c r="B2648">
        <v>32779845</v>
      </c>
      <c r="C2648" t="s">
        <v>7018</v>
      </c>
      <c r="E2648" s="184"/>
      <c r="G2648" s="184"/>
      <c r="I2648" s="184"/>
      <c r="J2648" t="s">
        <v>595</v>
      </c>
      <c r="K2648" s="184">
        <v>39512</v>
      </c>
      <c r="M2648" s="184"/>
      <c r="O2648" s="184"/>
      <c r="P2648" t="s">
        <v>7045</v>
      </c>
      <c r="Q2648" t="s">
        <v>7374</v>
      </c>
      <c r="R2648" s="184">
        <v>16133</v>
      </c>
      <c r="S2648">
        <v>80</v>
      </c>
      <c r="U2648" t="s">
        <v>7130</v>
      </c>
      <c r="V2648" t="s">
        <v>3101</v>
      </c>
      <c r="X2648" t="s">
        <v>22012</v>
      </c>
      <c r="Z2648">
        <v>32779845</v>
      </c>
      <c r="AA2648" t="s">
        <v>7031</v>
      </c>
      <c r="AB2648" t="s">
        <v>3206</v>
      </c>
      <c r="AC2648" t="s">
        <v>7375</v>
      </c>
      <c r="AD2648" t="s">
        <v>22012</v>
      </c>
      <c r="AF2648" t="s">
        <v>22013</v>
      </c>
      <c r="AG2648" t="s">
        <v>22014</v>
      </c>
      <c r="AI2648" t="s">
        <v>22015</v>
      </c>
      <c r="AM2648" t="s">
        <v>9745</v>
      </c>
      <c r="AN2648" t="s">
        <v>2081</v>
      </c>
      <c r="AO2648" t="s">
        <v>22016</v>
      </c>
      <c r="AP2648" t="s">
        <v>7024</v>
      </c>
      <c r="AT2648" s="184"/>
      <c r="AW2648" s="184"/>
      <c r="AZ2648" s="184"/>
      <c r="BP2648" s="184"/>
    </row>
    <row r="2649" spans="1:68">
      <c r="A2649">
        <v>32837635</v>
      </c>
      <c r="B2649">
        <v>32837635</v>
      </c>
      <c r="C2649" t="s">
        <v>7018</v>
      </c>
      <c r="D2649" t="s">
        <v>595</v>
      </c>
      <c r="E2649" s="184">
        <v>43620</v>
      </c>
      <c r="G2649" s="184"/>
      <c r="I2649" s="184"/>
      <c r="K2649" s="184"/>
      <c r="M2649" s="184"/>
      <c r="O2649" s="184"/>
      <c r="P2649" t="s">
        <v>7045</v>
      </c>
      <c r="Q2649" t="s">
        <v>7020</v>
      </c>
      <c r="R2649" s="184">
        <v>18384</v>
      </c>
      <c r="S2649">
        <v>74</v>
      </c>
      <c r="U2649" t="s">
        <v>7032</v>
      </c>
      <c r="V2649" t="s">
        <v>2903</v>
      </c>
      <c r="X2649" t="s">
        <v>2916</v>
      </c>
      <c r="AF2649" t="s">
        <v>22019</v>
      </c>
      <c r="AG2649" t="s">
        <v>2903</v>
      </c>
      <c r="AI2649" t="s">
        <v>22020</v>
      </c>
      <c r="AM2649" t="s">
        <v>2917</v>
      </c>
      <c r="AN2649" t="s">
        <v>2363</v>
      </c>
      <c r="AO2649" t="s">
        <v>22021</v>
      </c>
      <c r="AP2649" t="s">
        <v>7024</v>
      </c>
      <c r="AQ2649" t="s">
        <v>22022</v>
      </c>
      <c r="AT2649" s="184">
        <v>36840</v>
      </c>
      <c r="AU2649" t="s">
        <v>22023</v>
      </c>
      <c r="AV2649">
        <v>25</v>
      </c>
      <c r="AW2649" s="184">
        <v>45020</v>
      </c>
      <c r="AX2649" t="s">
        <v>7832</v>
      </c>
      <c r="AY2649">
        <v>100</v>
      </c>
      <c r="AZ2649" s="184">
        <v>42301</v>
      </c>
      <c r="BA2649" t="s">
        <v>21241</v>
      </c>
      <c r="BB2649">
        <v>150</v>
      </c>
      <c r="BC2649">
        <v>40</v>
      </c>
      <c r="BD2649">
        <v>885</v>
      </c>
      <c r="BE2649">
        <v>2001</v>
      </c>
      <c r="BF2649">
        <v>12</v>
      </c>
      <c r="BG2649">
        <v>1</v>
      </c>
      <c r="BH2649">
        <v>100</v>
      </c>
      <c r="BI2649">
        <v>10</v>
      </c>
      <c r="BJ2649">
        <v>25</v>
      </c>
      <c r="BK2649">
        <v>4</v>
      </c>
    </row>
    <row r="2650" spans="1:68">
      <c r="A2650">
        <v>32882052</v>
      </c>
      <c r="B2650">
        <v>32882052</v>
      </c>
      <c r="C2650" t="s">
        <v>7018</v>
      </c>
      <c r="D2650" t="s">
        <v>595</v>
      </c>
      <c r="E2650" s="184">
        <v>43745</v>
      </c>
      <c r="G2650" s="184"/>
      <c r="I2650" s="184"/>
      <c r="K2650" s="184"/>
      <c r="M2650" s="184"/>
      <c r="O2650" s="184"/>
      <c r="P2650" t="s">
        <v>7045</v>
      </c>
      <c r="Q2650" t="s">
        <v>7020</v>
      </c>
      <c r="R2650" s="184">
        <v>20729</v>
      </c>
      <c r="S2650">
        <v>67</v>
      </c>
      <c r="V2650" t="s">
        <v>4134</v>
      </c>
      <c r="X2650" t="s">
        <v>3852</v>
      </c>
      <c r="Z2650">
        <v>100092224</v>
      </c>
      <c r="AB2650" t="s">
        <v>2961</v>
      </c>
      <c r="AD2650" t="s">
        <v>3852</v>
      </c>
      <c r="AF2650" t="s">
        <v>22024</v>
      </c>
      <c r="AG2650" t="s">
        <v>22025</v>
      </c>
      <c r="AI2650" t="s">
        <v>22026</v>
      </c>
      <c r="AM2650" t="s">
        <v>4135</v>
      </c>
      <c r="AN2650" t="s">
        <v>2052</v>
      </c>
      <c r="AO2650" t="s">
        <v>22027</v>
      </c>
      <c r="AP2650" t="s">
        <v>7024</v>
      </c>
      <c r="AT2650" s="184">
        <v>36850</v>
      </c>
      <c r="AU2650" t="s">
        <v>22028</v>
      </c>
      <c r="AV2650">
        <v>25</v>
      </c>
      <c r="AW2650" s="184">
        <v>43322</v>
      </c>
      <c r="AX2650" t="s">
        <v>22029</v>
      </c>
      <c r="AY2650">
        <v>50</v>
      </c>
      <c r="AZ2650" s="184">
        <v>41642</v>
      </c>
      <c r="BA2650" t="s">
        <v>22030</v>
      </c>
      <c r="BB2650">
        <v>55</v>
      </c>
      <c r="BC2650">
        <v>52</v>
      </c>
      <c r="BD2650">
        <v>665</v>
      </c>
      <c r="BE2650">
        <v>2001</v>
      </c>
      <c r="BF2650">
        <v>18</v>
      </c>
      <c r="BI2650">
        <v>13</v>
      </c>
      <c r="BJ2650">
        <v>25</v>
      </c>
      <c r="BK2650">
        <v>3</v>
      </c>
      <c r="BL2650" t="s">
        <v>595</v>
      </c>
      <c r="BN2650" t="s">
        <v>595</v>
      </c>
      <c r="BP2650" s="184"/>
    </row>
    <row r="2651" spans="1:68">
      <c r="A2651">
        <v>100092224</v>
      </c>
      <c r="B2651">
        <v>32882052</v>
      </c>
      <c r="C2651" t="s">
        <v>7018</v>
      </c>
      <c r="D2651" t="s">
        <v>595</v>
      </c>
      <c r="E2651" s="184">
        <v>43745</v>
      </c>
      <c r="G2651" s="184"/>
      <c r="I2651" s="184"/>
      <c r="K2651" s="184"/>
      <c r="M2651" s="184"/>
      <c r="O2651" s="184"/>
      <c r="P2651" t="s">
        <v>7045</v>
      </c>
      <c r="Q2651" t="s">
        <v>7020</v>
      </c>
      <c r="R2651" s="184">
        <v>20729</v>
      </c>
      <c r="S2651">
        <v>67</v>
      </c>
      <c r="V2651" t="s">
        <v>2961</v>
      </c>
      <c r="X2651" t="s">
        <v>3852</v>
      </c>
      <c r="Z2651">
        <v>32882052</v>
      </c>
      <c r="AB2651" t="s">
        <v>4134</v>
      </c>
      <c r="AD2651" t="s">
        <v>3852</v>
      </c>
      <c r="AF2651" t="s">
        <v>22024</v>
      </c>
      <c r="AG2651" t="s">
        <v>22025</v>
      </c>
      <c r="AI2651" t="s">
        <v>22026</v>
      </c>
      <c r="AM2651" t="s">
        <v>4135</v>
      </c>
      <c r="AN2651" t="s">
        <v>2052</v>
      </c>
      <c r="AO2651" t="s">
        <v>22027</v>
      </c>
      <c r="AP2651" t="s">
        <v>7024</v>
      </c>
      <c r="AT2651" s="184"/>
      <c r="AW2651" s="184"/>
      <c r="AZ2651" s="184"/>
      <c r="BL2651" t="s">
        <v>595</v>
      </c>
      <c r="BN2651" t="s">
        <v>595</v>
      </c>
    </row>
    <row r="2652" spans="1:68">
      <c r="A2652">
        <v>32887663</v>
      </c>
      <c r="B2652">
        <v>32887663</v>
      </c>
      <c r="C2652" t="s">
        <v>7018</v>
      </c>
      <c r="E2652" s="184"/>
      <c r="G2652" s="184"/>
      <c r="I2652" s="184"/>
      <c r="J2652" t="s">
        <v>595</v>
      </c>
      <c r="K2652" s="184">
        <v>44441</v>
      </c>
      <c r="M2652" s="184"/>
      <c r="O2652" s="184"/>
      <c r="P2652" t="s">
        <v>7029</v>
      </c>
      <c r="Q2652" t="s">
        <v>7454</v>
      </c>
      <c r="R2652" s="184">
        <v>13759</v>
      </c>
      <c r="S2652">
        <v>86</v>
      </c>
      <c r="V2652" t="s">
        <v>3373</v>
      </c>
      <c r="W2652" t="s">
        <v>3522</v>
      </c>
      <c r="X2652" t="s">
        <v>5145</v>
      </c>
      <c r="Z2652">
        <v>100092240</v>
      </c>
      <c r="AB2652" t="s">
        <v>3317</v>
      </c>
      <c r="AC2652" t="s">
        <v>7407</v>
      </c>
      <c r="AD2652" t="s">
        <v>5145</v>
      </c>
      <c r="AF2652" t="s">
        <v>22031</v>
      </c>
      <c r="AG2652" t="s">
        <v>22032</v>
      </c>
      <c r="AI2652" t="s">
        <v>22033</v>
      </c>
      <c r="AM2652" t="s">
        <v>22034</v>
      </c>
      <c r="AN2652" t="s">
        <v>2055</v>
      </c>
      <c r="AO2652" t="s">
        <v>22035</v>
      </c>
      <c r="AP2652" t="s">
        <v>7024</v>
      </c>
      <c r="AQ2652" t="s">
        <v>22036</v>
      </c>
      <c r="AR2652" t="s">
        <v>22037</v>
      </c>
      <c r="AT2652" s="184">
        <v>36850</v>
      </c>
      <c r="AU2652" t="s">
        <v>22038</v>
      </c>
      <c r="AV2652">
        <v>15</v>
      </c>
      <c r="AW2652" s="184">
        <v>44846</v>
      </c>
      <c r="AX2652" t="s">
        <v>22039</v>
      </c>
      <c r="AY2652">
        <v>1000</v>
      </c>
      <c r="AZ2652" s="184">
        <v>44846</v>
      </c>
      <c r="BA2652" t="s">
        <v>22039</v>
      </c>
      <c r="BB2652">
        <v>1000</v>
      </c>
      <c r="BC2652">
        <v>52</v>
      </c>
      <c r="BD2652">
        <v>1625</v>
      </c>
      <c r="BE2652">
        <v>2001</v>
      </c>
      <c r="BF2652">
        <v>16</v>
      </c>
      <c r="BG2652">
        <v>1</v>
      </c>
      <c r="BH2652">
        <v>1000</v>
      </c>
      <c r="BI2652">
        <v>13</v>
      </c>
      <c r="BJ2652">
        <v>25</v>
      </c>
      <c r="BK2652">
        <v>3</v>
      </c>
      <c r="BN2652" t="s">
        <v>595</v>
      </c>
      <c r="BP2652" s="184"/>
    </row>
    <row r="2653" spans="1:68">
      <c r="A2653">
        <v>100092240</v>
      </c>
      <c r="B2653">
        <v>32887663</v>
      </c>
      <c r="C2653" t="s">
        <v>7018</v>
      </c>
      <c r="E2653" s="184"/>
      <c r="G2653" s="184"/>
      <c r="I2653" s="184"/>
      <c r="J2653" t="s">
        <v>595</v>
      </c>
      <c r="K2653" s="184">
        <v>44441</v>
      </c>
      <c r="M2653" s="184"/>
      <c r="O2653" s="184"/>
      <c r="P2653" t="s">
        <v>7029</v>
      </c>
      <c r="Q2653" t="s">
        <v>7454</v>
      </c>
      <c r="R2653" s="184">
        <v>14793</v>
      </c>
      <c r="S2653">
        <v>83</v>
      </c>
      <c r="V2653" t="s">
        <v>3317</v>
      </c>
      <c r="W2653" t="s">
        <v>7407</v>
      </c>
      <c r="X2653" t="s">
        <v>5145</v>
      </c>
      <c r="Z2653">
        <v>32887663</v>
      </c>
      <c r="AB2653" t="s">
        <v>3373</v>
      </c>
      <c r="AC2653" t="s">
        <v>3522</v>
      </c>
      <c r="AD2653" t="s">
        <v>5145</v>
      </c>
      <c r="AF2653" t="s">
        <v>22031</v>
      </c>
      <c r="AG2653" t="s">
        <v>22032</v>
      </c>
      <c r="AI2653" t="s">
        <v>22033</v>
      </c>
      <c r="AM2653" t="s">
        <v>22034</v>
      </c>
      <c r="AN2653" t="s">
        <v>2055</v>
      </c>
      <c r="AO2653" t="s">
        <v>22035</v>
      </c>
      <c r="AP2653" t="s">
        <v>7024</v>
      </c>
      <c r="AT2653" s="184"/>
      <c r="AW2653" s="184"/>
      <c r="AZ2653" s="184"/>
    </row>
    <row r="2654" spans="1:68">
      <c r="A2654">
        <v>32889511</v>
      </c>
      <c r="B2654">
        <v>32889511</v>
      </c>
      <c r="C2654" t="s">
        <v>7018</v>
      </c>
      <c r="E2654" s="184"/>
      <c r="G2654" s="184"/>
      <c r="I2654" s="184"/>
      <c r="J2654" t="s">
        <v>595</v>
      </c>
      <c r="K2654" s="184">
        <v>44073</v>
      </c>
      <c r="M2654" s="184"/>
      <c r="P2654" t="s">
        <v>7045</v>
      </c>
      <c r="Q2654" t="s">
        <v>7774</v>
      </c>
      <c r="R2654" s="184">
        <v>18264</v>
      </c>
      <c r="S2654">
        <v>74</v>
      </c>
      <c r="U2654" t="s">
        <v>7094</v>
      </c>
      <c r="V2654" t="s">
        <v>2602</v>
      </c>
      <c r="W2654" t="s">
        <v>5006</v>
      </c>
      <c r="X2654" t="s">
        <v>5308</v>
      </c>
      <c r="AF2654" t="s">
        <v>22040</v>
      </c>
      <c r="AG2654" t="s">
        <v>2602</v>
      </c>
      <c r="AI2654" t="s">
        <v>22041</v>
      </c>
      <c r="AM2654" t="s">
        <v>2971</v>
      </c>
      <c r="AN2654" t="s">
        <v>2972</v>
      </c>
      <c r="AO2654">
        <v>82007</v>
      </c>
      <c r="AP2654" t="s">
        <v>7024</v>
      </c>
      <c r="AQ2654" t="s">
        <v>22042</v>
      </c>
      <c r="AT2654" s="184">
        <v>36844</v>
      </c>
      <c r="AU2654" t="s">
        <v>22017</v>
      </c>
      <c r="AV2654">
        <v>100</v>
      </c>
      <c r="AW2654" s="184">
        <v>44892</v>
      </c>
      <c r="AX2654" t="s">
        <v>22043</v>
      </c>
      <c r="AY2654">
        <v>103</v>
      </c>
      <c r="AZ2654" s="184">
        <v>38912</v>
      </c>
      <c r="BA2654" t="s">
        <v>22044</v>
      </c>
      <c r="BB2654">
        <v>150</v>
      </c>
      <c r="BC2654">
        <v>84</v>
      </c>
      <c r="BD2654">
        <v>2388</v>
      </c>
      <c r="BE2654">
        <v>2001</v>
      </c>
      <c r="BF2654">
        <v>24</v>
      </c>
      <c r="BG2654">
        <v>1</v>
      </c>
      <c r="BH2654">
        <v>103</v>
      </c>
      <c r="BI2654">
        <v>21</v>
      </c>
      <c r="BJ2654">
        <v>25</v>
      </c>
      <c r="BK2654">
        <v>15</v>
      </c>
      <c r="BP2654" s="184"/>
    </row>
    <row r="2655" spans="1:68">
      <c r="A2655">
        <v>32895872</v>
      </c>
      <c r="B2655">
        <v>32895872</v>
      </c>
      <c r="C2655" t="s">
        <v>7018</v>
      </c>
      <c r="E2655" s="184"/>
      <c r="G2655" s="184"/>
      <c r="I2655" s="184"/>
      <c r="J2655" t="s">
        <v>595</v>
      </c>
      <c r="K2655" s="184">
        <v>44147</v>
      </c>
      <c r="M2655" s="184"/>
      <c r="O2655" s="184"/>
      <c r="P2655" t="s">
        <v>7045</v>
      </c>
      <c r="Q2655" t="s">
        <v>7030</v>
      </c>
      <c r="R2655" s="184">
        <v>18264</v>
      </c>
      <c r="S2655">
        <v>74</v>
      </c>
      <c r="U2655" t="s">
        <v>7076</v>
      </c>
      <c r="V2655" t="s">
        <v>2718</v>
      </c>
      <c r="X2655" t="s">
        <v>5040</v>
      </c>
      <c r="AF2655" t="s">
        <v>22045</v>
      </c>
      <c r="AG2655" t="s">
        <v>2718</v>
      </c>
      <c r="AI2655" t="s">
        <v>22046</v>
      </c>
      <c r="AM2655" t="s">
        <v>5041</v>
      </c>
      <c r="AN2655" t="s">
        <v>2201</v>
      </c>
      <c r="AO2655" t="s">
        <v>22047</v>
      </c>
      <c r="AP2655" t="s">
        <v>7024</v>
      </c>
      <c r="AQ2655" t="s">
        <v>22048</v>
      </c>
      <c r="AT2655" s="184">
        <v>36852</v>
      </c>
      <c r="AU2655" t="s">
        <v>22049</v>
      </c>
      <c r="AV2655">
        <v>25</v>
      </c>
      <c r="AW2655" s="184">
        <v>45408</v>
      </c>
      <c r="AX2655" t="s">
        <v>8483</v>
      </c>
      <c r="AY2655">
        <v>10</v>
      </c>
      <c r="AZ2655" s="184">
        <v>44528</v>
      </c>
      <c r="BA2655" t="s">
        <v>22050</v>
      </c>
      <c r="BB2655">
        <v>150</v>
      </c>
      <c r="BC2655">
        <v>88</v>
      </c>
      <c r="BD2655">
        <v>1995</v>
      </c>
      <c r="BE2655">
        <v>2001</v>
      </c>
      <c r="BF2655">
        <v>137</v>
      </c>
      <c r="BG2655">
        <v>24</v>
      </c>
      <c r="BH2655">
        <v>240</v>
      </c>
      <c r="BI2655">
        <v>22</v>
      </c>
      <c r="BJ2655">
        <v>25</v>
      </c>
      <c r="BK2655">
        <v>20</v>
      </c>
      <c r="BP2655" s="184"/>
    </row>
    <row r="2656" spans="1:68">
      <c r="A2656">
        <v>32948291</v>
      </c>
      <c r="B2656">
        <v>32948291</v>
      </c>
      <c r="C2656" t="s">
        <v>7018</v>
      </c>
      <c r="E2656" s="184"/>
      <c r="G2656" s="184"/>
      <c r="I2656" s="184"/>
      <c r="J2656" t="s">
        <v>595</v>
      </c>
      <c r="K2656" s="184">
        <v>41143</v>
      </c>
      <c r="O2656" s="184"/>
      <c r="P2656" t="s">
        <v>7019</v>
      </c>
      <c r="Q2656" t="s">
        <v>7383</v>
      </c>
      <c r="R2656" s="184">
        <v>20121</v>
      </c>
      <c r="S2656">
        <v>69</v>
      </c>
      <c r="U2656" t="s">
        <v>7031</v>
      </c>
      <c r="V2656" t="s">
        <v>8470</v>
      </c>
      <c r="X2656" t="s">
        <v>22051</v>
      </c>
      <c r="AF2656" t="s">
        <v>6525</v>
      </c>
      <c r="AG2656" t="s">
        <v>8470</v>
      </c>
      <c r="AI2656" t="s">
        <v>22052</v>
      </c>
      <c r="AM2656" t="s">
        <v>3815</v>
      </c>
      <c r="AN2656" t="s">
        <v>2059</v>
      </c>
      <c r="AO2656" t="s">
        <v>22053</v>
      </c>
      <c r="AP2656" t="s">
        <v>7024</v>
      </c>
      <c r="AQ2656" t="s">
        <v>22054</v>
      </c>
      <c r="AR2656" t="s">
        <v>22055</v>
      </c>
      <c r="AT2656" s="184">
        <v>36865</v>
      </c>
      <c r="AU2656" t="s">
        <v>21910</v>
      </c>
      <c r="AV2656">
        <v>25</v>
      </c>
      <c r="AW2656" s="184">
        <v>43157</v>
      </c>
      <c r="AX2656" t="s">
        <v>22056</v>
      </c>
      <c r="AY2656">
        <v>87</v>
      </c>
      <c r="AZ2656" s="184">
        <v>38243</v>
      </c>
      <c r="BA2656" t="s">
        <v>22057</v>
      </c>
      <c r="BB2656">
        <v>120</v>
      </c>
      <c r="BC2656">
        <v>48</v>
      </c>
      <c r="BD2656">
        <v>702.45</v>
      </c>
      <c r="BE2656">
        <v>2001</v>
      </c>
      <c r="BF2656">
        <v>13</v>
      </c>
      <c r="BI2656">
        <v>12</v>
      </c>
      <c r="BJ2656">
        <v>25</v>
      </c>
      <c r="BK2656">
        <v>5</v>
      </c>
      <c r="BN2656" t="s">
        <v>595</v>
      </c>
      <c r="BP2656" s="184"/>
    </row>
    <row r="2657" spans="1:68">
      <c r="A2657">
        <v>32960445</v>
      </c>
      <c r="B2657">
        <v>32960445</v>
      </c>
      <c r="C2657" t="s">
        <v>7018</v>
      </c>
      <c r="E2657" s="184"/>
      <c r="G2657" s="184"/>
      <c r="I2657" s="184"/>
      <c r="J2657" t="s">
        <v>595</v>
      </c>
      <c r="K2657" s="184">
        <v>37434</v>
      </c>
      <c r="M2657" s="184"/>
      <c r="O2657" s="184"/>
      <c r="P2657" t="s">
        <v>7045</v>
      </c>
      <c r="Q2657" t="s">
        <v>7454</v>
      </c>
      <c r="R2657" s="184"/>
      <c r="V2657" t="s">
        <v>3898</v>
      </c>
      <c r="X2657" t="s">
        <v>22058</v>
      </c>
      <c r="AF2657" t="s">
        <v>6729</v>
      </c>
      <c r="AG2657" t="s">
        <v>3898</v>
      </c>
      <c r="AI2657" t="s">
        <v>22059</v>
      </c>
      <c r="AJ2657" t="s">
        <v>22060</v>
      </c>
      <c r="AM2657" t="s">
        <v>22061</v>
      </c>
      <c r="AN2657" t="s">
        <v>2055</v>
      </c>
      <c r="AO2657">
        <v>98230</v>
      </c>
      <c r="AP2657" t="s">
        <v>7024</v>
      </c>
      <c r="AQ2657" t="s">
        <v>22062</v>
      </c>
      <c r="AT2657" s="184">
        <v>36872</v>
      </c>
      <c r="AU2657" t="s">
        <v>21910</v>
      </c>
      <c r="AV2657">
        <v>35</v>
      </c>
      <c r="AW2657" s="184">
        <v>36872</v>
      </c>
      <c r="AX2657" t="s">
        <v>21910</v>
      </c>
      <c r="AY2657">
        <v>35</v>
      </c>
      <c r="AZ2657" s="184">
        <v>36872</v>
      </c>
      <c r="BA2657" t="s">
        <v>21910</v>
      </c>
      <c r="BB2657">
        <v>35</v>
      </c>
      <c r="BC2657">
        <v>4</v>
      </c>
      <c r="BD2657">
        <v>35</v>
      </c>
      <c r="BE2657">
        <v>2001</v>
      </c>
      <c r="BF2657">
        <v>1</v>
      </c>
      <c r="BI2657">
        <v>1</v>
      </c>
      <c r="BJ2657">
        <v>25</v>
      </c>
      <c r="BK2657">
        <v>1</v>
      </c>
      <c r="BP2657" s="184"/>
    </row>
    <row r="2658" spans="1:68">
      <c r="A2658">
        <v>32977167</v>
      </c>
      <c r="B2658">
        <v>32977167</v>
      </c>
      <c r="C2658" t="s">
        <v>7018</v>
      </c>
      <c r="E2658" s="184"/>
      <c r="G2658" s="184"/>
      <c r="H2658" t="s">
        <v>595</v>
      </c>
      <c r="I2658" s="184">
        <v>44194</v>
      </c>
      <c r="K2658" s="184"/>
      <c r="M2658" s="184"/>
      <c r="O2658" s="184"/>
      <c r="P2658" t="s">
        <v>7019</v>
      </c>
      <c r="Q2658" t="s">
        <v>7020</v>
      </c>
      <c r="R2658" s="184">
        <v>16755</v>
      </c>
      <c r="S2658">
        <v>78</v>
      </c>
      <c r="U2658" t="s">
        <v>7076</v>
      </c>
      <c r="V2658" t="s">
        <v>22063</v>
      </c>
      <c r="X2658" t="s">
        <v>22064</v>
      </c>
      <c r="AF2658" t="s">
        <v>22065</v>
      </c>
      <c r="AG2658" t="s">
        <v>22063</v>
      </c>
      <c r="AI2658" t="s">
        <v>22066</v>
      </c>
      <c r="AM2658" t="s">
        <v>3637</v>
      </c>
      <c r="AN2658" t="s">
        <v>2112</v>
      </c>
      <c r="AO2658" t="s">
        <v>22067</v>
      </c>
      <c r="AP2658" t="s">
        <v>7024</v>
      </c>
      <c r="AQ2658" t="s">
        <v>22068</v>
      </c>
      <c r="AT2658" s="184">
        <v>36871</v>
      </c>
      <c r="AU2658" t="s">
        <v>22069</v>
      </c>
      <c r="AV2658">
        <v>25</v>
      </c>
      <c r="AW2658" s="184">
        <v>44823</v>
      </c>
      <c r="AX2658" t="s">
        <v>12347</v>
      </c>
      <c r="AY2658">
        <v>60</v>
      </c>
      <c r="AZ2658" s="184">
        <v>42495</v>
      </c>
      <c r="BA2658" t="s">
        <v>22070</v>
      </c>
      <c r="BB2658">
        <v>300</v>
      </c>
      <c r="BC2658">
        <v>52</v>
      </c>
      <c r="BD2658">
        <v>1700</v>
      </c>
      <c r="BE2658">
        <v>2001</v>
      </c>
      <c r="BF2658">
        <v>68</v>
      </c>
      <c r="BG2658">
        <v>2</v>
      </c>
      <c r="BH2658">
        <v>120</v>
      </c>
      <c r="BI2658">
        <v>13</v>
      </c>
      <c r="BJ2658">
        <v>25</v>
      </c>
      <c r="BK2658">
        <v>12</v>
      </c>
      <c r="BN2658" t="s">
        <v>595</v>
      </c>
      <c r="BP2658" s="184"/>
    </row>
    <row r="2659" spans="1:68">
      <c r="A2659">
        <v>32977837</v>
      </c>
      <c r="B2659">
        <v>32977837</v>
      </c>
      <c r="C2659" t="s">
        <v>7018</v>
      </c>
      <c r="E2659" s="184"/>
      <c r="G2659" s="184"/>
      <c r="I2659" s="184"/>
      <c r="J2659" t="s">
        <v>595</v>
      </c>
      <c r="K2659" s="184">
        <v>45167</v>
      </c>
      <c r="M2659" s="184"/>
      <c r="O2659" s="184"/>
      <c r="P2659" t="s">
        <v>7045</v>
      </c>
      <c r="Q2659" t="s">
        <v>7160</v>
      </c>
      <c r="R2659" s="184">
        <v>24563</v>
      </c>
      <c r="S2659">
        <v>57</v>
      </c>
      <c r="V2659" t="s">
        <v>2511</v>
      </c>
      <c r="W2659" t="s">
        <v>4382</v>
      </c>
      <c r="X2659" t="s">
        <v>22071</v>
      </c>
      <c r="Y2659" t="s">
        <v>7047</v>
      </c>
      <c r="AF2659" t="s">
        <v>22072</v>
      </c>
      <c r="AG2659" t="s">
        <v>2511</v>
      </c>
      <c r="AI2659" t="s">
        <v>22073</v>
      </c>
      <c r="AM2659" t="s">
        <v>5618</v>
      </c>
      <c r="AN2659" t="s">
        <v>2176</v>
      </c>
      <c r="AO2659" t="s">
        <v>22074</v>
      </c>
      <c r="AP2659" t="s">
        <v>7024</v>
      </c>
      <c r="AQ2659" t="s">
        <v>22075</v>
      </c>
      <c r="AR2659" t="s">
        <v>22076</v>
      </c>
      <c r="AT2659" s="184">
        <v>36871</v>
      </c>
      <c r="AU2659" t="s">
        <v>22077</v>
      </c>
      <c r="AV2659">
        <v>25</v>
      </c>
      <c r="AW2659" s="184">
        <v>45408</v>
      </c>
      <c r="AX2659" t="s">
        <v>22078</v>
      </c>
      <c r="AY2659">
        <v>25</v>
      </c>
      <c r="AZ2659" s="184">
        <v>40050</v>
      </c>
      <c r="BA2659" t="s">
        <v>22079</v>
      </c>
      <c r="BB2659">
        <v>60</v>
      </c>
      <c r="BC2659">
        <v>92</v>
      </c>
      <c r="BD2659">
        <v>1045</v>
      </c>
      <c r="BE2659">
        <v>2001</v>
      </c>
      <c r="BF2659">
        <v>43</v>
      </c>
      <c r="BG2659">
        <v>9</v>
      </c>
      <c r="BH2659">
        <v>225</v>
      </c>
      <c r="BI2659">
        <v>23</v>
      </c>
      <c r="BJ2659">
        <v>25</v>
      </c>
      <c r="BK2659">
        <v>16</v>
      </c>
      <c r="BP2659" s="184"/>
    </row>
    <row r="2660" spans="1:68">
      <c r="A2660">
        <v>32989600</v>
      </c>
      <c r="B2660">
        <v>32989600</v>
      </c>
      <c r="C2660" t="s">
        <v>7018</v>
      </c>
      <c r="D2660" t="s">
        <v>595</v>
      </c>
      <c r="E2660" s="184">
        <v>43881</v>
      </c>
      <c r="G2660" s="184"/>
      <c r="I2660" s="184"/>
      <c r="K2660" s="184"/>
      <c r="M2660" s="184"/>
      <c r="O2660" s="184"/>
      <c r="P2660" t="s">
        <v>7045</v>
      </c>
      <c r="Q2660" t="s">
        <v>7030</v>
      </c>
      <c r="R2660" s="184">
        <v>21100</v>
      </c>
      <c r="S2660">
        <v>66</v>
      </c>
      <c r="V2660" t="s">
        <v>2687</v>
      </c>
      <c r="X2660" t="s">
        <v>5406</v>
      </c>
      <c r="AF2660" t="s">
        <v>22080</v>
      </c>
      <c r="AG2660" t="s">
        <v>2687</v>
      </c>
      <c r="AI2660" t="s">
        <v>22081</v>
      </c>
      <c r="AM2660" t="s">
        <v>2530</v>
      </c>
      <c r="AN2660" t="s">
        <v>2094</v>
      </c>
      <c r="AO2660" t="s">
        <v>22082</v>
      </c>
      <c r="AP2660" t="s">
        <v>7024</v>
      </c>
      <c r="AQ2660" t="s">
        <v>22083</v>
      </c>
      <c r="AR2660" t="s">
        <v>22084</v>
      </c>
      <c r="AT2660" s="184">
        <v>36879</v>
      </c>
      <c r="AU2660" t="s">
        <v>22085</v>
      </c>
      <c r="AV2660">
        <v>25</v>
      </c>
      <c r="AW2660" s="184">
        <v>43746</v>
      </c>
      <c r="AX2660" t="s">
        <v>22086</v>
      </c>
      <c r="AY2660">
        <v>10</v>
      </c>
      <c r="AZ2660" s="184">
        <v>40463</v>
      </c>
      <c r="BA2660" t="s">
        <v>7316</v>
      </c>
      <c r="BB2660">
        <v>60</v>
      </c>
      <c r="BC2660">
        <v>48</v>
      </c>
      <c r="BD2660">
        <v>280</v>
      </c>
      <c r="BE2660">
        <v>2001</v>
      </c>
      <c r="BF2660">
        <v>13</v>
      </c>
      <c r="BI2660">
        <v>12</v>
      </c>
      <c r="BJ2660">
        <v>25</v>
      </c>
      <c r="BK2660">
        <v>4</v>
      </c>
      <c r="BP2660" s="184"/>
    </row>
    <row r="2661" spans="1:68">
      <c r="A2661">
        <v>33027343</v>
      </c>
      <c r="B2661">
        <v>33027343</v>
      </c>
      <c r="C2661" t="s">
        <v>7018</v>
      </c>
      <c r="D2661" t="s">
        <v>595</v>
      </c>
      <c r="E2661" s="184">
        <v>45043</v>
      </c>
      <c r="G2661" s="184"/>
      <c r="I2661" s="184"/>
      <c r="K2661" s="184"/>
      <c r="M2661" s="184"/>
      <c r="O2661" s="184"/>
      <c r="P2661" t="s">
        <v>7045</v>
      </c>
      <c r="Q2661" t="s">
        <v>7454</v>
      </c>
      <c r="R2661" s="184"/>
      <c r="V2661" t="s">
        <v>22087</v>
      </c>
      <c r="X2661" t="s">
        <v>22088</v>
      </c>
      <c r="Z2661">
        <v>101106384</v>
      </c>
      <c r="AB2661" t="s">
        <v>2821</v>
      </c>
      <c r="AD2661" t="s">
        <v>22088</v>
      </c>
      <c r="AF2661" t="s">
        <v>22089</v>
      </c>
      <c r="AG2661" t="s">
        <v>22090</v>
      </c>
      <c r="AI2661" t="s">
        <v>22091</v>
      </c>
      <c r="AM2661" t="s">
        <v>22092</v>
      </c>
      <c r="AN2661" t="s">
        <v>2055</v>
      </c>
      <c r="AO2661" t="s">
        <v>22093</v>
      </c>
      <c r="AP2661" t="s">
        <v>7024</v>
      </c>
      <c r="AQ2661" t="s">
        <v>22094</v>
      </c>
      <c r="AT2661" s="184">
        <v>36882</v>
      </c>
      <c r="AU2661" t="s">
        <v>22095</v>
      </c>
      <c r="AV2661">
        <v>15</v>
      </c>
      <c r="AW2661" s="184">
        <v>36882</v>
      </c>
      <c r="AX2661" t="s">
        <v>22095</v>
      </c>
      <c r="AY2661">
        <v>15</v>
      </c>
      <c r="AZ2661" s="184">
        <v>36882</v>
      </c>
      <c r="BA2661" t="s">
        <v>22095</v>
      </c>
      <c r="BB2661">
        <v>15</v>
      </c>
      <c r="BC2661">
        <v>4</v>
      </c>
      <c r="BD2661">
        <v>15</v>
      </c>
      <c r="BE2661">
        <v>2001</v>
      </c>
      <c r="BF2661">
        <v>1</v>
      </c>
      <c r="BI2661">
        <v>1</v>
      </c>
      <c r="BJ2661">
        <v>25</v>
      </c>
      <c r="BK2661">
        <v>1</v>
      </c>
      <c r="BP2661" s="184"/>
    </row>
    <row r="2662" spans="1:68">
      <c r="A2662">
        <v>33064163</v>
      </c>
      <c r="B2662">
        <v>33064163</v>
      </c>
      <c r="C2662" t="s">
        <v>7018</v>
      </c>
      <c r="D2662" t="s">
        <v>595</v>
      </c>
      <c r="E2662" s="184">
        <v>45117</v>
      </c>
      <c r="G2662" s="184"/>
      <c r="I2662" s="184"/>
      <c r="K2662" s="184"/>
      <c r="M2662" s="184"/>
      <c r="O2662" s="184"/>
      <c r="P2662" t="s">
        <v>7045</v>
      </c>
      <c r="Q2662" t="s">
        <v>7160</v>
      </c>
      <c r="R2662" s="184">
        <v>17411</v>
      </c>
      <c r="S2662">
        <v>76</v>
      </c>
      <c r="V2662" t="s">
        <v>3317</v>
      </c>
      <c r="W2662" t="s">
        <v>7085</v>
      </c>
      <c r="X2662" t="s">
        <v>22096</v>
      </c>
      <c r="AF2662" t="s">
        <v>22097</v>
      </c>
      <c r="AG2662" t="s">
        <v>3317</v>
      </c>
      <c r="AI2662" t="s">
        <v>22098</v>
      </c>
      <c r="AM2662" t="s">
        <v>4774</v>
      </c>
      <c r="AN2662" t="s">
        <v>2675</v>
      </c>
      <c r="AO2662" t="s">
        <v>22099</v>
      </c>
      <c r="AP2662" t="s">
        <v>7024</v>
      </c>
      <c r="AQ2662" t="s">
        <v>22100</v>
      </c>
      <c r="AT2662" s="184">
        <v>36889</v>
      </c>
      <c r="AU2662" t="s">
        <v>22101</v>
      </c>
      <c r="AV2662">
        <v>25</v>
      </c>
      <c r="AW2662" s="184">
        <v>45399</v>
      </c>
      <c r="AX2662" t="s">
        <v>13674</v>
      </c>
      <c r="AY2662">
        <v>50</v>
      </c>
      <c r="AZ2662" s="184">
        <v>45399</v>
      </c>
      <c r="BA2662" t="s">
        <v>13674</v>
      </c>
      <c r="BB2662">
        <v>50</v>
      </c>
      <c r="BC2662">
        <v>28</v>
      </c>
      <c r="BD2662">
        <v>355</v>
      </c>
      <c r="BE2662">
        <v>2001</v>
      </c>
      <c r="BF2662">
        <v>11</v>
      </c>
      <c r="BG2662">
        <v>5</v>
      </c>
      <c r="BH2662">
        <v>205</v>
      </c>
      <c r="BI2662">
        <v>7</v>
      </c>
      <c r="BJ2662">
        <v>25</v>
      </c>
      <c r="BK2662">
        <v>4</v>
      </c>
      <c r="BP2662" s="184"/>
    </row>
    <row r="2663" spans="1:68">
      <c r="A2663">
        <v>33079914</v>
      </c>
      <c r="B2663">
        <v>33079914</v>
      </c>
      <c r="C2663" t="s">
        <v>7018</v>
      </c>
      <c r="E2663" s="184"/>
      <c r="F2663" t="s">
        <v>595</v>
      </c>
      <c r="G2663" s="184">
        <v>43731</v>
      </c>
      <c r="I2663" s="184"/>
      <c r="K2663" s="184"/>
      <c r="M2663" s="184"/>
      <c r="O2663" s="184"/>
      <c r="P2663" t="s">
        <v>7045</v>
      </c>
      <c r="Q2663" t="s">
        <v>7383</v>
      </c>
      <c r="R2663" s="184">
        <v>15502</v>
      </c>
      <c r="S2663">
        <v>81</v>
      </c>
      <c r="U2663" t="s">
        <v>7076</v>
      </c>
      <c r="V2663" t="s">
        <v>2580</v>
      </c>
      <c r="W2663" t="s">
        <v>2058</v>
      </c>
      <c r="X2663" t="s">
        <v>3808</v>
      </c>
      <c r="AF2663" t="s">
        <v>22102</v>
      </c>
      <c r="AG2663" t="s">
        <v>2580</v>
      </c>
      <c r="AI2663" t="s">
        <v>22103</v>
      </c>
      <c r="AM2663" t="s">
        <v>3815</v>
      </c>
      <c r="AN2663" t="s">
        <v>2059</v>
      </c>
      <c r="AO2663" t="s">
        <v>22104</v>
      </c>
      <c r="AP2663" t="s">
        <v>7024</v>
      </c>
      <c r="AQ2663" t="s">
        <v>22105</v>
      </c>
      <c r="AT2663" s="184">
        <v>36899</v>
      </c>
      <c r="AU2663" t="s">
        <v>22106</v>
      </c>
      <c r="AV2663">
        <v>100</v>
      </c>
      <c r="AW2663" s="184">
        <v>44006</v>
      </c>
      <c r="AX2663" t="s">
        <v>22107</v>
      </c>
      <c r="AY2663">
        <v>25</v>
      </c>
      <c r="AZ2663" s="184">
        <v>37960</v>
      </c>
      <c r="BA2663" t="s">
        <v>22108</v>
      </c>
      <c r="BB2663">
        <v>250</v>
      </c>
      <c r="BC2663">
        <v>71</v>
      </c>
      <c r="BD2663">
        <v>3650</v>
      </c>
      <c r="BE2663">
        <v>2001</v>
      </c>
      <c r="BF2663">
        <v>85</v>
      </c>
      <c r="BI2663">
        <v>17</v>
      </c>
      <c r="BJ2663">
        <v>24</v>
      </c>
      <c r="BK2663">
        <v>9</v>
      </c>
      <c r="BP2663" s="184"/>
    </row>
    <row r="2664" spans="1:68">
      <c r="A2664">
        <v>33091349</v>
      </c>
      <c r="B2664">
        <v>33091349</v>
      </c>
      <c r="C2664" t="s">
        <v>7018</v>
      </c>
      <c r="E2664" s="184"/>
      <c r="F2664" t="s">
        <v>595</v>
      </c>
      <c r="G2664" s="184">
        <v>43731</v>
      </c>
      <c r="I2664" s="184"/>
      <c r="K2664" s="184"/>
      <c r="M2664" s="184"/>
      <c r="P2664" t="s">
        <v>7045</v>
      </c>
      <c r="Q2664" t="s">
        <v>7383</v>
      </c>
      <c r="R2664" s="184">
        <v>19761</v>
      </c>
      <c r="S2664">
        <v>70</v>
      </c>
      <c r="U2664" t="s">
        <v>7031</v>
      </c>
      <c r="V2664" t="s">
        <v>2863</v>
      </c>
      <c r="X2664" t="s">
        <v>4003</v>
      </c>
      <c r="AF2664" t="s">
        <v>22109</v>
      </c>
      <c r="AG2664" t="s">
        <v>2863</v>
      </c>
      <c r="AI2664" t="s">
        <v>22110</v>
      </c>
      <c r="AM2664" t="s">
        <v>3061</v>
      </c>
      <c r="AN2664" t="s">
        <v>2059</v>
      </c>
      <c r="AO2664" t="s">
        <v>22111</v>
      </c>
      <c r="AP2664" t="s">
        <v>7024</v>
      </c>
      <c r="AQ2664" t="s">
        <v>22112</v>
      </c>
      <c r="AT2664" s="184">
        <v>36895</v>
      </c>
      <c r="AU2664" t="s">
        <v>22113</v>
      </c>
      <c r="AV2664">
        <v>15</v>
      </c>
      <c r="AW2664" s="184">
        <v>45356</v>
      </c>
      <c r="AX2664" t="s">
        <v>22114</v>
      </c>
      <c r="AY2664">
        <v>10</v>
      </c>
      <c r="AZ2664" s="184">
        <v>44559</v>
      </c>
      <c r="BA2664" t="s">
        <v>13683</v>
      </c>
      <c r="BB2664">
        <v>25</v>
      </c>
      <c r="BC2664">
        <v>55</v>
      </c>
      <c r="BD2664">
        <v>265</v>
      </c>
      <c r="BE2664">
        <v>2001</v>
      </c>
      <c r="BF2664">
        <v>17</v>
      </c>
      <c r="BG2664">
        <v>2</v>
      </c>
      <c r="BH2664">
        <v>20</v>
      </c>
      <c r="BI2664">
        <v>13</v>
      </c>
      <c r="BJ2664">
        <v>24</v>
      </c>
      <c r="BK2664">
        <v>4</v>
      </c>
      <c r="BP2664" s="184"/>
    </row>
    <row r="2665" spans="1:68">
      <c r="A2665">
        <v>33096116</v>
      </c>
      <c r="B2665">
        <v>33096116</v>
      </c>
      <c r="C2665" t="s">
        <v>7018</v>
      </c>
      <c r="E2665" s="184"/>
      <c r="G2665" s="184"/>
      <c r="I2665" s="184"/>
      <c r="J2665" t="s">
        <v>595</v>
      </c>
      <c r="K2665" s="184">
        <v>42904</v>
      </c>
      <c r="M2665" s="184"/>
      <c r="O2665" s="184"/>
      <c r="P2665" t="s">
        <v>7029</v>
      </c>
      <c r="Q2665" t="s">
        <v>7374</v>
      </c>
      <c r="R2665" s="184">
        <v>13119</v>
      </c>
      <c r="S2665">
        <v>88</v>
      </c>
      <c r="U2665" t="s">
        <v>7130</v>
      </c>
      <c r="V2665" t="s">
        <v>2602</v>
      </c>
      <c r="W2665" t="s">
        <v>3468</v>
      </c>
      <c r="X2665" t="s">
        <v>3326</v>
      </c>
      <c r="AF2665" t="s">
        <v>22115</v>
      </c>
      <c r="AG2665" t="s">
        <v>2602</v>
      </c>
      <c r="AI2665" t="s">
        <v>22116</v>
      </c>
      <c r="AM2665" t="s">
        <v>8276</v>
      </c>
      <c r="AN2665" t="s">
        <v>2081</v>
      </c>
      <c r="AO2665" t="s">
        <v>22117</v>
      </c>
      <c r="AP2665" t="s">
        <v>7024</v>
      </c>
      <c r="AQ2665" t="s">
        <v>22118</v>
      </c>
      <c r="AT2665" s="184">
        <v>36894</v>
      </c>
      <c r="AU2665" t="s">
        <v>22119</v>
      </c>
      <c r="AV2665">
        <v>25</v>
      </c>
      <c r="AW2665" s="184">
        <v>44586</v>
      </c>
      <c r="AX2665" t="s">
        <v>21572</v>
      </c>
      <c r="AY2665">
        <v>1000</v>
      </c>
      <c r="AZ2665" s="184">
        <v>43100</v>
      </c>
      <c r="BA2665" t="s">
        <v>22120</v>
      </c>
      <c r="BB2665">
        <v>2500</v>
      </c>
      <c r="BC2665">
        <v>55</v>
      </c>
      <c r="BD2665">
        <v>8825</v>
      </c>
      <c r="BE2665">
        <v>2001</v>
      </c>
      <c r="BF2665">
        <v>13</v>
      </c>
      <c r="BI2665">
        <v>13</v>
      </c>
      <c r="BJ2665">
        <v>24</v>
      </c>
      <c r="BK2665">
        <v>4</v>
      </c>
      <c r="BP2665" s="184"/>
    </row>
    <row r="2666" spans="1:68">
      <c r="A2666">
        <v>33103433</v>
      </c>
      <c r="B2666">
        <v>33103433</v>
      </c>
      <c r="C2666" t="s">
        <v>7018</v>
      </c>
      <c r="D2666" t="s">
        <v>595</v>
      </c>
      <c r="E2666" s="184">
        <v>44139</v>
      </c>
      <c r="G2666" s="184"/>
      <c r="I2666" s="184"/>
      <c r="K2666" s="184"/>
      <c r="M2666" s="184"/>
      <c r="P2666" t="s">
        <v>7045</v>
      </c>
      <c r="Q2666" t="s">
        <v>7383</v>
      </c>
      <c r="R2666" s="184">
        <v>21671</v>
      </c>
      <c r="S2666">
        <v>65</v>
      </c>
      <c r="U2666" t="s">
        <v>7076</v>
      </c>
      <c r="V2666" t="s">
        <v>4950</v>
      </c>
      <c r="X2666" t="s">
        <v>22121</v>
      </c>
      <c r="AF2666" t="s">
        <v>22122</v>
      </c>
      <c r="AG2666" t="s">
        <v>4950</v>
      </c>
      <c r="AI2666" t="s">
        <v>22123</v>
      </c>
      <c r="AM2666" t="s">
        <v>22124</v>
      </c>
      <c r="AN2666" t="s">
        <v>2064</v>
      </c>
      <c r="AO2666" t="s">
        <v>22125</v>
      </c>
      <c r="AP2666" t="s">
        <v>7024</v>
      </c>
      <c r="AQ2666" t="s">
        <v>22126</v>
      </c>
      <c r="AT2666" s="184">
        <v>36896</v>
      </c>
      <c r="AU2666" t="s">
        <v>21910</v>
      </c>
      <c r="AV2666">
        <v>25</v>
      </c>
      <c r="AW2666" s="184">
        <v>45258</v>
      </c>
      <c r="AX2666" t="s">
        <v>8836</v>
      </c>
      <c r="AY2666">
        <v>100</v>
      </c>
      <c r="AZ2666" s="184">
        <v>45258</v>
      </c>
      <c r="BA2666" t="s">
        <v>8836</v>
      </c>
      <c r="BB2666">
        <v>100</v>
      </c>
      <c r="BC2666">
        <v>75</v>
      </c>
      <c r="BD2666">
        <v>1385</v>
      </c>
      <c r="BE2666">
        <v>2001</v>
      </c>
      <c r="BF2666">
        <v>18</v>
      </c>
      <c r="BG2666">
        <v>2</v>
      </c>
      <c r="BH2666">
        <v>200</v>
      </c>
      <c r="BI2666">
        <v>18</v>
      </c>
      <c r="BJ2666">
        <v>24</v>
      </c>
      <c r="BK2666">
        <v>15</v>
      </c>
    </row>
    <row r="2667" spans="1:68">
      <c r="A2667">
        <v>33103763</v>
      </c>
      <c r="B2667">
        <v>33103763</v>
      </c>
      <c r="C2667" t="s">
        <v>7018</v>
      </c>
      <c r="E2667" s="184"/>
      <c r="G2667" s="184"/>
      <c r="I2667" s="184"/>
      <c r="J2667" t="s">
        <v>595</v>
      </c>
      <c r="K2667" s="184"/>
      <c r="M2667" s="184"/>
      <c r="O2667" s="184"/>
      <c r="P2667" t="s">
        <v>7045</v>
      </c>
      <c r="Q2667" t="s">
        <v>7454</v>
      </c>
      <c r="R2667" s="184">
        <v>13094</v>
      </c>
      <c r="S2667">
        <v>88</v>
      </c>
      <c r="U2667" t="s">
        <v>7031</v>
      </c>
      <c r="V2667" t="s">
        <v>3103</v>
      </c>
      <c r="W2667" t="s">
        <v>3332</v>
      </c>
      <c r="X2667" t="s">
        <v>7195</v>
      </c>
      <c r="AF2667" t="s">
        <v>6701</v>
      </c>
      <c r="AG2667" t="s">
        <v>3103</v>
      </c>
      <c r="AI2667" t="s">
        <v>22127</v>
      </c>
      <c r="AM2667" t="s">
        <v>4101</v>
      </c>
      <c r="AN2667" t="s">
        <v>2299</v>
      </c>
      <c r="AO2667" t="s">
        <v>22128</v>
      </c>
      <c r="AP2667" t="s">
        <v>7024</v>
      </c>
      <c r="AQ2667" t="s">
        <v>22129</v>
      </c>
      <c r="AR2667" t="s">
        <v>22130</v>
      </c>
      <c r="AT2667" s="184">
        <v>43916</v>
      </c>
      <c r="AU2667" t="s">
        <v>22131</v>
      </c>
      <c r="AV2667">
        <v>100</v>
      </c>
      <c r="AW2667" s="184">
        <v>44664</v>
      </c>
      <c r="AX2667" t="s">
        <v>22132</v>
      </c>
      <c r="AY2667">
        <v>100</v>
      </c>
      <c r="AZ2667" s="184">
        <v>44522</v>
      </c>
      <c r="BA2667" t="s">
        <v>22133</v>
      </c>
      <c r="BB2667">
        <v>500</v>
      </c>
      <c r="BC2667">
        <v>60</v>
      </c>
      <c r="BD2667">
        <v>1200</v>
      </c>
      <c r="BE2667">
        <v>2020</v>
      </c>
      <c r="BF2667">
        <v>8</v>
      </c>
      <c r="BI2667">
        <v>3</v>
      </c>
      <c r="BJ2667">
        <v>5</v>
      </c>
      <c r="BK2667">
        <v>3</v>
      </c>
      <c r="BP2667" s="184"/>
    </row>
    <row r="2668" spans="1:68">
      <c r="A2668">
        <v>33106287</v>
      </c>
      <c r="B2668">
        <v>33106287</v>
      </c>
      <c r="C2668" t="s">
        <v>7018</v>
      </c>
      <c r="E2668" s="184"/>
      <c r="G2668" s="184"/>
      <c r="H2668" t="s">
        <v>595</v>
      </c>
      <c r="I2668" s="184">
        <v>44943</v>
      </c>
      <c r="J2668" t="s">
        <v>595</v>
      </c>
      <c r="K2668" s="184">
        <v>40752</v>
      </c>
      <c r="M2668" s="184"/>
      <c r="O2668" s="184"/>
      <c r="P2668" t="s">
        <v>7029</v>
      </c>
      <c r="Q2668" t="s">
        <v>7262</v>
      </c>
      <c r="R2668" s="184">
        <v>20699</v>
      </c>
      <c r="S2668">
        <v>67</v>
      </c>
      <c r="U2668" t="s">
        <v>7076</v>
      </c>
      <c r="V2668" t="s">
        <v>4943</v>
      </c>
      <c r="W2668" t="s">
        <v>2049</v>
      </c>
      <c r="X2668" t="s">
        <v>4113</v>
      </c>
      <c r="Z2668">
        <v>100093086</v>
      </c>
      <c r="AA2668" t="s">
        <v>7031</v>
      </c>
      <c r="AB2668" t="s">
        <v>2898</v>
      </c>
      <c r="AC2668" t="s">
        <v>4152</v>
      </c>
      <c r="AD2668" t="s">
        <v>10805</v>
      </c>
      <c r="AE2668" t="s">
        <v>7047</v>
      </c>
      <c r="AF2668" t="s">
        <v>6144</v>
      </c>
      <c r="AG2668" t="s">
        <v>22134</v>
      </c>
      <c r="AI2668" t="s">
        <v>22135</v>
      </c>
      <c r="AM2668" t="s">
        <v>2730</v>
      </c>
      <c r="AN2668" t="s">
        <v>2069</v>
      </c>
      <c r="AO2668" t="s">
        <v>22136</v>
      </c>
      <c r="AP2668" t="s">
        <v>7024</v>
      </c>
      <c r="AQ2668" t="s">
        <v>22137</v>
      </c>
      <c r="AR2668" t="s">
        <v>22138</v>
      </c>
      <c r="AT2668" s="184">
        <v>36902</v>
      </c>
      <c r="AU2668" t="s">
        <v>22139</v>
      </c>
      <c r="AV2668">
        <v>50</v>
      </c>
      <c r="AW2668" s="184">
        <v>45258</v>
      </c>
      <c r="AX2668" t="s">
        <v>22140</v>
      </c>
      <c r="AY2668">
        <v>177.76</v>
      </c>
      <c r="AZ2668" s="184">
        <v>43196</v>
      </c>
      <c r="BA2668" t="s">
        <v>22141</v>
      </c>
      <c r="BB2668">
        <v>1000</v>
      </c>
      <c r="BC2668">
        <v>92</v>
      </c>
      <c r="BD2668">
        <v>5802.76</v>
      </c>
      <c r="BE2668">
        <v>2001</v>
      </c>
      <c r="BF2668">
        <v>36</v>
      </c>
      <c r="BG2668">
        <v>3</v>
      </c>
      <c r="BH2668">
        <v>802.76</v>
      </c>
      <c r="BI2668">
        <v>22</v>
      </c>
      <c r="BJ2668">
        <v>24</v>
      </c>
      <c r="BK2668">
        <v>11</v>
      </c>
      <c r="BP2668" s="184"/>
    </row>
    <row r="2669" spans="1:68">
      <c r="A2669">
        <v>100093086</v>
      </c>
      <c r="B2669">
        <v>33106287</v>
      </c>
      <c r="C2669" t="s">
        <v>7018</v>
      </c>
      <c r="E2669" s="184"/>
      <c r="G2669" s="184"/>
      <c r="H2669" t="s">
        <v>595</v>
      </c>
      <c r="I2669" s="184">
        <v>44943</v>
      </c>
      <c r="J2669" t="s">
        <v>595</v>
      </c>
      <c r="K2669" s="184">
        <v>40752</v>
      </c>
      <c r="M2669" s="184"/>
      <c r="O2669" s="184"/>
      <c r="P2669" t="s">
        <v>7029</v>
      </c>
      <c r="Q2669" t="s">
        <v>7262</v>
      </c>
      <c r="R2669" s="184">
        <v>19694</v>
      </c>
      <c r="S2669">
        <v>70</v>
      </c>
      <c r="U2669" t="s">
        <v>7031</v>
      </c>
      <c r="V2669" t="s">
        <v>2898</v>
      </c>
      <c r="W2669" t="s">
        <v>4152</v>
      </c>
      <c r="X2669" t="s">
        <v>10805</v>
      </c>
      <c r="Y2669" t="s">
        <v>7047</v>
      </c>
      <c r="Z2669">
        <v>33106287</v>
      </c>
      <c r="AA2669" t="s">
        <v>7076</v>
      </c>
      <c r="AB2669" t="s">
        <v>4943</v>
      </c>
      <c r="AC2669" t="s">
        <v>2049</v>
      </c>
      <c r="AD2669" t="s">
        <v>4113</v>
      </c>
      <c r="AF2669" t="s">
        <v>6144</v>
      </c>
      <c r="AG2669" t="s">
        <v>22134</v>
      </c>
      <c r="AI2669" t="s">
        <v>22135</v>
      </c>
      <c r="AM2669" t="s">
        <v>2730</v>
      </c>
      <c r="AN2669" t="s">
        <v>2069</v>
      </c>
      <c r="AO2669" t="s">
        <v>22136</v>
      </c>
      <c r="AP2669" t="s">
        <v>7024</v>
      </c>
      <c r="AQ2669" t="s">
        <v>22138</v>
      </c>
      <c r="AT2669" s="184">
        <v>44545</v>
      </c>
      <c r="AU2669" t="s">
        <v>11445</v>
      </c>
      <c r="AV2669">
        <v>250</v>
      </c>
      <c r="AW2669" s="184">
        <v>44545</v>
      </c>
      <c r="AX2669" t="s">
        <v>11445</v>
      </c>
      <c r="AY2669">
        <v>250</v>
      </c>
      <c r="AZ2669" s="184">
        <v>44545</v>
      </c>
      <c r="BA2669" t="s">
        <v>11445</v>
      </c>
      <c r="BB2669">
        <v>250</v>
      </c>
      <c r="BC2669">
        <v>25</v>
      </c>
      <c r="BD2669">
        <v>250</v>
      </c>
      <c r="BE2669">
        <v>2022</v>
      </c>
      <c r="BF2669">
        <v>1</v>
      </c>
      <c r="BI2669">
        <v>1</v>
      </c>
      <c r="BJ2669">
        <v>4</v>
      </c>
      <c r="BK2669">
        <v>1</v>
      </c>
      <c r="BP2669" s="184"/>
    </row>
    <row r="2670" spans="1:68">
      <c r="A2670">
        <v>33111477</v>
      </c>
      <c r="B2670">
        <v>33111477</v>
      </c>
      <c r="C2670" t="s">
        <v>7018</v>
      </c>
      <c r="D2670" t="s">
        <v>595</v>
      </c>
      <c r="E2670" s="184">
        <v>43642</v>
      </c>
      <c r="G2670" s="184"/>
      <c r="I2670" s="184"/>
      <c r="K2670" s="184"/>
      <c r="M2670" s="184"/>
      <c r="O2670" s="184"/>
      <c r="P2670" t="s">
        <v>7045</v>
      </c>
      <c r="Q2670" t="s">
        <v>7020</v>
      </c>
      <c r="R2670" s="184">
        <v>20637</v>
      </c>
      <c r="S2670">
        <v>67</v>
      </c>
      <c r="U2670" t="s">
        <v>7130</v>
      </c>
      <c r="V2670" t="s">
        <v>3329</v>
      </c>
      <c r="W2670" t="s">
        <v>115</v>
      </c>
      <c r="X2670" t="s">
        <v>3330</v>
      </c>
      <c r="AF2670" t="s">
        <v>22142</v>
      </c>
      <c r="AG2670" t="s">
        <v>3329</v>
      </c>
      <c r="AI2670" t="s">
        <v>22143</v>
      </c>
      <c r="AM2670" t="s">
        <v>8599</v>
      </c>
      <c r="AN2670" t="s">
        <v>2240</v>
      </c>
      <c r="AO2670" t="s">
        <v>22144</v>
      </c>
      <c r="AP2670" t="s">
        <v>7024</v>
      </c>
      <c r="AQ2670" t="s">
        <v>22145</v>
      </c>
      <c r="AR2670" t="s">
        <v>22146</v>
      </c>
      <c r="AT2670" s="184">
        <v>36903</v>
      </c>
      <c r="AU2670" t="s">
        <v>22147</v>
      </c>
      <c r="AV2670">
        <v>25</v>
      </c>
      <c r="AW2670" s="184">
        <v>45378</v>
      </c>
      <c r="AX2670" t="s">
        <v>7648</v>
      </c>
      <c r="AY2670">
        <v>12</v>
      </c>
      <c r="AZ2670" s="184">
        <v>37986</v>
      </c>
      <c r="BA2670" t="s">
        <v>22148</v>
      </c>
      <c r="BB2670">
        <v>250</v>
      </c>
      <c r="BC2670">
        <v>88</v>
      </c>
      <c r="BD2670">
        <v>3067</v>
      </c>
      <c r="BE2670">
        <v>2001</v>
      </c>
      <c r="BF2670">
        <v>174</v>
      </c>
      <c r="BG2670">
        <v>24</v>
      </c>
      <c r="BH2670">
        <v>288</v>
      </c>
      <c r="BI2670">
        <v>21</v>
      </c>
      <c r="BJ2670">
        <v>24</v>
      </c>
      <c r="BK2670">
        <v>17</v>
      </c>
      <c r="BN2670" t="s">
        <v>595</v>
      </c>
      <c r="BP2670" s="184"/>
    </row>
    <row r="2671" spans="1:68">
      <c r="A2671">
        <v>33114893</v>
      </c>
      <c r="B2671">
        <v>33114893</v>
      </c>
      <c r="C2671" t="s">
        <v>7018</v>
      </c>
      <c r="E2671" s="184"/>
      <c r="F2671" t="s">
        <v>595</v>
      </c>
      <c r="G2671" s="184">
        <v>43731</v>
      </c>
      <c r="I2671" s="184"/>
      <c r="K2671" s="184"/>
      <c r="M2671" s="184"/>
      <c r="O2671" s="184"/>
      <c r="P2671" t="s">
        <v>7045</v>
      </c>
      <c r="Q2671" t="s">
        <v>7160</v>
      </c>
      <c r="R2671" s="184">
        <v>16680</v>
      </c>
      <c r="S2671">
        <v>78</v>
      </c>
      <c r="U2671" t="s">
        <v>7076</v>
      </c>
      <c r="V2671" t="s">
        <v>3869</v>
      </c>
      <c r="W2671" t="s">
        <v>4139</v>
      </c>
      <c r="X2671" t="s">
        <v>3870</v>
      </c>
      <c r="AF2671" t="s">
        <v>22149</v>
      </c>
      <c r="AG2671" t="s">
        <v>3869</v>
      </c>
      <c r="AI2671" t="s">
        <v>22150</v>
      </c>
      <c r="AM2671" t="s">
        <v>3871</v>
      </c>
      <c r="AN2671" t="s">
        <v>2446</v>
      </c>
      <c r="AO2671" t="s">
        <v>22151</v>
      </c>
      <c r="AP2671" t="s">
        <v>7024</v>
      </c>
      <c r="AQ2671" t="s">
        <v>22152</v>
      </c>
      <c r="AR2671" t="s">
        <v>22153</v>
      </c>
      <c r="AT2671" s="184">
        <v>36903</v>
      </c>
      <c r="AU2671" t="s">
        <v>22154</v>
      </c>
      <c r="AV2671">
        <v>15</v>
      </c>
      <c r="AW2671" s="184">
        <v>45296</v>
      </c>
      <c r="AX2671" t="s">
        <v>12156</v>
      </c>
      <c r="AY2671">
        <v>25</v>
      </c>
      <c r="AZ2671" s="184">
        <v>40567</v>
      </c>
      <c r="BA2671" t="s">
        <v>22155</v>
      </c>
      <c r="BB2671">
        <v>50</v>
      </c>
      <c r="BC2671">
        <v>71</v>
      </c>
      <c r="BD2671">
        <v>969.97</v>
      </c>
      <c r="BE2671">
        <v>2001</v>
      </c>
      <c r="BF2671">
        <v>62</v>
      </c>
      <c r="BG2671">
        <v>2</v>
      </c>
      <c r="BH2671">
        <v>50</v>
      </c>
      <c r="BI2671">
        <v>17</v>
      </c>
      <c r="BJ2671">
        <v>24</v>
      </c>
      <c r="BK2671">
        <v>10</v>
      </c>
      <c r="BP2671" s="184"/>
    </row>
    <row r="2672" spans="1:68">
      <c r="A2672">
        <v>33116799</v>
      </c>
      <c r="B2672">
        <v>33116799</v>
      </c>
      <c r="C2672" t="s">
        <v>7018</v>
      </c>
      <c r="D2672" t="s">
        <v>595</v>
      </c>
      <c r="E2672" s="184">
        <v>45117</v>
      </c>
      <c r="G2672" s="184"/>
      <c r="I2672" s="184"/>
      <c r="K2672" s="184"/>
      <c r="M2672" s="184"/>
      <c r="O2672" s="184"/>
      <c r="P2672" t="s">
        <v>7045</v>
      </c>
      <c r="Q2672" t="s">
        <v>7383</v>
      </c>
      <c r="R2672" s="184">
        <v>19670</v>
      </c>
      <c r="S2672">
        <v>70</v>
      </c>
      <c r="V2672" t="s">
        <v>5495</v>
      </c>
      <c r="W2672" t="s">
        <v>4139</v>
      </c>
      <c r="X2672" t="s">
        <v>22156</v>
      </c>
      <c r="AF2672" t="s">
        <v>22157</v>
      </c>
      <c r="AG2672" t="s">
        <v>5495</v>
      </c>
      <c r="AI2672" t="s">
        <v>22158</v>
      </c>
      <c r="AM2672" t="s">
        <v>22159</v>
      </c>
      <c r="AN2672" t="s">
        <v>2072</v>
      </c>
      <c r="AO2672" t="s">
        <v>22160</v>
      </c>
      <c r="AP2672" t="s">
        <v>7024</v>
      </c>
      <c r="AT2672" s="184">
        <v>36903</v>
      </c>
      <c r="AU2672" t="s">
        <v>22161</v>
      </c>
      <c r="AV2672">
        <v>15</v>
      </c>
      <c r="AW2672" s="184">
        <v>42853</v>
      </c>
      <c r="AX2672" t="s">
        <v>22162</v>
      </c>
      <c r="AY2672">
        <v>8</v>
      </c>
      <c r="AZ2672" s="184">
        <v>41095</v>
      </c>
      <c r="BA2672" t="s">
        <v>22163</v>
      </c>
      <c r="BB2672">
        <v>25</v>
      </c>
      <c r="BC2672">
        <v>30</v>
      </c>
      <c r="BD2672">
        <v>133</v>
      </c>
      <c r="BE2672">
        <v>2001</v>
      </c>
      <c r="BF2672">
        <v>8</v>
      </c>
      <c r="BI2672">
        <v>7</v>
      </c>
      <c r="BJ2672">
        <v>24</v>
      </c>
      <c r="BK2672">
        <v>3</v>
      </c>
      <c r="BP2672" s="184"/>
    </row>
    <row r="2673" spans="1:68">
      <c r="A2673">
        <v>33121617</v>
      </c>
      <c r="B2673">
        <v>33121617</v>
      </c>
      <c r="C2673" t="s">
        <v>7018</v>
      </c>
      <c r="D2673" t="s">
        <v>595</v>
      </c>
      <c r="E2673" s="184">
        <v>44104</v>
      </c>
      <c r="G2673" s="184"/>
      <c r="I2673" s="184"/>
      <c r="K2673" s="184"/>
      <c r="M2673" s="184"/>
      <c r="O2673" s="184"/>
      <c r="P2673" t="s">
        <v>7045</v>
      </c>
      <c r="Q2673" t="s">
        <v>7374</v>
      </c>
      <c r="R2673" s="184">
        <v>9500</v>
      </c>
      <c r="S2673">
        <v>98</v>
      </c>
      <c r="U2673" t="s">
        <v>7031</v>
      </c>
      <c r="V2673" t="s">
        <v>3732</v>
      </c>
      <c r="W2673" t="s">
        <v>4327</v>
      </c>
      <c r="X2673" t="s">
        <v>22164</v>
      </c>
      <c r="AF2673" t="s">
        <v>22165</v>
      </c>
      <c r="AG2673" t="s">
        <v>3732</v>
      </c>
      <c r="AI2673" t="s">
        <v>22166</v>
      </c>
      <c r="AM2673" t="s">
        <v>12765</v>
      </c>
      <c r="AN2673" t="s">
        <v>2081</v>
      </c>
      <c r="AO2673" t="s">
        <v>22167</v>
      </c>
      <c r="AP2673" t="s">
        <v>7024</v>
      </c>
      <c r="AQ2673" t="s">
        <v>22168</v>
      </c>
      <c r="AT2673" s="184">
        <v>36902</v>
      </c>
      <c r="AU2673" t="s">
        <v>22169</v>
      </c>
      <c r="AV2673">
        <v>10</v>
      </c>
      <c r="AW2673" s="184">
        <v>44287</v>
      </c>
      <c r="AX2673" t="s">
        <v>22170</v>
      </c>
      <c r="AY2673">
        <v>30</v>
      </c>
      <c r="AZ2673" s="184">
        <v>42927</v>
      </c>
      <c r="BA2673" t="s">
        <v>22171</v>
      </c>
      <c r="BB2673">
        <v>87</v>
      </c>
      <c r="BC2673">
        <v>80</v>
      </c>
      <c r="BD2673">
        <v>974</v>
      </c>
      <c r="BE2673">
        <v>2001</v>
      </c>
      <c r="BF2673">
        <v>26</v>
      </c>
      <c r="BI2673">
        <v>19</v>
      </c>
      <c r="BJ2673">
        <v>24</v>
      </c>
      <c r="BK2673">
        <v>17</v>
      </c>
      <c r="BP2673" s="184"/>
    </row>
    <row r="2674" spans="1:68">
      <c r="A2674">
        <v>33129099</v>
      </c>
      <c r="B2674">
        <v>33129099</v>
      </c>
      <c r="C2674" t="s">
        <v>7018</v>
      </c>
      <c r="E2674" s="184"/>
      <c r="G2674" s="184"/>
      <c r="I2674" s="184"/>
      <c r="J2674" t="s">
        <v>595</v>
      </c>
      <c r="K2674" s="184">
        <v>40919</v>
      </c>
      <c r="M2674" s="184"/>
      <c r="O2674" s="184"/>
      <c r="P2674" t="s">
        <v>7045</v>
      </c>
      <c r="Q2674" t="s">
        <v>7494</v>
      </c>
      <c r="R2674" s="184">
        <v>19233</v>
      </c>
      <c r="S2674">
        <v>71</v>
      </c>
      <c r="U2674" t="s">
        <v>7031</v>
      </c>
      <c r="V2674" t="s">
        <v>3730</v>
      </c>
      <c r="X2674" t="s">
        <v>3247</v>
      </c>
      <c r="Z2674">
        <v>100093169</v>
      </c>
      <c r="AA2674" t="s">
        <v>7130</v>
      </c>
      <c r="AB2674" t="s">
        <v>3098</v>
      </c>
      <c r="AD2674" t="s">
        <v>3247</v>
      </c>
      <c r="AF2674" t="s">
        <v>6296</v>
      </c>
      <c r="AG2674" t="s">
        <v>3730</v>
      </c>
      <c r="AI2674" t="s">
        <v>22172</v>
      </c>
      <c r="AJ2674" t="s">
        <v>22173</v>
      </c>
      <c r="AM2674" t="s">
        <v>2582</v>
      </c>
      <c r="AN2674" t="s">
        <v>2174</v>
      </c>
      <c r="AO2674">
        <v>77043</v>
      </c>
      <c r="AP2674" t="s">
        <v>7024</v>
      </c>
      <c r="AQ2674" t="s">
        <v>22174</v>
      </c>
      <c r="AT2674" s="184">
        <v>36906</v>
      </c>
      <c r="AU2674" t="s">
        <v>22175</v>
      </c>
      <c r="AV2674">
        <v>25</v>
      </c>
      <c r="AW2674" s="184">
        <v>45351</v>
      </c>
      <c r="AX2674" t="s">
        <v>15106</v>
      </c>
      <c r="AY2674">
        <v>100</v>
      </c>
      <c r="AZ2674" s="184">
        <v>45351</v>
      </c>
      <c r="BA2674" t="s">
        <v>15106</v>
      </c>
      <c r="BB2674">
        <v>100</v>
      </c>
      <c r="BC2674">
        <v>96</v>
      </c>
      <c r="BD2674">
        <v>2175</v>
      </c>
      <c r="BE2674">
        <v>2001</v>
      </c>
      <c r="BF2674">
        <v>24</v>
      </c>
      <c r="BG2674">
        <v>2</v>
      </c>
      <c r="BH2674">
        <v>200</v>
      </c>
      <c r="BI2674">
        <v>23</v>
      </c>
      <c r="BJ2674">
        <v>24</v>
      </c>
      <c r="BK2674">
        <v>20</v>
      </c>
      <c r="BN2674" t="s">
        <v>595</v>
      </c>
      <c r="BP2674" s="184"/>
    </row>
    <row r="2675" spans="1:68">
      <c r="A2675">
        <v>100093169</v>
      </c>
      <c r="B2675">
        <v>33129099</v>
      </c>
      <c r="C2675" t="s">
        <v>7018</v>
      </c>
      <c r="E2675" s="184"/>
      <c r="G2675" s="184"/>
      <c r="I2675" s="184"/>
      <c r="J2675" t="s">
        <v>595</v>
      </c>
      <c r="K2675" s="184">
        <v>43649</v>
      </c>
      <c r="M2675" s="184"/>
      <c r="O2675" s="184"/>
      <c r="P2675" t="s">
        <v>7045</v>
      </c>
      <c r="Q2675" t="s">
        <v>7494</v>
      </c>
      <c r="R2675" s="184">
        <v>17502</v>
      </c>
      <c r="S2675">
        <v>76</v>
      </c>
      <c r="U2675" t="s">
        <v>7130</v>
      </c>
      <c r="V2675" t="s">
        <v>3098</v>
      </c>
      <c r="X2675" t="s">
        <v>3247</v>
      </c>
      <c r="Z2675">
        <v>33129099</v>
      </c>
      <c r="AA2675" t="s">
        <v>7031</v>
      </c>
      <c r="AB2675" t="s">
        <v>3730</v>
      </c>
      <c r="AD2675" t="s">
        <v>3247</v>
      </c>
      <c r="AF2675" t="s">
        <v>6296</v>
      </c>
      <c r="AG2675" t="s">
        <v>3730</v>
      </c>
      <c r="AI2675" t="s">
        <v>22172</v>
      </c>
      <c r="AJ2675" t="s">
        <v>22173</v>
      </c>
      <c r="AM2675" t="s">
        <v>2582</v>
      </c>
      <c r="AN2675" t="s">
        <v>2174</v>
      </c>
      <c r="AO2675">
        <v>77043</v>
      </c>
      <c r="AP2675" t="s">
        <v>7024</v>
      </c>
      <c r="AT2675" s="184"/>
      <c r="AW2675" s="184"/>
      <c r="AZ2675" s="184"/>
      <c r="BO2675" t="s">
        <v>595</v>
      </c>
      <c r="BP2675" s="184">
        <v>43663</v>
      </c>
    </row>
    <row r="2676" spans="1:68">
      <c r="A2676">
        <v>33132812</v>
      </c>
      <c r="B2676">
        <v>33132812</v>
      </c>
      <c r="C2676" t="s">
        <v>7018</v>
      </c>
      <c r="D2676" t="s">
        <v>595</v>
      </c>
      <c r="E2676" s="184">
        <v>43647</v>
      </c>
      <c r="G2676" s="184"/>
      <c r="I2676" s="184"/>
      <c r="K2676" s="184"/>
      <c r="M2676" s="184"/>
      <c r="O2676" s="184"/>
      <c r="P2676" t="s">
        <v>7045</v>
      </c>
      <c r="Q2676" t="s">
        <v>7020</v>
      </c>
      <c r="R2676" s="184">
        <v>14348</v>
      </c>
      <c r="S2676">
        <v>85</v>
      </c>
      <c r="U2676" t="s">
        <v>7130</v>
      </c>
      <c r="V2676" t="s">
        <v>3550</v>
      </c>
      <c r="X2676" t="s">
        <v>3188</v>
      </c>
      <c r="AF2676" t="s">
        <v>22176</v>
      </c>
      <c r="AG2676" t="s">
        <v>3550</v>
      </c>
      <c r="AI2676" t="s">
        <v>22177</v>
      </c>
      <c r="AM2676" t="s">
        <v>3551</v>
      </c>
      <c r="AN2676" t="s">
        <v>2112</v>
      </c>
      <c r="AO2676" t="s">
        <v>22178</v>
      </c>
      <c r="AP2676" t="s">
        <v>7024</v>
      </c>
      <c r="AQ2676" t="s">
        <v>22179</v>
      </c>
      <c r="AR2676" t="s">
        <v>22180</v>
      </c>
      <c r="AT2676" s="184">
        <v>36906</v>
      </c>
      <c r="AU2676" t="s">
        <v>22181</v>
      </c>
      <c r="AV2676">
        <v>15</v>
      </c>
      <c r="AW2676" s="184">
        <v>45068</v>
      </c>
      <c r="AX2676" t="s">
        <v>19512</v>
      </c>
      <c r="AY2676">
        <v>50</v>
      </c>
      <c r="AZ2676" s="184">
        <v>42089</v>
      </c>
      <c r="BA2676" t="s">
        <v>22182</v>
      </c>
      <c r="BB2676">
        <v>87</v>
      </c>
      <c r="BC2676">
        <v>80</v>
      </c>
      <c r="BD2676">
        <v>1182</v>
      </c>
      <c r="BE2676">
        <v>2001</v>
      </c>
      <c r="BF2676">
        <v>33</v>
      </c>
      <c r="BG2676">
        <v>3</v>
      </c>
      <c r="BH2676">
        <v>150</v>
      </c>
      <c r="BI2676">
        <v>19</v>
      </c>
      <c r="BJ2676">
        <v>24</v>
      </c>
      <c r="BK2676">
        <v>6</v>
      </c>
      <c r="BP2676" s="184"/>
    </row>
    <row r="2677" spans="1:68">
      <c r="A2677">
        <v>33143405</v>
      </c>
      <c r="B2677">
        <v>33143405</v>
      </c>
      <c r="C2677" t="s">
        <v>7018</v>
      </c>
      <c r="E2677" s="184"/>
      <c r="G2677" s="184"/>
      <c r="I2677" s="184"/>
      <c r="K2677" s="184"/>
      <c r="L2677" t="s">
        <v>595</v>
      </c>
      <c r="M2677" s="184">
        <v>44202</v>
      </c>
      <c r="O2677" s="184"/>
      <c r="P2677" t="s">
        <v>7045</v>
      </c>
      <c r="Q2677" t="s">
        <v>7383</v>
      </c>
      <c r="R2677" s="184">
        <v>17186</v>
      </c>
      <c r="S2677">
        <v>77</v>
      </c>
      <c r="U2677" t="s">
        <v>7031</v>
      </c>
      <c r="V2677" t="s">
        <v>2697</v>
      </c>
      <c r="X2677" t="s">
        <v>22183</v>
      </c>
      <c r="Z2677">
        <v>100093230</v>
      </c>
      <c r="AB2677" t="s">
        <v>3122</v>
      </c>
      <c r="AD2677" t="s">
        <v>22183</v>
      </c>
      <c r="AF2677" t="s">
        <v>22184</v>
      </c>
      <c r="AG2677" t="s">
        <v>22185</v>
      </c>
      <c r="AI2677" t="s">
        <v>22186</v>
      </c>
      <c r="AM2677" t="s">
        <v>5585</v>
      </c>
      <c r="AN2677" t="s">
        <v>2313</v>
      </c>
      <c r="AO2677" t="s">
        <v>22187</v>
      </c>
      <c r="AP2677" t="s">
        <v>7024</v>
      </c>
      <c r="AQ2677" t="s">
        <v>22188</v>
      </c>
      <c r="AT2677" s="184">
        <v>36886</v>
      </c>
      <c r="AU2677" t="s">
        <v>22189</v>
      </c>
      <c r="AV2677">
        <v>40</v>
      </c>
      <c r="AW2677" s="184">
        <v>45260</v>
      </c>
      <c r="AX2677" t="s">
        <v>22190</v>
      </c>
      <c r="AY2677">
        <v>100</v>
      </c>
      <c r="AZ2677" s="184">
        <v>43440</v>
      </c>
      <c r="BA2677" t="s">
        <v>22191</v>
      </c>
      <c r="BB2677">
        <v>500</v>
      </c>
      <c r="BC2677">
        <v>36</v>
      </c>
      <c r="BD2677">
        <v>915</v>
      </c>
      <c r="BE2677">
        <v>2001</v>
      </c>
      <c r="BF2677">
        <v>9</v>
      </c>
      <c r="BG2677">
        <v>2</v>
      </c>
      <c r="BH2677">
        <v>150</v>
      </c>
      <c r="BI2677">
        <v>9</v>
      </c>
      <c r="BJ2677">
        <v>25</v>
      </c>
      <c r="BK2677">
        <v>4</v>
      </c>
      <c r="BP2677" s="184"/>
    </row>
    <row r="2678" spans="1:68">
      <c r="A2678">
        <v>100093230</v>
      </c>
      <c r="B2678">
        <v>33143405</v>
      </c>
      <c r="C2678" t="s">
        <v>7018</v>
      </c>
      <c r="E2678" s="184"/>
      <c r="G2678" s="184"/>
      <c r="I2678" s="184"/>
      <c r="K2678" s="184"/>
      <c r="L2678" t="s">
        <v>595</v>
      </c>
      <c r="M2678" s="184">
        <v>44202</v>
      </c>
      <c r="O2678" s="184"/>
      <c r="P2678" t="s">
        <v>7045</v>
      </c>
      <c r="Q2678" t="s">
        <v>7383</v>
      </c>
      <c r="R2678" s="184">
        <v>18810</v>
      </c>
      <c r="S2678">
        <v>72</v>
      </c>
      <c r="V2678" t="s">
        <v>3122</v>
      </c>
      <c r="X2678" t="s">
        <v>22183</v>
      </c>
      <c r="Z2678">
        <v>33143405</v>
      </c>
      <c r="AA2678" t="s">
        <v>7031</v>
      </c>
      <c r="AB2678" t="s">
        <v>2697</v>
      </c>
      <c r="AD2678" t="s">
        <v>22183</v>
      </c>
      <c r="AF2678" t="s">
        <v>22184</v>
      </c>
      <c r="AG2678" t="s">
        <v>22185</v>
      </c>
      <c r="AI2678" t="s">
        <v>22186</v>
      </c>
      <c r="AM2678" t="s">
        <v>5585</v>
      </c>
      <c r="AN2678" t="s">
        <v>2313</v>
      </c>
      <c r="AO2678" t="s">
        <v>22187</v>
      </c>
      <c r="AP2678" t="s">
        <v>7024</v>
      </c>
      <c r="AT2678" s="184"/>
      <c r="AW2678" s="184"/>
      <c r="AZ2678" s="184"/>
      <c r="BP2678" s="184"/>
    </row>
    <row r="2679" spans="1:68">
      <c r="A2679">
        <v>33173238</v>
      </c>
      <c r="B2679">
        <v>33173238</v>
      </c>
      <c r="C2679" t="s">
        <v>7018</v>
      </c>
      <c r="D2679" t="s">
        <v>595</v>
      </c>
      <c r="E2679" s="184">
        <v>43642</v>
      </c>
      <c r="G2679" s="184"/>
      <c r="I2679" s="184"/>
      <c r="K2679" s="184"/>
      <c r="O2679" s="184"/>
      <c r="P2679" t="s">
        <v>7045</v>
      </c>
      <c r="Q2679" t="s">
        <v>7020</v>
      </c>
      <c r="R2679" s="184">
        <v>14783</v>
      </c>
      <c r="S2679">
        <v>83</v>
      </c>
      <c r="V2679" t="s">
        <v>3332</v>
      </c>
      <c r="W2679" t="s">
        <v>7356</v>
      </c>
      <c r="X2679" t="s">
        <v>3333</v>
      </c>
      <c r="AF2679" t="s">
        <v>22192</v>
      </c>
      <c r="AG2679" t="s">
        <v>5990</v>
      </c>
      <c r="AI2679" t="s">
        <v>22193</v>
      </c>
      <c r="AM2679" t="s">
        <v>22194</v>
      </c>
      <c r="AN2679" t="s">
        <v>2112</v>
      </c>
      <c r="AO2679" t="s">
        <v>22195</v>
      </c>
      <c r="AP2679" t="s">
        <v>7024</v>
      </c>
      <c r="AT2679" s="184">
        <v>36910</v>
      </c>
      <c r="AU2679" t="s">
        <v>22196</v>
      </c>
      <c r="AV2679">
        <v>25</v>
      </c>
      <c r="AW2679" s="184">
        <v>44566</v>
      </c>
      <c r="AX2679" t="s">
        <v>22197</v>
      </c>
      <c r="AY2679">
        <v>100</v>
      </c>
      <c r="AZ2679" s="184">
        <v>44558</v>
      </c>
      <c r="BA2679" t="s">
        <v>20131</v>
      </c>
      <c r="BB2679">
        <v>200</v>
      </c>
      <c r="BC2679">
        <v>75</v>
      </c>
      <c r="BD2679">
        <v>1212</v>
      </c>
      <c r="BE2679">
        <v>2001</v>
      </c>
      <c r="BF2679">
        <v>20</v>
      </c>
      <c r="BI2679">
        <v>18</v>
      </c>
      <c r="BJ2679">
        <v>24</v>
      </c>
      <c r="BK2679">
        <v>6</v>
      </c>
      <c r="BP2679" s="184"/>
    </row>
    <row r="2680" spans="1:68">
      <c r="A2680">
        <v>33192345</v>
      </c>
      <c r="B2680">
        <v>33192345</v>
      </c>
      <c r="C2680" t="s">
        <v>7018</v>
      </c>
      <c r="D2680" t="s">
        <v>595</v>
      </c>
      <c r="E2680" s="184">
        <v>44104</v>
      </c>
      <c r="G2680" s="184"/>
      <c r="I2680" s="184"/>
      <c r="K2680" s="184"/>
      <c r="O2680" s="184"/>
      <c r="P2680" t="s">
        <v>7019</v>
      </c>
      <c r="Q2680" t="s">
        <v>7494</v>
      </c>
      <c r="R2680" s="184">
        <v>20515</v>
      </c>
      <c r="S2680">
        <v>68</v>
      </c>
      <c r="U2680" t="s">
        <v>7031</v>
      </c>
      <c r="V2680" t="s">
        <v>2832</v>
      </c>
      <c r="W2680" t="s">
        <v>7407</v>
      </c>
      <c r="X2680" t="s">
        <v>22198</v>
      </c>
      <c r="AF2680" t="s">
        <v>22199</v>
      </c>
      <c r="AG2680" t="s">
        <v>2832</v>
      </c>
      <c r="AI2680" t="s">
        <v>22200</v>
      </c>
      <c r="AM2680" t="s">
        <v>4006</v>
      </c>
      <c r="AN2680" t="s">
        <v>2174</v>
      </c>
      <c r="AO2680" t="s">
        <v>22201</v>
      </c>
      <c r="AP2680" t="s">
        <v>7024</v>
      </c>
      <c r="AQ2680" t="s">
        <v>22202</v>
      </c>
      <c r="AR2680" t="s">
        <v>22203</v>
      </c>
      <c r="AT2680" s="184">
        <v>36916</v>
      </c>
      <c r="AU2680" t="s">
        <v>22204</v>
      </c>
      <c r="AV2680">
        <v>25</v>
      </c>
      <c r="AW2680" s="184">
        <v>44754</v>
      </c>
      <c r="AX2680" t="s">
        <v>15531</v>
      </c>
      <c r="AY2680">
        <v>25</v>
      </c>
      <c r="AZ2680" s="184">
        <v>44736</v>
      </c>
      <c r="BA2680" t="s">
        <v>22205</v>
      </c>
      <c r="BB2680">
        <v>60</v>
      </c>
      <c r="BC2680">
        <v>59</v>
      </c>
      <c r="BD2680">
        <v>510</v>
      </c>
      <c r="BE2680">
        <v>2001</v>
      </c>
      <c r="BF2680">
        <v>18</v>
      </c>
      <c r="BG2680">
        <v>2</v>
      </c>
      <c r="BH2680">
        <v>85</v>
      </c>
      <c r="BI2680">
        <v>14</v>
      </c>
      <c r="BJ2680">
        <v>24</v>
      </c>
      <c r="BK2680">
        <v>8</v>
      </c>
      <c r="BP2680" s="184"/>
    </row>
    <row r="2681" spans="1:68">
      <c r="A2681">
        <v>33203977</v>
      </c>
      <c r="B2681">
        <v>33203977</v>
      </c>
      <c r="C2681" t="s">
        <v>7018</v>
      </c>
      <c r="D2681" t="s">
        <v>595</v>
      </c>
      <c r="E2681" s="184">
        <v>43642</v>
      </c>
      <c r="G2681" s="184"/>
      <c r="I2681" s="184"/>
      <c r="K2681" s="184"/>
      <c r="M2681" s="184"/>
      <c r="O2681" s="184"/>
      <c r="P2681" t="s">
        <v>7045</v>
      </c>
      <c r="Q2681" t="s">
        <v>7383</v>
      </c>
      <c r="R2681" s="184">
        <v>13262</v>
      </c>
      <c r="S2681">
        <v>88</v>
      </c>
      <c r="U2681" t="s">
        <v>7237</v>
      </c>
      <c r="V2681" t="s">
        <v>2724</v>
      </c>
      <c r="X2681" t="s">
        <v>3335</v>
      </c>
      <c r="AF2681" t="s">
        <v>22206</v>
      </c>
      <c r="AG2681" t="s">
        <v>2724</v>
      </c>
      <c r="AI2681" t="s">
        <v>22207</v>
      </c>
      <c r="AM2681" t="s">
        <v>3082</v>
      </c>
      <c r="AN2681" t="s">
        <v>2313</v>
      </c>
      <c r="AO2681" t="s">
        <v>22208</v>
      </c>
      <c r="AP2681" t="s">
        <v>7024</v>
      </c>
      <c r="AQ2681" t="s">
        <v>22209</v>
      </c>
      <c r="AR2681" t="s">
        <v>22210</v>
      </c>
      <c r="AT2681" s="184">
        <v>36928</v>
      </c>
      <c r="AU2681" t="s">
        <v>22181</v>
      </c>
      <c r="AV2681">
        <v>50</v>
      </c>
      <c r="AW2681" s="184">
        <v>45061</v>
      </c>
      <c r="AX2681" t="s">
        <v>22211</v>
      </c>
      <c r="AY2681">
        <v>200</v>
      </c>
      <c r="AZ2681" s="184">
        <v>41698</v>
      </c>
      <c r="BA2681" t="s">
        <v>22212</v>
      </c>
      <c r="BB2681">
        <v>225</v>
      </c>
      <c r="BC2681">
        <v>80</v>
      </c>
      <c r="BD2681">
        <v>5525</v>
      </c>
      <c r="BE2681">
        <v>2001</v>
      </c>
      <c r="BF2681">
        <v>37</v>
      </c>
      <c r="BG2681">
        <v>1</v>
      </c>
      <c r="BH2681">
        <v>200</v>
      </c>
      <c r="BI2681">
        <v>19</v>
      </c>
      <c r="BJ2681">
        <v>24</v>
      </c>
      <c r="BK2681">
        <v>7</v>
      </c>
      <c r="BP2681" s="184"/>
    </row>
    <row r="2682" spans="1:68">
      <c r="A2682">
        <v>33219494</v>
      </c>
      <c r="B2682">
        <v>33219494</v>
      </c>
      <c r="C2682" t="s">
        <v>7018</v>
      </c>
      <c r="D2682" t="s">
        <v>595</v>
      </c>
      <c r="E2682" s="184">
        <v>44073</v>
      </c>
      <c r="G2682" s="184"/>
      <c r="I2682" s="184"/>
      <c r="K2682" s="184"/>
      <c r="O2682" s="184"/>
      <c r="P2682" t="s">
        <v>7029</v>
      </c>
      <c r="Q2682" t="s">
        <v>7020</v>
      </c>
      <c r="R2682" s="184">
        <v>21520</v>
      </c>
      <c r="S2682">
        <v>65</v>
      </c>
      <c r="V2682" t="s">
        <v>2903</v>
      </c>
      <c r="X2682" t="s">
        <v>22213</v>
      </c>
      <c r="AF2682" t="s">
        <v>22214</v>
      </c>
      <c r="AG2682" t="s">
        <v>2903</v>
      </c>
      <c r="AI2682" t="s">
        <v>22215</v>
      </c>
      <c r="AM2682" t="s">
        <v>22216</v>
      </c>
      <c r="AN2682" t="s">
        <v>2112</v>
      </c>
      <c r="AO2682" t="s">
        <v>22217</v>
      </c>
      <c r="AP2682" t="s">
        <v>7024</v>
      </c>
      <c r="AQ2682" t="s">
        <v>22218</v>
      </c>
      <c r="AT2682" s="184">
        <v>36938</v>
      </c>
      <c r="AU2682" t="s">
        <v>22219</v>
      </c>
      <c r="AV2682">
        <v>35</v>
      </c>
      <c r="AW2682" s="184">
        <v>45287</v>
      </c>
      <c r="AX2682" t="s">
        <v>7382</v>
      </c>
      <c r="AY2682">
        <v>1250</v>
      </c>
      <c r="AZ2682" s="184">
        <v>45287</v>
      </c>
      <c r="BA2682" t="s">
        <v>7382</v>
      </c>
      <c r="BB2682">
        <v>1250</v>
      </c>
      <c r="BC2682">
        <v>96</v>
      </c>
      <c r="BD2682">
        <v>8060</v>
      </c>
      <c r="BE2682">
        <v>2001</v>
      </c>
      <c r="BF2682">
        <v>25</v>
      </c>
      <c r="BG2682">
        <v>2</v>
      </c>
      <c r="BH2682">
        <v>2500</v>
      </c>
      <c r="BI2682">
        <v>23</v>
      </c>
      <c r="BJ2682">
        <v>24</v>
      </c>
      <c r="BK2682">
        <v>23</v>
      </c>
      <c r="BP2682" s="184"/>
    </row>
    <row r="2683" spans="1:68">
      <c r="A2683">
        <v>33225558</v>
      </c>
      <c r="B2683">
        <v>33225558</v>
      </c>
      <c r="C2683" t="s">
        <v>7018</v>
      </c>
      <c r="E2683" s="184"/>
      <c r="F2683" t="s">
        <v>595</v>
      </c>
      <c r="G2683" s="184">
        <v>44104</v>
      </c>
      <c r="I2683" s="184"/>
      <c r="K2683" s="184"/>
      <c r="O2683" s="184"/>
      <c r="P2683" t="s">
        <v>7045</v>
      </c>
      <c r="Q2683" t="s">
        <v>7160</v>
      </c>
      <c r="R2683" s="184">
        <v>17172</v>
      </c>
      <c r="S2683">
        <v>77</v>
      </c>
      <c r="U2683" t="s">
        <v>7031</v>
      </c>
      <c r="V2683" t="s">
        <v>22220</v>
      </c>
      <c r="W2683" t="s">
        <v>2049</v>
      </c>
      <c r="X2683" t="s">
        <v>22221</v>
      </c>
      <c r="AF2683" t="s">
        <v>22222</v>
      </c>
      <c r="AG2683" t="s">
        <v>22220</v>
      </c>
      <c r="AI2683" t="s">
        <v>22223</v>
      </c>
      <c r="AM2683" t="s">
        <v>15579</v>
      </c>
      <c r="AN2683" t="s">
        <v>2446</v>
      </c>
      <c r="AO2683" t="s">
        <v>22224</v>
      </c>
      <c r="AP2683" t="s">
        <v>7024</v>
      </c>
      <c r="AQ2683" t="s">
        <v>22225</v>
      </c>
      <c r="AR2683" t="s">
        <v>22226</v>
      </c>
      <c r="AT2683" s="184">
        <v>36938</v>
      </c>
      <c r="AU2683" t="s">
        <v>22227</v>
      </c>
      <c r="AV2683">
        <v>25</v>
      </c>
      <c r="AW2683" s="184">
        <v>45397</v>
      </c>
      <c r="AX2683" t="s">
        <v>14823</v>
      </c>
      <c r="AY2683">
        <v>25</v>
      </c>
      <c r="AZ2683" s="184">
        <v>43124</v>
      </c>
      <c r="BA2683" t="s">
        <v>22228</v>
      </c>
      <c r="BB2683">
        <v>60</v>
      </c>
      <c r="BC2683">
        <v>59</v>
      </c>
      <c r="BD2683">
        <v>635</v>
      </c>
      <c r="BE2683">
        <v>2001</v>
      </c>
      <c r="BF2683">
        <v>22</v>
      </c>
      <c r="BG2683">
        <v>2</v>
      </c>
      <c r="BH2683">
        <v>45</v>
      </c>
      <c r="BI2683">
        <v>14</v>
      </c>
      <c r="BJ2683">
        <v>24</v>
      </c>
      <c r="BK2683">
        <v>3</v>
      </c>
      <c r="BP2683" s="184"/>
    </row>
    <row r="2684" spans="1:68">
      <c r="A2684">
        <v>33227364</v>
      </c>
      <c r="B2684">
        <v>33227364</v>
      </c>
      <c r="C2684" t="s">
        <v>7018</v>
      </c>
      <c r="D2684" t="s">
        <v>595</v>
      </c>
      <c r="E2684" s="184">
        <v>44441</v>
      </c>
      <c r="G2684" s="184"/>
      <c r="I2684" s="184"/>
      <c r="K2684" s="184"/>
      <c r="M2684" s="184"/>
      <c r="O2684" s="184"/>
      <c r="P2684" t="s">
        <v>7045</v>
      </c>
      <c r="Q2684" t="s">
        <v>7160</v>
      </c>
      <c r="R2684" s="184">
        <v>18275</v>
      </c>
      <c r="S2684">
        <v>74</v>
      </c>
      <c r="V2684" t="s">
        <v>2989</v>
      </c>
      <c r="W2684" t="s">
        <v>2049</v>
      </c>
      <c r="X2684" t="s">
        <v>22229</v>
      </c>
      <c r="AF2684" t="s">
        <v>22230</v>
      </c>
      <c r="AG2684" t="s">
        <v>2989</v>
      </c>
      <c r="AI2684" t="s">
        <v>22231</v>
      </c>
      <c r="AM2684" t="s">
        <v>4795</v>
      </c>
      <c r="AN2684" t="s">
        <v>2176</v>
      </c>
      <c r="AO2684" t="s">
        <v>22232</v>
      </c>
      <c r="AP2684" t="s">
        <v>7024</v>
      </c>
      <c r="AQ2684" t="s">
        <v>22233</v>
      </c>
      <c r="AT2684" s="184">
        <v>36937</v>
      </c>
      <c r="AU2684" t="s">
        <v>22234</v>
      </c>
      <c r="AV2684">
        <v>25</v>
      </c>
      <c r="AW2684" s="184">
        <v>45191</v>
      </c>
      <c r="AX2684" t="s">
        <v>7596</v>
      </c>
      <c r="AY2684">
        <v>25</v>
      </c>
      <c r="AZ2684" s="184">
        <v>38946</v>
      </c>
      <c r="BA2684" t="s">
        <v>18078</v>
      </c>
      <c r="BB2684">
        <v>35</v>
      </c>
      <c r="BC2684">
        <v>34</v>
      </c>
      <c r="BD2684">
        <v>345</v>
      </c>
      <c r="BE2684">
        <v>2001</v>
      </c>
      <c r="BF2684">
        <v>13</v>
      </c>
      <c r="BG2684">
        <v>3</v>
      </c>
      <c r="BH2684">
        <v>70</v>
      </c>
      <c r="BI2684">
        <v>8</v>
      </c>
      <c r="BJ2684">
        <v>24</v>
      </c>
      <c r="BK2684">
        <v>3</v>
      </c>
      <c r="BP2684" s="184"/>
    </row>
    <row r="2685" spans="1:68">
      <c r="A2685">
        <v>33241589</v>
      </c>
      <c r="B2685">
        <v>33241589</v>
      </c>
      <c r="C2685" t="s">
        <v>7018</v>
      </c>
      <c r="E2685" s="184"/>
      <c r="G2685" s="184"/>
      <c r="I2685" s="184"/>
      <c r="K2685" s="184"/>
      <c r="N2685" t="s">
        <v>595</v>
      </c>
      <c r="O2685" s="184">
        <v>39080</v>
      </c>
      <c r="P2685" t="s">
        <v>7045</v>
      </c>
      <c r="Q2685" t="s">
        <v>7160</v>
      </c>
      <c r="R2685" s="184">
        <v>9635</v>
      </c>
      <c r="S2685">
        <v>97</v>
      </c>
      <c r="U2685" t="s">
        <v>7094</v>
      </c>
      <c r="V2685" t="s">
        <v>3400</v>
      </c>
      <c r="W2685" t="s">
        <v>8224</v>
      </c>
      <c r="X2685" t="s">
        <v>4271</v>
      </c>
      <c r="AF2685" t="s">
        <v>6034</v>
      </c>
      <c r="AG2685" t="s">
        <v>22235</v>
      </c>
      <c r="AI2685" t="s">
        <v>22236</v>
      </c>
      <c r="AM2685" t="s">
        <v>22237</v>
      </c>
      <c r="AN2685" t="s">
        <v>2203</v>
      </c>
      <c r="AO2685" t="s">
        <v>22238</v>
      </c>
      <c r="AP2685" t="s">
        <v>7024</v>
      </c>
      <c r="AT2685" s="184">
        <v>36941</v>
      </c>
      <c r="AU2685" t="s">
        <v>22239</v>
      </c>
      <c r="AV2685">
        <v>25</v>
      </c>
      <c r="AW2685" s="184">
        <v>40206</v>
      </c>
      <c r="AX2685" t="s">
        <v>22240</v>
      </c>
      <c r="AY2685">
        <v>50</v>
      </c>
      <c r="AZ2685" s="184">
        <v>39080</v>
      </c>
      <c r="BA2685" t="s">
        <v>9364</v>
      </c>
      <c r="BB2685">
        <v>10000</v>
      </c>
      <c r="BC2685">
        <v>30</v>
      </c>
      <c r="BD2685">
        <v>10225</v>
      </c>
      <c r="BE2685">
        <v>2001</v>
      </c>
      <c r="BF2685">
        <v>9</v>
      </c>
      <c r="BI2685">
        <v>7</v>
      </c>
      <c r="BJ2685">
        <v>24</v>
      </c>
      <c r="BK2685">
        <v>6</v>
      </c>
      <c r="BO2685" t="s">
        <v>595</v>
      </c>
      <c r="BP2685" s="184">
        <v>41906</v>
      </c>
    </row>
    <row r="2686" spans="1:68">
      <c r="A2686">
        <v>33270992</v>
      </c>
      <c r="B2686">
        <v>33270992</v>
      </c>
      <c r="C2686" t="s">
        <v>7018</v>
      </c>
      <c r="E2686" s="184"/>
      <c r="G2686" s="184"/>
      <c r="I2686" s="184"/>
      <c r="J2686" t="s">
        <v>595</v>
      </c>
      <c r="K2686" s="184">
        <v>43801</v>
      </c>
      <c r="O2686" s="184"/>
      <c r="P2686" t="s">
        <v>7045</v>
      </c>
      <c r="Q2686" t="s">
        <v>7454</v>
      </c>
      <c r="R2686" s="184">
        <v>14212</v>
      </c>
      <c r="S2686">
        <v>85</v>
      </c>
      <c r="V2686" t="s">
        <v>3103</v>
      </c>
      <c r="X2686" t="s">
        <v>4306</v>
      </c>
      <c r="AF2686" t="s">
        <v>6198</v>
      </c>
      <c r="AG2686" t="s">
        <v>3103</v>
      </c>
      <c r="AI2686" t="s">
        <v>22241</v>
      </c>
      <c r="AM2686" t="s">
        <v>3958</v>
      </c>
      <c r="AN2686" t="s">
        <v>2055</v>
      </c>
      <c r="AO2686" t="s">
        <v>22242</v>
      </c>
      <c r="AP2686" t="s">
        <v>7024</v>
      </c>
      <c r="AQ2686" t="s">
        <v>22243</v>
      </c>
      <c r="AT2686" s="184">
        <v>36944</v>
      </c>
      <c r="AU2686" t="s">
        <v>22244</v>
      </c>
      <c r="AV2686">
        <v>15</v>
      </c>
      <c r="AW2686" s="184">
        <v>45003</v>
      </c>
      <c r="AX2686" t="s">
        <v>7832</v>
      </c>
      <c r="AY2686">
        <v>25</v>
      </c>
      <c r="AZ2686" s="184">
        <v>41940</v>
      </c>
      <c r="BA2686" t="s">
        <v>22245</v>
      </c>
      <c r="BB2686">
        <v>150</v>
      </c>
      <c r="BC2686">
        <v>92</v>
      </c>
      <c r="BD2686">
        <v>3235</v>
      </c>
      <c r="BE2686">
        <v>2001</v>
      </c>
      <c r="BF2686">
        <v>54</v>
      </c>
      <c r="BG2686">
        <v>1</v>
      </c>
      <c r="BH2686">
        <v>25</v>
      </c>
      <c r="BI2686">
        <v>22</v>
      </c>
      <c r="BJ2686">
        <v>24</v>
      </c>
      <c r="BK2686">
        <v>21</v>
      </c>
      <c r="BP2686" s="184"/>
    </row>
    <row r="2687" spans="1:68">
      <c r="A2687">
        <v>33273079</v>
      </c>
      <c r="B2687">
        <v>33273079</v>
      </c>
      <c r="C2687" t="s">
        <v>7018</v>
      </c>
      <c r="E2687" s="184"/>
      <c r="G2687" s="184"/>
      <c r="I2687" s="184"/>
      <c r="J2687" t="s">
        <v>595</v>
      </c>
      <c r="K2687" s="184">
        <v>41540</v>
      </c>
      <c r="M2687" s="184"/>
      <c r="O2687" s="184"/>
      <c r="P2687" t="s">
        <v>7045</v>
      </c>
      <c r="Q2687" t="s">
        <v>7194</v>
      </c>
      <c r="R2687" s="184">
        <v>15796</v>
      </c>
      <c r="S2687">
        <v>81</v>
      </c>
      <c r="V2687" t="s">
        <v>2733</v>
      </c>
      <c r="W2687" t="s">
        <v>4013</v>
      </c>
      <c r="X2687" t="s">
        <v>22246</v>
      </c>
      <c r="AF2687" t="s">
        <v>6455</v>
      </c>
      <c r="AG2687" t="s">
        <v>2733</v>
      </c>
      <c r="AI2687" t="s">
        <v>22247</v>
      </c>
      <c r="AM2687" t="s">
        <v>7450</v>
      </c>
      <c r="AN2687" t="s">
        <v>2046</v>
      </c>
      <c r="AO2687" t="s">
        <v>22248</v>
      </c>
      <c r="AP2687" t="s">
        <v>7024</v>
      </c>
      <c r="AQ2687" t="s">
        <v>22249</v>
      </c>
      <c r="AR2687" t="s">
        <v>22250</v>
      </c>
      <c r="AT2687" s="184">
        <v>36943</v>
      </c>
      <c r="AU2687" t="s">
        <v>22251</v>
      </c>
      <c r="AV2687">
        <v>15</v>
      </c>
      <c r="AW2687" s="184">
        <v>45303</v>
      </c>
      <c r="AX2687" t="s">
        <v>22252</v>
      </c>
      <c r="AY2687">
        <v>100</v>
      </c>
      <c r="AZ2687" s="184">
        <v>45303</v>
      </c>
      <c r="BA2687" t="s">
        <v>22252</v>
      </c>
      <c r="BB2687">
        <v>100</v>
      </c>
      <c r="BC2687">
        <v>92</v>
      </c>
      <c r="BD2687">
        <v>1435</v>
      </c>
      <c r="BE2687">
        <v>2001</v>
      </c>
      <c r="BF2687">
        <v>27</v>
      </c>
      <c r="BG2687">
        <v>2</v>
      </c>
      <c r="BH2687">
        <v>200</v>
      </c>
      <c r="BI2687">
        <v>22</v>
      </c>
      <c r="BJ2687">
        <v>24</v>
      </c>
      <c r="BK2687">
        <v>19</v>
      </c>
      <c r="BP2687" s="184"/>
    </row>
    <row r="2688" spans="1:68">
      <c r="A2688">
        <v>33291212</v>
      </c>
      <c r="B2688">
        <v>33291212</v>
      </c>
      <c r="C2688" t="s">
        <v>7018</v>
      </c>
      <c r="E2688" s="184"/>
      <c r="F2688" t="s">
        <v>595</v>
      </c>
      <c r="G2688" s="184">
        <v>44070</v>
      </c>
      <c r="I2688" s="184"/>
      <c r="K2688" s="184"/>
      <c r="O2688" s="184"/>
      <c r="P2688" t="s">
        <v>7045</v>
      </c>
      <c r="Q2688" t="s">
        <v>7030</v>
      </c>
      <c r="R2688" s="184">
        <v>17168</v>
      </c>
      <c r="S2688">
        <v>77</v>
      </c>
      <c r="V2688" t="s">
        <v>2992</v>
      </c>
      <c r="W2688" t="s">
        <v>7560</v>
      </c>
      <c r="X2688" t="s">
        <v>22253</v>
      </c>
      <c r="AF2688" t="s">
        <v>22254</v>
      </c>
      <c r="AG2688" t="s">
        <v>2992</v>
      </c>
      <c r="AI2688" t="s">
        <v>22255</v>
      </c>
      <c r="AM2688" t="s">
        <v>3662</v>
      </c>
      <c r="AN2688" t="s">
        <v>2094</v>
      </c>
      <c r="AO2688" t="s">
        <v>22256</v>
      </c>
      <c r="AP2688" t="s">
        <v>7024</v>
      </c>
      <c r="AQ2688" t="s">
        <v>22257</v>
      </c>
      <c r="AR2688" t="s">
        <v>22258</v>
      </c>
      <c r="AT2688" s="184">
        <v>36951</v>
      </c>
      <c r="AU2688" t="s">
        <v>22259</v>
      </c>
      <c r="AV2688">
        <v>15</v>
      </c>
      <c r="AW2688" s="184">
        <v>44910</v>
      </c>
      <c r="AX2688" t="s">
        <v>22260</v>
      </c>
      <c r="AY2688">
        <v>25</v>
      </c>
      <c r="AZ2688" s="184">
        <v>43607</v>
      </c>
      <c r="BA2688" t="s">
        <v>8586</v>
      </c>
      <c r="BB2688">
        <v>35</v>
      </c>
      <c r="BC2688">
        <v>63</v>
      </c>
      <c r="BD2688">
        <v>485</v>
      </c>
      <c r="BE2688">
        <v>2001</v>
      </c>
      <c r="BF2688">
        <v>18</v>
      </c>
      <c r="BG2688">
        <v>1</v>
      </c>
      <c r="BH2688">
        <v>25</v>
      </c>
      <c r="BI2688">
        <v>15</v>
      </c>
      <c r="BJ2688">
        <v>24</v>
      </c>
      <c r="BK2688">
        <v>8</v>
      </c>
      <c r="BP2688" s="184"/>
    </row>
    <row r="2689" spans="1:68">
      <c r="A2689">
        <v>33301961</v>
      </c>
      <c r="B2689">
        <v>33301961</v>
      </c>
      <c r="C2689" t="s">
        <v>7018</v>
      </c>
      <c r="D2689" t="s">
        <v>595</v>
      </c>
      <c r="E2689" s="184">
        <v>43801</v>
      </c>
      <c r="G2689" s="184"/>
      <c r="I2689" s="184"/>
      <c r="K2689" s="184"/>
      <c r="M2689" s="184"/>
      <c r="O2689" s="184"/>
      <c r="P2689" t="s">
        <v>7045</v>
      </c>
      <c r="Q2689" t="s">
        <v>7030</v>
      </c>
      <c r="R2689" s="184">
        <v>21306</v>
      </c>
      <c r="S2689">
        <v>66</v>
      </c>
      <c r="U2689" t="s">
        <v>7076</v>
      </c>
      <c r="V2689" t="s">
        <v>3400</v>
      </c>
      <c r="W2689" t="s">
        <v>4013</v>
      </c>
      <c r="X2689" t="s">
        <v>4398</v>
      </c>
      <c r="AF2689" t="s">
        <v>22261</v>
      </c>
      <c r="AG2689" t="s">
        <v>3400</v>
      </c>
      <c r="AI2689" t="s">
        <v>22262</v>
      </c>
      <c r="AM2689" t="s">
        <v>2564</v>
      </c>
      <c r="AN2689" t="s">
        <v>2089</v>
      </c>
      <c r="AO2689" t="s">
        <v>22263</v>
      </c>
      <c r="AP2689" t="s">
        <v>7024</v>
      </c>
      <c r="AQ2689" t="s">
        <v>22264</v>
      </c>
      <c r="AT2689" s="184">
        <v>36962</v>
      </c>
      <c r="AU2689" t="s">
        <v>22265</v>
      </c>
      <c r="AV2689">
        <v>25</v>
      </c>
      <c r="AW2689" s="184">
        <v>45258</v>
      </c>
      <c r="AX2689" t="s">
        <v>22266</v>
      </c>
      <c r="AY2689">
        <v>20</v>
      </c>
      <c r="AZ2689" s="184">
        <v>42583</v>
      </c>
      <c r="BA2689" t="s">
        <v>22267</v>
      </c>
      <c r="BB2689">
        <v>50</v>
      </c>
      <c r="BC2689">
        <v>59</v>
      </c>
      <c r="BD2689">
        <v>530</v>
      </c>
      <c r="BE2689">
        <v>2001</v>
      </c>
      <c r="BF2689">
        <v>16</v>
      </c>
      <c r="BG2689">
        <v>2</v>
      </c>
      <c r="BH2689">
        <v>55</v>
      </c>
      <c r="BI2689">
        <v>14</v>
      </c>
      <c r="BJ2689">
        <v>24</v>
      </c>
      <c r="BK2689">
        <v>4</v>
      </c>
      <c r="BP2689" s="184"/>
    </row>
    <row r="2690" spans="1:68">
      <c r="A2690">
        <v>33306978</v>
      </c>
      <c r="B2690">
        <v>33306978</v>
      </c>
      <c r="C2690" t="s">
        <v>7018</v>
      </c>
      <c r="E2690" s="184"/>
      <c r="F2690" t="s">
        <v>595</v>
      </c>
      <c r="G2690" s="184">
        <v>44761</v>
      </c>
      <c r="I2690" s="184"/>
      <c r="K2690" s="184"/>
      <c r="M2690" s="184"/>
      <c r="O2690" s="184"/>
      <c r="P2690" t="s">
        <v>7045</v>
      </c>
      <c r="Q2690" t="s">
        <v>7020</v>
      </c>
      <c r="R2690" s="184">
        <v>25294</v>
      </c>
      <c r="S2690">
        <v>55</v>
      </c>
      <c r="U2690" t="s">
        <v>7031</v>
      </c>
      <c r="V2690" t="s">
        <v>3825</v>
      </c>
      <c r="W2690" t="s">
        <v>7375</v>
      </c>
      <c r="X2690" t="s">
        <v>22268</v>
      </c>
      <c r="AF2690" t="s">
        <v>22269</v>
      </c>
      <c r="AG2690" t="s">
        <v>3825</v>
      </c>
      <c r="AI2690" t="s">
        <v>22270</v>
      </c>
      <c r="AM2690" t="s">
        <v>22271</v>
      </c>
      <c r="AN2690" t="s">
        <v>2052</v>
      </c>
      <c r="AO2690" t="s">
        <v>22272</v>
      </c>
      <c r="AP2690" t="s">
        <v>7024</v>
      </c>
      <c r="AQ2690" t="s">
        <v>22273</v>
      </c>
      <c r="AR2690" t="s">
        <v>22274</v>
      </c>
      <c r="AT2690" s="184">
        <v>36958</v>
      </c>
      <c r="AU2690" t="s">
        <v>22023</v>
      </c>
      <c r="AV2690">
        <v>10</v>
      </c>
      <c r="AW2690" s="184">
        <v>44973</v>
      </c>
      <c r="AX2690" t="s">
        <v>22275</v>
      </c>
      <c r="AY2690">
        <v>0.75</v>
      </c>
      <c r="AZ2690" s="184">
        <v>36958</v>
      </c>
      <c r="BA2690" t="s">
        <v>22023</v>
      </c>
      <c r="BB2690">
        <v>10</v>
      </c>
      <c r="BC2690">
        <v>9</v>
      </c>
      <c r="BD2690">
        <v>15.75</v>
      </c>
      <c r="BE2690">
        <v>2001</v>
      </c>
      <c r="BF2690">
        <v>3</v>
      </c>
      <c r="BG2690">
        <v>1</v>
      </c>
      <c r="BH2690">
        <v>0.75</v>
      </c>
      <c r="BI2690">
        <v>2</v>
      </c>
      <c r="BJ2690">
        <v>24</v>
      </c>
      <c r="BK2690">
        <v>1</v>
      </c>
      <c r="BP2690" s="184"/>
    </row>
    <row r="2691" spans="1:68">
      <c r="A2691">
        <v>33314642</v>
      </c>
      <c r="B2691">
        <v>33314642</v>
      </c>
      <c r="C2691" t="s">
        <v>7018</v>
      </c>
      <c r="D2691" t="s">
        <v>595</v>
      </c>
      <c r="E2691" s="184">
        <v>45154</v>
      </c>
      <c r="G2691" s="184"/>
      <c r="I2691" s="184"/>
      <c r="K2691" s="184"/>
      <c r="O2691" s="184"/>
      <c r="P2691" t="s">
        <v>7045</v>
      </c>
      <c r="Q2691" t="s">
        <v>7383</v>
      </c>
      <c r="R2691" s="184">
        <v>17533</v>
      </c>
      <c r="S2691">
        <v>76</v>
      </c>
      <c r="U2691" t="s">
        <v>7130</v>
      </c>
      <c r="V2691" t="s">
        <v>22276</v>
      </c>
      <c r="X2691" t="s">
        <v>22277</v>
      </c>
      <c r="AF2691" t="s">
        <v>22278</v>
      </c>
      <c r="AG2691" t="s">
        <v>22276</v>
      </c>
      <c r="AI2691" t="s">
        <v>22279</v>
      </c>
      <c r="AM2691" t="s">
        <v>4795</v>
      </c>
      <c r="AN2691" t="s">
        <v>2162</v>
      </c>
      <c r="AO2691" t="s">
        <v>22280</v>
      </c>
      <c r="AP2691" t="s">
        <v>7024</v>
      </c>
      <c r="AQ2691" t="s">
        <v>22281</v>
      </c>
      <c r="AT2691" s="184">
        <v>36966</v>
      </c>
      <c r="AU2691" t="s">
        <v>22282</v>
      </c>
      <c r="AV2691">
        <v>15</v>
      </c>
      <c r="AW2691" s="184">
        <v>45316</v>
      </c>
      <c r="AX2691" t="s">
        <v>11841</v>
      </c>
      <c r="AY2691">
        <v>25</v>
      </c>
      <c r="AZ2691" s="184">
        <v>45316</v>
      </c>
      <c r="BA2691" t="s">
        <v>11841</v>
      </c>
      <c r="BB2691">
        <v>25</v>
      </c>
      <c r="BC2691">
        <v>34</v>
      </c>
      <c r="BD2691">
        <v>198</v>
      </c>
      <c r="BE2691">
        <v>2001</v>
      </c>
      <c r="BF2691">
        <v>10</v>
      </c>
      <c r="BG2691">
        <v>2</v>
      </c>
      <c r="BH2691">
        <v>50</v>
      </c>
      <c r="BI2691">
        <v>8</v>
      </c>
      <c r="BJ2691">
        <v>24</v>
      </c>
      <c r="BK2691">
        <v>2</v>
      </c>
      <c r="BP2691" s="184"/>
    </row>
    <row r="2692" spans="1:68">
      <c r="A2692">
        <v>33323577</v>
      </c>
      <c r="B2692">
        <v>33323577</v>
      </c>
      <c r="C2692" t="s">
        <v>7018</v>
      </c>
      <c r="D2692" t="s">
        <v>595</v>
      </c>
      <c r="E2692" s="184">
        <v>43642</v>
      </c>
      <c r="G2692" s="184"/>
      <c r="I2692" s="184"/>
      <c r="K2692" s="184"/>
      <c r="M2692" s="184"/>
      <c r="O2692" s="184"/>
      <c r="P2692" t="s">
        <v>7045</v>
      </c>
      <c r="Q2692" t="s">
        <v>7194</v>
      </c>
      <c r="R2692" s="184">
        <v>20699</v>
      </c>
      <c r="S2692">
        <v>67</v>
      </c>
      <c r="U2692" t="s">
        <v>7130</v>
      </c>
      <c r="V2692" t="s">
        <v>3336</v>
      </c>
      <c r="X2692" t="s">
        <v>3337</v>
      </c>
      <c r="AF2692" t="s">
        <v>22283</v>
      </c>
      <c r="AG2692" t="s">
        <v>3336</v>
      </c>
      <c r="AI2692" t="s">
        <v>22284</v>
      </c>
      <c r="AM2692" t="s">
        <v>3626</v>
      </c>
      <c r="AN2692" t="s">
        <v>2046</v>
      </c>
      <c r="AO2692" t="s">
        <v>22285</v>
      </c>
      <c r="AP2692" t="s">
        <v>7024</v>
      </c>
      <c r="AQ2692" t="s">
        <v>22286</v>
      </c>
      <c r="AT2692" s="184">
        <v>36977</v>
      </c>
      <c r="AU2692" t="s">
        <v>22287</v>
      </c>
      <c r="AV2692">
        <v>15</v>
      </c>
      <c r="AW2692" s="184">
        <v>45330</v>
      </c>
      <c r="AX2692" t="s">
        <v>10915</v>
      </c>
      <c r="AY2692">
        <v>25</v>
      </c>
      <c r="AZ2692" s="184">
        <v>44042</v>
      </c>
      <c r="BA2692" t="s">
        <v>10303</v>
      </c>
      <c r="BB2692">
        <v>60</v>
      </c>
      <c r="BC2692">
        <v>55</v>
      </c>
      <c r="BD2692">
        <v>515</v>
      </c>
      <c r="BE2692">
        <v>2001</v>
      </c>
      <c r="BF2692">
        <v>14</v>
      </c>
      <c r="BG2692">
        <v>2</v>
      </c>
      <c r="BH2692">
        <v>50</v>
      </c>
      <c r="BI2692">
        <v>13</v>
      </c>
      <c r="BJ2692">
        <v>24</v>
      </c>
      <c r="BK2692">
        <v>3</v>
      </c>
      <c r="BP2692" s="184"/>
    </row>
    <row r="2693" spans="1:68">
      <c r="A2693">
        <v>33350497</v>
      </c>
      <c r="B2693">
        <v>33350497</v>
      </c>
      <c r="C2693" t="s">
        <v>7018</v>
      </c>
      <c r="D2693" t="s">
        <v>595</v>
      </c>
      <c r="E2693" s="184">
        <v>45117</v>
      </c>
      <c r="G2693" s="184"/>
      <c r="I2693" s="184"/>
      <c r="K2693" s="184"/>
      <c r="O2693" s="184"/>
      <c r="P2693" t="s">
        <v>7045</v>
      </c>
      <c r="Q2693" t="s">
        <v>7383</v>
      </c>
      <c r="R2693" s="184">
        <v>18050</v>
      </c>
      <c r="S2693">
        <v>74</v>
      </c>
      <c r="V2693" t="s">
        <v>2602</v>
      </c>
      <c r="X2693" t="s">
        <v>22288</v>
      </c>
      <c r="AF2693" t="s">
        <v>22289</v>
      </c>
      <c r="AG2693" t="s">
        <v>2602</v>
      </c>
      <c r="AI2693" t="s">
        <v>22290</v>
      </c>
      <c r="AM2693" t="s">
        <v>22291</v>
      </c>
      <c r="AN2693" t="s">
        <v>2313</v>
      </c>
      <c r="AO2693" t="s">
        <v>22292</v>
      </c>
      <c r="AP2693" t="s">
        <v>7024</v>
      </c>
      <c r="AT2693" s="184">
        <v>36984</v>
      </c>
      <c r="AU2693" t="s">
        <v>22293</v>
      </c>
      <c r="AV2693">
        <v>20</v>
      </c>
      <c r="AW2693" s="184">
        <v>45247</v>
      </c>
      <c r="AX2693" t="s">
        <v>8714</v>
      </c>
      <c r="AY2693">
        <v>20</v>
      </c>
      <c r="AZ2693" s="184">
        <v>45247</v>
      </c>
      <c r="BA2693" t="s">
        <v>8714</v>
      </c>
      <c r="BB2693">
        <v>20</v>
      </c>
      <c r="BC2693">
        <v>30</v>
      </c>
      <c r="BD2693">
        <v>1210</v>
      </c>
      <c r="BE2693">
        <v>2001</v>
      </c>
      <c r="BF2693">
        <v>61</v>
      </c>
      <c r="BG2693">
        <v>17</v>
      </c>
      <c r="BH2693">
        <v>340</v>
      </c>
      <c r="BI2693">
        <v>7</v>
      </c>
      <c r="BJ2693">
        <v>24</v>
      </c>
      <c r="BK2693">
        <v>6</v>
      </c>
      <c r="BP2693" s="184"/>
    </row>
    <row r="2694" spans="1:68">
      <c r="A2694">
        <v>33376864</v>
      </c>
      <c r="B2694">
        <v>33376864</v>
      </c>
      <c r="C2694" t="s">
        <v>7018</v>
      </c>
      <c r="E2694" s="184"/>
      <c r="G2694" s="184"/>
      <c r="I2694" s="184"/>
      <c r="J2694" t="s">
        <v>595</v>
      </c>
      <c r="K2694" s="184">
        <v>43669</v>
      </c>
      <c r="M2694" s="184"/>
      <c r="O2694" s="184"/>
      <c r="P2694" t="s">
        <v>7045</v>
      </c>
      <c r="Q2694" t="s">
        <v>7383</v>
      </c>
      <c r="R2694" s="184">
        <v>17137</v>
      </c>
      <c r="S2694">
        <v>77</v>
      </c>
      <c r="U2694" t="s">
        <v>7031</v>
      </c>
      <c r="V2694" t="s">
        <v>2871</v>
      </c>
      <c r="W2694" t="s">
        <v>21400</v>
      </c>
      <c r="X2694" t="s">
        <v>3671</v>
      </c>
      <c r="AF2694" t="s">
        <v>6593</v>
      </c>
      <c r="AG2694" t="s">
        <v>2871</v>
      </c>
      <c r="AI2694" t="s">
        <v>22294</v>
      </c>
      <c r="AM2694" t="s">
        <v>3437</v>
      </c>
      <c r="AN2694" t="s">
        <v>2313</v>
      </c>
      <c r="AO2694" t="s">
        <v>22295</v>
      </c>
      <c r="AP2694" t="s">
        <v>7024</v>
      </c>
      <c r="AT2694" s="184">
        <v>36990</v>
      </c>
      <c r="AU2694" t="s">
        <v>22296</v>
      </c>
      <c r="AV2694">
        <v>15</v>
      </c>
      <c r="AW2694" s="184">
        <v>44781</v>
      </c>
      <c r="AX2694" t="s">
        <v>22297</v>
      </c>
      <c r="AY2694">
        <v>100</v>
      </c>
      <c r="AZ2694" s="184">
        <v>44781</v>
      </c>
      <c r="BA2694" t="s">
        <v>22297</v>
      </c>
      <c r="BB2694">
        <v>100</v>
      </c>
      <c r="BC2694">
        <v>88</v>
      </c>
      <c r="BD2694">
        <v>905</v>
      </c>
      <c r="BE2694">
        <v>2001</v>
      </c>
      <c r="BF2694">
        <v>25</v>
      </c>
      <c r="BG2694">
        <v>1</v>
      </c>
      <c r="BH2694">
        <v>100</v>
      </c>
      <c r="BI2694">
        <v>21</v>
      </c>
      <c r="BJ2694">
        <v>24</v>
      </c>
      <c r="BK2694">
        <v>11</v>
      </c>
      <c r="BP2694" s="184"/>
    </row>
    <row r="2695" spans="1:68">
      <c r="A2695">
        <v>33383696</v>
      </c>
      <c r="B2695">
        <v>33383696</v>
      </c>
      <c r="C2695" t="s">
        <v>7018</v>
      </c>
      <c r="E2695" s="184"/>
      <c r="F2695" t="s">
        <v>595</v>
      </c>
      <c r="G2695" s="184">
        <v>43691</v>
      </c>
      <c r="I2695" s="184"/>
      <c r="K2695" s="184"/>
      <c r="O2695" s="184"/>
      <c r="P2695" t="s">
        <v>7045</v>
      </c>
      <c r="Q2695" t="s">
        <v>7454</v>
      </c>
      <c r="R2695" s="184">
        <v>17093</v>
      </c>
      <c r="S2695">
        <v>77</v>
      </c>
      <c r="U2695" t="s">
        <v>7076</v>
      </c>
      <c r="V2695" t="s">
        <v>4720</v>
      </c>
      <c r="W2695" t="s">
        <v>2049</v>
      </c>
      <c r="X2695" t="s">
        <v>3661</v>
      </c>
      <c r="AF2695" t="s">
        <v>22298</v>
      </c>
      <c r="AG2695" t="s">
        <v>4720</v>
      </c>
      <c r="AI2695" t="s">
        <v>22299</v>
      </c>
      <c r="AM2695" t="s">
        <v>3822</v>
      </c>
      <c r="AN2695" t="s">
        <v>2055</v>
      </c>
      <c r="AO2695" t="s">
        <v>22300</v>
      </c>
      <c r="AP2695" t="s">
        <v>7024</v>
      </c>
      <c r="AQ2695" t="s">
        <v>22301</v>
      </c>
      <c r="AT2695" s="184">
        <v>36987</v>
      </c>
      <c r="AU2695" t="s">
        <v>22302</v>
      </c>
      <c r="AV2695">
        <v>25</v>
      </c>
      <c r="AW2695" s="184">
        <v>45404</v>
      </c>
      <c r="AX2695" t="s">
        <v>10707</v>
      </c>
      <c r="AY2695">
        <v>100</v>
      </c>
      <c r="AZ2695" s="184">
        <v>45404</v>
      </c>
      <c r="BA2695" t="s">
        <v>10707</v>
      </c>
      <c r="BB2695">
        <v>100</v>
      </c>
      <c r="BC2695">
        <v>88</v>
      </c>
      <c r="BD2695">
        <v>1272</v>
      </c>
      <c r="BE2695">
        <v>2001</v>
      </c>
      <c r="BF2695">
        <v>27</v>
      </c>
      <c r="BG2695">
        <v>4</v>
      </c>
      <c r="BH2695">
        <v>300</v>
      </c>
      <c r="BI2695">
        <v>21</v>
      </c>
      <c r="BJ2695">
        <v>24</v>
      </c>
      <c r="BK2695">
        <v>9</v>
      </c>
      <c r="BP2695" s="184"/>
    </row>
    <row r="2696" spans="1:68">
      <c r="A2696">
        <v>33393448</v>
      </c>
      <c r="B2696">
        <v>33393448</v>
      </c>
      <c r="C2696" t="s">
        <v>7018</v>
      </c>
      <c r="E2696" s="184"/>
      <c r="G2696" s="184"/>
      <c r="I2696" s="184"/>
      <c r="J2696" t="s">
        <v>595</v>
      </c>
      <c r="K2696" s="184">
        <v>40106</v>
      </c>
      <c r="O2696" s="184"/>
      <c r="P2696" t="s">
        <v>7045</v>
      </c>
      <c r="Q2696" t="s">
        <v>7262</v>
      </c>
      <c r="R2696" s="184">
        <v>25854</v>
      </c>
      <c r="S2696">
        <v>53</v>
      </c>
      <c r="U2696" t="s">
        <v>7031</v>
      </c>
      <c r="V2696" t="s">
        <v>2697</v>
      </c>
      <c r="W2696" t="s">
        <v>7356</v>
      </c>
      <c r="X2696" t="s">
        <v>22303</v>
      </c>
      <c r="Z2696">
        <v>100094131</v>
      </c>
      <c r="AA2696" t="s">
        <v>7031</v>
      </c>
      <c r="AB2696" t="s">
        <v>2511</v>
      </c>
      <c r="AD2696" t="s">
        <v>22304</v>
      </c>
      <c r="AE2696" t="s">
        <v>7941</v>
      </c>
      <c r="AF2696" t="s">
        <v>6207</v>
      </c>
      <c r="AG2696" t="s">
        <v>22305</v>
      </c>
      <c r="AI2696" t="s">
        <v>22306</v>
      </c>
      <c r="AM2696" t="s">
        <v>5836</v>
      </c>
      <c r="AN2696" t="s">
        <v>65</v>
      </c>
      <c r="AO2696" t="s">
        <v>22307</v>
      </c>
      <c r="AP2696" t="s">
        <v>7024</v>
      </c>
      <c r="AQ2696" t="s">
        <v>22308</v>
      </c>
      <c r="AT2696" s="184">
        <v>37274</v>
      </c>
      <c r="AU2696" t="s">
        <v>22309</v>
      </c>
      <c r="AV2696">
        <v>25</v>
      </c>
      <c r="AW2696" s="184">
        <v>44300</v>
      </c>
      <c r="AX2696" t="s">
        <v>22310</v>
      </c>
      <c r="AY2696">
        <v>50</v>
      </c>
      <c r="AZ2696" s="184">
        <v>43752</v>
      </c>
      <c r="BA2696" t="s">
        <v>22311</v>
      </c>
      <c r="BB2696">
        <v>500</v>
      </c>
      <c r="BC2696">
        <v>74</v>
      </c>
      <c r="BD2696">
        <v>2022.25</v>
      </c>
      <c r="BE2696">
        <v>2002</v>
      </c>
      <c r="BF2696">
        <v>113</v>
      </c>
      <c r="BI2696">
        <v>17</v>
      </c>
      <c r="BJ2696">
        <v>23</v>
      </c>
      <c r="BK2696">
        <v>14</v>
      </c>
      <c r="BP2696" s="184"/>
    </row>
    <row r="2697" spans="1:68">
      <c r="A2697">
        <v>100094131</v>
      </c>
      <c r="B2697">
        <v>33393448</v>
      </c>
      <c r="C2697" t="s">
        <v>7018</v>
      </c>
      <c r="E2697" s="184"/>
      <c r="G2697" s="184"/>
      <c r="I2697" s="184"/>
      <c r="J2697" t="s">
        <v>595</v>
      </c>
      <c r="K2697" s="184">
        <v>43654</v>
      </c>
      <c r="M2697" s="184"/>
      <c r="O2697" s="184"/>
      <c r="P2697" t="s">
        <v>7045</v>
      </c>
      <c r="Q2697" t="s">
        <v>7262</v>
      </c>
      <c r="R2697" s="184">
        <v>27116</v>
      </c>
      <c r="S2697">
        <v>50</v>
      </c>
      <c r="U2697" t="s">
        <v>7031</v>
      </c>
      <c r="V2697" t="s">
        <v>2511</v>
      </c>
      <c r="X2697" t="s">
        <v>22304</v>
      </c>
      <c r="Y2697" t="s">
        <v>7941</v>
      </c>
      <c r="Z2697">
        <v>33393448</v>
      </c>
      <c r="AA2697" t="s">
        <v>7031</v>
      </c>
      <c r="AB2697" t="s">
        <v>2697</v>
      </c>
      <c r="AC2697" t="s">
        <v>7356</v>
      </c>
      <c r="AD2697" t="s">
        <v>22303</v>
      </c>
      <c r="AF2697" t="s">
        <v>6207</v>
      </c>
      <c r="AG2697" t="s">
        <v>22305</v>
      </c>
      <c r="AI2697" t="s">
        <v>22306</v>
      </c>
      <c r="AM2697" t="s">
        <v>5836</v>
      </c>
      <c r="AN2697" t="s">
        <v>65</v>
      </c>
      <c r="AO2697" t="s">
        <v>22307</v>
      </c>
      <c r="AP2697" t="s">
        <v>7024</v>
      </c>
      <c r="AQ2697" t="s">
        <v>22312</v>
      </c>
      <c r="AR2697" t="s">
        <v>22313</v>
      </c>
      <c r="AT2697" s="184">
        <v>35573</v>
      </c>
      <c r="AU2697" t="s">
        <v>22314</v>
      </c>
      <c r="AV2697">
        <v>15</v>
      </c>
      <c r="AW2697" s="184">
        <v>45402</v>
      </c>
      <c r="AX2697" t="s">
        <v>7429</v>
      </c>
      <c r="AY2697">
        <v>20</v>
      </c>
      <c r="AZ2697" s="184">
        <v>43752</v>
      </c>
      <c r="BA2697" t="s">
        <v>22311</v>
      </c>
      <c r="BB2697">
        <v>500</v>
      </c>
      <c r="BC2697">
        <v>29</v>
      </c>
      <c r="BD2697">
        <v>1725</v>
      </c>
      <c r="BE2697">
        <v>1997</v>
      </c>
      <c r="BF2697">
        <v>64</v>
      </c>
      <c r="BG2697">
        <v>24</v>
      </c>
      <c r="BH2697">
        <v>480</v>
      </c>
      <c r="BI2697">
        <v>8</v>
      </c>
      <c r="BJ2697">
        <v>28</v>
      </c>
      <c r="BK2697">
        <v>6</v>
      </c>
      <c r="BP2697" s="184"/>
    </row>
    <row r="2698" spans="1:68">
      <c r="A2698">
        <v>33449109</v>
      </c>
      <c r="B2698">
        <v>33449109</v>
      </c>
      <c r="C2698" t="s">
        <v>7018</v>
      </c>
      <c r="D2698" t="s">
        <v>595</v>
      </c>
      <c r="E2698" s="184">
        <v>44104</v>
      </c>
      <c r="G2698" s="184"/>
      <c r="I2698" s="184"/>
      <c r="K2698" s="184"/>
      <c r="M2698" s="184"/>
      <c r="O2698" s="184"/>
      <c r="P2698" t="s">
        <v>7045</v>
      </c>
      <c r="Q2698" t="s">
        <v>7383</v>
      </c>
      <c r="R2698" s="184">
        <v>19115</v>
      </c>
      <c r="S2698">
        <v>72</v>
      </c>
      <c r="U2698" t="s">
        <v>7031</v>
      </c>
      <c r="V2698" t="s">
        <v>3103</v>
      </c>
      <c r="W2698" t="s">
        <v>2316</v>
      </c>
      <c r="X2698" t="s">
        <v>22315</v>
      </c>
      <c r="AF2698" t="s">
        <v>22316</v>
      </c>
      <c r="AG2698" t="s">
        <v>3103</v>
      </c>
      <c r="AI2698" t="s">
        <v>22317</v>
      </c>
      <c r="AM2698" t="s">
        <v>3815</v>
      </c>
      <c r="AN2698" t="s">
        <v>2059</v>
      </c>
      <c r="AO2698" t="s">
        <v>22318</v>
      </c>
      <c r="AP2698" t="s">
        <v>7024</v>
      </c>
      <c r="AQ2698" t="s">
        <v>22319</v>
      </c>
      <c r="AR2698" t="s">
        <v>22320</v>
      </c>
      <c r="AT2698" s="184">
        <v>37018</v>
      </c>
      <c r="AU2698" t="s">
        <v>22321</v>
      </c>
      <c r="AV2698">
        <v>25</v>
      </c>
      <c r="AW2698" s="184">
        <v>45119</v>
      </c>
      <c r="AX2698" t="s">
        <v>22322</v>
      </c>
      <c r="AY2698">
        <v>50</v>
      </c>
      <c r="AZ2698" s="184">
        <v>43880</v>
      </c>
      <c r="BA2698" t="s">
        <v>22323</v>
      </c>
      <c r="BB2698">
        <v>60</v>
      </c>
      <c r="BC2698">
        <v>63</v>
      </c>
      <c r="BD2698">
        <v>1110</v>
      </c>
      <c r="BE2698">
        <v>2001</v>
      </c>
      <c r="BF2698">
        <v>22</v>
      </c>
      <c r="BG2698">
        <v>1</v>
      </c>
      <c r="BH2698">
        <v>50</v>
      </c>
      <c r="BI2698">
        <v>15</v>
      </c>
      <c r="BJ2698">
        <v>24</v>
      </c>
      <c r="BK2698">
        <v>9</v>
      </c>
      <c r="BN2698" t="s">
        <v>595</v>
      </c>
      <c r="BP2698" s="184"/>
    </row>
    <row r="2699" spans="1:68">
      <c r="A2699">
        <v>33465022</v>
      </c>
      <c r="B2699">
        <v>33465022</v>
      </c>
      <c r="C2699" t="s">
        <v>7018</v>
      </c>
      <c r="D2699" t="s">
        <v>595</v>
      </c>
      <c r="E2699" s="184">
        <v>45195</v>
      </c>
      <c r="G2699" s="184"/>
      <c r="I2699" s="184"/>
      <c r="K2699" s="184"/>
      <c r="O2699" s="184"/>
      <c r="P2699" t="s">
        <v>7045</v>
      </c>
      <c r="Q2699" t="s">
        <v>7383</v>
      </c>
      <c r="R2699" s="184">
        <v>13881</v>
      </c>
      <c r="S2699">
        <v>86</v>
      </c>
      <c r="V2699" t="s">
        <v>11532</v>
      </c>
      <c r="W2699" t="s">
        <v>3830</v>
      </c>
      <c r="X2699" t="s">
        <v>8762</v>
      </c>
      <c r="Z2699">
        <v>100094367</v>
      </c>
      <c r="AB2699" t="s">
        <v>3593</v>
      </c>
      <c r="AC2699" t="s">
        <v>4139</v>
      </c>
      <c r="AD2699" t="s">
        <v>8762</v>
      </c>
      <c r="AF2699" t="s">
        <v>22324</v>
      </c>
      <c r="AG2699" t="s">
        <v>22325</v>
      </c>
      <c r="AI2699" t="s">
        <v>22326</v>
      </c>
      <c r="AM2699" t="s">
        <v>4583</v>
      </c>
      <c r="AN2699" t="s">
        <v>2162</v>
      </c>
      <c r="AO2699" t="s">
        <v>22327</v>
      </c>
      <c r="AP2699" t="s">
        <v>7024</v>
      </c>
      <c r="AQ2699" t="s">
        <v>22328</v>
      </c>
      <c r="AT2699" s="184">
        <v>37015</v>
      </c>
      <c r="AU2699" t="s">
        <v>22329</v>
      </c>
      <c r="AV2699">
        <v>25</v>
      </c>
      <c r="AW2699" s="184">
        <v>45343</v>
      </c>
      <c r="AX2699" t="s">
        <v>15021</v>
      </c>
      <c r="AY2699">
        <v>50</v>
      </c>
      <c r="AZ2699" s="184">
        <v>45343</v>
      </c>
      <c r="BA2699" t="s">
        <v>15021</v>
      </c>
      <c r="BB2699">
        <v>50</v>
      </c>
      <c r="BC2699">
        <v>96</v>
      </c>
      <c r="BD2699">
        <v>735</v>
      </c>
      <c r="BE2699">
        <v>2001</v>
      </c>
      <c r="BF2699">
        <v>25</v>
      </c>
      <c r="BG2699">
        <v>2</v>
      </c>
      <c r="BH2699">
        <v>100</v>
      </c>
      <c r="BI2699">
        <v>23</v>
      </c>
      <c r="BJ2699">
        <v>24</v>
      </c>
      <c r="BK2699">
        <v>16</v>
      </c>
      <c r="BN2699" t="s">
        <v>595</v>
      </c>
      <c r="BP2699" s="184"/>
    </row>
    <row r="2700" spans="1:68">
      <c r="A2700">
        <v>100094367</v>
      </c>
      <c r="B2700">
        <v>33465022</v>
      </c>
      <c r="C2700" t="s">
        <v>7018</v>
      </c>
      <c r="D2700" t="s">
        <v>595</v>
      </c>
      <c r="E2700" s="184">
        <v>45195</v>
      </c>
      <c r="G2700" s="184"/>
      <c r="I2700" s="184"/>
      <c r="K2700" s="184"/>
      <c r="O2700" s="184"/>
      <c r="P2700" t="s">
        <v>7045</v>
      </c>
      <c r="Q2700" t="s">
        <v>7383</v>
      </c>
      <c r="R2700" s="184">
        <v>13881</v>
      </c>
      <c r="S2700">
        <v>86</v>
      </c>
      <c r="V2700" t="s">
        <v>3593</v>
      </c>
      <c r="W2700" t="s">
        <v>4139</v>
      </c>
      <c r="X2700" t="s">
        <v>8762</v>
      </c>
      <c r="Z2700">
        <v>33465022</v>
      </c>
      <c r="AB2700" t="s">
        <v>11532</v>
      </c>
      <c r="AC2700" t="s">
        <v>3830</v>
      </c>
      <c r="AD2700" t="s">
        <v>8762</v>
      </c>
      <c r="AF2700" t="s">
        <v>22324</v>
      </c>
      <c r="AG2700" t="s">
        <v>22325</v>
      </c>
      <c r="AI2700" t="s">
        <v>22326</v>
      </c>
      <c r="AM2700" t="s">
        <v>4583</v>
      </c>
      <c r="AN2700" t="s">
        <v>2162</v>
      </c>
      <c r="AO2700" t="s">
        <v>22327</v>
      </c>
      <c r="AP2700" t="s">
        <v>7024</v>
      </c>
      <c r="AT2700" s="184"/>
      <c r="AW2700" s="184"/>
      <c r="AZ2700" s="184"/>
      <c r="BP2700" s="184"/>
    </row>
    <row r="2701" spans="1:68">
      <c r="A2701">
        <v>33477662</v>
      </c>
      <c r="B2701">
        <v>33477662</v>
      </c>
      <c r="C2701" t="s">
        <v>7018</v>
      </c>
      <c r="D2701" t="s">
        <v>595</v>
      </c>
      <c r="E2701" s="184">
        <v>43857</v>
      </c>
      <c r="G2701" s="184"/>
      <c r="I2701" s="184"/>
      <c r="K2701" s="184"/>
      <c r="M2701" s="184"/>
      <c r="O2701" s="184"/>
      <c r="P2701" t="s">
        <v>7045</v>
      </c>
      <c r="Q2701" t="s">
        <v>7160</v>
      </c>
      <c r="R2701" s="184">
        <v>15980</v>
      </c>
      <c r="S2701">
        <v>80</v>
      </c>
      <c r="U2701" t="s">
        <v>7076</v>
      </c>
      <c r="V2701" t="s">
        <v>3053</v>
      </c>
      <c r="W2701" t="s">
        <v>7407</v>
      </c>
      <c r="X2701" t="s">
        <v>4573</v>
      </c>
      <c r="AF2701" t="s">
        <v>22330</v>
      </c>
      <c r="AG2701" t="s">
        <v>3053</v>
      </c>
      <c r="AI2701" t="s">
        <v>22331</v>
      </c>
      <c r="AM2701" t="s">
        <v>4574</v>
      </c>
      <c r="AN2701" t="s">
        <v>2203</v>
      </c>
      <c r="AO2701" t="s">
        <v>22332</v>
      </c>
      <c r="AP2701" t="s">
        <v>7024</v>
      </c>
      <c r="AQ2701" t="s">
        <v>22333</v>
      </c>
      <c r="AR2701" t="s">
        <v>22334</v>
      </c>
      <c r="AT2701" s="184">
        <v>37019</v>
      </c>
      <c r="AU2701" t="s">
        <v>22335</v>
      </c>
      <c r="AV2701">
        <v>15</v>
      </c>
      <c r="AW2701" s="184">
        <v>43733</v>
      </c>
      <c r="AX2701" t="s">
        <v>10716</v>
      </c>
      <c r="AY2701">
        <v>20</v>
      </c>
      <c r="AZ2701" s="184">
        <v>40267</v>
      </c>
      <c r="BA2701" t="s">
        <v>22336</v>
      </c>
      <c r="BB2701">
        <v>60</v>
      </c>
      <c r="BC2701">
        <v>67</v>
      </c>
      <c r="BD2701">
        <v>510</v>
      </c>
      <c r="BE2701">
        <v>2001</v>
      </c>
      <c r="BF2701">
        <v>26</v>
      </c>
      <c r="BI2701">
        <v>16</v>
      </c>
      <c r="BJ2701">
        <v>24</v>
      </c>
      <c r="BK2701">
        <v>10</v>
      </c>
      <c r="BP2701" s="184"/>
    </row>
    <row r="2702" spans="1:68">
      <c r="A2702">
        <v>33491341</v>
      </c>
      <c r="B2702">
        <v>33491341</v>
      </c>
      <c r="C2702" t="s">
        <v>7018</v>
      </c>
      <c r="D2702" t="s">
        <v>595</v>
      </c>
      <c r="E2702" s="184">
        <v>44073</v>
      </c>
      <c r="G2702" s="184"/>
      <c r="I2702" s="184"/>
      <c r="K2702" s="184"/>
      <c r="M2702" s="184"/>
      <c r="O2702" s="184"/>
      <c r="P2702" t="s">
        <v>7045</v>
      </c>
      <c r="Q2702" t="s">
        <v>7454</v>
      </c>
      <c r="R2702" s="184">
        <v>15804</v>
      </c>
      <c r="S2702">
        <v>81</v>
      </c>
      <c r="U2702" t="s">
        <v>7031</v>
      </c>
      <c r="V2702" t="s">
        <v>5410</v>
      </c>
      <c r="W2702" t="s">
        <v>7560</v>
      </c>
      <c r="X2702" t="s">
        <v>3175</v>
      </c>
      <c r="AF2702" t="s">
        <v>22337</v>
      </c>
      <c r="AG2702" t="s">
        <v>5410</v>
      </c>
      <c r="AI2702" t="s">
        <v>22338</v>
      </c>
      <c r="AM2702" t="s">
        <v>2608</v>
      </c>
      <c r="AN2702" t="s">
        <v>2299</v>
      </c>
      <c r="AO2702" t="s">
        <v>22339</v>
      </c>
      <c r="AP2702" t="s">
        <v>7024</v>
      </c>
      <c r="AQ2702" t="s">
        <v>22340</v>
      </c>
      <c r="AT2702" s="184">
        <v>37025</v>
      </c>
      <c r="AU2702" t="s">
        <v>22341</v>
      </c>
      <c r="AV2702">
        <v>15</v>
      </c>
      <c r="AW2702" s="184">
        <v>44684</v>
      </c>
      <c r="AX2702" t="s">
        <v>17687</v>
      </c>
      <c r="AY2702">
        <v>25</v>
      </c>
      <c r="AZ2702" s="184">
        <v>40589</v>
      </c>
      <c r="BA2702" t="s">
        <v>16464</v>
      </c>
      <c r="BB2702">
        <v>115</v>
      </c>
      <c r="BC2702">
        <v>84</v>
      </c>
      <c r="BD2702">
        <v>2120</v>
      </c>
      <c r="BE2702">
        <v>2001</v>
      </c>
      <c r="BF2702">
        <v>36</v>
      </c>
      <c r="BG2702">
        <v>1</v>
      </c>
      <c r="BH2702">
        <v>25</v>
      </c>
      <c r="BI2702">
        <v>20</v>
      </c>
      <c r="BJ2702">
        <v>24</v>
      </c>
      <c r="BK2702">
        <v>18</v>
      </c>
      <c r="BP2702" s="184"/>
    </row>
    <row r="2703" spans="1:68">
      <c r="A2703">
        <v>33527193</v>
      </c>
      <c r="B2703">
        <v>33527193</v>
      </c>
      <c r="C2703" t="s">
        <v>7018</v>
      </c>
      <c r="D2703" t="s">
        <v>595</v>
      </c>
      <c r="E2703" s="184">
        <v>44104</v>
      </c>
      <c r="G2703" s="184"/>
      <c r="H2703" t="s">
        <v>595</v>
      </c>
      <c r="I2703" s="184">
        <v>44109</v>
      </c>
      <c r="K2703" s="184"/>
      <c r="O2703" s="184"/>
      <c r="P2703" t="s">
        <v>7045</v>
      </c>
      <c r="Q2703" t="s">
        <v>7160</v>
      </c>
      <c r="R2703" s="184">
        <v>16801</v>
      </c>
      <c r="S2703">
        <v>78</v>
      </c>
      <c r="U2703" t="s">
        <v>7076</v>
      </c>
      <c r="V2703" t="s">
        <v>3043</v>
      </c>
      <c r="W2703" t="s">
        <v>4139</v>
      </c>
      <c r="X2703" t="s">
        <v>4038</v>
      </c>
      <c r="AF2703" t="s">
        <v>22342</v>
      </c>
      <c r="AG2703" t="s">
        <v>3043</v>
      </c>
      <c r="AI2703" t="s">
        <v>22343</v>
      </c>
      <c r="AM2703" t="s">
        <v>3526</v>
      </c>
      <c r="AN2703" t="s">
        <v>2446</v>
      </c>
      <c r="AO2703" t="s">
        <v>22344</v>
      </c>
      <c r="AP2703" t="s">
        <v>7024</v>
      </c>
      <c r="AQ2703" t="s">
        <v>22345</v>
      </c>
      <c r="AR2703" t="s">
        <v>22346</v>
      </c>
      <c r="AT2703" s="184">
        <v>37032</v>
      </c>
      <c r="AU2703" t="s">
        <v>22347</v>
      </c>
      <c r="AV2703">
        <v>15</v>
      </c>
      <c r="AW2703" s="184">
        <v>43741</v>
      </c>
      <c r="AX2703" t="s">
        <v>9219</v>
      </c>
      <c r="AY2703">
        <v>25</v>
      </c>
      <c r="AZ2703" s="184">
        <v>42436</v>
      </c>
      <c r="BA2703" t="s">
        <v>22348</v>
      </c>
      <c r="BB2703">
        <v>40</v>
      </c>
      <c r="BC2703">
        <v>80</v>
      </c>
      <c r="BD2703">
        <v>725</v>
      </c>
      <c r="BE2703">
        <v>2001</v>
      </c>
      <c r="BF2703">
        <v>27</v>
      </c>
      <c r="BI2703">
        <v>19</v>
      </c>
      <c r="BJ2703">
        <v>24</v>
      </c>
      <c r="BK2703">
        <v>19</v>
      </c>
      <c r="BP2703" s="184"/>
    </row>
    <row r="2704" spans="1:68">
      <c r="A2704">
        <v>33543935</v>
      </c>
      <c r="B2704">
        <v>33543935</v>
      </c>
      <c r="C2704" t="s">
        <v>7018</v>
      </c>
      <c r="E2704" s="184"/>
      <c r="G2704" s="184"/>
      <c r="I2704" s="184"/>
      <c r="J2704" t="s">
        <v>595</v>
      </c>
      <c r="K2704" s="184">
        <v>41492</v>
      </c>
      <c r="M2704" s="184"/>
      <c r="O2704" s="184"/>
      <c r="P2704" t="s">
        <v>7045</v>
      </c>
      <c r="Q2704" t="s">
        <v>7383</v>
      </c>
      <c r="R2704" s="184">
        <v>15682</v>
      </c>
      <c r="S2704">
        <v>81</v>
      </c>
      <c r="U2704" t="s">
        <v>7094</v>
      </c>
      <c r="V2704" t="s">
        <v>2825</v>
      </c>
      <c r="W2704" t="s">
        <v>4327</v>
      </c>
      <c r="X2704" t="s">
        <v>19958</v>
      </c>
      <c r="AF2704" t="s">
        <v>6736</v>
      </c>
      <c r="AG2704" t="s">
        <v>2825</v>
      </c>
      <c r="AI2704" t="s">
        <v>22349</v>
      </c>
      <c r="AM2704" t="s">
        <v>5112</v>
      </c>
      <c r="AN2704" t="s">
        <v>2313</v>
      </c>
      <c r="AO2704">
        <v>60554</v>
      </c>
      <c r="AP2704" t="s">
        <v>7024</v>
      </c>
      <c r="AT2704" s="184">
        <v>37040</v>
      </c>
      <c r="AU2704" t="s">
        <v>22350</v>
      </c>
      <c r="AV2704">
        <v>20</v>
      </c>
      <c r="AW2704" s="184">
        <v>37040</v>
      </c>
      <c r="AX2704" t="s">
        <v>22350</v>
      </c>
      <c r="AY2704">
        <v>20</v>
      </c>
      <c r="AZ2704" s="184">
        <v>37040</v>
      </c>
      <c r="BA2704" t="s">
        <v>22350</v>
      </c>
      <c r="BB2704">
        <v>20</v>
      </c>
      <c r="BC2704">
        <v>5</v>
      </c>
      <c r="BD2704">
        <v>20</v>
      </c>
      <c r="BE2704">
        <v>2001</v>
      </c>
      <c r="BF2704">
        <v>1</v>
      </c>
      <c r="BI2704">
        <v>1</v>
      </c>
      <c r="BJ2704">
        <v>24</v>
      </c>
      <c r="BK2704">
        <v>1</v>
      </c>
      <c r="BM2704" t="s">
        <v>595</v>
      </c>
      <c r="BP2704" s="184"/>
    </row>
    <row r="2705" spans="1:68">
      <c r="A2705">
        <v>33570110</v>
      </c>
      <c r="B2705">
        <v>33570110</v>
      </c>
      <c r="C2705" t="s">
        <v>7018</v>
      </c>
      <c r="D2705" t="s">
        <v>595</v>
      </c>
      <c r="E2705" s="184">
        <v>44441</v>
      </c>
      <c r="G2705" s="184"/>
      <c r="I2705" s="184"/>
      <c r="K2705" s="184"/>
      <c r="M2705" s="184"/>
      <c r="O2705" s="184"/>
      <c r="P2705" t="s">
        <v>7045</v>
      </c>
      <c r="Q2705" t="s">
        <v>7262</v>
      </c>
      <c r="R2705" s="184">
        <v>15496</v>
      </c>
      <c r="S2705">
        <v>81</v>
      </c>
      <c r="V2705" t="s">
        <v>2832</v>
      </c>
      <c r="X2705" t="s">
        <v>22351</v>
      </c>
      <c r="AF2705" t="s">
        <v>22352</v>
      </c>
      <c r="AG2705" t="s">
        <v>2832</v>
      </c>
      <c r="AI2705" t="s">
        <v>22353</v>
      </c>
      <c r="AM2705" t="s">
        <v>7528</v>
      </c>
      <c r="AN2705" t="s">
        <v>2069</v>
      </c>
      <c r="AO2705" t="s">
        <v>22354</v>
      </c>
      <c r="AP2705" t="s">
        <v>7024</v>
      </c>
      <c r="AQ2705" t="s">
        <v>22355</v>
      </c>
      <c r="AT2705" s="184">
        <v>37049</v>
      </c>
      <c r="AU2705" t="s">
        <v>22356</v>
      </c>
      <c r="AV2705">
        <v>25</v>
      </c>
      <c r="AW2705" s="184">
        <v>45280</v>
      </c>
      <c r="AX2705" t="s">
        <v>7339</v>
      </c>
      <c r="AY2705">
        <v>25</v>
      </c>
      <c r="AZ2705" s="184">
        <v>45280</v>
      </c>
      <c r="BA2705" t="s">
        <v>7339</v>
      </c>
      <c r="BB2705">
        <v>25</v>
      </c>
      <c r="BC2705">
        <v>50</v>
      </c>
      <c r="BD2705">
        <v>275</v>
      </c>
      <c r="BE2705">
        <v>2001</v>
      </c>
      <c r="BF2705">
        <v>13</v>
      </c>
      <c r="BG2705">
        <v>3</v>
      </c>
      <c r="BH2705">
        <v>75</v>
      </c>
      <c r="BI2705">
        <v>12</v>
      </c>
      <c r="BJ2705">
        <v>24</v>
      </c>
      <c r="BK2705">
        <v>2</v>
      </c>
      <c r="BP2705" s="184"/>
    </row>
    <row r="2706" spans="1:68">
      <c r="A2706">
        <v>33611559</v>
      </c>
      <c r="B2706">
        <v>33611559</v>
      </c>
      <c r="C2706" t="s">
        <v>7018</v>
      </c>
      <c r="E2706" s="184"/>
      <c r="G2706" s="184"/>
      <c r="J2706" t="s">
        <v>595</v>
      </c>
      <c r="K2706" s="184">
        <v>43607</v>
      </c>
      <c r="O2706" s="184"/>
      <c r="P2706" t="s">
        <v>7029</v>
      </c>
      <c r="Q2706" t="s">
        <v>7160</v>
      </c>
      <c r="R2706" s="184">
        <v>10395</v>
      </c>
      <c r="S2706">
        <v>95</v>
      </c>
      <c r="U2706" t="s">
        <v>7032</v>
      </c>
      <c r="V2706" t="s">
        <v>2843</v>
      </c>
      <c r="W2706" t="s">
        <v>7407</v>
      </c>
      <c r="X2706" t="s">
        <v>2657</v>
      </c>
      <c r="Z2706">
        <v>100182253</v>
      </c>
      <c r="AA2706" t="s">
        <v>7130</v>
      </c>
      <c r="AB2706" t="s">
        <v>2718</v>
      </c>
      <c r="AC2706" t="s">
        <v>3332</v>
      </c>
      <c r="AD2706" t="s">
        <v>2657</v>
      </c>
      <c r="AF2706" t="s">
        <v>22357</v>
      </c>
      <c r="AG2706" t="s">
        <v>2843</v>
      </c>
      <c r="AI2706" t="s">
        <v>22358</v>
      </c>
      <c r="AM2706" t="s">
        <v>2844</v>
      </c>
      <c r="AN2706" t="s">
        <v>2413</v>
      </c>
      <c r="AO2706" t="s">
        <v>22359</v>
      </c>
      <c r="AP2706" t="s">
        <v>7024</v>
      </c>
      <c r="AT2706" s="184">
        <v>37040</v>
      </c>
      <c r="AU2706" t="s">
        <v>22360</v>
      </c>
      <c r="AV2706">
        <v>25</v>
      </c>
      <c r="AW2706" s="184">
        <v>44609</v>
      </c>
      <c r="AX2706" t="s">
        <v>22361</v>
      </c>
      <c r="AY2706">
        <v>2000</v>
      </c>
      <c r="AZ2706" s="184">
        <v>42611</v>
      </c>
      <c r="BA2706" t="s">
        <v>14683</v>
      </c>
      <c r="BB2706">
        <v>8499.4</v>
      </c>
      <c r="BC2706">
        <v>92</v>
      </c>
      <c r="BD2706">
        <v>29674.400000000001</v>
      </c>
      <c r="BE2706">
        <v>2001</v>
      </c>
      <c r="BF2706">
        <v>33</v>
      </c>
      <c r="BI2706">
        <v>22</v>
      </c>
      <c r="BJ2706">
        <v>24</v>
      </c>
      <c r="BK2706">
        <v>22</v>
      </c>
      <c r="BP2706" s="184"/>
    </row>
    <row r="2707" spans="1:68">
      <c r="A2707">
        <v>100182253</v>
      </c>
      <c r="B2707">
        <v>33611559</v>
      </c>
      <c r="C2707" t="s">
        <v>7018</v>
      </c>
      <c r="E2707" s="184"/>
      <c r="G2707" s="184"/>
      <c r="I2707" s="184"/>
      <c r="J2707" t="s">
        <v>595</v>
      </c>
      <c r="K2707" s="184">
        <v>43607</v>
      </c>
      <c r="O2707" s="184"/>
      <c r="P2707" t="s">
        <v>7029</v>
      </c>
      <c r="Q2707" t="s">
        <v>7160</v>
      </c>
      <c r="R2707" s="184"/>
      <c r="U2707" t="s">
        <v>7130</v>
      </c>
      <c r="V2707" t="s">
        <v>2718</v>
      </c>
      <c r="W2707" t="s">
        <v>3332</v>
      </c>
      <c r="X2707" t="s">
        <v>2657</v>
      </c>
      <c r="Z2707">
        <v>33611559</v>
      </c>
      <c r="AA2707" t="s">
        <v>7032</v>
      </c>
      <c r="AB2707" t="s">
        <v>2843</v>
      </c>
      <c r="AC2707" t="s">
        <v>7407</v>
      </c>
      <c r="AD2707" t="s">
        <v>2657</v>
      </c>
      <c r="AF2707" t="s">
        <v>22357</v>
      </c>
      <c r="AG2707" t="s">
        <v>2843</v>
      </c>
      <c r="AI2707" t="s">
        <v>22358</v>
      </c>
      <c r="AM2707" t="s">
        <v>2844</v>
      </c>
      <c r="AN2707" t="s">
        <v>2413</v>
      </c>
      <c r="AO2707" t="s">
        <v>22359</v>
      </c>
      <c r="AP2707" t="s">
        <v>7024</v>
      </c>
      <c r="AT2707" s="184"/>
      <c r="AW2707" s="184"/>
      <c r="AZ2707" s="184"/>
      <c r="BO2707" t="s">
        <v>595</v>
      </c>
      <c r="BP2707" s="184">
        <v>40609</v>
      </c>
    </row>
    <row r="2708" spans="1:68">
      <c r="A2708">
        <v>33619990</v>
      </c>
      <c r="B2708">
        <v>33619990</v>
      </c>
      <c r="C2708" t="s">
        <v>7018</v>
      </c>
      <c r="E2708" s="184"/>
      <c r="G2708" s="184"/>
      <c r="I2708" s="184"/>
      <c r="K2708" s="184"/>
      <c r="N2708" t="s">
        <v>595</v>
      </c>
      <c r="O2708" s="184">
        <v>42066</v>
      </c>
      <c r="P2708" t="s">
        <v>7045</v>
      </c>
      <c r="Q2708" t="s">
        <v>7194</v>
      </c>
      <c r="R2708" s="184">
        <v>13475</v>
      </c>
      <c r="S2708">
        <v>87</v>
      </c>
      <c r="U2708" t="s">
        <v>7031</v>
      </c>
      <c r="V2708" t="s">
        <v>2863</v>
      </c>
      <c r="W2708" t="s">
        <v>4382</v>
      </c>
      <c r="X2708" t="s">
        <v>22362</v>
      </c>
      <c r="AF2708" t="s">
        <v>6019</v>
      </c>
      <c r="AG2708" t="s">
        <v>2863</v>
      </c>
      <c r="AI2708" t="s">
        <v>22363</v>
      </c>
      <c r="AM2708" t="s">
        <v>22364</v>
      </c>
      <c r="AN2708" t="s">
        <v>2046</v>
      </c>
      <c r="AO2708" t="s">
        <v>22365</v>
      </c>
      <c r="AP2708" t="s">
        <v>7024</v>
      </c>
      <c r="AT2708" s="184">
        <v>37053</v>
      </c>
      <c r="AU2708" t="s">
        <v>22366</v>
      </c>
      <c r="AV2708">
        <v>15</v>
      </c>
      <c r="AW2708" s="184">
        <v>44592</v>
      </c>
      <c r="AX2708" t="s">
        <v>16256</v>
      </c>
      <c r="AY2708">
        <v>25</v>
      </c>
      <c r="AZ2708" s="184">
        <v>42066</v>
      </c>
      <c r="BA2708" t="s">
        <v>7042</v>
      </c>
      <c r="BB2708">
        <v>10000</v>
      </c>
      <c r="BC2708">
        <v>80</v>
      </c>
      <c r="BD2708">
        <v>10470</v>
      </c>
      <c r="BE2708">
        <v>2001</v>
      </c>
      <c r="BF2708">
        <v>21</v>
      </c>
      <c r="BI2708">
        <v>19</v>
      </c>
      <c r="BJ2708">
        <v>24</v>
      </c>
      <c r="BK2708">
        <v>11</v>
      </c>
      <c r="BP2708" s="184"/>
    </row>
    <row r="2709" spans="1:68">
      <c r="A2709">
        <v>33633637</v>
      </c>
      <c r="B2709">
        <v>33633637</v>
      </c>
      <c r="C2709" t="s">
        <v>7018</v>
      </c>
      <c r="D2709" t="s">
        <v>595</v>
      </c>
      <c r="E2709" s="184">
        <v>43801</v>
      </c>
      <c r="G2709" s="184"/>
      <c r="I2709" s="184"/>
      <c r="K2709" s="184"/>
      <c r="M2709" s="184"/>
      <c r="O2709" s="184"/>
      <c r="P2709" t="s">
        <v>7045</v>
      </c>
      <c r="Q2709" t="s">
        <v>7020</v>
      </c>
      <c r="R2709" s="184">
        <v>15888</v>
      </c>
      <c r="S2709">
        <v>80</v>
      </c>
      <c r="U2709" t="s">
        <v>7076</v>
      </c>
      <c r="V2709" t="s">
        <v>2733</v>
      </c>
      <c r="W2709" t="s">
        <v>2316</v>
      </c>
      <c r="X2709" t="s">
        <v>4399</v>
      </c>
      <c r="AF2709" t="s">
        <v>22367</v>
      </c>
      <c r="AG2709" t="s">
        <v>2733</v>
      </c>
      <c r="AI2709" t="s">
        <v>22368</v>
      </c>
      <c r="AM2709" t="s">
        <v>22369</v>
      </c>
      <c r="AN2709" t="s">
        <v>2112</v>
      </c>
      <c r="AO2709" t="s">
        <v>22370</v>
      </c>
      <c r="AP2709" t="s">
        <v>7024</v>
      </c>
      <c r="AT2709" s="184">
        <v>37050</v>
      </c>
      <c r="AU2709" t="s">
        <v>22371</v>
      </c>
      <c r="AV2709">
        <v>15</v>
      </c>
      <c r="AW2709" s="184">
        <v>40385</v>
      </c>
      <c r="AX2709" t="s">
        <v>17190</v>
      </c>
      <c r="AY2709">
        <v>10</v>
      </c>
      <c r="AZ2709" s="184">
        <v>37879</v>
      </c>
      <c r="BA2709" t="s">
        <v>22372</v>
      </c>
      <c r="BB2709">
        <v>25</v>
      </c>
      <c r="BC2709">
        <v>34</v>
      </c>
      <c r="BD2709">
        <v>140</v>
      </c>
      <c r="BE2709">
        <v>2001</v>
      </c>
      <c r="BF2709">
        <v>10</v>
      </c>
      <c r="BI2709">
        <v>8</v>
      </c>
      <c r="BJ2709">
        <v>24</v>
      </c>
      <c r="BK2709">
        <v>5</v>
      </c>
      <c r="BP2709" s="184"/>
    </row>
    <row r="2710" spans="1:68">
      <c r="A2710">
        <v>33640483</v>
      </c>
      <c r="B2710">
        <v>33640483</v>
      </c>
      <c r="C2710" t="s">
        <v>7018</v>
      </c>
      <c r="E2710" s="184"/>
      <c r="G2710" s="184"/>
      <c r="I2710" s="184"/>
      <c r="J2710" t="s">
        <v>595</v>
      </c>
      <c r="K2710" s="184">
        <v>41955</v>
      </c>
      <c r="M2710" s="184"/>
      <c r="O2710" s="184"/>
      <c r="P2710" t="s">
        <v>7045</v>
      </c>
      <c r="Q2710" t="s">
        <v>7383</v>
      </c>
      <c r="R2710" s="184">
        <v>23235</v>
      </c>
      <c r="S2710">
        <v>60</v>
      </c>
      <c r="U2710" t="s">
        <v>7130</v>
      </c>
      <c r="V2710" t="s">
        <v>3095</v>
      </c>
      <c r="X2710" t="s">
        <v>22373</v>
      </c>
      <c r="AF2710" t="s">
        <v>6542</v>
      </c>
      <c r="AG2710" t="s">
        <v>3095</v>
      </c>
      <c r="AI2710" t="s">
        <v>22374</v>
      </c>
      <c r="AM2710" t="s">
        <v>14232</v>
      </c>
      <c r="AN2710" t="s">
        <v>2059</v>
      </c>
      <c r="AO2710" t="s">
        <v>22375</v>
      </c>
      <c r="AP2710" t="s">
        <v>7024</v>
      </c>
      <c r="AQ2710" t="s">
        <v>22376</v>
      </c>
      <c r="AT2710" s="184">
        <v>37046</v>
      </c>
      <c r="AU2710" t="s">
        <v>22377</v>
      </c>
      <c r="AV2710">
        <v>15</v>
      </c>
      <c r="AW2710" s="184">
        <v>45413</v>
      </c>
      <c r="AX2710" t="s">
        <v>22378</v>
      </c>
      <c r="AY2710">
        <v>50</v>
      </c>
      <c r="AZ2710" s="184">
        <v>42199</v>
      </c>
      <c r="BA2710" t="s">
        <v>22379</v>
      </c>
      <c r="BB2710">
        <v>65</v>
      </c>
      <c r="BC2710">
        <v>84</v>
      </c>
      <c r="BD2710">
        <v>805</v>
      </c>
      <c r="BE2710">
        <v>2001</v>
      </c>
      <c r="BF2710">
        <v>22</v>
      </c>
      <c r="BG2710">
        <v>2</v>
      </c>
      <c r="BH2710">
        <v>100</v>
      </c>
      <c r="BI2710">
        <v>20</v>
      </c>
      <c r="BJ2710">
        <v>24</v>
      </c>
      <c r="BK2710">
        <v>12</v>
      </c>
      <c r="BP2710" s="184"/>
    </row>
    <row r="2711" spans="1:68">
      <c r="A2711">
        <v>33650060</v>
      </c>
      <c r="B2711">
        <v>33650060</v>
      </c>
      <c r="C2711" t="s">
        <v>7018</v>
      </c>
      <c r="E2711" s="184"/>
      <c r="G2711" s="184"/>
      <c r="I2711" s="184"/>
      <c r="K2711" s="184"/>
      <c r="M2711" s="184"/>
      <c r="N2711" t="s">
        <v>595</v>
      </c>
      <c r="O2711" s="184">
        <v>39314</v>
      </c>
      <c r="P2711" t="s">
        <v>7019</v>
      </c>
      <c r="Q2711" t="s">
        <v>7383</v>
      </c>
      <c r="R2711" s="184">
        <v>9250</v>
      </c>
      <c r="S2711">
        <v>99</v>
      </c>
      <c r="U2711" t="s">
        <v>7076</v>
      </c>
      <c r="V2711" t="s">
        <v>3101</v>
      </c>
      <c r="X2711" t="s">
        <v>4136</v>
      </c>
      <c r="AF2711" t="s">
        <v>6010</v>
      </c>
      <c r="AG2711" t="s">
        <v>22380</v>
      </c>
      <c r="AI2711" t="s">
        <v>22381</v>
      </c>
      <c r="AJ2711" t="s">
        <v>22382</v>
      </c>
      <c r="AM2711" t="s">
        <v>2703</v>
      </c>
      <c r="AN2711" t="s">
        <v>2064</v>
      </c>
      <c r="AO2711">
        <v>63111</v>
      </c>
      <c r="AP2711" t="s">
        <v>7024</v>
      </c>
      <c r="AT2711" s="184">
        <v>37046</v>
      </c>
      <c r="AU2711" t="s">
        <v>22383</v>
      </c>
      <c r="AV2711">
        <v>25</v>
      </c>
      <c r="AW2711" s="184">
        <v>39930</v>
      </c>
      <c r="AX2711" t="s">
        <v>22384</v>
      </c>
      <c r="AY2711">
        <v>50</v>
      </c>
      <c r="AZ2711" s="184">
        <v>39314</v>
      </c>
      <c r="BA2711" t="s">
        <v>8812</v>
      </c>
      <c r="BB2711">
        <v>10000</v>
      </c>
      <c r="BC2711">
        <v>34</v>
      </c>
      <c r="BD2711">
        <v>10797</v>
      </c>
      <c r="BE2711">
        <v>2001</v>
      </c>
      <c r="BF2711">
        <v>12</v>
      </c>
      <c r="BI2711">
        <v>8</v>
      </c>
      <c r="BJ2711">
        <v>24</v>
      </c>
      <c r="BK2711">
        <v>7</v>
      </c>
      <c r="BO2711" t="s">
        <v>595</v>
      </c>
      <c r="BP2711" s="184">
        <v>40124</v>
      </c>
    </row>
    <row r="2712" spans="1:68">
      <c r="A2712">
        <v>33657552</v>
      </c>
      <c r="B2712">
        <v>33657552</v>
      </c>
      <c r="C2712" t="s">
        <v>7018</v>
      </c>
      <c r="D2712" t="s">
        <v>595</v>
      </c>
      <c r="E2712" s="184">
        <v>43801</v>
      </c>
      <c r="G2712" s="184"/>
      <c r="I2712" s="184"/>
      <c r="K2712" s="184"/>
      <c r="M2712" s="184"/>
      <c r="O2712" s="184"/>
      <c r="P2712" t="s">
        <v>7045</v>
      </c>
      <c r="Q2712" t="s">
        <v>7194</v>
      </c>
      <c r="R2712" s="184">
        <v>20333</v>
      </c>
      <c r="S2712">
        <v>68</v>
      </c>
      <c r="V2712" t="s">
        <v>22385</v>
      </c>
      <c r="W2712" t="s">
        <v>2049</v>
      </c>
      <c r="X2712" t="s">
        <v>4401</v>
      </c>
      <c r="AF2712" t="s">
        <v>22386</v>
      </c>
      <c r="AG2712" t="s">
        <v>22385</v>
      </c>
      <c r="AI2712" t="s">
        <v>22387</v>
      </c>
      <c r="AM2712" t="s">
        <v>4402</v>
      </c>
      <c r="AN2712" t="s">
        <v>2046</v>
      </c>
      <c r="AO2712" t="s">
        <v>22388</v>
      </c>
      <c r="AP2712" t="s">
        <v>7024</v>
      </c>
      <c r="AQ2712" t="s">
        <v>22389</v>
      </c>
      <c r="AT2712" s="184">
        <v>37046</v>
      </c>
      <c r="AU2712" t="s">
        <v>22390</v>
      </c>
      <c r="AV2712">
        <v>20</v>
      </c>
      <c r="AW2712" s="184">
        <v>45408</v>
      </c>
      <c r="AX2712" t="s">
        <v>7832</v>
      </c>
      <c r="AY2712">
        <v>100</v>
      </c>
      <c r="AZ2712" s="184">
        <v>40533</v>
      </c>
      <c r="BA2712" t="s">
        <v>22391</v>
      </c>
      <c r="BB2712">
        <v>200</v>
      </c>
      <c r="BC2712">
        <v>63</v>
      </c>
      <c r="BD2712">
        <v>1511</v>
      </c>
      <c r="BE2712">
        <v>2001</v>
      </c>
      <c r="BF2712">
        <v>27</v>
      </c>
      <c r="BG2712">
        <v>2</v>
      </c>
      <c r="BH2712">
        <v>150</v>
      </c>
      <c r="BI2712">
        <v>15</v>
      </c>
      <c r="BJ2712">
        <v>24</v>
      </c>
      <c r="BK2712">
        <v>7</v>
      </c>
      <c r="BP2712" s="184"/>
    </row>
    <row r="2713" spans="1:68">
      <c r="A2713">
        <v>33675414</v>
      </c>
      <c r="B2713">
        <v>33675414</v>
      </c>
      <c r="C2713" t="s">
        <v>7018</v>
      </c>
      <c r="E2713" s="184"/>
      <c r="G2713" s="184"/>
      <c r="I2713" s="184"/>
      <c r="J2713" t="s">
        <v>595</v>
      </c>
      <c r="K2713" s="184">
        <v>42521</v>
      </c>
      <c r="M2713" s="184"/>
      <c r="O2713" s="184"/>
      <c r="P2713" t="s">
        <v>7045</v>
      </c>
      <c r="Q2713" t="s">
        <v>7030</v>
      </c>
      <c r="R2713" s="184">
        <v>29564</v>
      </c>
      <c r="S2713">
        <v>43</v>
      </c>
      <c r="U2713" t="s">
        <v>7032</v>
      </c>
      <c r="V2713" t="s">
        <v>2586</v>
      </c>
      <c r="W2713" t="s">
        <v>3968</v>
      </c>
      <c r="X2713" t="s">
        <v>3968</v>
      </c>
      <c r="Z2713">
        <v>100094902</v>
      </c>
      <c r="AB2713" t="s">
        <v>3355</v>
      </c>
      <c r="AD2713" t="s">
        <v>3657</v>
      </c>
      <c r="AF2713" t="s">
        <v>22392</v>
      </c>
      <c r="AG2713" t="s">
        <v>22393</v>
      </c>
      <c r="AI2713" t="s">
        <v>22394</v>
      </c>
      <c r="AM2713" t="s">
        <v>2564</v>
      </c>
      <c r="AN2713" t="s">
        <v>2089</v>
      </c>
      <c r="AO2713" t="s">
        <v>22395</v>
      </c>
      <c r="AP2713" t="s">
        <v>7024</v>
      </c>
      <c r="AQ2713" t="s">
        <v>22396</v>
      </c>
      <c r="AT2713" s="184">
        <v>37060</v>
      </c>
      <c r="AU2713" t="s">
        <v>22397</v>
      </c>
      <c r="AV2713">
        <v>25</v>
      </c>
      <c r="AW2713" s="184">
        <v>45420</v>
      </c>
      <c r="AX2713" t="s">
        <v>7422</v>
      </c>
      <c r="AY2713">
        <v>15</v>
      </c>
      <c r="AZ2713" s="184">
        <v>40520</v>
      </c>
      <c r="BA2713" t="s">
        <v>22398</v>
      </c>
      <c r="BB2713">
        <v>250</v>
      </c>
      <c r="BC2713">
        <v>92</v>
      </c>
      <c r="BD2713">
        <v>3919</v>
      </c>
      <c r="BE2713">
        <v>2001</v>
      </c>
      <c r="BF2713">
        <v>50</v>
      </c>
      <c r="BG2713">
        <v>14</v>
      </c>
      <c r="BH2713">
        <v>369</v>
      </c>
      <c r="BI2713">
        <v>22</v>
      </c>
      <c r="BJ2713">
        <v>24</v>
      </c>
      <c r="BK2713">
        <v>16</v>
      </c>
      <c r="BP2713" s="184"/>
    </row>
    <row r="2714" spans="1:68">
      <c r="A2714">
        <v>100094902</v>
      </c>
      <c r="B2714">
        <v>33675414</v>
      </c>
      <c r="C2714" t="s">
        <v>7018</v>
      </c>
      <c r="E2714" s="184"/>
      <c r="G2714" s="184"/>
      <c r="I2714" s="184"/>
      <c r="J2714" t="s">
        <v>595</v>
      </c>
      <c r="K2714" s="184">
        <v>42521</v>
      </c>
      <c r="M2714" s="184"/>
      <c r="O2714" s="184"/>
      <c r="P2714" t="s">
        <v>7045</v>
      </c>
      <c r="Q2714" t="s">
        <v>7030</v>
      </c>
      <c r="R2714" s="184">
        <v>15076</v>
      </c>
      <c r="S2714">
        <v>83</v>
      </c>
      <c r="V2714" t="s">
        <v>3355</v>
      </c>
      <c r="X2714" t="s">
        <v>3657</v>
      </c>
      <c r="Z2714">
        <v>33675414</v>
      </c>
      <c r="AA2714" t="s">
        <v>7032</v>
      </c>
      <c r="AB2714" t="s">
        <v>2586</v>
      </c>
      <c r="AC2714" t="s">
        <v>3968</v>
      </c>
      <c r="AD2714" t="s">
        <v>3968</v>
      </c>
      <c r="AF2714" t="s">
        <v>22392</v>
      </c>
      <c r="AG2714" t="s">
        <v>22393</v>
      </c>
      <c r="AI2714" t="s">
        <v>22394</v>
      </c>
      <c r="AM2714" t="s">
        <v>2564</v>
      </c>
      <c r="AN2714" t="s">
        <v>2089</v>
      </c>
      <c r="AO2714" t="s">
        <v>22395</v>
      </c>
      <c r="AP2714" t="s">
        <v>7024</v>
      </c>
      <c r="AT2714" s="184"/>
      <c r="AW2714" s="184"/>
      <c r="AZ2714" s="184"/>
      <c r="BP2714" s="184"/>
    </row>
    <row r="2715" spans="1:68">
      <c r="A2715">
        <v>33685280</v>
      </c>
      <c r="B2715">
        <v>33685280</v>
      </c>
      <c r="C2715" t="s">
        <v>7018</v>
      </c>
      <c r="E2715" s="184"/>
      <c r="G2715" s="184"/>
      <c r="H2715" t="s">
        <v>595</v>
      </c>
      <c r="I2715" s="184">
        <v>44428</v>
      </c>
      <c r="J2715" t="s">
        <v>595</v>
      </c>
      <c r="K2715" s="184">
        <v>41947</v>
      </c>
      <c r="M2715" s="184"/>
      <c r="O2715" s="184"/>
      <c r="P2715" t="s">
        <v>7045</v>
      </c>
      <c r="Q2715" t="s">
        <v>7383</v>
      </c>
      <c r="R2715" s="184">
        <v>17593</v>
      </c>
      <c r="S2715">
        <v>76</v>
      </c>
      <c r="U2715" t="s">
        <v>7076</v>
      </c>
      <c r="V2715" t="s">
        <v>3419</v>
      </c>
      <c r="W2715" t="s">
        <v>4013</v>
      </c>
      <c r="X2715" t="s">
        <v>22399</v>
      </c>
      <c r="AF2715" t="s">
        <v>6263</v>
      </c>
      <c r="AG2715" t="s">
        <v>3419</v>
      </c>
      <c r="AI2715" t="s">
        <v>22400</v>
      </c>
      <c r="AM2715" t="s">
        <v>22401</v>
      </c>
      <c r="AN2715" t="s">
        <v>2313</v>
      </c>
      <c r="AO2715" t="s">
        <v>22402</v>
      </c>
      <c r="AP2715" t="s">
        <v>7024</v>
      </c>
      <c r="AQ2715" t="s">
        <v>22403</v>
      </c>
      <c r="AR2715" t="s">
        <v>22404</v>
      </c>
      <c r="AT2715" s="184">
        <v>37067</v>
      </c>
      <c r="AU2715" t="s">
        <v>22405</v>
      </c>
      <c r="AV2715">
        <v>25</v>
      </c>
      <c r="AW2715" s="184">
        <v>45306</v>
      </c>
      <c r="AX2715" t="s">
        <v>22406</v>
      </c>
      <c r="AY2715">
        <v>100</v>
      </c>
      <c r="AZ2715" s="184">
        <v>45306</v>
      </c>
      <c r="BA2715" t="s">
        <v>22406</v>
      </c>
      <c r="BB2715">
        <v>100</v>
      </c>
      <c r="BC2715">
        <v>96</v>
      </c>
      <c r="BD2715">
        <v>2830</v>
      </c>
      <c r="BE2715">
        <v>2001</v>
      </c>
      <c r="BF2715">
        <v>59</v>
      </c>
      <c r="BG2715">
        <v>6</v>
      </c>
      <c r="BH2715">
        <v>600</v>
      </c>
      <c r="BI2715">
        <v>23</v>
      </c>
      <c r="BJ2715">
        <v>24</v>
      </c>
      <c r="BK2715">
        <v>16</v>
      </c>
      <c r="BP2715" s="184"/>
    </row>
    <row r="2716" spans="1:68">
      <c r="A2716">
        <v>33687229</v>
      </c>
      <c r="B2716">
        <v>33687229</v>
      </c>
      <c r="C2716" t="s">
        <v>7018</v>
      </c>
      <c r="D2716" t="s">
        <v>595</v>
      </c>
      <c r="E2716" s="184">
        <v>43745</v>
      </c>
      <c r="G2716" s="184"/>
      <c r="I2716" s="184"/>
      <c r="K2716" s="184"/>
      <c r="O2716" s="184"/>
      <c r="P2716" t="s">
        <v>7045</v>
      </c>
      <c r="Q2716" t="s">
        <v>7020</v>
      </c>
      <c r="R2716" s="184">
        <v>10573</v>
      </c>
      <c r="S2716">
        <v>95</v>
      </c>
      <c r="V2716" t="s">
        <v>4136</v>
      </c>
      <c r="X2716" t="s">
        <v>4137</v>
      </c>
      <c r="AF2716" t="s">
        <v>22407</v>
      </c>
      <c r="AG2716" t="s">
        <v>4136</v>
      </c>
      <c r="AI2716" t="s">
        <v>22408</v>
      </c>
      <c r="AM2716" t="s">
        <v>18251</v>
      </c>
      <c r="AN2716" t="s">
        <v>2465</v>
      </c>
      <c r="AO2716" t="s">
        <v>22409</v>
      </c>
      <c r="AP2716" t="s">
        <v>7024</v>
      </c>
      <c r="AT2716" s="184">
        <v>37067</v>
      </c>
      <c r="AU2716" t="s">
        <v>22410</v>
      </c>
      <c r="AV2716">
        <v>15</v>
      </c>
      <c r="AW2716" s="184">
        <v>43760</v>
      </c>
      <c r="AX2716" t="s">
        <v>22411</v>
      </c>
      <c r="AY2716">
        <v>25</v>
      </c>
      <c r="AZ2716" s="184">
        <v>39079</v>
      </c>
      <c r="BA2716" t="s">
        <v>22412</v>
      </c>
      <c r="BB2716">
        <v>50</v>
      </c>
      <c r="BC2716">
        <v>30</v>
      </c>
      <c r="BD2716">
        <v>240</v>
      </c>
      <c r="BE2716">
        <v>2001</v>
      </c>
      <c r="BF2716">
        <v>12</v>
      </c>
      <c r="BI2716">
        <v>7</v>
      </c>
      <c r="BJ2716">
        <v>24</v>
      </c>
      <c r="BK2716">
        <v>3</v>
      </c>
      <c r="BP2716" s="184"/>
    </row>
    <row r="2717" spans="1:68">
      <c r="A2717">
        <v>33691080</v>
      </c>
      <c r="B2717">
        <v>33691080</v>
      </c>
      <c r="C2717" t="s">
        <v>7018</v>
      </c>
      <c r="D2717" t="s">
        <v>595</v>
      </c>
      <c r="E2717" s="184">
        <v>44167</v>
      </c>
      <c r="G2717" s="184"/>
      <c r="I2717" s="184"/>
      <c r="K2717" s="184"/>
      <c r="M2717" s="184"/>
      <c r="O2717" s="184"/>
      <c r="P2717" t="s">
        <v>7045</v>
      </c>
      <c r="Q2717" t="s">
        <v>7383</v>
      </c>
      <c r="R2717" s="184">
        <v>20149</v>
      </c>
      <c r="S2717">
        <v>69</v>
      </c>
      <c r="U2717" t="s">
        <v>7031</v>
      </c>
      <c r="V2717" t="s">
        <v>4587</v>
      </c>
      <c r="X2717" t="s">
        <v>4939</v>
      </c>
      <c r="AF2717" t="s">
        <v>22413</v>
      </c>
      <c r="AG2717" t="s">
        <v>4587</v>
      </c>
      <c r="AI2717" t="s">
        <v>22414</v>
      </c>
      <c r="AM2717" t="s">
        <v>22415</v>
      </c>
      <c r="AN2717" t="s">
        <v>2064</v>
      </c>
      <c r="AO2717" t="s">
        <v>22416</v>
      </c>
      <c r="AP2717" t="s">
        <v>7024</v>
      </c>
      <c r="AQ2717" t="s">
        <v>22417</v>
      </c>
      <c r="AR2717" t="s">
        <v>22418</v>
      </c>
      <c r="AT2717" s="184">
        <v>37063</v>
      </c>
      <c r="AU2717" t="s">
        <v>22419</v>
      </c>
      <c r="AV2717">
        <v>15</v>
      </c>
      <c r="AW2717" s="184">
        <v>45394</v>
      </c>
      <c r="AX2717" t="s">
        <v>22420</v>
      </c>
      <c r="AY2717">
        <v>25</v>
      </c>
      <c r="AZ2717" s="184">
        <v>45394</v>
      </c>
      <c r="BA2717" t="s">
        <v>22420</v>
      </c>
      <c r="BB2717">
        <v>25</v>
      </c>
      <c r="BC2717">
        <v>38</v>
      </c>
      <c r="BD2717">
        <v>220</v>
      </c>
      <c r="BE2717">
        <v>2001</v>
      </c>
      <c r="BF2717">
        <v>10</v>
      </c>
      <c r="BG2717">
        <v>1</v>
      </c>
      <c r="BH2717">
        <v>25</v>
      </c>
      <c r="BI2717">
        <v>9</v>
      </c>
      <c r="BJ2717">
        <v>24</v>
      </c>
      <c r="BK2717">
        <v>2</v>
      </c>
      <c r="BP2717" s="184"/>
    </row>
    <row r="2718" spans="1:68">
      <c r="A2718">
        <v>33708637</v>
      </c>
      <c r="B2718">
        <v>33708637</v>
      </c>
      <c r="C2718" t="s">
        <v>7018</v>
      </c>
      <c r="E2718" s="184"/>
      <c r="G2718" s="184"/>
      <c r="I2718" s="184"/>
      <c r="J2718" t="s">
        <v>595</v>
      </c>
      <c r="K2718" s="184">
        <v>42048</v>
      </c>
      <c r="O2718" s="184"/>
      <c r="P2718" t="s">
        <v>7045</v>
      </c>
      <c r="Q2718" t="s">
        <v>7262</v>
      </c>
      <c r="R2718" s="184">
        <v>17080</v>
      </c>
      <c r="S2718">
        <v>77</v>
      </c>
      <c r="U2718" t="s">
        <v>7076</v>
      </c>
      <c r="V2718" t="s">
        <v>22421</v>
      </c>
      <c r="X2718" t="s">
        <v>4674</v>
      </c>
      <c r="Z2718">
        <v>100095001</v>
      </c>
      <c r="AA2718" t="s">
        <v>7031</v>
      </c>
      <c r="AB2718" t="s">
        <v>3134</v>
      </c>
      <c r="AC2718" t="s">
        <v>7246</v>
      </c>
      <c r="AD2718" t="s">
        <v>22422</v>
      </c>
      <c r="AF2718" t="s">
        <v>6244</v>
      </c>
      <c r="AG2718" t="s">
        <v>22423</v>
      </c>
      <c r="AI2718" t="s">
        <v>22424</v>
      </c>
      <c r="AM2718" t="s">
        <v>4262</v>
      </c>
      <c r="AN2718" t="s">
        <v>65</v>
      </c>
      <c r="AO2718" t="s">
        <v>22425</v>
      </c>
      <c r="AP2718" t="s">
        <v>7024</v>
      </c>
      <c r="AQ2718" t="s">
        <v>22426</v>
      </c>
      <c r="AR2718" t="s">
        <v>22427</v>
      </c>
      <c r="AT2718" s="184">
        <v>37072</v>
      </c>
      <c r="AU2718" t="s">
        <v>22428</v>
      </c>
      <c r="AV2718">
        <v>50</v>
      </c>
      <c r="AW2718" s="184">
        <v>45296</v>
      </c>
      <c r="AX2718" t="s">
        <v>22429</v>
      </c>
      <c r="AY2718">
        <v>500</v>
      </c>
      <c r="AZ2718" s="184">
        <v>45296</v>
      </c>
      <c r="BA2718" t="s">
        <v>22429</v>
      </c>
      <c r="BB2718">
        <v>500</v>
      </c>
      <c r="BC2718">
        <v>63</v>
      </c>
      <c r="BD2718">
        <v>3010</v>
      </c>
      <c r="BE2718">
        <v>2001</v>
      </c>
      <c r="BF2718">
        <v>22</v>
      </c>
      <c r="BG2718">
        <v>2</v>
      </c>
      <c r="BH2718">
        <v>800</v>
      </c>
      <c r="BI2718">
        <v>15</v>
      </c>
      <c r="BJ2718">
        <v>24</v>
      </c>
      <c r="BK2718">
        <v>10</v>
      </c>
      <c r="BP2718" s="184"/>
    </row>
    <row r="2719" spans="1:68">
      <c r="A2719">
        <v>100095001</v>
      </c>
      <c r="B2719">
        <v>33708637</v>
      </c>
      <c r="C2719" t="s">
        <v>7018</v>
      </c>
      <c r="E2719" s="184"/>
      <c r="G2719" s="184"/>
      <c r="I2719" s="184"/>
      <c r="J2719" t="s">
        <v>595</v>
      </c>
      <c r="K2719" s="184">
        <v>42048</v>
      </c>
      <c r="O2719" s="184"/>
      <c r="P2719" t="s">
        <v>7045</v>
      </c>
      <c r="Q2719" t="s">
        <v>7262</v>
      </c>
      <c r="R2719" s="184">
        <v>16798</v>
      </c>
      <c r="S2719">
        <v>78</v>
      </c>
      <c r="U2719" t="s">
        <v>7031</v>
      </c>
      <c r="V2719" t="s">
        <v>3134</v>
      </c>
      <c r="W2719" t="s">
        <v>7246</v>
      </c>
      <c r="X2719" t="s">
        <v>22422</v>
      </c>
      <c r="Z2719">
        <v>33708637</v>
      </c>
      <c r="AA2719" t="s">
        <v>7076</v>
      </c>
      <c r="AB2719" t="s">
        <v>22421</v>
      </c>
      <c r="AD2719" t="s">
        <v>4674</v>
      </c>
      <c r="AF2719" t="s">
        <v>6244</v>
      </c>
      <c r="AG2719" t="s">
        <v>22423</v>
      </c>
      <c r="AI2719" t="s">
        <v>22424</v>
      </c>
      <c r="AM2719" t="s">
        <v>4262</v>
      </c>
      <c r="AN2719" t="s">
        <v>65</v>
      </c>
      <c r="AO2719" t="s">
        <v>22425</v>
      </c>
      <c r="AP2719" t="s">
        <v>7024</v>
      </c>
      <c r="AT2719" s="184"/>
      <c r="AW2719" s="184"/>
      <c r="AZ2719" s="184"/>
      <c r="BP2719" s="184"/>
    </row>
    <row r="2720" spans="1:68">
      <c r="A2720">
        <v>33749136</v>
      </c>
      <c r="B2720">
        <v>33749136</v>
      </c>
      <c r="C2720" t="s">
        <v>7018</v>
      </c>
      <c r="E2720" s="184"/>
      <c r="F2720" t="s">
        <v>595</v>
      </c>
      <c r="G2720" s="184">
        <v>43731</v>
      </c>
      <c r="I2720" s="184"/>
      <c r="K2720" s="184"/>
      <c r="M2720" s="184"/>
      <c r="O2720" s="184"/>
      <c r="P2720" t="s">
        <v>7045</v>
      </c>
      <c r="Q2720" t="s">
        <v>7160</v>
      </c>
      <c r="R2720" s="184">
        <v>12328</v>
      </c>
      <c r="S2720">
        <v>90</v>
      </c>
      <c r="U2720" t="s">
        <v>7031</v>
      </c>
      <c r="V2720" t="s">
        <v>2511</v>
      </c>
      <c r="W2720" t="s">
        <v>7085</v>
      </c>
      <c r="X2720" t="s">
        <v>4004</v>
      </c>
      <c r="AF2720" t="s">
        <v>22430</v>
      </c>
      <c r="AG2720" t="s">
        <v>2511</v>
      </c>
      <c r="AI2720" t="s">
        <v>22431</v>
      </c>
      <c r="AM2720" t="s">
        <v>4005</v>
      </c>
      <c r="AN2720" t="s">
        <v>2446</v>
      </c>
      <c r="AO2720" t="s">
        <v>22432</v>
      </c>
      <c r="AP2720" t="s">
        <v>7024</v>
      </c>
      <c r="AQ2720" t="s">
        <v>22433</v>
      </c>
      <c r="AR2720" t="s">
        <v>22434</v>
      </c>
      <c r="AT2720" s="184">
        <v>37042</v>
      </c>
      <c r="AU2720" t="s">
        <v>22435</v>
      </c>
      <c r="AV2720">
        <v>15</v>
      </c>
      <c r="AW2720" s="184">
        <v>44013</v>
      </c>
      <c r="AX2720" t="s">
        <v>22436</v>
      </c>
      <c r="AY2720">
        <v>25</v>
      </c>
      <c r="AZ2720" s="184">
        <v>37306</v>
      </c>
      <c r="BA2720" t="s">
        <v>22437</v>
      </c>
      <c r="BB2720">
        <v>60</v>
      </c>
      <c r="BC2720">
        <v>46</v>
      </c>
      <c r="BD2720">
        <v>310</v>
      </c>
      <c r="BE2720">
        <v>2001</v>
      </c>
      <c r="BF2720">
        <v>13</v>
      </c>
      <c r="BI2720">
        <v>11</v>
      </c>
      <c r="BJ2720">
        <v>24</v>
      </c>
      <c r="BK2720">
        <v>6</v>
      </c>
      <c r="BN2720" t="s">
        <v>595</v>
      </c>
      <c r="BO2720" t="s">
        <v>595</v>
      </c>
    </row>
    <row r="2721" spans="1:68">
      <c r="A2721">
        <v>33759143</v>
      </c>
      <c r="B2721">
        <v>33759143</v>
      </c>
      <c r="C2721" t="s">
        <v>7018</v>
      </c>
      <c r="D2721" t="s">
        <v>595</v>
      </c>
      <c r="E2721" s="184">
        <v>44313</v>
      </c>
      <c r="G2721" s="184"/>
      <c r="K2721" s="184"/>
      <c r="M2721" s="184"/>
      <c r="O2721" s="184"/>
      <c r="P2721" t="s">
        <v>7045</v>
      </c>
      <c r="Q2721" t="s">
        <v>7374</v>
      </c>
      <c r="R2721" s="184">
        <v>19480</v>
      </c>
      <c r="S2721">
        <v>71</v>
      </c>
      <c r="U2721" t="s">
        <v>7031</v>
      </c>
      <c r="V2721" t="s">
        <v>2961</v>
      </c>
      <c r="W2721" t="s">
        <v>3226</v>
      </c>
      <c r="X2721" t="s">
        <v>22438</v>
      </c>
      <c r="Z2721">
        <v>100095142</v>
      </c>
      <c r="AA2721" t="s">
        <v>7130</v>
      </c>
      <c r="AB2721" t="s">
        <v>4599</v>
      </c>
      <c r="AD2721" t="s">
        <v>22438</v>
      </c>
      <c r="AF2721" t="s">
        <v>22439</v>
      </c>
      <c r="AG2721" t="s">
        <v>22440</v>
      </c>
      <c r="AI2721" t="s">
        <v>22441</v>
      </c>
      <c r="AM2721" t="s">
        <v>22442</v>
      </c>
      <c r="AN2721" t="s">
        <v>2081</v>
      </c>
      <c r="AO2721" t="s">
        <v>22443</v>
      </c>
      <c r="AP2721" t="s">
        <v>7024</v>
      </c>
      <c r="AQ2721" t="s">
        <v>22444</v>
      </c>
      <c r="AR2721" t="s">
        <v>22445</v>
      </c>
      <c r="AT2721" s="184">
        <v>37097</v>
      </c>
      <c r="AU2721" t="s">
        <v>22446</v>
      </c>
      <c r="AV2721">
        <v>15</v>
      </c>
      <c r="AW2721" s="184">
        <v>45344</v>
      </c>
      <c r="AX2721" t="s">
        <v>7092</v>
      </c>
      <c r="AY2721">
        <v>150</v>
      </c>
      <c r="AZ2721" s="184">
        <v>45344</v>
      </c>
      <c r="BA2721" t="s">
        <v>7092</v>
      </c>
      <c r="BB2721">
        <v>150</v>
      </c>
      <c r="BC2721">
        <v>50</v>
      </c>
      <c r="BD2721">
        <v>1122</v>
      </c>
      <c r="BE2721">
        <v>2002</v>
      </c>
      <c r="BF2721">
        <v>25</v>
      </c>
      <c r="BG2721">
        <v>2</v>
      </c>
      <c r="BH2721">
        <v>250</v>
      </c>
      <c r="BI2721">
        <v>12</v>
      </c>
      <c r="BJ2721">
        <v>24</v>
      </c>
      <c r="BK2721">
        <v>6</v>
      </c>
      <c r="BN2721" t="s">
        <v>595</v>
      </c>
      <c r="BP2721" s="184"/>
    </row>
    <row r="2722" spans="1:68">
      <c r="A2722">
        <v>100095142</v>
      </c>
      <c r="B2722">
        <v>33759143</v>
      </c>
      <c r="C2722" t="s">
        <v>7018</v>
      </c>
      <c r="D2722" t="s">
        <v>595</v>
      </c>
      <c r="E2722" s="184">
        <v>44313</v>
      </c>
      <c r="G2722" s="184"/>
      <c r="I2722" s="184"/>
      <c r="K2722" s="184"/>
      <c r="M2722" s="184"/>
      <c r="O2722" s="184"/>
      <c r="P2722" t="s">
        <v>7045</v>
      </c>
      <c r="Q2722" t="s">
        <v>7374</v>
      </c>
      <c r="R2722" s="184">
        <v>20090</v>
      </c>
      <c r="S2722">
        <v>69</v>
      </c>
      <c r="U2722" t="s">
        <v>7130</v>
      </c>
      <c r="V2722" t="s">
        <v>4599</v>
      </c>
      <c r="X2722" t="s">
        <v>22438</v>
      </c>
      <c r="Z2722">
        <v>33759143</v>
      </c>
      <c r="AA2722" t="s">
        <v>7031</v>
      </c>
      <c r="AB2722" t="s">
        <v>2961</v>
      </c>
      <c r="AC2722" t="s">
        <v>3226</v>
      </c>
      <c r="AD2722" t="s">
        <v>22438</v>
      </c>
      <c r="AF2722" t="s">
        <v>22439</v>
      </c>
      <c r="AG2722" t="s">
        <v>22440</v>
      </c>
      <c r="AI2722" t="s">
        <v>22441</v>
      </c>
      <c r="AM2722" t="s">
        <v>22442</v>
      </c>
      <c r="AN2722" t="s">
        <v>2081</v>
      </c>
      <c r="AO2722" t="s">
        <v>22443</v>
      </c>
      <c r="AP2722" t="s">
        <v>7024</v>
      </c>
      <c r="AT2722" s="184"/>
      <c r="AW2722" s="184"/>
      <c r="AZ2722" s="184"/>
      <c r="BP2722" s="184"/>
    </row>
    <row r="2723" spans="1:68">
      <c r="A2723">
        <v>33767955</v>
      </c>
      <c r="B2723">
        <v>33767955</v>
      </c>
      <c r="C2723" t="s">
        <v>7018</v>
      </c>
      <c r="E2723" s="184"/>
      <c r="F2723" t="s">
        <v>595</v>
      </c>
      <c r="G2723" s="184">
        <v>44167</v>
      </c>
      <c r="I2723" s="184"/>
      <c r="K2723" s="184"/>
      <c r="M2723" s="184"/>
      <c r="O2723" s="184"/>
      <c r="P2723" t="s">
        <v>7029</v>
      </c>
      <c r="Q2723" t="s">
        <v>7160</v>
      </c>
      <c r="R2723" s="184">
        <v>17217</v>
      </c>
      <c r="S2723">
        <v>77</v>
      </c>
      <c r="U2723" t="s">
        <v>7032</v>
      </c>
      <c r="V2723" t="s">
        <v>22447</v>
      </c>
      <c r="X2723" t="s">
        <v>22448</v>
      </c>
      <c r="Z2723">
        <v>100095174</v>
      </c>
      <c r="AA2723" t="s">
        <v>7130</v>
      </c>
      <c r="AB2723" t="s">
        <v>22449</v>
      </c>
      <c r="AD2723" t="s">
        <v>22448</v>
      </c>
      <c r="AF2723" t="s">
        <v>22450</v>
      </c>
      <c r="AG2723" t="s">
        <v>22451</v>
      </c>
      <c r="AI2723" t="s">
        <v>22452</v>
      </c>
      <c r="AM2723" t="s">
        <v>2781</v>
      </c>
      <c r="AN2723" t="s">
        <v>2176</v>
      </c>
      <c r="AO2723" t="s">
        <v>22453</v>
      </c>
      <c r="AP2723" t="s">
        <v>7024</v>
      </c>
      <c r="AQ2723" t="s">
        <v>22454</v>
      </c>
      <c r="AT2723" s="184">
        <v>31840</v>
      </c>
      <c r="AU2723" t="s">
        <v>8920</v>
      </c>
      <c r="AV2723">
        <v>22</v>
      </c>
      <c r="AW2723" s="184">
        <v>45278</v>
      </c>
      <c r="AX2723" t="s">
        <v>7749</v>
      </c>
      <c r="AY2723">
        <v>2000</v>
      </c>
      <c r="AZ2723" s="184">
        <v>45278</v>
      </c>
      <c r="BA2723" t="s">
        <v>7749</v>
      </c>
      <c r="BB2723">
        <v>2000</v>
      </c>
      <c r="BC2723">
        <v>87</v>
      </c>
      <c r="BD2723">
        <v>9145</v>
      </c>
      <c r="BE2723">
        <v>1987</v>
      </c>
      <c r="BF2723">
        <v>38</v>
      </c>
      <c r="BG2723">
        <v>2</v>
      </c>
      <c r="BH2723">
        <v>3000</v>
      </c>
      <c r="BI2723">
        <v>33</v>
      </c>
      <c r="BJ2723">
        <v>38</v>
      </c>
      <c r="BK2723">
        <v>23</v>
      </c>
      <c r="BN2723" t="s">
        <v>595</v>
      </c>
      <c r="BP2723" s="184"/>
    </row>
    <row r="2724" spans="1:68">
      <c r="A2724">
        <v>100095174</v>
      </c>
      <c r="B2724">
        <v>33767955</v>
      </c>
      <c r="C2724" t="s">
        <v>7018</v>
      </c>
      <c r="E2724" s="184"/>
      <c r="F2724" t="s">
        <v>595</v>
      </c>
      <c r="G2724" s="184">
        <v>44167</v>
      </c>
      <c r="I2724" s="184"/>
      <c r="K2724" s="184"/>
      <c r="M2724" s="184"/>
      <c r="O2724" s="184"/>
      <c r="P2724" t="s">
        <v>7029</v>
      </c>
      <c r="Q2724" t="s">
        <v>7160</v>
      </c>
      <c r="R2724" s="184">
        <v>17502</v>
      </c>
      <c r="S2724">
        <v>76</v>
      </c>
      <c r="U2724" t="s">
        <v>7130</v>
      </c>
      <c r="V2724" t="s">
        <v>22449</v>
      </c>
      <c r="X2724" t="s">
        <v>22448</v>
      </c>
      <c r="Z2724">
        <v>33767955</v>
      </c>
      <c r="AA2724" t="s">
        <v>7032</v>
      </c>
      <c r="AB2724" t="s">
        <v>22447</v>
      </c>
      <c r="AD2724" t="s">
        <v>22448</v>
      </c>
      <c r="AF2724" t="s">
        <v>22450</v>
      </c>
      <c r="AG2724" t="s">
        <v>22451</v>
      </c>
      <c r="AI2724" t="s">
        <v>22452</v>
      </c>
      <c r="AM2724" t="s">
        <v>2781</v>
      </c>
      <c r="AN2724" t="s">
        <v>2176</v>
      </c>
      <c r="AO2724" t="s">
        <v>22453</v>
      </c>
      <c r="AP2724" t="s">
        <v>7024</v>
      </c>
      <c r="AT2724" s="184"/>
      <c r="AW2724" s="184"/>
      <c r="AZ2724" s="184"/>
      <c r="BP2724" s="184"/>
    </row>
    <row r="2725" spans="1:68">
      <c r="A2725">
        <v>33785593</v>
      </c>
      <c r="B2725">
        <v>33785593</v>
      </c>
      <c r="C2725" t="s">
        <v>7018</v>
      </c>
      <c r="D2725" t="s">
        <v>595</v>
      </c>
      <c r="E2725" s="184">
        <v>44073</v>
      </c>
      <c r="G2725" s="184"/>
      <c r="I2725" s="184"/>
      <c r="K2725" s="184"/>
      <c r="M2725" s="184"/>
      <c r="O2725" s="184"/>
      <c r="P2725" t="s">
        <v>7045</v>
      </c>
      <c r="Q2725" t="s">
        <v>7454</v>
      </c>
      <c r="R2725" s="184">
        <v>13524</v>
      </c>
      <c r="S2725">
        <v>87</v>
      </c>
      <c r="U2725" t="s">
        <v>7031</v>
      </c>
      <c r="V2725" t="s">
        <v>5410</v>
      </c>
      <c r="X2725" t="s">
        <v>22455</v>
      </c>
      <c r="Z2725">
        <v>100095215</v>
      </c>
      <c r="AA2725" t="s">
        <v>7130</v>
      </c>
      <c r="AB2725" t="s">
        <v>22456</v>
      </c>
      <c r="AD2725" t="s">
        <v>22455</v>
      </c>
      <c r="AF2725" t="s">
        <v>22457</v>
      </c>
      <c r="AG2725" t="s">
        <v>22458</v>
      </c>
      <c r="AI2725" t="s">
        <v>22459</v>
      </c>
      <c r="AM2725" t="s">
        <v>13472</v>
      </c>
      <c r="AN2725" t="s">
        <v>2299</v>
      </c>
      <c r="AO2725" t="s">
        <v>22460</v>
      </c>
      <c r="AP2725" t="s">
        <v>7024</v>
      </c>
      <c r="AQ2725" t="s">
        <v>22461</v>
      </c>
      <c r="AT2725" s="184">
        <v>37102</v>
      </c>
      <c r="AU2725" t="s">
        <v>22462</v>
      </c>
      <c r="AV2725">
        <v>15</v>
      </c>
      <c r="AW2725" s="184">
        <v>45112</v>
      </c>
      <c r="AX2725" t="s">
        <v>22463</v>
      </c>
      <c r="AY2725">
        <v>40</v>
      </c>
      <c r="AZ2725" s="184">
        <v>45112</v>
      </c>
      <c r="BA2725" t="s">
        <v>22463</v>
      </c>
      <c r="BB2725">
        <v>40</v>
      </c>
      <c r="BC2725">
        <v>59</v>
      </c>
      <c r="BD2725">
        <v>856</v>
      </c>
      <c r="BE2725">
        <v>2002</v>
      </c>
      <c r="BF2725">
        <v>33</v>
      </c>
      <c r="BG2725">
        <v>1</v>
      </c>
      <c r="BH2725">
        <v>40</v>
      </c>
      <c r="BI2725">
        <v>14</v>
      </c>
      <c r="BJ2725">
        <v>24</v>
      </c>
      <c r="BK2725">
        <v>8</v>
      </c>
      <c r="BP2725" s="184"/>
    </row>
    <row r="2726" spans="1:68">
      <c r="A2726">
        <v>100095215</v>
      </c>
      <c r="B2726">
        <v>33785593</v>
      </c>
      <c r="C2726" t="s">
        <v>7018</v>
      </c>
      <c r="D2726" t="s">
        <v>595</v>
      </c>
      <c r="E2726" s="184">
        <v>44073</v>
      </c>
      <c r="G2726" s="184"/>
      <c r="I2726" s="184"/>
      <c r="K2726" s="184"/>
      <c r="M2726" s="184"/>
      <c r="O2726" s="184"/>
      <c r="P2726" t="s">
        <v>7045</v>
      </c>
      <c r="Q2726" t="s">
        <v>7454</v>
      </c>
      <c r="R2726" s="184">
        <v>13524</v>
      </c>
      <c r="S2726">
        <v>87</v>
      </c>
      <c r="U2726" t="s">
        <v>7130</v>
      </c>
      <c r="V2726" t="s">
        <v>22456</v>
      </c>
      <c r="X2726" t="s">
        <v>22455</v>
      </c>
      <c r="Z2726">
        <v>33785593</v>
      </c>
      <c r="AA2726" t="s">
        <v>7031</v>
      </c>
      <c r="AB2726" t="s">
        <v>5410</v>
      </c>
      <c r="AD2726" t="s">
        <v>22455</v>
      </c>
      <c r="AF2726" t="s">
        <v>22457</v>
      </c>
      <c r="AG2726" t="s">
        <v>22458</v>
      </c>
      <c r="AI2726" t="s">
        <v>22459</v>
      </c>
      <c r="AM2726" t="s">
        <v>13472</v>
      </c>
      <c r="AN2726" t="s">
        <v>2299</v>
      </c>
      <c r="AO2726" t="s">
        <v>22460</v>
      </c>
      <c r="AP2726" t="s">
        <v>7024</v>
      </c>
      <c r="AQ2726" t="s">
        <v>22464</v>
      </c>
      <c r="AT2726" s="184">
        <v>44168</v>
      </c>
      <c r="AU2726" t="s">
        <v>22465</v>
      </c>
      <c r="AV2726">
        <v>25</v>
      </c>
      <c r="AW2726" s="184">
        <v>44620</v>
      </c>
      <c r="AX2726" t="s">
        <v>22466</v>
      </c>
      <c r="AY2726">
        <v>35</v>
      </c>
      <c r="AZ2726" s="184">
        <v>44561</v>
      </c>
      <c r="BA2726" t="s">
        <v>22467</v>
      </c>
      <c r="BB2726">
        <v>50</v>
      </c>
      <c r="BC2726">
        <v>60</v>
      </c>
      <c r="BD2726">
        <v>210</v>
      </c>
      <c r="BE2726">
        <v>2021</v>
      </c>
      <c r="BF2726">
        <v>5</v>
      </c>
      <c r="BI2726">
        <v>3</v>
      </c>
      <c r="BJ2726">
        <v>5</v>
      </c>
      <c r="BK2726">
        <v>3</v>
      </c>
      <c r="BP2726" s="184"/>
    </row>
    <row r="2727" spans="1:68">
      <c r="A2727">
        <v>33848219</v>
      </c>
      <c r="B2727">
        <v>33848219</v>
      </c>
      <c r="C2727" t="s">
        <v>7018</v>
      </c>
      <c r="D2727" t="s">
        <v>595</v>
      </c>
      <c r="E2727" s="184">
        <v>43753</v>
      </c>
      <c r="G2727" s="184"/>
      <c r="I2727" s="184"/>
      <c r="K2727" s="184"/>
      <c r="M2727" s="184"/>
      <c r="O2727" s="184"/>
      <c r="P2727" t="s">
        <v>7045</v>
      </c>
      <c r="Q2727" t="s">
        <v>7194</v>
      </c>
      <c r="R2727" s="184">
        <v>20607</v>
      </c>
      <c r="S2727">
        <v>67</v>
      </c>
      <c r="U2727" t="s">
        <v>7076</v>
      </c>
      <c r="V2727" t="s">
        <v>3147</v>
      </c>
      <c r="X2727" t="s">
        <v>4186</v>
      </c>
      <c r="AF2727" t="s">
        <v>22468</v>
      </c>
      <c r="AG2727" t="s">
        <v>3147</v>
      </c>
      <c r="AI2727" t="s">
        <v>22469</v>
      </c>
      <c r="AM2727" t="s">
        <v>22470</v>
      </c>
      <c r="AN2727" t="s">
        <v>2046</v>
      </c>
      <c r="AO2727" t="s">
        <v>22471</v>
      </c>
      <c r="AP2727" t="s">
        <v>7024</v>
      </c>
      <c r="AQ2727" t="s">
        <v>22472</v>
      </c>
      <c r="AT2727" s="184">
        <v>37105</v>
      </c>
      <c r="AU2727" t="s">
        <v>22473</v>
      </c>
      <c r="AV2727">
        <v>25</v>
      </c>
      <c r="AW2727" s="184">
        <v>44433</v>
      </c>
      <c r="AX2727" t="s">
        <v>22474</v>
      </c>
      <c r="AY2727">
        <v>50</v>
      </c>
      <c r="AZ2727" s="184">
        <v>39307</v>
      </c>
      <c r="BA2727" t="s">
        <v>7230</v>
      </c>
      <c r="BB2727">
        <v>60</v>
      </c>
      <c r="BC2727">
        <v>75</v>
      </c>
      <c r="BD2727">
        <v>810</v>
      </c>
      <c r="BE2727">
        <v>2002</v>
      </c>
      <c r="BF2727">
        <v>19</v>
      </c>
      <c r="BI2727">
        <v>18</v>
      </c>
      <c r="BJ2727">
        <v>24</v>
      </c>
      <c r="BK2727">
        <v>12</v>
      </c>
      <c r="BP2727" s="184"/>
    </row>
    <row r="2728" spans="1:68">
      <c r="A2728">
        <v>33856063</v>
      </c>
      <c r="B2728">
        <v>33856063</v>
      </c>
      <c r="C2728" t="s">
        <v>7018</v>
      </c>
      <c r="E2728" s="184"/>
      <c r="G2728" s="184"/>
      <c r="I2728" s="184"/>
      <c r="J2728" t="s">
        <v>595</v>
      </c>
      <c r="K2728" s="184">
        <v>44104</v>
      </c>
      <c r="M2728" s="184"/>
      <c r="O2728" s="184"/>
      <c r="P2728" t="s">
        <v>7045</v>
      </c>
      <c r="Q2728" t="s">
        <v>7383</v>
      </c>
      <c r="R2728" s="184">
        <v>17899</v>
      </c>
      <c r="S2728">
        <v>75</v>
      </c>
      <c r="U2728" t="s">
        <v>7076</v>
      </c>
      <c r="V2728" t="s">
        <v>3101</v>
      </c>
      <c r="W2728" t="s">
        <v>22475</v>
      </c>
      <c r="X2728" t="s">
        <v>22476</v>
      </c>
      <c r="AF2728" t="s">
        <v>22477</v>
      </c>
      <c r="AG2728" t="s">
        <v>3101</v>
      </c>
      <c r="AI2728" t="s">
        <v>22478</v>
      </c>
      <c r="AM2728" t="s">
        <v>13924</v>
      </c>
      <c r="AN2728" t="s">
        <v>2144</v>
      </c>
      <c r="AO2728" t="s">
        <v>22479</v>
      </c>
      <c r="AP2728" t="s">
        <v>7024</v>
      </c>
      <c r="AQ2728" t="s">
        <v>22480</v>
      </c>
      <c r="AT2728" s="184">
        <v>37116</v>
      </c>
      <c r="AU2728" t="s">
        <v>22481</v>
      </c>
      <c r="AV2728">
        <v>5</v>
      </c>
      <c r="AW2728" s="184">
        <v>45413</v>
      </c>
      <c r="AX2728" t="s">
        <v>7422</v>
      </c>
      <c r="AY2728">
        <v>10</v>
      </c>
      <c r="AZ2728" s="184">
        <v>41933</v>
      </c>
      <c r="BA2728" t="s">
        <v>22482</v>
      </c>
      <c r="BB2728">
        <v>25</v>
      </c>
      <c r="BC2728">
        <v>80</v>
      </c>
      <c r="BD2728">
        <v>1290</v>
      </c>
      <c r="BE2728">
        <v>2002</v>
      </c>
      <c r="BF2728">
        <v>119</v>
      </c>
      <c r="BG2728">
        <v>25</v>
      </c>
      <c r="BH2728">
        <v>255</v>
      </c>
      <c r="BI2728">
        <v>19</v>
      </c>
      <c r="BJ2728">
        <v>24</v>
      </c>
      <c r="BK2728">
        <v>18</v>
      </c>
      <c r="BP2728" s="184"/>
    </row>
    <row r="2729" spans="1:68">
      <c r="A2729">
        <v>33862533</v>
      </c>
      <c r="B2729">
        <v>33862533</v>
      </c>
      <c r="C2729" t="s">
        <v>7018</v>
      </c>
      <c r="E2729" s="184"/>
      <c r="G2729" s="184"/>
      <c r="I2729" s="184"/>
      <c r="J2729" t="s">
        <v>595</v>
      </c>
      <c r="K2729" s="184">
        <v>43641</v>
      </c>
      <c r="M2729" s="184"/>
      <c r="O2729" s="184"/>
      <c r="P2729" t="s">
        <v>7045</v>
      </c>
      <c r="Q2729" t="s">
        <v>7262</v>
      </c>
      <c r="R2729" s="184">
        <v>20180</v>
      </c>
      <c r="S2729">
        <v>69</v>
      </c>
      <c r="V2729" t="s">
        <v>2903</v>
      </c>
      <c r="X2729" t="s">
        <v>3127</v>
      </c>
      <c r="AF2729" t="s">
        <v>6602</v>
      </c>
      <c r="AG2729" t="s">
        <v>2903</v>
      </c>
      <c r="AI2729" t="s">
        <v>22483</v>
      </c>
      <c r="AM2729" t="s">
        <v>22484</v>
      </c>
      <c r="AN2729" t="s">
        <v>2106</v>
      </c>
      <c r="AO2729" t="s">
        <v>22485</v>
      </c>
      <c r="AP2729" t="s">
        <v>7024</v>
      </c>
      <c r="AQ2729" t="s">
        <v>22486</v>
      </c>
      <c r="AR2729" t="s">
        <v>22487</v>
      </c>
      <c r="AT2729" s="184">
        <v>37113</v>
      </c>
      <c r="AU2729" t="s">
        <v>22488</v>
      </c>
      <c r="AV2729">
        <v>15</v>
      </c>
      <c r="AW2729" s="184">
        <v>45051</v>
      </c>
      <c r="AX2729" t="s">
        <v>22489</v>
      </c>
      <c r="AY2729">
        <v>25</v>
      </c>
      <c r="AZ2729" s="184">
        <v>45051</v>
      </c>
      <c r="BA2729" t="s">
        <v>22489</v>
      </c>
      <c r="BB2729">
        <v>25</v>
      </c>
      <c r="BC2729">
        <v>84</v>
      </c>
      <c r="BD2729">
        <v>503</v>
      </c>
      <c r="BE2729">
        <v>2002</v>
      </c>
      <c r="BF2729">
        <v>33</v>
      </c>
      <c r="BG2729">
        <v>1</v>
      </c>
      <c r="BH2729">
        <v>25</v>
      </c>
      <c r="BI2729">
        <v>20</v>
      </c>
      <c r="BJ2729">
        <v>24</v>
      </c>
      <c r="BK2729">
        <v>16</v>
      </c>
      <c r="BP2729" s="184"/>
    </row>
    <row r="2730" spans="1:68">
      <c r="A2730">
        <v>33888892</v>
      </c>
      <c r="B2730">
        <v>33888892</v>
      </c>
      <c r="C2730" t="s">
        <v>7018</v>
      </c>
      <c r="E2730" s="184"/>
      <c r="G2730" s="184"/>
      <c r="I2730" s="184"/>
      <c r="J2730" t="s">
        <v>595</v>
      </c>
      <c r="K2730" s="184">
        <v>43801</v>
      </c>
      <c r="O2730" s="184"/>
      <c r="P2730" t="s">
        <v>7045</v>
      </c>
      <c r="Q2730" t="s">
        <v>7374</v>
      </c>
      <c r="R2730" s="184">
        <v>21407</v>
      </c>
      <c r="S2730">
        <v>65</v>
      </c>
      <c r="V2730" t="s">
        <v>3223</v>
      </c>
      <c r="X2730" t="s">
        <v>4307</v>
      </c>
      <c r="AF2730" t="s">
        <v>6301</v>
      </c>
      <c r="AG2730" t="s">
        <v>3223</v>
      </c>
      <c r="AI2730" t="s">
        <v>22490</v>
      </c>
      <c r="AM2730" t="s">
        <v>4138</v>
      </c>
      <c r="AN2730" t="s">
        <v>2081</v>
      </c>
      <c r="AO2730" t="s">
        <v>22491</v>
      </c>
      <c r="AP2730" t="s">
        <v>7024</v>
      </c>
      <c r="AT2730" s="184">
        <v>37123</v>
      </c>
      <c r="AU2730" t="s">
        <v>22462</v>
      </c>
      <c r="AV2730">
        <v>15</v>
      </c>
      <c r="AW2730" s="184">
        <v>45411</v>
      </c>
      <c r="AX2730" t="s">
        <v>7414</v>
      </c>
      <c r="AY2730">
        <v>10</v>
      </c>
      <c r="AZ2730" s="184">
        <v>42003</v>
      </c>
      <c r="BA2730" t="s">
        <v>22492</v>
      </c>
      <c r="BB2730">
        <v>50</v>
      </c>
      <c r="BC2730">
        <v>100</v>
      </c>
      <c r="BD2730">
        <v>2250</v>
      </c>
      <c r="BE2730">
        <v>2002</v>
      </c>
      <c r="BF2730">
        <v>191</v>
      </c>
      <c r="BG2730">
        <v>24</v>
      </c>
      <c r="BH2730">
        <v>240</v>
      </c>
      <c r="BI2730">
        <v>24</v>
      </c>
      <c r="BJ2730">
        <v>24</v>
      </c>
      <c r="BK2730">
        <v>24</v>
      </c>
      <c r="BP2730" s="184"/>
    </row>
    <row r="2731" spans="1:68">
      <c r="A2731">
        <v>33910209</v>
      </c>
      <c r="B2731">
        <v>33910209</v>
      </c>
      <c r="C2731" t="s">
        <v>7018</v>
      </c>
      <c r="E2731" s="184"/>
      <c r="G2731" s="184"/>
      <c r="I2731" s="184"/>
      <c r="K2731" s="184"/>
      <c r="N2731" t="s">
        <v>595</v>
      </c>
      <c r="O2731" s="184">
        <v>43035</v>
      </c>
      <c r="P2731" t="s">
        <v>7045</v>
      </c>
      <c r="Q2731" t="s">
        <v>7030</v>
      </c>
      <c r="R2731" s="184">
        <v>16900</v>
      </c>
      <c r="S2731">
        <v>78</v>
      </c>
      <c r="U2731" t="s">
        <v>7130</v>
      </c>
      <c r="V2731" t="s">
        <v>15040</v>
      </c>
      <c r="W2731" t="s">
        <v>3223</v>
      </c>
      <c r="X2731" t="s">
        <v>22493</v>
      </c>
      <c r="AF2731" t="s">
        <v>6025</v>
      </c>
      <c r="AG2731" t="s">
        <v>15040</v>
      </c>
      <c r="AI2731" t="s">
        <v>22494</v>
      </c>
      <c r="AM2731" t="s">
        <v>2930</v>
      </c>
      <c r="AN2731" t="s">
        <v>2094</v>
      </c>
      <c r="AO2731" t="s">
        <v>22495</v>
      </c>
      <c r="AP2731" t="s">
        <v>7024</v>
      </c>
      <c r="AQ2731" t="s">
        <v>22496</v>
      </c>
      <c r="AT2731" s="184">
        <v>37125</v>
      </c>
      <c r="AU2731" t="s">
        <v>22497</v>
      </c>
      <c r="AV2731">
        <v>15</v>
      </c>
      <c r="AW2731" s="184">
        <v>44576</v>
      </c>
      <c r="AX2731" t="s">
        <v>22498</v>
      </c>
      <c r="AY2731">
        <v>35</v>
      </c>
      <c r="AZ2731" s="184">
        <v>43035</v>
      </c>
      <c r="BA2731" t="s">
        <v>8929</v>
      </c>
      <c r="BB2731">
        <v>10000</v>
      </c>
      <c r="BC2731">
        <v>63</v>
      </c>
      <c r="BD2731">
        <v>10430</v>
      </c>
      <c r="BE2731">
        <v>2002</v>
      </c>
      <c r="BF2731">
        <v>16</v>
      </c>
      <c r="BI2731">
        <v>15</v>
      </c>
      <c r="BJ2731">
        <v>24</v>
      </c>
      <c r="BK2731">
        <v>4</v>
      </c>
      <c r="BP2731" s="184"/>
    </row>
    <row r="2732" spans="1:68">
      <c r="A2732">
        <v>33918343</v>
      </c>
      <c r="B2732">
        <v>33918343</v>
      </c>
      <c r="C2732" t="s">
        <v>7018</v>
      </c>
      <c r="E2732" s="184"/>
      <c r="G2732" s="184"/>
      <c r="I2732" s="184"/>
      <c r="J2732" t="s">
        <v>595</v>
      </c>
      <c r="K2732" s="184">
        <v>44313</v>
      </c>
      <c r="O2732" s="184"/>
      <c r="P2732" t="s">
        <v>7045</v>
      </c>
      <c r="Q2732" t="s">
        <v>7494</v>
      </c>
      <c r="R2732" s="184">
        <v>14092</v>
      </c>
      <c r="S2732">
        <v>85</v>
      </c>
      <c r="U2732" t="s">
        <v>7076</v>
      </c>
      <c r="V2732" t="s">
        <v>2593</v>
      </c>
      <c r="W2732" t="s">
        <v>2049</v>
      </c>
      <c r="X2732" t="s">
        <v>22499</v>
      </c>
      <c r="AF2732" t="s">
        <v>22500</v>
      </c>
      <c r="AG2732" t="s">
        <v>2593</v>
      </c>
      <c r="AI2732" t="s">
        <v>22501</v>
      </c>
      <c r="AM2732" t="s">
        <v>22502</v>
      </c>
      <c r="AN2732" t="s">
        <v>2174</v>
      </c>
      <c r="AO2732" t="s">
        <v>22503</v>
      </c>
      <c r="AP2732" t="s">
        <v>7024</v>
      </c>
      <c r="AQ2732" t="s">
        <v>22504</v>
      </c>
      <c r="AT2732" s="184">
        <v>37126</v>
      </c>
      <c r="AU2732" t="s">
        <v>22505</v>
      </c>
      <c r="AV2732">
        <v>25</v>
      </c>
      <c r="AW2732" s="184">
        <v>44082</v>
      </c>
      <c r="AX2732" t="s">
        <v>22506</v>
      </c>
      <c r="AY2732">
        <v>25</v>
      </c>
      <c r="AZ2732" s="184">
        <v>39835</v>
      </c>
      <c r="BA2732" t="s">
        <v>22507</v>
      </c>
      <c r="BB2732">
        <v>50</v>
      </c>
      <c r="BC2732">
        <v>59</v>
      </c>
      <c r="BD2732">
        <v>580</v>
      </c>
      <c r="BE2732">
        <v>2002</v>
      </c>
      <c r="BF2732">
        <v>20</v>
      </c>
      <c r="BI2732">
        <v>14</v>
      </c>
      <c r="BJ2732">
        <v>24</v>
      </c>
      <c r="BK2732">
        <v>9</v>
      </c>
      <c r="BN2732" t="s">
        <v>595</v>
      </c>
      <c r="BP2732" s="184"/>
    </row>
    <row r="2733" spans="1:68">
      <c r="A2733">
        <v>33919218</v>
      </c>
      <c r="B2733">
        <v>33919218</v>
      </c>
      <c r="C2733" t="s">
        <v>7018</v>
      </c>
      <c r="D2733" t="s">
        <v>595</v>
      </c>
      <c r="E2733" s="184">
        <v>44167</v>
      </c>
      <c r="G2733" s="184"/>
      <c r="I2733" s="184"/>
      <c r="K2733" s="184"/>
      <c r="O2733" s="184"/>
      <c r="P2733" t="s">
        <v>7045</v>
      </c>
      <c r="Q2733" t="s">
        <v>7383</v>
      </c>
      <c r="R2733" s="184">
        <v>18172</v>
      </c>
      <c r="S2733">
        <v>74</v>
      </c>
      <c r="V2733" t="s">
        <v>2602</v>
      </c>
      <c r="X2733" t="s">
        <v>22508</v>
      </c>
      <c r="AF2733" t="s">
        <v>22509</v>
      </c>
      <c r="AG2733" t="s">
        <v>2602</v>
      </c>
      <c r="AI2733" t="s">
        <v>22510</v>
      </c>
      <c r="AM2733" t="s">
        <v>3434</v>
      </c>
      <c r="AN2733" t="s">
        <v>2118</v>
      </c>
      <c r="AO2733" t="s">
        <v>22511</v>
      </c>
      <c r="AP2733" t="s">
        <v>7024</v>
      </c>
      <c r="AQ2733" t="s">
        <v>22512</v>
      </c>
      <c r="AT2733" s="184">
        <v>37126</v>
      </c>
      <c r="AU2733" t="s">
        <v>22513</v>
      </c>
      <c r="AV2733">
        <v>25</v>
      </c>
      <c r="AW2733" s="184">
        <v>45062</v>
      </c>
      <c r="AX2733" t="s">
        <v>7665</v>
      </c>
      <c r="AY2733">
        <v>25</v>
      </c>
      <c r="AZ2733" s="184">
        <v>45062</v>
      </c>
      <c r="BA2733" t="s">
        <v>7665</v>
      </c>
      <c r="BB2733">
        <v>25</v>
      </c>
      <c r="BC2733">
        <v>96</v>
      </c>
      <c r="BD2733">
        <v>916</v>
      </c>
      <c r="BE2733">
        <v>2002</v>
      </c>
      <c r="BF2733">
        <v>58</v>
      </c>
      <c r="BG2733">
        <v>2</v>
      </c>
      <c r="BH2733">
        <v>50</v>
      </c>
      <c r="BI2733">
        <v>23</v>
      </c>
      <c r="BJ2733">
        <v>24</v>
      </c>
      <c r="BK2733">
        <v>23</v>
      </c>
      <c r="BP2733" s="184"/>
    </row>
    <row r="2734" spans="1:68">
      <c r="A2734">
        <v>33923012</v>
      </c>
      <c r="B2734">
        <v>33923012</v>
      </c>
      <c r="C2734" t="s">
        <v>7018</v>
      </c>
      <c r="E2734" s="184"/>
      <c r="G2734" s="184"/>
      <c r="I2734" s="184"/>
      <c r="J2734" t="s">
        <v>595</v>
      </c>
      <c r="K2734" s="184">
        <v>41414</v>
      </c>
      <c r="M2734" s="184"/>
      <c r="O2734" s="184"/>
      <c r="P2734" t="s">
        <v>7045</v>
      </c>
      <c r="Q2734" t="s">
        <v>7030</v>
      </c>
      <c r="R2734" s="184">
        <v>15797</v>
      </c>
      <c r="S2734">
        <v>81</v>
      </c>
      <c r="U2734" t="s">
        <v>7076</v>
      </c>
      <c r="V2734" t="s">
        <v>3574</v>
      </c>
      <c r="X2734" t="s">
        <v>3740</v>
      </c>
      <c r="AF2734" t="s">
        <v>6164</v>
      </c>
      <c r="AG2734" t="s">
        <v>3574</v>
      </c>
      <c r="AI2734" t="s">
        <v>22514</v>
      </c>
      <c r="AM2734" t="s">
        <v>4295</v>
      </c>
      <c r="AN2734" t="s">
        <v>2089</v>
      </c>
      <c r="AO2734" t="s">
        <v>22515</v>
      </c>
      <c r="AP2734" t="s">
        <v>7024</v>
      </c>
      <c r="AT2734" s="184">
        <v>37127</v>
      </c>
      <c r="AU2734" t="s">
        <v>22516</v>
      </c>
      <c r="AV2734">
        <v>25</v>
      </c>
      <c r="AW2734" s="184">
        <v>45211</v>
      </c>
      <c r="AX2734" t="s">
        <v>17610</v>
      </c>
      <c r="AY2734">
        <v>150</v>
      </c>
      <c r="AZ2734" s="184">
        <v>45211</v>
      </c>
      <c r="BA2734" t="s">
        <v>17610</v>
      </c>
      <c r="BB2734">
        <v>150</v>
      </c>
      <c r="BC2734">
        <v>96</v>
      </c>
      <c r="BD2734">
        <v>4200</v>
      </c>
      <c r="BE2734">
        <v>2002</v>
      </c>
      <c r="BF2734">
        <v>40</v>
      </c>
      <c r="BG2734">
        <v>2</v>
      </c>
      <c r="BH2734">
        <v>300</v>
      </c>
      <c r="BI2734">
        <v>23</v>
      </c>
      <c r="BJ2734">
        <v>24</v>
      </c>
      <c r="BK2734">
        <v>23</v>
      </c>
      <c r="BP2734" s="184"/>
    </row>
    <row r="2735" spans="1:68">
      <c r="A2735">
        <v>33981770</v>
      </c>
      <c r="B2735">
        <v>33981770</v>
      </c>
      <c r="C2735" t="s">
        <v>7018</v>
      </c>
      <c r="E2735" s="184"/>
      <c r="G2735" s="184"/>
      <c r="I2735" s="184"/>
      <c r="J2735" t="s">
        <v>595</v>
      </c>
      <c r="K2735" s="184">
        <v>42521</v>
      </c>
      <c r="M2735" s="184"/>
      <c r="O2735" s="184"/>
      <c r="P2735" t="s">
        <v>7045</v>
      </c>
      <c r="Q2735" t="s">
        <v>7383</v>
      </c>
      <c r="R2735" s="184">
        <v>12573</v>
      </c>
      <c r="S2735">
        <v>89</v>
      </c>
      <c r="V2735" t="s">
        <v>2828</v>
      </c>
      <c r="X2735" t="s">
        <v>4184</v>
      </c>
      <c r="Z2735">
        <v>100095824</v>
      </c>
      <c r="AB2735" t="s">
        <v>2580</v>
      </c>
      <c r="AD2735" t="s">
        <v>4184</v>
      </c>
      <c r="AF2735" t="s">
        <v>6356</v>
      </c>
      <c r="AG2735" t="s">
        <v>22517</v>
      </c>
      <c r="AI2735" t="s">
        <v>22518</v>
      </c>
      <c r="AM2735" t="s">
        <v>22519</v>
      </c>
      <c r="AN2735" t="s">
        <v>2274</v>
      </c>
      <c r="AO2735" t="s">
        <v>22520</v>
      </c>
      <c r="AP2735" t="s">
        <v>7024</v>
      </c>
      <c r="AQ2735" t="s">
        <v>22521</v>
      </c>
      <c r="AR2735" t="s">
        <v>22522</v>
      </c>
      <c r="AT2735" s="184">
        <v>37159</v>
      </c>
      <c r="AU2735" t="s">
        <v>22523</v>
      </c>
      <c r="AV2735">
        <v>15</v>
      </c>
      <c r="AW2735" s="184">
        <v>45168</v>
      </c>
      <c r="AX2735" t="s">
        <v>7742</v>
      </c>
      <c r="AY2735">
        <v>250</v>
      </c>
      <c r="AZ2735" s="184">
        <v>45168</v>
      </c>
      <c r="BA2735" t="s">
        <v>7742</v>
      </c>
      <c r="BB2735">
        <v>250</v>
      </c>
      <c r="BC2735">
        <v>46</v>
      </c>
      <c r="BD2735">
        <v>1830</v>
      </c>
      <c r="BE2735">
        <v>2002</v>
      </c>
      <c r="BF2735">
        <v>12</v>
      </c>
      <c r="BG2735">
        <v>1</v>
      </c>
      <c r="BH2735">
        <v>250</v>
      </c>
      <c r="BI2735">
        <v>11</v>
      </c>
      <c r="BJ2735">
        <v>24</v>
      </c>
      <c r="BK2735">
        <v>4</v>
      </c>
      <c r="BN2735" t="s">
        <v>595</v>
      </c>
      <c r="BP2735" s="184"/>
    </row>
    <row r="2736" spans="1:68">
      <c r="A2736">
        <v>100095824</v>
      </c>
      <c r="B2736">
        <v>33981770</v>
      </c>
      <c r="C2736" t="s">
        <v>7018</v>
      </c>
      <c r="E2736" s="184"/>
      <c r="G2736" s="184"/>
      <c r="I2736" s="184"/>
      <c r="J2736" t="s">
        <v>595</v>
      </c>
      <c r="K2736" s="184">
        <v>42521</v>
      </c>
      <c r="O2736" s="184"/>
      <c r="P2736" t="s">
        <v>7045</v>
      </c>
      <c r="Q2736" t="s">
        <v>7383</v>
      </c>
      <c r="R2736" s="184">
        <v>12614</v>
      </c>
      <c r="S2736">
        <v>89</v>
      </c>
      <c r="V2736" t="s">
        <v>2580</v>
      </c>
      <c r="X2736" t="s">
        <v>4184</v>
      </c>
      <c r="Z2736">
        <v>33981770</v>
      </c>
      <c r="AB2736" t="s">
        <v>2828</v>
      </c>
      <c r="AD2736" t="s">
        <v>4184</v>
      </c>
      <c r="AF2736" t="s">
        <v>6356</v>
      </c>
      <c r="AG2736" t="s">
        <v>22517</v>
      </c>
      <c r="AI2736" t="s">
        <v>22518</v>
      </c>
      <c r="AM2736" t="s">
        <v>22519</v>
      </c>
      <c r="AN2736" t="s">
        <v>2274</v>
      </c>
      <c r="AO2736" t="s">
        <v>22520</v>
      </c>
      <c r="AP2736" t="s">
        <v>7024</v>
      </c>
      <c r="AT2736" s="184"/>
      <c r="AW2736" s="184"/>
      <c r="AZ2736" s="184"/>
      <c r="BP2736" s="184"/>
    </row>
    <row r="2737" spans="1:68">
      <c r="A2737">
        <v>33982778</v>
      </c>
      <c r="B2737">
        <v>33982778</v>
      </c>
      <c r="C2737" t="s">
        <v>7018</v>
      </c>
      <c r="D2737" t="s">
        <v>595</v>
      </c>
      <c r="E2737" s="184">
        <v>43801</v>
      </c>
      <c r="G2737" s="184"/>
      <c r="I2737" s="184"/>
      <c r="K2737" s="184"/>
      <c r="M2737" s="184"/>
      <c r="O2737" s="184"/>
      <c r="P2737" t="s">
        <v>7045</v>
      </c>
      <c r="Q2737" t="s">
        <v>7194</v>
      </c>
      <c r="R2737" s="184">
        <v>13463</v>
      </c>
      <c r="S2737">
        <v>87</v>
      </c>
      <c r="U2737" t="s">
        <v>7031</v>
      </c>
      <c r="V2737" t="s">
        <v>4403</v>
      </c>
      <c r="X2737" t="s">
        <v>4404</v>
      </c>
      <c r="AF2737" t="s">
        <v>22524</v>
      </c>
      <c r="AG2737" t="s">
        <v>4403</v>
      </c>
      <c r="AI2737" t="s">
        <v>22525</v>
      </c>
      <c r="AM2737" t="s">
        <v>4405</v>
      </c>
      <c r="AN2737" t="s">
        <v>2046</v>
      </c>
      <c r="AO2737" t="s">
        <v>22526</v>
      </c>
      <c r="AP2737" t="s">
        <v>7024</v>
      </c>
      <c r="AQ2737" t="s">
        <v>22527</v>
      </c>
      <c r="AT2737" s="184">
        <v>37153</v>
      </c>
      <c r="AU2737" t="s">
        <v>22528</v>
      </c>
      <c r="AV2737">
        <v>10</v>
      </c>
      <c r="AW2737" s="184">
        <v>43868</v>
      </c>
      <c r="AX2737" t="s">
        <v>22529</v>
      </c>
      <c r="AY2737">
        <v>15</v>
      </c>
      <c r="AZ2737" s="184">
        <v>43868</v>
      </c>
      <c r="BA2737" t="s">
        <v>22529</v>
      </c>
      <c r="BB2737">
        <v>15</v>
      </c>
      <c r="BC2737">
        <v>84</v>
      </c>
      <c r="BD2737">
        <v>250</v>
      </c>
      <c r="BE2737">
        <v>2002</v>
      </c>
      <c r="BF2737">
        <v>20</v>
      </c>
      <c r="BI2737">
        <v>20</v>
      </c>
      <c r="BJ2737">
        <v>24</v>
      </c>
      <c r="BK2737">
        <v>20</v>
      </c>
      <c r="BP2737" s="184"/>
    </row>
    <row r="2738" spans="1:68">
      <c r="A2738">
        <v>33986274</v>
      </c>
      <c r="B2738">
        <v>33986274</v>
      </c>
      <c r="C2738" t="s">
        <v>7018</v>
      </c>
      <c r="D2738" t="s">
        <v>595</v>
      </c>
      <c r="E2738" s="184">
        <v>43857</v>
      </c>
      <c r="G2738" s="184"/>
      <c r="I2738" s="184"/>
      <c r="K2738" s="184"/>
      <c r="M2738" s="184"/>
      <c r="O2738" s="184"/>
      <c r="P2738" t="s">
        <v>7045</v>
      </c>
      <c r="Q2738" t="s">
        <v>7262</v>
      </c>
      <c r="R2738" s="184">
        <v>18810</v>
      </c>
      <c r="S2738">
        <v>72</v>
      </c>
      <c r="U2738" t="s">
        <v>7076</v>
      </c>
      <c r="V2738" t="s">
        <v>3043</v>
      </c>
      <c r="W2738" t="s">
        <v>2049</v>
      </c>
      <c r="X2738" t="s">
        <v>4575</v>
      </c>
      <c r="AF2738" t="s">
        <v>22530</v>
      </c>
      <c r="AG2738" t="s">
        <v>3043</v>
      </c>
      <c r="AI2738" t="s">
        <v>22531</v>
      </c>
      <c r="AM2738" t="s">
        <v>4706</v>
      </c>
      <c r="AN2738" t="s">
        <v>2069</v>
      </c>
      <c r="AO2738" t="s">
        <v>22532</v>
      </c>
      <c r="AP2738" t="s">
        <v>7024</v>
      </c>
      <c r="AQ2738" t="s">
        <v>22533</v>
      </c>
      <c r="AT2738" s="184">
        <v>37154</v>
      </c>
      <c r="AU2738" t="s">
        <v>22534</v>
      </c>
      <c r="AV2738">
        <v>100</v>
      </c>
      <c r="AW2738" s="184">
        <v>45426</v>
      </c>
      <c r="AX2738" t="s">
        <v>7422</v>
      </c>
      <c r="AY2738">
        <v>75</v>
      </c>
      <c r="AZ2738" s="184">
        <v>42735</v>
      </c>
      <c r="BA2738" t="s">
        <v>22535</v>
      </c>
      <c r="BB2738">
        <v>250</v>
      </c>
      <c r="BC2738">
        <v>100</v>
      </c>
      <c r="BD2738">
        <v>10890</v>
      </c>
      <c r="BE2738">
        <v>2002</v>
      </c>
      <c r="BF2738">
        <v>174</v>
      </c>
      <c r="BG2738">
        <v>22</v>
      </c>
      <c r="BH2738">
        <v>1650</v>
      </c>
      <c r="BI2738">
        <v>24</v>
      </c>
      <c r="BJ2738">
        <v>24</v>
      </c>
      <c r="BK2738">
        <v>24</v>
      </c>
      <c r="BP2738" s="184"/>
    </row>
    <row r="2739" spans="1:68">
      <c r="A2739">
        <v>33994740</v>
      </c>
      <c r="B2739">
        <v>33994740</v>
      </c>
      <c r="C2739" t="s">
        <v>7018</v>
      </c>
      <c r="E2739" s="184"/>
      <c r="G2739" s="184"/>
      <c r="I2739" s="184"/>
      <c r="J2739" t="s">
        <v>595</v>
      </c>
      <c r="K2739" s="184">
        <v>43747</v>
      </c>
      <c r="O2739" s="184"/>
      <c r="P2739" t="s">
        <v>7084</v>
      </c>
      <c r="Q2739" t="s">
        <v>7374</v>
      </c>
      <c r="R2739" s="184">
        <v>13150</v>
      </c>
      <c r="S2739">
        <v>88</v>
      </c>
      <c r="V2739" t="s">
        <v>2985</v>
      </c>
      <c r="X2739" t="s">
        <v>22536</v>
      </c>
      <c r="AF2739" t="s">
        <v>6255</v>
      </c>
      <c r="AG2739" t="s">
        <v>2985</v>
      </c>
      <c r="AI2739" t="s">
        <v>22537</v>
      </c>
      <c r="AM2739" t="s">
        <v>8571</v>
      </c>
      <c r="AN2739" t="s">
        <v>2081</v>
      </c>
      <c r="AO2739" t="s">
        <v>22538</v>
      </c>
      <c r="AP2739" t="s">
        <v>7024</v>
      </c>
      <c r="AQ2739" t="s">
        <v>22539</v>
      </c>
      <c r="AR2739" t="s">
        <v>22540</v>
      </c>
      <c r="AT2739" s="184">
        <v>37158</v>
      </c>
      <c r="AU2739" t="s">
        <v>22541</v>
      </c>
      <c r="AV2739">
        <v>25</v>
      </c>
      <c r="AW2739" s="184">
        <v>44279</v>
      </c>
      <c r="AX2739" t="s">
        <v>7309</v>
      </c>
      <c r="AY2739">
        <v>131232.91</v>
      </c>
      <c r="AZ2739" s="184">
        <v>44279</v>
      </c>
      <c r="BA2739" t="s">
        <v>7309</v>
      </c>
      <c r="BB2739">
        <v>131232.91</v>
      </c>
      <c r="BC2739">
        <v>80</v>
      </c>
      <c r="BD2739">
        <v>133342.91</v>
      </c>
      <c r="BE2739">
        <v>2002</v>
      </c>
      <c r="BF2739">
        <v>28</v>
      </c>
      <c r="BI2739">
        <v>19</v>
      </c>
      <c r="BJ2739">
        <v>24</v>
      </c>
      <c r="BK2739">
        <v>15</v>
      </c>
      <c r="BL2739" t="s">
        <v>595</v>
      </c>
      <c r="BN2739" t="s">
        <v>595</v>
      </c>
      <c r="BO2739" t="s">
        <v>595</v>
      </c>
      <c r="BP2739" s="184">
        <v>43728</v>
      </c>
    </row>
    <row r="2740" spans="1:68">
      <c r="A2740">
        <v>35000545</v>
      </c>
      <c r="B2740">
        <v>35000545</v>
      </c>
      <c r="C2740" t="s">
        <v>7018</v>
      </c>
      <c r="E2740" s="184"/>
      <c r="G2740" s="184"/>
      <c r="I2740" s="184"/>
      <c r="J2740" t="s">
        <v>595</v>
      </c>
      <c r="K2740" s="184">
        <v>44070</v>
      </c>
      <c r="O2740" s="184"/>
      <c r="P2740" t="s">
        <v>7045</v>
      </c>
      <c r="Q2740" t="s">
        <v>7020</v>
      </c>
      <c r="R2740" s="184">
        <v>16852</v>
      </c>
      <c r="S2740">
        <v>78</v>
      </c>
      <c r="U2740" t="s">
        <v>7031</v>
      </c>
      <c r="V2740" t="s">
        <v>3217</v>
      </c>
      <c r="X2740" t="s">
        <v>22542</v>
      </c>
      <c r="AF2740" t="s">
        <v>22543</v>
      </c>
      <c r="AG2740" t="s">
        <v>3217</v>
      </c>
      <c r="AI2740" t="s">
        <v>22544</v>
      </c>
      <c r="AM2740" t="s">
        <v>22545</v>
      </c>
      <c r="AN2740" t="s">
        <v>2112</v>
      </c>
      <c r="AO2740" t="s">
        <v>22546</v>
      </c>
      <c r="AP2740" t="s">
        <v>7024</v>
      </c>
      <c r="AT2740" s="184">
        <v>37165</v>
      </c>
      <c r="AU2740" t="s">
        <v>22547</v>
      </c>
      <c r="AV2740">
        <v>50</v>
      </c>
      <c r="AW2740" s="184">
        <v>45363</v>
      </c>
      <c r="AX2740" t="s">
        <v>22548</v>
      </c>
      <c r="AY2740">
        <v>200</v>
      </c>
      <c r="AZ2740" s="184">
        <v>45363</v>
      </c>
      <c r="BA2740" t="s">
        <v>22548</v>
      </c>
      <c r="BB2740">
        <v>200</v>
      </c>
      <c r="BC2740">
        <v>92</v>
      </c>
      <c r="BD2740">
        <v>2550</v>
      </c>
      <c r="BE2740">
        <v>2002</v>
      </c>
      <c r="BF2740">
        <v>22</v>
      </c>
      <c r="BG2740">
        <v>2</v>
      </c>
      <c r="BH2740">
        <v>300</v>
      </c>
      <c r="BI2740">
        <v>22</v>
      </c>
      <c r="BJ2740">
        <v>24</v>
      </c>
      <c r="BK2740">
        <v>14</v>
      </c>
    </row>
    <row r="2741" spans="1:68">
      <c r="A2741">
        <v>35004594</v>
      </c>
      <c r="B2741">
        <v>35004594</v>
      </c>
      <c r="C2741" t="s">
        <v>7018</v>
      </c>
      <c r="D2741" t="s">
        <v>595</v>
      </c>
      <c r="E2741" s="184">
        <v>43857</v>
      </c>
      <c r="G2741" s="184"/>
      <c r="I2741" s="184"/>
      <c r="K2741" s="184"/>
      <c r="O2741" s="184"/>
      <c r="P2741" t="s">
        <v>7045</v>
      </c>
      <c r="Q2741" t="s">
        <v>7383</v>
      </c>
      <c r="R2741" s="184">
        <v>17009</v>
      </c>
      <c r="S2741">
        <v>77</v>
      </c>
      <c r="U2741" t="s">
        <v>7130</v>
      </c>
      <c r="V2741" t="s">
        <v>3868</v>
      </c>
      <c r="W2741" t="s">
        <v>4013</v>
      </c>
      <c r="X2741" t="s">
        <v>4576</v>
      </c>
      <c r="AF2741" t="s">
        <v>22549</v>
      </c>
      <c r="AG2741" t="s">
        <v>3868</v>
      </c>
      <c r="AI2741" t="s">
        <v>22550</v>
      </c>
      <c r="AM2741" t="s">
        <v>3525</v>
      </c>
      <c r="AN2741" t="s">
        <v>2072</v>
      </c>
      <c r="AO2741" t="s">
        <v>22551</v>
      </c>
      <c r="AP2741" t="s">
        <v>7024</v>
      </c>
      <c r="AQ2741" t="s">
        <v>22552</v>
      </c>
      <c r="AR2741" t="s">
        <v>22553</v>
      </c>
      <c r="AT2741" s="184">
        <v>37173</v>
      </c>
      <c r="AU2741" t="s">
        <v>22554</v>
      </c>
      <c r="AV2741">
        <v>25</v>
      </c>
      <c r="AW2741" s="184">
        <v>45365</v>
      </c>
      <c r="AX2741" t="s">
        <v>20999</v>
      </c>
      <c r="AY2741">
        <v>50</v>
      </c>
      <c r="AZ2741" s="184">
        <v>43074</v>
      </c>
      <c r="BA2741" t="s">
        <v>22555</v>
      </c>
      <c r="BB2741">
        <v>150</v>
      </c>
      <c r="BC2741">
        <v>92</v>
      </c>
      <c r="BD2741">
        <v>3473</v>
      </c>
      <c r="BE2741">
        <v>2002</v>
      </c>
      <c r="BF2741">
        <v>70</v>
      </c>
      <c r="BG2741">
        <v>8</v>
      </c>
      <c r="BH2741">
        <v>355</v>
      </c>
      <c r="BI2741">
        <v>22</v>
      </c>
      <c r="BJ2741">
        <v>24</v>
      </c>
      <c r="BK2741">
        <v>20</v>
      </c>
      <c r="BP2741" s="184"/>
    </row>
    <row r="2742" spans="1:68">
      <c r="A2742">
        <v>35006468</v>
      </c>
      <c r="B2742">
        <v>35006468</v>
      </c>
      <c r="C2742" t="s">
        <v>7018</v>
      </c>
      <c r="D2742" t="s">
        <v>595</v>
      </c>
      <c r="E2742" s="184">
        <v>45414</v>
      </c>
      <c r="G2742" s="184"/>
      <c r="H2742" t="s">
        <v>595</v>
      </c>
      <c r="I2742" s="184">
        <v>45414</v>
      </c>
      <c r="K2742" s="184"/>
      <c r="M2742" s="184"/>
      <c r="O2742" s="184"/>
      <c r="P2742" t="s">
        <v>7045</v>
      </c>
      <c r="Q2742" t="s">
        <v>7454</v>
      </c>
      <c r="R2742" s="184"/>
      <c r="U2742" t="s">
        <v>7076</v>
      </c>
      <c r="V2742" t="s">
        <v>3101</v>
      </c>
      <c r="W2742" t="s">
        <v>4139</v>
      </c>
      <c r="X2742" t="s">
        <v>22556</v>
      </c>
      <c r="AF2742" t="s">
        <v>22557</v>
      </c>
      <c r="AG2742" t="s">
        <v>3101</v>
      </c>
      <c r="AI2742" t="s">
        <v>22558</v>
      </c>
      <c r="AM2742" t="s">
        <v>3647</v>
      </c>
      <c r="AN2742" t="s">
        <v>2299</v>
      </c>
      <c r="AO2742" t="s">
        <v>22559</v>
      </c>
      <c r="AP2742" t="s">
        <v>7024</v>
      </c>
      <c r="AQ2742" t="s">
        <v>22560</v>
      </c>
      <c r="AT2742" s="184">
        <v>37194</v>
      </c>
      <c r="AU2742" t="s">
        <v>22561</v>
      </c>
      <c r="AV2742">
        <v>25</v>
      </c>
      <c r="AW2742" s="184">
        <v>38951</v>
      </c>
      <c r="AX2742" t="s">
        <v>22562</v>
      </c>
      <c r="AY2742">
        <v>50</v>
      </c>
      <c r="AZ2742" s="184">
        <v>38951</v>
      </c>
      <c r="BA2742" t="s">
        <v>22562</v>
      </c>
      <c r="BB2742">
        <v>50</v>
      </c>
      <c r="BC2742">
        <v>17</v>
      </c>
      <c r="BD2742">
        <v>125</v>
      </c>
      <c r="BE2742">
        <v>2002</v>
      </c>
      <c r="BF2742">
        <v>4</v>
      </c>
      <c r="BI2742">
        <v>4</v>
      </c>
      <c r="BJ2742">
        <v>24</v>
      </c>
      <c r="BK2742">
        <v>2</v>
      </c>
      <c r="BP2742" s="184"/>
    </row>
    <row r="2743" spans="1:68">
      <c r="A2743">
        <v>35006534</v>
      </c>
      <c r="B2743">
        <v>35006534</v>
      </c>
      <c r="C2743" t="s">
        <v>7018</v>
      </c>
      <c r="D2743" t="s">
        <v>595</v>
      </c>
      <c r="E2743" s="184">
        <v>45152</v>
      </c>
      <c r="G2743" s="184"/>
      <c r="I2743" s="184"/>
      <c r="K2743" s="184"/>
      <c r="M2743" s="184"/>
      <c r="O2743" s="184"/>
      <c r="P2743" t="s">
        <v>7019</v>
      </c>
      <c r="Q2743" t="s">
        <v>7383</v>
      </c>
      <c r="R2743" s="184">
        <v>25390</v>
      </c>
      <c r="S2743">
        <v>54</v>
      </c>
      <c r="V2743" t="s">
        <v>3232</v>
      </c>
      <c r="X2743" t="s">
        <v>22563</v>
      </c>
      <c r="AF2743" t="s">
        <v>22564</v>
      </c>
      <c r="AG2743" t="s">
        <v>3232</v>
      </c>
      <c r="AI2743" t="s">
        <v>22565</v>
      </c>
      <c r="AM2743" t="s">
        <v>5776</v>
      </c>
      <c r="AN2743" t="s">
        <v>2162</v>
      </c>
      <c r="AO2743" t="s">
        <v>22566</v>
      </c>
      <c r="AP2743" t="s">
        <v>7024</v>
      </c>
      <c r="AT2743" s="184">
        <v>37194</v>
      </c>
      <c r="AU2743" t="s">
        <v>22567</v>
      </c>
      <c r="AV2743">
        <v>15</v>
      </c>
      <c r="AW2743" s="184">
        <v>43192</v>
      </c>
      <c r="AX2743" t="s">
        <v>22568</v>
      </c>
      <c r="AY2743">
        <v>60</v>
      </c>
      <c r="AZ2743" s="184">
        <v>43192</v>
      </c>
      <c r="BA2743" t="s">
        <v>22568</v>
      </c>
      <c r="BB2743">
        <v>60</v>
      </c>
      <c r="BC2743">
        <v>38</v>
      </c>
      <c r="BD2743">
        <v>315</v>
      </c>
      <c r="BE2743">
        <v>2002</v>
      </c>
      <c r="BF2743">
        <v>9</v>
      </c>
      <c r="BI2743">
        <v>9</v>
      </c>
      <c r="BJ2743">
        <v>24</v>
      </c>
      <c r="BK2743">
        <v>3</v>
      </c>
    </row>
    <row r="2744" spans="1:68">
      <c r="A2744">
        <v>35007801</v>
      </c>
      <c r="B2744">
        <v>35007801</v>
      </c>
      <c r="C2744" t="s">
        <v>7018</v>
      </c>
      <c r="E2744" s="184"/>
      <c r="F2744" t="s">
        <v>595</v>
      </c>
      <c r="G2744" s="184">
        <v>44104</v>
      </c>
      <c r="H2744" t="s">
        <v>595</v>
      </c>
      <c r="I2744" s="184">
        <v>44328</v>
      </c>
      <c r="K2744" s="184"/>
      <c r="O2744" s="184"/>
      <c r="P2744" t="s">
        <v>7045</v>
      </c>
      <c r="Q2744" t="s">
        <v>7020</v>
      </c>
      <c r="R2744" s="184">
        <v>21855</v>
      </c>
      <c r="S2744">
        <v>64</v>
      </c>
      <c r="V2744" t="s">
        <v>22569</v>
      </c>
      <c r="X2744" t="s">
        <v>22570</v>
      </c>
      <c r="AF2744" t="s">
        <v>22571</v>
      </c>
      <c r="AG2744" t="s">
        <v>22569</v>
      </c>
      <c r="AI2744" t="s">
        <v>22572</v>
      </c>
      <c r="AM2744" t="s">
        <v>19404</v>
      </c>
      <c r="AN2744" t="s">
        <v>2465</v>
      </c>
      <c r="AO2744" t="s">
        <v>22573</v>
      </c>
      <c r="AP2744" t="s">
        <v>7024</v>
      </c>
      <c r="AQ2744" t="s">
        <v>22574</v>
      </c>
      <c r="AT2744" s="184">
        <v>37203</v>
      </c>
      <c r="AU2744" t="s">
        <v>22575</v>
      </c>
      <c r="AV2744">
        <v>25</v>
      </c>
      <c r="AW2744" s="184">
        <v>45414</v>
      </c>
      <c r="AX2744" t="s">
        <v>7422</v>
      </c>
      <c r="AY2744">
        <v>29</v>
      </c>
      <c r="AZ2744" s="184">
        <v>39202</v>
      </c>
      <c r="BA2744" t="s">
        <v>22576</v>
      </c>
      <c r="BB2744">
        <v>250</v>
      </c>
      <c r="BC2744">
        <v>92</v>
      </c>
      <c r="BD2744">
        <v>4518</v>
      </c>
      <c r="BE2744">
        <v>2002</v>
      </c>
      <c r="BF2744">
        <v>103</v>
      </c>
      <c r="BG2744">
        <v>26</v>
      </c>
      <c r="BH2744">
        <v>856</v>
      </c>
      <c r="BI2744">
        <v>22</v>
      </c>
      <c r="BJ2744">
        <v>24</v>
      </c>
      <c r="BK2744">
        <v>12</v>
      </c>
      <c r="BN2744" t="s">
        <v>595</v>
      </c>
      <c r="BP2744" s="184"/>
    </row>
    <row r="2745" spans="1:68">
      <c r="A2745">
        <v>35009595</v>
      </c>
      <c r="B2745">
        <v>35009595</v>
      </c>
      <c r="C2745" t="s">
        <v>7018</v>
      </c>
      <c r="D2745" t="s">
        <v>595</v>
      </c>
      <c r="E2745" s="184">
        <v>43745</v>
      </c>
      <c r="G2745" s="184"/>
      <c r="I2745" s="184"/>
      <c r="K2745" s="184"/>
      <c r="M2745" s="184"/>
      <c r="O2745" s="184"/>
      <c r="P2745" t="s">
        <v>7045</v>
      </c>
      <c r="Q2745" t="s">
        <v>7160</v>
      </c>
      <c r="R2745" s="184">
        <v>17593</v>
      </c>
      <c r="S2745">
        <v>76</v>
      </c>
      <c r="V2745" t="s">
        <v>4139</v>
      </c>
      <c r="W2745" t="s">
        <v>2049</v>
      </c>
      <c r="X2745" t="s">
        <v>3063</v>
      </c>
      <c r="AF2745" t="s">
        <v>22577</v>
      </c>
      <c r="AG2745" t="s">
        <v>5990</v>
      </c>
      <c r="AI2745" t="s">
        <v>22578</v>
      </c>
      <c r="AM2745" t="s">
        <v>3924</v>
      </c>
      <c r="AN2745" t="s">
        <v>2413</v>
      </c>
      <c r="AO2745" t="s">
        <v>22579</v>
      </c>
      <c r="AP2745" t="s">
        <v>7024</v>
      </c>
      <c r="AT2745" s="184">
        <v>37204</v>
      </c>
      <c r="AU2745" t="s">
        <v>22580</v>
      </c>
      <c r="AV2745">
        <v>20</v>
      </c>
      <c r="AW2745" s="184">
        <v>45268</v>
      </c>
      <c r="AX2745" t="s">
        <v>11811</v>
      </c>
      <c r="AY2745">
        <v>25</v>
      </c>
      <c r="AZ2745" s="184">
        <v>44158</v>
      </c>
      <c r="BA2745" t="s">
        <v>11678</v>
      </c>
      <c r="BB2745">
        <v>175</v>
      </c>
      <c r="BC2745">
        <v>92</v>
      </c>
      <c r="BD2745">
        <v>1980</v>
      </c>
      <c r="BE2745">
        <v>2002</v>
      </c>
      <c r="BF2745">
        <v>39</v>
      </c>
      <c r="BG2745">
        <v>2</v>
      </c>
      <c r="BH2745">
        <v>75</v>
      </c>
      <c r="BI2745">
        <v>22</v>
      </c>
      <c r="BJ2745">
        <v>24</v>
      </c>
      <c r="BK2745">
        <v>15</v>
      </c>
      <c r="BP2745" s="184"/>
    </row>
    <row r="2746" spans="1:68">
      <c r="A2746">
        <v>35010086</v>
      </c>
      <c r="B2746">
        <v>35010086</v>
      </c>
      <c r="C2746" t="s">
        <v>7018</v>
      </c>
      <c r="E2746" s="184"/>
      <c r="G2746" s="184"/>
      <c r="H2746" t="s">
        <v>595</v>
      </c>
      <c r="I2746" s="184">
        <v>44476</v>
      </c>
      <c r="K2746" s="184"/>
      <c r="M2746" s="184"/>
      <c r="O2746" s="184"/>
      <c r="P2746" t="s">
        <v>7045</v>
      </c>
      <c r="Q2746" t="s">
        <v>7160</v>
      </c>
      <c r="R2746" s="184">
        <v>16276</v>
      </c>
      <c r="S2746">
        <v>79</v>
      </c>
      <c r="U2746" t="s">
        <v>7130</v>
      </c>
      <c r="V2746" t="s">
        <v>22581</v>
      </c>
      <c r="X2746" t="s">
        <v>22582</v>
      </c>
      <c r="AF2746" t="s">
        <v>22583</v>
      </c>
      <c r="AG2746" t="s">
        <v>22581</v>
      </c>
      <c r="AI2746" t="s">
        <v>22584</v>
      </c>
      <c r="AM2746" t="s">
        <v>22585</v>
      </c>
      <c r="AN2746" t="s">
        <v>2176</v>
      </c>
      <c r="AO2746" t="s">
        <v>22586</v>
      </c>
      <c r="AP2746" t="s">
        <v>7024</v>
      </c>
      <c r="AT2746" s="184">
        <v>35480</v>
      </c>
      <c r="AU2746" t="s">
        <v>22587</v>
      </c>
      <c r="AV2746">
        <v>8</v>
      </c>
      <c r="AW2746" s="184">
        <v>44349</v>
      </c>
      <c r="AX2746" t="s">
        <v>22588</v>
      </c>
      <c r="AY2746">
        <v>50</v>
      </c>
      <c r="AZ2746" s="184">
        <v>44349</v>
      </c>
      <c r="BA2746" t="s">
        <v>22588</v>
      </c>
      <c r="BB2746">
        <v>50</v>
      </c>
      <c r="BC2746">
        <v>36</v>
      </c>
      <c r="BD2746">
        <v>353</v>
      </c>
      <c r="BE2746">
        <v>1997</v>
      </c>
      <c r="BF2746">
        <v>12</v>
      </c>
      <c r="BI2746">
        <v>10</v>
      </c>
      <c r="BJ2746">
        <v>28</v>
      </c>
      <c r="BK2746">
        <v>3</v>
      </c>
      <c r="BP2746" s="184"/>
    </row>
    <row r="2747" spans="1:68">
      <c r="A2747">
        <v>35016042</v>
      </c>
      <c r="B2747">
        <v>35016042</v>
      </c>
      <c r="C2747" t="s">
        <v>7018</v>
      </c>
      <c r="E2747" s="184"/>
      <c r="G2747" s="184"/>
      <c r="I2747" s="184"/>
      <c r="J2747" t="s">
        <v>595</v>
      </c>
      <c r="K2747" s="184">
        <v>44073</v>
      </c>
      <c r="M2747" s="184"/>
      <c r="O2747" s="184"/>
      <c r="P2747" t="s">
        <v>7045</v>
      </c>
      <c r="Q2747" t="s">
        <v>7383</v>
      </c>
      <c r="R2747" s="184">
        <v>11172</v>
      </c>
      <c r="S2747">
        <v>93</v>
      </c>
      <c r="V2747" t="s">
        <v>3246</v>
      </c>
      <c r="X2747" t="s">
        <v>22589</v>
      </c>
      <c r="AF2747" t="s">
        <v>22590</v>
      </c>
      <c r="AG2747" t="s">
        <v>3246</v>
      </c>
      <c r="AI2747" t="s">
        <v>22591</v>
      </c>
      <c r="AM2747" t="s">
        <v>22592</v>
      </c>
      <c r="AN2747" t="s">
        <v>2274</v>
      </c>
      <c r="AO2747" t="s">
        <v>22593</v>
      </c>
      <c r="AP2747" t="s">
        <v>7024</v>
      </c>
      <c r="AT2747" s="184">
        <v>37229</v>
      </c>
      <c r="AU2747" t="s">
        <v>22594</v>
      </c>
      <c r="AV2747">
        <v>25</v>
      </c>
      <c r="AW2747" s="184">
        <v>45152</v>
      </c>
      <c r="AX2747" t="s">
        <v>22595</v>
      </c>
      <c r="AY2747">
        <v>410</v>
      </c>
      <c r="AZ2747" s="184">
        <v>45152</v>
      </c>
      <c r="BA2747" t="s">
        <v>22595</v>
      </c>
      <c r="BB2747">
        <v>410</v>
      </c>
      <c r="BC2747">
        <v>96</v>
      </c>
      <c r="BD2747">
        <v>3890</v>
      </c>
      <c r="BE2747">
        <v>2002</v>
      </c>
      <c r="BF2747">
        <v>61</v>
      </c>
      <c r="BG2747">
        <v>2</v>
      </c>
      <c r="BH2747">
        <v>820</v>
      </c>
      <c r="BI2747">
        <v>23</v>
      </c>
      <c r="BJ2747">
        <v>24</v>
      </c>
      <c r="BK2747">
        <v>23</v>
      </c>
      <c r="BP2747" s="184"/>
    </row>
    <row r="2748" spans="1:68">
      <c r="A2748">
        <v>35019617</v>
      </c>
      <c r="B2748">
        <v>35019617</v>
      </c>
      <c r="C2748" t="s">
        <v>7018</v>
      </c>
      <c r="E2748" s="184"/>
      <c r="G2748" s="184"/>
      <c r="I2748" s="184"/>
      <c r="K2748" s="184"/>
      <c r="N2748" t="s">
        <v>595</v>
      </c>
      <c r="O2748" s="184">
        <v>42318</v>
      </c>
      <c r="P2748" t="s">
        <v>7045</v>
      </c>
      <c r="Q2748" t="s">
        <v>7374</v>
      </c>
      <c r="R2748" s="184">
        <v>14729</v>
      </c>
      <c r="S2748">
        <v>84</v>
      </c>
      <c r="V2748" t="s">
        <v>22596</v>
      </c>
      <c r="X2748" t="s">
        <v>22597</v>
      </c>
      <c r="AF2748" t="s">
        <v>6032</v>
      </c>
      <c r="AG2748" t="s">
        <v>22596</v>
      </c>
      <c r="AI2748" t="s">
        <v>22598</v>
      </c>
      <c r="AM2748" t="s">
        <v>22599</v>
      </c>
      <c r="AN2748" t="s">
        <v>2081</v>
      </c>
      <c r="AO2748" t="s">
        <v>22600</v>
      </c>
      <c r="AP2748" t="s">
        <v>7024</v>
      </c>
      <c r="AQ2748" t="s">
        <v>22601</v>
      </c>
      <c r="AR2748" t="s">
        <v>22602</v>
      </c>
      <c r="AT2748" s="184">
        <v>37251</v>
      </c>
      <c r="AU2748" t="s">
        <v>22603</v>
      </c>
      <c r="AV2748">
        <v>25</v>
      </c>
      <c r="AW2748" s="184">
        <v>42332</v>
      </c>
      <c r="AX2748" t="s">
        <v>12202</v>
      </c>
      <c r="AY2748">
        <v>25</v>
      </c>
      <c r="AZ2748" s="184">
        <v>42318</v>
      </c>
      <c r="BA2748" t="s">
        <v>7100</v>
      </c>
      <c r="BB2748">
        <v>10000</v>
      </c>
      <c r="BC2748">
        <v>25</v>
      </c>
      <c r="BD2748">
        <v>10250</v>
      </c>
      <c r="BE2748">
        <v>2002</v>
      </c>
      <c r="BF2748">
        <v>9</v>
      </c>
      <c r="BI2748">
        <v>6</v>
      </c>
      <c r="BJ2748">
        <v>24</v>
      </c>
      <c r="BK2748">
        <v>3</v>
      </c>
      <c r="BN2748" t="s">
        <v>595</v>
      </c>
      <c r="BP2748" s="184"/>
    </row>
    <row r="2749" spans="1:68">
      <c r="A2749">
        <v>35019723</v>
      </c>
      <c r="B2749">
        <v>35019723</v>
      </c>
      <c r="C2749" t="s">
        <v>7018</v>
      </c>
      <c r="E2749" s="184"/>
      <c r="G2749" s="184"/>
      <c r="I2749" s="184"/>
      <c r="J2749" t="s">
        <v>595</v>
      </c>
      <c r="K2749" s="184">
        <v>39414</v>
      </c>
      <c r="M2749" s="184"/>
      <c r="O2749" s="184"/>
      <c r="P2749" t="s">
        <v>7019</v>
      </c>
      <c r="Q2749" t="s">
        <v>7383</v>
      </c>
      <c r="R2749" s="184"/>
      <c r="V2749" t="s">
        <v>3663</v>
      </c>
      <c r="W2749" t="s">
        <v>2316</v>
      </c>
      <c r="X2749" t="s">
        <v>22604</v>
      </c>
      <c r="Z2749">
        <v>100182328</v>
      </c>
      <c r="AA2749" t="s">
        <v>7130</v>
      </c>
      <c r="AB2749" t="s">
        <v>3400</v>
      </c>
      <c r="AC2749" t="s">
        <v>7407</v>
      </c>
      <c r="AD2749" t="s">
        <v>22604</v>
      </c>
      <c r="AF2749" t="s">
        <v>6528</v>
      </c>
      <c r="AG2749" t="s">
        <v>22605</v>
      </c>
      <c r="AI2749" t="s">
        <v>22606</v>
      </c>
      <c r="AM2749" t="s">
        <v>22607</v>
      </c>
      <c r="AN2749" t="s">
        <v>2144</v>
      </c>
      <c r="AO2749" t="s">
        <v>22608</v>
      </c>
      <c r="AP2749" t="s">
        <v>7024</v>
      </c>
      <c r="AT2749" s="184">
        <v>37252</v>
      </c>
      <c r="AU2749" t="s">
        <v>22609</v>
      </c>
      <c r="AV2749">
        <v>25</v>
      </c>
      <c r="AW2749" s="184">
        <v>40205</v>
      </c>
      <c r="AX2749" t="s">
        <v>22610</v>
      </c>
      <c r="AY2749">
        <v>200</v>
      </c>
      <c r="AZ2749" s="184">
        <v>40205</v>
      </c>
      <c r="BA2749" t="s">
        <v>22610</v>
      </c>
      <c r="BB2749">
        <v>200</v>
      </c>
      <c r="BC2749">
        <v>34</v>
      </c>
      <c r="BD2749">
        <v>692</v>
      </c>
      <c r="BE2749">
        <v>2002</v>
      </c>
      <c r="BF2749">
        <v>9</v>
      </c>
      <c r="BI2749">
        <v>8</v>
      </c>
      <c r="BJ2749">
        <v>24</v>
      </c>
      <c r="BK2749">
        <v>5</v>
      </c>
      <c r="BO2749" t="s">
        <v>595</v>
      </c>
      <c r="BP2749" s="184"/>
    </row>
    <row r="2750" spans="1:68">
      <c r="A2750">
        <v>100182328</v>
      </c>
      <c r="B2750">
        <v>35019723</v>
      </c>
      <c r="C2750" t="s">
        <v>7018</v>
      </c>
      <c r="E2750" s="184"/>
      <c r="G2750" s="184"/>
      <c r="I2750" s="184"/>
      <c r="J2750" t="s">
        <v>595</v>
      </c>
      <c r="K2750" s="184">
        <v>39414</v>
      </c>
      <c r="O2750" s="184"/>
      <c r="P2750" t="s">
        <v>7019</v>
      </c>
      <c r="Q2750" t="s">
        <v>7383</v>
      </c>
      <c r="R2750" s="184"/>
      <c r="U2750" t="s">
        <v>7130</v>
      </c>
      <c r="V2750" t="s">
        <v>3400</v>
      </c>
      <c r="W2750" t="s">
        <v>7407</v>
      </c>
      <c r="X2750" t="s">
        <v>22604</v>
      </c>
      <c r="Z2750">
        <v>35019723</v>
      </c>
      <c r="AB2750" t="s">
        <v>3663</v>
      </c>
      <c r="AC2750" t="s">
        <v>2316</v>
      </c>
      <c r="AD2750" t="s">
        <v>22604</v>
      </c>
      <c r="AF2750" t="s">
        <v>6528</v>
      </c>
      <c r="AG2750" t="s">
        <v>22605</v>
      </c>
      <c r="AI2750" t="s">
        <v>22606</v>
      </c>
      <c r="AM2750" t="s">
        <v>22607</v>
      </c>
      <c r="AN2750" t="s">
        <v>2144</v>
      </c>
      <c r="AO2750" t="s">
        <v>22608</v>
      </c>
      <c r="AP2750" t="s">
        <v>7024</v>
      </c>
      <c r="AT2750" s="184"/>
      <c r="AW2750" s="184"/>
      <c r="AZ2750" s="184"/>
      <c r="BO2750" t="s">
        <v>595</v>
      </c>
      <c r="BP2750" s="184"/>
    </row>
    <row r="2751" spans="1:68">
      <c r="A2751">
        <v>35020015</v>
      </c>
      <c r="B2751">
        <v>35020015</v>
      </c>
      <c r="C2751" t="s">
        <v>7018</v>
      </c>
      <c r="E2751" s="184"/>
      <c r="G2751" s="184"/>
      <c r="H2751" t="s">
        <v>595</v>
      </c>
      <c r="I2751" s="184">
        <v>44167</v>
      </c>
      <c r="K2751" s="184"/>
      <c r="M2751" s="184"/>
      <c r="O2751" s="184"/>
      <c r="P2751" t="s">
        <v>7045</v>
      </c>
      <c r="Q2751" t="s">
        <v>7160</v>
      </c>
      <c r="R2751" s="184">
        <v>20972</v>
      </c>
      <c r="S2751">
        <v>66</v>
      </c>
      <c r="V2751" t="s">
        <v>2828</v>
      </c>
      <c r="W2751" t="s">
        <v>2316</v>
      </c>
      <c r="X2751" t="s">
        <v>22611</v>
      </c>
      <c r="AF2751" t="s">
        <v>22612</v>
      </c>
      <c r="AG2751" t="s">
        <v>2828</v>
      </c>
      <c r="AI2751" t="s">
        <v>22613</v>
      </c>
      <c r="AM2751" t="s">
        <v>5548</v>
      </c>
      <c r="AN2751" t="s">
        <v>2176</v>
      </c>
      <c r="AO2751" t="s">
        <v>22614</v>
      </c>
      <c r="AP2751" t="s">
        <v>7024</v>
      </c>
      <c r="AQ2751" t="s">
        <v>22615</v>
      </c>
      <c r="AT2751" s="184">
        <v>37256</v>
      </c>
      <c r="AU2751" t="s">
        <v>22609</v>
      </c>
      <c r="AV2751">
        <v>15</v>
      </c>
      <c r="AW2751" s="184">
        <v>45051</v>
      </c>
      <c r="AX2751" t="s">
        <v>22616</v>
      </c>
      <c r="AY2751">
        <v>50</v>
      </c>
      <c r="AZ2751" s="184">
        <v>42944</v>
      </c>
      <c r="BA2751" t="s">
        <v>22617</v>
      </c>
      <c r="BB2751">
        <v>60</v>
      </c>
      <c r="BC2751">
        <v>34</v>
      </c>
      <c r="BD2751">
        <v>290</v>
      </c>
      <c r="BE2751">
        <v>2002</v>
      </c>
      <c r="BF2751">
        <v>9</v>
      </c>
      <c r="BG2751">
        <v>1</v>
      </c>
      <c r="BH2751">
        <v>50</v>
      </c>
      <c r="BI2751">
        <v>8</v>
      </c>
      <c r="BJ2751">
        <v>24</v>
      </c>
      <c r="BK2751">
        <v>2</v>
      </c>
      <c r="BP2751" s="184"/>
    </row>
    <row r="2752" spans="1:68">
      <c r="A2752">
        <v>35047901</v>
      </c>
      <c r="B2752">
        <v>35047901</v>
      </c>
      <c r="C2752" t="s">
        <v>7018</v>
      </c>
      <c r="E2752" s="184"/>
      <c r="G2752" s="184"/>
      <c r="I2752" s="184"/>
      <c r="K2752" s="184"/>
      <c r="M2752" s="184"/>
      <c r="N2752" t="s">
        <v>595</v>
      </c>
      <c r="O2752" s="184">
        <v>43036</v>
      </c>
      <c r="P2752" t="s">
        <v>7045</v>
      </c>
      <c r="Q2752" t="s">
        <v>7494</v>
      </c>
      <c r="R2752" s="184">
        <v>18172</v>
      </c>
      <c r="S2752">
        <v>74</v>
      </c>
      <c r="U2752" t="s">
        <v>7130</v>
      </c>
      <c r="V2752" t="s">
        <v>2518</v>
      </c>
      <c r="W2752" t="s">
        <v>4139</v>
      </c>
      <c r="X2752" t="s">
        <v>22618</v>
      </c>
      <c r="Z2752">
        <v>100096420</v>
      </c>
      <c r="AA2752" t="s">
        <v>7031</v>
      </c>
      <c r="AB2752" t="s">
        <v>2511</v>
      </c>
      <c r="AC2752" t="s">
        <v>205</v>
      </c>
      <c r="AD2752" t="s">
        <v>22618</v>
      </c>
      <c r="AF2752" t="s">
        <v>5985</v>
      </c>
      <c r="AG2752" t="s">
        <v>22619</v>
      </c>
      <c r="AI2752" t="s">
        <v>22620</v>
      </c>
      <c r="AM2752" t="s">
        <v>3371</v>
      </c>
      <c r="AN2752" t="s">
        <v>2174</v>
      </c>
      <c r="AO2752" t="s">
        <v>22621</v>
      </c>
      <c r="AP2752" t="s">
        <v>7024</v>
      </c>
      <c r="AQ2752" t="s">
        <v>22622</v>
      </c>
      <c r="AT2752" s="184">
        <v>37263</v>
      </c>
      <c r="AU2752" t="s">
        <v>22623</v>
      </c>
      <c r="AV2752">
        <v>15</v>
      </c>
      <c r="AW2752" s="184">
        <v>43594</v>
      </c>
      <c r="AX2752" t="s">
        <v>22624</v>
      </c>
      <c r="AY2752">
        <v>50</v>
      </c>
      <c r="AZ2752" s="184">
        <v>43036</v>
      </c>
      <c r="BA2752" t="s">
        <v>8929</v>
      </c>
      <c r="BB2752">
        <v>10000</v>
      </c>
      <c r="BC2752">
        <v>70</v>
      </c>
      <c r="BD2752">
        <v>11980</v>
      </c>
      <c r="BE2752">
        <v>2002</v>
      </c>
      <c r="BF2752">
        <v>89</v>
      </c>
      <c r="BI2752">
        <v>16</v>
      </c>
      <c r="BJ2752">
        <v>23</v>
      </c>
      <c r="BK2752">
        <v>12</v>
      </c>
      <c r="BP2752" s="184"/>
    </row>
    <row r="2753" spans="1:68">
      <c r="A2753">
        <v>100096420</v>
      </c>
      <c r="B2753">
        <v>35047901</v>
      </c>
      <c r="C2753" t="s">
        <v>7018</v>
      </c>
      <c r="E2753" s="184"/>
      <c r="G2753" s="184"/>
      <c r="I2753" s="184"/>
      <c r="K2753" s="184"/>
      <c r="M2753" s="184"/>
      <c r="N2753" t="s">
        <v>595</v>
      </c>
      <c r="O2753" s="184">
        <v>43036</v>
      </c>
      <c r="P2753" t="s">
        <v>7045</v>
      </c>
      <c r="Q2753" t="s">
        <v>7494</v>
      </c>
      <c r="R2753" s="184">
        <v>17293</v>
      </c>
      <c r="S2753">
        <v>77</v>
      </c>
      <c r="U2753" t="s">
        <v>7031</v>
      </c>
      <c r="V2753" t="s">
        <v>2511</v>
      </c>
      <c r="W2753" t="s">
        <v>205</v>
      </c>
      <c r="X2753" t="s">
        <v>22618</v>
      </c>
      <c r="Z2753">
        <v>35047901</v>
      </c>
      <c r="AA2753" t="s">
        <v>7130</v>
      </c>
      <c r="AB2753" t="s">
        <v>2518</v>
      </c>
      <c r="AC2753" t="s">
        <v>4139</v>
      </c>
      <c r="AD2753" t="s">
        <v>22618</v>
      </c>
      <c r="AF2753" t="s">
        <v>5985</v>
      </c>
      <c r="AG2753" t="s">
        <v>22619</v>
      </c>
      <c r="AI2753" t="s">
        <v>22620</v>
      </c>
      <c r="AM2753" t="s">
        <v>3371</v>
      </c>
      <c r="AN2753" t="s">
        <v>2174</v>
      </c>
      <c r="AO2753" t="s">
        <v>22621</v>
      </c>
      <c r="AP2753" t="s">
        <v>7024</v>
      </c>
      <c r="AT2753" s="184"/>
      <c r="AW2753" s="184"/>
      <c r="AZ2753" s="184"/>
      <c r="BP2753" s="184"/>
    </row>
    <row r="2754" spans="1:68">
      <c r="A2754">
        <v>35052018</v>
      </c>
      <c r="B2754">
        <v>35052018</v>
      </c>
      <c r="C2754" t="s">
        <v>7018</v>
      </c>
      <c r="D2754" t="s">
        <v>595</v>
      </c>
      <c r="E2754" s="184">
        <v>44104</v>
      </c>
      <c r="G2754" s="184"/>
      <c r="I2754" s="184"/>
      <c r="K2754" s="184"/>
      <c r="M2754" s="184"/>
      <c r="O2754" s="184"/>
      <c r="P2754" t="s">
        <v>7045</v>
      </c>
      <c r="Q2754" t="s">
        <v>7454</v>
      </c>
      <c r="R2754" s="184">
        <v>18629</v>
      </c>
      <c r="S2754">
        <v>73</v>
      </c>
      <c r="U2754" t="s">
        <v>7076</v>
      </c>
      <c r="V2754" t="s">
        <v>12174</v>
      </c>
      <c r="X2754" t="s">
        <v>22625</v>
      </c>
      <c r="AF2754" t="s">
        <v>22626</v>
      </c>
      <c r="AG2754" t="s">
        <v>12174</v>
      </c>
      <c r="AI2754" t="s">
        <v>22627</v>
      </c>
      <c r="AM2754" t="s">
        <v>2730</v>
      </c>
      <c r="AN2754" t="s">
        <v>2055</v>
      </c>
      <c r="AO2754" t="s">
        <v>22628</v>
      </c>
      <c r="AP2754" t="s">
        <v>7024</v>
      </c>
      <c r="AQ2754" t="s">
        <v>22629</v>
      </c>
      <c r="AT2754" s="184">
        <v>37265</v>
      </c>
      <c r="AU2754" t="s">
        <v>22630</v>
      </c>
      <c r="AV2754">
        <v>10</v>
      </c>
      <c r="AW2754" s="184">
        <v>43626</v>
      </c>
      <c r="AX2754" t="s">
        <v>22631</v>
      </c>
      <c r="AY2754">
        <v>25</v>
      </c>
      <c r="AZ2754" s="184">
        <v>43626</v>
      </c>
      <c r="BA2754" t="s">
        <v>22631</v>
      </c>
      <c r="BB2754">
        <v>25</v>
      </c>
      <c r="BC2754">
        <v>66</v>
      </c>
      <c r="BD2754">
        <v>275</v>
      </c>
      <c r="BE2754">
        <v>2002</v>
      </c>
      <c r="BF2754">
        <v>16</v>
      </c>
      <c r="BI2754">
        <v>15</v>
      </c>
      <c r="BJ2754">
        <v>23</v>
      </c>
      <c r="BK2754">
        <v>7</v>
      </c>
      <c r="BN2754" t="s">
        <v>595</v>
      </c>
      <c r="BP2754" s="184"/>
    </row>
    <row r="2755" spans="1:68">
      <c r="A2755">
        <v>35062470</v>
      </c>
      <c r="B2755">
        <v>35062470</v>
      </c>
      <c r="C2755" t="s">
        <v>7018</v>
      </c>
      <c r="D2755" t="s">
        <v>595</v>
      </c>
      <c r="E2755" s="184">
        <v>44168</v>
      </c>
      <c r="F2755" t="s">
        <v>595</v>
      </c>
      <c r="G2755" s="184">
        <v>45386</v>
      </c>
      <c r="I2755" s="184"/>
      <c r="K2755" s="184"/>
      <c r="M2755" s="184"/>
      <c r="P2755" t="s">
        <v>7045</v>
      </c>
      <c r="Q2755" t="s">
        <v>7454</v>
      </c>
      <c r="R2755" s="184"/>
      <c r="V2755" t="s">
        <v>4365</v>
      </c>
      <c r="X2755" t="s">
        <v>3995</v>
      </c>
      <c r="Z2755">
        <v>100096479</v>
      </c>
      <c r="AB2755" t="s">
        <v>3223</v>
      </c>
      <c r="AD2755" t="s">
        <v>3250</v>
      </c>
      <c r="AF2755" t="s">
        <v>22632</v>
      </c>
      <c r="AG2755" t="s">
        <v>22633</v>
      </c>
      <c r="AI2755" t="s">
        <v>22634</v>
      </c>
      <c r="AM2755" t="s">
        <v>4107</v>
      </c>
      <c r="AN2755" t="s">
        <v>2055</v>
      </c>
      <c r="AO2755" t="s">
        <v>22635</v>
      </c>
      <c r="AP2755" t="s">
        <v>7024</v>
      </c>
      <c r="AQ2755" t="s">
        <v>22636</v>
      </c>
      <c r="AR2755" t="s">
        <v>22637</v>
      </c>
      <c r="AT2755" s="184">
        <v>37266</v>
      </c>
      <c r="AU2755" t="s">
        <v>21910</v>
      </c>
      <c r="AV2755">
        <v>25</v>
      </c>
      <c r="AW2755" s="184">
        <v>44559</v>
      </c>
      <c r="AX2755" t="s">
        <v>7423</v>
      </c>
      <c r="AY2755">
        <v>35</v>
      </c>
      <c r="AZ2755" s="184">
        <v>41510</v>
      </c>
      <c r="BA2755" t="s">
        <v>22638</v>
      </c>
      <c r="BB2755">
        <v>100</v>
      </c>
      <c r="BC2755">
        <v>53</v>
      </c>
      <c r="BD2755">
        <v>1805.96</v>
      </c>
      <c r="BE2755">
        <v>2002</v>
      </c>
      <c r="BF2755">
        <v>81</v>
      </c>
      <c r="BI2755">
        <v>12</v>
      </c>
      <c r="BJ2755">
        <v>23</v>
      </c>
      <c r="BK2755">
        <v>6</v>
      </c>
      <c r="BN2755" t="s">
        <v>595</v>
      </c>
      <c r="BP2755" s="184"/>
    </row>
    <row r="2756" spans="1:68">
      <c r="A2756">
        <v>100096479</v>
      </c>
      <c r="B2756">
        <v>35062470</v>
      </c>
      <c r="C2756" t="s">
        <v>7018</v>
      </c>
      <c r="D2756" t="s">
        <v>595</v>
      </c>
      <c r="E2756" s="184">
        <v>44168</v>
      </c>
      <c r="F2756" t="s">
        <v>595</v>
      </c>
      <c r="G2756" s="184">
        <v>44168</v>
      </c>
      <c r="I2756" s="184"/>
      <c r="K2756" s="184"/>
      <c r="M2756" s="184"/>
      <c r="P2756" t="s">
        <v>7045</v>
      </c>
      <c r="Q2756" t="s">
        <v>7454</v>
      </c>
      <c r="R2756" s="184">
        <v>16041</v>
      </c>
      <c r="S2756">
        <v>80</v>
      </c>
      <c r="V2756" t="s">
        <v>3223</v>
      </c>
      <c r="X2756" t="s">
        <v>3250</v>
      </c>
      <c r="Z2756">
        <v>35062470</v>
      </c>
      <c r="AB2756" t="s">
        <v>4365</v>
      </c>
      <c r="AD2756" t="s">
        <v>3995</v>
      </c>
      <c r="AF2756" t="s">
        <v>22632</v>
      </c>
      <c r="AG2756" t="s">
        <v>22633</v>
      </c>
      <c r="AI2756" t="s">
        <v>22634</v>
      </c>
      <c r="AM2756" t="s">
        <v>4107</v>
      </c>
      <c r="AN2756" t="s">
        <v>2055</v>
      </c>
      <c r="AO2756" t="s">
        <v>22635</v>
      </c>
      <c r="AP2756" t="s">
        <v>7024</v>
      </c>
      <c r="AT2756" s="184"/>
      <c r="AW2756" s="184"/>
      <c r="AZ2756" s="184"/>
      <c r="BP2756" s="184"/>
    </row>
    <row r="2757" spans="1:68">
      <c r="A2757">
        <v>35100650</v>
      </c>
      <c r="B2757">
        <v>35100650</v>
      </c>
      <c r="C2757" t="s">
        <v>7018</v>
      </c>
      <c r="D2757" t="s">
        <v>595</v>
      </c>
      <c r="E2757" s="184">
        <v>43773</v>
      </c>
      <c r="G2757" s="184"/>
      <c r="I2757" s="184"/>
      <c r="K2757" s="184"/>
      <c r="M2757" s="184"/>
      <c r="O2757" s="184"/>
      <c r="P2757" t="s">
        <v>7045</v>
      </c>
      <c r="Q2757" t="s">
        <v>7030</v>
      </c>
      <c r="R2757" s="184">
        <v>21358</v>
      </c>
      <c r="S2757">
        <v>65</v>
      </c>
      <c r="V2757" t="s">
        <v>4267</v>
      </c>
      <c r="W2757" t="s">
        <v>4013</v>
      </c>
      <c r="X2757" t="s">
        <v>3569</v>
      </c>
      <c r="AF2757" t="s">
        <v>22639</v>
      </c>
      <c r="AG2757" t="s">
        <v>4267</v>
      </c>
      <c r="AI2757" t="s">
        <v>22640</v>
      </c>
      <c r="AM2757" t="s">
        <v>2564</v>
      </c>
      <c r="AN2757" t="s">
        <v>2089</v>
      </c>
      <c r="AO2757" t="s">
        <v>22641</v>
      </c>
      <c r="AP2757" t="s">
        <v>7024</v>
      </c>
      <c r="AQ2757" t="s">
        <v>22642</v>
      </c>
      <c r="AT2757" s="184">
        <v>37330</v>
      </c>
      <c r="AU2757" t="s">
        <v>21910</v>
      </c>
      <c r="AV2757">
        <v>100</v>
      </c>
      <c r="AW2757" s="184">
        <v>45399</v>
      </c>
      <c r="AX2757" t="s">
        <v>7429</v>
      </c>
      <c r="AY2757">
        <v>15</v>
      </c>
      <c r="AZ2757" s="184">
        <v>43467</v>
      </c>
      <c r="BA2757" t="s">
        <v>22643</v>
      </c>
      <c r="BB2757">
        <v>1000</v>
      </c>
      <c r="BC2757">
        <v>57</v>
      </c>
      <c r="BD2757">
        <v>3015</v>
      </c>
      <c r="BE2757">
        <v>2002</v>
      </c>
      <c r="BF2757">
        <v>124</v>
      </c>
      <c r="BG2757">
        <v>24</v>
      </c>
      <c r="BH2757">
        <v>360</v>
      </c>
      <c r="BI2757">
        <v>13</v>
      </c>
      <c r="BJ2757">
        <v>23</v>
      </c>
      <c r="BK2757">
        <v>12</v>
      </c>
      <c r="BN2757" t="s">
        <v>595</v>
      </c>
      <c r="BP2757" s="184"/>
    </row>
    <row r="2758" spans="1:68">
      <c r="A2758">
        <v>35110337</v>
      </c>
      <c r="B2758">
        <v>35110337</v>
      </c>
      <c r="C2758" t="s">
        <v>7018</v>
      </c>
      <c r="E2758" s="184"/>
      <c r="G2758" s="184"/>
      <c r="I2758" s="184"/>
      <c r="J2758" t="s">
        <v>595</v>
      </c>
      <c r="K2758" s="184">
        <v>41088</v>
      </c>
      <c r="M2758" s="184"/>
      <c r="O2758" s="184"/>
      <c r="P2758" t="s">
        <v>7045</v>
      </c>
      <c r="Q2758" t="s">
        <v>7262</v>
      </c>
      <c r="R2758" s="184">
        <v>17299</v>
      </c>
      <c r="S2758">
        <v>77</v>
      </c>
      <c r="U2758" t="s">
        <v>7076</v>
      </c>
      <c r="V2758" t="s">
        <v>3101</v>
      </c>
      <c r="W2758" t="s">
        <v>3184</v>
      </c>
      <c r="X2758" t="s">
        <v>22644</v>
      </c>
      <c r="AF2758" t="s">
        <v>6415</v>
      </c>
      <c r="AG2758" t="s">
        <v>3101</v>
      </c>
      <c r="AI2758" t="s">
        <v>22645</v>
      </c>
      <c r="AM2758" t="s">
        <v>2616</v>
      </c>
      <c r="AN2758" t="s">
        <v>2069</v>
      </c>
      <c r="AO2758" t="s">
        <v>22646</v>
      </c>
      <c r="AP2758" t="s">
        <v>7024</v>
      </c>
      <c r="AQ2758" t="s">
        <v>22647</v>
      </c>
      <c r="AT2758" s="184">
        <v>37348</v>
      </c>
      <c r="AU2758" t="s">
        <v>21910</v>
      </c>
      <c r="AV2758">
        <v>35</v>
      </c>
      <c r="AW2758" s="184">
        <v>45405</v>
      </c>
      <c r="AX2758" t="s">
        <v>7429</v>
      </c>
      <c r="AY2758">
        <v>20</v>
      </c>
      <c r="AZ2758" s="184">
        <v>42446</v>
      </c>
      <c r="BA2758" t="s">
        <v>22648</v>
      </c>
      <c r="BB2758">
        <v>100</v>
      </c>
      <c r="BC2758">
        <v>100</v>
      </c>
      <c r="BD2758">
        <v>1905</v>
      </c>
      <c r="BE2758">
        <v>2002</v>
      </c>
      <c r="BF2758">
        <v>69</v>
      </c>
      <c r="BG2758">
        <v>24</v>
      </c>
      <c r="BH2758">
        <v>380</v>
      </c>
      <c r="BI2758">
        <v>23</v>
      </c>
      <c r="BJ2758">
        <v>23</v>
      </c>
      <c r="BK2758">
        <v>23</v>
      </c>
      <c r="BP2758" s="184"/>
    </row>
    <row r="2759" spans="1:68">
      <c r="A2759">
        <v>35118199</v>
      </c>
      <c r="B2759">
        <v>35118199</v>
      </c>
      <c r="C2759" t="s">
        <v>7018</v>
      </c>
      <c r="D2759" t="s">
        <v>595</v>
      </c>
      <c r="E2759" s="184">
        <v>43642</v>
      </c>
      <c r="G2759" s="184"/>
      <c r="I2759" s="184"/>
      <c r="K2759" s="184"/>
      <c r="M2759" s="184"/>
      <c r="O2759" s="184"/>
      <c r="P2759" t="s">
        <v>7045</v>
      </c>
      <c r="Q2759" t="s">
        <v>7194</v>
      </c>
      <c r="R2759" s="184">
        <v>18719</v>
      </c>
      <c r="S2759">
        <v>73</v>
      </c>
      <c r="V2759" t="s">
        <v>3254</v>
      </c>
      <c r="X2759" t="s">
        <v>3339</v>
      </c>
      <c r="AF2759" t="s">
        <v>22649</v>
      </c>
      <c r="AG2759" t="s">
        <v>3254</v>
      </c>
      <c r="AI2759" t="s">
        <v>22650</v>
      </c>
      <c r="AM2759" t="s">
        <v>11015</v>
      </c>
      <c r="AN2759" t="s">
        <v>2046</v>
      </c>
      <c r="AO2759" t="s">
        <v>22651</v>
      </c>
      <c r="AP2759" t="s">
        <v>7024</v>
      </c>
      <c r="AT2759" s="184">
        <v>37357</v>
      </c>
      <c r="AU2759" t="s">
        <v>22652</v>
      </c>
      <c r="AV2759">
        <v>25</v>
      </c>
      <c r="AW2759" s="184">
        <v>44319</v>
      </c>
      <c r="AX2759" t="s">
        <v>22653</v>
      </c>
      <c r="AY2759">
        <v>100</v>
      </c>
      <c r="AZ2759" s="184">
        <v>44319</v>
      </c>
      <c r="BA2759" t="s">
        <v>22653</v>
      </c>
      <c r="BB2759">
        <v>100</v>
      </c>
      <c r="BC2759">
        <v>79</v>
      </c>
      <c r="BD2759">
        <v>1825</v>
      </c>
      <c r="BE2759">
        <v>2002</v>
      </c>
      <c r="BF2759">
        <v>24</v>
      </c>
      <c r="BI2759">
        <v>18</v>
      </c>
      <c r="BJ2759">
        <v>23</v>
      </c>
      <c r="BK2759">
        <v>17</v>
      </c>
      <c r="BP2759" s="184"/>
    </row>
    <row r="2760" spans="1:68">
      <c r="A2760">
        <v>35129659</v>
      </c>
      <c r="B2760">
        <v>35129659</v>
      </c>
      <c r="C2760" t="s">
        <v>7018</v>
      </c>
      <c r="E2760" s="184"/>
      <c r="G2760" s="184"/>
      <c r="I2760" s="184"/>
      <c r="J2760" t="s">
        <v>595</v>
      </c>
      <c r="K2760" s="184">
        <v>41471</v>
      </c>
      <c r="M2760" s="184"/>
      <c r="P2760" t="s">
        <v>7686</v>
      </c>
      <c r="Q2760" t="s">
        <v>7194</v>
      </c>
      <c r="R2760" s="184">
        <v>15962</v>
      </c>
      <c r="S2760">
        <v>80</v>
      </c>
      <c r="V2760" t="s">
        <v>3043</v>
      </c>
      <c r="W2760" t="s">
        <v>4139</v>
      </c>
      <c r="X2760" t="s">
        <v>14995</v>
      </c>
      <c r="AF2760" t="s">
        <v>6390</v>
      </c>
      <c r="AG2760" t="s">
        <v>3043</v>
      </c>
      <c r="AI2760" t="s">
        <v>22654</v>
      </c>
      <c r="AM2760" t="s">
        <v>11015</v>
      </c>
      <c r="AN2760" t="s">
        <v>2046</v>
      </c>
      <c r="AO2760" t="s">
        <v>22655</v>
      </c>
      <c r="AP2760" t="s">
        <v>7024</v>
      </c>
      <c r="AQ2760" t="s">
        <v>22656</v>
      </c>
      <c r="AT2760" s="184">
        <v>37361</v>
      </c>
      <c r="AU2760" t="s">
        <v>22657</v>
      </c>
      <c r="AV2760">
        <v>15</v>
      </c>
      <c r="AW2760" s="184">
        <v>45400</v>
      </c>
      <c r="AX2760" t="s">
        <v>7749</v>
      </c>
      <c r="AY2760">
        <v>1500</v>
      </c>
      <c r="AZ2760" s="184">
        <v>45126</v>
      </c>
      <c r="BA2760" t="s">
        <v>22658</v>
      </c>
      <c r="BB2760">
        <v>6000</v>
      </c>
      <c r="BC2760">
        <v>87</v>
      </c>
      <c r="BD2760">
        <v>10680</v>
      </c>
      <c r="BE2760">
        <v>2002</v>
      </c>
      <c r="BF2760">
        <v>39</v>
      </c>
      <c r="BG2760">
        <v>8</v>
      </c>
      <c r="BH2760">
        <v>8545</v>
      </c>
      <c r="BI2760">
        <v>20</v>
      </c>
      <c r="BJ2760">
        <v>23</v>
      </c>
      <c r="BK2760">
        <v>10</v>
      </c>
      <c r="BP2760" s="184"/>
    </row>
    <row r="2761" spans="1:68">
      <c r="A2761">
        <v>35129907</v>
      </c>
      <c r="B2761">
        <v>35129907</v>
      </c>
      <c r="C2761" t="s">
        <v>7018</v>
      </c>
      <c r="D2761" t="s">
        <v>595</v>
      </c>
      <c r="E2761" s="184">
        <v>43861</v>
      </c>
      <c r="G2761" s="184"/>
      <c r="I2761" s="184"/>
      <c r="K2761" s="184"/>
      <c r="M2761" s="184"/>
      <c r="O2761" s="184"/>
      <c r="P2761" t="s">
        <v>7045</v>
      </c>
      <c r="Q2761" t="s">
        <v>7030</v>
      </c>
      <c r="R2761" s="184">
        <v>16893</v>
      </c>
      <c r="S2761">
        <v>78</v>
      </c>
      <c r="V2761" t="s">
        <v>2898</v>
      </c>
      <c r="W2761" t="s">
        <v>4382</v>
      </c>
      <c r="X2761" t="s">
        <v>4577</v>
      </c>
      <c r="AF2761" t="s">
        <v>22659</v>
      </c>
      <c r="AG2761" t="s">
        <v>2898</v>
      </c>
      <c r="AI2761" t="s">
        <v>22660</v>
      </c>
      <c r="AM2761" t="s">
        <v>3601</v>
      </c>
      <c r="AN2761" t="s">
        <v>2201</v>
      </c>
      <c r="AO2761" t="s">
        <v>22661</v>
      </c>
      <c r="AP2761" t="s">
        <v>7024</v>
      </c>
      <c r="AQ2761" t="s">
        <v>22662</v>
      </c>
      <c r="AR2761" t="s">
        <v>22663</v>
      </c>
      <c r="AT2761" s="184">
        <v>37361</v>
      </c>
      <c r="AU2761" t="s">
        <v>22664</v>
      </c>
      <c r="AV2761">
        <v>25</v>
      </c>
      <c r="AW2761" s="184">
        <v>43690</v>
      </c>
      <c r="AX2761" t="s">
        <v>22665</v>
      </c>
      <c r="AY2761">
        <v>150</v>
      </c>
      <c r="AZ2761" s="184">
        <v>43690</v>
      </c>
      <c r="BA2761" t="s">
        <v>22665</v>
      </c>
      <c r="BB2761">
        <v>150</v>
      </c>
      <c r="BC2761">
        <v>53</v>
      </c>
      <c r="BD2761">
        <v>910</v>
      </c>
      <c r="BE2761">
        <v>2002</v>
      </c>
      <c r="BF2761">
        <v>14</v>
      </c>
      <c r="BI2761">
        <v>12</v>
      </c>
      <c r="BJ2761">
        <v>23</v>
      </c>
      <c r="BK2761">
        <v>7</v>
      </c>
      <c r="BP2761" s="184"/>
    </row>
    <row r="2762" spans="1:68">
      <c r="A2762">
        <v>35151497</v>
      </c>
      <c r="B2762">
        <v>35151497</v>
      </c>
      <c r="C2762" t="s">
        <v>7018</v>
      </c>
      <c r="E2762" s="184"/>
      <c r="F2762" t="s">
        <v>595</v>
      </c>
      <c r="G2762" s="184">
        <v>43696</v>
      </c>
      <c r="H2762" t="s">
        <v>595</v>
      </c>
      <c r="I2762" s="184">
        <v>43707</v>
      </c>
      <c r="K2762" s="184"/>
      <c r="M2762" s="184"/>
      <c r="O2762" s="184"/>
      <c r="P2762" t="s">
        <v>7045</v>
      </c>
      <c r="Q2762" t="s">
        <v>7454</v>
      </c>
      <c r="R2762" s="184">
        <v>20941</v>
      </c>
      <c r="S2762">
        <v>67</v>
      </c>
      <c r="U2762" t="s">
        <v>7031</v>
      </c>
      <c r="V2762" t="s">
        <v>3737</v>
      </c>
      <c r="W2762" t="s">
        <v>2049</v>
      </c>
      <c r="X2762" t="s">
        <v>3738</v>
      </c>
      <c r="AF2762" t="s">
        <v>22666</v>
      </c>
      <c r="AG2762" t="s">
        <v>3737</v>
      </c>
      <c r="AI2762" t="s">
        <v>22667</v>
      </c>
      <c r="AM2762" t="s">
        <v>3739</v>
      </c>
      <c r="AN2762" t="s">
        <v>2055</v>
      </c>
      <c r="AO2762" t="s">
        <v>22668</v>
      </c>
      <c r="AP2762" t="s">
        <v>7024</v>
      </c>
      <c r="AQ2762" t="s">
        <v>22669</v>
      </c>
      <c r="AR2762" t="s">
        <v>22670</v>
      </c>
      <c r="AT2762" s="184">
        <v>37369</v>
      </c>
      <c r="AU2762" t="s">
        <v>22671</v>
      </c>
      <c r="AV2762">
        <v>15</v>
      </c>
      <c r="AW2762" s="184">
        <v>45366</v>
      </c>
      <c r="AX2762" t="s">
        <v>7168</v>
      </c>
      <c r="AY2762">
        <v>50</v>
      </c>
      <c r="AZ2762" s="184">
        <v>45366</v>
      </c>
      <c r="BA2762" t="s">
        <v>7168</v>
      </c>
      <c r="BB2762">
        <v>50</v>
      </c>
      <c r="BC2762">
        <v>100</v>
      </c>
      <c r="BD2762">
        <v>1140</v>
      </c>
      <c r="BE2762">
        <v>2002</v>
      </c>
      <c r="BF2762">
        <v>34</v>
      </c>
      <c r="BG2762">
        <v>2</v>
      </c>
      <c r="BH2762">
        <v>100</v>
      </c>
      <c r="BI2762">
        <v>23</v>
      </c>
      <c r="BJ2762">
        <v>23</v>
      </c>
      <c r="BK2762">
        <v>23</v>
      </c>
      <c r="BP2762" s="184"/>
    </row>
    <row r="2763" spans="1:68">
      <c r="A2763">
        <v>35172436</v>
      </c>
      <c r="B2763">
        <v>35172436</v>
      </c>
      <c r="C2763" t="s">
        <v>7018</v>
      </c>
      <c r="D2763" t="s">
        <v>595</v>
      </c>
      <c r="E2763" s="184">
        <v>45195</v>
      </c>
      <c r="G2763" s="184"/>
      <c r="I2763" s="184"/>
      <c r="K2763" s="184"/>
      <c r="M2763" s="184"/>
      <c r="O2763" s="184"/>
      <c r="P2763" t="s">
        <v>7045</v>
      </c>
      <c r="Q2763" t="s">
        <v>7383</v>
      </c>
      <c r="R2763" s="184">
        <v>17153</v>
      </c>
      <c r="S2763">
        <v>77</v>
      </c>
      <c r="V2763" t="s">
        <v>2523</v>
      </c>
      <c r="W2763" t="s">
        <v>2049</v>
      </c>
      <c r="X2763" t="s">
        <v>19309</v>
      </c>
      <c r="AF2763" t="s">
        <v>22672</v>
      </c>
      <c r="AG2763" t="s">
        <v>2523</v>
      </c>
      <c r="AI2763" t="s">
        <v>22673</v>
      </c>
      <c r="AM2763" t="s">
        <v>22674</v>
      </c>
      <c r="AN2763" t="s">
        <v>2059</v>
      </c>
      <c r="AO2763" t="s">
        <v>22675</v>
      </c>
      <c r="AP2763" t="s">
        <v>7024</v>
      </c>
      <c r="AT2763" s="184">
        <v>37372</v>
      </c>
      <c r="AU2763" t="s">
        <v>22676</v>
      </c>
      <c r="AV2763">
        <v>1</v>
      </c>
      <c r="AW2763" s="184">
        <v>45320</v>
      </c>
      <c r="AX2763" t="s">
        <v>22677</v>
      </c>
      <c r="AY2763">
        <v>25</v>
      </c>
      <c r="AZ2763" s="184">
        <v>45320</v>
      </c>
      <c r="BA2763" t="s">
        <v>22677</v>
      </c>
      <c r="BB2763">
        <v>25</v>
      </c>
      <c r="BC2763">
        <v>40</v>
      </c>
      <c r="BD2763">
        <v>254</v>
      </c>
      <c r="BE2763">
        <v>2002</v>
      </c>
      <c r="BF2763">
        <v>19</v>
      </c>
      <c r="BG2763">
        <v>4</v>
      </c>
      <c r="BH2763">
        <v>85</v>
      </c>
      <c r="BI2763">
        <v>9</v>
      </c>
      <c r="BJ2763">
        <v>23</v>
      </c>
      <c r="BK2763">
        <v>7</v>
      </c>
      <c r="BP2763" s="184"/>
    </row>
    <row r="2764" spans="1:68">
      <c r="A2764">
        <v>35178318</v>
      </c>
      <c r="B2764">
        <v>35178318</v>
      </c>
      <c r="C2764" t="s">
        <v>7018</v>
      </c>
      <c r="D2764" t="s">
        <v>595</v>
      </c>
      <c r="E2764" s="184">
        <v>43808</v>
      </c>
      <c r="G2764" s="184"/>
      <c r="I2764" s="184"/>
      <c r="K2764" s="184"/>
      <c r="M2764" s="184"/>
      <c r="O2764" s="184"/>
      <c r="P2764" t="s">
        <v>7029</v>
      </c>
      <c r="Q2764" t="s">
        <v>7030</v>
      </c>
      <c r="R2764" s="184">
        <v>18762</v>
      </c>
      <c r="S2764">
        <v>73</v>
      </c>
      <c r="U2764" t="s">
        <v>7076</v>
      </c>
      <c r="V2764" t="s">
        <v>3778</v>
      </c>
      <c r="W2764" t="s">
        <v>2049</v>
      </c>
      <c r="X2764" t="s">
        <v>4456</v>
      </c>
      <c r="AF2764" t="s">
        <v>22678</v>
      </c>
      <c r="AG2764" t="s">
        <v>3778</v>
      </c>
      <c r="AI2764" t="s">
        <v>22679</v>
      </c>
      <c r="AM2764" t="s">
        <v>4424</v>
      </c>
      <c r="AN2764" t="s">
        <v>2089</v>
      </c>
      <c r="AO2764" t="s">
        <v>22680</v>
      </c>
      <c r="AP2764" t="s">
        <v>7024</v>
      </c>
      <c r="AQ2764" t="s">
        <v>22681</v>
      </c>
      <c r="AR2764" t="s">
        <v>22682</v>
      </c>
      <c r="AT2764" s="184">
        <v>37376</v>
      </c>
      <c r="AU2764" t="s">
        <v>22683</v>
      </c>
      <c r="AV2764">
        <v>25</v>
      </c>
      <c r="AW2764" s="184">
        <v>45400</v>
      </c>
      <c r="AX2764" t="s">
        <v>7429</v>
      </c>
      <c r="AY2764">
        <v>25</v>
      </c>
      <c r="AZ2764" s="184">
        <v>42054</v>
      </c>
      <c r="BA2764" t="s">
        <v>22684</v>
      </c>
      <c r="BB2764">
        <v>150</v>
      </c>
      <c r="BC2764">
        <v>100</v>
      </c>
      <c r="BD2764">
        <v>4325</v>
      </c>
      <c r="BE2764">
        <v>2002</v>
      </c>
      <c r="BF2764">
        <v>134</v>
      </c>
      <c r="BG2764">
        <v>25</v>
      </c>
      <c r="BH2764">
        <v>700</v>
      </c>
      <c r="BI2764">
        <v>23</v>
      </c>
      <c r="BJ2764">
        <v>23</v>
      </c>
      <c r="BK2764">
        <v>23</v>
      </c>
      <c r="BN2764" t="s">
        <v>595</v>
      </c>
      <c r="BP2764" s="184"/>
    </row>
    <row r="2765" spans="1:68">
      <c r="A2765">
        <v>35180959</v>
      </c>
      <c r="B2765">
        <v>35180959</v>
      </c>
      <c r="C2765" t="s">
        <v>7018</v>
      </c>
      <c r="E2765" s="184"/>
      <c r="G2765" s="184"/>
      <c r="I2765" s="184"/>
      <c r="J2765" t="s">
        <v>595</v>
      </c>
      <c r="K2765" s="184">
        <v>44532</v>
      </c>
      <c r="M2765" s="184"/>
      <c r="O2765" s="184"/>
      <c r="P2765" t="s">
        <v>7084</v>
      </c>
      <c r="Q2765" t="s">
        <v>7383</v>
      </c>
      <c r="R2765" s="184">
        <v>18994</v>
      </c>
      <c r="S2765">
        <v>72</v>
      </c>
      <c r="U2765" t="s">
        <v>7031</v>
      </c>
      <c r="V2765" t="s">
        <v>2871</v>
      </c>
      <c r="X2765" t="s">
        <v>22685</v>
      </c>
      <c r="AF2765" t="s">
        <v>22686</v>
      </c>
      <c r="AG2765" t="s">
        <v>2871</v>
      </c>
      <c r="AI2765" t="s">
        <v>22687</v>
      </c>
      <c r="AM2765" t="s">
        <v>4558</v>
      </c>
      <c r="AN2765" t="s">
        <v>2072</v>
      </c>
      <c r="AO2765" t="s">
        <v>22688</v>
      </c>
      <c r="AP2765" t="s">
        <v>7024</v>
      </c>
      <c r="AT2765" s="184">
        <v>37378</v>
      </c>
      <c r="AU2765" t="s">
        <v>22689</v>
      </c>
      <c r="AV2765">
        <v>25</v>
      </c>
      <c r="AW2765" s="184">
        <v>44550</v>
      </c>
      <c r="AX2765" t="s">
        <v>7093</v>
      </c>
      <c r="AY2765">
        <v>13800.23</v>
      </c>
      <c r="AZ2765" s="184">
        <v>44550</v>
      </c>
      <c r="BA2765" t="s">
        <v>7093</v>
      </c>
      <c r="BB2765">
        <v>13800.23</v>
      </c>
      <c r="BC2765">
        <v>83</v>
      </c>
      <c r="BD2765">
        <v>14870.23</v>
      </c>
      <c r="BE2765">
        <v>2002</v>
      </c>
      <c r="BF2765">
        <v>45</v>
      </c>
      <c r="BI2765">
        <v>19</v>
      </c>
      <c r="BJ2765">
        <v>23</v>
      </c>
      <c r="BK2765">
        <v>13</v>
      </c>
      <c r="BO2765" t="s">
        <v>595</v>
      </c>
      <c r="BP2765" s="184">
        <v>44245</v>
      </c>
    </row>
    <row r="2766" spans="1:68">
      <c r="A2766">
        <v>35182476</v>
      </c>
      <c r="B2766">
        <v>35182476</v>
      </c>
      <c r="C2766" t="s">
        <v>7018</v>
      </c>
      <c r="D2766" t="s">
        <v>595</v>
      </c>
      <c r="E2766" s="184">
        <v>44313</v>
      </c>
      <c r="G2766" s="184"/>
      <c r="I2766" s="184"/>
      <c r="K2766" s="184"/>
      <c r="M2766" s="184"/>
      <c r="O2766" s="184"/>
      <c r="P2766" t="s">
        <v>7045</v>
      </c>
      <c r="Q2766" t="s">
        <v>7374</v>
      </c>
      <c r="R2766" s="184">
        <v>17209</v>
      </c>
      <c r="S2766">
        <v>77</v>
      </c>
      <c r="U2766" t="s">
        <v>7237</v>
      </c>
      <c r="V2766" t="s">
        <v>14326</v>
      </c>
      <c r="X2766" t="s">
        <v>22690</v>
      </c>
      <c r="AF2766" t="s">
        <v>22691</v>
      </c>
      <c r="AG2766" t="s">
        <v>14326</v>
      </c>
      <c r="AI2766" t="s">
        <v>22692</v>
      </c>
      <c r="AM2766" t="s">
        <v>22693</v>
      </c>
      <c r="AN2766" t="s">
        <v>2081</v>
      </c>
      <c r="AO2766" t="s">
        <v>22694</v>
      </c>
      <c r="AP2766" t="s">
        <v>7024</v>
      </c>
      <c r="AT2766" s="184">
        <v>37378</v>
      </c>
      <c r="AU2766" t="s">
        <v>22695</v>
      </c>
      <c r="AV2766">
        <v>20</v>
      </c>
      <c r="AW2766" s="184">
        <v>44280</v>
      </c>
      <c r="AX2766" t="s">
        <v>8432</v>
      </c>
      <c r="AY2766">
        <v>25</v>
      </c>
      <c r="AZ2766" s="184">
        <v>40646</v>
      </c>
      <c r="BA2766" t="s">
        <v>22696</v>
      </c>
      <c r="BB2766">
        <v>87</v>
      </c>
      <c r="BC2766">
        <v>74</v>
      </c>
      <c r="BD2766">
        <v>807</v>
      </c>
      <c r="BE2766">
        <v>2002</v>
      </c>
      <c r="BF2766">
        <v>19</v>
      </c>
      <c r="BI2766">
        <v>17</v>
      </c>
      <c r="BJ2766">
        <v>23</v>
      </c>
      <c r="BK2766">
        <v>11</v>
      </c>
      <c r="BP2766" s="184"/>
    </row>
    <row r="2767" spans="1:68">
      <c r="A2767">
        <v>35185578</v>
      </c>
      <c r="B2767">
        <v>35185578</v>
      </c>
      <c r="C2767" t="s">
        <v>7018</v>
      </c>
      <c r="D2767" t="s">
        <v>595</v>
      </c>
      <c r="E2767" s="184">
        <v>43647</v>
      </c>
      <c r="G2767" s="184"/>
      <c r="I2767" s="184"/>
      <c r="K2767" s="184"/>
      <c r="M2767" s="184"/>
      <c r="O2767" s="184"/>
      <c r="P2767" t="s">
        <v>7045</v>
      </c>
      <c r="Q2767" t="s">
        <v>7383</v>
      </c>
      <c r="R2767" s="184">
        <v>18050</v>
      </c>
      <c r="S2767">
        <v>74</v>
      </c>
      <c r="U2767" t="s">
        <v>7031</v>
      </c>
      <c r="V2767" t="s">
        <v>2724</v>
      </c>
      <c r="W2767" t="s">
        <v>7963</v>
      </c>
      <c r="X2767" t="s">
        <v>3552</v>
      </c>
      <c r="AF2767" t="s">
        <v>22697</v>
      </c>
      <c r="AG2767" t="s">
        <v>2724</v>
      </c>
      <c r="AI2767" t="s">
        <v>22698</v>
      </c>
      <c r="AM2767" t="s">
        <v>3553</v>
      </c>
      <c r="AN2767" t="s">
        <v>2185</v>
      </c>
      <c r="AO2767" t="s">
        <v>22699</v>
      </c>
      <c r="AP2767" t="s">
        <v>7024</v>
      </c>
      <c r="AQ2767" t="s">
        <v>22700</v>
      </c>
      <c r="AR2767" t="s">
        <v>22701</v>
      </c>
      <c r="AT2767" s="184">
        <v>37382</v>
      </c>
      <c r="AU2767" t="s">
        <v>22702</v>
      </c>
      <c r="AV2767">
        <v>25</v>
      </c>
      <c r="AW2767" s="184">
        <v>45358</v>
      </c>
      <c r="AX2767" t="s">
        <v>7438</v>
      </c>
      <c r="AY2767">
        <v>35</v>
      </c>
      <c r="AZ2767" s="184">
        <v>45358</v>
      </c>
      <c r="BA2767" t="s">
        <v>7438</v>
      </c>
      <c r="BB2767">
        <v>35</v>
      </c>
      <c r="BC2767">
        <v>100</v>
      </c>
      <c r="BD2767">
        <v>695</v>
      </c>
      <c r="BE2767">
        <v>2002</v>
      </c>
      <c r="BF2767">
        <v>23</v>
      </c>
      <c r="BG2767">
        <v>2</v>
      </c>
      <c r="BH2767">
        <v>70</v>
      </c>
      <c r="BI2767">
        <v>23</v>
      </c>
      <c r="BJ2767">
        <v>23</v>
      </c>
      <c r="BK2767">
        <v>23</v>
      </c>
      <c r="BP2767" s="184"/>
    </row>
    <row r="2768" spans="1:68">
      <c r="A2768">
        <v>35188879</v>
      </c>
      <c r="B2768">
        <v>35188879</v>
      </c>
      <c r="C2768" t="s">
        <v>7018</v>
      </c>
      <c r="D2768" t="s">
        <v>595</v>
      </c>
      <c r="E2768" s="184">
        <v>45174</v>
      </c>
      <c r="G2768" s="184"/>
      <c r="I2768" s="184"/>
      <c r="K2768" s="184"/>
      <c r="M2768" s="184"/>
      <c r="O2768" s="184"/>
      <c r="P2768" t="s">
        <v>7045</v>
      </c>
      <c r="Q2768" t="s">
        <v>7374</v>
      </c>
      <c r="R2768" s="184">
        <v>15858</v>
      </c>
      <c r="S2768">
        <v>80</v>
      </c>
      <c r="U2768" t="s">
        <v>7076</v>
      </c>
      <c r="V2768" t="s">
        <v>2958</v>
      </c>
      <c r="W2768" t="s">
        <v>7963</v>
      </c>
      <c r="X2768" t="s">
        <v>22703</v>
      </c>
      <c r="AF2768" t="s">
        <v>22704</v>
      </c>
      <c r="AG2768" t="s">
        <v>2958</v>
      </c>
      <c r="AI2768" t="s">
        <v>22705</v>
      </c>
      <c r="AJ2768" t="s">
        <v>22706</v>
      </c>
      <c r="AM2768" t="s">
        <v>22707</v>
      </c>
      <c r="AN2768" t="s">
        <v>2081</v>
      </c>
      <c r="AO2768" t="s">
        <v>22708</v>
      </c>
      <c r="AP2768" t="s">
        <v>7024</v>
      </c>
      <c r="AQ2768" t="s">
        <v>22709</v>
      </c>
      <c r="AT2768" s="184">
        <v>37383</v>
      </c>
      <c r="AU2768" t="s">
        <v>22683</v>
      </c>
      <c r="AV2768">
        <v>25</v>
      </c>
      <c r="AW2768" s="184">
        <v>45261</v>
      </c>
      <c r="AX2768" t="s">
        <v>22710</v>
      </c>
      <c r="AY2768">
        <v>35</v>
      </c>
      <c r="AZ2768" s="184">
        <v>43098</v>
      </c>
      <c r="BA2768" t="s">
        <v>22711</v>
      </c>
      <c r="BB2768">
        <v>60</v>
      </c>
      <c r="BC2768">
        <v>79</v>
      </c>
      <c r="BD2768">
        <v>1035</v>
      </c>
      <c r="BE2768">
        <v>2002</v>
      </c>
      <c r="BF2768">
        <v>33</v>
      </c>
      <c r="BG2768">
        <v>7</v>
      </c>
      <c r="BH2768">
        <v>255</v>
      </c>
      <c r="BI2768">
        <v>18</v>
      </c>
      <c r="BJ2768">
        <v>23</v>
      </c>
      <c r="BK2768">
        <v>16</v>
      </c>
      <c r="BP2768" s="184"/>
    </row>
    <row r="2769" spans="1:68">
      <c r="A2769">
        <v>35204742</v>
      </c>
      <c r="B2769">
        <v>35204742</v>
      </c>
      <c r="C2769" t="s">
        <v>7018</v>
      </c>
      <c r="E2769" s="184"/>
      <c r="G2769" s="184"/>
      <c r="I2769" s="184"/>
      <c r="K2769" s="184"/>
      <c r="L2769" t="s">
        <v>595</v>
      </c>
      <c r="M2769" s="184">
        <v>43923</v>
      </c>
      <c r="O2769" s="184"/>
      <c r="P2769" t="s">
        <v>7045</v>
      </c>
      <c r="Q2769" t="s">
        <v>7262</v>
      </c>
      <c r="R2769" s="184">
        <v>16556</v>
      </c>
      <c r="S2769">
        <v>79</v>
      </c>
      <c r="V2769" t="s">
        <v>3400</v>
      </c>
      <c r="W2769" t="s">
        <v>7067</v>
      </c>
      <c r="X2769" t="s">
        <v>22712</v>
      </c>
      <c r="AF2769" t="s">
        <v>22713</v>
      </c>
      <c r="AG2769" t="s">
        <v>3400</v>
      </c>
      <c r="AI2769" t="s">
        <v>22714</v>
      </c>
      <c r="AM2769" t="s">
        <v>2730</v>
      </c>
      <c r="AN2769" t="s">
        <v>2069</v>
      </c>
      <c r="AO2769" t="s">
        <v>22715</v>
      </c>
      <c r="AP2769" t="s">
        <v>7024</v>
      </c>
      <c r="AT2769" s="184">
        <v>37398</v>
      </c>
      <c r="AU2769" t="s">
        <v>22716</v>
      </c>
      <c r="AV2769">
        <v>30</v>
      </c>
      <c r="AW2769" s="184">
        <v>45371</v>
      </c>
      <c r="AX2769" t="s">
        <v>19413</v>
      </c>
      <c r="AY2769">
        <v>300</v>
      </c>
      <c r="AZ2769" s="184">
        <v>45371</v>
      </c>
      <c r="BA2769" t="s">
        <v>19413</v>
      </c>
      <c r="BB2769">
        <v>300</v>
      </c>
      <c r="BC2769">
        <v>100</v>
      </c>
      <c r="BD2769">
        <v>2020</v>
      </c>
      <c r="BE2769">
        <v>2002</v>
      </c>
      <c r="BF2769">
        <v>26</v>
      </c>
      <c r="BG2769">
        <v>3</v>
      </c>
      <c r="BH2769">
        <v>700</v>
      </c>
      <c r="BI2769">
        <v>23</v>
      </c>
      <c r="BJ2769">
        <v>23</v>
      </c>
      <c r="BK2769">
        <v>23</v>
      </c>
      <c r="BP2769" s="184"/>
    </row>
    <row r="2770" spans="1:68">
      <c r="A2770">
        <v>35228543</v>
      </c>
      <c r="B2770">
        <v>35228543</v>
      </c>
      <c r="C2770" t="s">
        <v>7018</v>
      </c>
      <c r="D2770" t="s">
        <v>595</v>
      </c>
      <c r="E2770" s="184">
        <v>43642</v>
      </c>
      <c r="G2770" s="184"/>
      <c r="I2770" s="184"/>
      <c r="K2770" s="184"/>
      <c r="M2770" s="184"/>
      <c r="O2770" s="184"/>
      <c r="P2770" t="s">
        <v>7045</v>
      </c>
      <c r="Q2770" t="s">
        <v>7383</v>
      </c>
      <c r="R2770" s="184">
        <v>19784</v>
      </c>
      <c r="S2770">
        <v>70</v>
      </c>
      <c r="U2770" t="s">
        <v>7031</v>
      </c>
      <c r="V2770" t="s">
        <v>3341</v>
      </c>
      <c r="X2770" t="s">
        <v>3342</v>
      </c>
      <c r="AF2770" t="s">
        <v>22717</v>
      </c>
      <c r="AG2770" t="s">
        <v>3341</v>
      </c>
      <c r="AI2770" t="s">
        <v>22718</v>
      </c>
      <c r="AM2770" t="s">
        <v>3343</v>
      </c>
      <c r="AN2770" t="s">
        <v>2313</v>
      </c>
      <c r="AO2770" t="s">
        <v>22719</v>
      </c>
      <c r="AP2770" t="s">
        <v>7024</v>
      </c>
      <c r="AQ2770" t="s">
        <v>22720</v>
      </c>
      <c r="AT2770" s="184">
        <v>37463</v>
      </c>
      <c r="AU2770" t="s">
        <v>22721</v>
      </c>
      <c r="AV2770">
        <v>20</v>
      </c>
      <c r="AW2770" s="184">
        <v>45295</v>
      </c>
      <c r="AX2770" t="s">
        <v>18695</v>
      </c>
      <c r="AY2770">
        <v>50</v>
      </c>
      <c r="AZ2770" s="184">
        <v>42835</v>
      </c>
      <c r="BA2770" t="s">
        <v>22722</v>
      </c>
      <c r="BB2770">
        <v>55</v>
      </c>
      <c r="BC2770">
        <v>66</v>
      </c>
      <c r="BD2770">
        <v>775</v>
      </c>
      <c r="BE2770">
        <v>2003</v>
      </c>
      <c r="BF2770">
        <v>21</v>
      </c>
      <c r="BG2770">
        <v>2</v>
      </c>
      <c r="BH2770">
        <v>100</v>
      </c>
      <c r="BI2770">
        <v>15</v>
      </c>
      <c r="BJ2770">
        <v>23</v>
      </c>
      <c r="BK2770">
        <v>9</v>
      </c>
      <c r="BP2770" s="184"/>
    </row>
    <row r="2771" spans="1:68">
      <c r="A2771">
        <v>35237171</v>
      </c>
      <c r="B2771">
        <v>35237171</v>
      </c>
      <c r="C2771" t="s">
        <v>7018</v>
      </c>
      <c r="E2771" s="184"/>
      <c r="G2771" s="184"/>
      <c r="J2771" t="s">
        <v>595</v>
      </c>
      <c r="K2771" s="184">
        <v>38145</v>
      </c>
      <c r="M2771" s="184"/>
      <c r="O2771" s="184"/>
      <c r="P2771" t="s">
        <v>7045</v>
      </c>
      <c r="Q2771" t="s">
        <v>7030</v>
      </c>
      <c r="R2771" s="184">
        <v>18354</v>
      </c>
      <c r="S2771">
        <v>74</v>
      </c>
      <c r="U2771" t="s">
        <v>7031</v>
      </c>
      <c r="V2771" t="s">
        <v>3632</v>
      </c>
      <c r="W2771" t="s">
        <v>8224</v>
      </c>
      <c r="X2771" t="s">
        <v>22723</v>
      </c>
      <c r="AF2771" t="s">
        <v>6088</v>
      </c>
      <c r="AG2771" t="s">
        <v>3632</v>
      </c>
      <c r="AI2771" t="s">
        <v>22724</v>
      </c>
      <c r="AM2771" t="s">
        <v>2777</v>
      </c>
      <c r="AN2771" t="s">
        <v>2094</v>
      </c>
      <c r="AO2771" t="s">
        <v>22725</v>
      </c>
      <c r="AP2771" t="s">
        <v>7024</v>
      </c>
      <c r="AQ2771" t="s">
        <v>22726</v>
      </c>
      <c r="AR2771" t="s">
        <v>22727</v>
      </c>
      <c r="AT2771" s="184">
        <v>37466</v>
      </c>
      <c r="AU2771" t="s">
        <v>22728</v>
      </c>
      <c r="AV2771">
        <v>50</v>
      </c>
      <c r="AW2771" s="184">
        <v>45408</v>
      </c>
      <c r="AX2771" t="s">
        <v>8483</v>
      </c>
      <c r="AY2771">
        <v>25</v>
      </c>
      <c r="AZ2771" s="184">
        <v>38295</v>
      </c>
      <c r="BA2771" t="s">
        <v>14792</v>
      </c>
      <c r="BB2771">
        <v>250</v>
      </c>
      <c r="BC2771">
        <v>100</v>
      </c>
      <c r="BD2771">
        <v>7875</v>
      </c>
      <c r="BE2771">
        <v>2003</v>
      </c>
      <c r="BF2771">
        <v>234</v>
      </c>
      <c r="BG2771">
        <v>24</v>
      </c>
      <c r="BH2771">
        <v>600</v>
      </c>
      <c r="BI2771">
        <v>23</v>
      </c>
      <c r="BJ2771">
        <v>23</v>
      </c>
      <c r="BK2771">
        <v>23</v>
      </c>
      <c r="BP2771" s="184"/>
    </row>
    <row r="2772" spans="1:68">
      <c r="A2772">
        <v>35242130</v>
      </c>
      <c r="B2772">
        <v>35242130</v>
      </c>
      <c r="C2772" t="s">
        <v>7018</v>
      </c>
      <c r="E2772" s="184"/>
      <c r="F2772" t="s">
        <v>595</v>
      </c>
      <c r="G2772" s="184">
        <v>43634</v>
      </c>
      <c r="J2772" t="s">
        <v>595</v>
      </c>
      <c r="K2772" s="184">
        <v>43731</v>
      </c>
      <c r="M2772" s="184"/>
      <c r="O2772" s="184"/>
      <c r="P2772" t="s">
        <v>7045</v>
      </c>
      <c r="Q2772" t="s">
        <v>7160</v>
      </c>
      <c r="R2772" s="184">
        <v>20791</v>
      </c>
      <c r="S2772">
        <v>67</v>
      </c>
      <c r="U2772" t="s">
        <v>7076</v>
      </c>
      <c r="V2772" t="s">
        <v>2958</v>
      </c>
      <c r="W2772" t="s">
        <v>4327</v>
      </c>
      <c r="X2772" t="s">
        <v>2959</v>
      </c>
      <c r="AF2772" t="s">
        <v>6402</v>
      </c>
      <c r="AG2772" t="s">
        <v>2958</v>
      </c>
      <c r="AI2772" t="s">
        <v>22729</v>
      </c>
      <c r="AM2772" t="s">
        <v>2960</v>
      </c>
      <c r="AN2772" t="s">
        <v>2446</v>
      </c>
      <c r="AO2772" t="s">
        <v>22730</v>
      </c>
      <c r="AP2772" t="s">
        <v>7024</v>
      </c>
      <c r="AQ2772" t="s">
        <v>22731</v>
      </c>
      <c r="AR2772" t="s">
        <v>22732</v>
      </c>
      <c r="AT2772" s="184">
        <v>37467</v>
      </c>
      <c r="AU2772" t="s">
        <v>22733</v>
      </c>
      <c r="AV2772">
        <v>25</v>
      </c>
      <c r="AW2772" s="184">
        <v>45352</v>
      </c>
      <c r="AX2772" t="s">
        <v>13674</v>
      </c>
      <c r="AY2772">
        <v>25</v>
      </c>
      <c r="AZ2772" s="184">
        <v>44158</v>
      </c>
      <c r="BA2772" t="s">
        <v>22734</v>
      </c>
      <c r="BB2772">
        <v>60</v>
      </c>
      <c r="BC2772">
        <v>79</v>
      </c>
      <c r="BD2772">
        <v>1760</v>
      </c>
      <c r="BE2772">
        <v>2003</v>
      </c>
      <c r="BF2772">
        <v>61</v>
      </c>
      <c r="BG2772">
        <v>12</v>
      </c>
      <c r="BH2772">
        <v>310</v>
      </c>
      <c r="BI2772">
        <v>18</v>
      </c>
      <c r="BJ2772">
        <v>23</v>
      </c>
      <c r="BK2772">
        <v>8</v>
      </c>
      <c r="BP2772" s="184"/>
    </row>
    <row r="2773" spans="1:68">
      <c r="A2773">
        <v>35245182</v>
      </c>
      <c r="B2773">
        <v>35245182</v>
      </c>
      <c r="C2773" t="s">
        <v>7018</v>
      </c>
      <c r="D2773" t="s">
        <v>595</v>
      </c>
      <c r="E2773" s="184">
        <v>44564</v>
      </c>
      <c r="G2773" s="184"/>
      <c r="I2773" s="184"/>
      <c r="K2773" s="184"/>
      <c r="M2773" s="184"/>
      <c r="O2773" s="184"/>
      <c r="P2773" t="s">
        <v>7045</v>
      </c>
      <c r="Q2773" t="s">
        <v>7030</v>
      </c>
      <c r="R2773" s="184">
        <v>10485</v>
      </c>
      <c r="S2773">
        <v>95</v>
      </c>
      <c r="U2773" t="s">
        <v>7130</v>
      </c>
      <c r="V2773" t="s">
        <v>3279</v>
      </c>
      <c r="X2773" t="s">
        <v>22735</v>
      </c>
      <c r="Z2773">
        <v>100097121</v>
      </c>
      <c r="AB2773" t="s">
        <v>3435</v>
      </c>
      <c r="AD2773" t="s">
        <v>22735</v>
      </c>
      <c r="AF2773" t="s">
        <v>22736</v>
      </c>
      <c r="AG2773" t="s">
        <v>22737</v>
      </c>
      <c r="AI2773" t="s">
        <v>22738</v>
      </c>
      <c r="AM2773" t="s">
        <v>2564</v>
      </c>
      <c r="AN2773" t="s">
        <v>2089</v>
      </c>
      <c r="AO2773" t="s">
        <v>22739</v>
      </c>
      <c r="AP2773" t="s">
        <v>7024</v>
      </c>
      <c r="AT2773" s="184">
        <v>37467</v>
      </c>
      <c r="AU2773" t="s">
        <v>22740</v>
      </c>
      <c r="AV2773">
        <v>15</v>
      </c>
      <c r="AW2773" s="184">
        <v>43459</v>
      </c>
      <c r="AX2773" t="s">
        <v>11104</v>
      </c>
      <c r="AY2773">
        <v>100</v>
      </c>
      <c r="AZ2773" s="184">
        <v>43088</v>
      </c>
      <c r="BA2773" t="s">
        <v>22741</v>
      </c>
      <c r="BB2773">
        <v>500</v>
      </c>
      <c r="BC2773">
        <v>40</v>
      </c>
      <c r="BD2773">
        <v>1235</v>
      </c>
      <c r="BE2773">
        <v>2003</v>
      </c>
      <c r="BF2773">
        <v>9</v>
      </c>
      <c r="BI2773">
        <v>9</v>
      </c>
      <c r="BJ2773">
        <v>23</v>
      </c>
      <c r="BK2773">
        <v>3</v>
      </c>
      <c r="BN2773" t="s">
        <v>595</v>
      </c>
      <c r="BP2773" s="184"/>
    </row>
    <row r="2774" spans="1:68">
      <c r="A2774">
        <v>100097121</v>
      </c>
      <c r="B2774">
        <v>35245182</v>
      </c>
      <c r="C2774" t="s">
        <v>7018</v>
      </c>
      <c r="D2774" t="s">
        <v>595</v>
      </c>
      <c r="E2774" s="184">
        <v>44564</v>
      </c>
      <c r="G2774" s="184"/>
      <c r="I2774" s="184"/>
      <c r="K2774" s="184"/>
      <c r="M2774" s="184"/>
      <c r="O2774" s="184"/>
      <c r="P2774" t="s">
        <v>7045</v>
      </c>
      <c r="Q2774" t="s">
        <v>7030</v>
      </c>
      <c r="R2774" s="184">
        <v>20180</v>
      </c>
      <c r="S2774">
        <v>69</v>
      </c>
      <c r="V2774" t="s">
        <v>3435</v>
      </c>
      <c r="X2774" t="s">
        <v>22735</v>
      </c>
      <c r="Z2774">
        <v>35245182</v>
      </c>
      <c r="AA2774" t="s">
        <v>7130</v>
      </c>
      <c r="AB2774" t="s">
        <v>3279</v>
      </c>
      <c r="AD2774" t="s">
        <v>22735</v>
      </c>
      <c r="AF2774" t="s">
        <v>22736</v>
      </c>
      <c r="AG2774" t="s">
        <v>22737</v>
      </c>
      <c r="AI2774" t="s">
        <v>22738</v>
      </c>
      <c r="AM2774" t="s">
        <v>2564</v>
      </c>
      <c r="AN2774" t="s">
        <v>2089</v>
      </c>
      <c r="AO2774" t="s">
        <v>22739</v>
      </c>
      <c r="AP2774" t="s">
        <v>7024</v>
      </c>
      <c r="AQ2774" t="s">
        <v>22742</v>
      </c>
      <c r="AT2774" s="184">
        <v>44195</v>
      </c>
      <c r="AU2774" t="s">
        <v>22743</v>
      </c>
      <c r="AV2774">
        <v>100</v>
      </c>
      <c r="AW2774" s="184">
        <v>45426</v>
      </c>
      <c r="AX2774" t="s">
        <v>7422</v>
      </c>
      <c r="AY2774">
        <v>10</v>
      </c>
      <c r="AZ2774" s="184">
        <v>44544</v>
      </c>
      <c r="BA2774" t="s">
        <v>9028</v>
      </c>
      <c r="BB2774">
        <v>500</v>
      </c>
      <c r="BC2774">
        <v>100</v>
      </c>
      <c r="BD2774">
        <v>900</v>
      </c>
      <c r="BE2774">
        <v>2021</v>
      </c>
      <c r="BF2774">
        <v>32</v>
      </c>
      <c r="BG2774">
        <v>25</v>
      </c>
      <c r="BH2774">
        <v>250</v>
      </c>
      <c r="BI2774">
        <v>5</v>
      </c>
      <c r="BJ2774">
        <v>5</v>
      </c>
      <c r="BK2774">
        <v>5</v>
      </c>
      <c r="BP2774" s="184"/>
    </row>
    <row r="2775" spans="1:68">
      <c r="A2775">
        <v>35255629</v>
      </c>
      <c r="B2775">
        <v>35255629</v>
      </c>
      <c r="C2775" t="s">
        <v>7018</v>
      </c>
      <c r="E2775" s="184"/>
      <c r="G2775" s="184"/>
      <c r="I2775" s="184"/>
      <c r="J2775" t="s">
        <v>595</v>
      </c>
      <c r="K2775" s="184">
        <v>45259</v>
      </c>
      <c r="M2775" s="184"/>
      <c r="O2775" s="184"/>
      <c r="P2775" t="s">
        <v>7084</v>
      </c>
      <c r="Q2775" t="s">
        <v>7454</v>
      </c>
      <c r="R2775" s="184">
        <v>19391</v>
      </c>
      <c r="S2775">
        <v>71</v>
      </c>
      <c r="U2775" t="s">
        <v>7076</v>
      </c>
      <c r="V2775" t="s">
        <v>9003</v>
      </c>
      <c r="X2775" t="s">
        <v>20202</v>
      </c>
      <c r="AF2775" t="s">
        <v>22744</v>
      </c>
      <c r="AG2775" t="s">
        <v>9003</v>
      </c>
      <c r="AI2775" t="s">
        <v>22745</v>
      </c>
      <c r="AM2775" t="s">
        <v>22746</v>
      </c>
      <c r="AN2775" t="s">
        <v>2055</v>
      </c>
      <c r="AO2775" t="s">
        <v>22747</v>
      </c>
      <c r="AP2775" t="s">
        <v>7024</v>
      </c>
      <c r="AQ2775" t="s">
        <v>22748</v>
      </c>
      <c r="AR2775" t="s">
        <v>22749</v>
      </c>
      <c r="AT2775" s="184">
        <v>37470</v>
      </c>
      <c r="AU2775" t="s">
        <v>22750</v>
      </c>
      <c r="AV2775">
        <v>25</v>
      </c>
      <c r="AW2775" s="184">
        <v>45257</v>
      </c>
      <c r="AX2775" t="s">
        <v>7296</v>
      </c>
      <c r="AY2775">
        <v>25328.560000000001</v>
      </c>
      <c r="AZ2775" s="184">
        <v>45257</v>
      </c>
      <c r="BA2775" t="s">
        <v>7296</v>
      </c>
      <c r="BB2775">
        <v>25328.560000000001</v>
      </c>
      <c r="BC2775">
        <v>96</v>
      </c>
      <c r="BD2775">
        <v>26868.560000000001</v>
      </c>
      <c r="BE2775">
        <v>2003</v>
      </c>
      <c r="BF2775">
        <v>115</v>
      </c>
      <c r="BG2775">
        <v>6</v>
      </c>
      <c r="BH2775">
        <v>25378.560000000001</v>
      </c>
      <c r="BI2775">
        <v>22</v>
      </c>
      <c r="BJ2775">
        <v>23</v>
      </c>
      <c r="BK2775">
        <v>22</v>
      </c>
      <c r="BO2775" t="s">
        <v>595</v>
      </c>
      <c r="BP2775" s="184">
        <v>44776</v>
      </c>
    </row>
    <row r="2776" spans="1:68">
      <c r="A2776">
        <v>35273010</v>
      </c>
      <c r="B2776">
        <v>35273010</v>
      </c>
      <c r="C2776" t="s">
        <v>7018</v>
      </c>
      <c r="E2776" s="184"/>
      <c r="G2776" s="184"/>
      <c r="I2776" s="184"/>
      <c r="J2776" t="s">
        <v>595</v>
      </c>
      <c r="K2776" s="184">
        <v>41969</v>
      </c>
      <c r="M2776" s="184"/>
      <c r="O2776" s="184"/>
      <c r="P2776" t="s">
        <v>7045</v>
      </c>
      <c r="Q2776" t="s">
        <v>7383</v>
      </c>
      <c r="R2776" s="184">
        <v>21276</v>
      </c>
      <c r="S2776">
        <v>66</v>
      </c>
      <c r="U2776" t="s">
        <v>7031</v>
      </c>
      <c r="V2776" t="s">
        <v>22751</v>
      </c>
      <c r="W2776" t="s">
        <v>3134</v>
      </c>
      <c r="X2776" t="s">
        <v>22752</v>
      </c>
      <c r="AF2776" t="s">
        <v>6451</v>
      </c>
      <c r="AG2776" t="s">
        <v>22751</v>
      </c>
      <c r="AI2776" t="s">
        <v>22753</v>
      </c>
      <c r="AM2776" t="s">
        <v>22754</v>
      </c>
      <c r="AN2776" t="s">
        <v>2162</v>
      </c>
      <c r="AO2776" t="s">
        <v>22755</v>
      </c>
      <c r="AP2776" t="s">
        <v>7024</v>
      </c>
      <c r="AQ2776" t="s">
        <v>22756</v>
      </c>
      <c r="AT2776" s="184">
        <v>37474</v>
      </c>
      <c r="AU2776" t="s">
        <v>18991</v>
      </c>
      <c r="AV2776">
        <v>25</v>
      </c>
      <c r="AW2776" s="184">
        <v>45297</v>
      </c>
      <c r="AX2776" t="s">
        <v>7168</v>
      </c>
      <c r="AY2776">
        <v>35</v>
      </c>
      <c r="AZ2776" s="184">
        <v>39066</v>
      </c>
      <c r="BA2776" t="s">
        <v>22757</v>
      </c>
      <c r="BB2776">
        <v>100</v>
      </c>
      <c r="BC2776">
        <v>96</v>
      </c>
      <c r="BD2776">
        <v>1100</v>
      </c>
      <c r="BE2776">
        <v>2003</v>
      </c>
      <c r="BF2776">
        <v>29</v>
      </c>
      <c r="BG2776">
        <v>2</v>
      </c>
      <c r="BH2776">
        <v>70</v>
      </c>
      <c r="BI2776">
        <v>22</v>
      </c>
      <c r="BJ2776">
        <v>23</v>
      </c>
      <c r="BK2776">
        <v>19</v>
      </c>
      <c r="BP2776" s="184"/>
    </row>
    <row r="2777" spans="1:68">
      <c r="A2777">
        <v>35274240</v>
      </c>
      <c r="B2777">
        <v>35274240</v>
      </c>
      <c r="C2777" t="s">
        <v>7018</v>
      </c>
      <c r="D2777" t="s">
        <v>595</v>
      </c>
      <c r="E2777" s="184">
        <v>44073</v>
      </c>
      <c r="G2777" s="184"/>
      <c r="I2777" s="184"/>
      <c r="K2777" s="184"/>
      <c r="O2777" s="184"/>
      <c r="P2777" t="s">
        <v>7045</v>
      </c>
      <c r="Q2777" t="s">
        <v>7454</v>
      </c>
      <c r="R2777" s="184">
        <v>14826</v>
      </c>
      <c r="S2777">
        <v>83</v>
      </c>
      <c r="U2777" t="s">
        <v>7031</v>
      </c>
      <c r="V2777" t="s">
        <v>22758</v>
      </c>
      <c r="W2777" t="s">
        <v>7407</v>
      </c>
      <c r="X2777" t="s">
        <v>3969</v>
      </c>
      <c r="AF2777" t="s">
        <v>22759</v>
      </c>
      <c r="AG2777" t="s">
        <v>22758</v>
      </c>
      <c r="AI2777" t="s">
        <v>22760</v>
      </c>
      <c r="AM2777" t="s">
        <v>18775</v>
      </c>
      <c r="AN2777" t="s">
        <v>2299</v>
      </c>
      <c r="AO2777" t="s">
        <v>22761</v>
      </c>
      <c r="AP2777" t="s">
        <v>7024</v>
      </c>
      <c r="AQ2777" t="s">
        <v>22762</v>
      </c>
      <c r="AR2777" t="s">
        <v>22763</v>
      </c>
      <c r="AT2777" s="184">
        <v>37474</v>
      </c>
      <c r="AU2777" t="s">
        <v>22764</v>
      </c>
      <c r="AV2777">
        <v>25</v>
      </c>
      <c r="AW2777" s="184">
        <v>45334</v>
      </c>
      <c r="AX2777" t="s">
        <v>22765</v>
      </c>
      <c r="AY2777">
        <v>150</v>
      </c>
      <c r="AZ2777" s="184">
        <v>45334</v>
      </c>
      <c r="BA2777" t="s">
        <v>22765</v>
      </c>
      <c r="BB2777">
        <v>150</v>
      </c>
      <c r="BC2777">
        <v>92</v>
      </c>
      <c r="BD2777">
        <v>2604.9699999999998</v>
      </c>
      <c r="BE2777">
        <v>2003</v>
      </c>
      <c r="BF2777">
        <v>36</v>
      </c>
      <c r="BG2777">
        <v>2</v>
      </c>
      <c r="BH2777">
        <v>300</v>
      </c>
      <c r="BI2777">
        <v>21</v>
      </c>
      <c r="BJ2777">
        <v>23</v>
      </c>
      <c r="BK2777">
        <v>16</v>
      </c>
      <c r="BP2777" s="184"/>
    </row>
    <row r="2778" spans="1:68">
      <c r="A2778">
        <v>35274711</v>
      </c>
      <c r="B2778">
        <v>35274711</v>
      </c>
      <c r="C2778" t="s">
        <v>7018</v>
      </c>
      <c r="E2778" s="184"/>
      <c r="F2778" t="s">
        <v>595</v>
      </c>
      <c r="G2778" s="184">
        <v>43773</v>
      </c>
      <c r="I2778" s="184"/>
      <c r="K2778" s="184"/>
      <c r="M2778" s="184"/>
      <c r="O2778" s="184"/>
      <c r="P2778" t="s">
        <v>7045</v>
      </c>
      <c r="Q2778" t="s">
        <v>7374</v>
      </c>
      <c r="R2778" s="184">
        <v>19541</v>
      </c>
      <c r="S2778">
        <v>70</v>
      </c>
      <c r="V2778" t="s">
        <v>4241</v>
      </c>
      <c r="X2778" t="s">
        <v>4242</v>
      </c>
      <c r="AF2778" t="s">
        <v>22766</v>
      </c>
      <c r="AG2778" t="s">
        <v>4241</v>
      </c>
      <c r="AI2778" t="s">
        <v>22767</v>
      </c>
      <c r="AM2778" t="s">
        <v>4243</v>
      </c>
      <c r="AN2778" t="s">
        <v>2081</v>
      </c>
      <c r="AO2778" t="s">
        <v>22768</v>
      </c>
      <c r="AP2778" t="s">
        <v>7024</v>
      </c>
      <c r="AQ2778" t="s">
        <v>22769</v>
      </c>
      <c r="AT2778" s="184">
        <v>37474</v>
      </c>
      <c r="AU2778" t="s">
        <v>22770</v>
      </c>
      <c r="AV2778">
        <v>50</v>
      </c>
      <c r="AW2778" s="184">
        <v>45057</v>
      </c>
      <c r="AX2778" t="s">
        <v>22771</v>
      </c>
      <c r="AY2778">
        <v>225</v>
      </c>
      <c r="AZ2778" s="184">
        <v>43761</v>
      </c>
      <c r="BA2778" t="s">
        <v>22772</v>
      </c>
      <c r="BB2778">
        <v>250</v>
      </c>
      <c r="BC2778">
        <v>70</v>
      </c>
      <c r="BD2778">
        <v>2800</v>
      </c>
      <c r="BE2778">
        <v>2003</v>
      </c>
      <c r="BF2778">
        <v>20</v>
      </c>
      <c r="BG2778">
        <v>2</v>
      </c>
      <c r="BH2778">
        <v>450</v>
      </c>
      <c r="BI2778">
        <v>16</v>
      </c>
      <c r="BJ2778">
        <v>23</v>
      </c>
      <c r="BK2778">
        <v>7</v>
      </c>
      <c r="BP2778" s="184"/>
    </row>
    <row r="2779" spans="1:68">
      <c r="A2779">
        <v>35275049</v>
      </c>
      <c r="B2779">
        <v>35275049</v>
      </c>
      <c r="C2779" t="s">
        <v>7018</v>
      </c>
      <c r="D2779" t="s">
        <v>595</v>
      </c>
      <c r="E2779" s="184">
        <v>45181</v>
      </c>
      <c r="G2779" s="184"/>
      <c r="I2779" s="184"/>
      <c r="K2779" s="184"/>
      <c r="M2779" s="184"/>
      <c r="O2779" s="184"/>
      <c r="P2779" t="s">
        <v>7045</v>
      </c>
      <c r="Q2779" t="s">
        <v>7160</v>
      </c>
      <c r="R2779" s="184">
        <v>26033</v>
      </c>
      <c r="S2779">
        <v>53</v>
      </c>
      <c r="U2779" t="s">
        <v>7031</v>
      </c>
      <c r="V2779" t="s">
        <v>3753</v>
      </c>
      <c r="X2779" t="s">
        <v>22773</v>
      </c>
      <c r="AF2779" t="s">
        <v>22774</v>
      </c>
      <c r="AG2779" t="s">
        <v>3753</v>
      </c>
      <c r="AI2779" t="s">
        <v>22775</v>
      </c>
      <c r="AM2779" t="s">
        <v>4661</v>
      </c>
      <c r="AN2779" t="s">
        <v>2176</v>
      </c>
      <c r="AO2779" t="s">
        <v>22776</v>
      </c>
      <c r="AP2779" t="s">
        <v>7024</v>
      </c>
      <c r="AQ2779" t="s">
        <v>22777</v>
      </c>
      <c r="AR2779" t="s">
        <v>22778</v>
      </c>
      <c r="AT2779" s="184">
        <v>37474</v>
      </c>
      <c r="AU2779" t="s">
        <v>22779</v>
      </c>
      <c r="AV2779">
        <v>20</v>
      </c>
      <c r="AW2779" s="184">
        <v>44643</v>
      </c>
      <c r="AX2779" t="s">
        <v>22780</v>
      </c>
      <c r="AY2779">
        <v>25</v>
      </c>
      <c r="AZ2779" s="184">
        <v>43494</v>
      </c>
      <c r="BA2779" t="s">
        <v>22781</v>
      </c>
      <c r="BB2779">
        <v>60</v>
      </c>
      <c r="BC2779">
        <v>57</v>
      </c>
      <c r="BD2779">
        <v>430</v>
      </c>
      <c r="BE2779">
        <v>2003</v>
      </c>
      <c r="BF2779">
        <v>18</v>
      </c>
      <c r="BI2779">
        <v>13</v>
      </c>
      <c r="BJ2779">
        <v>23</v>
      </c>
      <c r="BK2779">
        <v>4</v>
      </c>
      <c r="BP2779" s="184"/>
    </row>
    <row r="2780" spans="1:68">
      <c r="A2780">
        <v>35282706</v>
      </c>
      <c r="B2780">
        <v>35282706</v>
      </c>
      <c r="C2780" t="s">
        <v>7018</v>
      </c>
      <c r="D2780" t="s">
        <v>595</v>
      </c>
      <c r="E2780" s="184">
        <v>44104</v>
      </c>
      <c r="G2780" s="184"/>
      <c r="I2780" s="184"/>
      <c r="J2780" t="s">
        <v>595</v>
      </c>
      <c r="K2780" s="184">
        <v>45370</v>
      </c>
      <c r="M2780" s="184"/>
      <c r="O2780" s="184"/>
      <c r="P2780" t="s">
        <v>7045</v>
      </c>
      <c r="Q2780" t="s">
        <v>7454</v>
      </c>
      <c r="R2780" s="184">
        <v>22209</v>
      </c>
      <c r="S2780">
        <v>63</v>
      </c>
      <c r="U2780" t="s">
        <v>7076</v>
      </c>
      <c r="V2780" t="s">
        <v>2718</v>
      </c>
      <c r="X2780" t="s">
        <v>22782</v>
      </c>
      <c r="AF2780" t="s">
        <v>22783</v>
      </c>
      <c r="AG2780" t="s">
        <v>2718</v>
      </c>
      <c r="AI2780" t="s">
        <v>22784</v>
      </c>
      <c r="AM2780" t="s">
        <v>22785</v>
      </c>
      <c r="AN2780" t="s">
        <v>2055</v>
      </c>
      <c r="AO2780" t="s">
        <v>22786</v>
      </c>
      <c r="AP2780" t="s">
        <v>7024</v>
      </c>
      <c r="AQ2780" t="s">
        <v>22787</v>
      </c>
      <c r="AT2780" s="184">
        <v>37477</v>
      </c>
      <c r="AU2780" t="s">
        <v>22728</v>
      </c>
      <c r="AV2780">
        <v>25</v>
      </c>
      <c r="AW2780" s="184">
        <v>45420</v>
      </c>
      <c r="AX2780" t="s">
        <v>7422</v>
      </c>
      <c r="AY2780">
        <v>35</v>
      </c>
      <c r="AZ2780" s="184">
        <v>44193</v>
      </c>
      <c r="BA2780" t="s">
        <v>22788</v>
      </c>
      <c r="BB2780">
        <v>100</v>
      </c>
      <c r="BC2780">
        <v>79</v>
      </c>
      <c r="BD2780">
        <v>4082</v>
      </c>
      <c r="BE2780">
        <v>2003</v>
      </c>
      <c r="BF2780">
        <v>135</v>
      </c>
      <c r="BG2780">
        <v>26</v>
      </c>
      <c r="BH2780">
        <v>835</v>
      </c>
      <c r="BI2780">
        <v>18</v>
      </c>
      <c r="BJ2780">
        <v>23</v>
      </c>
      <c r="BK2780">
        <v>12</v>
      </c>
      <c r="BP2780" s="184"/>
    </row>
    <row r="2781" spans="1:68">
      <c r="A2781">
        <v>35283084</v>
      </c>
      <c r="B2781">
        <v>35283084</v>
      </c>
      <c r="C2781" t="s">
        <v>7018</v>
      </c>
      <c r="D2781" t="s">
        <v>595</v>
      </c>
      <c r="E2781" s="184">
        <v>44167</v>
      </c>
      <c r="G2781" s="184"/>
      <c r="I2781" s="184"/>
      <c r="K2781" s="184"/>
      <c r="M2781" s="184"/>
      <c r="O2781" s="184"/>
      <c r="P2781" t="s">
        <v>7045</v>
      </c>
      <c r="Q2781" t="s">
        <v>7374</v>
      </c>
      <c r="R2781" s="184">
        <v>21094</v>
      </c>
      <c r="S2781">
        <v>66</v>
      </c>
      <c r="U2781" t="s">
        <v>7076</v>
      </c>
      <c r="V2781" t="s">
        <v>3232</v>
      </c>
      <c r="W2781" t="s">
        <v>3550</v>
      </c>
      <c r="X2781" t="s">
        <v>4951</v>
      </c>
      <c r="AF2781" t="s">
        <v>22789</v>
      </c>
      <c r="AG2781" t="s">
        <v>3232</v>
      </c>
      <c r="AI2781" t="s">
        <v>22790</v>
      </c>
      <c r="AM2781" t="s">
        <v>22791</v>
      </c>
      <c r="AN2781" t="s">
        <v>2081</v>
      </c>
      <c r="AO2781" t="s">
        <v>22792</v>
      </c>
      <c r="AP2781" t="s">
        <v>7024</v>
      </c>
      <c r="AQ2781" t="s">
        <v>22793</v>
      </c>
      <c r="AT2781" s="184">
        <v>37477</v>
      </c>
      <c r="AU2781" t="s">
        <v>22728</v>
      </c>
      <c r="AV2781">
        <v>20</v>
      </c>
      <c r="AW2781" s="184">
        <v>45341</v>
      </c>
      <c r="AX2781" t="s">
        <v>16518</v>
      </c>
      <c r="AY2781">
        <v>100</v>
      </c>
      <c r="AZ2781" s="184">
        <v>45341</v>
      </c>
      <c r="BA2781" t="s">
        <v>16518</v>
      </c>
      <c r="BB2781">
        <v>100</v>
      </c>
      <c r="BC2781">
        <v>100</v>
      </c>
      <c r="BD2781">
        <v>1285</v>
      </c>
      <c r="BE2781">
        <v>2003</v>
      </c>
      <c r="BF2781">
        <v>26</v>
      </c>
      <c r="BG2781">
        <v>3</v>
      </c>
      <c r="BH2781">
        <v>300</v>
      </c>
      <c r="BI2781">
        <v>23</v>
      </c>
      <c r="BJ2781">
        <v>23</v>
      </c>
      <c r="BK2781">
        <v>23</v>
      </c>
      <c r="BP2781" s="184"/>
    </row>
    <row r="2782" spans="1:68">
      <c r="A2782">
        <v>35283506</v>
      </c>
      <c r="B2782">
        <v>35283506</v>
      </c>
      <c r="C2782" t="s">
        <v>7018</v>
      </c>
      <c r="D2782" t="s">
        <v>595</v>
      </c>
      <c r="E2782" s="184">
        <v>43649</v>
      </c>
      <c r="G2782" s="184"/>
      <c r="I2782" s="184"/>
      <c r="K2782" s="184"/>
      <c r="M2782" s="184"/>
      <c r="O2782" s="184"/>
      <c r="P2782" t="s">
        <v>7045</v>
      </c>
      <c r="Q2782" t="s">
        <v>7774</v>
      </c>
      <c r="R2782" s="184">
        <v>19450</v>
      </c>
      <c r="S2782">
        <v>71</v>
      </c>
      <c r="U2782" t="s">
        <v>7076</v>
      </c>
      <c r="V2782" t="s">
        <v>3317</v>
      </c>
      <c r="X2782" t="s">
        <v>22794</v>
      </c>
      <c r="AF2782" t="s">
        <v>22795</v>
      </c>
      <c r="AG2782" t="s">
        <v>3317</v>
      </c>
      <c r="AI2782" t="s">
        <v>22796</v>
      </c>
      <c r="AM2782" t="s">
        <v>3427</v>
      </c>
      <c r="AN2782" t="s">
        <v>2290</v>
      </c>
      <c r="AO2782" t="s">
        <v>22797</v>
      </c>
      <c r="AP2782" t="s">
        <v>7024</v>
      </c>
      <c r="AQ2782" t="s">
        <v>22798</v>
      </c>
      <c r="AT2782" s="184">
        <v>37477</v>
      </c>
      <c r="AU2782" t="s">
        <v>22721</v>
      </c>
      <c r="AV2782">
        <v>25</v>
      </c>
      <c r="AW2782" s="184">
        <v>45383</v>
      </c>
      <c r="AX2782" t="s">
        <v>22799</v>
      </c>
      <c r="AY2782">
        <v>35</v>
      </c>
      <c r="AZ2782" s="184">
        <v>39183</v>
      </c>
      <c r="BA2782" t="s">
        <v>22800</v>
      </c>
      <c r="BB2782">
        <v>100</v>
      </c>
      <c r="BC2782">
        <v>92</v>
      </c>
      <c r="BD2782">
        <v>1480</v>
      </c>
      <c r="BE2782">
        <v>2003</v>
      </c>
      <c r="BF2782">
        <v>43</v>
      </c>
      <c r="BG2782">
        <v>5</v>
      </c>
      <c r="BH2782">
        <v>185</v>
      </c>
      <c r="BI2782">
        <v>21</v>
      </c>
      <c r="BJ2782">
        <v>23</v>
      </c>
      <c r="BK2782">
        <v>11</v>
      </c>
      <c r="BP2782" s="184"/>
    </row>
    <row r="2783" spans="1:68">
      <c r="A2783">
        <v>35287762</v>
      </c>
      <c r="B2783">
        <v>35287762</v>
      </c>
      <c r="C2783" t="s">
        <v>7018</v>
      </c>
      <c r="D2783" t="s">
        <v>595</v>
      </c>
      <c r="E2783" s="184">
        <v>43647</v>
      </c>
      <c r="G2783" s="184"/>
      <c r="I2783" s="184"/>
      <c r="K2783" s="184"/>
      <c r="M2783" s="184"/>
      <c r="O2783" s="184"/>
      <c r="P2783" t="s">
        <v>7045</v>
      </c>
      <c r="Q2783" t="s">
        <v>7020</v>
      </c>
      <c r="R2783" s="184">
        <v>15105</v>
      </c>
      <c r="S2783">
        <v>83</v>
      </c>
      <c r="U2783" t="s">
        <v>7130</v>
      </c>
      <c r="V2783" t="s">
        <v>3554</v>
      </c>
      <c r="X2783" t="s">
        <v>3555</v>
      </c>
      <c r="Z2783">
        <v>100097277</v>
      </c>
      <c r="AA2783" t="s">
        <v>7031</v>
      </c>
      <c r="AB2783" t="s">
        <v>4024</v>
      </c>
      <c r="AD2783" t="s">
        <v>3555</v>
      </c>
      <c r="AF2783" t="s">
        <v>22801</v>
      </c>
      <c r="AG2783" t="s">
        <v>22802</v>
      </c>
      <c r="AI2783" t="s">
        <v>22803</v>
      </c>
      <c r="AM2783" t="s">
        <v>22804</v>
      </c>
      <c r="AN2783" t="s">
        <v>2112</v>
      </c>
      <c r="AO2783" t="s">
        <v>22805</v>
      </c>
      <c r="AP2783" t="s">
        <v>7024</v>
      </c>
      <c r="AT2783" s="184">
        <v>37480</v>
      </c>
      <c r="AU2783" t="s">
        <v>22806</v>
      </c>
      <c r="AV2783">
        <v>20</v>
      </c>
      <c r="AW2783" s="184">
        <v>42965</v>
      </c>
      <c r="AX2783" t="s">
        <v>22807</v>
      </c>
      <c r="AY2783">
        <v>35</v>
      </c>
      <c r="AZ2783" s="184">
        <v>37958</v>
      </c>
      <c r="BA2783" t="s">
        <v>22808</v>
      </c>
      <c r="BB2783">
        <v>50</v>
      </c>
      <c r="BC2783">
        <v>40</v>
      </c>
      <c r="BD2783">
        <v>340</v>
      </c>
      <c r="BE2783">
        <v>2003</v>
      </c>
      <c r="BF2783">
        <v>11</v>
      </c>
      <c r="BI2783">
        <v>9</v>
      </c>
      <c r="BJ2783">
        <v>23</v>
      </c>
      <c r="BK2783">
        <v>3</v>
      </c>
    </row>
    <row r="2784" spans="1:68">
      <c r="A2784">
        <v>100097277</v>
      </c>
      <c r="B2784">
        <v>35287762</v>
      </c>
      <c r="C2784" t="s">
        <v>7018</v>
      </c>
      <c r="D2784" t="s">
        <v>595</v>
      </c>
      <c r="E2784" s="184">
        <v>43647</v>
      </c>
      <c r="G2784" s="184"/>
      <c r="I2784" s="184"/>
      <c r="K2784" s="184"/>
      <c r="M2784" s="184"/>
      <c r="O2784" s="184"/>
      <c r="P2784" t="s">
        <v>7045</v>
      </c>
      <c r="Q2784" t="s">
        <v>7020</v>
      </c>
      <c r="R2784" s="184">
        <v>14811</v>
      </c>
      <c r="S2784">
        <v>83</v>
      </c>
      <c r="U2784" t="s">
        <v>7031</v>
      </c>
      <c r="V2784" t="s">
        <v>4024</v>
      </c>
      <c r="X2784" t="s">
        <v>3555</v>
      </c>
      <c r="Z2784">
        <v>35287762</v>
      </c>
      <c r="AA2784" t="s">
        <v>7130</v>
      </c>
      <c r="AB2784" t="s">
        <v>3554</v>
      </c>
      <c r="AD2784" t="s">
        <v>3555</v>
      </c>
      <c r="AF2784" t="s">
        <v>22801</v>
      </c>
      <c r="AG2784" t="s">
        <v>22802</v>
      </c>
      <c r="AI2784" t="s">
        <v>22803</v>
      </c>
      <c r="AM2784" t="s">
        <v>22804</v>
      </c>
      <c r="AN2784" t="s">
        <v>2112</v>
      </c>
      <c r="AO2784" t="s">
        <v>22805</v>
      </c>
      <c r="AP2784" t="s">
        <v>7024</v>
      </c>
      <c r="AT2784" s="184"/>
      <c r="AW2784" s="184"/>
      <c r="AZ2784" s="184"/>
    </row>
    <row r="2785" spans="1:68">
      <c r="A2785">
        <v>35288372</v>
      </c>
      <c r="B2785">
        <v>35288372</v>
      </c>
      <c r="C2785" t="s">
        <v>7018</v>
      </c>
      <c r="E2785" s="184"/>
      <c r="G2785" s="184"/>
      <c r="I2785" s="184"/>
      <c r="K2785" s="184"/>
      <c r="M2785" s="184"/>
      <c r="N2785" t="s">
        <v>595</v>
      </c>
      <c r="O2785" s="184">
        <v>40618</v>
      </c>
      <c r="P2785" t="s">
        <v>7045</v>
      </c>
      <c r="Q2785" t="s">
        <v>7383</v>
      </c>
      <c r="R2785" s="184">
        <v>10677</v>
      </c>
      <c r="S2785">
        <v>95</v>
      </c>
      <c r="U2785" t="s">
        <v>7031</v>
      </c>
      <c r="V2785" t="s">
        <v>4502</v>
      </c>
      <c r="W2785" t="s">
        <v>2541</v>
      </c>
      <c r="X2785" t="s">
        <v>5513</v>
      </c>
      <c r="Y2785" t="s">
        <v>7047</v>
      </c>
      <c r="AF2785" t="s">
        <v>22809</v>
      </c>
      <c r="AG2785" t="s">
        <v>4502</v>
      </c>
      <c r="AI2785" t="s">
        <v>22810</v>
      </c>
      <c r="AM2785" t="s">
        <v>5514</v>
      </c>
      <c r="AN2785" t="s">
        <v>2162</v>
      </c>
      <c r="AO2785" t="s">
        <v>22811</v>
      </c>
      <c r="AP2785" t="s">
        <v>7024</v>
      </c>
      <c r="AT2785" s="184">
        <v>37480</v>
      </c>
      <c r="AU2785" t="s">
        <v>22812</v>
      </c>
      <c r="AV2785">
        <v>10</v>
      </c>
      <c r="AW2785" s="184">
        <v>45317</v>
      </c>
      <c r="AX2785" t="s">
        <v>13171</v>
      </c>
      <c r="AY2785">
        <v>50</v>
      </c>
      <c r="AZ2785" s="184">
        <v>42815</v>
      </c>
      <c r="BA2785" t="s">
        <v>7267</v>
      </c>
      <c r="BB2785">
        <v>10000</v>
      </c>
      <c r="BC2785">
        <v>79</v>
      </c>
      <c r="BD2785">
        <v>50590</v>
      </c>
      <c r="BE2785">
        <v>2003</v>
      </c>
      <c r="BF2785">
        <v>28</v>
      </c>
      <c r="BG2785">
        <v>2</v>
      </c>
      <c r="BH2785">
        <v>90</v>
      </c>
      <c r="BI2785">
        <v>18</v>
      </c>
      <c r="BJ2785">
        <v>23</v>
      </c>
      <c r="BK2785">
        <v>5</v>
      </c>
      <c r="BP2785" s="184"/>
    </row>
    <row r="2786" spans="1:68">
      <c r="A2786">
        <v>35290303</v>
      </c>
      <c r="B2786">
        <v>35290303</v>
      </c>
      <c r="C2786" t="s">
        <v>7018</v>
      </c>
      <c r="E2786" s="184"/>
      <c r="G2786" s="184"/>
      <c r="I2786" s="184"/>
      <c r="K2786" s="184"/>
      <c r="L2786" t="s">
        <v>595</v>
      </c>
      <c r="M2786" s="184">
        <v>43923</v>
      </c>
      <c r="O2786" s="184"/>
      <c r="P2786" t="s">
        <v>7045</v>
      </c>
      <c r="Q2786" t="s">
        <v>7383</v>
      </c>
      <c r="R2786" s="184">
        <v>14469</v>
      </c>
      <c r="S2786">
        <v>84</v>
      </c>
      <c r="V2786" t="s">
        <v>22813</v>
      </c>
      <c r="X2786" t="s">
        <v>22814</v>
      </c>
      <c r="AF2786" t="s">
        <v>22815</v>
      </c>
      <c r="AG2786" t="s">
        <v>22813</v>
      </c>
      <c r="AI2786" t="s">
        <v>22816</v>
      </c>
      <c r="AM2786" t="s">
        <v>3803</v>
      </c>
      <c r="AN2786" t="s">
        <v>2059</v>
      </c>
      <c r="AO2786" t="s">
        <v>22817</v>
      </c>
      <c r="AP2786" t="s">
        <v>7024</v>
      </c>
      <c r="AQ2786" t="s">
        <v>22818</v>
      </c>
      <c r="AT2786" s="184">
        <v>37481</v>
      </c>
      <c r="AU2786" t="s">
        <v>22819</v>
      </c>
      <c r="AV2786">
        <v>25</v>
      </c>
      <c r="AW2786" s="184">
        <v>43910</v>
      </c>
      <c r="AX2786" t="s">
        <v>22820</v>
      </c>
      <c r="AY2786">
        <v>200</v>
      </c>
      <c r="AZ2786" s="184">
        <v>43910</v>
      </c>
      <c r="BA2786" t="s">
        <v>22820</v>
      </c>
      <c r="BB2786">
        <v>200</v>
      </c>
      <c r="BC2786">
        <v>35</v>
      </c>
      <c r="BD2786">
        <v>710</v>
      </c>
      <c r="BE2786">
        <v>2003</v>
      </c>
      <c r="BF2786">
        <v>8</v>
      </c>
      <c r="BI2786">
        <v>8</v>
      </c>
      <c r="BJ2786">
        <v>23</v>
      </c>
      <c r="BK2786">
        <v>2</v>
      </c>
      <c r="BN2786" t="s">
        <v>595</v>
      </c>
      <c r="BP2786" s="184"/>
    </row>
    <row r="2787" spans="1:68">
      <c r="A2787">
        <v>35292853</v>
      </c>
      <c r="B2787">
        <v>35292853</v>
      </c>
      <c r="C2787" t="s">
        <v>7018</v>
      </c>
      <c r="E2787" s="184"/>
      <c r="G2787" s="184"/>
      <c r="I2787" s="184"/>
      <c r="J2787" t="s">
        <v>595</v>
      </c>
      <c r="K2787" s="184">
        <v>37487</v>
      </c>
      <c r="M2787" s="184"/>
      <c r="P2787" t="s">
        <v>8550</v>
      </c>
      <c r="Q2787" t="s">
        <v>7160</v>
      </c>
      <c r="R2787" s="184"/>
      <c r="U2787" t="s">
        <v>7130</v>
      </c>
      <c r="V2787" t="s">
        <v>3317</v>
      </c>
      <c r="X2787" t="s">
        <v>18560</v>
      </c>
      <c r="AF2787" t="s">
        <v>6796</v>
      </c>
      <c r="AG2787" t="s">
        <v>3317</v>
      </c>
      <c r="AI2787" t="s">
        <v>22821</v>
      </c>
      <c r="AM2787" t="s">
        <v>9138</v>
      </c>
      <c r="AN2787" t="s">
        <v>2446</v>
      </c>
      <c r="AO2787">
        <v>29667</v>
      </c>
      <c r="AP2787" t="s">
        <v>7024</v>
      </c>
      <c r="AT2787" s="184"/>
      <c r="AW2787" s="184"/>
      <c r="AZ2787" s="184"/>
      <c r="BP2787" s="184"/>
    </row>
    <row r="2788" spans="1:68">
      <c r="A2788">
        <v>35319961</v>
      </c>
      <c r="B2788">
        <v>35319961</v>
      </c>
      <c r="C2788" t="s">
        <v>7018</v>
      </c>
      <c r="E2788" s="184"/>
      <c r="G2788" s="184"/>
      <c r="I2788" s="184"/>
      <c r="J2788" t="s">
        <v>595</v>
      </c>
      <c r="K2788" s="184">
        <v>39749</v>
      </c>
      <c r="M2788" s="184"/>
      <c r="O2788" s="184"/>
      <c r="P2788" t="s">
        <v>7045</v>
      </c>
      <c r="Q2788" t="s">
        <v>7383</v>
      </c>
      <c r="R2788" s="184">
        <v>21947</v>
      </c>
      <c r="S2788">
        <v>64</v>
      </c>
      <c r="U2788" t="s">
        <v>7031</v>
      </c>
      <c r="V2788" t="s">
        <v>17278</v>
      </c>
      <c r="X2788" t="s">
        <v>2597</v>
      </c>
      <c r="Z2788">
        <v>100219650</v>
      </c>
      <c r="AB2788" t="s">
        <v>22822</v>
      </c>
      <c r="AD2788" t="s">
        <v>2597</v>
      </c>
      <c r="AF2788" t="s">
        <v>6582</v>
      </c>
      <c r="AG2788" t="s">
        <v>22823</v>
      </c>
      <c r="AI2788" t="s">
        <v>22824</v>
      </c>
      <c r="AM2788" t="s">
        <v>15826</v>
      </c>
      <c r="AN2788" t="s">
        <v>2313</v>
      </c>
      <c r="AO2788" t="s">
        <v>22825</v>
      </c>
      <c r="AP2788" t="s">
        <v>7024</v>
      </c>
      <c r="AQ2788" t="s">
        <v>22826</v>
      </c>
      <c r="AT2788" s="184">
        <v>37509</v>
      </c>
      <c r="AU2788" t="s">
        <v>22827</v>
      </c>
      <c r="AV2788">
        <v>15</v>
      </c>
      <c r="AW2788" s="184">
        <v>41110</v>
      </c>
      <c r="AX2788" t="s">
        <v>22828</v>
      </c>
      <c r="AY2788">
        <v>60</v>
      </c>
      <c r="AZ2788" s="184">
        <v>41054</v>
      </c>
      <c r="BA2788" t="s">
        <v>22829</v>
      </c>
      <c r="BB2788">
        <v>130</v>
      </c>
      <c r="BC2788">
        <v>35</v>
      </c>
      <c r="BD2788">
        <v>540</v>
      </c>
      <c r="BE2788">
        <v>2003</v>
      </c>
      <c r="BF2788">
        <v>14</v>
      </c>
      <c r="BI2788">
        <v>8</v>
      </c>
      <c r="BJ2788">
        <v>23</v>
      </c>
      <c r="BK2788">
        <v>6</v>
      </c>
      <c r="BM2788" t="s">
        <v>595</v>
      </c>
      <c r="BN2788" t="s">
        <v>595</v>
      </c>
      <c r="BP2788" s="184"/>
    </row>
    <row r="2789" spans="1:68">
      <c r="A2789">
        <v>100219650</v>
      </c>
      <c r="B2789">
        <v>35319961</v>
      </c>
      <c r="C2789" t="s">
        <v>7018</v>
      </c>
      <c r="E2789" s="184"/>
      <c r="G2789" s="184"/>
      <c r="I2789" s="184"/>
      <c r="J2789" t="s">
        <v>595</v>
      </c>
      <c r="K2789" s="184">
        <v>43654</v>
      </c>
      <c r="O2789" s="184"/>
      <c r="P2789" t="s">
        <v>7045</v>
      </c>
      <c r="Q2789" t="s">
        <v>7383</v>
      </c>
      <c r="R2789" s="184"/>
      <c r="V2789" t="s">
        <v>22822</v>
      </c>
      <c r="X2789" t="s">
        <v>2597</v>
      </c>
      <c r="Z2789">
        <v>35319961</v>
      </c>
      <c r="AA2789" t="s">
        <v>7031</v>
      </c>
      <c r="AB2789" t="s">
        <v>17278</v>
      </c>
      <c r="AD2789" t="s">
        <v>2597</v>
      </c>
      <c r="AF2789" t="s">
        <v>6582</v>
      </c>
      <c r="AG2789" t="s">
        <v>22823</v>
      </c>
      <c r="AI2789" t="s">
        <v>22824</v>
      </c>
      <c r="AM2789" t="s">
        <v>15826</v>
      </c>
      <c r="AN2789" t="s">
        <v>2313</v>
      </c>
      <c r="AO2789" t="s">
        <v>22825</v>
      </c>
      <c r="AP2789" t="s">
        <v>7024</v>
      </c>
      <c r="AT2789" s="184"/>
      <c r="AW2789" s="184"/>
      <c r="AZ2789" s="184"/>
      <c r="BP2789" s="184"/>
    </row>
    <row r="2790" spans="1:68">
      <c r="A2790">
        <v>35324003</v>
      </c>
      <c r="B2790">
        <v>35324003</v>
      </c>
      <c r="C2790" t="s">
        <v>7018</v>
      </c>
      <c r="D2790" t="s">
        <v>595</v>
      </c>
      <c r="E2790" s="184">
        <v>45140</v>
      </c>
      <c r="G2790" s="184"/>
      <c r="I2790" s="184"/>
      <c r="K2790" s="184"/>
      <c r="M2790" s="184"/>
      <c r="P2790" t="s">
        <v>7045</v>
      </c>
      <c r="Q2790" t="s">
        <v>7262</v>
      </c>
      <c r="R2790" s="184">
        <v>22950</v>
      </c>
      <c r="S2790">
        <v>61</v>
      </c>
      <c r="V2790" t="s">
        <v>3478</v>
      </c>
      <c r="X2790" t="s">
        <v>4034</v>
      </c>
      <c r="AF2790" t="s">
        <v>22830</v>
      </c>
      <c r="AG2790" t="s">
        <v>3478</v>
      </c>
      <c r="AI2790" t="s">
        <v>22831</v>
      </c>
      <c r="AM2790" t="s">
        <v>2616</v>
      </c>
      <c r="AN2790" t="s">
        <v>2069</v>
      </c>
      <c r="AO2790" t="s">
        <v>22832</v>
      </c>
      <c r="AP2790" t="s">
        <v>7024</v>
      </c>
      <c r="AQ2790" t="s">
        <v>22833</v>
      </c>
      <c r="AR2790" t="s">
        <v>22834</v>
      </c>
      <c r="AT2790" s="184">
        <v>37511</v>
      </c>
      <c r="AU2790" t="s">
        <v>22835</v>
      </c>
      <c r="AV2790">
        <v>25</v>
      </c>
      <c r="AW2790" s="184">
        <v>45187</v>
      </c>
      <c r="AX2790" t="s">
        <v>22836</v>
      </c>
      <c r="AY2790">
        <v>100</v>
      </c>
      <c r="AZ2790" s="184">
        <v>45187</v>
      </c>
      <c r="BA2790" t="s">
        <v>22836</v>
      </c>
      <c r="BB2790">
        <v>100</v>
      </c>
      <c r="BC2790">
        <v>83</v>
      </c>
      <c r="BD2790">
        <v>1495</v>
      </c>
      <c r="BE2790">
        <v>2003</v>
      </c>
      <c r="BF2790">
        <v>20</v>
      </c>
      <c r="BG2790">
        <v>1</v>
      </c>
      <c r="BH2790">
        <v>100</v>
      </c>
      <c r="BI2790">
        <v>19</v>
      </c>
      <c r="BJ2790">
        <v>23</v>
      </c>
      <c r="BK2790">
        <v>14</v>
      </c>
      <c r="BP2790" s="184"/>
    </row>
    <row r="2791" spans="1:68">
      <c r="A2791">
        <v>35341254</v>
      </c>
      <c r="B2791">
        <v>35341254</v>
      </c>
      <c r="C2791" t="s">
        <v>7018</v>
      </c>
      <c r="E2791" s="184"/>
      <c r="G2791" s="184"/>
      <c r="I2791" s="184"/>
      <c r="J2791" t="s">
        <v>595</v>
      </c>
      <c r="K2791" s="184">
        <v>37554</v>
      </c>
      <c r="O2791" s="184"/>
      <c r="P2791" t="s">
        <v>7045</v>
      </c>
      <c r="Q2791" t="s">
        <v>7374</v>
      </c>
      <c r="R2791" s="184">
        <v>19633</v>
      </c>
      <c r="S2791">
        <v>70</v>
      </c>
      <c r="U2791" t="s">
        <v>7031</v>
      </c>
      <c r="V2791" t="s">
        <v>4587</v>
      </c>
      <c r="W2791" t="s">
        <v>7560</v>
      </c>
      <c r="X2791" t="s">
        <v>22837</v>
      </c>
      <c r="AF2791" t="s">
        <v>6740</v>
      </c>
      <c r="AG2791" t="s">
        <v>4587</v>
      </c>
      <c r="AI2791" t="s">
        <v>22838</v>
      </c>
      <c r="AM2791" t="s">
        <v>22839</v>
      </c>
      <c r="AN2791" t="s">
        <v>2081</v>
      </c>
      <c r="AO2791" t="s">
        <v>22840</v>
      </c>
      <c r="AP2791" t="s">
        <v>7024</v>
      </c>
      <c r="AT2791" s="184">
        <v>37515</v>
      </c>
      <c r="AU2791" t="s">
        <v>22841</v>
      </c>
      <c r="AV2791">
        <v>15</v>
      </c>
      <c r="AW2791" s="184">
        <v>37515</v>
      </c>
      <c r="AX2791" t="s">
        <v>22841</v>
      </c>
      <c r="AY2791">
        <v>15</v>
      </c>
      <c r="AZ2791" s="184">
        <v>37515</v>
      </c>
      <c r="BA2791" t="s">
        <v>22841</v>
      </c>
      <c r="BB2791">
        <v>15</v>
      </c>
      <c r="BC2791">
        <v>5</v>
      </c>
      <c r="BD2791">
        <v>15</v>
      </c>
      <c r="BE2791">
        <v>2003</v>
      </c>
      <c r="BF2791">
        <v>1</v>
      </c>
      <c r="BI2791">
        <v>1</v>
      </c>
      <c r="BJ2791">
        <v>23</v>
      </c>
      <c r="BK2791">
        <v>1</v>
      </c>
      <c r="BP2791" s="184"/>
    </row>
    <row r="2792" spans="1:68">
      <c r="A2792">
        <v>35344217</v>
      </c>
      <c r="B2792">
        <v>35344217</v>
      </c>
      <c r="C2792" t="s">
        <v>7018</v>
      </c>
      <c r="D2792" t="s">
        <v>595</v>
      </c>
      <c r="E2792" s="184">
        <v>45147</v>
      </c>
      <c r="G2792" s="184"/>
      <c r="I2792" s="184"/>
      <c r="K2792" s="184"/>
      <c r="M2792" s="184"/>
      <c r="P2792" t="s">
        <v>7019</v>
      </c>
      <c r="Q2792" t="s">
        <v>7383</v>
      </c>
      <c r="R2792" s="184">
        <v>16915</v>
      </c>
      <c r="S2792">
        <v>78</v>
      </c>
      <c r="U2792" t="s">
        <v>7076</v>
      </c>
      <c r="V2792" t="s">
        <v>7290</v>
      </c>
      <c r="W2792" t="s">
        <v>2058</v>
      </c>
      <c r="X2792" t="s">
        <v>22842</v>
      </c>
      <c r="AF2792" t="s">
        <v>22843</v>
      </c>
      <c r="AG2792" t="s">
        <v>7290</v>
      </c>
      <c r="AI2792" t="s">
        <v>22844</v>
      </c>
      <c r="AM2792" t="s">
        <v>22845</v>
      </c>
      <c r="AN2792" t="s">
        <v>2274</v>
      </c>
      <c r="AO2792" t="s">
        <v>22846</v>
      </c>
      <c r="AP2792" t="s">
        <v>7024</v>
      </c>
      <c r="AQ2792" t="s">
        <v>22847</v>
      </c>
      <c r="AR2792" t="s">
        <v>22848</v>
      </c>
      <c r="AT2792" s="184">
        <v>37522</v>
      </c>
      <c r="AU2792" t="s">
        <v>22849</v>
      </c>
      <c r="AV2792">
        <v>15</v>
      </c>
      <c r="AW2792" s="184">
        <v>44260</v>
      </c>
      <c r="AX2792" t="s">
        <v>22850</v>
      </c>
      <c r="AY2792">
        <v>60</v>
      </c>
      <c r="AZ2792" s="184">
        <v>44260</v>
      </c>
      <c r="BA2792" t="s">
        <v>22850</v>
      </c>
      <c r="BB2792">
        <v>60</v>
      </c>
      <c r="BC2792">
        <v>22</v>
      </c>
      <c r="BD2792">
        <v>140</v>
      </c>
      <c r="BE2792">
        <v>2003</v>
      </c>
      <c r="BF2792">
        <v>5</v>
      </c>
      <c r="BI2792">
        <v>5</v>
      </c>
      <c r="BJ2792">
        <v>23</v>
      </c>
      <c r="BK2792">
        <v>2</v>
      </c>
      <c r="BN2792" t="s">
        <v>595</v>
      </c>
      <c r="BP2792" s="184"/>
    </row>
    <row r="2793" spans="1:68">
      <c r="A2793">
        <v>35345784</v>
      </c>
      <c r="B2793">
        <v>35345784</v>
      </c>
      <c r="C2793" t="s">
        <v>7018</v>
      </c>
      <c r="D2793" t="s">
        <v>595</v>
      </c>
      <c r="E2793" s="184">
        <v>43619</v>
      </c>
      <c r="G2793" s="184"/>
      <c r="I2793" s="184"/>
      <c r="K2793" s="184"/>
      <c r="M2793" s="184"/>
      <c r="P2793" t="s">
        <v>7045</v>
      </c>
      <c r="Q2793" t="s">
        <v>7262</v>
      </c>
      <c r="R2793" s="184">
        <v>12122</v>
      </c>
      <c r="S2793">
        <v>91</v>
      </c>
      <c r="V2793" t="s">
        <v>2687</v>
      </c>
      <c r="X2793" t="s">
        <v>2885</v>
      </c>
      <c r="AF2793" t="s">
        <v>22851</v>
      </c>
      <c r="AG2793" t="s">
        <v>2687</v>
      </c>
      <c r="AI2793" t="s">
        <v>22852</v>
      </c>
      <c r="AM2793" t="s">
        <v>2886</v>
      </c>
      <c r="AN2793" t="s">
        <v>2106</v>
      </c>
      <c r="AO2793" t="s">
        <v>22853</v>
      </c>
      <c r="AP2793" t="s">
        <v>7024</v>
      </c>
      <c r="AQ2793" t="s">
        <v>22854</v>
      </c>
      <c r="AT2793" s="184">
        <v>37523</v>
      </c>
      <c r="AU2793" t="s">
        <v>22855</v>
      </c>
      <c r="AV2793">
        <v>15</v>
      </c>
      <c r="AW2793" s="184">
        <v>45175</v>
      </c>
      <c r="AX2793" t="s">
        <v>22856</v>
      </c>
      <c r="AY2793">
        <v>26.25</v>
      </c>
      <c r="AZ2793" s="184">
        <v>45175</v>
      </c>
      <c r="BA2793" t="s">
        <v>22856</v>
      </c>
      <c r="BB2793">
        <v>26.25</v>
      </c>
      <c r="BC2793">
        <v>96</v>
      </c>
      <c r="BD2793">
        <v>986.25</v>
      </c>
      <c r="BE2793">
        <v>2003</v>
      </c>
      <c r="BF2793">
        <v>40</v>
      </c>
      <c r="BG2793">
        <v>2</v>
      </c>
      <c r="BH2793">
        <v>51.25</v>
      </c>
      <c r="BI2793">
        <v>22</v>
      </c>
      <c r="BJ2793">
        <v>23</v>
      </c>
      <c r="BK2793">
        <v>22</v>
      </c>
      <c r="BP2793" s="184"/>
    </row>
    <row r="2794" spans="1:68">
      <c r="A2794">
        <v>35351980</v>
      </c>
      <c r="B2794">
        <v>35351980</v>
      </c>
      <c r="C2794" t="s">
        <v>7018</v>
      </c>
      <c r="D2794" t="s">
        <v>595</v>
      </c>
      <c r="E2794" s="184">
        <v>45148</v>
      </c>
      <c r="G2794" s="184"/>
      <c r="I2794" s="184"/>
      <c r="K2794" s="184"/>
      <c r="M2794" s="184"/>
      <c r="P2794" t="s">
        <v>7045</v>
      </c>
      <c r="Q2794" t="s">
        <v>7494</v>
      </c>
      <c r="R2794" s="184">
        <v>22816</v>
      </c>
      <c r="S2794">
        <v>61</v>
      </c>
      <c r="U2794" t="s">
        <v>7031</v>
      </c>
      <c r="V2794" t="s">
        <v>2665</v>
      </c>
      <c r="W2794" t="s">
        <v>2049</v>
      </c>
      <c r="X2794" t="s">
        <v>22857</v>
      </c>
      <c r="AF2794" t="s">
        <v>22858</v>
      </c>
      <c r="AG2794" t="s">
        <v>2665</v>
      </c>
      <c r="AI2794" t="s">
        <v>22859</v>
      </c>
      <c r="AM2794" t="s">
        <v>12031</v>
      </c>
      <c r="AN2794" t="s">
        <v>2484</v>
      </c>
      <c r="AO2794" t="s">
        <v>22860</v>
      </c>
      <c r="AP2794" t="s">
        <v>7024</v>
      </c>
      <c r="AQ2794" t="s">
        <v>22861</v>
      </c>
      <c r="AT2794" s="184">
        <v>37526</v>
      </c>
      <c r="AU2794" t="s">
        <v>22862</v>
      </c>
      <c r="AV2794">
        <v>20</v>
      </c>
      <c r="AW2794" s="184">
        <v>45264</v>
      </c>
      <c r="AX2794" t="s">
        <v>22863</v>
      </c>
      <c r="AY2794">
        <v>25</v>
      </c>
      <c r="AZ2794" s="184">
        <v>42569</v>
      </c>
      <c r="BA2794" t="s">
        <v>22864</v>
      </c>
      <c r="BB2794">
        <v>60</v>
      </c>
      <c r="BC2794">
        <v>79</v>
      </c>
      <c r="BD2794">
        <v>540</v>
      </c>
      <c r="BE2794">
        <v>2003</v>
      </c>
      <c r="BF2794">
        <v>20</v>
      </c>
      <c r="BG2794">
        <v>3</v>
      </c>
      <c r="BH2794">
        <v>75</v>
      </c>
      <c r="BI2794">
        <v>18</v>
      </c>
      <c r="BJ2794">
        <v>23</v>
      </c>
      <c r="BK2794">
        <v>11</v>
      </c>
    </row>
    <row r="2795" spans="1:68">
      <c r="A2795">
        <v>35352707</v>
      </c>
      <c r="B2795">
        <v>35352707</v>
      </c>
      <c r="C2795" t="s">
        <v>7018</v>
      </c>
      <c r="E2795" s="184"/>
      <c r="G2795" s="184"/>
      <c r="I2795" s="184"/>
      <c r="J2795" t="s">
        <v>595</v>
      </c>
      <c r="K2795" s="184">
        <v>41641</v>
      </c>
      <c r="O2795" s="184"/>
      <c r="P2795" t="s">
        <v>7045</v>
      </c>
      <c r="Q2795" t="s">
        <v>7383</v>
      </c>
      <c r="R2795" s="184">
        <v>14400</v>
      </c>
      <c r="S2795">
        <v>84</v>
      </c>
      <c r="U2795" t="s">
        <v>7076</v>
      </c>
      <c r="V2795" t="s">
        <v>22865</v>
      </c>
      <c r="W2795" t="s">
        <v>11427</v>
      </c>
      <c r="X2795" t="s">
        <v>22866</v>
      </c>
      <c r="AF2795" t="s">
        <v>6447</v>
      </c>
      <c r="AG2795" t="s">
        <v>22865</v>
      </c>
      <c r="AI2795" t="s">
        <v>22867</v>
      </c>
      <c r="AM2795" t="s">
        <v>22868</v>
      </c>
      <c r="AN2795" t="s">
        <v>2059</v>
      </c>
      <c r="AO2795" t="s">
        <v>22869</v>
      </c>
      <c r="AP2795" t="s">
        <v>7024</v>
      </c>
      <c r="AQ2795" t="s">
        <v>22870</v>
      </c>
      <c r="AR2795" t="s">
        <v>22871</v>
      </c>
      <c r="AT2795" s="184">
        <v>37526</v>
      </c>
      <c r="AU2795" t="s">
        <v>22872</v>
      </c>
      <c r="AV2795">
        <v>25</v>
      </c>
      <c r="AW2795" s="184">
        <v>44763</v>
      </c>
      <c r="AX2795" t="s">
        <v>22873</v>
      </c>
      <c r="AY2795">
        <v>25</v>
      </c>
      <c r="AZ2795" s="184">
        <v>41382</v>
      </c>
      <c r="BA2795" t="s">
        <v>22874</v>
      </c>
      <c r="BB2795">
        <v>100</v>
      </c>
      <c r="BC2795">
        <v>83</v>
      </c>
      <c r="BD2795">
        <v>1015</v>
      </c>
      <c r="BE2795">
        <v>2003</v>
      </c>
      <c r="BF2795">
        <v>25</v>
      </c>
      <c r="BG2795">
        <v>1</v>
      </c>
      <c r="BH2795">
        <v>25</v>
      </c>
      <c r="BI2795">
        <v>19</v>
      </c>
      <c r="BJ2795">
        <v>23</v>
      </c>
      <c r="BK2795">
        <v>9</v>
      </c>
      <c r="BP2795" s="184"/>
    </row>
    <row r="2796" spans="1:68">
      <c r="A2796">
        <v>35358035</v>
      </c>
      <c r="B2796">
        <v>35358035</v>
      </c>
      <c r="C2796" t="s">
        <v>7018</v>
      </c>
      <c r="D2796" t="s">
        <v>595</v>
      </c>
      <c r="E2796" s="184">
        <v>43745</v>
      </c>
      <c r="G2796" s="184"/>
      <c r="I2796" s="184"/>
      <c r="K2796" s="184"/>
      <c r="M2796" s="184"/>
      <c r="P2796" t="s">
        <v>7045</v>
      </c>
      <c r="Q2796" t="s">
        <v>7383</v>
      </c>
      <c r="R2796" s="184">
        <v>13432</v>
      </c>
      <c r="S2796">
        <v>87</v>
      </c>
      <c r="V2796" t="s">
        <v>4140</v>
      </c>
      <c r="X2796" t="s">
        <v>4141</v>
      </c>
      <c r="AF2796" t="s">
        <v>22875</v>
      </c>
      <c r="AG2796" t="s">
        <v>4140</v>
      </c>
      <c r="AI2796" t="s">
        <v>22876</v>
      </c>
      <c r="AM2796" t="s">
        <v>3815</v>
      </c>
      <c r="AN2796" t="s">
        <v>2059</v>
      </c>
      <c r="AO2796" t="s">
        <v>22877</v>
      </c>
      <c r="AP2796" t="s">
        <v>7024</v>
      </c>
      <c r="AT2796" s="184">
        <v>37531</v>
      </c>
      <c r="AU2796" t="s">
        <v>22878</v>
      </c>
      <c r="AV2796">
        <v>10</v>
      </c>
      <c r="AW2796" s="184">
        <v>43161</v>
      </c>
      <c r="AX2796" t="s">
        <v>22879</v>
      </c>
      <c r="AY2796">
        <v>10</v>
      </c>
      <c r="AZ2796" s="184">
        <v>41697</v>
      </c>
      <c r="BA2796" t="s">
        <v>22880</v>
      </c>
      <c r="BB2796">
        <v>15</v>
      </c>
      <c r="BC2796">
        <v>70</v>
      </c>
      <c r="BD2796">
        <v>445</v>
      </c>
      <c r="BE2796">
        <v>2003</v>
      </c>
      <c r="BF2796">
        <v>48</v>
      </c>
      <c r="BI2796">
        <v>16</v>
      </c>
      <c r="BJ2796">
        <v>23</v>
      </c>
      <c r="BK2796">
        <v>9</v>
      </c>
      <c r="BP2796" s="184"/>
    </row>
    <row r="2797" spans="1:68">
      <c r="A2797">
        <v>35427616</v>
      </c>
      <c r="B2797">
        <v>35427616</v>
      </c>
      <c r="C2797" t="s">
        <v>7018</v>
      </c>
      <c r="D2797" t="s">
        <v>595</v>
      </c>
      <c r="E2797" s="184">
        <v>44046</v>
      </c>
      <c r="G2797" s="184"/>
      <c r="I2797" s="184"/>
      <c r="K2797" s="184"/>
      <c r="M2797" s="184"/>
      <c r="P2797" t="s">
        <v>7045</v>
      </c>
      <c r="Q2797" t="s">
        <v>7020</v>
      </c>
      <c r="R2797" s="184">
        <v>18629</v>
      </c>
      <c r="S2797">
        <v>73</v>
      </c>
      <c r="U2797" t="s">
        <v>7031</v>
      </c>
      <c r="V2797" t="s">
        <v>4363</v>
      </c>
      <c r="W2797" t="s">
        <v>8224</v>
      </c>
      <c r="X2797" t="s">
        <v>22881</v>
      </c>
      <c r="Y2797" t="s">
        <v>7047</v>
      </c>
      <c r="AF2797" t="s">
        <v>22882</v>
      </c>
      <c r="AG2797" t="s">
        <v>4363</v>
      </c>
      <c r="AI2797" t="s">
        <v>22883</v>
      </c>
      <c r="AM2797" t="s">
        <v>22884</v>
      </c>
      <c r="AN2797" t="s">
        <v>2112</v>
      </c>
      <c r="AO2797" t="s">
        <v>22885</v>
      </c>
      <c r="AP2797" t="s">
        <v>7024</v>
      </c>
      <c r="AQ2797" t="s">
        <v>22886</v>
      </c>
      <c r="AT2797" s="184">
        <v>37537</v>
      </c>
      <c r="AU2797" t="s">
        <v>22887</v>
      </c>
      <c r="AV2797">
        <v>25</v>
      </c>
      <c r="AW2797" s="184">
        <v>45322</v>
      </c>
      <c r="AX2797" t="s">
        <v>7972</v>
      </c>
      <c r="AY2797">
        <v>150</v>
      </c>
      <c r="AZ2797" s="184">
        <v>45322</v>
      </c>
      <c r="BA2797" t="s">
        <v>7972</v>
      </c>
      <c r="BB2797">
        <v>150</v>
      </c>
      <c r="BC2797">
        <v>96</v>
      </c>
      <c r="BD2797">
        <v>2210</v>
      </c>
      <c r="BE2797">
        <v>2003</v>
      </c>
      <c r="BF2797">
        <v>28</v>
      </c>
      <c r="BG2797">
        <v>2</v>
      </c>
      <c r="BH2797">
        <v>250</v>
      </c>
      <c r="BI2797">
        <v>22</v>
      </c>
      <c r="BJ2797">
        <v>23</v>
      </c>
      <c r="BK2797">
        <v>20</v>
      </c>
      <c r="BP2797" s="184"/>
    </row>
    <row r="2798" spans="1:68">
      <c r="A2798">
        <v>35451616</v>
      </c>
      <c r="B2798">
        <v>35451616</v>
      </c>
      <c r="C2798" t="s">
        <v>7018</v>
      </c>
      <c r="D2798" t="s">
        <v>595</v>
      </c>
      <c r="E2798" s="184">
        <v>43773</v>
      </c>
      <c r="G2798" s="184"/>
      <c r="I2798" s="184"/>
      <c r="K2798" s="184"/>
      <c r="M2798" s="184"/>
      <c r="O2798" s="184"/>
      <c r="P2798" t="s">
        <v>7045</v>
      </c>
      <c r="Q2798" t="s">
        <v>7374</v>
      </c>
      <c r="R2798" s="184">
        <v>17685</v>
      </c>
      <c r="S2798">
        <v>75</v>
      </c>
      <c r="V2798" t="s">
        <v>2687</v>
      </c>
      <c r="W2798" t="s">
        <v>7246</v>
      </c>
      <c r="X2798" t="s">
        <v>3539</v>
      </c>
      <c r="AF2798" t="s">
        <v>22888</v>
      </c>
      <c r="AG2798" t="s">
        <v>2687</v>
      </c>
      <c r="AI2798" t="s">
        <v>22889</v>
      </c>
      <c r="AM2798" t="s">
        <v>4268</v>
      </c>
      <c r="AN2798" t="s">
        <v>2081</v>
      </c>
      <c r="AO2798" t="s">
        <v>22890</v>
      </c>
      <c r="AP2798" t="s">
        <v>7024</v>
      </c>
      <c r="AQ2798" t="s">
        <v>22891</v>
      </c>
      <c r="AR2798" t="s">
        <v>22892</v>
      </c>
      <c r="AT2798" s="184">
        <v>37543</v>
      </c>
      <c r="AU2798" t="s">
        <v>22893</v>
      </c>
      <c r="AV2798">
        <v>5</v>
      </c>
      <c r="AW2798" s="184">
        <v>45126</v>
      </c>
      <c r="AX2798" t="s">
        <v>22894</v>
      </c>
      <c r="AY2798">
        <v>20</v>
      </c>
      <c r="AZ2798" s="184">
        <v>41495</v>
      </c>
      <c r="BA2798" t="s">
        <v>22895</v>
      </c>
      <c r="BB2798">
        <v>60</v>
      </c>
      <c r="BC2798">
        <v>70</v>
      </c>
      <c r="BD2798">
        <v>745</v>
      </c>
      <c r="BE2798">
        <v>2003</v>
      </c>
      <c r="BF2798">
        <v>26</v>
      </c>
      <c r="BG2798">
        <v>1</v>
      </c>
      <c r="BH2798">
        <v>20</v>
      </c>
      <c r="BI2798">
        <v>16</v>
      </c>
      <c r="BJ2798">
        <v>23</v>
      </c>
      <c r="BK2798">
        <v>13</v>
      </c>
      <c r="BP2798" s="184"/>
    </row>
    <row r="2799" spans="1:68">
      <c r="A2799">
        <v>35456128</v>
      </c>
      <c r="B2799">
        <v>35456128</v>
      </c>
      <c r="C2799" t="s">
        <v>7018</v>
      </c>
      <c r="D2799" t="s">
        <v>595</v>
      </c>
      <c r="E2799" s="184">
        <v>45160</v>
      </c>
      <c r="G2799" s="184"/>
      <c r="I2799" s="184"/>
      <c r="K2799" s="184"/>
      <c r="M2799" s="184"/>
      <c r="P2799" t="s">
        <v>7045</v>
      </c>
      <c r="Q2799" t="s">
        <v>7494</v>
      </c>
      <c r="R2799" s="184">
        <v>23345</v>
      </c>
      <c r="S2799">
        <v>60</v>
      </c>
      <c r="U2799" t="s">
        <v>7031</v>
      </c>
      <c r="V2799" t="s">
        <v>7900</v>
      </c>
      <c r="W2799" t="s">
        <v>2049</v>
      </c>
      <c r="X2799" t="s">
        <v>8258</v>
      </c>
      <c r="AF2799" t="s">
        <v>22896</v>
      </c>
      <c r="AG2799" t="s">
        <v>7900</v>
      </c>
      <c r="AI2799" t="s">
        <v>22897</v>
      </c>
      <c r="AM2799" t="s">
        <v>3371</v>
      </c>
      <c r="AN2799" t="s">
        <v>2174</v>
      </c>
      <c r="AO2799" t="s">
        <v>22898</v>
      </c>
      <c r="AP2799" t="s">
        <v>7024</v>
      </c>
      <c r="AQ2799" t="s">
        <v>22899</v>
      </c>
      <c r="AR2799" t="s">
        <v>22900</v>
      </c>
      <c r="AT2799" s="184">
        <v>37543</v>
      </c>
      <c r="AU2799" t="s">
        <v>22901</v>
      </c>
      <c r="AV2799">
        <v>20</v>
      </c>
      <c r="AW2799" s="184">
        <v>45290</v>
      </c>
      <c r="AX2799" t="s">
        <v>11298</v>
      </c>
      <c r="AY2799">
        <v>50</v>
      </c>
      <c r="AZ2799" s="184">
        <v>41293</v>
      </c>
      <c r="BA2799" t="s">
        <v>22902</v>
      </c>
      <c r="BB2799">
        <v>100</v>
      </c>
      <c r="BC2799">
        <v>87</v>
      </c>
      <c r="BD2799">
        <v>955</v>
      </c>
      <c r="BE2799">
        <v>2003</v>
      </c>
      <c r="BF2799">
        <v>22</v>
      </c>
      <c r="BG2799">
        <v>2</v>
      </c>
      <c r="BH2799">
        <v>100</v>
      </c>
      <c r="BI2799">
        <v>20</v>
      </c>
      <c r="BJ2799">
        <v>23</v>
      </c>
      <c r="BK2799">
        <v>14</v>
      </c>
      <c r="BP2799" s="184"/>
    </row>
    <row r="2800" spans="1:68">
      <c r="A2800">
        <v>35467083</v>
      </c>
      <c r="B2800">
        <v>35467083</v>
      </c>
      <c r="C2800" t="s">
        <v>7018</v>
      </c>
      <c r="D2800" t="s">
        <v>595</v>
      </c>
      <c r="E2800" s="184">
        <v>44104</v>
      </c>
      <c r="G2800" s="184"/>
      <c r="I2800" s="184"/>
      <c r="K2800" s="184"/>
      <c r="M2800" s="184"/>
      <c r="O2800" s="184"/>
      <c r="P2800" t="s">
        <v>7045</v>
      </c>
      <c r="Q2800" t="s">
        <v>7494</v>
      </c>
      <c r="R2800" s="184">
        <v>16769</v>
      </c>
      <c r="S2800">
        <v>78</v>
      </c>
      <c r="V2800" t="s">
        <v>22903</v>
      </c>
      <c r="X2800" t="s">
        <v>22904</v>
      </c>
      <c r="AF2800" t="s">
        <v>22905</v>
      </c>
      <c r="AG2800" t="s">
        <v>22903</v>
      </c>
      <c r="AI2800" t="s">
        <v>22906</v>
      </c>
      <c r="AM2800" t="s">
        <v>3371</v>
      </c>
      <c r="AN2800" t="s">
        <v>2174</v>
      </c>
      <c r="AO2800" t="s">
        <v>22907</v>
      </c>
      <c r="AP2800" t="s">
        <v>7024</v>
      </c>
      <c r="AQ2800" t="s">
        <v>22908</v>
      </c>
      <c r="AT2800" s="184">
        <v>37545</v>
      </c>
      <c r="AU2800" t="s">
        <v>22887</v>
      </c>
      <c r="AV2800">
        <v>20</v>
      </c>
      <c r="AW2800" s="184">
        <v>45366</v>
      </c>
      <c r="AX2800" t="s">
        <v>22909</v>
      </c>
      <c r="AY2800">
        <v>100</v>
      </c>
      <c r="AZ2800" s="184">
        <v>45366</v>
      </c>
      <c r="BA2800" t="s">
        <v>22909</v>
      </c>
      <c r="BB2800">
        <v>100</v>
      </c>
      <c r="BC2800">
        <v>79</v>
      </c>
      <c r="BD2800">
        <v>1210</v>
      </c>
      <c r="BE2800">
        <v>2003</v>
      </c>
      <c r="BF2800">
        <v>23</v>
      </c>
      <c r="BG2800">
        <v>1</v>
      </c>
      <c r="BH2800">
        <v>100</v>
      </c>
      <c r="BI2800">
        <v>18</v>
      </c>
      <c r="BJ2800">
        <v>23</v>
      </c>
      <c r="BK2800">
        <v>9</v>
      </c>
      <c r="BP2800" s="184"/>
    </row>
    <row r="2801" spans="1:68">
      <c r="A2801">
        <v>35473594</v>
      </c>
      <c r="B2801">
        <v>35473594</v>
      </c>
      <c r="C2801" t="s">
        <v>7018</v>
      </c>
      <c r="E2801" s="184"/>
      <c r="G2801" s="184"/>
      <c r="H2801" t="s">
        <v>595</v>
      </c>
      <c r="I2801" s="184">
        <v>44328</v>
      </c>
      <c r="K2801" s="184"/>
      <c r="M2801" s="184"/>
      <c r="P2801" t="s">
        <v>7045</v>
      </c>
      <c r="Q2801" t="s">
        <v>7030</v>
      </c>
      <c r="R2801" s="184">
        <v>20149</v>
      </c>
      <c r="S2801">
        <v>69</v>
      </c>
      <c r="V2801" t="s">
        <v>3350</v>
      </c>
      <c r="X2801" t="s">
        <v>4958</v>
      </c>
      <c r="Z2801">
        <v>100097923</v>
      </c>
      <c r="AB2801" t="s">
        <v>22910</v>
      </c>
      <c r="AD2801" t="s">
        <v>4958</v>
      </c>
      <c r="AF2801" t="s">
        <v>22911</v>
      </c>
      <c r="AG2801" t="s">
        <v>22912</v>
      </c>
      <c r="AI2801" t="s">
        <v>22913</v>
      </c>
      <c r="AM2801" t="s">
        <v>2930</v>
      </c>
      <c r="AN2801" t="s">
        <v>2094</v>
      </c>
      <c r="AO2801" t="s">
        <v>22914</v>
      </c>
      <c r="AP2801" t="s">
        <v>7024</v>
      </c>
      <c r="AT2801" s="184">
        <v>37546</v>
      </c>
      <c r="AU2801" t="s">
        <v>22915</v>
      </c>
      <c r="AV2801">
        <v>25</v>
      </c>
      <c r="AW2801" s="184">
        <v>43959</v>
      </c>
      <c r="AX2801" t="s">
        <v>22916</v>
      </c>
      <c r="AY2801">
        <v>25</v>
      </c>
      <c r="AZ2801" s="184">
        <v>43959</v>
      </c>
      <c r="BA2801" t="s">
        <v>22916</v>
      </c>
      <c r="BB2801">
        <v>25</v>
      </c>
      <c r="BC2801">
        <v>57</v>
      </c>
      <c r="BD2801">
        <v>395</v>
      </c>
      <c r="BE2801">
        <v>2003</v>
      </c>
      <c r="BF2801">
        <v>16</v>
      </c>
      <c r="BI2801">
        <v>13</v>
      </c>
      <c r="BJ2801">
        <v>23</v>
      </c>
      <c r="BK2801">
        <v>5</v>
      </c>
      <c r="BP2801" s="184"/>
    </row>
    <row r="2802" spans="1:68">
      <c r="A2802">
        <v>100097923</v>
      </c>
      <c r="B2802">
        <v>35473594</v>
      </c>
      <c r="C2802" t="s">
        <v>7018</v>
      </c>
      <c r="E2802" s="184"/>
      <c r="G2802" s="184"/>
      <c r="H2802" t="s">
        <v>595</v>
      </c>
      <c r="I2802" s="184">
        <v>44328</v>
      </c>
      <c r="K2802" s="184"/>
      <c r="M2802" s="184"/>
      <c r="O2802" s="184"/>
      <c r="P2802" t="s">
        <v>7045</v>
      </c>
      <c r="Q2802" t="s">
        <v>7030</v>
      </c>
      <c r="R2802" s="184">
        <v>20149</v>
      </c>
      <c r="S2802">
        <v>69</v>
      </c>
      <c r="V2802" t="s">
        <v>22910</v>
      </c>
      <c r="X2802" t="s">
        <v>4958</v>
      </c>
      <c r="Z2802">
        <v>35473594</v>
      </c>
      <c r="AB2802" t="s">
        <v>3350</v>
      </c>
      <c r="AD2802" t="s">
        <v>4958</v>
      </c>
      <c r="AF2802" t="s">
        <v>22911</v>
      </c>
      <c r="AG2802" t="s">
        <v>22912</v>
      </c>
      <c r="AI2802" t="s">
        <v>22913</v>
      </c>
      <c r="AM2802" t="s">
        <v>2930</v>
      </c>
      <c r="AN2802" t="s">
        <v>2094</v>
      </c>
      <c r="AO2802" t="s">
        <v>22914</v>
      </c>
      <c r="AP2802" t="s">
        <v>7024</v>
      </c>
      <c r="AQ2802" t="s">
        <v>22917</v>
      </c>
      <c r="AT2802" s="184"/>
      <c r="AW2802" s="184"/>
      <c r="AZ2802" s="184"/>
      <c r="BP2802" s="184"/>
    </row>
    <row r="2803" spans="1:68">
      <c r="A2803">
        <v>35482272</v>
      </c>
      <c r="B2803">
        <v>35482272</v>
      </c>
      <c r="C2803" t="s">
        <v>7018</v>
      </c>
      <c r="D2803" t="s">
        <v>595</v>
      </c>
      <c r="E2803" s="184">
        <v>43866</v>
      </c>
      <c r="G2803" s="184"/>
      <c r="I2803" s="184"/>
      <c r="K2803" s="184"/>
      <c r="M2803" s="184"/>
      <c r="P2803" t="s">
        <v>7045</v>
      </c>
      <c r="Q2803" t="s">
        <v>7262</v>
      </c>
      <c r="R2803" s="184">
        <v>14426</v>
      </c>
      <c r="S2803">
        <v>84</v>
      </c>
      <c r="U2803" t="s">
        <v>7130</v>
      </c>
      <c r="V2803" t="s">
        <v>3072</v>
      </c>
      <c r="W2803" t="s">
        <v>2963</v>
      </c>
      <c r="X2803" t="s">
        <v>4746</v>
      </c>
      <c r="AF2803" t="s">
        <v>22918</v>
      </c>
      <c r="AG2803" t="s">
        <v>3072</v>
      </c>
      <c r="AI2803" t="s">
        <v>22919</v>
      </c>
      <c r="AM2803" t="s">
        <v>4351</v>
      </c>
      <c r="AN2803" t="s">
        <v>2069</v>
      </c>
      <c r="AO2803" t="s">
        <v>22920</v>
      </c>
      <c r="AP2803" t="s">
        <v>7024</v>
      </c>
      <c r="AQ2803" t="s">
        <v>22921</v>
      </c>
      <c r="AT2803" s="184">
        <v>37547</v>
      </c>
      <c r="AU2803" t="s">
        <v>22893</v>
      </c>
      <c r="AV2803">
        <v>20</v>
      </c>
      <c r="AW2803" s="184">
        <v>44750</v>
      </c>
      <c r="AX2803" t="s">
        <v>10468</v>
      </c>
      <c r="AY2803">
        <v>100</v>
      </c>
      <c r="AZ2803" s="184">
        <v>44750</v>
      </c>
      <c r="BA2803" t="s">
        <v>10468</v>
      </c>
      <c r="BB2803">
        <v>100</v>
      </c>
      <c r="BC2803">
        <v>44</v>
      </c>
      <c r="BD2803">
        <v>1430</v>
      </c>
      <c r="BE2803">
        <v>2003</v>
      </c>
      <c r="BF2803">
        <v>26</v>
      </c>
      <c r="BG2803">
        <v>1</v>
      </c>
      <c r="BH2803">
        <v>100</v>
      </c>
      <c r="BI2803">
        <v>10</v>
      </c>
      <c r="BJ2803">
        <v>23</v>
      </c>
      <c r="BK2803">
        <v>9</v>
      </c>
      <c r="BP2803" s="184"/>
    </row>
    <row r="2804" spans="1:68">
      <c r="A2804">
        <v>35491737</v>
      </c>
      <c r="B2804">
        <v>35491737</v>
      </c>
      <c r="C2804" t="s">
        <v>7018</v>
      </c>
      <c r="D2804" t="s">
        <v>595</v>
      </c>
      <c r="E2804" s="184">
        <v>43861</v>
      </c>
      <c r="G2804" s="184"/>
      <c r="I2804" s="184"/>
      <c r="J2804" t="s">
        <v>595</v>
      </c>
      <c r="K2804" s="184">
        <v>45370</v>
      </c>
      <c r="M2804" s="184"/>
      <c r="O2804" s="184"/>
      <c r="P2804" t="s">
        <v>7045</v>
      </c>
      <c r="Q2804" t="s">
        <v>7262</v>
      </c>
      <c r="R2804" s="184"/>
      <c r="V2804" t="s">
        <v>4578</v>
      </c>
      <c r="X2804" t="s">
        <v>4579</v>
      </c>
      <c r="AF2804" t="s">
        <v>22922</v>
      </c>
      <c r="AG2804" t="s">
        <v>4578</v>
      </c>
      <c r="AI2804" t="s">
        <v>22923</v>
      </c>
      <c r="AM2804" t="s">
        <v>13737</v>
      </c>
      <c r="AN2804" t="s">
        <v>2106</v>
      </c>
      <c r="AO2804" t="s">
        <v>22924</v>
      </c>
      <c r="AP2804" t="s">
        <v>7024</v>
      </c>
      <c r="AQ2804" t="s">
        <v>22925</v>
      </c>
      <c r="AT2804" s="184">
        <v>37551</v>
      </c>
      <c r="AU2804" t="s">
        <v>22926</v>
      </c>
      <c r="AV2804">
        <v>20</v>
      </c>
      <c r="AW2804" s="184">
        <v>44901</v>
      </c>
      <c r="AX2804" t="s">
        <v>22927</v>
      </c>
      <c r="AY2804">
        <v>35</v>
      </c>
      <c r="AZ2804" s="184">
        <v>42356</v>
      </c>
      <c r="BA2804" t="s">
        <v>17648</v>
      </c>
      <c r="BB2804">
        <v>87</v>
      </c>
      <c r="BC2804">
        <v>87</v>
      </c>
      <c r="BD2804">
        <v>1372</v>
      </c>
      <c r="BE2804">
        <v>2003</v>
      </c>
      <c r="BF2804">
        <v>51</v>
      </c>
      <c r="BG2804">
        <v>2</v>
      </c>
      <c r="BH2804">
        <v>60</v>
      </c>
      <c r="BI2804">
        <v>20</v>
      </c>
      <c r="BJ2804">
        <v>23</v>
      </c>
      <c r="BK2804">
        <v>18</v>
      </c>
      <c r="BP2804" s="184"/>
    </row>
    <row r="2805" spans="1:68">
      <c r="A2805">
        <v>35491752</v>
      </c>
      <c r="B2805">
        <v>35491752</v>
      </c>
      <c r="C2805" t="s">
        <v>7018</v>
      </c>
      <c r="D2805" t="s">
        <v>595</v>
      </c>
      <c r="E2805" s="184">
        <v>43642</v>
      </c>
      <c r="G2805" s="184"/>
      <c r="I2805" s="184"/>
      <c r="K2805" s="184"/>
      <c r="M2805" s="184"/>
      <c r="P2805" t="s">
        <v>7045</v>
      </c>
      <c r="Q2805" t="s">
        <v>7383</v>
      </c>
      <c r="R2805" s="184">
        <v>20210</v>
      </c>
      <c r="S2805">
        <v>69</v>
      </c>
      <c r="U2805" t="s">
        <v>7076</v>
      </c>
      <c r="V2805" t="s">
        <v>2903</v>
      </c>
      <c r="X2805" t="s">
        <v>3344</v>
      </c>
      <c r="AF2805" t="s">
        <v>22928</v>
      </c>
      <c r="AG2805" t="s">
        <v>2903</v>
      </c>
      <c r="AI2805" t="s">
        <v>22929</v>
      </c>
      <c r="AM2805" t="s">
        <v>3345</v>
      </c>
      <c r="AN2805" t="s">
        <v>2274</v>
      </c>
      <c r="AO2805" t="s">
        <v>22930</v>
      </c>
      <c r="AP2805" t="s">
        <v>7024</v>
      </c>
      <c r="AT2805" s="184">
        <v>37551</v>
      </c>
      <c r="AU2805" t="s">
        <v>22931</v>
      </c>
      <c r="AV2805">
        <v>25</v>
      </c>
      <c r="AW2805" s="184">
        <v>44643</v>
      </c>
      <c r="AX2805" t="s">
        <v>22932</v>
      </c>
      <c r="AY2805">
        <v>100</v>
      </c>
      <c r="AZ2805" s="184">
        <v>44643</v>
      </c>
      <c r="BA2805" t="s">
        <v>22932</v>
      </c>
      <c r="BB2805">
        <v>100</v>
      </c>
      <c r="BC2805">
        <v>48</v>
      </c>
      <c r="BD2805">
        <v>840</v>
      </c>
      <c r="BE2805">
        <v>2003</v>
      </c>
      <c r="BF2805">
        <v>14</v>
      </c>
      <c r="BI2805">
        <v>11</v>
      </c>
      <c r="BJ2805">
        <v>23</v>
      </c>
      <c r="BK2805">
        <v>7</v>
      </c>
      <c r="BP2805" s="184"/>
    </row>
    <row r="2806" spans="1:68">
      <c r="A2806">
        <v>35507276</v>
      </c>
      <c r="B2806">
        <v>35507276</v>
      </c>
      <c r="C2806" t="s">
        <v>7018</v>
      </c>
      <c r="D2806" t="s">
        <v>595</v>
      </c>
      <c r="E2806" s="184">
        <v>44438</v>
      </c>
      <c r="G2806" s="184"/>
      <c r="I2806" s="184"/>
      <c r="K2806" s="184"/>
      <c r="M2806" s="184"/>
      <c r="P2806" t="s">
        <v>7045</v>
      </c>
      <c r="Q2806" t="s">
        <v>7383</v>
      </c>
      <c r="R2806" s="184">
        <v>21139</v>
      </c>
      <c r="S2806">
        <v>66</v>
      </c>
      <c r="U2806" t="s">
        <v>7031</v>
      </c>
      <c r="V2806" t="s">
        <v>3336</v>
      </c>
      <c r="W2806" t="s">
        <v>2049</v>
      </c>
      <c r="X2806" t="s">
        <v>22933</v>
      </c>
      <c r="AF2806" t="s">
        <v>22934</v>
      </c>
      <c r="AG2806" t="s">
        <v>3336</v>
      </c>
      <c r="AI2806" t="s">
        <v>22935</v>
      </c>
      <c r="AM2806" t="s">
        <v>22936</v>
      </c>
      <c r="AN2806" t="s">
        <v>2274</v>
      </c>
      <c r="AO2806" t="s">
        <v>22937</v>
      </c>
      <c r="AP2806" t="s">
        <v>7024</v>
      </c>
      <c r="AQ2806" t="s">
        <v>22938</v>
      </c>
      <c r="AR2806" t="s">
        <v>22939</v>
      </c>
      <c r="AT2806" s="184">
        <v>37554</v>
      </c>
      <c r="AU2806" t="s">
        <v>22940</v>
      </c>
      <c r="AV2806">
        <v>25</v>
      </c>
      <c r="AW2806" s="184">
        <v>44101</v>
      </c>
      <c r="AX2806" t="s">
        <v>9633</v>
      </c>
      <c r="AY2806">
        <v>25</v>
      </c>
      <c r="AZ2806" s="184">
        <v>43004</v>
      </c>
      <c r="BA2806" t="s">
        <v>22941</v>
      </c>
      <c r="BB2806">
        <v>87</v>
      </c>
      <c r="BC2806">
        <v>27</v>
      </c>
      <c r="BD2806">
        <v>257</v>
      </c>
      <c r="BE2806">
        <v>2003</v>
      </c>
      <c r="BF2806">
        <v>6</v>
      </c>
      <c r="BI2806">
        <v>6</v>
      </c>
      <c r="BJ2806">
        <v>23</v>
      </c>
      <c r="BK2806">
        <v>3</v>
      </c>
      <c r="BP2806" s="184"/>
    </row>
    <row r="2807" spans="1:68">
      <c r="A2807">
        <v>35508696</v>
      </c>
      <c r="B2807">
        <v>35508696</v>
      </c>
      <c r="C2807" t="s">
        <v>7018</v>
      </c>
      <c r="E2807" s="184"/>
      <c r="G2807" s="184"/>
      <c r="H2807" t="s">
        <v>595</v>
      </c>
      <c r="I2807" s="184">
        <v>45132</v>
      </c>
      <c r="K2807" s="184"/>
      <c r="M2807" s="184"/>
      <c r="O2807" s="184"/>
      <c r="P2807" t="s">
        <v>7045</v>
      </c>
      <c r="Q2807" t="s">
        <v>7262</v>
      </c>
      <c r="R2807" s="184">
        <v>18780</v>
      </c>
      <c r="S2807">
        <v>72</v>
      </c>
      <c r="U2807" t="s">
        <v>7031</v>
      </c>
      <c r="V2807" t="s">
        <v>8470</v>
      </c>
      <c r="W2807" t="s">
        <v>7248</v>
      </c>
      <c r="X2807" t="s">
        <v>22942</v>
      </c>
      <c r="AF2807" t="s">
        <v>22943</v>
      </c>
      <c r="AG2807" t="s">
        <v>8470</v>
      </c>
      <c r="AI2807" t="s">
        <v>22944</v>
      </c>
      <c r="AM2807" t="s">
        <v>22945</v>
      </c>
      <c r="AN2807" t="s">
        <v>2219</v>
      </c>
      <c r="AO2807" t="s">
        <v>22946</v>
      </c>
      <c r="AP2807" t="s">
        <v>7024</v>
      </c>
      <c r="AQ2807" t="s">
        <v>22947</v>
      </c>
      <c r="AR2807" t="s">
        <v>22948</v>
      </c>
      <c r="AT2807" s="184">
        <v>37554</v>
      </c>
      <c r="AU2807" t="s">
        <v>22949</v>
      </c>
      <c r="AV2807">
        <v>15</v>
      </c>
      <c r="AW2807" s="184">
        <v>45299</v>
      </c>
      <c r="AX2807" t="s">
        <v>7092</v>
      </c>
      <c r="AY2807">
        <v>25</v>
      </c>
      <c r="AZ2807" s="184">
        <v>38622</v>
      </c>
      <c r="BA2807" t="s">
        <v>22950</v>
      </c>
      <c r="BB2807">
        <v>35</v>
      </c>
      <c r="BC2807">
        <v>40</v>
      </c>
      <c r="BD2807">
        <v>240</v>
      </c>
      <c r="BE2807">
        <v>2003</v>
      </c>
      <c r="BF2807">
        <v>10</v>
      </c>
      <c r="BG2807">
        <v>2</v>
      </c>
      <c r="BH2807">
        <v>50</v>
      </c>
      <c r="BI2807">
        <v>9</v>
      </c>
      <c r="BJ2807">
        <v>23</v>
      </c>
      <c r="BK2807">
        <v>4</v>
      </c>
      <c r="BP2807" s="184"/>
    </row>
    <row r="2808" spans="1:68">
      <c r="A2808">
        <v>35555572</v>
      </c>
      <c r="B2808">
        <v>35555572</v>
      </c>
      <c r="C2808" t="s">
        <v>7018</v>
      </c>
      <c r="D2808" t="s">
        <v>595</v>
      </c>
      <c r="E2808" s="184">
        <v>43801</v>
      </c>
      <c r="G2808" s="184"/>
      <c r="I2808" s="184"/>
      <c r="K2808" s="184"/>
      <c r="M2808" s="184"/>
      <c r="O2808" s="184"/>
      <c r="P2808" t="s">
        <v>7045</v>
      </c>
      <c r="Q2808" t="s">
        <v>7374</v>
      </c>
      <c r="R2808" s="184">
        <v>18445</v>
      </c>
      <c r="S2808">
        <v>73</v>
      </c>
      <c r="V2808" t="s">
        <v>2851</v>
      </c>
      <c r="X2808" t="s">
        <v>4406</v>
      </c>
      <c r="Z2808">
        <v>100098316</v>
      </c>
      <c r="AB2808" t="s">
        <v>4303</v>
      </c>
      <c r="AD2808" t="s">
        <v>22951</v>
      </c>
      <c r="AF2808" t="s">
        <v>22952</v>
      </c>
      <c r="AG2808" t="s">
        <v>22953</v>
      </c>
      <c r="AI2808" t="s">
        <v>22954</v>
      </c>
      <c r="AM2808" t="s">
        <v>2534</v>
      </c>
      <c r="AN2808" t="s">
        <v>2081</v>
      </c>
      <c r="AO2808" t="s">
        <v>22955</v>
      </c>
      <c r="AP2808" t="s">
        <v>7024</v>
      </c>
      <c r="AQ2808" t="s">
        <v>22956</v>
      </c>
      <c r="AT2808" s="184">
        <v>37564</v>
      </c>
      <c r="AU2808" t="s">
        <v>22957</v>
      </c>
      <c r="AV2808">
        <v>15</v>
      </c>
      <c r="AW2808" s="184">
        <v>45197</v>
      </c>
      <c r="AX2808" t="s">
        <v>22958</v>
      </c>
      <c r="AY2808">
        <v>35</v>
      </c>
      <c r="AZ2808" s="184">
        <v>42916</v>
      </c>
      <c r="BA2808" t="s">
        <v>19441</v>
      </c>
      <c r="BB2808">
        <v>60</v>
      </c>
      <c r="BC2808">
        <v>66</v>
      </c>
      <c r="BD2808">
        <v>500</v>
      </c>
      <c r="BE2808">
        <v>2003</v>
      </c>
      <c r="BF2808">
        <v>16</v>
      </c>
      <c r="BG2808">
        <v>1</v>
      </c>
      <c r="BH2808">
        <v>35</v>
      </c>
      <c r="BI2808">
        <v>15</v>
      </c>
      <c r="BJ2808">
        <v>23</v>
      </c>
      <c r="BK2808">
        <v>6</v>
      </c>
      <c r="BN2808" t="s">
        <v>595</v>
      </c>
      <c r="BP2808" s="184"/>
    </row>
    <row r="2809" spans="1:68">
      <c r="A2809">
        <v>100098316</v>
      </c>
      <c r="B2809">
        <v>35555572</v>
      </c>
      <c r="C2809" t="s">
        <v>7018</v>
      </c>
      <c r="D2809" t="s">
        <v>595</v>
      </c>
      <c r="E2809" s="184">
        <v>43801</v>
      </c>
      <c r="G2809" s="184"/>
      <c r="I2809" s="184"/>
      <c r="K2809" s="184"/>
      <c r="M2809" s="184"/>
      <c r="O2809" s="184"/>
      <c r="P2809" t="s">
        <v>7045</v>
      </c>
      <c r="Q2809" t="s">
        <v>7374</v>
      </c>
      <c r="R2809" s="184">
        <v>17564</v>
      </c>
      <c r="S2809">
        <v>76</v>
      </c>
      <c r="V2809" t="s">
        <v>4303</v>
      </c>
      <c r="X2809" t="s">
        <v>22951</v>
      </c>
      <c r="Z2809">
        <v>35555572</v>
      </c>
      <c r="AB2809" t="s">
        <v>2851</v>
      </c>
      <c r="AD2809" t="s">
        <v>4406</v>
      </c>
      <c r="AF2809" t="s">
        <v>22952</v>
      </c>
      <c r="AG2809" t="s">
        <v>22953</v>
      </c>
      <c r="AI2809" t="s">
        <v>22954</v>
      </c>
      <c r="AM2809" t="s">
        <v>2534</v>
      </c>
      <c r="AN2809" t="s">
        <v>2081</v>
      </c>
      <c r="AO2809" t="s">
        <v>22955</v>
      </c>
      <c r="AP2809" t="s">
        <v>7024</v>
      </c>
      <c r="AQ2809" t="s">
        <v>22956</v>
      </c>
      <c r="AT2809" s="184">
        <v>44556</v>
      </c>
      <c r="AU2809" t="s">
        <v>7423</v>
      </c>
      <c r="AV2809">
        <v>50</v>
      </c>
      <c r="AW2809" s="184">
        <v>44556</v>
      </c>
      <c r="AX2809" t="s">
        <v>7423</v>
      </c>
      <c r="AY2809">
        <v>50</v>
      </c>
      <c r="AZ2809" s="184">
        <v>44556</v>
      </c>
      <c r="BA2809" t="s">
        <v>7423</v>
      </c>
      <c r="BB2809">
        <v>50</v>
      </c>
      <c r="BC2809">
        <v>25</v>
      </c>
      <c r="BD2809">
        <v>50</v>
      </c>
      <c r="BE2809">
        <v>2022</v>
      </c>
      <c r="BF2809">
        <v>1</v>
      </c>
      <c r="BI2809">
        <v>1</v>
      </c>
      <c r="BJ2809">
        <v>4</v>
      </c>
      <c r="BK2809">
        <v>1</v>
      </c>
      <c r="BP2809" s="184"/>
    </row>
    <row r="2810" spans="1:68">
      <c r="A2810">
        <v>35565134</v>
      </c>
      <c r="B2810">
        <v>35565134</v>
      </c>
      <c r="C2810" t="s">
        <v>7018</v>
      </c>
      <c r="E2810" s="184"/>
      <c r="G2810" s="184"/>
      <c r="I2810" s="184"/>
      <c r="J2810" t="s">
        <v>595</v>
      </c>
      <c r="K2810" s="184">
        <v>39842</v>
      </c>
      <c r="M2810" s="184"/>
      <c r="O2810" s="184"/>
      <c r="P2810" t="s">
        <v>7045</v>
      </c>
      <c r="Q2810" t="s">
        <v>7374</v>
      </c>
      <c r="R2810" s="184">
        <v>10653</v>
      </c>
      <c r="S2810">
        <v>95</v>
      </c>
      <c r="U2810" t="s">
        <v>7031</v>
      </c>
      <c r="V2810" t="s">
        <v>2832</v>
      </c>
      <c r="W2810" t="s">
        <v>7743</v>
      </c>
      <c r="X2810" t="s">
        <v>5700</v>
      </c>
      <c r="AF2810" t="s">
        <v>22959</v>
      </c>
      <c r="AG2810" t="s">
        <v>22960</v>
      </c>
      <c r="AI2810" t="s">
        <v>22961</v>
      </c>
      <c r="AM2810" t="s">
        <v>2847</v>
      </c>
      <c r="AN2810" t="s">
        <v>2081</v>
      </c>
      <c r="AO2810" t="s">
        <v>22962</v>
      </c>
      <c r="AP2810" t="s">
        <v>7024</v>
      </c>
      <c r="AT2810" s="184">
        <v>37606</v>
      </c>
      <c r="AU2810" t="s">
        <v>22963</v>
      </c>
      <c r="AV2810">
        <v>1000</v>
      </c>
      <c r="AW2810" s="184">
        <v>41701</v>
      </c>
      <c r="AX2810" t="s">
        <v>22964</v>
      </c>
      <c r="AY2810">
        <v>1000</v>
      </c>
      <c r="AZ2810" s="184">
        <v>37834</v>
      </c>
      <c r="BA2810" t="s">
        <v>8249</v>
      </c>
      <c r="BB2810">
        <v>3150</v>
      </c>
      <c r="BC2810">
        <v>53</v>
      </c>
      <c r="BD2810">
        <v>23681</v>
      </c>
      <c r="BE2810">
        <v>2003</v>
      </c>
      <c r="BF2810">
        <v>20</v>
      </c>
      <c r="BI2810">
        <v>12</v>
      </c>
      <c r="BJ2810">
        <v>23</v>
      </c>
      <c r="BK2810">
        <v>7</v>
      </c>
      <c r="BO2810" t="s">
        <v>595</v>
      </c>
      <c r="BP2810" s="184">
        <v>41816</v>
      </c>
    </row>
    <row r="2811" spans="1:68">
      <c r="A2811">
        <v>35565746</v>
      </c>
      <c r="B2811">
        <v>35565746</v>
      </c>
      <c r="C2811" t="s">
        <v>7018</v>
      </c>
      <c r="E2811" s="184"/>
      <c r="G2811" s="184"/>
      <c r="I2811" s="184"/>
      <c r="K2811" s="184"/>
      <c r="L2811" t="s">
        <v>595</v>
      </c>
      <c r="M2811" s="184">
        <v>44265</v>
      </c>
      <c r="O2811" s="184"/>
      <c r="P2811" t="s">
        <v>7045</v>
      </c>
      <c r="Q2811" t="s">
        <v>7454</v>
      </c>
      <c r="R2811" s="184">
        <v>18050</v>
      </c>
      <c r="S2811">
        <v>74</v>
      </c>
      <c r="V2811" t="s">
        <v>2733</v>
      </c>
      <c r="W2811" t="s">
        <v>3522</v>
      </c>
      <c r="X2811" t="s">
        <v>22965</v>
      </c>
      <c r="Z2811">
        <v>100962226</v>
      </c>
      <c r="AB2811" t="s">
        <v>3411</v>
      </c>
      <c r="AD2811" t="s">
        <v>22965</v>
      </c>
      <c r="AF2811" t="s">
        <v>22966</v>
      </c>
      <c r="AG2811" t="s">
        <v>22967</v>
      </c>
      <c r="AI2811" t="s">
        <v>22968</v>
      </c>
      <c r="AM2811" t="s">
        <v>4003</v>
      </c>
      <c r="AN2811" t="s">
        <v>2299</v>
      </c>
      <c r="AO2811" t="s">
        <v>22969</v>
      </c>
      <c r="AP2811" t="s">
        <v>7024</v>
      </c>
      <c r="AQ2811" t="s">
        <v>22970</v>
      </c>
      <c r="AT2811" s="184">
        <v>37566</v>
      </c>
      <c r="AU2811" t="s">
        <v>22971</v>
      </c>
      <c r="AV2811">
        <v>100</v>
      </c>
      <c r="AW2811" s="184">
        <v>45121</v>
      </c>
      <c r="AX2811" t="s">
        <v>7074</v>
      </c>
      <c r="AY2811">
        <v>250</v>
      </c>
      <c r="AZ2811" s="184">
        <v>45121</v>
      </c>
      <c r="BA2811" t="s">
        <v>7074</v>
      </c>
      <c r="BB2811">
        <v>250</v>
      </c>
      <c r="BC2811">
        <v>44</v>
      </c>
      <c r="BD2811">
        <v>1300</v>
      </c>
      <c r="BE2811">
        <v>2003</v>
      </c>
      <c r="BF2811">
        <v>11</v>
      </c>
      <c r="BG2811">
        <v>2</v>
      </c>
      <c r="BH2811">
        <v>500</v>
      </c>
      <c r="BI2811">
        <v>10</v>
      </c>
      <c r="BJ2811">
        <v>23</v>
      </c>
      <c r="BK2811">
        <v>5</v>
      </c>
      <c r="BP2811" s="184"/>
    </row>
    <row r="2812" spans="1:68">
      <c r="A2812">
        <v>35592088</v>
      </c>
      <c r="B2812">
        <v>35592088</v>
      </c>
      <c r="C2812" t="s">
        <v>7018</v>
      </c>
      <c r="D2812" t="s">
        <v>595</v>
      </c>
      <c r="E2812" s="184">
        <v>45146</v>
      </c>
      <c r="G2812" s="184"/>
      <c r="I2812" s="184"/>
      <c r="K2812" s="184"/>
      <c r="O2812" s="184"/>
      <c r="P2812" t="s">
        <v>7045</v>
      </c>
      <c r="Q2812" t="s">
        <v>7262</v>
      </c>
      <c r="R2812" s="184">
        <v>18019</v>
      </c>
      <c r="S2812">
        <v>75</v>
      </c>
      <c r="V2812" t="s">
        <v>2635</v>
      </c>
      <c r="X2812" t="s">
        <v>22972</v>
      </c>
      <c r="Z2812">
        <v>100098502</v>
      </c>
      <c r="AB2812" t="s">
        <v>3593</v>
      </c>
      <c r="AD2812" t="s">
        <v>22972</v>
      </c>
      <c r="AF2812" t="s">
        <v>22973</v>
      </c>
      <c r="AG2812" t="s">
        <v>22974</v>
      </c>
      <c r="AI2812" t="s">
        <v>22975</v>
      </c>
      <c r="AM2812" t="s">
        <v>22976</v>
      </c>
      <c r="AN2812" t="s">
        <v>2069</v>
      </c>
      <c r="AO2812" t="s">
        <v>22977</v>
      </c>
      <c r="AP2812" t="s">
        <v>7024</v>
      </c>
      <c r="AQ2812" t="s">
        <v>22978</v>
      </c>
      <c r="AT2812" s="184">
        <v>37578</v>
      </c>
      <c r="AU2812" t="s">
        <v>22979</v>
      </c>
      <c r="AV2812">
        <v>25</v>
      </c>
      <c r="AW2812" s="184">
        <v>45280</v>
      </c>
      <c r="AX2812" t="s">
        <v>11811</v>
      </c>
      <c r="AY2812">
        <v>75</v>
      </c>
      <c r="AZ2812" s="184">
        <v>45280</v>
      </c>
      <c r="BA2812" t="s">
        <v>11811</v>
      </c>
      <c r="BB2812">
        <v>75</v>
      </c>
      <c r="BC2812">
        <v>70</v>
      </c>
      <c r="BD2812">
        <v>970</v>
      </c>
      <c r="BE2812">
        <v>2003</v>
      </c>
      <c r="BF2812">
        <v>42</v>
      </c>
      <c r="BG2812">
        <v>4</v>
      </c>
      <c r="BH2812">
        <v>250</v>
      </c>
      <c r="BI2812">
        <v>16</v>
      </c>
      <c r="BJ2812">
        <v>23</v>
      </c>
      <c r="BK2812">
        <v>12</v>
      </c>
      <c r="BP2812" s="184"/>
    </row>
    <row r="2813" spans="1:68">
      <c r="A2813">
        <v>100098502</v>
      </c>
      <c r="B2813">
        <v>35592088</v>
      </c>
      <c r="C2813" t="s">
        <v>7018</v>
      </c>
      <c r="D2813" t="s">
        <v>595</v>
      </c>
      <c r="E2813" s="184">
        <v>45146</v>
      </c>
      <c r="G2813" s="184"/>
      <c r="I2813" s="184"/>
      <c r="K2813" s="184"/>
      <c r="O2813" s="184"/>
      <c r="P2813" t="s">
        <v>7045</v>
      </c>
      <c r="Q2813" t="s">
        <v>7262</v>
      </c>
      <c r="R2813" s="184">
        <v>18203</v>
      </c>
      <c r="S2813">
        <v>74</v>
      </c>
      <c r="V2813" t="s">
        <v>3593</v>
      </c>
      <c r="X2813" t="s">
        <v>22972</v>
      </c>
      <c r="Z2813">
        <v>35592088</v>
      </c>
      <c r="AB2813" t="s">
        <v>2635</v>
      </c>
      <c r="AD2813" t="s">
        <v>22972</v>
      </c>
      <c r="AF2813" t="s">
        <v>22973</v>
      </c>
      <c r="AG2813" t="s">
        <v>22974</v>
      </c>
      <c r="AI2813" t="s">
        <v>22975</v>
      </c>
      <c r="AM2813" t="s">
        <v>22976</v>
      </c>
      <c r="AN2813" t="s">
        <v>2069</v>
      </c>
      <c r="AO2813" t="s">
        <v>22977</v>
      </c>
      <c r="AP2813" t="s">
        <v>7024</v>
      </c>
      <c r="AT2813" s="184"/>
      <c r="AW2813" s="184"/>
      <c r="AZ2813" s="184"/>
      <c r="BP2813" s="184"/>
    </row>
    <row r="2814" spans="1:68">
      <c r="A2814">
        <v>35604859</v>
      </c>
      <c r="B2814">
        <v>35604859</v>
      </c>
      <c r="C2814" t="s">
        <v>7018</v>
      </c>
      <c r="D2814" t="s">
        <v>595</v>
      </c>
      <c r="E2814" s="184">
        <v>43942</v>
      </c>
      <c r="G2814" s="184"/>
      <c r="I2814" s="184"/>
      <c r="K2814" s="184"/>
      <c r="O2814" s="184"/>
      <c r="P2814" t="s">
        <v>7045</v>
      </c>
      <c r="Q2814" t="s">
        <v>7383</v>
      </c>
      <c r="R2814" s="184">
        <v>19176</v>
      </c>
      <c r="S2814">
        <v>71</v>
      </c>
      <c r="V2814" t="s">
        <v>3103</v>
      </c>
      <c r="X2814" t="s">
        <v>22980</v>
      </c>
      <c r="AF2814" t="s">
        <v>22981</v>
      </c>
      <c r="AG2814" t="s">
        <v>3103</v>
      </c>
      <c r="AI2814" t="s">
        <v>22982</v>
      </c>
      <c r="AM2814" t="s">
        <v>3852</v>
      </c>
      <c r="AN2814" t="s">
        <v>2313</v>
      </c>
      <c r="AO2814" t="s">
        <v>22983</v>
      </c>
      <c r="AP2814" t="s">
        <v>7024</v>
      </c>
      <c r="AQ2814" t="s">
        <v>22984</v>
      </c>
      <c r="AT2814" s="184">
        <v>37581</v>
      </c>
      <c r="AU2814" t="s">
        <v>22985</v>
      </c>
      <c r="AV2814">
        <v>20</v>
      </c>
      <c r="AW2814" s="184">
        <v>45330</v>
      </c>
      <c r="AX2814" t="s">
        <v>22986</v>
      </c>
      <c r="AY2814">
        <v>250</v>
      </c>
      <c r="AZ2814" s="184">
        <v>45330</v>
      </c>
      <c r="BA2814" t="s">
        <v>22986</v>
      </c>
      <c r="BB2814">
        <v>250</v>
      </c>
      <c r="BC2814">
        <v>100</v>
      </c>
      <c r="BD2814">
        <v>3675</v>
      </c>
      <c r="BE2814">
        <v>2003</v>
      </c>
      <c r="BF2814">
        <v>39</v>
      </c>
      <c r="BG2814">
        <v>4</v>
      </c>
      <c r="BH2814">
        <v>1000</v>
      </c>
      <c r="BI2814">
        <v>23</v>
      </c>
      <c r="BJ2814">
        <v>23</v>
      </c>
      <c r="BK2814">
        <v>23</v>
      </c>
      <c r="BP2814" s="184"/>
    </row>
    <row r="2815" spans="1:68">
      <c r="A2815">
        <v>35608124</v>
      </c>
      <c r="B2815">
        <v>35608124</v>
      </c>
      <c r="C2815" t="s">
        <v>7018</v>
      </c>
      <c r="D2815" t="s">
        <v>595</v>
      </c>
      <c r="E2815" s="184">
        <v>45195</v>
      </c>
      <c r="G2815" s="184"/>
      <c r="I2815" s="184"/>
      <c r="K2815" s="184"/>
      <c r="M2815" s="184"/>
      <c r="O2815" s="184"/>
      <c r="P2815" t="s">
        <v>7045</v>
      </c>
      <c r="Q2815" t="s">
        <v>7454</v>
      </c>
      <c r="R2815" s="184">
        <v>18749</v>
      </c>
      <c r="S2815">
        <v>73</v>
      </c>
      <c r="U2815" t="s">
        <v>7130</v>
      </c>
      <c r="V2815" t="s">
        <v>2918</v>
      </c>
      <c r="W2815" t="s">
        <v>2049</v>
      </c>
      <c r="X2815" t="s">
        <v>3746</v>
      </c>
      <c r="AF2815" t="s">
        <v>22987</v>
      </c>
      <c r="AG2815" t="s">
        <v>2918</v>
      </c>
      <c r="AI2815" t="s">
        <v>22988</v>
      </c>
      <c r="AM2815" t="s">
        <v>3878</v>
      </c>
      <c r="AN2815" t="s">
        <v>2055</v>
      </c>
      <c r="AO2815" t="s">
        <v>22989</v>
      </c>
      <c r="AP2815" t="s">
        <v>7024</v>
      </c>
      <c r="AQ2815" t="s">
        <v>22990</v>
      </c>
      <c r="AT2815" s="184">
        <v>37581</v>
      </c>
      <c r="AU2815" t="s">
        <v>22985</v>
      </c>
      <c r="AV2815">
        <v>20</v>
      </c>
      <c r="AW2815" s="184">
        <v>45188</v>
      </c>
      <c r="AX2815" t="s">
        <v>22991</v>
      </c>
      <c r="AY2815">
        <v>20</v>
      </c>
      <c r="AZ2815" s="184">
        <v>45110</v>
      </c>
      <c r="BA2815" t="s">
        <v>8299</v>
      </c>
      <c r="BB2815">
        <v>50</v>
      </c>
      <c r="BC2815">
        <v>92</v>
      </c>
      <c r="BD2815">
        <v>928</v>
      </c>
      <c r="BE2815">
        <v>2003</v>
      </c>
      <c r="BF2815">
        <v>63</v>
      </c>
      <c r="BG2815">
        <v>4</v>
      </c>
      <c r="BH2815">
        <v>125</v>
      </c>
      <c r="BI2815">
        <v>21</v>
      </c>
      <c r="BJ2815">
        <v>23</v>
      </c>
      <c r="BK2815">
        <v>16</v>
      </c>
    </row>
    <row r="2816" spans="1:68">
      <c r="A2816">
        <v>35610005</v>
      </c>
      <c r="B2816">
        <v>35610005</v>
      </c>
      <c r="C2816" t="s">
        <v>7018</v>
      </c>
      <c r="D2816" t="s">
        <v>595</v>
      </c>
      <c r="E2816" s="184">
        <v>44154</v>
      </c>
      <c r="G2816" s="184"/>
      <c r="I2816" s="184"/>
      <c r="K2816" s="184"/>
      <c r="M2816" s="184"/>
      <c r="O2816" s="184"/>
      <c r="P2816" t="s">
        <v>7045</v>
      </c>
      <c r="Q2816" t="s">
        <v>7020</v>
      </c>
      <c r="R2816" s="184">
        <v>19419</v>
      </c>
      <c r="S2816">
        <v>71</v>
      </c>
      <c r="U2816" t="s">
        <v>7076</v>
      </c>
      <c r="V2816" t="s">
        <v>3230</v>
      </c>
      <c r="W2816" t="s">
        <v>7560</v>
      </c>
      <c r="X2816" t="s">
        <v>22992</v>
      </c>
      <c r="AF2816" t="s">
        <v>22993</v>
      </c>
      <c r="AG2816" t="s">
        <v>3230</v>
      </c>
      <c r="AI2816" t="s">
        <v>22994</v>
      </c>
      <c r="AM2816" t="s">
        <v>22995</v>
      </c>
      <c r="AN2816" t="s">
        <v>2129</v>
      </c>
      <c r="AO2816" t="s">
        <v>22996</v>
      </c>
      <c r="AP2816" t="s">
        <v>7024</v>
      </c>
      <c r="AQ2816" t="s">
        <v>22997</v>
      </c>
      <c r="AR2816" t="s">
        <v>22998</v>
      </c>
      <c r="AT2816" s="184">
        <v>37581</v>
      </c>
      <c r="AU2816" t="s">
        <v>22999</v>
      </c>
      <c r="AV2816">
        <v>25</v>
      </c>
      <c r="AW2816" s="184">
        <v>45331</v>
      </c>
      <c r="AX2816" t="s">
        <v>18839</v>
      </c>
      <c r="AY2816">
        <v>35</v>
      </c>
      <c r="AZ2816" s="184">
        <v>40853</v>
      </c>
      <c r="BA2816" t="s">
        <v>23000</v>
      </c>
      <c r="BB2816">
        <v>60</v>
      </c>
      <c r="BC2816">
        <v>83</v>
      </c>
      <c r="BD2816">
        <v>605</v>
      </c>
      <c r="BE2816">
        <v>2003</v>
      </c>
      <c r="BF2816">
        <v>20</v>
      </c>
      <c r="BG2816">
        <v>2</v>
      </c>
      <c r="BH2816">
        <v>60</v>
      </c>
      <c r="BI2816">
        <v>19</v>
      </c>
      <c r="BJ2816">
        <v>23</v>
      </c>
      <c r="BK2816">
        <v>12</v>
      </c>
      <c r="BP2816" s="184"/>
    </row>
    <row r="2817" spans="1:68">
      <c r="A2817">
        <v>35610161</v>
      </c>
      <c r="B2817">
        <v>35610161</v>
      </c>
      <c r="C2817" t="s">
        <v>7018</v>
      </c>
      <c r="E2817" s="184"/>
      <c r="F2817" t="s">
        <v>595</v>
      </c>
      <c r="G2817" s="184">
        <v>43731</v>
      </c>
      <c r="I2817" s="184"/>
      <c r="K2817" s="184"/>
      <c r="O2817" s="184"/>
      <c r="P2817" t="s">
        <v>7045</v>
      </c>
      <c r="Q2817" t="s">
        <v>7494</v>
      </c>
      <c r="R2817" s="184">
        <v>19085</v>
      </c>
      <c r="S2817">
        <v>72</v>
      </c>
      <c r="V2817" t="s">
        <v>3901</v>
      </c>
      <c r="X2817" t="s">
        <v>2555</v>
      </c>
      <c r="AF2817" t="s">
        <v>23001</v>
      </c>
      <c r="AG2817" t="s">
        <v>3901</v>
      </c>
      <c r="AI2817" t="s">
        <v>23002</v>
      </c>
      <c r="AM2817" t="s">
        <v>4006</v>
      </c>
      <c r="AN2817" t="s">
        <v>2174</v>
      </c>
      <c r="AO2817" t="s">
        <v>23003</v>
      </c>
      <c r="AP2817" t="s">
        <v>7024</v>
      </c>
      <c r="AQ2817" t="s">
        <v>23004</v>
      </c>
      <c r="AT2817" s="184">
        <v>37581</v>
      </c>
      <c r="AU2817" t="s">
        <v>23005</v>
      </c>
      <c r="AV2817">
        <v>20</v>
      </c>
      <c r="AW2817" s="184">
        <v>45188</v>
      </c>
      <c r="AX2817" t="s">
        <v>23006</v>
      </c>
      <c r="AY2817">
        <v>15</v>
      </c>
      <c r="AZ2817" s="184">
        <v>43822</v>
      </c>
      <c r="BA2817" t="s">
        <v>23007</v>
      </c>
      <c r="BB2817">
        <v>25</v>
      </c>
      <c r="BC2817">
        <v>87</v>
      </c>
      <c r="BD2817">
        <v>835</v>
      </c>
      <c r="BE2817">
        <v>2003</v>
      </c>
      <c r="BF2817">
        <v>38</v>
      </c>
      <c r="BG2817">
        <v>2</v>
      </c>
      <c r="BH2817">
        <v>35</v>
      </c>
      <c r="BI2817">
        <v>20</v>
      </c>
      <c r="BJ2817">
        <v>23</v>
      </c>
      <c r="BK2817">
        <v>16</v>
      </c>
    </row>
    <row r="2818" spans="1:68">
      <c r="A2818">
        <v>35612480</v>
      </c>
      <c r="B2818">
        <v>35612480</v>
      </c>
      <c r="C2818" t="s">
        <v>7018</v>
      </c>
      <c r="E2818" s="184"/>
      <c r="G2818" s="184"/>
      <c r="I2818" s="184"/>
      <c r="J2818" t="s">
        <v>595</v>
      </c>
      <c r="K2818" s="184">
        <v>39524</v>
      </c>
      <c r="O2818" s="184"/>
      <c r="P2818" t="s">
        <v>7045</v>
      </c>
      <c r="Q2818" t="s">
        <v>7374</v>
      </c>
      <c r="R2818" s="184">
        <v>15155</v>
      </c>
      <c r="S2818">
        <v>82</v>
      </c>
      <c r="U2818" t="s">
        <v>7130</v>
      </c>
      <c r="V2818" t="s">
        <v>3179</v>
      </c>
      <c r="X2818" t="s">
        <v>4951</v>
      </c>
      <c r="Z2818">
        <v>100182433</v>
      </c>
      <c r="AA2818" t="s">
        <v>7031</v>
      </c>
      <c r="AB2818" t="s">
        <v>23008</v>
      </c>
      <c r="AD2818" t="s">
        <v>4951</v>
      </c>
      <c r="AF2818" t="s">
        <v>6404</v>
      </c>
      <c r="AG2818" t="s">
        <v>3179</v>
      </c>
      <c r="AI2818" t="s">
        <v>23009</v>
      </c>
      <c r="AM2818" t="s">
        <v>3434</v>
      </c>
      <c r="AN2818" t="s">
        <v>2081</v>
      </c>
      <c r="AO2818" t="s">
        <v>23010</v>
      </c>
      <c r="AP2818" t="s">
        <v>7024</v>
      </c>
      <c r="AT2818" s="184">
        <v>33067</v>
      </c>
      <c r="AU2818" t="s">
        <v>10753</v>
      </c>
      <c r="AV2818">
        <v>15</v>
      </c>
      <c r="AW2818" s="184">
        <v>43571</v>
      </c>
      <c r="AX2818" t="s">
        <v>23011</v>
      </c>
      <c r="AY2818">
        <v>100</v>
      </c>
      <c r="AZ2818" s="184">
        <v>43571</v>
      </c>
      <c r="BA2818" t="s">
        <v>23011</v>
      </c>
      <c r="BB2818">
        <v>100</v>
      </c>
      <c r="BC2818">
        <v>69</v>
      </c>
      <c r="BD2818">
        <v>1151.95</v>
      </c>
      <c r="BE2818">
        <v>1991</v>
      </c>
      <c r="BF2818">
        <v>59</v>
      </c>
      <c r="BI2818">
        <v>24</v>
      </c>
      <c r="BJ2818">
        <v>35</v>
      </c>
      <c r="BK2818">
        <v>7</v>
      </c>
      <c r="BM2818" t="s">
        <v>595</v>
      </c>
    </row>
    <row r="2819" spans="1:68">
      <c r="A2819">
        <v>100182433</v>
      </c>
      <c r="B2819">
        <v>35612480</v>
      </c>
      <c r="C2819" t="s">
        <v>7018</v>
      </c>
      <c r="E2819" s="184"/>
      <c r="G2819" s="184"/>
      <c r="I2819" s="184"/>
      <c r="J2819" t="s">
        <v>595</v>
      </c>
      <c r="K2819" s="184">
        <v>39524</v>
      </c>
      <c r="M2819" s="184"/>
      <c r="O2819" s="184"/>
      <c r="P2819" t="s">
        <v>7045</v>
      </c>
      <c r="Q2819" t="s">
        <v>7374</v>
      </c>
      <c r="R2819" s="184">
        <v>13064</v>
      </c>
      <c r="S2819">
        <v>88</v>
      </c>
      <c r="U2819" t="s">
        <v>7031</v>
      </c>
      <c r="V2819" t="s">
        <v>23008</v>
      </c>
      <c r="X2819" t="s">
        <v>4951</v>
      </c>
      <c r="Z2819">
        <v>35612480</v>
      </c>
      <c r="AA2819" t="s">
        <v>7130</v>
      </c>
      <c r="AB2819" t="s">
        <v>3179</v>
      </c>
      <c r="AD2819" t="s">
        <v>4951</v>
      </c>
      <c r="AF2819" t="s">
        <v>6404</v>
      </c>
      <c r="AG2819" t="s">
        <v>3179</v>
      </c>
      <c r="AI2819" t="s">
        <v>23009</v>
      </c>
      <c r="AM2819" t="s">
        <v>3434</v>
      </c>
      <c r="AN2819" t="s">
        <v>2081</v>
      </c>
      <c r="AO2819" t="s">
        <v>23010</v>
      </c>
      <c r="AP2819" t="s">
        <v>7024</v>
      </c>
      <c r="AQ2819" t="s">
        <v>23012</v>
      </c>
      <c r="AT2819" s="184"/>
      <c r="AW2819" s="184"/>
      <c r="AZ2819" s="184"/>
      <c r="BO2819" t="s">
        <v>595</v>
      </c>
      <c r="BP2819" s="184"/>
    </row>
    <row r="2820" spans="1:68">
      <c r="A2820">
        <v>35613272</v>
      </c>
      <c r="B2820">
        <v>35613272</v>
      </c>
      <c r="C2820" t="s">
        <v>7018</v>
      </c>
      <c r="D2820" t="s">
        <v>595</v>
      </c>
      <c r="E2820" s="184">
        <v>45153</v>
      </c>
      <c r="G2820" s="184"/>
      <c r="I2820" s="184"/>
      <c r="K2820" s="184"/>
      <c r="O2820" s="184"/>
      <c r="P2820" t="s">
        <v>7045</v>
      </c>
      <c r="Q2820" t="s">
        <v>7383</v>
      </c>
      <c r="R2820" s="184">
        <v>19397</v>
      </c>
      <c r="S2820">
        <v>71</v>
      </c>
      <c r="U2820" t="s">
        <v>7076</v>
      </c>
      <c r="V2820" t="s">
        <v>3008</v>
      </c>
      <c r="X2820" t="s">
        <v>23013</v>
      </c>
      <c r="AF2820" t="s">
        <v>23014</v>
      </c>
      <c r="AG2820" t="s">
        <v>3008</v>
      </c>
      <c r="AI2820" t="s">
        <v>23015</v>
      </c>
      <c r="AM2820" t="s">
        <v>18693</v>
      </c>
      <c r="AN2820" t="s">
        <v>2313</v>
      </c>
      <c r="AO2820" t="s">
        <v>23016</v>
      </c>
      <c r="AP2820" t="s">
        <v>7024</v>
      </c>
      <c r="AQ2820" t="s">
        <v>23017</v>
      </c>
      <c r="AT2820" s="184">
        <v>35244</v>
      </c>
      <c r="AU2820" t="s">
        <v>18170</v>
      </c>
      <c r="AV2820">
        <v>20</v>
      </c>
      <c r="AW2820" s="184">
        <v>45376</v>
      </c>
      <c r="AX2820" t="s">
        <v>10707</v>
      </c>
      <c r="AY2820">
        <v>50</v>
      </c>
      <c r="AZ2820" s="184">
        <v>43920</v>
      </c>
      <c r="BA2820" t="s">
        <v>23018</v>
      </c>
      <c r="BB2820">
        <v>100</v>
      </c>
      <c r="BC2820">
        <v>25</v>
      </c>
      <c r="BD2820">
        <v>545</v>
      </c>
      <c r="BE2820">
        <v>1996</v>
      </c>
      <c r="BF2820">
        <v>11</v>
      </c>
      <c r="BG2820">
        <v>3</v>
      </c>
      <c r="BH2820">
        <v>150</v>
      </c>
      <c r="BI2820">
        <v>7</v>
      </c>
      <c r="BJ2820">
        <v>29</v>
      </c>
      <c r="BK2820">
        <v>5</v>
      </c>
    </row>
    <row r="2821" spans="1:68">
      <c r="A2821">
        <v>35620251</v>
      </c>
      <c r="B2821">
        <v>35620251</v>
      </c>
      <c r="C2821" t="s">
        <v>7018</v>
      </c>
      <c r="E2821" s="184"/>
      <c r="G2821" s="184"/>
      <c r="I2821" s="184"/>
      <c r="J2821" t="s">
        <v>595</v>
      </c>
      <c r="K2821" s="184">
        <v>42904</v>
      </c>
      <c r="M2821" s="184"/>
      <c r="O2821" s="184"/>
      <c r="P2821" t="s">
        <v>7045</v>
      </c>
      <c r="Q2821" t="s">
        <v>7030</v>
      </c>
      <c r="R2821" s="184">
        <v>17470</v>
      </c>
      <c r="S2821">
        <v>76</v>
      </c>
      <c r="U2821" t="s">
        <v>7130</v>
      </c>
      <c r="V2821" t="s">
        <v>4257</v>
      </c>
      <c r="X2821" t="s">
        <v>23019</v>
      </c>
      <c r="AF2821" t="s">
        <v>6498</v>
      </c>
      <c r="AG2821" t="s">
        <v>4257</v>
      </c>
      <c r="AI2821" t="s">
        <v>23020</v>
      </c>
      <c r="AM2821" t="s">
        <v>4369</v>
      </c>
      <c r="AN2821" t="s">
        <v>2089</v>
      </c>
      <c r="AO2821" t="s">
        <v>23021</v>
      </c>
      <c r="AP2821" t="s">
        <v>7024</v>
      </c>
      <c r="AQ2821" t="s">
        <v>23022</v>
      </c>
      <c r="AR2821" t="s">
        <v>23023</v>
      </c>
      <c r="AT2821" s="184">
        <v>37582</v>
      </c>
      <c r="AU2821" t="s">
        <v>23024</v>
      </c>
      <c r="AV2821">
        <v>25</v>
      </c>
      <c r="AW2821" s="184">
        <v>45161</v>
      </c>
      <c r="AX2821" t="s">
        <v>7245</v>
      </c>
      <c r="AY2821">
        <v>75</v>
      </c>
      <c r="AZ2821" s="184">
        <v>41103</v>
      </c>
      <c r="BA2821" t="s">
        <v>8168</v>
      </c>
      <c r="BB2821">
        <v>87</v>
      </c>
      <c r="BC2821">
        <v>74</v>
      </c>
      <c r="BD2821">
        <v>1092</v>
      </c>
      <c r="BE2821">
        <v>2003</v>
      </c>
      <c r="BF2821">
        <v>20</v>
      </c>
      <c r="BG2821">
        <v>2</v>
      </c>
      <c r="BH2821">
        <v>150</v>
      </c>
      <c r="BI2821">
        <v>17</v>
      </c>
      <c r="BJ2821">
        <v>23</v>
      </c>
      <c r="BK2821">
        <v>16</v>
      </c>
      <c r="BN2821" t="s">
        <v>595</v>
      </c>
      <c r="BP2821" s="184"/>
    </row>
    <row r="2822" spans="1:68">
      <c r="A2822">
        <v>35620277</v>
      </c>
      <c r="B2822">
        <v>35620277</v>
      </c>
      <c r="C2822" t="s">
        <v>7018</v>
      </c>
      <c r="D2822" t="s">
        <v>595</v>
      </c>
      <c r="E2822" s="184">
        <v>43647</v>
      </c>
      <c r="G2822" s="184"/>
      <c r="I2822" s="184"/>
      <c r="K2822" s="184"/>
      <c r="O2822" s="184"/>
      <c r="P2822" t="s">
        <v>7019</v>
      </c>
      <c r="Q2822" t="s">
        <v>7383</v>
      </c>
      <c r="R2822" s="184">
        <v>19756</v>
      </c>
      <c r="S2822">
        <v>70</v>
      </c>
      <c r="V2822" t="s">
        <v>2511</v>
      </c>
      <c r="W2822" t="s">
        <v>4139</v>
      </c>
      <c r="X2822" t="s">
        <v>3557</v>
      </c>
      <c r="Z2822">
        <v>100098628</v>
      </c>
      <c r="AB2822" t="s">
        <v>4407</v>
      </c>
      <c r="AC2822" t="s">
        <v>7469</v>
      </c>
      <c r="AD2822" t="s">
        <v>3353</v>
      </c>
      <c r="AF2822" t="s">
        <v>23025</v>
      </c>
      <c r="AG2822" t="s">
        <v>23026</v>
      </c>
      <c r="AI2822" t="s">
        <v>23027</v>
      </c>
      <c r="AM2822" t="s">
        <v>3558</v>
      </c>
      <c r="AN2822" t="s">
        <v>2313</v>
      </c>
      <c r="AO2822" t="s">
        <v>23028</v>
      </c>
      <c r="AP2822" t="s">
        <v>7024</v>
      </c>
      <c r="AQ2822" t="s">
        <v>23029</v>
      </c>
      <c r="AT2822" s="184">
        <v>31399</v>
      </c>
      <c r="AU2822" t="s">
        <v>8617</v>
      </c>
      <c r="AV2822">
        <v>18</v>
      </c>
      <c r="AW2822" s="184">
        <v>44396</v>
      </c>
      <c r="AX2822" t="s">
        <v>23030</v>
      </c>
      <c r="AY2822">
        <v>15</v>
      </c>
      <c r="AZ2822" s="184">
        <v>44377</v>
      </c>
      <c r="BA2822" t="s">
        <v>23031</v>
      </c>
      <c r="BB2822">
        <v>60</v>
      </c>
      <c r="BC2822">
        <v>53</v>
      </c>
      <c r="BD2822">
        <v>817</v>
      </c>
      <c r="BE2822">
        <v>1986</v>
      </c>
      <c r="BF2822">
        <v>34</v>
      </c>
      <c r="BI2822">
        <v>21</v>
      </c>
      <c r="BJ2822">
        <v>40</v>
      </c>
      <c r="BK2822">
        <v>8</v>
      </c>
      <c r="BP2822" s="184"/>
    </row>
    <row r="2823" spans="1:68">
      <c r="A2823">
        <v>100098628</v>
      </c>
      <c r="B2823">
        <v>35620277</v>
      </c>
      <c r="C2823" t="s">
        <v>7018</v>
      </c>
      <c r="D2823" t="s">
        <v>595</v>
      </c>
      <c r="E2823" s="184">
        <v>43647</v>
      </c>
      <c r="G2823" s="184"/>
      <c r="I2823" s="184"/>
      <c r="K2823" s="184"/>
      <c r="O2823" s="184"/>
      <c r="P2823" t="s">
        <v>7019</v>
      </c>
      <c r="Q2823" t="s">
        <v>7383</v>
      </c>
      <c r="R2823" s="184">
        <v>20607</v>
      </c>
      <c r="S2823">
        <v>67</v>
      </c>
      <c r="V2823" t="s">
        <v>4407</v>
      </c>
      <c r="W2823" t="s">
        <v>7469</v>
      </c>
      <c r="X2823" t="s">
        <v>3353</v>
      </c>
      <c r="Z2823">
        <v>35620277</v>
      </c>
      <c r="AB2823" t="s">
        <v>2511</v>
      </c>
      <c r="AC2823" t="s">
        <v>4139</v>
      </c>
      <c r="AD2823" t="s">
        <v>3557</v>
      </c>
      <c r="AF2823" t="s">
        <v>23025</v>
      </c>
      <c r="AG2823" t="s">
        <v>23026</v>
      </c>
      <c r="AI2823" t="s">
        <v>23027</v>
      </c>
      <c r="AM2823" t="s">
        <v>3558</v>
      </c>
      <c r="AN2823" t="s">
        <v>2313</v>
      </c>
      <c r="AO2823" t="s">
        <v>23028</v>
      </c>
      <c r="AP2823" t="s">
        <v>7024</v>
      </c>
      <c r="AT2823" s="184"/>
      <c r="AW2823" s="184"/>
      <c r="AZ2823" s="184"/>
      <c r="BP2823" s="184"/>
    </row>
    <row r="2824" spans="1:68">
      <c r="A2824">
        <v>35621101</v>
      </c>
      <c r="B2824">
        <v>35621101</v>
      </c>
      <c r="C2824" t="s">
        <v>7018</v>
      </c>
      <c r="D2824" t="s">
        <v>595</v>
      </c>
      <c r="E2824" s="184">
        <v>45146</v>
      </c>
      <c r="G2824" s="184"/>
      <c r="I2824" s="184"/>
      <c r="K2824" s="184"/>
      <c r="M2824" s="184"/>
      <c r="O2824" s="184"/>
      <c r="P2824" t="s">
        <v>7045</v>
      </c>
      <c r="Q2824" t="s">
        <v>7383</v>
      </c>
      <c r="R2824" s="184">
        <v>21561</v>
      </c>
      <c r="S2824">
        <v>65</v>
      </c>
      <c r="V2824" t="s">
        <v>2558</v>
      </c>
      <c r="X2824" t="s">
        <v>23032</v>
      </c>
      <c r="AF2824" t="s">
        <v>23033</v>
      </c>
      <c r="AG2824" t="s">
        <v>2558</v>
      </c>
      <c r="AI2824" t="s">
        <v>23034</v>
      </c>
      <c r="AM2824" t="s">
        <v>23035</v>
      </c>
      <c r="AN2824" t="s">
        <v>2139</v>
      </c>
      <c r="AO2824" t="s">
        <v>23036</v>
      </c>
      <c r="AP2824" t="s">
        <v>7024</v>
      </c>
      <c r="AQ2824" t="s">
        <v>23037</v>
      </c>
      <c r="AR2824" t="s">
        <v>23038</v>
      </c>
      <c r="AT2824" s="184">
        <v>37582</v>
      </c>
      <c r="AU2824" t="s">
        <v>22985</v>
      </c>
      <c r="AV2824">
        <v>25</v>
      </c>
      <c r="AW2824" s="184">
        <v>42947</v>
      </c>
      <c r="AX2824" t="s">
        <v>23039</v>
      </c>
      <c r="AY2824">
        <v>25</v>
      </c>
      <c r="AZ2824" s="184">
        <v>37984</v>
      </c>
      <c r="BA2824" t="s">
        <v>23040</v>
      </c>
      <c r="BB2824">
        <v>60</v>
      </c>
      <c r="BC2824">
        <v>22</v>
      </c>
      <c r="BD2824">
        <v>145</v>
      </c>
      <c r="BE2824">
        <v>2003</v>
      </c>
      <c r="BF2824">
        <v>5</v>
      </c>
      <c r="BI2824">
        <v>5</v>
      </c>
      <c r="BJ2824">
        <v>23</v>
      </c>
      <c r="BK2824">
        <v>2</v>
      </c>
      <c r="BP2824" s="184"/>
    </row>
    <row r="2825" spans="1:68">
      <c r="A2825">
        <v>35647460</v>
      </c>
      <c r="B2825">
        <v>35647460</v>
      </c>
      <c r="C2825" t="s">
        <v>7018</v>
      </c>
      <c r="E2825" s="184"/>
      <c r="G2825" s="184"/>
      <c r="H2825" t="s">
        <v>595</v>
      </c>
      <c r="I2825" s="184">
        <v>43707</v>
      </c>
      <c r="K2825" s="184"/>
      <c r="M2825" s="184"/>
      <c r="O2825" s="184"/>
      <c r="P2825" t="s">
        <v>7045</v>
      </c>
      <c r="Q2825" t="s">
        <v>7494</v>
      </c>
      <c r="R2825" s="184">
        <v>21074</v>
      </c>
      <c r="S2825">
        <v>66</v>
      </c>
      <c r="U2825" t="s">
        <v>7031</v>
      </c>
      <c r="V2825" t="s">
        <v>3756</v>
      </c>
      <c r="X2825" t="s">
        <v>4056</v>
      </c>
      <c r="AF2825" t="s">
        <v>23041</v>
      </c>
      <c r="AG2825" t="s">
        <v>3756</v>
      </c>
      <c r="AI2825" t="s">
        <v>23042</v>
      </c>
      <c r="AM2825" t="s">
        <v>3758</v>
      </c>
      <c r="AN2825" t="s">
        <v>2174</v>
      </c>
      <c r="AO2825" t="s">
        <v>23043</v>
      </c>
      <c r="AP2825" t="s">
        <v>7024</v>
      </c>
      <c r="AQ2825" t="s">
        <v>23044</v>
      </c>
      <c r="AT2825" s="184">
        <v>37593</v>
      </c>
      <c r="AU2825" t="s">
        <v>23045</v>
      </c>
      <c r="AV2825">
        <v>15</v>
      </c>
      <c r="AW2825" s="184">
        <v>45393</v>
      </c>
      <c r="AX2825" t="s">
        <v>23046</v>
      </c>
      <c r="AY2825">
        <v>25</v>
      </c>
      <c r="AZ2825" s="184">
        <v>40161</v>
      </c>
      <c r="BA2825" t="s">
        <v>23047</v>
      </c>
      <c r="BB2825">
        <v>60</v>
      </c>
      <c r="BC2825">
        <v>53</v>
      </c>
      <c r="BD2825">
        <v>525</v>
      </c>
      <c r="BE2825">
        <v>2003</v>
      </c>
      <c r="BF2825">
        <v>18</v>
      </c>
      <c r="BG2825">
        <v>2</v>
      </c>
      <c r="BH2825">
        <v>40</v>
      </c>
      <c r="BI2825">
        <v>12</v>
      </c>
      <c r="BJ2825">
        <v>23</v>
      </c>
      <c r="BK2825">
        <v>4</v>
      </c>
      <c r="BP2825" s="184"/>
    </row>
    <row r="2826" spans="1:68">
      <c r="A2826">
        <v>35649359</v>
      </c>
      <c r="B2826">
        <v>35649359</v>
      </c>
      <c r="C2826" t="s">
        <v>7018</v>
      </c>
      <c r="D2826" t="s">
        <v>595</v>
      </c>
      <c r="E2826" s="184">
        <v>45147</v>
      </c>
      <c r="G2826" s="184"/>
      <c r="I2826" s="184"/>
      <c r="K2826" s="184"/>
      <c r="M2826" s="184"/>
      <c r="O2826" s="184"/>
      <c r="P2826" t="s">
        <v>7019</v>
      </c>
      <c r="Q2826" t="s">
        <v>7383</v>
      </c>
      <c r="R2826" s="184">
        <v>23743</v>
      </c>
      <c r="S2826">
        <v>59</v>
      </c>
      <c r="V2826" t="s">
        <v>2863</v>
      </c>
      <c r="X2826" t="s">
        <v>23048</v>
      </c>
      <c r="AF2826" t="s">
        <v>23049</v>
      </c>
      <c r="AG2826" t="s">
        <v>2863</v>
      </c>
      <c r="AI2826" t="s">
        <v>23050</v>
      </c>
      <c r="AM2826" t="s">
        <v>23051</v>
      </c>
      <c r="AN2826" t="s">
        <v>2064</v>
      </c>
      <c r="AO2826" t="s">
        <v>23052</v>
      </c>
      <c r="AP2826" t="s">
        <v>7024</v>
      </c>
      <c r="AQ2826" t="s">
        <v>23053</v>
      </c>
      <c r="AT2826" s="184">
        <v>37594</v>
      </c>
      <c r="AU2826" t="s">
        <v>23054</v>
      </c>
      <c r="AV2826">
        <v>20</v>
      </c>
      <c r="AW2826" s="184">
        <v>45014</v>
      </c>
      <c r="AX2826" t="s">
        <v>23055</v>
      </c>
      <c r="AY2826">
        <v>60</v>
      </c>
      <c r="AZ2826" s="184">
        <v>45014</v>
      </c>
      <c r="BA2826" t="s">
        <v>23055</v>
      </c>
      <c r="BB2826">
        <v>60</v>
      </c>
      <c r="BC2826">
        <v>31</v>
      </c>
      <c r="BD2826">
        <v>205</v>
      </c>
      <c r="BE2826">
        <v>2003</v>
      </c>
      <c r="BF2826">
        <v>7</v>
      </c>
      <c r="BG2826">
        <v>1</v>
      </c>
      <c r="BH2826">
        <v>60</v>
      </c>
      <c r="BI2826">
        <v>7</v>
      </c>
      <c r="BJ2826">
        <v>23</v>
      </c>
      <c r="BK2826">
        <v>3</v>
      </c>
      <c r="BP2826" s="184"/>
    </row>
    <row r="2827" spans="1:68">
      <c r="A2827">
        <v>35652676</v>
      </c>
      <c r="B2827">
        <v>35652676</v>
      </c>
      <c r="C2827" t="s">
        <v>7018</v>
      </c>
      <c r="D2827" t="s">
        <v>595</v>
      </c>
      <c r="E2827" s="184">
        <v>44104</v>
      </c>
      <c r="G2827" s="184"/>
      <c r="I2827" s="184"/>
      <c r="K2827" s="184"/>
      <c r="O2827" s="184"/>
      <c r="P2827" t="s">
        <v>7045</v>
      </c>
      <c r="Q2827" t="s">
        <v>7494</v>
      </c>
      <c r="R2827" s="184">
        <v>19937</v>
      </c>
      <c r="S2827">
        <v>69</v>
      </c>
      <c r="U2827" t="s">
        <v>7031</v>
      </c>
      <c r="V2827" t="s">
        <v>9794</v>
      </c>
      <c r="W2827" t="s">
        <v>7407</v>
      </c>
      <c r="X2827" t="s">
        <v>23056</v>
      </c>
      <c r="Z2827">
        <v>100098826</v>
      </c>
      <c r="AB2827" t="s">
        <v>23057</v>
      </c>
      <c r="AD2827" t="s">
        <v>23056</v>
      </c>
      <c r="AF2827" t="s">
        <v>23058</v>
      </c>
      <c r="AG2827" t="s">
        <v>23059</v>
      </c>
      <c r="AI2827" t="s">
        <v>23060</v>
      </c>
      <c r="AM2827" t="s">
        <v>19160</v>
      </c>
      <c r="AN2827" t="s">
        <v>2174</v>
      </c>
      <c r="AO2827" t="s">
        <v>23061</v>
      </c>
      <c r="AP2827" t="s">
        <v>7024</v>
      </c>
      <c r="AQ2827" t="s">
        <v>23062</v>
      </c>
      <c r="AR2827" t="s">
        <v>23063</v>
      </c>
      <c r="AT2827" s="184">
        <v>37595</v>
      </c>
      <c r="AU2827" t="s">
        <v>23064</v>
      </c>
      <c r="AV2827">
        <v>15</v>
      </c>
      <c r="AW2827" s="184">
        <v>45328</v>
      </c>
      <c r="AX2827" t="s">
        <v>10041</v>
      </c>
      <c r="AY2827">
        <v>40</v>
      </c>
      <c r="AZ2827" s="184">
        <v>45328</v>
      </c>
      <c r="BA2827" t="s">
        <v>10041</v>
      </c>
      <c r="BB2827">
        <v>40</v>
      </c>
      <c r="BC2827">
        <v>92</v>
      </c>
      <c r="BD2827">
        <v>999</v>
      </c>
      <c r="BE2827">
        <v>2003</v>
      </c>
      <c r="BF2827">
        <v>40</v>
      </c>
      <c r="BG2827">
        <v>2</v>
      </c>
      <c r="BH2827">
        <v>65</v>
      </c>
      <c r="BI2827">
        <v>21</v>
      </c>
      <c r="BJ2827">
        <v>23</v>
      </c>
      <c r="BK2827">
        <v>12</v>
      </c>
      <c r="BP2827" s="184"/>
    </row>
    <row r="2828" spans="1:68">
      <c r="A2828">
        <v>100098826</v>
      </c>
      <c r="B2828">
        <v>35652676</v>
      </c>
      <c r="C2828" t="s">
        <v>7018</v>
      </c>
      <c r="D2828" t="s">
        <v>595</v>
      </c>
      <c r="E2828" s="184">
        <v>44104</v>
      </c>
      <c r="G2828" s="184"/>
      <c r="I2828" s="184"/>
      <c r="K2828" s="184"/>
      <c r="M2828" s="184"/>
      <c r="O2828" s="184"/>
      <c r="P2828" t="s">
        <v>7045</v>
      </c>
      <c r="Q2828" t="s">
        <v>7494</v>
      </c>
      <c r="R2828" s="184">
        <v>23585</v>
      </c>
      <c r="S2828">
        <v>59</v>
      </c>
      <c r="V2828" t="s">
        <v>23057</v>
      </c>
      <c r="X2828" t="s">
        <v>23056</v>
      </c>
      <c r="Z2828">
        <v>35652676</v>
      </c>
      <c r="AA2828" t="s">
        <v>7031</v>
      </c>
      <c r="AB2828" t="s">
        <v>9794</v>
      </c>
      <c r="AC2828" t="s">
        <v>7407</v>
      </c>
      <c r="AD2828" t="s">
        <v>23056</v>
      </c>
      <c r="AF2828" t="s">
        <v>23058</v>
      </c>
      <c r="AG2828" t="s">
        <v>23059</v>
      </c>
      <c r="AI2828" t="s">
        <v>23060</v>
      </c>
      <c r="AM2828" t="s">
        <v>19160</v>
      </c>
      <c r="AN2828" t="s">
        <v>2174</v>
      </c>
      <c r="AO2828" t="s">
        <v>23061</v>
      </c>
      <c r="AP2828" t="s">
        <v>7024</v>
      </c>
      <c r="AT2828" s="184"/>
      <c r="AW2828" s="184"/>
      <c r="AZ2828" s="184"/>
      <c r="BP2828" s="184"/>
    </row>
    <row r="2829" spans="1:68">
      <c r="A2829">
        <v>35660539</v>
      </c>
      <c r="B2829">
        <v>35660539</v>
      </c>
      <c r="C2829" t="s">
        <v>7018</v>
      </c>
      <c r="D2829" t="s">
        <v>595</v>
      </c>
      <c r="E2829" s="184">
        <v>43861</v>
      </c>
      <c r="G2829" s="184"/>
      <c r="I2829" s="184"/>
      <c r="K2829" s="184"/>
      <c r="M2829" s="184"/>
      <c r="O2829" s="184"/>
      <c r="P2829" t="s">
        <v>7029</v>
      </c>
      <c r="Q2829" t="s">
        <v>7454</v>
      </c>
      <c r="R2829" s="184">
        <v>21562</v>
      </c>
      <c r="S2829">
        <v>65</v>
      </c>
      <c r="V2829" t="s">
        <v>3228</v>
      </c>
      <c r="X2829" t="s">
        <v>4581</v>
      </c>
      <c r="Z2829">
        <v>100098872</v>
      </c>
      <c r="AA2829" t="s">
        <v>7130</v>
      </c>
      <c r="AB2829" t="s">
        <v>7952</v>
      </c>
      <c r="AC2829" t="s">
        <v>4139</v>
      </c>
      <c r="AD2829" t="s">
        <v>4581</v>
      </c>
      <c r="AF2829" t="s">
        <v>23065</v>
      </c>
      <c r="AG2829" t="s">
        <v>23066</v>
      </c>
      <c r="AI2829" t="s">
        <v>23067</v>
      </c>
      <c r="AM2829" t="s">
        <v>11404</v>
      </c>
      <c r="AN2829" t="s">
        <v>2299</v>
      </c>
      <c r="AO2829" t="s">
        <v>23068</v>
      </c>
      <c r="AP2829" t="s">
        <v>7024</v>
      </c>
      <c r="AT2829" s="184">
        <v>37595</v>
      </c>
      <c r="AU2829" t="s">
        <v>23069</v>
      </c>
      <c r="AV2829">
        <v>25</v>
      </c>
      <c r="AW2829" s="184">
        <v>43570</v>
      </c>
      <c r="AX2829" t="s">
        <v>23070</v>
      </c>
      <c r="AY2829">
        <v>500</v>
      </c>
      <c r="AZ2829" s="184">
        <v>43570</v>
      </c>
      <c r="BA2829" t="s">
        <v>23070</v>
      </c>
      <c r="BB2829">
        <v>500</v>
      </c>
      <c r="BC2829">
        <v>66</v>
      </c>
      <c r="BD2829">
        <v>3150</v>
      </c>
      <c r="BE2829">
        <v>2003</v>
      </c>
      <c r="BF2829">
        <v>18</v>
      </c>
      <c r="BI2829">
        <v>15</v>
      </c>
      <c r="BJ2829">
        <v>23</v>
      </c>
      <c r="BK2829">
        <v>10</v>
      </c>
      <c r="BP2829" s="184"/>
    </row>
    <row r="2830" spans="1:68">
      <c r="A2830">
        <v>100098872</v>
      </c>
      <c r="B2830">
        <v>35660539</v>
      </c>
      <c r="C2830" t="s">
        <v>7018</v>
      </c>
      <c r="D2830" t="s">
        <v>595</v>
      </c>
      <c r="E2830" s="184">
        <v>43861</v>
      </c>
      <c r="G2830" s="184"/>
      <c r="I2830" s="184"/>
      <c r="K2830" s="184"/>
      <c r="O2830" s="184"/>
      <c r="P2830" t="s">
        <v>7029</v>
      </c>
      <c r="Q2830" t="s">
        <v>7454</v>
      </c>
      <c r="R2830" s="184">
        <v>21276</v>
      </c>
      <c r="S2830">
        <v>66</v>
      </c>
      <c r="U2830" t="s">
        <v>7130</v>
      </c>
      <c r="V2830" t="s">
        <v>7952</v>
      </c>
      <c r="W2830" t="s">
        <v>4139</v>
      </c>
      <c r="X2830" t="s">
        <v>4581</v>
      </c>
      <c r="Z2830">
        <v>35660539</v>
      </c>
      <c r="AB2830" t="s">
        <v>3228</v>
      </c>
      <c r="AD2830" t="s">
        <v>4581</v>
      </c>
      <c r="AF2830" t="s">
        <v>23065</v>
      </c>
      <c r="AG2830" t="s">
        <v>23066</v>
      </c>
      <c r="AI2830" t="s">
        <v>23067</v>
      </c>
      <c r="AM2830" t="s">
        <v>11404</v>
      </c>
      <c r="AN2830" t="s">
        <v>2299</v>
      </c>
      <c r="AO2830" t="s">
        <v>23068</v>
      </c>
      <c r="AP2830" t="s">
        <v>7024</v>
      </c>
      <c r="AQ2830" t="s">
        <v>23071</v>
      </c>
      <c r="AT2830" s="184">
        <v>43802</v>
      </c>
      <c r="AU2830" t="s">
        <v>7260</v>
      </c>
      <c r="AV2830">
        <v>50</v>
      </c>
      <c r="AW2830" s="184">
        <v>43802</v>
      </c>
      <c r="AX2830" t="s">
        <v>7260</v>
      </c>
      <c r="AY2830">
        <v>50</v>
      </c>
      <c r="AZ2830" s="184">
        <v>43802</v>
      </c>
      <c r="BA2830" t="s">
        <v>7260</v>
      </c>
      <c r="BB2830">
        <v>50</v>
      </c>
      <c r="BC2830">
        <v>17</v>
      </c>
      <c r="BD2830">
        <v>50</v>
      </c>
      <c r="BE2830">
        <v>2020</v>
      </c>
      <c r="BF2830">
        <v>1</v>
      </c>
      <c r="BI2830">
        <v>1</v>
      </c>
      <c r="BJ2830">
        <v>6</v>
      </c>
      <c r="BK2830">
        <v>1</v>
      </c>
      <c r="BP2830" s="184"/>
    </row>
    <row r="2831" spans="1:68">
      <c r="A2831">
        <v>35660851</v>
      </c>
      <c r="B2831">
        <v>35660851</v>
      </c>
      <c r="C2831" t="s">
        <v>7018</v>
      </c>
      <c r="D2831" t="s">
        <v>595</v>
      </c>
      <c r="E2831" s="184">
        <v>44419</v>
      </c>
      <c r="G2831" s="184"/>
      <c r="I2831" s="184"/>
      <c r="K2831" s="184"/>
      <c r="M2831" s="184"/>
      <c r="O2831" s="184"/>
      <c r="P2831" t="s">
        <v>7019</v>
      </c>
      <c r="Q2831" t="s">
        <v>7383</v>
      </c>
      <c r="R2831" s="184">
        <v>20394</v>
      </c>
      <c r="S2831">
        <v>68</v>
      </c>
      <c r="U2831" t="s">
        <v>7076</v>
      </c>
      <c r="V2831" t="s">
        <v>4679</v>
      </c>
      <c r="X2831" t="s">
        <v>3257</v>
      </c>
      <c r="AF2831" t="s">
        <v>23072</v>
      </c>
      <c r="AG2831" t="s">
        <v>4679</v>
      </c>
      <c r="AI2831" t="s">
        <v>23073</v>
      </c>
      <c r="AM2831" t="s">
        <v>23074</v>
      </c>
      <c r="AN2831" t="s">
        <v>2274</v>
      </c>
      <c r="AO2831" t="s">
        <v>23075</v>
      </c>
      <c r="AP2831" t="s">
        <v>7024</v>
      </c>
      <c r="AQ2831" t="s">
        <v>23076</v>
      </c>
      <c r="AT2831" s="184">
        <v>37595</v>
      </c>
      <c r="AU2831" t="s">
        <v>23077</v>
      </c>
      <c r="AV2831">
        <v>15</v>
      </c>
      <c r="AW2831" s="184">
        <v>44102</v>
      </c>
      <c r="AX2831" t="s">
        <v>23078</v>
      </c>
      <c r="AY2831">
        <v>60</v>
      </c>
      <c r="AZ2831" s="184">
        <v>44102</v>
      </c>
      <c r="BA2831" t="s">
        <v>23078</v>
      </c>
      <c r="BB2831">
        <v>60</v>
      </c>
      <c r="BC2831">
        <v>31</v>
      </c>
      <c r="BD2831">
        <v>220</v>
      </c>
      <c r="BE2831">
        <v>2003</v>
      </c>
      <c r="BF2831">
        <v>7</v>
      </c>
      <c r="BI2831">
        <v>7</v>
      </c>
      <c r="BJ2831">
        <v>23</v>
      </c>
      <c r="BK2831">
        <v>4</v>
      </c>
      <c r="BP2831" s="184"/>
    </row>
    <row r="2832" spans="1:68">
      <c r="A2832">
        <v>35661040</v>
      </c>
      <c r="B2832">
        <v>35661040</v>
      </c>
      <c r="C2832" t="s">
        <v>7018</v>
      </c>
      <c r="E2832" s="184"/>
      <c r="G2832" s="184"/>
      <c r="I2832" s="184"/>
      <c r="J2832" t="s">
        <v>595</v>
      </c>
      <c r="K2832" s="184">
        <v>40333</v>
      </c>
      <c r="M2832" s="184"/>
      <c r="N2832" t="s">
        <v>595</v>
      </c>
      <c r="O2832" s="184">
        <v>40920</v>
      </c>
      <c r="P2832" t="s">
        <v>7045</v>
      </c>
      <c r="Q2832" t="s">
        <v>7374</v>
      </c>
      <c r="R2832" s="184">
        <v>15036</v>
      </c>
      <c r="S2832">
        <v>83</v>
      </c>
      <c r="V2832" t="s">
        <v>2551</v>
      </c>
      <c r="W2832" t="s">
        <v>7384</v>
      </c>
      <c r="X2832" t="s">
        <v>5668</v>
      </c>
      <c r="AF2832" t="s">
        <v>23079</v>
      </c>
      <c r="AG2832" t="s">
        <v>2551</v>
      </c>
      <c r="AI2832" t="s">
        <v>23080</v>
      </c>
      <c r="AM2832" t="s">
        <v>21574</v>
      </c>
      <c r="AN2832" t="s">
        <v>2081</v>
      </c>
      <c r="AO2832" t="s">
        <v>23081</v>
      </c>
      <c r="AP2832" t="s">
        <v>7024</v>
      </c>
      <c r="AQ2832" t="s">
        <v>23082</v>
      </c>
      <c r="AT2832" s="184">
        <v>33206</v>
      </c>
      <c r="AU2832" t="s">
        <v>11656</v>
      </c>
      <c r="AV2832">
        <v>15</v>
      </c>
      <c r="AW2832" s="184">
        <v>45411</v>
      </c>
      <c r="AX2832" t="s">
        <v>7524</v>
      </c>
      <c r="AY2832">
        <v>35</v>
      </c>
      <c r="AZ2832" s="184">
        <v>40920</v>
      </c>
      <c r="BA2832" t="s">
        <v>7075</v>
      </c>
      <c r="BB2832">
        <v>25000</v>
      </c>
      <c r="BC2832">
        <v>43</v>
      </c>
      <c r="BD2832">
        <v>25640</v>
      </c>
      <c r="BE2832">
        <v>1991</v>
      </c>
      <c r="BF2832">
        <v>20</v>
      </c>
      <c r="BG2832">
        <v>1</v>
      </c>
      <c r="BH2832">
        <v>35</v>
      </c>
      <c r="BI2832">
        <v>15</v>
      </c>
      <c r="BJ2832">
        <v>35</v>
      </c>
      <c r="BK2832">
        <v>7</v>
      </c>
      <c r="BM2832" t="s">
        <v>595</v>
      </c>
      <c r="BP2832" s="184"/>
    </row>
    <row r="2833" spans="1:68">
      <c r="A2833">
        <v>35662006</v>
      </c>
      <c r="B2833">
        <v>35662006</v>
      </c>
      <c r="C2833" t="s">
        <v>7018</v>
      </c>
      <c r="E2833" s="184"/>
      <c r="G2833" s="184"/>
      <c r="H2833" t="s">
        <v>595</v>
      </c>
      <c r="I2833" s="184">
        <v>44278</v>
      </c>
      <c r="K2833" s="184"/>
      <c r="O2833" s="184"/>
      <c r="P2833" t="s">
        <v>7045</v>
      </c>
      <c r="Q2833" t="s">
        <v>7454</v>
      </c>
      <c r="R2833" s="184">
        <v>16923</v>
      </c>
      <c r="S2833">
        <v>78</v>
      </c>
      <c r="U2833" t="s">
        <v>7031</v>
      </c>
      <c r="V2833" t="s">
        <v>2518</v>
      </c>
      <c r="X2833" t="s">
        <v>5065</v>
      </c>
      <c r="Z2833">
        <v>100607451</v>
      </c>
      <c r="AB2833" t="s">
        <v>5064</v>
      </c>
      <c r="AC2833" t="s">
        <v>4152</v>
      </c>
      <c r="AD2833" t="s">
        <v>5065</v>
      </c>
      <c r="AF2833" t="s">
        <v>23083</v>
      </c>
      <c r="AG2833" t="s">
        <v>23084</v>
      </c>
      <c r="AI2833" t="s">
        <v>23085</v>
      </c>
      <c r="AM2833" t="s">
        <v>4072</v>
      </c>
      <c r="AN2833" t="s">
        <v>2055</v>
      </c>
      <c r="AO2833" t="s">
        <v>23086</v>
      </c>
      <c r="AP2833" t="s">
        <v>7024</v>
      </c>
      <c r="AT2833" s="184">
        <v>37595</v>
      </c>
      <c r="AU2833" t="s">
        <v>23087</v>
      </c>
      <c r="AV2833">
        <v>25</v>
      </c>
      <c r="AW2833" s="184">
        <v>44057</v>
      </c>
      <c r="AX2833" t="s">
        <v>23088</v>
      </c>
      <c r="AY2833">
        <v>25</v>
      </c>
      <c r="AZ2833" s="184">
        <v>39451</v>
      </c>
      <c r="BA2833" t="s">
        <v>12261</v>
      </c>
      <c r="BB2833">
        <v>75</v>
      </c>
      <c r="BC2833">
        <v>31</v>
      </c>
      <c r="BD2833">
        <v>350</v>
      </c>
      <c r="BE2833">
        <v>2003</v>
      </c>
      <c r="BF2833">
        <v>7</v>
      </c>
      <c r="BI2833">
        <v>7</v>
      </c>
      <c r="BJ2833">
        <v>23</v>
      </c>
      <c r="BK2833">
        <v>4</v>
      </c>
    </row>
    <row r="2834" spans="1:68">
      <c r="A2834">
        <v>35672799</v>
      </c>
      <c r="B2834">
        <v>35672799</v>
      </c>
      <c r="C2834" t="s">
        <v>7018</v>
      </c>
      <c r="D2834" t="s">
        <v>595</v>
      </c>
      <c r="E2834" s="184">
        <v>43864</v>
      </c>
      <c r="G2834" s="184"/>
      <c r="I2834" s="184"/>
      <c r="K2834" s="184"/>
      <c r="O2834" s="184"/>
      <c r="P2834" t="s">
        <v>7045</v>
      </c>
      <c r="Q2834" t="s">
        <v>7262</v>
      </c>
      <c r="R2834" s="184">
        <v>16198</v>
      </c>
      <c r="S2834">
        <v>80</v>
      </c>
      <c r="V2834" t="s">
        <v>4684</v>
      </c>
      <c r="W2834" t="s">
        <v>7407</v>
      </c>
      <c r="X2834" t="s">
        <v>4685</v>
      </c>
      <c r="AF2834" t="s">
        <v>23089</v>
      </c>
      <c r="AG2834" t="s">
        <v>4684</v>
      </c>
      <c r="AI2834" t="s">
        <v>23090</v>
      </c>
      <c r="AM2834" t="s">
        <v>5764</v>
      </c>
      <c r="AN2834" t="s">
        <v>65</v>
      </c>
      <c r="AO2834" t="s">
        <v>23091</v>
      </c>
      <c r="AP2834" t="s">
        <v>7024</v>
      </c>
      <c r="AT2834" s="184">
        <v>37599</v>
      </c>
      <c r="AU2834" t="s">
        <v>23092</v>
      </c>
      <c r="AV2834">
        <v>25</v>
      </c>
      <c r="AW2834" s="184">
        <v>45086</v>
      </c>
      <c r="AX2834" t="s">
        <v>11030</v>
      </c>
      <c r="AY2834">
        <v>25</v>
      </c>
      <c r="AZ2834" s="184">
        <v>42569</v>
      </c>
      <c r="BA2834" t="s">
        <v>23093</v>
      </c>
      <c r="BB2834">
        <v>75</v>
      </c>
      <c r="BC2834">
        <v>70</v>
      </c>
      <c r="BD2834">
        <v>800</v>
      </c>
      <c r="BE2834">
        <v>2003</v>
      </c>
      <c r="BF2834">
        <v>19</v>
      </c>
      <c r="BG2834">
        <v>1</v>
      </c>
      <c r="BH2834">
        <v>25</v>
      </c>
      <c r="BI2834">
        <v>16</v>
      </c>
      <c r="BJ2834">
        <v>23</v>
      </c>
      <c r="BK2834">
        <v>11</v>
      </c>
      <c r="BP2834" s="184"/>
    </row>
    <row r="2835" spans="1:68">
      <c r="A2835">
        <v>35679620</v>
      </c>
      <c r="B2835">
        <v>35679620</v>
      </c>
      <c r="C2835" t="s">
        <v>7018</v>
      </c>
      <c r="D2835" t="s">
        <v>595</v>
      </c>
      <c r="E2835" s="184">
        <v>45174</v>
      </c>
      <c r="G2835" s="184"/>
      <c r="I2835" s="184"/>
      <c r="K2835" s="184"/>
      <c r="M2835" s="184"/>
      <c r="O2835" s="184"/>
      <c r="P2835" t="s">
        <v>7045</v>
      </c>
      <c r="Q2835" t="s">
        <v>7383</v>
      </c>
      <c r="R2835" s="184">
        <v>25504</v>
      </c>
      <c r="S2835">
        <v>54</v>
      </c>
      <c r="U2835" t="s">
        <v>7076</v>
      </c>
      <c r="V2835" t="s">
        <v>23094</v>
      </c>
      <c r="X2835" t="s">
        <v>3498</v>
      </c>
      <c r="AF2835" t="s">
        <v>23095</v>
      </c>
      <c r="AG2835" t="s">
        <v>23094</v>
      </c>
      <c r="AI2835" t="s">
        <v>23096</v>
      </c>
      <c r="AM2835" t="s">
        <v>23097</v>
      </c>
      <c r="AN2835" t="s">
        <v>2144</v>
      </c>
      <c r="AO2835" t="s">
        <v>23098</v>
      </c>
      <c r="AP2835" t="s">
        <v>7024</v>
      </c>
      <c r="AQ2835" t="s">
        <v>23099</v>
      </c>
      <c r="AT2835" s="184">
        <v>37607</v>
      </c>
      <c r="AU2835" t="s">
        <v>23100</v>
      </c>
      <c r="AV2835">
        <v>75</v>
      </c>
      <c r="AW2835" s="184">
        <v>45293</v>
      </c>
      <c r="AX2835" t="s">
        <v>23101</v>
      </c>
      <c r="AY2835">
        <v>30</v>
      </c>
      <c r="AZ2835" s="184">
        <v>37607</v>
      </c>
      <c r="BA2835" t="s">
        <v>23100</v>
      </c>
      <c r="BB2835">
        <v>75</v>
      </c>
      <c r="BC2835">
        <v>31</v>
      </c>
      <c r="BD2835">
        <v>230</v>
      </c>
      <c r="BE2835">
        <v>2003</v>
      </c>
      <c r="BF2835">
        <v>8</v>
      </c>
      <c r="BG2835">
        <v>4</v>
      </c>
      <c r="BH2835">
        <v>90</v>
      </c>
      <c r="BI2835">
        <v>7</v>
      </c>
      <c r="BJ2835">
        <v>23</v>
      </c>
      <c r="BK2835">
        <v>3</v>
      </c>
      <c r="BP2835" s="184"/>
    </row>
    <row r="2836" spans="1:68">
      <c r="A2836">
        <v>35693720</v>
      </c>
      <c r="B2836">
        <v>35693720</v>
      </c>
      <c r="C2836" t="s">
        <v>7018</v>
      </c>
      <c r="E2836" s="184"/>
      <c r="F2836" t="s">
        <v>595</v>
      </c>
      <c r="G2836" s="184">
        <v>43731</v>
      </c>
      <c r="I2836" s="184"/>
      <c r="K2836" s="184"/>
      <c r="O2836" s="184"/>
      <c r="P2836" t="s">
        <v>7045</v>
      </c>
      <c r="Q2836" t="s">
        <v>7160</v>
      </c>
      <c r="R2836" s="184">
        <v>21034</v>
      </c>
      <c r="S2836">
        <v>66</v>
      </c>
      <c r="V2836" t="s">
        <v>3872</v>
      </c>
      <c r="W2836" t="s">
        <v>2049</v>
      </c>
      <c r="X2836" t="s">
        <v>3873</v>
      </c>
      <c r="AF2836" t="s">
        <v>23102</v>
      </c>
      <c r="AG2836" t="s">
        <v>3872</v>
      </c>
      <c r="AI2836" t="s">
        <v>23103</v>
      </c>
      <c r="AM2836" t="s">
        <v>3874</v>
      </c>
      <c r="AN2836" t="s">
        <v>2413</v>
      </c>
      <c r="AO2836" t="s">
        <v>23104</v>
      </c>
      <c r="AP2836" t="s">
        <v>7024</v>
      </c>
      <c r="AQ2836" t="s">
        <v>23105</v>
      </c>
      <c r="AR2836" t="s">
        <v>23106</v>
      </c>
      <c r="AT2836" s="184">
        <v>37606</v>
      </c>
      <c r="AU2836" t="s">
        <v>23107</v>
      </c>
      <c r="AV2836">
        <v>20</v>
      </c>
      <c r="AW2836" s="184">
        <v>45406</v>
      </c>
      <c r="AX2836" t="s">
        <v>18490</v>
      </c>
      <c r="AY2836">
        <v>25</v>
      </c>
      <c r="AZ2836" s="184">
        <v>43829</v>
      </c>
      <c r="BA2836" t="s">
        <v>23108</v>
      </c>
      <c r="BB2836">
        <v>100</v>
      </c>
      <c r="BC2836">
        <v>96</v>
      </c>
      <c r="BD2836">
        <v>2190</v>
      </c>
      <c r="BE2836">
        <v>2003</v>
      </c>
      <c r="BF2836">
        <v>75</v>
      </c>
      <c r="BG2836">
        <v>7</v>
      </c>
      <c r="BH2836">
        <v>235</v>
      </c>
      <c r="BI2836">
        <v>22</v>
      </c>
      <c r="BJ2836">
        <v>23</v>
      </c>
      <c r="BK2836">
        <v>21</v>
      </c>
      <c r="BP2836" s="184"/>
    </row>
    <row r="2837" spans="1:68">
      <c r="A2837">
        <v>35694033</v>
      </c>
      <c r="B2837">
        <v>35694033</v>
      </c>
      <c r="C2837" t="s">
        <v>7018</v>
      </c>
      <c r="D2837" t="s">
        <v>595</v>
      </c>
      <c r="E2837" s="184">
        <v>45195</v>
      </c>
      <c r="G2837" s="184"/>
      <c r="I2837" s="184"/>
      <c r="K2837" s="184"/>
      <c r="O2837" s="184"/>
      <c r="P2837" t="s">
        <v>7045</v>
      </c>
      <c r="Q2837" t="s">
        <v>7262</v>
      </c>
      <c r="R2837" s="184">
        <v>16407</v>
      </c>
      <c r="S2837">
        <v>79</v>
      </c>
      <c r="V2837" t="s">
        <v>23109</v>
      </c>
      <c r="X2837" t="s">
        <v>2893</v>
      </c>
      <c r="AF2837" t="s">
        <v>23110</v>
      </c>
      <c r="AG2837" t="s">
        <v>23109</v>
      </c>
      <c r="AI2837" t="s">
        <v>23111</v>
      </c>
      <c r="AM2837" t="s">
        <v>4686</v>
      </c>
      <c r="AN2837" t="s">
        <v>65</v>
      </c>
      <c r="AO2837" t="s">
        <v>23112</v>
      </c>
      <c r="AP2837" t="s">
        <v>7024</v>
      </c>
      <c r="AT2837" s="184">
        <v>37607</v>
      </c>
      <c r="AU2837" t="s">
        <v>23113</v>
      </c>
      <c r="AV2837">
        <v>15</v>
      </c>
      <c r="AW2837" s="184">
        <v>45300</v>
      </c>
      <c r="AX2837" t="s">
        <v>7092</v>
      </c>
      <c r="AY2837">
        <v>25</v>
      </c>
      <c r="AZ2837" s="184">
        <v>40539</v>
      </c>
      <c r="BA2837" t="s">
        <v>23114</v>
      </c>
      <c r="BB2837">
        <v>35</v>
      </c>
      <c r="BC2837">
        <v>70</v>
      </c>
      <c r="BD2837">
        <v>460</v>
      </c>
      <c r="BE2837">
        <v>2003</v>
      </c>
      <c r="BF2837">
        <v>17</v>
      </c>
      <c r="BG2837">
        <v>2</v>
      </c>
      <c r="BH2837">
        <v>45</v>
      </c>
      <c r="BI2837">
        <v>16</v>
      </c>
      <c r="BJ2837">
        <v>23</v>
      </c>
      <c r="BK2837">
        <v>10</v>
      </c>
      <c r="BP2837" s="184"/>
    </row>
    <row r="2838" spans="1:68">
      <c r="A2838">
        <v>35696079</v>
      </c>
      <c r="B2838">
        <v>35696079</v>
      </c>
      <c r="C2838" t="s">
        <v>7018</v>
      </c>
      <c r="E2838" s="184"/>
      <c r="F2838" t="s">
        <v>595</v>
      </c>
      <c r="G2838" s="184">
        <v>45145</v>
      </c>
      <c r="I2838" s="184"/>
      <c r="K2838" s="184"/>
      <c r="M2838" s="184"/>
      <c r="O2838" s="184"/>
      <c r="P2838" t="s">
        <v>7045</v>
      </c>
      <c r="Q2838" t="s">
        <v>7383</v>
      </c>
      <c r="R2838" s="184">
        <v>18841</v>
      </c>
      <c r="S2838">
        <v>72</v>
      </c>
      <c r="U2838" t="s">
        <v>7031</v>
      </c>
      <c r="V2838" t="s">
        <v>2541</v>
      </c>
      <c r="W2838" t="s">
        <v>3226</v>
      </c>
      <c r="X2838" t="s">
        <v>23115</v>
      </c>
      <c r="AF2838" t="s">
        <v>23116</v>
      </c>
      <c r="AG2838" t="s">
        <v>2541</v>
      </c>
      <c r="AI2838" t="s">
        <v>23117</v>
      </c>
      <c r="AM2838" t="s">
        <v>23118</v>
      </c>
      <c r="AN2838" t="s">
        <v>2064</v>
      </c>
      <c r="AO2838" t="s">
        <v>23119</v>
      </c>
      <c r="AP2838" t="s">
        <v>7024</v>
      </c>
      <c r="AQ2838" t="s">
        <v>23120</v>
      </c>
      <c r="AT2838" s="184">
        <v>37607</v>
      </c>
      <c r="AU2838" t="s">
        <v>23121</v>
      </c>
      <c r="AV2838">
        <v>25</v>
      </c>
      <c r="AW2838" s="184">
        <v>45321</v>
      </c>
      <c r="AX2838" t="s">
        <v>9192</v>
      </c>
      <c r="AY2838">
        <v>200</v>
      </c>
      <c r="AZ2838" s="184">
        <v>45321</v>
      </c>
      <c r="BA2838" t="s">
        <v>9192</v>
      </c>
      <c r="BB2838">
        <v>200</v>
      </c>
      <c r="BC2838">
        <v>31</v>
      </c>
      <c r="BD2838">
        <v>1375</v>
      </c>
      <c r="BE2838">
        <v>2003</v>
      </c>
      <c r="BF2838">
        <v>12</v>
      </c>
      <c r="BG2838">
        <v>4</v>
      </c>
      <c r="BH2838">
        <v>600</v>
      </c>
      <c r="BI2838">
        <v>7</v>
      </c>
      <c r="BJ2838">
        <v>23</v>
      </c>
      <c r="BK2838">
        <v>3</v>
      </c>
      <c r="BP2838" s="184"/>
    </row>
    <row r="2839" spans="1:68">
      <c r="A2839">
        <v>35736420</v>
      </c>
      <c r="B2839">
        <v>35736420</v>
      </c>
      <c r="C2839" t="s">
        <v>7018</v>
      </c>
      <c r="D2839" t="s">
        <v>595</v>
      </c>
      <c r="E2839" s="184">
        <v>43642</v>
      </c>
      <c r="G2839" s="184"/>
      <c r="I2839" s="184"/>
      <c r="K2839" s="184"/>
      <c r="M2839" s="184"/>
      <c r="O2839" s="184"/>
      <c r="P2839" t="s">
        <v>7019</v>
      </c>
      <c r="Q2839" t="s">
        <v>7383</v>
      </c>
      <c r="R2839" s="184">
        <v>15018</v>
      </c>
      <c r="S2839">
        <v>83</v>
      </c>
      <c r="U2839" t="s">
        <v>7031</v>
      </c>
      <c r="V2839" t="s">
        <v>2551</v>
      </c>
      <c r="W2839" t="s">
        <v>2058</v>
      </c>
      <c r="X2839" t="s">
        <v>3346</v>
      </c>
      <c r="AF2839" t="s">
        <v>23122</v>
      </c>
      <c r="AG2839" t="s">
        <v>2551</v>
      </c>
      <c r="AI2839" t="s">
        <v>23123</v>
      </c>
      <c r="AM2839" t="s">
        <v>3347</v>
      </c>
      <c r="AN2839" t="s">
        <v>2274</v>
      </c>
      <c r="AO2839" t="s">
        <v>23124</v>
      </c>
      <c r="AP2839" t="s">
        <v>7024</v>
      </c>
      <c r="AT2839" s="184">
        <v>37621</v>
      </c>
      <c r="AU2839" t="s">
        <v>23125</v>
      </c>
      <c r="AV2839">
        <v>15</v>
      </c>
      <c r="AW2839" s="184">
        <v>43868</v>
      </c>
      <c r="AX2839" t="s">
        <v>23126</v>
      </c>
      <c r="AY2839">
        <v>10</v>
      </c>
      <c r="AZ2839" s="184">
        <v>42954</v>
      </c>
      <c r="BA2839" t="s">
        <v>23127</v>
      </c>
      <c r="BB2839">
        <v>60</v>
      </c>
      <c r="BC2839">
        <v>44</v>
      </c>
      <c r="BD2839">
        <v>315</v>
      </c>
      <c r="BE2839">
        <v>2003</v>
      </c>
      <c r="BF2839">
        <v>11</v>
      </c>
      <c r="BI2839">
        <v>10</v>
      </c>
      <c r="BJ2839">
        <v>23</v>
      </c>
      <c r="BK2839">
        <v>3</v>
      </c>
      <c r="BP2839" s="184"/>
    </row>
    <row r="2840" spans="1:68">
      <c r="A2840">
        <v>35740059</v>
      </c>
      <c r="B2840">
        <v>35740059</v>
      </c>
      <c r="C2840" t="s">
        <v>7018</v>
      </c>
      <c r="E2840" s="184"/>
      <c r="G2840" s="184"/>
      <c r="I2840" s="184"/>
      <c r="J2840" t="s">
        <v>595</v>
      </c>
      <c r="K2840" s="184">
        <v>42521</v>
      </c>
      <c r="M2840" s="184"/>
      <c r="O2840" s="184"/>
      <c r="P2840" t="s">
        <v>7045</v>
      </c>
      <c r="Q2840" t="s">
        <v>7194</v>
      </c>
      <c r="R2840" s="184">
        <v>18264</v>
      </c>
      <c r="S2840">
        <v>74</v>
      </c>
      <c r="U2840" t="s">
        <v>7076</v>
      </c>
      <c r="V2840" t="s">
        <v>3872</v>
      </c>
      <c r="X2840" t="s">
        <v>23128</v>
      </c>
      <c r="AF2840" t="s">
        <v>6375</v>
      </c>
      <c r="AG2840" t="s">
        <v>3872</v>
      </c>
      <c r="AI2840" t="s">
        <v>23129</v>
      </c>
      <c r="AM2840" t="s">
        <v>23130</v>
      </c>
      <c r="AN2840" t="s">
        <v>2046</v>
      </c>
      <c r="AO2840" t="s">
        <v>23131</v>
      </c>
      <c r="AP2840" t="s">
        <v>7024</v>
      </c>
      <c r="AQ2840" t="s">
        <v>23132</v>
      </c>
      <c r="AR2840" t="s">
        <v>23133</v>
      </c>
      <c r="AT2840" s="184">
        <v>37621</v>
      </c>
      <c r="AU2840" t="s">
        <v>23134</v>
      </c>
      <c r="AV2840">
        <v>25</v>
      </c>
      <c r="AW2840" s="184">
        <v>44040</v>
      </c>
      <c r="AX2840" t="s">
        <v>9144</v>
      </c>
      <c r="AY2840">
        <v>50</v>
      </c>
      <c r="AZ2840" s="184">
        <v>41977</v>
      </c>
      <c r="BA2840" t="s">
        <v>23135</v>
      </c>
      <c r="BB2840">
        <v>100</v>
      </c>
      <c r="BC2840">
        <v>66</v>
      </c>
      <c r="BD2840">
        <v>1335</v>
      </c>
      <c r="BE2840">
        <v>2003</v>
      </c>
      <c r="BF2840">
        <v>18</v>
      </c>
      <c r="BI2840">
        <v>15</v>
      </c>
      <c r="BJ2840">
        <v>23</v>
      </c>
      <c r="BK2840">
        <v>13</v>
      </c>
      <c r="BP2840" s="184"/>
    </row>
    <row r="2841" spans="1:68">
      <c r="A2841">
        <v>35745041</v>
      </c>
      <c r="B2841">
        <v>35745041</v>
      </c>
      <c r="C2841" t="s">
        <v>7018</v>
      </c>
      <c r="D2841" t="s">
        <v>595</v>
      </c>
      <c r="E2841" s="184">
        <v>45154</v>
      </c>
      <c r="G2841" s="184"/>
      <c r="I2841" s="184"/>
      <c r="K2841" s="184"/>
      <c r="M2841" s="184"/>
      <c r="O2841" s="184"/>
      <c r="P2841" t="s">
        <v>7045</v>
      </c>
      <c r="Q2841" t="s">
        <v>7383</v>
      </c>
      <c r="R2841" s="184">
        <v>17899</v>
      </c>
      <c r="S2841">
        <v>75</v>
      </c>
      <c r="V2841" t="s">
        <v>3317</v>
      </c>
      <c r="X2841" t="s">
        <v>4644</v>
      </c>
      <c r="AF2841" t="s">
        <v>23136</v>
      </c>
      <c r="AG2841" t="s">
        <v>3317</v>
      </c>
      <c r="AI2841" t="s">
        <v>23137</v>
      </c>
      <c r="AM2841" t="s">
        <v>23138</v>
      </c>
      <c r="AN2841" t="s">
        <v>2274</v>
      </c>
      <c r="AO2841" t="s">
        <v>23139</v>
      </c>
      <c r="AP2841" t="s">
        <v>7024</v>
      </c>
      <c r="AT2841" s="184">
        <v>37621</v>
      </c>
      <c r="AU2841" t="s">
        <v>23140</v>
      </c>
      <c r="AV2841">
        <v>15</v>
      </c>
      <c r="AW2841" s="184">
        <v>45195</v>
      </c>
      <c r="AX2841" t="s">
        <v>7742</v>
      </c>
      <c r="AY2841">
        <v>25</v>
      </c>
      <c r="AZ2841" s="184">
        <v>45195</v>
      </c>
      <c r="BA2841" t="s">
        <v>7742</v>
      </c>
      <c r="BB2841">
        <v>25</v>
      </c>
      <c r="BC2841">
        <v>48</v>
      </c>
      <c r="BD2841">
        <v>255</v>
      </c>
      <c r="BE2841">
        <v>2003</v>
      </c>
      <c r="BF2841">
        <v>11</v>
      </c>
      <c r="BG2841">
        <v>2</v>
      </c>
      <c r="BH2841">
        <v>50</v>
      </c>
      <c r="BI2841">
        <v>11</v>
      </c>
      <c r="BJ2841">
        <v>23</v>
      </c>
      <c r="BK2841">
        <v>3</v>
      </c>
      <c r="BP2841" s="184"/>
    </row>
    <row r="2842" spans="1:68">
      <c r="A2842">
        <v>35745298</v>
      </c>
      <c r="B2842">
        <v>35745298</v>
      </c>
      <c r="C2842" t="s">
        <v>7018</v>
      </c>
      <c r="E2842" s="184"/>
      <c r="F2842" t="s">
        <v>595</v>
      </c>
      <c r="G2842" s="184">
        <v>43621</v>
      </c>
      <c r="I2842" s="184"/>
      <c r="K2842" s="184"/>
      <c r="M2842" s="184"/>
      <c r="O2842" s="184"/>
      <c r="P2842" t="s">
        <v>7045</v>
      </c>
      <c r="Q2842" t="s">
        <v>7383</v>
      </c>
      <c r="R2842" s="184">
        <v>20070</v>
      </c>
      <c r="S2842">
        <v>69</v>
      </c>
      <c r="U2842" t="s">
        <v>7076</v>
      </c>
      <c r="V2842" t="s">
        <v>2938</v>
      </c>
      <c r="W2842" t="s">
        <v>4139</v>
      </c>
      <c r="X2842" t="s">
        <v>2939</v>
      </c>
      <c r="AF2842" t="s">
        <v>23141</v>
      </c>
      <c r="AG2842" t="s">
        <v>2938</v>
      </c>
      <c r="AI2842" t="s">
        <v>23142</v>
      </c>
      <c r="AM2842" t="s">
        <v>2940</v>
      </c>
      <c r="AN2842" t="s">
        <v>2185</v>
      </c>
      <c r="AO2842" t="s">
        <v>23143</v>
      </c>
      <c r="AP2842" t="s">
        <v>7024</v>
      </c>
      <c r="AQ2842" t="s">
        <v>23144</v>
      </c>
      <c r="AT2842" s="184">
        <v>37621</v>
      </c>
      <c r="AU2842" t="s">
        <v>23145</v>
      </c>
      <c r="AV2842">
        <v>15</v>
      </c>
      <c r="AW2842" s="184">
        <v>45313</v>
      </c>
      <c r="AX2842" t="s">
        <v>23146</v>
      </c>
      <c r="AY2842">
        <v>21</v>
      </c>
      <c r="AZ2842" s="184">
        <v>38320</v>
      </c>
      <c r="BA2842" t="s">
        <v>23147</v>
      </c>
      <c r="BB2842">
        <v>60</v>
      </c>
      <c r="BC2842">
        <v>44</v>
      </c>
      <c r="BD2842">
        <v>256</v>
      </c>
      <c r="BE2842">
        <v>2003</v>
      </c>
      <c r="BF2842">
        <v>13</v>
      </c>
      <c r="BG2842">
        <v>1</v>
      </c>
      <c r="BH2842">
        <v>21</v>
      </c>
      <c r="BI2842">
        <v>10</v>
      </c>
      <c r="BJ2842">
        <v>23</v>
      </c>
      <c r="BK2842">
        <v>4</v>
      </c>
      <c r="BP2842" s="184"/>
    </row>
    <row r="2843" spans="1:68">
      <c r="A2843">
        <v>35747435</v>
      </c>
      <c r="B2843">
        <v>35747435</v>
      </c>
      <c r="C2843" t="s">
        <v>7018</v>
      </c>
      <c r="E2843" s="184"/>
      <c r="F2843" t="s">
        <v>595</v>
      </c>
      <c r="G2843" s="184">
        <v>43731</v>
      </c>
      <c r="I2843" s="184"/>
      <c r="K2843" s="184"/>
      <c r="M2843" s="184"/>
      <c r="O2843" s="184"/>
      <c r="P2843" t="s">
        <v>7045</v>
      </c>
      <c r="Q2843" t="s">
        <v>7262</v>
      </c>
      <c r="R2843" s="184">
        <v>12236</v>
      </c>
      <c r="S2843">
        <v>90</v>
      </c>
      <c r="U2843" t="s">
        <v>7130</v>
      </c>
      <c r="V2843" t="s">
        <v>4007</v>
      </c>
      <c r="X2843" t="s">
        <v>2732</v>
      </c>
      <c r="AF2843" t="s">
        <v>23148</v>
      </c>
      <c r="AG2843" t="s">
        <v>4007</v>
      </c>
      <c r="AI2843" t="s">
        <v>23149</v>
      </c>
      <c r="AM2843" t="s">
        <v>4008</v>
      </c>
      <c r="AN2843" t="s">
        <v>2266</v>
      </c>
      <c r="AO2843" t="s">
        <v>23150</v>
      </c>
      <c r="AP2843" t="s">
        <v>7024</v>
      </c>
      <c r="AT2843" s="184">
        <v>37621</v>
      </c>
      <c r="AU2843" t="s">
        <v>22901</v>
      </c>
      <c r="AV2843">
        <v>15</v>
      </c>
      <c r="AW2843" s="184">
        <v>44158</v>
      </c>
      <c r="AX2843" t="s">
        <v>23151</v>
      </c>
      <c r="AY2843">
        <v>20</v>
      </c>
      <c r="AZ2843" s="184">
        <v>39650</v>
      </c>
      <c r="BA2843" t="s">
        <v>23152</v>
      </c>
      <c r="BB2843">
        <v>30</v>
      </c>
      <c r="BC2843">
        <v>79</v>
      </c>
      <c r="BD2843">
        <v>660</v>
      </c>
      <c r="BE2843">
        <v>2003</v>
      </c>
      <c r="BF2843">
        <v>28</v>
      </c>
      <c r="BI2843">
        <v>18</v>
      </c>
      <c r="BJ2843">
        <v>23</v>
      </c>
      <c r="BK2843">
        <v>17</v>
      </c>
      <c r="BP2843" s="184"/>
    </row>
    <row r="2844" spans="1:68">
      <c r="A2844">
        <v>35748904</v>
      </c>
      <c r="B2844">
        <v>35748904</v>
      </c>
      <c r="C2844" t="s">
        <v>23153</v>
      </c>
      <c r="E2844" s="184"/>
      <c r="G2844" s="184"/>
      <c r="I2844" s="184"/>
      <c r="K2844" s="184"/>
      <c r="M2844" s="184"/>
      <c r="N2844" t="s">
        <v>595</v>
      </c>
      <c r="O2844" s="184">
        <v>43438</v>
      </c>
      <c r="P2844" t="s">
        <v>7045</v>
      </c>
      <c r="Q2844" t="s">
        <v>7383</v>
      </c>
      <c r="R2844" s="184">
        <v>15639</v>
      </c>
      <c r="S2844">
        <v>81</v>
      </c>
      <c r="T2844" t="s">
        <v>2518</v>
      </c>
      <c r="V2844" t="s">
        <v>2648</v>
      </c>
      <c r="W2844" t="s">
        <v>7246</v>
      </c>
      <c r="X2844" t="s">
        <v>2519</v>
      </c>
      <c r="Z2844">
        <v>100304037</v>
      </c>
      <c r="AB2844" t="s">
        <v>4282</v>
      </c>
      <c r="AD2844" t="s">
        <v>2519</v>
      </c>
      <c r="AF2844" t="s">
        <v>23154</v>
      </c>
      <c r="AG2844" t="s">
        <v>23155</v>
      </c>
      <c r="AI2844" t="s">
        <v>23156</v>
      </c>
      <c r="AM2844" t="s">
        <v>2520</v>
      </c>
      <c r="AN2844" t="s">
        <v>2072</v>
      </c>
      <c r="AO2844" t="s">
        <v>23157</v>
      </c>
      <c r="AP2844" t="s">
        <v>7024</v>
      </c>
      <c r="AQ2844" t="s">
        <v>23158</v>
      </c>
      <c r="AT2844" s="184">
        <v>35216</v>
      </c>
      <c r="AU2844" t="s">
        <v>17843</v>
      </c>
      <c r="AV2844">
        <v>15</v>
      </c>
      <c r="AW2844" s="184">
        <v>44487</v>
      </c>
      <c r="AX2844" t="s">
        <v>23159</v>
      </c>
      <c r="AY2844">
        <v>25</v>
      </c>
      <c r="AZ2844" s="184">
        <v>43448</v>
      </c>
      <c r="BA2844" t="s">
        <v>9427</v>
      </c>
      <c r="BB2844">
        <v>15753.02</v>
      </c>
      <c r="BC2844">
        <v>69</v>
      </c>
      <c r="BD2844">
        <v>18973.02</v>
      </c>
      <c r="BE2844">
        <v>1996</v>
      </c>
      <c r="BF2844">
        <v>33</v>
      </c>
      <c r="BI2844">
        <v>20</v>
      </c>
      <c r="BJ2844">
        <v>29</v>
      </c>
      <c r="BK2844">
        <v>12</v>
      </c>
      <c r="BP2844" s="184"/>
    </row>
    <row r="2845" spans="1:68">
      <c r="A2845">
        <v>35751114</v>
      </c>
      <c r="B2845">
        <v>35751114</v>
      </c>
      <c r="C2845" t="s">
        <v>7018</v>
      </c>
      <c r="E2845" s="184"/>
      <c r="F2845" t="s">
        <v>595</v>
      </c>
      <c r="G2845" s="184">
        <v>43731</v>
      </c>
      <c r="I2845" s="184"/>
      <c r="K2845" s="184"/>
      <c r="M2845" s="184"/>
      <c r="O2845" s="184"/>
      <c r="P2845" t="s">
        <v>7045</v>
      </c>
      <c r="Q2845" t="s">
        <v>7494</v>
      </c>
      <c r="R2845" s="184">
        <v>19876</v>
      </c>
      <c r="S2845">
        <v>69</v>
      </c>
      <c r="U2845" t="s">
        <v>7076</v>
      </c>
      <c r="V2845" t="s">
        <v>3875</v>
      </c>
      <c r="W2845" t="s">
        <v>4139</v>
      </c>
      <c r="X2845" t="s">
        <v>3876</v>
      </c>
      <c r="AF2845" t="s">
        <v>23160</v>
      </c>
      <c r="AG2845" t="s">
        <v>3875</v>
      </c>
      <c r="AI2845" t="s">
        <v>23161</v>
      </c>
      <c r="AM2845" t="s">
        <v>3371</v>
      </c>
      <c r="AN2845" t="s">
        <v>2174</v>
      </c>
      <c r="AO2845" t="s">
        <v>23162</v>
      </c>
      <c r="AP2845" t="s">
        <v>7024</v>
      </c>
      <c r="AQ2845" t="s">
        <v>23163</v>
      </c>
      <c r="AR2845" t="s">
        <v>23164</v>
      </c>
      <c r="AT2845" s="184">
        <v>37621</v>
      </c>
      <c r="AU2845" t="s">
        <v>23165</v>
      </c>
      <c r="AV2845">
        <v>35</v>
      </c>
      <c r="AW2845" s="184">
        <v>45290</v>
      </c>
      <c r="AX2845" t="s">
        <v>9378</v>
      </c>
      <c r="AY2845">
        <v>100</v>
      </c>
      <c r="AZ2845" s="184">
        <v>41781</v>
      </c>
      <c r="BA2845" t="s">
        <v>23166</v>
      </c>
      <c r="BB2845">
        <v>125</v>
      </c>
      <c r="BC2845">
        <v>92</v>
      </c>
      <c r="BD2845">
        <v>1865</v>
      </c>
      <c r="BE2845">
        <v>2003</v>
      </c>
      <c r="BF2845">
        <v>27</v>
      </c>
      <c r="BG2845">
        <v>2</v>
      </c>
      <c r="BH2845">
        <v>150</v>
      </c>
      <c r="BI2845">
        <v>21</v>
      </c>
      <c r="BJ2845">
        <v>23</v>
      </c>
      <c r="BK2845">
        <v>18</v>
      </c>
      <c r="BP2845" s="184"/>
    </row>
    <row r="2846" spans="1:68">
      <c r="A2846">
        <v>35806041</v>
      </c>
      <c r="B2846">
        <v>35806041</v>
      </c>
      <c r="C2846" t="s">
        <v>7018</v>
      </c>
      <c r="D2846" t="s">
        <v>595</v>
      </c>
      <c r="E2846" s="184">
        <v>44167</v>
      </c>
      <c r="G2846" s="184"/>
      <c r="I2846" s="184"/>
      <c r="K2846" s="184"/>
      <c r="P2846" t="s">
        <v>7045</v>
      </c>
      <c r="Q2846" t="s">
        <v>7194</v>
      </c>
      <c r="R2846" s="184">
        <v>21459</v>
      </c>
      <c r="S2846">
        <v>65</v>
      </c>
      <c r="U2846" t="s">
        <v>7031</v>
      </c>
      <c r="V2846" t="s">
        <v>2665</v>
      </c>
      <c r="W2846" t="s">
        <v>7469</v>
      </c>
      <c r="X2846" t="s">
        <v>3112</v>
      </c>
      <c r="AF2846" t="s">
        <v>23167</v>
      </c>
      <c r="AG2846" t="s">
        <v>2665</v>
      </c>
      <c r="AI2846" t="s">
        <v>23168</v>
      </c>
      <c r="AM2846" t="s">
        <v>5097</v>
      </c>
      <c r="AN2846" t="s">
        <v>2046</v>
      </c>
      <c r="AO2846" t="s">
        <v>23169</v>
      </c>
      <c r="AP2846" t="s">
        <v>7024</v>
      </c>
      <c r="AQ2846" t="s">
        <v>23170</v>
      </c>
      <c r="AR2846" t="s">
        <v>23171</v>
      </c>
      <c r="AT2846" s="184">
        <v>37630</v>
      </c>
      <c r="AU2846" t="s">
        <v>23172</v>
      </c>
      <c r="AV2846">
        <v>19.95</v>
      </c>
      <c r="AW2846" s="184">
        <v>44522</v>
      </c>
      <c r="AX2846" t="s">
        <v>23173</v>
      </c>
      <c r="AY2846">
        <v>15</v>
      </c>
      <c r="AZ2846" s="184">
        <v>37630</v>
      </c>
      <c r="BA2846" t="s">
        <v>23172</v>
      </c>
      <c r="BB2846">
        <v>19.95</v>
      </c>
      <c r="BC2846">
        <v>46</v>
      </c>
      <c r="BD2846">
        <v>154.94999999999999</v>
      </c>
      <c r="BE2846">
        <v>2003</v>
      </c>
      <c r="BF2846">
        <v>10</v>
      </c>
      <c r="BI2846">
        <v>10</v>
      </c>
      <c r="BJ2846">
        <v>22</v>
      </c>
      <c r="BK2846">
        <v>2</v>
      </c>
      <c r="BP2846" s="184"/>
    </row>
    <row r="2847" spans="1:68">
      <c r="A2847">
        <v>35811405</v>
      </c>
      <c r="B2847">
        <v>35811405</v>
      </c>
      <c r="C2847" t="s">
        <v>7018</v>
      </c>
      <c r="D2847" t="s">
        <v>595</v>
      </c>
      <c r="E2847" s="184">
        <v>43808</v>
      </c>
      <c r="G2847" s="184"/>
      <c r="I2847" s="184"/>
      <c r="K2847" s="184"/>
      <c r="O2847" s="184"/>
      <c r="P2847" t="s">
        <v>7045</v>
      </c>
      <c r="Q2847" t="s">
        <v>7194</v>
      </c>
      <c r="R2847" s="184">
        <v>18749</v>
      </c>
      <c r="S2847">
        <v>73</v>
      </c>
      <c r="U2847" t="s">
        <v>7031</v>
      </c>
      <c r="V2847" t="s">
        <v>4458</v>
      </c>
      <c r="W2847" t="s">
        <v>4139</v>
      </c>
      <c r="X2847" t="s">
        <v>2697</v>
      </c>
      <c r="AF2847" t="s">
        <v>23174</v>
      </c>
      <c r="AG2847" t="s">
        <v>4458</v>
      </c>
      <c r="AI2847" t="s">
        <v>23175</v>
      </c>
      <c r="AM2847" t="s">
        <v>4459</v>
      </c>
      <c r="AN2847" t="s">
        <v>2046</v>
      </c>
      <c r="AO2847" t="s">
        <v>23176</v>
      </c>
      <c r="AP2847" t="s">
        <v>7024</v>
      </c>
      <c r="AQ2847" t="s">
        <v>23177</v>
      </c>
      <c r="AR2847" t="s">
        <v>23178</v>
      </c>
      <c r="AT2847" s="184">
        <v>37629</v>
      </c>
      <c r="AU2847" t="s">
        <v>23179</v>
      </c>
      <c r="AV2847">
        <v>25</v>
      </c>
      <c r="AW2847" s="184">
        <v>43591</v>
      </c>
      <c r="AX2847" t="s">
        <v>23180</v>
      </c>
      <c r="AY2847">
        <v>150</v>
      </c>
      <c r="AZ2847" s="184">
        <v>42613</v>
      </c>
      <c r="BA2847" t="s">
        <v>23181</v>
      </c>
      <c r="BB2847">
        <v>195</v>
      </c>
      <c r="BC2847">
        <v>69</v>
      </c>
      <c r="BD2847">
        <v>1418</v>
      </c>
      <c r="BE2847">
        <v>2003</v>
      </c>
      <c r="BF2847">
        <v>20</v>
      </c>
      <c r="BI2847">
        <v>15</v>
      </c>
      <c r="BJ2847">
        <v>22</v>
      </c>
      <c r="BK2847">
        <v>8</v>
      </c>
      <c r="BN2847" t="s">
        <v>595</v>
      </c>
      <c r="BP2847" s="184"/>
    </row>
    <row r="2848" spans="1:68">
      <c r="A2848">
        <v>35825926</v>
      </c>
      <c r="B2848">
        <v>35825926</v>
      </c>
      <c r="C2848" t="s">
        <v>7018</v>
      </c>
      <c r="D2848" t="s">
        <v>595</v>
      </c>
      <c r="E2848" s="184">
        <v>43745</v>
      </c>
      <c r="G2848" s="184"/>
      <c r="I2848" s="184"/>
      <c r="K2848" s="184"/>
      <c r="M2848" s="184"/>
      <c r="O2848" s="184"/>
      <c r="P2848" t="s">
        <v>7045</v>
      </c>
      <c r="Q2848" t="s">
        <v>7494</v>
      </c>
      <c r="R2848" s="184">
        <v>16526</v>
      </c>
      <c r="S2848">
        <v>79</v>
      </c>
      <c r="V2848" t="s">
        <v>2828</v>
      </c>
      <c r="W2848" t="s">
        <v>2936</v>
      </c>
      <c r="X2848" t="s">
        <v>4143</v>
      </c>
      <c r="Z2848">
        <v>100099612</v>
      </c>
      <c r="AB2848" t="s">
        <v>2586</v>
      </c>
      <c r="AC2848" t="s">
        <v>2958</v>
      </c>
      <c r="AD2848" t="s">
        <v>4143</v>
      </c>
      <c r="AF2848" t="s">
        <v>23182</v>
      </c>
      <c r="AG2848" t="s">
        <v>23183</v>
      </c>
      <c r="AI2848" t="s">
        <v>23184</v>
      </c>
      <c r="AM2848" t="s">
        <v>4006</v>
      </c>
      <c r="AN2848" t="s">
        <v>2174</v>
      </c>
      <c r="AO2848" t="s">
        <v>23185</v>
      </c>
      <c r="AP2848" t="s">
        <v>7024</v>
      </c>
      <c r="AQ2848" t="s">
        <v>23186</v>
      </c>
      <c r="AR2848" t="s">
        <v>23187</v>
      </c>
      <c r="AT2848" s="184">
        <v>37634</v>
      </c>
      <c r="AU2848" t="s">
        <v>23172</v>
      </c>
      <c r="AV2848">
        <v>19.95</v>
      </c>
      <c r="AW2848" s="184">
        <v>44831</v>
      </c>
      <c r="AX2848" t="s">
        <v>23188</v>
      </c>
      <c r="AY2848">
        <v>100</v>
      </c>
      <c r="AZ2848" s="184">
        <v>41451</v>
      </c>
      <c r="BA2848" t="s">
        <v>23189</v>
      </c>
      <c r="BB2848">
        <v>200</v>
      </c>
      <c r="BC2848">
        <v>87</v>
      </c>
      <c r="BD2848">
        <v>2384.9499999999998</v>
      </c>
      <c r="BE2848">
        <v>2003</v>
      </c>
      <c r="BF2848">
        <v>42</v>
      </c>
      <c r="BG2848">
        <v>1</v>
      </c>
      <c r="BH2848">
        <v>100</v>
      </c>
      <c r="BI2848">
        <v>19</v>
      </c>
      <c r="BJ2848">
        <v>22</v>
      </c>
      <c r="BK2848">
        <v>12</v>
      </c>
      <c r="BN2848" t="s">
        <v>595</v>
      </c>
      <c r="BP2848" s="184"/>
    </row>
    <row r="2849" spans="1:68">
      <c r="A2849">
        <v>100099612</v>
      </c>
      <c r="B2849">
        <v>35825926</v>
      </c>
      <c r="C2849" t="s">
        <v>7018</v>
      </c>
      <c r="D2849" t="s">
        <v>595</v>
      </c>
      <c r="E2849" s="184">
        <v>43745</v>
      </c>
      <c r="G2849" s="184"/>
      <c r="I2849" s="184"/>
      <c r="K2849" s="184"/>
      <c r="P2849" t="s">
        <v>7045</v>
      </c>
      <c r="Q2849" t="s">
        <v>7494</v>
      </c>
      <c r="R2849" s="184">
        <v>15174</v>
      </c>
      <c r="S2849">
        <v>82</v>
      </c>
      <c r="V2849" t="s">
        <v>2586</v>
      </c>
      <c r="W2849" t="s">
        <v>2958</v>
      </c>
      <c r="X2849" t="s">
        <v>4143</v>
      </c>
      <c r="Z2849">
        <v>35825926</v>
      </c>
      <c r="AB2849" t="s">
        <v>2828</v>
      </c>
      <c r="AC2849" t="s">
        <v>2936</v>
      </c>
      <c r="AD2849" t="s">
        <v>4143</v>
      </c>
      <c r="AF2849" t="s">
        <v>23182</v>
      </c>
      <c r="AG2849" t="s">
        <v>23183</v>
      </c>
      <c r="AI2849" t="s">
        <v>23184</v>
      </c>
      <c r="AM2849" t="s">
        <v>4006</v>
      </c>
      <c r="AN2849" t="s">
        <v>2174</v>
      </c>
      <c r="AO2849" t="s">
        <v>23185</v>
      </c>
      <c r="AP2849" t="s">
        <v>7024</v>
      </c>
      <c r="AT2849" s="184"/>
      <c r="AW2849" s="184"/>
      <c r="AZ2849" s="184"/>
    </row>
    <row r="2850" spans="1:68">
      <c r="A2850">
        <v>35828920</v>
      </c>
      <c r="B2850">
        <v>35828920</v>
      </c>
      <c r="C2850" t="s">
        <v>7018</v>
      </c>
      <c r="D2850" t="s">
        <v>595</v>
      </c>
      <c r="E2850" s="184">
        <v>45112</v>
      </c>
      <c r="G2850" s="184"/>
      <c r="I2850" s="184"/>
      <c r="K2850" s="184"/>
      <c r="O2850" s="184"/>
      <c r="P2850" t="s">
        <v>7045</v>
      </c>
      <c r="Q2850" t="s">
        <v>7383</v>
      </c>
      <c r="R2850" s="184">
        <v>13181</v>
      </c>
      <c r="S2850">
        <v>88</v>
      </c>
      <c r="U2850" t="s">
        <v>7130</v>
      </c>
      <c r="V2850" t="s">
        <v>3095</v>
      </c>
      <c r="W2850" t="s">
        <v>4013</v>
      </c>
      <c r="X2850" t="s">
        <v>23190</v>
      </c>
      <c r="AF2850" t="s">
        <v>23191</v>
      </c>
      <c r="AG2850" t="s">
        <v>3095</v>
      </c>
      <c r="AI2850" t="s">
        <v>23192</v>
      </c>
      <c r="AM2850" t="s">
        <v>23193</v>
      </c>
      <c r="AN2850" t="s">
        <v>2072</v>
      </c>
      <c r="AO2850" t="s">
        <v>23194</v>
      </c>
      <c r="AP2850" t="s">
        <v>7024</v>
      </c>
      <c r="AQ2850" t="s">
        <v>23195</v>
      </c>
      <c r="AR2850" t="s">
        <v>23196</v>
      </c>
      <c r="AT2850" s="184">
        <v>37634</v>
      </c>
      <c r="AU2850" t="s">
        <v>23197</v>
      </c>
      <c r="AV2850">
        <v>15</v>
      </c>
      <c r="AW2850" s="184">
        <v>45356</v>
      </c>
      <c r="AX2850" t="s">
        <v>23198</v>
      </c>
      <c r="AY2850">
        <v>20</v>
      </c>
      <c r="AZ2850" s="184">
        <v>41209</v>
      </c>
      <c r="BA2850" t="s">
        <v>23199</v>
      </c>
      <c r="BB2850">
        <v>35</v>
      </c>
      <c r="BC2850">
        <v>100</v>
      </c>
      <c r="BD2850">
        <v>955</v>
      </c>
      <c r="BE2850">
        <v>2003</v>
      </c>
      <c r="BF2850">
        <v>48</v>
      </c>
      <c r="BG2850">
        <v>3</v>
      </c>
      <c r="BH2850">
        <v>55</v>
      </c>
      <c r="BI2850">
        <v>22</v>
      </c>
      <c r="BJ2850">
        <v>22</v>
      </c>
      <c r="BK2850">
        <v>22</v>
      </c>
      <c r="BP2850" s="184"/>
    </row>
    <row r="2851" spans="1:68">
      <c r="A2851">
        <v>35838002</v>
      </c>
      <c r="B2851">
        <v>35838002</v>
      </c>
      <c r="C2851" t="s">
        <v>7018</v>
      </c>
      <c r="E2851" s="184"/>
      <c r="G2851" s="184"/>
      <c r="I2851" s="184"/>
      <c r="J2851" t="s">
        <v>595</v>
      </c>
      <c r="K2851" s="184">
        <v>44167</v>
      </c>
      <c r="M2851" s="184"/>
      <c r="O2851" s="184"/>
      <c r="P2851" t="s">
        <v>7045</v>
      </c>
      <c r="Q2851" t="s">
        <v>7160</v>
      </c>
      <c r="R2851" s="184">
        <v>19106</v>
      </c>
      <c r="S2851">
        <v>72</v>
      </c>
      <c r="U2851" t="s">
        <v>7076</v>
      </c>
      <c r="V2851" t="s">
        <v>2733</v>
      </c>
      <c r="X2851" t="s">
        <v>4363</v>
      </c>
      <c r="AF2851" t="s">
        <v>23200</v>
      </c>
      <c r="AG2851" t="s">
        <v>2733</v>
      </c>
      <c r="AI2851" t="s">
        <v>23201</v>
      </c>
      <c r="AM2851" t="s">
        <v>5045</v>
      </c>
      <c r="AN2851" t="s">
        <v>2395</v>
      </c>
      <c r="AO2851" t="s">
        <v>23202</v>
      </c>
      <c r="AP2851" t="s">
        <v>7024</v>
      </c>
      <c r="AQ2851" t="s">
        <v>23203</v>
      </c>
      <c r="AT2851" s="184">
        <v>37635</v>
      </c>
      <c r="AU2851" t="s">
        <v>23204</v>
      </c>
      <c r="AV2851">
        <v>50</v>
      </c>
      <c r="AW2851" s="184">
        <v>45338</v>
      </c>
      <c r="AX2851" t="s">
        <v>14116</v>
      </c>
      <c r="AY2851">
        <v>50</v>
      </c>
      <c r="AZ2851" s="184">
        <v>40276</v>
      </c>
      <c r="BA2851" t="s">
        <v>23205</v>
      </c>
      <c r="BB2851">
        <v>200</v>
      </c>
      <c r="BC2851">
        <v>69</v>
      </c>
      <c r="BD2851">
        <v>1485</v>
      </c>
      <c r="BE2851">
        <v>2003</v>
      </c>
      <c r="BF2851">
        <v>16</v>
      </c>
      <c r="BG2851">
        <v>2</v>
      </c>
      <c r="BH2851">
        <v>100</v>
      </c>
      <c r="BI2851">
        <v>15</v>
      </c>
      <c r="BJ2851">
        <v>22</v>
      </c>
      <c r="BK2851">
        <v>8</v>
      </c>
      <c r="BP2851" s="184"/>
    </row>
    <row r="2852" spans="1:68">
      <c r="A2852">
        <v>35849140</v>
      </c>
      <c r="B2852">
        <v>35849140</v>
      </c>
      <c r="C2852" t="s">
        <v>7018</v>
      </c>
      <c r="D2852" t="s">
        <v>595</v>
      </c>
      <c r="E2852" s="184">
        <v>45195</v>
      </c>
      <c r="G2852" s="184"/>
      <c r="I2852" s="184"/>
      <c r="K2852" s="184"/>
      <c r="M2852" s="184"/>
      <c r="O2852" s="184"/>
      <c r="P2852" t="s">
        <v>7045</v>
      </c>
      <c r="Q2852" t="s">
        <v>7374</v>
      </c>
      <c r="R2852" s="184">
        <v>14671</v>
      </c>
      <c r="S2852">
        <v>84</v>
      </c>
      <c r="V2852" t="s">
        <v>5400</v>
      </c>
      <c r="W2852" t="s">
        <v>2049</v>
      </c>
      <c r="X2852" t="s">
        <v>23206</v>
      </c>
      <c r="AF2852" t="s">
        <v>23207</v>
      </c>
      <c r="AG2852" t="s">
        <v>5400</v>
      </c>
      <c r="AI2852" t="s">
        <v>23208</v>
      </c>
      <c r="AM2852" t="s">
        <v>3517</v>
      </c>
      <c r="AN2852" t="s">
        <v>2081</v>
      </c>
      <c r="AO2852" t="s">
        <v>23209</v>
      </c>
      <c r="AP2852" t="s">
        <v>7024</v>
      </c>
      <c r="AQ2852" t="s">
        <v>23210</v>
      </c>
      <c r="AR2852" t="s">
        <v>23211</v>
      </c>
      <c r="AT2852" s="184">
        <v>37641</v>
      </c>
      <c r="AU2852" t="s">
        <v>23212</v>
      </c>
      <c r="AV2852">
        <v>25</v>
      </c>
      <c r="AW2852" s="184">
        <v>43985</v>
      </c>
      <c r="AX2852" t="s">
        <v>23213</v>
      </c>
      <c r="AY2852">
        <v>10</v>
      </c>
      <c r="AZ2852" s="184">
        <v>41416</v>
      </c>
      <c r="BA2852" t="s">
        <v>23214</v>
      </c>
      <c r="BB2852">
        <v>25</v>
      </c>
      <c r="BC2852">
        <v>23</v>
      </c>
      <c r="BD2852">
        <v>140</v>
      </c>
      <c r="BE2852">
        <v>2003</v>
      </c>
      <c r="BF2852">
        <v>8</v>
      </c>
      <c r="BI2852">
        <v>5</v>
      </c>
      <c r="BJ2852">
        <v>22</v>
      </c>
      <c r="BK2852">
        <v>1</v>
      </c>
      <c r="BP2852" s="184"/>
    </row>
    <row r="2853" spans="1:68">
      <c r="A2853">
        <v>35877968</v>
      </c>
      <c r="B2853">
        <v>35877968</v>
      </c>
      <c r="C2853" t="s">
        <v>7018</v>
      </c>
      <c r="D2853" t="s">
        <v>595</v>
      </c>
      <c r="E2853" s="184">
        <v>43864</v>
      </c>
      <c r="G2853" s="184"/>
      <c r="K2853" s="184"/>
      <c r="M2853" s="184"/>
      <c r="O2853" s="184"/>
      <c r="P2853" t="s">
        <v>7045</v>
      </c>
      <c r="Q2853" t="s">
        <v>7160</v>
      </c>
      <c r="R2853" s="184">
        <v>18487</v>
      </c>
      <c r="S2853">
        <v>73</v>
      </c>
      <c r="U2853" t="s">
        <v>7076</v>
      </c>
      <c r="V2853" t="s">
        <v>4697</v>
      </c>
      <c r="X2853" t="s">
        <v>4698</v>
      </c>
      <c r="AF2853" t="s">
        <v>23215</v>
      </c>
      <c r="AG2853" t="s">
        <v>4697</v>
      </c>
      <c r="AI2853" t="s">
        <v>23216</v>
      </c>
      <c r="AM2853" t="s">
        <v>4692</v>
      </c>
      <c r="AN2853" t="s">
        <v>2176</v>
      </c>
      <c r="AO2853" t="s">
        <v>23217</v>
      </c>
      <c r="AP2853" t="s">
        <v>7024</v>
      </c>
      <c r="AQ2853" t="s">
        <v>23218</v>
      </c>
      <c r="AT2853" s="184">
        <v>37655</v>
      </c>
      <c r="AU2853" t="s">
        <v>23219</v>
      </c>
      <c r="AV2853">
        <v>25</v>
      </c>
      <c r="AW2853" s="184">
        <v>45412</v>
      </c>
      <c r="AX2853" t="s">
        <v>7429</v>
      </c>
      <c r="AY2853">
        <v>25</v>
      </c>
      <c r="AZ2853" s="184">
        <v>45268</v>
      </c>
      <c r="BA2853" t="s">
        <v>11451</v>
      </c>
      <c r="BB2853">
        <v>100</v>
      </c>
      <c r="BC2853">
        <v>96</v>
      </c>
      <c r="BD2853">
        <v>3530</v>
      </c>
      <c r="BE2853">
        <v>2003</v>
      </c>
      <c r="BF2853">
        <v>52</v>
      </c>
      <c r="BG2853">
        <v>9</v>
      </c>
      <c r="BH2853">
        <v>600</v>
      </c>
      <c r="BI2853">
        <v>21</v>
      </c>
      <c r="BJ2853">
        <v>22</v>
      </c>
      <c r="BK2853">
        <v>13</v>
      </c>
      <c r="BP2853" s="184"/>
    </row>
    <row r="2854" spans="1:68">
      <c r="A2854">
        <v>35885110</v>
      </c>
      <c r="B2854">
        <v>35885110</v>
      </c>
      <c r="C2854" t="s">
        <v>7018</v>
      </c>
      <c r="D2854" t="s">
        <v>595</v>
      </c>
      <c r="E2854" s="184">
        <v>43801</v>
      </c>
      <c r="G2854" s="184"/>
      <c r="I2854" s="184"/>
      <c r="K2854" s="184"/>
      <c r="M2854" s="184"/>
      <c r="O2854" s="184"/>
      <c r="P2854" t="s">
        <v>7045</v>
      </c>
      <c r="Q2854" t="s">
        <v>7030</v>
      </c>
      <c r="R2854" s="184">
        <v>14242</v>
      </c>
      <c r="S2854">
        <v>85</v>
      </c>
      <c r="V2854" t="s">
        <v>3299</v>
      </c>
      <c r="X2854" t="s">
        <v>2962</v>
      </c>
      <c r="Z2854">
        <v>100099855</v>
      </c>
      <c r="AB2854" t="s">
        <v>3131</v>
      </c>
      <c r="AD2854" t="s">
        <v>2962</v>
      </c>
      <c r="AF2854" t="s">
        <v>23220</v>
      </c>
      <c r="AG2854" t="s">
        <v>23221</v>
      </c>
      <c r="AI2854" t="s">
        <v>23222</v>
      </c>
      <c r="AM2854" t="s">
        <v>2717</v>
      </c>
      <c r="AN2854" t="s">
        <v>2089</v>
      </c>
      <c r="AO2854" t="s">
        <v>23223</v>
      </c>
      <c r="AP2854" t="s">
        <v>7024</v>
      </c>
      <c r="AT2854" s="184">
        <v>37656</v>
      </c>
      <c r="AU2854" t="s">
        <v>23224</v>
      </c>
      <c r="AV2854">
        <v>25</v>
      </c>
      <c r="AW2854" s="184">
        <v>43809</v>
      </c>
      <c r="AX2854" t="s">
        <v>23225</v>
      </c>
      <c r="AY2854">
        <v>150</v>
      </c>
      <c r="AZ2854" s="184">
        <v>43809</v>
      </c>
      <c r="BA2854" t="s">
        <v>23225</v>
      </c>
      <c r="BB2854">
        <v>150</v>
      </c>
      <c r="BC2854">
        <v>55</v>
      </c>
      <c r="BD2854">
        <v>1210</v>
      </c>
      <c r="BE2854">
        <v>2003</v>
      </c>
      <c r="BF2854">
        <v>26</v>
      </c>
      <c r="BI2854">
        <v>12</v>
      </c>
      <c r="BJ2854">
        <v>22</v>
      </c>
      <c r="BK2854">
        <v>5</v>
      </c>
      <c r="BO2854" t="s">
        <v>595</v>
      </c>
      <c r="BP2854" s="184"/>
    </row>
    <row r="2855" spans="1:68">
      <c r="A2855">
        <v>100099855</v>
      </c>
      <c r="B2855">
        <v>35885110</v>
      </c>
      <c r="C2855" t="s">
        <v>7018</v>
      </c>
      <c r="D2855" t="s">
        <v>595</v>
      </c>
      <c r="E2855" s="184">
        <v>43801</v>
      </c>
      <c r="G2855" s="184"/>
      <c r="I2855" s="184"/>
      <c r="K2855" s="184"/>
      <c r="O2855" s="184"/>
      <c r="P2855" t="s">
        <v>7045</v>
      </c>
      <c r="Q2855" t="s">
        <v>7030</v>
      </c>
      <c r="R2855" s="184">
        <v>14251</v>
      </c>
      <c r="S2855">
        <v>85</v>
      </c>
      <c r="V2855" t="s">
        <v>3131</v>
      </c>
      <c r="X2855" t="s">
        <v>2962</v>
      </c>
      <c r="Z2855">
        <v>35885110</v>
      </c>
      <c r="AB2855" t="s">
        <v>3299</v>
      </c>
      <c r="AD2855" t="s">
        <v>2962</v>
      </c>
      <c r="AF2855" t="s">
        <v>23220</v>
      </c>
      <c r="AG2855" t="s">
        <v>23221</v>
      </c>
      <c r="AI2855" t="s">
        <v>23222</v>
      </c>
      <c r="AM2855" t="s">
        <v>2717</v>
      </c>
      <c r="AN2855" t="s">
        <v>2089</v>
      </c>
      <c r="AO2855" t="s">
        <v>23223</v>
      </c>
      <c r="AP2855" t="s">
        <v>7024</v>
      </c>
      <c r="AT2855" s="184"/>
      <c r="AW2855" s="184"/>
      <c r="AZ2855" s="184"/>
      <c r="BO2855" t="s">
        <v>595</v>
      </c>
      <c r="BP2855" s="184"/>
    </row>
    <row r="2856" spans="1:68">
      <c r="A2856">
        <v>35885441</v>
      </c>
      <c r="B2856">
        <v>35885441</v>
      </c>
      <c r="C2856" t="s">
        <v>7018</v>
      </c>
      <c r="E2856" s="184"/>
      <c r="F2856" t="s">
        <v>595</v>
      </c>
      <c r="G2856" s="184">
        <v>45180</v>
      </c>
      <c r="I2856" s="184"/>
      <c r="K2856" s="184"/>
      <c r="P2856" t="s">
        <v>7045</v>
      </c>
      <c r="Q2856" t="s">
        <v>7374</v>
      </c>
      <c r="R2856" s="184">
        <v>15373</v>
      </c>
      <c r="S2856">
        <v>82</v>
      </c>
      <c r="V2856" t="s">
        <v>2733</v>
      </c>
      <c r="X2856" t="s">
        <v>14916</v>
      </c>
      <c r="AF2856" t="s">
        <v>23226</v>
      </c>
      <c r="AG2856" t="s">
        <v>2733</v>
      </c>
      <c r="AI2856" t="s">
        <v>23227</v>
      </c>
      <c r="AM2856" t="s">
        <v>23228</v>
      </c>
      <c r="AN2856" t="s">
        <v>2081</v>
      </c>
      <c r="AO2856" t="s">
        <v>23229</v>
      </c>
      <c r="AP2856" t="s">
        <v>7024</v>
      </c>
      <c r="AT2856" s="184">
        <v>37656</v>
      </c>
      <c r="AU2856" t="s">
        <v>23230</v>
      </c>
      <c r="AV2856">
        <v>15</v>
      </c>
      <c r="AW2856" s="184">
        <v>41855</v>
      </c>
      <c r="AX2856" t="s">
        <v>13816</v>
      </c>
      <c r="AY2856">
        <v>25</v>
      </c>
      <c r="AZ2856" s="184">
        <v>41855</v>
      </c>
      <c r="BA2856" t="s">
        <v>13816</v>
      </c>
      <c r="BB2856">
        <v>25</v>
      </c>
      <c r="BC2856">
        <v>50</v>
      </c>
      <c r="BD2856">
        <v>320</v>
      </c>
      <c r="BE2856">
        <v>2003</v>
      </c>
      <c r="BF2856">
        <v>15</v>
      </c>
      <c r="BI2856">
        <v>11</v>
      </c>
      <c r="BJ2856">
        <v>22</v>
      </c>
      <c r="BK2856">
        <v>10</v>
      </c>
      <c r="BP2856" s="184"/>
    </row>
    <row r="2857" spans="1:68">
      <c r="A2857">
        <v>35887595</v>
      </c>
      <c r="B2857">
        <v>35887595</v>
      </c>
      <c r="C2857" t="s">
        <v>7018</v>
      </c>
      <c r="D2857" t="s">
        <v>595</v>
      </c>
      <c r="E2857" s="184">
        <v>44104</v>
      </c>
      <c r="G2857" s="184"/>
      <c r="I2857" s="184"/>
      <c r="K2857" s="184"/>
      <c r="M2857" s="184"/>
      <c r="P2857" t="s">
        <v>7045</v>
      </c>
      <c r="Q2857" t="s">
        <v>7160</v>
      </c>
      <c r="R2857" s="184">
        <v>18810</v>
      </c>
      <c r="S2857">
        <v>72</v>
      </c>
      <c r="U2857" t="s">
        <v>7031</v>
      </c>
      <c r="V2857" t="s">
        <v>4093</v>
      </c>
      <c r="X2857" t="s">
        <v>23231</v>
      </c>
      <c r="Z2857">
        <v>100796361</v>
      </c>
      <c r="AA2857" t="s">
        <v>7130</v>
      </c>
      <c r="AB2857" t="s">
        <v>2918</v>
      </c>
      <c r="AD2857" t="s">
        <v>23231</v>
      </c>
      <c r="AF2857" t="s">
        <v>23232</v>
      </c>
      <c r="AG2857" t="s">
        <v>23233</v>
      </c>
      <c r="AI2857" t="s">
        <v>23234</v>
      </c>
      <c r="AM2857" t="s">
        <v>23235</v>
      </c>
      <c r="AN2857" t="s">
        <v>2446</v>
      </c>
      <c r="AO2857" t="s">
        <v>23236</v>
      </c>
      <c r="AP2857" t="s">
        <v>7024</v>
      </c>
      <c r="AQ2857" t="s">
        <v>23237</v>
      </c>
      <c r="AT2857" s="184">
        <v>37657</v>
      </c>
      <c r="AU2857" t="s">
        <v>23238</v>
      </c>
      <c r="AV2857">
        <v>15</v>
      </c>
      <c r="AW2857" s="184">
        <v>45409</v>
      </c>
      <c r="AX2857" t="s">
        <v>7429</v>
      </c>
      <c r="AY2857">
        <v>25</v>
      </c>
      <c r="AZ2857" s="184">
        <v>45409</v>
      </c>
      <c r="BA2857" t="s">
        <v>7429</v>
      </c>
      <c r="BB2857">
        <v>25</v>
      </c>
      <c r="BC2857">
        <v>91</v>
      </c>
      <c r="BD2857">
        <v>4735</v>
      </c>
      <c r="BE2857">
        <v>2003</v>
      </c>
      <c r="BF2857">
        <v>213</v>
      </c>
      <c r="BG2857">
        <v>24</v>
      </c>
      <c r="BH2857">
        <v>600</v>
      </c>
      <c r="BI2857">
        <v>20</v>
      </c>
      <c r="BJ2857">
        <v>22</v>
      </c>
      <c r="BK2857">
        <v>19</v>
      </c>
      <c r="BP2857" s="184"/>
    </row>
    <row r="2858" spans="1:68">
      <c r="A2858">
        <v>35889864</v>
      </c>
      <c r="B2858">
        <v>35889864</v>
      </c>
      <c r="C2858" t="s">
        <v>7018</v>
      </c>
      <c r="E2858" s="184"/>
      <c r="G2858" s="184"/>
      <c r="I2858" s="184"/>
      <c r="J2858" t="s">
        <v>595</v>
      </c>
      <c r="K2858" s="184">
        <v>44253</v>
      </c>
      <c r="M2858" s="184"/>
      <c r="O2858" s="184"/>
      <c r="P2858" t="s">
        <v>7084</v>
      </c>
      <c r="Q2858" t="s">
        <v>7030</v>
      </c>
      <c r="R2858" s="184">
        <v>8068</v>
      </c>
      <c r="S2858">
        <v>102</v>
      </c>
      <c r="U2858" t="s">
        <v>7130</v>
      </c>
      <c r="V2858" t="s">
        <v>5735</v>
      </c>
      <c r="X2858" t="s">
        <v>13569</v>
      </c>
      <c r="AF2858" t="s">
        <v>23239</v>
      </c>
      <c r="AG2858" t="s">
        <v>5735</v>
      </c>
      <c r="AI2858" t="s">
        <v>23240</v>
      </c>
      <c r="AM2858" t="s">
        <v>3010</v>
      </c>
      <c r="AN2858" t="s">
        <v>2094</v>
      </c>
      <c r="AO2858" t="s">
        <v>23241</v>
      </c>
      <c r="AP2858" t="s">
        <v>7024</v>
      </c>
      <c r="AT2858" s="184">
        <v>37657</v>
      </c>
      <c r="AU2858" t="s">
        <v>23242</v>
      </c>
      <c r="AV2858">
        <v>15</v>
      </c>
      <c r="AW2858" s="184">
        <v>44481</v>
      </c>
      <c r="AX2858" t="s">
        <v>7093</v>
      </c>
      <c r="AY2858">
        <v>22354</v>
      </c>
      <c r="AZ2858" s="184">
        <v>44481</v>
      </c>
      <c r="BA2858" t="s">
        <v>7093</v>
      </c>
      <c r="BB2858">
        <v>22354</v>
      </c>
      <c r="BC2858">
        <v>64</v>
      </c>
      <c r="BD2858">
        <v>22744</v>
      </c>
      <c r="BE2858">
        <v>2003</v>
      </c>
      <c r="BF2858">
        <v>14</v>
      </c>
      <c r="BI2858">
        <v>14</v>
      </c>
      <c r="BJ2858">
        <v>22</v>
      </c>
      <c r="BK2858">
        <v>13</v>
      </c>
      <c r="BO2858" t="s">
        <v>595</v>
      </c>
      <c r="BP2858" s="184">
        <v>44196</v>
      </c>
    </row>
    <row r="2859" spans="1:68">
      <c r="A2859">
        <v>35890631</v>
      </c>
      <c r="B2859">
        <v>35890631</v>
      </c>
      <c r="C2859" t="s">
        <v>7018</v>
      </c>
      <c r="E2859" s="184"/>
      <c r="G2859" s="184"/>
      <c r="I2859" s="184"/>
      <c r="J2859" t="s">
        <v>595</v>
      </c>
      <c r="K2859" s="184">
        <v>37665</v>
      </c>
      <c r="M2859" s="184"/>
      <c r="P2859" t="s">
        <v>7686</v>
      </c>
      <c r="Q2859" t="s">
        <v>7774</v>
      </c>
      <c r="R2859" s="184">
        <v>12754</v>
      </c>
      <c r="S2859">
        <v>89</v>
      </c>
      <c r="U2859" t="s">
        <v>7031</v>
      </c>
      <c r="V2859" t="s">
        <v>7495</v>
      </c>
      <c r="W2859" t="s">
        <v>7356</v>
      </c>
      <c r="X2859" t="s">
        <v>5340</v>
      </c>
      <c r="Z2859">
        <v>100099882</v>
      </c>
      <c r="AA2859" t="s">
        <v>7076</v>
      </c>
      <c r="AB2859" t="s">
        <v>5336</v>
      </c>
      <c r="AD2859" t="s">
        <v>5337</v>
      </c>
      <c r="AF2859" t="s">
        <v>23243</v>
      </c>
      <c r="AG2859" t="s">
        <v>7495</v>
      </c>
      <c r="AI2859" t="s">
        <v>23244</v>
      </c>
      <c r="AM2859" t="s">
        <v>3690</v>
      </c>
      <c r="AN2859" t="s">
        <v>2077</v>
      </c>
      <c r="AO2859" t="s">
        <v>23245</v>
      </c>
      <c r="AP2859" t="s">
        <v>7024</v>
      </c>
      <c r="AQ2859" t="s">
        <v>23246</v>
      </c>
      <c r="AR2859" t="s">
        <v>23247</v>
      </c>
      <c r="AT2859" s="184">
        <v>36510</v>
      </c>
      <c r="AU2859" t="s">
        <v>23248</v>
      </c>
      <c r="AV2859">
        <v>5539.81</v>
      </c>
      <c r="AW2859" s="184">
        <v>45280</v>
      </c>
      <c r="AX2859" t="s">
        <v>7749</v>
      </c>
      <c r="AY2859">
        <v>4982.04</v>
      </c>
      <c r="AZ2859" s="184">
        <v>38328</v>
      </c>
      <c r="BA2859" t="s">
        <v>23249</v>
      </c>
      <c r="BB2859">
        <v>270000</v>
      </c>
      <c r="BC2859">
        <v>89</v>
      </c>
      <c r="BD2859">
        <v>458391.63</v>
      </c>
      <c r="BE2859">
        <v>2000</v>
      </c>
      <c r="BF2859">
        <v>32</v>
      </c>
      <c r="BG2859">
        <v>2</v>
      </c>
      <c r="BH2859">
        <v>10052.6</v>
      </c>
      <c r="BI2859">
        <v>23</v>
      </c>
      <c r="BJ2859">
        <v>26</v>
      </c>
      <c r="BK2859">
        <v>12</v>
      </c>
      <c r="BP2859" s="184"/>
    </row>
    <row r="2860" spans="1:68">
      <c r="A2860">
        <v>100099882</v>
      </c>
      <c r="B2860">
        <v>35890631</v>
      </c>
      <c r="C2860" t="s">
        <v>7018</v>
      </c>
      <c r="E2860" s="184"/>
      <c r="G2860" s="184"/>
      <c r="I2860" s="184"/>
      <c r="J2860" t="s">
        <v>595</v>
      </c>
      <c r="K2860" s="184">
        <v>37665</v>
      </c>
      <c r="M2860" s="184"/>
      <c r="P2860" t="s">
        <v>7686</v>
      </c>
      <c r="Q2860" t="s">
        <v>7774</v>
      </c>
      <c r="R2860" s="184"/>
      <c r="U2860" t="s">
        <v>7076</v>
      </c>
      <c r="V2860" t="s">
        <v>5336</v>
      </c>
      <c r="X2860" t="s">
        <v>5337</v>
      </c>
      <c r="Z2860">
        <v>35890631</v>
      </c>
      <c r="AA2860" t="s">
        <v>7031</v>
      </c>
      <c r="AB2860" t="s">
        <v>7495</v>
      </c>
      <c r="AC2860" t="s">
        <v>7356</v>
      </c>
      <c r="AD2860" t="s">
        <v>5340</v>
      </c>
      <c r="AF2860" t="s">
        <v>23243</v>
      </c>
      <c r="AG2860" t="s">
        <v>7495</v>
      </c>
      <c r="AI2860" t="s">
        <v>23244</v>
      </c>
      <c r="AM2860" t="s">
        <v>3690</v>
      </c>
      <c r="AN2860" t="s">
        <v>2077</v>
      </c>
      <c r="AO2860" t="s">
        <v>23245</v>
      </c>
      <c r="AP2860" t="s">
        <v>7024</v>
      </c>
      <c r="AQ2860" t="s">
        <v>23250</v>
      </c>
      <c r="AT2860" s="184"/>
      <c r="AW2860" s="184"/>
      <c r="AZ2860" s="184"/>
      <c r="BP2860" s="184"/>
    </row>
    <row r="2861" spans="1:68">
      <c r="A2861">
        <v>35902766</v>
      </c>
      <c r="B2861">
        <v>35902766</v>
      </c>
      <c r="C2861" t="s">
        <v>7018</v>
      </c>
      <c r="E2861" s="184"/>
      <c r="F2861" t="s">
        <v>595</v>
      </c>
      <c r="G2861" s="184">
        <v>43731</v>
      </c>
      <c r="I2861" s="184"/>
      <c r="K2861" s="184"/>
      <c r="M2861" s="184"/>
      <c r="P2861" t="s">
        <v>7045</v>
      </c>
      <c r="Q2861" t="s">
        <v>7374</v>
      </c>
      <c r="R2861" s="184">
        <v>13869</v>
      </c>
      <c r="S2861">
        <v>86</v>
      </c>
      <c r="U2861" t="s">
        <v>7076</v>
      </c>
      <c r="V2861" t="s">
        <v>4009</v>
      </c>
      <c r="X2861" t="s">
        <v>4010</v>
      </c>
      <c r="Z2861">
        <v>100099953</v>
      </c>
      <c r="AB2861" t="s">
        <v>2732</v>
      </c>
      <c r="AC2861" t="s">
        <v>7695</v>
      </c>
      <c r="AD2861" t="s">
        <v>4010</v>
      </c>
      <c r="AF2861" t="s">
        <v>23251</v>
      </c>
      <c r="AG2861" t="s">
        <v>23252</v>
      </c>
      <c r="AI2861" t="s">
        <v>23253</v>
      </c>
      <c r="AM2861" t="s">
        <v>23254</v>
      </c>
      <c r="AN2861" t="s">
        <v>2081</v>
      </c>
      <c r="AO2861" t="s">
        <v>23255</v>
      </c>
      <c r="AP2861" t="s">
        <v>7024</v>
      </c>
      <c r="AQ2861" t="s">
        <v>23256</v>
      </c>
      <c r="AR2861" t="s">
        <v>23257</v>
      </c>
      <c r="AT2861" s="184">
        <v>37659</v>
      </c>
      <c r="AU2861" t="s">
        <v>23242</v>
      </c>
      <c r="AV2861">
        <v>25</v>
      </c>
      <c r="AW2861" s="184">
        <v>45403</v>
      </c>
      <c r="AX2861" t="s">
        <v>23258</v>
      </c>
      <c r="AY2861">
        <v>36.75</v>
      </c>
      <c r="AZ2861" s="184">
        <v>40917</v>
      </c>
      <c r="BA2861" t="s">
        <v>23259</v>
      </c>
      <c r="BB2861">
        <v>40</v>
      </c>
      <c r="BC2861">
        <v>100</v>
      </c>
      <c r="BD2861">
        <v>1871.25</v>
      </c>
      <c r="BE2861">
        <v>2003</v>
      </c>
      <c r="BF2861">
        <v>69</v>
      </c>
      <c r="BG2861">
        <v>14</v>
      </c>
      <c r="BH2861">
        <v>426.25</v>
      </c>
      <c r="BI2861">
        <v>22</v>
      </c>
      <c r="BJ2861">
        <v>22</v>
      </c>
      <c r="BK2861">
        <v>22</v>
      </c>
    </row>
    <row r="2862" spans="1:68">
      <c r="A2862">
        <v>100099953</v>
      </c>
      <c r="B2862">
        <v>35902766</v>
      </c>
      <c r="C2862" t="s">
        <v>7018</v>
      </c>
      <c r="E2862" s="184"/>
      <c r="F2862" t="s">
        <v>595</v>
      </c>
      <c r="G2862" s="184">
        <v>43731</v>
      </c>
      <c r="I2862" s="184"/>
      <c r="K2862" s="184"/>
      <c r="M2862" s="184"/>
      <c r="P2862" t="s">
        <v>7045</v>
      </c>
      <c r="Q2862" t="s">
        <v>7374</v>
      </c>
      <c r="R2862" s="184">
        <v>12298</v>
      </c>
      <c r="S2862">
        <v>90</v>
      </c>
      <c r="V2862" t="s">
        <v>2732</v>
      </c>
      <c r="W2862" t="s">
        <v>7695</v>
      </c>
      <c r="X2862" t="s">
        <v>4010</v>
      </c>
      <c r="Z2862">
        <v>35902766</v>
      </c>
      <c r="AA2862" t="s">
        <v>7076</v>
      </c>
      <c r="AB2862" t="s">
        <v>4009</v>
      </c>
      <c r="AD2862" t="s">
        <v>4010</v>
      </c>
      <c r="AF2862" t="s">
        <v>23251</v>
      </c>
      <c r="AG2862" t="s">
        <v>23252</v>
      </c>
      <c r="AI2862" t="s">
        <v>23253</v>
      </c>
      <c r="AM2862" t="s">
        <v>23254</v>
      </c>
      <c r="AN2862" t="s">
        <v>2081</v>
      </c>
      <c r="AO2862" t="s">
        <v>23255</v>
      </c>
      <c r="AP2862" t="s">
        <v>7024</v>
      </c>
      <c r="AT2862" s="184"/>
      <c r="AW2862" s="184"/>
      <c r="AZ2862" s="184"/>
      <c r="BP2862" s="184"/>
    </row>
    <row r="2863" spans="1:68">
      <c r="A2863">
        <v>35904143</v>
      </c>
      <c r="B2863">
        <v>35904143</v>
      </c>
      <c r="C2863" t="s">
        <v>7018</v>
      </c>
      <c r="E2863" s="184"/>
      <c r="G2863" s="184"/>
      <c r="I2863" s="184"/>
      <c r="J2863" t="s">
        <v>595</v>
      </c>
      <c r="K2863" s="184">
        <v>40953</v>
      </c>
      <c r="P2863" t="s">
        <v>7045</v>
      </c>
      <c r="Q2863" t="s">
        <v>7383</v>
      </c>
      <c r="R2863" s="184">
        <v>18629</v>
      </c>
      <c r="S2863">
        <v>73</v>
      </c>
      <c r="U2863" t="s">
        <v>7031</v>
      </c>
      <c r="V2863" t="s">
        <v>2979</v>
      </c>
      <c r="X2863" t="s">
        <v>23260</v>
      </c>
      <c r="AF2863" t="s">
        <v>6544</v>
      </c>
      <c r="AG2863" t="s">
        <v>2979</v>
      </c>
      <c r="AI2863" t="s">
        <v>23261</v>
      </c>
      <c r="AM2863" t="s">
        <v>3488</v>
      </c>
      <c r="AN2863" t="s">
        <v>2072</v>
      </c>
      <c r="AO2863" t="s">
        <v>23262</v>
      </c>
      <c r="AP2863" t="s">
        <v>7024</v>
      </c>
      <c r="AQ2863" t="s">
        <v>23263</v>
      </c>
      <c r="AT2863" s="184">
        <v>37662</v>
      </c>
      <c r="AU2863" t="s">
        <v>23264</v>
      </c>
      <c r="AV2863">
        <v>25</v>
      </c>
      <c r="AW2863" s="184">
        <v>43752</v>
      </c>
      <c r="AX2863" t="s">
        <v>23265</v>
      </c>
      <c r="AY2863">
        <v>43</v>
      </c>
      <c r="AZ2863" s="184">
        <v>43416</v>
      </c>
      <c r="BA2863" t="s">
        <v>17911</v>
      </c>
      <c r="BB2863">
        <v>100</v>
      </c>
      <c r="BC2863">
        <v>50</v>
      </c>
      <c r="BD2863">
        <v>653</v>
      </c>
      <c r="BE2863">
        <v>2003</v>
      </c>
      <c r="BF2863">
        <v>17</v>
      </c>
      <c r="BI2863">
        <v>11</v>
      </c>
      <c r="BJ2863">
        <v>22</v>
      </c>
      <c r="BK2863">
        <v>4</v>
      </c>
      <c r="BP2863" s="184"/>
    </row>
    <row r="2864" spans="1:68">
      <c r="A2864">
        <v>35907823</v>
      </c>
      <c r="B2864">
        <v>35907823</v>
      </c>
      <c r="C2864" t="s">
        <v>7018</v>
      </c>
      <c r="D2864" t="s">
        <v>595</v>
      </c>
      <c r="E2864" s="184">
        <v>44438</v>
      </c>
      <c r="G2864" s="184"/>
      <c r="I2864" s="184"/>
      <c r="K2864" s="184"/>
      <c r="O2864" s="184"/>
      <c r="P2864" t="s">
        <v>7045</v>
      </c>
      <c r="Q2864" t="s">
        <v>7454</v>
      </c>
      <c r="R2864" s="184">
        <v>21002</v>
      </c>
      <c r="S2864">
        <v>66</v>
      </c>
      <c r="V2864" t="s">
        <v>17490</v>
      </c>
      <c r="W2864" t="s">
        <v>3522</v>
      </c>
      <c r="X2864" t="s">
        <v>23266</v>
      </c>
      <c r="AF2864" t="s">
        <v>23267</v>
      </c>
      <c r="AG2864" t="s">
        <v>17490</v>
      </c>
      <c r="AI2864" t="s">
        <v>23268</v>
      </c>
      <c r="AM2864" t="s">
        <v>4074</v>
      </c>
      <c r="AN2864" t="s">
        <v>2055</v>
      </c>
      <c r="AO2864" t="s">
        <v>23269</v>
      </c>
      <c r="AP2864" t="s">
        <v>7024</v>
      </c>
      <c r="AQ2864" t="s">
        <v>23270</v>
      </c>
      <c r="AT2864" s="184">
        <v>37663</v>
      </c>
      <c r="AU2864" t="s">
        <v>23271</v>
      </c>
      <c r="AV2864">
        <v>20</v>
      </c>
      <c r="AW2864" s="184">
        <v>45412</v>
      </c>
      <c r="AX2864" t="s">
        <v>23272</v>
      </c>
      <c r="AY2864">
        <v>35</v>
      </c>
      <c r="AZ2864" s="184">
        <v>42759</v>
      </c>
      <c r="BA2864" t="s">
        <v>23273</v>
      </c>
      <c r="BB2864">
        <v>60</v>
      </c>
      <c r="BC2864">
        <v>50</v>
      </c>
      <c r="BD2864">
        <v>370</v>
      </c>
      <c r="BE2864">
        <v>2003</v>
      </c>
      <c r="BF2864">
        <v>12</v>
      </c>
      <c r="BG2864">
        <v>2</v>
      </c>
      <c r="BH2864">
        <v>70</v>
      </c>
      <c r="BI2864">
        <v>11</v>
      </c>
      <c r="BJ2864">
        <v>22</v>
      </c>
      <c r="BK2864">
        <v>4</v>
      </c>
      <c r="BP2864" s="184"/>
    </row>
    <row r="2865" spans="1:68">
      <c r="A2865">
        <v>35921659</v>
      </c>
      <c r="B2865">
        <v>35921659</v>
      </c>
      <c r="C2865" t="s">
        <v>7018</v>
      </c>
      <c r="D2865" t="s">
        <v>595</v>
      </c>
      <c r="E2865" s="184">
        <v>43696</v>
      </c>
      <c r="G2865" s="184"/>
      <c r="K2865" s="184"/>
      <c r="M2865" s="184"/>
      <c r="O2865" s="184"/>
      <c r="P2865" t="s">
        <v>7045</v>
      </c>
      <c r="Q2865" t="s">
        <v>7494</v>
      </c>
      <c r="R2865" s="184">
        <v>9452</v>
      </c>
      <c r="S2865">
        <v>98</v>
      </c>
      <c r="U2865" t="s">
        <v>7130</v>
      </c>
      <c r="V2865" t="s">
        <v>3740</v>
      </c>
      <c r="X2865" t="s">
        <v>3741</v>
      </c>
      <c r="AF2865" t="s">
        <v>23274</v>
      </c>
      <c r="AG2865" t="s">
        <v>3740</v>
      </c>
      <c r="AI2865" t="s">
        <v>23275</v>
      </c>
      <c r="AM2865" t="s">
        <v>3742</v>
      </c>
      <c r="AN2865" t="s">
        <v>2174</v>
      </c>
      <c r="AO2865" t="s">
        <v>23276</v>
      </c>
      <c r="AP2865" t="s">
        <v>7024</v>
      </c>
      <c r="AQ2865" t="s">
        <v>23277</v>
      </c>
      <c r="AT2865" s="184">
        <v>37665</v>
      </c>
      <c r="AU2865" t="s">
        <v>23278</v>
      </c>
      <c r="AV2865">
        <v>15</v>
      </c>
      <c r="AW2865" s="184">
        <v>42486</v>
      </c>
      <c r="AX2865" t="s">
        <v>23279</v>
      </c>
      <c r="AY2865">
        <v>25</v>
      </c>
      <c r="AZ2865" s="184">
        <v>42486</v>
      </c>
      <c r="BA2865" t="s">
        <v>23279</v>
      </c>
      <c r="BB2865">
        <v>25</v>
      </c>
      <c r="BC2865">
        <v>60</v>
      </c>
      <c r="BD2865">
        <v>230</v>
      </c>
      <c r="BE2865">
        <v>2003</v>
      </c>
      <c r="BF2865">
        <v>19</v>
      </c>
      <c r="BI2865">
        <v>13</v>
      </c>
      <c r="BJ2865">
        <v>22</v>
      </c>
      <c r="BK2865">
        <v>10</v>
      </c>
      <c r="BP2865" s="184"/>
    </row>
    <row r="2866" spans="1:68">
      <c r="A2866">
        <v>35933092</v>
      </c>
      <c r="B2866">
        <v>35933092</v>
      </c>
      <c r="C2866" t="s">
        <v>7018</v>
      </c>
      <c r="D2866" t="s">
        <v>595</v>
      </c>
      <c r="E2866" s="184">
        <v>43640</v>
      </c>
      <c r="G2866" s="184"/>
      <c r="I2866" s="184"/>
      <c r="K2866" s="184"/>
      <c r="M2866" s="184"/>
      <c r="O2866" s="184"/>
      <c r="P2866" t="s">
        <v>7045</v>
      </c>
      <c r="Q2866" t="s">
        <v>7383</v>
      </c>
      <c r="R2866" s="184">
        <v>13485</v>
      </c>
      <c r="S2866">
        <v>87</v>
      </c>
      <c r="U2866" t="s">
        <v>7130</v>
      </c>
      <c r="V2866" t="s">
        <v>2586</v>
      </c>
      <c r="W2866" t="s">
        <v>7560</v>
      </c>
      <c r="X2866" t="s">
        <v>2962</v>
      </c>
      <c r="AF2866" t="s">
        <v>23280</v>
      </c>
      <c r="AG2866" t="s">
        <v>2586</v>
      </c>
      <c r="AI2866" t="s">
        <v>23281</v>
      </c>
      <c r="AM2866" t="s">
        <v>23282</v>
      </c>
      <c r="AN2866" t="s">
        <v>2072</v>
      </c>
      <c r="AO2866" t="s">
        <v>23283</v>
      </c>
      <c r="AP2866" t="s">
        <v>7024</v>
      </c>
      <c r="AQ2866" t="s">
        <v>23284</v>
      </c>
      <c r="AT2866" s="184">
        <v>37671</v>
      </c>
      <c r="AU2866" t="s">
        <v>23197</v>
      </c>
      <c r="AV2866">
        <v>25</v>
      </c>
      <c r="AW2866" s="184">
        <v>45299</v>
      </c>
      <c r="AX2866" t="s">
        <v>23285</v>
      </c>
      <c r="AY2866">
        <v>25</v>
      </c>
      <c r="AZ2866" s="184">
        <v>45299</v>
      </c>
      <c r="BA2866" t="s">
        <v>23285</v>
      </c>
      <c r="BB2866">
        <v>25</v>
      </c>
      <c r="BC2866">
        <v>78</v>
      </c>
      <c r="BD2866">
        <v>545</v>
      </c>
      <c r="BE2866">
        <v>2003</v>
      </c>
      <c r="BF2866">
        <v>22</v>
      </c>
      <c r="BG2866">
        <v>1</v>
      </c>
      <c r="BH2866">
        <v>25</v>
      </c>
      <c r="BI2866">
        <v>17</v>
      </c>
      <c r="BJ2866">
        <v>22</v>
      </c>
      <c r="BK2866">
        <v>8</v>
      </c>
      <c r="BP2866" s="184"/>
    </row>
    <row r="2867" spans="1:68">
      <c r="A2867">
        <v>35934181</v>
      </c>
      <c r="B2867">
        <v>35934181</v>
      </c>
      <c r="C2867" t="s">
        <v>7018</v>
      </c>
      <c r="E2867" s="184"/>
      <c r="G2867" s="184"/>
      <c r="I2867" s="184"/>
      <c r="J2867" t="s">
        <v>595</v>
      </c>
      <c r="K2867" s="184">
        <v>44264</v>
      </c>
      <c r="M2867" s="184"/>
      <c r="O2867" s="184"/>
      <c r="P2867" t="s">
        <v>7045</v>
      </c>
      <c r="Q2867" t="s">
        <v>7374</v>
      </c>
      <c r="R2867" s="184">
        <v>21916</v>
      </c>
      <c r="S2867">
        <v>64</v>
      </c>
      <c r="V2867" t="s">
        <v>2697</v>
      </c>
      <c r="X2867" t="s">
        <v>23286</v>
      </c>
      <c r="Z2867">
        <v>100100116</v>
      </c>
      <c r="AB2867" t="s">
        <v>5916</v>
      </c>
      <c r="AD2867" t="s">
        <v>23286</v>
      </c>
      <c r="AF2867" t="s">
        <v>23287</v>
      </c>
      <c r="AG2867" t="s">
        <v>23288</v>
      </c>
      <c r="AI2867" t="s">
        <v>23289</v>
      </c>
      <c r="AM2867" t="s">
        <v>4329</v>
      </c>
      <c r="AN2867" t="s">
        <v>2066</v>
      </c>
      <c r="AO2867" t="s">
        <v>23290</v>
      </c>
      <c r="AP2867" t="s">
        <v>7024</v>
      </c>
      <c r="AQ2867" t="s">
        <v>23291</v>
      </c>
      <c r="AR2867" t="s">
        <v>23292</v>
      </c>
      <c r="AT2867" s="184">
        <v>37671</v>
      </c>
      <c r="AU2867" t="s">
        <v>23293</v>
      </c>
      <c r="AV2867">
        <v>25</v>
      </c>
      <c r="AW2867" s="184">
        <v>40912</v>
      </c>
      <c r="AX2867" t="s">
        <v>23294</v>
      </c>
      <c r="AY2867">
        <v>25</v>
      </c>
      <c r="AZ2867" s="184">
        <v>40912</v>
      </c>
      <c r="BA2867" t="s">
        <v>23294</v>
      </c>
      <c r="BB2867">
        <v>25</v>
      </c>
      <c r="BC2867">
        <v>41</v>
      </c>
      <c r="BD2867">
        <v>225</v>
      </c>
      <c r="BE2867">
        <v>2003</v>
      </c>
      <c r="BF2867">
        <v>9</v>
      </c>
      <c r="BI2867">
        <v>9</v>
      </c>
      <c r="BJ2867">
        <v>22</v>
      </c>
      <c r="BK2867">
        <v>7</v>
      </c>
      <c r="BN2867" t="s">
        <v>595</v>
      </c>
      <c r="BP2867" s="184"/>
    </row>
    <row r="2868" spans="1:68">
      <c r="A2868">
        <v>35950567</v>
      </c>
      <c r="B2868">
        <v>35950567</v>
      </c>
      <c r="C2868" t="s">
        <v>7018</v>
      </c>
      <c r="E2868" s="184"/>
      <c r="G2868" s="184"/>
      <c r="I2868" s="184"/>
      <c r="J2868" t="s">
        <v>595</v>
      </c>
      <c r="K2868" s="184">
        <v>44070</v>
      </c>
      <c r="M2868" s="184"/>
      <c r="O2868" s="184"/>
      <c r="P2868" t="s">
        <v>7045</v>
      </c>
      <c r="Q2868" t="s">
        <v>7383</v>
      </c>
      <c r="R2868" s="184">
        <v>17482</v>
      </c>
      <c r="S2868">
        <v>76</v>
      </c>
      <c r="U2868" t="s">
        <v>7031</v>
      </c>
      <c r="V2868" t="s">
        <v>2551</v>
      </c>
      <c r="W2868" t="s">
        <v>7836</v>
      </c>
      <c r="X2868" t="s">
        <v>2772</v>
      </c>
      <c r="AF2868" t="s">
        <v>23295</v>
      </c>
      <c r="AG2868" t="s">
        <v>2551</v>
      </c>
      <c r="AI2868" t="s">
        <v>23296</v>
      </c>
      <c r="AM2868" t="s">
        <v>3321</v>
      </c>
      <c r="AN2868" t="s">
        <v>2313</v>
      </c>
      <c r="AO2868" t="s">
        <v>23297</v>
      </c>
      <c r="AP2868" t="s">
        <v>7024</v>
      </c>
      <c r="AQ2868" t="s">
        <v>23298</v>
      </c>
      <c r="AR2868" t="s">
        <v>23299</v>
      </c>
      <c r="AT2868" s="184">
        <v>37637</v>
      </c>
      <c r="AU2868" t="s">
        <v>23172</v>
      </c>
      <c r="AV2868">
        <v>19.95</v>
      </c>
      <c r="AW2868" s="184">
        <v>45322</v>
      </c>
      <c r="AX2868" t="s">
        <v>7339</v>
      </c>
      <c r="AY2868">
        <v>50</v>
      </c>
      <c r="AZ2868" s="184">
        <v>45322</v>
      </c>
      <c r="BA2868" t="s">
        <v>7339</v>
      </c>
      <c r="BB2868">
        <v>50</v>
      </c>
      <c r="BC2868">
        <v>91</v>
      </c>
      <c r="BD2868">
        <v>1159.95</v>
      </c>
      <c r="BE2868">
        <v>2003</v>
      </c>
      <c r="BF2868">
        <v>27</v>
      </c>
      <c r="BG2868">
        <v>2</v>
      </c>
      <c r="BH2868">
        <v>100</v>
      </c>
      <c r="BI2868">
        <v>20</v>
      </c>
      <c r="BJ2868">
        <v>22</v>
      </c>
      <c r="BK2868">
        <v>15</v>
      </c>
      <c r="BN2868" t="s">
        <v>595</v>
      </c>
      <c r="BP2868" s="184"/>
    </row>
    <row r="2869" spans="1:68">
      <c r="A2869">
        <v>35969708</v>
      </c>
      <c r="B2869">
        <v>35969708</v>
      </c>
      <c r="C2869" t="s">
        <v>7018</v>
      </c>
      <c r="E2869" s="184"/>
      <c r="G2869" s="184"/>
      <c r="I2869" s="184"/>
      <c r="J2869" t="s">
        <v>595</v>
      </c>
      <c r="K2869" s="184">
        <v>41543</v>
      </c>
      <c r="M2869" s="184"/>
      <c r="P2869" t="s">
        <v>7045</v>
      </c>
      <c r="Q2869" t="s">
        <v>7454</v>
      </c>
      <c r="R2869" s="184">
        <v>14839</v>
      </c>
      <c r="S2869">
        <v>83</v>
      </c>
      <c r="U2869" t="s">
        <v>7130</v>
      </c>
      <c r="V2869" t="s">
        <v>3302</v>
      </c>
      <c r="W2869" t="s">
        <v>115</v>
      </c>
      <c r="X2869" t="s">
        <v>3201</v>
      </c>
      <c r="Z2869">
        <v>100182479</v>
      </c>
      <c r="AA2869" t="s">
        <v>7031</v>
      </c>
      <c r="AB2869" t="s">
        <v>3103</v>
      </c>
      <c r="AC2869" t="s">
        <v>7560</v>
      </c>
      <c r="AD2869" t="s">
        <v>3201</v>
      </c>
      <c r="AF2869" t="s">
        <v>6319</v>
      </c>
      <c r="AG2869" t="s">
        <v>3302</v>
      </c>
      <c r="AI2869" t="s">
        <v>23300</v>
      </c>
      <c r="AM2869" t="s">
        <v>3770</v>
      </c>
      <c r="AN2869" t="s">
        <v>2299</v>
      </c>
      <c r="AO2869" t="s">
        <v>23301</v>
      </c>
      <c r="AP2869" t="s">
        <v>7024</v>
      </c>
      <c r="AQ2869" t="s">
        <v>23302</v>
      </c>
      <c r="AT2869" s="184">
        <v>37684</v>
      </c>
      <c r="AU2869" t="s">
        <v>23303</v>
      </c>
      <c r="AV2869">
        <v>25</v>
      </c>
      <c r="AW2869" s="184">
        <v>44374</v>
      </c>
      <c r="AX2869" t="s">
        <v>23304</v>
      </c>
      <c r="AY2869">
        <v>120</v>
      </c>
      <c r="AZ2869" s="184">
        <v>44374</v>
      </c>
      <c r="BA2869" t="s">
        <v>23304</v>
      </c>
      <c r="BB2869">
        <v>120</v>
      </c>
      <c r="BC2869">
        <v>69</v>
      </c>
      <c r="BD2869">
        <v>1810</v>
      </c>
      <c r="BE2869">
        <v>2003</v>
      </c>
      <c r="BF2869">
        <v>58</v>
      </c>
      <c r="BI2869">
        <v>15</v>
      </c>
      <c r="BJ2869">
        <v>22</v>
      </c>
      <c r="BK2869">
        <v>8</v>
      </c>
      <c r="BP2869" s="184"/>
    </row>
    <row r="2870" spans="1:68">
      <c r="A2870">
        <v>100182479</v>
      </c>
      <c r="B2870">
        <v>35969708</v>
      </c>
      <c r="C2870" t="s">
        <v>7018</v>
      </c>
      <c r="E2870" s="184"/>
      <c r="G2870" s="184"/>
      <c r="I2870" s="184"/>
      <c r="J2870" t="s">
        <v>595</v>
      </c>
      <c r="K2870" s="184">
        <v>41543</v>
      </c>
      <c r="M2870" s="184"/>
      <c r="P2870" t="s">
        <v>7045</v>
      </c>
      <c r="Q2870" t="s">
        <v>7454</v>
      </c>
      <c r="R2870" s="184">
        <v>11994</v>
      </c>
      <c r="S2870">
        <v>91</v>
      </c>
      <c r="U2870" t="s">
        <v>7031</v>
      </c>
      <c r="V2870" t="s">
        <v>3103</v>
      </c>
      <c r="W2870" t="s">
        <v>7560</v>
      </c>
      <c r="X2870" t="s">
        <v>3201</v>
      </c>
      <c r="Z2870">
        <v>35969708</v>
      </c>
      <c r="AA2870" t="s">
        <v>7130</v>
      </c>
      <c r="AB2870" t="s">
        <v>3302</v>
      </c>
      <c r="AC2870" t="s">
        <v>115</v>
      </c>
      <c r="AD2870" t="s">
        <v>3201</v>
      </c>
      <c r="AF2870" t="s">
        <v>6319</v>
      </c>
      <c r="AG2870" t="s">
        <v>3302</v>
      </c>
      <c r="AI2870" t="s">
        <v>23300</v>
      </c>
      <c r="AM2870" t="s">
        <v>3770</v>
      </c>
      <c r="AN2870" t="s">
        <v>2299</v>
      </c>
      <c r="AO2870" t="s">
        <v>23301</v>
      </c>
      <c r="AP2870" t="s">
        <v>7024</v>
      </c>
      <c r="AQ2870" t="s">
        <v>23305</v>
      </c>
      <c r="AT2870" s="184"/>
      <c r="AW2870" s="184"/>
      <c r="AZ2870" s="184"/>
      <c r="BO2870" t="s">
        <v>595</v>
      </c>
    </row>
    <row r="2871" spans="1:68">
      <c r="A2871">
        <v>35976562</v>
      </c>
      <c r="B2871">
        <v>35976562</v>
      </c>
      <c r="C2871" t="s">
        <v>7018</v>
      </c>
      <c r="D2871" t="s">
        <v>595</v>
      </c>
      <c r="E2871" s="184">
        <v>45117</v>
      </c>
      <c r="G2871" s="184"/>
      <c r="I2871" s="184"/>
      <c r="K2871" s="184"/>
      <c r="M2871" s="184"/>
      <c r="O2871" s="184"/>
      <c r="P2871" t="s">
        <v>7019</v>
      </c>
      <c r="Q2871" t="s">
        <v>7383</v>
      </c>
      <c r="R2871" s="184">
        <v>24447</v>
      </c>
      <c r="S2871">
        <v>57</v>
      </c>
      <c r="V2871" t="s">
        <v>2779</v>
      </c>
      <c r="X2871" t="s">
        <v>23306</v>
      </c>
      <c r="AF2871" t="s">
        <v>23307</v>
      </c>
      <c r="AG2871" t="s">
        <v>2779</v>
      </c>
      <c r="AI2871" t="s">
        <v>23308</v>
      </c>
      <c r="AM2871" t="s">
        <v>23309</v>
      </c>
      <c r="AN2871" t="s">
        <v>2313</v>
      </c>
      <c r="AO2871" t="s">
        <v>23310</v>
      </c>
      <c r="AP2871" t="s">
        <v>7024</v>
      </c>
      <c r="AT2871" s="184">
        <v>37687</v>
      </c>
      <c r="AU2871" t="s">
        <v>23311</v>
      </c>
      <c r="AV2871">
        <v>20</v>
      </c>
      <c r="AW2871" s="184">
        <v>42976</v>
      </c>
      <c r="AX2871" t="s">
        <v>23312</v>
      </c>
      <c r="AY2871">
        <v>5</v>
      </c>
      <c r="AZ2871" s="184">
        <v>42872</v>
      </c>
      <c r="BA2871" t="s">
        <v>23313</v>
      </c>
      <c r="BB2871">
        <v>60</v>
      </c>
      <c r="BC2871">
        <v>46</v>
      </c>
      <c r="BD2871">
        <v>281</v>
      </c>
      <c r="BE2871">
        <v>2003</v>
      </c>
      <c r="BF2871">
        <v>14</v>
      </c>
      <c r="BI2871">
        <v>10</v>
      </c>
      <c r="BJ2871">
        <v>22</v>
      </c>
      <c r="BK2871">
        <v>3</v>
      </c>
    </row>
    <row r="2872" spans="1:68">
      <c r="A2872">
        <v>35976596</v>
      </c>
      <c r="B2872">
        <v>35976596</v>
      </c>
      <c r="C2872" t="s">
        <v>7018</v>
      </c>
      <c r="D2872" t="s">
        <v>595</v>
      </c>
      <c r="E2872" s="184">
        <v>44073</v>
      </c>
      <c r="G2872" s="184"/>
      <c r="I2872" s="184"/>
      <c r="K2872" s="184"/>
      <c r="M2872" s="184"/>
      <c r="O2872" s="184"/>
      <c r="P2872" t="s">
        <v>7045</v>
      </c>
      <c r="Q2872" t="s">
        <v>7454</v>
      </c>
      <c r="R2872" s="184">
        <v>18660</v>
      </c>
      <c r="S2872">
        <v>73</v>
      </c>
      <c r="U2872" t="s">
        <v>7031</v>
      </c>
      <c r="V2872" t="s">
        <v>3411</v>
      </c>
      <c r="W2872" t="s">
        <v>7268</v>
      </c>
      <c r="X2872" t="s">
        <v>23314</v>
      </c>
      <c r="AF2872" t="s">
        <v>23315</v>
      </c>
      <c r="AG2872" t="s">
        <v>3411</v>
      </c>
      <c r="AI2872" t="s">
        <v>23316</v>
      </c>
      <c r="AM2872" t="s">
        <v>3770</v>
      </c>
      <c r="AN2872" t="s">
        <v>2299</v>
      </c>
      <c r="AO2872" t="s">
        <v>23317</v>
      </c>
      <c r="AP2872" t="s">
        <v>7024</v>
      </c>
      <c r="AQ2872" t="s">
        <v>23318</v>
      </c>
      <c r="AT2872" s="184">
        <v>37687</v>
      </c>
      <c r="AU2872" t="s">
        <v>23238</v>
      </c>
      <c r="AV2872">
        <v>25</v>
      </c>
      <c r="AW2872" s="184">
        <v>45359</v>
      </c>
      <c r="AX2872" t="s">
        <v>7203</v>
      </c>
      <c r="AY2872">
        <v>35</v>
      </c>
      <c r="AZ2872" s="184">
        <v>40392</v>
      </c>
      <c r="BA2872" t="s">
        <v>14021</v>
      </c>
      <c r="BB2872">
        <v>75</v>
      </c>
      <c r="BC2872">
        <v>100</v>
      </c>
      <c r="BD2872">
        <v>2186.75</v>
      </c>
      <c r="BE2872">
        <v>2003</v>
      </c>
      <c r="BF2872">
        <v>50</v>
      </c>
      <c r="BG2872">
        <v>11</v>
      </c>
      <c r="BH2872">
        <v>481.75</v>
      </c>
      <c r="BI2872">
        <v>22</v>
      </c>
      <c r="BJ2872">
        <v>22</v>
      </c>
      <c r="BK2872">
        <v>22</v>
      </c>
      <c r="BP2872" s="184"/>
    </row>
    <row r="2873" spans="1:68">
      <c r="A2873">
        <v>36001113</v>
      </c>
      <c r="B2873">
        <v>36001113</v>
      </c>
      <c r="C2873" t="s">
        <v>7018</v>
      </c>
      <c r="D2873" t="s">
        <v>595</v>
      </c>
      <c r="E2873" s="184">
        <v>43619</v>
      </c>
      <c r="G2873" s="184"/>
      <c r="I2873" s="184"/>
      <c r="K2873" s="184"/>
      <c r="O2873" s="184"/>
      <c r="P2873" t="s">
        <v>7045</v>
      </c>
      <c r="Q2873" t="s">
        <v>7030</v>
      </c>
      <c r="R2873" s="184">
        <v>17768</v>
      </c>
      <c r="S2873">
        <v>75</v>
      </c>
      <c r="U2873" t="s">
        <v>7032</v>
      </c>
      <c r="V2873" t="s">
        <v>2832</v>
      </c>
      <c r="W2873" t="s">
        <v>7246</v>
      </c>
      <c r="X2873" t="s">
        <v>2896</v>
      </c>
      <c r="AF2873" t="s">
        <v>23319</v>
      </c>
      <c r="AG2873" t="s">
        <v>2832</v>
      </c>
      <c r="AI2873" t="s">
        <v>23320</v>
      </c>
      <c r="AM2873" t="s">
        <v>2897</v>
      </c>
      <c r="AN2873" t="s">
        <v>2089</v>
      </c>
      <c r="AO2873" t="s">
        <v>23321</v>
      </c>
      <c r="AP2873" t="s">
        <v>7024</v>
      </c>
      <c r="AQ2873" t="s">
        <v>23322</v>
      </c>
      <c r="AR2873" t="s">
        <v>23323</v>
      </c>
      <c r="AT2873" s="184">
        <v>37711</v>
      </c>
      <c r="AU2873" t="s">
        <v>23324</v>
      </c>
      <c r="AV2873">
        <v>50</v>
      </c>
      <c r="AW2873" s="184">
        <v>43079</v>
      </c>
      <c r="AX2873" t="s">
        <v>22741</v>
      </c>
      <c r="AY2873">
        <v>500</v>
      </c>
      <c r="AZ2873" s="184">
        <v>42731</v>
      </c>
      <c r="BA2873" t="s">
        <v>23325</v>
      </c>
      <c r="BB2873">
        <v>1000</v>
      </c>
      <c r="BC2873">
        <v>32</v>
      </c>
      <c r="BD2873">
        <v>2885</v>
      </c>
      <c r="BE2873">
        <v>2003</v>
      </c>
      <c r="BF2873">
        <v>9</v>
      </c>
      <c r="BI2873">
        <v>7</v>
      </c>
      <c r="BJ2873">
        <v>22</v>
      </c>
      <c r="BK2873">
        <v>2</v>
      </c>
      <c r="BP2873" s="184"/>
    </row>
    <row r="2874" spans="1:68">
      <c r="A2874">
        <v>36018349</v>
      </c>
      <c r="B2874">
        <v>36018349</v>
      </c>
      <c r="C2874" t="s">
        <v>7018</v>
      </c>
      <c r="E2874" s="184"/>
      <c r="G2874" s="184"/>
      <c r="J2874" t="s">
        <v>595</v>
      </c>
      <c r="K2874" s="184">
        <v>42479</v>
      </c>
      <c r="M2874" s="184"/>
      <c r="O2874" s="184"/>
      <c r="P2874" t="s">
        <v>7029</v>
      </c>
      <c r="Q2874" t="s">
        <v>7454</v>
      </c>
      <c r="R2874" s="184">
        <v>13673</v>
      </c>
      <c r="S2874">
        <v>86</v>
      </c>
      <c r="U2874" t="s">
        <v>7076</v>
      </c>
      <c r="V2874" t="s">
        <v>4523</v>
      </c>
      <c r="W2874" t="s">
        <v>2985</v>
      </c>
      <c r="X2874" t="s">
        <v>23326</v>
      </c>
      <c r="AF2874" t="s">
        <v>5981</v>
      </c>
      <c r="AG2874" t="s">
        <v>4523</v>
      </c>
      <c r="AI2874" t="s">
        <v>23327</v>
      </c>
      <c r="AM2874" t="s">
        <v>3611</v>
      </c>
      <c r="AN2874" t="s">
        <v>2055</v>
      </c>
      <c r="AO2874" t="s">
        <v>23328</v>
      </c>
      <c r="AP2874" t="s">
        <v>7024</v>
      </c>
      <c r="AQ2874" t="s">
        <v>23329</v>
      </c>
      <c r="AT2874" s="184">
        <v>37714</v>
      </c>
      <c r="AU2874" t="s">
        <v>23330</v>
      </c>
      <c r="AV2874">
        <v>15</v>
      </c>
      <c r="AW2874" s="184">
        <v>45289</v>
      </c>
      <c r="AX2874" t="s">
        <v>7382</v>
      </c>
      <c r="AY2874">
        <v>2000</v>
      </c>
      <c r="AZ2874" s="184">
        <v>42361</v>
      </c>
      <c r="BA2874" t="s">
        <v>7179</v>
      </c>
      <c r="BB2874">
        <v>2016</v>
      </c>
      <c r="BC2874">
        <v>64</v>
      </c>
      <c r="BD2874">
        <v>14146</v>
      </c>
      <c r="BE2874">
        <v>2003</v>
      </c>
      <c r="BF2874">
        <v>20</v>
      </c>
      <c r="BG2874">
        <v>1</v>
      </c>
      <c r="BH2874">
        <v>2000</v>
      </c>
      <c r="BI2874">
        <v>14</v>
      </c>
      <c r="BJ2874">
        <v>22</v>
      </c>
      <c r="BK2874">
        <v>8</v>
      </c>
      <c r="BP2874" s="184"/>
    </row>
    <row r="2875" spans="1:68">
      <c r="A2875">
        <v>36024156</v>
      </c>
      <c r="B2875">
        <v>36024156</v>
      </c>
      <c r="C2875" t="s">
        <v>7018</v>
      </c>
      <c r="D2875" t="s">
        <v>595</v>
      </c>
      <c r="E2875" s="184">
        <v>43745</v>
      </c>
      <c r="G2875" s="184"/>
      <c r="I2875" s="184"/>
      <c r="K2875" s="184"/>
      <c r="M2875" s="184"/>
      <c r="O2875" s="184"/>
      <c r="P2875" t="s">
        <v>7045</v>
      </c>
      <c r="Q2875" t="s">
        <v>7454</v>
      </c>
      <c r="R2875" s="184">
        <v>17624</v>
      </c>
      <c r="S2875">
        <v>76</v>
      </c>
      <c r="U2875" t="s">
        <v>7031</v>
      </c>
      <c r="V2875" t="s">
        <v>4144</v>
      </c>
      <c r="X2875" t="s">
        <v>4145</v>
      </c>
      <c r="AF2875" t="s">
        <v>23331</v>
      </c>
      <c r="AG2875" t="s">
        <v>4144</v>
      </c>
      <c r="AI2875" t="s">
        <v>23332</v>
      </c>
      <c r="AM2875" t="s">
        <v>3855</v>
      </c>
      <c r="AN2875" t="s">
        <v>2055</v>
      </c>
      <c r="AO2875" t="s">
        <v>23333</v>
      </c>
      <c r="AP2875" t="s">
        <v>7024</v>
      </c>
      <c r="AT2875" s="184">
        <v>37715</v>
      </c>
      <c r="AU2875" t="s">
        <v>23334</v>
      </c>
      <c r="AV2875">
        <v>25</v>
      </c>
      <c r="AW2875" s="184">
        <v>43270</v>
      </c>
      <c r="AX2875" t="s">
        <v>23335</v>
      </c>
      <c r="AY2875">
        <v>25</v>
      </c>
      <c r="AZ2875" s="184">
        <v>38401</v>
      </c>
      <c r="BA2875" t="s">
        <v>23336</v>
      </c>
      <c r="BB2875">
        <v>35</v>
      </c>
      <c r="BC2875">
        <v>41</v>
      </c>
      <c r="BD2875">
        <v>270</v>
      </c>
      <c r="BE2875">
        <v>2003</v>
      </c>
      <c r="BF2875">
        <v>11</v>
      </c>
      <c r="BI2875">
        <v>9</v>
      </c>
      <c r="BJ2875">
        <v>22</v>
      </c>
      <c r="BK2875">
        <v>3</v>
      </c>
      <c r="BP2875" s="184"/>
    </row>
    <row r="2876" spans="1:68">
      <c r="A2876">
        <v>36032555</v>
      </c>
      <c r="B2876">
        <v>36032555</v>
      </c>
      <c r="C2876" t="s">
        <v>7018</v>
      </c>
      <c r="E2876" s="184"/>
      <c r="F2876" t="s">
        <v>595</v>
      </c>
      <c r="G2876" s="184">
        <v>43647</v>
      </c>
      <c r="I2876" s="184"/>
      <c r="K2876" s="184"/>
      <c r="O2876" s="184"/>
      <c r="P2876" t="s">
        <v>7019</v>
      </c>
      <c r="Q2876" t="s">
        <v>7383</v>
      </c>
      <c r="R2876" s="184">
        <v>18172</v>
      </c>
      <c r="S2876">
        <v>74</v>
      </c>
      <c r="V2876" t="s">
        <v>2733</v>
      </c>
      <c r="X2876" t="s">
        <v>2510</v>
      </c>
      <c r="AF2876" t="s">
        <v>23337</v>
      </c>
      <c r="AG2876" t="s">
        <v>2733</v>
      </c>
      <c r="AI2876" t="s">
        <v>23338</v>
      </c>
      <c r="AM2876" t="s">
        <v>3418</v>
      </c>
      <c r="AN2876" t="s">
        <v>2144</v>
      </c>
      <c r="AO2876" t="s">
        <v>23339</v>
      </c>
      <c r="AP2876" t="s">
        <v>7024</v>
      </c>
      <c r="AQ2876" t="s">
        <v>23340</v>
      </c>
      <c r="AR2876" t="s">
        <v>23341</v>
      </c>
      <c r="AT2876" s="184">
        <v>37718</v>
      </c>
      <c r="AU2876" t="s">
        <v>23342</v>
      </c>
      <c r="AV2876">
        <v>15</v>
      </c>
      <c r="AW2876" s="184">
        <v>43397</v>
      </c>
      <c r="AX2876" t="s">
        <v>15681</v>
      </c>
      <c r="AY2876">
        <v>60</v>
      </c>
      <c r="AZ2876" s="184">
        <v>43397</v>
      </c>
      <c r="BA2876" t="s">
        <v>15681</v>
      </c>
      <c r="BB2876">
        <v>60</v>
      </c>
      <c r="BC2876">
        <v>41</v>
      </c>
      <c r="BD2876">
        <v>440</v>
      </c>
      <c r="BE2876">
        <v>2003</v>
      </c>
      <c r="BF2876">
        <v>16</v>
      </c>
      <c r="BI2876">
        <v>9</v>
      </c>
      <c r="BJ2876">
        <v>22</v>
      </c>
      <c r="BK2876">
        <v>4</v>
      </c>
      <c r="BN2876" t="s">
        <v>595</v>
      </c>
      <c r="BP2876" s="184"/>
    </row>
    <row r="2877" spans="1:68">
      <c r="A2877">
        <v>36037216</v>
      </c>
      <c r="B2877">
        <v>36037216</v>
      </c>
      <c r="C2877" t="s">
        <v>7018</v>
      </c>
      <c r="E2877" s="184"/>
      <c r="G2877" s="184"/>
      <c r="I2877" s="184"/>
      <c r="J2877" t="s">
        <v>595</v>
      </c>
      <c r="K2877" s="184">
        <v>41088</v>
      </c>
      <c r="O2877" s="184"/>
      <c r="P2877" t="s">
        <v>7045</v>
      </c>
      <c r="Q2877" t="s">
        <v>7262</v>
      </c>
      <c r="R2877" s="184">
        <v>19815</v>
      </c>
      <c r="S2877">
        <v>70</v>
      </c>
      <c r="V2877" t="s">
        <v>2903</v>
      </c>
      <c r="W2877" t="s">
        <v>7407</v>
      </c>
      <c r="X2877" t="s">
        <v>23343</v>
      </c>
      <c r="AF2877" t="s">
        <v>6337</v>
      </c>
      <c r="AG2877" t="s">
        <v>2903</v>
      </c>
      <c r="AI2877" t="s">
        <v>23344</v>
      </c>
      <c r="AM2877" t="s">
        <v>11727</v>
      </c>
      <c r="AN2877" t="s">
        <v>2219</v>
      </c>
      <c r="AO2877" t="s">
        <v>23345</v>
      </c>
      <c r="AP2877" t="s">
        <v>7024</v>
      </c>
      <c r="AQ2877" t="s">
        <v>23346</v>
      </c>
      <c r="AR2877" t="s">
        <v>23347</v>
      </c>
      <c r="AT2877" s="184">
        <v>37719</v>
      </c>
      <c r="AU2877" t="s">
        <v>23348</v>
      </c>
      <c r="AV2877">
        <v>25</v>
      </c>
      <c r="AW2877" s="184">
        <v>45398</v>
      </c>
      <c r="AX2877" t="s">
        <v>23349</v>
      </c>
      <c r="AY2877">
        <v>150</v>
      </c>
      <c r="AZ2877" s="184">
        <v>42212</v>
      </c>
      <c r="BA2877" t="s">
        <v>23350</v>
      </c>
      <c r="BB2877">
        <v>200</v>
      </c>
      <c r="BC2877">
        <v>82</v>
      </c>
      <c r="BD2877">
        <v>1915</v>
      </c>
      <c r="BE2877">
        <v>2003</v>
      </c>
      <c r="BF2877">
        <v>21</v>
      </c>
      <c r="BG2877">
        <v>3</v>
      </c>
      <c r="BH2877">
        <v>350</v>
      </c>
      <c r="BI2877">
        <v>18</v>
      </c>
      <c r="BJ2877">
        <v>22</v>
      </c>
      <c r="BK2877">
        <v>8</v>
      </c>
      <c r="BP2877" s="184"/>
    </row>
    <row r="2878" spans="1:68">
      <c r="A2878">
        <v>36037273</v>
      </c>
      <c r="B2878">
        <v>36037273</v>
      </c>
      <c r="C2878" t="s">
        <v>7018</v>
      </c>
      <c r="E2878" s="184"/>
      <c r="G2878" s="184"/>
      <c r="J2878" t="s">
        <v>595</v>
      </c>
      <c r="K2878" s="184">
        <v>41957</v>
      </c>
      <c r="M2878" s="184"/>
      <c r="O2878" s="184"/>
      <c r="P2878" t="s">
        <v>7045</v>
      </c>
      <c r="Q2878" t="s">
        <v>7383</v>
      </c>
      <c r="R2878" s="184">
        <v>21276</v>
      </c>
      <c r="S2878">
        <v>66</v>
      </c>
      <c r="U2878" t="s">
        <v>7076</v>
      </c>
      <c r="V2878" t="s">
        <v>23351</v>
      </c>
      <c r="X2878" t="s">
        <v>7397</v>
      </c>
      <c r="AF2878" t="s">
        <v>6350</v>
      </c>
      <c r="AG2878" t="s">
        <v>23351</v>
      </c>
      <c r="AI2878" t="s">
        <v>23352</v>
      </c>
      <c r="AM2878" t="s">
        <v>11148</v>
      </c>
      <c r="AN2878" t="s">
        <v>2185</v>
      </c>
      <c r="AO2878" t="s">
        <v>23353</v>
      </c>
      <c r="AP2878" t="s">
        <v>7024</v>
      </c>
      <c r="AQ2878" t="s">
        <v>23354</v>
      </c>
      <c r="AR2878" t="s">
        <v>23355</v>
      </c>
      <c r="AT2878" s="184">
        <v>37719</v>
      </c>
      <c r="AU2878" t="s">
        <v>23356</v>
      </c>
      <c r="AV2878">
        <v>15</v>
      </c>
      <c r="AW2878" s="184">
        <v>45426</v>
      </c>
      <c r="AX2878" t="s">
        <v>7422</v>
      </c>
      <c r="AY2878">
        <v>15</v>
      </c>
      <c r="AZ2878" s="184">
        <v>40847</v>
      </c>
      <c r="BA2878" t="s">
        <v>23357</v>
      </c>
      <c r="BB2878">
        <v>50</v>
      </c>
      <c r="BC2878">
        <v>96</v>
      </c>
      <c r="BD2878">
        <v>2120</v>
      </c>
      <c r="BE2878">
        <v>2003</v>
      </c>
      <c r="BF2878">
        <v>155</v>
      </c>
      <c r="BG2878">
        <v>25</v>
      </c>
      <c r="BH2878">
        <v>375</v>
      </c>
      <c r="BI2878">
        <v>21</v>
      </c>
      <c r="BJ2878">
        <v>22</v>
      </c>
      <c r="BK2878">
        <v>18</v>
      </c>
      <c r="BP2878" s="184"/>
    </row>
    <row r="2879" spans="1:68">
      <c r="A2879">
        <v>36049914</v>
      </c>
      <c r="B2879">
        <v>36049914</v>
      </c>
      <c r="C2879" t="s">
        <v>7018</v>
      </c>
      <c r="E2879" s="184"/>
      <c r="G2879" s="184"/>
      <c r="J2879" t="s">
        <v>595</v>
      </c>
      <c r="K2879" s="184">
        <v>42522</v>
      </c>
      <c r="M2879" s="184"/>
      <c r="O2879" s="184"/>
      <c r="P2879" t="s">
        <v>7045</v>
      </c>
      <c r="Q2879" t="s">
        <v>7030</v>
      </c>
      <c r="R2879" s="184">
        <v>14691</v>
      </c>
      <c r="S2879">
        <v>84</v>
      </c>
      <c r="U2879" t="s">
        <v>7076</v>
      </c>
      <c r="V2879" t="s">
        <v>3801</v>
      </c>
      <c r="W2879" t="s">
        <v>4013</v>
      </c>
      <c r="X2879" t="s">
        <v>16957</v>
      </c>
      <c r="AF2879" t="s">
        <v>6419</v>
      </c>
      <c r="AG2879" t="s">
        <v>3801</v>
      </c>
      <c r="AI2879" t="s">
        <v>23358</v>
      </c>
      <c r="AM2879" t="s">
        <v>4299</v>
      </c>
      <c r="AN2879" t="s">
        <v>2089</v>
      </c>
      <c r="AO2879" t="s">
        <v>23359</v>
      </c>
      <c r="AP2879" t="s">
        <v>7024</v>
      </c>
      <c r="AQ2879" t="s">
        <v>23360</v>
      </c>
      <c r="AT2879" s="184">
        <v>37721</v>
      </c>
      <c r="AU2879" t="s">
        <v>23361</v>
      </c>
      <c r="AV2879">
        <v>15</v>
      </c>
      <c r="AW2879" s="184">
        <v>45422</v>
      </c>
      <c r="AX2879" t="s">
        <v>7422</v>
      </c>
      <c r="AY2879">
        <v>8</v>
      </c>
      <c r="AZ2879" s="184">
        <v>40445</v>
      </c>
      <c r="BA2879" t="s">
        <v>23362</v>
      </c>
      <c r="BB2879">
        <v>60</v>
      </c>
      <c r="BC2879">
        <v>91</v>
      </c>
      <c r="BD2879">
        <v>1501</v>
      </c>
      <c r="BE2879">
        <v>2003</v>
      </c>
      <c r="BF2879">
        <v>167</v>
      </c>
      <c r="BG2879">
        <v>25</v>
      </c>
      <c r="BH2879">
        <v>207</v>
      </c>
      <c r="BI2879">
        <v>20</v>
      </c>
      <c r="BJ2879">
        <v>22</v>
      </c>
      <c r="BK2879">
        <v>16</v>
      </c>
      <c r="BN2879" t="s">
        <v>595</v>
      </c>
      <c r="BP2879" s="184"/>
    </row>
    <row r="2880" spans="1:68">
      <c r="A2880">
        <v>36059681</v>
      </c>
      <c r="B2880">
        <v>36059681</v>
      </c>
      <c r="C2880" t="s">
        <v>7018</v>
      </c>
      <c r="D2880" t="s">
        <v>595</v>
      </c>
      <c r="E2880" s="184">
        <v>43642</v>
      </c>
      <c r="G2880" s="184"/>
      <c r="K2880" s="184"/>
      <c r="M2880" s="184"/>
      <c r="O2880" s="184"/>
      <c r="P2880" t="s">
        <v>7019</v>
      </c>
      <c r="Q2880" t="s">
        <v>7262</v>
      </c>
      <c r="R2880" s="184">
        <v>11857</v>
      </c>
      <c r="S2880">
        <v>91</v>
      </c>
      <c r="U2880" t="s">
        <v>7076</v>
      </c>
      <c r="V2880" t="s">
        <v>3098</v>
      </c>
      <c r="X2880" t="s">
        <v>3099</v>
      </c>
      <c r="AF2880" t="s">
        <v>23363</v>
      </c>
      <c r="AG2880" t="s">
        <v>3098</v>
      </c>
      <c r="AI2880" t="s">
        <v>23364</v>
      </c>
      <c r="AM2880" t="s">
        <v>3100</v>
      </c>
      <c r="AN2880" t="s">
        <v>2106</v>
      </c>
      <c r="AO2880" t="s">
        <v>23365</v>
      </c>
      <c r="AP2880" t="s">
        <v>7024</v>
      </c>
      <c r="AT2880" s="184">
        <v>37725</v>
      </c>
      <c r="AU2880" t="s">
        <v>23366</v>
      </c>
      <c r="AV2880">
        <v>15</v>
      </c>
      <c r="AW2880" s="184">
        <v>43874</v>
      </c>
      <c r="AX2880" t="s">
        <v>23367</v>
      </c>
      <c r="AY2880">
        <v>60</v>
      </c>
      <c r="AZ2880" s="184">
        <v>43874</v>
      </c>
      <c r="BA2880" t="s">
        <v>23367</v>
      </c>
      <c r="BB2880">
        <v>60</v>
      </c>
      <c r="BC2880">
        <v>64</v>
      </c>
      <c r="BD2880">
        <v>545</v>
      </c>
      <c r="BE2880">
        <v>2003</v>
      </c>
      <c r="BF2880">
        <v>19</v>
      </c>
      <c r="BI2880">
        <v>14</v>
      </c>
      <c r="BJ2880">
        <v>22</v>
      </c>
      <c r="BK2880">
        <v>8</v>
      </c>
      <c r="BP2880" s="184"/>
    </row>
    <row r="2881" spans="1:68">
      <c r="A2881">
        <v>36059889</v>
      </c>
      <c r="B2881">
        <v>36059889</v>
      </c>
      <c r="C2881" t="s">
        <v>7018</v>
      </c>
      <c r="E2881" s="184"/>
      <c r="F2881" t="s">
        <v>595</v>
      </c>
      <c r="G2881" s="184">
        <v>43731</v>
      </c>
      <c r="I2881" s="184"/>
      <c r="K2881" s="184"/>
      <c r="M2881" s="184"/>
      <c r="O2881" s="184"/>
      <c r="P2881" t="s">
        <v>7045</v>
      </c>
      <c r="Q2881" t="s">
        <v>7494</v>
      </c>
      <c r="R2881" s="184">
        <v>13201</v>
      </c>
      <c r="S2881">
        <v>88</v>
      </c>
      <c r="U2881" t="s">
        <v>7031</v>
      </c>
      <c r="V2881" t="s">
        <v>2832</v>
      </c>
      <c r="W2881" t="s">
        <v>2049</v>
      </c>
      <c r="X2881" t="s">
        <v>4011</v>
      </c>
      <c r="Z2881">
        <v>100370255</v>
      </c>
      <c r="AA2881" t="s">
        <v>7130</v>
      </c>
      <c r="AB2881" t="s">
        <v>3516</v>
      </c>
      <c r="AC2881" t="s">
        <v>3226</v>
      </c>
      <c r="AD2881" t="s">
        <v>4011</v>
      </c>
      <c r="AF2881" t="s">
        <v>23368</v>
      </c>
      <c r="AG2881" t="s">
        <v>23369</v>
      </c>
      <c r="AI2881" t="s">
        <v>23370</v>
      </c>
      <c r="AM2881" t="s">
        <v>4012</v>
      </c>
      <c r="AN2881" t="s">
        <v>2174</v>
      </c>
      <c r="AO2881" t="s">
        <v>23371</v>
      </c>
      <c r="AP2881" t="s">
        <v>7024</v>
      </c>
      <c r="AT2881" s="184">
        <v>37725</v>
      </c>
      <c r="AU2881" t="s">
        <v>23324</v>
      </c>
      <c r="AV2881">
        <v>15</v>
      </c>
      <c r="AW2881" s="184">
        <v>45149</v>
      </c>
      <c r="AX2881" t="s">
        <v>23372</v>
      </c>
      <c r="AY2881">
        <v>25</v>
      </c>
      <c r="AZ2881" s="184">
        <v>43202</v>
      </c>
      <c r="BA2881" t="s">
        <v>23373</v>
      </c>
      <c r="BB2881">
        <v>60</v>
      </c>
      <c r="BC2881">
        <v>91</v>
      </c>
      <c r="BD2881">
        <v>602</v>
      </c>
      <c r="BE2881">
        <v>2003</v>
      </c>
      <c r="BF2881">
        <v>23</v>
      </c>
      <c r="BG2881">
        <v>1</v>
      </c>
      <c r="BH2881">
        <v>25</v>
      </c>
      <c r="BI2881">
        <v>20</v>
      </c>
      <c r="BJ2881">
        <v>22</v>
      </c>
      <c r="BK2881">
        <v>19</v>
      </c>
      <c r="BP2881" s="184"/>
    </row>
    <row r="2882" spans="1:68">
      <c r="A2882">
        <v>100370255</v>
      </c>
      <c r="B2882">
        <v>36059889</v>
      </c>
      <c r="C2882" t="s">
        <v>7018</v>
      </c>
      <c r="E2882" s="184"/>
      <c r="F2882" t="s">
        <v>595</v>
      </c>
      <c r="G2882" s="184">
        <v>43731</v>
      </c>
      <c r="I2882" s="184"/>
      <c r="K2882" s="184"/>
      <c r="O2882" s="184"/>
      <c r="P2882" t="s">
        <v>7045</v>
      </c>
      <c r="Q2882" t="s">
        <v>7494</v>
      </c>
      <c r="R2882" s="184">
        <v>13201</v>
      </c>
      <c r="S2882">
        <v>88</v>
      </c>
      <c r="U2882" t="s">
        <v>7130</v>
      </c>
      <c r="V2882" t="s">
        <v>3516</v>
      </c>
      <c r="W2882" t="s">
        <v>3226</v>
      </c>
      <c r="X2882" t="s">
        <v>4011</v>
      </c>
      <c r="Z2882">
        <v>36059889</v>
      </c>
      <c r="AA2882" t="s">
        <v>7031</v>
      </c>
      <c r="AB2882" t="s">
        <v>2832</v>
      </c>
      <c r="AC2882" t="s">
        <v>2049</v>
      </c>
      <c r="AD2882" t="s">
        <v>4011</v>
      </c>
      <c r="AF2882" t="s">
        <v>23368</v>
      </c>
      <c r="AG2882" t="s">
        <v>23369</v>
      </c>
      <c r="AI2882" t="s">
        <v>23370</v>
      </c>
      <c r="AM2882" t="s">
        <v>4012</v>
      </c>
      <c r="AN2882" t="s">
        <v>2174</v>
      </c>
      <c r="AO2882" t="s">
        <v>23371</v>
      </c>
      <c r="AP2882" t="s">
        <v>7024</v>
      </c>
      <c r="AT2882" s="184"/>
      <c r="AW2882" s="184"/>
      <c r="AZ2882" s="184"/>
      <c r="BP2882" s="184"/>
    </row>
    <row r="2883" spans="1:68">
      <c r="A2883">
        <v>36066264</v>
      </c>
      <c r="B2883">
        <v>36066264</v>
      </c>
      <c r="C2883" t="s">
        <v>7018</v>
      </c>
      <c r="E2883" s="184"/>
      <c r="G2883" s="184"/>
      <c r="I2883" s="184"/>
      <c r="J2883" t="s">
        <v>595</v>
      </c>
      <c r="K2883" s="184">
        <v>40879</v>
      </c>
      <c r="M2883" s="184"/>
      <c r="O2883" s="184"/>
      <c r="P2883" t="s">
        <v>7045</v>
      </c>
      <c r="Q2883" t="s">
        <v>7374</v>
      </c>
      <c r="R2883" s="184">
        <v>17533</v>
      </c>
      <c r="S2883">
        <v>76</v>
      </c>
      <c r="U2883" t="s">
        <v>7031</v>
      </c>
      <c r="V2883" t="s">
        <v>4363</v>
      </c>
      <c r="X2883" t="s">
        <v>4163</v>
      </c>
      <c r="AF2883" t="s">
        <v>6297</v>
      </c>
      <c r="AG2883" t="s">
        <v>4363</v>
      </c>
      <c r="AI2883" t="s">
        <v>23374</v>
      </c>
      <c r="AM2883" t="s">
        <v>4270</v>
      </c>
      <c r="AN2883" t="s">
        <v>2526</v>
      </c>
      <c r="AO2883" t="s">
        <v>23375</v>
      </c>
      <c r="AP2883" t="s">
        <v>7024</v>
      </c>
      <c r="AQ2883" t="s">
        <v>23376</v>
      </c>
      <c r="AT2883" s="184">
        <v>37727</v>
      </c>
      <c r="AU2883" t="s">
        <v>23377</v>
      </c>
      <c r="AV2883">
        <v>15</v>
      </c>
      <c r="AW2883" s="184">
        <v>42797</v>
      </c>
      <c r="AX2883" t="s">
        <v>23378</v>
      </c>
      <c r="AY2883">
        <v>15</v>
      </c>
      <c r="AZ2883" s="184">
        <v>42797</v>
      </c>
      <c r="BA2883" t="s">
        <v>23378</v>
      </c>
      <c r="BB2883">
        <v>15</v>
      </c>
      <c r="BC2883">
        <v>64</v>
      </c>
      <c r="BD2883">
        <v>1762</v>
      </c>
      <c r="BE2883">
        <v>2003</v>
      </c>
      <c r="BF2883">
        <v>134</v>
      </c>
      <c r="BI2883">
        <v>14</v>
      </c>
      <c r="BJ2883">
        <v>22</v>
      </c>
      <c r="BK2883">
        <v>13</v>
      </c>
      <c r="BP2883" s="184"/>
    </row>
    <row r="2884" spans="1:68">
      <c r="A2884">
        <v>36080737</v>
      </c>
      <c r="B2884">
        <v>36080737</v>
      </c>
      <c r="C2884" t="s">
        <v>7018</v>
      </c>
      <c r="E2884" s="184"/>
      <c r="F2884" t="s">
        <v>595</v>
      </c>
      <c r="G2884" s="184">
        <v>44104</v>
      </c>
      <c r="I2884" s="184"/>
      <c r="K2884" s="184"/>
      <c r="M2884" s="184"/>
      <c r="O2884" s="184"/>
      <c r="P2884" t="s">
        <v>7045</v>
      </c>
      <c r="Q2884" t="s">
        <v>7160</v>
      </c>
      <c r="R2884" s="184">
        <v>18872</v>
      </c>
      <c r="S2884">
        <v>72</v>
      </c>
      <c r="U2884" t="s">
        <v>7130</v>
      </c>
      <c r="V2884" t="s">
        <v>3584</v>
      </c>
      <c r="X2884" t="s">
        <v>23379</v>
      </c>
      <c r="AF2884" t="s">
        <v>23380</v>
      </c>
      <c r="AG2884" t="s">
        <v>3584</v>
      </c>
      <c r="AI2884" t="s">
        <v>23381</v>
      </c>
      <c r="AM2884" t="s">
        <v>23382</v>
      </c>
      <c r="AN2884" t="s">
        <v>2413</v>
      </c>
      <c r="AO2884" t="s">
        <v>23383</v>
      </c>
      <c r="AP2884" t="s">
        <v>7024</v>
      </c>
      <c r="AQ2884" t="s">
        <v>23384</v>
      </c>
      <c r="AT2884" s="184">
        <v>37735</v>
      </c>
      <c r="AU2884" t="s">
        <v>23385</v>
      </c>
      <c r="AV2884">
        <v>20</v>
      </c>
      <c r="AW2884" s="184">
        <v>45398</v>
      </c>
      <c r="AX2884" t="s">
        <v>23386</v>
      </c>
      <c r="AY2884">
        <v>50</v>
      </c>
      <c r="AZ2884" s="184">
        <v>45398</v>
      </c>
      <c r="BA2884" t="s">
        <v>23386</v>
      </c>
      <c r="BB2884">
        <v>50</v>
      </c>
      <c r="BC2884">
        <v>100</v>
      </c>
      <c r="BD2884">
        <v>2160</v>
      </c>
      <c r="BE2884">
        <v>2003</v>
      </c>
      <c r="BF2884">
        <v>59</v>
      </c>
      <c r="BG2884">
        <v>3</v>
      </c>
      <c r="BH2884">
        <v>150</v>
      </c>
      <c r="BI2884">
        <v>22</v>
      </c>
      <c r="BJ2884">
        <v>22</v>
      </c>
      <c r="BK2884">
        <v>22</v>
      </c>
      <c r="BP2884" s="184"/>
    </row>
    <row r="2885" spans="1:68">
      <c r="A2885">
        <v>36090389</v>
      </c>
      <c r="B2885">
        <v>36090389</v>
      </c>
      <c r="C2885" t="s">
        <v>7018</v>
      </c>
      <c r="D2885" t="s">
        <v>595</v>
      </c>
      <c r="E2885" s="184">
        <v>44073</v>
      </c>
      <c r="G2885" s="184"/>
      <c r="I2885" s="184"/>
      <c r="K2885" s="184"/>
      <c r="M2885" s="184"/>
      <c r="O2885" s="184"/>
      <c r="P2885" t="s">
        <v>7045</v>
      </c>
      <c r="Q2885" t="s">
        <v>7383</v>
      </c>
      <c r="R2885" s="184">
        <v>17066</v>
      </c>
      <c r="S2885">
        <v>77</v>
      </c>
      <c r="V2885" t="s">
        <v>3293</v>
      </c>
      <c r="X2885" t="s">
        <v>23387</v>
      </c>
      <c r="AF2885" t="s">
        <v>23388</v>
      </c>
      <c r="AG2885" t="s">
        <v>3293</v>
      </c>
      <c r="AI2885" t="s">
        <v>23389</v>
      </c>
      <c r="AM2885" t="s">
        <v>3345</v>
      </c>
      <c r="AN2885" t="s">
        <v>2274</v>
      </c>
      <c r="AO2885" t="s">
        <v>23390</v>
      </c>
      <c r="AP2885" t="s">
        <v>7024</v>
      </c>
      <c r="AQ2885" t="s">
        <v>23391</v>
      </c>
      <c r="AT2885" s="184">
        <v>37746</v>
      </c>
      <c r="AU2885" t="s">
        <v>23392</v>
      </c>
      <c r="AV2885">
        <v>20</v>
      </c>
      <c r="AW2885" s="184">
        <v>45167</v>
      </c>
      <c r="AX2885" t="s">
        <v>23393</v>
      </c>
      <c r="AY2885">
        <v>100</v>
      </c>
      <c r="AZ2885" s="184">
        <v>45167</v>
      </c>
      <c r="BA2885" t="s">
        <v>23393</v>
      </c>
      <c r="BB2885">
        <v>100</v>
      </c>
      <c r="BC2885">
        <v>37</v>
      </c>
      <c r="BD2885">
        <v>582</v>
      </c>
      <c r="BE2885">
        <v>2003</v>
      </c>
      <c r="BF2885">
        <v>13</v>
      </c>
      <c r="BG2885">
        <v>1</v>
      </c>
      <c r="BH2885">
        <v>100</v>
      </c>
      <c r="BI2885">
        <v>8</v>
      </c>
      <c r="BJ2885">
        <v>22</v>
      </c>
      <c r="BK2885">
        <v>6</v>
      </c>
      <c r="BP2885" s="184"/>
    </row>
    <row r="2886" spans="1:68">
      <c r="A2886">
        <v>36091569</v>
      </c>
      <c r="B2886">
        <v>36091569</v>
      </c>
      <c r="C2886" t="s">
        <v>7018</v>
      </c>
      <c r="E2886" s="184"/>
      <c r="G2886" s="184"/>
      <c r="I2886" s="184"/>
      <c r="J2886" t="s">
        <v>595</v>
      </c>
      <c r="K2886" s="184">
        <v>43745</v>
      </c>
      <c r="O2886" s="184"/>
      <c r="P2886" t="s">
        <v>7045</v>
      </c>
      <c r="Q2886" t="s">
        <v>7494</v>
      </c>
      <c r="R2886" s="184">
        <v>16277</v>
      </c>
      <c r="S2886">
        <v>79</v>
      </c>
      <c r="V2886" t="s">
        <v>3689</v>
      </c>
      <c r="W2886" t="s">
        <v>7407</v>
      </c>
      <c r="X2886" t="s">
        <v>4069</v>
      </c>
      <c r="AF2886" t="s">
        <v>6530</v>
      </c>
      <c r="AG2886" t="s">
        <v>3689</v>
      </c>
      <c r="AI2886" t="s">
        <v>23394</v>
      </c>
      <c r="AM2886" t="s">
        <v>4070</v>
      </c>
      <c r="AN2886" t="s">
        <v>2174</v>
      </c>
      <c r="AO2886" t="s">
        <v>23395</v>
      </c>
      <c r="AP2886" t="s">
        <v>7024</v>
      </c>
      <c r="AQ2886" t="s">
        <v>23396</v>
      </c>
      <c r="AT2886" s="184">
        <v>37747</v>
      </c>
      <c r="AU2886" t="s">
        <v>23342</v>
      </c>
      <c r="AV2886">
        <v>25</v>
      </c>
      <c r="AW2886" s="184">
        <v>44400</v>
      </c>
      <c r="AX2886" t="s">
        <v>23397</v>
      </c>
      <c r="AY2886">
        <v>100</v>
      </c>
      <c r="AZ2886" s="184">
        <v>44400</v>
      </c>
      <c r="BA2886" t="s">
        <v>23397</v>
      </c>
      <c r="BB2886">
        <v>100</v>
      </c>
      <c r="BC2886">
        <v>87</v>
      </c>
      <c r="BD2886">
        <v>890</v>
      </c>
      <c r="BE2886">
        <v>2003</v>
      </c>
      <c r="BF2886">
        <v>30</v>
      </c>
      <c r="BI2886">
        <v>19</v>
      </c>
      <c r="BJ2886">
        <v>22</v>
      </c>
      <c r="BK2886">
        <v>19</v>
      </c>
      <c r="BN2886" t="s">
        <v>595</v>
      </c>
      <c r="BP2886" s="184"/>
    </row>
    <row r="2887" spans="1:68">
      <c r="A2887">
        <v>36094175</v>
      </c>
      <c r="B2887">
        <v>36094175</v>
      </c>
      <c r="C2887" t="s">
        <v>7018</v>
      </c>
      <c r="D2887" t="s">
        <v>595</v>
      </c>
      <c r="E2887" s="184">
        <v>44328</v>
      </c>
      <c r="G2887" s="184"/>
      <c r="I2887" s="184"/>
      <c r="K2887" s="184"/>
      <c r="M2887" s="184"/>
      <c r="O2887" s="184"/>
      <c r="P2887" t="s">
        <v>7045</v>
      </c>
      <c r="Q2887" t="s">
        <v>7374</v>
      </c>
      <c r="R2887" s="184">
        <v>19360</v>
      </c>
      <c r="S2887">
        <v>71</v>
      </c>
      <c r="V2887" t="s">
        <v>3478</v>
      </c>
      <c r="W2887" t="s">
        <v>2049</v>
      </c>
      <c r="X2887" t="s">
        <v>23398</v>
      </c>
      <c r="Z2887">
        <v>101097821</v>
      </c>
      <c r="AB2887" t="s">
        <v>23399</v>
      </c>
      <c r="AD2887" t="s">
        <v>23400</v>
      </c>
      <c r="AF2887" t="s">
        <v>23401</v>
      </c>
      <c r="AG2887" t="s">
        <v>23402</v>
      </c>
      <c r="AI2887" t="s">
        <v>23403</v>
      </c>
      <c r="AM2887" t="s">
        <v>23404</v>
      </c>
      <c r="AN2887" t="s">
        <v>2081</v>
      </c>
      <c r="AO2887" t="s">
        <v>23405</v>
      </c>
      <c r="AP2887" t="s">
        <v>7024</v>
      </c>
      <c r="AQ2887" t="s">
        <v>23406</v>
      </c>
      <c r="AR2887" t="s">
        <v>23407</v>
      </c>
      <c r="AT2887" s="184">
        <v>37750</v>
      </c>
      <c r="AU2887" t="s">
        <v>23408</v>
      </c>
      <c r="AV2887">
        <v>15</v>
      </c>
      <c r="AW2887" s="184">
        <v>45229</v>
      </c>
      <c r="AX2887" t="s">
        <v>15021</v>
      </c>
      <c r="AY2887">
        <v>50</v>
      </c>
      <c r="AZ2887" s="184">
        <v>40771</v>
      </c>
      <c r="BA2887" t="s">
        <v>23409</v>
      </c>
      <c r="BB2887">
        <v>60</v>
      </c>
      <c r="BC2887">
        <v>96</v>
      </c>
      <c r="BD2887">
        <v>1337</v>
      </c>
      <c r="BE2887">
        <v>2003</v>
      </c>
      <c r="BF2887">
        <v>118</v>
      </c>
      <c r="BG2887">
        <v>2</v>
      </c>
      <c r="BH2887">
        <v>100</v>
      </c>
      <c r="BI2887">
        <v>21</v>
      </c>
      <c r="BJ2887">
        <v>22</v>
      </c>
      <c r="BK2887">
        <v>21</v>
      </c>
      <c r="BP2887" s="184"/>
    </row>
    <row r="2888" spans="1:68">
      <c r="A2888">
        <v>36103299</v>
      </c>
      <c r="B2888">
        <v>36103299</v>
      </c>
      <c r="C2888" t="s">
        <v>7018</v>
      </c>
      <c r="E2888" s="184"/>
      <c r="G2888" s="184"/>
      <c r="I2888" s="184"/>
      <c r="J2888" t="s">
        <v>595</v>
      </c>
      <c r="K2888" s="184">
        <v>44104</v>
      </c>
      <c r="O2888" s="184"/>
      <c r="P2888" t="s">
        <v>7029</v>
      </c>
      <c r="Q2888" t="s">
        <v>7020</v>
      </c>
      <c r="R2888" s="184">
        <v>15696</v>
      </c>
      <c r="S2888">
        <v>81</v>
      </c>
      <c r="U2888" t="s">
        <v>7031</v>
      </c>
      <c r="V2888" t="s">
        <v>2511</v>
      </c>
      <c r="W2888" t="s">
        <v>7248</v>
      </c>
      <c r="X2888" t="s">
        <v>23410</v>
      </c>
      <c r="Z2888">
        <v>100100880</v>
      </c>
      <c r="AA2888" t="s">
        <v>7130</v>
      </c>
      <c r="AB2888" t="s">
        <v>2648</v>
      </c>
      <c r="AC2888" t="s">
        <v>7469</v>
      </c>
      <c r="AD2888" t="s">
        <v>23410</v>
      </c>
      <c r="AF2888" t="s">
        <v>23411</v>
      </c>
      <c r="AG2888" t="s">
        <v>23412</v>
      </c>
      <c r="AI2888" t="s">
        <v>23413</v>
      </c>
      <c r="AM2888" t="s">
        <v>20702</v>
      </c>
      <c r="AN2888" t="s">
        <v>2052</v>
      </c>
      <c r="AO2888" t="s">
        <v>23414</v>
      </c>
      <c r="AP2888" t="s">
        <v>7024</v>
      </c>
      <c r="AQ2888" t="s">
        <v>23415</v>
      </c>
      <c r="AR2888" t="s">
        <v>23416</v>
      </c>
      <c r="AT2888" s="184">
        <v>37768</v>
      </c>
      <c r="AU2888" t="s">
        <v>17640</v>
      </c>
      <c r="AV2888">
        <v>100</v>
      </c>
      <c r="AW2888" s="184">
        <v>44165</v>
      </c>
      <c r="AX2888" t="s">
        <v>23417</v>
      </c>
      <c r="AY2888">
        <v>1000</v>
      </c>
      <c r="AZ2888" s="184">
        <v>42727</v>
      </c>
      <c r="BA2888" t="s">
        <v>23418</v>
      </c>
      <c r="BB2888">
        <v>1088.8800000000001</v>
      </c>
      <c r="BC2888">
        <v>69</v>
      </c>
      <c r="BD2888">
        <v>6673.88</v>
      </c>
      <c r="BE2888">
        <v>2003</v>
      </c>
      <c r="BF2888">
        <v>18</v>
      </c>
      <c r="BI2888">
        <v>15</v>
      </c>
      <c r="BJ2888">
        <v>22</v>
      </c>
      <c r="BK2888">
        <v>6</v>
      </c>
      <c r="BN2888" t="s">
        <v>595</v>
      </c>
      <c r="BP2888" s="184"/>
    </row>
    <row r="2889" spans="1:68">
      <c r="A2889">
        <v>100100880</v>
      </c>
      <c r="B2889">
        <v>36103299</v>
      </c>
      <c r="C2889" t="s">
        <v>7018</v>
      </c>
      <c r="E2889" s="184"/>
      <c r="G2889" s="184"/>
      <c r="I2889" s="184"/>
      <c r="J2889" t="s">
        <v>595</v>
      </c>
      <c r="K2889" s="184">
        <v>44104</v>
      </c>
      <c r="O2889" s="184"/>
      <c r="P2889" t="s">
        <v>7029</v>
      </c>
      <c r="Q2889" t="s">
        <v>7020</v>
      </c>
      <c r="R2889" s="184">
        <v>16649</v>
      </c>
      <c r="S2889">
        <v>78</v>
      </c>
      <c r="U2889" t="s">
        <v>7130</v>
      </c>
      <c r="V2889" t="s">
        <v>2648</v>
      </c>
      <c r="W2889" t="s">
        <v>7469</v>
      </c>
      <c r="X2889" t="s">
        <v>23410</v>
      </c>
      <c r="Z2889">
        <v>36103299</v>
      </c>
      <c r="AA2889" t="s">
        <v>7031</v>
      </c>
      <c r="AB2889" t="s">
        <v>2511</v>
      </c>
      <c r="AC2889" t="s">
        <v>7248</v>
      </c>
      <c r="AD2889" t="s">
        <v>23410</v>
      </c>
      <c r="AF2889" t="s">
        <v>23411</v>
      </c>
      <c r="AG2889" t="s">
        <v>23412</v>
      </c>
      <c r="AI2889" t="s">
        <v>23413</v>
      </c>
      <c r="AM2889" t="s">
        <v>20702</v>
      </c>
      <c r="AN2889" t="s">
        <v>2052</v>
      </c>
      <c r="AO2889" t="s">
        <v>23414</v>
      </c>
      <c r="AP2889" t="s">
        <v>7024</v>
      </c>
      <c r="AT2889" s="184"/>
      <c r="AW2889" s="184"/>
      <c r="AZ2889" s="184"/>
      <c r="BP2889" s="184"/>
    </row>
    <row r="2890" spans="1:68">
      <c r="A2890">
        <v>36150605</v>
      </c>
      <c r="B2890">
        <v>36150605</v>
      </c>
      <c r="C2890" t="s">
        <v>7018</v>
      </c>
      <c r="D2890" t="s">
        <v>595</v>
      </c>
      <c r="E2890" s="184">
        <v>44167</v>
      </c>
      <c r="G2890" s="184"/>
      <c r="I2890" s="184"/>
      <c r="K2890" s="184"/>
      <c r="O2890" s="184"/>
      <c r="P2890" t="s">
        <v>7045</v>
      </c>
      <c r="Q2890" t="s">
        <v>7160</v>
      </c>
      <c r="R2890" s="184">
        <v>19085</v>
      </c>
      <c r="S2890">
        <v>72</v>
      </c>
      <c r="U2890" t="s">
        <v>7130</v>
      </c>
      <c r="V2890" t="s">
        <v>3272</v>
      </c>
      <c r="W2890" t="s">
        <v>2958</v>
      </c>
      <c r="X2890" t="s">
        <v>9268</v>
      </c>
      <c r="AF2890" t="s">
        <v>23419</v>
      </c>
      <c r="AG2890" t="s">
        <v>3272</v>
      </c>
      <c r="AI2890" t="s">
        <v>23420</v>
      </c>
      <c r="AM2890" t="s">
        <v>23421</v>
      </c>
      <c r="AN2890" t="s">
        <v>2395</v>
      </c>
      <c r="AO2890" t="s">
        <v>23422</v>
      </c>
      <c r="AP2890" t="s">
        <v>7024</v>
      </c>
      <c r="AQ2890" t="s">
        <v>23423</v>
      </c>
      <c r="AR2890" t="s">
        <v>23424</v>
      </c>
      <c r="AT2890" s="184">
        <v>37825</v>
      </c>
      <c r="AU2890" t="s">
        <v>23425</v>
      </c>
      <c r="AV2890">
        <v>25</v>
      </c>
      <c r="AW2890" s="184">
        <v>45345</v>
      </c>
      <c r="AX2890" t="s">
        <v>10915</v>
      </c>
      <c r="AY2890">
        <v>25</v>
      </c>
      <c r="AZ2890" s="184">
        <v>39959</v>
      </c>
      <c r="BA2890" t="s">
        <v>23426</v>
      </c>
      <c r="BB2890">
        <v>60</v>
      </c>
      <c r="BC2890">
        <v>87</v>
      </c>
      <c r="BD2890">
        <v>529.95000000000005</v>
      </c>
      <c r="BE2890">
        <v>2004</v>
      </c>
      <c r="BF2890">
        <v>20</v>
      </c>
      <c r="BG2890">
        <v>4</v>
      </c>
      <c r="BH2890">
        <v>100</v>
      </c>
      <c r="BI2890">
        <v>19</v>
      </c>
      <c r="BJ2890">
        <v>22</v>
      </c>
      <c r="BK2890">
        <v>12</v>
      </c>
      <c r="BP2890" s="184"/>
    </row>
    <row r="2891" spans="1:68">
      <c r="A2891">
        <v>36170231</v>
      </c>
      <c r="B2891">
        <v>36170231</v>
      </c>
      <c r="C2891" t="s">
        <v>7018</v>
      </c>
      <c r="D2891" t="s">
        <v>595</v>
      </c>
      <c r="E2891" s="184">
        <v>44438</v>
      </c>
      <c r="G2891" s="184"/>
      <c r="I2891" s="184"/>
      <c r="K2891" s="184"/>
      <c r="O2891" s="184"/>
      <c r="P2891" t="s">
        <v>7045</v>
      </c>
      <c r="Q2891" t="s">
        <v>7262</v>
      </c>
      <c r="R2891" s="184">
        <v>15146</v>
      </c>
      <c r="S2891">
        <v>82</v>
      </c>
      <c r="U2891" t="s">
        <v>7076</v>
      </c>
      <c r="V2891" t="s">
        <v>19218</v>
      </c>
      <c r="W2891" t="s">
        <v>7407</v>
      </c>
      <c r="X2891" t="s">
        <v>23427</v>
      </c>
      <c r="AF2891" t="s">
        <v>23428</v>
      </c>
      <c r="AG2891" t="s">
        <v>19218</v>
      </c>
      <c r="AI2891" t="s">
        <v>23429</v>
      </c>
      <c r="AM2891" t="s">
        <v>23430</v>
      </c>
      <c r="AN2891" t="s">
        <v>2106</v>
      </c>
      <c r="AO2891" t="s">
        <v>23431</v>
      </c>
      <c r="AP2891" t="s">
        <v>7024</v>
      </c>
      <c r="AT2891" s="184">
        <v>37827</v>
      </c>
      <c r="AU2891" t="s">
        <v>23432</v>
      </c>
      <c r="AV2891">
        <v>20</v>
      </c>
      <c r="AW2891" s="184">
        <v>44305</v>
      </c>
      <c r="AX2891" t="s">
        <v>15264</v>
      </c>
      <c r="AY2891">
        <v>50</v>
      </c>
      <c r="AZ2891" s="184">
        <v>44305</v>
      </c>
      <c r="BA2891" t="s">
        <v>15264</v>
      </c>
      <c r="BB2891">
        <v>50</v>
      </c>
      <c r="BC2891">
        <v>41</v>
      </c>
      <c r="BD2891">
        <v>330</v>
      </c>
      <c r="BE2891">
        <v>2004</v>
      </c>
      <c r="BF2891">
        <v>9</v>
      </c>
      <c r="BI2891">
        <v>9</v>
      </c>
      <c r="BJ2891">
        <v>22</v>
      </c>
      <c r="BK2891">
        <v>6</v>
      </c>
      <c r="BP2891" s="184"/>
    </row>
    <row r="2892" spans="1:68">
      <c r="A2892">
        <v>36176428</v>
      </c>
      <c r="B2892">
        <v>36176428</v>
      </c>
      <c r="C2892" t="s">
        <v>7018</v>
      </c>
      <c r="E2892" s="184"/>
      <c r="F2892" t="s">
        <v>595</v>
      </c>
      <c r="G2892" s="184">
        <v>43619</v>
      </c>
      <c r="I2892" s="184"/>
      <c r="K2892" s="184"/>
      <c r="O2892" s="184"/>
      <c r="P2892" t="s">
        <v>7045</v>
      </c>
      <c r="Q2892" t="s">
        <v>7383</v>
      </c>
      <c r="R2892" s="184">
        <v>19238</v>
      </c>
      <c r="S2892">
        <v>71</v>
      </c>
      <c r="U2892" t="s">
        <v>7031</v>
      </c>
      <c r="V2892" t="s">
        <v>2898</v>
      </c>
      <c r="W2892" t="s">
        <v>7560</v>
      </c>
      <c r="X2892" t="s">
        <v>2899</v>
      </c>
      <c r="AF2892" t="s">
        <v>23433</v>
      </c>
      <c r="AG2892" t="s">
        <v>2898</v>
      </c>
      <c r="AI2892" t="s">
        <v>23434</v>
      </c>
      <c r="AM2892" t="s">
        <v>2900</v>
      </c>
      <c r="AN2892" t="s">
        <v>2072</v>
      </c>
      <c r="AO2892" t="s">
        <v>23435</v>
      </c>
      <c r="AP2892" t="s">
        <v>7024</v>
      </c>
      <c r="AQ2892" t="s">
        <v>23436</v>
      </c>
      <c r="AT2892" s="184">
        <v>37830</v>
      </c>
      <c r="AU2892" t="s">
        <v>23437</v>
      </c>
      <c r="AV2892">
        <v>25</v>
      </c>
      <c r="AW2892" s="184">
        <v>45420</v>
      </c>
      <c r="AX2892" t="s">
        <v>7422</v>
      </c>
      <c r="AY2892">
        <v>25</v>
      </c>
      <c r="AZ2892" s="184">
        <v>44196</v>
      </c>
      <c r="BA2892" t="s">
        <v>23438</v>
      </c>
      <c r="BB2892">
        <v>100</v>
      </c>
      <c r="BC2892">
        <v>100</v>
      </c>
      <c r="BD2892">
        <v>4562</v>
      </c>
      <c r="BE2892">
        <v>2004</v>
      </c>
      <c r="BF2892">
        <v>144</v>
      </c>
      <c r="BG2892">
        <v>24</v>
      </c>
      <c r="BH2892">
        <v>600</v>
      </c>
      <c r="BI2892">
        <v>22</v>
      </c>
      <c r="BJ2892">
        <v>22</v>
      </c>
      <c r="BK2892">
        <v>22</v>
      </c>
      <c r="BP2892" s="184"/>
    </row>
    <row r="2893" spans="1:68">
      <c r="A2893">
        <v>36177616</v>
      </c>
      <c r="B2893">
        <v>36177616</v>
      </c>
      <c r="C2893" t="s">
        <v>7018</v>
      </c>
      <c r="D2893" t="s">
        <v>595</v>
      </c>
      <c r="E2893" s="184">
        <v>43745</v>
      </c>
      <c r="G2893" s="184"/>
      <c r="I2893" s="184"/>
      <c r="K2893" s="184"/>
      <c r="O2893" s="184"/>
      <c r="P2893" t="s">
        <v>7045</v>
      </c>
      <c r="Q2893" t="s">
        <v>7020</v>
      </c>
      <c r="R2893" s="184">
        <v>22046</v>
      </c>
      <c r="S2893">
        <v>64</v>
      </c>
      <c r="V2893" t="s">
        <v>4146</v>
      </c>
      <c r="X2893" t="s">
        <v>4147</v>
      </c>
      <c r="Z2893">
        <v>100101055</v>
      </c>
      <c r="AB2893" t="s">
        <v>2602</v>
      </c>
      <c r="AD2893" t="s">
        <v>4147</v>
      </c>
      <c r="AF2893" t="s">
        <v>23439</v>
      </c>
      <c r="AG2893" t="s">
        <v>23440</v>
      </c>
      <c r="AI2893" t="s">
        <v>23441</v>
      </c>
      <c r="AM2893" t="s">
        <v>4148</v>
      </c>
      <c r="AN2893" t="s">
        <v>2206</v>
      </c>
      <c r="AO2893" t="s">
        <v>23442</v>
      </c>
      <c r="AP2893" t="s">
        <v>7024</v>
      </c>
      <c r="AQ2893" t="s">
        <v>23443</v>
      </c>
      <c r="AR2893" t="s">
        <v>23444</v>
      </c>
      <c r="AT2893" s="184">
        <v>37830</v>
      </c>
      <c r="AU2893" t="s">
        <v>23445</v>
      </c>
      <c r="AV2893">
        <v>25</v>
      </c>
      <c r="AW2893" s="184">
        <v>43770</v>
      </c>
      <c r="AX2893" t="s">
        <v>23446</v>
      </c>
      <c r="AY2893">
        <v>13</v>
      </c>
      <c r="AZ2893" s="184">
        <v>41730</v>
      </c>
      <c r="BA2893" t="s">
        <v>23447</v>
      </c>
      <c r="BB2893">
        <v>100</v>
      </c>
      <c r="BC2893">
        <v>55</v>
      </c>
      <c r="BD2893">
        <v>689</v>
      </c>
      <c r="BE2893">
        <v>2004</v>
      </c>
      <c r="BF2893">
        <v>18</v>
      </c>
      <c r="BI2893">
        <v>12</v>
      </c>
      <c r="BJ2893">
        <v>22</v>
      </c>
      <c r="BK2893">
        <v>6</v>
      </c>
      <c r="BN2893" t="s">
        <v>595</v>
      </c>
      <c r="BP2893" s="184"/>
    </row>
    <row r="2894" spans="1:68">
      <c r="A2894">
        <v>100101055</v>
      </c>
      <c r="B2894">
        <v>36177616</v>
      </c>
      <c r="C2894" t="s">
        <v>7018</v>
      </c>
      <c r="D2894" t="s">
        <v>595</v>
      </c>
      <c r="E2894" s="184">
        <v>43745</v>
      </c>
      <c r="G2894" s="184"/>
      <c r="I2894" s="184"/>
      <c r="K2894" s="184"/>
      <c r="M2894" s="184"/>
      <c r="O2894" s="184"/>
      <c r="P2894" t="s">
        <v>7045</v>
      </c>
      <c r="Q2894" t="s">
        <v>7020</v>
      </c>
      <c r="R2894" s="184">
        <v>17123</v>
      </c>
      <c r="S2894">
        <v>77</v>
      </c>
      <c r="V2894" t="s">
        <v>2602</v>
      </c>
      <c r="X2894" t="s">
        <v>4147</v>
      </c>
      <c r="Z2894">
        <v>36177616</v>
      </c>
      <c r="AB2894" t="s">
        <v>4146</v>
      </c>
      <c r="AD2894" t="s">
        <v>4147</v>
      </c>
      <c r="AF2894" t="s">
        <v>23439</v>
      </c>
      <c r="AG2894" t="s">
        <v>23440</v>
      </c>
      <c r="AI2894" t="s">
        <v>23441</v>
      </c>
      <c r="AM2894" t="s">
        <v>4148</v>
      </c>
      <c r="AN2894" t="s">
        <v>2206</v>
      </c>
      <c r="AO2894" t="s">
        <v>23442</v>
      </c>
      <c r="AP2894" t="s">
        <v>7024</v>
      </c>
      <c r="AT2894" s="184"/>
      <c r="AW2894" s="184"/>
      <c r="AZ2894" s="184"/>
      <c r="BP2894" s="184"/>
    </row>
    <row r="2895" spans="1:68">
      <c r="A2895">
        <v>36178473</v>
      </c>
      <c r="B2895">
        <v>36178473</v>
      </c>
      <c r="C2895" t="s">
        <v>7018</v>
      </c>
      <c r="D2895" t="s">
        <v>595</v>
      </c>
      <c r="E2895" s="184">
        <v>43642</v>
      </c>
      <c r="G2895" s="184"/>
      <c r="I2895" s="184"/>
      <c r="K2895" s="184"/>
      <c r="O2895" s="184"/>
      <c r="P2895" t="s">
        <v>7019</v>
      </c>
      <c r="Q2895" t="s">
        <v>7383</v>
      </c>
      <c r="R2895" s="184">
        <v>16149</v>
      </c>
      <c r="S2895">
        <v>80</v>
      </c>
      <c r="V2895" t="s">
        <v>2697</v>
      </c>
      <c r="W2895" t="s">
        <v>7560</v>
      </c>
      <c r="X2895" t="s">
        <v>3348</v>
      </c>
      <c r="AF2895" t="s">
        <v>23448</v>
      </c>
      <c r="AG2895" t="s">
        <v>2697</v>
      </c>
      <c r="AI2895" t="s">
        <v>23449</v>
      </c>
      <c r="AM2895" t="s">
        <v>3349</v>
      </c>
      <c r="AN2895" t="s">
        <v>2118</v>
      </c>
      <c r="AO2895" t="s">
        <v>23450</v>
      </c>
      <c r="AP2895" t="s">
        <v>7024</v>
      </c>
      <c r="AQ2895" t="s">
        <v>23451</v>
      </c>
      <c r="AR2895" t="s">
        <v>23452</v>
      </c>
      <c r="AT2895" s="184">
        <v>37830</v>
      </c>
      <c r="AU2895" t="s">
        <v>23453</v>
      </c>
      <c r="AV2895">
        <v>20</v>
      </c>
      <c r="AW2895" s="184">
        <v>45379</v>
      </c>
      <c r="AX2895" t="s">
        <v>23454</v>
      </c>
      <c r="AY2895">
        <v>60</v>
      </c>
      <c r="AZ2895" s="184">
        <v>41100</v>
      </c>
      <c r="BA2895" t="s">
        <v>23455</v>
      </c>
      <c r="BB2895">
        <v>87</v>
      </c>
      <c r="BC2895">
        <v>60</v>
      </c>
      <c r="BD2895">
        <v>602</v>
      </c>
      <c r="BE2895">
        <v>2004</v>
      </c>
      <c r="BF2895">
        <v>15</v>
      </c>
      <c r="BG2895">
        <v>1</v>
      </c>
      <c r="BH2895">
        <v>60</v>
      </c>
      <c r="BI2895">
        <v>13</v>
      </c>
      <c r="BJ2895">
        <v>22</v>
      </c>
      <c r="BK2895">
        <v>3</v>
      </c>
      <c r="BN2895" t="s">
        <v>595</v>
      </c>
      <c r="BP2895" s="184"/>
    </row>
    <row r="2896" spans="1:68">
      <c r="A2896">
        <v>36191427</v>
      </c>
      <c r="B2896">
        <v>36191427</v>
      </c>
      <c r="C2896" t="s">
        <v>7018</v>
      </c>
      <c r="D2896" t="s">
        <v>595</v>
      </c>
      <c r="E2896" s="184">
        <v>45166</v>
      </c>
      <c r="G2896" s="184"/>
      <c r="I2896" s="184"/>
      <c r="K2896" s="184"/>
      <c r="O2896" s="184"/>
      <c r="P2896" t="s">
        <v>7019</v>
      </c>
      <c r="Q2896" t="s">
        <v>7160</v>
      </c>
      <c r="R2896" s="184">
        <v>18719</v>
      </c>
      <c r="S2896">
        <v>73</v>
      </c>
      <c r="U2896" t="s">
        <v>7031</v>
      </c>
      <c r="V2896" t="s">
        <v>23456</v>
      </c>
      <c r="X2896" t="s">
        <v>8232</v>
      </c>
      <c r="AF2896" t="s">
        <v>23457</v>
      </c>
      <c r="AG2896" t="s">
        <v>23456</v>
      </c>
      <c r="AI2896" t="s">
        <v>23458</v>
      </c>
      <c r="AM2896" t="s">
        <v>23459</v>
      </c>
      <c r="AN2896" t="s">
        <v>2675</v>
      </c>
      <c r="AO2896" t="s">
        <v>23460</v>
      </c>
      <c r="AP2896" t="s">
        <v>7024</v>
      </c>
      <c r="AQ2896" t="s">
        <v>23461</v>
      </c>
      <c r="AT2896" s="184">
        <v>37831</v>
      </c>
      <c r="AU2896" t="s">
        <v>23462</v>
      </c>
      <c r="AV2896">
        <v>15</v>
      </c>
      <c r="AW2896" s="184">
        <v>43859</v>
      </c>
      <c r="AX2896" t="s">
        <v>7940</v>
      </c>
      <c r="AY2896">
        <v>10</v>
      </c>
      <c r="AZ2896" s="184">
        <v>43112</v>
      </c>
      <c r="BA2896" t="s">
        <v>23463</v>
      </c>
      <c r="BB2896">
        <v>60</v>
      </c>
      <c r="BC2896">
        <v>28</v>
      </c>
      <c r="BD2896">
        <v>125</v>
      </c>
      <c r="BE2896">
        <v>2004</v>
      </c>
      <c r="BF2896">
        <v>6</v>
      </c>
      <c r="BI2896">
        <v>6</v>
      </c>
      <c r="BJ2896">
        <v>22</v>
      </c>
      <c r="BK2896">
        <v>2</v>
      </c>
      <c r="BP2896" s="184"/>
    </row>
    <row r="2897" spans="1:68">
      <c r="A2897">
        <v>36192375</v>
      </c>
      <c r="B2897">
        <v>36192375</v>
      </c>
      <c r="C2897" t="s">
        <v>7018</v>
      </c>
      <c r="D2897" t="s">
        <v>595</v>
      </c>
      <c r="E2897" s="184">
        <v>44438</v>
      </c>
      <c r="G2897" s="184"/>
      <c r="I2897" s="184"/>
      <c r="K2897" s="184"/>
      <c r="M2897" s="184"/>
      <c r="O2897" s="184"/>
      <c r="P2897" t="s">
        <v>7019</v>
      </c>
      <c r="Q2897" t="s">
        <v>7383</v>
      </c>
      <c r="R2897" s="184">
        <v>19404</v>
      </c>
      <c r="S2897">
        <v>71</v>
      </c>
      <c r="U2897" t="s">
        <v>7094</v>
      </c>
      <c r="V2897" t="s">
        <v>3011</v>
      </c>
      <c r="X2897" t="s">
        <v>23464</v>
      </c>
      <c r="AF2897" t="s">
        <v>23465</v>
      </c>
      <c r="AG2897" t="s">
        <v>3011</v>
      </c>
      <c r="AI2897" t="s">
        <v>23466</v>
      </c>
      <c r="AM2897" t="s">
        <v>3518</v>
      </c>
      <c r="AN2897" t="s">
        <v>2118</v>
      </c>
      <c r="AO2897" t="s">
        <v>23467</v>
      </c>
      <c r="AP2897" t="s">
        <v>7024</v>
      </c>
      <c r="AT2897" s="184">
        <v>37831</v>
      </c>
      <c r="AU2897" t="s">
        <v>23468</v>
      </c>
      <c r="AV2897">
        <v>15</v>
      </c>
      <c r="AW2897" s="184">
        <v>45289</v>
      </c>
      <c r="AX2897" t="s">
        <v>23469</v>
      </c>
      <c r="AY2897">
        <v>25</v>
      </c>
      <c r="AZ2897" s="184">
        <v>44487</v>
      </c>
      <c r="BA2897" t="s">
        <v>23470</v>
      </c>
      <c r="BB2897">
        <v>60</v>
      </c>
      <c r="BC2897">
        <v>46</v>
      </c>
      <c r="BD2897">
        <v>260</v>
      </c>
      <c r="BE2897">
        <v>2004</v>
      </c>
      <c r="BF2897">
        <v>12</v>
      </c>
      <c r="BG2897">
        <v>2</v>
      </c>
      <c r="BH2897">
        <v>35</v>
      </c>
      <c r="BI2897">
        <v>10</v>
      </c>
      <c r="BJ2897">
        <v>22</v>
      </c>
      <c r="BK2897">
        <v>3</v>
      </c>
      <c r="BP2897" s="184"/>
    </row>
    <row r="2898" spans="1:68">
      <c r="A2898">
        <v>36195477</v>
      </c>
      <c r="B2898">
        <v>36195477</v>
      </c>
      <c r="C2898" t="s">
        <v>7018</v>
      </c>
      <c r="D2898" t="s">
        <v>595</v>
      </c>
      <c r="E2898" s="184">
        <v>44104</v>
      </c>
      <c r="G2898" s="184"/>
      <c r="I2898" s="184"/>
      <c r="K2898" s="184"/>
      <c r="M2898" s="184"/>
      <c r="O2898" s="184"/>
      <c r="P2898" t="s">
        <v>7045</v>
      </c>
      <c r="Q2898" t="s">
        <v>7262</v>
      </c>
      <c r="R2898" s="184">
        <v>17451</v>
      </c>
      <c r="S2898">
        <v>76</v>
      </c>
      <c r="V2898" t="s">
        <v>5351</v>
      </c>
      <c r="X2898" t="s">
        <v>2698</v>
      </c>
      <c r="AF2898" t="s">
        <v>23471</v>
      </c>
      <c r="AG2898" t="s">
        <v>5351</v>
      </c>
      <c r="AI2898" t="s">
        <v>23472</v>
      </c>
      <c r="AM2898" t="s">
        <v>23473</v>
      </c>
      <c r="AN2898" t="s">
        <v>2266</v>
      </c>
      <c r="AO2898" t="s">
        <v>23474</v>
      </c>
      <c r="AP2898" t="s">
        <v>7024</v>
      </c>
      <c r="AQ2898" t="s">
        <v>23475</v>
      </c>
      <c r="AR2898" t="s">
        <v>23476</v>
      </c>
      <c r="AT2898" s="184">
        <v>37831</v>
      </c>
      <c r="AU2898" t="s">
        <v>23453</v>
      </c>
      <c r="AV2898">
        <v>25</v>
      </c>
      <c r="AW2898" s="184">
        <v>45407</v>
      </c>
      <c r="AX2898" t="s">
        <v>23272</v>
      </c>
      <c r="AY2898">
        <v>35</v>
      </c>
      <c r="AZ2898" s="184">
        <v>41009</v>
      </c>
      <c r="BA2898" t="s">
        <v>23477</v>
      </c>
      <c r="BB2898">
        <v>60</v>
      </c>
      <c r="BC2898">
        <v>73</v>
      </c>
      <c r="BD2898">
        <v>610</v>
      </c>
      <c r="BE2898">
        <v>2004</v>
      </c>
      <c r="BF2898">
        <v>17</v>
      </c>
      <c r="BG2898">
        <v>3</v>
      </c>
      <c r="BH2898">
        <v>105</v>
      </c>
      <c r="BI2898">
        <v>16</v>
      </c>
      <c r="BJ2898">
        <v>22</v>
      </c>
      <c r="BK2898">
        <v>10</v>
      </c>
      <c r="BN2898" t="s">
        <v>595</v>
      </c>
      <c r="BP2898" s="184"/>
    </row>
    <row r="2899" spans="1:68">
      <c r="A2899">
        <v>36211407</v>
      </c>
      <c r="B2899">
        <v>36211407</v>
      </c>
      <c r="C2899" t="s">
        <v>7018</v>
      </c>
      <c r="D2899" t="s">
        <v>595</v>
      </c>
      <c r="E2899" s="184">
        <v>45196</v>
      </c>
      <c r="G2899" s="184"/>
      <c r="I2899" s="184"/>
      <c r="K2899" s="184"/>
      <c r="M2899" s="184"/>
      <c r="O2899" s="184"/>
      <c r="P2899" t="s">
        <v>7019</v>
      </c>
      <c r="Q2899" t="s">
        <v>7374</v>
      </c>
      <c r="R2899" s="184">
        <v>19419</v>
      </c>
      <c r="S2899">
        <v>71</v>
      </c>
      <c r="V2899" t="s">
        <v>2995</v>
      </c>
      <c r="X2899" t="s">
        <v>5065</v>
      </c>
      <c r="AF2899" t="s">
        <v>23478</v>
      </c>
      <c r="AG2899" t="s">
        <v>2995</v>
      </c>
      <c r="AI2899" t="s">
        <v>23479</v>
      </c>
      <c r="AM2899" t="s">
        <v>23480</v>
      </c>
      <c r="AN2899" t="s">
        <v>2081</v>
      </c>
      <c r="AO2899" t="s">
        <v>23481</v>
      </c>
      <c r="AP2899" t="s">
        <v>7024</v>
      </c>
      <c r="AT2899" s="184">
        <v>37833</v>
      </c>
      <c r="AU2899" t="s">
        <v>23482</v>
      </c>
      <c r="AV2899">
        <v>20</v>
      </c>
      <c r="AW2899" s="184">
        <v>44704</v>
      </c>
      <c r="AX2899" t="s">
        <v>11995</v>
      </c>
      <c r="AY2899">
        <v>60</v>
      </c>
      <c r="AZ2899" s="184">
        <v>44704</v>
      </c>
      <c r="BA2899" t="s">
        <v>11995</v>
      </c>
      <c r="BB2899">
        <v>60</v>
      </c>
      <c r="BC2899">
        <v>64</v>
      </c>
      <c r="BD2899">
        <v>465</v>
      </c>
      <c r="BE2899">
        <v>2004</v>
      </c>
      <c r="BF2899">
        <v>18</v>
      </c>
      <c r="BG2899">
        <v>1</v>
      </c>
      <c r="BH2899">
        <v>60</v>
      </c>
      <c r="BI2899">
        <v>14</v>
      </c>
      <c r="BJ2899">
        <v>22</v>
      </c>
      <c r="BK2899">
        <v>5</v>
      </c>
      <c r="BP2899" s="184"/>
    </row>
    <row r="2900" spans="1:68">
      <c r="A2900">
        <v>36223568</v>
      </c>
      <c r="B2900">
        <v>36223568</v>
      </c>
      <c r="C2900" t="s">
        <v>7018</v>
      </c>
      <c r="E2900" s="184"/>
      <c r="G2900" s="184"/>
      <c r="I2900" s="184"/>
      <c r="J2900" t="s">
        <v>595</v>
      </c>
      <c r="K2900" s="184">
        <v>42960</v>
      </c>
      <c r="M2900" s="184"/>
      <c r="O2900" s="184"/>
      <c r="P2900" t="s">
        <v>7045</v>
      </c>
      <c r="Q2900" t="s">
        <v>7030</v>
      </c>
      <c r="R2900" s="184">
        <v>16710</v>
      </c>
      <c r="S2900">
        <v>78</v>
      </c>
      <c r="U2900" t="s">
        <v>7031</v>
      </c>
      <c r="V2900" t="s">
        <v>2832</v>
      </c>
      <c r="X2900" t="s">
        <v>23483</v>
      </c>
      <c r="AF2900" t="s">
        <v>6355</v>
      </c>
      <c r="AG2900" t="s">
        <v>2832</v>
      </c>
      <c r="AI2900" t="s">
        <v>23484</v>
      </c>
      <c r="AM2900" t="s">
        <v>23485</v>
      </c>
      <c r="AN2900" t="s">
        <v>2089</v>
      </c>
      <c r="AO2900" t="s">
        <v>23486</v>
      </c>
      <c r="AP2900" t="s">
        <v>7024</v>
      </c>
      <c r="AQ2900" t="s">
        <v>23487</v>
      </c>
      <c r="AT2900" s="184">
        <v>37834</v>
      </c>
      <c r="AU2900" t="s">
        <v>23488</v>
      </c>
      <c r="AV2900">
        <v>25</v>
      </c>
      <c r="AW2900" s="184">
        <v>45408</v>
      </c>
      <c r="AX2900" t="s">
        <v>8483</v>
      </c>
      <c r="AY2900">
        <v>25</v>
      </c>
      <c r="AZ2900" s="184">
        <v>44097</v>
      </c>
      <c r="BA2900" t="s">
        <v>7759</v>
      </c>
      <c r="BB2900">
        <v>150</v>
      </c>
      <c r="BC2900">
        <v>46</v>
      </c>
      <c r="BD2900">
        <v>1857</v>
      </c>
      <c r="BE2900">
        <v>2004</v>
      </c>
      <c r="BF2900">
        <v>40</v>
      </c>
      <c r="BG2900">
        <v>13</v>
      </c>
      <c r="BH2900">
        <v>325</v>
      </c>
      <c r="BI2900">
        <v>10</v>
      </c>
      <c r="BJ2900">
        <v>22</v>
      </c>
      <c r="BK2900">
        <v>4</v>
      </c>
      <c r="BP2900" s="184"/>
    </row>
    <row r="2901" spans="1:68">
      <c r="A2901">
        <v>36225548</v>
      </c>
      <c r="B2901">
        <v>36225548</v>
      </c>
      <c r="C2901" t="s">
        <v>7018</v>
      </c>
      <c r="E2901" s="184"/>
      <c r="G2901" s="184"/>
      <c r="I2901" s="184"/>
      <c r="J2901" t="s">
        <v>595</v>
      </c>
      <c r="K2901" s="184">
        <v>44441</v>
      </c>
      <c r="M2901" s="184"/>
      <c r="O2901" s="184"/>
      <c r="P2901" t="s">
        <v>7045</v>
      </c>
      <c r="Q2901" t="s">
        <v>7383</v>
      </c>
      <c r="R2901" s="184">
        <v>20090</v>
      </c>
      <c r="S2901">
        <v>69</v>
      </c>
      <c r="U2901" t="s">
        <v>7076</v>
      </c>
      <c r="V2901" t="s">
        <v>3409</v>
      </c>
      <c r="W2901" t="s">
        <v>4139</v>
      </c>
      <c r="X2901" t="s">
        <v>23489</v>
      </c>
      <c r="AF2901" t="s">
        <v>23490</v>
      </c>
      <c r="AG2901" t="s">
        <v>3409</v>
      </c>
      <c r="AI2901" t="s">
        <v>23491</v>
      </c>
      <c r="AM2901" t="s">
        <v>3176</v>
      </c>
      <c r="AN2901" t="s">
        <v>2313</v>
      </c>
      <c r="AO2901" t="s">
        <v>23492</v>
      </c>
      <c r="AP2901" t="s">
        <v>7024</v>
      </c>
      <c r="AQ2901" t="s">
        <v>23493</v>
      </c>
      <c r="AT2901" s="184">
        <v>37837</v>
      </c>
      <c r="AU2901" t="s">
        <v>23494</v>
      </c>
      <c r="AV2901">
        <v>15</v>
      </c>
      <c r="AW2901" s="184">
        <v>45071</v>
      </c>
      <c r="AX2901" t="s">
        <v>15782</v>
      </c>
      <c r="AY2901">
        <v>50</v>
      </c>
      <c r="AZ2901" s="184">
        <v>42255</v>
      </c>
      <c r="BA2901" t="s">
        <v>23495</v>
      </c>
      <c r="BB2901">
        <v>200</v>
      </c>
      <c r="BC2901">
        <v>50</v>
      </c>
      <c r="BD2901">
        <v>1375</v>
      </c>
      <c r="BE2901">
        <v>2004</v>
      </c>
      <c r="BF2901">
        <v>21</v>
      </c>
      <c r="BG2901">
        <v>1</v>
      </c>
      <c r="BH2901">
        <v>50</v>
      </c>
      <c r="BI2901">
        <v>11</v>
      </c>
      <c r="BJ2901">
        <v>22</v>
      </c>
      <c r="BK2901">
        <v>3</v>
      </c>
      <c r="BP2901" s="184"/>
    </row>
    <row r="2902" spans="1:68">
      <c r="A2902">
        <v>36265601</v>
      </c>
      <c r="B2902">
        <v>36265601</v>
      </c>
      <c r="C2902" t="s">
        <v>7018</v>
      </c>
      <c r="E2902" s="184"/>
      <c r="F2902" t="s">
        <v>595</v>
      </c>
      <c r="G2902" s="184">
        <v>43881</v>
      </c>
      <c r="I2902" s="184"/>
      <c r="K2902" s="184"/>
      <c r="M2902" s="184"/>
      <c r="O2902" s="184"/>
      <c r="P2902" t="s">
        <v>7045</v>
      </c>
      <c r="Q2902" t="s">
        <v>7262</v>
      </c>
      <c r="R2902" s="184">
        <v>18203</v>
      </c>
      <c r="S2902">
        <v>74</v>
      </c>
      <c r="U2902" t="s">
        <v>7031</v>
      </c>
      <c r="V2902" t="s">
        <v>14847</v>
      </c>
      <c r="X2902" t="s">
        <v>23496</v>
      </c>
      <c r="AF2902" t="s">
        <v>23497</v>
      </c>
      <c r="AG2902" t="s">
        <v>14847</v>
      </c>
      <c r="AI2902" t="s">
        <v>23498</v>
      </c>
      <c r="AM2902" t="s">
        <v>23499</v>
      </c>
      <c r="AN2902" t="s">
        <v>65</v>
      </c>
      <c r="AO2902" t="s">
        <v>23500</v>
      </c>
      <c r="AP2902" t="s">
        <v>7024</v>
      </c>
      <c r="AQ2902" t="s">
        <v>23501</v>
      </c>
      <c r="AR2902" t="s">
        <v>23502</v>
      </c>
      <c r="AT2902" s="184">
        <v>37844</v>
      </c>
      <c r="AU2902" t="s">
        <v>23503</v>
      </c>
      <c r="AV2902">
        <v>25</v>
      </c>
      <c r="AW2902" s="184">
        <v>45289</v>
      </c>
      <c r="AX2902" t="s">
        <v>23504</v>
      </c>
      <c r="AY2902">
        <v>50</v>
      </c>
      <c r="AZ2902" s="184">
        <v>38160</v>
      </c>
      <c r="BA2902" t="s">
        <v>23505</v>
      </c>
      <c r="BB2902">
        <v>60</v>
      </c>
      <c r="BC2902">
        <v>55</v>
      </c>
      <c r="BD2902">
        <v>785</v>
      </c>
      <c r="BE2902">
        <v>2004</v>
      </c>
      <c r="BF2902">
        <v>16</v>
      </c>
      <c r="BG2902">
        <v>2</v>
      </c>
      <c r="BH2902">
        <v>100</v>
      </c>
      <c r="BI2902">
        <v>12</v>
      </c>
      <c r="BJ2902">
        <v>22</v>
      </c>
      <c r="BK2902">
        <v>9</v>
      </c>
      <c r="BP2902" s="184"/>
    </row>
    <row r="2903" spans="1:68">
      <c r="A2903">
        <v>36281756</v>
      </c>
      <c r="B2903">
        <v>36281756</v>
      </c>
      <c r="C2903" t="s">
        <v>7018</v>
      </c>
      <c r="E2903" s="184"/>
      <c r="G2903" s="184"/>
      <c r="I2903" s="184"/>
      <c r="J2903" t="s">
        <v>595</v>
      </c>
      <c r="K2903" s="184">
        <v>44328</v>
      </c>
      <c r="O2903" s="184"/>
      <c r="P2903" t="s">
        <v>7045</v>
      </c>
      <c r="Q2903" t="s">
        <v>7374</v>
      </c>
      <c r="R2903" s="184">
        <v>21033</v>
      </c>
      <c r="S2903">
        <v>66</v>
      </c>
      <c r="V2903" t="s">
        <v>3377</v>
      </c>
      <c r="X2903" t="s">
        <v>23506</v>
      </c>
      <c r="Z2903">
        <v>100101515</v>
      </c>
      <c r="AB2903" t="s">
        <v>2969</v>
      </c>
      <c r="AD2903" t="s">
        <v>23506</v>
      </c>
      <c r="AF2903" t="s">
        <v>23507</v>
      </c>
      <c r="AG2903" t="s">
        <v>23508</v>
      </c>
      <c r="AI2903" t="s">
        <v>23509</v>
      </c>
      <c r="AM2903" t="s">
        <v>4297</v>
      </c>
      <c r="AN2903" t="s">
        <v>2526</v>
      </c>
      <c r="AO2903" t="s">
        <v>23510</v>
      </c>
      <c r="AP2903" t="s">
        <v>7024</v>
      </c>
      <c r="AQ2903" t="s">
        <v>23511</v>
      </c>
      <c r="AR2903" t="s">
        <v>23512</v>
      </c>
      <c r="AT2903" s="184">
        <v>37847</v>
      </c>
      <c r="AU2903" t="s">
        <v>23432</v>
      </c>
      <c r="AV2903">
        <v>25</v>
      </c>
      <c r="AW2903" s="184">
        <v>44887</v>
      </c>
      <c r="AX2903" t="s">
        <v>12718</v>
      </c>
      <c r="AY2903">
        <v>100</v>
      </c>
      <c r="AZ2903" s="184">
        <v>44887</v>
      </c>
      <c r="BA2903" t="s">
        <v>12718</v>
      </c>
      <c r="BB2903">
        <v>100</v>
      </c>
      <c r="BC2903">
        <v>91</v>
      </c>
      <c r="BD2903">
        <v>3725</v>
      </c>
      <c r="BE2903">
        <v>2004</v>
      </c>
      <c r="BF2903">
        <v>50</v>
      </c>
      <c r="BG2903">
        <v>1</v>
      </c>
      <c r="BH2903">
        <v>100</v>
      </c>
      <c r="BI2903">
        <v>20</v>
      </c>
      <c r="BJ2903">
        <v>22</v>
      </c>
      <c r="BK2903">
        <v>20</v>
      </c>
      <c r="BP2903" s="184"/>
    </row>
    <row r="2904" spans="1:68">
      <c r="A2904">
        <v>100101515</v>
      </c>
      <c r="B2904">
        <v>36281756</v>
      </c>
      <c r="C2904" t="s">
        <v>7018</v>
      </c>
      <c r="E2904" s="184"/>
      <c r="G2904" s="184"/>
      <c r="I2904" s="184"/>
      <c r="J2904" t="s">
        <v>595</v>
      </c>
      <c r="K2904" s="184">
        <v>44328</v>
      </c>
      <c r="O2904" s="184"/>
      <c r="P2904" t="s">
        <v>7045</v>
      </c>
      <c r="Q2904" t="s">
        <v>7374</v>
      </c>
      <c r="R2904" s="184">
        <v>26089</v>
      </c>
      <c r="S2904">
        <v>52</v>
      </c>
      <c r="V2904" t="s">
        <v>2969</v>
      </c>
      <c r="X2904" t="s">
        <v>23506</v>
      </c>
      <c r="Z2904">
        <v>36281756</v>
      </c>
      <c r="AB2904" t="s">
        <v>3377</v>
      </c>
      <c r="AD2904" t="s">
        <v>23506</v>
      </c>
      <c r="AF2904" t="s">
        <v>23507</v>
      </c>
      <c r="AG2904" t="s">
        <v>23508</v>
      </c>
      <c r="AI2904" t="s">
        <v>23509</v>
      </c>
      <c r="AM2904" t="s">
        <v>4297</v>
      </c>
      <c r="AN2904" t="s">
        <v>2526</v>
      </c>
      <c r="AO2904" t="s">
        <v>23510</v>
      </c>
      <c r="AP2904" t="s">
        <v>7024</v>
      </c>
      <c r="AT2904" s="184"/>
      <c r="AW2904" s="184"/>
      <c r="AZ2904" s="184"/>
      <c r="BP2904" s="184"/>
    </row>
    <row r="2905" spans="1:68">
      <c r="A2905">
        <v>36298081</v>
      </c>
      <c r="B2905">
        <v>36298081</v>
      </c>
      <c r="C2905" t="s">
        <v>7018</v>
      </c>
      <c r="D2905" t="s">
        <v>595</v>
      </c>
      <c r="E2905" s="184">
        <v>43861</v>
      </c>
      <c r="G2905" s="184"/>
      <c r="I2905" s="184"/>
      <c r="K2905" s="184"/>
      <c r="O2905" s="184"/>
      <c r="P2905" t="s">
        <v>7045</v>
      </c>
      <c r="Q2905" t="s">
        <v>7383</v>
      </c>
      <c r="R2905" s="184">
        <v>14429</v>
      </c>
      <c r="S2905">
        <v>84</v>
      </c>
      <c r="V2905" t="s">
        <v>4582</v>
      </c>
      <c r="X2905" t="s">
        <v>3414</v>
      </c>
      <c r="AF2905" t="s">
        <v>23513</v>
      </c>
      <c r="AG2905" t="s">
        <v>4582</v>
      </c>
      <c r="AI2905" t="s">
        <v>23514</v>
      </c>
      <c r="AM2905" t="s">
        <v>4583</v>
      </c>
      <c r="AN2905" t="s">
        <v>2162</v>
      </c>
      <c r="AO2905" t="s">
        <v>23515</v>
      </c>
      <c r="AP2905" t="s">
        <v>7024</v>
      </c>
      <c r="AQ2905" t="s">
        <v>23516</v>
      </c>
      <c r="AT2905" s="184">
        <v>37858</v>
      </c>
      <c r="AU2905" t="s">
        <v>23517</v>
      </c>
      <c r="AV2905">
        <v>25</v>
      </c>
      <c r="AW2905" s="184">
        <v>44649</v>
      </c>
      <c r="AX2905" t="s">
        <v>23518</v>
      </c>
      <c r="AY2905">
        <v>31</v>
      </c>
      <c r="AZ2905" s="184">
        <v>40723</v>
      </c>
      <c r="BA2905" t="s">
        <v>23519</v>
      </c>
      <c r="BB2905">
        <v>75</v>
      </c>
      <c r="BC2905">
        <v>91</v>
      </c>
      <c r="BD2905">
        <v>2264</v>
      </c>
      <c r="BE2905">
        <v>2004</v>
      </c>
      <c r="BF2905">
        <v>138</v>
      </c>
      <c r="BI2905">
        <v>20</v>
      </c>
      <c r="BJ2905">
        <v>22</v>
      </c>
      <c r="BK2905">
        <v>20</v>
      </c>
      <c r="BP2905" s="184"/>
    </row>
    <row r="2906" spans="1:68">
      <c r="A2906">
        <v>36300358</v>
      </c>
      <c r="B2906">
        <v>36300358</v>
      </c>
      <c r="C2906" t="s">
        <v>7018</v>
      </c>
      <c r="D2906" t="s">
        <v>595</v>
      </c>
      <c r="E2906" s="184">
        <v>44104</v>
      </c>
      <c r="G2906" s="184"/>
      <c r="I2906" s="184"/>
      <c r="K2906" s="184"/>
      <c r="M2906" s="184"/>
      <c r="O2906" s="184"/>
      <c r="P2906" t="s">
        <v>7019</v>
      </c>
      <c r="Q2906" t="s">
        <v>7494</v>
      </c>
      <c r="R2906" s="184">
        <v>14155</v>
      </c>
      <c r="S2906">
        <v>85</v>
      </c>
      <c r="U2906" t="s">
        <v>7076</v>
      </c>
      <c r="V2906" t="s">
        <v>3101</v>
      </c>
      <c r="X2906" t="s">
        <v>3373</v>
      </c>
      <c r="AF2906" t="s">
        <v>23520</v>
      </c>
      <c r="AG2906" t="s">
        <v>3101</v>
      </c>
      <c r="AI2906" t="s">
        <v>23521</v>
      </c>
      <c r="AM2906" t="s">
        <v>3728</v>
      </c>
      <c r="AN2906" t="s">
        <v>2484</v>
      </c>
      <c r="AO2906" t="s">
        <v>23522</v>
      </c>
      <c r="AP2906" t="s">
        <v>7024</v>
      </c>
      <c r="AQ2906" t="s">
        <v>23523</v>
      </c>
      <c r="AT2906" s="184">
        <v>37859</v>
      </c>
      <c r="AU2906" t="s">
        <v>23503</v>
      </c>
      <c r="AV2906">
        <v>25</v>
      </c>
      <c r="AW2906" s="184">
        <v>44825</v>
      </c>
      <c r="AX2906" t="s">
        <v>23524</v>
      </c>
      <c r="AY2906">
        <v>60</v>
      </c>
      <c r="AZ2906" s="184">
        <v>42054</v>
      </c>
      <c r="BA2906" t="s">
        <v>23525</v>
      </c>
      <c r="BB2906">
        <v>87</v>
      </c>
      <c r="BC2906">
        <v>78</v>
      </c>
      <c r="BD2906">
        <v>712</v>
      </c>
      <c r="BE2906">
        <v>2004</v>
      </c>
      <c r="BF2906">
        <v>27</v>
      </c>
      <c r="BG2906">
        <v>1</v>
      </c>
      <c r="BH2906">
        <v>60</v>
      </c>
      <c r="BI2906">
        <v>17</v>
      </c>
      <c r="BJ2906">
        <v>22</v>
      </c>
      <c r="BK2906">
        <v>13</v>
      </c>
      <c r="BP2906" s="184"/>
    </row>
    <row r="2907" spans="1:68">
      <c r="A2907">
        <v>36301810</v>
      </c>
      <c r="B2907">
        <v>36301810</v>
      </c>
      <c r="C2907" t="s">
        <v>7018</v>
      </c>
      <c r="E2907" s="184"/>
      <c r="G2907" s="184"/>
      <c r="I2907" s="184"/>
      <c r="J2907" t="s">
        <v>595</v>
      </c>
      <c r="K2907" s="184">
        <v>39924</v>
      </c>
      <c r="M2907" s="184"/>
      <c r="P2907" t="s">
        <v>7045</v>
      </c>
      <c r="Q2907" t="s">
        <v>7383</v>
      </c>
      <c r="R2907" s="184">
        <v>13302</v>
      </c>
      <c r="S2907">
        <v>87</v>
      </c>
      <c r="U2907" t="s">
        <v>7031</v>
      </c>
      <c r="V2907" t="s">
        <v>2541</v>
      </c>
      <c r="X2907" t="s">
        <v>23526</v>
      </c>
      <c r="AF2907" t="s">
        <v>6422</v>
      </c>
      <c r="AG2907" t="s">
        <v>2541</v>
      </c>
      <c r="AI2907" t="s">
        <v>23527</v>
      </c>
      <c r="AM2907" t="s">
        <v>8078</v>
      </c>
      <c r="AN2907" t="s">
        <v>2313</v>
      </c>
      <c r="AO2907" t="s">
        <v>23528</v>
      </c>
      <c r="AP2907" t="s">
        <v>7024</v>
      </c>
      <c r="AT2907" s="184">
        <v>37859</v>
      </c>
      <c r="AU2907" t="s">
        <v>23529</v>
      </c>
      <c r="AV2907">
        <v>50</v>
      </c>
      <c r="AW2907" s="184">
        <v>45043</v>
      </c>
      <c r="AX2907" t="s">
        <v>23530</v>
      </c>
      <c r="AY2907">
        <v>100</v>
      </c>
      <c r="AZ2907" s="184">
        <v>40567</v>
      </c>
      <c r="BA2907" t="s">
        <v>23531</v>
      </c>
      <c r="BB2907">
        <v>125</v>
      </c>
      <c r="BC2907">
        <v>64</v>
      </c>
      <c r="BD2907">
        <v>1185</v>
      </c>
      <c r="BE2907">
        <v>2004</v>
      </c>
      <c r="BF2907">
        <v>16</v>
      </c>
      <c r="BG2907">
        <v>1</v>
      </c>
      <c r="BH2907">
        <v>100</v>
      </c>
      <c r="BI2907">
        <v>14</v>
      </c>
      <c r="BJ2907">
        <v>22</v>
      </c>
      <c r="BK2907">
        <v>6</v>
      </c>
      <c r="BP2907" s="184"/>
    </row>
    <row r="2908" spans="1:68">
      <c r="A2908">
        <v>36313237</v>
      </c>
      <c r="B2908">
        <v>36313237</v>
      </c>
      <c r="C2908" t="s">
        <v>13031</v>
      </c>
      <c r="E2908" s="184"/>
      <c r="G2908" s="184"/>
      <c r="I2908" s="184"/>
      <c r="J2908" t="s">
        <v>595</v>
      </c>
      <c r="K2908" s="184">
        <v>40512</v>
      </c>
      <c r="M2908" s="184"/>
      <c r="O2908" s="184"/>
      <c r="Q2908" t="s">
        <v>7383</v>
      </c>
      <c r="R2908" s="184"/>
      <c r="Z2908">
        <v>100176000</v>
      </c>
      <c r="AA2908" t="s">
        <v>7076</v>
      </c>
      <c r="AB2908" t="s">
        <v>2593</v>
      </c>
      <c r="AD2908" t="s">
        <v>23532</v>
      </c>
      <c r="AH2908" t="s">
        <v>6118</v>
      </c>
      <c r="AI2908" t="s">
        <v>23533</v>
      </c>
      <c r="AM2908" t="s">
        <v>23534</v>
      </c>
      <c r="AN2908" t="s">
        <v>2313</v>
      </c>
      <c r="AO2908" t="s">
        <v>23535</v>
      </c>
      <c r="AP2908" t="s">
        <v>7024</v>
      </c>
      <c r="AT2908" s="184">
        <v>37866</v>
      </c>
      <c r="AU2908" t="s">
        <v>23536</v>
      </c>
      <c r="AV2908">
        <v>20</v>
      </c>
      <c r="AW2908" s="184">
        <v>40512</v>
      </c>
      <c r="AX2908" t="s">
        <v>14283</v>
      </c>
      <c r="AY2908">
        <v>4716.33</v>
      </c>
      <c r="AZ2908" s="184">
        <v>40512</v>
      </c>
      <c r="BA2908" t="s">
        <v>14283</v>
      </c>
      <c r="BB2908">
        <v>4716.33</v>
      </c>
      <c r="BC2908">
        <v>28</v>
      </c>
      <c r="BD2908">
        <v>4861.33</v>
      </c>
      <c r="BE2908">
        <v>2004</v>
      </c>
      <c r="BF2908">
        <v>7</v>
      </c>
      <c r="BI2908">
        <v>6</v>
      </c>
      <c r="BJ2908">
        <v>22</v>
      </c>
      <c r="BK2908">
        <v>4</v>
      </c>
      <c r="BP2908" s="184"/>
    </row>
    <row r="2909" spans="1:68">
      <c r="A2909">
        <v>36314870</v>
      </c>
      <c r="B2909">
        <v>36314870</v>
      </c>
      <c r="C2909" t="s">
        <v>7018</v>
      </c>
      <c r="E2909" s="184"/>
      <c r="G2909" s="184"/>
      <c r="I2909" s="184"/>
      <c r="J2909" t="s">
        <v>595</v>
      </c>
      <c r="K2909" s="184">
        <v>43440</v>
      </c>
      <c r="M2909" s="184"/>
      <c r="O2909" s="184"/>
      <c r="P2909" t="s">
        <v>7045</v>
      </c>
      <c r="Q2909" t="s">
        <v>8385</v>
      </c>
      <c r="R2909" s="184"/>
      <c r="V2909" t="s">
        <v>2932</v>
      </c>
      <c r="X2909" t="s">
        <v>16499</v>
      </c>
      <c r="AF2909" t="s">
        <v>6742</v>
      </c>
      <c r="AG2909" t="s">
        <v>2932</v>
      </c>
      <c r="AI2909" t="s">
        <v>23537</v>
      </c>
      <c r="AM2909" t="s">
        <v>23538</v>
      </c>
      <c r="AN2909" t="s">
        <v>2181</v>
      </c>
      <c r="AO2909" t="s">
        <v>23539</v>
      </c>
      <c r="AP2909" t="s">
        <v>7024</v>
      </c>
      <c r="AT2909" s="184">
        <v>37866</v>
      </c>
      <c r="AU2909" t="s">
        <v>23540</v>
      </c>
      <c r="AV2909">
        <v>15</v>
      </c>
      <c r="AW2909" s="184">
        <v>37866</v>
      </c>
      <c r="AX2909" t="s">
        <v>23540</v>
      </c>
      <c r="AY2909">
        <v>15</v>
      </c>
      <c r="AZ2909" s="184">
        <v>37866</v>
      </c>
      <c r="BA2909" t="s">
        <v>23540</v>
      </c>
      <c r="BB2909">
        <v>15</v>
      </c>
      <c r="BC2909">
        <v>5</v>
      </c>
      <c r="BD2909">
        <v>15</v>
      </c>
      <c r="BE2909">
        <v>2004</v>
      </c>
      <c r="BF2909">
        <v>1</v>
      </c>
      <c r="BI2909">
        <v>1</v>
      </c>
      <c r="BJ2909">
        <v>22</v>
      </c>
      <c r="BK2909">
        <v>1</v>
      </c>
      <c r="BO2909" t="s">
        <v>595</v>
      </c>
      <c r="BP2909" s="184">
        <v>43429</v>
      </c>
    </row>
    <row r="2910" spans="1:68">
      <c r="A2910">
        <v>36334910</v>
      </c>
      <c r="B2910">
        <v>36334910</v>
      </c>
      <c r="C2910" t="s">
        <v>7018</v>
      </c>
      <c r="E2910" s="184"/>
      <c r="G2910" s="184"/>
      <c r="I2910" s="184"/>
      <c r="J2910" t="s">
        <v>595</v>
      </c>
      <c r="K2910" s="184">
        <v>39412</v>
      </c>
      <c r="M2910" s="184"/>
      <c r="O2910" s="184"/>
      <c r="P2910" t="s">
        <v>7045</v>
      </c>
      <c r="Q2910" t="s">
        <v>7020</v>
      </c>
      <c r="R2910" s="184"/>
      <c r="U2910" t="s">
        <v>7031</v>
      </c>
      <c r="V2910" t="s">
        <v>23541</v>
      </c>
      <c r="W2910" t="s">
        <v>2316</v>
      </c>
      <c r="X2910" t="s">
        <v>2839</v>
      </c>
      <c r="AF2910" t="s">
        <v>6716</v>
      </c>
      <c r="AG2910" t="s">
        <v>23541</v>
      </c>
      <c r="AI2910" t="s">
        <v>23542</v>
      </c>
      <c r="AJ2910" t="s">
        <v>23543</v>
      </c>
      <c r="AM2910" t="s">
        <v>2860</v>
      </c>
      <c r="AN2910" t="s">
        <v>2112</v>
      </c>
      <c r="AO2910">
        <v>11233</v>
      </c>
      <c r="AP2910" t="s">
        <v>7024</v>
      </c>
      <c r="AQ2910" t="s">
        <v>23544</v>
      </c>
      <c r="AT2910" s="184">
        <v>37875</v>
      </c>
      <c r="AU2910" t="s">
        <v>23545</v>
      </c>
      <c r="AV2910">
        <v>25</v>
      </c>
      <c r="AW2910" s="184">
        <v>38981</v>
      </c>
      <c r="AX2910" t="s">
        <v>23546</v>
      </c>
      <c r="AY2910">
        <v>1</v>
      </c>
      <c r="AZ2910" s="184">
        <v>38243</v>
      </c>
      <c r="BA2910" t="s">
        <v>23547</v>
      </c>
      <c r="BB2910">
        <v>25</v>
      </c>
      <c r="BC2910">
        <v>14</v>
      </c>
      <c r="BD2910">
        <v>51</v>
      </c>
      <c r="BE2910">
        <v>2004</v>
      </c>
      <c r="BF2910">
        <v>3</v>
      </c>
      <c r="BI2910">
        <v>3</v>
      </c>
      <c r="BJ2910">
        <v>22</v>
      </c>
      <c r="BK2910">
        <v>2</v>
      </c>
      <c r="BP2910" s="184"/>
    </row>
    <row r="2911" spans="1:68">
      <c r="A2911">
        <v>36340701</v>
      </c>
      <c r="B2911">
        <v>36340701</v>
      </c>
      <c r="C2911" t="s">
        <v>7018</v>
      </c>
      <c r="E2911" s="184"/>
      <c r="G2911" s="184"/>
      <c r="I2911" s="184"/>
      <c r="J2911" t="s">
        <v>595</v>
      </c>
      <c r="K2911" s="184">
        <v>42824</v>
      </c>
      <c r="M2911" s="184"/>
      <c r="O2911" s="184"/>
      <c r="P2911" t="s">
        <v>7029</v>
      </c>
      <c r="Q2911" t="s">
        <v>7020</v>
      </c>
      <c r="R2911" s="184">
        <v>17564</v>
      </c>
      <c r="S2911">
        <v>76</v>
      </c>
      <c r="V2911" t="s">
        <v>2697</v>
      </c>
      <c r="X2911" t="s">
        <v>5468</v>
      </c>
      <c r="Z2911">
        <v>100101846</v>
      </c>
      <c r="AB2911" t="s">
        <v>5667</v>
      </c>
      <c r="AD2911" t="s">
        <v>5468</v>
      </c>
      <c r="AF2911" t="s">
        <v>23548</v>
      </c>
      <c r="AG2911" t="s">
        <v>23549</v>
      </c>
      <c r="AI2911" t="s">
        <v>23550</v>
      </c>
      <c r="AM2911" t="s">
        <v>5665</v>
      </c>
      <c r="AN2911" t="s">
        <v>2240</v>
      </c>
      <c r="AO2911" t="s">
        <v>23551</v>
      </c>
      <c r="AP2911" t="s">
        <v>7024</v>
      </c>
      <c r="AQ2911" t="s">
        <v>23552</v>
      </c>
      <c r="AR2911" t="s">
        <v>23553</v>
      </c>
      <c r="AT2911" s="184">
        <v>37880</v>
      </c>
      <c r="AU2911" t="s">
        <v>23503</v>
      </c>
      <c r="AV2911">
        <v>25</v>
      </c>
      <c r="AW2911" s="184">
        <v>45289</v>
      </c>
      <c r="AX2911" t="s">
        <v>7382</v>
      </c>
      <c r="AY2911">
        <v>3000</v>
      </c>
      <c r="AZ2911" s="184">
        <v>45289</v>
      </c>
      <c r="BA2911" t="s">
        <v>7382</v>
      </c>
      <c r="BB2911">
        <v>3000</v>
      </c>
      <c r="BC2911">
        <v>87</v>
      </c>
      <c r="BD2911">
        <v>33240</v>
      </c>
      <c r="BE2911">
        <v>2004</v>
      </c>
      <c r="BF2911">
        <v>23</v>
      </c>
      <c r="BG2911">
        <v>2</v>
      </c>
      <c r="BH2911">
        <v>5575</v>
      </c>
      <c r="BI2911">
        <v>19</v>
      </c>
      <c r="BJ2911">
        <v>22</v>
      </c>
      <c r="BK2911">
        <v>14</v>
      </c>
      <c r="BP2911" s="184"/>
    </row>
    <row r="2912" spans="1:68">
      <c r="A2912">
        <v>100101846</v>
      </c>
      <c r="B2912">
        <v>36340701</v>
      </c>
      <c r="C2912" t="s">
        <v>7018</v>
      </c>
      <c r="E2912" s="184"/>
      <c r="G2912" s="184"/>
      <c r="I2912" s="184"/>
      <c r="J2912" t="s">
        <v>595</v>
      </c>
      <c r="K2912" s="184">
        <v>42824</v>
      </c>
      <c r="O2912" s="184"/>
      <c r="P2912" t="s">
        <v>7029</v>
      </c>
      <c r="Q2912" t="s">
        <v>7020</v>
      </c>
      <c r="R2912" s="184">
        <v>23491</v>
      </c>
      <c r="S2912">
        <v>60</v>
      </c>
      <c r="V2912" t="s">
        <v>5667</v>
      </c>
      <c r="X2912" t="s">
        <v>5468</v>
      </c>
      <c r="Z2912">
        <v>36340701</v>
      </c>
      <c r="AB2912" t="s">
        <v>2697</v>
      </c>
      <c r="AD2912" t="s">
        <v>5468</v>
      </c>
      <c r="AF2912" t="s">
        <v>23548</v>
      </c>
      <c r="AG2912" t="s">
        <v>23549</v>
      </c>
      <c r="AI2912" t="s">
        <v>23550</v>
      </c>
      <c r="AM2912" t="s">
        <v>5665</v>
      </c>
      <c r="AN2912" t="s">
        <v>2240</v>
      </c>
      <c r="AO2912" t="s">
        <v>23551</v>
      </c>
      <c r="AP2912" t="s">
        <v>7024</v>
      </c>
      <c r="AT2912" s="184"/>
      <c r="AW2912" s="184"/>
      <c r="AZ2912" s="184"/>
      <c r="BP2912" s="184"/>
    </row>
    <row r="2913" spans="1:68">
      <c r="A2913">
        <v>36349082</v>
      </c>
      <c r="B2913">
        <v>36349082</v>
      </c>
      <c r="C2913" t="s">
        <v>7018</v>
      </c>
      <c r="E2913" s="184"/>
      <c r="G2913" s="184"/>
      <c r="H2913" t="s">
        <v>595</v>
      </c>
      <c r="I2913" s="184">
        <v>44537</v>
      </c>
      <c r="J2913" t="s">
        <v>595</v>
      </c>
      <c r="K2913" s="184">
        <v>44167</v>
      </c>
      <c r="O2913" s="184"/>
      <c r="P2913" t="s">
        <v>7045</v>
      </c>
      <c r="Q2913" t="s">
        <v>7383</v>
      </c>
      <c r="R2913" s="184">
        <v>18537</v>
      </c>
      <c r="S2913">
        <v>73</v>
      </c>
      <c r="V2913" t="s">
        <v>3411</v>
      </c>
      <c r="X2913" t="s">
        <v>5157</v>
      </c>
      <c r="Z2913">
        <v>100101873</v>
      </c>
      <c r="AA2913" t="s">
        <v>7076</v>
      </c>
      <c r="AB2913" t="s">
        <v>5692</v>
      </c>
      <c r="AD2913" t="s">
        <v>5157</v>
      </c>
      <c r="AF2913" t="s">
        <v>23554</v>
      </c>
      <c r="AG2913" t="s">
        <v>23555</v>
      </c>
      <c r="AI2913" t="s">
        <v>23556</v>
      </c>
      <c r="AM2913" t="s">
        <v>5158</v>
      </c>
      <c r="AN2913" t="s">
        <v>2059</v>
      </c>
      <c r="AO2913" t="s">
        <v>23557</v>
      </c>
      <c r="AP2913" t="s">
        <v>7024</v>
      </c>
      <c r="AQ2913" t="s">
        <v>23558</v>
      </c>
      <c r="AR2913" t="s">
        <v>23559</v>
      </c>
      <c r="AT2913" s="184">
        <v>37889</v>
      </c>
      <c r="AU2913" t="s">
        <v>23560</v>
      </c>
      <c r="AV2913">
        <v>35</v>
      </c>
      <c r="AW2913" s="184">
        <v>44392</v>
      </c>
      <c r="AX2913" t="s">
        <v>23561</v>
      </c>
      <c r="AY2913">
        <v>45</v>
      </c>
      <c r="AZ2913" s="184">
        <v>40449</v>
      </c>
      <c r="BA2913" t="s">
        <v>23562</v>
      </c>
      <c r="BB2913">
        <v>95</v>
      </c>
      <c r="BC2913">
        <v>87</v>
      </c>
      <c r="BD2913">
        <v>1963</v>
      </c>
      <c r="BE2913">
        <v>2004</v>
      </c>
      <c r="BF2913">
        <v>42</v>
      </c>
      <c r="BI2913">
        <v>19</v>
      </c>
      <c r="BJ2913">
        <v>22</v>
      </c>
      <c r="BK2913">
        <v>19</v>
      </c>
      <c r="BP2913" s="184"/>
    </row>
    <row r="2914" spans="1:68">
      <c r="A2914">
        <v>100101873</v>
      </c>
      <c r="B2914">
        <v>36349082</v>
      </c>
      <c r="C2914" t="s">
        <v>7018</v>
      </c>
      <c r="E2914" s="184"/>
      <c r="G2914" s="184"/>
      <c r="H2914" t="s">
        <v>595</v>
      </c>
      <c r="I2914" s="184">
        <v>44537</v>
      </c>
      <c r="J2914" t="s">
        <v>595</v>
      </c>
      <c r="K2914" s="184">
        <v>44167</v>
      </c>
      <c r="M2914" s="184"/>
      <c r="O2914" s="184"/>
      <c r="P2914" t="s">
        <v>7045</v>
      </c>
      <c r="Q2914" t="s">
        <v>7383</v>
      </c>
      <c r="R2914" s="184">
        <v>22274</v>
      </c>
      <c r="S2914">
        <v>63</v>
      </c>
      <c r="U2914" t="s">
        <v>7076</v>
      </c>
      <c r="V2914" t="s">
        <v>5692</v>
      </c>
      <c r="X2914" t="s">
        <v>5157</v>
      </c>
      <c r="Z2914">
        <v>36349082</v>
      </c>
      <c r="AB2914" t="s">
        <v>3411</v>
      </c>
      <c r="AD2914" t="s">
        <v>5157</v>
      </c>
      <c r="AF2914" t="s">
        <v>23554</v>
      </c>
      <c r="AG2914" t="s">
        <v>23555</v>
      </c>
      <c r="AI2914" t="s">
        <v>23556</v>
      </c>
      <c r="AM2914" t="s">
        <v>5158</v>
      </c>
      <c r="AN2914" t="s">
        <v>2059</v>
      </c>
      <c r="AO2914" t="s">
        <v>23557</v>
      </c>
      <c r="AP2914" t="s">
        <v>7024</v>
      </c>
      <c r="AQ2914" t="s">
        <v>23558</v>
      </c>
      <c r="AT2914" s="184">
        <v>44926</v>
      </c>
      <c r="AU2914" t="s">
        <v>13849</v>
      </c>
      <c r="AV2914">
        <v>85</v>
      </c>
      <c r="AW2914" s="184">
        <v>44926</v>
      </c>
      <c r="AX2914" t="s">
        <v>13849</v>
      </c>
      <c r="AY2914">
        <v>85</v>
      </c>
      <c r="AZ2914" s="184">
        <v>44926</v>
      </c>
      <c r="BA2914" t="s">
        <v>13849</v>
      </c>
      <c r="BB2914">
        <v>85</v>
      </c>
      <c r="BC2914">
        <v>34</v>
      </c>
      <c r="BD2914">
        <v>85</v>
      </c>
      <c r="BE2914">
        <v>2023</v>
      </c>
      <c r="BF2914">
        <v>1</v>
      </c>
      <c r="BG2914">
        <v>1</v>
      </c>
      <c r="BH2914">
        <v>85</v>
      </c>
      <c r="BI2914">
        <v>1</v>
      </c>
      <c r="BJ2914">
        <v>3</v>
      </c>
      <c r="BK2914">
        <v>1</v>
      </c>
      <c r="BP2914" s="184"/>
    </row>
    <row r="2915" spans="1:68">
      <c r="A2915">
        <v>36366946</v>
      </c>
      <c r="B2915">
        <v>36366946</v>
      </c>
      <c r="C2915" t="s">
        <v>7018</v>
      </c>
      <c r="D2915" t="s">
        <v>595</v>
      </c>
      <c r="E2915" s="184">
        <v>44104</v>
      </c>
      <c r="G2915" s="184"/>
      <c r="I2915" s="184"/>
      <c r="K2915" s="184"/>
      <c r="M2915" s="184"/>
      <c r="O2915" s="184"/>
      <c r="P2915" t="s">
        <v>7045</v>
      </c>
      <c r="Q2915" t="s">
        <v>7383</v>
      </c>
      <c r="R2915" s="184">
        <v>14246</v>
      </c>
      <c r="S2915">
        <v>85</v>
      </c>
      <c r="V2915" t="s">
        <v>22421</v>
      </c>
      <c r="X2915" t="s">
        <v>23563</v>
      </c>
      <c r="AF2915" t="s">
        <v>23564</v>
      </c>
      <c r="AG2915" t="s">
        <v>22421</v>
      </c>
      <c r="AI2915" t="s">
        <v>23565</v>
      </c>
      <c r="AM2915" t="s">
        <v>23566</v>
      </c>
      <c r="AN2915" t="s">
        <v>2059</v>
      </c>
      <c r="AO2915" t="s">
        <v>23567</v>
      </c>
      <c r="AP2915" t="s">
        <v>7024</v>
      </c>
      <c r="AT2915" s="184">
        <v>37897</v>
      </c>
      <c r="AU2915" t="s">
        <v>23568</v>
      </c>
      <c r="AV2915">
        <v>25</v>
      </c>
      <c r="AW2915" s="184">
        <v>45380</v>
      </c>
      <c r="AX2915" t="s">
        <v>23569</v>
      </c>
      <c r="AY2915">
        <v>150</v>
      </c>
      <c r="AZ2915" s="184">
        <v>45380</v>
      </c>
      <c r="BA2915" t="s">
        <v>23569</v>
      </c>
      <c r="BB2915">
        <v>150</v>
      </c>
      <c r="BC2915">
        <v>100</v>
      </c>
      <c r="BD2915">
        <v>4250</v>
      </c>
      <c r="BE2915">
        <v>2004</v>
      </c>
      <c r="BF2915">
        <v>58</v>
      </c>
      <c r="BG2915">
        <v>4</v>
      </c>
      <c r="BH2915">
        <v>600</v>
      </c>
      <c r="BI2915">
        <v>22</v>
      </c>
      <c r="BJ2915">
        <v>22</v>
      </c>
      <c r="BK2915">
        <v>22</v>
      </c>
      <c r="BP2915" s="184"/>
    </row>
    <row r="2916" spans="1:68">
      <c r="A2916">
        <v>36370674</v>
      </c>
      <c r="B2916">
        <v>36370674</v>
      </c>
      <c r="C2916" t="s">
        <v>7018</v>
      </c>
      <c r="E2916" s="184"/>
      <c r="G2916" s="184"/>
      <c r="I2916" s="184"/>
      <c r="J2916" t="s">
        <v>595</v>
      </c>
      <c r="K2916" s="184">
        <v>43908</v>
      </c>
      <c r="M2916" s="184"/>
      <c r="P2916" t="s">
        <v>7045</v>
      </c>
      <c r="Q2916" t="s">
        <v>7020</v>
      </c>
      <c r="R2916" s="184">
        <v>17178</v>
      </c>
      <c r="S2916">
        <v>77</v>
      </c>
      <c r="V2916" t="s">
        <v>2718</v>
      </c>
      <c r="W2916" t="s">
        <v>7355</v>
      </c>
      <c r="X2916" t="s">
        <v>3475</v>
      </c>
      <c r="AF2916" t="s">
        <v>23570</v>
      </c>
      <c r="AG2916" t="s">
        <v>2718</v>
      </c>
      <c r="AI2916" t="s">
        <v>23571</v>
      </c>
      <c r="AM2916" t="s">
        <v>14076</v>
      </c>
      <c r="AN2916" t="s">
        <v>2129</v>
      </c>
      <c r="AO2916" t="s">
        <v>23572</v>
      </c>
      <c r="AP2916" t="s">
        <v>7024</v>
      </c>
      <c r="AT2916" s="184">
        <v>37900</v>
      </c>
      <c r="AU2916" t="s">
        <v>23573</v>
      </c>
      <c r="AV2916">
        <v>5</v>
      </c>
      <c r="AW2916" s="184">
        <v>45387</v>
      </c>
      <c r="AX2916" t="s">
        <v>23574</v>
      </c>
      <c r="AY2916">
        <v>25</v>
      </c>
      <c r="AZ2916" s="184">
        <v>45387</v>
      </c>
      <c r="BA2916" t="s">
        <v>23574</v>
      </c>
      <c r="BB2916">
        <v>25</v>
      </c>
      <c r="BC2916">
        <v>73</v>
      </c>
      <c r="BD2916">
        <v>300</v>
      </c>
      <c r="BE2916">
        <v>2004</v>
      </c>
      <c r="BF2916">
        <v>20</v>
      </c>
      <c r="BG2916">
        <v>1</v>
      </c>
      <c r="BH2916">
        <v>25</v>
      </c>
      <c r="BI2916">
        <v>16</v>
      </c>
      <c r="BJ2916">
        <v>22</v>
      </c>
      <c r="BK2916">
        <v>10</v>
      </c>
    </row>
    <row r="2917" spans="1:68">
      <c r="A2917">
        <v>36379857</v>
      </c>
      <c r="B2917">
        <v>36379857</v>
      </c>
      <c r="C2917" t="s">
        <v>7018</v>
      </c>
      <c r="D2917" t="s">
        <v>595</v>
      </c>
      <c r="E2917" s="184">
        <v>44167</v>
      </c>
      <c r="G2917" s="184"/>
      <c r="I2917" s="184"/>
      <c r="K2917" s="184"/>
      <c r="P2917" t="s">
        <v>7045</v>
      </c>
      <c r="Q2917" t="s">
        <v>7194</v>
      </c>
      <c r="R2917" s="184">
        <v>16237</v>
      </c>
      <c r="S2917">
        <v>79</v>
      </c>
      <c r="U2917" t="s">
        <v>7076</v>
      </c>
      <c r="V2917" t="s">
        <v>3179</v>
      </c>
      <c r="X2917" t="s">
        <v>23575</v>
      </c>
      <c r="AF2917" t="s">
        <v>23576</v>
      </c>
      <c r="AG2917" t="s">
        <v>3179</v>
      </c>
      <c r="AI2917" t="s">
        <v>23577</v>
      </c>
      <c r="AM2917" t="s">
        <v>23578</v>
      </c>
      <c r="AN2917" t="s">
        <v>2046</v>
      </c>
      <c r="AO2917" t="s">
        <v>23579</v>
      </c>
      <c r="AP2917" t="s">
        <v>7024</v>
      </c>
      <c r="AQ2917" t="s">
        <v>23580</v>
      </c>
      <c r="AT2917" s="184">
        <v>37900</v>
      </c>
      <c r="AU2917" t="s">
        <v>23581</v>
      </c>
      <c r="AV2917">
        <v>25</v>
      </c>
      <c r="AW2917" s="184">
        <v>42093</v>
      </c>
      <c r="AX2917" t="s">
        <v>23582</v>
      </c>
      <c r="AY2917">
        <v>50</v>
      </c>
      <c r="AZ2917" s="184">
        <v>42093</v>
      </c>
      <c r="BA2917" t="s">
        <v>23582</v>
      </c>
      <c r="BB2917">
        <v>50</v>
      </c>
      <c r="BC2917">
        <v>28</v>
      </c>
      <c r="BD2917">
        <v>220</v>
      </c>
      <c r="BE2917">
        <v>2004</v>
      </c>
      <c r="BF2917">
        <v>8</v>
      </c>
      <c r="BI2917">
        <v>6</v>
      </c>
      <c r="BJ2917">
        <v>22</v>
      </c>
      <c r="BK2917">
        <v>3</v>
      </c>
      <c r="BN2917" t="s">
        <v>595</v>
      </c>
      <c r="BP2917" s="184"/>
    </row>
    <row r="2918" spans="1:68">
      <c r="A2918">
        <v>36404085</v>
      </c>
      <c r="B2918">
        <v>36404085</v>
      </c>
      <c r="C2918" t="s">
        <v>7018</v>
      </c>
      <c r="D2918" t="s">
        <v>595</v>
      </c>
      <c r="E2918" s="184">
        <v>43861</v>
      </c>
      <c r="G2918" s="184"/>
      <c r="I2918" s="184"/>
      <c r="K2918" s="184"/>
      <c r="P2918" t="s">
        <v>7045</v>
      </c>
      <c r="Q2918" t="s">
        <v>7194</v>
      </c>
      <c r="R2918" s="184">
        <v>13348</v>
      </c>
      <c r="S2918">
        <v>87</v>
      </c>
      <c r="V2918" t="s">
        <v>3411</v>
      </c>
      <c r="X2918" t="s">
        <v>4584</v>
      </c>
      <c r="Z2918">
        <v>100102118</v>
      </c>
      <c r="AB2918" t="s">
        <v>3409</v>
      </c>
      <c r="AD2918" t="s">
        <v>4584</v>
      </c>
      <c r="AF2918" t="s">
        <v>23583</v>
      </c>
      <c r="AG2918" t="s">
        <v>23584</v>
      </c>
      <c r="AI2918" t="s">
        <v>23585</v>
      </c>
      <c r="AM2918" t="s">
        <v>22364</v>
      </c>
      <c r="AN2918" t="s">
        <v>2046</v>
      </c>
      <c r="AO2918" t="s">
        <v>23586</v>
      </c>
      <c r="AP2918" t="s">
        <v>7024</v>
      </c>
      <c r="AT2918" s="184">
        <v>37904</v>
      </c>
      <c r="AU2918" t="s">
        <v>23587</v>
      </c>
      <c r="AV2918">
        <v>25</v>
      </c>
      <c r="AW2918" s="184">
        <v>43567</v>
      </c>
      <c r="AX2918" t="s">
        <v>11863</v>
      </c>
      <c r="AY2918">
        <v>15</v>
      </c>
      <c r="AZ2918" s="184">
        <v>41261</v>
      </c>
      <c r="BA2918" t="s">
        <v>23588</v>
      </c>
      <c r="BB2918">
        <v>25</v>
      </c>
      <c r="BC2918">
        <v>46</v>
      </c>
      <c r="BD2918">
        <v>970</v>
      </c>
      <c r="BE2918">
        <v>2004</v>
      </c>
      <c r="BF2918">
        <v>75</v>
      </c>
      <c r="BI2918">
        <v>10</v>
      </c>
      <c r="BJ2918">
        <v>22</v>
      </c>
      <c r="BK2918">
        <v>9</v>
      </c>
      <c r="BP2918" s="184"/>
    </row>
    <row r="2919" spans="1:68">
      <c r="A2919">
        <v>100102118</v>
      </c>
      <c r="B2919">
        <v>36404085</v>
      </c>
      <c r="C2919" t="s">
        <v>7018</v>
      </c>
      <c r="D2919" t="s">
        <v>595</v>
      </c>
      <c r="E2919" s="184">
        <v>43861</v>
      </c>
      <c r="G2919" s="184"/>
      <c r="I2919" s="184"/>
      <c r="K2919" s="184"/>
      <c r="M2919" s="184"/>
      <c r="O2919" s="184"/>
      <c r="P2919" t="s">
        <v>7045</v>
      </c>
      <c r="Q2919" t="s">
        <v>7194</v>
      </c>
      <c r="R2919" s="184">
        <v>16348</v>
      </c>
      <c r="S2919">
        <v>79</v>
      </c>
      <c r="V2919" t="s">
        <v>3409</v>
      </c>
      <c r="X2919" t="s">
        <v>4584</v>
      </c>
      <c r="Z2919">
        <v>36404085</v>
      </c>
      <c r="AB2919" t="s">
        <v>3411</v>
      </c>
      <c r="AD2919" t="s">
        <v>4584</v>
      </c>
      <c r="AF2919" t="s">
        <v>23583</v>
      </c>
      <c r="AG2919" t="s">
        <v>23584</v>
      </c>
      <c r="AI2919" t="s">
        <v>23585</v>
      </c>
      <c r="AM2919" t="s">
        <v>22364</v>
      </c>
      <c r="AN2919" t="s">
        <v>2046</v>
      </c>
      <c r="AO2919" t="s">
        <v>23586</v>
      </c>
      <c r="AP2919" t="s">
        <v>7024</v>
      </c>
      <c r="AQ2919" t="s">
        <v>23589</v>
      </c>
      <c r="AR2919" t="s">
        <v>23590</v>
      </c>
      <c r="AT2919" s="184">
        <v>43597</v>
      </c>
      <c r="AU2919" t="s">
        <v>11866</v>
      </c>
      <c r="AV2919">
        <v>15</v>
      </c>
      <c r="AW2919" s="184">
        <v>44825</v>
      </c>
      <c r="AX2919" t="s">
        <v>8735</v>
      </c>
      <c r="AY2919">
        <v>15</v>
      </c>
      <c r="AZ2919" s="184">
        <v>44825</v>
      </c>
      <c r="BA2919" t="s">
        <v>8735</v>
      </c>
      <c r="BB2919">
        <v>15</v>
      </c>
      <c r="BC2919">
        <v>67</v>
      </c>
      <c r="BD2919">
        <v>600</v>
      </c>
      <c r="BE2919">
        <v>2019</v>
      </c>
      <c r="BF2919">
        <v>40</v>
      </c>
      <c r="BG2919">
        <v>4</v>
      </c>
      <c r="BH2919">
        <v>60</v>
      </c>
      <c r="BI2919">
        <v>4</v>
      </c>
      <c r="BJ2919">
        <v>6</v>
      </c>
      <c r="BK2919">
        <v>4</v>
      </c>
      <c r="BP2919" s="184"/>
    </row>
    <row r="2920" spans="1:68">
      <c r="A2920">
        <v>36406189</v>
      </c>
      <c r="B2920">
        <v>36406189</v>
      </c>
      <c r="C2920" t="s">
        <v>7018</v>
      </c>
      <c r="D2920" t="s">
        <v>595</v>
      </c>
      <c r="E2920" s="184">
        <v>44104</v>
      </c>
      <c r="G2920" s="184"/>
      <c r="I2920" s="184"/>
      <c r="K2920" s="184"/>
      <c r="M2920" s="184"/>
      <c r="O2920" s="184"/>
      <c r="P2920" t="s">
        <v>7045</v>
      </c>
      <c r="Q2920" t="s">
        <v>7454</v>
      </c>
      <c r="R2920" s="184">
        <v>15774</v>
      </c>
      <c r="S2920">
        <v>81</v>
      </c>
      <c r="U2920" t="s">
        <v>7130</v>
      </c>
      <c r="V2920" t="s">
        <v>3184</v>
      </c>
      <c r="W2920" t="s">
        <v>2049</v>
      </c>
      <c r="X2920" t="s">
        <v>2661</v>
      </c>
      <c r="AF2920" t="s">
        <v>23591</v>
      </c>
      <c r="AG2920" t="s">
        <v>3184</v>
      </c>
      <c r="AI2920" t="s">
        <v>23592</v>
      </c>
      <c r="AM2920" t="s">
        <v>23593</v>
      </c>
      <c r="AN2920" t="s">
        <v>2055</v>
      </c>
      <c r="AO2920" t="s">
        <v>23594</v>
      </c>
      <c r="AP2920" t="s">
        <v>7024</v>
      </c>
      <c r="AQ2920" t="s">
        <v>23595</v>
      </c>
      <c r="AT2920" s="184">
        <v>37907</v>
      </c>
      <c r="AU2920" t="s">
        <v>23596</v>
      </c>
      <c r="AV2920">
        <v>15</v>
      </c>
      <c r="AW2920" s="184">
        <v>45376</v>
      </c>
      <c r="AX2920" t="s">
        <v>8490</v>
      </c>
      <c r="AY2920">
        <v>100</v>
      </c>
      <c r="AZ2920" s="184">
        <v>45376</v>
      </c>
      <c r="BA2920" t="s">
        <v>8490</v>
      </c>
      <c r="BB2920">
        <v>100</v>
      </c>
      <c r="BC2920">
        <v>50</v>
      </c>
      <c r="BD2920">
        <v>1790</v>
      </c>
      <c r="BE2920">
        <v>2004</v>
      </c>
      <c r="BF2920">
        <v>24</v>
      </c>
      <c r="BG2920">
        <v>6</v>
      </c>
      <c r="BH2920">
        <v>600</v>
      </c>
      <c r="BI2920">
        <v>11</v>
      </c>
      <c r="BJ2920">
        <v>22</v>
      </c>
      <c r="BK2920">
        <v>10</v>
      </c>
      <c r="BP2920" s="184"/>
    </row>
    <row r="2921" spans="1:68">
      <c r="A2921">
        <v>36418614</v>
      </c>
      <c r="B2921">
        <v>36418614</v>
      </c>
      <c r="C2921" t="s">
        <v>7018</v>
      </c>
      <c r="E2921" s="184"/>
      <c r="F2921" t="s">
        <v>595</v>
      </c>
      <c r="G2921" s="184">
        <v>44104</v>
      </c>
      <c r="I2921" s="184"/>
      <c r="K2921" s="184"/>
      <c r="M2921" s="184"/>
      <c r="O2921" s="184"/>
      <c r="P2921" t="s">
        <v>7045</v>
      </c>
      <c r="Q2921" t="s">
        <v>7494</v>
      </c>
      <c r="R2921" s="184">
        <v>15919</v>
      </c>
      <c r="S2921">
        <v>80</v>
      </c>
      <c r="V2921" t="s">
        <v>4800</v>
      </c>
      <c r="X2921" t="s">
        <v>23597</v>
      </c>
      <c r="Z2921">
        <v>100102199</v>
      </c>
      <c r="AB2921" t="s">
        <v>4847</v>
      </c>
      <c r="AD2921" t="s">
        <v>23597</v>
      </c>
      <c r="AF2921" t="s">
        <v>23598</v>
      </c>
      <c r="AG2921" t="s">
        <v>23599</v>
      </c>
      <c r="AI2921" t="s">
        <v>23600</v>
      </c>
      <c r="AM2921" t="s">
        <v>23601</v>
      </c>
      <c r="AN2921" t="s">
        <v>2174</v>
      </c>
      <c r="AO2921" t="s">
        <v>23602</v>
      </c>
      <c r="AP2921" t="s">
        <v>7024</v>
      </c>
      <c r="AQ2921" t="s">
        <v>23603</v>
      </c>
      <c r="AT2921" s="184">
        <v>37909</v>
      </c>
      <c r="AU2921" t="s">
        <v>23604</v>
      </c>
      <c r="AV2921">
        <v>15</v>
      </c>
      <c r="AW2921" s="184">
        <v>44890</v>
      </c>
      <c r="AX2921" t="s">
        <v>23605</v>
      </c>
      <c r="AY2921">
        <v>25</v>
      </c>
      <c r="AZ2921" s="184">
        <v>40171</v>
      </c>
      <c r="BA2921" t="s">
        <v>23606</v>
      </c>
      <c r="BB2921">
        <v>30</v>
      </c>
      <c r="BC2921">
        <v>87</v>
      </c>
      <c r="BD2921">
        <v>990</v>
      </c>
      <c r="BE2921">
        <v>2004</v>
      </c>
      <c r="BF2921">
        <v>41</v>
      </c>
      <c r="BG2921">
        <v>1</v>
      </c>
      <c r="BH2921">
        <v>25</v>
      </c>
      <c r="BI2921">
        <v>19</v>
      </c>
      <c r="BJ2921">
        <v>22</v>
      </c>
      <c r="BK2921">
        <v>11</v>
      </c>
      <c r="BP2921" s="184"/>
    </row>
    <row r="2922" spans="1:68">
      <c r="A2922">
        <v>100102199</v>
      </c>
      <c r="B2922">
        <v>36418614</v>
      </c>
      <c r="C2922" t="s">
        <v>7018</v>
      </c>
      <c r="E2922" s="184"/>
      <c r="F2922" t="s">
        <v>595</v>
      </c>
      <c r="G2922" s="184">
        <v>44104</v>
      </c>
      <c r="I2922" s="184"/>
      <c r="K2922" s="184"/>
      <c r="M2922" s="184"/>
      <c r="O2922" s="184"/>
      <c r="P2922" t="s">
        <v>7045</v>
      </c>
      <c r="Q2922" t="s">
        <v>7494</v>
      </c>
      <c r="R2922" s="184">
        <v>15031</v>
      </c>
      <c r="S2922">
        <v>83</v>
      </c>
      <c r="V2922" t="s">
        <v>4847</v>
      </c>
      <c r="X2922" t="s">
        <v>23597</v>
      </c>
      <c r="Z2922">
        <v>36418614</v>
      </c>
      <c r="AB2922" t="s">
        <v>4800</v>
      </c>
      <c r="AD2922" t="s">
        <v>23597</v>
      </c>
      <c r="AF2922" t="s">
        <v>23598</v>
      </c>
      <c r="AG2922" t="s">
        <v>23599</v>
      </c>
      <c r="AI2922" t="s">
        <v>23600</v>
      </c>
      <c r="AM2922" t="s">
        <v>23601</v>
      </c>
      <c r="AN2922" t="s">
        <v>2174</v>
      </c>
      <c r="AO2922" t="s">
        <v>23602</v>
      </c>
      <c r="AP2922" t="s">
        <v>7024</v>
      </c>
      <c r="AT2922" s="184"/>
      <c r="AW2922" s="184"/>
      <c r="AZ2922" s="184"/>
      <c r="BP2922" s="184"/>
    </row>
    <row r="2923" spans="1:68">
      <c r="A2923">
        <v>36426211</v>
      </c>
      <c r="B2923">
        <v>36426211</v>
      </c>
      <c r="C2923" t="s">
        <v>7018</v>
      </c>
      <c r="D2923" t="s">
        <v>595</v>
      </c>
      <c r="E2923" s="184">
        <v>43607</v>
      </c>
      <c r="G2923" s="184"/>
      <c r="I2923" s="184"/>
      <c r="K2923" s="184"/>
      <c r="M2923" s="184"/>
      <c r="P2923" t="s">
        <v>7045</v>
      </c>
      <c r="Q2923" t="s">
        <v>7374</v>
      </c>
      <c r="R2923" s="184">
        <v>23559</v>
      </c>
      <c r="S2923">
        <v>59</v>
      </c>
      <c r="U2923" t="s">
        <v>7031</v>
      </c>
      <c r="V2923" t="s">
        <v>2871</v>
      </c>
      <c r="W2923" t="s">
        <v>205</v>
      </c>
      <c r="X2923" t="s">
        <v>23607</v>
      </c>
      <c r="Z2923">
        <v>100102237</v>
      </c>
      <c r="AA2923" t="s">
        <v>7076</v>
      </c>
      <c r="AB2923" t="s">
        <v>23608</v>
      </c>
      <c r="AD2923" t="s">
        <v>23609</v>
      </c>
      <c r="AF2923" t="s">
        <v>23610</v>
      </c>
      <c r="AG2923" t="s">
        <v>23611</v>
      </c>
      <c r="AI2923" t="s">
        <v>23612</v>
      </c>
      <c r="AM2923" t="s">
        <v>2534</v>
      </c>
      <c r="AN2923" t="s">
        <v>2081</v>
      </c>
      <c r="AO2923" t="s">
        <v>23613</v>
      </c>
      <c r="AP2923" t="s">
        <v>7024</v>
      </c>
      <c r="AQ2923" t="s">
        <v>23614</v>
      </c>
      <c r="AR2923" t="s">
        <v>23615</v>
      </c>
      <c r="AT2923" s="184">
        <v>38182</v>
      </c>
      <c r="AU2923" t="s">
        <v>23616</v>
      </c>
      <c r="AV2923">
        <v>10000</v>
      </c>
      <c r="AW2923" s="184">
        <v>43474</v>
      </c>
      <c r="AX2923" t="s">
        <v>23617</v>
      </c>
      <c r="AY2923">
        <v>5000</v>
      </c>
      <c r="AZ2923" s="184">
        <v>39461</v>
      </c>
      <c r="BA2923" t="s">
        <v>23618</v>
      </c>
      <c r="BB2923">
        <v>20000</v>
      </c>
      <c r="BC2923">
        <v>58</v>
      </c>
      <c r="BD2923">
        <v>134000</v>
      </c>
      <c r="BE2923">
        <v>2005</v>
      </c>
      <c r="BF2923">
        <v>16</v>
      </c>
      <c r="BI2923">
        <v>12</v>
      </c>
      <c r="BJ2923">
        <v>21</v>
      </c>
      <c r="BK2923">
        <v>4</v>
      </c>
      <c r="BN2923" t="s">
        <v>595</v>
      </c>
      <c r="BP2923" s="184"/>
    </row>
    <row r="2924" spans="1:68">
      <c r="A2924">
        <v>36441848</v>
      </c>
      <c r="B2924">
        <v>36441848</v>
      </c>
      <c r="C2924" t="s">
        <v>7018</v>
      </c>
      <c r="E2924" s="184"/>
      <c r="F2924" t="s">
        <v>595</v>
      </c>
      <c r="G2924" s="184">
        <v>43669</v>
      </c>
      <c r="I2924" s="184"/>
      <c r="K2924" s="184"/>
      <c r="M2924" s="184"/>
      <c r="O2924" s="184"/>
      <c r="P2924" t="s">
        <v>7045</v>
      </c>
      <c r="Q2924" t="s">
        <v>7383</v>
      </c>
      <c r="R2924" s="184">
        <v>17685</v>
      </c>
      <c r="S2924">
        <v>75</v>
      </c>
      <c r="U2924" t="s">
        <v>7130</v>
      </c>
      <c r="V2924" t="s">
        <v>3593</v>
      </c>
      <c r="X2924" t="s">
        <v>3669</v>
      </c>
      <c r="AF2924" t="s">
        <v>23619</v>
      </c>
      <c r="AG2924" t="s">
        <v>3593</v>
      </c>
      <c r="AI2924" t="s">
        <v>23620</v>
      </c>
      <c r="AM2924" t="s">
        <v>3308</v>
      </c>
      <c r="AN2924" t="s">
        <v>2144</v>
      </c>
      <c r="AO2924" t="s">
        <v>23621</v>
      </c>
      <c r="AP2924" t="s">
        <v>7024</v>
      </c>
      <c r="AQ2924" t="s">
        <v>23622</v>
      </c>
      <c r="AT2924" s="184">
        <v>37916</v>
      </c>
      <c r="AU2924" t="s">
        <v>23604</v>
      </c>
      <c r="AV2924">
        <v>20</v>
      </c>
      <c r="AW2924" s="184">
        <v>44624</v>
      </c>
      <c r="AX2924" t="s">
        <v>23623</v>
      </c>
      <c r="AY2924">
        <v>50</v>
      </c>
      <c r="AZ2924" s="184">
        <v>43336</v>
      </c>
      <c r="BA2924" t="s">
        <v>23624</v>
      </c>
      <c r="BB2924">
        <v>55</v>
      </c>
      <c r="BC2924">
        <v>82</v>
      </c>
      <c r="BD2924">
        <v>1100</v>
      </c>
      <c r="BE2924">
        <v>2004</v>
      </c>
      <c r="BF2924">
        <v>32</v>
      </c>
      <c r="BI2924">
        <v>18</v>
      </c>
      <c r="BJ2924">
        <v>22</v>
      </c>
      <c r="BK2924">
        <v>14</v>
      </c>
      <c r="BP2924" s="184"/>
    </row>
    <row r="2925" spans="1:68">
      <c r="A2925">
        <v>36451995</v>
      </c>
      <c r="B2925">
        <v>36451995</v>
      </c>
      <c r="C2925" t="s">
        <v>7018</v>
      </c>
      <c r="D2925" t="s">
        <v>595</v>
      </c>
      <c r="E2925" s="184">
        <v>43642</v>
      </c>
      <c r="G2925" s="184"/>
      <c r="I2925" s="184"/>
      <c r="K2925" s="184"/>
      <c r="M2925" s="184"/>
      <c r="O2925" s="184"/>
      <c r="P2925" t="s">
        <v>7045</v>
      </c>
      <c r="Q2925" t="s">
        <v>7262</v>
      </c>
      <c r="R2925" s="184">
        <v>15057</v>
      </c>
      <c r="S2925">
        <v>83</v>
      </c>
      <c r="U2925" t="s">
        <v>7130</v>
      </c>
      <c r="V2925" t="s">
        <v>3350</v>
      </c>
      <c r="X2925" t="s">
        <v>3351</v>
      </c>
      <c r="AF2925" t="s">
        <v>23625</v>
      </c>
      <c r="AG2925" t="s">
        <v>3350</v>
      </c>
      <c r="AI2925" t="s">
        <v>23626</v>
      </c>
      <c r="AM2925" t="s">
        <v>3352</v>
      </c>
      <c r="AN2925" t="s">
        <v>2106</v>
      </c>
      <c r="AO2925" t="s">
        <v>23627</v>
      </c>
      <c r="AP2925" t="s">
        <v>7024</v>
      </c>
      <c r="AQ2925" t="s">
        <v>23628</v>
      </c>
      <c r="AR2925" t="s">
        <v>23629</v>
      </c>
      <c r="AT2925" s="184">
        <v>37921</v>
      </c>
      <c r="AU2925" t="s">
        <v>23630</v>
      </c>
      <c r="AV2925">
        <v>20</v>
      </c>
      <c r="AW2925" s="184">
        <v>45309</v>
      </c>
      <c r="AX2925" t="s">
        <v>14629</v>
      </c>
      <c r="AY2925">
        <v>36.75</v>
      </c>
      <c r="AZ2925" s="184">
        <v>41778</v>
      </c>
      <c r="BA2925" t="s">
        <v>23631</v>
      </c>
      <c r="BB2925">
        <v>100</v>
      </c>
      <c r="BC2925">
        <v>91</v>
      </c>
      <c r="BD2925">
        <v>1616.75</v>
      </c>
      <c r="BE2925">
        <v>2004</v>
      </c>
      <c r="BF2925">
        <v>41</v>
      </c>
      <c r="BG2925">
        <v>1</v>
      </c>
      <c r="BH2925">
        <v>36.75</v>
      </c>
      <c r="BI2925">
        <v>20</v>
      </c>
      <c r="BJ2925">
        <v>22</v>
      </c>
      <c r="BK2925">
        <v>19</v>
      </c>
      <c r="BP2925" s="184"/>
    </row>
    <row r="2926" spans="1:68">
      <c r="A2926">
        <v>36483915</v>
      </c>
      <c r="B2926">
        <v>36483915</v>
      </c>
      <c r="C2926" t="s">
        <v>7018</v>
      </c>
      <c r="D2926" t="s">
        <v>595</v>
      </c>
      <c r="E2926" s="184">
        <v>44414</v>
      </c>
      <c r="G2926" s="184"/>
      <c r="I2926" s="184"/>
      <c r="K2926" s="184"/>
      <c r="M2926" s="184"/>
      <c r="O2926" s="184"/>
      <c r="P2926" t="s">
        <v>7045</v>
      </c>
      <c r="Q2926" t="s">
        <v>7383</v>
      </c>
      <c r="R2926" s="184">
        <v>19995</v>
      </c>
      <c r="S2926">
        <v>69</v>
      </c>
      <c r="U2926" t="s">
        <v>7076</v>
      </c>
      <c r="V2926" t="s">
        <v>20180</v>
      </c>
      <c r="W2926" t="s">
        <v>7396</v>
      </c>
      <c r="X2926" t="s">
        <v>23632</v>
      </c>
      <c r="AF2926" t="s">
        <v>23633</v>
      </c>
      <c r="AG2926" t="s">
        <v>20180</v>
      </c>
      <c r="AI2926" t="s">
        <v>23634</v>
      </c>
      <c r="AM2926" t="s">
        <v>5585</v>
      </c>
      <c r="AN2926" t="s">
        <v>2274</v>
      </c>
      <c r="AO2926" t="s">
        <v>23635</v>
      </c>
      <c r="AP2926" t="s">
        <v>7024</v>
      </c>
      <c r="AT2926" s="184">
        <v>37928</v>
      </c>
      <c r="AU2926" t="s">
        <v>23636</v>
      </c>
      <c r="AV2926">
        <v>10</v>
      </c>
      <c r="AW2926" s="184">
        <v>43472</v>
      </c>
      <c r="AX2926" t="s">
        <v>23637</v>
      </c>
      <c r="AY2926">
        <v>100</v>
      </c>
      <c r="AZ2926" s="184">
        <v>43472</v>
      </c>
      <c r="BA2926" t="s">
        <v>23637</v>
      </c>
      <c r="BB2926">
        <v>100</v>
      </c>
      <c r="BC2926">
        <v>28</v>
      </c>
      <c r="BD2926">
        <v>254.97</v>
      </c>
      <c r="BE2926">
        <v>2004</v>
      </c>
      <c r="BF2926">
        <v>6</v>
      </c>
      <c r="BI2926">
        <v>6</v>
      </c>
      <c r="BJ2926">
        <v>22</v>
      </c>
      <c r="BK2926">
        <v>2</v>
      </c>
      <c r="BP2926" s="184"/>
    </row>
    <row r="2927" spans="1:68">
      <c r="A2927">
        <v>36484863</v>
      </c>
      <c r="B2927">
        <v>36484863</v>
      </c>
      <c r="C2927" t="s">
        <v>7018</v>
      </c>
      <c r="E2927" s="184"/>
      <c r="G2927" s="184"/>
      <c r="H2927" t="s">
        <v>595</v>
      </c>
      <c r="I2927" s="184">
        <v>44167</v>
      </c>
      <c r="K2927" s="184"/>
      <c r="M2927" s="184"/>
      <c r="O2927" s="184"/>
      <c r="P2927" t="s">
        <v>7045</v>
      </c>
      <c r="Q2927" t="s">
        <v>7030</v>
      </c>
      <c r="R2927" s="184">
        <v>14284</v>
      </c>
      <c r="S2927">
        <v>85</v>
      </c>
      <c r="U2927" t="s">
        <v>7031</v>
      </c>
      <c r="V2927" t="s">
        <v>2541</v>
      </c>
      <c r="W2927" t="s">
        <v>205</v>
      </c>
      <c r="X2927" t="s">
        <v>23638</v>
      </c>
      <c r="AF2927" t="s">
        <v>23639</v>
      </c>
      <c r="AG2927" t="s">
        <v>2541</v>
      </c>
      <c r="AI2927" t="s">
        <v>23640</v>
      </c>
      <c r="AM2927" t="s">
        <v>23641</v>
      </c>
      <c r="AN2927" t="s">
        <v>2089</v>
      </c>
      <c r="AO2927" t="s">
        <v>23642</v>
      </c>
      <c r="AP2927" t="s">
        <v>7024</v>
      </c>
      <c r="AQ2927" t="s">
        <v>23643</v>
      </c>
      <c r="AT2927" s="184">
        <v>37928</v>
      </c>
      <c r="AU2927" t="s">
        <v>23644</v>
      </c>
      <c r="AV2927">
        <v>15</v>
      </c>
      <c r="AW2927" s="184">
        <v>45279</v>
      </c>
      <c r="AX2927" t="s">
        <v>16654</v>
      </c>
      <c r="AY2927">
        <v>50</v>
      </c>
      <c r="AZ2927" s="184">
        <v>45279</v>
      </c>
      <c r="BA2927" t="s">
        <v>16654</v>
      </c>
      <c r="BB2927">
        <v>50</v>
      </c>
      <c r="BC2927">
        <v>73</v>
      </c>
      <c r="BD2927">
        <v>575</v>
      </c>
      <c r="BE2927">
        <v>2004</v>
      </c>
      <c r="BF2927">
        <v>19</v>
      </c>
      <c r="BG2927">
        <v>2</v>
      </c>
      <c r="BH2927">
        <v>75</v>
      </c>
      <c r="BI2927">
        <v>16</v>
      </c>
      <c r="BJ2927">
        <v>22</v>
      </c>
      <c r="BK2927">
        <v>12</v>
      </c>
      <c r="BP2927" s="184"/>
    </row>
    <row r="2928" spans="1:68">
      <c r="A2928">
        <v>36488211</v>
      </c>
      <c r="B2928">
        <v>36488211</v>
      </c>
      <c r="C2928" t="s">
        <v>7018</v>
      </c>
      <c r="D2928" t="s">
        <v>595</v>
      </c>
      <c r="E2928" s="184">
        <v>44104</v>
      </c>
      <c r="G2928" s="184"/>
      <c r="I2928" s="184"/>
      <c r="K2928" s="184"/>
      <c r="M2928" s="184"/>
      <c r="P2928" t="s">
        <v>7045</v>
      </c>
      <c r="Q2928" t="s">
        <v>7030</v>
      </c>
      <c r="R2928" s="184">
        <v>21013</v>
      </c>
      <c r="S2928">
        <v>66</v>
      </c>
      <c r="U2928" t="s">
        <v>7031</v>
      </c>
      <c r="V2928" t="s">
        <v>4022</v>
      </c>
      <c r="W2928" t="s">
        <v>7963</v>
      </c>
      <c r="X2928" t="s">
        <v>23645</v>
      </c>
      <c r="AF2928" t="s">
        <v>23646</v>
      </c>
      <c r="AG2928" t="s">
        <v>4022</v>
      </c>
      <c r="AI2928" t="s">
        <v>23647</v>
      </c>
      <c r="AJ2928" t="s">
        <v>13418</v>
      </c>
      <c r="AM2928" t="s">
        <v>23648</v>
      </c>
      <c r="AN2928" t="s">
        <v>2094</v>
      </c>
      <c r="AO2928" t="s">
        <v>23649</v>
      </c>
      <c r="AP2928" t="s">
        <v>7024</v>
      </c>
      <c r="AQ2928" t="s">
        <v>23650</v>
      </c>
      <c r="AR2928" t="s">
        <v>23651</v>
      </c>
      <c r="AT2928" s="184">
        <v>37929</v>
      </c>
      <c r="AU2928" t="s">
        <v>23652</v>
      </c>
      <c r="AV2928">
        <v>20</v>
      </c>
      <c r="AW2928" s="184">
        <v>45343</v>
      </c>
      <c r="AX2928" t="s">
        <v>11740</v>
      </c>
      <c r="AY2928">
        <v>100</v>
      </c>
      <c r="AZ2928" s="184">
        <v>41705</v>
      </c>
      <c r="BA2928" t="s">
        <v>23653</v>
      </c>
      <c r="BB2928">
        <v>150</v>
      </c>
      <c r="BC2928">
        <v>91</v>
      </c>
      <c r="BD2928">
        <v>3030</v>
      </c>
      <c r="BE2928">
        <v>2004</v>
      </c>
      <c r="BF2928">
        <v>55</v>
      </c>
      <c r="BG2928">
        <v>6</v>
      </c>
      <c r="BH2928">
        <v>450</v>
      </c>
      <c r="BI2928">
        <v>20</v>
      </c>
      <c r="BJ2928">
        <v>22</v>
      </c>
      <c r="BK2928">
        <v>12</v>
      </c>
      <c r="BP2928" s="184"/>
    </row>
    <row r="2929" spans="1:68">
      <c r="A2929">
        <v>36494987</v>
      </c>
      <c r="B2929">
        <v>36494987</v>
      </c>
      <c r="C2929" t="s">
        <v>7018</v>
      </c>
      <c r="D2929" t="s">
        <v>595</v>
      </c>
      <c r="E2929" s="184">
        <v>44484</v>
      </c>
      <c r="G2929" s="184"/>
      <c r="I2929" s="184"/>
      <c r="K2929" s="184"/>
      <c r="M2929" s="184"/>
      <c r="O2929" s="184"/>
      <c r="P2929" t="s">
        <v>7045</v>
      </c>
      <c r="Q2929" t="s">
        <v>7374</v>
      </c>
      <c r="R2929" s="184">
        <v>14455</v>
      </c>
      <c r="S2929">
        <v>84</v>
      </c>
      <c r="U2929" t="s">
        <v>7076</v>
      </c>
      <c r="V2929" t="s">
        <v>23654</v>
      </c>
      <c r="X2929" t="s">
        <v>4397</v>
      </c>
      <c r="AF2929" t="s">
        <v>23655</v>
      </c>
      <c r="AG2929" t="s">
        <v>23654</v>
      </c>
      <c r="AI2929" t="s">
        <v>23656</v>
      </c>
      <c r="AM2929" t="s">
        <v>16620</v>
      </c>
      <c r="AN2929" t="s">
        <v>2081</v>
      </c>
      <c r="AO2929" t="s">
        <v>23657</v>
      </c>
      <c r="AP2929" t="s">
        <v>7024</v>
      </c>
      <c r="AQ2929" t="s">
        <v>23658</v>
      </c>
      <c r="AR2929" t="s">
        <v>23659</v>
      </c>
      <c r="AT2929" s="184">
        <v>37930</v>
      </c>
      <c r="AU2929" t="s">
        <v>23660</v>
      </c>
      <c r="AV2929">
        <v>15</v>
      </c>
      <c r="AW2929" s="184">
        <v>44705</v>
      </c>
      <c r="AX2929" t="s">
        <v>23661</v>
      </c>
      <c r="AY2929">
        <v>50</v>
      </c>
      <c r="AZ2929" s="184">
        <v>38782</v>
      </c>
      <c r="BA2929" t="s">
        <v>23662</v>
      </c>
      <c r="BB2929">
        <v>87</v>
      </c>
      <c r="BC2929">
        <v>55</v>
      </c>
      <c r="BD2929">
        <v>525</v>
      </c>
      <c r="BE2929">
        <v>2004</v>
      </c>
      <c r="BF2929">
        <v>17</v>
      </c>
      <c r="BG2929">
        <v>1</v>
      </c>
      <c r="BH2929">
        <v>50</v>
      </c>
      <c r="BI2929">
        <v>12</v>
      </c>
      <c r="BJ2929">
        <v>22</v>
      </c>
      <c r="BK2929">
        <v>7</v>
      </c>
      <c r="BP2929" s="184"/>
    </row>
    <row r="2930" spans="1:68">
      <c r="A2930">
        <v>36499549</v>
      </c>
      <c r="B2930">
        <v>36499549</v>
      </c>
      <c r="C2930" t="s">
        <v>7018</v>
      </c>
      <c r="D2930" t="s">
        <v>595</v>
      </c>
      <c r="E2930" s="184">
        <v>44147</v>
      </c>
      <c r="G2930" s="184"/>
      <c r="I2930" s="184"/>
      <c r="K2930" s="184"/>
      <c r="M2930" s="184"/>
      <c r="O2930" s="184"/>
      <c r="P2930" t="s">
        <v>7045</v>
      </c>
      <c r="Q2930" t="s">
        <v>7262</v>
      </c>
      <c r="R2930" s="184">
        <v>11618</v>
      </c>
      <c r="S2930">
        <v>92</v>
      </c>
      <c r="V2930" t="s">
        <v>3341</v>
      </c>
      <c r="X2930" t="s">
        <v>23663</v>
      </c>
      <c r="Z2930">
        <v>100102629</v>
      </c>
      <c r="AB2930" t="s">
        <v>3901</v>
      </c>
      <c r="AD2930" t="s">
        <v>23663</v>
      </c>
      <c r="AF2930" t="s">
        <v>23664</v>
      </c>
      <c r="AG2930" t="s">
        <v>23665</v>
      </c>
      <c r="AI2930" t="s">
        <v>23666</v>
      </c>
      <c r="AM2930" t="s">
        <v>19352</v>
      </c>
      <c r="AN2930" t="s">
        <v>65</v>
      </c>
      <c r="AO2930" t="s">
        <v>23667</v>
      </c>
      <c r="AP2930" t="s">
        <v>7024</v>
      </c>
      <c r="AQ2930" t="s">
        <v>23668</v>
      </c>
      <c r="AT2930" s="184">
        <v>37931</v>
      </c>
      <c r="AU2930" t="s">
        <v>23669</v>
      </c>
      <c r="AV2930">
        <v>25</v>
      </c>
      <c r="AW2930" s="184">
        <v>43067</v>
      </c>
      <c r="AX2930" t="s">
        <v>23670</v>
      </c>
      <c r="AY2930">
        <v>35</v>
      </c>
      <c r="AZ2930" s="184">
        <v>39366</v>
      </c>
      <c r="BA2930" t="s">
        <v>23671</v>
      </c>
      <c r="BB2930">
        <v>65</v>
      </c>
      <c r="BC2930">
        <v>46</v>
      </c>
      <c r="BD2930">
        <v>440</v>
      </c>
      <c r="BE2930">
        <v>2004</v>
      </c>
      <c r="BF2930">
        <v>10</v>
      </c>
      <c r="BI2930">
        <v>10</v>
      </c>
      <c r="BJ2930">
        <v>22</v>
      </c>
      <c r="BK2930">
        <v>2</v>
      </c>
      <c r="BP2930" s="184"/>
    </row>
    <row r="2931" spans="1:68">
      <c r="A2931">
        <v>100102629</v>
      </c>
      <c r="B2931">
        <v>36499549</v>
      </c>
      <c r="C2931" t="s">
        <v>7018</v>
      </c>
      <c r="D2931" t="s">
        <v>595</v>
      </c>
      <c r="E2931" s="184">
        <v>44147</v>
      </c>
      <c r="G2931" s="184"/>
      <c r="I2931" s="184"/>
      <c r="K2931" s="184"/>
      <c r="M2931" s="184"/>
      <c r="O2931" s="184"/>
      <c r="P2931" t="s">
        <v>7045</v>
      </c>
      <c r="Q2931" t="s">
        <v>7262</v>
      </c>
      <c r="R2931" s="184">
        <v>14205</v>
      </c>
      <c r="S2931">
        <v>85</v>
      </c>
      <c r="V2931" t="s">
        <v>3901</v>
      </c>
      <c r="X2931" t="s">
        <v>23663</v>
      </c>
      <c r="Z2931">
        <v>36499549</v>
      </c>
      <c r="AB2931" t="s">
        <v>3341</v>
      </c>
      <c r="AD2931" t="s">
        <v>23663</v>
      </c>
      <c r="AF2931" t="s">
        <v>23664</v>
      </c>
      <c r="AG2931" t="s">
        <v>23665</v>
      </c>
      <c r="AI2931" t="s">
        <v>23666</v>
      </c>
      <c r="AM2931" t="s">
        <v>19352</v>
      </c>
      <c r="AN2931" t="s">
        <v>65</v>
      </c>
      <c r="AO2931" t="s">
        <v>23667</v>
      </c>
      <c r="AP2931" t="s">
        <v>7024</v>
      </c>
      <c r="AT2931" s="184"/>
      <c r="AW2931" s="184"/>
      <c r="AZ2931" s="184"/>
      <c r="BP2931" s="184"/>
    </row>
    <row r="2932" spans="1:68">
      <c r="A2932">
        <v>36507168</v>
      </c>
      <c r="B2932">
        <v>36507168</v>
      </c>
      <c r="C2932" t="s">
        <v>7018</v>
      </c>
      <c r="D2932" t="s">
        <v>595</v>
      </c>
      <c r="E2932" s="184">
        <v>45148</v>
      </c>
      <c r="G2932" s="184"/>
      <c r="I2932" s="184"/>
      <c r="K2932" s="184"/>
      <c r="M2932" s="184"/>
      <c r="O2932" s="184"/>
      <c r="P2932" t="s">
        <v>7045</v>
      </c>
      <c r="Q2932" t="s">
        <v>7494</v>
      </c>
      <c r="R2932" s="184">
        <v>12451</v>
      </c>
      <c r="S2932">
        <v>90</v>
      </c>
      <c r="V2932" t="s">
        <v>2697</v>
      </c>
      <c r="X2932" t="s">
        <v>23672</v>
      </c>
      <c r="AF2932" t="s">
        <v>23673</v>
      </c>
      <c r="AG2932" t="s">
        <v>2697</v>
      </c>
      <c r="AI2932" t="s">
        <v>23674</v>
      </c>
      <c r="AM2932" t="s">
        <v>23675</v>
      </c>
      <c r="AN2932" t="s">
        <v>2174</v>
      </c>
      <c r="AO2932" t="s">
        <v>23676</v>
      </c>
      <c r="AP2932" t="s">
        <v>7024</v>
      </c>
      <c r="AQ2932" t="s">
        <v>23677</v>
      </c>
      <c r="AT2932" s="184">
        <v>37931</v>
      </c>
      <c r="AU2932" t="s">
        <v>23678</v>
      </c>
      <c r="AV2932">
        <v>20</v>
      </c>
      <c r="AW2932" s="184">
        <v>45223</v>
      </c>
      <c r="AX2932" t="s">
        <v>8133</v>
      </c>
      <c r="AY2932">
        <v>25</v>
      </c>
      <c r="AZ2932" s="184">
        <v>38593</v>
      </c>
      <c r="BA2932" t="s">
        <v>23679</v>
      </c>
      <c r="BB2932">
        <v>60</v>
      </c>
      <c r="BC2932">
        <v>69</v>
      </c>
      <c r="BD2932">
        <v>665</v>
      </c>
      <c r="BE2932">
        <v>2004</v>
      </c>
      <c r="BF2932">
        <v>21</v>
      </c>
      <c r="BG2932">
        <v>2</v>
      </c>
      <c r="BH2932">
        <v>50</v>
      </c>
      <c r="BI2932">
        <v>15</v>
      </c>
      <c r="BJ2932">
        <v>22</v>
      </c>
      <c r="BK2932">
        <v>9</v>
      </c>
      <c r="BP2932" s="184"/>
    </row>
    <row r="2933" spans="1:68">
      <c r="A2933">
        <v>36515740</v>
      </c>
      <c r="B2933">
        <v>36515740</v>
      </c>
      <c r="C2933" t="s">
        <v>7018</v>
      </c>
      <c r="E2933" s="184"/>
      <c r="G2933" s="184"/>
      <c r="I2933" s="184"/>
      <c r="J2933" t="s">
        <v>595</v>
      </c>
      <c r="K2933" s="184">
        <v>43955</v>
      </c>
      <c r="M2933" s="184"/>
      <c r="O2933" s="184"/>
      <c r="P2933" t="s">
        <v>7029</v>
      </c>
      <c r="Q2933" t="s">
        <v>7383</v>
      </c>
      <c r="R2933" s="184">
        <v>20994</v>
      </c>
      <c r="S2933">
        <v>66</v>
      </c>
      <c r="U2933" t="s">
        <v>7031</v>
      </c>
      <c r="V2933" t="s">
        <v>3768</v>
      </c>
      <c r="X2933" t="s">
        <v>3769</v>
      </c>
      <c r="Z2933">
        <v>101314255</v>
      </c>
      <c r="AA2933" t="s">
        <v>7130</v>
      </c>
      <c r="AB2933" t="s">
        <v>11823</v>
      </c>
      <c r="AD2933" t="s">
        <v>23680</v>
      </c>
      <c r="AF2933" t="s">
        <v>23681</v>
      </c>
      <c r="AG2933" t="s">
        <v>23682</v>
      </c>
      <c r="AI2933" t="s">
        <v>23683</v>
      </c>
      <c r="AM2933" t="s">
        <v>14688</v>
      </c>
      <c r="AN2933" t="s">
        <v>2313</v>
      </c>
      <c r="AO2933" t="s">
        <v>23684</v>
      </c>
      <c r="AP2933" t="s">
        <v>7024</v>
      </c>
      <c r="AQ2933" t="s">
        <v>23685</v>
      </c>
      <c r="AR2933" t="s">
        <v>23686</v>
      </c>
      <c r="AT2933" s="184">
        <v>37932</v>
      </c>
      <c r="AU2933" t="s">
        <v>23687</v>
      </c>
      <c r="AV2933">
        <v>25</v>
      </c>
      <c r="AW2933" s="184">
        <v>45426</v>
      </c>
      <c r="AX2933" t="s">
        <v>7422</v>
      </c>
      <c r="AY2933">
        <v>100</v>
      </c>
      <c r="AZ2933" s="184">
        <v>44558</v>
      </c>
      <c r="BA2933" t="s">
        <v>23688</v>
      </c>
      <c r="BB2933">
        <v>300</v>
      </c>
      <c r="BC2933">
        <v>100</v>
      </c>
      <c r="BD2933">
        <v>16050</v>
      </c>
      <c r="BE2933">
        <v>2004</v>
      </c>
      <c r="BF2933">
        <v>214</v>
      </c>
      <c r="BG2933">
        <v>23</v>
      </c>
      <c r="BH2933">
        <v>3075</v>
      </c>
      <c r="BI2933">
        <v>22</v>
      </c>
      <c r="BJ2933">
        <v>22</v>
      </c>
      <c r="BK2933">
        <v>22</v>
      </c>
      <c r="BP2933" s="184"/>
    </row>
    <row r="2934" spans="1:68">
      <c r="A2934">
        <v>36518371</v>
      </c>
      <c r="B2934">
        <v>36518371</v>
      </c>
      <c r="C2934" t="s">
        <v>7018</v>
      </c>
      <c r="D2934" t="s">
        <v>595</v>
      </c>
      <c r="E2934" s="184">
        <v>43801</v>
      </c>
      <c r="G2934" s="184"/>
      <c r="I2934" s="184"/>
      <c r="K2934" s="184"/>
      <c r="M2934" s="184"/>
      <c r="O2934" s="184"/>
      <c r="P2934" t="s">
        <v>7045</v>
      </c>
      <c r="Q2934" t="s">
        <v>7374</v>
      </c>
      <c r="R2934" s="184">
        <v>21459</v>
      </c>
      <c r="S2934">
        <v>65</v>
      </c>
      <c r="V2934" t="s">
        <v>4407</v>
      </c>
      <c r="W2934" t="s">
        <v>4139</v>
      </c>
      <c r="X2934" t="s">
        <v>4408</v>
      </c>
      <c r="Z2934">
        <v>100102712</v>
      </c>
      <c r="AB2934" t="s">
        <v>4616</v>
      </c>
      <c r="AC2934" t="s">
        <v>7560</v>
      </c>
      <c r="AD2934" t="s">
        <v>4408</v>
      </c>
      <c r="AF2934" t="s">
        <v>23689</v>
      </c>
      <c r="AG2934" t="s">
        <v>23690</v>
      </c>
      <c r="AI2934" t="s">
        <v>23691</v>
      </c>
      <c r="AM2934" t="s">
        <v>4409</v>
      </c>
      <c r="AN2934" t="s">
        <v>2081</v>
      </c>
      <c r="AO2934" t="s">
        <v>23692</v>
      </c>
      <c r="AP2934" t="s">
        <v>7024</v>
      </c>
      <c r="AQ2934" t="s">
        <v>23693</v>
      </c>
      <c r="AT2934" s="184">
        <v>37935</v>
      </c>
      <c r="AU2934" t="s">
        <v>23694</v>
      </c>
      <c r="AV2934">
        <v>15</v>
      </c>
      <c r="AW2934" s="184">
        <v>43886</v>
      </c>
      <c r="AX2934" t="s">
        <v>23695</v>
      </c>
      <c r="AY2934">
        <v>35</v>
      </c>
      <c r="AZ2934" s="184">
        <v>41730</v>
      </c>
      <c r="BA2934" t="s">
        <v>23696</v>
      </c>
      <c r="BB2934">
        <v>40</v>
      </c>
      <c r="BC2934">
        <v>55</v>
      </c>
      <c r="BD2934">
        <v>480</v>
      </c>
      <c r="BE2934">
        <v>2004</v>
      </c>
      <c r="BF2934">
        <v>16</v>
      </c>
      <c r="BI2934">
        <v>12</v>
      </c>
      <c r="BJ2934">
        <v>22</v>
      </c>
      <c r="BK2934">
        <v>6</v>
      </c>
      <c r="BN2934" t="s">
        <v>595</v>
      </c>
    </row>
    <row r="2935" spans="1:68">
      <c r="A2935">
        <v>100102712</v>
      </c>
      <c r="B2935">
        <v>36518371</v>
      </c>
      <c r="C2935" t="s">
        <v>7018</v>
      </c>
      <c r="D2935" t="s">
        <v>595</v>
      </c>
      <c r="E2935" s="184">
        <v>43801</v>
      </c>
      <c r="G2935" s="184"/>
      <c r="I2935" s="184"/>
      <c r="K2935" s="184"/>
      <c r="M2935" s="184"/>
      <c r="O2935" s="184"/>
      <c r="P2935" t="s">
        <v>7045</v>
      </c>
      <c r="Q2935" t="s">
        <v>7374</v>
      </c>
      <c r="R2935" s="184">
        <v>21459</v>
      </c>
      <c r="S2935">
        <v>65</v>
      </c>
      <c r="V2935" t="s">
        <v>4616</v>
      </c>
      <c r="W2935" t="s">
        <v>7560</v>
      </c>
      <c r="X2935" t="s">
        <v>4408</v>
      </c>
      <c r="Z2935">
        <v>36518371</v>
      </c>
      <c r="AB2935" t="s">
        <v>4407</v>
      </c>
      <c r="AC2935" t="s">
        <v>4139</v>
      </c>
      <c r="AD2935" t="s">
        <v>4408</v>
      </c>
      <c r="AF2935" t="s">
        <v>23689</v>
      </c>
      <c r="AG2935" t="s">
        <v>23690</v>
      </c>
      <c r="AI2935" t="s">
        <v>23691</v>
      </c>
      <c r="AM2935" t="s">
        <v>4409</v>
      </c>
      <c r="AN2935" t="s">
        <v>2081</v>
      </c>
      <c r="AO2935" t="s">
        <v>23692</v>
      </c>
      <c r="AP2935" t="s">
        <v>7024</v>
      </c>
      <c r="AT2935" s="184"/>
      <c r="AW2935" s="184"/>
      <c r="AZ2935" s="184"/>
      <c r="BP2935" s="184"/>
    </row>
    <row r="2936" spans="1:68">
      <c r="A2936">
        <v>36522431</v>
      </c>
      <c r="B2936">
        <v>36522431</v>
      </c>
      <c r="C2936" t="s">
        <v>7018</v>
      </c>
      <c r="D2936" t="s">
        <v>595</v>
      </c>
      <c r="E2936" s="184">
        <v>43640</v>
      </c>
      <c r="G2936" s="184"/>
      <c r="I2936" s="184"/>
      <c r="K2936" s="184"/>
      <c r="M2936" s="184"/>
      <c r="O2936" s="184"/>
      <c r="P2936" t="s">
        <v>7045</v>
      </c>
      <c r="Q2936" t="s">
        <v>7020</v>
      </c>
      <c r="R2936" s="184">
        <v>19603</v>
      </c>
      <c r="S2936">
        <v>70</v>
      </c>
      <c r="U2936" t="s">
        <v>7076</v>
      </c>
      <c r="V2936" t="s">
        <v>3002</v>
      </c>
      <c r="X2936" t="s">
        <v>3003</v>
      </c>
      <c r="AF2936" t="s">
        <v>23697</v>
      </c>
      <c r="AG2936" t="s">
        <v>3002</v>
      </c>
      <c r="AI2936" t="s">
        <v>23698</v>
      </c>
      <c r="AM2936" t="s">
        <v>3004</v>
      </c>
      <c r="AN2936" t="s">
        <v>2112</v>
      </c>
      <c r="AO2936" t="s">
        <v>23699</v>
      </c>
      <c r="AP2936" t="s">
        <v>7024</v>
      </c>
      <c r="AQ2936" t="s">
        <v>23700</v>
      </c>
      <c r="AT2936" s="184">
        <v>37936</v>
      </c>
      <c r="AU2936" t="s">
        <v>23701</v>
      </c>
      <c r="AV2936">
        <v>25</v>
      </c>
      <c r="AW2936" s="184">
        <v>44746</v>
      </c>
      <c r="AX2936" t="s">
        <v>23702</v>
      </c>
      <c r="AY2936">
        <v>50</v>
      </c>
      <c r="AZ2936" s="184">
        <v>43634</v>
      </c>
      <c r="BA2936" t="s">
        <v>23703</v>
      </c>
      <c r="BB2936">
        <v>100</v>
      </c>
      <c r="BC2936">
        <v>69</v>
      </c>
      <c r="BD2936">
        <v>1181</v>
      </c>
      <c r="BE2936">
        <v>2004</v>
      </c>
      <c r="BF2936">
        <v>19</v>
      </c>
      <c r="BG2936">
        <v>1</v>
      </c>
      <c r="BH2936">
        <v>50</v>
      </c>
      <c r="BI2936">
        <v>15</v>
      </c>
      <c r="BJ2936">
        <v>22</v>
      </c>
      <c r="BK2936">
        <v>7</v>
      </c>
      <c r="BN2936" t="s">
        <v>595</v>
      </c>
      <c r="BP2936" s="184"/>
    </row>
    <row r="2937" spans="1:68">
      <c r="A2937">
        <v>36528925</v>
      </c>
      <c r="B2937">
        <v>36528925</v>
      </c>
      <c r="C2937" t="s">
        <v>7018</v>
      </c>
      <c r="D2937" t="s">
        <v>595</v>
      </c>
      <c r="E2937" s="184">
        <v>43745</v>
      </c>
      <c r="G2937" s="184"/>
      <c r="I2937" s="184"/>
      <c r="K2937" s="184"/>
      <c r="M2937" s="184"/>
      <c r="P2937" t="s">
        <v>7045</v>
      </c>
      <c r="Q2937" t="s">
        <v>7020</v>
      </c>
      <c r="R2937" s="184">
        <v>20455</v>
      </c>
      <c r="S2937">
        <v>68</v>
      </c>
      <c r="V2937" t="s">
        <v>3101</v>
      </c>
      <c r="W2937" t="s">
        <v>3830</v>
      </c>
      <c r="X2937" t="s">
        <v>4149</v>
      </c>
      <c r="AF2937" t="s">
        <v>23704</v>
      </c>
      <c r="AG2937" t="s">
        <v>3101</v>
      </c>
      <c r="AI2937" t="s">
        <v>23705</v>
      </c>
      <c r="AM2937" t="s">
        <v>2624</v>
      </c>
      <c r="AN2937" t="s">
        <v>2052</v>
      </c>
      <c r="AO2937" t="s">
        <v>23706</v>
      </c>
      <c r="AP2937" t="s">
        <v>7024</v>
      </c>
      <c r="AT2937" s="184">
        <v>37937</v>
      </c>
      <c r="AU2937" t="s">
        <v>23707</v>
      </c>
      <c r="AV2937">
        <v>15</v>
      </c>
      <c r="AW2937" s="184">
        <v>45408</v>
      </c>
      <c r="AX2937" t="s">
        <v>8483</v>
      </c>
      <c r="AY2937">
        <v>20</v>
      </c>
      <c r="AZ2937" s="184">
        <v>41617</v>
      </c>
      <c r="BA2937" t="s">
        <v>23708</v>
      </c>
      <c r="BB2937">
        <v>100</v>
      </c>
      <c r="BC2937">
        <v>96</v>
      </c>
      <c r="BD2937">
        <v>2441</v>
      </c>
      <c r="BE2937">
        <v>2004</v>
      </c>
      <c r="BF2937">
        <v>127</v>
      </c>
      <c r="BG2937">
        <v>24</v>
      </c>
      <c r="BH2937">
        <v>480</v>
      </c>
      <c r="BI2937">
        <v>21</v>
      </c>
      <c r="BJ2937">
        <v>22</v>
      </c>
      <c r="BK2937">
        <v>14</v>
      </c>
      <c r="BP2937" s="184"/>
    </row>
    <row r="2938" spans="1:68">
      <c r="A2938">
        <v>36530558</v>
      </c>
      <c r="B2938">
        <v>36530558</v>
      </c>
      <c r="C2938" t="s">
        <v>7018</v>
      </c>
      <c r="D2938" t="s">
        <v>595</v>
      </c>
      <c r="E2938" s="184">
        <v>45195</v>
      </c>
      <c r="G2938" s="184"/>
      <c r="I2938" s="184"/>
      <c r="K2938" s="184"/>
      <c r="M2938" s="184"/>
      <c r="O2938" s="184"/>
      <c r="P2938" t="s">
        <v>7045</v>
      </c>
      <c r="Q2938" t="s">
        <v>7494</v>
      </c>
      <c r="R2938" s="184">
        <v>13667</v>
      </c>
      <c r="S2938">
        <v>86</v>
      </c>
      <c r="V2938" t="s">
        <v>3131</v>
      </c>
      <c r="X2938" t="s">
        <v>23709</v>
      </c>
      <c r="AF2938" t="s">
        <v>23710</v>
      </c>
      <c r="AG2938" t="s">
        <v>3131</v>
      </c>
      <c r="AI2938" t="s">
        <v>23711</v>
      </c>
      <c r="AM2938" t="s">
        <v>23712</v>
      </c>
      <c r="AN2938" t="s">
        <v>2174</v>
      </c>
      <c r="AO2938" t="s">
        <v>23713</v>
      </c>
      <c r="AP2938" t="s">
        <v>7024</v>
      </c>
      <c r="AQ2938" t="s">
        <v>23714</v>
      </c>
      <c r="AT2938" s="184">
        <v>37937</v>
      </c>
      <c r="AU2938" t="s">
        <v>23715</v>
      </c>
      <c r="AV2938">
        <v>10</v>
      </c>
      <c r="AW2938" s="184">
        <v>45180</v>
      </c>
      <c r="AX2938" t="s">
        <v>23716</v>
      </c>
      <c r="AY2938">
        <v>10</v>
      </c>
      <c r="AZ2938" s="184">
        <v>41618</v>
      </c>
      <c r="BA2938" t="s">
        <v>23717</v>
      </c>
      <c r="BB2938">
        <v>15</v>
      </c>
      <c r="BC2938">
        <v>78</v>
      </c>
      <c r="BD2938">
        <v>220</v>
      </c>
      <c r="BE2938">
        <v>2004</v>
      </c>
      <c r="BF2938">
        <v>22</v>
      </c>
      <c r="BG2938">
        <v>4</v>
      </c>
      <c r="BH2938">
        <v>30</v>
      </c>
      <c r="BI2938">
        <v>17</v>
      </c>
      <c r="BJ2938">
        <v>22</v>
      </c>
      <c r="BK2938">
        <v>6</v>
      </c>
      <c r="BP2938" s="184"/>
    </row>
    <row r="2939" spans="1:68">
      <c r="A2939">
        <v>36539435</v>
      </c>
      <c r="B2939">
        <v>36539435</v>
      </c>
      <c r="C2939" t="s">
        <v>7018</v>
      </c>
      <c r="E2939" s="184"/>
      <c r="G2939" s="184"/>
      <c r="I2939" s="184"/>
      <c r="J2939" t="s">
        <v>595</v>
      </c>
      <c r="K2939" s="184">
        <v>37945</v>
      </c>
      <c r="M2939" s="184"/>
      <c r="O2939" s="184"/>
      <c r="P2939" t="s">
        <v>7045</v>
      </c>
      <c r="Q2939" t="s">
        <v>7262</v>
      </c>
      <c r="R2939" s="184">
        <v>20141</v>
      </c>
      <c r="S2939">
        <v>69</v>
      </c>
      <c r="U2939" t="s">
        <v>7032</v>
      </c>
      <c r="V2939" t="s">
        <v>3554</v>
      </c>
      <c r="W2939" t="s">
        <v>7407</v>
      </c>
      <c r="X2939" t="s">
        <v>4728</v>
      </c>
      <c r="AF2939" t="s">
        <v>6700</v>
      </c>
      <c r="AG2939" t="s">
        <v>3554</v>
      </c>
      <c r="AI2939" t="s">
        <v>23718</v>
      </c>
      <c r="AM2939" t="s">
        <v>3205</v>
      </c>
      <c r="AN2939" t="s">
        <v>2106</v>
      </c>
      <c r="AO2939">
        <v>19144</v>
      </c>
      <c r="AP2939" t="s">
        <v>7024</v>
      </c>
      <c r="AT2939" s="184">
        <v>39819</v>
      </c>
      <c r="AU2939" t="s">
        <v>23719</v>
      </c>
      <c r="AV2939">
        <v>50</v>
      </c>
      <c r="AW2939" s="184">
        <v>40158</v>
      </c>
      <c r="AX2939" t="s">
        <v>23720</v>
      </c>
      <c r="AY2939">
        <v>50</v>
      </c>
      <c r="AZ2939" s="184">
        <v>40158</v>
      </c>
      <c r="BA2939" t="s">
        <v>23720</v>
      </c>
      <c r="BB2939">
        <v>50</v>
      </c>
      <c r="BC2939">
        <v>7</v>
      </c>
      <c r="BD2939">
        <v>100</v>
      </c>
      <c r="BE2939">
        <v>2009</v>
      </c>
      <c r="BF2939">
        <v>2</v>
      </c>
      <c r="BI2939">
        <v>1</v>
      </c>
      <c r="BJ2939">
        <v>16</v>
      </c>
      <c r="BK2939">
        <v>1</v>
      </c>
      <c r="BP2939" s="184"/>
    </row>
    <row r="2940" spans="1:68">
      <c r="A2940">
        <v>36540870</v>
      </c>
      <c r="B2940">
        <v>36540870</v>
      </c>
      <c r="C2940" t="s">
        <v>7018</v>
      </c>
      <c r="E2940" s="184"/>
      <c r="G2940" s="184"/>
      <c r="K2940" s="184"/>
      <c r="L2940" t="s">
        <v>595</v>
      </c>
      <c r="M2940" s="184">
        <v>44265</v>
      </c>
      <c r="O2940" s="184"/>
      <c r="P2940" t="s">
        <v>7045</v>
      </c>
      <c r="Q2940" t="s">
        <v>7383</v>
      </c>
      <c r="R2940" s="184">
        <v>17216</v>
      </c>
      <c r="S2940">
        <v>77</v>
      </c>
      <c r="U2940" t="s">
        <v>7031</v>
      </c>
      <c r="V2940" t="s">
        <v>9758</v>
      </c>
      <c r="W2940" t="s">
        <v>205</v>
      </c>
      <c r="X2940" t="s">
        <v>8593</v>
      </c>
      <c r="AF2940" t="s">
        <v>23721</v>
      </c>
      <c r="AG2940" t="s">
        <v>9758</v>
      </c>
      <c r="AI2940" t="s">
        <v>23722</v>
      </c>
      <c r="AM2940" t="s">
        <v>3093</v>
      </c>
      <c r="AN2940" t="s">
        <v>2313</v>
      </c>
      <c r="AO2940" t="s">
        <v>23723</v>
      </c>
      <c r="AP2940" t="s">
        <v>7024</v>
      </c>
      <c r="AQ2940" t="s">
        <v>23724</v>
      </c>
      <c r="AT2940" s="184">
        <v>37939</v>
      </c>
      <c r="AU2940" t="s">
        <v>23725</v>
      </c>
      <c r="AV2940">
        <v>25</v>
      </c>
      <c r="AW2940" s="184">
        <v>45341</v>
      </c>
      <c r="AX2940" t="s">
        <v>14729</v>
      </c>
      <c r="AY2940">
        <v>250</v>
      </c>
      <c r="AZ2940" s="184">
        <v>45341</v>
      </c>
      <c r="BA2940" t="s">
        <v>14729</v>
      </c>
      <c r="BB2940">
        <v>250</v>
      </c>
      <c r="BC2940">
        <v>100</v>
      </c>
      <c r="BD2940">
        <v>2680</v>
      </c>
      <c r="BE2940">
        <v>2004</v>
      </c>
      <c r="BF2940">
        <v>24</v>
      </c>
      <c r="BG2940">
        <v>2</v>
      </c>
      <c r="BH2940">
        <v>500</v>
      </c>
      <c r="BI2940">
        <v>22</v>
      </c>
      <c r="BJ2940">
        <v>22</v>
      </c>
      <c r="BK2940">
        <v>22</v>
      </c>
      <c r="BP2940" s="184"/>
    </row>
    <row r="2941" spans="1:68">
      <c r="A2941">
        <v>36541423</v>
      </c>
      <c r="B2941">
        <v>36541423</v>
      </c>
      <c r="C2941" t="s">
        <v>7018</v>
      </c>
      <c r="D2941" t="s">
        <v>595</v>
      </c>
      <c r="E2941" s="184">
        <v>43745</v>
      </c>
      <c r="G2941" s="184"/>
      <c r="K2941" s="184"/>
      <c r="M2941" s="184"/>
      <c r="O2941" s="184"/>
      <c r="P2941" t="s">
        <v>7045</v>
      </c>
      <c r="Q2941" t="s">
        <v>7494</v>
      </c>
      <c r="R2941" s="184">
        <v>20059</v>
      </c>
      <c r="S2941">
        <v>69</v>
      </c>
      <c r="V2941" t="s">
        <v>3002</v>
      </c>
      <c r="W2941" t="s">
        <v>7067</v>
      </c>
      <c r="X2941" t="s">
        <v>3422</v>
      </c>
      <c r="Z2941">
        <v>100102822</v>
      </c>
      <c r="AB2941" t="s">
        <v>3411</v>
      </c>
      <c r="AD2941" t="s">
        <v>3422</v>
      </c>
      <c r="AF2941" t="s">
        <v>23726</v>
      </c>
      <c r="AG2941" t="s">
        <v>23727</v>
      </c>
      <c r="AI2941" t="s">
        <v>23728</v>
      </c>
      <c r="AM2941" t="s">
        <v>2730</v>
      </c>
      <c r="AN2941" t="s">
        <v>2174</v>
      </c>
      <c r="AO2941" t="s">
        <v>23729</v>
      </c>
      <c r="AP2941" t="s">
        <v>7024</v>
      </c>
      <c r="AQ2941" t="s">
        <v>23730</v>
      </c>
      <c r="AR2941" t="s">
        <v>23731</v>
      </c>
      <c r="AT2941" s="184">
        <v>37939</v>
      </c>
      <c r="AU2941" t="s">
        <v>23732</v>
      </c>
      <c r="AV2941">
        <v>25</v>
      </c>
      <c r="AW2941" s="184">
        <v>45072</v>
      </c>
      <c r="AX2941" t="s">
        <v>19805</v>
      </c>
      <c r="AY2941">
        <v>25</v>
      </c>
      <c r="AZ2941" s="184">
        <v>42733</v>
      </c>
      <c r="BA2941" t="s">
        <v>23733</v>
      </c>
      <c r="BB2941">
        <v>60</v>
      </c>
      <c r="BC2941">
        <v>82</v>
      </c>
      <c r="BD2941">
        <v>1250</v>
      </c>
      <c r="BE2941">
        <v>2004</v>
      </c>
      <c r="BF2941">
        <v>38</v>
      </c>
      <c r="BG2941">
        <v>3</v>
      </c>
      <c r="BH2941">
        <v>75</v>
      </c>
      <c r="BI2941">
        <v>18</v>
      </c>
      <c r="BJ2941">
        <v>22</v>
      </c>
      <c r="BK2941">
        <v>16</v>
      </c>
      <c r="BP2941" s="184"/>
    </row>
    <row r="2942" spans="1:68">
      <c r="A2942">
        <v>100102822</v>
      </c>
      <c r="B2942">
        <v>36541423</v>
      </c>
      <c r="C2942" t="s">
        <v>7018</v>
      </c>
      <c r="D2942" t="s">
        <v>595</v>
      </c>
      <c r="E2942" s="184">
        <v>43745</v>
      </c>
      <c r="G2942" s="184"/>
      <c r="I2942" s="184"/>
      <c r="K2942" s="184"/>
      <c r="M2942" s="184"/>
      <c r="O2942" s="184"/>
      <c r="P2942" t="s">
        <v>7045</v>
      </c>
      <c r="Q2942" t="s">
        <v>7494</v>
      </c>
      <c r="R2942" s="184">
        <v>20059</v>
      </c>
      <c r="S2942">
        <v>69</v>
      </c>
      <c r="V2942" t="s">
        <v>3411</v>
      </c>
      <c r="X2942" t="s">
        <v>3422</v>
      </c>
      <c r="Z2942">
        <v>36541423</v>
      </c>
      <c r="AB2942" t="s">
        <v>3002</v>
      </c>
      <c r="AC2942" t="s">
        <v>7067</v>
      </c>
      <c r="AD2942" t="s">
        <v>3422</v>
      </c>
      <c r="AF2942" t="s">
        <v>23726</v>
      </c>
      <c r="AG2942" t="s">
        <v>23727</v>
      </c>
      <c r="AI2942" t="s">
        <v>23728</v>
      </c>
      <c r="AM2942" t="s">
        <v>2730</v>
      </c>
      <c r="AN2942" t="s">
        <v>2174</v>
      </c>
      <c r="AO2942" t="s">
        <v>23729</v>
      </c>
      <c r="AP2942" t="s">
        <v>7024</v>
      </c>
      <c r="AT2942" s="184"/>
      <c r="AW2942" s="184"/>
      <c r="AZ2942" s="184"/>
      <c r="BP2942" s="184"/>
    </row>
    <row r="2943" spans="1:68">
      <c r="A2943">
        <v>36550051</v>
      </c>
      <c r="B2943">
        <v>36550051</v>
      </c>
      <c r="C2943" t="s">
        <v>7018</v>
      </c>
      <c r="E2943" s="184"/>
      <c r="G2943" s="184"/>
      <c r="I2943" s="184"/>
      <c r="J2943" t="s">
        <v>595</v>
      </c>
      <c r="K2943" s="184">
        <v>44181</v>
      </c>
      <c r="M2943" s="184"/>
      <c r="O2943" s="184"/>
      <c r="P2943" t="s">
        <v>7084</v>
      </c>
      <c r="Q2943" t="s">
        <v>7383</v>
      </c>
      <c r="R2943" s="184">
        <v>9863</v>
      </c>
      <c r="S2943">
        <v>97</v>
      </c>
      <c r="U2943" t="s">
        <v>7130</v>
      </c>
      <c r="V2943" t="s">
        <v>23734</v>
      </c>
      <c r="W2943" t="s">
        <v>7107</v>
      </c>
      <c r="X2943" t="s">
        <v>4803</v>
      </c>
      <c r="AF2943" t="s">
        <v>23735</v>
      </c>
      <c r="AG2943" t="s">
        <v>23734</v>
      </c>
      <c r="AI2943" t="s">
        <v>23736</v>
      </c>
      <c r="AM2943" t="s">
        <v>23737</v>
      </c>
      <c r="AN2943" t="s">
        <v>2313</v>
      </c>
      <c r="AO2943" t="s">
        <v>23738</v>
      </c>
      <c r="AP2943" t="s">
        <v>7024</v>
      </c>
      <c r="AT2943" s="184">
        <v>37942</v>
      </c>
      <c r="AU2943" t="s">
        <v>23739</v>
      </c>
      <c r="AV2943">
        <v>20</v>
      </c>
      <c r="AW2943" s="184">
        <v>44097</v>
      </c>
      <c r="AX2943" t="s">
        <v>7309</v>
      </c>
      <c r="AY2943">
        <v>11237.85</v>
      </c>
      <c r="AZ2943" s="184">
        <v>44097</v>
      </c>
      <c r="BA2943" t="s">
        <v>7309</v>
      </c>
      <c r="BB2943">
        <v>30735.26</v>
      </c>
      <c r="BC2943">
        <v>55</v>
      </c>
      <c r="BD2943">
        <v>84449.17</v>
      </c>
      <c r="BE2943">
        <v>2004</v>
      </c>
      <c r="BF2943">
        <v>14</v>
      </c>
      <c r="BI2943">
        <v>12</v>
      </c>
      <c r="BJ2943">
        <v>22</v>
      </c>
      <c r="BK2943">
        <v>8</v>
      </c>
      <c r="BO2943" t="s">
        <v>595</v>
      </c>
      <c r="BP2943" s="184">
        <v>43859</v>
      </c>
    </row>
    <row r="2944" spans="1:68">
      <c r="A2944">
        <v>36553592</v>
      </c>
      <c r="B2944">
        <v>36553592</v>
      </c>
      <c r="C2944" t="s">
        <v>7018</v>
      </c>
      <c r="D2944" t="s">
        <v>595</v>
      </c>
      <c r="E2944" s="184">
        <v>44104</v>
      </c>
      <c r="G2944" s="184"/>
      <c r="I2944" s="184"/>
      <c r="K2944" s="184"/>
      <c r="M2944" s="184"/>
      <c r="O2944" s="184"/>
      <c r="P2944" t="s">
        <v>7045</v>
      </c>
      <c r="Q2944" t="s">
        <v>7020</v>
      </c>
      <c r="R2944" s="184">
        <v>17807</v>
      </c>
      <c r="S2944">
        <v>75</v>
      </c>
      <c r="U2944" t="s">
        <v>7076</v>
      </c>
      <c r="V2944" t="s">
        <v>3468</v>
      </c>
      <c r="X2944" t="s">
        <v>23740</v>
      </c>
      <c r="AF2944" t="s">
        <v>23741</v>
      </c>
      <c r="AG2944" t="s">
        <v>3468</v>
      </c>
      <c r="AI2944" t="s">
        <v>23742</v>
      </c>
      <c r="AM2944" t="s">
        <v>23743</v>
      </c>
      <c r="AN2944" t="s">
        <v>2465</v>
      </c>
      <c r="AO2944" t="s">
        <v>23744</v>
      </c>
      <c r="AP2944" t="s">
        <v>7024</v>
      </c>
      <c r="AQ2944" t="s">
        <v>23745</v>
      </c>
      <c r="AT2944" s="184">
        <v>37943</v>
      </c>
      <c r="AU2944" t="s">
        <v>23746</v>
      </c>
      <c r="AV2944">
        <v>25</v>
      </c>
      <c r="AW2944" s="184">
        <v>45372</v>
      </c>
      <c r="AX2944" t="s">
        <v>23747</v>
      </c>
      <c r="AY2944">
        <v>52.5</v>
      </c>
      <c r="AZ2944" s="184">
        <v>44446</v>
      </c>
      <c r="BA2944" t="s">
        <v>23748</v>
      </c>
      <c r="BB2944">
        <v>150</v>
      </c>
      <c r="BC2944">
        <v>96</v>
      </c>
      <c r="BD2944">
        <v>3382.5</v>
      </c>
      <c r="BE2944">
        <v>2004</v>
      </c>
      <c r="BF2944">
        <v>76</v>
      </c>
      <c r="BG2944">
        <v>5</v>
      </c>
      <c r="BH2944">
        <v>387.5</v>
      </c>
      <c r="BI2944">
        <v>21</v>
      </c>
      <c r="BJ2944">
        <v>22</v>
      </c>
      <c r="BK2944">
        <v>11</v>
      </c>
    </row>
    <row r="2945" spans="1:68">
      <c r="A2945">
        <v>36562049</v>
      </c>
      <c r="B2945">
        <v>36562049</v>
      </c>
      <c r="C2945" t="s">
        <v>7018</v>
      </c>
      <c r="D2945" t="s">
        <v>595</v>
      </c>
      <c r="E2945" s="184">
        <v>44076</v>
      </c>
      <c r="G2945" s="184"/>
      <c r="I2945" s="184"/>
      <c r="K2945" s="184"/>
      <c r="M2945" s="184"/>
      <c r="O2945" s="184"/>
      <c r="P2945" t="s">
        <v>7084</v>
      </c>
      <c r="Q2945" t="s">
        <v>7454</v>
      </c>
      <c r="R2945" s="184"/>
      <c r="U2945" t="s">
        <v>23749</v>
      </c>
      <c r="V2945" t="s">
        <v>3409</v>
      </c>
      <c r="W2945" t="s">
        <v>3444</v>
      </c>
      <c r="X2945" t="s">
        <v>23750</v>
      </c>
      <c r="Z2945">
        <v>100102951</v>
      </c>
      <c r="AA2945" t="s">
        <v>7031</v>
      </c>
      <c r="AB2945" t="s">
        <v>3061</v>
      </c>
      <c r="AD2945" t="s">
        <v>23750</v>
      </c>
      <c r="AF2945" t="s">
        <v>23751</v>
      </c>
      <c r="AG2945" t="s">
        <v>23752</v>
      </c>
      <c r="AI2945" t="s">
        <v>23753</v>
      </c>
      <c r="AM2945" t="s">
        <v>3855</v>
      </c>
      <c r="AN2945" t="s">
        <v>2055</v>
      </c>
      <c r="AO2945" t="s">
        <v>23754</v>
      </c>
      <c r="AP2945" t="s">
        <v>7024</v>
      </c>
      <c r="AQ2945" t="s">
        <v>23755</v>
      </c>
      <c r="AR2945" t="s">
        <v>23756</v>
      </c>
      <c r="AT2945" s="184">
        <v>38429</v>
      </c>
      <c r="AU2945" t="s">
        <v>23757</v>
      </c>
      <c r="AV2945">
        <v>1000</v>
      </c>
      <c r="AW2945" s="184">
        <v>45069</v>
      </c>
      <c r="AX2945" t="s">
        <v>23758</v>
      </c>
      <c r="AY2945">
        <v>15000</v>
      </c>
      <c r="AZ2945" s="184">
        <v>41008</v>
      </c>
      <c r="BA2945" t="s">
        <v>21099</v>
      </c>
      <c r="BB2945">
        <v>29948.79</v>
      </c>
      <c r="BC2945">
        <v>55</v>
      </c>
      <c r="BD2945">
        <v>237667.01</v>
      </c>
      <c r="BE2945">
        <v>2005</v>
      </c>
      <c r="BF2945">
        <v>26</v>
      </c>
      <c r="BG2945">
        <v>2</v>
      </c>
      <c r="BH2945">
        <v>30000</v>
      </c>
      <c r="BI2945">
        <v>11</v>
      </c>
      <c r="BJ2945">
        <v>20</v>
      </c>
      <c r="BK2945">
        <v>4</v>
      </c>
      <c r="BM2945" t="s">
        <v>595</v>
      </c>
      <c r="BN2945" t="s">
        <v>595</v>
      </c>
      <c r="BP2945" s="184"/>
    </row>
    <row r="2946" spans="1:68">
      <c r="A2946">
        <v>100102951</v>
      </c>
      <c r="B2946">
        <v>36562049</v>
      </c>
      <c r="C2946" t="s">
        <v>7018</v>
      </c>
      <c r="D2946" t="s">
        <v>595</v>
      </c>
      <c r="E2946" s="184">
        <v>44076</v>
      </c>
      <c r="G2946" s="184"/>
      <c r="K2946" s="184"/>
      <c r="M2946" s="184"/>
      <c r="O2946" s="184"/>
      <c r="P2946" t="s">
        <v>7084</v>
      </c>
      <c r="Q2946" t="s">
        <v>7454</v>
      </c>
      <c r="R2946" s="184">
        <v>20363</v>
      </c>
      <c r="S2946">
        <v>68</v>
      </c>
      <c r="U2946" t="s">
        <v>7031</v>
      </c>
      <c r="V2946" t="s">
        <v>3061</v>
      </c>
      <c r="X2946" t="s">
        <v>23750</v>
      </c>
      <c r="Z2946">
        <v>36562049</v>
      </c>
      <c r="AA2946" t="s">
        <v>23749</v>
      </c>
      <c r="AB2946" t="s">
        <v>3409</v>
      </c>
      <c r="AC2946" t="s">
        <v>3444</v>
      </c>
      <c r="AD2946" t="s">
        <v>23750</v>
      </c>
      <c r="AF2946" t="s">
        <v>23751</v>
      </c>
      <c r="AG2946" t="s">
        <v>23752</v>
      </c>
      <c r="AI2946" t="s">
        <v>23753</v>
      </c>
      <c r="AM2946" t="s">
        <v>3855</v>
      </c>
      <c r="AN2946" t="s">
        <v>2055</v>
      </c>
      <c r="AO2946" t="s">
        <v>23754</v>
      </c>
      <c r="AP2946" t="s">
        <v>7024</v>
      </c>
      <c r="AQ2946" t="s">
        <v>23759</v>
      </c>
      <c r="AT2946" s="184"/>
      <c r="AW2946" s="184"/>
      <c r="AZ2946" s="184"/>
      <c r="BP2946" s="184"/>
    </row>
    <row r="2947" spans="1:68">
      <c r="A2947">
        <v>36568863</v>
      </c>
      <c r="B2947">
        <v>36568863</v>
      </c>
      <c r="C2947" t="s">
        <v>7018</v>
      </c>
      <c r="D2947" t="s">
        <v>595</v>
      </c>
      <c r="E2947" s="184">
        <v>45195</v>
      </c>
      <c r="G2947" s="184"/>
      <c r="I2947" s="184"/>
      <c r="K2947" s="184"/>
      <c r="M2947" s="184"/>
      <c r="O2947" s="184"/>
      <c r="P2947" t="s">
        <v>7045</v>
      </c>
      <c r="Q2947" t="s">
        <v>7383</v>
      </c>
      <c r="R2947" s="184">
        <v>17137</v>
      </c>
      <c r="S2947">
        <v>77</v>
      </c>
      <c r="U2947" t="s">
        <v>7130</v>
      </c>
      <c r="V2947" t="s">
        <v>2523</v>
      </c>
      <c r="W2947" t="s">
        <v>7407</v>
      </c>
      <c r="X2947" t="s">
        <v>23760</v>
      </c>
      <c r="AF2947" t="s">
        <v>23761</v>
      </c>
      <c r="AG2947" t="s">
        <v>2523</v>
      </c>
      <c r="AI2947" t="s">
        <v>23762</v>
      </c>
      <c r="AM2947" t="s">
        <v>4965</v>
      </c>
      <c r="AN2947" t="s">
        <v>2185</v>
      </c>
      <c r="AO2947" t="s">
        <v>23763</v>
      </c>
      <c r="AP2947" t="s">
        <v>7024</v>
      </c>
      <c r="AQ2947" t="s">
        <v>23764</v>
      </c>
      <c r="AT2947" s="184">
        <v>37949</v>
      </c>
      <c r="AU2947" t="s">
        <v>23765</v>
      </c>
      <c r="AV2947">
        <v>15</v>
      </c>
      <c r="AW2947" s="184">
        <v>45357</v>
      </c>
      <c r="AX2947" t="s">
        <v>23766</v>
      </c>
      <c r="AY2947">
        <v>25</v>
      </c>
      <c r="AZ2947" s="184">
        <v>44335</v>
      </c>
      <c r="BA2947" t="s">
        <v>16849</v>
      </c>
      <c r="BB2947">
        <v>60</v>
      </c>
      <c r="BC2947">
        <v>41</v>
      </c>
      <c r="BD2947">
        <v>280</v>
      </c>
      <c r="BE2947">
        <v>2004</v>
      </c>
      <c r="BF2947">
        <v>13</v>
      </c>
      <c r="BG2947">
        <v>3</v>
      </c>
      <c r="BH2947">
        <v>45</v>
      </c>
      <c r="BI2947">
        <v>9</v>
      </c>
      <c r="BJ2947">
        <v>22</v>
      </c>
      <c r="BK2947">
        <v>6</v>
      </c>
      <c r="BP2947" s="184"/>
    </row>
    <row r="2948" spans="1:68">
      <c r="A2948">
        <v>36597078</v>
      </c>
      <c r="B2948">
        <v>36597078</v>
      </c>
      <c r="C2948" t="s">
        <v>7018</v>
      </c>
      <c r="E2948" s="184"/>
      <c r="G2948" s="184"/>
      <c r="I2948" s="184"/>
      <c r="J2948" t="s">
        <v>595</v>
      </c>
      <c r="K2948" s="184">
        <v>43745</v>
      </c>
      <c r="M2948" s="184"/>
      <c r="O2948" s="184"/>
      <c r="P2948" t="s">
        <v>7045</v>
      </c>
      <c r="Q2948" t="s">
        <v>7454</v>
      </c>
      <c r="R2948" s="184">
        <v>16806</v>
      </c>
      <c r="S2948">
        <v>78</v>
      </c>
      <c r="V2948" t="s">
        <v>3574</v>
      </c>
      <c r="X2948" t="s">
        <v>4071</v>
      </c>
      <c r="Z2948">
        <v>100347474</v>
      </c>
      <c r="AB2948" t="s">
        <v>2821</v>
      </c>
      <c r="AD2948" t="s">
        <v>4071</v>
      </c>
      <c r="AF2948" t="s">
        <v>6539</v>
      </c>
      <c r="AG2948" t="s">
        <v>23767</v>
      </c>
      <c r="AI2948" t="s">
        <v>23768</v>
      </c>
      <c r="AM2948" t="s">
        <v>4072</v>
      </c>
      <c r="AN2948" t="s">
        <v>2055</v>
      </c>
      <c r="AO2948" t="s">
        <v>23769</v>
      </c>
      <c r="AP2948" t="s">
        <v>7024</v>
      </c>
      <c r="AT2948" s="184">
        <v>37957</v>
      </c>
      <c r="AU2948" t="s">
        <v>23770</v>
      </c>
      <c r="AV2948">
        <v>15</v>
      </c>
      <c r="AW2948" s="184">
        <v>45278</v>
      </c>
      <c r="AX2948" t="s">
        <v>11384</v>
      </c>
      <c r="AY2948">
        <v>25</v>
      </c>
      <c r="AZ2948" s="184">
        <v>42065</v>
      </c>
      <c r="BA2948" t="s">
        <v>23771</v>
      </c>
      <c r="BB2948">
        <v>60</v>
      </c>
      <c r="BC2948">
        <v>87</v>
      </c>
      <c r="BD2948">
        <v>880</v>
      </c>
      <c r="BE2948">
        <v>2004</v>
      </c>
      <c r="BF2948">
        <v>35</v>
      </c>
      <c r="BG2948">
        <v>5</v>
      </c>
      <c r="BH2948">
        <v>110</v>
      </c>
      <c r="BI2948">
        <v>19</v>
      </c>
      <c r="BJ2948">
        <v>22</v>
      </c>
      <c r="BK2948">
        <v>17</v>
      </c>
      <c r="BP2948" s="184"/>
    </row>
    <row r="2949" spans="1:68">
      <c r="A2949">
        <v>36612927</v>
      </c>
      <c r="B2949">
        <v>36612927</v>
      </c>
      <c r="C2949" t="s">
        <v>7018</v>
      </c>
      <c r="D2949" t="s">
        <v>595</v>
      </c>
      <c r="E2949" s="184">
        <v>44167</v>
      </c>
      <c r="G2949" s="184"/>
      <c r="I2949" s="184"/>
      <c r="K2949" s="184"/>
      <c r="M2949" s="184"/>
      <c r="O2949" s="184"/>
      <c r="P2949" t="s">
        <v>7045</v>
      </c>
      <c r="Q2949" t="s">
        <v>7030</v>
      </c>
      <c r="R2949" s="184">
        <v>20090</v>
      </c>
      <c r="S2949">
        <v>69</v>
      </c>
      <c r="U2949" t="s">
        <v>7130</v>
      </c>
      <c r="V2949" t="s">
        <v>23772</v>
      </c>
      <c r="X2949" t="s">
        <v>23773</v>
      </c>
      <c r="AF2949" t="s">
        <v>23774</v>
      </c>
      <c r="AG2949" t="s">
        <v>23772</v>
      </c>
      <c r="AI2949" t="s">
        <v>23775</v>
      </c>
      <c r="AM2949" t="s">
        <v>4344</v>
      </c>
      <c r="AN2949" t="s">
        <v>2089</v>
      </c>
      <c r="AO2949" t="s">
        <v>23776</v>
      </c>
      <c r="AP2949" t="s">
        <v>7024</v>
      </c>
      <c r="AQ2949" t="s">
        <v>23777</v>
      </c>
      <c r="AR2949" t="s">
        <v>23778</v>
      </c>
      <c r="AT2949" s="184">
        <v>37963</v>
      </c>
      <c r="AU2949" t="s">
        <v>23779</v>
      </c>
      <c r="AV2949">
        <v>50</v>
      </c>
      <c r="AW2949" s="184">
        <v>44646</v>
      </c>
      <c r="AX2949" t="s">
        <v>8543</v>
      </c>
      <c r="AY2949">
        <v>100</v>
      </c>
      <c r="AZ2949" s="184">
        <v>44646</v>
      </c>
      <c r="BA2949" t="s">
        <v>8543</v>
      </c>
      <c r="BB2949">
        <v>100</v>
      </c>
      <c r="BC2949">
        <v>69</v>
      </c>
      <c r="BD2949">
        <v>1475</v>
      </c>
      <c r="BE2949">
        <v>2004</v>
      </c>
      <c r="BF2949">
        <v>19</v>
      </c>
      <c r="BI2949">
        <v>15</v>
      </c>
      <c r="BJ2949">
        <v>22</v>
      </c>
      <c r="BK2949">
        <v>7</v>
      </c>
      <c r="BP2949" s="184"/>
    </row>
    <row r="2950" spans="1:68">
      <c r="A2950">
        <v>36613792</v>
      </c>
      <c r="B2950">
        <v>36613792</v>
      </c>
      <c r="C2950" t="s">
        <v>7018</v>
      </c>
      <c r="D2950" t="s">
        <v>595</v>
      </c>
      <c r="E2950" s="184">
        <v>44070</v>
      </c>
      <c r="G2950" s="184"/>
      <c r="I2950" s="184"/>
      <c r="K2950" s="184"/>
      <c r="M2950" s="184"/>
      <c r="O2950" s="184"/>
      <c r="P2950" t="s">
        <v>7045</v>
      </c>
      <c r="Q2950" t="s">
        <v>7383</v>
      </c>
      <c r="R2950" s="184">
        <v>21776</v>
      </c>
      <c r="S2950">
        <v>64</v>
      </c>
      <c r="V2950" t="s">
        <v>3480</v>
      </c>
      <c r="X2950" t="s">
        <v>2758</v>
      </c>
      <c r="AF2950" t="s">
        <v>23780</v>
      </c>
      <c r="AG2950" t="s">
        <v>3480</v>
      </c>
      <c r="AI2950" t="s">
        <v>23781</v>
      </c>
      <c r="AM2950" t="s">
        <v>3357</v>
      </c>
      <c r="AN2950" t="s">
        <v>2185</v>
      </c>
      <c r="AO2950" t="s">
        <v>23782</v>
      </c>
      <c r="AP2950" t="s">
        <v>7024</v>
      </c>
      <c r="AQ2950" t="s">
        <v>23783</v>
      </c>
      <c r="AT2950" s="184">
        <v>37963</v>
      </c>
      <c r="AU2950" t="s">
        <v>23784</v>
      </c>
      <c r="AV2950">
        <v>19.97</v>
      </c>
      <c r="AW2950" s="184">
        <v>45369</v>
      </c>
      <c r="AX2950" t="s">
        <v>22799</v>
      </c>
      <c r="AY2950">
        <v>50</v>
      </c>
      <c r="AZ2950" s="184">
        <v>42815</v>
      </c>
      <c r="BA2950" t="s">
        <v>8139</v>
      </c>
      <c r="BB2950">
        <v>75</v>
      </c>
      <c r="BC2950">
        <v>69</v>
      </c>
      <c r="BD2950">
        <v>869.97</v>
      </c>
      <c r="BE2950">
        <v>2004</v>
      </c>
      <c r="BF2950">
        <v>19</v>
      </c>
      <c r="BG2950">
        <v>2</v>
      </c>
      <c r="BH2950">
        <v>100</v>
      </c>
      <c r="BI2950">
        <v>15</v>
      </c>
      <c r="BJ2950">
        <v>22</v>
      </c>
      <c r="BK2950">
        <v>10</v>
      </c>
      <c r="BP2950" s="184"/>
    </row>
    <row r="2951" spans="1:68">
      <c r="A2951">
        <v>36616472</v>
      </c>
      <c r="B2951">
        <v>36616472</v>
      </c>
      <c r="C2951" t="s">
        <v>7018</v>
      </c>
      <c r="D2951" t="s">
        <v>595</v>
      </c>
      <c r="E2951" s="184">
        <v>45166</v>
      </c>
      <c r="G2951" s="184"/>
      <c r="K2951" s="184"/>
      <c r="M2951" s="184"/>
      <c r="O2951" s="184"/>
      <c r="P2951" t="s">
        <v>7045</v>
      </c>
      <c r="Q2951" t="s">
        <v>7383</v>
      </c>
      <c r="R2951" s="184">
        <v>24693</v>
      </c>
      <c r="S2951">
        <v>56</v>
      </c>
      <c r="U2951" t="s">
        <v>7130</v>
      </c>
      <c r="V2951" t="s">
        <v>23785</v>
      </c>
      <c r="X2951" t="s">
        <v>23786</v>
      </c>
      <c r="AF2951" t="s">
        <v>23787</v>
      </c>
      <c r="AG2951" t="s">
        <v>23785</v>
      </c>
      <c r="AI2951" t="s">
        <v>23788</v>
      </c>
      <c r="AM2951" t="s">
        <v>3200</v>
      </c>
      <c r="AN2951" t="s">
        <v>2274</v>
      </c>
      <c r="AO2951" t="s">
        <v>23789</v>
      </c>
      <c r="AP2951" t="s">
        <v>7024</v>
      </c>
      <c r="AQ2951" t="s">
        <v>23790</v>
      </c>
      <c r="AR2951" t="s">
        <v>23791</v>
      </c>
      <c r="AT2951" s="184">
        <v>37963</v>
      </c>
      <c r="AU2951" t="s">
        <v>23784</v>
      </c>
      <c r="AV2951">
        <v>19.97</v>
      </c>
      <c r="AW2951" s="184">
        <v>45329</v>
      </c>
      <c r="AX2951" t="s">
        <v>23792</v>
      </c>
      <c r="AY2951">
        <v>25</v>
      </c>
      <c r="AZ2951" s="184">
        <v>45329</v>
      </c>
      <c r="BA2951" t="s">
        <v>23792</v>
      </c>
      <c r="BB2951">
        <v>25</v>
      </c>
      <c r="BC2951">
        <v>78</v>
      </c>
      <c r="BD2951">
        <v>574.97</v>
      </c>
      <c r="BE2951">
        <v>2004</v>
      </c>
      <c r="BF2951">
        <v>24</v>
      </c>
      <c r="BG2951">
        <v>3</v>
      </c>
      <c r="BH2951">
        <v>75</v>
      </c>
      <c r="BI2951">
        <v>17</v>
      </c>
      <c r="BJ2951">
        <v>22</v>
      </c>
      <c r="BK2951">
        <v>9</v>
      </c>
      <c r="BP2951" s="184"/>
    </row>
    <row r="2952" spans="1:68">
      <c r="A2952">
        <v>36620953</v>
      </c>
      <c r="B2952">
        <v>36620953</v>
      </c>
      <c r="C2952" t="s">
        <v>7018</v>
      </c>
      <c r="E2952" s="184"/>
      <c r="F2952" t="s">
        <v>595</v>
      </c>
      <c r="G2952" s="184">
        <v>44167</v>
      </c>
      <c r="I2952" s="184"/>
      <c r="K2952" s="184"/>
      <c r="M2952" s="184"/>
      <c r="O2952" s="184"/>
      <c r="P2952" t="s">
        <v>7045</v>
      </c>
      <c r="Q2952" t="s">
        <v>7194</v>
      </c>
      <c r="R2952" s="184">
        <v>9796</v>
      </c>
      <c r="S2952">
        <v>97</v>
      </c>
      <c r="V2952" t="s">
        <v>3165</v>
      </c>
      <c r="W2952" t="s">
        <v>7560</v>
      </c>
      <c r="X2952" t="s">
        <v>3969</v>
      </c>
      <c r="AF2952" t="s">
        <v>23793</v>
      </c>
      <c r="AG2952" t="s">
        <v>3165</v>
      </c>
      <c r="AI2952" t="s">
        <v>23794</v>
      </c>
      <c r="AM2952" t="s">
        <v>4266</v>
      </c>
      <c r="AN2952" t="s">
        <v>2046</v>
      </c>
      <c r="AO2952" t="s">
        <v>23795</v>
      </c>
      <c r="AP2952" t="s">
        <v>7024</v>
      </c>
      <c r="AQ2952" t="s">
        <v>23796</v>
      </c>
      <c r="AR2952" t="s">
        <v>23797</v>
      </c>
      <c r="AT2952" s="184">
        <v>37964</v>
      </c>
      <c r="AU2952" t="s">
        <v>23798</v>
      </c>
      <c r="AV2952">
        <v>25</v>
      </c>
      <c r="AW2952" s="184">
        <v>44363</v>
      </c>
      <c r="AX2952" t="s">
        <v>23799</v>
      </c>
      <c r="AY2952">
        <v>25</v>
      </c>
      <c r="AZ2952" s="184">
        <v>43007</v>
      </c>
      <c r="BA2952" t="s">
        <v>10234</v>
      </c>
      <c r="BB2952">
        <v>60</v>
      </c>
      <c r="BC2952">
        <v>64</v>
      </c>
      <c r="BD2952">
        <v>798</v>
      </c>
      <c r="BE2952">
        <v>2004</v>
      </c>
      <c r="BF2952">
        <v>41</v>
      </c>
      <c r="BI2952">
        <v>14</v>
      </c>
      <c r="BJ2952">
        <v>22</v>
      </c>
      <c r="BK2952">
        <v>8</v>
      </c>
      <c r="BP2952" s="184"/>
    </row>
    <row r="2953" spans="1:68">
      <c r="A2953">
        <v>36621688</v>
      </c>
      <c r="B2953">
        <v>36621688</v>
      </c>
      <c r="C2953" t="s">
        <v>7018</v>
      </c>
      <c r="E2953" s="184"/>
      <c r="G2953" s="184"/>
      <c r="I2953" s="184"/>
      <c r="K2953" s="184"/>
      <c r="L2953" t="s">
        <v>595</v>
      </c>
      <c r="M2953" s="184">
        <v>43923</v>
      </c>
      <c r="O2953" s="184"/>
      <c r="P2953" t="s">
        <v>7045</v>
      </c>
      <c r="Q2953" t="s">
        <v>7262</v>
      </c>
      <c r="R2953" s="184">
        <v>16761</v>
      </c>
      <c r="S2953">
        <v>78</v>
      </c>
      <c r="U2953" t="s">
        <v>7031</v>
      </c>
      <c r="V2953" t="s">
        <v>2541</v>
      </c>
      <c r="X2953" t="s">
        <v>23800</v>
      </c>
      <c r="Z2953">
        <v>100364404</v>
      </c>
      <c r="AA2953" t="s">
        <v>7130</v>
      </c>
      <c r="AB2953" t="s">
        <v>3302</v>
      </c>
      <c r="AD2953" t="s">
        <v>23800</v>
      </c>
      <c r="AF2953" t="s">
        <v>23801</v>
      </c>
      <c r="AG2953" t="s">
        <v>23802</v>
      </c>
      <c r="AI2953" t="s">
        <v>23803</v>
      </c>
      <c r="AM2953" t="s">
        <v>19338</v>
      </c>
      <c r="AN2953" t="s">
        <v>2069</v>
      </c>
      <c r="AO2953" t="s">
        <v>23804</v>
      </c>
      <c r="AP2953" t="s">
        <v>7024</v>
      </c>
      <c r="AQ2953" t="s">
        <v>23805</v>
      </c>
      <c r="AR2953" t="s">
        <v>23806</v>
      </c>
      <c r="AT2953" s="184">
        <v>37964</v>
      </c>
      <c r="AU2953" t="s">
        <v>23425</v>
      </c>
      <c r="AV2953">
        <v>100</v>
      </c>
      <c r="AW2953" s="184">
        <v>44992</v>
      </c>
      <c r="AX2953" t="s">
        <v>13484</v>
      </c>
      <c r="AY2953">
        <v>500</v>
      </c>
      <c r="AZ2953" s="184">
        <v>44992</v>
      </c>
      <c r="BA2953" t="s">
        <v>13484</v>
      </c>
      <c r="BB2953">
        <v>500</v>
      </c>
      <c r="BC2953">
        <v>78</v>
      </c>
      <c r="BD2953">
        <v>3800</v>
      </c>
      <c r="BE2953">
        <v>2004</v>
      </c>
      <c r="BF2953">
        <v>18</v>
      </c>
      <c r="BG2953">
        <v>1</v>
      </c>
      <c r="BH2953">
        <v>500</v>
      </c>
      <c r="BI2953">
        <v>17</v>
      </c>
      <c r="BJ2953">
        <v>22</v>
      </c>
      <c r="BK2953">
        <v>8</v>
      </c>
      <c r="BP2953" s="184"/>
    </row>
    <row r="2954" spans="1:68">
      <c r="A2954">
        <v>36644805</v>
      </c>
      <c r="B2954">
        <v>36644805</v>
      </c>
      <c r="C2954" t="s">
        <v>7018</v>
      </c>
      <c r="E2954" s="184"/>
      <c r="G2954" s="184"/>
      <c r="I2954" s="184"/>
      <c r="J2954" t="s">
        <v>595</v>
      </c>
      <c r="K2954" s="184">
        <v>43838</v>
      </c>
      <c r="M2954" s="184"/>
      <c r="O2954" s="184"/>
      <c r="P2954" t="s">
        <v>7029</v>
      </c>
      <c r="Q2954" t="s">
        <v>7383</v>
      </c>
      <c r="R2954" s="184">
        <v>18810</v>
      </c>
      <c r="S2954">
        <v>72</v>
      </c>
      <c r="U2954" t="s">
        <v>7031</v>
      </c>
      <c r="V2954" t="s">
        <v>3617</v>
      </c>
      <c r="W2954" t="s">
        <v>7963</v>
      </c>
      <c r="X2954" t="s">
        <v>23807</v>
      </c>
      <c r="Z2954">
        <v>100182585</v>
      </c>
      <c r="AA2954" t="s">
        <v>7130</v>
      </c>
      <c r="AB2954" t="s">
        <v>5772</v>
      </c>
      <c r="AD2954" t="s">
        <v>23807</v>
      </c>
      <c r="AF2954" t="s">
        <v>6127</v>
      </c>
      <c r="AG2954" t="s">
        <v>3617</v>
      </c>
      <c r="AI2954" t="s">
        <v>23808</v>
      </c>
      <c r="AM2954" t="s">
        <v>3424</v>
      </c>
      <c r="AN2954" t="s">
        <v>2064</v>
      </c>
      <c r="AO2954" t="s">
        <v>23809</v>
      </c>
      <c r="AP2954" t="s">
        <v>7024</v>
      </c>
      <c r="AQ2954" t="s">
        <v>23810</v>
      </c>
      <c r="AR2954" t="s">
        <v>23811</v>
      </c>
      <c r="AT2954" s="184">
        <v>37985</v>
      </c>
      <c r="AU2954" t="s">
        <v>23425</v>
      </c>
      <c r="AV2954">
        <v>100</v>
      </c>
      <c r="AW2954" s="184">
        <v>45201</v>
      </c>
      <c r="AX2954" t="s">
        <v>9576</v>
      </c>
      <c r="AY2954">
        <v>250</v>
      </c>
      <c r="AZ2954" s="184">
        <v>45201</v>
      </c>
      <c r="BA2954" t="s">
        <v>9576</v>
      </c>
      <c r="BB2954">
        <v>250</v>
      </c>
      <c r="BC2954">
        <v>96</v>
      </c>
      <c r="BD2954">
        <v>6955</v>
      </c>
      <c r="BE2954">
        <v>2004</v>
      </c>
      <c r="BF2954">
        <v>44</v>
      </c>
      <c r="BG2954">
        <v>8</v>
      </c>
      <c r="BH2954">
        <v>1255</v>
      </c>
      <c r="BI2954">
        <v>21</v>
      </c>
      <c r="BJ2954">
        <v>22</v>
      </c>
      <c r="BK2954">
        <v>21</v>
      </c>
      <c r="BP2954" s="184"/>
    </row>
    <row r="2955" spans="1:68">
      <c r="A2955">
        <v>36658821</v>
      </c>
      <c r="B2955">
        <v>36658821</v>
      </c>
      <c r="C2955" t="s">
        <v>7018</v>
      </c>
      <c r="E2955" s="184"/>
      <c r="G2955" s="184"/>
      <c r="I2955" s="184"/>
      <c r="J2955" t="s">
        <v>595</v>
      </c>
      <c r="K2955" s="184">
        <v>38701</v>
      </c>
      <c r="M2955" s="184"/>
      <c r="O2955" s="184"/>
      <c r="P2955" t="s">
        <v>7084</v>
      </c>
      <c r="Q2955" t="s">
        <v>7194</v>
      </c>
      <c r="R2955" s="184">
        <v>15387</v>
      </c>
      <c r="S2955">
        <v>82</v>
      </c>
      <c r="U2955" t="s">
        <v>7076</v>
      </c>
      <c r="V2955" t="s">
        <v>2985</v>
      </c>
      <c r="W2955" t="s">
        <v>7356</v>
      </c>
      <c r="X2955" t="s">
        <v>5326</v>
      </c>
      <c r="AF2955" t="s">
        <v>23812</v>
      </c>
      <c r="AG2955" t="s">
        <v>2985</v>
      </c>
      <c r="AI2955" t="s">
        <v>23813</v>
      </c>
      <c r="AM2955" t="s">
        <v>11015</v>
      </c>
      <c r="AN2955" t="s">
        <v>2046</v>
      </c>
      <c r="AO2955">
        <v>34103</v>
      </c>
      <c r="AP2955" t="s">
        <v>7024</v>
      </c>
      <c r="AQ2955" t="s">
        <v>23814</v>
      </c>
      <c r="AR2955" t="s">
        <v>23815</v>
      </c>
      <c r="AT2955" s="184">
        <v>38107</v>
      </c>
      <c r="AU2955" t="s">
        <v>20492</v>
      </c>
      <c r="AV2955">
        <v>5000</v>
      </c>
      <c r="AW2955" s="184">
        <v>45243</v>
      </c>
      <c r="AX2955" t="s">
        <v>9245</v>
      </c>
      <c r="AY2955">
        <v>25000</v>
      </c>
      <c r="AZ2955" s="184">
        <v>39696</v>
      </c>
      <c r="BA2955" t="s">
        <v>23816</v>
      </c>
      <c r="BB2955">
        <v>200000</v>
      </c>
      <c r="BC2955">
        <v>96</v>
      </c>
      <c r="BD2955">
        <v>777550</v>
      </c>
      <c r="BE2955">
        <v>2004</v>
      </c>
      <c r="BF2955">
        <v>33</v>
      </c>
      <c r="BG2955">
        <v>2</v>
      </c>
      <c r="BH2955">
        <v>50000</v>
      </c>
      <c r="BI2955">
        <v>20</v>
      </c>
      <c r="BJ2955">
        <v>21</v>
      </c>
      <c r="BK2955">
        <v>20</v>
      </c>
      <c r="BM2955" t="s">
        <v>595</v>
      </c>
      <c r="BP2955" s="184"/>
    </row>
    <row r="2956" spans="1:68">
      <c r="A2956">
        <v>36659357</v>
      </c>
      <c r="B2956">
        <v>36659357</v>
      </c>
      <c r="C2956" t="s">
        <v>7018</v>
      </c>
      <c r="E2956" s="184"/>
      <c r="G2956" s="184"/>
      <c r="I2956" s="184"/>
      <c r="J2956" t="s">
        <v>595</v>
      </c>
      <c r="K2956" s="184">
        <v>44073</v>
      </c>
      <c r="M2956" s="184"/>
      <c r="O2956" s="184"/>
      <c r="P2956" t="s">
        <v>7045</v>
      </c>
      <c r="Q2956" t="s">
        <v>7383</v>
      </c>
      <c r="R2956" s="184">
        <v>15617</v>
      </c>
      <c r="S2956">
        <v>81</v>
      </c>
      <c r="U2956" t="s">
        <v>7032</v>
      </c>
      <c r="V2956" t="s">
        <v>2593</v>
      </c>
      <c r="X2956" t="s">
        <v>23817</v>
      </c>
      <c r="Z2956">
        <v>100103471</v>
      </c>
      <c r="AA2956" t="s">
        <v>7032</v>
      </c>
      <c r="AB2956" t="s">
        <v>2863</v>
      </c>
      <c r="AD2956" t="s">
        <v>23818</v>
      </c>
      <c r="AF2956" t="s">
        <v>23819</v>
      </c>
      <c r="AG2956" t="s">
        <v>23820</v>
      </c>
      <c r="AI2956" t="s">
        <v>23821</v>
      </c>
      <c r="AM2956" t="s">
        <v>3345</v>
      </c>
      <c r="AN2956" t="s">
        <v>2274</v>
      </c>
      <c r="AO2956" t="s">
        <v>23822</v>
      </c>
      <c r="AP2956" t="s">
        <v>7024</v>
      </c>
      <c r="AQ2956" t="s">
        <v>23823</v>
      </c>
      <c r="AR2956" t="s">
        <v>23824</v>
      </c>
      <c r="AT2956" s="184">
        <v>37986</v>
      </c>
      <c r="AU2956" t="s">
        <v>23573</v>
      </c>
      <c r="AV2956">
        <v>25</v>
      </c>
      <c r="AW2956" s="184">
        <v>45412</v>
      </c>
      <c r="AX2956" t="s">
        <v>7429</v>
      </c>
      <c r="AY2956">
        <v>10</v>
      </c>
      <c r="AZ2956" s="184">
        <v>43615</v>
      </c>
      <c r="BA2956" t="s">
        <v>11374</v>
      </c>
      <c r="BB2956">
        <v>75</v>
      </c>
      <c r="BC2956">
        <v>100</v>
      </c>
      <c r="BD2956">
        <v>1505</v>
      </c>
      <c r="BE2956">
        <v>2004</v>
      </c>
      <c r="BF2956">
        <v>70</v>
      </c>
      <c r="BG2956">
        <v>23</v>
      </c>
      <c r="BH2956">
        <v>230</v>
      </c>
      <c r="BI2956">
        <v>22</v>
      </c>
      <c r="BJ2956">
        <v>22</v>
      </c>
      <c r="BK2956">
        <v>22</v>
      </c>
      <c r="BN2956" t="s">
        <v>595</v>
      </c>
      <c r="BP2956" s="184"/>
    </row>
    <row r="2957" spans="1:68">
      <c r="A2957">
        <v>100103471</v>
      </c>
      <c r="B2957">
        <v>36659357</v>
      </c>
      <c r="C2957" t="s">
        <v>7018</v>
      </c>
      <c r="E2957" s="184"/>
      <c r="G2957" s="184"/>
      <c r="I2957" s="184"/>
      <c r="J2957" t="s">
        <v>595</v>
      </c>
      <c r="K2957" s="184">
        <v>44073</v>
      </c>
      <c r="O2957" s="184"/>
      <c r="P2957" t="s">
        <v>7045</v>
      </c>
      <c r="Q2957" t="s">
        <v>7383</v>
      </c>
      <c r="R2957" s="184">
        <v>15617</v>
      </c>
      <c r="S2957">
        <v>81</v>
      </c>
      <c r="U2957" t="s">
        <v>7032</v>
      </c>
      <c r="V2957" t="s">
        <v>2863</v>
      </c>
      <c r="X2957" t="s">
        <v>23818</v>
      </c>
      <c r="Z2957">
        <v>36659357</v>
      </c>
      <c r="AA2957" t="s">
        <v>7032</v>
      </c>
      <c r="AB2957" t="s">
        <v>2593</v>
      </c>
      <c r="AD2957" t="s">
        <v>23817</v>
      </c>
      <c r="AF2957" t="s">
        <v>23819</v>
      </c>
      <c r="AG2957" t="s">
        <v>23820</v>
      </c>
      <c r="AI2957" t="s">
        <v>23821</v>
      </c>
      <c r="AM2957" t="s">
        <v>3345</v>
      </c>
      <c r="AN2957" t="s">
        <v>2274</v>
      </c>
      <c r="AO2957" t="s">
        <v>23822</v>
      </c>
      <c r="AP2957" t="s">
        <v>7024</v>
      </c>
      <c r="AQ2957" t="s">
        <v>23825</v>
      </c>
      <c r="AT2957" s="184"/>
      <c r="AW2957" s="184"/>
      <c r="AZ2957" s="184"/>
      <c r="BP2957" s="184"/>
    </row>
    <row r="2958" spans="1:68">
      <c r="A2958">
        <v>36664183</v>
      </c>
      <c r="B2958">
        <v>36664183</v>
      </c>
      <c r="C2958" t="s">
        <v>7018</v>
      </c>
      <c r="E2958" s="184"/>
      <c r="G2958" s="184"/>
      <c r="I2958" s="184"/>
      <c r="J2958" t="s">
        <v>595</v>
      </c>
      <c r="K2958" s="184">
        <v>43881</v>
      </c>
      <c r="O2958" s="184"/>
      <c r="P2958" t="s">
        <v>7045</v>
      </c>
      <c r="Q2958" t="s">
        <v>7160</v>
      </c>
      <c r="R2958" s="184">
        <v>13693</v>
      </c>
      <c r="S2958">
        <v>86</v>
      </c>
      <c r="U2958" t="s">
        <v>7130</v>
      </c>
      <c r="V2958" t="s">
        <v>23826</v>
      </c>
      <c r="W2958" t="s">
        <v>7407</v>
      </c>
      <c r="X2958" t="s">
        <v>23827</v>
      </c>
      <c r="AF2958" t="s">
        <v>6485</v>
      </c>
      <c r="AG2958" t="s">
        <v>23826</v>
      </c>
      <c r="AI2958" t="s">
        <v>23828</v>
      </c>
      <c r="AM2958" t="s">
        <v>2737</v>
      </c>
      <c r="AN2958" t="s">
        <v>2395</v>
      </c>
      <c r="AO2958" t="s">
        <v>23829</v>
      </c>
      <c r="AP2958" t="s">
        <v>7024</v>
      </c>
      <c r="AT2958" s="184">
        <v>37986</v>
      </c>
      <c r="AU2958" t="s">
        <v>23715</v>
      </c>
      <c r="AV2958">
        <v>20</v>
      </c>
      <c r="AW2958" s="184">
        <v>44939</v>
      </c>
      <c r="AX2958" t="s">
        <v>23830</v>
      </c>
      <c r="AY2958">
        <v>250</v>
      </c>
      <c r="AZ2958" s="184">
        <v>44939</v>
      </c>
      <c r="BA2958" t="s">
        <v>23830</v>
      </c>
      <c r="BB2958">
        <v>250</v>
      </c>
      <c r="BC2958">
        <v>64</v>
      </c>
      <c r="BD2958">
        <v>1585</v>
      </c>
      <c r="BE2958">
        <v>2004</v>
      </c>
      <c r="BF2958">
        <v>17</v>
      </c>
      <c r="BG2958">
        <v>1</v>
      </c>
      <c r="BH2958">
        <v>250</v>
      </c>
      <c r="BI2958">
        <v>14</v>
      </c>
      <c r="BJ2958">
        <v>22</v>
      </c>
      <c r="BK2958">
        <v>7</v>
      </c>
      <c r="BP2958" s="184"/>
    </row>
    <row r="2959" spans="1:68">
      <c r="A2959">
        <v>36664589</v>
      </c>
      <c r="B2959">
        <v>36664589</v>
      </c>
      <c r="C2959" t="s">
        <v>7018</v>
      </c>
      <c r="E2959" s="184"/>
      <c r="G2959" s="184"/>
      <c r="I2959" s="184"/>
      <c r="J2959" t="s">
        <v>595</v>
      </c>
      <c r="K2959" s="184">
        <v>41540</v>
      </c>
      <c r="O2959" s="184"/>
      <c r="P2959" t="s">
        <v>7045</v>
      </c>
      <c r="Q2959" t="s">
        <v>7454</v>
      </c>
      <c r="R2959" s="184"/>
      <c r="U2959" t="s">
        <v>7076</v>
      </c>
      <c r="V2959" t="s">
        <v>3147</v>
      </c>
      <c r="X2959" t="s">
        <v>23831</v>
      </c>
      <c r="AF2959" t="s">
        <v>6575</v>
      </c>
      <c r="AG2959" t="s">
        <v>3147</v>
      </c>
      <c r="AI2959" t="s">
        <v>23832</v>
      </c>
      <c r="AM2959" t="s">
        <v>3455</v>
      </c>
      <c r="AN2959" t="s">
        <v>2055</v>
      </c>
      <c r="AO2959" t="s">
        <v>23833</v>
      </c>
      <c r="AP2959" t="s">
        <v>7024</v>
      </c>
      <c r="AQ2959" t="s">
        <v>23834</v>
      </c>
      <c r="AT2959" s="184">
        <v>37986</v>
      </c>
      <c r="AU2959" t="s">
        <v>23835</v>
      </c>
      <c r="AV2959">
        <v>25</v>
      </c>
      <c r="AW2959" s="184">
        <v>41876</v>
      </c>
      <c r="AX2959" t="s">
        <v>23836</v>
      </c>
      <c r="AY2959">
        <v>50</v>
      </c>
      <c r="AZ2959" s="184">
        <v>41450</v>
      </c>
      <c r="BA2959" t="s">
        <v>23837</v>
      </c>
      <c r="BB2959">
        <v>100</v>
      </c>
      <c r="BC2959">
        <v>50</v>
      </c>
      <c r="BD2959">
        <v>565</v>
      </c>
      <c r="BE2959">
        <v>2004</v>
      </c>
      <c r="BF2959">
        <v>14</v>
      </c>
      <c r="BI2959">
        <v>11</v>
      </c>
      <c r="BJ2959">
        <v>22</v>
      </c>
      <c r="BK2959">
        <v>9</v>
      </c>
      <c r="BP2959" s="184"/>
    </row>
    <row r="2960" spans="1:68">
      <c r="A2960">
        <v>36679678</v>
      </c>
      <c r="B2960">
        <v>36679678</v>
      </c>
      <c r="C2960" t="s">
        <v>7018</v>
      </c>
      <c r="E2960" s="184"/>
      <c r="G2960" s="184"/>
      <c r="I2960" s="184"/>
      <c r="K2960" s="184"/>
      <c r="M2960" s="184"/>
      <c r="N2960" t="s">
        <v>595</v>
      </c>
      <c r="O2960" s="184">
        <v>38169</v>
      </c>
      <c r="P2960" t="s">
        <v>7045</v>
      </c>
      <c r="Q2960" t="s">
        <v>7374</v>
      </c>
      <c r="R2960" s="184">
        <v>6325</v>
      </c>
      <c r="S2960">
        <v>107</v>
      </c>
      <c r="U2960" t="s">
        <v>7031</v>
      </c>
      <c r="V2960" t="s">
        <v>3103</v>
      </c>
      <c r="W2960" t="s">
        <v>2615</v>
      </c>
      <c r="X2960" t="s">
        <v>2749</v>
      </c>
      <c r="AF2960" t="s">
        <v>23838</v>
      </c>
      <c r="AG2960" t="s">
        <v>23839</v>
      </c>
      <c r="AI2960" t="s">
        <v>23840</v>
      </c>
      <c r="AM2960" t="s">
        <v>5573</v>
      </c>
      <c r="AN2960" t="s">
        <v>2081</v>
      </c>
      <c r="AO2960">
        <v>92545</v>
      </c>
      <c r="AP2960" t="s">
        <v>7024</v>
      </c>
      <c r="AT2960" s="184">
        <v>38009</v>
      </c>
      <c r="AU2960" t="s">
        <v>23841</v>
      </c>
      <c r="AV2960">
        <v>500</v>
      </c>
      <c r="AW2960" s="184">
        <v>40667</v>
      </c>
      <c r="AX2960" t="s">
        <v>23842</v>
      </c>
      <c r="AY2960">
        <v>100</v>
      </c>
      <c r="AZ2960" s="184">
        <v>38166</v>
      </c>
      <c r="BA2960" t="s">
        <v>10310</v>
      </c>
      <c r="BB2960">
        <v>25000</v>
      </c>
      <c r="BC2960">
        <v>24</v>
      </c>
      <c r="BD2960">
        <v>35993</v>
      </c>
      <c r="BE2960">
        <v>2004</v>
      </c>
      <c r="BF2960">
        <v>11</v>
      </c>
      <c r="BI2960">
        <v>5</v>
      </c>
      <c r="BJ2960">
        <v>21</v>
      </c>
      <c r="BK2960">
        <v>4</v>
      </c>
      <c r="BO2960" t="s">
        <v>595</v>
      </c>
      <c r="BP2960" s="184">
        <v>40858</v>
      </c>
    </row>
    <row r="2961" spans="1:68">
      <c r="A2961">
        <v>36686079</v>
      </c>
      <c r="B2961">
        <v>36686079</v>
      </c>
      <c r="C2961" t="s">
        <v>7018</v>
      </c>
      <c r="E2961" s="184"/>
      <c r="G2961" s="184"/>
      <c r="I2961" s="184"/>
      <c r="J2961" t="s">
        <v>595</v>
      </c>
      <c r="K2961" s="184">
        <v>38771</v>
      </c>
      <c r="M2961" s="184"/>
      <c r="O2961" s="184"/>
      <c r="P2961" t="s">
        <v>7045</v>
      </c>
      <c r="Q2961" t="s">
        <v>7454</v>
      </c>
      <c r="R2961" s="184">
        <v>17746</v>
      </c>
      <c r="S2961">
        <v>75</v>
      </c>
      <c r="V2961" t="s">
        <v>3317</v>
      </c>
      <c r="W2961" t="s">
        <v>7407</v>
      </c>
      <c r="X2961" t="s">
        <v>22611</v>
      </c>
      <c r="Z2961">
        <v>100103637</v>
      </c>
      <c r="AB2961" t="s">
        <v>3254</v>
      </c>
      <c r="AC2961" t="s">
        <v>7246</v>
      </c>
      <c r="AD2961" t="s">
        <v>22611</v>
      </c>
      <c r="AF2961" t="s">
        <v>6238</v>
      </c>
      <c r="AG2961" t="s">
        <v>23843</v>
      </c>
      <c r="AI2961" t="s">
        <v>23844</v>
      </c>
      <c r="AJ2961" t="s">
        <v>23845</v>
      </c>
      <c r="AM2961" t="s">
        <v>23846</v>
      </c>
      <c r="AN2961" t="s">
        <v>2055</v>
      </c>
      <c r="AO2961" t="s">
        <v>23847</v>
      </c>
      <c r="AP2961" t="s">
        <v>7024</v>
      </c>
      <c r="AQ2961" t="s">
        <v>23848</v>
      </c>
      <c r="AR2961" t="s">
        <v>23849</v>
      </c>
      <c r="AT2961" s="184">
        <v>38020</v>
      </c>
      <c r="AU2961" t="s">
        <v>23850</v>
      </c>
      <c r="AV2961">
        <v>25</v>
      </c>
      <c r="AW2961" s="184">
        <v>42408</v>
      </c>
      <c r="AX2961" t="s">
        <v>23851</v>
      </c>
      <c r="AY2961">
        <v>15</v>
      </c>
      <c r="AZ2961" s="184">
        <v>38503</v>
      </c>
      <c r="BA2961" t="s">
        <v>23852</v>
      </c>
      <c r="BB2961">
        <v>75</v>
      </c>
      <c r="BC2961">
        <v>62</v>
      </c>
      <c r="BD2961">
        <v>2295</v>
      </c>
      <c r="BE2961">
        <v>2004</v>
      </c>
      <c r="BF2961">
        <v>136</v>
      </c>
      <c r="BI2961">
        <v>13</v>
      </c>
      <c r="BJ2961">
        <v>21</v>
      </c>
      <c r="BK2961">
        <v>13</v>
      </c>
      <c r="BN2961" t="s">
        <v>595</v>
      </c>
      <c r="BP2961" s="184"/>
    </row>
    <row r="2962" spans="1:68">
      <c r="A2962">
        <v>100103637</v>
      </c>
      <c r="B2962">
        <v>36686079</v>
      </c>
      <c r="C2962" t="s">
        <v>7018</v>
      </c>
      <c r="E2962" s="184"/>
      <c r="G2962" s="184"/>
      <c r="I2962" s="184"/>
      <c r="J2962" t="s">
        <v>595</v>
      </c>
      <c r="K2962" s="184">
        <v>38771</v>
      </c>
      <c r="M2962" s="184"/>
      <c r="O2962" s="184"/>
      <c r="P2962" t="s">
        <v>7045</v>
      </c>
      <c r="Q2962" t="s">
        <v>7454</v>
      </c>
      <c r="R2962" s="184">
        <v>15582</v>
      </c>
      <c r="S2962">
        <v>81</v>
      </c>
      <c r="V2962" t="s">
        <v>3254</v>
      </c>
      <c r="W2962" t="s">
        <v>7246</v>
      </c>
      <c r="X2962" t="s">
        <v>22611</v>
      </c>
      <c r="Z2962">
        <v>36686079</v>
      </c>
      <c r="AB2962" t="s">
        <v>3317</v>
      </c>
      <c r="AC2962" t="s">
        <v>7407</v>
      </c>
      <c r="AD2962" t="s">
        <v>22611</v>
      </c>
      <c r="AF2962" t="s">
        <v>6238</v>
      </c>
      <c r="AG2962" t="s">
        <v>23843</v>
      </c>
      <c r="AI2962" t="s">
        <v>23844</v>
      </c>
      <c r="AJ2962" t="s">
        <v>23845</v>
      </c>
      <c r="AM2962" t="s">
        <v>23846</v>
      </c>
      <c r="AN2962" t="s">
        <v>2055</v>
      </c>
      <c r="AO2962" t="s">
        <v>23847</v>
      </c>
      <c r="AP2962" t="s">
        <v>7024</v>
      </c>
      <c r="AT2962" s="184"/>
      <c r="AW2962" s="184"/>
      <c r="AZ2962" s="184"/>
      <c r="BP2962" s="184"/>
    </row>
    <row r="2963" spans="1:68">
      <c r="A2963">
        <v>36687176</v>
      </c>
      <c r="B2963">
        <v>36687176</v>
      </c>
      <c r="C2963" t="s">
        <v>7018</v>
      </c>
      <c r="E2963" s="184"/>
      <c r="G2963" s="184"/>
      <c r="I2963" s="184"/>
      <c r="J2963" t="s">
        <v>595</v>
      </c>
      <c r="K2963" s="184"/>
      <c r="N2963" t="s">
        <v>595</v>
      </c>
      <c r="O2963" s="184">
        <v>42368</v>
      </c>
      <c r="P2963" t="s">
        <v>7029</v>
      </c>
      <c r="Q2963" t="s">
        <v>8385</v>
      </c>
      <c r="R2963" s="184">
        <v>17199</v>
      </c>
      <c r="S2963">
        <v>77</v>
      </c>
      <c r="U2963" t="s">
        <v>7076</v>
      </c>
      <c r="V2963" t="s">
        <v>4523</v>
      </c>
      <c r="W2963" t="s">
        <v>4139</v>
      </c>
      <c r="X2963" t="s">
        <v>5468</v>
      </c>
      <c r="Z2963">
        <v>100182592</v>
      </c>
      <c r="AA2963" t="s">
        <v>7031</v>
      </c>
      <c r="AB2963" t="s">
        <v>2786</v>
      </c>
      <c r="AD2963" t="s">
        <v>5467</v>
      </c>
      <c r="AF2963" t="s">
        <v>23853</v>
      </c>
      <c r="AG2963" t="s">
        <v>4523</v>
      </c>
      <c r="AI2963" t="s">
        <v>23854</v>
      </c>
      <c r="AM2963" t="s">
        <v>4842</v>
      </c>
      <c r="AN2963" t="s">
        <v>2181</v>
      </c>
      <c r="AO2963">
        <v>99524</v>
      </c>
      <c r="AP2963" t="s">
        <v>7024</v>
      </c>
      <c r="AQ2963" t="s">
        <v>23855</v>
      </c>
      <c r="AR2963" t="s">
        <v>23856</v>
      </c>
      <c r="AT2963" s="184">
        <v>38182</v>
      </c>
      <c r="AU2963" t="s">
        <v>23857</v>
      </c>
      <c r="AV2963">
        <v>500</v>
      </c>
      <c r="AW2963" s="184">
        <v>45138</v>
      </c>
      <c r="AX2963" t="s">
        <v>8992</v>
      </c>
      <c r="AY2963">
        <v>2000</v>
      </c>
      <c r="AZ2963" s="184">
        <v>42368</v>
      </c>
      <c r="BA2963" t="s">
        <v>7100</v>
      </c>
      <c r="BB2963">
        <v>10000</v>
      </c>
      <c r="BC2963">
        <v>96</v>
      </c>
      <c r="BD2963">
        <v>89925</v>
      </c>
      <c r="BE2963">
        <v>2005</v>
      </c>
      <c r="BF2963">
        <v>77</v>
      </c>
      <c r="BG2963">
        <v>3</v>
      </c>
      <c r="BH2963">
        <v>6500</v>
      </c>
      <c r="BI2963">
        <v>20</v>
      </c>
      <c r="BJ2963">
        <v>21</v>
      </c>
      <c r="BK2963">
        <v>20</v>
      </c>
      <c r="BM2963" t="s">
        <v>595</v>
      </c>
      <c r="BP2963" s="184"/>
    </row>
    <row r="2964" spans="1:68">
      <c r="A2964">
        <v>36705903</v>
      </c>
      <c r="B2964">
        <v>36705903</v>
      </c>
      <c r="C2964" t="s">
        <v>7018</v>
      </c>
      <c r="E2964" s="184"/>
      <c r="G2964" s="184"/>
      <c r="I2964" s="184"/>
      <c r="J2964" t="s">
        <v>595</v>
      </c>
      <c r="K2964" s="184">
        <v>39736</v>
      </c>
      <c r="M2964" s="184"/>
      <c r="O2964" s="184"/>
      <c r="P2964" t="s">
        <v>7045</v>
      </c>
      <c r="Q2964" t="s">
        <v>7020</v>
      </c>
      <c r="R2964" s="184">
        <v>9705</v>
      </c>
      <c r="S2964">
        <v>97</v>
      </c>
      <c r="U2964" t="s">
        <v>7031</v>
      </c>
      <c r="V2964" t="s">
        <v>2551</v>
      </c>
      <c r="W2964" t="s">
        <v>2058</v>
      </c>
      <c r="X2964" t="s">
        <v>23858</v>
      </c>
      <c r="AF2964" t="s">
        <v>23859</v>
      </c>
      <c r="AG2964" t="s">
        <v>2551</v>
      </c>
      <c r="AI2964" t="s">
        <v>23860</v>
      </c>
      <c r="AM2964" t="s">
        <v>3004</v>
      </c>
      <c r="AN2964" t="s">
        <v>2112</v>
      </c>
      <c r="AO2964" t="s">
        <v>23861</v>
      </c>
      <c r="AP2964" t="s">
        <v>7024</v>
      </c>
      <c r="AQ2964" t="s">
        <v>23862</v>
      </c>
      <c r="AT2964" s="184">
        <v>34590</v>
      </c>
      <c r="AU2964" t="s">
        <v>23863</v>
      </c>
      <c r="AV2964">
        <v>15</v>
      </c>
      <c r="AW2964" s="184">
        <v>44614</v>
      </c>
      <c r="AX2964" t="s">
        <v>23864</v>
      </c>
      <c r="AY2964">
        <v>25</v>
      </c>
      <c r="AZ2964" s="184">
        <v>43522</v>
      </c>
      <c r="BA2964" t="s">
        <v>23865</v>
      </c>
      <c r="BB2964">
        <v>40</v>
      </c>
      <c r="BC2964">
        <v>71</v>
      </c>
      <c r="BD2964">
        <v>648</v>
      </c>
      <c r="BE2964">
        <v>1995</v>
      </c>
      <c r="BF2964">
        <v>26</v>
      </c>
      <c r="BI2964">
        <v>22</v>
      </c>
      <c r="BJ2964">
        <v>31</v>
      </c>
      <c r="BK2964">
        <v>19</v>
      </c>
      <c r="BP2964" s="184"/>
    </row>
    <row r="2965" spans="1:68">
      <c r="A2965">
        <v>36722742</v>
      </c>
      <c r="B2965">
        <v>36722742</v>
      </c>
      <c r="C2965" t="s">
        <v>7018</v>
      </c>
      <c r="D2965" t="s">
        <v>595</v>
      </c>
      <c r="E2965" s="184">
        <v>44167</v>
      </c>
      <c r="G2965" s="184"/>
      <c r="I2965" s="184"/>
      <c r="K2965" s="184"/>
      <c r="M2965" s="184"/>
      <c r="O2965" s="184"/>
      <c r="P2965" t="s">
        <v>7045</v>
      </c>
      <c r="Q2965" t="s">
        <v>7383</v>
      </c>
      <c r="R2965" s="184">
        <v>15827</v>
      </c>
      <c r="S2965">
        <v>81</v>
      </c>
      <c r="V2965" t="s">
        <v>2786</v>
      </c>
      <c r="X2965" t="s">
        <v>23866</v>
      </c>
      <c r="AF2965" t="s">
        <v>23867</v>
      </c>
      <c r="AG2965" t="s">
        <v>2786</v>
      </c>
      <c r="AI2965" t="s">
        <v>23868</v>
      </c>
      <c r="AM2965" t="s">
        <v>3783</v>
      </c>
      <c r="AN2965" t="s">
        <v>2139</v>
      </c>
      <c r="AO2965" t="s">
        <v>23869</v>
      </c>
      <c r="AP2965" t="s">
        <v>7024</v>
      </c>
      <c r="AT2965" s="184">
        <v>38040</v>
      </c>
      <c r="AU2965" t="s">
        <v>23870</v>
      </c>
      <c r="AV2965">
        <v>15</v>
      </c>
      <c r="AW2965" s="184">
        <v>44923</v>
      </c>
      <c r="AX2965" t="s">
        <v>23871</v>
      </c>
      <c r="AY2965">
        <v>15</v>
      </c>
      <c r="AZ2965" s="184">
        <v>43873</v>
      </c>
      <c r="BA2965" t="s">
        <v>23872</v>
      </c>
      <c r="BB2965">
        <v>25</v>
      </c>
      <c r="BC2965">
        <v>39</v>
      </c>
      <c r="BD2965">
        <v>180</v>
      </c>
      <c r="BE2965">
        <v>2004</v>
      </c>
      <c r="BF2965">
        <v>10</v>
      </c>
      <c r="BG2965">
        <v>1</v>
      </c>
      <c r="BH2965">
        <v>15</v>
      </c>
      <c r="BI2965">
        <v>8</v>
      </c>
      <c r="BJ2965">
        <v>21</v>
      </c>
      <c r="BK2965">
        <v>2</v>
      </c>
      <c r="BP2965" s="184"/>
    </row>
    <row r="2966" spans="1:68">
      <c r="A2966">
        <v>36731248</v>
      </c>
      <c r="B2966">
        <v>36731248</v>
      </c>
      <c r="C2966" t="s">
        <v>7018</v>
      </c>
      <c r="D2966" t="s">
        <v>595</v>
      </c>
      <c r="E2966" s="184">
        <v>44073</v>
      </c>
      <c r="G2966" s="184"/>
      <c r="I2966" s="184"/>
      <c r="K2966" s="184"/>
      <c r="P2966" t="s">
        <v>7045</v>
      </c>
      <c r="Q2966" t="s">
        <v>7454</v>
      </c>
      <c r="R2966" s="184">
        <v>16415</v>
      </c>
      <c r="S2966">
        <v>79</v>
      </c>
      <c r="V2966" t="s">
        <v>3745</v>
      </c>
      <c r="X2966" t="s">
        <v>23873</v>
      </c>
      <c r="Z2966">
        <v>100103838</v>
      </c>
      <c r="AB2966" t="s">
        <v>4093</v>
      </c>
      <c r="AD2966" t="s">
        <v>5716</v>
      </c>
      <c r="AF2966" t="s">
        <v>23874</v>
      </c>
      <c r="AG2966" t="s">
        <v>23875</v>
      </c>
      <c r="AI2966" t="s">
        <v>23876</v>
      </c>
      <c r="AM2966" t="s">
        <v>2608</v>
      </c>
      <c r="AN2966" t="s">
        <v>2299</v>
      </c>
      <c r="AO2966" t="s">
        <v>23877</v>
      </c>
      <c r="AP2966" t="s">
        <v>7024</v>
      </c>
      <c r="AQ2966" t="s">
        <v>23878</v>
      </c>
      <c r="AT2966" s="184">
        <v>38044</v>
      </c>
      <c r="AU2966" t="s">
        <v>23879</v>
      </c>
      <c r="AV2966">
        <v>20</v>
      </c>
      <c r="AW2966" s="184">
        <v>45372</v>
      </c>
      <c r="AX2966" t="s">
        <v>12134</v>
      </c>
      <c r="AY2966">
        <v>250</v>
      </c>
      <c r="AZ2966" s="184">
        <v>45372</v>
      </c>
      <c r="BA2966" t="s">
        <v>12134</v>
      </c>
      <c r="BB2966">
        <v>250</v>
      </c>
      <c r="BC2966">
        <v>81</v>
      </c>
      <c r="BD2966">
        <v>1355</v>
      </c>
      <c r="BE2966">
        <v>2004</v>
      </c>
      <c r="BF2966">
        <v>21</v>
      </c>
      <c r="BG2966">
        <v>3</v>
      </c>
      <c r="BH2966">
        <v>475</v>
      </c>
      <c r="BI2966">
        <v>17</v>
      </c>
      <c r="BJ2966">
        <v>21</v>
      </c>
      <c r="BK2966">
        <v>14</v>
      </c>
      <c r="BP2966" s="184"/>
    </row>
    <row r="2967" spans="1:68">
      <c r="A2967">
        <v>100103838</v>
      </c>
      <c r="B2967">
        <v>36731248</v>
      </c>
      <c r="C2967" t="s">
        <v>7018</v>
      </c>
      <c r="D2967" t="s">
        <v>595</v>
      </c>
      <c r="E2967" s="184">
        <v>44073</v>
      </c>
      <c r="G2967" s="184"/>
      <c r="I2967" s="184"/>
      <c r="K2967" s="184"/>
      <c r="O2967" s="184"/>
      <c r="P2967" t="s">
        <v>7045</v>
      </c>
      <c r="Q2967" t="s">
        <v>7454</v>
      </c>
      <c r="R2967" s="184">
        <v>18629</v>
      </c>
      <c r="S2967">
        <v>73</v>
      </c>
      <c r="V2967" t="s">
        <v>4093</v>
      </c>
      <c r="X2967" t="s">
        <v>5716</v>
      </c>
      <c r="Z2967">
        <v>36731248</v>
      </c>
      <c r="AB2967" t="s">
        <v>3745</v>
      </c>
      <c r="AD2967" t="s">
        <v>23873</v>
      </c>
      <c r="AF2967" t="s">
        <v>23874</v>
      </c>
      <c r="AG2967" t="s">
        <v>23875</v>
      </c>
      <c r="AI2967" t="s">
        <v>23876</v>
      </c>
      <c r="AM2967" t="s">
        <v>2608</v>
      </c>
      <c r="AN2967" t="s">
        <v>2299</v>
      </c>
      <c r="AO2967" t="s">
        <v>23877</v>
      </c>
      <c r="AP2967" t="s">
        <v>7024</v>
      </c>
      <c r="AQ2967" t="s">
        <v>23880</v>
      </c>
      <c r="AT2967" s="184"/>
      <c r="AW2967" s="184"/>
      <c r="AZ2967" s="184"/>
      <c r="BP2967" s="184"/>
    </row>
    <row r="2968" spans="1:68">
      <c r="A2968">
        <v>36731677</v>
      </c>
      <c r="B2968">
        <v>36731677</v>
      </c>
      <c r="C2968" t="s">
        <v>7018</v>
      </c>
      <c r="E2968" s="184"/>
      <c r="G2968" s="184"/>
      <c r="I2968" s="184"/>
      <c r="J2968" t="s">
        <v>595</v>
      </c>
      <c r="K2968" s="184">
        <v>41952</v>
      </c>
      <c r="O2968" s="184"/>
      <c r="P2968" t="s">
        <v>7045</v>
      </c>
      <c r="Q2968" t="s">
        <v>7383</v>
      </c>
      <c r="R2968" s="184">
        <v>21732</v>
      </c>
      <c r="S2968">
        <v>64</v>
      </c>
      <c r="U2968" t="s">
        <v>7076</v>
      </c>
      <c r="V2968" t="s">
        <v>3868</v>
      </c>
      <c r="W2968" t="s">
        <v>4013</v>
      </c>
      <c r="X2968" t="s">
        <v>21192</v>
      </c>
      <c r="AF2968" t="s">
        <v>6291</v>
      </c>
      <c r="AG2968" t="s">
        <v>3868</v>
      </c>
      <c r="AI2968" t="s">
        <v>23881</v>
      </c>
      <c r="AM2968" t="s">
        <v>22519</v>
      </c>
      <c r="AN2968" t="s">
        <v>2274</v>
      </c>
      <c r="AO2968" t="s">
        <v>23882</v>
      </c>
      <c r="AP2968" t="s">
        <v>7024</v>
      </c>
      <c r="AQ2968" t="s">
        <v>23883</v>
      </c>
      <c r="AT2968" s="184">
        <v>38044</v>
      </c>
      <c r="AU2968" t="s">
        <v>23884</v>
      </c>
      <c r="AV2968">
        <v>20</v>
      </c>
      <c r="AW2968" s="184">
        <v>45211</v>
      </c>
      <c r="AX2968" t="s">
        <v>23885</v>
      </c>
      <c r="AY2968">
        <v>100</v>
      </c>
      <c r="AZ2968" s="184">
        <v>38834</v>
      </c>
      <c r="BA2968" t="s">
        <v>23886</v>
      </c>
      <c r="BB2968">
        <v>125</v>
      </c>
      <c r="BC2968">
        <v>96</v>
      </c>
      <c r="BD2968">
        <v>2215</v>
      </c>
      <c r="BE2968">
        <v>2004</v>
      </c>
      <c r="BF2968">
        <v>41</v>
      </c>
      <c r="BG2968">
        <v>2</v>
      </c>
      <c r="BH2968">
        <v>200</v>
      </c>
      <c r="BI2968">
        <v>20</v>
      </c>
      <c r="BJ2968">
        <v>21</v>
      </c>
      <c r="BK2968">
        <v>20</v>
      </c>
      <c r="BP2968" s="184"/>
    </row>
    <row r="2969" spans="1:68">
      <c r="A2969">
        <v>36733244</v>
      </c>
      <c r="B2969">
        <v>36733244</v>
      </c>
      <c r="C2969" t="s">
        <v>7018</v>
      </c>
      <c r="D2969" t="s">
        <v>595</v>
      </c>
      <c r="E2969" s="184">
        <v>44484</v>
      </c>
      <c r="G2969" s="184"/>
      <c r="I2969" s="184"/>
      <c r="K2969" s="184"/>
      <c r="M2969" s="184"/>
      <c r="O2969" s="184"/>
      <c r="P2969" t="s">
        <v>7045</v>
      </c>
      <c r="Q2969" t="s">
        <v>7020</v>
      </c>
      <c r="R2969" s="184">
        <v>13853</v>
      </c>
      <c r="S2969">
        <v>86</v>
      </c>
      <c r="U2969" t="s">
        <v>7130</v>
      </c>
      <c r="V2969" t="s">
        <v>8224</v>
      </c>
      <c r="X2969" t="s">
        <v>2904</v>
      </c>
      <c r="AF2969" t="s">
        <v>23887</v>
      </c>
      <c r="AG2969" t="s">
        <v>23888</v>
      </c>
      <c r="AI2969" t="s">
        <v>23889</v>
      </c>
      <c r="AM2969" t="s">
        <v>2860</v>
      </c>
      <c r="AN2969" t="s">
        <v>2112</v>
      </c>
      <c r="AO2969" t="s">
        <v>23890</v>
      </c>
      <c r="AP2969" t="s">
        <v>7024</v>
      </c>
      <c r="AQ2969" t="s">
        <v>23891</v>
      </c>
      <c r="AT2969" s="184">
        <v>38044</v>
      </c>
      <c r="AU2969" t="s">
        <v>23892</v>
      </c>
      <c r="AV2969">
        <v>20</v>
      </c>
      <c r="AW2969" s="184">
        <v>44221</v>
      </c>
      <c r="AX2969" t="s">
        <v>23893</v>
      </c>
      <c r="AY2969">
        <v>36</v>
      </c>
      <c r="AZ2969" s="184">
        <v>44221</v>
      </c>
      <c r="BA2969" t="s">
        <v>23893</v>
      </c>
      <c r="BB2969">
        <v>36</v>
      </c>
      <c r="BC2969">
        <v>34</v>
      </c>
      <c r="BD2969">
        <v>198</v>
      </c>
      <c r="BE2969">
        <v>2004</v>
      </c>
      <c r="BF2969">
        <v>7</v>
      </c>
      <c r="BI2969">
        <v>7</v>
      </c>
      <c r="BJ2969">
        <v>21</v>
      </c>
      <c r="BK2969">
        <v>3</v>
      </c>
      <c r="BL2969" t="s">
        <v>595</v>
      </c>
      <c r="BN2969" t="s">
        <v>595</v>
      </c>
      <c r="BP2969" s="184"/>
    </row>
    <row r="2970" spans="1:68">
      <c r="A2970">
        <v>36741106</v>
      </c>
      <c r="B2970">
        <v>36741106</v>
      </c>
      <c r="C2970" t="s">
        <v>7018</v>
      </c>
      <c r="E2970" s="184"/>
      <c r="G2970" s="184"/>
      <c r="I2970" s="184"/>
      <c r="J2970" t="s">
        <v>595</v>
      </c>
      <c r="K2970" s="184">
        <v>43641</v>
      </c>
      <c r="M2970" s="184"/>
      <c r="O2970" s="184"/>
      <c r="P2970" t="s">
        <v>7045</v>
      </c>
      <c r="Q2970" t="s">
        <v>7383</v>
      </c>
      <c r="R2970" s="184">
        <v>17533</v>
      </c>
      <c r="S2970">
        <v>76</v>
      </c>
      <c r="V2970" t="s">
        <v>2586</v>
      </c>
      <c r="X2970" t="s">
        <v>3129</v>
      </c>
      <c r="AF2970" t="s">
        <v>6511</v>
      </c>
      <c r="AG2970" t="s">
        <v>2586</v>
      </c>
      <c r="AI2970" t="s">
        <v>23894</v>
      </c>
      <c r="AM2970" t="s">
        <v>3130</v>
      </c>
      <c r="AN2970" t="s">
        <v>2072</v>
      </c>
      <c r="AO2970" t="s">
        <v>23895</v>
      </c>
      <c r="AP2970" t="s">
        <v>7024</v>
      </c>
      <c r="AQ2970" t="s">
        <v>23896</v>
      </c>
      <c r="AT2970" s="184">
        <v>38047</v>
      </c>
      <c r="AU2970" t="s">
        <v>23897</v>
      </c>
      <c r="AV2970">
        <v>20</v>
      </c>
      <c r="AW2970" s="184">
        <v>45258</v>
      </c>
      <c r="AX2970" t="s">
        <v>8836</v>
      </c>
      <c r="AY2970">
        <v>25</v>
      </c>
      <c r="AZ2970" s="184">
        <v>42030</v>
      </c>
      <c r="BA2970" t="s">
        <v>23898</v>
      </c>
      <c r="BB2970">
        <v>30</v>
      </c>
      <c r="BC2970">
        <v>91</v>
      </c>
      <c r="BD2970">
        <v>905</v>
      </c>
      <c r="BE2970">
        <v>2004</v>
      </c>
      <c r="BF2970">
        <v>37</v>
      </c>
      <c r="BG2970">
        <v>3</v>
      </c>
      <c r="BH2970">
        <v>75</v>
      </c>
      <c r="BI2970">
        <v>19</v>
      </c>
      <c r="BJ2970">
        <v>21</v>
      </c>
      <c r="BK2970">
        <v>16</v>
      </c>
      <c r="BP2970" s="184"/>
    </row>
    <row r="2971" spans="1:68">
      <c r="A2971">
        <v>36745479</v>
      </c>
      <c r="B2971">
        <v>36745479</v>
      </c>
      <c r="C2971" t="s">
        <v>7018</v>
      </c>
      <c r="E2971" s="184"/>
      <c r="G2971" s="184"/>
      <c r="H2971" t="s">
        <v>595</v>
      </c>
      <c r="I2971" s="184">
        <v>44843</v>
      </c>
      <c r="K2971" s="184"/>
      <c r="M2971" s="184"/>
      <c r="O2971" s="184"/>
      <c r="P2971" t="s">
        <v>7019</v>
      </c>
      <c r="Q2971" t="s">
        <v>7494</v>
      </c>
      <c r="R2971" s="184">
        <v>13298</v>
      </c>
      <c r="S2971">
        <v>87</v>
      </c>
      <c r="U2971" t="s">
        <v>7031</v>
      </c>
      <c r="V2971" t="s">
        <v>2739</v>
      </c>
      <c r="X2971" t="s">
        <v>23899</v>
      </c>
      <c r="Z2971">
        <v>100103928</v>
      </c>
      <c r="AB2971" t="s">
        <v>23900</v>
      </c>
      <c r="AD2971" t="s">
        <v>23899</v>
      </c>
      <c r="AF2971" t="s">
        <v>23901</v>
      </c>
      <c r="AG2971" t="s">
        <v>23902</v>
      </c>
      <c r="AI2971" t="s">
        <v>23903</v>
      </c>
      <c r="AM2971" t="s">
        <v>23675</v>
      </c>
      <c r="AN2971" t="s">
        <v>2174</v>
      </c>
      <c r="AO2971" t="s">
        <v>23904</v>
      </c>
      <c r="AP2971" t="s">
        <v>7024</v>
      </c>
      <c r="AQ2971" t="s">
        <v>23905</v>
      </c>
      <c r="AR2971" t="s">
        <v>23906</v>
      </c>
      <c r="AT2971" s="184">
        <v>38047</v>
      </c>
      <c r="AU2971" t="s">
        <v>23907</v>
      </c>
      <c r="AV2971">
        <v>25</v>
      </c>
      <c r="AW2971" s="184">
        <v>44315</v>
      </c>
      <c r="AX2971" t="s">
        <v>23908</v>
      </c>
      <c r="AY2971">
        <v>60</v>
      </c>
      <c r="AZ2971" s="184">
        <v>44315</v>
      </c>
      <c r="BA2971" t="s">
        <v>23908</v>
      </c>
      <c r="BB2971">
        <v>60</v>
      </c>
      <c r="BC2971">
        <v>29</v>
      </c>
      <c r="BD2971">
        <v>375</v>
      </c>
      <c r="BE2971">
        <v>2004</v>
      </c>
      <c r="BF2971">
        <v>10</v>
      </c>
      <c r="BI2971">
        <v>6</v>
      </c>
      <c r="BJ2971">
        <v>21</v>
      </c>
      <c r="BK2971">
        <v>2</v>
      </c>
      <c r="BP2971" s="184"/>
    </row>
    <row r="2972" spans="1:68">
      <c r="A2972">
        <v>100103928</v>
      </c>
      <c r="B2972">
        <v>36745479</v>
      </c>
      <c r="C2972" t="s">
        <v>7018</v>
      </c>
      <c r="E2972" s="184"/>
      <c r="G2972" s="184"/>
      <c r="H2972" t="s">
        <v>595</v>
      </c>
      <c r="I2972" s="184">
        <v>44843</v>
      </c>
      <c r="K2972" s="184"/>
      <c r="O2972" s="184"/>
      <c r="P2972" t="s">
        <v>7019</v>
      </c>
      <c r="Q2972" t="s">
        <v>7494</v>
      </c>
      <c r="R2972" s="184">
        <v>16094</v>
      </c>
      <c r="S2972">
        <v>80</v>
      </c>
      <c r="V2972" t="s">
        <v>23900</v>
      </c>
      <c r="X2972" t="s">
        <v>23899</v>
      </c>
      <c r="Z2972">
        <v>36745479</v>
      </c>
      <c r="AA2972" t="s">
        <v>7031</v>
      </c>
      <c r="AB2972" t="s">
        <v>2739</v>
      </c>
      <c r="AD2972" t="s">
        <v>23899</v>
      </c>
      <c r="AF2972" t="s">
        <v>23901</v>
      </c>
      <c r="AG2972" t="s">
        <v>23902</v>
      </c>
      <c r="AI2972" t="s">
        <v>23903</v>
      </c>
      <c r="AM2972" t="s">
        <v>23675</v>
      </c>
      <c r="AN2972" t="s">
        <v>2174</v>
      </c>
      <c r="AO2972" t="s">
        <v>23904</v>
      </c>
      <c r="AP2972" t="s">
        <v>7024</v>
      </c>
      <c r="AT2972" s="184"/>
      <c r="AW2972" s="184"/>
      <c r="AZ2972" s="184"/>
      <c r="BP2972" s="184"/>
    </row>
    <row r="2973" spans="1:68">
      <c r="A2973">
        <v>36755015</v>
      </c>
      <c r="B2973">
        <v>36755015</v>
      </c>
      <c r="C2973" t="s">
        <v>7018</v>
      </c>
      <c r="E2973" s="184"/>
      <c r="G2973" s="184"/>
      <c r="I2973" s="184"/>
      <c r="J2973" t="s">
        <v>595</v>
      </c>
      <c r="K2973" s="184">
        <v>43649</v>
      </c>
      <c r="O2973" s="184"/>
      <c r="P2973" t="s">
        <v>7045</v>
      </c>
      <c r="Q2973" t="s">
        <v>7383</v>
      </c>
      <c r="R2973" s="184">
        <v>18479</v>
      </c>
      <c r="S2973">
        <v>73</v>
      </c>
      <c r="U2973" t="s">
        <v>7031</v>
      </c>
      <c r="V2973" t="s">
        <v>3474</v>
      </c>
      <c r="X2973" t="s">
        <v>3475</v>
      </c>
      <c r="AF2973" t="s">
        <v>6573</v>
      </c>
      <c r="AG2973" t="s">
        <v>3474</v>
      </c>
      <c r="AI2973" t="s">
        <v>23909</v>
      </c>
      <c r="AM2973" t="s">
        <v>3476</v>
      </c>
      <c r="AN2973" t="s">
        <v>2185</v>
      </c>
      <c r="AO2973" t="s">
        <v>23910</v>
      </c>
      <c r="AP2973" t="s">
        <v>7024</v>
      </c>
      <c r="AQ2973" t="s">
        <v>23911</v>
      </c>
      <c r="AT2973" s="184">
        <v>38049</v>
      </c>
      <c r="AU2973" t="s">
        <v>23912</v>
      </c>
      <c r="AV2973">
        <v>20</v>
      </c>
      <c r="AW2973" s="184">
        <v>45302</v>
      </c>
      <c r="AX2973" t="s">
        <v>18549</v>
      </c>
      <c r="AY2973">
        <v>90</v>
      </c>
      <c r="AZ2973" s="184">
        <v>45302</v>
      </c>
      <c r="BA2973" t="s">
        <v>18549</v>
      </c>
      <c r="BB2973">
        <v>90</v>
      </c>
      <c r="BC2973">
        <v>77</v>
      </c>
      <c r="BD2973">
        <v>867</v>
      </c>
      <c r="BE2973">
        <v>2004</v>
      </c>
      <c r="BF2973">
        <v>17</v>
      </c>
      <c r="BG2973">
        <v>2</v>
      </c>
      <c r="BH2973">
        <v>150</v>
      </c>
      <c r="BI2973">
        <v>16</v>
      </c>
      <c r="BJ2973">
        <v>21</v>
      </c>
      <c r="BK2973">
        <v>6</v>
      </c>
      <c r="BP2973" s="184"/>
    </row>
    <row r="2974" spans="1:68">
      <c r="A2974">
        <v>36768182</v>
      </c>
      <c r="B2974">
        <v>36768182</v>
      </c>
      <c r="C2974" t="s">
        <v>7018</v>
      </c>
      <c r="D2974" t="s">
        <v>595</v>
      </c>
      <c r="E2974" s="184">
        <v>44152</v>
      </c>
      <c r="G2974" s="184"/>
      <c r="I2974" s="184"/>
      <c r="K2974" s="184"/>
      <c r="O2974" s="184"/>
      <c r="P2974" t="s">
        <v>7019</v>
      </c>
      <c r="Q2974" t="s">
        <v>7160</v>
      </c>
      <c r="R2974" s="184">
        <v>15434</v>
      </c>
      <c r="S2974">
        <v>82</v>
      </c>
      <c r="U2974" t="s">
        <v>7076</v>
      </c>
      <c r="V2974" t="s">
        <v>3444</v>
      </c>
      <c r="X2974" t="s">
        <v>23913</v>
      </c>
      <c r="AF2974" t="s">
        <v>23914</v>
      </c>
      <c r="AG2974" t="s">
        <v>3444</v>
      </c>
      <c r="AI2974" t="s">
        <v>23915</v>
      </c>
      <c r="AM2974" t="s">
        <v>3924</v>
      </c>
      <c r="AN2974" t="s">
        <v>2413</v>
      </c>
      <c r="AO2974" t="s">
        <v>23916</v>
      </c>
      <c r="AP2974" t="s">
        <v>7024</v>
      </c>
      <c r="AQ2974" t="s">
        <v>23917</v>
      </c>
      <c r="AT2974" s="184">
        <v>38054</v>
      </c>
      <c r="AU2974" t="s">
        <v>23918</v>
      </c>
      <c r="AV2974">
        <v>25</v>
      </c>
      <c r="AW2974" s="184">
        <v>45125</v>
      </c>
      <c r="AX2974" t="s">
        <v>13433</v>
      </c>
      <c r="AY2974">
        <v>87</v>
      </c>
      <c r="AZ2974" s="184">
        <v>45125</v>
      </c>
      <c r="BA2974" t="s">
        <v>13433</v>
      </c>
      <c r="BB2974">
        <v>87</v>
      </c>
      <c r="BC2974">
        <v>58</v>
      </c>
      <c r="BD2974">
        <v>522</v>
      </c>
      <c r="BE2974">
        <v>2004</v>
      </c>
      <c r="BF2974">
        <v>14</v>
      </c>
      <c r="BG2974">
        <v>3</v>
      </c>
      <c r="BH2974">
        <v>157</v>
      </c>
      <c r="BI2974">
        <v>12</v>
      </c>
      <c r="BJ2974">
        <v>21</v>
      </c>
      <c r="BK2974">
        <v>6</v>
      </c>
      <c r="BP2974" s="184"/>
    </row>
    <row r="2975" spans="1:68">
      <c r="A2975">
        <v>36782233</v>
      </c>
      <c r="B2975">
        <v>36782233</v>
      </c>
      <c r="C2975" t="s">
        <v>7018</v>
      </c>
      <c r="D2975" t="s">
        <v>595</v>
      </c>
      <c r="E2975" s="184">
        <v>44073</v>
      </c>
      <c r="G2975" s="184"/>
      <c r="H2975" t="s">
        <v>595</v>
      </c>
      <c r="I2975" s="184">
        <v>44073</v>
      </c>
      <c r="K2975" s="184"/>
      <c r="M2975" s="184"/>
      <c r="O2975" s="184"/>
      <c r="P2975" t="s">
        <v>7019</v>
      </c>
      <c r="Q2975" t="s">
        <v>7020</v>
      </c>
      <c r="R2975" s="184">
        <v>21245</v>
      </c>
      <c r="S2975">
        <v>66</v>
      </c>
      <c r="U2975" t="s">
        <v>7031</v>
      </c>
      <c r="V2975" t="s">
        <v>4934</v>
      </c>
      <c r="W2975" t="s">
        <v>7085</v>
      </c>
      <c r="X2975" t="s">
        <v>4935</v>
      </c>
      <c r="AF2975" t="s">
        <v>23919</v>
      </c>
      <c r="AG2975" t="s">
        <v>4934</v>
      </c>
      <c r="AI2975" t="s">
        <v>23920</v>
      </c>
      <c r="AM2975" t="s">
        <v>4148</v>
      </c>
      <c r="AN2975" t="s">
        <v>2206</v>
      </c>
      <c r="AO2975" t="s">
        <v>23921</v>
      </c>
      <c r="AP2975" t="s">
        <v>7024</v>
      </c>
      <c r="AT2975" s="184">
        <v>38057</v>
      </c>
      <c r="AU2975" t="s">
        <v>23884</v>
      </c>
      <c r="AV2975">
        <v>25</v>
      </c>
      <c r="AW2975" s="184">
        <v>44284</v>
      </c>
      <c r="AX2975" t="s">
        <v>13423</v>
      </c>
      <c r="AY2975">
        <v>60</v>
      </c>
      <c r="AZ2975" s="184">
        <v>43159</v>
      </c>
      <c r="BA2975" t="s">
        <v>23922</v>
      </c>
      <c r="BB2975">
        <v>100</v>
      </c>
      <c r="BC2975">
        <v>72</v>
      </c>
      <c r="BD2975">
        <v>700</v>
      </c>
      <c r="BE2975">
        <v>2004</v>
      </c>
      <c r="BF2975">
        <v>16</v>
      </c>
      <c r="BI2975">
        <v>15</v>
      </c>
      <c r="BJ2975">
        <v>21</v>
      </c>
      <c r="BK2975">
        <v>8</v>
      </c>
      <c r="BP2975" s="184"/>
    </row>
    <row r="2976" spans="1:68">
      <c r="A2976">
        <v>36783223</v>
      </c>
      <c r="B2976">
        <v>36783223</v>
      </c>
      <c r="C2976" t="s">
        <v>7018</v>
      </c>
      <c r="E2976" s="184"/>
      <c r="G2976" s="184"/>
      <c r="I2976" s="184"/>
      <c r="J2976" t="s">
        <v>595</v>
      </c>
      <c r="K2976" s="184">
        <v>41921</v>
      </c>
      <c r="M2976" s="184"/>
      <c r="O2976" s="184"/>
      <c r="P2976" t="s">
        <v>7045</v>
      </c>
      <c r="Q2976" t="s">
        <v>7374</v>
      </c>
      <c r="R2976" s="184">
        <v>16984</v>
      </c>
      <c r="S2976">
        <v>77</v>
      </c>
      <c r="U2976" t="s">
        <v>7031</v>
      </c>
      <c r="V2976" t="s">
        <v>5410</v>
      </c>
      <c r="X2976" t="s">
        <v>5308</v>
      </c>
      <c r="Z2976">
        <v>100104068</v>
      </c>
      <c r="AA2976" t="s">
        <v>7130</v>
      </c>
      <c r="AB2976" t="s">
        <v>3778</v>
      </c>
      <c r="AD2976" t="s">
        <v>5308</v>
      </c>
      <c r="AF2976" t="s">
        <v>23923</v>
      </c>
      <c r="AG2976" t="s">
        <v>23924</v>
      </c>
      <c r="AI2976" t="s">
        <v>23925</v>
      </c>
      <c r="AM2976" t="s">
        <v>23926</v>
      </c>
      <c r="AN2976" t="s">
        <v>2081</v>
      </c>
      <c r="AO2976" t="s">
        <v>23927</v>
      </c>
      <c r="AP2976" t="s">
        <v>7024</v>
      </c>
      <c r="AQ2976" t="s">
        <v>23928</v>
      </c>
      <c r="AR2976" t="s">
        <v>23929</v>
      </c>
      <c r="AT2976" s="184">
        <v>38058</v>
      </c>
      <c r="AU2976" t="s">
        <v>23930</v>
      </c>
      <c r="AV2976">
        <v>25</v>
      </c>
      <c r="AW2976" s="184">
        <v>45303</v>
      </c>
      <c r="AX2976" t="s">
        <v>11384</v>
      </c>
      <c r="AY2976">
        <v>25</v>
      </c>
      <c r="AZ2976" s="184">
        <v>45303</v>
      </c>
      <c r="BA2976" t="s">
        <v>11384</v>
      </c>
      <c r="BB2976">
        <v>25</v>
      </c>
      <c r="BC2976">
        <v>72</v>
      </c>
      <c r="BD2976">
        <v>365</v>
      </c>
      <c r="BE2976">
        <v>2004</v>
      </c>
      <c r="BF2976">
        <v>17</v>
      </c>
      <c r="BG2976">
        <v>2</v>
      </c>
      <c r="BH2976">
        <v>50</v>
      </c>
      <c r="BI2976">
        <v>15</v>
      </c>
      <c r="BJ2976">
        <v>21</v>
      </c>
      <c r="BK2976">
        <v>5</v>
      </c>
      <c r="BP2976" s="184"/>
    </row>
    <row r="2977" spans="1:68">
      <c r="A2977">
        <v>100104068</v>
      </c>
      <c r="B2977">
        <v>36783223</v>
      </c>
      <c r="C2977" t="s">
        <v>7018</v>
      </c>
      <c r="E2977" s="184"/>
      <c r="G2977" s="184"/>
      <c r="I2977" s="184"/>
      <c r="J2977" t="s">
        <v>595</v>
      </c>
      <c r="K2977" s="184">
        <v>41921</v>
      </c>
      <c r="O2977" s="184"/>
      <c r="P2977" t="s">
        <v>7045</v>
      </c>
      <c r="Q2977" t="s">
        <v>7374</v>
      </c>
      <c r="R2977" s="184"/>
      <c r="U2977" t="s">
        <v>7130</v>
      </c>
      <c r="V2977" t="s">
        <v>3778</v>
      </c>
      <c r="X2977" t="s">
        <v>5308</v>
      </c>
      <c r="Z2977">
        <v>36783223</v>
      </c>
      <c r="AA2977" t="s">
        <v>7031</v>
      </c>
      <c r="AB2977" t="s">
        <v>5410</v>
      </c>
      <c r="AD2977" t="s">
        <v>5308</v>
      </c>
      <c r="AF2977" t="s">
        <v>23923</v>
      </c>
      <c r="AG2977" t="s">
        <v>23924</v>
      </c>
      <c r="AI2977" t="s">
        <v>23925</v>
      </c>
      <c r="AM2977" t="s">
        <v>23926</v>
      </c>
      <c r="AN2977" t="s">
        <v>2081</v>
      </c>
      <c r="AO2977" t="s">
        <v>23927</v>
      </c>
      <c r="AP2977" t="s">
        <v>7024</v>
      </c>
      <c r="AT2977" s="184"/>
      <c r="AW2977" s="184"/>
      <c r="AZ2977" s="184"/>
      <c r="BP2977" s="184"/>
    </row>
    <row r="2978" spans="1:68">
      <c r="A2978">
        <v>36783538</v>
      </c>
      <c r="B2978">
        <v>36783538</v>
      </c>
      <c r="C2978" t="s">
        <v>7018</v>
      </c>
      <c r="E2978" s="184"/>
      <c r="F2978" t="s">
        <v>595</v>
      </c>
      <c r="G2978" s="184">
        <v>44438</v>
      </c>
      <c r="I2978" s="184"/>
      <c r="K2978" s="184"/>
      <c r="O2978" s="184"/>
      <c r="P2978" t="s">
        <v>7019</v>
      </c>
      <c r="Q2978" t="s">
        <v>7383</v>
      </c>
      <c r="R2978" s="184">
        <v>14095</v>
      </c>
      <c r="S2978">
        <v>85</v>
      </c>
      <c r="V2978" t="s">
        <v>2863</v>
      </c>
      <c r="X2978" t="s">
        <v>23931</v>
      </c>
      <c r="AF2978" t="s">
        <v>23932</v>
      </c>
      <c r="AG2978" t="s">
        <v>2863</v>
      </c>
      <c r="AI2978" t="s">
        <v>23933</v>
      </c>
      <c r="AM2978" t="s">
        <v>2624</v>
      </c>
      <c r="AN2978" t="s">
        <v>2274</v>
      </c>
      <c r="AO2978" t="s">
        <v>23934</v>
      </c>
      <c r="AP2978" t="s">
        <v>7024</v>
      </c>
      <c r="AQ2978" t="s">
        <v>23935</v>
      </c>
      <c r="AR2978" t="s">
        <v>23936</v>
      </c>
      <c r="AT2978" s="184">
        <v>38058</v>
      </c>
      <c r="AU2978" t="s">
        <v>23937</v>
      </c>
      <c r="AV2978">
        <v>15</v>
      </c>
      <c r="AW2978" s="184">
        <v>44320</v>
      </c>
      <c r="AX2978" t="s">
        <v>23938</v>
      </c>
      <c r="AY2978">
        <v>60</v>
      </c>
      <c r="AZ2978" s="184">
        <v>44320</v>
      </c>
      <c r="BA2978" t="s">
        <v>23938</v>
      </c>
      <c r="BB2978">
        <v>60</v>
      </c>
      <c r="BC2978">
        <v>53</v>
      </c>
      <c r="BD2978">
        <v>285</v>
      </c>
      <c r="BE2978">
        <v>2004</v>
      </c>
      <c r="BF2978">
        <v>11</v>
      </c>
      <c r="BI2978">
        <v>11</v>
      </c>
      <c r="BJ2978">
        <v>21</v>
      </c>
      <c r="BK2978">
        <v>4</v>
      </c>
      <c r="BN2978" t="s">
        <v>595</v>
      </c>
      <c r="BP2978" s="184"/>
    </row>
    <row r="2979" spans="1:68">
      <c r="A2979">
        <v>36798023</v>
      </c>
      <c r="B2979">
        <v>36798023</v>
      </c>
      <c r="C2979" t="s">
        <v>7018</v>
      </c>
      <c r="D2979" t="s">
        <v>595</v>
      </c>
      <c r="E2979" s="184">
        <v>43861</v>
      </c>
      <c r="G2979" s="184"/>
      <c r="I2979" s="184"/>
      <c r="K2979" s="184"/>
      <c r="M2979" s="184"/>
      <c r="O2979" s="184"/>
      <c r="P2979" t="s">
        <v>7045</v>
      </c>
      <c r="Q2979" t="s">
        <v>7494</v>
      </c>
      <c r="R2979" s="184">
        <v>19633</v>
      </c>
      <c r="S2979">
        <v>70</v>
      </c>
      <c r="V2979" t="s">
        <v>3411</v>
      </c>
      <c r="X2979" t="s">
        <v>4586</v>
      </c>
      <c r="Z2979">
        <v>100104138</v>
      </c>
      <c r="AA2979" t="s">
        <v>7076</v>
      </c>
      <c r="AB2979" t="s">
        <v>3400</v>
      </c>
      <c r="AD2979" t="s">
        <v>4586</v>
      </c>
      <c r="AF2979" t="s">
        <v>23939</v>
      </c>
      <c r="AG2979" t="s">
        <v>23940</v>
      </c>
      <c r="AI2979" t="s">
        <v>23941</v>
      </c>
      <c r="AM2979" t="s">
        <v>3763</v>
      </c>
      <c r="AN2979" t="s">
        <v>2484</v>
      </c>
      <c r="AO2979" t="s">
        <v>23942</v>
      </c>
      <c r="AP2979" t="s">
        <v>7024</v>
      </c>
      <c r="AT2979" s="184">
        <v>38063</v>
      </c>
      <c r="AU2979" t="s">
        <v>23943</v>
      </c>
      <c r="AV2979">
        <v>25</v>
      </c>
      <c r="AW2979" s="184">
        <v>44410</v>
      </c>
      <c r="AX2979" t="s">
        <v>18022</v>
      </c>
      <c r="AY2979">
        <v>50</v>
      </c>
      <c r="AZ2979" s="184">
        <v>43875</v>
      </c>
      <c r="BA2979" t="s">
        <v>23944</v>
      </c>
      <c r="BB2979">
        <v>100</v>
      </c>
      <c r="BC2979">
        <v>48</v>
      </c>
      <c r="BD2979">
        <v>605</v>
      </c>
      <c r="BE2979">
        <v>2004</v>
      </c>
      <c r="BF2979">
        <v>14</v>
      </c>
      <c r="BI2979">
        <v>10</v>
      </c>
      <c r="BJ2979">
        <v>21</v>
      </c>
      <c r="BK2979">
        <v>4</v>
      </c>
      <c r="BP2979" s="184"/>
    </row>
    <row r="2980" spans="1:68">
      <c r="A2980">
        <v>100104138</v>
      </c>
      <c r="B2980">
        <v>36798023</v>
      </c>
      <c r="C2980" t="s">
        <v>7018</v>
      </c>
      <c r="D2980" t="s">
        <v>595</v>
      </c>
      <c r="E2980" s="184">
        <v>43861</v>
      </c>
      <c r="G2980" s="184"/>
      <c r="I2980" s="184"/>
      <c r="K2980" s="184"/>
      <c r="M2980" s="184"/>
      <c r="O2980" s="184"/>
      <c r="P2980" t="s">
        <v>7045</v>
      </c>
      <c r="Q2980" t="s">
        <v>7494</v>
      </c>
      <c r="R2980" s="184">
        <v>20180</v>
      </c>
      <c r="S2980">
        <v>69</v>
      </c>
      <c r="U2980" t="s">
        <v>7076</v>
      </c>
      <c r="V2980" t="s">
        <v>3400</v>
      </c>
      <c r="X2980" t="s">
        <v>4586</v>
      </c>
      <c r="Z2980">
        <v>36798023</v>
      </c>
      <c r="AB2980" t="s">
        <v>3411</v>
      </c>
      <c r="AD2980" t="s">
        <v>4586</v>
      </c>
      <c r="AF2980" t="s">
        <v>23939</v>
      </c>
      <c r="AG2980" t="s">
        <v>23940</v>
      </c>
      <c r="AI2980" t="s">
        <v>23941</v>
      </c>
      <c r="AM2980" t="s">
        <v>3763</v>
      </c>
      <c r="AN2980" t="s">
        <v>2484</v>
      </c>
      <c r="AO2980" t="s">
        <v>23942</v>
      </c>
      <c r="AP2980" t="s">
        <v>7024</v>
      </c>
      <c r="AQ2980" t="s">
        <v>23945</v>
      </c>
      <c r="AR2980" t="s">
        <v>23946</v>
      </c>
      <c r="AT2980" s="184">
        <v>44845</v>
      </c>
      <c r="AU2980" t="s">
        <v>23947</v>
      </c>
      <c r="AV2980">
        <v>50</v>
      </c>
      <c r="AW2980" s="184">
        <v>44845</v>
      </c>
      <c r="AX2980" t="s">
        <v>23947</v>
      </c>
      <c r="AY2980">
        <v>50</v>
      </c>
      <c r="AZ2980" s="184">
        <v>44845</v>
      </c>
      <c r="BA2980" t="s">
        <v>23947</v>
      </c>
      <c r="BB2980">
        <v>50</v>
      </c>
      <c r="BC2980">
        <v>34</v>
      </c>
      <c r="BD2980">
        <v>50</v>
      </c>
      <c r="BE2980">
        <v>2023</v>
      </c>
      <c r="BF2980">
        <v>1</v>
      </c>
      <c r="BG2980">
        <v>1</v>
      </c>
      <c r="BH2980">
        <v>50</v>
      </c>
      <c r="BI2980">
        <v>1</v>
      </c>
      <c r="BJ2980">
        <v>3</v>
      </c>
      <c r="BK2980">
        <v>1</v>
      </c>
      <c r="BP2980" s="184"/>
    </row>
    <row r="2981" spans="1:68">
      <c r="A2981">
        <v>36799682</v>
      </c>
      <c r="B2981">
        <v>36799682</v>
      </c>
      <c r="C2981" t="s">
        <v>7018</v>
      </c>
      <c r="D2981" t="s">
        <v>595</v>
      </c>
      <c r="E2981" s="184">
        <v>44167</v>
      </c>
      <c r="G2981" s="184"/>
      <c r="H2981" t="s">
        <v>595</v>
      </c>
      <c r="I2981" s="184">
        <v>44167</v>
      </c>
      <c r="K2981" s="184"/>
      <c r="O2981" s="184"/>
      <c r="P2981" t="s">
        <v>7045</v>
      </c>
      <c r="Q2981" t="s">
        <v>7160</v>
      </c>
      <c r="R2981" s="184">
        <v>20149</v>
      </c>
      <c r="S2981">
        <v>69</v>
      </c>
      <c r="V2981" t="s">
        <v>2718</v>
      </c>
      <c r="X2981" t="s">
        <v>23948</v>
      </c>
      <c r="AF2981" t="s">
        <v>23949</v>
      </c>
      <c r="AG2981" t="s">
        <v>2718</v>
      </c>
      <c r="AI2981" t="s">
        <v>23950</v>
      </c>
      <c r="AM2981" t="s">
        <v>4738</v>
      </c>
      <c r="AN2981" t="s">
        <v>2675</v>
      </c>
      <c r="AO2981">
        <v>40475</v>
      </c>
      <c r="AP2981" t="s">
        <v>7024</v>
      </c>
      <c r="AQ2981" t="s">
        <v>23951</v>
      </c>
      <c r="AT2981" s="184">
        <v>38063</v>
      </c>
      <c r="AU2981" t="s">
        <v>23952</v>
      </c>
      <c r="AV2981">
        <v>25</v>
      </c>
      <c r="AW2981" s="184">
        <v>39959</v>
      </c>
      <c r="AX2981" t="s">
        <v>23953</v>
      </c>
      <c r="AY2981">
        <v>18</v>
      </c>
      <c r="AZ2981" s="184">
        <v>39589</v>
      </c>
      <c r="BA2981" t="s">
        <v>23954</v>
      </c>
      <c r="BB2981">
        <v>25</v>
      </c>
      <c r="BC2981">
        <v>29</v>
      </c>
      <c r="BD2981">
        <v>173</v>
      </c>
      <c r="BE2981">
        <v>2004</v>
      </c>
      <c r="BF2981">
        <v>8</v>
      </c>
      <c r="BI2981">
        <v>6</v>
      </c>
      <c r="BJ2981">
        <v>21</v>
      </c>
      <c r="BK2981">
        <v>6</v>
      </c>
      <c r="BP2981" s="184"/>
    </row>
    <row r="2982" spans="1:68">
      <c r="A2982">
        <v>36802940</v>
      </c>
      <c r="B2982">
        <v>36802940</v>
      </c>
      <c r="C2982" t="s">
        <v>7018</v>
      </c>
      <c r="D2982" t="s">
        <v>595</v>
      </c>
      <c r="E2982" s="184">
        <v>43642</v>
      </c>
      <c r="G2982" s="184"/>
      <c r="I2982" s="184"/>
      <c r="K2982" s="184"/>
      <c r="M2982" s="184"/>
      <c r="O2982" s="184"/>
      <c r="P2982" t="s">
        <v>7045</v>
      </c>
      <c r="Q2982" t="s">
        <v>7262</v>
      </c>
      <c r="R2982" s="184">
        <v>20668</v>
      </c>
      <c r="S2982">
        <v>67</v>
      </c>
      <c r="V2982" t="s">
        <v>2804</v>
      </c>
      <c r="X2982" t="s">
        <v>3353</v>
      </c>
      <c r="AF2982" t="s">
        <v>23955</v>
      </c>
      <c r="AG2982" t="s">
        <v>2804</v>
      </c>
      <c r="AI2982" t="s">
        <v>23956</v>
      </c>
      <c r="AM2982" t="s">
        <v>3354</v>
      </c>
      <c r="AN2982" t="s">
        <v>2106</v>
      </c>
      <c r="AO2982" t="s">
        <v>23957</v>
      </c>
      <c r="AP2982" t="s">
        <v>7024</v>
      </c>
      <c r="AT2982" s="184">
        <v>38064</v>
      </c>
      <c r="AU2982" t="s">
        <v>23958</v>
      </c>
      <c r="AV2982">
        <v>15</v>
      </c>
      <c r="AW2982" s="184">
        <v>44869</v>
      </c>
      <c r="AX2982" t="s">
        <v>8134</v>
      </c>
      <c r="AY2982">
        <v>25</v>
      </c>
      <c r="AZ2982" s="184">
        <v>44869</v>
      </c>
      <c r="BA2982" t="s">
        <v>8134</v>
      </c>
      <c r="BB2982">
        <v>25</v>
      </c>
      <c r="BC2982">
        <v>72</v>
      </c>
      <c r="BD2982">
        <v>440</v>
      </c>
      <c r="BE2982">
        <v>2004</v>
      </c>
      <c r="BF2982">
        <v>18</v>
      </c>
      <c r="BG2982">
        <v>1</v>
      </c>
      <c r="BH2982">
        <v>25</v>
      </c>
      <c r="BI2982">
        <v>15</v>
      </c>
      <c r="BJ2982">
        <v>21</v>
      </c>
      <c r="BK2982">
        <v>6</v>
      </c>
      <c r="BP2982" s="184"/>
    </row>
    <row r="2983" spans="1:68">
      <c r="A2983">
        <v>36810158</v>
      </c>
      <c r="B2983">
        <v>36810158</v>
      </c>
      <c r="C2983" t="s">
        <v>7018</v>
      </c>
      <c r="D2983" t="s">
        <v>595</v>
      </c>
      <c r="E2983" s="184">
        <v>45112</v>
      </c>
      <c r="G2983" s="184"/>
      <c r="I2983" s="184"/>
      <c r="K2983" s="184"/>
      <c r="M2983" s="184"/>
      <c r="O2983" s="184"/>
      <c r="P2983" t="s">
        <v>7045</v>
      </c>
      <c r="Q2983" t="s">
        <v>7383</v>
      </c>
      <c r="R2983" s="184">
        <v>22525</v>
      </c>
      <c r="S2983">
        <v>62</v>
      </c>
      <c r="V2983" t="s">
        <v>3008</v>
      </c>
      <c r="W2983" t="s">
        <v>4139</v>
      </c>
      <c r="X2983" t="s">
        <v>21173</v>
      </c>
      <c r="Z2983">
        <v>100104185</v>
      </c>
      <c r="AB2983" t="s">
        <v>4022</v>
      </c>
      <c r="AD2983" t="s">
        <v>21173</v>
      </c>
      <c r="AF2983" t="s">
        <v>23959</v>
      </c>
      <c r="AG2983" t="s">
        <v>23960</v>
      </c>
      <c r="AI2983" t="s">
        <v>23961</v>
      </c>
      <c r="AM2983" t="s">
        <v>23962</v>
      </c>
      <c r="AN2983" t="s">
        <v>2313</v>
      </c>
      <c r="AO2983" t="s">
        <v>23963</v>
      </c>
      <c r="AP2983" t="s">
        <v>7024</v>
      </c>
      <c r="AQ2983" t="s">
        <v>23964</v>
      </c>
      <c r="AT2983" s="184">
        <v>38068</v>
      </c>
      <c r="AU2983" t="s">
        <v>23965</v>
      </c>
      <c r="AV2983">
        <v>25</v>
      </c>
      <c r="AW2983" s="184">
        <v>45097</v>
      </c>
      <c r="AX2983" t="s">
        <v>23966</v>
      </c>
      <c r="AY2983">
        <v>100</v>
      </c>
      <c r="AZ2983" s="184">
        <v>45097</v>
      </c>
      <c r="BA2983" t="s">
        <v>23966</v>
      </c>
      <c r="BB2983">
        <v>100</v>
      </c>
      <c r="BC2983">
        <v>58</v>
      </c>
      <c r="BD2983">
        <v>765</v>
      </c>
      <c r="BE2983">
        <v>2004</v>
      </c>
      <c r="BF2983">
        <v>18</v>
      </c>
      <c r="BG2983">
        <v>1</v>
      </c>
      <c r="BH2983">
        <v>100</v>
      </c>
      <c r="BI2983">
        <v>12</v>
      </c>
      <c r="BJ2983">
        <v>21</v>
      </c>
      <c r="BK2983">
        <v>6</v>
      </c>
      <c r="BP2983" s="184"/>
    </row>
    <row r="2984" spans="1:68">
      <c r="A2984">
        <v>100104185</v>
      </c>
      <c r="B2984">
        <v>36810158</v>
      </c>
      <c r="C2984" t="s">
        <v>7018</v>
      </c>
      <c r="D2984" t="s">
        <v>595</v>
      </c>
      <c r="E2984" s="184">
        <v>45112</v>
      </c>
      <c r="G2984" s="184"/>
      <c r="I2984" s="184"/>
      <c r="K2984" s="184"/>
      <c r="M2984" s="184"/>
      <c r="O2984" s="184"/>
      <c r="P2984" t="s">
        <v>7045</v>
      </c>
      <c r="Q2984" t="s">
        <v>7383</v>
      </c>
      <c r="R2984" s="184">
        <v>20576</v>
      </c>
      <c r="S2984">
        <v>68</v>
      </c>
      <c r="V2984" t="s">
        <v>4022</v>
      </c>
      <c r="X2984" t="s">
        <v>21173</v>
      </c>
      <c r="Z2984">
        <v>36810158</v>
      </c>
      <c r="AB2984" t="s">
        <v>3008</v>
      </c>
      <c r="AC2984" t="s">
        <v>4139</v>
      </c>
      <c r="AD2984" t="s">
        <v>21173</v>
      </c>
      <c r="AF2984" t="s">
        <v>23959</v>
      </c>
      <c r="AG2984" t="s">
        <v>23960</v>
      </c>
      <c r="AI2984" t="s">
        <v>23961</v>
      </c>
      <c r="AM2984" t="s">
        <v>23962</v>
      </c>
      <c r="AN2984" t="s">
        <v>2313</v>
      </c>
      <c r="AO2984" t="s">
        <v>23963</v>
      </c>
      <c r="AP2984" t="s">
        <v>7024</v>
      </c>
      <c r="AT2984" s="184"/>
      <c r="AW2984" s="184"/>
      <c r="AZ2984" s="184"/>
      <c r="BP2984" s="184"/>
    </row>
    <row r="2985" spans="1:68">
      <c r="A2985">
        <v>36820371</v>
      </c>
      <c r="B2985">
        <v>36820371</v>
      </c>
      <c r="C2985" t="s">
        <v>7018</v>
      </c>
      <c r="D2985" t="s">
        <v>595</v>
      </c>
      <c r="E2985" s="184">
        <v>43808</v>
      </c>
      <c r="G2985" s="184"/>
      <c r="I2985" s="184"/>
      <c r="K2985" s="184"/>
      <c r="M2985" s="184"/>
      <c r="O2985" s="184"/>
      <c r="P2985" t="s">
        <v>7045</v>
      </c>
      <c r="Q2985" t="s">
        <v>7262</v>
      </c>
      <c r="R2985" s="184">
        <v>13713</v>
      </c>
      <c r="S2985">
        <v>86</v>
      </c>
      <c r="U2985" t="s">
        <v>7031</v>
      </c>
      <c r="V2985" t="s">
        <v>3783</v>
      </c>
      <c r="W2985" t="s">
        <v>8224</v>
      </c>
      <c r="X2985" t="s">
        <v>3106</v>
      </c>
      <c r="AF2985" t="s">
        <v>23967</v>
      </c>
      <c r="AG2985" t="s">
        <v>3783</v>
      </c>
      <c r="AI2985" t="s">
        <v>23968</v>
      </c>
      <c r="AM2985" t="s">
        <v>5764</v>
      </c>
      <c r="AN2985" t="s">
        <v>65</v>
      </c>
      <c r="AO2985" t="s">
        <v>23969</v>
      </c>
      <c r="AP2985" t="s">
        <v>7024</v>
      </c>
      <c r="AQ2985" t="s">
        <v>23970</v>
      </c>
      <c r="AT2985" s="184">
        <v>38070</v>
      </c>
      <c r="AU2985" t="s">
        <v>23971</v>
      </c>
      <c r="AV2985">
        <v>25</v>
      </c>
      <c r="AW2985" s="184">
        <v>44385</v>
      </c>
      <c r="AX2985" t="s">
        <v>23972</v>
      </c>
      <c r="AY2985">
        <v>8</v>
      </c>
      <c r="AZ2985" s="184">
        <v>38831</v>
      </c>
      <c r="BA2985" t="s">
        <v>8293</v>
      </c>
      <c r="BB2985">
        <v>87</v>
      </c>
      <c r="BC2985">
        <v>77</v>
      </c>
      <c r="BD2985">
        <v>1567</v>
      </c>
      <c r="BE2985">
        <v>2004</v>
      </c>
      <c r="BF2985">
        <v>84</v>
      </c>
      <c r="BI2985">
        <v>16</v>
      </c>
      <c r="BJ2985">
        <v>21</v>
      </c>
      <c r="BK2985">
        <v>13</v>
      </c>
      <c r="BN2985" t="s">
        <v>595</v>
      </c>
      <c r="BP2985" s="184"/>
    </row>
    <row r="2986" spans="1:68">
      <c r="A2986">
        <v>36825644</v>
      </c>
      <c r="B2986">
        <v>36825644</v>
      </c>
      <c r="C2986" t="s">
        <v>7018</v>
      </c>
      <c r="D2986" t="s">
        <v>595</v>
      </c>
      <c r="E2986" s="184">
        <v>43642</v>
      </c>
      <c r="G2986" s="184"/>
      <c r="I2986" s="184"/>
      <c r="K2986" s="184"/>
      <c r="M2986" s="184"/>
      <c r="O2986" s="184"/>
      <c r="P2986" t="s">
        <v>7045</v>
      </c>
      <c r="Q2986" t="s">
        <v>7383</v>
      </c>
      <c r="R2986" s="184">
        <v>21094</v>
      </c>
      <c r="S2986">
        <v>66</v>
      </c>
      <c r="V2986" t="s">
        <v>3228</v>
      </c>
      <c r="W2986" t="s">
        <v>7963</v>
      </c>
      <c r="X2986" t="s">
        <v>3355</v>
      </c>
      <c r="Z2986">
        <v>100812483</v>
      </c>
      <c r="AB2986" t="s">
        <v>2903</v>
      </c>
      <c r="AD2986" t="s">
        <v>3355</v>
      </c>
      <c r="AF2986" t="s">
        <v>23973</v>
      </c>
      <c r="AG2986" t="s">
        <v>3228</v>
      </c>
      <c r="AI2986" t="s">
        <v>23974</v>
      </c>
      <c r="AM2986" t="s">
        <v>3356</v>
      </c>
      <c r="AN2986" t="s">
        <v>2313</v>
      </c>
      <c r="AO2986" t="s">
        <v>23975</v>
      </c>
      <c r="AP2986" t="s">
        <v>7024</v>
      </c>
      <c r="AT2986" s="184">
        <v>38072</v>
      </c>
      <c r="AU2986" t="s">
        <v>23976</v>
      </c>
      <c r="AV2986">
        <v>50</v>
      </c>
      <c r="AW2986" s="184">
        <v>45261</v>
      </c>
      <c r="AX2986" t="s">
        <v>23977</v>
      </c>
      <c r="AY2986">
        <v>50</v>
      </c>
      <c r="AZ2986" s="184">
        <v>45260</v>
      </c>
      <c r="BA2986" t="s">
        <v>23978</v>
      </c>
      <c r="BB2986">
        <v>100</v>
      </c>
      <c r="BC2986">
        <v>91</v>
      </c>
      <c r="BD2986">
        <v>3090</v>
      </c>
      <c r="BE2986">
        <v>2004</v>
      </c>
      <c r="BF2986">
        <v>68</v>
      </c>
      <c r="BG2986">
        <v>6</v>
      </c>
      <c r="BH2986">
        <v>400</v>
      </c>
      <c r="BI2986">
        <v>19</v>
      </c>
      <c r="BJ2986">
        <v>21</v>
      </c>
      <c r="BK2986">
        <v>13</v>
      </c>
      <c r="BP2986" s="184"/>
    </row>
    <row r="2987" spans="1:68">
      <c r="A2987">
        <v>36831477</v>
      </c>
      <c r="B2987">
        <v>36831477</v>
      </c>
      <c r="C2987" t="s">
        <v>7018</v>
      </c>
      <c r="D2987" t="s">
        <v>595</v>
      </c>
      <c r="E2987" s="184">
        <v>43745</v>
      </c>
      <c r="G2987" s="184"/>
      <c r="I2987" s="184"/>
      <c r="K2987" s="184"/>
      <c r="M2987" s="184"/>
      <c r="O2987" s="184"/>
      <c r="P2987" t="s">
        <v>7045</v>
      </c>
      <c r="Q2987" t="s">
        <v>7454</v>
      </c>
      <c r="R2987" s="184">
        <v>19998</v>
      </c>
      <c r="S2987">
        <v>69</v>
      </c>
      <c r="V2987" t="s">
        <v>2665</v>
      </c>
      <c r="W2987" t="s">
        <v>7396</v>
      </c>
      <c r="X2987" t="s">
        <v>4150</v>
      </c>
      <c r="AF2987" t="s">
        <v>23979</v>
      </c>
      <c r="AG2987" t="s">
        <v>2665</v>
      </c>
      <c r="AI2987" t="s">
        <v>23980</v>
      </c>
      <c r="AM2987" t="s">
        <v>4151</v>
      </c>
      <c r="AN2987" t="s">
        <v>2055</v>
      </c>
      <c r="AO2987" t="s">
        <v>23981</v>
      </c>
      <c r="AP2987" t="s">
        <v>7024</v>
      </c>
      <c r="AQ2987" t="s">
        <v>23982</v>
      </c>
      <c r="AR2987" t="s">
        <v>23983</v>
      </c>
      <c r="AT2987" s="184">
        <v>38075</v>
      </c>
      <c r="AU2987" t="s">
        <v>23984</v>
      </c>
      <c r="AV2987">
        <v>25</v>
      </c>
      <c r="AW2987" s="184">
        <v>45415</v>
      </c>
      <c r="AX2987" t="s">
        <v>7422</v>
      </c>
      <c r="AY2987">
        <v>5</v>
      </c>
      <c r="AZ2987" s="184">
        <v>39790</v>
      </c>
      <c r="BA2987" t="s">
        <v>23985</v>
      </c>
      <c r="BB2987">
        <v>65</v>
      </c>
      <c r="BC2987">
        <v>72</v>
      </c>
      <c r="BD2987">
        <v>720</v>
      </c>
      <c r="BE2987">
        <v>2004</v>
      </c>
      <c r="BF2987">
        <v>17</v>
      </c>
      <c r="BG2987">
        <v>3</v>
      </c>
      <c r="BH2987">
        <v>60</v>
      </c>
      <c r="BI2987">
        <v>15</v>
      </c>
      <c r="BJ2987">
        <v>21</v>
      </c>
      <c r="BK2987">
        <v>3</v>
      </c>
      <c r="BP2987" s="184"/>
    </row>
    <row r="2988" spans="1:68">
      <c r="A2988">
        <v>36832343</v>
      </c>
      <c r="B2988">
        <v>36832343</v>
      </c>
      <c r="C2988" t="s">
        <v>7018</v>
      </c>
      <c r="E2988" s="184"/>
      <c r="G2988" s="184"/>
      <c r="I2988" s="184"/>
      <c r="J2988" t="s">
        <v>595</v>
      </c>
      <c r="K2988" s="184">
        <v>42590</v>
      </c>
      <c r="M2988" s="184"/>
      <c r="O2988" s="184"/>
      <c r="P2988" t="s">
        <v>7045</v>
      </c>
      <c r="Q2988" t="s">
        <v>7374</v>
      </c>
      <c r="R2988" s="184">
        <v>12275</v>
      </c>
      <c r="S2988">
        <v>90</v>
      </c>
      <c r="U2988" t="s">
        <v>7076</v>
      </c>
      <c r="V2988" t="s">
        <v>23986</v>
      </c>
      <c r="X2988" t="s">
        <v>21647</v>
      </c>
      <c r="AF2988" t="s">
        <v>6376</v>
      </c>
      <c r="AG2988" t="s">
        <v>23987</v>
      </c>
      <c r="AI2988" t="s">
        <v>23988</v>
      </c>
      <c r="AM2988" t="s">
        <v>23989</v>
      </c>
      <c r="AN2988" t="s">
        <v>2081</v>
      </c>
      <c r="AO2988" t="s">
        <v>23990</v>
      </c>
      <c r="AP2988" t="s">
        <v>7024</v>
      </c>
      <c r="AT2988" s="184">
        <v>38076</v>
      </c>
      <c r="AU2988" t="s">
        <v>23991</v>
      </c>
      <c r="AV2988">
        <v>15</v>
      </c>
      <c r="AW2988" s="184">
        <v>43853</v>
      </c>
      <c r="AX2988" t="s">
        <v>8257</v>
      </c>
      <c r="AY2988">
        <v>1000</v>
      </c>
      <c r="AZ2988" s="184">
        <v>43853</v>
      </c>
      <c r="BA2988" t="s">
        <v>8257</v>
      </c>
      <c r="BB2988">
        <v>1000</v>
      </c>
      <c r="BC2988">
        <v>48</v>
      </c>
      <c r="BD2988">
        <v>1270</v>
      </c>
      <c r="BE2988">
        <v>2004</v>
      </c>
      <c r="BF2988">
        <v>19</v>
      </c>
      <c r="BI2988">
        <v>10</v>
      </c>
      <c r="BJ2988">
        <v>21</v>
      </c>
      <c r="BK2988">
        <v>9</v>
      </c>
      <c r="BM2988" t="s">
        <v>595</v>
      </c>
      <c r="BO2988" t="s">
        <v>595</v>
      </c>
      <c r="BP2988" s="184">
        <v>43172</v>
      </c>
    </row>
    <row r="2989" spans="1:68">
      <c r="A2989">
        <v>36839447</v>
      </c>
      <c r="B2989">
        <v>36839447</v>
      </c>
      <c r="C2989" t="s">
        <v>7018</v>
      </c>
      <c r="D2989" t="s">
        <v>595</v>
      </c>
      <c r="E2989" s="184">
        <v>45152</v>
      </c>
      <c r="G2989" s="184"/>
      <c r="I2989" s="184"/>
      <c r="K2989" s="184"/>
      <c r="M2989" s="184"/>
      <c r="O2989" s="184"/>
      <c r="P2989" t="s">
        <v>7045</v>
      </c>
      <c r="Q2989" t="s">
        <v>7494</v>
      </c>
      <c r="R2989" s="184">
        <v>13881</v>
      </c>
      <c r="S2989">
        <v>86</v>
      </c>
      <c r="V2989" t="s">
        <v>23992</v>
      </c>
      <c r="W2989" t="s">
        <v>2316</v>
      </c>
      <c r="X2989" t="s">
        <v>5625</v>
      </c>
      <c r="AF2989" t="s">
        <v>23993</v>
      </c>
      <c r="AG2989" t="s">
        <v>23992</v>
      </c>
      <c r="AI2989" t="s">
        <v>23994</v>
      </c>
      <c r="AM2989" t="s">
        <v>2582</v>
      </c>
      <c r="AN2989" t="s">
        <v>2174</v>
      </c>
      <c r="AO2989" t="s">
        <v>23995</v>
      </c>
      <c r="AP2989" t="s">
        <v>7024</v>
      </c>
      <c r="AQ2989" t="s">
        <v>23996</v>
      </c>
      <c r="AR2989" t="s">
        <v>23997</v>
      </c>
      <c r="AT2989" s="184">
        <v>38079</v>
      </c>
      <c r="AU2989" t="s">
        <v>23998</v>
      </c>
      <c r="AV2989">
        <v>15</v>
      </c>
      <c r="AW2989" s="184">
        <v>44257</v>
      </c>
      <c r="AX2989" t="s">
        <v>17656</v>
      </c>
      <c r="AY2989">
        <v>35</v>
      </c>
      <c r="AZ2989" s="184">
        <v>41445</v>
      </c>
      <c r="BA2989" t="s">
        <v>11392</v>
      </c>
      <c r="BB2989">
        <v>100</v>
      </c>
      <c r="BC2989">
        <v>77</v>
      </c>
      <c r="BD2989">
        <v>595</v>
      </c>
      <c r="BE2989">
        <v>2004</v>
      </c>
      <c r="BF2989">
        <v>23</v>
      </c>
      <c r="BI2989">
        <v>16</v>
      </c>
      <c r="BJ2989">
        <v>21</v>
      </c>
      <c r="BK2989">
        <v>13</v>
      </c>
      <c r="BN2989" t="s">
        <v>595</v>
      </c>
      <c r="BP2989" s="184"/>
    </row>
    <row r="2990" spans="1:68">
      <c r="A2990">
        <v>36850451</v>
      </c>
      <c r="B2990">
        <v>36850451</v>
      </c>
      <c r="C2990" t="s">
        <v>7018</v>
      </c>
      <c r="D2990" t="s">
        <v>595</v>
      </c>
      <c r="E2990" s="184">
        <v>44104</v>
      </c>
      <c r="G2990" s="184"/>
      <c r="I2990" s="184"/>
      <c r="K2990" s="184"/>
      <c r="M2990" s="184"/>
      <c r="O2990" s="184"/>
      <c r="P2990" t="s">
        <v>7045</v>
      </c>
      <c r="Q2990" t="s">
        <v>7383</v>
      </c>
      <c r="R2990" s="184">
        <v>20180</v>
      </c>
      <c r="S2990">
        <v>69</v>
      </c>
      <c r="U2990" t="s">
        <v>7130</v>
      </c>
      <c r="V2990" t="s">
        <v>3317</v>
      </c>
      <c r="W2990" t="s">
        <v>4139</v>
      </c>
      <c r="X2990" t="s">
        <v>2657</v>
      </c>
      <c r="AF2990" t="s">
        <v>23999</v>
      </c>
      <c r="AG2990" t="s">
        <v>3317</v>
      </c>
      <c r="AI2990" t="s">
        <v>24000</v>
      </c>
      <c r="AM2990" t="s">
        <v>5409</v>
      </c>
      <c r="AN2990" t="s">
        <v>2059</v>
      </c>
      <c r="AO2990" t="s">
        <v>24001</v>
      </c>
      <c r="AP2990" t="s">
        <v>7024</v>
      </c>
      <c r="AQ2990" t="s">
        <v>24002</v>
      </c>
      <c r="AT2990" s="184">
        <v>38085</v>
      </c>
      <c r="AU2990" t="s">
        <v>24003</v>
      </c>
      <c r="AV2990">
        <v>25</v>
      </c>
      <c r="AW2990" s="184">
        <v>45403</v>
      </c>
      <c r="AX2990" t="s">
        <v>7429</v>
      </c>
      <c r="AY2990">
        <v>17</v>
      </c>
      <c r="AZ2990" s="184">
        <v>39184</v>
      </c>
      <c r="BA2990" t="s">
        <v>24004</v>
      </c>
      <c r="BB2990">
        <v>60</v>
      </c>
      <c r="BC2990">
        <v>100</v>
      </c>
      <c r="BD2990">
        <v>2584</v>
      </c>
      <c r="BE2990">
        <v>2004</v>
      </c>
      <c r="BF2990">
        <v>148</v>
      </c>
      <c r="BG2990">
        <v>25</v>
      </c>
      <c r="BH2990">
        <v>425</v>
      </c>
      <c r="BI2990">
        <v>21</v>
      </c>
      <c r="BJ2990">
        <v>21</v>
      </c>
      <c r="BK2990">
        <v>21</v>
      </c>
      <c r="BP2990" s="184"/>
    </row>
    <row r="2991" spans="1:68">
      <c r="A2991">
        <v>36859783</v>
      </c>
      <c r="B2991">
        <v>36859783</v>
      </c>
      <c r="C2991" t="s">
        <v>7018</v>
      </c>
      <c r="D2991" t="s">
        <v>595</v>
      </c>
      <c r="E2991" s="184">
        <v>45148</v>
      </c>
      <c r="G2991" s="184"/>
      <c r="I2991" s="184"/>
      <c r="K2991" s="184"/>
      <c r="M2991" s="184"/>
      <c r="O2991" s="184"/>
      <c r="P2991" t="s">
        <v>7045</v>
      </c>
      <c r="Q2991" t="s">
        <v>7383</v>
      </c>
      <c r="R2991" s="184">
        <v>16285</v>
      </c>
      <c r="S2991">
        <v>79</v>
      </c>
      <c r="V2991" t="s">
        <v>2889</v>
      </c>
      <c r="X2991" t="s">
        <v>24005</v>
      </c>
      <c r="AF2991" t="s">
        <v>24006</v>
      </c>
      <c r="AG2991" t="s">
        <v>2889</v>
      </c>
      <c r="AI2991" t="s">
        <v>24007</v>
      </c>
      <c r="AM2991" t="s">
        <v>21050</v>
      </c>
      <c r="AN2991" t="s">
        <v>2313</v>
      </c>
      <c r="AO2991" t="s">
        <v>24008</v>
      </c>
      <c r="AP2991" t="s">
        <v>7024</v>
      </c>
      <c r="AQ2991" t="s">
        <v>24009</v>
      </c>
      <c r="AT2991" s="184">
        <v>38089</v>
      </c>
      <c r="AU2991" t="s">
        <v>24010</v>
      </c>
      <c r="AV2991">
        <v>25</v>
      </c>
      <c r="AW2991" s="184">
        <v>45016</v>
      </c>
      <c r="AX2991" t="s">
        <v>24011</v>
      </c>
      <c r="AY2991">
        <v>25</v>
      </c>
      <c r="AZ2991" s="184">
        <v>45016</v>
      </c>
      <c r="BA2991" t="s">
        <v>24011</v>
      </c>
      <c r="BB2991">
        <v>25</v>
      </c>
      <c r="BC2991">
        <v>34</v>
      </c>
      <c r="BD2991">
        <v>185</v>
      </c>
      <c r="BE2991">
        <v>2004</v>
      </c>
      <c r="BF2991">
        <v>10</v>
      </c>
      <c r="BG2991">
        <v>2</v>
      </c>
      <c r="BH2991">
        <v>50</v>
      </c>
      <c r="BI2991">
        <v>7</v>
      </c>
      <c r="BJ2991">
        <v>21</v>
      </c>
      <c r="BK2991">
        <v>2</v>
      </c>
      <c r="BP2991" s="184"/>
    </row>
    <row r="2992" spans="1:68">
      <c r="A2992">
        <v>36864890</v>
      </c>
      <c r="B2992">
        <v>36864890</v>
      </c>
      <c r="C2992" t="s">
        <v>7018</v>
      </c>
      <c r="D2992" t="s">
        <v>595</v>
      </c>
      <c r="E2992" s="184">
        <v>44073</v>
      </c>
      <c r="G2992" s="184"/>
      <c r="I2992" s="184"/>
      <c r="K2992" s="184"/>
      <c r="M2992" s="184"/>
      <c r="O2992" s="184"/>
      <c r="P2992" t="s">
        <v>7045</v>
      </c>
      <c r="Q2992" t="s">
        <v>7262</v>
      </c>
      <c r="R2992" s="184">
        <v>15212</v>
      </c>
      <c r="S2992">
        <v>82</v>
      </c>
      <c r="U2992" t="s">
        <v>7076</v>
      </c>
      <c r="V2992" t="s">
        <v>3103</v>
      </c>
      <c r="W2992" t="s">
        <v>205</v>
      </c>
      <c r="X2992" t="s">
        <v>24012</v>
      </c>
      <c r="AF2992" t="s">
        <v>24013</v>
      </c>
      <c r="AG2992" t="s">
        <v>3103</v>
      </c>
      <c r="AI2992" t="s">
        <v>24014</v>
      </c>
      <c r="AM2992" t="s">
        <v>24015</v>
      </c>
      <c r="AN2992" t="s">
        <v>2106</v>
      </c>
      <c r="AO2992" t="s">
        <v>24016</v>
      </c>
      <c r="AP2992" t="s">
        <v>7024</v>
      </c>
      <c r="AQ2992" t="s">
        <v>24017</v>
      </c>
      <c r="AR2992" t="s">
        <v>24018</v>
      </c>
      <c r="AT2992" s="184">
        <v>38091</v>
      </c>
      <c r="AU2992" t="s">
        <v>24019</v>
      </c>
      <c r="AV2992">
        <v>25</v>
      </c>
      <c r="AW2992" s="184">
        <v>45036</v>
      </c>
      <c r="AX2992" t="s">
        <v>8637</v>
      </c>
      <c r="AY2992">
        <v>25</v>
      </c>
      <c r="AZ2992" s="184">
        <v>44327</v>
      </c>
      <c r="BA2992" t="s">
        <v>20179</v>
      </c>
      <c r="BB2992">
        <v>75</v>
      </c>
      <c r="BC2992">
        <v>39</v>
      </c>
      <c r="BD2992">
        <v>675</v>
      </c>
      <c r="BE2992">
        <v>2004</v>
      </c>
      <c r="BF2992">
        <v>13</v>
      </c>
      <c r="BG2992">
        <v>1</v>
      </c>
      <c r="BH2992">
        <v>25</v>
      </c>
      <c r="BI2992">
        <v>8</v>
      </c>
      <c r="BJ2992">
        <v>21</v>
      </c>
      <c r="BK2992">
        <v>6</v>
      </c>
      <c r="BP2992" s="184"/>
    </row>
    <row r="2993" spans="1:68">
      <c r="A2993">
        <v>36870665</v>
      </c>
      <c r="B2993">
        <v>36870665</v>
      </c>
      <c r="C2993" t="s">
        <v>7018</v>
      </c>
      <c r="E2993" s="184"/>
      <c r="G2993" s="184"/>
      <c r="I2993" s="184"/>
      <c r="J2993" t="s">
        <v>595</v>
      </c>
      <c r="K2993" s="184">
        <v>41681</v>
      </c>
      <c r="M2993" s="184"/>
      <c r="O2993" s="184"/>
      <c r="P2993" t="s">
        <v>7019</v>
      </c>
      <c r="Q2993" t="s">
        <v>7383</v>
      </c>
      <c r="R2993" s="184">
        <v>21134</v>
      </c>
      <c r="S2993">
        <v>66</v>
      </c>
      <c r="U2993" t="s">
        <v>7076</v>
      </c>
      <c r="V2993" t="s">
        <v>3317</v>
      </c>
      <c r="W2993" t="s">
        <v>7067</v>
      </c>
      <c r="X2993" t="s">
        <v>24020</v>
      </c>
      <c r="AF2993" t="s">
        <v>6424</v>
      </c>
      <c r="AG2993" t="s">
        <v>3317</v>
      </c>
      <c r="AI2993" t="s">
        <v>24021</v>
      </c>
      <c r="AM2993" t="s">
        <v>3357</v>
      </c>
      <c r="AN2993" t="s">
        <v>2185</v>
      </c>
      <c r="AO2993" t="s">
        <v>24022</v>
      </c>
      <c r="AP2993" t="s">
        <v>7024</v>
      </c>
      <c r="AQ2993" t="s">
        <v>24023</v>
      </c>
      <c r="AR2993" t="s">
        <v>24024</v>
      </c>
      <c r="AT2993" s="184">
        <v>38092</v>
      </c>
      <c r="AU2993" t="s">
        <v>24025</v>
      </c>
      <c r="AV2993">
        <v>15</v>
      </c>
      <c r="AW2993" s="184">
        <v>42845</v>
      </c>
      <c r="AX2993" t="s">
        <v>24026</v>
      </c>
      <c r="AY2993">
        <v>50</v>
      </c>
      <c r="AZ2993" s="184">
        <v>42626</v>
      </c>
      <c r="BA2993" t="s">
        <v>24027</v>
      </c>
      <c r="BB2993">
        <v>100</v>
      </c>
      <c r="BC2993">
        <v>58</v>
      </c>
      <c r="BD2993">
        <v>1085</v>
      </c>
      <c r="BE2993">
        <v>2004</v>
      </c>
      <c r="BF2993">
        <v>19</v>
      </c>
      <c r="BI2993">
        <v>12</v>
      </c>
      <c r="BJ2993">
        <v>21</v>
      </c>
      <c r="BK2993">
        <v>10</v>
      </c>
      <c r="BN2993" t="s">
        <v>595</v>
      </c>
      <c r="BP2993" s="184"/>
    </row>
    <row r="2994" spans="1:68">
      <c r="A2994">
        <v>36892552</v>
      </c>
      <c r="B2994">
        <v>36892552</v>
      </c>
      <c r="C2994" t="s">
        <v>7018</v>
      </c>
      <c r="D2994" t="s">
        <v>595</v>
      </c>
      <c r="E2994" s="184">
        <v>44073</v>
      </c>
      <c r="G2994" s="184"/>
      <c r="I2994" s="184"/>
      <c r="K2994" s="184"/>
      <c r="M2994" s="184"/>
      <c r="O2994" s="184"/>
      <c r="P2994" t="s">
        <v>7045</v>
      </c>
      <c r="Q2994" t="s">
        <v>7020</v>
      </c>
      <c r="R2994" s="184">
        <v>35065</v>
      </c>
      <c r="S2994">
        <v>28</v>
      </c>
      <c r="U2994" t="s">
        <v>7076</v>
      </c>
      <c r="V2994" t="s">
        <v>24028</v>
      </c>
      <c r="X2994" t="s">
        <v>24029</v>
      </c>
      <c r="AF2994" t="s">
        <v>24030</v>
      </c>
      <c r="AG2994" t="s">
        <v>24028</v>
      </c>
      <c r="AI2994" t="s">
        <v>24031</v>
      </c>
      <c r="AJ2994" t="s">
        <v>24032</v>
      </c>
      <c r="AM2994" t="s">
        <v>24033</v>
      </c>
      <c r="AN2994" t="s">
        <v>2112</v>
      </c>
      <c r="AO2994" t="s">
        <v>24034</v>
      </c>
      <c r="AP2994" t="s">
        <v>7024</v>
      </c>
      <c r="AQ2994" t="s">
        <v>24035</v>
      </c>
      <c r="AT2994" s="184">
        <v>38100</v>
      </c>
      <c r="AU2994" t="s">
        <v>24036</v>
      </c>
      <c r="AV2994">
        <v>50</v>
      </c>
      <c r="AW2994" s="184">
        <v>45420</v>
      </c>
      <c r="AX2994" t="s">
        <v>24037</v>
      </c>
      <c r="AY2994">
        <v>200</v>
      </c>
      <c r="AZ2994" s="184">
        <v>44552</v>
      </c>
      <c r="BA2994" t="s">
        <v>24038</v>
      </c>
      <c r="BB2994">
        <v>250</v>
      </c>
      <c r="BC2994">
        <v>53</v>
      </c>
      <c r="BD2994">
        <v>1885</v>
      </c>
      <c r="BE2994">
        <v>2004</v>
      </c>
      <c r="BF2994">
        <v>14</v>
      </c>
      <c r="BG2994">
        <v>1</v>
      </c>
      <c r="BH2994">
        <v>200</v>
      </c>
      <c r="BI2994">
        <v>11</v>
      </c>
      <c r="BJ2994">
        <v>21</v>
      </c>
      <c r="BK2994">
        <v>6</v>
      </c>
      <c r="BP2994" s="184"/>
    </row>
    <row r="2995" spans="1:68">
      <c r="A2995">
        <v>36894988</v>
      </c>
      <c r="B2995">
        <v>36894988</v>
      </c>
      <c r="C2995" t="s">
        <v>7018</v>
      </c>
      <c r="D2995" t="s">
        <v>595</v>
      </c>
      <c r="E2995" s="184">
        <v>44067</v>
      </c>
      <c r="G2995" s="184"/>
      <c r="I2995" s="184"/>
      <c r="K2995" s="184"/>
      <c r="M2995" s="184"/>
      <c r="O2995" s="184"/>
      <c r="P2995" t="s">
        <v>7084</v>
      </c>
      <c r="Q2995" t="s">
        <v>7262</v>
      </c>
      <c r="R2995" s="184">
        <v>19664</v>
      </c>
      <c r="S2995">
        <v>70</v>
      </c>
      <c r="U2995" t="s">
        <v>7031</v>
      </c>
      <c r="V2995" t="s">
        <v>2697</v>
      </c>
      <c r="X2995" t="s">
        <v>4860</v>
      </c>
      <c r="Z2995">
        <v>100104629</v>
      </c>
      <c r="AA2995" t="s">
        <v>7130</v>
      </c>
      <c r="AB2995" t="s">
        <v>3901</v>
      </c>
      <c r="AD2995" t="s">
        <v>4860</v>
      </c>
      <c r="AF2995" t="s">
        <v>24039</v>
      </c>
      <c r="AG2995" t="s">
        <v>24040</v>
      </c>
      <c r="AI2995" t="s">
        <v>24041</v>
      </c>
      <c r="AM2995" t="s">
        <v>4861</v>
      </c>
      <c r="AN2995" t="s">
        <v>2069</v>
      </c>
      <c r="AO2995" t="s">
        <v>24042</v>
      </c>
      <c r="AP2995" t="s">
        <v>7024</v>
      </c>
      <c r="AQ2995" t="s">
        <v>24043</v>
      </c>
      <c r="AT2995" s="184">
        <v>38107</v>
      </c>
      <c r="AU2995" t="s">
        <v>20492</v>
      </c>
      <c r="AV2995">
        <v>2000</v>
      </c>
      <c r="AW2995" s="184">
        <v>45411</v>
      </c>
      <c r="AX2995" t="s">
        <v>24044</v>
      </c>
      <c r="AY2995">
        <v>25000</v>
      </c>
      <c r="AZ2995" s="184">
        <v>45411</v>
      </c>
      <c r="BA2995" t="s">
        <v>24044</v>
      </c>
      <c r="BB2995">
        <v>25000</v>
      </c>
      <c r="BC2995">
        <v>77</v>
      </c>
      <c r="BD2995">
        <v>270000</v>
      </c>
      <c r="BE2995">
        <v>2004</v>
      </c>
      <c r="BF2995">
        <v>33</v>
      </c>
      <c r="BG2995">
        <v>6</v>
      </c>
      <c r="BH2995">
        <v>54500</v>
      </c>
      <c r="BI2995">
        <v>16</v>
      </c>
      <c r="BJ2995">
        <v>21</v>
      </c>
      <c r="BK2995">
        <v>10</v>
      </c>
      <c r="BP2995" s="184"/>
    </row>
    <row r="2996" spans="1:68">
      <c r="A2996">
        <v>100104629</v>
      </c>
      <c r="B2996">
        <v>36894988</v>
      </c>
      <c r="C2996" t="s">
        <v>7018</v>
      </c>
      <c r="D2996" t="s">
        <v>595</v>
      </c>
      <c r="E2996" s="184">
        <v>44067</v>
      </c>
      <c r="G2996" s="184"/>
      <c r="I2996" s="184"/>
      <c r="K2996" s="184"/>
      <c r="M2996" s="184"/>
      <c r="O2996" s="184"/>
      <c r="P2996" t="s">
        <v>7084</v>
      </c>
      <c r="Q2996" t="s">
        <v>7262</v>
      </c>
      <c r="R2996" s="184">
        <v>19998</v>
      </c>
      <c r="S2996">
        <v>69</v>
      </c>
      <c r="U2996" t="s">
        <v>7130</v>
      </c>
      <c r="V2996" t="s">
        <v>3901</v>
      </c>
      <c r="X2996" t="s">
        <v>4860</v>
      </c>
      <c r="Z2996">
        <v>36894988</v>
      </c>
      <c r="AA2996" t="s">
        <v>7031</v>
      </c>
      <c r="AB2996" t="s">
        <v>2697</v>
      </c>
      <c r="AD2996" t="s">
        <v>4860</v>
      </c>
      <c r="AF2996" t="s">
        <v>24039</v>
      </c>
      <c r="AG2996" t="s">
        <v>24040</v>
      </c>
      <c r="AI2996" t="s">
        <v>24041</v>
      </c>
      <c r="AM2996" t="s">
        <v>4861</v>
      </c>
      <c r="AN2996" t="s">
        <v>2069</v>
      </c>
      <c r="AO2996" t="s">
        <v>24042</v>
      </c>
      <c r="AP2996" t="s">
        <v>7024</v>
      </c>
      <c r="AT2996" s="184"/>
      <c r="AW2996" s="184"/>
      <c r="AZ2996" s="184"/>
      <c r="BP2996" s="184"/>
    </row>
    <row r="2997" spans="1:68">
      <c r="A2997">
        <v>36895589</v>
      </c>
      <c r="B2997">
        <v>36895589</v>
      </c>
      <c r="C2997" t="s">
        <v>7018</v>
      </c>
      <c r="E2997" s="184"/>
      <c r="G2997" s="184"/>
      <c r="I2997" s="184"/>
      <c r="J2997" t="s">
        <v>595</v>
      </c>
      <c r="K2997" s="184">
        <v>43649</v>
      </c>
      <c r="M2997" s="184"/>
      <c r="O2997" s="184"/>
      <c r="P2997" t="s">
        <v>7045</v>
      </c>
      <c r="Q2997" t="s">
        <v>7774</v>
      </c>
      <c r="R2997" s="184">
        <v>17329</v>
      </c>
      <c r="S2997">
        <v>76</v>
      </c>
      <c r="V2997" t="s">
        <v>2602</v>
      </c>
      <c r="W2997" t="s">
        <v>7067</v>
      </c>
      <c r="X2997" t="s">
        <v>3201</v>
      </c>
      <c r="AF2997" t="s">
        <v>6552</v>
      </c>
      <c r="AG2997" t="s">
        <v>2602</v>
      </c>
      <c r="AI2997" t="s">
        <v>24045</v>
      </c>
      <c r="AM2997" t="s">
        <v>3477</v>
      </c>
      <c r="AN2997" t="s">
        <v>2077</v>
      </c>
      <c r="AO2997" t="s">
        <v>24046</v>
      </c>
      <c r="AP2997" t="s">
        <v>7024</v>
      </c>
      <c r="AQ2997" t="s">
        <v>24047</v>
      </c>
      <c r="AR2997" t="s">
        <v>24048</v>
      </c>
      <c r="AT2997" s="184">
        <v>38103</v>
      </c>
      <c r="AU2997" t="s">
        <v>24049</v>
      </c>
      <c r="AV2997">
        <v>25</v>
      </c>
      <c r="AW2997" s="184">
        <v>45358</v>
      </c>
      <c r="AX2997" t="s">
        <v>13596</v>
      </c>
      <c r="AY2997">
        <v>25</v>
      </c>
      <c r="AZ2997" s="184">
        <v>45180</v>
      </c>
      <c r="BA2997" t="s">
        <v>24050</v>
      </c>
      <c r="BB2997">
        <v>50</v>
      </c>
      <c r="BC2997">
        <v>100</v>
      </c>
      <c r="BD2997">
        <v>825</v>
      </c>
      <c r="BE2997">
        <v>2004</v>
      </c>
      <c r="BF2997">
        <v>30</v>
      </c>
      <c r="BG2997">
        <v>4</v>
      </c>
      <c r="BH2997">
        <v>125</v>
      </c>
      <c r="BI2997">
        <v>21</v>
      </c>
      <c r="BJ2997">
        <v>21</v>
      </c>
      <c r="BK2997">
        <v>21</v>
      </c>
      <c r="BP2997" s="184"/>
    </row>
    <row r="2998" spans="1:68">
      <c r="A2998">
        <v>36899516</v>
      </c>
      <c r="B2998">
        <v>36899516</v>
      </c>
      <c r="C2998" t="s">
        <v>7018</v>
      </c>
      <c r="D2998" t="s">
        <v>595</v>
      </c>
      <c r="E2998" s="184">
        <v>44484</v>
      </c>
      <c r="G2998" s="184"/>
      <c r="I2998" s="184"/>
      <c r="K2998" s="184"/>
      <c r="M2998" s="184"/>
      <c r="O2998" s="184"/>
      <c r="P2998" t="s">
        <v>7019</v>
      </c>
      <c r="Q2998" t="s">
        <v>7454</v>
      </c>
      <c r="R2998" s="184">
        <v>15738</v>
      </c>
      <c r="S2998">
        <v>81</v>
      </c>
      <c r="U2998" t="s">
        <v>7237</v>
      </c>
      <c r="V2998" t="s">
        <v>4151</v>
      </c>
      <c r="X2998" t="s">
        <v>24051</v>
      </c>
      <c r="AF2998" t="s">
        <v>24052</v>
      </c>
      <c r="AG2998" t="s">
        <v>4151</v>
      </c>
      <c r="AI2998" t="s">
        <v>24053</v>
      </c>
      <c r="AM2998" t="s">
        <v>24054</v>
      </c>
      <c r="AN2998" t="s">
        <v>2299</v>
      </c>
      <c r="AO2998" t="s">
        <v>24055</v>
      </c>
      <c r="AP2998" t="s">
        <v>7024</v>
      </c>
      <c r="AT2998" s="184">
        <v>38103</v>
      </c>
      <c r="AU2998" t="s">
        <v>24056</v>
      </c>
      <c r="AV2998">
        <v>25</v>
      </c>
      <c r="AW2998" s="184">
        <v>43136</v>
      </c>
      <c r="AX2998" t="s">
        <v>24057</v>
      </c>
      <c r="AY2998">
        <v>60</v>
      </c>
      <c r="AZ2998" s="184">
        <v>43136</v>
      </c>
      <c r="BA2998" t="s">
        <v>24057</v>
      </c>
      <c r="BB2998">
        <v>60</v>
      </c>
      <c r="BC2998">
        <v>58</v>
      </c>
      <c r="BD2998">
        <v>290</v>
      </c>
      <c r="BE2998">
        <v>2004</v>
      </c>
      <c r="BF2998">
        <v>12</v>
      </c>
      <c r="BI2998">
        <v>12</v>
      </c>
      <c r="BJ2998">
        <v>21</v>
      </c>
      <c r="BK2998">
        <v>6</v>
      </c>
      <c r="BP2998" s="184"/>
    </row>
    <row r="2999" spans="1:68">
      <c r="A2999">
        <v>36915536</v>
      </c>
      <c r="B2999">
        <v>36915536</v>
      </c>
      <c r="C2999" t="s">
        <v>7018</v>
      </c>
      <c r="E2999" s="184"/>
      <c r="G2999" s="184"/>
      <c r="H2999" t="s">
        <v>595</v>
      </c>
      <c r="I2999" s="184">
        <v>44109</v>
      </c>
      <c r="K2999" s="184"/>
      <c r="M2999" s="184"/>
      <c r="O2999" s="184"/>
      <c r="P2999" t="s">
        <v>7045</v>
      </c>
      <c r="Q2999" t="s">
        <v>7494</v>
      </c>
      <c r="R2999" s="184">
        <v>16065</v>
      </c>
      <c r="S2999">
        <v>80</v>
      </c>
      <c r="V2999" t="s">
        <v>3011</v>
      </c>
      <c r="X2999" t="s">
        <v>4540</v>
      </c>
      <c r="AF2999" t="s">
        <v>24058</v>
      </c>
      <c r="AG2999" t="s">
        <v>3011</v>
      </c>
      <c r="AI2999" t="s">
        <v>24059</v>
      </c>
      <c r="AM2999" t="s">
        <v>24060</v>
      </c>
      <c r="AN2999" t="s">
        <v>2174</v>
      </c>
      <c r="AO2999" t="s">
        <v>24061</v>
      </c>
      <c r="AP2999" t="s">
        <v>7024</v>
      </c>
      <c r="AQ2999" t="s">
        <v>24062</v>
      </c>
      <c r="AT2999" s="184">
        <v>38107</v>
      </c>
      <c r="AU2999" t="s">
        <v>24063</v>
      </c>
      <c r="AV2999">
        <v>15</v>
      </c>
      <c r="AW2999" s="184">
        <v>45376</v>
      </c>
      <c r="AX2999" t="s">
        <v>24064</v>
      </c>
      <c r="AY2999">
        <v>35</v>
      </c>
      <c r="AZ2999" s="184">
        <v>45376</v>
      </c>
      <c r="BA2999" t="s">
        <v>24064</v>
      </c>
      <c r="BB2999">
        <v>35</v>
      </c>
      <c r="BC2999">
        <v>100</v>
      </c>
      <c r="BD2999">
        <v>1270</v>
      </c>
      <c r="BE2999">
        <v>2004</v>
      </c>
      <c r="BF2999">
        <v>40</v>
      </c>
      <c r="BG2999">
        <v>5</v>
      </c>
      <c r="BH2999">
        <v>140</v>
      </c>
      <c r="BI2999">
        <v>21</v>
      </c>
      <c r="BJ2999">
        <v>21</v>
      </c>
      <c r="BK2999">
        <v>21</v>
      </c>
      <c r="BN2999" t="s">
        <v>595</v>
      </c>
      <c r="BP2999" s="184"/>
    </row>
    <row r="3000" spans="1:68">
      <c r="A3000">
        <v>36947703</v>
      </c>
      <c r="B3000">
        <v>36947703</v>
      </c>
      <c r="C3000" t="s">
        <v>7018</v>
      </c>
      <c r="D3000" t="s">
        <v>595</v>
      </c>
      <c r="E3000" s="184">
        <v>44484</v>
      </c>
      <c r="G3000" s="184"/>
      <c r="I3000" s="184"/>
      <c r="K3000" s="184"/>
      <c r="M3000" s="184"/>
      <c r="O3000" s="184"/>
      <c r="P3000" t="s">
        <v>7045</v>
      </c>
      <c r="Q3000" t="s">
        <v>7454</v>
      </c>
      <c r="R3000" s="184">
        <v>21791</v>
      </c>
      <c r="S3000">
        <v>64</v>
      </c>
      <c r="V3000" t="s">
        <v>2908</v>
      </c>
      <c r="X3000" t="s">
        <v>24065</v>
      </c>
      <c r="AF3000" t="s">
        <v>24066</v>
      </c>
      <c r="AG3000" t="s">
        <v>2908</v>
      </c>
      <c r="AI3000" t="s">
        <v>24067</v>
      </c>
      <c r="AM3000" t="s">
        <v>3811</v>
      </c>
      <c r="AN3000" t="s">
        <v>2299</v>
      </c>
      <c r="AO3000" t="s">
        <v>24068</v>
      </c>
      <c r="AP3000" t="s">
        <v>7024</v>
      </c>
      <c r="AQ3000" t="s">
        <v>24069</v>
      </c>
      <c r="AT3000" s="184">
        <v>38128</v>
      </c>
      <c r="AU3000" t="s">
        <v>24070</v>
      </c>
      <c r="AV3000">
        <v>15</v>
      </c>
      <c r="AW3000" s="184">
        <v>45301</v>
      </c>
      <c r="AX3000" t="s">
        <v>24071</v>
      </c>
      <c r="AY3000">
        <v>50</v>
      </c>
      <c r="AZ3000" s="184">
        <v>41631</v>
      </c>
      <c r="BA3000" t="s">
        <v>7273</v>
      </c>
      <c r="BB3000">
        <v>60</v>
      </c>
      <c r="BC3000">
        <v>48</v>
      </c>
      <c r="BD3000">
        <v>455</v>
      </c>
      <c r="BE3000">
        <v>2004</v>
      </c>
      <c r="BF3000">
        <v>14</v>
      </c>
      <c r="BG3000">
        <v>2</v>
      </c>
      <c r="BH3000">
        <v>100</v>
      </c>
      <c r="BI3000">
        <v>10</v>
      </c>
      <c r="BJ3000">
        <v>21</v>
      </c>
      <c r="BK3000">
        <v>3</v>
      </c>
      <c r="BN3000" t="s">
        <v>595</v>
      </c>
      <c r="BP3000" s="184"/>
    </row>
    <row r="3001" spans="1:68">
      <c r="A3001">
        <v>36948115</v>
      </c>
      <c r="B3001">
        <v>36948115</v>
      </c>
      <c r="C3001" t="s">
        <v>7018</v>
      </c>
      <c r="E3001" s="184"/>
      <c r="F3001" t="s">
        <v>595</v>
      </c>
      <c r="G3001" s="184">
        <v>43731</v>
      </c>
      <c r="I3001" s="184"/>
      <c r="K3001" s="184"/>
      <c r="M3001" s="184"/>
      <c r="O3001" s="184"/>
      <c r="P3001" t="s">
        <v>7045</v>
      </c>
      <c r="Q3001" t="s">
        <v>7494</v>
      </c>
      <c r="R3001" s="184">
        <v>21002</v>
      </c>
      <c r="S3001">
        <v>66</v>
      </c>
      <c r="V3001" t="s">
        <v>2602</v>
      </c>
      <c r="W3001" t="s">
        <v>4139</v>
      </c>
      <c r="X3001" t="s">
        <v>4014</v>
      </c>
      <c r="AF3001" t="s">
        <v>24072</v>
      </c>
      <c r="AG3001" t="s">
        <v>2602</v>
      </c>
      <c r="AI3001" t="s">
        <v>24073</v>
      </c>
      <c r="AM3001" t="s">
        <v>4015</v>
      </c>
      <c r="AN3001" t="s">
        <v>2174</v>
      </c>
      <c r="AO3001" t="s">
        <v>24074</v>
      </c>
      <c r="AP3001" t="s">
        <v>7024</v>
      </c>
      <c r="AQ3001" t="s">
        <v>24075</v>
      </c>
      <c r="AT3001" s="184">
        <v>38128</v>
      </c>
      <c r="AU3001" t="s">
        <v>24003</v>
      </c>
      <c r="AV3001">
        <v>15</v>
      </c>
      <c r="AW3001" s="184">
        <v>44891</v>
      </c>
      <c r="AX3001" t="s">
        <v>14164</v>
      </c>
      <c r="AY3001">
        <v>25</v>
      </c>
      <c r="AZ3001" s="184">
        <v>44560</v>
      </c>
      <c r="BA3001" t="s">
        <v>9028</v>
      </c>
      <c r="BB3001">
        <v>35</v>
      </c>
      <c r="BC3001">
        <v>48</v>
      </c>
      <c r="BD3001">
        <v>285</v>
      </c>
      <c r="BE3001">
        <v>2004</v>
      </c>
      <c r="BF3001">
        <v>11</v>
      </c>
      <c r="BG3001">
        <v>1</v>
      </c>
      <c r="BH3001">
        <v>25</v>
      </c>
      <c r="BI3001">
        <v>10</v>
      </c>
      <c r="BJ3001">
        <v>21</v>
      </c>
      <c r="BK3001">
        <v>4</v>
      </c>
      <c r="BP3001" s="184"/>
    </row>
    <row r="3002" spans="1:68">
      <c r="A3002">
        <v>36952141</v>
      </c>
      <c r="B3002">
        <v>36952141</v>
      </c>
      <c r="C3002" t="s">
        <v>7018</v>
      </c>
      <c r="E3002" s="184"/>
      <c r="G3002" s="184"/>
      <c r="I3002" s="184"/>
      <c r="K3002" s="184"/>
      <c r="L3002" t="s">
        <v>595</v>
      </c>
      <c r="M3002" s="184">
        <v>44265</v>
      </c>
      <c r="O3002" s="184"/>
      <c r="P3002" t="s">
        <v>7029</v>
      </c>
      <c r="Q3002" t="s">
        <v>7383</v>
      </c>
      <c r="R3002" s="184">
        <v>13679</v>
      </c>
      <c r="S3002">
        <v>86</v>
      </c>
      <c r="V3002" t="s">
        <v>2551</v>
      </c>
      <c r="W3002" t="s">
        <v>24076</v>
      </c>
      <c r="X3002" t="s">
        <v>3921</v>
      </c>
      <c r="AF3002" t="s">
        <v>24077</v>
      </c>
      <c r="AG3002" t="s">
        <v>2551</v>
      </c>
      <c r="AI3002" t="s">
        <v>24078</v>
      </c>
      <c r="AM3002" t="s">
        <v>2520</v>
      </c>
      <c r="AN3002" t="s">
        <v>2072</v>
      </c>
      <c r="AO3002" t="s">
        <v>24079</v>
      </c>
      <c r="AP3002" t="s">
        <v>7024</v>
      </c>
      <c r="AQ3002" t="s">
        <v>24080</v>
      </c>
      <c r="AT3002" s="184">
        <v>38131</v>
      </c>
      <c r="AU3002" t="s">
        <v>24081</v>
      </c>
      <c r="AV3002">
        <v>250</v>
      </c>
      <c r="AW3002" s="184">
        <v>45286</v>
      </c>
      <c r="AX3002" t="s">
        <v>7382</v>
      </c>
      <c r="AY3002">
        <v>500</v>
      </c>
      <c r="AZ3002" s="184">
        <v>45286</v>
      </c>
      <c r="BA3002" t="s">
        <v>7382</v>
      </c>
      <c r="BB3002">
        <v>500</v>
      </c>
      <c r="BC3002">
        <v>86</v>
      </c>
      <c r="BD3002">
        <v>6119</v>
      </c>
      <c r="BE3002">
        <v>2004</v>
      </c>
      <c r="BF3002">
        <v>27</v>
      </c>
      <c r="BG3002">
        <v>2</v>
      </c>
      <c r="BH3002">
        <v>1000</v>
      </c>
      <c r="BI3002">
        <v>18</v>
      </c>
      <c r="BJ3002">
        <v>21</v>
      </c>
      <c r="BK3002">
        <v>12</v>
      </c>
      <c r="BP3002" s="184"/>
    </row>
    <row r="3003" spans="1:68">
      <c r="A3003">
        <v>36959898</v>
      </c>
      <c r="B3003">
        <v>36959898</v>
      </c>
      <c r="C3003" t="s">
        <v>7018</v>
      </c>
      <c r="D3003" t="s">
        <v>595</v>
      </c>
      <c r="E3003" s="184">
        <v>43801</v>
      </c>
      <c r="G3003" s="184"/>
      <c r="I3003" s="184"/>
      <c r="K3003" s="184"/>
      <c r="M3003" s="184"/>
      <c r="O3003" s="184"/>
      <c r="P3003" t="s">
        <v>7045</v>
      </c>
      <c r="Q3003" t="s">
        <v>7374</v>
      </c>
      <c r="R3003" s="184">
        <v>21002</v>
      </c>
      <c r="S3003">
        <v>66</v>
      </c>
      <c r="U3003" t="s">
        <v>7076</v>
      </c>
      <c r="V3003" t="s">
        <v>2733</v>
      </c>
      <c r="W3003" t="s">
        <v>7067</v>
      </c>
      <c r="X3003" t="s">
        <v>4410</v>
      </c>
      <c r="AF3003" t="s">
        <v>24082</v>
      </c>
      <c r="AG3003" t="s">
        <v>2733</v>
      </c>
      <c r="AI3003" t="s">
        <v>24083</v>
      </c>
      <c r="AM3003" t="s">
        <v>2534</v>
      </c>
      <c r="AN3003" t="s">
        <v>2081</v>
      </c>
      <c r="AO3003" t="s">
        <v>24084</v>
      </c>
      <c r="AP3003" t="s">
        <v>7024</v>
      </c>
      <c r="AT3003" s="184">
        <v>38135</v>
      </c>
      <c r="AU3003" t="s">
        <v>24085</v>
      </c>
      <c r="AV3003">
        <v>25</v>
      </c>
      <c r="AW3003" s="184">
        <v>43119</v>
      </c>
      <c r="AX3003" t="s">
        <v>12488</v>
      </c>
      <c r="AY3003">
        <v>35</v>
      </c>
      <c r="AZ3003" s="184">
        <v>43119</v>
      </c>
      <c r="BA3003" t="s">
        <v>12488</v>
      </c>
      <c r="BB3003">
        <v>35</v>
      </c>
      <c r="BC3003">
        <v>34</v>
      </c>
      <c r="BD3003">
        <v>265</v>
      </c>
      <c r="BE3003">
        <v>2004</v>
      </c>
      <c r="BF3003">
        <v>10</v>
      </c>
      <c r="BI3003">
        <v>7</v>
      </c>
      <c r="BJ3003">
        <v>21</v>
      </c>
      <c r="BK3003">
        <v>3</v>
      </c>
      <c r="BP3003" s="184"/>
    </row>
    <row r="3004" spans="1:68">
      <c r="A3004">
        <v>36960631</v>
      </c>
      <c r="B3004">
        <v>36960631</v>
      </c>
      <c r="C3004" t="s">
        <v>7018</v>
      </c>
      <c r="E3004" s="184"/>
      <c r="F3004" t="s">
        <v>595</v>
      </c>
      <c r="G3004" s="184">
        <v>43731</v>
      </c>
      <c r="I3004" s="184"/>
      <c r="K3004" s="184"/>
      <c r="M3004" s="184"/>
      <c r="O3004" s="184"/>
      <c r="P3004" t="s">
        <v>7029</v>
      </c>
      <c r="Q3004" t="s">
        <v>7160</v>
      </c>
      <c r="R3004" s="184">
        <v>15866</v>
      </c>
      <c r="S3004">
        <v>80</v>
      </c>
      <c r="V3004" t="s">
        <v>2845</v>
      </c>
      <c r="X3004" t="s">
        <v>4016</v>
      </c>
      <c r="AF3004" t="s">
        <v>24086</v>
      </c>
      <c r="AG3004" t="s">
        <v>2845</v>
      </c>
      <c r="AI3004" t="s">
        <v>24087</v>
      </c>
      <c r="AM3004" t="s">
        <v>24088</v>
      </c>
      <c r="AN3004" t="s">
        <v>2446</v>
      </c>
      <c r="AO3004" t="s">
        <v>24089</v>
      </c>
      <c r="AP3004" t="s">
        <v>7024</v>
      </c>
      <c r="AQ3004" t="s">
        <v>24090</v>
      </c>
      <c r="AR3004" t="s">
        <v>24091</v>
      </c>
      <c r="AT3004" s="184">
        <v>38135</v>
      </c>
      <c r="AU3004" t="s">
        <v>24092</v>
      </c>
      <c r="AV3004">
        <v>25</v>
      </c>
      <c r="AW3004" s="184">
        <v>45278</v>
      </c>
      <c r="AX3004" t="s">
        <v>7596</v>
      </c>
      <c r="AY3004">
        <v>500</v>
      </c>
      <c r="AZ3004" s="184">
        <v>45278</v>
      </c>
      <c r="BA3004" t="s">
        <v>7596</v>
      </c>
      <c r="BB3004">
        <v>500</v>
      </c>
      <c r="BC3004">
        <v>91</v>
      </c>
      <c r="BD3004">
        <v>3960</v>
      </c>
      <c r="BE3004">
        <v>2004</v>
      </c>
      <c r="BF3004">
        <v>26</v>
      </c>
      <c r="BG3004">
        <v>2</v>
      </c>
      <c r="BH3004">
        <v>1000</v>
      </c>
      <c r="BI3004">
        <v>19</v>
      </c>
      <c r="BJ3004">
        <v>21</v>
      </c>
      <c r="BK3004">
        <v>18</v>
      </c>
      <c r="BP3004" s="184"/>
    </row>
    <row r="3005" spans="1:68">
      <c r="A3005">
        <v>36968428</v>
      </c>
      <c r="B3005">
        <v>36968428</v>
      </c>
      <c r="C3005" t="s">
        <v>7018</v>
      </c>
      <c r="E3005" s="184"/>
      <c r="G3005" s="184"/>
      <c r="I3005" s="184"/>
      <c r="J3005" t="s">
        <v>595</v>
      </c>
      <c r="K3005" s="184">
        <v>38992</v>
      </c>
      <c r="O3005" s="184"/>
      <c r="P3005" t="s">
        <v>7045</v>
      </c>
      <c r="Q3005" t="s">
        <v>7262</v>
      </c>
      <c r="R3005" s="184"/>
      <c r="V3005" t="s">
        <v>2705</v>
      </c>
      <c r="W3005" t="s">
        <v>4139</v>
      </c>
      <c r="X3005" t="s">
        <v>5333</v>
      </c>
      <c r="AF3005" t="s">
        <v>24093</v>
      </c>
      <c r="AG3005" t="s">
        <v>24094</v>
      </c>
      <c r="AI3005" t="s">
        <v>24095</v>
      </c>
      <c r="AM3005" t="s">
        <v>5334</v>
      </c>
      <c r="AN3005" t="s">
        <v>2106</v>
      </c>
      <c r="AO3005" t="s">
        <v>24096</v>
      </c>
      <c r="AP3005" t="s">
        <v>7024</v>
      </c>
      <c r="AT3005" s="184">
        <v>38141</v>
      </c>
      <c r="AU3005" t="s">
        <v>24097</v>
      </c>
      <c r="AV3005">
        <v>100</v>
      </c>
      <c r="AW3005" s="184">
        <v>40661</v>
      </c>
      <c r="AX3005" t="s">
        <v>14283</v>
      </c>
      <c r="AY3005">
        <v>432.77</v>
      </c>
      <c r="AZ3005" s="184">
        <v>40149</v>
      </c>
      <c r="BA3005" t="s">
        <v>14284</v>
      </c>
      <c r="BB3005">
        <v>225000</v>
      </c>
      <c r="BC3005">
        <v>29</v>
      </c>
      <c r="BD3005">
        <v>443221.09</v>
      </c>
      <c r="BE3005">
        <v>2004</v>
      </c>
      <c r="BF3005">
        <v>9</v>
      </c>
      <c r="BI3005">
        <v>6</v>
      </c>
      <c r="BJ3005">
        <v>21</v>
      </c>
      <c r="BK3005">
        <v>3</v>
      </c>
      <c r="BO3005" t="s">
        <v>595</v>
      </c>
      <c r="BP3005" s="184">
        <v>39821</v>
      </c>
    </row>
    <row r="3006" spans="1:68">
      <c r="A3006">
        <v>36994838</v>
      </c>
      <c r="B3006">
        <v>36994838</v>
      </c>
      <c r="C3006" t="s">
        <v>7018</v>
      </c>
      <c r="E3006" s="184"/>
      <c r="G3006" s="184"/>
      <c r="I3006" s="184"/>
      <c r="J3006" t="s">
        <v>595</v>
      </c>
      <c r="K3006" s="184">
        <v>43691</v>
      </c>
      <c r="M3006" s="184"/>
      <c r="O3006" s="184"/>
      <c r="P3006" t="s">
        <v>7084</v>
      </c>
      <c r="Q3006" t="s">
        <v>7774</v>
      </c>
      <c r="R3006" s="184">
        <v>7645</v>
      </c>
      <c r="S3006">
        <v>103</v>
      </c>
      <c r="U3006" t="s">
        <v>7031</v>
      </c>
      <c r="V3006" t="s">
        <v>5791</v>
      </c>
      <c r="W3006" t="s">
        <v>4152</v>
      </c>
      <c r="X3006" t="s">
        <v>5792</v>
      </c>
      <c r="AF3006" t="s">
        <v>24098</v>
      </c>
      <c r="AG3006" t="s">
        <v>24099</v>
      </c>
      <c r="AI3006" t="s">
        <v>24100</v>
      </c>
      <c r="AM3006" t="s">
        <v>3289</v>
      </c>
      <c r="AN3006" t="s">
        <v>2290</v>
      </c>
      <c r="AO3006" t="s">
        <v>24101</v>
      </c>
      <c r="AP3006" t="s">
        <v>7024</v>
      </c>
      <c r="AT3006" s="184">
        <v>38180</v>
      </c>
      <c r="AU3006" t="s">
        <v>24102</v>
      </c>
      <c r="AV3006">
        <v>20</v>
      </c>
      <c r="AW3006" s="184">
        <v>43620</v>
      </c>
      <c r="AX3006" t="s">
        <v>7348</v>
      </c>
      <c r="AY3006">
        <v>9785.43</v>
      </c>
      <c r="AZ3006" s="184">
        <v>43441</v>
      </c>
      <c r="BA3006" t="s">
        <v>7348</v>
      </c>
      <c r="BB3006">
        <v>10000</v>
      </c>
      <c r="BC3006">
        <v>77</v>
      </c>
      <c r="BD3006">
        <v>20455.43</v>
      </c>
      <c r="BE3006">
        <v>2005</v>
      </c>
      <c r="BF3006">
        <v>29</v>
      </c>
      <c r="BI3006">
        <v>16</v>
      </c>
      <c r="BJ3006">
        <v>21</v>
      </c>
      <c r="BK3006">
        <v>16</v>
      </c>
      <c r="BO3006" t="s">
        <v>595</v>
      </c>
      <c r="BP3006" s="184">
        <v>43292</v>
      </c>
    </row>
    <row r="3007" spans="1:68">
      <c r="A3007">
        <v>37007523</v>
      </c>
      <c r="B3007">
        <v>37007523</v>
      </c>
      <c r="C3007" t="s">
        <v>7018</v>
      </c>
      <c r="E3007" s="184"/>
      <c r="G3007" s="184"/>
      <c r="I3007" s="184"/>
      <c r="J3007" t="s">
        <v>595</v>
      </c>
      <c r="K3007" s="184">
        <v>44104</v>
      </c>
      <c r="M3007" s="184"/>
      <c r="O3007" s="184"/>
      <c r="P3007" t="s">
        <v>7045</v>
      </c>
      <c r="Q3007" t="s">
        <v>7383</v>
      </c>
      <c r="R3007" s="184">
        <v>20149</v>
      </c>
      <c r="S3007">
        <v>69</v>
      </c>
      <c r="V3007" t="s">
        <v>3230</v>
      </c>
      <c r="W3007" t="s">
        <v>4139</v>
      </c>
      <c r="X3007" t="s">
        <v>24103</v>
      </c>
      <c r="AF3007" t="s">
        <v>24104</v>
      </c>
      <c r="AG3007" t="s">
        <v>3230</v>
      </c>
      <c r="AI3007" t="s">
        <v>24105</v>
      </c>
      <c r="AM3007" t="s">
        <v>24106</v>
      </c>
      <c r="AN3007" t="s">
        <v>2059</v>
      </c>
      <c r="AO3007" t="s">
        <v>24107</v>
      </c>
      <c r="AP3007" t="s">
        <v>7024</v>
      </c>
      <c r="AT3007" s="184">
        <v>38201</v>
      </c>
      <c r="AU3007" t="s">
        <v>24108</v>
      </c>
      <c r="AV3007">
        <v>20</v>
      </c>
      <c r="AW3007" s="184">
        <v>45128</v>
      </c>
      <c r="AX3007" t="s">
        <v>21355</v>
      </c>
      <c r="AY3007">
        <v>100</v>
      </c>
      <c r="AZ3007" s="184">
        <v>45128</v>
      </c>
      <c r="BA3007" t="s">
        <v>21355</v>
      </c>
      <c r="BB3007">
        <v>100</v>
      </c>
      <c r="BC3007">
        <v>86</v>
      </c>
      <c r="BD3007">
        <v>3180</v>
      </c>
      <c r="BE3007">
        <v>2005</v>
      </c>
      <c r="BF3007">
        <v>37</v>
      </c>
      <c r="BG3007">
        <v>2</v>
      </c>
      <c r="BH3007">
        <v>200</v>
      </c>
      <c r="BI3007">
        <v>18</v>
      </c>
      <c r="BJ3007">
        <v>21</v>
      </c>
      <c r="BK3007">
        <v>16</v>
      </c>
      <c r="BP3007" s="184"/>
    </row>
    <row r="3008" spans="1:68">
      <c r="A3008">
        <v>37021706</v>
      </c>
      <c r="B3008">
        <v>37021706</v>
      </c>
      <c r="C3008" t="s">
        <v>7018</v>
      </c>
      <c r="E3008" s="184"/>
      <c r="G3008" s="184"/>
      <c r="I3008" s="184"/>
      <c r="K3008" s="184"/>
      <c r="M3008" s="184"/>
      <c r="N3008" t="s">
        <v>595</v>
      </c>
      <c r="O3008" s="184">
        <v>38477</v>
      </c>
      <c r="P3008" t="s">
        <v>7019</v>
      </c>
      <c r="Q3008" t="s">
        <v>7494</v>
      </c>
      <c r="R3008" s="184">
        <v>5097</v>
      </c>
      <c r="S3008">
        <v>110</v>
      </c>
      <c r="U3008" t="s">
        <v>7076</v>
      </c>
      <c r="V3008" t="s">
        <v>2669</v>
      </c>
      <c r="W3008" t="s">
        <v>7560</v>
      </c>
      <c r="X3008" t="s">
        <v>2833</v>
      </c>
      <c r="AF3008" t="s">
        <v>24109</v>
      </c>
      <c r="AG3008" t="s">
        <v>24110</v>
      </c>
      <c r="AI3008" t="s">
        <v>24111</v>
      </c>
      <c r="AM3008" t="s">
        <v>5534</v>
      </c>
      <c r="AN3008" t="s">
        <v>2174</v>
      </c>
      <c r="AO3008">
        <v>77573</v>
      </c>
      <c r="AP3008" t="s">
        <v>7024</v>
      </c>
      <c r="AT3008" s="184">
        <v>38204</v>
      </c>
      <c r="AU3008" t="s">
        <v>24112</v>
      </c>
      <c r="AV3008">
        <v>20</v>
      </c>
      <c r="AW3008" s="184">
        <v>39070</v>
      </c>
      <c r="AX3008" t="s">
        <v>9364</v>
      </c>
      <c r="AY3008">
        <v>20000</v>
      </c>
      <c r="AZ3008" s="184">
        <v>38477</v>
      </c>
      <c r="BA3008" t="s">
        <v>8001</v>
      </c>
      <c r="BB3008">
        <v>25000</v>
      </c>
      <c r="BC3008">
        <v>15</v>
      </c>
      <c r="BD3008">
        <v>45105</v>
      </c>
      <c r="BE3008">
        <v>2005</v>
      </c>
      <c r="BF3008">
        <v>5</v>
      </c>
      <c r="BI3008">
        <v>3</v>
      </c>
      <c r="BJ3008">
        <v>21</v>
      </c>
      <c r="BK3008">
        <v>3</v>
      </c>
      <c r="BO3008" t="s">
        <v>595</v>
      </c>
      <c r="BP3008" s="184">
        <v>40341</v>
      </c>
    </row>
    <row r="3009" spans="1:68">
      <c r="A3009">
        <v>37023090</v>
      </c>
      <c r="B3009">
        <v>37023090</v>
      </c>
      <c r="C3009" t="s">
        <v>7018</v>
      </c>
      <c r="D3009" t="s">
        <v>595</v>
      </c>
      <c r="E3009" s="184">
        <v>45120</v>
      </c>
      <c r="G3009" s="184"/>
      <c r="I3009" s="184"/>
      <c r="K3009" s="184"/>
      <c r="O3009" s="184"/>
      <c r="P3009" t="s">
        <v>7045</v>
      </c>
      <c r="Q3009" t="s">
        <v>7020</v>
      </c>
      <c r="R3009" s="184">
        <v>16589</v>
      </c>
      <c r="S3009">
        <v>78</v>
      </c>
      <c r="U3009" t="s">
        <v>7076</v>
      </c>
      <c r="V3009" t="s">
        <v>2580</v>
      </c>
      <c r="W3009" t="s">
        <v>4013</v>
      </c>
      <c r="X3009" t="s">
        <v>2706</v>
      </c>
      <c r="AF3009" t="s">
        <v>24113</v>
      </c>
      <c r="AG3009" t="s">
        <v>2580</v>
      </c>
      <c r="AI3009" t="s">
        <v>24114</v>
      </c>
      <c r="AM3009" t="s">
        <v>10682</v>
      </c>
      <c r="AN3009" t="s">
        <v>2112</v>
      </c>
      <c r="AO3009" t="s">
        <v>24115</v>
      </c>
      <c r="AP3009" t="s">
        <v>7024</v>
      </c>
      <c r="AQ3009" t="s">
        <v>24116</v>
      </c>
      <c r="AR3009" t="s">
        <v>24117</v>
      </c>
      <c r="AT3009" s="184">
        <v>38204</v>
      </c>
      <c r="AU3009" t="s">
        <v>24118</v>
      </c>
      <c r="AV3009">
        <v>15</v>
      </c>
      <c r="AW3009" s="184">
        <v>45314</v>
      </c>
      <c r="AX3009" t="s">
        <v>7832</v>
      </c>
      <c r="AY3009">
        <v>25</v>
      </c>
      <c r="AZ3009" s="184">
        <v>40578</v>
      </c>
      <c r="BA3009" t="s">
        <v>24119</v>
      </c>
      <c r="BB3009">
        <v>60</v>
      </c>
      <c r="BC3009">
        <v>81</v>
      </c>
      <c r="BD3009">
        <v>495</v>
      </c>
      <c r="BE3009">
        <v>2005</v>
      </c>
      <c r="BF3009">
        <v>19</v>
      </c>
      <c r="BG3009">
        <v>2</v>
      </c>
      <c r="BH3009">
        <v>50</v>
      </c>
      <c r="BI3009">
        <v>17</v>
      </c>
      <c r="BJ3009">
        <v>21</v>
      </c>
      <c r="BK3009">
        <v>7</v>
      </c>
      <c r="BP3009" s="184"/>
    </row>
    <row r="3010" spans="1:68">
      <c r="A3010">
        <v>37031168</v>
      </c>
      <c r="B3010">
        <v>37031168</v>
      </c>
      <c r="C3010" t="s">
        <v>7018</v>
      </c>
      <c r="D3010" t="s">
        <v>595</v>
      </c>
      <c r="E3010" s="184">
        <v>44104</v>
      </c>
      <c r="G3010" s="184"/>
      <c r="I3010" s="184"/>
      <c r="K3010" s="184"/>
      <c r="M3010" s="184"/>
      <c r="P3010" t="s">
        <v>7045</v>
      </c>
      <c r="Q3010" t="s">
        <v>7160</v>
      </c>
      <c r="R3010" s="184">
        <v>18688</v>
      </c>
      <c r="S3010">
        <v>73</v>
      </c>
      <c r="U3010" t="s">
        <v>7076</v>
      </c>
      <c r="V3010" t="s">
        <v>3400</v>
      </c>
      <c r="X3010" t="s">
        <v>24120</v>
      </c>
      <c r="AF3010" t="s">
        <v>24121</v>
      </c>
      <c r="AG3010" t="s">
        <v>3400</v>
      </c>
      <c r="AI3010" t="s">
        <v>24122</v>
      </c>
      <c r="AM3010" t="s">
        <v>24123</v>
      </c>
      <c r="AN3010" t="s">
        <v>2446</v>
      </c>
      <c r="AO3010" t="s">
        <v>24124</v>
      </c>
      <c r="AP3010" t="s">
        <v>7024</v>
      </c>
      <c r="AQ3010" t="s">
        <v>24125</v>
      </c>
      <c r="AT3010" s="184">
        <v>38205</v>
      </c>
      <c r="AU3010" t="s">
        <v>24126</v>
      </c>
      <c r="AV3010">
        <v>15</v>
      </c>
      <c r="AW3010" s="184">
        <v>45402</v>
      </c>
      <c r="AX3010" t="s">
        <v>7429</v>
      </c>
      <c r="AY3010">
        <v>5</v>
      </c>
      <c r="AZ3010" s="184">
        <v>44907</v>
      </c>
      <c r="BA3010" t="s">
        <v>24127</v>
      </c>
      <c r="BB3010">
        <v>55</v>
      </c>
      <c r="BC3010">
        <v>100</v>
      </c>
      <c r="BD3010">
        <v>1340</v>
      </c>
      <c r="BE3010">
        <v>2005</v>
      </c>
      <c r="BF3010">
        <v>172</v>
      </c>
      <c r="BG3010">
        <v>18</v>
      </c>
      <c r="BH3010">
        <v>140</v>
      </c>
      <c r="BI3010">
        <v>21</v>
      </c>
      <c r="BJ3010">
        <v>21</v>
      </c>
      <c r="BK3010">
        <v>21</v>
      </c>
      <c r="BN3010" t="s">
        <v>595</v>
      </c>
    </row>
    <row r="3011" spans="1:68">
      <c r="A3011">
        <v>37036910</v>
      </c>
      <c r="B3011">
        <v>37036910</v>
      </c>
      <c r="C3011" t="s">
        <v>7018</v>
      </c>
      <c r="D3011" t="s">
        <v>595</v>
      </c>
      <c r="E3011" s="184">
        <v>43647</v>
      </c>
      <c r="G3011" s="184"/>
      <c r="I3011" s="184"/>
      <c r="K3011" s="184"/>
      <c r="M3011" s="184"/>
      <c r="O3011" s="184"/>
      <c r="P3011" t="s">
        <v>7045</v>
      </c>
      <c r="Q3011" t="s">
        <v>7262</v>
      </c>
      <c r="R3011" s="184">
        <v>21276</v>
      </c>
      <c r="S3011">
        <v>66</v>
      </c>
      <c r="V3011" t="s">
        <v>3559</v>
      </c>
      <c r="X3011" t="s">
        <v>3560</v>
      </c>
      <c r="AF3011" t="s">
        <v>24128</v>
      </c>
      <c r="AG3011" t="s">
        <v>3559</v>
      </c>
      <c r="AI3011" t="s">
        <v>24129</v>
      </c>
      <c r="AM3011" t="s">
        <v>3561</v>
      </c>
      <c r="AN3011" t="s">
        <v>2106</v>
      </c>
      <c r="AO3011" t="s">
        <v>24130</v>
      </c>
      <c r="AP3011" t="s">
        <v>7024</v>
      </c>
      <c r="AT3011" s="184">
        <v>38208</v>
      </c>
      <c r="AU3011" t="s">
        <v>24108</v>
      </c>
      <c r="AV3011">
        <v>20</v>
      </c>
      <c r="AW3011" s="184">
        <v>45317</v>
      </c>
      <c r="AX3011" t="s">
        <v>24131</v>
      </c>
      <c r="AY3011">
        <v>50</v>
      </c>
      <c r="AZ3011" s="184">
        <v>44890</v>
      </c>
      <c r="BA3011" t="s">
        <v>24132</v>
      </c>
      <c r="BB3011">
        <v>75</v>
      </c>
      <c r="BC3011">
        <v>77</v>
      </c>
      <c r="BD3011">
        <v>1275</v>
      </c>
      <c r="BE3011">
        <v>2005</v>
      </c>
      <c r="BF3011">
        <v>32</v>
      </c>
      <c r="BG3011">
        <v>2</v>
      </c>
      <c r="BH3011">
        <v>125</v>
      </c>
      <c r="BI3011">
        <v>16</v>
      </c>
      <c r="BJ3011">
        <v>21</v>
      </c>
      <c r="BK3011">
        <v>8</v>
      </c>
      <c r="BP3011" s="184"/>
    </row>
    <row r="3012" spans="1:68">
      <c r="A3012">
        <v>37037470</v>
      </c>
      <c r="B3012">
        <v>37037470</v>
      </c>
      <c r="C3012" t="s">
        <v>7018</v>
      </c>
      <c r="E3012" s="184"/>
      <c r="F3012" t="s">
        <v>595</v>
      </c>
      <c r="G3012" s="184">
        <v>44073</v>
      </c>
      <c r="H3012" t="s">
        <v>595</v>
      </c>
      <c r="I3012" s="184">
        <v>44073</v>
      </c>
      <c r="K3012" s="184"/>
      <c r="M3012" s="184"/>
      <c r="O3012" s="184"/>
      <c r="P3012" t="s">
        <v>7019</v>
      </c>
      <c r="Q3012" t="s">
        <v>7383</v>
      </c>
      <c r="R3012" s="184">
        <v>14509</v>
      </c>
      <c r="S3012">
        <v>84</v>
      </c>
      <c r="U3012" t="s">
        <v>7031</v>
      </c>
      <c r="V3012" t="s">
        <v>2697</v>
      </c>
      <c r="W3012" t="s">
        <v>7407</v>
      </c>
      <c r="X3012" t="s">
        <v>4936</v>
      </c>
      <c r="AF3012" t="s">
        <v>24133</v>
      </c>
      <c r="AG3012" t="s">
        <v>2697</v>
      </c>
      <c r="AI3012" t="s">
        <v>24134</v>
      </c>
      <c r="AM3012" t="s">
        <v>4937</v>
      </c>
      <c r="AN3012" t="s">
        <v>2313</v>
      </c>
      <c r="AO3012" t="s">
        <v>24135</v>
      </c>
      <c r="AP3012" t="s">
        <v>7024</v>
      </c>
      <c r="AQ3012" t="s">
        <v>24136</v>
      </c>
      <c r="AT3012" s="184">
        <v>36944</v>
      </c>
      <c r="AU3012" t="s">
        <v>24137</v>
      </c>
      <c r="AV3012">
        <v>25</v>
      </c>
      <c r="AW3012" s="184">
        <v>44340</v>
      </c>
      <c r="AX3012" t="s">
        <v>9780</v>
      </c>
      <c r="AY3012">
        <v>60</v>
      </c>
      <c r="AZ3012" s="184">
        <v>44340</v>
      </c>
      <c r="BA3012" t="s">
        <v>9780</v>
      </c>
      <c r="BB3012">
        <v>60</v>
      </c>
      <c r="BC3012">
        <v>71</v>
      </c>
      <c r="BD3012">
        <v>860</v>
      </c>
      <c r="BE3012">
        <v>2001</v>
      </c>
      <c r="BF3012">
        <v>32</v>
      </c>
      <c r="BI3012">
        <v>17</v>
      </c>
      <c r="BJ3012">
        <v>24</v>
      </c>
      <c r="BK3012">
        <v>8</v>
      </c>
      <c r="BP3012" s="184"/>
    </row>
    <row r="3013" spans="1:68">
      <c r="A3013">
        <v>37038890</v>
      </c>
      <c r="B3013">
        <v>37038890</v>
      </c>
      <c r="C3013" t="s">
        <v>7018</v>
      </c>
      <c r="D3013" t="s">
        <v>595</v>
      </c>
      <c r="E3013" s="184">
        <v>44167</v>
      </c>
      <c r="G3013" s="184"/>
      <c r="I3013" s="184"/>
      <c r="K3013" s="184"/>
      <c r="M3013" s="184"/>
      <c r="O3013" s="184"/>
      <c r="P3013" t="s">
        <v>7045</v>
      </c>
      <c r="Q3013" t="s">
        <v>7030</v>
      </c>
      <c r="R3013" s="184">
        <v>13271</v>
      </c>
      <c r="S3013">
        <v>88</v>
      </c>
      <c r="U3013" t="s">
        <v>7076</v>
      </c>
      <c r="V3013" t="s">
        <v>7952</v>
      </c>
      <c r="W3013" t="s">
        <v>3332</v>
      </c>
      <c r="X3013" t="s">
        <v>24138</v>
      </c>
      <c r="AF3013" t="s">
        <v>24139</v>
      </c>
      <c r="AG3013" t="s">
        <v>7952</v>
      </c>
      <c r="AI3013" t="s">
        <v>24140</v>
      </c>
      <c r="AM3013" t="s">
        <v>3601</v>
      </c>
      <c r="AN3013" t="s">
        <v>2201</v>
      </c>
      <c r="AO3013" t="s">
        <v>24141</v>
      </c>
      <c r="AP3013" t="s">
        <v>7024</v>
      </c>
      <c r="AQ3013" t="s">
        <v>24142</v>
      </c>
      <c r="AR3013" t="s">
        <v>24143</v>
      </c>
      <c r="AT3013" s="184">
        <v>38208</v>
      </c>
      <c r="AU3013" t="s">
        <v>24144</v>
      </c>
      <c r="AV3013">
        <v>25</v>
      </c>
      <c r="AW3013" s="184">
        <v>45146</v>
      </c>
      <c r="AX3013" t="s">
        <v>24145</v>
      </c>
      <c r="AY3013">
        <v>85</v>
      </c>
      <c r="AZ3013" s="184">
        <v>45146</v>
      </c>
      <c r="BA3013" t="s">
        <v>24145</v>
      </c>
      <c r="BB3013">
        <v>85</v>
      </c>
      <c r="BC3013">
        <v>96</v>
      </c>
      <c r="BD3013">
        <v>1445</v>
      </c>
      <c r="BE3013">
        <v>2005</v>
      </c>
      <c r="BF3013">
        <v>25</v>
      </c>
      <c r="BG3013">
        <v>2</v>
      </c>
      <c r="BH3013">
        <v>170</v>
      </c>
      <c r="BI3013">
        <v>20</v>
      </c>
      <c r="BJ3013">
        <v>21</v>
      </c>
      <c r="BK3013">
        <v>20</v>
      </c>
      <c r="BP3013" s="184"/>
    </row>
    <row r="3014" spans="1:68">
      <c r="A3014">
        <v>37064433</v>
      </c>
      <c r="B3014">
        <v>37064433</v>
      </c>
      <c r="C3014" t="s">
        <v>7018</v>
      </c>
      <c r="D3014" t="s">
        <v>595</v>
      </c>
      <c r="E3014" s="184">
        <v>43861</v>
      </c>
      <c r="G3014" s="184"/>
      <c r="I3014" s="184"/>
      <c r="K3014" s="184"/>
      <c r="M3014" s="184"/>
      <c r="O3014" s="184"/>
      <c r="P3014" t="s">
        <v>7045</v>
      </c>
      <c r="Q3014" t="s">
        <v>7020</v>
      </c>
      <c r="R3014" s="184">
        <v>25355</v>
      </c>
      <c r="S3014">
        <v>54</v>
      </c>
      <c r="U3014" t="s">
        <v>7031</v>
      </c>
      <c r="V3014" t="s">
        <v>4587</v>
      </c>
      <c r="X3014" t="s">
        <v>4588</v>
      </c>
      <c r="AF3014" t="s">
        <v>24146</v>
      </c>
      <c r="AG3014" t="s">
        <v>4587</v>
      </c>
      <c r="AI3014" t="s">
        <v>24147</v>
      </c>
      <c r="AM3014" t="s">
        <v>4589</v>
      </c>
      <c r="AN3014" t="s">
        <v>2112</v>
      </c>
      <c r="AO3014" t="s">
        <v>24148</v>
      </c>
      <c r="AP3014" t="s">
        <v>7024</v>
      </c>
      <c r="AQ3014" t="s">
        <v>24149</v>
      </c>
      <c r="AR3014" t="s">
        <v>24150</v>
      </c>
      <c r="AT3014" s="184">
        <v>38209</v>
      </c>
      <c r="AU3014" t="s">
        <v>24151</v>
      </c>
      <c r="AV3014">
        <v>25</v>
      </c>
      <c r="AW3014" s="184">
        <v>45407</v>
      </c>
      <c r="AX3014" t="s">
        <v>24152</v>
      </c>
      <c r="AY3014">
        <v>35</v>
      </c>
      <c r="AZ3014" s="184">
        <v>45407</v>
      </c>
      <c r="BA3014" t="s">
        <v>24152</v>
      </c>
      <c r="BB3014">
        <v>35</v>
      </c>
      <c r="BC3014">
        <v>53</v>
      </c>
      <c r="BD3014">
        <v>371</v>
      </c>
      <c r="BE3014">
        <v>2005</v>
      </c>
      <c r="BF3014">
        <v>15</v>
      </c>
      <c r="BG3014">
        <v>4</v>
      </c>
      <c r="BH3014">
        <v>106</v>
      </c>
      <c r="BI3014">
        <v>11</v>
      </c>
      <c r="BJ3014">
        <v>21</v>
      </c>
      <c r="BK3014">
        <v>5</v>
      </c>
      <c r="BP3014" s="184"/>
    </row>
    <row r="3015" spans="1:68">
      <c r="A3015">
        <v>37065836</v>
      </c>
      <c r="B3015">
        <v>37065836</v>
      </c>
      <c r="C3015" t="s">
        <v>7018</v>
      </c>
      <c r="D3015" t="s">
        <v>595</v>
      </c>
      <c r="E3015" s="184">
        <v>44167</v>
      </c>
      <c r="G3015" s="184"/>
      <c r="I3015" s="184"/>
      <c r="K3015" s="184"/>
      <c r="M3015" s="184"/>
      <c r="O3015" s="184"/>
      <c r="P3015" t="s">
        <v>7045</v>
      </c>
      <c r="Q3015" t="s">
        <v>7494</v>
      </c>
      <c r="R3015" s="184">
        <v>21398</v>
      </c>
      <c r="S3015">
        <v>65</v>
      </c>
      <c r="V3015" t="s">
        <v>3444</v>
      </c>
      <c r="X3015" t="s">
        <v>8114</v>
      </c>
      <c r="AF3015" t="s">
        <v>24153</v>
      </c>
      <c r="AG3015" t="s">
        <v>3444</v>
      </c>
      <c r="AI3015" t="s">
        <v>24154</v>
      </c>
      <c r="AM3015" t="s">
        <v>4070</v>
      </c>
      <c r="AN3015" t="s">
        <v>2174</v>
      </c>
      <c r="AO3015" t="s">
        <v>24155</v>
      </c>
      <c r="AP3015" t="s">
        <v>7024</v>
      </c>
      <c r="AQ3015" t="s">
        <v>24156</v>
      </c>
      <c r="AR3015" t="s">
        <v>24157</v>
      </c>
      <c r="AT3015" s="184">
        <v>34092</v>
      </c>
      <c r="AU3015" t="s">
        <v>24158</v>
      </c>
      <c r="AV3015">
        <v>15</v>
      </c>
      <c r="AW3015" s="184">
        <v>45289</v>
      </c>
      <c r="AX3015" t="s">
        <v>9378</v>
      </c>
      <c r="AY3015">
        <v>36.75</v>
      </c>
      <c r="AZ3015" s="184">
        <v>45289</v>
      </c>
      <c r="BA3015" t="s">
        <v>9378</v>
      </c>
      <c r="BB3015">
        <v>36.75</v>
      </c>
      <c r="BC3015">
        <v>79</v>
      </c>
      <c r="BD3015">
        <v>1428.6</v>
      </c>
      <c r="BE3015">
        <v>1993</v>
      </c>
      <c r="BF3015">
        <v>64</v>
      </c>
      <c r="BG3015">
        <v>9</v>
      </c>
      <c r="BH3015">
        <v>248</v>
      </c>
      <c r="BI3015">
        <v>25</v>
      </c>
      <c r="BJ3015">
        <v>32</v>
      </c>
      <c r="BK3015">
        <v>23</v>
      </c>
    </row>
    <row r="3016" spans="1:68">
      <c r="A3016">
        <v>37076965</v>
      </c>
      <c r="B3016">
        <v>37076965</v>
      </c>
      <c r="C3016" t="s">
        <v>7018</v>
      </c>
      <c r="D3016" t="s">
        <v>595</v>
      </c>
      <c r="E3016" s="184">
        <v>45125</v>
      </c>
      <c r="G3016" s="184"/>
      <c r="I3016" s="184"/>
      <c r="K3016" s="184"/>
      <c r="M3016" s="184"/>
      <c r="O3016" s="184"/>
      <c r="P3016" t="s">
        <v>7045</v>
      </c>
      <c r="Q3016" t="s">
        <v>7160</v>
      </c>
      <c r="R3016" s="184">
        <v>13363</v>
      </c>
      <c r="S3016">
        <v>87</v>
      </c>
      <c r="U3016" t="s">
        <v>7130</v>
      </c>
      <c r="V3016" t="s">
        <v>24159</v>
      </c>
      <c r="W3016" t="s">
        <v>3830</v>
      </c>
      <c r="X3016" t="s">
        <v>24160</v>
      </c>
      <c r="AF3016" t="s">
        <v>24161</v>
      </c>
      <c r="AG3016" t="s">
        <v>24159</v>
      </c>
      <c r="AI3016" t="s">
        <v>24162</v>
      </c>
      <c r="AM3016" t="s">
        <v>24163</v>
      </c>
      <c r="AN3016" t="s">
        <v>2428</v>
      </c>
      <c r="AO3016" t="s">
        <v>24164</v>
      </c>
      <c r="AP3016" t="s">
        <v>7024</v>
      </c>
      <c r="AQ3016" t="s">
        <v>24165</v>
      </c>
      <c r="AT3016" s="184">
        <v>41562</v>
      </c>
      <c r="AU3016" t="s">
        <v>24166</v>
      </c>
      <c r="AV3016">
        <v>25</v>
      </c>
      <c r="AW3016" s="184">
        <v>45392</v>
      </c>
      <c r="AX3016" t="s">
        <v>8008</v>
      </c>
      <c r="AY3016">
        <v>25</v>
      </c>
      <c r="AZ3016" s="184">
        <v>45392</v>
      </c>
      <c r="BA3016" t="s">
        <v>8008</v>
      </c>
      <c r="BB3016">
        <v>25</v>
      </c>
      <c r="BC3016">
        <v>92</v>
      </c>
      <c r="BD3016">
        <v>295</v>
      </c>
      <c r="BE3016">
        <v>2014</v>
      </c>
      <c r="BF3016">
        <v>13</v>
      </c>
      <c r="BG3016">
        <v>2</v>
      </c>
      <c r="BH3016">
        <v>50</v>
      </c>
      <c r="BI3016">
        <v>11</v>
      </c>
      <c r="BJ3016">
        <v>12</v>
      </c>
      <c r="BK3016">
        <v>10</v>
      </c>
    </row>
    <row r="3017" spans="1:68">
      <c r="A3017">
        <v>37079324</v>
      </c>
      <c r="B3017">
        <v>37079324</v>
      </c>
      <c r="C3017" t="s">
        <v>7018</v>
      </c>
      <c r="D3017" t="s">
        <v>595</v>
      </c>
      <c r="E3017" s="184">
        <v>44104</v>
      </c>
      <c r="G3017" s="184"/>
      <c r="I3017" s="184"/>
      <c r="K3017" s="184"/>
      <c r="M3017" s="184"/>
      <c r="O3017" s="184"/>
      <c r="P3017" t="s">
        <v>7019</v>
      </c>
      <c r="Q3017" t="s">
        <v>7383</v>
      </c>
      <c r="R3017" s="184">
        <v>19054</v>
      </c>
      <c r="S3017">
        <v>72</v>
      </c>
      <c r="U3017" t="s">
        <v>7076</v>
      </c>
      <c r="V3017" t="s">
        <v>7356</v>
      </c>
      <c r="W3017" t="s">
        <v>7407</v>
      </c>
      <c r="X3017" t="s">
        <v>21654</v>
      </c>
      <c r="AF3017" t="s">
        <v>24167</v>
      </c>
      <c r="AG3017" t="s">
        <v>24168</v>
      </c>
      <c r="AI3017" t="s">
        <v>24169</v>
      </c>
      <c r="AM3017" t="s">
        <v>10655</v>
      </c>
      <c r="AN3017" t="s">
        <v>2059</v>
      </c>
      <c r="AO3017" t="s">
        <v>24170</v>
      </c>
      <c r="AP3017" t="s">
        <v>7024</v>
      </c>
      <c r="AQ3017" t="s">
        <v>24171</v>
      </c>
      <c r="AT3017" s="184">
        <v>38229</v>
      </c>
      <c r="AU3017" t="s">
        <v>24172</v>
      </c>
      <c r="AV3017">
        <v>15</v>
      </c>
      <c r="AW3017" s="184">
        <v>44488</v>
      </c>
      <c r="AX3017" t="s">
        <v>14121</v>
      </c>
      <c r="AY3017">
        <v>60</v>
      </c>
      <c r="AZ3017" s="184">
        <v>42424</v>
      </c>
      <c r="BA3017" t="s">
        <v>24173</v>
      </c>
      <c r="BB3017">
        <v>87</v>
      </c>
      <c r="BC3017">
        <v>77</v>
      </c>
      <c r="BD3017">
        <v>919</v>
      </c>
      <c r="BE3017">
        <v>2005</v>
      </c>
      <c r="BF3017">
        <v>35</v>
      </c>
      <c r="BI3017">
        <v>16</v>
      </c>
      <c r="BJ3017">
        <v>21</v>
      </c>
      <c r="BK3017">
        <v>8</v>
      </c>
      <c r="BP3017" s="184"/>
    </row>
    <row r="3018" spans="1:68">
      <c r="A3018">
        <v>37081205</v>
      </c>
      <c r="B3018">
        <v>37081205</v>
      </c>
      <c r="C3018" t="s">
        <v>7018</v>
      </c>
      <c r="D3018" t="s">
        <v>595</v>
      </c>
      <c r="E3018" s="184">
        <v>44484</v>
      </c>
      <c r="G3018" s="184"/>
      <c r="I3018" s="184"/>
      <c r="K3018" s="184"/>
      <c r="O3018" s="184"/>
      <c r="P3018" t="s">
        <v>7045</v>
      </c>
      <c r="Q3018" t="s">
        <v>7383</v>
      </c>
      <c r="R3018" s="184">
        <v>15804</v>
      </c>
      <c r="S3018">
        <v>81</v>
      </c>
      <c r="U3018" t="s">
        <v>7130</v>
      </c>
      <c r="V3018" t="s">
        <v>2985</v>
      </c>
      <c r="W3018" t="s">
        <v>2049</v>
      </c>
      <c r="X3018" t="s">
        <v>24174</v>
      </c>
      <c r="AF3018" t="s">
        <v>24175</v>
      </c>
      <c r="AG3018" t="s">
        <v>2985</v>
      </c>
      <c r="AI3018" t="s">
        <v>24176</v>
      </c>
      <c r="AM3018" t="s">
        <v>4119</v>
      </c>
      <c r="AN3018" t="s">
        <v>2313</v>
      </c>
      <c r="AO3018" t="s">
        <v>24177</v>
      </c>
      <c r="AP3018" t="s">
        <v>7024</v>
      </c>
      <c r="AQ3018" t="s">
        <v>24178</v>
      </c>
      <c r="AT3018" s="184">
        <v>42355</v>
      </c>
      <c r="AU3018" t="s">
        <v>24179</v>
      </c>
      <c r="AV3018">
        <v>10</v>
      </c>
      <c r="AW3018" s="184">
        <v>45409</v>
      </c>
      <c r="AX3018" t="s">
        <v>7429</v>
      </c>
      <c r="AY3018">
        <v>6</v>
      </c>
      <c r="AZ3018" s="184">
        <v>43558</v>
      </c>
      <c r="BA3018" t="s">
        <v>24180</v>
      </c>
      <c r="BB3018">
        <v>60</v>
      </c>
      <c r="BC3018">
        <v>90</v>
      </c>
      <c r="BD3018">
        <v>427</v>
      </c>
      <c r="BE3018">
        <v>2016</v>
      </c>
      <c r="BF3018">
        <v>44</v>
      </c>
      <c r="BG3018">
        <v>25</v>
      </c>
      <c r="BH3018">
        <v>159</v>
      </c>
      <c r="BI3018">
        <v>9</v>
      </c>
      <c r="BJ3018">
        <v>10</v>
      </c>
      <c r="BK3018">
        <v>7</v>
      </c>
      <c r="BP3018" s="184"/>
    </row>
    <row r="3019" spans="1:68">
      <c r="A3019">
        <v>37087871</v>
      </c>
      <c r="B3019">
        <v>37087871</v>
      </c>
      <c r="C3019" t="s">
        <v>7018</v>
      </c>
      <c r="E3019" s="184"/>
      <c r="G3019" s="184"/>
      <c r="I3019" s="184"/>
      <c r="J3019" t="s">
        <v>595</v>
      </c>
      <c r="K3019" s="184">
        <v>41848</v>
      </c>
      <c r="M3019" s="184"/>
      <c r="O3019" s="184"/>
      <c r="P3019" t="s">
        <v>7045</v>
      </c>
      <c r="Q3019" t="s">
        <v>7774</v>
      </c>
      <c r="R3019" s="184">
        <v>17958</v>
      </c>
      <c r="S3019">
        <v>75</v>
      </c>
      <c r="U3019" t="s">
        <v>7130</v>
      </c>
      <c r="V3019" t="s">
        <v>17568</v>
      </c>
      <c r="W3019" t="s">
        <v>2602</v>
      </c>
      <c r="X3019" t="s">
        <v>24181</v>
      </c>
      <c r="AF3019" t="s">
        <v>6624</v>
      </c>
      <c r="AG3019" t="s">
        <v>17568</v>
      </c>
      <c r="AI3019" t="s">
        <v>24182</v>
      </c>
      <c r="AM3019" t="s">
        <v>18870</v>
      </c>
      <c r="AN3019" t="s">
        <v>2290</v>
      </c>
      <c r="AO3019" t="s">
        <v>24183</v>
      </c>
      <c r="AP3019" t="s">
        <v>7024</v>
      </c>
      <c r="AQ3019" t="s">
        <v>24184</v>
      </c>
      <c r="AT3019" s="184">
        <v>38776</v>
      </c>
      <c r="AU3019" t="s">
        <v>24185</v>
      </c>
      <c r="AV3019">
        <v>15</v>
      </c>
      <c r="AW3019" s="184">
        <v>45143</v>
      </c>
      <c r="AX3019" t="s">
        <v>24186</v>
      </c>
      <c r="AY3019">
        <v>25</v>
      </c>
      <c r="AZ3019" s="184">
        <v>44060</v>
      </c>
      <c r="BA3019" t="s">
        <v>24187</v>
      </c>
      <c r="BB3019">
        <v>35</v>
      </c>
      <c r="BC3019">
        <v>90</v>
      </c>
      <c r="BD3019">
        <v>455</v>
      </c>
      <c r="BE3019">
        <v>2006</v>
      </c>
      <c r="BF3019">
        <v>17</v>
      </c>
      <c r="BG3019">
        <v>2</v>
      </c>
      <c r="BH3019">
        <v>50</v>
      </c>
      <c r="BI3019">
        <v>17</v>
      </c>
      <c r="BJ3019">
        <v>19</v>
      </c>
      <c r="BK3019">
        <v>16</v>
      </c>
      <c r="BP3019" s="184"/>
    </row>
    <row r="3020" spans="1:68">
      <c r="A3020">
        <v>37099256</v>
      </c>
      <c r="B3020">
        <v>37099256</v>
      </c>
      <c r="C3020" t="s">
        <v>7018</v>
      </c>
      <c r="E3020" s="184"/>
      <c r="G3020" s="184"/>
      <c r="I3020" s="184"/>
      <c r="J3020" t="s">
        <v>595</v>
      </c>
      <c r="K3020" s="184">
        <v>41946</v>
      </c>
      <c r="M3020" s="184"/>
      <c r="O3020" s="184"/>
      <c r="P3020" t="s">
        <v>7045</v>
      </c>
      <c r="Q3020" t="s">
        <v>7030</v>
      </c>
      <c r="R3020" s="184"/>
      <c r="U3020" t="s">
        <v>7031</v>
      </c>
      <c r="V3020" t="s">
        <v>3632</v>
      </c>
      <c r="X3020" t="s">
        <v>24188</v>
      </c>
      <c r="AF3020" t="s">
        <v>6253</v>
      </c>
      <c r="AG3020" t="s">
        <v>3632</v>
      </c>
      <c r="AI3020" t="s">
        <v>24189</v>
      </c>
      <c r="AM3020" t="s">
        <v>4209</v>
      </c>
      <c r="AN3020" t="s">
        <v>2201</v>
      </c>
      <c r="AO3020" t="s">
        <v>24190</v>
      </c>
      <c r="AP3020" t="s">
        <v>7024</v>
      </c>
      <c r="AQ3020" t="s">
        <v>24191</v>
      </c>
      <c r="AT3020" s="184">
        <v>38210</v>
      </c>
      <c r="AU3020" t="s">
        <v>24108</v>
      </c>
      <c r="AV3020">
        <v>25</v>
      </c>
      <c r="AW3020" s="184">
        <v>43105</v>
      </c>
      <c r="AX3020" t="s">
        <v>24192</v>
      </c>
      <c r="AY3020">
        <v>20</v>
      </c>
      <c r="AZ3020" s="184">
        <v>39864</v>
      </c>
      <c r="BA3020" t="s">
        <v>24193</v>
      </c>
      <c r="BB3020">
        <v>50</v>
      </c>
      <c r="BC3020">
        <v>53</v>
      </c>
      <c r="BD3020">
        <v>2135</v>
      </c>
      <c r="BE3020">
        <v>2005</v>
      </c>
      <c r="BF3020">
        <v>105</v>
      </c>
      <c r="BI3020">
        <v>11</v>
      </c>
      <c r="BJ3020">
        <v>21</v>
      </c>
      <c r="BK3020">
        <v>10</v>
      </c>
      <c r="BP3020" s="184"/>
    </row>
    <row r="3021" spans="1:68">
      <c r="A3021">
        <v>37099934</v>
      </c>
      <c r="B3021">
        <v>37099934</v>
      </c>
      <c r="C3021" t="s">
        <v>7018</v>
      </c>
      <c r="D3021" t="s">
        <v>595</v>
      </c>
      <c r="E3021" s="184">
        <v>45182</v>
      </c>
      <c r="G3021" s="184"/>
      <c r="I3021" s="184"/>
      <c r="K3021" s="184"/>
      <c r="M3021" s="184"/>
      <c r="O3021" s="184"/>
      <c r="P3021" t="s">
        <v>7045</v>
      </c>
      <c r="Q3021" t="s">
        <v>7020</v>
      </c>
      <c r="R3021" s="184">
        <v>22930</v>
      </c>
      <c r="S3021">
        <v>61</v>
      </c>
      <c r="V3021" t="s">
        <v>24194</v>
      </c>
      <c r="W3021" t="s">
        <v>7396</v>
      </c>
      <c r="X3021" t="s">
        <v>24195</v>
      </c>
      <c r="AF3021" t="s">
        <v>24196</v>
      </c>
      <c r="AG3021" t="s">
        <v>24194</v>
      </c>
      <c r="AI3021" t="s">
        <v>24197</v>
      </c>
      <c r="AM3021" t="s">
        <v>3380</v>
      </c>
      <c r="AN3021" t="s">
        <v>2112</v>
      </c>
      <c r="AO3021" t="s">
        <v>24198</v>
      </c>
      <c r="AP3021" t="s">
        <v>7024</v>
      </c>
      <c r="AQ3021" t="s">
        <v>24199</v>
      </c>
      <c r="AT3021" s="184">
        <v>38210</v>
      </c>
      <c r="AU3021" t="s">
        <v>24151</v>
      </c>
      <c r="AV3021">
        <v>25</v>
      </c>
      <c r="AW3021" s="184">
        <v>45168</v>
      </c>
      <c r="AX3021" t="s">
        <v>11218</v>
      </c>
      <c r="AY3021">
        <v>25</v>
      </c>
      <c r="AZ3021" s="184">
        <v>45168</v>
      </c>
      <c r="BA3021" t="s">
        <v>11218</v>
      </c>
      <c r="BB3021">
        <v>25</v>
      </c>
      <c r="BC3021">
        <v>43</v>
      </c>
      <c r="BD3021">
        <v>275</v>
      </c>
      <c r="BE3021">
        <v>2005</v>
      </c>
      <c r="BF3021">
        <v>11</v>
      </c>
      <c r="BG3021">
        <v>1</v>
      </c>
      <c r="BH3021">
        <v>25</v>
      </c>
      <c r="BI3021">
        <v>9</v>
      </c>
      <c r="BJ3021">
        <v>21</v>
      </c>
      <c r="BK3021">
        <v>3</v>
      </c>
      <c r="BP3021" s="184"/>
    </row>
    <row r="3022" spans="1:68">
      <c r="A3022">
        <v>37102860</v>
      </c>
      <c r="B3022">
        <v>37102860</v>
      </c>
      <c r="C3022" t="s">
        <v>7018</v>
      </c>
      <c r="D3022" t="s">
        <v>595</v>
      </c>
      <c r="E3022" s="184">
        <v>44438</v>
      </c>
      <c r="G3022" s="184"/>
      <c r="I3022" s="184"/>
      <c r="K3022" s="184"/>
      <c r="M3022" s="184"/>
      <c r="O3022" s="184"/>
      <c r="P3022" t="s">
        <v>7045</v>
      </c>
      <c r="Q3022" t="s">
        <v>7383</v>
      </c>
      <c r="R3022" s="184">
        <v>15890</v>
      </c>
      <c r="S3022">
        <v>80</v>
      </c>
      <c r="V3022" t="s">
        <v>24200</v>
      </c>
      <c r="X3022" t="s">
        <v>24201</v>
      </c>
      <c r="Z3022">
        <v>100105470</v>
      </c>
      <c r="AA3022" t="s">
        <v>7031</v>
      </c>
      <c r="AB3022" t="s">
        <v>12008</v>
      </c>
      <c r="AD3022" t="s">
        <v>24201</v>
      </c>
      <c r="AF3022" t="s">
        <v>24202</v>
      </c>
      <c r="AG3022" t="s">
        <v>24203</v>
      </c>
      <c r="AI3022" t="s">
        <v>24204</v>
      </c>
      <c r="AM3022" t="s">
        <v>3121</v>
      </c>
      <c r="AN3022" t="s">
        <v>2144</v>
      </c>
      <c r="AO3022" t="s">
        <v>24205</v>
      </c>
      <c r="AP3022" t="s">
        <v>7024</v>
      </c>
      <c r="AQ3022" t="s">
        <v>24206</v>
      </c>
      <c r="AR3022" t="s">
        <v>24207</v>
      </c>
      <c r="AT3022" s="184">
        <v>38210</v>
      </c>
      <c r="AU3022" t="s">
        <v>24208</v>
      </c>
      <c r="AV3022">
        <v>25</v>
      </c>
      <c r="AW3022" s="184">
        <v>43151</v>
      </c>
      <c r="AX3022" t="s">
        <v>24209</v>
      </c>
      <c r="AY3022">
        <v>15</v>
      </c>
      <c r="AZ3022" s="184">
        <v>38491</v>
      </c>
      <c r="BA3022" t="s">
        <v>24210</v>
      </c>
      <c r="BB3022">
        <v>87</v>
      </c>
      <c r="BC3022">
        <v>29</v>
      </c>
      <c r="BD3022">
        <v>182</v>
      </c>
      <c r="BE3022">
        <v>2005</v>
      </c>
      <c r="BF3022">
        <v>6</v>
      </c>
      <c r="BI3022">
        <v>6</v>
      </c>
      <c r="BJ3022">
        <v>21</v>
      </c>
      <c r="BK3022">
        <v>2</v>
      </c>
      <c r="BP3022" s="184"/>
    </row>
    <row r="3023" spans="1:68">
      <c r="A3023">
        <v>100105470</v>
      </c>
      <c r="B3023">
        <v>37102860</v>
      </c>
      <c r="C3023" t="s">
        <v>7018</v>
      </c>
      <c r="D3023" t="s">
        <v>595</v>
      </c>
      <c r="E3023" s="184">
        <v>44438</v>
      </c>
      <c r="G3023" s="184"/>
      <c r="I3023" s="184"/>
      <c r="K3023" s="184"/>
      <c r="O3023" s="184"/>
      <c r="P3023" t="s">
        <v>7045</v>
      </c>
      <c r="Q3023" t="s">
        <v>7383</v>
      </c>
      <c r="R3023" s="184">
        <v>15890</v>
      </c>
      <c r="S3023">
        <v>80</v>
      </c>
      <c r="U3023" t="s">
        <v>7031</v>
      </c>
      <c r="V3023" t="s">
        <v>12008</v>
      </c>
      <c r="X3023" t="s">
        <v>24201</v>
      </c>
      <c r="Z3023">
        <v>37102860</v>
      </c>
      <c r="AB3023" t="s">
        <v>24200</v>
      </c>
      <c r="AD3023" t="s">
        <v>24201</v>
      </c>
      <c r="AF3023" t="s">
        <v>24202</v>
      </c>
      <c r="AG3023" t="s">
        <v>24203</v>
      </c>
      <c r="AI3023" t="s">
        <v>24204</v>
      </c>
      <c r="AM3023" t="s">
        <v>3121</v>
      </c>
      <c r="AN3023" t="s">
        <v>2144</v>
      </c>
      <c r="AO3023" t="s">
        <v>24205</v>
      </c>
      <c r="AP3023" t="s">
        <v>7024</v>
      </c>
      <c r="AQ3023" t="s">
        <v>24211</v>
      </c>
      <c r="AT3023" s="184"/>
      <c r="AW3023" s="184"/>
      <c r="AZ3023" s="184"/>
      <c r="BP3023" s="184"/>
    </row>
    <row r="3024" spans="1:68">
      <c r="A3024">
        <v>37104791</v>
      </c>
      <c r="B3024">
        <v>37104791</v>
      </c>
      <c r="C3024" t="s">
        <v>7018</v>
      </c>
      <c r="D3024" t="s">
        <v>595</v>
      </c>
      <c r="E3024" s="184">
        <v>44104</v>
      </c>
      <c r="G3024" s="184"/>
      <c r="I3024" s="184"/>
      <c r="K3024" s="184"/>
      <c r="M3024" s="184"/>
      <c r="O3024" s="184"/>
      <c r="P3024" t="s">
        <v>7029</v>
      </c>
      <c r="Q3024" t="s">
        <v>7454</v>
      </c>
      <c r="R3024" s="184">
        <v>20583</v>
      </c>
      <c r="S3024">
        <v>68</v>
      </c>
      <c r="V3024" t="s">
        <v>14847</v>
      </c>
      <c r="W3024" t="s">
        <v>4013</v>
      </c>
      <c r="X3024" t="s">
        <v>24212</v>
      </c>
      <c r="AF3024" t="s">
        <v>24213</v>
      </c>
      <c r="AG3024" t="s">
        <v>14847</v>
      </c>
      <c r="AI3024" t="s">
        <v>24214</v>
      </c>
      <c r="AM3024" t="s">
        <v>5665</v>
      </c>
      <c r="AN3024" t="s">
        <v>2055</v>
      </c>
      <c r="AO3024" t="s">
        <v>24215</v>
      </c>
      <c r="AP3024" t="s">
        <v>7024</v>
      </c>
      <c r="AQ3024" t="s">
        <v>24216</v>
      </c>
      <c r="AT3024" s="184">
        <v>38211</v>
      </c>
      <c r="AU3024" t="s">
        <v>24217</v>
      </c>
      <c r="AV3024">
        <v>20</v>
      </c>
      <c r="AW3024" s="184">
        <v>45271</v>
      </c>
      <c r="AX3024" t="s">
        <v>24218</v>
      </c>
      <c r="AY3024">
        <v>500</v>
      </c>
      <c r="AZ3024" s="184">
        <v>45271</v>
      </c>
      <c r="BA3024" t="s">
        <v>24218</v>
      </c>
      <c r="BB3024">
        <v>500</v>
      </c>
      <c r="BC3024">
        <v>96</v>
      </c>
      <c r="BD3024">
        <v>5060</v>
      </c>
      <c r="BE3024">
        <v>2005</v>
      </c>
      <c r="BF3024">
        <v>27</v>
      </c>
      <c r="BG3024">
        <v>3</v>
      </c>
      <c r="BH3024">
        <v>1500</v>
      </c>
      <c r="BI3024">
        <v>20</v>
      </c>
      <c r="BJ3024">
        <v>21</v>
      </c>
      <c r="BK3024">
        <v>20</v>
      </c>
      <c r="BP3024" s="184"/>
    </row>
    <row r="3025" spans="1:68">
      <c r="A3025">
        <v>37110426</v>
      </c>
      <c r="B3025">
        <v>37110426</v>
      </c>
      <c r="C3025" t="s">
        <v>7018</v>
      </c>
      <c r="D3025" t="s">
        <v>595</v>
      </c>
      <c r="E3025" s="184">
        <v>45195</v>
      </c>
      <c r="G3025" s="184"/>
      <c r="I3025" s="184"/>
      <c r="K3025" s="184"/>
      <c r="M3025" s="184"/>
      <c r="O3025" s="184"/>
      <c r="P3025" t="s">
        <v>7045</v>
      </c>
      <c r="Q3025" t="s">
        <v>7374</v>
      </c>
      <c r="R3025" s="184">
        <v>13546</v>
      </c>
      <c r="S3025">
        <v>87</v>
      </c>
      <c r="V3025" t="s">
        <v>8273</v>
      </c>
      <c r="W3025" t="s">
        <v>7246</v>
      </c>
      <c r="X3025" t="s">
        <v>24219</v>
      </c>
      <c r="AF3025" t="s">
        <v>24220</v>
      </c>
      <c r="AG3025" t="s">
        <v>8273</v>
      </c>
      <c r="AI3025" t="s">
        <v>24221</v>
      </c>
      <c r="AM3025" t="s">
        <v>4387</v>
      </c>
      <c r="AN3025" t="s">
        <v>2526</v>
      </c>
      <c r="AO3025" t="s">
        <v>24222</v>
      </c>
      <c r="AP3025" t="s">
        <v>7024</v>
      </c>
      <c r="AQ3025" t="s">
        <v>24223</v>
      </c>
      <c r="AT3025" s="184">
        <v>38211</v>
      </c>
      <c r="AU3025" t="s">
        <v>24224</v>
      </c>
      <c r="AV3025">
        <v>15</v>
      </c>
      <c r="AW3025" s="184">
        <v>45308</v>
      </c>
      <c r="AX3025" t="s">
        <v>24225</v>
      </c>
      <c r="AY3025">
        <v>15</v>
      </c>
      <c r="AZ3025" s="184">
        <v>44474</v>
      </c>
      <c r="BA3025" t="s">
        <v>24226</v>
      </c>
      <c r="BB3025">
        <v>25</v>
      </c>
      <c r="BC3025">
        <v>34</v>
      </c>
      <c r="BD3025">
        <v>145</v>
      </c>
      <c r="BE3025">
        <v>2005</v>
      </c>
      <c r="BF3025">
        <v>8</v>
      </c>
      <c r="BG3025">
        <v>1</v>
      </c>
      <c r="BH3025">
        <v>15</v>
      </c>
      <c r="BI3025">
        <v>7</v>
      </c>
      <c r="BJ3025">
        <v>21</v>
      </c>
      <c r="BK3025">
        <v>3</v>
      </c>
      <c r="BP3025" s="184"/>
    </row>
    <row r="3026" spans="1:68">
      <c r="A3026">
        <v>37114121</v>
      </c>
      <c r="B3026">
        <v>37114121</v>
      </c>
      <c r="C3026" t="s">
        <v>7018</v>
      </c>
      <c r="D3026" t="s">
        <v>595</v>
      </c>
      <c r="E3026" s="184">
        <v>43640</v>
      </c>
      <c r="G3026" s="184"/>
      <c r="I3026" s="184"/>
      <c r="K3026" s="184"/>
      <c r="M3026" s="184"/>
      <c r="O3026" s="184"/>
      <c r="P3026" t="s">
        <v>7045</v>
      </c>
      <c r="Q3026" t="s">
        <v>7383</v>
      </c>
      <c r="R3026" s="184">
        <v>19115</v>
      </c>
      <c r="S3026">
        <v>72</v>
      </c>
      <c r="U3026" t="s">
        <v>7130</v>
      </c>
      <c r="V3026" t="s">
        <v>3005</v>
      </c>
      <c r="X3026" t="s">
        <v>3006</v>
      </c>
      <c r="AF3026" t="s">
        <v>24227</v>
      </c>
      <c r="AG3026" t="s">
        <v>3005</v>
      </c>
      <c r="AI3026" t="s">
        <v>24228</v>
      </c>
      <c r="AM3026" t="s">
        <v>3007</v>
      </c>
      <c r="AN3026" t="s">
        <v>2072</v>
      </c>
      <c r="AO3026" t="s">
        <v>24229</v>
      </c>
      <c r="AP3026" t="s">
        <v>7024</v>
      </c>
      <c r="AQ3026" t="s">
        <v>24230</v>
      </c>
      <c r="AT3026" s="184">
        <v>38211</v>
      </c>
      <c r="AU3026" t="s">
        <v>24231</v>
      </c>
      <c r="AV3026">
        <v>25</v>
      </c>
      <c r="AW3026" s="184">
        <v>45400</v>
      </c>
      <c r="AX3026" t="s">
        <v>7429</v>
      </c>
      <c r="AY3026">
        <v>20</v>
      </c>
      <c r="AZ3026" s="184">
        <v>44298</v>
      </c>
      <c r="BA3026" t="s">
        <v>24232</v>
      </c>
      <c r="BB3026">
        <v>100</v>
      </c>
      <c r="BC3026">
        <v>100</v>
      </c>
      <c r="BD3026">
        <v>3537.5</v>
      </c>
      <c r="BE3026">
        <v>2005</v>
      </c>
      <c r="BF3026">
        <v>201</v>
      </c>
      <c r="BG3026">
        <v>25</v>
      </c>
      <c r="BH3026">
        <v>532.5</v>
      </c>
      <c r="BI3026">
        <v>21</v>
      </c>
      <c r="BJ3026">
        <v>21</v>
      </c>
      <c r="BK3026">
        <v>21</v>
      </c>
      <c r="BP3026" s="184"/>
    </row>
    <row r="3027" spans="1:68">
      <c r="A3027">
        <v>37123023</v>
      </c>
      <c r="B3027">
        <v>37123023</v>
      </c>
      <c r="C3027" t="s">
        <v>7018</v>
      </c>
      <c r="D3027" t="s">
        <v>595</v>
      </c>
      <c r="E3027" s="184">
        <v>43773</v>
      </c>
      <c r="G3027" s="184"/>
      <c r="I3027" s="184"/>
      <c r="K3027" s="184"/>
      <c r="M3027" s="184"/>
      <c r="O3027" s="184"/>
      <c r="P3027" t="s">
        <v>7045</v>
      </c>
      <c r="Q3027" t="s">
        <v>7374</v>
      </c>
      <c r="R3027" s="184">
        <v>9314</v>
      </c>
      <c r="S3027">
        <v>98</v>
      </c>
      <c r="U3027" t="s">
        <v>7031</v>
      </c>
      <c r="V3027" t="s">
        <v>2511</v>
      </c>
      <c r="W3027" t="s">
        <v>7067</v>
      </c>
      <c r="X3027" t="s">
        <v>4269</v>
      </c>
      <c r="AF3027" t="s">
        <v>24233</v>
      </c>
      <c r="AG3027" t="s">
        <v>2511</v>
      </c>
      <c r="AI3027" t="s">
        <v>24234</v>
      </c>
      <c r="AM3027" t="s">
        <v>4270</v>
      </c>
      <c r="AN3027" t="s">
        <v>2526</v>
      </c>
      <c r="AO3027" t="s">
        <v>24235</v>
      </c>
      <c r="AP3027" t="s">
        <v>7024</v>
      </c>
      <c r="AQ3027" t="s">
        <v>24236</v>
      </c>
      <c r="AR3027" t="s">
        <v>24237</v>
      </c>
      <c r="AT3027" s="184">
        <v>38212</v>
      </c>
      <c r="AU3027" t="s">
        <v>24238</v>
      </c>
      <c r="AV3027">
        <v>15</v>
      </c>
      <c r="AW3027" s="184">
        <v>44650</v>
      </c>
      <c r="AX3027" t="s">
        <v>24239</v>
      </c>
      <c r="AY3027">
        <v>25</v>
      </c>
      <c r="AZ3027" s="184">
        <v>43389</v>
      </c>
      <c r="BA3027" t="s">
        <v>24240</v>
      </c>
      <c r="BB3027">
        <v>60</v>
      </c>
      <c r="BC3027">
        <v>67</v>
      </c>
      <c r="BD3027">
        <v>555</v>
      </c>
      <c r="BE3027">
        <v>2005</v>
      </c>
      <c r="BF3027">
        <v>23</v>
      </c>
      <c r="BI3027">
        <v>14</v>
      </c>
      <c r="BJ3027">
        <v>21</v>
      </c>
      <c r="BK3027">
        <v>9</v>
      </c>
      <c r="BP3027" s="184"/>
    </row>
    <row r="3028" spans="1:68">
      <c r="A3028">
        <v>37142502</v>
      </c>
      <c r="B3028">
        <v>37142502</v>
      </c>
      <c r="C3028" t="s">
        <v>7018</v>
      </c>
      <c r="E3028" s="184"/>
      <c r="F3028" t="s">
        <v>595</v>
      </c>
      <c r="G3028" s="184">
        <v>44167</v>
      </c>
      <c r="H3028" t="s">
        <v>595</v>
      </c>
      <c r="I3028" s="184">
        <v>44167</v>
      </c>
      <c r="K3028" s="184"/>
      <c r="O3028" s="184"/>
      <c r="P3028" t="s">
        <v>7045</v>
      </c>
      <c r="Q3028" t="s">
        <v>7374</v>
      </c>
      <c r="R3028" s="184">
        <v>16438</v>
      </c>
      <c r="S3028">
        <v>79</v>
      </c>
      <c r="V3028" t="s">
        <v>3011</v>
      </c>
      <c r="W3028" t="s">
        <v>7246</v>
      </c>
      <c r="X3028" t="s">
        <v>2998</v>
      </c>
      <c r="AF3028" t="s">
        <v>24241</v>
      </c>
      <c r="AG3028" t="s">
        <v>3011</v>
      </c>
      <c r="AI3028" t="s">
        <v>24242</v>
      </c>
      <c r="AM3028" t="s">
        <v>24243</v>
      </c>
      <c r="AN3028" t="s">
        <v>2081</v>
      </c>
      <c r="AO3028" t="s">
        <v>24244</v>
      </c>
      <c r="AP3028" t="s">
        <v>7024</v>
      </c>
      <c r="AQ3028" t="s">
        <v>24245</v>
      </c>
      <c r="AR3028" t="s">
        <v>24246</v>
      </c>
      <c r="AT3028" s="184">
        <v>38215</v>
      </c>
      <c r="AU3028" t="s">
        <v>24247</v>
      </c>
      <c r="AV3028">
        <v>15</v>
      </c>
      <c r="AW3028" s="184">
        <v>45102</v>
      </c>
      <c r="AX3028" t="s">
        <v>17239</v>
      </c>
      <c r="AY3028">
        <v>25</v>
      </c>
      <c r="AZ3028" s="184">
        <v>39359</v>
      </c>
      <c r="BA3028" t="s">
        <v>24248</v>
      </c>
      <c r="BB3028">
        <v>35</v>
      </c>
      <c r="BC3028">
        <v>72</v>
      </c>
      <c r="BD3028">
        <v>445</v>
      </c>
      <c r="BE3028">
        <v>2005</v>
      </c>
      <c r="BF3028">
        <v>19</v>
      </c>
      <c r="BG3028">
        <v>1</v>
      </c>
      <c r="BH3028">
        <v>25</v>
      </c>
      <c r="BI3028">
        <v>15</v>
      </c>
      <c r="BJ3028">
        <v>21</v>
      </c>
      <c r="BK3028">
        <v>12</v>
      </c>
      <c r="BP3028" s="184"/>
    </row>
    <row r="3029" spans="1:68">
      <c r="A3029">
        <v>37144011</v>
      </c>
      <c r="B3029">
        <v>37144011</v>
      </c>
      <c r="C3029" t="s">
        <v>7018</v>
      </c>
      <c r="D3029" t="s">
        <v>595</v>
      </c>
      <c r="E3029" s="184">
        <v>45120</v>
      </c>
      <c r="G3029" s="184"/>
      <c r="K3029" s="184"/>
      <c r="M3029" s="184"/>
      <c r="P3029" t="s">
        <v>7045</v>
      </c>
      <c r="Q3029" t="s">
        <v>7160</v>
      </c>
      <c r="R3029" s="184">
        <v>12359</v>
      </c>
      <c r="S3029">
        <v>90</v>
      </c>
      <c r="U3029" t="s">
        <v>7031</v>
      </c>
      <c r="V3029" t="s">
        <v>24249</v>
      </c>
      <c r="W3029" t="s">
        <v>7246</v>
      </c>
      <c r="X3029" t="s">
        <v>8232</v>
      </c>
      <c r="AF3029" t="s">
        <v>24250</v>
      </c>
      <c r="AG3029" t="s">
        <v>24249</v>
      </c>
      <c r="AI3029" t="s">
        <v>24251</v>
      </c>
      <c r="AM3029" t="s">
        <v>4091</v>
      </c>
      <c r="AN3029" t="s">
        <v>2413</v>
      </c>
      <c r="AO3029" t="s">
        <v>24252</v>
      </c>
      <c r="AP3029" t="s">
        <v>7024</v>
      </c>
      <c r="AT3029" s="184">
        <v>38215</v>
      </c>
      <c r="AU3029" t="s">
        <v>24238</v>
      </c>
      <c r="AV3029">
        <v>25</v>
      </c>
      <c r="AW3029" s="184">
        <v>45061</v>
      </c>
      <c r="AX3029" t="s">
        <v>7665</v>
      </c>
      <c r="AY3029">
        <v>25</v>
      </c>
      <c r="AZ3029" s="184">
        <v>45061</v>
      </c>
      <c r="BA3029" t="s">
        <v>7665</v>
      </c>
      <c r="BB3029">
        <v>25</v>
      </c>
      <c r="BC3029">
        <v>34</v>
      </c>
      <c r="BD3029">
        <v>265</v>
      </c>
      <c r="BE3029">
        <v>2005</v>
      </c>
      <c r="BF3029">
        <v>12</v>
      </c>
      <c r="BG3029">
        <v>3</v>
      </c>
      <c r="BH3029">
        <v>75</v>
      </c>
      <c r="BI3029">
        <v>7</v>
      </c>
      <c r="BJ3029">
        <v>21</v>
      </c>
      <c r="BK3029">
        <v>6</v>
      </c>
      <c r="BP3029" s="184"/>
    </row>
    <row r="3030" spans="1:68">
      <c r="A3030">
        <v>37169497</v>
      </c>
      <c r="B3030">
        <v>37169497</v>
      </c>
      <c r="C3030" t="s">
        <v>7018</v>
      </c>
      <c r="E3030" s="184"/>
      <c r="G3030" s="184"/>
      <c r="I3030" s="184"/>
      <c r="J3030" t="s">
        <v>595</v>
      </c>
      <c r="K3030" s="184">
        <v>43773</v>
      </c>
      <c r="M3030" s="184"/>
      <c r="O3030" s="184"/>
      <c r="P3030" t="s">
        <v>7045</v>
      </c>
      <c r="Q3030" t="s">
        <v>7030</v>
      </c>
      <c r="R3030" s="184">
        <v>17199</v>
      </c>
      <c r="S3030">
        <v>77</v>
      </c>
      <c r="U3030" t="s">
        <v>7076</v>
      </c>
      <c r="V3030" t="s">
        <v>4234</v>
      </c>
      <c r="W3030" t="s">
        <v>4139</v>
      </c>
      <c r="X3030" t="s">
        <v>2732</v>
      </c>
      <c r="AF3030" t="s">
        <v>6550</v>
      </c>
      <c r="AG3030" t="s">
        <v>4234</v>
      </c>
      <c r="AI3030" t="s">
        <v>24253</v>
      </c>
      <c r="AJ3030" t="s">
        <v>24254</v>
      </c>
      <c r="AM3030" t="s">
        <v>4235</v>
      </c>
      <c r="AN3030" t="s">
        <v>2201</v>
      </c>
      <c r="AO3030" t="s">
        <v>24255</v>
      </c>
      <c r="AP3030" t="s">
        <v>7024</v>
      </c>
      <c r="AQ3030" t="s">
        <v>24256</v>
      </c>
      <c r="AR3030" t="s">
        <v>24257</v>
      </c>
      <c r="AT3030" s="184">
        <v>38218</v>
      </c>
      <c r="AU3030" t="s">
        <v>24258</v>
      </c>
      <c r="AV3030">
        <v>20</v>
      </c>
      <c r="AW3030" s="184">
        <v>45089</v>
      </c>
      <c r="AX3030" t="s">
        <v>12619</v>
      </c>
      <c r="AY3030">
        <v>25</v>
      </c>
      <c r="AZ3030" s="184">
        <v>42219</v>
      </c>
      <c r="BA3030" t="s">
        <v>24259</v>
      </c>
      <c r="BB3030">
        <v>60</v>
      </c>
      <c r="BC3030">
        <v>81</v>
      </c>
      <c r="BD3030">
        <v>755</v>
      </c>
      <c r="BE3030">
        <v>2005</v>
      </c>
      <c r="BF3030">
        <v>26</v>
      </c>
      <c r="BG3030">
        <v>4</v>
      </c>
      <c r="BH3030">
        <v>100</v>
      </c>
      <c r="BI3030">
        <v>17</v>
      </c>
      <c r="BJ3030">
        <v>21</v>
      </c>
      <c r="BK3030">
        <v>7</v>
      </c>
    </row>
    <row r="3031" spans="1:68">
      <c r="A3031">
        <v>37179975</v>
      </c>
      <c r="B3031">
        <v>37179975</v>
      </c>
      <c r="C3031" t="s">
        <v>7018</v>
      </c>
      <c r="E3031" s="184"/>
      <c r="F3031" t="s">
        <v>595</v>
      </c>
      <c r="G3031" s="184">
        <v>45167</v>
      </c>
      <c r="I3031" s="184"/>
      <c r="K3031" s="184"/>
      <c r="M3031" s="184"/>
      <c r="O3031" s="184"/>
      <c r="P3031" t="s">
        <v>7045</v>
      </c>
      <c r="Q3031" t="s">
        <v>7383</v>
      </c>
      <c r="R3031" s="184">
        <v>13079</v>
      </c>
      <c r="S3031">
        <v>88</v>
      </c>
      <c r="U3031" t="s">
        <v>7076</v>
      </c>
      <c r="V3031" t="s">
        <v>3901</v>
      </c>
      <c r="X3031" t="s">
        <v>7169</v>
      </c>
      <c r="AF3031" t="s">
        <v>24260</v>
      </c>
      <c r="AG3031" t="s">
        <v>3901</v>
      </c>
      <c r="AI3031" t="s">
        <v>24261</v>
      </c>
      <c r="AM3031" t="s">
        <v>9147</v>
      </c>
      <c r="AN3031" t="s">
        <v>2064</v>
      </c>
      <c r="AO3031" t="s">
        <v>24262</v>
      </c>
      <c r="AP3031" t="s">
        <v>7024</v>
      </c>
      <c r="AQ3031" t="s">
        <v>24263</v>
      </c>
      <c r="AT3031" s="184">
        <v>38222</v>
      </c>
      <c r="AU3031" t="s">
        <v>24264</v>
      </c>
      <c r="AV3031">
        <v>5</v>
      </c>
      <c r="AW3031" s="184">
        <v>45265</v>
      </c>
      <c r="AX3031" t="s">
        <v>24265</v>
      </c>
      <c r="AY3031">
        <v>10</v>
      </c>
      <c r="AZ3031" s="184">
        <v>45131</v>
      </c>
      <c r="BA3031" t="s">
        <v>13433</v>
      </c>
      <c r="BB3031">
        <v>25</v>
      </c>
      <c r="BC3031">
        <v>53</v>
      </c>
      <c r="BD3031">
        <v>250</v>
      </c>
      <c r="BE3031">
        <v>2005</v>
      </c>
      <c r="BF3031">
        <v>19</v>
      </c>
      <c r="BG3031">
        <v>4</v>
      </c>
      <c r="BH3031">
        <v>85</v>
      </c>
      <c r="BI3031">
        <v>11</v>
      </c>
      <c r="BJ3031">
        <v>21</v>
      </c>
      <c r="BK3031">
        <v>5</v>
      </c>
      <c r="BP3031" s="184"/>
    </row>
    <row r="3032" spans="1:68">
      <c r="A3032">
        <v>37183738</v>
      </c>
      <c r="B3032">
        <v>37183738</v>
      </c>
      <c r="C3032" t="s">
        <v>7018</v>
      </c>
      <c r="D3032" t="s">
        <v>595</v>
      </c>
      <c r="E3032" s="184">
        <v>44441</v>
      </c>
      <c r="G3032" s="184"/>
      <c r="I3032" s="184"/>
      <c r="J3032" t="s">
        <v>595</v>
      </c>
      <c r="K3032" s="184">
        <v>44853</v>
      </c>
      <c r="M3032" s="184"/>
      <c r="O3032" s="184"/>
      <c r="P3032" t="s">
        <v>7045</v>
      </c>
      <c r="Q3032" t="s">
        <v>7454</v>
      </c>
      <c r="R3032" s="184">
        <v>15290</v>
      </c>
      <c r="S3032">
        <v>82</v>
      </c>
      <c r="V3032" t="s">
        <v>24266</v>
      </c>
      <c r="W3032" t="s">
        <v>4327</v>
      </c>
      <c r="X3032" t="s">
        <v>3730</v>
      </c>
      <c r="Z3032">
        <v>100105855</v>
      </c>
      <c r="AB3032" t="s">
        <v>4325</v>
      </c>
      <c r="AD3032" t="s">
        <v>3730</v>
      </c>
      <c r="AF3032" t="s">
        <v>24267</v>
      </c>
      <c r="AG3032" t="s">
        <v>24266</v>
      </c>
      <c r="AI3032" t="s">
        <v>24268</v>
      </c>
      <c r="AM3032" t="s">
        <v>24269</v>
      </c>
      <c r="AN3032" t="s">
        <v>2055</v>
      </c>
      <c r="AO3032" t="s">
        <v>24270</v>
      </c>
      <c r="AP3032" t="s">
        <v>7024</v>
      </c>
      <c r="AQ3032" t="s">
        <v>24271</v>
      </c>
      <c r="AR3032" t="s">
        <v>24272</v>
      </c>
      <c r="AT3032" s="184">
        <v>38222</v>
      </c>
      <c r="AU3032" t="s">
        <v>24273</v>
      </c>
      <c r="AV3032">
        <v>25</v>
      </c>
      <c r="AW3032" s="184">
        <v>45153</v>
      </c>
      <c r="AX3032" t="s">
        <v>7832</v>
      </c>
      <c r="AY3032">
        <v>50</v>
      </c>
      <c r="AZ3032" s="184">
        <v>45153</v>
      </c>
      <c r="BA3032" t="s">
        <v>7832</v>
      </c>
      <c r="BB3032">
        <v>50</v>
      </c>
      <c r="BC3032">
        <v>43</v>
      </c>
      <c r="BD3032">
        <v>475</v>
      </c>
      <c r="BE3032">
        <v>2005</v>
      </c>
      <c r="BF3032">
        <v>15</v>
      </c>
      <c r="BG3032">
        <v>3</v>
      </c>
      <c r="BH3032">
        <v>150</v>
      </c>
      <c r="BI3032">
        <v>9</v>
      </c>
      <c r="BJ3032">
        <v>21</v>
      </c>
      <c r="BK3032">
        <v>2</v>
      </c>
      <c r="BP3032" s="184"/>
    </row>
    <row r="3033" spans="1:68">
      <c r="A3033">
        <v>100105855</v>
      </c>
      <c r="B3033">
        <v>37183738</v>
      </c>
      <c r="C3033" t="s">
        <v>7018</v>
      </c>
      <c r="D3033" t="s">
        <v>595</v>
      </c>
      <c r="E3033" s="184">
        <v>44441</v>
      </c>
      <c r="G3033" s="184"/>
      <c r="I3033" s="184"/>
      <c r="J3033" t="s">
        <v>595</v>
      </c>
      <c r="K3033" s="184">
        <v>44853</v>
      </c>
      <c r="O3033" s="184"/>
      <c r="P3033" t="s">
        <v>7045</v>
      </c>
      <c r="Q3033" t="s">
        <v>7454</v>
      </c>
      <c r="R3033" s="184">
        <v>14295</v>
      </c>
      <c r="S3033">
        <v>85</v>
      </c>
      <c r="V3033" t="s">
        <v>4325</v>
      </c>
      <c r="X3033" t="s">
        <v>3730</v>
      </c>
      <c r="Z3033">
        <v>37183738</v>
      </c>
      <c r="AB3033" t="s">
        <v>24266</v>
      </c>
      <c r="AC3033" t="s">
        <v>4327</v>
      </c>
      <c r="AD3033" t="s">
        <v>3730</v>
      </c>
      <c r="AF3033" t="s">
        <v>24267</v>
      </c>
      <c r="AG3033" t="s">
        <v>24266</v>
      </c>
      <c r="AI3033" t="s">
        <v>24268</v>
      </c>
      <c r="AM3033" t="s">
        <v>24269</v>
      </c>
      <c r="AN3033" t="s">
        <v>2055</v>
      </c>
      <c r="AO3033" t="s">
        <v>24270</v>
      </c>
      <c r="AP3033" t="s">
        <v>7024</v>
      </c>
      <c r="AT3033" s="184"/>
      <c r="AW3033" s="184"/>
      <c r="AZ3033" s="184"/>
      <c r="BO3033" t="s">
        <v>595</v>
      </c>
      <c r="BP3033" s="184">
        <v>45292</v>
      </c>
    </row>
    <row r="3034" spans="1:68">
      <c r="A3034">
        <v>37183803</v>
      </c>
      <c r="B3034">
        <v>37183803</v>
      </c>
      <c r="C3034" t="s">
        <v>7018</v>
      </c>
      <c r="E3034" s="184"/>
      <c r="G3034" s="184"/>
      <c r="I3034" s="184"/>
      <c r="J3034" t="s">
        <v>595</v>
      </c>
      <c r="K3034" s="184">
        <v>44069</v>
      </c>
      <c r="M3034" s="184"/>
      <c r="O3034" s="184"/>
      <c r="P3034" t="s">
        <v>7045</v>
      </c>
      <c r="Q3034" t="s">
        <v>7030</v>
      </c>
      <c r="R3034" s="184"/>
      <c r="V3034" t="s">
        <v>24274</v>
      </c>
      <c r="X3034" t="s">
        <v>24275</v>
      </c>
      <c r="AF3034" t="s">
        <v>24276</v>
      </c>
      <c r="AG3034" t="s">
        <v>24274</v>
      </c>
      <c r="AI3034" t="s">
        <v>24277</v>
      </c>
      <c r="AM3034" t="s">
        <v>4455</v>
      </c>
      <c r="AN3034" t="s">
        <v>2201</v>
      </c>
      <c r="AO3034">
        <v>88011</v>
      </c>
      <c r="AP3034" t="s">
        <v>7024</v>
      </c>
      <c r="AQ3034" t="s">
        <v>24278</v>
      </c>
      <c r="AT3034" s="184">
        <v>38222</v>
      </c>
      <c r="AU3034" t="s">
        <v>24217</v>
      </c>
      <c r="AV3034">
        <v>20</v>
      </c>
      <c r="AW3034" s="184">
        <v>38222</v>
      </c>
      <c r="AX3034" t="s">
        <v>24217</v>
      </c>
      <c r="AY3034">
        <v>20</v>
      </c>
      <c r="AZ3034" s="184">
        <v>38222</v>
      </c>
      <c r="BA3034" t="s">
        <v>24217</v>
      </c>
      <c r="BB3034">
        <v>20</v>
      </c>
      <c r="BC3034">
        <v>5</v>
      </c>
      <c r="BD3034">
        <v>20</v>
      </c>
      <c r="BE3034">
        <v>2005</v>
      </c>
      <c r="BF3034">
        <v>1</v>
      </c>
      <c r="BI3034">
        <v>1</v>
      </c>
      <c r="BJ3034">
        <v>21</v>
      </c>
      <c r="BK3034">
        <v>1</v>
      </c>
      <c r="BP3034" s="184"/>
    </row>
    <row r="3035" spans="1:68">
      <c r="A3035">
        <v>37184710</v>
      </c>
      <c r="B3035">
        <v>37184710</v>
      </c>
      <c r="C3035" t="s">
        <v>7018</v>
      </c>
      <c r="D3035" t="s">
        <v>595</v>
      </c>
      <c r="E3035" s="184">
        <v>43663</v>
      </c>
      <c r="G3035" s="184"/>
      <c r="I3035" s="184"/>
      <c r="K3035" s="184"/>
      <c r="M3035" s="184"/>
      <c r="O3035" s="184"/>
      <c r="P3035" t="s">
        <v>7045</v>
      </c>
      <c r="Q3035" t="s">
        <v>7383</v>
      </c>
      <c r="R3035" s="184">
        <v>16465</v>
      </c>
      <c r="S3035">
        <v>79</v>
      </c>
      <c r="V3035" t="s">
        <v>2551</v>
      </c>
      <c r="X3035" t="s">
        <v>2999</v>
      </c>
      <c r="Z3035">
        <v>100105859</v>
      </c>
      <c r="AB3035" t="s">
        <v>24279</v>
      </c>
      <c r="AD3035" t="s">
        <v>2999</v>
      </c>
      <c r="AF3035" t="s">
        <v>24280</v>
      </c>
      <c r="AG3035" t="s">
        <v>24281</v>
      </c>
      <c r="AI3035" t="s">
        <v>24282</v>
      </c>
      <c r="AM3035" t="s">
        <v>3357</v>
      </c>
      <c r="AN3035" t="s">
        <v>2185</v>
      </c>
      <c r="AO3035" t="s">
        <v>24283</v>
      </c>
      <c r="AP3035" t="s">
        <v>7024</v>
      </c>
      <c r="AQ3035" t="s">
        <v>24284</v>
      </c>
      <c r="AR3035" t="s">
        <v>24285</v>
      </c>
      <c r="AT3035" s="184">
        <v>38222</v>
      </c>
      <c r="AU3035" t="s">
        <v>24286</v>
      </c>
      <c r="AV3035">
        <v>25</v>
      </c>
      <c r="AW3035" s="184">
        <v>44427</v>
      </c>
      <c r="AX3035" t="s">
        <v>24287</v>
      </c>
      <c r="AY3035">
        <v>35</v>
      </c>
      <c r="AZ3035" s="184">
        <v>44427</v>
      </c>
      <c r="BA3035" t="s">
        <v>24287</v>
      </c>
      <c r="BB3035">
        <v>35</v>
      </c>
      <c r="BC3035">
        <v>77</v>
      </c>
      <c r="BD3035">
        <v>560</v>
      </c>
      <c r="BE3035">
        <v>2005</v>
      </c>
      <c r="BF3035">
        <v>19</v>
      </c>
      <c r="BI3035">
        <v>16</v>
      </c>
      <c r="BJ3035">
        <v>21</v>
      </c>
      <c r="BK3035">
        <v>8</v>
      </c>
      <c r="BP3035" s="184"/>
    </row>
    <row r="3036" spans="1:68">
      <c r="A3036">
        <v>100105859</v>
      </c>
      <c r="B3036">
        <v>37184710</v>
      </c>
      <c r="C3036" t="s">
        <v>7018</v>
      </c>
      <c r="D3036" t="s">
        <v>595</v>
      </c>
      <c r="E3036" s="184">
        <v>43642</v>
      </c>
      <c r="G3036" s="184"/>
      <c r="I3036" s="184"/>
      <c r="K3036" s="184"/>
      <c r="O3036" s="184"/>
      <c r="P3036" t="s">
        <v>7045</v>
      </c>
      <c r="Q3036" t="s">
        <v>7383</v>
      </c>
      <c r="R3036" s="184">
        <v>15857</v>
      </c>
      <c r="S3036">
        <v>80</v>
      </c>
      <c r="V3036" t="s">
        <v>24279</v>
      </c>
      <c r="X3036" t="s">
        <v>2999</v>
      </c>
      <c r="Z3036">
        <v>37184710</v>
      </c>
      <c r="AB3036" t="s">
        <v>2551</v>
      </c>
      <c r="AD3036" t="s">
        <v>2999</v>
      </c>
      <c r="AF3036" t="s">
        <v>24280</v>
      </c>
      <c r="AG3036" t="s">
        <v>24281</v>
      </c>
      <c r="AI3036" t="s">
        <v>24282</v>
      </c>
      <c r="AM3036" t="s">
        <v>3357</v>
      </c>
      <c r="AN3036" t="s">
        <v>2185</v>
      </c>
      <c r="AO3036" t="s">
        <v>24283</v>
      </c>
      <c r="AP3036" t="s">
        <v>7024</v>
      </c>
      <c r="AT3036" s="184"/>
      <c r="AW3036" s="184"/>
      <c r="AZ3036" s="184"/>
      <c r="BP3036" s="184"/>
    </row>
    <row r="3037" spans="1:68">
      <c r="A3037">
        <v>37186004</v>
      </c>
      <c r="B3037">
        <v>37186004</v>
      </c>
      <c r="C3037" t="s">
        <v>7018</v>
      </c>
      <c r="D3037" t="s">
        <v>595</v>
      </c>
      <c r="E3037" s="184">
        <v>44073</v>
      </c>
      <c r="G3037" s="184"/>
      <c r="I3037" s="184"/>
      <c r="K3037" s="184"/>
      <c r="O3037" s="184"/>
      <c r="P3037" t="s">
        <v>7045</v>
      </c>
      <c r="Q3037" t="s">
        <v>7020</v>
      </c>
      <c r="R3037" s="184">
        <v>19238</v>
      </c>
      <c r="S3037">
        <v>71</v>
      </c>
      <c r="V3037" t="s">
        <v>24288</v>
      </c>
      <c r="X3037" t="s">
        <v>9848</v>
      </c>
      <c r="AF3037" t="s">
        <v>24289</v>
      </c>
      <c r="AG3037" t="s">
        <v>24288</v>
      </c>
      <c r="AI3037" t="s">
        <v>24290</v>
      </c>
      <c r="AM3037" t="s">
        <v>24291</v>
      </c>
      <c r="AN3037" t="s">
        <v>2206</v>
      </c>
      <c r="AO3037" t="s">
        <v>24292</v>
      </c>
      <c r="AP3037" t="s">
        <v>7024</v>
      </c>
      <c r="AT3037" s="184">
        <v>38222</v>
      </c>
      <c r="AU3037" t="s">
        <v>24293</v>
      </c>
      <c r="AV3037">
        <v>15</v>
      </c>
      <c r="AW3037" s="184">
        <v>45384</v>
      </c>
      <c r="AX3037" t="s">
        <v>18157</v>
      </c>
      <c r="AY3037">
        <v>30</v>
      </c>
      <c r="AZ3037" s="184">
        <v>45384</v>
      </c>
      <c r="BA3037" t="s">
        <v>18157</v>
      </c>
      <c r="BB3037">
        <v>30</v>
      </c>
      <c r="BC3037">
        <v>100</v>
      </c>
      <c r="BD3037">
        <v>1370</v>
      </c>
      <c r="BE3037">
        <v>2005</v>
      </c>
      <c r="BF3037">
        <v>51</v>
      </c>
      <c r="BG3037">
        <v>7</v>
      </c>
      <c r="BH3037">
        <v>205</v>
      </c>
      <c r="BI3037">
        <v>21</v>
      </c>
      <c r="BJ3037">
        <v>21</v>
      </c>
      <c r="BK3037">
        <v>21</v>
      </c>
      <c r="BP3037" s="184"/>
    </row>
    <row r="3038" spans="1:68">
      <c r="A3038">
        <v>37189776</v>
      </c>
      <c r="B3038">
        <v>37189776</v>
      </c>
      <c r="C3038" t="s">
        <v>7018</v>
      </c>
      <c r="D3038" t="s">
        <v>595</v>
      </c>
      <c r="E3038" s="184">
        <v>44167</v>
      </c>
      <c r="G3038" s="184"/>
      <c r="H3038" t="s">
        <v>595</v>
      </c>
      <c r="I3038" s="184">
        <v>44167</v>
      </c>
      <c r="K3038" s="184"/>
      <c r="M3038" s="184"/>
      <c r="O3038" s="184"/>
      <c r="P3038" t="s">
        <v>7019</v>
      </c>
      <c r="Q3038" t="s">
        <v>7194</v>
      </c>
      <c r="R3038" s="184">
        <v>17927</v>
      </c>
      <c r="S3038">
        <v>75</v>
      </c>
      <c r="V3038" t="s">
        <v>24294</v>
      </c>
      <c r="X3038" t="s">
        <v>24295</v>
      </c>
      <c r="AF3038" t="s">
        <v>24296</v>
      </c>
      <c r="AG3038" t="s">
        <v>24294</v>
      </c>
      <c r="AI3038" t="s">
        <v>24297</v>
      </c>
      <c r="AM3038" t="s">
        <v>24298</v>
      </c>
      <c r="AN3038" t="s">
        <v>2046</v>
      </c>
      <c r="AO3038" t="s">
        <v>24299</v>
      </c>
      <c r="AP3038" t="s">
        <v>7024</v>
      </c>
      <c r="AQ3038" t="s">
        <v>24300</v>
      </c>
      <c r="AR3038" t="s">
        <v>24301</v>
      </c>
      <c r="AT3038" s="184">
        <v>38223</v>
      </c>
      <c r="AU3038" t="s">
        <v>24286</v>
      </c>
      <c r="AV3038">
        <v>25</v>
      </c>
      <c r="AW3038" s="184">
        <v>45407</v>
      </c>
      <c r="AX3038" t="s">
        <v>7832</v>
      </c>
      <c r="AY3038">
        <v>60</v>
      </c>
      <c r="AZ3038" s="184">
        <v>45407</v>
      </c>
      <c r="BA3038" t="s">
        <v>7832</v>
      </c>
      <c r="BB3038">
        <v>60</v>
      </c>
      <c r="BC3038">
        <v>53</v>
      </c>
      <c r="BD3038">
        <v>605</v>
      </c>
      <c r="BE3038">
        <v>2005</v>
      </c>
      <c r="BF3038">
        <v>14</v>
      </c>
      <c r="BG3038">
        <v>4</v>
      </c>
      <c r="BH3038">
        <v>235</v>
      </c>
      <c r="BI3038">
        <v>11</v>
      </c>
      <c r="BJ3038">
        <v>21</v>
      </c>
      <c r="BK3038">
        <v>5</v>
      </c>
      <c r="BP3038" s="184"/>
    </row>
    <row r="3039" spans="1:68">
      <c r="A3039">
        <v>37196110</v>
      </c>
      <c r="B3039">
        <v>37196110</v>
      </c>
      <c r="C3039" t="s">
        <v>7018</v>
      </c>
      <c r="E3039" s="184"/>
      <c r="G3039" s="184"/>
      <c r="I3039" s="184"/>
      <c r="J3039" t="s">
        <v>595</v>
      </c>
      <c r="K3039" s="184">
        <v>44353</v>
      </c>
      <c r="O3039" s="184"/>
      <c r="P3039" t="s">
        <v>7084</v>
      </c>
      <c r="Q3039" t="s">
        <v>7020</v>
      </c>
      <c r="R3039" s="184">
        <v>18507</v>
      </c>
      <c r="S3039">
        <v>73</v>
      </c>
      <c r="V3039" t="s">
        <v>5934</v>
      </c>
      <c r="W3039" t="s">
        <v>7067</v>
      </c>
      <c r="X3039" t="s">
        <v>2649</v>
      </c>
      <c r="AF3039" t="s">
        <v>24302</v>
      </c>
      <c r="AG3039" t="s">
        <v>5934</v>
      </c>
      <c r="AI3039" t="s">
        <v>24303</v>
      </c>
      <c r="AJ3039" t="s">
        <v>7791</v>
      </c>
      <c r="AM3039" t="s">
        <v>24304</v>
      </c>
      <c r="AN3039" t="s">
        <v>2240</v>
      </c>
      <c r="AO3039" t="s">
        <v>24305</v>
      </c>
      <c r="AP3039" t="s">
        <v>7024</v>
      </c>
      <c r="AT3039" s="184">
        <v>38225</v>
      </c>
      <c r="AU3039" t="s">
        <v>24306</v>
      </c>
      <c r="AV3039">
        <v>15</v>
      </c>
      <c r="AW3039" s="184">
        <v>44355</v>
      </c>
      <c r="AX3039" t="s">
        <v>7309</v>
      </c>
      <c r="AY3039">
        <v>25000</v>
      </c>
      <c r="AZ3039" s="184">
        <v>44355</v>
      </c>
      <c r="BA3039" t="s">
        <v>7309</v>
      </c>
      <c r="BB3039">
        <v>25000</v>
      </c>
      <c r="BC3039">
        <v>62</v>
      </c>
      <c r="BD3039">
        <v>25435</v>
      </c>
      <c r="BE3039">
        <v>2005</v>
      </c>
      <c r="BF3039">
        <v>13</v>
      </c>
      <c r="BI3039">
        <v>13</v>
      </c>
      <c r="BJ3039">
        <v>21</v>
      </c>
      <c r="BK3039">
        <v>4</v>
      </c>
      <c r="BO3039" t="s">
        <v>595</v>
      </c>
      <c r="BP3039" s="184">
        <v>44215</v>
      </c>
    </row>
    <row r="3040" spans="1:68">
      <c r="A3040">
        <v>37200946</v>
      </c>
      <c r="B3040">
        <v>37200946</v>
      </c>
      <c r="C3040" t="s">
        <v>7018</v>
      </c>
      <c r="D3040" t="s">
        <v>595</v>
      </c>
      <c r="E3040" s="184">
        <v>44104</v>
      </c>
      <c r="G3040" s="184"/>
      <c r="I3040" s="184"/>
      <c r="K3040" s="184"/>
      <c r="M3040" s="184"/>
      <c r="O3040" s="184"/>
      <c r="P3040" t="s">
        <v>7045</v>
      </c>
      <c r="Q3040" t="s">
        <v>7383</v>
      </c>
      <c r="R3040" s="184">
        <v>20852</v>
      </c>
      <c r="S3040">
        <v>67</v>
      </c>
      <c r="U3040" t="s">
        <v>7076</v>
      </c>
      <c r="V3040" t="s">
        <v>2932</v>
      </c>
      <c r="X3040" t="s">
        <v>18355</v>
      </c>
      <c r="AF3040" t="s">
        <v>24307</v>
      </c>
      <c r="AG3040" t="s">
        <v>2932</v>
      </c>
      <c r="AI3040" t="s">
        <v>24308</v>
      </c>
      <c r="AM3040" t="s">
        <v>4151</v>
      </c>
      <c r="AN3040" t="s">
        <v>2059</v>
      </c>
      <c r="AO3040" t="s">
        <v>24309</v>
      </c>
      <c r="AP3040" t="s">
        <v>7024</v>
      </c>
      <c r="AQ3040" t="s">
        <v>24310</v>
      </c>
      <c r="AR3040" t="s">
        <v>24311</v>
      </c>
      <c r="AT3040" s="184">
        <v>38229</v>
      </c>
      <c r="AU3040" t="s">
        <v>24312</v>
      </c>
      <c r="AV3040">
        <v>15</v>
      </c>
      <c r="AW3040" s="184">
        <v>45090</v>
      </c>
      <c r="AX3040" t="s">
        <v>24313</v>
      </c>
      <c r="AY3040">
        <v>25</v>
      </c>
      <c r="AZ3040" s="184">
        <v>45090</v>
      </c>
      <c r="BA3040" t="s">
        <v>24313</v>
      </c>
      <c r="BB3040">
        <v>25</v>
      </c>
      <c r="BC3040">
        <v>77</v>
      </c>
      <c r="BD3040">
        <v>555</v>
      </c>
      <c r="BE3040">
        <v>2005</v>
      </c>
      <c r="BF3040">
        <v>25</v>
      </c>
      <c r="BG3040">
        <v>3</v>
      </c>
      <c r="BH3040">
        <v>75</v>
      </c>
      <c r="BI3040">
        <v>16</v>
      </c>
      <c r="BJ3040">
        <v>21</v>
      </c>
      <c r="BK3040">
        <v>13</v>
      </c>
      <c r="BP3040" s="184"/>
    </row>
    <row r="3041" spans="1:68">
      <c r="A3041">
        <v>37219391</v>
      </c>
      <c r="B3041">
        <v>37219391</v>
      </c>
      <c r="C3041" t="s">
        <v>7018</v>
      </c>
      <c r="E3041" s="184"/>
      <c r="F3041" t="s">
        <v>595</v>
      </c>
      <c r="G3041" s="184">
        <v>44484</v>
      </c>
      <c r="I3041" s="184"/>
      <c r="K3041" s="184"/>
      <c r="M3041" s="184"/>
      <c r="O3041" s="184"/>
      <c r="P3041" t="s">
        <v>7019</v>
      </c>
      <c r="Q3041" t="s">
        <v>7383</v>
      </c>
      <c r="R3041" s="184">
        <v>20424</v>
      </c>
      <c r="S3041">
        <v>68</v>
      </c>
      <c r="V3041" t="s">
        <v>14326</v>
      </c>
      <c r="X3041" t="s">
        <v>24314</v>
      </c>
      <c r="AF3041" t="s">
        <v>24315</v>
      </c>
      <c r="AG3041" t="s">
        <v>14326</v>
      </c>
      <c r="AI3041" t="s">
        <v>24316</v>
      </c>
      <c r="AM3041" t="s">
        <v>24317</v>
      </c>
      <c r="AN3041" t="s">
        <v>2139</v>
      </c>
      <c r="AO3041" t="s">
        <v>24318</v>
      </c>
      <c r="AP3041" t="s">
        <v>7024</v>
      </c>
      <c r="AQ3041" t="s">
        <v>24319</v>
      </c>
      <c r="AT3041" s="184">
        <v>38237</v>
      </c>
      <c r="AU3041" t="s">
        <v>24151</v>
      </c>
      <c r="AV3041">
        <v>25</v>
      </c>
      <c r="AW3041" s="184">
        <v>45196</v>
      </c>
      <c r="AX3041" t="s">
        <v>24320</v>
      </c>
      <c r="AY3041">
        <v>60</v>
      </c>
      <c r="AZ3041" s="184">
        <v>45196</v>
      </c>
      <c r="BA3041" t="s">
        <v>24320</v>
      </c>
      <c r="BB3041">
        <v>60</v>
      </c>
      <c r="BC3041">
        <v>43</v>
      </c>
      <c r="BD3041">
        <v>420</v>
      </c>
      <c r="BE3041">
        <v>2005</v>
      </c>
      <c r="BF3041">
        <v>10</v>
      </c>
      <c r="BG3041">
        <v>1</v>
      </c>
      <c r="BH3041">
        <v>60</v>
      </c>
      <c r="BI3041">
        <v>9</v>
      </c>
      <c r="BJ3041">
        <v>21</v>
      </c>
      <c r="BK3041">
        <v>2</v>
      </c>
      <c r="BP3041" s="184"/>
    </row>
    <row r="3042" spans="1:68">
      <c r="A3042">
        <v>37224821</v>
      </c>
      <c r="B3042">
        <v>37224821</v>
      </c>
      <c r="C3042" t="s">
        <v>7018</v>
      </c>
      <c r="E3042" s="184"/>
      <c r="G3042" s="184"/>
      <c r="I3042" s="184"/>
      <c r="J3042" t="s">
        <v>595</v>
      </c>
      <c r="K3042" s="184">
        <v>42521</v>
      </c>
      <c r="O3042" s="184"/>
      <c r="P3042" t="s">
        <v>7045</v>
      </c>
      <c r="Q3042" t="s">
        <v>7454</v>
      </c>
      <c r="R3042" s="184">
        <v>20180</v>
      </c>
      <c r="S3042">
        <v>69</v>
      </c>
      <c r="U3042" t="s">
        <v>7076</v>
      </c>
      <c r="V3042" t="s">
        <v>2580</v>
      </c>
      <c r="X3042" t="s">
        <v>24321</v>
      </c>
      <c r="AF3042" t="s">
        <v>6537</v>
      </c>
      <c r="AG3042" t="s">
        <v>2580</v>
      </c>
      <c r="AI3042" t="s">
        <v>24322</v>
      </c>
      <c r="AM3042" t="s">
        <v>3513</v>
      </c>
      <c r="AN3042" t="s">
        <v>2299</v>
      </c>
      <c r="AO3042" t="s">
        <v>24323</v>
      </c>
      <c r="AP3042" t="s">
        <v>7024</v>
      </c>
      <c r="AQ3042" t="s">
        <v>24324</v>
      </c>
      <c r="AT3042" s="184">
        <v>38239</v>
      </c>
      <c r="AU3042" t="s">
        <v>24325</v>
      </c>
      <c r="AV3042">
        <v>25</v>
      </c>
      <c r="AW3042" s="184">
        <v>42002</v>
      </c>
      <c r="AX3042" t="s">
        <v>24326</v>
      </c>
      <c r="AY3042">
        <v>500</v>
      </c>
      <c r="AZ3042" s="184">
        <v>42002</v>
      </c>
      <c r="BA3042" t="s">
        <v>24326</v>
      </c>
      <c r="BB3042">
        <v>500</v>
      </c>
      <c r="BC3042">
        <v>24</v>
      </c>
      <c r="BD3042">
        <v>660</v>
      </c>
      <c r="BE3042">
        <v>2005</v>
      </c>
      <c r="BF3042">
        <v>6</v>
      </c>
      <c r="BI3042">
        <v>5</v>
      </c>
      <c r="BJ3042">
        <v>21</v>
      </c>
      <c r="BK3042">
        <v>3</v>
      </c>
      <c r="BP3042" s="184"/>
    </row>
    <row r="3043" spans="1:68">
      <c r="A3043">
        <v>37229150</v>
      </c>
      <c r="B3043">
        <v>37229150</v>
      </c>
      <c r="C3043" t="s">
        <v>7018</v>
      </c>
      <c r="D3043" t="s">
        <v>595</v>
      </c>
      <c r="E3043" s="184">
        <v>43642</v>
      </c>
      <c r="G3043" s="184"/>
      <c r="I3043" s="184"/>
      <c r="K3043" s="184"/>
      <c r="M3043" s="184"/>
      <c r="O3043" s="184"/>
      <c r="P3043" t="s">
        <v>7045</v>
      </c>
      <c r="Q3043" t="s">
        <v>7030</v>
      </c>
      <c r="R3043" s="184">
        <v>18050</v>
      </c>
      <c r="S3043">
        <v>74</v>
      </c>
      <c r="V3043" t="s">
        <v>3358</v>
      </c>
      <c r="X3043" t="s">
        <v>3359</v>
      </c>
      <c r="AF3043" t="s">
        <v>24327</v>
      </c>
      <c r="AG3043" t="s">
        <v>3358</v>
      </c>
      <c r="AI3043" t="s">
        <v>24328</v>
      </c>
      <c r="AM3043" t="s">
        <v>24329</v>
      </c>
      <c r="AN3043" t="s">
        <v>2094</v>
      </c>
      <c r="AO3043" t="s">
        <v>24330</v>
      </c>
      <c r="AP3043" t="s">
        <v>7024</v>
      </c>
      <c r="AT3043" s="184">
        <v>38243</v>
      </c>
      <c r="AU3043" t="s">
        <v>24331</v>
      </c>
      <c r="AV3043">
        <v>25</v>
      </c>
      <c r="AW3043" s="184">
        <v>43830</v>
      </c>
      <c r="AX3043" t="s">
        <v>24332</v>
      </c>
      <c r="AY3043">
        <v>35</v>
      </c>
      <c r="AZ3043" s="184">
        <v>39610</v>
      </c>
      <c r="BA3043" t="s">
        <v>24333</v>
      </c>
      <c r="BB3043">
        <v>60</v>
      </c>
      <c r="BC3043">
        <v>67</v>
      </c>
      <c r="BD3043">
        <v>620</v>
      </c>
      <c r="BE3043">
        <v>2005</v>
      </c>
      <c r="BF3043">
        <v>20</v>
      </c>
      <c r="BI3043">
        <v>14</v>
      </c>
      <c r="BJ3043">
        <v>21</v>
      </c>
      <c r="BK3043">
        <v>11</v>
      </c>
      <c r="BP3043" s="184"/>
    </row>
    <row r="3044" spans="1:68">
      <c r="A3044">
        <v>37229408</v>
      </c>
      <c r="B3044">
        <v>37229408</v>
      </c>
      <c r="C3044" t="s">
        <v>7018</v>
      </c>
      <c r="E3044" s="184"/>
      <c r="F3044" t="s">
        <v>595</v>
      </c>
      <c r="G3044" s="184">
        <v>43731</v>
      </c>
      <c r="I3044" s="184"/>
      <c r="K3044" s="184"/>
      <c r="M3044" s="184"/>
      <c r="O3044" s="184"/>
      <c r="P3044" t="s">
        <v>7045</v>
      </c>
      <c r="Q3044" t="s">
        <v>7494</v>
      </c>
      <c r="R3044" s="184">
        <v>18019</v>
      </c>
      <c r="S3044">
        <v>75</v>
      </c>
      <c r="U3044" t="s">
        <v>7130</v>
      </c>
      <c r="V3044" t="s">
        <v>4018</v>
      </c>
      <c r="W3044" t="s">
        <v>8224</v>
      </c>
      <c r="X3044" t="s">
        <v>4019</v>
      </c>
      <c r="AF3044" t="s">
        <v>24334</v>
      </c>
      <c r="AG3044" t="s">
        <v>4018</v>
      </c>
      <c r="AI3044" t="s">
        <v>24335</v>
      </c>
      <c r="AM3044" t="s">
        <v>4020</v>
      </c>
      <c r="AN3044" t="s">
        <v>2174</v>
      </c>
      <c r="AO3044" t="s">
        <v>24336</v>
      </c>
      <c r="AP3044" t="s">
        <v>7024</v>
      </c>
      <c r="AQ3044" t="s">
        <v>24337</v>
      </c>
      <c r="AT3044" s="184">
        <v>38243</v>
      </c>
      <c r="AU3044" t="s">
        <v>24338</v>
      </c>
      <c r="AV3044">
        <v>25</v>
      </c>
      <c r="AW3044" s="184">
        <v>45410</v>
      </c>
      <c r="AX3044" t="s">
        <v>7429</v>
      </c>
      <c r="AY3044">
        <v>10.5</v>
      </c>
      <c r="AZ3044" s="184">
        <v>42506</v>
      </c>
      <c r="BA3044" t="s">
        <v>24339</v>
      </c>
      <c r="BB3044">
        <v>50</v>
      </c>
      <c r="BC3044">
        <v>77</v>
      </c>
      <c r="BD3044">
        <v>883</v>
      </c>
      <c r="BE3044">
        <v>2005</v>
      </c>
      <c r="BF3044">
        <v>65</v>
      </c>
      <c r="BG3044">
        <v>7</v>
      </c>
      <c r="BH3044">
        <v>98</v>
      </c>
      <c r="BI3044">
        <v>16</v>
      </c>
      <c r="BJ3044">
        <v>21</v>
      </c>
      <c r="BK3044">
        <v>13</v>
      </c>
      <c r="BP3044" s="184"/>
    </row>
    <row r="3045" spans="1:68">
      <c r="A3045">
        <v>37243078</v>
      </c>
      <c r="B3045">
        <v>37243078</v>
      </c>
      <c r="C3045" t="s">
        <v>7018</v>
      </c>
      <c r="D3045" t="s">
        <v>595</v>
      </c>
      <c r="E3045" s="184">
        <v>43619</v>
      </c>
      <c r="G3045" s="184"/>
      <c r="I3045" s="184"/>
      <c r="K3045" s="184"/>
      <c r="M3045" s="184"/>
      <c r="O3045" s="184"/>
      <c r="P3045" t="s">
        <v>7029</v>
      </c>
      <c r="Q3045" t="s">
        <v>7020</v>
      </c>
      <c r="R3045" s="184">
        <v>18142</v>
      </c>
      <c r="S3045">
        <v>74</v>
      </c>
      <c r="U3045" t="s">
        <v>7076</v>
      </c>
      <c r="V3045" t="s">
        <v>2586</v>
      </c>
      <c r="W3045" t="s">
        <v>24340</v>
      </c>
      <c r="X3045" t="s">
        <v>2901</v>
      </c>
      <c r="AF3045" t="s">
        <v>24341</v>
      </c>
      <c r="AG3045" t="s">
        <v>2586</v>
      </c>
      <c r="AI3045" t="s">
        <v>24342</v>
      </c>
      <c r="AM3045" t="s">
        <v>2902</v>
      </c>
      <c r="AN3045" t="s">
        <v>2363</v>
      </c>
      <c r="AO3045" t="s">
        <v>24343</v>
      </c>
      <c r="AP3045" t="s">
        <v>7024</v>
      </c>
      <c r="AQ3045" t="s">
        <v>24344</v>
      </c>
      <c r="AR3045" t="s">
        <v>24345</v>
      </c>
      <c r="AT3045" s="184">
        <v>38246</v>
      </c>
      <c r="AU3045" t="s">
        <v>24346</v>
      </c>
      <c r="AV3045">
        <v>25</v>
      </c>
      <c r="AW3045" s="184">
        <v>45278</v>
      </c>
      <c r="AX3045" t="s">
        <v>7382</v>
      </c>
      <c r="AY3045">
        <v>1500</v>
      </c>
      <c r="AZ3045" s="184">
        <v>45278</v>
      </c>
      <c r="BA3045" t="s">
        <v>7382</v>
      </c>
      <c r="BB3045">
        <v>1500</v>
      </c>
      <c r="BC3045">
        <v>91</v>
      </c>
      <c r="BD3045">
        <v>9285</v>
      </c>
      <c r="BE3045">
        <v>2005</v>
      </c>
      <c r="BF3045">
        <v>28</v>
      </c>
      <c r="BG3045">
        <v>2</v>
      </c>
      <c r="BH3045">
        <v>3000</v>
      </c>
      <c r="BI3045">
        <v>19</v>
      </c>
      <c r="BJ3045">
        <v>21</v>
      </c>
      <c r="BK3045">
        <v>18</v>
      </c>
    </row>
    <row r="3046" spans="1:68">
      <c r="A3046">
        <v>37254257</v>
      </c>
      <c r="B3046">
        <v>37254257</v>
      </c>
      <c r="C3046" t="s">
        <v>7018</v>
      </c>
      <c r="D3046" t="s">
        <v>595</v>
      </c>
      <c r="E3046" s="184">
        <v>45147</v>
      </c>
      <c r="G3046" s="184"/>
      <c r="I3046" s="184"/>
      <c r="K3046" s="184"/>
      <c r="O3046" s="184"/>
      <c r="P3046" t="s">
        <v>7045</v>
      </c>
      <c r="Q3046" t="s">
        <v>7383</v>
      </c>
      <c r="R3046" s="184">
        <v>13606</v>
      </c>
      <c r="S3046">
        <v>87</v>
      </c>
      <c r="U3046" t="s">
        <v>7130</v>
      </c>
      <c r="V3046" t="s">
        <v>2541</v>
      </c>
      <c r="W3046" t="s">
        <v>4013</v>
      </c>
      <c r="X3046" t="s">
        <v>24347</v>
      </c>
      <c r="AF3046" t="s">
        <v>24348</v>
      </c>
      <c r="AG3046" t="s">
        <v>2541</v>
      </c>
      <c r="AI3046" t="s">
        <v>24349</v>
      </c>
      <c r="AM3046" t="s">
        <v>24350</v>
      </c>
      <c r="AN3046" t="s">
        <v>2313</v>
      </c>
      <c r="AO3046" t="s">
        <v>24351</v>
      </c>
      <c r="AP3046" t="s">
        <v>7024</v>
      </c>
      <c r="AQ3046" t="s">
        <v>24352</v>
      </c>
      <c r="AR3046" t="s">
        <v>24353</v>
      </c>
      <c r="AT3046" s="184">
        <v>38252</v>
      </c>
      <c r="AU3046" t="s">
        <v>24354</v>
      </c>
      <c r="AV3046">
        <v>25</v>
      </c>
      <c r="AW3046" s="184">
        <v>45243</v>
      </c>
      <c r="AX3046" t="s">
        <v>24355</v>
      </c>
      <c r="AY3046">
        <v>78.75</v>
      </c>
      <c r="AZ3046" s="184">
        <v>45003</v>
      </c>
      <c r="BA3046" t="s">
        <v>24356</v>
      </c>
      <c r="BB3046">
        <v>100</v>
      </c>
      <c r="BC3046">
        <v>86</v>
      </c>
      <c r="BD3046">
        <v>1598.75</v>
      </c>
      <c r="BE3046">
        <v>2005</v>
      </c>
      <c r="BF3046">
        <v>24</v>
      </c>
      <c r="BG3046">
        <v>2</v>
      </c>
      <c r="BH3046">
        <v>178.75</v>
      </c>
      <c r="BI3046">
        <v>18</v>
      </c>
      <c r="BJ3046">
        <v>21</v>
      </c>
      <c r="BK3046">
        <v>11</v>
      </c>
      <c r="BP3046" s="184"/>
    </row>
    <row r="3047" spans="1:68">
      <c r="A3047">
        <v>37262813</v>
      </c>
      <c r="B3047">
        <v>37262813</v>
      </c>
      <c r="C3047" t="s">
        <v>7018</v>
      </c>
      <c r="D3047" t="s">
        <v>595</v>
      </c>
      <c r="E3047" s="184">
        <v>43861</v>
      </c>
      <c r="G3047" s="184"/>
      <c r="I3047" s="184"/>
      <c r="K3047" s="184"/>
      <c r="O3047" s="184"/>
      <c r="P3047" t="s">
        <v>7045</v>
      </c>
      <c r="Q3047" t="s">
        <v>7020</v>
      </c>
      <c r="R3047" s="184">
        <v>24412</v>
      </c>
      <c r="S3047">
        <v>57</v>
      </c>
      <c r="U3047" t="s">
        <v>7076</v>
      </c>
      <c r="V3047" t="s">
        <v>2903</v>
      </c>
      <c r="X3047" t="s">
        <v>3424</v>
      </c>
      <c r="AF3047" t="s">
        <v>24357</v>
      </c>
      <c r="AG3047" t="s">
        <v>2903</v>
      </c>
      <c r="AI3047" t="s">
        <v>24358</v>
      </c>
      <c r="AM3047" t="s">
        <v>4590</v>
      </c>
      <c r="AN3047" t="s">
        <v>2112</v>
      </c>
      <c r="AO3047" t="s">
        <v>24359</v>
      </c>
      <c r="AP3047" t="s">
        <v>7024</v>
      </c>
      <c r="AQ3047" t="s">
        <v>24360</v>
      </c>
      <c r="AR3047" t="s">
        <v>24361</v>
      </c>
      <c r="AT3047" s="184">
        <v>38258</v>
      </c>
      <c r="AU3047" t="s">
        <v>24362</v>
      </c>
      <c r="AV3047">
        <v>20</v>
      </c>
      <c r="AW3047" s="184">
        <v>45400</v>
      </c>
      <c r="AX3047" t="s">
        <v>24363</v>
      </c>
      <c r="AY3047">
        <v>35</v>
      </c>
      <c r="AZ3047" s="184">
        <v>43942</v>
      </c>
      <c r="BA3047" t="s">
        <v>24364</v>
      </c>
      <c r="BB3047">
        <v>50</v>
      </c>
      <c r="BC3047">
        <v>81</v>
      </c>
      <c r="BD3047">
        <v>2935</v>
      </c>
      <c r="BE3047">
        <v>2005</v>
      </c>
      <c r="BF3047">
        <v>132</v>
      </c>
      <c r="BG3047">
        <v>2</v>
      </c>
      <c r="BH3047">
        <v>70</v>
      </c>
      <c r="BI3047">
        <v>17</v>
      </c>
      <c r="BJ3047">
        <v>21</v>
      </c>
      <c r="BK3047">
        <v>14</v>
      </c>
    </row>
    <row r="3048" spans="1:68">
      <c r="A3048">
        <v>37280260</v>
      </c>
      <c r="B3048">
        <v>37280260</v>
      </c>
      <c r="C3048" t="s">
        <v>7018</v>
      </c>
      <c r="D3048" t="s">
        <v>595</v>
      </c>
      <c r="E3048" s="184">
        <v>43829</v>
      </c>
      <c r="G3048" s="184"/>
      <c r="I3048" s="184"/>
      <c r="K3048" s="184"/>
      <c r="O3048" s="184"/>
      <c r="P3048" t="s">
        <v>7045</v>
      </c>
      <c r="Q3048" t="s">
        <v>7374</v>
      </c>
      <c r="R3048" s="184">
        <v>15915</v>
      </c>
      <c r="S3048">
        <v>80</v>
      </c>
      <c r="U3048" t="s">
        <v>7031</v>
      </c>
      <c r="V3048" t="s">
        <v>3134</v>
      </c>
      <c r="X3048" t="s">
        <v>24365</v>
      </c>
      <c r="AF3048" t="s">
        <v>24366</v>
      </c>
      <c r="AG3048" t="s">
        <v>3134</v>
      </c>
      <c r="AI3048" t="s">
        <v>24367</v>
      </c>
      <c r="AM3048" t="s">
        <v>24368</v>
      </c>
      <c r="AN3048" t="s">
        <v>2081</v>
      </c>
      <c r="AO3048" t="s">
        <v>24369</v>
      </c>
      <c r="AP3048" t="s">
        <v>7024</v>
      </c>
      <c r="AQ3048" t="s">
        <v>24370</v>
      </c>
      <c r="AR3048" t="s">
        <v>24371</v>
      </c>
      <c r="AT3048" s="184">
        <v>38264</v>
      </c>
      <c r="AU3048" t="s">
        <v>24372</v>
      </c>
      <c r="AV3048">
        <v>10</v>
      </c>
      <c r="AW3048" s="184">
        <v>45407</v>
      </c>
      <c r="AX3048" t="s">
        <v>7429</v>
      </c>
      <c r="AY3048">
        <v>10</v>
      </c>
      <c r="AZ3048" s="184">
        <v>42377</v>
      </c>
      <c r="BA3048" t="s">
        <v>24373</v>
      </c>
      <c r="BB3048">
        <v>60</v>
      </c>
      <c r="BC3048">
        <v>72</v>
      </c>
      <c r="BD3048">
        <v>1035</v>
      </c>
      <c r="BE3048">
        <v>2005</v>
      </c>
      <c r="BF3048">
        <v>91</v>
      </c>
      <c r="BG3048">
        <v>25</v>
      </c>
      <c r="BH3048">
        <v>250</v>
      </c>
      <c r="BI3048">
        <v>15</v>
      </c>
      <c r="BJ3048">
        <v>21</v>
      </c>
      <c r="BK3048">
        <v>9</v>
      </c>
    </row>
    <row r="3049" spans="1:68">
      <c r="A3049">
        <v>37288610</v>
      </c>
      <c r="B3049">
        <v>37288610</v>
      </c>
      <c r="C3049" t="s">
        <v>7018</v>
      </c>
      <c r="D3049" t="s">
        <v>595</v>
      </c>
      <c r="E3049" s="184">
        <v>45195</v>
      </c>
      <c r="G3049" s="184"/>
      <c r="I3049" s="184"/>
      <c r="K3049" s="184"/>
      <c r="M3049" s="184"/>
      <c r="O3049" s="184"/>
      <c r="P3049" t="s">
        <v>7045</v>
      </c>
      <c r="Q3049" t="s">
        <v>7383</v>
      </c>
      <c r="R3049" s="184">
        <v>16469</v>
      </c>
      <c r="S3049">
        <v>79</v>
      </c>
      <c r="U3049" t="s">
        <v>7031</v>
      </c>
      <c r="V3049" t="s">
        <v>2786</v>
      </c>
      <c r="X3049" t="s">
        <v>24374</v>
      </c>
      <c r="AF3049" t="s">
        <v>24375</v>
      </c>
      <c r="AG3049" t="s">
        <v>2786</v>
      </c>
      <c r="AI3049" t="s">
        <v>24376</v>
      </c>
      <c r="AM3049" t="s">
        <v>3828</v>
      </c>
      <c r="AN3049" t="s">
        <v>2185</v>
      </c>
      <c r="AO3049" t="s">
        <v>24377</v>
      </c>
      <c r="AP3049" t="s">
        <v>7024</v>
      </c>
      <c r="AQ3049" t="s">
        <v>24378</v>
      </c>
      <c r="AT3049" s="184">
        <v>38265</v>
      </c>
      <c r="AU3049" t="s">
        <v>24379</v>
      </c>
      <c r="AV3049">
        <v>20</v>
      </c>
      <c r="AW3049" s="184">
        <v>45378</v>
      </c>
      <c r="AX3049" t="s">
        <v>9445</v>
      </c>
      <c r="AY3049">
        <v>50</v>
      </c>
      <c r="AZ3049" s="184">
        <v>44315</v>
      </c>
      <c r="BA3049" t="s">
        <v>13821</v>
      </c>
      <c r="BB3049">
        <v>60</v>
      </c>
      <c r="BC3049">
        <v>91</v>
      </c>
      <c r="BD3049">
        <v>945</v>
      </c>
      <c r="BE3049">
        <v>2005</v>
      </c>
      <c r="BF3049">
        <v>27</v>
      </c>
      <c r="BG3049">
        <v>4</v>
      </c>
      <c r="BH3049">
        <v>200</v>
      </c>
      <c r="BI3049">
        <v>19</v>
      </c>
      <c r="BJ3049">
        <v>21</v>
      </c>
      <c r="BK3049">
        <v>17</v>
      </c>
      <c r="BP3049" s="184"/>
    </row>
    <row r="3050" spans="1:68">
      <c r="A3050">
        <v>37290442</v>
      </c>
      <c r="B3050">
        <v>37290442</v>
      </c>
      <c r="C3050" t="s">
        <v>7018</v>
      </c>
      <c r="E3050" s="184"/>
      <c r="F3050" t="s">
        <v>595</v>
      </c>
      <c r="G3050" s="184">
        <v>43690</v>
      </c>
      <c r="I3050" s="184"/>
      <c r="K3050" s="184"/>
      <c r="M3050" s="184"/>
      <c r="O3050" s="184"/>
      <c r="P3050" t="s">
        <v>7045</v>
      </c>
      <c r="Q3050" t="s">
        <v>7020</v>
      </c>
      <c r="R3050" s="184">
        <v>19480</v>
      </c>
      <c r="S3050">
        <v>71</v>
      </c>
      <c r="U3050" t="s">
        <v>7031</v>
      </c>
      <c r="V3050" t="s">
        <v>2832</v>
      </c>
      <c r="X3050" t="s">
        <v>3710</v>
      </c>
      <c r="AF3050" t="s">
        <v>24380</v>
      </c>
      <c r="AG3050" t="s">
        <v>2832</v>
      </c>
      <c r="AI3050" t="s">
        <v>24381</v>
      </c>
      <c r="AM3050" t="s">
        <v>24382</v>
      </c>
      <c r="AN3050" t="s">
        <v>2112</v>
      </c>
      <c r="AO3050" t="s">
        <v>24383</v>
      </c>
      <c r="AP3050" t="s">
        <v>7024</v>
      </c>
      <c r="AQ3050" t="s">
        <v>24384</v>
      </c>
      <c r="AR3050" t="s">
        <v>24385</v>
      </c>
      <c r="AT3050" s="184">
        <v>38266</v>
      </c>
      <c r="AU3050" t="s">
        <v>24386</v>
      </c>
      <c r="AV3050">
        <v>15</v>
      </c>
      <c r="AW3050" s="184">
        <v>44890</v>
      </c>
      <c r="AX3050" t="s">
        <v>23605</v>
      </c>
      <c r="AY3050">
        <v>35</v>
      </c>
      <c r="AZ3050" s="184">
        <v>44890</v>
      </c>
      <c r="BA3050" t="s">
        <v>23605</v>
      </c>
      <c r="BB3050">
        <v>35</v>
      </c>
      <c r="BC3050">
        <v>91</v>
      </c>
      <c r="BD3050">
        <v>730</v>
      </c>
      <c r="BE3050">
        <v>2005</v>
      </c>
      <c r="BF3050">
        <v>40</v>
      </c>
      <c r="BG3050">
        <v>1</v>
      </c>
      <c r="BH3050">
        <v>35</v>
      </c>
      <c r="BI3050">
        <v>19</v>
      </c>
      <c r="BJ3050">
        <v>21</v>
      </c>
      <c r="BK3050">
        <v>19</v>
      </c>
      <c r="BP3050" s="184"/>
    </row>
    <row r="3051" spans="1:68">
      <c r="A3051">
        <v>37314721</v>
      </c>
      <c r="B3051">
        <v>37314721</v>
      </c>
      <c r="C3051" t="s">
        <v>7018</v>
      </c>
      <c r="D3051" t="s">
        <v>595</v>
      </c>
      <c r="E3051" s="184">
        <v>43881</v>
      </c>
      <c r="G3051" s="184"/>
      <c r="I3051" s="184"/>
      <c r="K3051" s="184"/>
      <c r="O3051" s="184"/>
      <c r="P3051" t="s">
        <v>7045</v>
      </c>
      <c r="Q3051" t="s">
        <v>7194</v>
      </c>
      <c r="R3051" s="184">
        <v>15647</v>
      </c>
      <c r="S3051">
        <v>81</v>
      </c>
      <c r="V3051" t="s">
        <v>3830</v>
      </c>
      <c r="W3051" t="s">
        <v>7246</v>
      </c>
      <c r="X3051" t="s">
        <v>24387</v>
      </c>
      <c r="AF3051" t="s">
        <v>24388</v>
      </c>
      <c r="AG3051" t="s">
        <v>5990</v>
      </c>
      <c r="AI3051" t="s">
        <v>24389</v>
      </c>
      <c r="AM3051" t="s">
        <v>4601</v>
      </c>
      <c r="AN3051" t="s">
        <v>4512</v>
      </c>
      <c r="AO3051" t="s">
        <v>24390</v>
      </c>
      <c r="AP3051" t="s">
        <v>7024</v>
      </c>
      <c r="AT3051" s="184">
        <v>38275</v>
      </c>
      <c r="AU3051" t="s">
        <v>24391</v>
      </c>
      <c r="AV3051">
        <v>15</v>
      </c>
      <c r="AW3051" s="184">
        <v>45272</v>
      </c>
      <c r="AX3051" t="s">
        <v>11384</v>
      </c>
      <c r="AY3051">
        <v>25</v>
      </c>
      <c r="AZ3051" s="184">
        <v>44748</v>
      </c>
      <c r="BA3051" t="s">
        <v>24392</v>
      </c>
      <c r="BB3051">
        <v>40</v>
      </c>
      <c r="BC3051">
        <v>77</v>
      </c>
      <c r="BD3051">
        <v>705</v>
      </c>
      <c r="BE3051">
        <v>2005</v>
      </c>
      <c r="BF3051">
        <v>28</v>
      </c>
      <c r="BG3051">
        <v>4</v>
      </c>
      <c r="BH3051">
        <v>115</v>
      </c>
      <c r="BI3051">
        <v>16</v>
      </c>
      <c r="BJ3051">
        <v>21</v>
      </c>
      <c r="BK3051">
        <v>7</v>
      </c>
      <c r="BP3051" s="184"/>
    </row>
    <row r="3052" spans="1:68">
      <c r="A3052">
        <v>37316718</v>
      </c>
      <c r="B3052">
        <v>37316718</v>
      </c>
      <c r="C3052" t="s">
        <v>7018</v>
      </c>
      <c r="D3052" t="s">
        <v>595</v>
      </c>
      <c r="E3052" s="184">
        <v>45145</v>
      </c>
      <c r="G3052" s="184"/>
      <c r="I3052" s="184"/>
      <c r="K3052" s="184"/>
      <c r="M3052" s="184"/>
      <c r="O3052" s="184"/>
      <c r="P3052" t="s">
        <v>7045</v>
      </c>
      <c r="Q3052" t="s">
        <v>7383</v>
      </c>
      <c r="R3052" s="184">
        <v>21337</v>
      </c>
      <c r="S3052">
        <v>65</v>
      </c>
      <c r="U3052" t="s">
        <v>7094</v>
      </c>
      <c r="V3052" t="s">
        <v>3593</v>
      </c>
      <c r="W3052" t="s">
        <v>3226</v>
      </c>
      <c r="X3052" t="s">
        <v>24393</v>
      </c>
      <c r="AF3052" t="s">
        <v>24394</v>
      </c>
      <c r="AG3052" t="s">
        <v>3593</v>
      </c>
      <c r="AI3052" t="s">
        <v>24395</v>
      </c>
      <c r="AJ3052" t="s">
        <v>24396</v>
      </c>
      <c r="AM3052" t="s">
        <v>17776</v>
      </c>
      <c r="AN3052" t="s">
        <v>2064</v>
      </c>
      <c r="AO3052" t="s">
        <v>24397</v>
      </c>
      <c r="AP3052" t="s">
        <v>7024</v>
      </c>
      <c r="AQ3052" t="s">
        <v>24398</v>
      </c>
      <c r="AT3052" s="184">
        <v>38278</v>
      </c>
      <c r="AU3052" t="s">
        <v>24399</v>
      </c>
      <c r="AV3052">
        <v>15</v>
      </c>
      <c r="AW3052" s="184">
        <v>45149</v>
      </c>
      <c r="AX3052" t="s">
        <v>13936</v>
      </c>
      <c r="AY3052">
        <v>25</v>
      </c>
      <c r="AZ3052" s="184">
        <v>42418</v>
      </c>
      <c r="BA3052" t="s">
        <v>24400</v>
      </c>
      <c r="BB3052">
        <v>50</v>
      </c>
      <c r="BC3052">
        <v>67</v>
      </c>
      <c r="BD3052">
        <v>535</v>
      </c>
      <c r="BE3052">
        <v>2005</v>
      </c>
      <c r="BF3052">
        <v>20</v>
      </c>
      <c r="BG3052">
        <v>2</v>
      </c>
      <c r="BH3052">
        <v>50</v>
      </c>
      <c r="BI3052">
        <v>14</v>
      </c>
      <c r="BJ3052">
        <v>21</v>
      </c>
      <c r="BK3052">
        <v>6</v>
      </c>
      <c r="BN3052" t="s">
        <v>595</v>
      </c>
      <c r="BP3052" s="184"/>
    </row>
    <row r="3053" spans="1:68">
      <c r="A3053">
        <v>37333655</v>
      </c>
      <c r="B3053">
        <v>37333655</v>
      </c>
      <c r="C3053" t="s">
        <v>7018</v>
      </c>
      <c r="E3053" s="184"/>
      <c r="G3053" s="184"/>
      <c r="I3053" s="184"/>
      <c r="J3053" t="s">
        <v>595</v>
      </c>
      <c r="K3053" s="184">
        <v>38342</v>
      </c>
      <c r="M3053" s="184"/>
      <c r="N3053" t="s">
        <v>595</v>
      </c>
      <c r="O3053" s="184">
        <v>38342</v>
      </c>
      <c r="P3053" t="s">
        <v>8550</v>
      </c>
      <c r="Q3053" t="s">
        <v>7383</v>
      </c>
      <c r="R3053" s="184">
        <v>11584</v>
      </c>
      <c r="S3053">
        <v>92</v>
      </c>
      <c r="U3053" t="s">
        <v>7076</v>
      </c>
      <c r="V3053" t="s">
        <v>9936</v>
      </c>
      <c r="W3053" t="s">
        <v>2918</v>
      </c>
      <c r="X3053" t="s">
        <v>24401</v>
      </c>
      <c r="AF3053" t="s">
        <v>6044</v>
      </c>
      <c r="AG3053" t="s">
        <v>9936</v>
      </c>
      <c r="AI3053" t="s">
        <v>24402</v>
      </c>
      <c r="AM3053" t="s">
        <v>5853</v>
      </c>
      <c r="AN3053" t="s">
        <v>2162</v>
      </c>
      <c r="AO3053">
        <v>50324</v>
      </c>
      <c r="AP3053" t="s">
        <v>7024</v>
      </c>
      <c r="AT3053" s="184">
        <v>38343</v>
      </c>
      <c r="AU3053" t="s">
        <v>8001</v>
      </c>
      <c r="AV3053">
        <v>10000</v>
      </c>
      <c r="AW3053" s="184">
        <v>38343</v>
      </c>
      <c r="AX3053" t="s">
        <v>8001</v>
      </c>
      <c r="AY3053">
        <v>10000</v>
      </c>
      <c r="AZ3053" s="184">
        <v>38343</v>
      </c>
      <c r="BA3053" t="s">
        <v>8001</v>
      </c>
      <c r="BB3053">
        <v>10000</v>
      </c>
      <c r="BC3053">
        <v>5</v>
      </c>
      <c r="BD3053">
        <v>10000</v>
      </c>
      <c r="BE3053">
        <v>2005</v>
      </c>
      <c r="BF3053">
        <v>1</v>
      </c>
      <c r="BI3053">
        <v>1</v>
      </c>
      <c r="BJ3053">
        <v>21</v>
      </c>
      <c r="BK3053">
        <v>1</v>
      </c>
      <c r="BP3053" s="184"/>
    </row>
    <row r="3054" spans="1:68">
      <c r="A3054">
        <v>37341583</v>
      </c>
      <c r="B3054">
        <v>37341583</v>
      </c>
      <c r="C3054" t="s">
        <v>7018</v>
      </c>
      <c r="D3054" t="s">
        <v>595</v>
      </c>
      <c r="E3054" s="184">
        <v>44438</v>
      </c>
      <c r="G3054" s="184"/>
      <c r="I3054" s="184"/>
      <c r="K3054" s="184"/>
      <c r="O3054" s="184"/>
      <c r="P3054" t="s">
        <v>7045</v>
      </c>
      <c r="Q3054" t="s">
        <v>7020</v>
      </c>
      <c r="R3054" s="184">
        <v>11513</v>
      </c>
      <c r="S3054">
        <v>92</v>
      </c>
      <c r="V3054" t="s">
        <v>2602</v>
      </c>
      <c r="W3054" t="s">
        <v>7560</v>
      </c>
      <c r="X3054" t="s">
        <v>24403</v>
      </c>
      <c r="AF3054" t="s">
        <v>24404</v>
      </c>
      <c r="AG3054" t="s">
        <v>2602</v>
      </c>
      <c r="AI3054" t="s">
        <v>24405</v>
      </c>
      <c r="AM3054" t="s">
        <v>2629</v>
      </c>
      <c r="AN3054" t="s">
        <v>2052</v>
      </c>
      <c r="AO3054" t="s">
        <v>24406</v>
      </c>
      <c r="AP3054" t="s">
        <v>7024</v>
      </c>
      <c r="AQ3054" t="s">
        <v>24407</v>
      </c>
      <c r="AT3054" s="184">
        <v>38296</v>
      </c>
      <c r="AU3054" t="s">
        <v>24399</v>
      </c>
      <c r="AV3054">
        <v>8</v>
      </c>
      <c r="AW3054" s="184">
        <v>44755</v>
      </c>
      <c r="AX3054" t="s">
        <v>21476</v>
      </c>
      <c r="AY3054">
        <v>35</v>
      </c>
      <c r="AZ3054" s="184">
        <v>44755</v>
      </c>
      <c r="BA3054" t="s">
        <v>21476</v>
      </c>
      <c r="BB3054">
        <v>35</v>
      </c>
      <c r="BC3054">
        <v>34</v>
      </c>
      <c r="BD3054">
        <v>278</v>
      </c>
      <c r="BE3054">
        <v>2005</v>
      </c>
      <c r="BF3054">
        <v>13</v>
      </c>
      <c r="BG3054">
        <v>1</v>
      </c>
      <c r="BH3054">
        <v>35</v>
      </c>
      <c r="BI3054">
        <v>7</v>
      </c>
      <c r="BJ3054">
        <v>21</v>
      </c>
      <c r="BK3054">
        <v>6</v>
      </c>
      <c r="BP3054" s="184"/>
    </row>
    <row r="3055" spans="1:68">
      <c r="A3055">
        <v>37341617</v>
      </c>
      <c r="B3055">
        <v>37341617</v>
      </c>
      <c r="C3055" t="s">
        <v>7018</v>
      </c>
      <c r="D3055" t="s">
        <v>595</v>
      </c>
      <c r="E3055" s="184">
        <v>45167</v>
      </c>
      <c r="G3055" s="184"/>
      <c r="I3055" s="184"/>
      <c r="K3055" s="184"/>
      <c r="P3055" t="s">
        <v>7045</v>
      </c>
      <c r="Q3055" t="s">
        <v>7194</v>
      </c>
      <c r="R3055" s="184">
        <v>17533</v>
      </c>
      <c r="S3055">
        <v>76</v>
      </c>
      <c r="U3055" t="s">
        <v>7076</v>
      </c>
      <c r="V3055" t="s">
        <v>7290</v>
      </c>
      <c r="X3055" t="s">
        <v>3684</v>
      </c>
      <c r="AF3055" t="s">
        <v>24408</v>
      </c>
      <c r="AG3055" t="s">
        <v>7290</v>
      </c>
      <c r="AI3055" t="s">
        <v>24409</v>
      </c>
      <c r="AM3055" t="s">
        <v>7450</v>
      </c>
      <c r="AN3055" t="s">
        <v>2046</v>
      </c>
      <c r="AO3055" t="s">
        <v>24410</v>
      </c>
      <c r="AP3055" t="s">
        <v>7024</v>
      </c>
      <c r="AQ3055" t="s">
        <v>24411</v>
      </c>
      <c r="AT3055" s="184">
        <v>38296</v>
      </c>
      <c r="AU3055" t="s">
        <v>24412</v>
      </c>
      <c r="AV3055">
        <v>15</v>
      </c>
      <c r="AW3055" s="184">
        <v>44648</v>
      </c>
      <c r="AX3055" t="s">
        <v>24413</v>
      </c>
      <c r="AY3055">
        <v>15</v>
      </c>
      <c r="AZ3055" s="184">
        <v>38622</v>
      </c>
      <c r="BA3055" t="s">
        <v>24414</v>
      </c>
      <c r="BB3055">
        <v>60</v>
      </c>
      <c r="BC3055">
        <v>53</v>
      </c>
      <c r="BD3055">
        <v>185</v>
      </c>
      <c r="BE3055">
        <v>2005</v>
      </c>
      <c r="BF3055">
        <v>15</v>
      </c>
      <c r="BI3055">
        <v>11</v>
      </c>
      <c r="BJ3055">
        <v>21</v>
      </c>
      <c r="BK3055">
        <v>5</v>
      </c>
    </row>
    <row r="3056" spans="1:68">
      <c r="A3056">
        <v>37344074</v>
      </c>
      <c r="B3056">
        <v>37344074</v>
      </c>
      <c r="C3056" t="s">
        <v>7018</v>
      </c>
      <c r="D3056" t="s">
        <v>595</v>
      </c>
      <c r="E3056" s="184">
        <v>43801</v>
      </c>
      <c r="G3056" s="184"/>
      <c r="I3056" s="184"/>
      <c r="K3056" s="184"/>
      <c r="M3056" s="184"/>
      <c r="O3056" s="184"/>
      <c r="P3056" t="s">
        <v>7045</v>
      </c>
      <c r="Q3056" t="s">
        <v>7374</v>
      </c>
      <c r="R3056" s="184">
        <v>18994</v>
      </c>
      <c r="S3056">
        <v>72</v>
      </c>
      <c r="U3056" t="s">
        <v>7130</v>
      </c>
      <c r="V3056" t="s">
        <v>3101</v>
      </c>
      <c r="X3056" t="s">
        <v>4411</v>
      </c>
      <c r="AF3056" t="s">
        <v>24415</v>
      </c>
      <c r="AG3056" t="s">
        <v>3101</v>
      </c>
      <c r="AI3056" t="s">
        <v>24416</v>
      </c>
      <c r="AM3056" t="s">
        <v>2525</v>
      </c>
      <c r="AN3056" t="s">
        <v>2526</v>
      </c>
      <c r="AO3056" t="s">
        <v>24417</v>
      </c>
      <c r="AP3056" t="s">
        <v>7024</v>
      </c>
      <c r="AQ3056" t="s">
        <v>24418</v>
      </c>
      <c r="AT3056" s="184">
        <v>38300</v>
      </c>
      <c r="AU3056" t="s">
        <v>24419</v>
      </c>
      <c r="AV3056">
        <v>19.97</v>
      </c>
      <c r="AW3056" s="184">
        <v>45406</v>
      </c>
      <c r="AX3056" t="s">
        <v>20233</v>
      </c>
      <c r="AY3056">
        <v>100</v>
      </c>
      <c r="AZ3056" s="184">
        <v>40067</v>
      </c>
      <c r="BA3056" t="s">
        <v>24420</v>
      </c>
      <c r="BB3056">
        <v>180</v>
      </c>
      <c r="BC3056">
        <v>91</v>
      </c>
      <c r="BD3056">
        <v>2199.94</v>
      </c>
      <c r="BE3056">
        <v>2005</v>
      </c>
      <c r="BF3056">
        <v>38</v>
      </c>
      <c r="BG3056">
        <v>3</v>
      </c>
      <c r="BH3056">
        <v>300</v>
      </c>
      <c r="BI3056">
        <v>19</v>
      </c>
      <c r="BJ3056">
        <v>21</v>
      </c>
      <c r="BK3056">
        <v>17</v>
      </c>
      <c r="BP3056" s="184"/>
    </row>
    <row r="3057" spans="1:68">
      <c r="A3057">
        <v>37361094</v>
      </c>
      <c r="B3057">
        <v>37361094</v>
      </c>
      <c r="C3057" t="s">
        <v>7018</v>
      </c>
      <c r="E3057" s="184"/>
      <c r="G3057" s="184"/>
      <c r="I3057" s="184"/>
      <c r="J3057" t="s">
        <v>595</v>
      </c>
      <c r="K3057" s="184">
        <v>43641</v>
      </c>
      <c r="M3057" s="184"/>
      <c r="O3057" s="184"/>
      <c r="P3057" t="s">
        <v>7045</v>
      </c>
      <c r="Q3057" t="s">
        <v>7383</v>
      </c>
      <c r="R3057" s="184">
        <v>19107</v>
      </c>
      <c r="S3057">
        <v>72</v>
      </c>
      <c r="V3057" t="s">
        <v>2724</v>
      </c>
      <c r="X3057" t="s">
        <v>3139</v>
      </c>
      <c r="Z3057">
        <v>101143382</v>
      </c>
      <c r="AB3057" t="s">
        <v>18610</v>
      </c>
      <c r="AD3057" t="s">
        <v>3139</v>
      </c>
      <c r="AF3057" t="s">
        <v>24421</v>
      </c>
      <c r="AG3057" t="s">
        <v>24422</v>
      </c>
      <c r="AI3057" t="s">
        <v>24423</v>
      </c>
      <c r="AM3057" t="s">
        <v>3140</v>
      </c>
      <c r="AN3057" t="s">
        <v>2185</v>
      </c>
      <c r="AO3057" t="s">
        <v>24424</v>
      </c>
      <c r="AP3057" t="s">
        <v>7024</v>
      </c>
      <c r="AQ3057" t="s">
        <v>24425</v>
      </c>
      <c r="AT3057" s="184">
        <v>38320</v>
      </c>
      <c r="AU3057" t="s">
        <v>24426</v>
      </c>
      <c r="AV3057">
        <v>50</v>
      </c>
      <c r="AW3057" s="184">
        <v>45398</v>
      </c>
      <c r="AX3057" t="s">
        <v>20233</v>
      </c>
      <c r="AY3057">
        <v>200</v>
      </c>
      <c r="AZ3057" s="184">
        <v>39693</v>
      </c>
      <c r="BA3057" t="s">
        <v>24427</v>
      </c>
      <c r="BB3057">
        <v>250</v>
      </c>
      <c r="BC3057">
        <v>96</v>
      </c>
      <c r="BD3057">
        <v>3795</v>
      </c>
      <c r="BE3057">
        <v>2005</v>
      </c>
      <c r="BF3057">
        <v>31</v>
      </c>
      <c r="BG3057">
        <v>2</v>
      </c>
      <c r="BH3057">
        <v>350</v>
      </c>
      <c r="BI3057">
        <v>20</v>
      </c>
      <c r="BJ3057">
        <v>21</v>
      </c>
      <c r="BK3057">
        <v>13</v>
      </c>
      <c r="BP3057" s="184"/>
    </row>
    <row r="3058" spans="1:68">
      <c r="A3058">
        <v>37363421</v>
      </c>
      <c r="B3058">
        <v>37363421</v>
      </c>
      <c r="C3058" t="s">
        <v>7018</v>
      </c>
      <c r="D3058" t="s">
        <v>595</v>
      </c>
      <c r="E3058" s="184">
        <v>44073</v>
      </c>
      <c r="G3058" s="184"/>
      <c r="H3058" t="s">
        <v>595</v>
      </c>
      <c r="I3058" s="184">
        <v>44073</v>
      </c>
      <c r="K3058" s="184"/>
      <c r="M3058" s="184"/>
      <c r="O3058" s="184"/>
      <c r="P3058" t="s">
        <v>7045</v>
      </c>
      <c r="Q3058" t="s">
        <v>7383</v>
      </c>
      <c r="R3058" s="184">
        <v>22190</v>
      </c>
      <c r="S3058">
        <v>63</v>
      </c>
      <c r="V3058" t="s">
        <v>2954</v>
      </c>
      <c r="X3058" t="s">
        <v>4938</v>
      </c>
      <c r="AF3058" t="s">
        <v>24428</v>
      </c>
      <c r="AG3058" t="s">
        <v>2954</v>
      </c>
      <c r="AI3058" t="s">
        <v>24429</v>
      </c>
      <c r="AM3058" t="s">
        <v>4939</v>
      </c>
      <c r="AN3058" t="s">
        <v>2313</v>
      </c>
      <c r="AO3058" t="s">
        <v>24430</v>
      </c>
      <c r="AP3058" t="s">
        <v>7024</v>
      </c>
      <c r="AQ3058" t="s">
        <v>24431</v>
      </c>
      <c r="AT3058" s="184">
        <v>38321</v>
      </c>
      <c r="AU3058" t="s">
        <v>24432</v>
      </c>
      <c r="AV3058">
        <v>25</v>
      </c>
      <c r="AW3058" s="184">
        <v>45159</v>
      </c>
      <c r="AX3058" t="s">
        <v>20130</v>
      </c>
      <c r="AY3058">
        <v>100</v>
      </c>
      <c r="AZ3058" s="184">
        <v>44895</v>
      </c>
      <c r="BA3058" t="s">
        <v>24433</v>
      </c>
      <c r="BB3058">
        <v>150</v>
      </c>
      <c r="BC3058">
        <v>81</v>
      </c>
      <c r="BD3058">
        <v>1675</v>
      </c>
      <c r="BE3058">
        <v>2005</v>
      </c>
      <c r="BF3058">
        <v>28</v>
      </c>
      <c r="BG3058">
        <v>3</v>
      </c>
      <c r="BH3058">
        <v>350</v>
      </c>
      <c r="BI3058">
        <v>17</v>
      </c>
      <c r="BJ3058">
        <v>21</v>
      </c>
      <c r="BK3058">
        <v>6</v>
      </c>
      <c r="BN3058" t="s">
        <v>595</v>
      </c>
      <c r="BP3058" s="184"/>
    </row>
    <row r="3059" spans="1:68">
      <c r="A3059">
        <v>37370574</v>
      </c>
      <c r="B3059">
        <v>37370574</v>
      </c>
      <c r="C3059" t="s">
        <v>7018</v>
      </c>
      <c r="E3059" s="184"/>
      <c r="F3059" t="s">
        <v>595</v>
      </c>
      <c r="G3059" s="184">
        <v>43640</v>
      </c>
      <c r="I3059" s="184"/>
      <c r="K3059" s="184"/>
      <c r="O3059" s="184"/>
      <c r="P3059" t="s">
        <v>7045</v>
      </c>
      <c r="Q3059" t="s">
        <v>7020</v>
      </c>
      <c r="R3059" s="184">
        <v>12867</v>
      </c>
      <c r="S3059">
        <v>89</v>
      </c>
      <c r="U3059" t="s">
        <v>7130</v>
      </c>
      <c r="V3059" t="s">
        <v>3025</v>
      </c>
      <c r="W3059" t="s">
        <v>3522</v>
      </c>
      <c r="X3059" t="s">
        <v>3026</v>
      </c>
      <c r="AF3059" t="s">
        <v>24434</v>
      </c>
      <c r="AG3059" t="s">
        <v>3025</v>
      </c>
      <c r="AI3059" t="s">
        <v>24435</v>
      </c>
      <c r="AM3059" t="s">
        <v>3027</v>
      </c>
      <c r="AN3059" t="s">
        <v>2112</v>
      </c>
      <c r="AO3059" t="s">
        <v>24436</v>
      </c>
      <c r="AP3059" t="s">
        <v>7024</v>
      </c>
      <c r="AQ3059" t="s">
        <v>24437</v>
      </c>
      <c r="AR3059" t="s">
        <v>24438</v>
      </c>
      <c r="AT3059" s="184">
        <v>38324</v>
      </c>
      <c r="AU3059" t="s">
        <v>24439</v>
      </c>
      <c r="AV3059">
        <v>25</v>
      </c>
      <c r="AW3059" s="184">
        <v>44251</v>
      </c>
      <c r="AX3059" t="s">
        <v>24440</v>
      </c>
      <c r="AY3059">
        <v>50</v>
      </c>
      <c r="AZ3059" s="184">
        <v>44032</v>
      </c>
      <c r="BA3059" t="s">
        <v>24441</v>
      </c>
      <c r="BB3059">
        <v>120</v>
      </c>
      <c r="BC3059">
        <v>86</v>
      </c>
      <c r="BD3059">
        <v>2412.92</v>
      </c>
      <c r="BE3059">
        <v>2005</v>
      </c>
      <c r="BF3059">
        <v>58</v>
      </c>
      <c r="BI3059">
        <v>18</v>
      </c>
      <c r="BJ3059">
        <v>21</v>
      </c>
      <c r="BK3059">
        <v>18</v>
      </c>
      <c r="BP3059" s="184"/>
    </row>
    <row r="3060" spans="1:68">
      <c r="A3060">
        <v>37370814</v>
      </c>
      <c r="B3060">
        <v>37370814</v>
      </c>
      <c r="C3060" t="s">
        <v>7018</v>
      </c>
      <c r="E3060" s="184"/>
      <c r="F3060" t="s">
        <v>595</v>
      </c>
      <c r="G3060" s="184">
        <v>43731</v>
      </c>
      <c r="I3060" s="184"/>
      <c r="K3060" s="184"/>
      <c r="P3060" t="s">
        <v>7045</v>
      </c>
      <c r="Q3060" t="s">
        <v>7454</v>
      </c>
      <c r="R3060" s="184">
        <v>31990</v>
      </c>
      <c r="S3060">
        <v>36</v>
      </c>
      <c r="U3060" t="s">
        <v>7076</v>
      </c>
      <c r="V3060" t="s">
        <v>2995</v>
      </c>
      <c r="W3060" t="s">
        <v>3332</v>
      </c>
      <c r="X3060" t="s">
        <v>2964</v>
      </c>
      <c r="AF3060" t="s">
        <v>24442</v>
      </c>
      <c r="AG3060" t="s">
        <v>2995</v>
      </c>
      <c r="AI3060" t="s">
        <v>24443</v>
      </c>
      <c r="AM3060" t="s">
        <v>4021</v>
      </c>
      <c r="AN3060" t="s">
        <v>2055</v>
      </c>
      <c r="AO3060" t="s">
        <v>24444</v>
      </c>
      <c r="AP3060" t="s">
        <v>7024</v>
      </c>
      <c r="AQ3060" t="s">
        <v>24445</v>
      </c>
      <c r="AR3060" t="s">
        <v>24446</v>
      </c>
      <c r="AT3060" s="184">
        <v>38324</v>
      </c>
      <c r="AU3060" t="s">
        <v>24447</v>
      </c>
      <c r="AV3060">
        <v>25</v>
      </c>
      <c r="AW3060" s="184">
        <v>45246</v>
      </c>
      <c r="AX3060" t="s">
        <v>10022</v>
      </c>
      <c r="AY3060">
        <v>35</v>
      </c>
      <c r="AZ3060" s="184">
        <v>45246</v>
      </c>
      <c r="BA3060" t="s">
        <v>10022</v>
      </c>
      <c r="BB3060">
        <v>35</v>
      </c>
      <c r="BC3060">
        <v>77</v>
      </c>
      <c r="BD3060">
        <v>785</v>
      </c>
      <c r="BE3060">
        <v>2005</v>
      </c>
      <c r="BF3060">
        <v>33</v>
      </c>
      <c r="BG3060">
        <v>2</v>
      </c>
      <c r="BH3060">
        <v>70</v>
      </c>
      <c r="BI3060">
        <v>16</v>
      </c>
      <c r="BJ3060">
        <v>21</v>
      </c>
      <c r="BK3060">
        <v>7</v>
      </c>
      <c r="BP3060" s="184"/>
    </row>
    <row r="3061" spans="1:68">
      <c r="A3061">
        <v>37380284</v>
      </c>
      <c r="B3061">
        <v>37380284</v>
      </c>
      <c r="C3061" t="s">
        <v>7018</v>
      </c>
      <c r="E3061" s="184"/>
      <c r="G3061" s="184"/>
      <c r="I3061" s="184"/>
      <c r="J3061" t="s">
        <v>595</v>
      </c>
      <c r="K3061" s="184">
        <v>38331</v>
      </c>
      <c r="O3061" s="184"/>
      <c r="P3061" t="s">
        <v>8550</v>
      </c>
      <c r="Q3061" t="s">
        <v>7020</v>
      </c>
      <c r="R3061" s="184">
        <v>11150</v>
      </c>
      <c r="S3061">
        <v>93</v>
      </c>
      <c r="U3061" t="s">
        <v>7076</v>
      </c>
      <c r="V3061" t="s">
        <v>3101</v>
      </c>
      <c r="W3061" t="s">
        <v>4013</v>
      </c>
      <c r="X3061" t="s">
        <v>24448</v>
      </c>
      <c r="AF3061" t="s">
        <v>6771</v>
      </c>
      <c r="AG3061" t="s">
        <v>3101</v>
      </c>
      <c r="AI3061" t="s">
        <v>24449</v>
      </c>
      <c r="AM3061" t="s">
        <v>3292</v>
      </c>
      <c r="AN3061" t="s">
        <v>2240</v>
      </c>
      <c r="AO3061" t="s">
        <v>24450</v>
      </c>
      <c r="AP3061" t="s">
        <v>7024</v>
      </c>
      <c r="AT3061" s="184"/>
      <c r="AW3061" s="184"/>
      <c r="AZ3061" s="184"/>
      <c r="BP3061" s="184"/>
    </row>
    <row r="3062" spans="1:68">
      <c r="A3062">
        <v>37391794</v>
      </c>
      <c r="B3062">
        <v>37391794</v>
      </c>
      <c r="C3062" t="s">
        <v>7018</v>
      </c>
      <c r="D3062" t="s">
        <v>595</v>
      </c>
      <c r="E3062" s="184">
        <v>44167</v>
      </c>
      <c r="G3062" s="184"/>
      <c r="I3062" s="184"/>
      <c r="K3062" s="184"/>
      <c r="M3062" s="184"/>
      <c r="O3062" s="184"/>
      <c r="P3062" t="s">
        <v>7045</v>
      </c>
      <c r="Q3062" t="s">
        <v>7160</v>
      </c>
      <c r="R3062" s="184">
        <v>12268</v>
      </c>
      <c r="S3062">
        <v>90</v>
      </c>
      <c r="V3062" t="s">
        <v>24451</v>
      </c>
      <c r="X3062" t="s">
        <v>2839</v>
      </c>
      <c r="AF3062" t="s">
        <v>24452</v>
      </c>
      <c r="AG3062" t="s">
        <v>24451</v>
      </c>
      <c r="AI3062" t="s">
        <v>24453</v>
      </c>
      <c r="AM3062" t="s">
        <v>24454</v>
      </c>
      <c r="AN3062" t="s">
        <v>2176</v>
      </c>
      <c r="AO3062" t="s">
        <v>24455</v>
      </c>
      <c r="AP3062" t="s">
        <v>7024</v>
      </c>
      <c r="AQ3062" t="s">
        <v>24456</v>
      </c>
      <c r="AT3062" s="184">
        <v>38331</v>
      </c>
      <c r="AU3062" t="s">
        <v>24457</v>
      </c>
      <c r="AV3062">
        <v>19.97</v>
      </c>
      <c r="AW3062" s="184">
        <v>45124</v>
      </c>
      <c r="AX3062" t="s">
        <v>13372</v>
      </c>
      <c r="AY3062">
        <v>30</v>
      </c>
      <c r="AZ3062" s="184">
        <v>45124</v>
      </c>
      <c r="BA3062" t="s">
        <v>13372</v>
      </c>
      <c r="BB3062">
        <v>30</v>
      </c>
      <c r="BC3062">
        <v>53</v>
      </c>
      <c r="BD3062">
        <v>319.94</v>
      </c>
      <c r="BE3062">
        <v>2005</v>
      </c>
      <c r="BF3062">
        <v>14</v>
      </c>
      <c r="BG3062">
        <v>3</v>
      </c>
      <c r="BH3062">
        <v>75</v>
      </c>
      <c r="BI3062">
        <v>11</v>
      </c>
      <c r="BJ3062">
        <v>21</v>
      </c>
      <c r="BK3062">
        <v>4</v>
      </c>
      <c r="BP3062" s="184"/>
    </row>
    <row r="3063" spans="1:68">
      <c r="A3063">
        <v>37407798</v>
      </c>
      <c r="B3063">
        <v>37407798</v>
      </c>
      <c r="C3063" t="s">
        <v>7018</v>
      </c>
      <c r="E3063" s="184"/>
      <c r="G3063" s="184"/>
      <c r="I3063" s="184"/>
      <c r="J3063" t="s">
        <v>595</v>
      </c>
      <c r="K3063" s="184">
        <v>43748</v>
      </c>
      <c r="O3063" s="184"/>
      <c r="P3063" t="s">
        <v>7686</v>
      </c>
      <c r="Q3063" t="s">
        <v>7262</v>
      </c>
      <c r="R3063" s="184">
        <v>21155</v>
      </c>
      <c r="S3063">
        <v>66</v>
      </c>
      <c r="U3063" t="s">
        <v>7130</v>
      </c>
      <c r="V3063" t="s">
        <v>2648</v>
      </c>
      <c r="X3063" t="s">
        <v>5835</v>
      </c>
      <c r="Z3063">
        <v>100107221</v>
      </c>
      <c r="AA3063" t="s">
        <v>7031</v>
      </c>
      <c r="AB3063" t="s">
        <v>2635</v>
      </c>
      <c r="AD3063" t="s">
        <v>5835</v>
      </c>
      <c r="AF3063" t="s">
        <v>24458</v>
      </c>
      <c r="AG3063" t="s">
        <v>24459</v>
      </c>
      <c r="AI3063" t="s">
        <v>24460</v>
      </c>
      <c r="AM3063" t="s">
        <v>5836</v>
      </c>
      <c r="AN3063" t="s">
        <v>65</v>
      </c>
      <c r="AO3063" t="s">
        <v>24461</v>
      </c>
      <c r="AP3063" t="s">
        <v>7024</v>
      </c>
      <c r="AQ3063" t="s">
        <v>24462</v>
      </c>
      <c r="AT3063" s="184">
        <v>38351</v>
      </c>
      <c r="AU3063" t="s">
        <v>24463</v>
      </c>
      <c r="AV3063">
        <v>15</v>
      </c>
      <c r="AW3063" s="184">
        <v>45376</v>
      </c>
      <c r="AX3063" t="s">
        <v>24464</v>
      </c>
      <c r="AY3063">
        <v>3000</v>
      </c>
      <c r="AZ3063" s="184">
        <v>43553</v>
      </c>
      <c r="BA3063" t="s">
        <v>7204</v>
      </c>
      <c r="BB3063">
        <v>5000</v>
      </c>
      <c r="BC3063">
        <v>100</v>
      </c>
      <c r="BD3063">
        <v>29372</v>
      </c>
      <c r="BE3063">
        <v>2005</v>
      </c>
      <c r="BF3063">
        <v>77</v>
      </c>
      <c r="BG3063">
        <v>5</v>
      </c>
      <c r="BH3063">
        <v>8050</v>
      </c>
      <c r="BI3063">
        <v>21</v>
      </c>
      <c r="BJ3063">
        <v>21</v>
      </c>
      <c r="BK3063">
        <v>21</v>
      </c>
      <c r="BP3063" s="184"/>
    </row>
    <row r="3064" spans="1:68">
      <c r="A3064">
        <v>100107221</v>
      </c>
      <c r="B3064">
        <v>37407798</v>
      </c>
      <c r="C3064" t="s">
        <v>7018</v>
      </c>
      <c r="E3064" s="184"/>
      <c r="G3064" s="184"/>
      <c r="I3064" s="184"/>
      <c r="J3064" t="s">
        <v>595</v>
      </c>
      <c r="K3064" s="184">
        <v>43748</v>
      </c>
      <c r="O3064" s="184"/>
      <c r="P3064" t="s">
        <v>7686</v>
      </c>
      <c r="Q3064" t="s">
        <v>7262</v>
      </c>
      <c r="R3064" s="184">
        <v>21155</v>
      </c>
      <c r="S3064">
        <v>66</v>
      </c>
      <c r="U3064" t="s">
        <v>7031</v>
      </c>
      <c r="V3064" t="s">
        <v>2635</v>
      </c>
      <c r="X3064" t="s">
        <v>5835</v>
      </c>
      <c r="Z3064">
        <v>37407798</v>
      </c>
      <c r="AA3064" t="s">
        <v>7130</v>
      </c>
      <c r="AB3064" t="s">
        <v>2648</v>
      </c>
      <c r="AD3064" t="s">
        <v>5835</v>
      </c>
      <c r="AF3064" t="s">
        <v>24458</v>
      </c>
      <c r="AG3064" t="s">
        <v>24459</v>
      </c>
      <c r="AI3064" t="s">
        <v>24460</v>
      </c>
      <c r="AM3064" t="s">
        <v>5836</v>
      </c>
      <c r="AN3064" t="s">
        <v>65</v>
      </c>
      <c r="AO3064" t="s">
        <v>24461</v>
      </c>
      <c r="AP3064" t="s">
        <v>7024</v>
      </c>
      <c r="AQ3064" t="s">
        <v>24465</v>
      </c>
      <c r="AT3064" s="184"/>
      <c r="AW3064" s="184"/>
      <c r="AZ3064" s="184"/>
      <c r="BP3064" s="184"/>
    </row>
    <row r="3065" spans="1:68">
      <c r="A3065">
        <v>37412327</v>
      </c>
      <c r="B3065">
        <v>37412327</v>
      </c>
      <c r="C3065" t="s">
        <v>7018</v>
      </c>
      <c r="E3065" s="184"/>
      <c r="F3065" t="s">
        <v>595</v>
      </c>
      <c r="G3065" s="184">
        <v>45246</v>
      </c>
      <c r="I3065" s="184"/>
      <c r="K3065" s="184"/>
      <c r="O3065" s="184"/>
      <c r="P3065" t="s">
        <v>7045</v>
      </c>
      <c r="Q3065" t="s">
        <v>7020</v>
      </c>
      <c r="R3065" s="184">
        <v>24157</v>
      </c>
      <c r="S3065">
        <v>58</v>
      </c>
      <c r="U3065" t="s">
        <v>7237</v>
      </c>
      <c r="V3065" t="s">
        <v>3768</v>
      </c>
      <c r="X3065" t="s">
        <v>24466</v>
      </c>
      <c r="AF3065" t="s">
        <v>24467</v>
      </c>
      <c r="AG3065" t="s">
        <v>3768</v>
      </c>
      <c r="AI3065" t="s">
        <v>24468</v>
      </c>
      <c r="AM3065" t="s">
        <v>24469</v>
      </c>
      <c r="AN3065" t="s">
        <v>2112</v>
      </c>
      <c r="AO3065" t="s">
        <v>24470</v>
      </c>
      <c r="AP3065" t="s">
        <v>7024</v>
      </c>
      <c r="AQ3065" t="s">
        <v>24471</v>
      </c>
      <c r="AT3065" s="184">
        <v>38349</v>
      </c>
      <c r="AU3065" t="s">
        <v>24472</v>
      </c>
      <c r="AV3065">
        <v>25</v>
      </c>
      <c r="AW3065" s="184">
        <v>45309</v>
      </c>
      <c r="AX3065" t="s">
        <v>14629</v>
      </c>
      <c r="AY3065">
        <v>35</v>
      </c>
      <c r="AZ3065" s="184">
        <v>39426</v>
      </c>
      <c r="BA3065" t="s">
        <v>24473</v>
      </c>
      <c r="BB3065">
        <v>100</v>
      </c>
      <c r="BC3065">
        <v>72</v>
      </c>
      <c r="BD3065">
        <v>800</v>
      </c>
      <c r="BE3065">
        <v>2005</v>
      </c>
      <c r="BF3065">
        <v>25</v>
      </c>
      <c r="BG3065">
        <v>1</v>
      </c>
      <c r="BH3065">
        <v>35</v>
      </c>
      <c r="BI3065">
        <v>15</v>
      </c>
      <c r="BJ3065">
        <v>21</v>
      </c>
      <c r="BK3065">
        <v>5</v>
      </c>
      <c r="BP3065" s="184"/>
    </row>
    <row r="3066" spans="1:68">
      <c r="A3066">
        <v>37418936</v>
      </c>
      <c r="B3066">
        <v>37418936</v>
      </c>
      <c r="C3066" t="s">
        <v>7018</v>
      </c>
      <c r="E3066" s="184"/>
      <c r="F3066" t="s">
        <v>595</v>
      </c>
      <c r="G3066" s="184">
        <v>43731</v>
      </c>
      <c r="I3066" s="184"/>
      <c r="K3066" s="184"/>
      <c r="M3066" s="184"/>
      <c r="O3066" s="184"/>
      <c r="P3066" t="s">
        <v>7045</v>
      </c>
      <c r="Q3066" t="s">
        <v>7020</v>
      </c>
      <c r="R3066" s="184">
        <v>21518</v>
      </c>
      <c r="S3066">
        <v>65</v>
      </c>
      <c r="V3066" t="s">
        <v>4022</v>
      </c>
      <c r="X3066" t="s">
        <v>4023</v>
      </c>
      <c r="AF3066" t="s">
        <v>24474</v>
      </c>
      <c r="AG3066" t="s">
        <v>4022</v>
      </c>
      <c r="AI3066" t="s">
        <v>24475</v>
      </c>
      <c r="AM3066" t="s">
        <v>24476</v>
      </c>
      <c r="AN3066" t="s">
        <v>2465</v>
      </c>
      <c r="AO3066" t="s">
        <v>24477</v>
      </c>
      <c r="AP3066" t="s">
        <v>7024</v>
      </c>
      <c r="AT3066" s="184">
        <v>38355</v>
      </c>
      <c r="AU3066" t="s">
        <v>24478</v>
      </c>
      <c r="AV3066">
        <v>25</v>
      </c>
      <c r="AW3066" s="184">
        <v>45349</v>
      </c>
      <c r="AX3066" t="s">
        <v>20233</v>
      </c>
      <c r="AY3066">
        <v>100</v>
      </c>
      <c r="AZ3066" s="184">
        <v>45349</v>
      </c>
      <c r="BA3066" t="s">
        <v>20233</v>
      </c>
      <c r="BB3066">
        <v>100</v>
      </c>
      <c r="BC3066">
        <v>80</v>
      </c>
      <c r="BD3066">
        <v>895</v>
      </c>
      <c r="BE3066">
        <v>2005</v>
      </c>
      <c r="BF3066">
        <v>26</v>
      </c>
      <c r="BG3066">
        <v>5</v>
      </c>
      <c r="BH3066">
        <v>315</v>
      </c>
      <c r="BI3066">
        <v>16</v>
      </c>
      <c r="BJ3066">
        <v>20</v>
      </c>
      <c r="BK3066">
        <v>12</v>
      </c>
      <c r="BP3066" s="184"/>
    </row>
    <row r="3067" spans="1:68">
      <c r="A3067">
        <v>37431475</v>
      </c>
      <c r="B3067">
        <v>37431475</v>
      </c>
      <c r="C3067" t="s">
        <v>7018</v>
      </c>
      <c r="E3067" s="184"/>
      <c r="G3067" s="184"/>
      <c r="I3067" s="184"/>
      <c r="J3067" t="s">
        <v>595</v>
      </c>
      <c r="K3067" s="184">
        <v>42522</v>
      </c>
      <c r="M3067" s="184"/>
      <c r="P3067" t="s">
        <v>7019</v>
      </c>
      <c r="Q3067" t="s">
        <v>7383</v>
      </c>
      <c r="R3067" s="184">
        <v>17564</v>
      </c>
      <c r="S3067">
        <v>76</v>
      </c>
      <c r="V3067" t="s">
        <v>4720</v>
      </c>
      <c r="X3067" t="s">
        <v>24479</v>
      </c>
      <c r="Z3067">
        <v>100107423</v>
      </c>
      <c r="AB3067" t="s">
        <v>3246</v>
      </c>
      <c r="AD3067" t="s">
        <v>24479</v>
      </c>
      <c r="AF3067" t="s">
        <v>6654</v>
      </c>
      <c r="AG3067" t="s">
        <v>24480</v>
      </c>
      <c r="AI3067" t="s">
        <v>24481</v>
      </c>
      <c r="AM3067" t="s">
        <v>24482</v>
      </c>
      <c r="AN3067" t="s">
        <v>2162</v>
      </c>
      <c r="AO3067" t="s">
        <v>24483</v>
      </c>
      <c r="AP3067" t="s">
        <v>7024</v>
      </c>
      <c r="AQ3067" t="s">
        <v>24484</v>
      </c>
      <c r="AR3067" t="s">
        <v>24485</v>
      </c>
      <c r="AT3067" s="184">
        <v>38369</v>
      </c>
      <c r="AU3067" t="s">
        <v>24486</v>
      </c>
      <c r="AV3067">
        <v>25</v>
      </c>
      <c r="AW3067" s="184">
        <v>44616</v>
      </c>
      <c r="AX3067" t="s">
        <v>11039</v>
      </c>
      <c r="AY3067">
        <v>60</v>
      </c>
      <c r="AZ3067" s="184">
        <v>44616</v>
      </c>
      <c r="BA3067" t="s">
        <v>11039</v>
      </c>
      <c r="BB3067">
        <v>60</v>
      </c>
      <c r="BC3067">
        <v>45</v>
      </c>
      <c r="BD3067">
        <v>335</v>
      </c>
      <c r="BE3067">
        <v>2005</v>
      </c>
      <c r="BF3067">
        <v>10</v>
      </c>
      <c r="BI3067">
        <v>9</v>
      </c>
      <c r="BJ3067">
        <v>20</v>
      </c>
      <c r="BK3067">
        <v>3</v>
      </c>
      <c r="BP3067" s="184"/>
    </row>
    <row r="3068" spans="1:68">
      <c r="A3068">
        <v>100107423</v>
      </c>
      <c r="B3068">
        <v>37431475</v>
      </c>
      <c r="C3068" t="s">
        <v>7018</v>
      </c>
      <c r="E3068" s="184"/>
      <c r="G3068" s="184"/>
      <c r="I3068" s="184"/>
      <c r="J3068" t="s">
        <v>595</v>
      </c>
      <c r="K3068" s="184">
        <v>42522</v>
      </c>
      <c r="M3068" s="184"/>
      <c r="O3068" s="184"/>
      <c r="P3068" t="s">
        <v>7019</v>
      </c>
      <c r="Q3068" t="s">
        <v>7383</v>
      </c>
      <c r="R3068" s="184">
        <v>14855</v>
      </c>
      <c r="S3068">
        <v>83</v>
      </c>
      <c r="V3068" t="s">
        <v>3246</v>
      </c>
      <c r="X3068" t="s">
        <v>24479</v>
      </c>
      <c r="Z3068">
        <v>37431475</v>
      </c>
      <c r="AB3068" t="s">
        <v>4720</v>
      </c>
      <c r="AD3068" t="s">
        <v>24479</v>
      </c>
      <c r="AF3068" t="s">
        <v>6654</v>
      </c>
      <c r="AG3068" t="s">
        <v>24480</v>
      </c>
      <c r="AI3068" t="s">
        <v>24481</v>
      </c>
      <c r="AM3068" t="s">
        <v>24482</v>
      </c>
      <c r="AN3068" t="s">
        <v>2162</v>
      </c>
      <c r="AO3068" t="s">
        <v>24483</v>
      </c>
      <c r="AP3068" t="s">
        <v>7024</v>
      </c>
      <c r="AQ3068" t="s">
        <v>24487</v>
      </c>
      <c r="AT3068" s="184"/>
      <c r="AW3068" s="184"/>
      <c r="AZ3068" s="184"/>
      <c r="BP3068" s="184"/>
    </row>
    <row r="3069" spans="1:68">
      <c r="A3069">
        <v>37433612</v>
      </c>
      <c r="B3069">
        <v>37433612</v>
      </c>
      <c r="C3069" t="s">
        <v>7018</v>
      </c>
      <c r="E3069" s="184"/>
      <c r="F3069" t="s">
        <v>595</v>
      </c>
      <c r="G3069" s="184">
        <v>43640</v>
      </c>
      <c r="K3069" s="184"/>
      <c r="O3069" s="184"/>
      <c r="P3069" t="s">
        <v>7045</v>
      </c>
      <c r="Q3069" t="s">
        <v>7383</v>
      </c>
      <c r="R3069" s="184">
        <v>15036</v>
      </c>
      <c r="S3069">
        <v>83</v>
      </c>
      <c r="V3069" t="s">
        <v>3028</v>
      </c>
      <c r="X3069" t="s">
        <v>3029</v>
      </c>
      <c r="AF3069" t="s">
        <v>24488</v>
      </c>
      <c r="AG3069" t="s">
        <v>3028</v>
      </c>
      <c r="AI3069" t="s">
        <v>24489</v>
      </c>
      <c r="AM3069" t="s">
        <v>3030</v>
      </c>
      <c r="AN3069" t="s">
        <v>2072</v>
      </c>
      <c r="AO3069" t="s">
        <v>24490</v>
      </c>
      <c r="AP3069" t="s">
        <v>7024</v>
      </c>
      <c r="AQ3069" t="s">
        <v>24491</v>
      </c>
      <c r="AR3069" t="s">
        <v>24492</v>
      </c>
      <c r="AT3069" s="184">
        <v>38369</v>
      </c>
      <c r="AU3069" t="s">
        <v>24063</v>
      </c>
      <c r="AV3069">
        <v>25</v>
      </c>
      <c r="AW3069" s="184">
        <v>45040</v>
      </c>
      <c r="AX3069" t="s">
        <v>12594</v>
      </c>
      <c r="AY3069">
        <v>100</v>
      </c>
      <c r="AZ3069" s="184">
        <v>44469</v>
      </c>
      <c r="BA3069" t="s">
        <v>24493</v>
      </c>
      <c r="BB3069">
        <v>115</v>
      </c>
      <c r="BC3069">
        <v>90</v>
      </c>
      <c r="BD3069">
        <v>1915</v>
      </c>
      <c r="BE3069">
        <v>2005</v>
      </c>
      <c r="BF3069">
        <v>45</v>
      </c>
      <c r="BG3069">
        <v>2</v>
      </c>
      <c r="BH3069">
        <v>200</v>
      </c>
      <c r="BI3069">
        <v>18</v>
      </c>
      <c r="BJ3069">
        <v>20</v>
      </c>
      <c r="BK3069">
        <v>15</v>
      </c>
      <c r="BP3069" s="184"/>
    </row>
    <row r="3070" spans="1:68">
      <c r="A3070">
        <v>37438306</v>
      </c>
      <c r="B3070">
        <v>37438306</v>
      </c>
      <c r="C3070" t="s">
        <v>7018</v>
      </c>
      <c r="D3070" t="s">
        <v>595</v>
      </c>
      <c r="E3070" s="184">
        <v>45243</v>
      </c>
      <c r="G3070" s="184"/>
      <c r="I3070" s="184"/>
      <c r="J3070" t="s">
        <v>595</v>
      </c>
      <c r="K3070" s="184">
        <v>45246</v>
      </c>
      <c r="O3070" s="184"/>
      <c r="P3070" t="s">
        <v>7084</v>
      </c>
      <c r="Q3070" t="s">
        <v>7494</v>
      </c>
      <c r="R3070" s="184">
        <v>17472</v>
      </c>
      <c r="S3070">
        <v>76</v>
      </c>
      <c r="U3070" t="s">
        <v>7130</v>
      </c>
      <c r="V3070" t="s">
        <v>3230</v>
      </c>
      <c r="W3070" t="s">
        <v>7695</v>
      </c>
      <c r="X3070" t="s">
        <v>24494</v>
      </c>
      <c r="Z3070">
        <v>100182737</v>
      </c>
      <c r="AA3070" t="s">
        <v>7031</v>
      </c>
      <c r="AB3070" t="s">
        <v>24495</v>
      </c>
      <c r="AC3070" t="s">
        <v>7396</v>
      </c>
      <c r="AD3070" t="s">
        <v>24494</v>
      </c>
      <c r="AF3070" t="s">
        <v>24496</v>
      </c>
      <c r="AG3070" t="s">
        <v>3230</v>
      </c>
      <c r="AI3070" t="s">
        <v>24497</v>
      </c>
      <c r="AM3070" t="s">
        <v>23675</v>
      </c>
      <c r="AN3070" t="s">
        <v>2174</v>
      </c>
      <c r="AO3070" t="s">
        <v>24498</v>
      </c>
      <c r="AP3070" t="s">
        <v>7024</v>
      </c>
      <c r="AQ3070" t="s">
        <v>24499</v>
      </c>
      <c r="AR3070" t="s">
        <v>24500</v>
      </c>
      <c r="AT3070" s="184">
        <v>38370</v>
      </c>
      <c r="AU3070" t="s">
        <v>24325</v>
      </c>
      <c r="AV3070">
        <v>50</v>
      </c>
      <c r="AW3070" s="184">
        <v>45271</v>
      </c>
      <c r="AX3070" t="s">
        <v>24501</v>
      </c>
      <c r="AY3070">
        <v>10000</v>
      </c>
      <c r="AZ3070" s="184">
        <v>45271</v>
      </c>
      <c r="BA3070" t="s">
        <v>24501</v>
      </c>
      <c r="BB3070">
        <v>10000</v>
      </c>
      <c r="BC3070">
        <v>95</v>
      </c>
      <c r="BD3070">
        <v>82450</v>
      </c>
      <c r="BE3070">
        <v>2005</v>
      </c>
      <c r="BF3070">
        <v>25</v>
      </c>
      <c r="BG3070">
        <v>2</v>
      </c>
      <c r="BH3070">
        <v>20000</v>
      </c>
      <c r="BI3070">
        <v>19</v>
      </c>
      <c r="BJ3070">
        <v>20</v>
      </c>
      <c r="BK3070">
        <v>19</v>
      </c>
      <c r="BP3070" s="184"/>
    </row>
    <row r="3071" spans="1:68">
      <c r="A3071">
        <v>100182737</v>
      </c>
      <c r="B3071">
        <v>37438306</v>
      </c>
      <c r="C3071" t="s">
        <v>7018</v>
      </c>
      <c r="D3071" t="s">
        <v>595</v>
      </c>
      <c r="E3071" s="184">
        <v>45243</v>
      </c>
      <c r="G3071" s="184"/>
      <c r="I3071" s="184"/>
      <c r="J3071" t="s">
        <v>595</v>
      </c>
      <c r="K3071" s="184">
        <v>45246</v>
      </c>
      <c r="M3071" s="184"/>
      <c r="O3071" s="184"/>
      <c r="P3071" t="s">
        <v>7084</v>
      </c>
      <c r="Q3071" t="s">
        <v>7494</v>
      </c>
      <c r="R3071" s="184"/>
      <c r="U3071" t="s">
        <v>7031</v>
      </c>
      <c r="V3071" t="s">
        <v>24495</v>
      </c>
      <c r="W3071" t="s">
        <v>7396</v>
      </c>
      <c r="X3071" t="s">
        <v>24494</v>
      </c>
      <c r="Z3071">
        <v>37438306</v>
      </c>
      <c r="AA3071" t="s">
        <v>7130</v>
      </c>
      <c r="AB3071" t="s">
        <v>3230</v>
      </c>
      <c r="AC3071" t="s">
        <v>7695</v>
      </c>
      <c r="AD3071" t="s">
        <v>24494</v>
      </c>
      <c r="AF3071" t="s">
        <v>24496</v>
      </c>
      <c r="AG3071" t="s">
        <v>3230</v>
      </c>
      <c r="AI3071" t="s">
        <v>24497</v>
      </c>
      <c r="AM3071" t="s">
        <v>23675</v>
      </c>
      <c r="AN3071" t="s">
        <v>2174</v>
      </c>
      <c r="AO3071" t="s">
        <v>24498</v>
      </c>
      <c r="AP3071" t="s">
        <v>7024</v>
      </c>
      <c r="AT3071" s="184"/>
      <c r="AW3071" s="184"/>
      <c r="AZ3071" s="184"/>
      <c r="BO3071" t="s">
        <v>595</v>
      </c>
      <c r="BP3071" s="184">
        <v>42797</v>
      </c>
    </row>
    <row r="3072" spans="1:68">
      <c r="A3072">
        <v>37441086</v>
      </c>
      <c r="B3072">
        <v>37441086</v>
      </c>
      <c r="C3072" t="s">
        <v>7018</v>
      </c>
      <c r="D3072" t="s">
        <v>595</v>
      </c>
      <c r="E3072" s="184">
        <v>43773</v>
      </c>
      <c r="G3072" s="184"/>
      <c r="I3072" s="184"/>
      <c r="K3072" s="184"/>
      <c r="M3072" s="184"/>
      <c r="O3072" s="184"/>
      <c r="P3072" t="s">
        <v>7045</v>
      </c>
      <c r="Q3072" t="s">
        <v>7374</v>
      </c>
      <c r="R3072" s="184">
        <v>19268</v>
      </c>
      <c r="S3072">
        <v>71</v>
      </c>
      <c r="U3072" t="s">
        <v>7031</v>
      </c>
      <c r="V3072" t="s">
        <v>3311</v>
      </c>
      <c r="X3072" t="s">
        <v>4271</v>
      </c>
      <c r="AF3072" t="s">
        <v>24502</v>
      </c>
      <c r="AG3072" t="s">
        <v>3311</v>
      </c>
      <c r="AI3072" t="s">
        <v>24503</v>
      </c>
      <c r="AM3072" t="s">
        <v>4272</v>
      </c>
      <c r="AN3072" t="s">
        <v>2081</v>
      </c>
      <c r="AO3072" t="s">
        <v>24504</v>
      </c>
      <c r="AP3072" t="s">
        <v>7024</v>
      </c>
      <c r="AQ3072" t="s">
        <v>24505</v>
      </c>
      <c r="AR3072" t="s">
        <v>24506</v>
      </c>
      <c r="AT3072" s="184">
        <v>38371</v>
      </c>
      <c r="AU3072" t="s">
        <v>24507</v>
      </c>
      <c r="AV3072">
        <v>25</v>
      </c>
      <c r="AW3072" s="184">
        <v>45219</v>
      </c>
      <c r="AX3072" t="s">
        <v>8133</v>
      </c>
      <c r="AY3072">
        <v>35</v>
      </c>
      <c r="AZ3072" s="184">
        <v>42752</v>
      </c>
      <c r="BA3072" t="s">
        <v>24508</v>
      </c>
      <c r="BB3072">
        <v>87</v>
      </c>
      <c r="BC3072">
        <v>75</v>
      </c>
      <c r="BD3072">
        <v>917</v>
      </c>
      <c r="BE3072">
        <v>2005</v>
      </c>
      <c r="BF3072">
        <v>28</v>
      </c>
      <c r="BG3072">
        <v>4</v>
      </c>
      <c r="BH3072">
        <v>155</v>
      </c>
      <c r="BI3072">
        <v>15</v>
      </c>
      <c r="BJ3072">
        <v>20</v>
      </c>
      <c r="BK3072">
        <v>11</v>
      </c>
      <c r="BP3072" s="184"/>
    </row>
    <row r="3073" spans="1:68">
      <c r="A3073">
        <v>37447786</v>
      </c>
      <c r="B3073">
        <v>37447786</v>
      </c>
      <c r="C3073" t="s">
        <v>7018</v>
      </c>
      <c r="E3073" s="184"/>
      <c r="G3073" s="184"/>
      <c r="I3073" s="184"/>
      <c r="J3073" t="s">
        <v>595</v>
      </c>
      <c r="K3073" s="184">
        <v>43864</v>
      </c>
      <c r="M3073" s="184"/>
      <c r="O3073" s="184"/>
      <c r="P3073" t="s">
        <v>7045</v>
      </c>
      <c r="Q3073" t="s">
        <v>7262</v>
      </c>
      <c r="R3073" s="184">
        <v>19906</v>
      </c>
      <c r="S3073">
        <v>69</v>
      </c>
      <c r="U3073" t="s">
        <v>7076</v>
      </c>
      <c r="V3073" t="s">
        <v>3302</v>
      </c>
      <c r="W3073" t="s">
        <v>3830</v>
      </c>
      <c r="X3073" t="s">
        <v>4662</v>
      </c>
      <c r="AF3073" t="s">
        <v>6445</v>
      </c>
      <c r="AG3073" t="s">
        <v>3302</v>
      </c>
      <c r="AI3073" t="s">
        <v>24509</v>
      </c>
      <c r="AM3073" t="s">
        <v>4657</v>
      </c>
      <c r="AN3073" t="s">
        <v>2069</v>
      </c>
      <c r="AO3073" t="s">
        <v>24510</v>
      </c>
      <c r="AP3073" t="s">
        <v>7024</v>
      </c>
      <c r="AT3073" s="184">
        <v>38373</v>
      </c>
      <c r="AU3073" t="s">
        <v>24511</v>
      </c>
      <c r="AV3073">
        <v>25</v>
      </c>
      <c r="AW3073" s="184">
        <v>45398</v>
      </c>
      <c r="AX3073" t="s">
        <v>24512</v>
      </c>
      <c r="AY3073">
        <v>75</v>
      </c>
      <c r="AZ3073" s="184">
        <v>42815</v>
      </c>
      <c r="BA3073" t="s">
        <v>24513</v>
      </c>
      <c r="BB3073">
        <v>100</v>
      </c>
      <c r="BC3073">
        <v>85</v>
      </c>
      <c r="BD3073">
        <v>1235</v>
      </c>
      <c r="BE3073">
        <v>2005</v>
      </c>
      <c r="BF3073">
        <v>26</v>
      </c>
      <c r="BG3073">
        <v>3</v>
      </c>
      <c r="BH3073">
        <v>200</v>
      </c>
      <c r="BI3073">
        <v>17</v>
      </c>
      <c r="BJ3073">
        <v>20</v>
      </c>
      <c r="BK3073">
        <v>10</v>
      </c>
      <c r="BP3073" s="184"/>
    </row>
    <row r="3074" spans="1:68">
      <c r="A3074">
        <v>37448206</v>
      </c>
      <c r="B3074">
        <v>37448206</v>
      </c>
      <c r="C3074" t="s">
        <v>7018</v>
      </c>
      <c r="D3074" t="s">
        <v>595</v>
      </c>
      <c r="E3074" s="184">
        <v>45154</v>
      </c>
      <c r="G3074" s="184"/>
      <c r="I3074" s="184"/>
      <c r="K3074" s="184"/>
      <c r="M3074" s="184"/>
      <c r="O3074" s="184"/>
      <c r="P3074" t="s">
        <v>7045</v>
      </c>
      <c r="Q3074" t="s">
        <v>7383</v>
      </c>
      <c r="R3074" s="184">
        <v>19541</v>
      </c>
      <c r="S3074">
        <v>70</v>
      </c>
      <c r="V3074" t="s">
        <v>4613</v>
      </c>
      <c r="X3074" t="s">
        <v>24514</v>
      </c>
      <c r="Z3074">
        <v>100107503</v>
      </c>
      <c r="AB3074" t="s">
        <v>2586</v>
      </c>
      <c r="AD3074" t="s">
        <v>24514</v>
      </c>
      <c r="AF3074" t="s">
        <v>24515</v>
      </c>
      <c r="AG3074" t="s">
        <v>24516</v>
      </c>
      <c r="AI3074" t="s">
        <v>24517</v>
      </c>
      <c r="AM3074" t="s">
        <v>5118</v>
      </c>
      <c r="AN3074" t="s">
        <v>2064</v>
      </c>
      <c r="AO3074" t="s">
        <v>24518</v>
      </c>
      <c r="AP3074" t="s">
        <v>7024</v>
      </c>
      <c r="AQ3074" t="s">
        <v>24519</v>
      </c>
      <c r="AT3074" s="184">
        <v>38373</v>
      </c>
      <c r="AU3074" t="s">
        <v>24520</v>
      </c>
      <c r="AV3074">
        <v>25</v>
      </c>
      <c r="AW3074" s="184">
        <v>45274</v>
      </c>
      <c r="AX3074" t="s">
        <v>14030</v>
      </c>
      <c r="AY3074">
        <v>50</v>
      </c>
      <c r="AZ3074" s="184">
        <v>43244</v>
      </c>
      <c r="BA3074" t="s">
        <v>24521</v>
      </c>
      <c r="BB3074">
        <v>200</v>
      </c>
      <c r="BC3074">
        <v>25</v>
      </c>
      <c r="BD3074">
        <v>425</v>
      </c>
      <c r="BE3074">
        <v>2005</v>
      </c>
      <c r="BF3074">
        <v>6</v>
      </c>
      <c r="BG3074">
        <v>1</v>
      </c>
      <c r="BH3074">
        <v>50</v>
      </c>
      <c r="BI3074">
        <v>5</v>
      </c>
      <c r="BJ3074">
        <v>20</v>
      </c>
      <c r="BK3074">
        <v>2</v>
      </c>
      <c r="BP3074" s="184"/>
    </row>
    <row r="3075" spans="1:68">
      <c r="A3075">
        <v>100107503</v>
      </c>
      <c r="B3075">
        <v>37448206</v>
      </c>
      <c r="C3075" t="s">
        <v>7018</v>
      </c>
      <c r="D3075" t="s">
        <v>595</v>
      </c>
      <c r="E3075" s="184">
        <v>45154</v>
      </c>
      <c r="G3075" s="184"/>
      <c r="I3075" s="184"/>
      <c r="K3075" s="184"/>
      <c r="M3075" s="184"/>
      <c r="O3075" s="184"/>
      <c r="P3075" t="s">
        <v>7045</v>
      </c>
      <c r="Q3075" t="s">
        <v>7383</v>
      </c>
      <c r="R3075" s="184">
        <v>18841</v>
      </c>
      <c r="S3075">
        <v>72</v>
      </c>
      <c r="V3075" t="s">
        <v>2586</v>
      </c>
      <c r="X3075" t="s">
        <v>24514</v>
      </c>
      <c r="Z3075">
        <v>37448206</v>
      </c>
      <c r="AB3075" t="s">
        <v>4613</v>
      </c>
      <c r="AD3075" t="s">
        <v>24514</v>
      </c>
      <c r="AF3075" t="s">
        <v>24515</v>
      </c>
      <c r="AG3075" t="s">
        <v>24516</v>
      </c>
      <c r="AI3075" t="s">
        <v>24517</v>
      </c>
      <c r="AM3075" t="s">
        <v>5118</v>
      </c>
      <c r="AN3075" t="s">
        <v>2064</v>
      </c>
      <c r="AO3075" t="s">
        <v>24518</v>
      </c>
      <c r="AP3075" t="s">
        <v>7024</v>
      </c>
      <c r="AQ3075" t="s">
        <v>24519</v>
      </c>
      <c r="AT3075" s="184"/>
      <c r="AW3075" s="184"/>
      <c r="AZ3075" s="184"/>
      <c r="BP3075" s="184"/>
    </row>
    <row r="3076" spans="1:68">
      <c r="A3076">
        <v>37469442</v>
      </c>
      <c r="B3076">
        <v>37469442</v>
      </c>
      <c r="C3076" t="s">
        <v>7018</v>
      </c>
      <c r="E3076" s="184"/>
      <c r="G3076" s="184"/>
      <c r="I3076" s="184"/>
      <c r="K3076" s="184"/>
      <c r="M3076" s="184"/>
      <c r="N3076" t="s">
        <v>595</v>
      </c>
      <c r="O3076" s="184">
        <v>39960</v>
      </c>
      <c r="P3076" t="s">
        <v>7045</v>
      </c>
      <c r="Q3076" t="s">
        <v>7383</v>
      </c>
      <c r="R3076" s="184"/>
      <c r="U3076" t="s">
        <v>7031</v>
      </c>
      <c r="V3076" t="s">
        <v>3373</v>
      </c>
      <c r="W3076" t="s">
        <v>7248</v>
      </c>
      <c r="X3076" t="s">
        <v>24522</v>
      </c>
      <c r="AF3076" t="s">
        <v>5989</v>
      </c>
      <c r="AG3076" t="s">
        <v>24523</v>
      </c>
      <c r="AI3076" t="s">
        <v>24524</v>
      </c>
      <c r="AM3076" t="s">
        <v>3121</v>
      </c>
      <c r="AN3076" t="s">
        <v>2144</v>
      </c>
      <c r="AO3076" t="s">
        <v>24525</v>
      </c>
      <c r="AP3076" t="s">
        <v>7024</v>
      </c>
      <c r="AT3076" s="184">
        <v>38380</v>
      </c>
      <c r="AU3076" t="s">
        <v>24526</v>
      </c>
      <c r="AV3076">
        <v>25</v>
      </c>
      <c r="AW3076" s="184">
        <v>41866</v>
      </c>
      <c r="AX3076" t="s">
        <v>24527</v>
      </c>
      <c r="AY3076">
        <v>100</v>
      </c>
      <c r="AZ3076" s="184">
        <v>39960</v>
      </c>
      <c r="BA3076" t="s">
        <v>8186</v>
      </c>
      <c r="BB3076">
        <v>10000</v>
      </c>
      <c r="BC3076">
        <v>50</v>
      </c>
      <c r="BD3076">
        <v>11850</v>
      </c>
      <c r="BE3076">
        <v>2005</v>
      </c>
      <c r="BF3076">
        <v>34</v>
      </c>
      <c r="BI3076">
        <v>10</v>
      </c>
      <c r="BJ3076">
        <v>20</v>
      </c>
      <c r="BK3076">
        <v>10</v>
      </c>
      <c r="BM3076" t="s">
        <v>595</v>
      </c>
      <c r="BO3076" t="s">
        <v>595</v>
      </c>
      <c r="BP3076" s="184">
        <v>42380</v>
      </c>
    </row>
    <row r="3077" spans="1:68">
      <c r="A3077">
        <v>37475043</v>
      </c>
      <c r="B3077">
        <v>37475043</v>
      </c>
      <c r="C3077" t="s">
        <v>7018</v>
      </c>
      <c r="D3077" t="s">
        <v>595</v>
      </c>
      <c r="E3077" s="184">
        <v>45152</v>
      </c>
      <c r="G3077" s="184"/>
      <c r="I3077" s="184"/>
      <c r="K3077" s="184"/>
      <c r="M3077" s="184"/>
      <c r="O3077" s="184"/>
      <c r="P3077" t="s">
        <v>7029</v>
      </c>
      <c r="Q3077" t="s">
        <v>7494</v>
      </c>
      <c r="R3077" s="184">
        <v>23874</v>
      </c>
      <c r="S3077">
        <v>59</v>
      </c>
      <c r="V3077" t="s">
        <v>7067</v>
      </c>
      <c r="X3077" t="s">
        <v>24528</v>
      </c>
      <c r="AF3077" t="s">
        <v>24529</v>
      </c>
      <c r="AG3077" t="s">
        <v>5990</v>
      </c>
      <c r="AI3077" t="s">
        <v>24530</v>
      </c>
      <c r="AM3077" t="s">
        <v>2730</v>
      </c>
      <c r="AN3077" t="s">
        <v>2174</v>
      </c>
      <c r="AO3077" t="s">
        <v>24531</v>
      </c>
      <c r="AP3077" t="s">
        <v>7024</v>
      </c>
      <c r="AT3077" s="184">
        <v>38383</v>
      </c>
      <c r="AU3077" t="s">
        <v>24532</v>
      </c>
      <c r="AV3077">
        <v>60.14</v>
      </c>
      <c r="AW3077" s="184">
        <v>44790</v>
      </c>
      <c r="AX3077" t="s">
        <v>10435</v>
      </c>
      <c r="AY3077">
        <v>396.55</v>
      </c>
      <c r="AZ3077" s="184">
        <v>44790</v>
      </c>
      <c r="BA3077" t="s">
        <v>10435</v>
      </c>
      <c r="BB3077">
        <v>396.55</v>
      </c>
      <c r="BC3077">
        <v>55</v>
      </c>
      <c r="BD3077">
        <v>4114.72</v>
      </c>
      <c r="BE3077">
        <v>2005</v>
      </c>
      <c r="BF3077">
        <v>26</v>
      </c>
      <c r="BG3077">
        <v>1</v>
      </c>
      <c r="BH3077">
        <v>396.55</v>
      </c>
      <c r="BI3077">
        <v>11</v>
      </c>
      <c r="BJ3077">
        <v>20</v>
      </c>
      <c r="BK3077">
        <v>7</v>
      </c>
      <c r="BP3077" s="184"/>
    </row>
    <row r="3078" spans="1:68">
      <c r="A3078">
        <v>37481728</v>
      </c>
      <c r="B3078">
        <v>37481728</v>
      </c>
      <c r="C3078" t="s">
        <v>7018</v>
      </c>
      <c r="E3078" s="184"/>
      <c r="G3078" s="184"/>
      <c r="I3078" s="184"/>
      <c r="J3078" t="s">
        <v>595</v>
      </c>
      <c r="K3078" s="184">
        <v>43801</v>
      </c>
      <c r="M3078" s="184"/>
      <c r="O3078" s="184"/>
      <c r="P3078" t="s">
        <v>7045</v>
      </c>
      <c r="Q3078" t="s">
        <v>7374</v>
      </c>
      <c r="R3078" s="184">
        <v>11360</v>
      </c>
      <c r="S3078">
        <v>93</v>
      </c>
      <c r="V3078" t="s">
        <v>3658</v>
      </c>
      <c r="X3078" t="s">
        <v>4308</v>
      </c>
      <c r="AF3078" t="s">
        <v>6589</v>
      </c>
      <c r="AG3078" t="s">
        <v>3658</v>
      </c>
      <c r="AI3078" t="s">
        <v>24533</v>
      </c>
      <c r="AM3078" t="s">
        <v>4309</v>
      </c>
      <c r="AN3078" t="s">
        <v>2081</v>
      </c>
      <c r="AO3078" t="s">
        <v>24534</v>
      </c>
      <c r="AP3078" t="s">
        <v>7024</v>
      </c>
      <c r="AT3078" s="184">
        <v>38385</v>
      </c>
      <c r="AU3078" t="s">
        <v>24535</v>
      </c>
      <c r="AV3078">
        <v>15</v>
      </c>
      <c r="AW3078" s="184">
        <v>43714</v>
      </c>
      <c r="AX3078" t="s">
        <v>24536</v>
      </c>
      <c r="AY3078">
        <v>15</v>
      </c>
      <c r="AZ3078" s="184">
        <v>38722</v>
      </c>
      <c r="BA3078" t="s">
        <v>24537</v>
      </c>
      <c r="BB3078">
        <v>60</v>
      </c>
      <c r="BC3078">
        <v>60</v>
      </c>
      <c r="BD3078">
        <v>520</v>
      </c>
      <c r="BE3078">
        <v>2005</v>
      </c>
      <c r="BF3078">
        <v>28</v>
      </c>
      <c r="BI3078">
        <v>12</v>
      </c>
      <c r="BJ3078">
        <v>20</v>
      </c>
      <c r="BK3078">
        <v>9</v>
      </c>
    </row>
    <row r="3079" spans="1:68">
      <c r="A3079">
        <v>37487220</v>
      </c>
      <c r="B3079">
        <v>37487220</v>
      </c>
      <c r="C3079" t="s">
        <v>7018</v>
      </c>
      <c r="D3079" t="s">
        <v>595</v>
      </c>
      <c r="E3079" s="184">
        <v>45117</v>
      </c>
      <c r="G3079" s="184"/>
      <c r="I3079" s="184"/>
      <c r="K3079" s="184"/>
      <c r="M3079" s="184"/>
      <c r="O3079" s="184"/>
      <c r="P3079" t="s">
        <v>7045</v>
      </c>
      <c r="Q3079" t="s">
        <v>7160</v>
      </c>
      <c r="R3079" s="184">
        <v>13971</v>
      </c>
      <c r="S3079">
        <v>86</v>
      </c>
      <c r="V3079" t="s">
        <v>3825</v>
      </c>
      <c r="X3079" t="s">
        <v>4983</v>
      </c>
      <c r="Z3079">
        <v>100107725</v>
      </c>
      <c r="AB3079" t="s">
        <v>5670</v>
      </c>
      <c r="AD3079" t="s">
        <v>4983</v>
      </c>
      <c r="AF3079" t="s">
        <v>24538</v>
      </c>
      <c r="AG3079" t="s">
        <v>24539</v>
      </c>
      <c r="AI3079" t="s">
        <v>24540</v>
      </c>
      <c r="AM3079" t="s">
        <v>5014</v>
      </c>
      <c r="AN3079" t="s">
        <v>2413</v>
      </c>
      <c r="AO3079" t="s">
        <v>24541</v>
      </c>
      <c r="AP3079" t="s">
        <v>7024</v>
      </c>
      <c r="AT3079" s="184">
        <v>38387</v>
      </c>
      <c r="AU3079" t="s">
        <v>24542</v>
      </c>
      <c r="AV3079">
        <v>25</v>
      </c>
      <c r="AW3079" s="184">
        <v>44273</v>
      </c>
      <c r="AX3079" t="s">
        <v>24543</v>
      </c>
      <c r="AY3079">
        <v>50</v>
      </c>
      <c r="AZ3079" s="184">
        <v>41549</v>
      </c>
      <c r="BA3079" t="s">
        <v>24544</v>
      </c>
      <c r="BB3079">
        <v>100</v>
      </c>
      <c r="BC3079">
        <v>50</v>
      </c>
      <c r="BD3079">
        <v>525</v>
      </c>
      <c r="BE3079">
        <v>2005</v>
      </c>
      <c r="BF3079">
        <v>15</v>
      </c>
      <c r="BI3079">
        <v>10</v>
      </c>
      <c r="BJ3079">
        <v>20</v>
      </c>
      <c r="BK3079">
        <v>6</v>
      </c>
      <c r="BP3079" s="184"/>
    </row>
    <row r="3080" spans="1:68">
      <c r="A3080">
        <v>100107725</v>
      </c>
      <c r="B3080">
        <v>37487220</v>
      </c>
      <c r="C3080" t="s">
        <v>7018</v>
      </c>
      <c r="D3080" t="s">
        <v>595</v>
      </c>
      <c r="E3080" s="184">
        <v>45117</v>
      </c>
      <c r="G3080" s="184"/>
      <c r="I3080" s="184"/>
      <c r="K3080" s="184"/>
      <c r="M3080" s="184"/>
      <c r="O3080" s="184"/>
      <c r="P3080" t="s">
        <v>7045</v>
      </c>
      <c r="Q3080" t="s">
        <v>7160</v>
      </c>
      <c r="R3080" s="184">
        <v>13881</v>
      </c>
      <c r="S3080">
        <v>86</v>
      </c>
      <c r="V3080" t="s">
        <v>5670</v>
      </c>
      <c r="X3080" t="s">
        <v>4983</v>
      </c>
      <c r="Z3080">
        <v>37487220</v>
      </c>
      <c r="AB3080" t="s">
        <v>3825</v>
      </c>
      <c r="AD3080" t="s">
        <v>4983</v>
      </c>
      <c r="AF3080" t="s">
        <v>24538</v>
      </c>
      <c r="AG3080" t="s">
        <v>24539</v>
      </c>
      <c r="AI3080" t="s">
        <v>24540</v>
      </c>
      <c r="AM3080" t="s">
        <v>5014</v>
      </c>
      <c r="AN3080" t="s">
        <v>2413</v>
      </c>
      <c r="AO3080" t="s">
        <v>24541</v>
      </c>
      <c r="AP3080" t="s">
        <v>7024</v>
      </c>
      <c r="AT3080" s="184"/>
      <c r="AW3080" s="184"/>
      <c r="AZ3080" s="184"/>
      <c r="BP3080" s="184"/>
    </row>
    <row r="3081" spans="1:68">
      <c r="A3081">
        <v>37489580</v>
      </c>
      <c r="B3081">
        <v>37489580</v>
      </c>
      <c r="C3081" t="s">
        <v>7018</v>
      </c>
      <c r="D3081" t="s">
        <v>595</v>
      </c>
      <c r="E3081" s="184">
        <v>43640</v>
      </c>
      <c r="G3081" s="184"/>
      <c r="I3081" s="184"/>
      <c r="K3081" s="184"/>
      <c r="M3081" s="184"/>
      <c r="O3081" s="184"/>
      <c r="P3081" t="s">
        <v>7045</v>
      </c>
      <c r="Q3081" t="s">
        <v>7030</v>
      </c>
      <c r="R3081" s="184">
        <v>18749</v>
      </c>
      <c r="S3081">
        <v>73</v>
      </c>
      <c r="U3081" t="s">
        <v>7076</v>
      </c>
      <c r="V3081" t="s">
        <v>3008</v>
      </c>
      <c r="W3081" t="s">
        <v>4523</v>
      </c>
      <c r="X3081" t="s">
        <v>3009</v>
      </c>
      <c r="AF3081" t="s">
        <v>24545</v>
      </c>
      <c r="AG3081" t="s">
        <v>3008</v>
      </c>
      <c r="AI3081" t="s">
        <v>24546</v>
      </c>
      <c r="AM3081" t="s">
        <v>3010</v>
      </c>
      <c r="AN3081" t="s">
        <v>2094</v>
      </c>
      <c r="AO3081" t="s">
        <v>24547</v>
      </c>
      <c r="AP3081" t="s">
        <v>7024</v>
      </c>
      <c r="AQ3081" t="s">
        <v>24548</v>
      </c>
      <c r="AR3081" t="s">
        <v>24549</v>
      </c>
      <c r="AT3081" s="184">
        <v>38391</v>
      </c>
      <c r="AU3081" t="s">
        <v>24550</v>
      </c>
      <c r="AV3081">
        <v>25</v>
      </c>
      <c r="AW3081" s="184">
        <v>44498</v>
      </c>
      <c r="AX3081" t="s">
        <v>24551</v>
      </c>
      <c r="AY3081">
        <v>50</v>
      </c>
      <c r="AZ3081" s="184">
        <v>42535</v>
      </c>
      <c r="BA3081" t="s">
        <v>24552</v>
      </c>
      <c r="BB3081">
        <v>100</v>
      </c>
      <c r="BC3081">
        <v>40</v>
      </c>
      <c r="BD3081">
        <v>554.97</v>
      </c>
      <c r="BE3081">
        <v>2005</v>
      </c>
      <c r="BF3081">
        <v>11</v>
      </c>
      <c r="BI3081">
        <v>8</v>
      </c>
      <c r="BJ3081">
        <v>20</v>
      </c>
      <c r="BK3081">
        <v>2</v>
      </c>
      <c r="BN3081" t="s">
        <v>595</v>
      </c>
      <c r="BP3081" s="184"/>
    </row>
    <row r="3082" spans="1:68">
      <c r="A3082">
        <v>37491180</v>
      </c>
      <c r="B3082">
        <v>37491180</v>
      </c>
      <c r="C3082" t="s">
        <v>7018</v>
      </c>
      <c r="D3082" t="s">
        <v>595</v>
      </c>
      <c r="E3082" s="184">
        <v>45125</v>
      </c>
      <c r="G3082" s="184"/>
      <c r="I3082" s="184"/>
      <c r="K3082" s="184"/>
      <c r="M3082" s="184"/>
      <c r="O3082" s="184"/>
      <c r="P3082" t="s">
        <v>7045</v>
      </c>
      <c r="Q3082" t="s">
        <v>7494</v>
      </c>
      <c r="R3082" s="184">
        <v>15373</v>
      </c>
      <c r="S3082">
        <v>82</v>
      </c>
      <c r="V3082" t="s">
        <v>2733</v>
      </c>
      <c r="X3082" t="s">
        <v>4361</v>
      </c>
      <c r="Z3082">
        <v>100107751</v>
      </c>
      <c r="AB3082" t="s">
        <v>24553</v>
      </c>
      <c r="AD3082" t="s">
        <v>4361</v>
      </c>
      <c r="AF3082" t="s">
        <v>24554</v>
      </c>
      <c r="AG3082" t="s">
        <v>24555</v>
      </c>
      <c r="AI3082" t="s">
        <v>24556</v>
      </c>
      <c r="AM3082" t="s">
        <v>3763</v>
      </c>
      <c r="AN3082" t="s">
        <v>2484</v>
      </c>
      <c r="AO3082" t="s">
        <v>24557</v>
      </c>
      <c r="AP3082" t="s">
        <v>7024</v>
      </c>
      <c r="AQ3082" t="s">
        <v>24558</v>
      </c>
      <c r="AT3082" s="184">
        <v>38390</v>
      </c>
      <c r="AU3082" t="s">
        <v>24559</v>
      </c>
      <c r="AV3082">
        <v>15</v>
      </c>
      <c r="AW3082" s="184">
        <v>44950</v>
      </c>
      <c r="AX3082" t="s">
        <v>24560</v>
      </c>
      <c r="AY3082">
        <v>25</v>
      </c>
      <c r="AZ3082" s="184">
        <v>44950</v>
      </c>
      <c r="BA3082" t="s">
        <v>24560</v>
      </c>
      <c r="BB3082">
        <v>25</v>
      </c>
      <c r="BC3082">
        <v>30</v>
      </c>
      <c r="BD3082">
        <v>140</v>
      </c>
      <c r="BE3082">
        <v>2005</v>
      </c>
      <c r="BF3082">
        <v>6</v>
      </c>
      <c r="BG3082">
        <v>1</v>
      </c>
      <c r="BH3082">
        <v>25</v>
      </c>
      <c r="BI3082">
        <v>6</v>
      </c>
      <c r="BJ3082">
        <v>20</v>
      </c>
      <c r="BK3082">
        <v>2</v>
      </c>
      <c r="BP3082" s="184"/>
    </row>
    <row r="3083" spans="1:68">
      <c r="A3083">
        <v>100107751</v>
      </c>
      <c r="B3083">
        <v>37491180</v>
      </c>
      <c r="C3083" t="s">
        <v>7018</v>
      </c>
      <c r="D3083" t="s">
        <v>595</v>
      </c>
      <c r="E3083" s="184">
        <v>45125</v>
      </c>
      <c r="G3083" s="184"/>
      <c r="I3083" s="184"/>
      <c r="K3083" s="184"/>
      <c r="M3083" s="184"/>
      <c r="O3083" s="184"/>
      <c r="P3083" t="s">
        <v>7045</v>
      </c>
      <c r="Q3083" t="s">
        <v>7494</v>
      </c>
      <c r="R3083" s="184">
        <v>27546</v>
      </c>
      <c r="S3083">
        <v>48</v>
      </c>
      <c r="V3083" t="s">
        <v>24553</v>
      </c>
      <c r="X3083" t="s">
        <v>4361</v>
      </c>
      <c r="Z3083">
        <v>37491180</v>
      </c>
      <c r="AB3083" t="s">
        <v>2733</v>
      </c>
      <c r="AD3083" t="s">
        <v>4361</v>
      </c>
      <c r="AF3083" t="s">
        <v>24554</v>
      </c>
      <c r="AG3083" t="s">
        <v>24555</v>
      </c>
      <c r="AI3083" t="s">
        <v>24556</v>
      </c>
      <c r="AM3083" t="s">
        <v>3763</v>
      </c>
      <c r="AN3083" t="s">
        <v>2484</v>
      </c>
      <c r="AO3083" t="s">
        <v>24557</v>
      </c>
      <c r="AP3083" t="s">
        <v>7024</v>
      </c>
      <c r="AT3083" s="184"/>
      <c r="AW3083" s="184"/>
      <c r="AZ3083" s="184"/>
      <c r="BP3083" s="184"/>
    </row>
    <row r="3084" spans="1:68">
      <c r="A3084">
        <v>37509643</v>
      </c>
      <c r="B3084">
        <v>37509643</v>
      </c>
      <c r="C3084" t="s">
        <v>7018</v>
      </c>
      <c r="E3084" s="184"/>
      <c r="G3084" s="184"/>
      <c r="I3084" s="184"/>
      <c r="J3084" t="s">
        <v>595</v>
      </c>
      <c r="K3084" s="184">
        <v>41400</v>
      </c>
      <c r="M3084" s="184"/>
      <c r="O3084" s="184"/>
      <c r="P3084" t="s">
        <v>7045</v>
      </c>
      <c r="Q3084" t="s">
        <v>7374</v>
      </c>
      <c r="R3084" s="184">
        <v>17349</v>
      </c>
      <c r="S3084">
        <v>76</v>
      </c>
      <c r="U3084" t="s">
        <v>7076</v>
      </c>
      <c r="V3084" t="s">
        <v>3317</v>
      </c>
      <c r="X3084" t="s">
        <v>24561</v>
      </c>
      <c r="AF3084" t="s">
        <v>6571</v>
      </c>
      <c r="AG3084" t="s">
        <v>3317</v>
      </c>
      <c r="AI3084" t="s">
        <v>24562</v>
      </c>
      <c r="AM3084" t="s">
        <v>12958</v>
      </c>
      <c r="AN3084" t="s">
        <v>2081</v>
      </c>
      <c r="AO3084" t="s">
        <v>24563</v>
      </c>
      <c r="AP3084" t="s">
        <v>7024</v>
      </c>
      <c r="AQ3084" t="s">
        <v>24564</v>
      </c>
      <c r="AT3084" s="184">
        <v>38399</v>
      </c>
      <c r="AU3084" t="s">
        <v>24565</v>
      </c>
      <c r="AV3084">
        <v>25</v>
      </c>
      <c r="AW3084" s="184">
        <v>45099</v>
      </c>
      <c r="AX3084" t="s">
        <v>24566</v>
      </c>
      <c r="AY3084">
        <v>40</v>
      </c>
      <c r="AZ3084" s="184">
        <v>44099</v>
      </c>
      <c r="BA3084" t="s">
        <v>24567</v>
      </c>
      <c r="BB3084">
        <v>60</v>
      </c>
      <c r="BC3084">
        <v>90</v>
      </c>
      <c r="BD3084">
        <v>760</v>
      </c>
      <c r="BE3084">
        <v>2005</v>
      </c>
      <c r="BF3084">
        <v>26</v>
      </c>
      <c r="BG3084">
        <v>2</v>
      </c>
      <c r="BH3084">
        <v>80</v>
      </c>
      <c r="BI3084">
        <v>18</v>
      </c>
      <c r="BJ3084">
        <v>20</v>
      </c>
      <c r="BK3084">
        <v>16</v>
      </c>
      <c r="BN3084" t="s">
        <v>595</v>
      </c>
      <c r="BP3084" s="184"/>
    </row>
    <row r="3085" spans="1:68">
      <c r="A3085">
        <v>37514445</v>
      </c>
      <c r="B3085">
        <v>37514445</v>
      </c>
      <c r="C3085" t="s">
        <v>7018</v>
      </c>
      <c r="D3085" t="s">
        <v>595</v>
      </c>
      <c r="E3085" s="184">
        <v>45124</v>
      </c>
      <c r="G3085" s="184"/>
      <c r="I3085" s="184"/>
      <c r="K3085" s="184"/>
      <c r="M3085" s="184"/>
      <c r="O3085" s="184"/>
      <c r="P3085" t="s">
        <v>7045</v>
      </c>
      <c r="Q3085" t="s">
        <v>7383</v>
      </c>
      <c r="R3085" s="184">
        <v>14732</v>
      </c>
      <c r="S3085">
        <v>84</v>
      </c>
      <c r="U3085" t="s">
        <v>7130</v>
      </c>
      <c r="V3085" t="s">
        <v>24568</v>
      </c>
      <c r="W3085" t="s">
        <v>3522</v>
      </c>
      <c r="X3085" t="s">
        <v>24569</v>
      </c>
      <c r="Z3085">
        <v>100107836</v>
      </c>
      <c r="AB3085" t="s">
        <v>3732</v>
      </c>
      <c r="AD3085" t="s">
        <v>24569</v>
      </c>
      <c r="AF3085" t="s">
        <v>24570</v>
      </c>
      <c r="AG3085" t="s">
        <v>24571</v>
      </c>
      <c r="AI3085" t="s">
        <v>24572</v>
      </c>
      <c r="AM3085" t="s">
        <v>3082</v>
      </c>
      <c r="AN3085" t="s">
        <v>2313</v>
      </c>
      <c r="AO3085" t="s">
        <v>24573</v>
      </c>
      <c r="AP3085" t="s">
        <v>7024</v>
      </c>
      <c r="AQ3085" t="s">
        <v>24574</v>
      </c>
      <c r="AR3085" t="s">
        <v>24575</v>
      </c>
      <c r="AT3085" s="184">
        <v>38400</v>
      </c>
      <c r="AU3085" t="s">
        <v>24576</v>
      </c>
      <c r="AV3085">
        <v>15</v>
      </c>
      <c r="AW3085" s="184">
        <v>44949</v>
      </c>
      <c r="AX3085" t="s">
        <v>24577</v>
      </c>
      <c r="AY3085">
        <v>25</v>
      </c>
      <c r="AZ3085" s="184">
        <v>44949</v>
      </c>
      <c r="BA3085" t="s">
        <v>24577</v>
      </c>
      <c r="BB3085">
        <v>25</v>
      </c>
      <c r="BC3085">
        <v>35</v>
      </c>
      <c r="BD3085">
        <v>145</v>
      </c>
      <c r="BE3085">
        <v>2005</v>
      </c>
      <c r="BF3085">
        <v>7</v>
      </c>
      <c r="BG3085">
        <v>1</v>
      </c>
      <c r="BH3085">
        <v>25</v>
      </c>
      <c r="BI3085">
        <v>7</v>
      </c>
      <c r="BJ3085">
        <v>20</v>
      </c>
      <c r="BK3085">
        <v>2</v>
      </c>
      <c r="BP3085" s="184"/>
    </row>
    <row r="3086" spans="1:68">
      <c r="A3086">
        <v>100107836</v>
      </c>
      <c r="B3086">
        <v>37514445</v>
      </c>
      <c r="C3086" t="s">
        <v>7018</v>
      </c>
      <c r="D3086" t="s">
        <v>595</v>
      </c>
      <c r="E3086" s="184">
        <v>45124</v>
      </c>
      <c r="G3086" s="184"/>
      <c r="I3086" s="184"/>
      <c r="K3086" s="184"/>
      <c r="M3086" s="184"/>
      <c r="O3086" s="184"/>
      <c r="P3086" t="s">
        <v>7045</v>
      </c>
      <c r="Q3086" t="s">
        <v>7383</v>
      </c>
      <c r="R3086" s="184">
        <v>13756</v>
      </c>
      <c r="S3086">
        <v>86</v>
      </c>
      <c r="V3086" t="s">
        <v>3732</v>
      </c>
      <c r="X3086" t="s">
        <v>24569</v>
      </c>
      <c r="Z3086">
        <v>37514445</v>
      </c>
      <c r="AA3086" t="s">
        <v>7130</v>
      </c>
      <c r="AB3086" t="s">
        <v>24568</v>
      </c>
      <c r="AC3086" t="s">
        <v>3522</v>
      </c>
      <c r="AD3086" t="s">
        <v>24569</v>
      </c>
      <c r="AF3086" t="s">
        <v>24570</v>
      </c>
      <c r="AG3086" t="s">
        <v>24571</v>
      </c>
      <c r="AI3086" t="s">
        <v>24572</v>
      </c>
      <c r="AM3086" t="s">
        <v>3082</v>
      </c>
      <c r="AN3086" t="s">
        <v>2313</v>
      </c>
      <c r="AO3086" t="s">
        <v>24573</v>
      </c>
      <c r="AP3086" t="s">
        <v>7024</v>
      </c>
      <c r="AT3086" s="184"/>
      <c r="AW3086" s="184"/>
      <c r="AZ3086" s="184"/>
      <c r="BP3086" s="184"/>
    </row>
    <row r="3087" spans="1:68">
      <c r="A3087">
        <v>37519790</v>
      </c>
      <c r="B3087">
        <v>37519790</v>
      </c>
      <c r="C3087" t="s">
        <v>7018</v>
      </c>
      <c r="E3087" s="184"/>
      <c r="G3087" s="184"/>
      <c r="I3087" s="184"/>
      <c r="J3087" t="s">
        <v>595</v>
      </c>
      <c r="K3087" s="184">
        <v>39400</v>
      </c>
      <c r="M3087" s="184"/>
      <c r="O3087" s="184"/>
      <c r="P3087" t="s">
        <v>7045</v>
      </c>
      <c r="Q3087" t="s">
        <v>7020</v>
      </c>
      <c r="R3087" s="184">
        <v>21916</v>
      </c>
      <c r="S3087">
        <v>64</v>
      </c>
      <c r="V3087" t="s">
        <v>24578</v>
      </c>
      <c r="X3087" t="s">
        <v>24579</v>
      </c>
      <c r="AF3087" t="s">
        <v>6672</v>
      </c>
      <c r="AG3087" t="s">
        <v>24578</v>
      </c>
      <c r="AI3087" t="s">
        <v>24580</v>
      </c>
      <c r="AM3087" t="s">
        <v>9014</v>
      </c>
      <c r="AN3087" t="s">
        <v>2255</v>
      </c>
      <c r="AO3087" t="s">
        <v>24581</v>
      </c>
      <c r="AP3087" t="s">
        <v>7024</v>
      </c>
      <c r="AQ3087" t="s">
        <v>24582</v>
      </c>
      <c r="AT3087" s="184">
        <v>38401</v>
      </c>
      <c r="AU3087" t="s">
        <v>24583</v>
      </c>
      <c r="AV3087">
        <v>15</v>
      </c>
      <c r="AW3087" s="184">
        <v>45234</v>
      </c>
      <c r="AX3087" t="s">
        <v>17296</v>
      </c>
      <c r="AY3087">
        <v>15.75</v>
      </c>
      <c r="AZ3087" s="184">
        <v>41120</v>
      </c>
      <c r="BA3087" t="s">
        <v>10565</v>
      </c>
      <c r="BB3087">
        <v>60</v>
      </c>
      <c r="BC3087">
        <v>50</v>
      </c>
      <c r="BD3087">
        <v>210.75</v>
      </c>
      <c r="BE3087">
        <v>2005</v>
      </c>
      <c r="BF3087">
        <v>13</v>
      </c>
      <c r="BG3087">
        <v>1</v>
      </c>
      <c r="BH3087">
        <v>15.75</v>
      </c>
      <c r="BI3087">
        <v>10</v>
      </c>
      <c r="BJ3087">
        <v>20</v>
      </c>
      <c r="BK3087">
        <v>8</v>
      </c>
      <c r="BM3087" t="s">
        <v>595</v>
      </c>
      <c r="BP3087" s="184"/>
    </row>
    <row r="3088" spans="1:68">
      <c r="A3088">
        <v>37528429</v>
      </c>
      <c r="B3088">
        <v>37528429</v>
      </c>
      <c r="C3088" t="s">
        <v>7018</v>
      </c>
      <c r="D3088" t="s">
        <v>595</v>
      </c>
      <c r="E3088" s="184">
        <v>44073</v>
      </c>
      <c r="G3088" s="184"/>
      <c r="H3088" t="s">
        <v>595</v>
      </c>
      <c r="I3088" s="184">
        <v>44073</v>
      </c>
      <c r="K3088" s="184"/>
      <c r="M3088" s="184"/>
      <c r="O3088" s="184"/>
      <c r="P3088" t="s">
        <v>7045</v>
      </c>
      <c r="Q3088" t="s">
        <v>7383</v>
      </c>
      <c r="R3088" s="184">
        <v>20210</v>
      </c>
      <c r="S3088">
        <v>69</v>
      </c>
      <c r="U3088" t="s">
        <v>7031</v>
      </c>
      <c r="V3088" t="s">
        <v>2511</v>
      </c>
      <c r="W3088" t="s">
        <v>7246</v>
      </c>
      <c r="X3088" t="s">
        <v>4940</v>
      </c>
      <c r="AF3088" t="s">
        <v>24584</v>
      </c>
      <c r="AG3088" t="s">
        <v>2511</v>
      </c>
      <c r="AI3088" t="s">
        <v>24585</v>
      </c>
      <c r="AM3088" t="s">
        <v>3121</v>
      </c>
      <c r="AN3088" t="s">
        <v>2144</v>
      </c>
      <c r="AO3088" t="s">
        <v>24586</v>
      </c>
      <c r="AP3088" t="s">
        <v>7024</v>
      </c>
      <c r="AQ3088" t="s">
        <v>24587</v>
      </c>
      <c r="AT3088" s="184">
        <v>38404</v>
      </c>
      <c r="AU3088" t="s">
        <v>24588</v>
      </c>
      <c r="AV3088">
        <v>25</v>
      </c>
      <c r="AW3088" s="184">
        <v>45405</v>
      </c>
      <c r="AX3088" t="s">
        <v>7429</v>
      </c>
      <c r="AY3088">
        <v>25</v>
      </c>
      <c r="AZ3088" s="184">
        <v>40228</v>
      </c>
      <c r="BA3088" t="s">
        <v>24589</v>
      </c>
      <c r="BB3088">
        <v>60</v>
      </c>
      <c r="BC3088">
        <v>100</v>
      </c>
      <c r="BD3088">
        <v>4025</v>
      </c>
      <c r="BE3088">
        <v>2005</v>
      </c>
      <c r="BF3088">
        <v>165</v>
      </c>
      <c r="BG3088">
        <v>25</v>
      </c>
      <c r="BH3088">
        <v>625</v>
      </c>
      <c r="BI3088">
        <v>20</v>
      </c>
      <c r="BJ3088">
        <v>20</v>
      </c>
      <c r="BK3088">
        <v>20</v>
      </c>
      <c r="BP3088" s="184"/>
    </row>
    <row r="3089" spans="1:68">
      <c r="A3089">
        <v>37534856</v>
      </c>
      <c r="B3089">
        <v>37534856</v>
      </c>
      <c r="C3089" t="s">
        <v>7018</v>
      </c>
      <c r="E3089" s="184"/>
      <c r="G3089" s="184"/>
      <c r="I3089" s="184"/>
      <c r="J3089" t="s">
        <v>595</v>
      </c>
      <c r="K3089" s="184">
        <v>41597</v>
      </c>
      <c r="M3089" s="184"/>
      <c r="O3089" s="184"/>
      <c r="P3089" t="s">
        <v>7045</v>
      </c>
      <c r="Q3089" t="s">
        <v>7262</v>
      </c>
      <c r="R3089" s="184">
        <v>9832</v>
      </c>
      <c r="S3089">
        <v>97</v>
      </c>
      <c r="U3089" t="s">
        <v>7130</v>
      </c>
      <c r="V3089" t="s">
        <v>24590</v>
      </c>
      <c r="W3089" t="s">
        <v>3830</v>
      </c>
      <c r="X3089" t="s">
        <v>24591</v>
      </c>
      <c r="AF3089" t="s">
        <v>6112</v>
      </c>
      <c r="AG3089" t="s">
        <v>24590</v>
      </c>
      <c r="AI3089" t="s">
        <v>24592</v>
      </c>
      <c r="AM3089" t="s">
        <v>4814</v>
      </c>
      <c r="AN3089" t="s">
        <v>2106</v>
      </c>
      <c r="AO3089" t="s">
        <v>24593</v>
      </c>
      <c r="AP3089" t="s">
        <v>7024</v>
      </c>
      <c r="AT3089" s="184">
        <v>38405</v>
      </c>
      <c r="AU3089" t="s">
        <v>24594</v>
      </c>
      <c r="AV3089">
        <v>100</v>
      </c>
      <c r="AW3089" s="184">
        <v>45197</v>
      </c>
      <c r="AX3089" t="s">
        <v>24595</v>
      </c>
      <c r="AY3089">
        <v>100</v>
      </c>
      <c r="AZ3089" s="184">
        <v>43705</v>
      </c>
      <c r="BA3089" t="s">
        <v>24596</v>
      </c>
      <c r="BB3089">
        <v>200</v>
      </c>
      <c r="BC3089">
        <v>95</v>
      </c>
      <c r="BD3089">
        <v>6025</v>
      </c>
      <c r="BE3089">
        <v>2005</v>
      </c>
      <c r="BF3089">
        <v>65</v>
      </c>
      <c r="BG3089">
        <v>2</v>
      </c>
      <c r="BH3089">
        <v>200</v>
      </c>
      <c r="BI3089">
        <v>19</v>
      </c>
      <c r="BJ3089">
        <v>20</v>
      </c>
      <c r="BK3089">
        <v>19</v>
      </c>
      <c r="BP3089" s="184"/>
    </row>
    <row r="3090" spans="1:68">
      <c r="A3090">
        <v>37547536</v>
      </c>
      <c r="B3090">
        <v>37547536</v>
      </c>
      <c r="C3090" t="s">
        <v>7018</v>
      </c>
      <c r="E3090" s="184"/>
      <c r="F3090" t="s">
        <v>595</v>
      </c>
      <c r="G3090" s="184">
        <v>43745</v>
      </c>
      <c r="I3090" s="184"/>
      <c r="K3090" s="184"/>
      <c r="M3090" s="184"/>
      <c r="O3090" s="184"/>
      <c r="P3090" t="s">
        <v>7045</v>
      </c>
      <c r="Q3090" t="s">
        <v>7454</v>
      </c>
      <c r="R3090" s="184">
        <v>18445</v>
      </c>
      <c r="S3090">
        <v>73</v>
      </c>
      <c r="U3090" t="s">
        <v>7130</v>
      </c>
      <c r="V3090" t="s">
        <v>4080</v>
      </c>
      <c r="W3090" t="s">
        <v>7085</v>
      </c>
      <c r="X3090" t="s">
        <v>4081</v>
      </c>
      <c r="AF3090" t="s">
        <v>24597</v>
      </c>
      <c r="AG3090" t="s">
        <v>4080</v>
      </c>
      <c r="AI3090" t="s">
        <v>24598</v>
      </c>
      <c r="AM3090" t="s">
        <v>4082</v>
      </c>
      <c r="AN3090" t="s">
        <v>2055</v>
      </c>
      <c r="AO3090" t="s">
        <v>24599</v>
      </c>
      <c r="AP3090" t="s">
        <v>7024</v>
      </c>
      <c r="AT3090" s="184">
        <v>38408</v>
      </c>
      <c r="AU3090" t="s">
        <v>24600</v>
      </c>
      <c r="AV3090">
        <v>25</v>
      </c>
      <c r="AW3090" s="184">
        <v>45218</v>
      </c>
      <c r="AX3090" t="s">
        <v>24601</v>
      </c>
      <c r="AY3090">
        <v>135</v>
      </c>
      <c r="AZ3090" s="184">
        <v>45218</v>
      </c>
      <c r="BA3090" t="s">
        <v>24601</v>
      </c>
      <c r="BB3090">
        <v>135</v>
      </c>
      <c r="BC3090">
        <v>70</v>
      </c>
      <c r="BD3090">
        <v>1397</v>
      </c>
      <c r="BE3090">
        <v>2005</v>
      </c>
      <c r="BF3090">
        <v>20</v>
      </c>
      <c r="BG3090">
        <v>2</v>
      </c>
      <c r="BH3090">
        <v>270</v>
      </c>
      <c r="BI3090">
        <v>14</v>
      </c>
      <c r="BJ3090">
        <v>20</v>
      </c>
      <c r="BK3090">
        <v>8</v>
      </c>
      <c r="BP3090" s="184"/>
    </row>
    <row r="3091" spans="1:68">
      <c r="A3091">
        <v>37552064</v>
      </c>
      <c r="B3091">
        <v>37552064</v>
      </c>
      <c r="C3091" t="s">
        <v>7018</v>
      </c>
      <c r="D3091" t="s">
        <v>595</v>
      </c>
      <c r="E3091" s="184">
        <v>45195</v>
      </c>
      <c r="G3091" s="184"/>
      <c r="I3091" s="184"/>
      <c r="K3091" s="184"/>
      <c r="M3091" s="184"/>
      <c r="O3091" s="184"/>
      <c r="P3091" t="s">
        <v>7045</v>
      </c>
      <c r="Q3091" t="s">
        <v>7383</v>
      </c>
      <c r="R3091" s="184">
        <v>25377</v>
      </c>
      <c r="S3091">
        <v>54</v>
      </c>
      <c r="U3091" t="s">
        <v>7076</v>
      </c>
      <c r="V3091" t="s">
        <v>11458</v>
      </c>
      <c r="W3091" t="s">
        <v>4139</v>
      </c>
      <c r="X3091" t="s">
        <v>4222</v>
      </c>
      <c r="AF3091" t="s">
        <v>24602</v>
      </c>
      <c r="AG3091" t="s">
        <v>11458</v>
      </c>
      <c r="AI3091" t="s">
        <v>24603</v>
      </c>
      <c r="AM3091" t="s">
        <v>24604</v>
      </c>
      <c r="AN3091" t="s">
        <v>2144</v>
      </c>
      <c r="AO3091" t="s">
        <v>24605</v>
      </c>
      <c r="AP3091" t="s">
        <v>7024</v>
      </c>
      <c r="AQ3091" t="s">
        <v>24606</v>
      </c>
      <c r="AR3091" t="s">
        <v>24607</v>
      </c>
      <c r="AT3091" s="184">
        <v>38411</v>
      </c>
      <c r="AU3091" t="s">
        <v>24608</v>
      </c>
      <c r="AV3091">
        <v>15</v>
      </c>
      <c r="AW3091" s="184">
        <v>42094</v>
      </c>
      <c r="AX3091" t="s">
        <v>24609</v>
      </c>
      <c r="AY3091">
        <v>40</v>
      </c>
      <c r="AZ3091" s="184">
        <v>42094</v>
      </c>
      <c r="BA3091" t="s">
        <v>24609</v>
      </c>
      <c r="BB3091">
        <v>40</v>
      </c>
      <c r="BC3091">
        <v>30</v>
      </c>
      <c r="BD3091">
        <v>170</v>
      </c>
      <c r="BE3091">
        <v>2005</v>
      </c>
      <c r="BF3091">
        <v>7</v>
      </c>
      <c r="BI3091">
        <v>6</v>
      </c>
      <c r="BJ3091">
        <v>20</v>
      </c>
      <c r="BK3091">
        <v>2</v>
      </c>
      <c r="BP3091" s="184"/>
    </row>
    <row r="3092" spans="1:68">
      <c r="A3092">
        <v>37556065</v>
      </c>
      <c r="B3092">
        <v>37556065</v>
      </c>
      <c r="C3092" t="s">
        <v>7018</v>
      </c>
      <c r="D3092" t="s">
        <v>595</v>
      </c>
      <c r="E3092" s="184">
        <v>44168</v>
      </c>
      <c r="G3092" s="184"/>
      <c r="I3092" s="184"/>
      <c r="K3092" s="184"/>
      <c r="M3092" s="184"/>
      <c r="O3092" s="184"/>
      <c r="P3092" t="s">
        <v>7045</v>
      </c>
      <c r="Q3092" t="s">
        <v>7194</v>
      </c>
      <c r="R3092" s="184">
        <v>20486</v>
      </c>
      <c r="S3092">
        <v>68</v>
      </c>
      <c r="V3092" t="s">
        <v>24610</v>
      </c>
      <c r="X3092" t="s">
        <v>24611</v>
      </c>
      <c r="AF3092" t="s">
        <v>24612</v>
      </c>
      <c r="AG3092" t="s">
        <v>24610</v>
      </c>
      <c r="AI3092" t="s">
        <v>24613</v>
      </c>
      <c r="AM3092" t="s">
        <v>24614</v>
      </c>
      <c r="AN3092" t="s">
        <v>2046</v>
      </c>
      <c r="AO3092" t="s">
        <v>24615</v>
      </c>
      <c r="AP3092" t="s">
        <v>7024</v>
      </c>
      <c r="AQ3092" t="s">
        <v>24616</v>
      </c>
      <c r="AR3092" t="s">
        <v>24617</v>
      </c>
      <c r="AT3092" s="184">
        <v>38411</v>
      </c>
      <c r="AU3092" t="s">
        <v>24618</v>
      </c>
      <c r="AV3092">
        <v>25</v>
      </c>
      <c r="AW3092" s="184">
        <v>45042</v>
      </c>
      <c r="AX3092" t="s">
        <v>10223</v>
      </c>
      <c r="AY3092">
        <v>75</v>
      </c>
      <c r="AZ3092" s="184">
        <v>45042</v>
      </c>
      <c r="BA3092" t="s">
        <v>10223</v>
      </c>
      <c r="BB3092">
        <v>75</v>
      </c>
      <c r="BC3092">
        <v>45</v>
      </c>
      <c r="BD3092">
        <v>500</v>
      </c>
      <c r="BE3092">
        <v>2005</v>
      </c>
      <c r="BF3092">
        <v>13</v>
      </c>
      <c r="BG3092">
        <v>1</v>
      </c>
      <c r="BH3092">
        <v>75</v>
      </c>
      <c r="BI3092">
        <v>9</v>
      </c>
      <c r="BJ3092">
        <v>20</v>
      </c>
      <c r="BK3092">
        <v>4</v>
      </c>
      <c r="BP3092" s="184"/>
    </row>
    <row r="3093" spans="1:68">
      <c r="A3093">
        <v>37568326</v>
      </c>
      <c r="B3093">
        <v>37568326</v>
      </c>
      <c r="C3093" t="s">
        <v>7018</v>
      </c>
      <c r="E3093" s="184"/>
      <c r="G3093" s="184"/>
      <c r="I3093" s="184"/>
      <c r="K3093" s="184"/>
      <c r="M3093" s="184"/>
      <c r="N3093" t="s">
        <v>595</v>
      </c>
      <c r="O3093" s="184">
        <v>42284</v>
      </c>
      <c r="P3093" t="s">
        <v>7045</v>
      </c>
      <c r="Q3093" t="s">
        <v>7494</v>
      </c>
      <c r="R3093" s="184">
        <v>10861</v>
      </c>
      <c r="S3093">
        <v>94</v>
      </c>
      <c r="V3093" t="s">
        <v>24619</v>
      </c>
      <c r="W3093" t="s">
        <v>4139</v>
      </c>
      <c r="X3093" t="s">
        <v>24620</v>
      </c>
      <c r="Z3093">
        <v>100108069</v>
      </c>
      <c r="AB3093" t="s">
        <v>3689</v>
      </c>
      <c r="AC3093" t="s">
        <v>7246</v>
      </c>
      <c r="AD3093" t="s">
        <v>24620</v>
      </c>
      <c r="AF3093" t="s">
        <v>5996</v>
      </c>
      <c r="AG3093" t="s">
        <v>24619</v>
      </c>
      <c r="AI3093" t="s">
        <v>24621</v>
      </c>
      <c r="AM3093" t="s">
        <v>3770</v>
      </c>
      <c r="AN3093" t="s">
        <v>2174</v>
      </c>
      <c r="AO3093" t="s">
        <v>24622</v>
      </c>
      <c r="AP3093" t="s">
        <v>7024</v>
      </c>
      <c r="AQ3093" t="s">
        <v>24623</v>
      </c>
      <c r="AR3093" t="s">
        <v>24624</v>
      </c>
      <c r="AT3093" s="184">
        <v>33281</v>
      </c>
      <c r="AU3093" t="s">
        <v>24625</v>
      </c>
      <c r="AV3093">
        <v>15</v>
      </c>
      <c r="AW3093" s="184">
        <v>45097</v>
      </c>
      <c r="AX3093" t="s">
        <v>14855</v>
      </c>
      <c r="AY3093">
        <v>100</v>
      </c>
      <c r="AZ3093" s="184">
        <v>42284</v>
      </c>
      <c r="BA3093" t="s">
        <v>7100</v>
      </c>
      <c r="BB3093">
        <v>10000</v>
      </c>
      <c r="BC3093">
        <v>80</v>
      </c>
      <c r="BD3093">
        <v>11595</v>
      </c>
      <c r="BE3093">
        <v>1991</v>
      </c>
      <c r="BF3093">
        <v>47</v>
      </c>
      <c r="BG3093">
        <v>3</v>
      </c>
      <c r="BH3093">
        <v>250</v>
      </c>
      <c r="BI3093">
        <v>27</v>
      </c>
      <c r="BJ3093">
        <v>34</v>
      </c>
      <c r="BK3093">
        <v>9</v>
      </c>
      <c r="BP3093" s="184"/>
    </row>
    <row r="3094" spans="1:68">
      <c r="A3094">
        <v>100108069</v>
      </c>
      <c r="B3094">
        <v>37568326</v>
      </c>
      <c r="C3094" t="s">
        <v>7018</v>
      </c>
      <c r="E3094" s="184"/>
      <c r="G3094" s="184"/>
      <c r="I3094" s="184"/>
      <c r="K3094" s="184"/>
      <c r="M3094" s="184"/>
      <c r="N3094" t="s">
        <v>595</v>
      </c>
      <c r="O3094" s="184">
        <v>42284</v>
      </c>
      <c r="P3094" t="s">
        <v>7045</v>
      </c>
      <c r="Q3094" t="s">
        <v>7494</v>
      </c>
      <c r="R3094" s="184">
        <v>11884</v>
      </c>
      <c r="S3094">
        <v>91</v>
      </c>
      <c r="V3094" t="s">
        <v>3689</v>
      </c>
      <c r="W3094" t="s">
        <v>7246</v>
      </c>
      <c r="X3094" t="s">
        <v>24620</v>
      </c>
      <c r="Z3094">
        <v>37568326</v>
      </c>
      <c r="AB3094" t="s">
        <v>24619</v>
      </c>
      <c r="AC3094" t="s">
        <v>4139</v>
      </c>
      <c r="AD3094" t="s">
        <v>24620</v>
      </c>
      <c r="AF3094" t="s">
        <v>5996</v>
      </c>
      <c r="AG3094" t="s">
        <v>24619</v>
      </c>
      <c r="AI3094" t="s">
        <v>24621</v>
      </c>
      <c r="AM3094" t="s">
        <v>3770</v>
      </c>
      <c r="AN3094" t="s">
        <v>2174</v>
      </c>
      <c r="AO3094" t="s">
        <v>24622</v>
      </c>
      <c r="AP3094" t="s">
        <v>7024</v>
      </c>
      <c r="AQ3094" t="s">
        <v>24626</v>
      </c>
      <c r="AT3094" s="184"/>
      <c r="AW3094" s="184"/>
      <c r="AZ3094" s="184"/>
      <c r="BO3094" t="s">
        <v>595</v>
      </c>
      <c r="BP3094" s="184">
        <v>43752</v>
      </c>
    </row>
    <row r="3095" spans="1:68">
      <c r="A3095">
        <v>37569589</v>
      </c>
      <c r="B3095">
        <v>37569589</v>
      </c>
      <c r="C3095" t="s">
        <v>7018</v>
      </c>
      <c r="E3095" s="184"/>
      <c r="G3095" s="184"/>
      <c r="H3095" t="s">
        <v>595</v>
      </c>
      <c r="I3095" s="184">
        <v>44109</v>
      </c>
      <c r="K3095" s="184"/>
      <c r="M3095" s="184"/>
      <c r="O3095" s="184"/>
      <c r="P3095" t="s">
        <v>7045</v>
      </c>
      <c r="Q3095" t="s">
        <v>7020</v>
      </c>
      <c r="R3095" s="184">
        <v>19022</v>
      </c>
      <c r="S3095">
        <v>72</v>
      </c>
      <c r="V3095" t="s">
        <v>4992</v>
      </c>
      <c r="X3095" t="s">
        <v>4993</v>
      </c>
      <c r="AF3095" t="s">
        <v>24627</v>
      </c>
      <c r="AG3095" t="s">
        <v>4992</v>
      </c>
      <c r="AI3095" t="s">
        <v>24628</v>
      </c>
      <c r="AM3095" t="s">
        <v>2629</v>
      </c>
      <c r="AN3095" t="s">
        <v>2052</v>
      </c>
      <c r="AO3095" t="s">
        <v>24629</v>
      </c>
      <c r="AP3095" t="s">
        <v>7024</v>
      </c>
      <c r="AQ3095" t="s">
        <v>24630</v>
      </c>
      <c r="AT3095" s="184">
        <v>38414</v>
      </c>
      <c r="AU3095" t="s">
        <v>24618</v>
      </c>
      <c r="AV3095">
        <v>25</v>
      </c>
      <c r="AW3095" s="184">
        <v>45345</v>
      </c>
      <c r="AX3095" t="s">
        <v>8797</v>
      </c>
      <c r="AY3095">
        <v>100</v>
      </c>
      <c r="AZ3095" s="184">
        <v>45345</v>
      </c>
      <c r="BA3095" t="s">
        <v>8797</v>
      </c>
      <c r="BB3095">
        <v>100</v>
      </c>
      <c r="BC3095">
        <v>100</v>
      </c>
      <c r="BD3095">
        <v>2275</v>
      </c>
      <c r="BE3095">
        <v>2005</v>
      </c>
      <c r="BF3095">
        <v>24</v>
      </c>
      <c r="BG3095">
        <v>2</v>
      </c>
      <c r="BH3095">
        <v>200</v>
      </c>
      <c r="BI3095">
        <v>20</v>
      </c>
      <c r="BJ3095">
        <v>20</v>
      </c>
      <c r="BK3095">
        <v>20</v>
      </c>
      <c r="BN3095" t="s">
        <v>595</v>
      </c>
      <c r="BP3095" s="184"/>
    </row>
    <row r="3096" spans="1:68">
      <c r="A3096">
        <v>37578796</v>
      </c>
      <c r="B3096">
        <v>37578796</v>
      </c>
      <c r="C3096" t="s">
        <v>7018</v>
      </c>
      <c r="E3096" s="184"/>
      <c r="G3096" s="184"/>
      <c r="I3096" s="184"/>
      <c r="K3096" s="184"/>
      <c r="L3096" t="s">
        <v>595</v>
      </c>
      <c r="M3096" s="184">
        <v>44616</v>
      </c>
      <c r="O3096" s="184"/>
      <c r="P3096" t="s">
        <v>7045</v>
      </c>
      <c r="Q3096" t="s">
        <v>7383</v>
      </c>
      <c r="R3096" s="184">
        <v>19541</v>
      </c>
      <c r="S3096">
        <v>70</v>
      </c>
      <c r="V3096" t="s">
        <v>2586</v>
      </c>
      <c r="W3096" t="s">
        <v>7560</v>
      </c>
      <c r="X3096" t="s">
        <v>24631</v>
      </c>
      <c r="Z3096">
        <v>100355971</v>
      </c>
      <c r="AA3096" t="s">
        <v>7031</v>
      </c>
      <c r="AB3096" t="s">
        <v>2898</v>
      </c>
      <c r="AD3096" t="s">
        <v>24632</v>
      </c>
      <c r="AF3096" t="s">
        <v>24633</v>
      </c>
      <c r="AG3096" t="s">
        <v>24634</v>
      </c>
      <c r="AI3096" t="s">
        <v>24635</v>
      </c>
      <c r="AM3096" t="s">
        <v>24636</v>
      </c>
      <c r="AN3096" t="s">
        <v>2185</v>
      </c>
      <c r="AO3096" t="s">
        <v>24637</v>
      </c>
      <c r="AP3096" t="s">
        <v>7024</v>
      </c>
      <c r="AQ3096" t="s">
        <v>24638</v>
      </c>
      <c r="AR3096" t="s">
        <v>24639</v>
      </c>
      <c r="AT3096" s="184">
        <v>38418</v>
      </c>
      <c r="AU3096" t="s">
        <v>24640</v>
      </c>
      <c r="AV3096">
        <v>50</v>
      </c>
      <c r="AW3096" s="184">
        <v>45286</v>
      </c>
      <c r="AX3096" t="s">
        <v>24641</v>
      </c>
      <c r="AY3096">
        <v>200</v>
      </c>
      <c r="AZ3096" s="184">
        <v>45286</v>
      </c>
      <c r="BA3096" t="s">
        <v>24641</v>
      </c>
      <c r="BB3096">
        <v>200</v>
      </c>
      <c r="BC3096">
        <v>90</v>
      </c>
      <c r="BD3096">
        <v>2485</v>
      </c>
      <c r="BE3096">
        <v>2005</v>
      </c>
      <c r="BF3096">
        <v>157</v>
      </c>
      <c r="BG3096">
        <v>1</v>
      </c>
      <c r="BH3096">
        <v>200</v>
      </c>
      <c r="BI3096">
        <v>18</v>
      </c>
      <c r="BJ3096">
        <v>20</v>
      </c>
      <c r="BK3096">
        <v>16</v>
      </c>
      <c r="BP3096" s="184"/>
    </row>
    <row r="3097" spans="1:68">
      <c r="A3097">
        <v>100355971</v>
      </c>
      <c r="B3097">
        <v>37578796</v>
      </c>
      <c r="C3097" t="s">
        <v>7018</v>
      </c>
      <c r="E3097" s="184"/>
      <c r="G3097" s="184"/>
      <c r="I3097" s="184"/>
      <c r="K3097" s="184"/>
      <c r="L3097" t="s">
        <v>595</v>
      </c>
      <c r="M3097" s="184">
        <v>44616</v>
      </c>
      <c r="O3097" s="184"/>
      <c r="P3097" t="s">
        <v>7045</v>
      </c>
      <c r="Q3097" t="s">
        <v>7383</v>
      </c>
      <c r="R3097" s="184">
        <v>17435</v>
      </c>
      <c r="S3097">
        <v>76</v>
      </c>
      <c r="U3097" t="s">
        <v>7031</v>
      </c>
      <c r="V3097" t="s">
        <v>2898</v>
      </c>
      <c r="X3097" t="s">
        <v>24632</v>
      </c>
      <c r="Z3097">
        <v>37578796</v>
      </c>
      <c r="AB3097" t="s">
        <v>2586</v>
      </c>
      <c r="AC3097" t="s">
        <v>7560</v>
      </c>
      <c r="AD3097" t="s">
        <v>24631</v>
      </c>
      <c r="AF3097" t="s">
        <v>24633</v>
      </c>
      <c r="AG3097" t="s">
        <v>24634</v>
      </c>
      <c r="AI3097" t="s">
        <v>24635</v>
      </c>
      <c r="AM3097" t="s">
        <v>24636</v>
      </c>
      <c r="AN3097" t="s">
        <v>2185</v>
      </c>
      <c r="AO3097" t="s">
        <v>24637</v>
      </c>
      <c r="AP3097" t="s">
        <v>7024</v>
      </c>
      <c r="AQ3097" t="s">
        <v>24642</v>
      </c>
      <c r="AT3097" s="184">
        <v>44217</v>
      </c>
      <c r="AU3097" t="s">
        <v>24643</v>
      </c>
      <c r="AV3097">
        <v>200</v>
      </c>
      <c r="AW3097" s="184">
        <v>44903</v>
      </c>
      <c r="AX3097" t="s">
        <v>11563</v>
      </c>
      <c r="AY3097">
        <v>300</v>
      </c>
      <c r="AZ3097" s="184">
        <v>44903</v>
      </c>
      <c r="BA3097" t="s">
        <v>11563</v>
      </c>
      <c r="BB3097">
        <v>300</v>
      </c>
      <c r="BC3097">
        <v>50</v>
      </c>
      <c r="BD3097">
        <v>500</v>
      </c>
      <c r="BE3097">
        <v>2021</v>
      </c>
      <c r="BF3097">
        <v>2</v>
      </c>
      <c r="BG3097">
        <v>1</v>
      </c>
      <c r="BH3097">
        <v>300</v>
      </c>
      <c r="BI3097">
        <v>2</v>
      </c>
      <c r="BJ3097">
        <v>4</v>
      </c>
      <c r="BK3097">
        <v>2</v>
      </c>
      <c r="BN3097" t="s">
        <v>595</v>
      </c>
      <c r="BP3097" s="184"/>
    </row>
    <row r="3098" spans="1:68">
      <c r="A3098">
        <v>37582178</v>
      </c>
      <c r="B3098">
        <v>37582178</v>
      </c>
      <c r="C3098" t="s">
        <v>7018</v>
      </c>
      <c r="D3098" t="s">
        <v>595</v>
      </c>
      <c r="E3098" s="184">
        <v>44070</v>
      </c>
      <c r="G3098" s="184"/>
      <c r="I3098" s="184"/>
      <c r="K3098" s="184"/>
      <c r="M3098" s="184"/>
      <c r="O3098" s="184"/>
      <c r="P3098" t="s">
        <v>7045</v>
      </c>
      <c r="Q3098" t="s">
        <v>7020</v>
      </c>
      <c r="R3098" s="184">
        <v>22248</v>
      </c>
      <c r="S3098">
        <v>63</v>
      </c>
      <c r="V3098" t="s">
        <v>3317</v>
      </c>
      <c r="X3098" t="s">
        <v>24644</v>
      </c>
      <c r="AF3098" t="s">
        <v>24645</v>
      </c>
      <c r="AG3098" t="s">
        <v>3317</v>
      </c>
      <c r="AI3098" t="s">
        <v>24646</v>
      </c>
      <c r="AM3098" t="s">
        <v>24647</v>
      </c>
      <c r="AN3098" t="s">
        <v>2112</v>
      </c>
      <c r="AO3098" t="s">
        <v>24648</v>
      </c>
      <c r="AP3098" t="s">
        <v>7024</v>
      </c>
      <c r="AQ3098" t="s">
        <v>24649</v>
      </c>
      <c r="AT3098" s="184">
        <v>38418</v>
      </c>
      <c r="AU3098" t="s">
        <v>24559</v>
      </c>
      <c r="AV3098">
        <v>25</v>
      </c>
      <c r="AW3098" s="184">
        <v>45356</v>
      </c>
      <c r="AX3098" t="s">
        <v>7168</v>
      </c>
      <c r="AY3098">
        <v>52.5</v>
      </c>
      <c r="AZ3098" s="184">
        <v>45356</v>
      </c>
      <c r="BA3098" t="s">
        <v>7168</v>
      </c>
      <c r="BB3098">
        <v>52.5</v>
      </c>
      <c r="BC3098">
        <v>100</v>
      </c>
      <c r="BD3098">
        <v>667.5</v>
      </c>
      <c r="BE3098">
        <v>2005</v>
      </c>
      <c r="BF3098">
        <v>21</v>
      </c>
      <c r="BG3098">
        <v>2</v>
      </c>
      <c r="BH3098">
        <v>87.5</v>
      </c>
      <c r="BI3098">
        <v>20</v>
      </c>
      <c r="BJ3098">
        <v>20</v>
      </c>
      <c r="BK3098">
        <v>20</v>
      </c>
      <c r="BP3098" s="184"/>
    </row>
    <row r="3099" spans="1:68">
      <c r="A3099">
        <v>37583853</v>
      </c>
      <c r="B3099">
        <v>37583853</v>
      </c>
      <c r="C3099" t="s">
        <v>7018</v>
      </c>
      <c r="D3099" t="s">
        <v>595</v>
      </c>
      <c r="E3099" s="184">
        <v>44328</v>
      </c>
      <c r="G3099" s="184"/>
      <c r="I3099" s="184"/>
      <c r="K3099" s="184"/>
      <c r="M3099" s="184"/>
      <c r="O3099" s="184"/>
      <c r="P3099" t="s">
        <v>7045</v>
      </c>
      <c r="Q3099" t="s">
        <v>7160</v>
      </c>
      <c r="R3099" s="184">
        <v>19532</v>
      </c>
      <c r="S3099">
        <v>70</v>
      </c>
      <c r="V3099" t="s">
        <v>24650</v>
      </c>
      <c r="X3099" t="s">
        <v>24651</v>
      </c>
      <c r="AF3099" t="s">
        <v>24652</v>
      </c>
      <c r="AG3099" t="s">
        <v>24650</v>
      </c>
      <c r="AI3099" t="s">
        <v>24653</v>
      </c>
      <c r="AM3099" t="s">
        <v>24654</v>
      </c>
      <c r="AN3099" t="s">
        <v>2395</v>
      </c>
      <c r="AO3099" t="s">
        <v>24655</v>
      </c>
      <c r="AP3099" t="s">
        <v>7024</v>
      </c>
      <c r="AQ3099" t="s">
        <v>24656</v>
      </c>
      <c r="AT3099" s="184">
        <v>38418</v>
      </c>
      <c r="AU3099" t="s">
        <v>24657</v>
      </c>
      <c r="AV3099">
        <v>25</v>
      </c>
      <c r="AW3099" s="184">
        <v>44284</v>
      </c>
      <c r="AX3099" t="s">
        <v>24658</v>
      </c>
      <c r="AY3099">
        <v>50</v>
      </c>
      <c r="AZ3099" s="184">
        <v>44284</v>
      </c>
      <c r="BA3099" t="s">
        <v>24658</v>
      </c>
      <c r="BB3099">
        <v>50</v>
      </c>
      <c r="BC3099">
        <v>40</v>
      </c>
      <c r="BD3099">
        <v>265</v>
      </c>
      <c r="BE3099">
        <v>2005</v>
      </c>
      <c r="BF3099">
        <v>9</v>
      </c>
      <c r="BI3099">
        <v>8</v>
      </c>
      <c r="BJ3099">
        <v>20</v>
      </c>
      <c r="BK3099">
        <v>2</v>
      </c>
      <c r="BP3099" s="184"/>
    </row>
    <row r="3100" spans="1:68">
      <c r="A3100">
        <v>37597770</v>
      </c>
      <c r="B3100">
        <v>37597770</v>
      </c>
      <c r="C3100" t="s">
        <v>7018</v>
      </c>
      <c r="D3100" t="s">
        <v>595</v>
      </c>
      <c r="E3100" s="184">
        <v>44104</v>
      </c>
      <c r="G3100" s="184"/>
      <c r="I3100" s="184"/>
      <c r="K3100" s="184"/>
      <c r="O3100" s="184"/>
      <c r="P3100" t="s">
        <v>7045</v>
      </c>
      <c r="Q3100" t="s">
        <v>7020</v>
      </c>
      <c r="R3100" s="184">
        <v>19906</v>
      </c>
      <c r="S3100">
        <v>69</v>
      </c>
      <c r="U3100" t="s">
        <v>7031</v>
      </c>
      <c r="V3100" t="s">
        <v>4169</v>
      </c>
      <c r="X3100" t="s">
        <v>2988</v>
      </c>
      <c r="AF3100" t="s">
        <v>24659</v>
      </c>
      <c r="AG3100" t="s">
        <v>4169</v>
      </c>
      <c r="AI3100" t="s">
        <v>24660</v>
      </c>
      <c r="AM3100" t="s">
        <v>24661</v>
      </c>
      <c r="AN3100" t="s">
        <v>2052</v>
      </c>
      <c r="AO3100" t="s">
        <v>24662</v>
      </c>
      <c r="AP3100" t="s">
        <v>7024</v>
      </c>
      <c r="AQ3100" t="s">
        <v>24663</v>
      </c>
      <c r="AR3100" t="s">
        <v>24664</v>
      </c>
      <c r="AT3100" s="184">
        <v>38422</v>
      </c>
      <c r="AU3100" t="s">
        <v>24665</v>
      </c>
      <c r="AV3100">
        <v>25</v>
      </c>
      <c r="AW3100" s="184">
        <v>45327</v>
      </c>
      <c r="AX3100" t="s">
        <v>24666</v>
      </c>
      <c r="AY3100">
        <v>25</v>
      </c>
      <c r="AZ3100" s="184">
        <v>42866</v>
      </c>
      <c r="BA3100" t="s">
        <v>24667</v>
      </c>
      <c r="BB3100">
        <v>90</v>
      </c>
      <c r="BC3100">
        <v>90</v>
      </c>
      <c r="BD3100">
        <v>1055</v>
      </c>
      <c r="BE3100">
        <v>2005</v>
      </c>
      <c r="BF3100">
        <v>26</v>
      </c>
      <c r="BG3100">
        <v>1</v>
      </c>
      <c r="BH3100">
        <v>25</v>
      </c>
      <c r="BI3100">
        <v>18</v>
      </c>
      <c r="BJ3100">
        <v>20</v>
      </c>
      <c r="BK3100">
        <v>15</v>
      </c>
      <c r="BN3100" t="s">
        <v>595</v>
      </c>
      <c r="BP3100" s="184"/>
    </row>
    <row r="3101" spans="1:68">
      <c r="A3101">
        <v>37617313</v>
      </c>
      <c r="B3101">
        <v>37617313</v>
      </c>
      <c r="C3101" t="s">
        <v>7018</v>
      </c>
      <c r="E3101" s="184"/>
      <c r="G3101" s="184"/>
      <c r="H3101" t="s">
        <v>595</v>
      </c>
      <c r="I3101" s="184">
        <v>45117</v>
      </c>
      <c r="K3101" s="184"/>
      <c r="M3101" s="184"/>
      <c r="O3101" s="184"/>
      <c r="P3101" t="s">
        <v>7045</v>
      </c>
      <c r="Q3101" t="s">
        <v>7160</v>
      </c>
      <c r="R3101" s="184">
        <v>15676</v>
      </c>
      <c r="S3101">
        <v>81</v>
      </c>
      <c r="U3101" t="s">
        <v>7076</v>
      </c>
      <c r="V3101" t="s">
        <v>3249</v>
      </c>
      <c r="W3101" t="s">
        <v>4365</v>
      </c>
      <c r="X3101" t="s">
        <v>5409</v>
      </c>
      <c r="AF3101" t="s">
        <v>24668</v>
      </c>
      <c r="AG3101" t="s">
        <v>3249</v>
      </c>
      <c r="AI3101" t="s">
        <v>24669</v>
      </c>
      <c r="AJ3101" t="s">
        <v>24032</v>
      </c>
      <c r="AM3101" t="s">
        <v>24670</v>
      </c>
      <c r="AN3101" t="s">
        <v>2395</v>
      </c>
      <c r="AO3101" t="s">
        <v>24671</v>
      </c>
      <c r="AP3101" t="s">
        <v>7024</v>
      </c>
      <c r="AQ3101" t="s">
        <v>24672</v>
      </c>
      <c r="AR3101" t="s">
        <v>24673</v>
      </c>
      <c r="AT3101" s="184">
        <v>38428</v>
      </c>
      <c r="AU3101" t="s">
        <v>24674</v>
      </c>
      <c r="AV3101">
        <v>25</v>
      </c>
      <c r="AW3101" s="184">
        <v>45398</v>
      </c>
      <c r="AX3101" t="s">
        <v>7429</v>
      </c>
      <c r="AY3101">
        <v>10</v>
      </c>
      <c r="AZ3101" s="184">
        <v>42570</v>
      </c>
      <c r="BA3101" t="s">
        <v>24675</v>
      </c>
      <c r="BB3101">
        <v>100</v>
      </c>
      <c r="BC3101">
        <v>95</v>
      </c>
      <c r="BD3101">
        <v>1610</v>
      </c>
      <c r="BE3101">
        <v>2005</v>
      </c>
      <c r="BF3101">
        <v>90</v>
      </c>
      <c r="BG3101">
        <v>24</v>
      </c>
      <c r="BH3101">
        <v>240</v>
      </c>
      <c r="BI3101">
        <v>19</v>
      </c>
      <c r="BJ3101">
        <v>20</v>
      </c>
      <c r="BK3101">
        <v>12</v>
      </c>
      <c r="BP3101" s="184"/>
    </row>
    <row r="3102" spans="1:68">
      <c r="A3102">
        <v>37623261</v>
      </c>
      <c r="B3102">
        <v>37623261</v>
      </c>
      <c r="C3102" t="s">
        <v>7018</v>
      </c>
      <c r="D3102" t="s">
        <v>595</v>
      </c>
      <c r="E3102" s="184">
        <v>45182</v>
      </c>
      <c r="G3102" s="184"/>
      <c r="I3102" s="184"/>
      <c r="K3102" s="184"/>
      <c r="M3102" s="184"/>
      <c r="O3102" s="184"/>
      <c r="P3102" t="s">
        <v>7045</v>
      </c>
      <c r="Q3102" t="s">
        <v>7030</v>
      </c>
      <c r="R3102" s="184">
        <v>22646</v>
      </c>
      <c r="S3102">
        <v>62</v>
      </c>
      <c r="U3102" t="s">
        <v>7076</v>
      </c>
      <c r="V3102" t="s">
        <v>24676</v>
      </c>
      <c r="W3102" t="s">
        <v>2049</v>
      </c>
      <c r="X3102" t="s">
        <v>24677</v>
      </c>
      <c r="Z3102">
        <v>101097564</v>
      </c>
      <c r="AA3102" t="s">
        <v>7031</v>
      </c>
      <c r="AB3102" t="s">
        <v>14847</v>
      </c>
      <c r="AC3102" t="s">
        <v>4139</v>
      </c>
      <c r="AD3102" t="s">
        <v>24677</v>
      </c>
      <c r="AF3102" t="s">
        <v>24678</v>
      </c>
      <c r="AG3102" t="s">
        <v>24679</v>
      </c>
      <c r="AI3102" t="s">
        <v>24680</v>
      </c>
      <c r="AM3102" t="s">
        <v>3113</v>
      </c>
      <c r="AN3102" t="s">
        <v>2094</v>
      </c>
      <c r="AO3102" t="s">
        <v>24681</v>
      </c>
      <c r="AP3102" t="s">
        <v>7024</v>
      </c>
      <c r="AQ3102" t="s">
        <v>24682</v>
      </c>
      <c r="AT3102" s="184">
        <v>38428</v>
      </c>
      <c r="AU3102" t="s">
        <v>24683</v>
      </c>
      <c r="AV3102">
        <v>25</v>
      </c>
      <c r="AW3102" s="184">
        <v>45400</v>
      </c>
      <c r="AX3102" t="s">
        <v>7429</v>
      </c>
      <c r="AY3102">
        <v>15</v>
      </c>
      <c r="AZ3102" s="184">
        <v>43448</v>
      </c>
      <c r="BA3102" t="s">
        <v>24684</v>
      </c>
      <c r="BB3102">
        <v>250</v>
      </c>
      <c r="BC3102">
        <v>100</v>
      </c>
      <c r="BD3102">
        <v>3270</v>
      </c>
      <c r="BE3102">
        <v>2005</v>
      </c>
      <c r="BF3102">
        <v>198</v>
      </c>
      <c r="BG3102">
        <v>24</v>
      </c>
      <c r="BH3102">
        <v>360</v>
      </c>
      <c r="BI3102">
        <v>20</v>
      </c>
      <c r="BJ3102">
        <v>20</v>
      </c>
      <c r="BK3102">
        <v>20</v>
      </c>
      <c r="BP3102" s="184"/>
    </row>
    <row r="3103" spans="1:68">
      <c r="A3103">
        <v>101097564</v>
      </c>
      <c r="B3103">
        <v>37623261</v>
      </c>
      <c r="C3103" t="s">
        <v>7018</v>
      </c>
      <c r="D3103" t="s">
        <v>595</v>
      </c>
      <c r="E3103" s="184">
        <v>45182</v>
      </c>
      <c r="G3103" s="184"/>
      <c r="I3103" s="184"/>
      <c r="K3103" s="184"/>
      <c r="M3103" s="184"/>
      <c r="O3103" s="184"/>
      <c r="P3103" t="s">
        <v>7045</v>
      </c>
      <c r="Q3103" t="s">
        <v>7030</v>
      </c>
      <c r="R3103" s="184">
        <v>17780</v>
      </c>
      <c r="S3103">
        <v>75</v>
      </c>
      <c r="U3103" t="s">
        <v>7031</v>
      </c>
      <c r="V3103" t="s">
        <v>14847</v>
      </c>
      <c r="W3103" t="s">
        <v>4139</v>
      </c>
      <c r="X3103" t="s">
        <v>24677</v>
      </c>
      <c r="Z3103">
        <v>37623261</v>
      </c>
      <c r="AA3103" t="s">
        <v>7076</v>
      </c>
      <c r="AB3103" t="s">
        <v>24676</v>
      </c>
      <c r="AC3103" t="s">
        <v>2049</v>
      </c>
      <c r="AD3103" t="s">
        <v>24677</v>
      </c>
      <c r="AF3103" t="s">
        <v>24678</v>
      </c>
      <c r="AG3103" t="s">
        <v>24679</v>
      </c>
      <c r="AI3103" t="s">
        <v>24680</v>
      </c>
      <c r="AM3103" t="s">
        <v>3113</v>
      </c>
      <c r="AN3103" t="s">
        <v>2094</v>
      </c>
      <c r="AO3103" t="s">
        <v>24681</v>
      </c>
      <c r="AP3103" t="s">
        <v>7024</v>
      </c>
      <c r="AQ3103" t="s">
        <v>24685</v>
      </c>
      <c r="AT3103" s="184"/>
      <c r="AW3103" s="184"/>
      <c r="AZ3103" s="184"/>
      <c r="BP3103" s="184"/>
    </row>
    <row r="3104" spans="1:68">
      <c r="A3104">
        <v>37628187</v>
      </c>
      <c r="B3104">
        <v>37628187</v>
      </c>
      <c r="C3104" t="s">
        <v>7018</v>
      </c>
      <c r="D3104" t="s">
        <v>595</v>
      </c>
      <c r="E3104" s="184">
        <v>44073</v>
      </c>
      <c r="G3104" s="184"/>
      <c r="I3104" s="184"/>
      <c r="K3104" s="184"/>
      <c r="O3104" s="184"/>
      <c r="P3104" t="s">
        <v>7045</v>
      </c>
      <c r="Q3104" t="s">
        <v>7383</v>
      </c>
      <c r="R3104" s="184">
        <v>18994</v>
      </c>
      <c r="S3104">
        <v>72</v>
      </c>
      <c r="V3104" t="s">
        <v>2551</v>
      </c>
      <c r="W3104" t="s">
        <v>205</v>
      </c>
      <c r="X3104" t="s">
        <v>24686</v>
      </c>
      <c r="AF3104" t="s">
        <v>24687</v>
      </c>
      <c r="AG3104" t="s">
        <v>2551</v>
      </c>
      <c r="AI3104" t="s">
        <v>24688</v>
      </c>
      <c r="AM3104" t="s">
        <v>3275</v>
      </c>
      <c r="AN3104" t="s">
        <v>2313</v>
      </c>
      <c r="AO3104" t="s">
        <v>24689</v>
      </c>
      <c r="AP3104" t="s">
        <v>7024</v>
      </c>
      <c r="AQ3104" t="s">
        <v>24690</v>
      </c>
      <c r="AR3104" t="s">
        <v>24691</v>
      </c>
      <c r="AT3104" s="184">
        <v>38429</v>
      </c>
      <c r="AU3104" t="s">
        <v>24692</v>
      </c>
      <c r="AV3104">
        <v>25</v>
      </c>
      <c r="AW3104" s="184">
        <v>45366</v>
      </c>
      <c r="AX3104" t="s">
        <v>9559</v>
      </c>
      <c r="AY3104">
        <v>100</v>
      </c>
      <c r="AZ3104" s="184">
        <v>45366</v>
      </c>
      <c r="BA3104" t="s">
        <v>9559</v>
      </c>
      <c r="BB3104">
        <v>100</v>
      </c>
      <c r="BC3104">
        <v>70</v>
      </c>
      <c r="BD3104">
        <v>1475</v>
      </c>
      <c r="BE3104">
        <v>2005</v>
      </c>
      <c r="BF3104">
        <v>19</v>
      </c>
      <c r="BG3104">
        <v>4</v>
      </c>
      <c r="BH3104">
        <v>325</v>
      </c>
      <c r="BI3104">
        <v>14</v>
      </c>
      <c r="BJ3104">
        <v>20</v>
      </c>
      <c r="BK3104">
        <v>7</v>
      </c>
      <c r="BP3104" s="184"/>
    </row>
    <row r="3105" spans="1:68">
      <c r="A3105">
        <v>37630738</v>
      </c>
      <c r="B3105">
        <v>37630738</v>
      </c>
      <c r="C3105" t="s">
        <v>7018</v>
      </c>
      <c r="E3105" s="184"/>
      <c r="G3105" s="184"/>
      <c r="I3105" s="184"/>
      <c r="J3105" t="s">
        <v>595</v>
      </c>
      <c r="K3105" s="184">
        <v>41955</v>
      </c>
      <c r="M3105" s="184"/>
      <c r="O3105" s="184"/>
      <c r="P3105" t="s">
        <v>7045</v>
      </c>
      <c r="Q3105" t="s">
        <v>7030</v>
      </c>
      <c r="R3105" s="184">
        <v>21155</v>
      </c>
      <c r="S3105">
        <v>66</v>
      </c>
      <c r="U3105" t="s">
        <v>7130</v>
      </c>
      <c r="V3105" t="s">
        <v>3480</v>
      </c>
      <c r="X3105" t="s">
        <v>24693</v>
      </c>
      <c r="AF3105" t="s">
        <v>6393</v>
      </c>
      <c r="AG3105" t="s">
        <v>3480</v>
      </c>
      <c r="AI3105" t="s">
        <v>24694</v>
      </c>
      <c r="AM3105" t="s">
        <v>3308</v>
      </c>
      <c r="AN3105" t="s">
        <v>2094</v>
      </c>
      <c r="AO3105" t="s">
        <v>24695</v>
      </c>
      <c r="AP3105" t="s">
        <v>7024</v>
      </c>
      <c r="AQ3105" t="s">
        <v>24696</v>
      </c>
      <c r="AT3105" s="184">
        <v>38429</v>
      </c>
      <c r="AU3105" t="s">
        <v>24697</v>
      </c>
      <c r="AV3105">
        <v>25</v>
      </c>
      <c r="AW3105" s="184">
        <v>44490</v>
      </c>
      <c r="AX3105" t="s">
        <v>24698</v>
      </c>
      <c r="AY3105">
        <v>15</v>
      </c>
      <c r="AZ3105" s="184">
        <v>40975</v>
      </c>
      <c r="BA3105" t="s">
        <v>24699</v>
      </c>
      <c r="BB3105">
        <v>87</v>
      </c>
      <c r="BC3105">
        <v>85</v>
      </c>
      <c r="BD3105">
        <v>1477</v>
      </c>
      <c r="BE3105">
        <v>2005</v>
      </c>
      <c r="BF3105">
        <v>70</v>
      </c>
      <c r="BI3105">
        <v>17</v>
      </c>
      <c r="BJ3105">
        <v>20</v>
      </c>
      <c r="BK3105">
        <v>17</v>
      </c>
      <c r="BP3105" s="184"/>
    </row>
    <row r="3106" spans="1:68">
      <c r="A3106">
        <v>37632304</v>
      </c>
      <c r="B3106">
        <v>37632304</v>
      </c>
      <c r="C3106" t="s">
        <v>7018</v>
      </c>
      <c r="D3106" t="s">
        <v>595</v>
      </c>
      <c r="E3106" s="184">
        <v>44070</v>
      </c>
      <c r="G3106" s="184"/>
      <c r="I3106" s="184"/>
      <c r="K3106" s="184"/>
      <c r="M3106" s="184"/>
      <c r="O3106" s="184"/>
      <c r="P3106" t="s">
        <v>7045</v>
      </c>
      <c r="Q3106" t="s">
        <v>7454</v>
      </c>
      <c r="R3106" s="184">
        <v>19419</v>
      </c>
      <c r="S3106">
        <v>71</v>
      </c>
      <c r="V3106" t="s">
        <v>2784</v>
      </c>
      <c r="X3106" t="s">
        <v>24700</v>
      </c>
      <c r="AF3106" t="s">
        <v>24701</v>
      </c>
      <c r="AG3106" t="s">
        <v>2784</v>
      </c>
      <c r="AI3106" t="s">
        <v>24702</v>
      </c>
      <c r="AM3106" t="s">
        <v>3654</v>
      </c>
      <c r="AN3106" t="s">
        <v>2299</v>
      </c>
      <c r="AO3106" t="s">
        <v>24703</v>
      </c>
      <c r="AP3106" t="s">
        <v>7024</v>
      </c>
      <c r="AT3106" s="184">
        <v>38429</v>
      </c>
      <c r="AU3106" t="s">
        <v>24600</v>
      </c>
      <c r="AV3106">
        <v>100</v>
      </c>
      <c r="AW3106" s="184">
        <v>45408</v>
      </c>
      <c r="AX3106" t="s">
        <v>8483</v>
      </c>
      <c r="AY3106">
        <v>29</v>
      </c>
      <c r="AZ3106" s="184">
        <v>39252</v>
      </c>
      <c r="BA3106" t="s">
        <v>24704</v>
      </c>
      <c r="BB3106">
        <v>100</v>
      </c>
      <c r="BC3106">
        <v>100</v>
      </c>
      <c r="BD3106">
        <v>6017</v>
      </c>
      <c r="BE3106">
        <v>2005</v>
      </c>
      <c r="BF3106">
        <v>199</v>
      </c>
      <c r="BG3106">
        <v>24</v>
      </c>
      <c r="BH3106">
        <v>696</v>
      </c>
      <c r="BI3106">
        <v>20</v>
      </c>
      <c r="BJ3106">
        <v>20</v>
      </c>
      <c r="BK3106">
        <v>20</v>
      </c>
      <c r="BP3106" s="184"/>
    </row>
    <row r="3107" spans="1:68">
      <c r="A3107">
        <v>37653375</v>
      </c>
      <c r="B3107">
        <v>37653375</v>
      </c>
      <c r="C3107" t="s">
        <v>7018</v>
      </c>
      <c r="D3107" t="s">
        <v>595</v>
      </c>
      <c r="E3107" s="184">
        <v>44139</v>
      </c>
      <c r="G3107" s="184"/>
      <c r="K3107" s="184"/>
      <c r="O3107" s="184"/>
      <c r="P3107" t="s">
        <v>7045</v>
      </c>
      <c r="Q3107" t="s">
        <v>7454</v>
      </c>
      <c r="R3107" s="184">
        <v>20059</v>
      </c>
      <c r="S3107">
        <v>69</v>
      </c>
      <c r="V3107" t="s">
        <v>3111</v>
      </c>
      <c r="X3107" t="s">
        <v>24705</v>
      </c>
      <c r="Z3107">
        <v>100108461</v>
      </c>
      <c r="AB3107" t="s">
        <v>3235</v>
      </c>
      <c r="AD3107" t="s">
        <v>24705</v>
      </c>
      <c r="AF3107" t="s">
        <v>24706</v>
      </c>
      <c r="AG3107" t="s">
        <v>24707</v>
      </c>
      <c r="AI3107" t="s">
        <v>24708</v>
      </c>
      <c r="AM3107" t="s">
        <v>3780</v>
      </c>
      <c r="AN3107" t="s">
        <v>2055</v>
      </c>
      <c r="AO3107" t="s">
        <v>24709</v>
      </c>
      <c r="AP3107" t="s">
        <v>7024</v>
      </c>
      <c r="AQ3107" t="s">
        <v>24710</v>
      </c>
      <c r="AR3107" t="s">
        <v>24711</v>
      </c>
      <c r="AT3107" s="184">
        <v>38433</v>
      </c>
      <c r="AU3107" t="s">
        <v>24692</v>
      </c>
      <c r="AV3107">
        <v>25</v>
      </c>
      <c r="AW3107" s="184">
        <v>45381</v>
      </c>
      <c r="AX3107" t="s">
        <v>13386</v>
      </c>
      <c r="AY3107">
        <v>105</v>
      </c>
      <c r="AZ3107" s="184">
        <v>45381</v>
      </c>
      <c r="BA3107" t="s">
        <v>13386</v>
      </c>
      <c r="BB3107">
        <v>105</v>
      </c>
      <c r="BC3107">
        <v>85</v>
      </c>
      <c r="BD3107">
        <v>1690</v>
      </c>
      <c r="BE3107">
        <v>2005</v>
      </c>
      <c r="BF3107">
        <v>22</v>
      </c>
      <c r="BG3107">
        <v>2</v>
      </c>
      <c r="BH3107">
        <v>205</v>
      </c>
      <c r="BI3107">
        <v>17</v>
      </c>
      <c r="BJ3107">
        <v>20</v>
      </c>
      <c r="BK3107">
        <v>10</v>
      </c>
      <c r="BP3107" s="184"/>
    </row>
    <row r="3108" spans="1:68">
      <c r="A3108">
        <v>100108461</v>
      </c>
      <c r="B3108">
        <v>37653375</v>
      </c>
      <c r="C3108" t="s">
        <v>7018</v>
      </c>
      <c r="D3108" t="s">
        <v>595</v>
      </c>
      <c r="E3108" s="184">
        <v>44139</v>
      </c>
      <c r="G3108" s="184"/>
      <c r="I3108" s="184"/>
      <c r="K3108" s="184"/>
      <c r="M3108" s="184"/>
      <c r="O3108" s="184"/>
      <c r="P3108" t="s">
        <v>7045</v>
      </c>
      <c r="Q3108" t="s">
        <v>7454</v>
      </c>
      <c r="R3108" s="184">
        <v>21306</v>
      </c>
      <c r="S3108">
        <v>66</v>
      </c>
      <c r="V3108" t="s">
        <v>3235</v>
      </c>
      <c r="X3108" t="s">
        <v>24705</v>
      </c>
      <c r="Z3108">
        <v>37653375</v>
      </c>
      <c r="AB3108" t="s">
        <v>3111</v>
      </c>
      <c r="AD3108" t="s">
        <v>24705</v>
      </c>
      <c r="AF3108" t="s">
        <v>24706</v>
      </c>
      <c r="AG3108" t="s">
        <v>24707</v>
      </c>
      <c r="AI3108" t="s">
        <v>24708</v>
      </c>
      <c r="AM3108" t="s">
        <v>3780</v>
      </c>
      <c r="AN3108" t="s">
        <v>2055</v>
      </c>
      <c r="AO3108" t="s">
        <v>24709</v>
      </c>
      <c r="AP3108" t="s">
        <v>7024</v>
      </c>
      <c r="AT3108" s="184"/>
      <c r="AW3108" s="184"/>
      <c r="AZ3108" s="184"/>
      <c r="BP3108" s="184"/>
    </row>
    <row r="3109" spans="1:68">
      <c r="A3109">
        <v>37653490</v>
      </c>
      <c r="B3109">
        <v>37653490</v>
      </c>
      <c r="C3109" t="s">
        <v>7018</v>
      </c>
      <c r="E3109" s="184"/>
      <c r="G3109" s="184"/>
      <c r="J3109" t="s">
        <v>595</v>
      </c>
      <c r="K3109" s="184">
        <v>40337</v>
      </c>
      <c r="M3109" s="184"/>
      <c r="O3109" s="184"/>
      <c r="P3109" t="s">
        <v>7045</v>
      </c>
      <c r="Q3109" t="s">
        <v>7194</v>
      </c>
      <c r="R3109" s="184"/>
      <c r="U3109" t="s">
        <v>7130</v>
      </c>
      <c r="V3109" t="s">
        <v>24712</v>
      </c>
      <c r="W3109" t="s">
        <v>3830</v>
      </c>
      <c r="X3109" t="s">
        <v>24713</v>
      </c>
      <c r="AF3109" t="s">
        <v>6684</v>
      </c>
      <c r="AG3109" t="s">
        <v>24712</v>
      </c>
      <c r="AI3109" t="s">
        <v>24714</v>
      </c>
      <c r="AM3109" t="s">
        <v>4240</v>
      </c>
      <c r="AN3109" t="s">
        <v>2046</v>
      </c>
      <c r="AO3109" t="s">
        <v>24715</v>
      </c>
      <c r="AP3109" t="s">
        <v>7024</v>
      </c>
      <c r="AT3109" s="184">
        <v>38433</v>
      </c>
      <c r="AU3109" t="s">
        <v>24716</v>
      </c>
      <c r="AV3109">
        <v>10</v>
      </c>
      <c r="AW3109" s="184">
        <v>41900</v>
      </c>
      <c r="AX3109" t="s">
        <v>24717</v>
      </c>
      <c r="AY3109">
        <v>25</v>
      </c>
      <c r="AZ3109" s="184">
        <v>41900</v>
      </c>
      <c r="BA3109" t="s">
        <v>24717</v>
      </c>
      <c r="BB3109">
        <v>25</v>
      </c>
      <c r="BC3109">
        <v>35</v>
      </c>
      <c r="BD3109">
        <v>140</v>
      </c>
      <c r="BE3109">
        <v>2005</v>
      </c>
      <c r="BF3109">
        <v>7</v>
      </c>
      <c r="BI3109">
        <v>7</v>
      </c>
      <c r="BJ3109">
        <v>20</v>
      </c>
      <c r="BK3109">
        <v>3</v>
      </c>
      <c r="BP3109" s="184"/>
    </row>
    <row r="3110" spans="1:68">
      <c r="A3110">
        <v>37653730</v>
      </c>
      <c r="B3110">
        <v>37653730</v>
      </c>
      <c r="C3110" t="s">
        <v>7018</v>
      </c>
      <c r="D3110" t="s">
        <v>595</v>
      </c>
      <c r="E3110" s="184">
        <v>44167</v>
      </c>
      <c r="G3110" s="184"/>
      <c r="I3110" s="184"/>
      <c r="K3110" s="184"/>
      <c r="M3110" s="184"/>
      <c r="O3110" s="184"/>
      <c r="P3110" t="s">
        <v>7045</v>
      </c>
      <c r="Q3110" t="s">
        <v>7030</v>
      </c>
      <c r="R3110" s="184">
        <v>19968</v>
      </c>
      <c r="S3110">
        <v>69</v>
      </c>
      <c r="V3110" t="s">
        <v>2871</v>
      </c>
      <c r="W3110" t="s">
        <v>7396</v>
      </c>
      <c r="X3110" t="s">
        <v>24718</v>
      </c>
      <c r="AF3110" t="s">
        <v>24719</v>
      </c>
      <c r="AG3110" t="s">
        <v>2871</v>
      </c>
      <c r="AI3110" t="s">
        <v>24720</v>
      </c>
      <c r="AM3110" t="s">
        <v>2717</v>
      </c>
      <c r="AN3110" t="s">
        <v>2089</v>
      </c>
      <c r="AO3110" t="s">
        <v>24721</v>
      </c>
      <c r="AP3110" t="s">
        <v>7024</v>
      </c>
      <c r="AQ3110" t="s">
        <v>24722</v>
      </c>
      <c r="AT3110" s="184">
        <v>38433</v>
      </c>
      <c r="AU3110" t="s">
        <v>24723</v>
      </c>
      <c r="AV3110">
        <v>25</v>
      </c>
      <c r="AW3110" s="184">
        <v>45322</v>
      </c>
      <c r="AX3110" t="s">
        <v>13171</v>
      </c>
      <c r="AY3110">
        <v>35</v>
      </c>
      <c r="AZ3110" s="184">
        <v>44229</v>
      </c>
      <c r="BA3110" t="s">
        <v>24724</v>
      </c>
      <c r="BB3110">
        <v>65</v>
      </c>
      <c r="BC3110">
        <v>50</v>
      </c>
      <c r="BD3110">
        <v>595</v>
      </c>
      <c r="BE3110">
        <v>2005</v>
      </c>
      <c r="BF3110">
        <v>12</v>
      </c>
      <c r="BG3110">
        <v>2</v>
      </c>
      <c r="BH3110">
        <v>70</v>
      </c>
      <c r="BI3110">
        <v>10</v>
      </c>
      <c r="BJ3110">
        <v>20</v>
      </c>
      <c r="BK3110">
        <v>3</v>
      </c>
      <c r="BP3110" s="184"/>
    </row>
    <row r="3111" spans="1:68">
      <c r="A3111">
        <v>37660701</v>
      </c>
      <c r="B3111">
        <v>37660701</v>
      </c>
      <c r="C3111" t="s">
        <v>7018</v>
      </c>
      <c r="E3111" s="184"/>
      <c r="G3111" s="184"/>
      <c r="I3111" s="184"/>
      <c r="J3111" t="s">
        <v>595</v>
      </c>
      <c r="K3111" s="184">
        <v>44484</v>
      </c>
      <c r="M3111" s="184"/>
      <c r="O3111" s="184"/>
      <c r="P3111" t="s">
        <v>7045</v>
      </c>
      <c r="Q3111" t="s">
        <v>7383</v>
      </c>
      <c r="R3111" s="184">
        <v>16625</v>
      </c>
      <c r="S3111">
        <v>78</v>
      </c>
      <c r="V3111" t="s">
        <v>2669</v>
      </c>
      <c r="X3111" t="s">
        <v>24725</v>
      </c>
      <c r="AF3111" t="s">
        <v>24726</v>
      </c>
      <c r="AG3111" t="s">
        <v>2669</v>
      </c>
      <c r="AI3111" t="s">
        <v>24727</v>
      </c>
      <c r="AM3111" t="s">
        <v>24728</v>
      </c>
      <c r="AN3111" t="s">
        <v>2072</v>
      </c>
      <c r="AO3111" t="s">
        <v>24729</v>
      </c>
      <c r="AP3111" t="s">
        <v>7024</v>
      </c>
      <c r="AQ3111" t="s">
        <v>24730</v>
      </c>
      <c r="AT3111" s="184">
        <v>38435</v>
      </c>
      <c r="AU3111" t="s">
        <v>24731</v>
      </c>
      <c r="AV3111">
        <v>25</v>
      </c>
      <c r="AW3111" s="184">
        <v>45037</v>
      </c>
      <c r="AX3111" t="s">
        <v>20160</v>
      </c>
      <c r="AY3111">
        <v>100</v>
      </c>
      <c r="AZ3111" s="184">
        <v>45037</v>
      </c>
      <c r="BA3111" t="s">
        <v>20160</v>
      </c>
      <c r="BB3111">
        <v>100</v>
      </c>
      <c r="BC3111">
        <v>65</v>
      </c>
      <c r="BD3111">
        <v>1075</v>
      </c>
      <c r="BE3111">
        <v>2005</v>
      </c>
      <c r="BF3111">
        <v>18</v>
      </c>
      <c r="BG3111">
        <v>2</v>
      </c>
      <c r="BH3111">
        <v>200</v>
      </c>
      <c r="BI3111">
        <v>13</v>
      </c>
      <c r="BJ3111">
        <v>20</v>
      </c>
      <c r="BK3111">
        <v>7</v>
      </c>
      <c r="BP3111" s="184"/>
    </row>
    <row r="3112" spans="1:68">
      <c r="A3112">
        <v>37660842</v>
      </c>
      <c r="B3112">
        <v>37660842</v>
      </c>
      <c r="C3112" t="s">
        <v>7018</v>
      </c>
      <c r="E3112" s="184"/>
      <c r="F3112" t="s">
        <v>595</v>
      </c>
      <c r="G3112" s="184">
        <v>44073</v>
      </c>
      <c r="I3112" s="184"/>
      <c r="K3112" s="184"/>
      <c r="M3112" s="184"/>
      <c r="O3112" s="184"/>
      <c r="P3112" t="s">
        <v>7045</v>
      </c>
      <c r="Q3112" t="s">
        <v>7383</v>
      </c>
      <c r="R3112" s="184">
        <v>9791</v>
      </c>
      <c r="S3112">
        <v>97</v>
      </c>
      <c r="V3112" t="s">
        <v>24732</v>
      </c>
      <c r="X3112" t="s">
        <v>24733</v>
      </c>
      <c r="AF3112" t="s">
        <v>24734</v>
      </c>
      <c r="AG3112" t="s">
        <v>24732</v>
      </c>
      <c r="AI3112" t="s">
        <v>24735</v>
      </c>
      <c r="AM3112" t="s">
        <v>3345</v>
      </c>
      <c r="AN3112" t="s">
        <v>2274</v>
      </c>
      <c r="AO3112" t="s">
        <v>24736</v>
      </c>
      <c r="AP3112" t="s">
        <v>7024</v>
      </c>
      <c r="AQ3112" t="s">
        <v>24737</v>
      </c>
      <c r="AR3112" t="s">
        <v>24738</v>
      </c>
      <c r="AT3112" s="184">
        <v>38435</v>
      </c>
      <c r="AU3112" t="s">
        <v>24692</v>
      </c>
      <c r="AV3112">
        <v>25</v>
      </c>
      <c r="AW3112" s="184">
        <v>43907</v>
      </c>
      <c r="AX3112" t="s">
        <v>14293</v>
      </c>
      <c r="AY3112">
        <v>25</v>
      </c>
      <c r="AZ3112" s="184">
        <v>43907</v>
      </c>
      <c r="BA3112" t="s">
        <v>14293</v>
      </c>
      <c r="BB3112">
        <v>25</v>
      </c>
      <c r="BC3112">
        <v>80</v>
      </c>
      <c r="BD3112">
        <v>405</v>
      </c>
      <c r="BE3112">
        <v>2005</v>
      </c>
      <c r="BF3112">
        <v>17</v>
      </c>
      <c r="BI3112">
        <v>16</v>
      </c>
      <c r="BJ3112">
        <v>20</v>
      </c>
      <c r="BK3112">
        <v>16</v>
      </c>
      <c r="BP3112" s="184"/>
    </row>
    <row r="3113" spans="1:68">
      <c r="A3113">
        <v>37666617</v>
      </c>
      <c r="B3113">
        <v>37666617</v>
      </c>
      <c r="C3113" t="s">
        <v>7018</v>
      </c>
      <c r="D3113" t="s">
        <v>595</v>
      </c>
      <c r="E3113" s="184">
        <v>43866</v>
      </c>
      <c r="G3113" s="184"/>
      <c r="I3113" s="184"/>
      <c r="K3113" s="184"/>
      <c r="M3113" s="184"/>
      <c r="O3113" s="184"/>
      <c r="P3113" t="s">
        <v>7045</v>
      </c>
      <c r="Q3113" t="s">
        <v>7374</v>
      </c>
      <c r="R3113" s="184">
        <v>16986</v>
      </c>
      <c r="S3113">
        <v>77</v>
      </c>
      <c r="U3113" t="s">
        <v>7031</v>
      </c>
      <c r="V3113" t="s">
        <v>4587</v>
      </c>
      <c r="X3113" t="s">
        <v>4748</v>
      </c>
      <c r="AF3113" t="s">
        <v>24739</v>
      </c>
      <c r="AG3113" t="s">
        <v>4587</v>
      </c>
      <c r="AI3113" t="s">
        <v>24740</v>
      </c>
      <c r="AM3113" t="s">
        <v>2806</v>
      </c>
      <c r="AN3113" t="s">
        <v>2081</v>
      </c>
      <c r="AO3113" t="s">
        <v>24741</v>
      </c>
      <c r="AP3113" t="s">
        <v>7024</v>
      </c>
      <c r="AQ3113" t="s">
        <v>24742</v>
      </c>
      <c r="AR3113" t="s">
        <v>24743</v>
      </c>
      <c r="AT3113" s="184">
        <v>38436</v>
      </c>
      <c r="AU3113" t="s">
        <v>24744</v>
      </c>
      <c r="AV3113">
        <v>15</v>
      </c>
      <c r="AW3113" s="184">
        <v>43620</v>
      </c>
      <c r="AX3113" t="s">
        <v>24745</v>
      </c>
      <c r="AY3113">
        <v>15</v>
      </c>
      <c r="AZ3113" s="184">
        <v>41761</v>
      </c>
      <c r="BA3113" t="s">
        <v>24746</v>
      </c>
      <c r="BB3113">
        <v>25</v>
      </c>
      <c r="BC3113">
        <v>60</v>
      </c>
      <c r="BD3113">
        <v>530</v>
      </c>
      <c r="BE3113">
        <v>2005</v>
      </c>
      <c r="BF3113">
        <v>29</v>
      </c>
      <c r="BI3113">
        <v>12</v>
      </c>
      <c r="BJ3113">
        <v>20</v>
      </c>
      <c r="BK3113">
        <v>9</v>
      </c>
      <c r="BN3113" t="s">
        <v>595</v>
      </c>
      <c r="BP3113" s="184"/>
    </row>
    <row r="3114" spans="1:68">
      <c r="A3114">
        <v>37667870</v>
      </c>
      <c r="B3114">
        <v>37667870</v>
      </c>
      <c r="C3114" t="s">
        <v>7018</v>
      </c>
      <c r="D3114" t="s">
        <v>595</v>
      </c>
      <c r="E3114" s="184">
        <v>45117</v>
      </c>
      <c r="G3114" s="184"/>
      <c r="I3114" s="184"/>
      <c r="K3114" s="184"/>
      <c r="M3114" s="184"/>
      <c r="O3114" s="184"/>
      <c r="P3114" t="s">
        <v>7045</v>
      </c>
      <c r="Q3114" t="s">
        <v>7383</v>
      </c>
      <c r="R3114" s="184">
        <v>17533</v>
      </c>
      <c r="S3114">
        <v>76</v>
      </c>
      <c r="U3114" t="s">
        <v>7076</v>
      </c>
      <c r="V3114" t="s">
        <v>24747</v>
      </c>
      <c r="X3114" t="s">
        <v>24748</v>
      </c>
      <c r="AF3114" t="s">
        <v>24749</v>
      </c>
      <c r="AG3114" t="s">
        <v>24747</v>
      </c>
      <c r="AI3114" t="s">
        <v>24750</v>
      </c>
      <c r="AM3114" t="s">
        <v>7906</v>
      </c>
      <c r="AN3114" t="s">
        <v>2313</v>
      </c>
      <c r="AO3114" t="s">
        <v>24751</v>
      </c>
      <c r="AP3114" t="s">
        <v>7024</v>
      </c>
      <c r="AQ3114" t="s">
        <v>24752</v>
      </c>
      <c r="AT3114" s="184">
        <v>38436</v>
      </c>
      <c r="AU3114" t="s">
        <v>24753</v>
      </c>
      <c r="AV3114">
        <v>15</v>
      </c>
      <c r="AW3114" s="184">
        <v>45410</v>
      </c>
      <c r="AX3114" t="s">
        <v>7429</v>
      </c>
      <c r="AY3114">
        <v>5</v>
      </c>
      <c r="AZ3114" s="184">
        <v>42508</v>
      </c>
      <c r="BA3114" t="s">
        <v>24754</v>
      </c>
      <c r="BB3114">
        <v>65</v>
      </c>
      <c r="BC3114">
        <v>90</v>
      </c>
      <c r="BD3114">
        <v>1125</v>
      </c>
      <c r="BE3114">
        <v>2005</v>
      </c>
      <c r="BF3114">
        <v>104</v>
      </c>
      <c r="BG3114">
        <v>36</v>
      </c>
      <c r="BH3114">
        <v>180</v>
      </c>
      <c r="BI3114">
        <v>18</v>
      </c>
      <c r="BJ3114">
        <v>20</v>
      </c>
      <c r="BK3114">
        <v>16</v>
      </c>
      <c r="BP3114" s="184"/>
    </row>
    <row r="3115" spans="1:68">
      <c r="A3115">
        <v>37672714</v>
      </c>
      <c r="B3115">
        <v>37672714</v>
      </c>
      <c r="C3115" t="s">
        <v>7018</v>
      </c>
      <c r="E3115" s="184"/>
      <c r="F3115" t="s">
        <v>595</v>
      </c>
      <c r="G3115" s="184">
        <v>43731</v>
      </c>
      <c r="I3115" s="184"/>
      <c r="K3115" s="184"/>
      <c r="M3115" s="184"/>
      <c r="O3115" s="184"/>
      <c r="P3115" t="s">
        <v>7045</v>
      </c>
      <c r="Q3115" t="s">
        <v>7454</v>
      </c>
      <c r="R3115" s="184">
        <v>14382</v>
      </c>
      <c r="S3115">
        <v>84</v>
      </c>
      <c r="V3115" t="s">
        <v>2511</v>
      </c>
      <c r="W3115" t="s">
        <v>7085</v>
      </c>
      <c r="X3115" t="s">
        <v>3877</v>
      </c>
      <c r="AF3115" t="s">
        <v>24755</v>
      </c>
      <c r="AG3115" t="s">
        <v>2511</v>
      </c>
      <c r="AI3115" t="s">
        <v>24756</v>
      </c>
      <c r="AM3115" t="s">
        <v>3878</v>
      </c>
      <c r="AN3115" t="s">
        <v>2055</v>
      </c>
      <c r="AO3115" t="s">
        <v>24757</v>
      </c>
      <c r="AP3115" t="s">
        <v>7024</v>
      </c>
      <c r="AQ3115" t="s">
        <v>24758</v>
      </c>
      <c r="AT3115" s="184">
        <v>38439</v>
      </c>
      <c r="AU3115" t="s">
        <v>24692</v>
      </c>
      <c r="AV3115">
        <v>25</v>
      </c>
      <c r="AW3115" s="184">
        <v>44390</v>
      </c>
      <c r="AX3115" t="s">
        <v>14144</v>
      </c>
      <c r="AY3115">
        <v>75</v>
      </c>
      <c r="AZ3115" s="184">
        <v>44390</v>
      </c>
      <c r="BA3115" t="s">
        <v>14144</v>
      </c>
      <c r="BB3115">
        <v>75</v>
      </c>
      <c r="BC3115">
        <v>85</v>
      </c>
      <c r="BD3115">
        <v>1690</v>
      </c>
      <c r="BE3115">
        <v>2005</v>
      </c>
      <c r="BF3115">
        <v>52</v>
      </c>
      <c r="BI3115">
        <v>17</v>
      </c>
      <c r="BJ3115">
        <v>20</v>
      </c>
      <c r="BK3115">
        <v>17</v>
      </c>
      <c r="BP3115" s="184"/>
    </row>
    <row r="3116" spans="1:68">
      <c r="A3116">
        <v>37673621</v>
      </c>
      <c r="B3116">
        <v>37673621</v>
      </c>
      <c r="C3116" t="s">
        <v>7018</v>
      </c>
      <c r="E3116" s="184"/>
      <c r="G3116" s="184"/>
      <c r="I3116" s="184"/>
      <c r="J3116" t="s">
        <v>595</v>
      </c>
      <c r="K3116" s="184">
        <v>43731</v>
      </c>
      <c r="M3116" s="184"/>
      <c r="O3116" s="184"/>
      <c r="P3116" t="s">
        <v>7045</v>
      </c>
      <c r="Q3116" t="s">
        <v>7160</v>
      </c>
      <c r="R3116" s="184">
        <v>17446</v>
      </c>
      <c r="S3116">
        <v>76</v>
      </c>
      <c r="U3116" t="s">
        <v>7076</v>
      </c>
      <c r="V3116" t="s">
        <v>2733</v>
      </c>
      <c r="W3116" t="s">
        <v>7375</v>
      </c>
      <c r="X3116" t="s">
        <v>3828</v>
      </c>
      <c r="AF3116" t="s">
        <v>6558</v>
      </c>
      <c r="AG3116" t="s">
        <v>2733</v>
      </c>
      <c r="AI3116" t="s">
        <v>24759</v>
      </c>
      <c r="AM3116" t="s">
        <v>3829</v>
      </c>
      <c r="AN3116" t="s">
        <v>2446</v>
      </c>
      <c r="AO3116" t="s">
        <v>24760</v>
      </c>
      <c r="AP3116" t="s">
        <v>7024</v>
      </c>
      <c r="AQ3116" t="s">
        <v>24761</v>
      </c>
      <c r="AR3116" t="s">
        <v>24762</v>
      </c>
      <c r="AT3116" s="184">
        <v>38439</v>
      </c>
      <c r="AU3116" t="s">
        <v>24763</v>
      </c>
      <c r="AV3116">
        <v>25</v>
      </c>
      <c r="AW3116" s="184">
        <v>44903</v>
      </c>
      <c r="AX3116" t="s">
        <v>24764</v>
      </c>
      <c r="AY3116">
        <v>35</v>
      </c>
      <c r="AZ3116" s="184">
        <v>41036</v>
      </c>
      <c r="BA3116" t="s">
        <v>24765</v>
      </c>
      <c r="BB3116">
        <v>60</v>
      </c>
      <c r="BC3116">
        <v>90</v>
      </c>
      <c r="BD3116">
        <v>720</v>
      </c>
      <c r="BE3116">
        <v>2005</v>
      </c>
      <c r="BF3116">
        <v>23</v>
      </c>
      <c r="BG3116">
        <v>1</v>
      </c>
      <c r="BH3116">
        <v>35</v>
      </c>
      <c r="BI3116">
        <v>18</v>
      </c>
      <c r="BJ3116">
        <v>20</v>
      </c>
      <c r="BK3116">
        <v>18</v>
      </c>
      <c r="BP3116" s="184"/>
    </row>
    <row r="3117" spans="1:68">
      <c r="A3117">
        <v>37681913</v>
      </c>
      <c r="B3117">
        <v>37681913</v>
      </c>
      <c r="C3117" t="s">
        <v>7018</v>
      </c>
      <c r="D3117" t="s">
        <v>595</v>
      </c>
      <c r="E3117" s="184">
        <v>44104</v>
      </c>
      <c r="G3117" s="184"/>
      <c r="I3117" s="184"/>
      <c r="K3117" s="184"/>
      <c r="M3117" s="184"/>
      <c r="O3117" s="184"/>
      <c r="P3117" t="s">
        <v>7045</v>
      </c>
      <c r="Q3117" t="s">
        <v>7454</v>
      </c>
      <c r="R3117" s="184">
        <v>19541</v>
      </c>
      <c r="S3117">
        <v>70</v>
      </c>
      <c r="U3117" t="s">
        <v>7076</v>
      </c>
      <c r="V3117" t="s">
        <v>3072</v>
      </c>
      <c r="X3117" t="s">
        <v>24766</v>
      </c>
      <c r="AF3117" t="s">
        <v>24767</v>
      </c>
      <c r="AG3117" t="s">
        <v>3072</v>
      </c>
      <c r="AI3117" t="s">
        <v>24768</v>
      </c>
      <c r="AM3117" t="s">
        <v>3905</v>
      </c>
      <c r="AN3117" t="s">
        <v>2055</v>
      </c>
      <c r="AO3117" t="s">
        <v>24769</v>
      </c>
      <c r="AP3117" t="s">
        <v>7024</v>
      </c>
      <c r="AQ3117" t="s">
        <v>24770</v>
      </c>
      <c r="AT3117" s="184">
        <v>38442</v>
      </c>
      <c r="AU3117" t="s">
        <v>24771</v>
      </c>
      <c r="AV3117">
        <v>100</v>
      </c>
      <c r="AW3117" s="184">
        <v>45402</v>
      </c>
      <c r="AX3117" t="s">
        <v>7429</v>
      </c>
      <c r="AY3117">
        <v>50</v>
      </c>
      <c r="AZ3117" s="184">
        <v>40071</v>
      </c>
      <c r="BA3117" t="s">
        <v>24772</v>
      </c>
      <c r="BB3117">
        <v>200</v>
      </c>
      <c r="BC3117">
        <v>85</v>
      </c>
      <c r="BD3117">
        <v>5130</v>
      </c>
      <c r="BE3117">
        <v>2005</v>
      </c>
      <c r="BF3117">
        <v>137</v>
      </c>
      <c r="BG3117">
        <v>24</v>
      </c>
      <c r="BH3117">
        <v>1200</v>
      </c>
      <c r="BI3117">
        <v>17</v>
      </c>
      <c r="BJ3117">
        <v>20</v>
      </c>
      <c r="BK3117">
        <v>13</v>
      </c>
      <c r="BN3117" t="s">
        <v>595</v>
      </c>
      <c r="BP3117" s="184"/>
    </row>
    <row r="3118" spans="1:68">
      <c r="A3118">
        <v>37695657</v>
      </c>
      <c r="B3118">
        <v>37695657</v>
      </c>
      <c r="C3118" t="s">
        <v>7018</v>
      </c>
      <c r="D3118" t="s">
        <v>595</v>
      </c>
      <c r="E3118" s="184">
        <v>44167</v>
      </c>
      <c r="G3118" s="184"/>
      <c r="I3118" s="184"/>
      <c r="K3118" s="184"/>
      <c r="M3118" s="184"/>
      <c r="O3118" s="184"/>
      <c r="P3118" t="s">
        <v>7045</v>
      </c>
      <c r="Q3118" t="s">
        <v>7374</v>
      </c>
      <c r="R3118" s="184">
        <v>13485</v>
      </c>
      <c r="S3118">
        <v>87</v>
      </c>
      <c r="U3118" t="s">
        <v>7076</v>
      </c>
      <c r="V3118" t="s">
        <v>3179</v>
      </c>
      <c r="W3118" t="s">
        <v>2308</v>
      </c>
      <c r="X3118" t="s">
        <v>24773</v>
      </c>
      <c r="AF3118" t="s">
        <v>24774</v>
      </c>
      <c r="AG3118" t="s">
        <v>3179</v>
      </c>
      <c r="AI3118" t="s">
        <v>24775</v>
      </c>
      <c r="AM3118" t="s">
        <v>24776</v>
      </c>
      <c r="AN3118" t="s">
        <v>2066</v>
      </c>
      <c r="AO3118" t="s">
        <v>24777</v>
      </c>
      <c r="AP3118" t="s">
        <v>7024</v>
      </c>
      <c r="AT3118" s="184">
        <v>38449</v>
      </c>
      <c r="AU3118" t="s">
        <v>24778</v>
      </c>
      <c r="AV3118">
        <v>25</v>
      </c>
      <c r="AW3118" s="184">
        <v>45072</v>
      </c>
      <c r="AX3118" t="s">
        <v>9859</v>
      </c>
      <c r="AY3118">
        <v>115</v>
      </c>
      <c r="AZ3118" s="184">
        <v>45072</v>
      </c>
      <c r="BA3118" t="s">
        <v>9859</v>
      </c>
      <c r="BB3118">
        <v>115</v>
      </c>
      <c r="BC3118">
        <v>75</v>
      </c>
      <c r="BD3118">
        <v>960</v>
      </c>
      <c r="BE3118">
        <v>2005</v>
      </c>
      <c r="BF3118">
        <v>19</v>
      </c>
      <c r="BG3118">
        <v>2</v>
      </c>
      <c r="BH3118">
        <v>190</v>
      </c>
      <c r="BI3118">
        <v>15</v>
      </c>
      <c r="BJ3118">
        <v>20</v>
      </c>
      <c r="BK3118">
        <v>5</v>
      </c>
      <c r="BP3118" s="184"/>
    </row>
    <row r="3119" spans="1:68">
      <c r="A3119">
        <v>37707908</v>
      </c>
      <c r="B3119">
        <v>37707908</v>
      </c>
      <c r="C3119" t="s">
        <v>7018</v>
      </c>
      <c r="D3119" t="s">
        <v>595</v>
      </c>
      <c r="E3119" s="184">
        <v>45196</v>
      </c>
      <c r="G3119" s="184"/>
      <c r="I3119" s="184"/>
      <c r="K3119" s="184"/>
      <c r="M3119" s="184"/>
      <c r="O3119" s="184"/>
      <c r="P3119" t="s">
        <v>7045</v>
      </c>
      <c r="Q3119" t="s">
        <v>7454</v>
      </c>
      <c r="R3119" s="184">
        <v>15342</v>
      </c>
      <c r="S3119">
        <v>82</v>
      </c>
      <c r="V3119" t="s">
        <v>24779</v>
      </c>
      <c r="W3119" t="s">
        <v>7963</v>
      </c>
      <c r="X3119" t="s">
        <v>24780</v>
      </c>
      <c r="Z3119">
        <v>100108749</v>
      </c>
      <c r="AA3119" t="s">
        <v>7031</v>
      </c>
      <c r="AB3119" t="s">
        <v>2724</v>
      </c>
      <c r="AD3119" t="s">
        <v>24780</v>
      </c>
      <c r="AF3119" t="s">
        <v>24781</v>
      </c>
      <c r="AG3119" t="s">
        <v>24782</v>
      </c>
      <c r="AI3119" t="s">
        <v>24783</v>
      </c>
      <c r="AM3119" t="s">
        <v>21907</v>
      </c>
      <c r="AN3119" t="s">
        <v>2055</v>
      </c>
      <c r="AO3119" t="s">
        <v>24784</v>
      </c>
      <c r="AP3119" t="s">
        <v>7024</v>
      </c>
      <c r="AQ3119" t="s">
        <v>24785</v>
      </c>
      <c r="AR3119" t="s">
        <v>24786</v>
      </c>
      <c r="AT3119" s="184">
        <v>38454</v>
      </c>
      <c r="AU3119" t="s">
        <v>24787</v>
      </c>
      <c r="AV3119">
        <v>25</v>
      </c>
      <c r="AW3119" s="184">
        <v>44147</v>
      </c>
      <c r="AX3119" t="s">
        <v>15323</v>
      </c>
      <c r="AY3119">
        <v>50</v>
      </c>
      <c r="AZ3119" s="184">
        <v>40399</v>
      </c>
      <c r="BA3119" t="s">
        <v>13563</v>
      </c>
      <c r="BB3119">
        <v>100</v>
      </c>
      <c r="BC3119">
        <v>45</v>
      </c>
      <c r="BD3119">
        <v>600</v>
      </c>
      <c r="BE3119">
        <v>2005</v>
      </c>
      <c r="BF3119">
        <v>10</v>
      </c>
      <c r="BI3119">
        <v>9</v>
      </c>
      <c r="BJ3119">
        <v>20</v>
      </c>
      <c r="BK3119">
        <v>4</v>
      </c>
    </row>
    <row r="3120" spans="1:68">
      <c r="A3120">
        <v>100108749</v>
      </c>
      <c r="B3120">
        <v>37707908</v>
      </c>
      <c r="C3120" t="s">
        <v>7018</v>
      </c>
      <c r="D3120" t="s">
        <v>595</v>
      </c>
      <c r="E3120" s="184">
        <v>45196</v>
      </c>
      <c r="G3120" s="184"/>
      <c r="K3120" s="184"/>
      <c r="M3120" s="184"/>
      <c r="P3120" t="s">
        <v>7045</v>
      </c>
      <c r="Q3120" t="s">
        <v>7454</v>
      </c>
      <c r="R3120" s="184">
        <v>14397</v>
      </c>
      <c r="S3120">
        <v>84</v>
      </c>
      <c r="U3120" t="s">
        <v>7031</v>
      </c>
      <c r="V3120" t="s">
        <v>2724</v>
      </c>
      <c r="X3120" t="s">
        <v>24780</v>
      </c>
      <c r="Z3120">
        <v>37707908</v>
      </c>
      <c r="AB3120" t="s">
        <v>24779</v>
      </c>
      <c r="AC3120" t="s">
        <v>7963</v>
      </c>
      <c r="AD3120" t="s">
        <v>24780</v>
      </c>
      <c r="AF3120" t="s">
        <v>24781</v>
      </c>
      <c r="AG3120" t="s">
        <v>24782</v>
      </c>
      <c r="AI3120" t="s">
        <v>24783</v>
      </c>
      <c r="AM3120" t="s">
        <v>21907</v>
      </c>
      <c r="AN3120" t="s">
        <v>2055</v>
      </c>
      <c r="AO3120" t="s">
        <v>24784</v>
      </c>
      <c r="AP3120" t="s">
        <v>7024</v>
      </c>
      <c r="AQ3120" t="s">
        <v>24788</v>
      </c>
      <c r="AT3120" s="184"/>
      <c r="AW3120" s="184"/>
      <c r="AZ3120" s="184"/>
      <c r="BP3120" s="184"/>
    </row>
    <row r="3121" spans="1:68">
      <c r="A3121">
        <v>37709797</v>
      </c>
      <c r="B3121">
        <v>37709797</v>
      </c>
      <c r="C3121" t="s">
        <v>7018</v>
      </c>
      <c r="D3121" t="s">
        <v>595</v>
      </c>
      <c r="E3121" s="184">
        <v>45152</v>
      </c>
      <c r="G3121" s="184"/>
      <c r="I3121" s="184"/>
      <c r="K3121" s="184"/>
      <c r="M3121" s="184"/>
      <c r="O3121" s="184"/>
      <c r="P3121" t="s">
        <v>7045</v>
      </c>
      <c r="Q3121" t="s">
        <v>7383</v>
      </c>
      <c r="R3121" s="184">
        <v>15829</v>
      </c>
      <c r="S3121">
        <v>81</v>
      </c>
      <c r="U3121" t="s">
        <v>7076</v>
      </c>
      <c r="V3121" t="s">
        <v>3043</v>
      </c>
      <c r="X3121" t="s">
        <v>4998</v>
      </c>
      <c r="AF3121" t="s">
        <v>24789</v>
      </c>
      <c r="AG3121" t="s">
        <v>3043</v>
      </c>
      <c r="AI3121" t="s">
        <v>24790</v>
      </c>
      <c r="AM3121" t="s">
        <v>24791</v>
      </c>
      <c r="AN3121" t="s">
        <v>2274</v>
      </c>
      <c r="AO3121" t="s">
        <v>24792</v>
      </c>
      <c r="AP3121" t="s">
        <v>7024</v>
      </c>
      <c r="AT3121" s="184">
        <v>38456</v>
      </c>
      <c r="AU3121" t="s">
        <v>24793</v>
      </c>
      <c r="AV3121">
        <v>15</v>
      </c>
      <c r="AW3121" s="184">
        <v>44271</v>
      </c>
      <c r="AX3121" t="s">
        <v>24794</v>
      </c>
      <c r="AY3121">
        <v>5</v>
      </c>
      <c r="AZ3121" s="184">
        <v>41551</v>
      </c>
      <c r="BA3121" t="s">
        <v>24795</v>
      </c>
      <c r="BB3121">
        <v>60</v>
      </c>
      <c r="BC3121">
        <v>30</v>
      </c>
      <c r="BD3121">
        <v>130</v>
      </c>
      <c r="BE3121">
        <v>2005</v>
      </c>
      <c r="BF3121">
        <v>7</v>
      </c>
      <c r="BI3121">
        <v>6</v>
      </c>
      <c r="BJ3121">
        <v>20</v>
      </c>
      <c r="BK3121">
        <v>4</v>
      </c>
      <c r="BP3121" s="184"/>
    </row>
    <row r="3122" spans="1:68">
      <c r="A3122">
        <v>37714888</v>
      </c>
      <c r="B3122">
        <v>37714888</v>
      </c>
      <c r="C3122" t="s">
        <v>7018</v>
      </c>
      <c r="D3122" t="s">
        <v>595</v>
      </c>
      <c r="E3122" s="184">
        <v>45113</v>
      </c>
      <c r="G3122" s="184"/>
      <c r="I3122" s="184"/>
      <c r="K3122" s="184"/>
      <c r="M3122" s="184"/>
      <c r="O3122" s="184"/>
      <c r="P3122" t="s">
        <v>7045</v>
      </c>
      <c r="Q3122" t="s">
        <v>7383</v>
      </c>
      <c r="R3122" s="184">
        <v>15250</v>
      </c>
      <c r="S3122">
        <v>82</v>
      </c>
      <c r="U3122" t="s">
        <v>7031</v>
      </c>
      <c r="V3122" t="s">
        <v>24796</v>
      </c>
      <c r="X3122" t="s">
        <v>24797</v>
      </c>
      <c r="Z3122">
        <v>100959469</v>
      </c>
      <c r="AA3122" t="s">
        <v>7130</v>
      </c>
      <c r="AB3122" t="s">
        <v>12099</v>
      </c>
      <c r="AD3122" t="s">
        <v>24797</v>
      </c>
      <c r="AF3122" t="s">
        <v>24798</v>
      </c>
      <c r="AG3122" t="s">
        <v>24799</v>
      </c>
      <c r="AI3122" t="s">
        <v>24800</v>
      </c>
      <c r="AM3122" t="s">
        <v>4372</v>
      </c>
      <c r="AN3122" t="s">
        <v>2072</v>
      </c>
      <c r="AO3122" t="s">
        <v>24801</v>
      </c>
      <c r="AP3122" t="s">
        <v>7024</v>
      </c>
      <c r="AQ3122" t="s">
        <v>24802</v>
      </c>
      <c r="AR3122" t="s">
        <v>24803</v>
      </c>
      <c r="AT3122" s="184">
        <v>38460</v>
      </c>
      <c r="AU3122" t="s">
        <v>24804</v>
      </c>
      <c r="AV3122">
        <v>25</v>
      </c>
      <c r="AW3122" s="184">
        <v>45418</v>
      </c>
      <c r="AX3122" t="s">
        <v>7422</v>
      </c>
      <c r="AY3122">
        <v>20</v>
      </c>
      <c r="AZ3122" s="184">
        <v>41474</v>
      </c>
      <c r="BA3122" t="s">
        <v>24805</v>
      </c>
      <c r="BB3122">
        <v>100</v>
      </c>
      <c r="BC3122">
        <v>70</v>
      </c>
      <c r="BD3122">
        <v>1530</v>
      </c>
      <c r="BE3122">
        <v>2005</v>
      </c>
      <c r="BF3122">
        <v>50</v>
      </c>
      <c r="BG3122">
        <v>21</v>
      </c>
      <c r="BH3122">
        <v>420</v>
      </c>
      <c r="BI3122">
        <v>14</v>
      </c>
      <c r="BJ3122">
        <v>20</v>
      </c>
      <c r="BK3122">
        <v>12</v>
      </c>
      <c r="BN3122" t="s">
        <v>595</v>
      </c>
      <c r="BP3122" s="184"/>
    </row>
    <row r="3123" spans="1:68">
      <c r="A3123">
        <v>100959469</v>
      </c>
      <c r="B3123">
        <v>37714888</v>
      </c>
      <c r="C3123" t="s">
        <v>7018</v>
      </c>
      <c r="D3123" t="s">
        <v>595</v>
      </c>
      <c r="E3123" s="184">
        <v>45113</v>
      </c>
      <c r="G3123" s="184"/>
      <c r="I3123" s="184"/>
      <c r="K3123" s="184"/>
      <c r="M3123" s="184"/>
      <c r="O3123" s="184"/>
      <c r="P3123" t="s">
        <v>7045</v>
      </c>
      <c r="Q3123" t="s">
        <v>7383</v>
      </c>
      <c r="R3123" s="184">
        <v>15599</v>
      </c>
      <c r="S3123">
        <v>81</v>
      </c>
      <c r="U3123" t="s">
        <v>7130</v>
      </c>
      <c r="V3123" t="s">
        <v>12099</v>
      </c>
      <c r="X3123" t="s">
        <v>24797</v>
      </c>
      <c r="Z3123">
        <v>37714888</v>
      </c>
      <c r="AA3123" t="s">
        <v>7031</v>
      </c>
      <c r="AB3123" t="s">
        <v>24796</v>
      </c>
      <c r="AD3123" t="s">
        <v>24797</v>
      </c>
      <c r="AF3123" t="s">
        <v>24798</v>
      </c>
      <c r="AG3123" t="s">
        <v>24799</v>
      </c>
      <c r="AI3123" t="s">
        <v>24800</v>
      </c>
      <c r="AM3123" t="s">
        <v>4372</v>
      </c>
      <c r="AN3123" t="s">
        <v>2072</v>
      </c>
      <c r="AO3123" t="s">
        <v>24801</v>
      </c>
      <c r="AP3123" t="s">
        <v>7024</v>
      </c>
      <c r="AQ3123" t="s">
        <v>24803</v>
      </c>
      <c r="AT3123" s="184">
        <v>44718</v>
      </c>
      <c r="AU3123" t="s">
        <v>24806</v>
      </c>
      <c r="AV3123">
        <v>20</v>
      </c>
      <c r="AW3123" s="184">
        <v>44718</v>
      </c>
      <c r="AX3123" t="s">
        <v>24806</v>
      </c>
      <c r="AY3123">
        <v>20</v>
      </c>
      <c r="AZ3123" s="184">
        <v>44718</v>
      </c>
      <c r="BA3123" t="s">
        <v>24806</v>
      </c>
      <c r="BB3123">
        <v>20</v>
      </c>
      <c r="BC3123">
        <v>34</v>
      </c>
      <c r="BD3123">
        <v>20</v>
      </c>
      <c r="BE3123">
        <v>2022</v>
      </c>
      <c r="BF3123">
        <v>1</v>
      </c>
      <c r="BG3123">
        <v>1</v>
      </c>
      <c r="BH3123">
        <v>20</v>
      </c>
      <c r="BI3123">
        <v>1</v>
      </c>
      <c r="BJ3123">
        <v>3</v>
      </c>
      <c r="BK3123">
        <v>1</v>
      </c>
      <c r="BP3123" s="184"/>
    </row>
    <row r="3124" spans="1:68">
      <c r="A3124">
        <v>37718681</v>
      </c>
      <c r="B3124">
        <v>37718681</v>
      </c>
      <c r="C3124" t="s">
        <v>7018</v>
      </c>
      <c r="D3124" t="s">
        <v>595</v>
      </c>
      <c r="E3124" s="184">
        <v>43647</v>
      </c>
      <c r="G3124" s="184"/>
      <c r="I3124" s="184"/>
      <c r="K3124" s="184"/>
      <c r="M3124" s="184"/>
      <c r="O3124" s="184"/>
      <c r="P3124" t="s">
        <v>7029</v>
      </c>
      <c r="Q3124" t="s">
        <v>7020</v>
      </c>
      <c r="R3124" s="184">
        <v>17533</v>
      </c>
      <c r="S3124">
        <v>76</v>
      </c>
      <c r="U3124" t="s">
        <v>7032</v>
      </c>
      <c r="V3124" t="s">
        <v>3562</v>
      </c>
      <c r="X3124" t="s">
        <v>3563</v>
      </c>
      <c r="AF3124" t="s">
        <v>24807</v>
      </c>
      <c r="AG3124" t="s">
        <v>3562</v>
      </c>
      <c r="AI3124" t="s">
        <v>24808</v>
      </c>
      <c r="AM3124" t="s">
        <v>24809</v>
      </c>
      <c r="AN3124" t="s">
        <v>2129</v>
      </c>
      <c r="AO3124" t="s">
        <v>24810</v>
      </c>
      <c r="AP3124" t="s">
        <v>7024</v>
      </c>
      <c r="AQ3124" t="s">
        <v>24811</v>
      </c>
      <c r="AT3124" s="184">
        <v>38463</v>
      </c>
      <c r="AU3124" t="s">
        <v>24812</v>
      </c>
      <c r="AV3124">
        <v>25</v>
      </c>
      <c r="AW3124" s="184">
        <v>45226</v>
      </c>
      <c r="AX3124" t="s">
        <v>24813</v>
      </c>
      <c r="AY3124">
        <v>500</v>
      </c>
      <c r="AZ3124" s="184">
        <v>45226</v>
      </c>
      <c r="BA3124" t="s">
        <v>24813</v>
      </c>
      <c r="BB3124">
        <v>500</v>
      </c>
      <c r="BC3124">
        <v>85</v>
      </c>
      <c r="BD3124">
        <v>3500</v>
      </c>
      <c r="BE3124">
        <v>2005</v>
      </c>
      <c r="BF3124">
        <v>24</v>
      </c>
      <c r="BG3124">
        <v>2</v>
      </c>
      <c r="BH3124">
        <v>1000</v>
      </c>
      <c r="BI3124">
        <v>17</v>
      </c>
      <c r="BJ3124">
        <v>20</v>
      </c>
      <c r="BK3124">
        <v>16</v>
      </c>
      <c r="BN3124" t="s">
        <v>595</v>
      </c>
      <c r="BP3124" s="184"/>
    </row>
    <row r="3125" spans="1:68">
      <c r="A3125">
        <v>37719549</v>
      </c>
      <c r="B3125">
        <v>37719549</v>
      </c>
      <c r="C3125" t="s">
        <v>7018</v>
      </c>
      <c r="D3125" t="s">
        <v>595</v>
      </c>
      <c r="E3125" s="184">
        <v>43861</v>
      </c>
      <c r="G3125" s="184"/>
      <c r="I3125" s="184"/>
      <c r="K3125" s="184"/>
      <c r="M3125" s="184"/>
      <c r="O3125" s="184"/>
      <c r="P3125" t="s">
        <v>7045</v>
      </c>
      <c r="Q3125" t="s">
        <v>7383</v>
      </c>
      <c r="R3125" s="184">
        <v>20546</v>
      </c>
      <c r="S3125">
        <v>68</v>
      </c>
      <c r="U3125" t="s">
        <v>7130</v>
      </c>
      <c r="V3125" t="s">
        <v>3527</v>
      </c>
      <c r="W3125" t="s">
        <v>7067</v>
      </c>
      <c r="X3125" t="s">
        <v>4591</v>
      </c>
      <c r="Z3125">
        <v>100108798</v>
      </c>
      <c r="AB3125" t="s">
        <v>3165</v>
      </c>
      <c r="AD3125" t="s">
        <v>4591</v>
      </c>
      <c r="AF3125" t="s">
        <v>24814</v>
      </c>
      <c r="AG3125" t="s">
        <v>24815</v>
      </c>
      <c r="AI3125" t="s">
        <v>24816</v>
      </c>
      <c r="AM3125" t="s">
        <v>4592</v>
      </c>
      <c r="AN3125" t="s">
        <v>2064</v>
      </c>
      <c r="AO3125" t="s">
        <v>24817</v>
      </c>
      <c r="AP3125" t="s">
        <v>7024</v>
      </c>
      <c r="AQ3125" t="s">
        <v>24818</v>
      </c>
      <c r="AR3125" t="s">
        <v>24819</v>
      </c>
      <c r="AT3125" s="184">
        <v>38464</v>
      </c>
      <c r="AU3125" t="s">
        <v>24820</v>
      </c>
      <c r="AV3125">
        <v>25</v>
      </c>
      <c r="AW3125" s="184">
        <v>43934</v>
      </c>
      <c r="AX3125" t="s">
        <v>24821</v>
      </c>
      <c r="AY3125">
        <v>25</v>
      </c>
      <c r="AZ3125" s="184">
        <v>41724</v>
      </c>
      <c r="BA3125" t="s">
        <v>24822</v>
      </c>
      <c r="BB3125">
        <v>65</v>
      </c>
      <c r="BC3125">
        <v>65</v>
      </c>
      <c r="BD3125">
        <v>1310</v>
      </c>
      <c r="BE3125">
        <v>2005</v>
      </c>
      <c r="BF3125">
        <v>42</v>
      </c>
      <c r="BI3125">
        <v>13</v>
      </c>
      <c r="BJ3125">
        <v>20</v>
      </c>
      <c r="BK3125">
        <v>8</v>
      </c>
      <c r="BP3125" s="184"/>
    </row>
    <row r="3126" spans="1:68">
      <c r="A3126">
        <v>100108798</v>
      </c>
      <c r="B3126">
        <v>37719549</v>
      </c>
      <c r="C3126" t="s">
        <v>7018</v>
      </c>
      <c r="D3126" t="s">
        <v>595</v>
      </c>
      <c r="E3126" s="184">
        <v>43861</v>
      </c>
      <c r="G3126" s="184"/>
      <c r="I3126" s="184"/>
      <c r="K3126" s="184"/>
      <c r="M3126" s="184"/>
      <c r="O3126" s="184"/>
      <c r="P3126" t="s">
        <v>7045</v>
      </c>
      <c r="Q3126" t="s">
        <v>7383</v>
      </c>
      <c r="R3126" s="184">
        <v>18688</v>
      </c>
      <c r="S3126">
        <v>73</v>
      </c>
      <c r="V3126" t="s">
        <v>3165</v>
      </c>
      <c r="X3126" t="s">
        <v>4591</v>
      </c>
      <c r="Z3126">
        <v>37719549</v>
      </c>
      <c r="AA3126" t="s">
        <v>7130</v>
      </c>
      <c r="AB3126" t="s">
        <v>3527</v>
      </c>
      <c r="AC3126" t="s">
        <v>7067</v>
      </c>
      <c r="AD3126" t="s">
        <v>4591</v>
      </c>
      <c r="AF3126" t="s">
        <v>24814</v>
      </c>
      <c r="AG3126" t="s">
        <v>24815</v>
      </c>
      <c r="AI3126" t="s">
        <v>24816</v>
      </c>
      <c r="AM3126" t="s">
        <v>4592</v>
      </c>
      <c r="AN3126" t="s">
        <v>2064</v>
      </c>
      <c r="AO3126" t="s">
        <v>24817</v>
      </c>
      <c r="AP3126" t="s">
        <v>7024</v>
      </c>
      <c r="AT3126" s="184"/>
      <c r="AW3126" s="184"/>
      <c r="AZ3126" s="184"/>
      <c r="BP3126" s="184"/>
    </row>
    <row r="3127" spans="1:68">
      <c r="A3127">
        <v>37725009</v>
      </c>
      <c r="B3127">
        <v>37725009</v>
      </c>
      <c r="C3127" t="s">
        <v>7018</v>
      </c>
      <c r="E3127" s="184"/>
      <c r="G3127" s="184"/>
      <c r="I3127" s="184"/>
      <c r="J3127" t="s">
        <v>595</v>
      </c>
      <c r="K3127" s="184">
        <v>45236</v>
      </c>
      <c r="M3127" s="184"/>
      <c r="O3127" s="184"/>
      <c r="P3127" t="s">
        <v>7084</v>
      </c>
      <c r="Q3127" t="s">
        <v>7020</v>
      </c>
      <c r="R3127" s="184">
        <v>11023</v>
      </c>
      <c r="S3127">
        <v>94</v>
      </c>
      <c r="U3127" t="s">
        <v>7031</v>
      </c>
      <c r="V3127" t="s">
        <v>5057</v>
      </c>
      <c r="X3127" t="s">
        <v>24823</v>
      </c>
      <c r="Z3127">
        <v>100108827</v>
      </c>
      <c r="AA3127" t="s">
        <v>7076</v>
      </c>
      <c r="AB3127" t="s">
        <v>3504</v>
      </c>
      <c r="AD3127" t="s">
        <v>24823</v>
      </c>
      <c r="AF3127" t="s">
        <v>24824</v>
      </c>
      <c r="AG3127" t="s">
        <v>5057</v>
      </c>
      <c r="AI3127" t="s">
        <v>24825</v>
      </c>
      <c r="AM3127" t="s">
        <v>3627</v>
      </c>
      <c r="AN3127" t="s">
        <v>2052</v>
      </c>
      <c r="AO3127" t="s">
        <v>24826</v>
      </c>
      <c r="AP3127" t="s">
        <v>7024</v>
      </c>
      <c r="AT3127" s="184">
        <v>38467</v>
      </c>
      <c r="AU3127" t="s">
        <v>24827</v>
      </c>
      <c r="AV3127">
        <v>25</v>
      </c>
      <c r="AW3127" s="184">
        <v>45236</v>
      </c>
      <c r="AX3127" t="s">
        <v>7296</v>
      </c>
      <c r="AY3127">
        <v>500000</v>
      </c>
      <c r="AZ3127" s="184">
        <v>45236</v>
      </c>
      <c r="BA3127" t="s">
        <v>7296</v>
      </c>
      <c r="BB3127">
        <v>500000</v>
      </c>
      <c r="BC3127">
        <v>70</v>
      </c>
      <c r="BD3127">
        <v>500820</v>
      </c>
      <c r="BE3127">
        <v>2005</v>
      </c>
      <c r="BF3127">
        <v>26</v>
      </c>
      <c r="BG3127">
        <v>1</v>
      </c>
      <c r="BH3127">
        <v>500000</v>
      </c>
      <c r="BI3127">
        <v>14</v>
      </c>
      <c r="BJ3127">
        <v>20</v>
      </c>
      <c r="BK3127">
        <v>12</v>
      </c>
      <c r="BP3127" s="184"/>
    </row>
    <row r="3128" spans="1:68">
      <c r="A3128">
        <v>100108827</v>
      </c>
      <c r="B3128">
        <v>37725009</v>
      </c>
      <c r="C3128" t="s">
        <v>7018</v>
      </c>
      <c r="E3128" s="184"/>
      <c r="G3128" s="184"/>
      <c r="I3128" s="184"/>
      <c r="J3128" t="s">
        <v>595</v>
      </c>
      <c r="K3128" s="184">
        <v>45236</v>
      </c>
      <c r="M3128" s="184"/>
      <c r="O3128" s="184"/>
      <c r="P3128" t="s">
        <v>7084</v>
      </c>
      <c r="Q3128" t="s">
        <v>7020</v>
      </c>
      <c r="R3128" s="184">
        <v>12514</v>
      </c>
      <c r="S3128">
        <v>90</v>
      </c>
      <c r="U3128" t="s">
        <v>7076</v>
      </c>
      <c r="V3128" t="s">
        <v>3504</v>
      </c>
      <c r="X3128" t="s">
        <v>24823</v>
      </c>
      <c r="Z3128">
        <v>37725009</v>
      </c>
      <c r="AA3128" t="s">
        <v>7031</v>
      </c>
      <c r="AB3128" t="s">
        <v>5057</v>
      </c>
      <c r="AD3128" t="s">
        <v>24823</v>
      </c>
      <c r="AF3128" t="s">
        <v>24824</v>
      </c>
      <c r="AG3128" t="s">
        <v>5057</v>
      </c>
      <c r="AI3128" t="s">
        <v>24825</v>
      </c>
      <c r="AM3128" t="s">
        <v>3627</v>
      </c>
      <c r="AN3128" t="s">
        <v>2052</v>
      </c>
      <c r="AO3128" t="s">
        <v>24826</v>
      </c>
      <c r="AP3128" t="s">
        <v>7024</v>
      </c>
      <c r="AT3128" s="184"/>
      <c r="AW3128" s="184"/>
      <c r="AZ3128" s="184"/>
      <c r="BO3128" t="s">
        <v>595</v>
      </c>
      <c r="BP3128" s="184">
        <v>45191</v>
      </c>
    </row>
    <row r="3129" spans="1:68">
      <c r="A3129">
        <v>37728037</v>
      </c>
      <c r="B3129">
        <v>37728037</v>
      </c>
      <c r="C3129" t="s">
        <v>7018</v>
      </c>
      <c r="D3129" t="s">
        <v>595</v>
      </c>
      <c r="E3129" s="184">
        <v>44438</v>
      </c>
      <c r="G3129" s="184"/>
      <c r="I3129" s="184"/>
      <c r="K3129" s="184"/>
      <c r="M3129" s="184"/>
      <c r="O3129" s="184"/>
      <c r="P3129" t="s">
        <v>7045</v>
      </c>
      <c r="Q3129" t="s">
        <v>7262</v>
      </c>
      <c r="R3129" s="184">
        <v>13663</v>
      </c>
      <c r="S3129">
        <v>86</v>
      </c>
      <c r="U3129" t="s">
        <v>7031</v>
      </c>
      <c r="V3129" t="s">
        <v>5410</v>
      </c>
      <c r="X3129" t="s">
        <v>10202</v>
      </c>
      <c r="AF3129" t="s">
        <v>24828</v>
      </c>
      <c r="AG3129" t="s">
        <v>5410</v>
      </c>
      <c r="AI3129" t="s">
        <v>24829</v>
      </c>
      <c r="AM3129" t="s">
        <v>15061</v>
      </c>
      <c r="AN3129" t="s">
        <v>2106</v>
      </c>
      <c r="AO3129" t="s">
        <v>24830</v>
      </c>
      <c r="AP3129" t="s">
        <v>7024</v>
      </c>
      <c r="AQ3129" t="s">
        <v>24831</v>
      </c>
      <c r="AR3129" t="s">
        <v>24832</v>
      </c>
      <c r="AT3129" s="184">
        <v>38468</v>
      </c>
      <c r="AU3129" t="s">
        <v>24833</v>
      </c>
      <c r="AV3129">
        <v>15</v>
      </c>
      <c r="AW3129" s="184">
        <v>45258</v>
      </c>
      <c r="AX3129" t="s">
        <v>7578</v>
      </c>
      <c r="AY3129">
        <v>25</v>
      </c>
      <c r="AZ3129" s="184">
        <v>45258</v>
      </c>
      <c r="BA3129" t="s">
        <v>7578</v>
      </c>
      <c r="BB3129">
        <v>25</v>
      </c>
      <c r="BC3129">
        <v>45</v>
      </c>
      <c r="BD3129">
        <v>235</v>
      </c>
      <c r="BE3129">
        <v>2005</v>
      </c>
      <c r="BF3129">
        <v>10</v>
      </c>
      <c r="BG3129">
        <v>2</v>
      </c>
      <c r="BH3129">
        <v>50</v>
      </c>
      <c r="BI3129">
        <v>9</v>
      </c>
      <c r="BJ3129">
        <v>20</v>
      </c>
      <c r="BK3129">
        <v>5</v>
      </c>
      <c r="BP3129" s="184"/>
    </row>
    <row r="3130" spans="1:68">
      <c r="A3130">
        <v>37732120</v>
      </c>
      <c r="B3130">
        <v>37732120</v>
      </c>
      <c r="C3130" t="s">
        <v>7018</v>
      </c>
      <c r="D3130" t="s">
        <v>595</v>
      </c>
      <c r="E3130" s="184">
        <v>43642</v>
      </c>
      <c r="G3130" s="184"/>
      <c r="I3130" s="184"/>
      <c r="K3130" s="184"/>
      <c r="M3130" s="184"/>
      <c r="O3130" s="184"/>
      <c r="P3130" t="s">
        <v>7045</v>
      </c>
      <c r="Q3130" t="s">
        <v>7262</v>
      </c>
      <c r="R3130" s="184">
        <v>12663</v>
      </c>
      <c r="S3130">
        <v>89</v>
      </c>
      <c r="U3130" t="s">
        <v>8046</v>
      </c>
      <c r="V3130" t="s">
        <v>3360</v>
      </c>
      <c r="W3130" t="s">
        <v>7407</v>
      </c>
      <c r="X3130" t="s">
        <v>3361</v>
      </c>
      <c r="AF3130" t="s">
        <v>24834</v>
      </c>
      <c r="AG3130" t="s">
        <v>3360</v>
      </c>
      <c r="AI3130" t="s">
        <v>24835</v>
      </c>
      <c r="AM3130" t="s">
        <v>3362</v>
      </c>
      <c r="AN3130" t="s">
        <v>2106</v>
      </c>
      <c r="AO3130" t="s">
        <v>24836</v>
      </c>
      <c r="AP3130" t="s">
        <v>7024</v>
      </c>
      <c r="AQ3130" t="s">
        <v>24837</v>
      </c>
      <c r="AR3130" t="s">
        <v>24838</v>
      </c>
      <c r="AT3130" s="184">
        <v>38469</v>
      </c>
      <c r="AU3130" t="s">
        <v>24839</v>
      </c>
      <c r="AV3130">
        <v>50</v>
      </c>
      <c r="AW3130" s="184">
        <v>44966</v>
      </c>
      <c r="AX3130" t="s">
        <v>24840</v>
      </c>
      <c r="AY3130">
        <v>100</v>
      </c>
      <c r="AZ3130" s="184">
        <v>41549</v>
      </c>
      <c r="BA3130" t="s">
        <v>24841</v>
      </c>
      <c r="BB3130">
        <v>150</v>
      </c>
      <c r="BC3130">
        <v>75</v>
      </c>
      <c r="BD3130">
        <v>1410</v>
      </c>
      <c r="BE3130">
        <v>2005</v>
      </c>
      <c r="BF3130">
        <v>21</v>
      </c>
      <c r="BG3130">
        <v>2</v>
      </c>
      <c r="BH3130">
        <v>200</v>
      </c>
      <c r="BI3130">
        <v>15</v>
      </c>
      <c r="BJ3130">
        <v>20</v>
      </c>
      <c r="BK3130">
        <v>7</v>
      </c>
      <c r="BP3130" s="184"/>
    </row>
    <row r="3131" spans="1:68">
      <c r="A3131">
        <v>37733581</v>
      </c>
      <c r="B3131">
        <v>37733581</v>
      </c>
      <c r="C3131" t="s">
        <v>7018</v>
      </c>
      <c r="D3131" t="s">
        <v>595</v>
      </c>
      <c r="E3131" s="184">
        <v>45148</v>
      </c>
      <c r="G3131" s="184"/>
      <c r="I3131" s="184"/>
      <c r="K3131" s="184"/>
      <c r="M3131" s="184"/>
      <c r="O3131" s="184"/>
      <c r="P3131" t="s">
        <v>7045</v>
      </c>
      <c r="Q3131" t="s">
        <v>7160</v>
      </c>
      <c r="R3131" s="184">
        <v>13241</v>
      </c>
      <c r="S3131">
        <v>88</v>
      </c>
      <c r="V3131" t="s">
        <v>24842</v>
      </c>
      <c r="X3131" t="s">
        <v>24843</v>
      </c>
      <c r="AF3131" t="s">
        <v>24844</v>
      </c>
      <c r="AG3131" t="s">
        <v>24842</v>
      </c>
      <c r="AI3131" t="s">
        <v>24845</v>
      </c>
      <c r="AM3131" t="s">
        <v>24846</v>
      </c>
      <c r="AN3131" t="s">
        <v>2203</v>
      </c>
      <c r="AO3131" t="s">
        <v>24847</v>
      </c>
      <c r="AP3131" t="s">
        <v>7024</v>
      </c>
      <c r="AQ3131" t="s">
        <v>24848</v>
      </c>
      <c r="AR3131" t="s">
        <v>24849</v>
      </c>
      <c r="AT3131" s="184">
        <v>38470</v>
      </c>
      <c r="AU3131" t="s">
        <v>24850</v>
      </c>
      <c r="AV3131">
        <v>25</v>
      </c>
      <c r="AW3131" s="184">
        <v>44154</v>
      </c>
      <c r="AX3131" t="s">
        <v>24851</v>
      </c>
      <c r="AY3131">
        <v>50</v>
      </c>
      <c r="AZ3131" s="184">
        <v>43895</v>
      </c>
      <c r="BA3131" t="s">
        <v>24852</v>
      </c>
      <c r="BB3131">
        <v>100</v>
      </c>
      <c r="BC3131">
        <v>70</v>
      </c>
      <c r="BD3131">
        <v>903</v>
      </c>
      <c r="BE3131">
        <v>2005</v>
      </c>
      <c r="BF3131">
        <v>17</v>
      </c>
      <c r="BI3131">
        <v>14</v>
      </c>
      <c r="BJ3131">
        <v>20</v>
      </c>
      <c r="BK3131">
        <v>9</v>
      </c>
      <c r="BP3131" s="184"/>
    </row>
    <row r="3132" spans="1:68">
      <c r="A3132">
        <v>37734894</v>
      </c>
      <c r="B3132">
        <v>37734894</v>
      </c>
      <c r="C3132" t="s">
        <v>7018</v>
      </c>
      <c r="D3132" t="s">
        <v>595</v>
      </c>
      <c r="E3132" s="184">
        <v>43871</v>
      </c>
      <c r="G3132" s="184"/>
      <c r="I3132" s="184"/>
      <c r="K3132" s="184"/>
      <c r="M3132" s="184"/>
      <c r="O3132" s="184"/>
      <c r="P3132" t="s">
        <v>7045</v>
      </c>
      <c r="Q3132" t="s">
        <v>7020</v>
      </c>
      <c r="R3132" s="184">
        <v>15464</v>
      </c>
      <c r="S3132">
        <v>82</v>
      </c>
      <c r="V3132" t="s">
        <v>2511</v>
      </c>
      <c r="W3132" t="s">
        <v>2316</v>
      </c>
      <c r="X3132" t="s">
        <v>4760</v>
      </c>
      <c r="AF3132" t="s">
        <v>24853</v>
      </c>
      <c r="AG3132" t="s">
        <v>2511</v>
      </c>
      <c r="AI3132" t="s">
        <v>24854</v>
      </c>
      <c r="AM3132" t="s">
        <v>4761</v>
      </c>
      <c r="AN3132" t="s">
        <v>2363</v>
      </c>
      <c r="AO3132" t="s">
        <v>24855</v>
      </c>
      <c r="AP3132" t="s">
        <v>7024</v>
      </c>
      <c r="AQ3132" t="s">
        <v>24856</v>
      </c>
      <c r="AR3132" t="s">
        <v>24857</v>
      </c>
      <c r="AT3132" s="184">
        <v>38470</v>
      </c>
      <c r="AU3132" t="s">
        <v>24839</v>
      </c>
      <c r="AV3132">
        <v>25</v>
      </c>
      <c r="AW3132" s="184">
        <v>42577</v>
      </c>
      <c r="AX3132" t="s">
        <v>24858</v>
      </c>
      <c r="AY3132">
        <v>55</v>
      </c>
      <c r="AZ3132" s="184">
        <v>42577</v>
      </c>
      <c r="BA3132" t="s">
        <v>24858</v>
      </c>
      <c r="BB3132">
        <v>55</v>
      </c>
      <c r="BC3132">
        <v>35</v>
      </c>
      <c r="BD3132">
        <v>255</v>
      </c>
      <c r="BE3132">
        <v>2005</v>
      </c>
      <c r="BF3132">
        <v>8</v>
      </c>
      <c r="BI3132">
        <v>7</v>
      </c>
      <c r="BJ3132">
        <v>20</v>
      </c>
      <c r="BK3132">
        <v>4</v>
      </c>
      <c r="BP3132" s="184"/>
    </row>
    <row r="3133" spans="1:68">
      <c r="A3133">
        <v>37739117</v>
      </c>
      <c r="B3133">
        <v>37739117</v>
      </c>
      <c r="C3133" t="s">
        <v>7018</v>
      </c>
      <c r="E3133" s="184"/>
      <c r="F3133" t="s">
        <v>595</v>
      </c>
      <c r="G3133" s="184">
        <v>43731</v>
      </c>
      <c r="I3133" s="184"/>
      <c r="K3133" s="184"/>
      <c r="M3133" s="184"/>
      <c r="O3133" s="184"/>
      <c r="P3133" t="s">
        <v>7045</v>
      </c>
      <c r="Q3133" t="s">
        <v>7454</v>
      </c>
      <c r="R3133" s="184">
        <v>17715</v>
      </c>
      <c r="S3133">
        <v>75</v>
      </c>
      <c r="V3133" t="s">
        <v>4024</v>
      </c>
      <c r="W3133" t="s">
        <v>7407</v>
      </c>
      <c r="X3133" t="s">
        <v>4025</v>
      </c>
      <c r="AF3133" t="s">
        <v>24859</v>
      </c>
      <c r="AG3133" t="s">
        <v>4024</v>
      </c>
      <c r="AI3133" t="s">
        <v>24860</v>
      </c>
      <c r="AM3133" t="s">
        <v>4026</v>
      </c>
      <c r="AN3133" t="s">
        <v>2055</v>
      </c>
      <c r="AO3133" t="s">
        <v>24861</v>
      </c>
      <c r="AP3133" t="s">
        <v>7024</v>
      </c>
      <c r="AQ3133" t="s">
        <v>24862</v>
      </c>
      <c r="AR3133" t="s">
        <v>24863</v>
      </c>
      <c r="AT3133" s="184">
        <v>38471</v>
      </c>
      <c r="AU3133" t="s">
        <v>24864</v>
      </c>
      <c r="AV3133">
        <v>25</v>
      </c>
      <c r="AW3133" s="184">
        <v>45268</v>
      </c>
      <c r="AX3133" t="s">
        <v>24865</v>
      </c>
      <c r="AY3133">
        <v>25</v>
      </c>
      <c r="AZ3133" s="184">
        <v>44915</v>
      </c>
      <c r="BA3133" t="s">
        <v>13980</v>
      </c>
      <c r="BB3133">
        <v>50</v>
      </c>
      <c r="BC3133">
        <v>90</v>
      </c>
      <c r="BD3133">
        <v>565</v>
      </c>
      <c r="BE3133">
        <v>2005</v>
      </c>
      <c r="BF3133">
        <v>21</v>
      </c>
      <c r="BG3133">
        <v>2</v>
      </c>
      <c r="BH3133">
        <v>75</v>
      </c>
      <c r="BI3133">
        <v>18</v>
      </c>
      <c r="BJ3133">
        <v>20</v>
      </c>
      <c r="BK3133">
        <v>9</v>
      </c>
      <c r="BP3133" s="184"/>
    </row>
    <row r="3134" spans="1:68">
      <c r="A3134">
        <v>37750460</v>
      </c>
      <c r="B3134">
        <v>37750460</v>
      </c>
      <c r="C3134" t="s">
        <v>7018</v>
      </c>
      <c r="D3134" t="s">
        <v>595</v>
      </c>
      <c r="E3134" s="184">
        <v>44207</v>
      </c>
      <c r="G3134" s="184"/>
      <c r="I3134" s="184"/>
      <c r="K3134" s="184"/>
      <c r="M3134" s="184"/>
      <c r="O3134" s="184"/>
      <c r="P3134" t="s">
        <v>7045</v>
      </c>
      <c r="Q3134" t="s">
        <v>7383</v>
      </c>
      <c r="R3134" s="184">
        <v>13228</v>
      </c>
      <c r="S3134">
        <v>88</v>
      </c>
      <c r="U3134" t="s">
        <v>7130</v>
      </c>
      <c r="V3134" t="s">
        <v>2602</v>
      </c>
      <c r="W3134" t="s">
        <v>4013</v>
      </c>
      <c r="X3134" t="s">
        <v>24866</v>
      </c>
      <c r="AF3134" t="s">
        <v>24867</v>
      </c>
      <c r="AG3134" t="s">
        <v>2602</v>
      </c>
      <c r="AI3134" t="s">
        <v>24868</v>
      </c>
      <c r="AM3134" t="s">
        <v>15379</v>
      </c>
      <c r="AN3134" t="s">
        <v>2162</v>
      </c>
      <c r="AO3134" t="s">
        <v>24869</v>
      </c>
      <c r="AP3134" t="s">
        <v>7024</v>
      </c>
      <c r="AQ3134" t="s">
        <v>24870</v>
      </c>
      <c r="AR3134" t="s">
        <v>24871</v>
      </c>
      <c r="AT3134" s="184">
        <v>38475</v>
      </c>
      <c r="AU3134" t="s">
        <v>24872</v>
      </c>
      <c r="AV3134">
        <v>15</v>
      </c>
      <c r="AW3134" s="184">
        <v>43997</v>
      </c>
      <c r="AX3134" t="s">
        <v>24873</v>
      </c>
      <c r="AY3134">
        <v>25</v>
      </c>
      <c r="AZ3134" s="184">
        <v>43997</v>
      </c>
      <c r="BA3134" t="s">
        <v>24873</v>
      </c>
      <c r="BB3134">
        <v>25</v>
      </c>
      <c r="BC3134">
        <v>45</v>
      </c>
      <c r="BD3134">
        <v>330</v>
      </c>
      <c r="BE3134">
        <v>2005</v>
      </c>
      <c r="BF3134">
        <v>14</v>
      </c>
      <c r="BI3134">
        <v>9</v>
      </c>
      <c r="BJ3134">
        <v>20</v>
      </c>
      <c r="BK3134">
        <v>5</v>
      </c>
      <c r="BN3134" t="s">
        <v>595</v>
      </c>
      <c r="BP3134" s="184"/>
    </row>
    <row r="3135" spans="1:68">
      <c r="A3135">
        <v>37758364</v>
      </c>
      <c r="B3135">
        <v>37758364</v>
      </c>
      <c r="C3135" t="s">
        <v>7018</v>
      </c>
      <c r="E3135" s="184"/>
      <c r="G3135" s="184"/>
      <c r="I3135" s="184"/>
      <c r="K3135" s="184"/>
      <c r="L3135" t="s">
        <v>595</v>
      </c>
      <c r="M3135" s="184">
        <v>44265</v>
      </c>
      <c r="O3135" s="184"/>
      <c r="P3135" t="s">
        <v>7045</v>
      </c>
      <c r="Q3135" t="s">
        <v>7020</v>
      </c>
      <c r="R3135" s="184">
        <v>17271</v>
      </c>
      <c r="S3135">
        <v>77</v>
      </c>
      <c r="U3135" t="s">
        <v>7032</v>
      </c>
      <c r="V3135" t="s">
        <v>3350</v>
      </c>
      <c r="X3135" t="s">
        <v>24874</v>
      </c>
      <c r="Z3135">
        <v>100108987</v>
      </c>
      <c r="AA3135" t="s">
        <v>7031</v>
      </c>
      <c r="AB3135" t="s">
        <v>5057</v>
      </c>
      <c r="AD3135" t="s">
        <v>24874</v>
      </c>
      <c r="AF3135" t="s">
        <v>24875</v>
      </c>
      <c r="AG3135" t="s">
        <v>24876</v>
      </c>
      <c r="AI3135" t="s">
        <v>24877</v>
      </c>
      <c r="AM3135" t="s">
        <v>14076</v>
      </c>
      <c r="AN3135" t="s">
        <v>2052</v>
      </c>
      <c r="AO3135" t="s">
        <v>24878</v>
      </c>
      <c r="AP3135" t="s">
        <v>7024</v>
      </c>
      <c r="AQ3135" t="s">
        <v>24879</v>
      </c>
      <c r="AR3135" t="s">
        <v>24880</v>
      </c>
      <c r="AT3135" s="184">
        <v>38477</v>
      </c>
      <c r="AU3135" t="s">
        <v>24812</v>
      </c>
      <c r="AV3135">
        <v>50</v>
      </c>
      <c r="AW3135" s="184">
        <v>45119</v>
      </c>
      <c r="AX3135" t="s">
        <v>11151</v>
      </c>
      <c r="AY3135">
        <v>150</v>
      </c>
      <c r="AZ3135" s="184">
        <v>45119</v>
      </c>
      <c r="BA3135" t="s">
        <v>11151</v>
      </c>
      <c r="BB3135">
        <v>150</v>
      </c>
      <c r="BC3135">
        <v>80</v>
      </c>
      <c r="BD3135">
        <v>2700</v>
      </c>
      <c r="BE3135">
        <v>2005</v>
      </c>
      <c r="BF3135">
        <v>21</v>
      </c>
      <c r="BG3135">
        <v>2</v>
      </c>
      <c r="BH3135">
        <v>300</v>
      </c>
      <c r="BI3135">
        <v>16</v>
      </c>
      <c r="BJ3135">
        <v>20</v>
      </c>
      <c r="BK3135">
        <v>7</v>
      </c>
      <c r="BP3135" s="184"/>
    </row>
    <row r="3136" spans="1:68">
      <c r="A3136">
        <v>100108987</v>
      </c>
      <c r="B3136">
        <v>37758364</v>
      </c>
      <c r="C3136" t="s">
        <v>7018</v>
      </c>
      <c r="E3136" s="184"/>
      <c r="G3136" s="184"/>
      <c r="I3136" s="184"/>
      <c r="K3136" s="184"/>
      <c r="L3136" t="s">
        <v>595</v>
      </c>
      <c r="M3136" s="184">
        <v>44265</v>
      </c>
      <c r="O3136" s="184"/>
      <c r="P3136" t="s">
        <v>7045</v>
      </c>
      <c r="Q3136" t="s">
        <v>7020</v>
      </c>
      <c r="R3136" s="184">
        <v>17080</v>
      </c>
      <c r="S3136">
        <v>77</v>
      </c>
      <c r="U3136" t="s">
        <v>7031</v>
      </c>
      <c r="V3136" t="s">
        <v>5057</v>
      </c>
      <c r="X3136" t="s">
        <v>24874</v>
      </c>
      <c r="Z3136">
        <v>37758364</v>
      </c>
      <c r="AA3136" t="s">
        <v>7032</v>
      </c>
      <c r="AB3136" t="s">
        <v>3350</v>
      </c>
      <c r="AD3136" t="s">
        <v>24874</v>
      </c>
      <c r="AF3136" t="s">
        <v>24875</v>
      </c>
      <c r="AG3136" t="s">
        <v>24876</v>
      </c>
      <c r="AI3136" t="s">
        <v>24877</v>
      </c>
      <c r="AM3136" t="s">
        <v>14076</v>
      </c>
      <c r="AN3136" t="s">
        <v>2052</v>
      </c>
      <c r="AO3136" t="s">
        <v>24878</v>
      </c>
      <c r="AP3136" t="s">
        <v>7024</v>
      </c>
      <c r="AT3136" s="184">
        <v>44536</v>
      </c>
      <c r="AU3136" t="s">
        <v>10763</v>
      </c>
      <c r="AV3136">
        <v>150</v>
      </c>
      <c r="AW3136" s="184">
        <v>44536</v>
      </c>
      <c r="AX3136" t="s">
        <v>10763</v>
      </c>
      <c r="AY3136">
        <v>150</v>
      </c>
      <c r="AZ3136" s="184">
        <v>44536</v>
      </c>
      <c r="BA3136" t="s">
        <v>10763</v>
      </c>
      <c r="BB3136">
        <v>150</v>
      </c>
      <c r="BC3136">
        <v>25</v>
      </c>
      <c r="BD3136">
        <v>150</v>
      </c>
      <c r="BE3136">
        <v>2022</v>
      </c>
      <c r="BF3136">
        <v>1</v>
      </c>
      <c r="BI3136">
        <v>1</v>
      </c>
      <c r="BJ3136">
        <v>4</v>
      </c>
      <c r="BK3136">
        <v>1</v>
      </c>
      <c r="BP3136" s="184"/>
    </row>
    <row r="3137" spans="1:68">
      <c r="A3137">
        <v>37760139</v>
      </c>
      <c r="B3137">
        <v>37760139</v>
      </c>
      <c r="C3137" t="s">
        <v>7018</v>
      </c>
      <c r="D3137" t="s">
        <v>595</v>
      </c>
      <c r="E3137" s="184">
        <v>44070</v>
      </c>
      <c r="G3137" s="184"/>
      <c r="I3137" s="184"/>
      <c r="K3137" s="184"/>
      <c r="O3137" s="184"/>
      <c r="P3137" t="s">
        <v>7045</v>
      </c>
      <c r="Q3137" t="s">
        <v>7030</v>
      </c>
      <c r="R3137" s="184">
        <v>18660</v>
      </c>
      <c r="S3137">
        <v>73</v>
      </c>
      <c r="V3137" t="s">
        <v>2697</v>
      </c>
      <c r="X3137" t="s">
        <v>5404</v>
      </c>
      <c r="Z3137">
        <v>100108995</v>
      </c>
      <c r="AB3137" t="s">
        <v>3147</v>
      </c>
      <c r="AD3137" t="s">
        <v>5404</v>
      </c>
      <c r="AF3137" t="s">
        <v>24881</v>
      </c>
      <c r="AG3137" t="s">
        <v>24882</v>
      </c>
      <c r="AI3137" t="s">
        <v>24883</v>
      </c>
      <c r="AM3137" t="s">
        <v>2690</v>
      </c>
      <c r="AN3137" t="s">
        <v>2094</v>
      </c>
      <c r="AO3137" t="s">
        <v>24884</v>
      </c>
      <c r="AP3137" t="s">
        <v>7024</v>
      </c>
      <c r="AQ3137" t="s">
        <v>24885</v>
      </c>
      <c r="AT3137" s="184">
        <v>38477</v>
      </c>
      <c r="AU3137" t="s">
        <v>24886</v>
      </c>
      <c r="AV3137">
        <v>15</v>
      </c>
      <c r="AW3137" s="184">
        <v>45407</v>
      </c>
      <c r="AX3137" t="s">
        <v>14823</v>
      </c>
      <c r="AY3137">
        <v>20</v>
      </c>
      <c r="AZ3137" s="184">
        <v>45407</v>
      </c>
      <c r="BA3137" t="s">
        <v>14823</v>
      </c>
      <c r="BB3137">
        <v>20</v>
      </c>
      <c r="BC3137">
        <v>70</v>
      </c>
      <c r="BD3137">
        <v>224.97</v>
      </c>
      <c r="BE3137">
        <v>2005</v>
      </c>
      <c r="BF3137">
        <v>14</v>
      </c>
      <c r="BG3137">
        <v>2</v>
      </c>
      <c r="BH3137">
        <v>40</v>
      </c>
      <c r="BI3137">
        <v>14</v>
      </c>
      <c r="BJ3137">
        <v>20</v>
      </c>
      <c r="BK3137">
        <v>8</v>
      </c>
      <c r="BM3137" t="s">
        <v>595</v>
      </c>
      <c r="BP3137" s="184"/>
    </row>
    <row r="3138" spans="1:68">
      <c r="A3138">
        <v>100108995</v>
      </c>
      <c r="B3138">
        <v>37760139</v>
      </c>
      <c r="C3138" t="s">
        <v>7018</v>
      </c>
      <c r="D3138" t="s">
        <v>595</v>
      </c>
      <c r="E3138" s="184">
        <v>44070</v>
      </c>
      <c r="G3138" s="184"/>
      <c r="I3138" s="184"/>
      <c r="K3138" s="184"/>
      <c r="M3138" s="184"/>
      <c r="O3138" s="184"/>
      <c r="P3138" t="s">
        <v>7045</v>
      </c>
      <c r="Q3138" t="s">
        <v>7030</v>
      </c>
      <c r="R3138" s="184">
        <v>18598</v>
      </c>
      <c r="S3138">
        <v>73</v>
      </c>
      <c r="V3138" t="s">
        <v>3147</v>
      </c>
      <c r="X3138" t="s">
        <v>5404</v>
      </c>
      <c r="Z3138">
        <v>37760139</v>
      </c>
      <c r="AB3138" t="s">
        <v>2697</v>
      </c>
      <c r="AD3138" t="s">
        <v>5404</v>
      </c>
      <c r="AF3138" t="s">
        <v>24881</v>
      </c>
      <c r="AG3138" t="s">
        <v>24882</v>
      </c>
      <c r="AI3138" t="s">
        <v>24883</v>
      </c>
      <c r="AM3138" t="s">
        <v>2690</v>
      </c>
      <c r="AN3138" t="s">
        <v>2094</v>
      </c>
      <c r="AO3138" t="s">
        <v>24884</v>
      </c>
      <c r="AP3138" t="s">
        <v>7024</v>
      </c>
      <c r="AT3138" s="184"/>
      <c r="AW3138" s="184"/>
      <c r="AZ3138" s="184"/>
      <c r="BP3138" s="184"/>
    </row>
    <row r="3139" spans="1:68">
      <c r="A3139">
        <v>37790417</v>
      </c>
      <c r="B3139">
        <v>37790417</v>
      </c>
      <c r="C3139" t="s">
        <v>7018</v>
      </c>
      <c r="D3139" t="s">
        <v>595</v>
      </c>
      <c r="E3139" s="184">
        <v>43881</v>
      </c>
      <c r="G3139" s="184"/>
      <c r="I3139" s="184"/>
      <c r="K3139" s="184"/>
      <c r="O3139" s="184"/>
      <c r="P3139" t="s">
        <v>7045</v>
      </c>
      <c r="Q3139" t="s">
        <v>7160</v>
      </c>
      <c r="R3139" s="184">
        <v>13060</v>
      </c>
      <c r="S3139">
        <v>88</v>
      </c>
      <c r="U3139" t="s">
        <v>7076</v>
      </c>
      <c r="V3139" t="s">
        <v>2586</v>
      </c>
      <c r="X3139" t="s">
        <v>24887</v>
      </c>
      <c r="AF3139" t="s">
        <v>24888</v>
      </c>
      <c r="AG3139" t="s">
        <v>2586</v>
      </c>
      <c r="AI3139" t="s">
        <v>24889</v>
      </c>
      <c r="AM3139" t="s">
        <v>24890</v>
      </c>
      <c r="AN3139" t="s">
        <v>2395</v>
      </c>
      <c r="AO3139" t="s">
        <v>24891</v>
      </c>
      <c r="AP3139" t="s">
        <v>7024</v>
      </c>
      <c r="AQ3139" t="s">
        <v>24892</v>
      </c>
      <c r="AT3139" s="184">
        <v>38490</v>
      </c>
      <c r="AU3139" t="s">
        <v>24893</v>
      </c>
      <c r="AV3139">
        <v>15</v>
      </c>
      <c r="AW3139" s="184">
        <v>45155</v>
      </c>
      <c r="AX3139" t="s">
        <v>9097</v>
      </c>
      <c r="AY3139">
        <v>50</v>
      </c>
      <c r="AZ3139" s="184">
        <v>41467</v>
      </c>
      <c r="BA3139" t="s">
        <v>24894</v>
      </c>
      <c r="BB3139">
        <v>60</v>
      </c>
      <c r="BC3139">
        <v>85</v>
      </c>
      <c r="BD3139">
        <v>829</v>
      </c>
      <c r="BE3139">
        <v>2005</v>
      </c>
      <c r="BF3139">
        <v>27</v>
      </c>
      <c r="BG3139">
        <v>4</v>
      </c>
      <c r="BH3139">
        <v>200</v>
      </c>
      <c r="BI3139">
        <v>17</v>
      </c>
      <c r="BJ3139">
        <v>20</v>
      </c>
      <c r="BK3139">
        <v>9</v>
      </c>
      <c r="BP3139" s="184"/>
    </row>
    <row r="3140" spans="1:68">
      <c r="A3140">
        <v>37802261</v>
      </c>
      <c r="B3140">
        <v>37802261</v>
      </c>
      <c r="C3140" t="s">
        <v>7018</v>
      </c>
      <c r="D3140" t="s">
        <v>595</v>
      </c>
      <c r="E3140" s="184">
        <v>45112</v>
      </c>
      <c r="G3140" s="184"/>
      <c r="I3140" s="184"/>
      <c r="K3140" s="184"/>
      <c r="M3140" s="184"/>
      <c r="O3140" s="184"/>
      <c r="P3140" t="s">
        <v>7045</v>
      </c>
      <c r="Q3140" t="s">
        <v>7383</v>
      </c>
      <c r="R3140" s="184">
        <v>18292</v>
      </c>
      <c r="S3140">
        <v>74</v>
      </c>
      <c r="U3140" t="s">
        <v>7076</v>
      </c>
      <c r="V3140" t="s">
        <v>2989</v>
      </c>
      <c r="W3140" t="s">
        <v>2049</v>
      </c>
      <c r="X3140" t="s">
        <v>24895</v>
      </c>
      <c r="AF3140" t="s">
        <v>24896</v>
      </c>
      <c r="AG3140" t="s">
        <v>2989</v>
      </c>
      <c r="AI3140" t="s">
        <v>24897</v>
      </c>
      <c r="AM3140" t="s">
        <v>4715</v>
      </c>
      <c r="AN3140" t="s">
        <v>2274</v>
      </c>
      <c r="AO3140" t="s">
        <v>24898</v>
      </c>
      <c r="AP3140" t="s">
        <v>7024</v>
      </c>
      <c r="AQ3140" t="s">
        <v>24899</v>
      </c>
      <c r="AT3140" s="184">
        <v>38495</v>
      </c>
      <c r="AU3140" t="s">
        <v>24900</v>
      </c>
      <c r="AV3140">
        <v>15</v>
      </c>
      <c r="AW3140" s="184">
        <v>44931</v>
      </c>
      <c r="AX3140" t="s">
        <v>24901</v>
      </c>
      <c r="AY3140">
        <v>15</v>
      </c>
      <c r="AZ3140" s="184">
        <v>41695</v>
      </c>
      <c r="BA3140" t="s">
        <v>24902</v>
      </c>
      <c r="BB3140">
        <v>25</v>
      </c>
      <c r="BC3140">
        <v>50</v>
      </c>
      <c r="BD3140">
        <v>160</v>
      </c>
      <c r="BE3140">
        <v>2005</v>
      </c>
      <c r="BF3140">
        <v>16</v>
      </c>
      <c r="BG3140">
        <v>2</v>
      </c>
      <c r="BH3140">
        <v>20</v>
      </c>
      <c r="BI3140">
        <v>10</v>
      </c>
      <c r="BJ3140">
        <v>20</v>
      </c>
      <c r="BK3140">
        <v>3</v>
      </c>
      <c r="BP3140" s="184"/>
    </row>
    <row r="3141" spans="1:68">
      <c r="A3141">
        <v>37802386</v>
      </c>
      <c r="B3141">
        <v>37802386</v>
      </c>
      <c r="C3141" t="s">
        <v>7018</v>
      </c>
      <c r="D3141" t="s">
        <v>595</v>
      </c>
      <c r="E3141" s="184">
        <v>44167</v>
      </c>
      <c r="G3141" s="184"/>
      <c r="I3141" s="184"/>
      <c r="K3141" s="184"/>
      <c r="O3141" s="184"/>
      <c r="P3141" t="s">
        <v>7045</v>
      </c>
      <c r="Q3141" t="s">
        <v>7262</v>
      </c>
      <c r="R3141" s="184">
        <v>16438</v>
      </c>
      <c r="S3141">
        <v>79</v>
      </c>
      <c r="U3141" t="s">
        <v>7031</v>
      </c>
      <c r="V3141" t="s">
        <v>2946</v>
      </c>
      <c r="X3141" t="s">
        <v>24903</v>
      </c>
      <c r="AF3141" t="s">
        <v>24904</v>
      </c>
      <c r="AG3141" t="s">
        <v>2946</v>
      </c>
      <c r="AI3141" t="s">
        <v>24905</v>
      </c>
      <c r="AM3141" t="s">
        <v>4747</v>
      </c>
      <c r="AN3141" t="s">
        <v>2069</v>
      </c>
      <c r="AO3141" t="s">
        <v>24906</v>
      </c>
      <c r="AP3141" t="s">
        <v>7024</v>
      </c>
      <c r="AQ3141" t="s">
        <v>24907</v>
      </c>
      <c r="AT3141" s="184">
        <v>38495</v>
      </c>
      <c r="AU3141" t="s">
        <v>24908</v>
      </c>
      <c r="AV3141">
        <v>25</v>
      </c>
      <c r="AW3141" s="184">
        <v>44449</v>
      </c>
      <c r="AX3141" t="s">
        <v>24909</v>
      </c>
      <c r="AY3141">
        <v>35</v>
      </c>
      <c r="AZ3141" s="184">
        <v>44432</v>
      </c>
      <c r="BA3141" t="s">
        <v>24910</v>
      </c>
      <c r="BB3141">
        <v>500</v>
      </c>
      <c r="BC3141">
        <v>35</v>
      </c>
      <c r="BD3141">
        <v>930</v>
      </c>
      <c r="BE3141">
        <v>2005</v>
      </c>
      <c r="BF3141">
        <v>11</v>
      </c>
      <c r="BI3141">
        <v>7</v>
      </c>
      <c r="BJ3141">
        <v>20</v>
      </c>
      <c r="BK3141">
        <v>3</v>
      </c>
      <c r="BP3141" s="184"/>
    </row>
    <row r="3142" spans="1:68">
      <c r="A3142">
        <v>37815180</v>
      </c>
      <c r="B3142">
        <v>37815180</v>
      </c>
      <c r="C3142" t="s">
        <v>7018</v>
      </c>
      <c r="D3142" t="s">
        <v>595</v>
      </c>
      <c r="E3142" s="184">
        <v>43647</v>
      </c>
      <c r="G3142" s="184"/>
      <c r="I3142" s="184"/>
      <c r="K3142" s="184"/>
      <c r="M3142" s="184"/>
      <c r="O3142" s="184"/>
      <c r="P3142" t="s">
        <v>7045</v>
      </c>
      <c r="Q3142" t="s">
        <v>7262</v>
      </c>
      <c r="R3142" s="184">
        <v>17227</v>
      </c>
      <c r="S3142">
        <v>77</v>
      </c>
      <c r="U3142" t="s">
        <v>7076</v>
      </c>
      <c r="V3142" t="s">
        <v>3565</v>
      </c>
      <c r="X3142" t="s">
        <v>3566</v>
      </c>
      <c r="AF3142" t="s">
        <v>24911</v>
      </c>
      <c r="AG3142" t="s">
        <v>3565</v>
      </c>
      <c r="AI3142" t="s">
        <v>24912</v>
      </c>
      <c r="AM3142" t="s">
        <v>3567</v>
      </c>
      <c r="AN3142" t="s">
        <v>2106</v>
      </c>
      <c r="AO3142" t="s">
        <v>24913</v>
      </c>
      <c r="AP3142" t="s">
        <v>7024</v>
      </c>
      <c r="AT3142" s="184">
        <v>38499</v>
      </c>
      <c r="AU3142" t="s">
        <v>24914</v>
      </c>
      <c r="AV3142">
        <v>1</v>
      </c>
      <c r="AW3142" s="184">
        <v>45344</v>
      </c>
      <c r="AX3142" t="s">
        <v>13674</v>
      </c>
      <c r="AY3142">
        <v>10</v>
      </c>
      <c r="AZ3142" s="184">
        <v>45103</v>
      </c>
      <c r="BA3142" t="s">
        <v>12641</v>
      </c>
      <c r="BB3142">
        <v>25</v>
      </c>
      <c r="BC3142">
        <v>80</v>
      </c>
      <c r="BD3142">
        <v>399</v>
      </c>
      <c r="BE3142">
        <v>2005</v>
      </c>
      <c r="BF3142">
        <v>51</v>
      </c>
      <c r="BG3142">
        <v>9</v>
      </c>
      <c r="BH3142">
        <v>113</v>
      </c>
      <c r="BI3142">
        <v>16</v>
      </c>
      <c r="BJ3142">
        <v>20</v>
      </c>
      <c r="BK3142">
        <v>8</v>
      </c>
      <c r="BM3142" t="s">
        <v>595</v>
      </c>
      <c r="BP3142" s="184"/>
    </row>
    <row r="3143" spans="1:68">
      <c r="A3143">
        <v>37815883</v>
      </c>
      <c r="B3143">
        <v>37815883</v>
      </c>
      <c r="C3143" t="s">
        <v>7018</v>
      </c>
      <c r="D3143" t="s">
        <v>595</v>
      </c>
      <c r="E3143" s="184">
        <v>44167</v>
      </c>
      <c r="G3143" s="184"/>
      <c r="I3143" s="184"/>
      <c r="K3143" s="184"/>
      <c r="M3143" s="184"/>
      <c r="O3143" s="184"/>
      <c r="P3143" t="s">
        <v>7045</v>
      </c>
      <c r="Q3143" t="s">
        <v>7194</v>
      </c>
      <c r="R3143" s="184">
        <v>11607</v>
      </c>
      <c r="S3143">
        <v>92</v>
      </c>
      <c r="U3143" t="s">
        <v>7031</v>
      </c>
      <c r="V3143" t="s">
        <v>2832</v>
      </c>
      <c r="X3143" t="s">
        <v>24915</v>
      </c>
      <c r="Z3143">
        <v>100572135</v>
      </c>
      <c r="AB3143" t="s">
        <v>2669</v>
      </c>
      <c r="AC3143" t="s">
        <v>4327</v>
      </c>
      <c r="AD3143" t="s">
        <v>24915</v>
      </c>
      <c r="AF3143" t="s">
        <v>24916</v>
      </c>
      <c r="AG3143" t="s">
        <v>24917</v>
      </c>
      <c r="AI3143" t="s">
        <v>24918</v>
      </c>
      <c r="AM3143" t="s">
        <v>7450</v>
      </c>
      <c r="AN3143" t="s">
        <v>2046</v>
      </c>
      <c r="AO3143" t="s">
        <v>24919</v>
      </c>
      <c r="AP3143" t="s">
        <v>7024</v>
      </c>
      <c r="AT3143" s="184">
        <v>38499</v>
      </c>
      <c r="AU3143" t="s">
        <v>24920</v>
      </c>
      <c r="AV3143">
        <v>15</v>
      </c>
      <c r="AW3143" s="184">
        <v>44817</v>
      </c>
      <c r="AX3143" t="s">
        <v>24921</v>
      </c>
      <c r="AY3143">
        <v>25</v>
      </c>
      <c r="AZ3143" s="184">
        <v>44817</v>
      </c>
      <c r="BA3143" t="s">
        <v>24921</v>
      </c>
      <c r="BB3143">
        <v>25</v>
      </c>
      <c r="BC3143">
        <v>50</v>
      </c>
      <c r="BD3143">
        <v>235</v>
      </c>
      <c r="BE3143">
        <v>2005</v>
      </c>
      <c r="BF3143">
        <v>11</v>
      </c>
      <c r="BG3143">
        <v>1</v>
      </c>
      <c r="BH3143">
        <v>25</v>
      </c>
      <c r="BI3143">
        <v>10</v>
      </c>
      <c r="BJ3143">
        <v>20</v>
      </c>
      <c r="BK3143">
        <v>4</v>
      </c>
      <c r="BP3143" s="184"/>
    </row>
    <row r="3144" spans="1:68">
      <c r="A3144">
        <v>100572135</v>
      </c>
      <c r="B3144">
        <v>37815883</v>
      </c>
      <c r="C3144" t="s">
        <v>7018</v>
      </c>
      <c r="D3144" t="s">
        <v>595</v>
      </c>
      <c r="E3144" s="184">
        <v>44167</v>
      </c>
      <c r="G3144" s="184"/>
      <c r="I3144" s="184"/>
      <c r="K3144" s="184"/>
      <c r="O3144" s="184"/>
      <c r="P3144" t="s">
        <v>7045</v>
      </c>
      <c r="Q3144" t="s">
        <v>7194</v>
      </c>
      <c r="R3144" s="184">
        <v>13617</v>
      </c>
      <c r="S3144">
        <v>87</v>
      </c>
      <c r="V3144" t="s">
        <v>2669</v>
      </c>
      <c r="W3144" t="s">
        <v>4327</v>
      </c>
      <c r="X3144" t="s">
        <v>24915</v>
      </c>
      <c r="Z3144">
        <v>37815883</v>
      </c>
      <c r="AA3144" t="s">
        <v>7031</v>
      </c>
      <c r="AB3144" t="s">
        <v>2832</v>
      </c>
      <c r="AD3144" t="s">
        <v>24915</v>
      </c>
      <c r="AF3144" t="s">
        <v>24916</v>
      </c>
      <c r="AG3144" t="s">
        <v>24917</v>
      </c>
      <c r="AI3144" t="s">
        <v>24918</v>
      </c>
      <c r="AM3144" t="s">
        <v>7450</v>
      </c>
      <c r="AN3144" t="s">
        <v>2046</v>
      </c>
      <c r="AO3144" t="s">
        <v>24919</v>
      </c>
      <c r="AP3144" t="s">
        <v>7024</v>
      </c>
      <c r="AQ3144" t="s">
        <v>24922</v>
      </c>
      <c r="AT3144" s="184">
        <v>44758</v>
      </c>
      <c r="AU3144" t="s">
        <v>24923</v>
      </c>
      <c r="AV3144">
        <v>25</v>
      </c>
      <c r="AW3144" s="184">
        <v>44758</v>
      </c>
      <c r="AX3144" t="s">
        <v>24923</v>
      </c>
      <c r="AY3144">
        <v>25</v>
      </c>
      <c r="AZ3144" s="184">
        <v>44758</v>
      </c>
      <c r="BA3144" t="s">
        <v>24923</v>
      </c>
      <c r="BB3144">
        <v>25</v>
      </c>
      <c r="BC3144">
        <v>34</v>
      </c>
      <c r="BD3144">
        <v>25</v>
      </c>
      <c r="BE3144">
        <v>2023</v>
      </c>
      <c r="BF3144">
        <v>1</v>
      </c>
      <c r="BG3144">
        <v>1</v>
      </c>
      <c r="BH3144">
        <v>25</v>
      </c>
      <c r="BI3144">
        <v>1</v>
      </c>
      <c r="BJ3144">
        <v>3</v>
      </c>
      <c r="BK3144">
        <v>1</v>
      </c>
      <c r="BP3144" s="184"/>
    </row>
    <row r="3145" spans="1:68">
      <c r="A3145">
        <v>37825270</v>
      </c>
      <c r="B3145">
        <v>37825270</v>
      </c>
      <c r="C3145" t="s">
        <v>7018</v>
      </c>
      <c r="E3145" s="184"/>
      <c r="G3145" s="184"/>
      <c r="I3145" s="184"/>
      <c r="K3145" s="184"/>
      <c r="M3145" s="184"/>
      <c r="N3145" t="s">
        <v>595</v>
      </c>
      <c r="O3145" s="184">
        <v>38772</v>
      </c>
      <c r="P3145" t="s">
        <v>7045</v>
      </c>
      <c r="Q3145" t="s">
        <v>7374</v>
      </c>
      <c r="R3145" s="184">
        <v>9599</v>
      </c>
      <c r="S3145">
        <v>98</v>
      </c>
      <c r="U3145" t="s">
        <v>7094</v>
      </c>
      <c r="V3145" t="s">
        <v>7462</v>
      </c>
      <c r="X3145" t="s">
        <v>24924</v>
      </c>
      <c r="AF3145" t="s">
        <v>6021</v>
      </c>
      <c r="AG3145" t="s">
        <v>7462</v>
      </c>
      <c r="AI3145" t="s">
        <v>24925</v>
      </c>
      <c r="AM3145" t="s">
        <v>24926</v>
      </c>
      <c r="AN3145" t="s">
        <v>2081</v>
      </c>
      <c r="AO3145" t="s">
        <v>24927</v>
      </c>
      <c r="AP3145" t="s">
        <v>7024</v>
      </c>
      <c r="AT3145" s="184">
        <v>38503</v>
      </c>
      <c r="AU3145" t="s">
        <v>24928</v>
      </c>
      <c r="AV3145">
        <v>20</v>
      </c>
      <c r="AW3145" s="184">
        <v>44481</v>
      </c>
      <c r="AX3145" t="s">
        <v>24929</v>
      </c>
      <c r="AY3145">
        <v>50</v>
      </c>
      <c r="AZ3145" s="184">
        <v>38772</v>
      </c>
      <c r="BA3145" t="s">
        <v>8406</v>
      </c>
      <c r="BB3145">
        <v>10000</v>
      </c>
      <c r="BC3145">
        <v>35</v>
      </c>
      <c r="BD3145">
        <v>10605</v>
      </c>
      <c r="BE3145">
        <v>2005</v>
      </c>
      <c r="BF3145">
        <v>15</v>
      </c>
      <c r="BI3145">
        <v>7</v>
      </c>
      <c r="BJ3145">
        <v>20</v>
      </c>
      <c r="BK3145">
        <v>4</v>
      </c>
      <c r="BO3145" t="s">
        <v>595</v>
      </c>
      <c r="BP3145" s="184">
        <v>44589</v>
      </c>
    </row>
    <row r="3146" spans="1:68">
      <c r="A3146">
        <v>37826435</v>
      </c>
      <c r="B3146">
        <v>37826435</v>
      </c>
      <c r="C3146" t="s">
        <v>7018</v>
      </c>
      <c r="E3146" s="184"/>
      <c r="G3146" s="184"/>
      <c r="I3146" s="184"/>
      <c r="J3146" t="s">
        <v>595</v>
      </c>
      <c r="K3146" s="184">
        <v>42972</v>
      </c>
      <c r="O3146" s="184"/>
      <c r="P3146" t="s">
        <v>7045</v>
      </c>
      <c r="Q3146" t="s">
        <v>7030</v>
      </c>
      <c r="R3146" s="184">
        <v>24384</v>
      </c>
      <c r="S3146">
        <v>57</v>
      </c>
      <c r="U3146" t="s">
        <v>7076</v>
      </c>
      <c r="V3146" t="s">
        <v>3901</v>
      </c>
      <c r="W3146" t="s">
        <v>2049</v>
      </c>
      <c r="X3146" t="s">
        <v>24930</v>
      </c>
      <c r="AF3146" t="s">
        <v>6260</v>
      </c>
      <c r="AG3146" t="s">
        <v>3901</v>
      </c>
      <c r="AI3146" t="s">
        <v>24931</v>
      </c>
      <c r="AM3146" t="s">
        <v>24932</v>
      </c>
      <c r="AN3146" t="s">
        <v>2201</v>
      </c>
      <c r="AO3146" t="s">
        <v>24933</v>
      </c>
      <c r="AP3146" t="s">
        <v>7024</v>
      </c>
      <c r="AQ3146" t="s">
        <v>24934</v>
      </c>
      <c r="AT3146" s="184">
        <v>38503</v>
      </c>
      <c r="AU3146" t="s">
        <v>24935</v>
      </c>
      <c r="AV3146">
        <v>25</v>
      </c>
      <c r="AW3146" s="184">
        <v>44932</v>
      </c>
      <c r="AX3146" t="s">
        <v>24936</v>
      </c>
      <c r="AY3146">
        <v>100</v>
      </c>
      <c r="AZ3146" s="184">
        <v>41204</v>
      </c>
      <c r="BA3146" t="s">
        <v>24937</v>
      </c>
      <c r="BB3146">
        <v>150</v>
      </c>
      <c r="BC3146">
        <v>85</v>
      </c>
      <c r="BD3146">
        <v>2550</v>
      </c>
      <c r="BE3146">
        <v>2005</v>
      </c>
      <c r="BF3146">
        <v>39</v>
      </c>
      <c r="BG3146">
        <v>1</v>
      </c>
      <c r="BH3146">
        <v>100</v>
      </c>
      <c r="BI3146">
        <v>17</v>
      </c>
      <c r="BJ3146">
        <v>20</v>
      </c>
      <c r="BK3146">
        <v>14</v>
      </c>
      <c r="BP3146" s="184"/>
    </row>
    <row r="3147" spans="1:68">
      <c r="A3147">
        <v>37830585</v>
      </c>
      <c r="B3147">
        <v>37830585</v>
      </c>
      <c r="C3147" t="s">
        <v>7018</v>
      </c>
      <c r="D3147" t="s">
        <v>595</v>
      </c>
      <c r="E3147" s="184">
        <v>43711</v>
      </c>
      <c r="G3147" s="184"/>
      <c r="I3147" s="184"/>
      <c r="K3147" s="184"/>
      <c r="M3147" s="184"/>
      <c r="O3147" s="184"/>
      <c r="P3147" t="s">
        <v>7045</v>
      </c>
      <c r="Q3147" t="s">
        <v>7494</v>
      </c>
      <c r="R3147" s="184">
        <v>13362</v>
      </c>
      <c r="S3147">
        <v>87</v>
      </c>
      <c r="U3147" t="s">
        <v>7130</v>
      </c>
      <c r="V3147" t="s">
        <v>3764</v>
      </c>
      <c r="W3147" t="s">
        <v>7396</v>
      </c>
      <c r="X3147" t="s">
        <v>3765</v>
      </c>
      <c r="AF3147" t="s">
        <v>24938</v>
      </c>
      <c r="AG3147" t="s">
        <v>3764</v>
      </c>
      <c r="AI3147" t="s">
        <v>24939</v>
      </c>
      <c r="AM3147" t="s">
        <v>2520</v>
      </c>
      <c r="AN3147" t="s">
        <v>2174</v>
      </c>
      <c r="AO3147" t="s">
        <v>24940</v>
      </c>
      <c r="AP3147" t="s">
        <v>7024</v>
      </c>
      <c r="AQ3147" t="s">
        <v>24941</v>
      </c>
      <c r="AR3147" t="s">
        <v>24942</v>
      </c>
      <c r="AT3147" s="184">
        <v>38503</v>
      </c>
      <c r="AU3147" t="s">
        <v>24943</v>
      </c>
      <c r="AV3147">
        <v>25</v>
      </c>
      <c r="AW3147" s="184">
        <v>44307</v>
      </c>
      <c r="AX3147" t="s">
        <v>24944</v>
      </c>
      <c r="AY3147">
        <v>35</v>
      </c>
      <c r="AZ3147" s="184">
        <v>43105</v>
      </c>
      <c r="BA3147" t="s">
        <v>24945</v>
      </c>
      <c r="BB3147">
        <v>50</v>
      </c>
      <c r="BC3147">
        <v>70</v>
      </c>
      <c r="BD3147">
        <v>1845</v>
      </c>
      <c r="BE3147">
        <v>2005</v>
      </c>
      <c r="BF3147">
        <v>64</v>
      </c>
      <c r="BI3147">
        <v>14</v>
      </c>
      <c r="BJ3147">
        <v>20</v>
      </c>
      <c r="BK3147">
        <v>10</v>
      </c>
      <c r="BP3147" s="184"/>
    </row>
    <row r="3148" spans="1:68">
      <c r="A3148">
        <v>37838810</v>
      </c>
      <c r="B3148">
        <v>37838810</v>
      </c>
      <c r="C3148" t="s">
        <v>7018</v>
      </c>
      <c r="E3148" s="184"/>
      <c r="G3148" s="184"/>
      <c r="J3148" t="s">
        <v>595</v>
      </c>
      <c r="K3148" s="184">
        <v>43748</v>
      </c>
      <c r="O3148" s="184"/>
      <c r="P3148" t="s">
        <v>7045</v>
      </c>
      <c r="Q3148" t="s">
        <v>7262</v>
      </c>
      <c r="R3148" s="184">
        <v>21419</v>
      </c>
      <c r="S3148">
        <v>65</v>
      </c>
      <c r="U3148" t="s">
        <v>7076</v>
      </c>
      <c r="V3148" t="s">
        <v>3317</v>
      </c>
      <c r="X3148" t="s">
        <v>2612</v>
      </c>
      <c r="AF3148" t="s">
        <v>6353</v>
      </c>
      <c r="AG3148" t="s">
        <v>3317</v>
      </c>
      <c r="AI3148" t="s">
        <v>24946</v>
      </c>
      <c r="AM3148" t="s">
        <v>24947</v>
      </c>
      <c r="AN3148" t="s">
        <v>65</v>
      </c>
      <c r="AO3148" t="s">
        <v>24948</v>
      </c>
      <c r="AP3148" t="s">
        <v>7024</v>
      </c>
      <c r="AT3148" s="184">
        <v>38582</v>
      </c>
      <c r="AU3148" t="s">
        <v>24949</v>
      </c>
      <c r="AV3148">
        <v>15</v>
      </c>
      <c r="AW3148" s="184">
        <v>45054</v>
      </c>
      <c r="AX3148" t="s">
        <v>20857</v>
      </c>
      <c r="AY3148">
        <v>100</v>
      </c>
      <c r="AZ3148" s="184">
        <v>45054</v>
      </c>
      <c r="BA3148" t="s">
        <v>20857</v>
      </c>
      <c r="BB3148">
        <v>100</v>
      </c>
      <c r="BC3148">
        <v>65</v>
      </c>
      <c r="BD3148">
        <v>1953</v>
      </c>
      <c r="BE3148">
        <v>2006</v>
      </c>
      <c r="BF3148">
        <v>78</v>
      </c>
      <c r="BG3148">
        <v>1</v>
      </c>
      <c r="BH3148">
        <v>100</v>
      </c>
      <c r="BI3148">
        <v>13</v>
      </c>
      <c r="BJ3148">
        <v>20</v>
      </c>
      <c r="BK3148">
        <v>9</v>
      </c>
      <c r="BP3148" s="184"/>
    </row>
    <row r="3149" spans="1:68">
      <c r="A3149">
        <v>37857679</v>
      </c>
      <c r="B3149">
        <v>37857679</v>
      </c>
      <c r="C3149" t="s">
        <v>7018</v>
      </c>
      <c r="D3149" t="s">
        <v>595</v>
      </c>
      <c r="E3149" s="184">
        <v>45113</v>
      </c>
      <c r="G3149" s="184"/>
      <c r="I3149" s="184"/>
      <c r="K3149" s="184"/>
      <c r="O3149" s="184"/>
      <c r="P3149" t="s">
        <v>7045</v>
      </c>
      <c r="Q3149" t="s">
        <v>7160</v>
      </c>
      <c r="R3149" s="184">
        <v>22160</v>
      </c>
      <c r="S3149">
        <v>63</v>
      </c>
      <c r="V3149" t="s">
        <v>3898</v>
      </c>
      <c r="X3149" t="s">
        <v>24950</v>
      </c>
      <c r="AF3149" t="s">
        <v>24951</v>
      </c>
      <c r="AG3149" t="s">
        <v>3898</v>
      </c>
      <c r="AI3149" t="s">
        <v>24952</v>
      </c>
      <c r="AJ3149" t="s">
        <v>24953</v>
      </c>
      <c r="AM3149" t="s">
        <v>2674</v>
      </c>
      <c r="AN3149" t="s">
        <v>2675</v>
      </c>
      <c r="AO3149" t="s">
        <v>24954</v>
      </c>
      <c r="AP3149" t="s">
        <v>7024</v>
      </c>
      <c r="AQ3149" t="s">
        <v>24955</v>
      </c>
      <c r="AT3149" s="184">
        <v>38506</v>
      </c>
      <c r="AU3149" t="s">
        <v>24956</v>
      </c>
      <c r="AV3149">
        <v>15</v>
      </c>
      <c r="AW3149" s="184">
        <v>45365</v>
      </c>
      <c r="AX3149" t="s">
        <v>12020</v>
      </c>
      <c r="AY3149">
        <v>15</v>
      </c>
      <c r="AZ3149" s="184">
        <v>44609</v>
      </c>
      <c r="BA3149" t="s">
        <v>24957</v>
      </c>
      <c r="BB3149">
        <v>30</v>
      </c>
      <c r="BC3149">
        <v>65</v>
      </c>
      <c r="BD3149">
        <v>280</v>
      </c>
      <c r="BE3149">
        <v>2005</v>
      </c>
      <c r="BF3149">
        <v>14</v>
      </c>
      <c r="BG3149">
        <v>1</v>
      </c>
      <c r="BH3149">
        <v>15</v>
      </c>
      <c r="BI3149">
        <v>13</v>
      </c>
      <c r="BJ3149">
        <v>20</v>
      </c>
      <c r="BK3149">
        <v>6</v>
      </c>
      <c r="BP3149" s="184"/>
    </row>
    <row r="3150" spans="1:68">
      <c r="A3150">
        <v>37860228</v>
      </c>
      <c r="B3150">
        <v>37860228</v>
      </c>
      <c r="C3150" t="s">
        <v>7018</v>
      </c>
      <c r="E3150" s="184"/>
      <c r="F3150" t="s">
        <v>595</v>
      </c>
      <c r="G3150" s="184">
        <v>43691</v>
      </c>
      <c r="I3150" s="184"/>
      <c r="K3150" s="184"/>
      <c r="O3150" s="184"/>
      <c r="P3150" t="s">
        <v>7045</v>
      </c>
      <c r="Q3150" t="s">
        <v>7383</v>
      </c>
      <c r="R3150" s="184"/>
      <c r="U3150" t="s">
        <v>7076</v>
      </c>
      <c r="V3150" t="s">
        <v>2648</v>
      </c>
      <c r="X3150" t="s">
        <v>24958</v>
      </c>
      <c r="AF3150" t="s">
        <v>24959</v>
      </c>
      <c r="AG3150" t="s">
        <v>2648</v>
      </c>
      <c r="AI3150" t="s">
        <v>24960</v>
      </c>
      <c r="AM3150" t="s">
        <v>2703</v>
      </c>
      <c r="AN3150" t="s">
        <v>2064</v>
      </c>
      <c r="AO3150" t="s">
        <v>24961</v>
      </c>
      <c r="AP3150" t="s">
        <v>7024</v>
      </c>
      <c r="AQ3150" t="s">
        <v>24962</v>
      </c>
      <c r="AR3150" t="s">
        <v>24963</v>
      </c>
      <c r="AT3150" s="184">
        <v>38506</v>
      </c>
      <c r="AU3150" t="s">
        <v>24964</v>
      </c>
      <c r="AV3150">
        <v>25</v>
      </c>
      <c r="AW3150" s="184">
        <v>45351</v>
      </c>
      <c r="AX3150" t="s">
        <v>7168</v>
      </c>
      <c r="AY3150">
        <v>20</v>
      </c>
      <c r="AZ3150" s="184">
        <v>41169</v>
      </c>
      <c r="BA3150" t="s">
        <v>8168</v>
      </c>
      <c r="BB3150">
        <v>60</v>
      </c>
      <c r="BC3150">
        <v>75</v>
      </c>
      <c r="BD3150">
        <v>715</v>
      </c>
      <c r="BE3150">
        <v>2005</v>
      </c>
      <c r="BF3150">
        <v>15</v>
      </c>
      <c r="BG3150">
        <v>1</v>
      </c>
      <c r="BH3150">
        <v>20</v>
      </c>
      <c r="BI3150">
        <v>15</v>
      </c>
      <c r="BJ3150">
        <v>20</v>
      </c>
      <c r="BK3150">
        <v>12</v>
      </c>
      <c r="BP3150" s="184"/>
    </row>
    <row r="3151" spans="1:68">
      <c r="A3151">
        <v>37860491</v>
      </c>
      <c r="B3151">
        <v>37860491</v>
      </c>
      <c r="C3151" t="s">
        <v>7018</v>
      </c>
      <c r="E3151" s="184"/>
      <c r="G3151" s="184"/>
      <c r="J3151" t="s">
        <v>595</v>
      </c>
      <c r="K3151" s="184">
        <v>38533</v>
      </c>
      <c r="O3151" s="184"/>
      <c r="P3151" t="s">
        <v>7045</v>
      </c>
      <c r="Q3151" t="s">
        <v>7160</v>
      </c>
      <c r="R3151" s="184">
        <v>19869</v>
      </c>
      <c r="S3151">
        <v>69</v>
      </c>
      <c r="U3151" t="s">
        <v>7130</v>
      </c>
      <c r="V3151" t="s">
        <v>13505</v>
      </c>
      <c r="X3151" t="s">
        <v>4584</v>
      </c>
      <c r="Z3151">
        <v>100182819</v>
      </c>
      <c r="AA3151" t="s">
        <v>7031</v>
      </c>
      <c r="AB3151" t="s">
        <v>2614</v>
      </c>
      <c r="AC3151" t="s">
        <v>7560</v>
      </c>
      <c r="AD3151" t="s">
        <v>4584</v>
      </c>
      <c r="AF3151" t="s">
        <v>6750</v>
      </c>
      <c r="AG3151" t="s">
        <v>13505</v>
      </c>
      <c r="AI3151" t="s">
        <v>24965</v>
      </c>
      <c r="AJ3151" t="s">
        <v>24966</v>
      </c>
      <c r="AM3151" t="s">
        <v>4472</v>
      </c>
      <c r="AN3151" t="s">
        <v>2413</v>
      </c>
      <c r="AO3151" t="s">
        <v>24967</v>
      </c>
      <c r="AP3151" t="s">
        <v>7024</v>
      </c>
      <c r="AQ3151" t="s">
        <v>24968</v>
      </c>
      <c r="AR3151" t="s">
        <v>24969</v>
      </c>
      <c r="AT3151" s="184">
        <v>44088</v>
      </c>
      <c r="AU3151" t="s">
        <v>24970</v>
      </c>
      <c r="AV3151">
        <v>250</v>
      </c>
      <c r="AW3151" s="184">
        <v>44354</v>
      </c>
      <c r="AX3151" t="s">
        <v>24971</v>
      </c>
      <c r="AY3151">
        <v>250</v>
      </c>
      <c r="AZ3151" s="184">
        <v>44354</v>
      </c>
      <c r="BA3151" t="s">
        <v>24971</v>
      </c>
      <c r="BB3151">
        <v>250</v>
      </c>
      <c r="BC3151">
        <v>40</v>
      </c>
      <c r="BD3151">
        <v>500</v>
      </c>
      <c r="BE3151">
        <v>2021</v>
      </c>
      <c r="BF3151">
        <v>2</v>
      </c>
      <c r="BI3151">
        <v>2</v>
      </c>
      <c r="BJ3151">
        <v>5</v>
      </c>
      <c r="BK3151">
        <v>2</v>
      </c>
      <c r="BP3151" s="184"/>
    </row>
    <row r="3152" spans="1:68">
      <c r="A3152">
        <v>100182819</v>
      </c>
      <c r="B3152">
        <v>37860491</v>
      </c>
      <c r="C3152" t="s">
        <v>7018</v>
      </c>
      <c r="E3152" s="184"/>
      <c r="G3152" s="184"/>
      <c r="I3152" s="184"/>
      <c r="J3152" t="s">
        <v>595</v>
      </c>
      <c r="K3152" s="184">
        <v>38533</v>
      </c>
      <c r="O3152" s="184"/>
      <c r="P3152" t="s">
        <v>7045</v>
      </c>
      <c r="Q3152" t="s">
        <v>7160</v>
      </c>
      <c r="R3152" s="184">
        <v>19869</v>
      </c>
      <c r="S3152">
        <v>69</v>
      </c>
      <c r="U3152" t="s">
        <v>7031</v>
      </c>
      <c r="V3152" t="s">
        <v>2614</v>
      </c>
      <c r="W3152" t="s">
        <v>7560</v>
      </c>
      <c r="X3152" t="s">
        <v>4584</v>
      </c>
      <c r="Z3152">
        <v>37860491</v>
      </c>
      <c r="AA3152" t="s">
        <v>7130</v>
      </c>
      <c r="AB3152" t="s">
        <v>13505</v>
      </c>
      <c r="AD3152" t="s">
        <v>4584</v>
      </c>
      <c r="AF3152" t="s">
        <v>6750</v>
      </c>
      <c r="AG3152" t="s">
        <v>13505</v>
      </c>
      <c r="AI3152" t="s">
        <v>24965</v>
      </c>
      <c r="AJ3152" t="s">
        <v>24966</v>
      </c>
      <c r="AM3152" t="s">
        <v>4472</v>
      </c>
      <c r="AN3152" t="s">
        <v>2413</v>
      </c>
      <c r="AO3152" t="s">
        <v>24967</v>
      </c>
      <c r="AP3152" t="s">
        <v>7024</v>
      </c>
      <c r="AT3152" s="184"/>
      <c r="AW3152" s="184"/>
      <c r="AZ3152" s="184"/>
      <c r="BO3152" t="s">
        <v>595</v>
      </c>
      <c r="BP3152" s="184">
        <v>41987</v>
      </c>
    </row>
    <row r="3153" spans="1:68">
      <c r="A3153">
        <v>37866266</v>
      </c>
      <c r="B3153">
        <v>37866266</v>
      </c>
      <c r="C3153" t="s">
        <v>7018</v>
      </c>
      <c r="D3153" t="s">
        <v>595</v>
      </c>
      <c r="E3153" s="184">
        <v>44065</v>
      </c>
      <c r="G3153" s="184"/>
      <c r="I3153" s="184"/>
      <c r="K3153" s="184"/>
      <c r="O3153" s="184"/>
      <c r="P3153" t="s">
        <v>7045</v>
      </c>
      <c r="Q3153" t="s">
        <v>7494</v>
      </c>
      <c r="R3153" s="184">
        <v>20424</v>
      </c>
      <c r="S3153">
        <v>68</v>
      </c>
      <c r="U3153" t="s">
        <v>7076</v>
      </c>
      <c r="V3153" t="s">
        <v>3317</v>
      </c>
      <c r="X3153" t="s">
        <v>24972</v>
      </c>
      <c r="AF3153" t="s">
        <v>24973</v>
      </c>
      <c r="AG3153" t="s">
        <v>3317</v>
      </c>
      <c r="AI3153" t="s">
        <v>24974</v>
      </c>
      <c r="AM3153" t="s">
        <v>23601</v>
      </c>
      <c r="AN3153" t="s">
        <v>2174</v>
      </c>
      <c r="AO3153" t="s">
        <v>24975</v>
      </c>
      <c r="AP3153" t="s">
        <v>7024</v>
      </c>
      <c r="AQ3153" t="s">
        <v>24976</v>
      </c>
      <c r="AT3153" s="184">
        <v>38509</v>
      </c>
      <c r="AU3153" t="s">
        <v>24977</v>
      </c>
      <c r="AV3153">
        <v>20</v>
      </c>
      <c r="AW3153" s="184">
        <v>45426</v>
      </c>
      <c r="AX3153" t="s">
        <v>7422</v>
      </c>
      <c r="AY3153">
        <v>15</v>
      </c>
      <c r="AZ3153" s="184">
        <v>41373</v>
      </c>
      <c r="BA3153" t="s">
        <v>24978</v>
      </c>
      <c r="BB3153">
        <v>65</v>
      </c>
      <c r="BC3153">
        <v>80</v>
      </c>
      <c r="BD3153">
        <v>1860</v>
      </c>
      <c r="BE3153">
        <v>2005</v>
      </c>
      <c r="BF3153">
        <v>124</v>
      </c>
      <c r="BG3153">
        <v>24</v>
      </c>
      <c r="BH3153">
        <v>360</v>
      </c>
      <c r="BI3153">
        <v>16</v>
      </c>
      <c r="BJ3153">
        <v>20</v>
      </c>
      <c r="BK3153">
        <v>12</v>
      </c>
      <c r="BN3153" t="s">
        <v>595</v>
      </c>
      <c r="BP3153" s="184"/>
    </row>
    <row r="3154" spans="1:68">
      <c r="A3154">
        <v>37869914</v>
      </c>
      <c r="B3154">
        <v>37869914</v>
      </c>
      <c r="C3154" t="s">
        <v>7018</v>
      </c>
      <c r="D3154" t="s">
        <v>595</v>
      </c>
      <c r="E3154" s="184">
        <v>45147</v>
      </c>
      <c r="G3154" s="184"/>
      <c r="I3154" s="184"/>
      <c r="K3154" s="184"/>
      <c r="O3154" s="184"/>
      <c r="P3154" t="s">
        <v>7045</v>
      </c>
      <c r="Q3154" t="s">
        <v>7383</v>
      </c>
      <c r="R3154" s="184">
        <v>25324</v>
      </c>
      <c r="S3154">
        <v>55</v>
      </c>
      <c r="V3154" t="s">
        <v>4210</v>
      </c>
      <c r="X3154" t="s">
        <v>3353</v>
      </c>
      <c r="Z3154">
        <v>100109501</v>
      </c>
      <c r="AB3154" t="s">
        <v>4022</v>
      </c>
      <c r="AD3154" t="s">
        <v>3353</v>
      </c>
      <c r="AF3154" t="s">
        <v>24979</v>
      </c>
      <c r="AG3154" t="s">
        <v>24980</v>
      </c>
      <c r="AI3154" t="s">
        <v>24981</v>
      </c>
      <c r="AM3154" t="s">
        <v>4994</v>
      </c>
      <c r="AN3154" t="s">
        <v>2139</v>
      </c>
      <c r="AO3154" t="s">
        <v>24982</v>
      </c>
      <c r="AP3154" t="s">
        <v>7024</v>
      </c>
      <c r="AQ3154" t="s">
        <v>24983</v>
      </c>
      <c r="AT3154" s="184">
        <v>38509</v>
      </c>
      <c r="AU3154" t="s">
        <v>24984</v>
      </c>
      <c r="AV3154">
        <v>50</v>
      </c>
      <c r="AW3154" s="184">
        <v>45057</v>
      </c>
      <c r="AX3154" t="s">
        <v>24985</v>
      </c>
      <c r="AY3154">
        <v>52.5</v>
      </c>
      <c r="AZ3154" s="184">
        <v>44888</v>
      </c>
      <c r="BA3154" t="s">
        <v>16237</v>
      </c>
      <c r="BB3154">
        <v>200</v>
      </c>
      <c r="BC3154">
        <v>95</v>
      </c>
      <c r="BD3154">
        <v>2952.5</v>
      </c>
      <c r="BE3154">
        <v>2005</v>
      </c>
      <c r="BF3154">
        <v>37</v>
      </c>
      <c r="BG3154">
        <v>5</v>
      </c>
      <c r="BH3154">
        <v>552.5</v>
      </c>
      <c r="BI3154">
        <v>19</v>
      </c>
      <c r="BJ3154">
        <v>20</v>
      </c>
      <c r="BK3154">
        <v>19</v>
      </c>
      <c r="BP3154" s="184"/>
    </row>
    <row r="3155" spans="1:68">
      <c r="A3155">
        <v>100109501</v>
      </c>
      <c r="B3155">
        <v>37869914</v>
      </c>
      <c r="C3155" t="s">
        <v>7018</v>
      </c>
      <c r="D3155" t="s">
        <v>595</v>
      </c>
      <c r="E3155" s="184">
        <v>45147</v>
      </c>
      <c r="G3155" s="184"/>
      <c r="K3155" s="184"/>
      <c r="M3155" s="184"/>
      <c r="O3155" s="184"/>
      <c r="P3155" t="s">
        <v>7045</v>
      </c>
      <c r="Q3155" t="s">
        <v>7383</v>
      </c>
      <c r="R3155" s="184">
        <v>25505</v>
      </c>
      <c r="S3155">
        <v>54</v>
      </c>
      <c r="V3155" t="s">
        <v>4022</v>
      </c>
      <c r="X3155" t="s">
        <v>3353</v>
      </c>
      <c r="Z3155">
        <v>37869914</v>
      </c>
      <c r="AB3155" t="s">
        <v>4210</v>
      </c>
      <c r="AD3155" t="s">
        <v>3353</v>
      </c>
      <c r="AF3155" t="s">
        <v>24979</v>
      </c>
      <c r="AG3155" t="s">
        <v>24980</v>
      </c>
      <c r="AI3155" t="s">
        <v>24981</v>
      </c>
      <c r="AM3155" t="s">
        <v>4994</v>
      </c>
      <c r="AN3155" t="s">
        <v>2139</v>
      </c>
      <c r="AO3155" t="s">
        <v>24982</v>
      </c>
      <c r="AP3155" t="s">
        <v>7024</v>
      </c>
      <c r="AT3155" s="184"/>
      <c r="AW3155" s="184"/>
      <c r="AZ3155" s="184"/>
      <c r="BP3155" s="184"/>
    </row>
    <row r="3156" spans="1:68">
      <c r="A3156">
        <v>37875358</v>
      </c>
      <c r="B3156">
        <v>37875358</v>
      </c>
      <c r="C3156" t="s">
        <v>7018</v>
      </c>
      <c r="D3156" t="s">
        <v>595</v>
      </c>
      <c r="E3156" s="184">
        <v>43642</v>
      </c>
      <c r="G3156" s="184"/>
      <c r="I3156" s="184"/>
      <c r="K3156" s="184"/>
      <c r="M3156" s="184"/>
      <c r="O3156" s="184"/>
      <c r="P3156" t="s">
        <v>7045</v>
      </c>
      <c r="Q3156" t="s">
        <v>7194</v>
      </c>
      <c r="R3156" s="184">
        <v>20699</v>
      </c>
      <c r="S3156">
        <v>67</v>
      </c>
      <c r="U3156" t="s">
        <v>7032</v>
      </c>
      <c r="V3156" t="s">
        <v>3363</v>
      </c>
      <c r="X3156" t="s">
        <v>3364</v>
      </c>
      <c r="AF3156" t="s">
        <v>24986</v>
      </c>
      <c r="AG3156" t="s">
        <v>3363</v>
      </c>
      <c r="AI3156" t="s">
        <v>24987</v>
      </c>
      <c r="AM3156" t="s">
        <v>4402</v>
      </c>
      <c r="AN3156" t="s">
        <v>2046</v>
      </c>
      <c r="AO3156" t="s">
        <v>24988</v>
      </c>
      <c r="AP3156" t="s">
        <v>7024</v>
      </c>
      <c r="AQ3156" t="s">
        <v>24989</v>
      </c>
      <c r="AR3156" t="s">
        <v>24990</v>
      </c>
      <c r="AT3156" s="184">
        <v>38509</v>
      </c>
      <c r="AU3156" t="s">
        <v>24991</v>
      </c>
      <c r="AV3156">
        <v>15</v>
      </c>
      <c r="AW3156" s="184">
        <v>45105</v>
      </c>
      <c r="AX3156" t="s">
        <v>24992</v>
      </c>
      <c r="AY3156">
        <v>100</v>
      </c>
      <c r="AZ3156" s="184">
        <v>45105</v>
      </c>
      <c r="BA3156" t="s">
        <v>24992</v>
      </c>
      <c r="BB3156">
        <v>100</v>
      </c>
      <c r="BC3156">
        <v>95</v>
      </c>
      <c r="BD3156">
        <v>1625</v>
      </c>
      <c r="BE3156">
        <v>2005</v>
      </c>
      <c r="BF3156">
        <v>20</v>
      </c>
      <c r="BG3156">
        <v>2</v>
      </c>
      <c r="BH3156">
        <v>200</v>
      </c>
      <c r="BI3156">
        <v>19</v>
      </c>
      <c r="BJ3156">
        <v>20</v>
      </c>
      <c r="BK3156">
        <v>19</v>
      </c>
      <c r="BP3156" s="184"/>
    </row>
    <row r="3157" spans="1:68">
      <c r="A3157">
        <v>37875648</v>
      </c>
      <c r="B3157">
        <v>37875648</v>
      </c>
      <c r="C3157" t="s">
        <v>7018</v>
      </c>
      <c r="D3157" t="s">
        <v>595</v>
      </c>
      <c r="E3157" s="184">
        <v>43801</v>
      </c>
      <c r="G3157" s="184"/>
      <c r="I3157" s="184"/>
      <c r="K3157" s="184"/>
      <c r="O3157" s="184"/>
      <c r="P3157" t="s">
        <v>7045</v>
      </c>
      <c r="Q3157" t="s">
        <v>7374</v>
      </c>
      <c r="R3157" s="184">
        <v>16163</v>
      </c>
      <c r="S3157">
        <v>80</v>
      </c>
      <c r="U3157" t="s">
        <v>7076</v>
      </c>
      <c r="V3157" t="s">
        <v>3223</v>
      </c>
      <c r="X3157" t="s">
        <v>4412</v>
      </c>
      <c r="Z3157">
        <v>100109526</v>
      </c>
      <c r="AA3157" t="s">
        <v>7031</v>
      </c>
      <c r="AB3157" t="s">
        <v>3254</v>
      </c>
      <c r="AC3157" t="s">
        <v>7067</v>
      </c>
      <c r="AD3157" t="s">
        <v>21893</v>
      </c>
      <c r="AF3157" t="s">
        <v>24993</v>
      </c>
      <c r="AG3157" t="s">
        <v>3223</v>
      </c>
      <c r="AI3157" t="s">
        <v>24994</v>
      </c>
      <c r="AM3157" t="s">
        <v>4413</v>
      </c>
      <c r="AN3157" t="s">
        <v>2081</v>
      </c>
      <c r="AO3157" t="s">
        <v>24995</v>
      </c>
      <c r="AP3157" t="s">
        <v>7024</v>
      </c>
      <c r="AQ3157" t="s">
        <v>24996</v>
      </c>
      <c r="AT3157" s="184">
        <v>38509</v>
      </c>
      <c r="AU3157" t="s">
        <v>24872</v>
      </c>
      <c r="AV3157">
        <v>15</v>
      </c>
      <c r="AW3157" s="184">
        <v>44659</v>
      </c>
      <c r="AX3157" t="s">
        <v>17687</v>
      </c>
      <c r="AY3157">
        <v>50</v>
      </c>
      <c r="AZ3157" s="184">
        <v>44266</v>
      </c>
      <c r="BA3157" t="s">
        <v>24997</v>
      </c>
      <c r="BB3157">
        <v>500</v>
      </c>
      <c r="BC3157">
        <v>70</v>
      </c>
      <c r="BD3157">
        <v>3015</v>
      </c>
      <c r="BE3157">
        <v>2005</v>
      </c>
      <c r="BF3157">
        <v>14</v>
      </c>
      <c r="BI3157">
        <v>14</v>
      </c>
      <c r="BJ3157">
        <v>20</v>
      </c>
      <c r="BK3157">
        <v>11</v>
      </c>
      <c r="BN3157" t="s">
        <v>595</v>
      </c>
      <c r="BP3157" s="184"/>
    </row>
    <row r="3158" spans="1:68">
      <c r="A3158">
        <v>100109526</v>
      </c>
      <c r="B3158">
        <v>37875648</v>
      </c>
      <c r="C3158" t="s">
        <v>7018</v>
      </c>
      <c r="D3158" t="s">
        <v>595</v>
      </c>
      <c r="E3158" s="184">
        <v>43801</v>
      </c>
      <c r="G3158" s="184"/>
      <c r="I3158" s="184"/>
      <c r="K3158" s="184"/>
      <c r="O3158" s="184"/>
      <c r="P3158" t="s">
        <v>7045</v>
      </c>
      <c r="Q3158" t="s">
        <v>7374</v>
      </c>
      <c r="R3158" s="184">
        <v>16711</v>
      </c>
      <c r="S3158">
        <v>78</v>
      </c>
      <c r="U3158" t="s">
        <v>7031</v>
      </c>
      <c r="V3158" t="s">
        <v>3254</v>
      </c>
      <c r="W3158" t="s">
        <v>7067</v>
      </c>
      <c r="X3158" t="s">
        <v>21893</v>
      </c>
      <c r="Z3158">
        <v>37875648</v>
      </c>
      <c r="AA3158" t="s">
        <v>7076</v>
      </c>
      <c r="AB3158" t="s">
        <v>3223</v>
      </c>
      <c r="AD3158" t="s">
        <v>4412</v>
      </c>
      <c r="AF3158" t="s">
        <v>24993</v>
      </c>
      <c r="AG3158" t="s">
        <v>3223</v>
      </c>
      <c r="AI3158" t="s">
        <v>24994</v>
      </c>
      <c r="AM3158" t="s">
        <v>4413</v>
      </c>
      <c r="AN3158" t="s">
        <v>2081</v>
      </c>
      <c r="AO3158" t="s">
        <v>24995</v>
      </c>
      <c r="AP3158" t="s">
        <v>7024</v>
      </c>
      <c r="AQ3158" t="s">
        <v>24996</v>
      </c>
      <c r="AR3158" t="s">
        <v>24998</v>
      </c>
      <c r="AT3158" s="184">
        <v>43829</v>
      </c>
      <c r="AU3158" t="s">
        <v>16719</v>
      </c>
      <c r="AV3158">
        <v>300</v>
      </c>
      <c r="AW3158" s="184">
        <v>43829</v>
      </c>
      <c r="AX3158" t="s">
        <v>16719</v>
      </c>
      <c r="AY3158">
        <v>300</v>
      </c>
      <c r="AZ3158" s="184">
        <v>43829</v>
      </c>
      <c r="BA3158" t="s">
        <v>16719</v>
      </c>
      <c r="BB3158">
        <v>300</v>
      </c>
      <c r="BC3158">
        <v>17</v>
      </c>
      <c r="BD3158">
        <v>300</v>
      </c>
      <c r="BE3158">
        <v>2020</v>
      </c>
      <c r="BF3158">
        <v>1</v>
      </c>
      <c r="BI3158">
        <v>1</v>
      </c>
      <c r="BJ3158">
        <v>6</v>
      </c>
      <c r="BK3158">
        <v>1</v>
      </c>
      <c r="BO3158" t="s">
        <v>595</v>
      </c>
      <c r="BP3158" s="184">
        <v>44099</v>
      </c>
    </row>
    <row r="3159" spans="1:68">
      <c r="A3159">
        <v>37876521</v>
      </c>
      <c r="B3159">
        <v>37876521</v>
      </c>
      <c r="C3159" t="s">
        <v>7018</v>
      </c>
      <c r="D3159" t="s">
        <v>595</v>
      </c>
      <c r="E3159" s="184">
        <v>43861</v>
      </c>
      <c r="G3159" s="184"/>
      <c r="I3159" s="184"/>
      <c r="K3159" s="184"/>
      <c r="O3159" s="184"/>
      <c r="P3159" t="s">
        <v>7045</v>
      </c>
      <c r="Q3159" t="s">
        <v>7374</v>
      </c>
      <c r="R3159" s="184">
        <v>24654</v>
      </c>
      <c r="S3159">
        <v>56</v>
      </c>
      <c r="U3159" t="s">
        <v>7076</v>
      </c>
      <c r="V3159" t="s">
        <v>2938</v>
      </c>
      <c r="X3159" t="s">
        <v>2706</v>
      </c>
      <c r="AF3159" t="s">
        <v>24999</v>
      </c>
      <c r="AG3159" t="s">
        <v>2938</v>
      </c>
      <c r="AI3159" t="s">
        <v>25000</v>
      </c>
      <c r="AM3159" t="s">
        <v>4593</v>
      </c>
      <c r="AN3159" t="s">
        <v>2081</v>
      </c>
      <c r="AO3159" t="s">
        <v>25001</v>
      </c>
      <c r="AP3159" t="s">
        <v>7024</v>
      </c>
      <c r="AQ3159" t="s">
        <v>25002</v>
      </c>
      <c r="AT3159" s="184">
        <v>38509</v>
      </c>
      <c r="AU3159" t="s">
        <v>25003</v>
      </c>
      <c r="AV3159">
        <v>25</v>
      </c>
      <c r="AW3159" s="184">
        <v>45380</v>
      </c>
      <c r="AX3159" t="s">
        <v>9559</v>
      </c>
      <c r="AY3159">
        <v>100</v>
      </c>
      <c r="AZ3159" s="184">
        <v>44916</v>
      </c>
      <c r="BA3159" t="s">
        <v>18059</v>
      </c>
      <c r="BB3159">
        <v>200</v>
      </c>
      <c r="BC3159">
        <v>85</v>
      </c>
      <c r="BD3159">
        <v>2865</v>
      </c>
      <c r="BE3159">
        <v>2005</v>
      </c>
      <c r="BF3159">
        <v>47</v>
      </c>
      <c r="BG3159">
        <v>5</v>
      </c>
      <c r="BH3159">
        <v>575</v>
      </c>
      <c r="BI3159">
        <v>17</v>
      </c>
      <c r="BJ3159">
        <v>20</v>
      </c>
      <c r="BK3159">
        <v>13</v>
      </c>
      <c r="BN3159" t="s">
        <v>595</v>
      </c>
      <c r="BP3159" s="184"/>
    </row>
    <row r="3160" spans="1:68">
      <c r="A3160">
        <v>37895182</v>
      </c>
      <c r="B3160">
        <v>37895182</v>
      </c>
      <c r="C3160" t="s">
        <v>7018</v>
      </c>
      <c r="E3160" s="184"/>
      <c r="G3160" s="184"/>
      <c r="K3160" s="184"/>
      <c r="N3160" t="s">
        <v>595</v>
      </c>
      <c r="O3160" s="184">
        <v>40317</v>
      </c>
      <c r="P3160" t="s">
        <v>7045</v>
      </c>
      <c r="Q3160" t="s">
        <v>7194</v>
      </c>
      <c r="R3160" s="184"/>
      <c r="U3160" t="s">
        <v>7076</v>
      </c>
      <c r="V3160" t="s">
        <v>5866</v>
      </c>
      <c r="W3160" t="s">
        <v>7248</v>
      </c>
      <c r="X3160" t="s">
        <v>5867</v>
      </c>
      <c r="AF3160" t="s">
        <v>25004</v>
      </c>
      <c r="AG3160" t="s">
        <v>5866</v>
      </c>
      <c r="AI3160" t="s">
        <v>25005</v>
      </c>
      <c r="AM3160" t="s">
        <v>5868</v>
      </c>
      <c r="AN3160" t="s">
        <v>2046</v>
      </c>
      <c r="AO3160" t="s">
        <v>25006</v>
      </c>
      <c r="AP3160" t="s">
        <v>7024</v>
      </c>
      <c r="AQ3160" t="s">
        <v>25007</v>
      </c>
      <c r="AR3160" t="s">
        <v>25008</v>
      </c>
      <c r="AT3160" s="184">
        <v>35513</v>
      </c>
      <c r="AU3160" t="s">
        <v>18973</v>
      </c>
      <c r="AV3160">
        <v>25</v>
      </c>
      <c r="AW3160" s="184">
        <v>45300</v>
      </c>
      <c r="AX3160" t="s">
        <v>18549</v>
      </c>
      <c r="AY3160">
        <v>35</v>
      </c>
      <c r="AZ3160" s="184">
        <v>40317</v>
      </c>
      <c r="BA3160" t="s">
        <v>20993</v>
      </c>
      <c r="BB3160">
        <v>15000</v>
      </c>
      <c r="BC3160">
        <v>90</v>
      </c>
      <c r="BD3160">
        <v>16655</v>
      </c>
      <c r="BE3160">
        <v>1997</v>
      </c>
      <c r="BF3160">
        <v>49</v>
      </c>
      <c r="BG3160">
        <v>3</v>
      </c>
      <c r="BH3160">
        <v>140</v>
      </c>
      <c r="BI3160">
        <v>25</v>
      </c>
      <c r="BJ3160">
        <v>28</v>
      </c>
      <c r="BK3160">
        <v>13</v>
      </c>
      <c r="BP3160" s="184"/>
    </row>
    <row r="3161" spans="1:68">
      <c r="A3161">
        <v>37898293</v>
      </c>
      <c r="B3161">
        <v>37898293</v>
      </c>
      <c r="C3161" t="s">
        <v>7018</v>
      </c>
      <c r="D3161" t="s">
        <v>595</v>
      </c>
      <c r="E3161" s="184">
        <v>43801</v>
      </c>
      <c r="G3161" s="184"/>
      <c r="I3161" s="184"/>
      <c r="K3161" s="184"/>
      <c r="O3161" s="184"/>
      <c r="P3161" t="s">
        <v>7045</v>
      </c>
      <c r="Q3161" t="s">
        <v>7194</v>
      </c>
      <c r="R3161" s="184">
        <v>16148</v>
      </c>
      <c r="S3161">
        <v>80</v>
      </c>
      <c r="V3161" t="s">
        <v>4414</v>
      </c>
      <c r="X3161" t="s">
        <v>4415</v>
      </c>
      <c r="AF3161" t="s">
        <v>25009</v>
      </c>
      <c r="AG3161" t="s">
        <v>4414</v>
      </c>
      <c r="AI3161" t="s">
        <v>25010</v>
      </c>
      <c r="AM3161" t="s">
        <v>4416</v>
      </c>
      <c r="AN3161" t="s">
        <v>2046</v>
      </c>
      <c r="AO3161" t="s">
        <v>25011</v>
      </c>
      <c r="AP3161" t="s">
        <v>7024</v>
      </c>
      <c r="AQ3161" t="s">
        <v>25012</v>
      </c>
      <c r="AR3161" t="s">
        <v>25013</v>
      </c>
      <c r="AT3161" s="184">
        <v>38512</v>
      </c>
      <c r="AU3161" t="s">
        <v>24956</v>
      </c>
      <c r="AV3161">
        <v>20</v>
      </c>
      <c r="AW3161" s="184">
        <v>45248</v>
      </c>
      <c r="AX3161" t="s">
        <v>8185</v>
      </c>
      <c r="AY3161">
        <v>100</v>
      </c>
      <c r="AZ3161" s="184">
        <v>45248</v>
      </c>
      <c r="BA3161" t="s">
        <v>8185</v>
      </c>
      <c r="BB3161">
        <v>100</v>
      </c>
      <c r="BC3161">
        <v>85</v>
      </c>
      <c r="BD3161">
        <v>1375</v>
      </c>
      <c r="BE3161">
        <v>2005</v>
      </c>
      <c r="BF3161">
        <v>19</v>
      </c>
      <c r="BG3161">
        <v>2</v>
      </c>
      <c r="BH3161">
        <v>200</v>
      </c>
      <c r="BI3161">
        <v>17</v>
      </c>
      <c r="BJ3161">
        <v>20</v>
      </c>
      <c r="BK3161">
        <v>11</v>
      </c>
      <c r="BP3161" s="184"/>
    </row>
    <row r="3162" spans="1:68">
      <c r="A3162">
        <v>37902459</v>
      </c>
      <c r="B3162">
        <v>37902459</v>
      </c>
      <c r="C3162" t="s">
        <v>7018</v>
      </c>
      <c r="E3162" s="184"/>
      <c r="G3162" s="184"/>
      <c r="I3162" s="184"/>
      <c r="J3162" t="s">
        <v>595</v>
      </c>
      <c r="K3162" s="184">
        <v>42521</v>
      </c>
      <c r="O3162" s="184"/>
      <c r="P3162" t="s">
        <v>7045</v>
      </c>
      <c r="Q3162" t="s">
        <v>7160</v>
      </c>
      <c r="R3162" s="184">
        <v>24397</v>
      </c>
      <c r="S3162">
        <v>57</v>
      </c>
      <c r="U3162" t="s">
        <v>7031</v>
      </c>
      <c r="V3162" t="s">
        <v>17960</v>
      </c>
      <c r="X3162" t="s">
        <v>25014</v>
      </c>
      <c r="AF3162" t="s">
        <v>6471</v>
      </c>
      <c r="AG3162" t="s">
        <v>17960</v>
      </c>
      <c r="AI3162" t="s">
        <v>25015</v>
      </c>
      <c r="AM3162" t="s">
        <v>25016</v>
      </c>
      <c r="AN3162" t="s">
        <v>2395</v>
      </c>
      <c r="AO3162" t="s">
        <v>25017</v>
      </c>
      <c r="AP3162" t="s">
        <v>7024</v>
      </c>
      <c r="AQ3162" t="s">
        <v>25018</v>
      </c>
      <c r="AT3162" s="184">
        <v>38513</v>
      </c>
      <c r="AU3162" t="s">
        <v>25019</v>
      </c>
      <c r="AV3162">
        <v>15</v>
      </c>
      <c r="AW3162" s="184">
        <v>45198</v>
      </c>
      <c r="AX3162" t="s">
        <v>25020</v>
      </c>
      <c r="AY3162">
        <v>100</v>
      </c>
      <c r="AZ3162" s="184">
        <v>45198</v>
      </c>
      <c r="BA3162" t="s">
        <v>25020</v>
      </c>
      <c r="BB3162">
        <v>100</v>
      </c>
      <c r="BC3162">
        <v>95</v>
      </c>
      <c r="BD3162">
        <v>1700</v>
      </c>
      <c r="BE3162">
        <v>2005</v>
      </c>
      <c r="BF3162">
        <v>36</v>
      </c>
      <c r="BG3162">
        <v>7</v>
      </c>
      <c r="BH3162">
        <v>600</v>
      </c>
      <c r="BI3162">
        <v>19</v>
      </c>
      <c r="BJ3162">
        <v>20</v>
      </c>
      <c r="BK3162">
        <v>19</v>
      </c>
      <c r="BP3162" s="184"/>
    </row>
    <row r="3163" spans="1:68">
      <c r="A3163">
        <v>37907524</v>
      </c>
      <c r="B3163">
        <v>37907524</v>
      </c>
      <c r="C3163" t="s">
        <v>7018</v>
      </c>
      <c r="E3163" s="184"/>
      <c r="G3163" s="184"/>
      <c r="I3163" s="184"/>
      <c r="K3163" s="184"/>
      <c r="N3163" t="s">
        <v>595</v>
      </c>
      <c r="O3163" s="184">
        <v>38744</v>
      </c>
      <c r="P3163" t="s">
        <v>7045</v>
      </c>
      <c r="Q3163" t="s">
        <v>7020</v>
      </c>
      <c r="R3163" s="184">
        <v>11111</v>
      </c>
      <c r="S3163">
        <v>93</v>
      </c>
      <c r="U3163" t="s">
        <v>7031</v>
      </c>
      <c r="V3163" t="s">
        <v>3246</v>
      </c>
      <c r="W3163" t="s">
        <v>15927</v>
      </c>
      <c r="X3163" t="s">
        <v>3201</v>
      </c>
      <c r="AF3163" t="s">
        <v>6042</v>
      </c>
      <c r="AG3163" t="s">
        <v>25021</v>
      </c>
      <c r="AI3163" t="s">
        <v>25022</v>
      </c>
      <c r="AM3163" t="s">
        <v>4905</v>
      </c>
      <c r="AN3163" t="s">
        <v>2052</v>
      </c>
      <c r="AO3163" t="s">
        <v>25023</v>
      </c>
      <c r="AP3163" t="s">
        <v>7024</v>
      </c>
      <c r="AT3163" s="184">
        <v>38532</v>
      </c>
      <c r="AU3163" t="s">
        <v>25024</v>
      </c>
      <c r="AV3163">
        <v>15</v>
      </c>
      <c r="AW3163" s="184">
        <v>39006</v>
      </c>
      <c r="AX3163" t="s">
        <v>25025</v>
      </c>
      <c r="AY3163">
        <v>25</v>
      </c>
      <c r="AZ3163" s="184">
        <v>38744</v>
      </c>
      <c r="BA3163" t="s">
        <v>8406</v>
      </c>
      <c r="BB3163">
        <v>10000</v>
      </c>
      <c r="BC3163">
        <v>10</v>
      </c>
      <c r="BD3163">
        <v>10040</v>
      </c>
      <c r="BE3163">
        <v>2005</v>
      </c>
      <c r="BF3163">
        <v>3</v>
      </c>
      <c r="BI3163">
        <v>2</v>
      </c>
      <c r="BJ3163">
        <v>20</v>
      </c>
      <c r="BK3163">
        <v>2</v>
      </c>
      <c r="BO3163" t="s">
        <v>595</v>
      </c>
      <c r="BP3163" s="184">
        <v>42826</v>
      </c>
    </row>
    <row r="3164" spans="1:68">
      <c r="A3164">
        <v>37909132</v>
      </c>
      <c r="B3164">
        <v>37909132</v>
      </c>
      <c r="C3164" t="s">
        <v>7018</v>
      </c>
      <c r="D3164" t="s">
        <v>595</v>
      </c>
      <c r="E3164" s="184">
        <v>45124</v>
      </c>
      <c r="G3164" s="184"/>
      <c r="I3164" s="184"/>
      <c r="K3164" s="184"/>
      <c r="M3164" s="184"/>
      <c r="O3164" s="184"/>
      <c r="P3164" t="s">
        <v>7045</v>
      </c>
      <c r="Q3164" t="s">
        <v>7020</v>
      </c>
      <c r="R3164" s="184">
        <v>23743</v>
      </c>
      <c r="S3164">
        <v>59</v>
      </c>
      <c r="V3164" t="s">
        <v>7446</v>
      </c>
      <c r="X3164" t="s">
        <v>3500</v>
      </c>
      <c r="AF3164" t="s">
        <v>25026</v>
      </c>
      <c r="AG3164" t="s">
        <v>7446</v>
      </c>
      <c r="AI3164" t="s">
        <v>25027</v>
      </c>
      <c r="AM3164" t="s">
        <v>25028</v>
      </c>
      <c r="AN3164" t="s">
        <v>2465</v>
      </c>
      <c r="AO3164" t="s">
        <v>25029</v>
      </c>
      <c r="AP3164" t="s">
        <v>7024</v>
      </c>
      <c r="AT3164" s="184">
        <v>38516</v>
      </c>
      <c r="AU3164" t="s">
        <v>25030</v>
      </c>
      <c r="AV3164">
        <v>15</v>
      </c>
      <c r="AW3164" s="184">
        <v>45411</v>
      </c>
      <c r="AX3164" t="s">
        <v>7414</v>
      </c>
      <c r="AY3164">
        <v>22</v>
      </c>
      <c r="AZ3164" s="184">
        <v>44806</v>
      </c>
      <c r="BA3164" t="s">
        <v>25031</v>
      </c>
      <c r="BB3164">
        <v>40</v>
      </c>
      <c r="BC3164">
        <v>100</v>
      </c>
      <c r="BD3164">
        <v>4402</v>
      </c>
      <c r="BE3164">
        <v>2005</v>
      </c>
      <c r="BF3164">
        <v>208</v>
      </c>
      <c r="BG3164">
        <v>28</v>
      </c>
      <c r="BH3164">
        <v>635</v>
      </c>
      <c r="BI3164">
        <v>20</v>
      </c>
      <c r="BJ3164">
        <v>20</v>
      </c>
      <c r="BK3164">
        <v>20</v>
      </c>
      <c r="BP3164" s="184"/>
    </row>
    <row r="3165" spans="1:68">
      <c r="A3165">
        <v>37912433</v>
      </c>
      <c r="B3165">
        <v>37912433</v>
      </c>
      <c r="C3165" t="s">
        <v>7018</v>
      </c>
      <c r="E3165" s="184"/>
      <c r="G3165" s="184"/>
      <c r="I3165" s="184"/>
      <c r="J3165" t="s">
        <v>595</v>
      </c>
      <c r="K3165" s="184">
        <v>44452</v>
      </c>
      <c r="O3165" s="184"/>
      <c r="P3165" t="s">
        <v>7045</v>
      </c>
      <c r="Q3165" t="s">
        <v>7494</v>
      </c>
      <c r="R3165" s="184">
        <v>17777</v>
      </c>
      <c r="S3165">
        <v>75</v>
      </c>
      <c r="V3165" t="s">
        <v>25032</v>
      </c>
      <c r="X3165" t="s">
        <v>25033</v>
      </c>
      <c r="AF3165" t="s">
        <v>25034</v>
      </c>
      <c r="AG3165" t="s">
        <v>25032</v>
      </c>
      <c r="AI3165" t="s">
        <v>25035</v>
      </c>
      <c r="AM3165" t="s">
        <v>4268</v>
      </c>
      <c r="AN3165" t="s">
        <v>2174</v>
      </c>
      <c r="AO3165" t="s">
        <v>25036</v>
      </c>
      <c r="AP3165" t="s">
        <v>7024</v>
      </c>
      <c r="AT3165" s="184">
        <v>38516</v>
      </c>
      <c r="AU3165" t="s">
        <v>25037</v>
      </c>
      <c r="AV3165">
        <v>18</v>
      </c>
      <c r="AW3165" s="184">
        <v>44193</v>
      </c>
      <c r="AX3165" t="s">
        <v>25038</v>
      </c>
      <c r="AY3165">
        <v>35</v>
      </c>
      <c r="AZ3165" s="184">
        <v>43460</v>
      </c>
      <c r="BA3165" t="s">
        <v>13777</v>
      </c>
      <c r="BB3165">
        <v>36</v>
      </c>
      <c r="BC3165">
        <v>30</v>
      </c>
      <c r="BD3165">
        <v>179</v>
      </c>
      <c r="BE3165">
        <v>2005</v>
      </c>
      <c r="BF3165">
        <v>7</v>
      </c>
      <c r="BI3165">
        <v>6</v>
      </c>
      <c r="BJ3165">
        <v>20</v>
      </c>
      <c r="BK3165">
        <v>2</v>
      </c>
      <c r="BP3165" s="184"/>
    </row>
    <row r="3166" spans="1:68">
      <c r="A3166">
        <v>37913571</v>
      </c>
      <c r="B3166">
        <v>37913571</v>
      </c>
      <c r="C3166" t="s">
        <v>7018</v>
      </c>
      <c r="E3166" s="184"/>
      <c r="F3166" t="s">
        <v>595</v>
      </c>
      <c r="G3166" s="184">
        <v>43864</v>
      </c>
      <c r="I3166" s="184"/>
      <c r="K3166" s="184"/>
      <c r="M3166" s="184"/>
      <c r="O3166" s="184"/>
      <c r="P3166" t="s">
        <v>7045</v>
      </c>
      <c r="Q3166" t="s">
        <v>7262</v>
      </c>
      <c r="R3166" s="184">
        <v>12751</v>
      </c>
      <c r="S3166">
        <v>89</v>
      </c>
      <c r="V3166" t="s">
        <v>3409</v>
      </c>
      <c r="X3166" t="s">
        <v>4667</v>
      </c>
      <c r="AF3166" t="s">
        <v>25039</v>
      </c>
      <c r="AG3166" t="s">
        <v>3409</v>
      </c>
      <c r="AI3166" t="s">
        <v>25040</v>
      </c>
      <c r="AM3166" t="s">
        <v>4668</v>
      </c>
      <c r="AN3166" t="s">
        <v>2069</v>
      </c>
      <c r="AO3166" t="s">
        <v>25041</v>
      </c>
      <c r="AP3166" t="s">
        <v>7024</v>
      </c>
      <c r="AQ3166" t="s">
        <v>25042</v>
      </c>
      <c r="AT3166" s="184">
        <v>38516</v>
      </c>
      <c r="AU3166" t="s">
        <v>25043</v>
      </c>
      <c r="AV3166">
        <v>15</v>
      </c>
      <c r="AW3166" s="184">
        <v>44659</v>
      </c>
      <c r="AX3166" t="s">
        <v>25044</v>
      </c>
      <c r="AY3166">
        <v>25</v>
      </c>
      <c r="AZ3166" s="184">
        <v>42107</v>
      </c>
      <c r="BA3166" t="s">
        <v>25045</v>
      </c>
      <c r="BB3166">
        <v>60</v>
      </c>
      <c r="BC3166">
        <v>85</v>
      </c>
      <c r="BD3166">
        <v>408</v>
      </c>
      <c r="BE3166">
        <v>2005</v>
      </c>
      <c r="BF3166">
        <v>27</v>
      </c>
      <c r="BI3166">
        <v>17</v>
      </c>
      <c r="BJ3166">
        <v>20</v>
      </c>
      <c r="BK3166">
        <v>12</v>
      </c>
      <c r="BN3166" t="s">
        <v>595</v>
      </c>
      <c r="BP3166" s="184"/>
    </row>
    <row r="3167" spans="1:68">
      <c r="A3167">
        <v>37930609</v>
      </c>
      <c r="B3167">
        <v>37930609</v>
      </c>
      <c r="C3167" t="s">
        <v>7018</v>
      </c>
      <c r="D3167" t="s">
        <v>595</v>
      </c>
      <c r="E3167" s="184">
        <v>43801</v>
      </c>
      <c r="G3167" s="184"/>
      <c r="I3167" s="184"/>
      <c r="K3167" s="184"/>
      <c r="O3167" s="184"/>
      <c r="P3167" t="s">
        <v>7045</v>
      </c>
      <c r="Q3167" t="s">
        <v>7374</v>
      </c>
      <c r="R3167" s="184">
        <v>19360</v>
      </c>
      <c r="S3167">
        <v>71</v>
      </c>
      <c r="V3167" t="s">
        <v>2903</v>
      </c>
      <c r="X3167" t="s">
        <v>4417</v>
      </c>
      <c r="Z3167">
        <v>100109725</v>
      </c>
      <c r="AB3167" t="s">
        <v>15927</v>
      </c>
      <c r="AD3167" t="s">
        <v>4128</v>
      </c>
      <c r="AF3167" t="s">
        <v>25046</v>
      </c>
      <c r="AG3167" t="s">
        <v>25047</v>
      </c>
      <c r="AI3167" t="s">
        <v>25048</v>
      </c>
      <c r="AM3167" t="s">
        <v>4248</v>
      </c>
      <c r="AN3167" t="s">
        <v>2081</v>
      </c>
      <c r="AO3167" t="s">
        <v>25049</v>
      </c>
      <c r="AP3167" t="s">
        <v>7024</v>
      </c>
      <c r="AT3167" s="184">
        <v>38520</v>
      </c>
      <c r="AU3167" t="s">
        <v>25050</v>
      </c>
      <c r="AV3167">
        <v>25</v>
      </c>
      <c r="AW3167" s="184">
        <v>45300</v>
      </c>
      <c r="AX3167" t="s">
        <v>7092</v>
      </c>
      <c r="AY3167">
        <v>25</v>
      </c>
      <c r="AZ3167" s="184">
        <v>44615</v>
      </c>
      <c r="BA3167" t="s">
        <v>19504</v>
      </c>
      <c r="BB3167">
        <v>100</v>
      </c>
      <c r="BC3167">
        <v>85</v>
      </c>
      <c r="BD3167">
        <v>1160</v>
      </c>
      <c r="BE3167">
        <v>2005</v>
      </c>
      <c r="BF3167">
        <v>21</v>
      </c>
      <c r="BG3167">
        <v>3</v>
      </c>
      <c r="BH3167">
        <v>95</v>
      </c>
      <c r="BI3167">
        <v>17</v>
      </c>
      <c r="BJ3167">
        <v>20</v>
      </c>
      <c r="BK3167">
        <v>13</v>
      </c>
      <c r="BP3167" s="184"/>
    </row>
    <row r="3168" spans="1:68">
      <c r="A3168">
        <v>100109725</v>
      </c>
      <c r="B3168">
        <v>37930609</v>
      </c>
      <c r="C3168" t="s">
        <v>7018</v>
      </c>
      <c r="D3168" t="s">
        <v>595</v>
      </c>
      <c r="E3168" s="184">
        <v>43801</v>
      </c>
      <c r="G3168" s="184"/>
      <c r="I3168" s="184"/>
      <c r="K3168" s="184"/>
      <c r="M3168" s="184"/>
      <c r="O3168" s="184"/>
      <c r="P3168" t="s">
        <v>7045</v>
      </c>
      <c r="Q3168" t="s">
        <v>7374</v>
      </c>
      <c r="R3168" s="184">
        <v>19360</v>
      </c>
      <c r="S3168">
        <v>71</v>
      </c>
      <c r="V3168" t="s">
        <v>15927</v>
      </c>
      <c r="X3168" t="s">
        <v>4128</v>
      </c>
      <c r="Z3168">
        <v>37930609</v>
      </c>
      <c r="AB3168" t="s">
        <v>2903</v>
      </c>
      <c r="AD3168" t="s">
        <v>4417</v>
      </c>
      <c r="AF3168" t="s">
        <v>25046</v>
      </c>
      <c r="AG3168" t="s">
        <v>25047</v>
      </c>
      <c r="AI3168" t="s">
        <v>25048</v>
      </c>
      <c r="AM3168" t="s">
        <v>4248</v>
      </c>
      <c r="AN3168" t="s">
        <v>2081</v>
      </c>
      <c r="AO3168" t="s">
        <v>25049</v>
      </c>
      <c r="AP3168" t="s">
        <v>7024</v>
      </c>
      <c r="AQ3168" t="s">
        <v>25051</v>
      </c>
      <c r="AT3168" s="184"/>
      <c r="AW3168" s="184"/>
      <c r="AZ3168" s="184"/>
    </row>
    <row r="3169" spans="1:68">
      <c r="A3169">
        <v>37937760</v>
      </c>
      <c r="B3169">
        <v>37937760</v>
      </c>
      <c r="C3169" t="s">
        <v>7018</v>
      </c>
      <c r="D3169" t="s">
        <v>595</v>
      </c>
      <c r="E3169" s="184">
        <v>45120</v>
      </c>
      <c r="G3169" s="184"/>
      <c r="I3169" s="184"/>
      <c r="K3169" s="184"/>
      <c r="O3169" s="184"/>
      <c r="P3169" t="s">
        <v>7045</v>
      </c>
      <c r="Q3169" t="s">
        <v>7160</v>
      </c>
      <c r="R3169" s="184">
        <v>15342</v>
      </c>
      <c r="S3169">
        <v>82</v>
      </c>
      <c r="U3169" t="s">
        <v>7031</v>
      </c>
      <c r="V3169" t="s">
        <v>3830</v>
      </c>
      <c r="X3169" t="s">
        <v>25052</v>
      </c>
      <c r="AF3169" t="s">
        <v>25053</v>
      </c>
      <c r="AG3169" t="s">
        <v>25054</v>
      </c>
      <c r="AI3169" t="s">
        <v>25055</v>
      </c>
      <c r="AM3169" t="s">
        <v>25056</v>
      </c>
      <c r="AN3169" t="s">
        <v>2176</v>
      </c>
      <c r="AO3169" t="s">
        <v>25057</v>
      </c>
      <c r="AP3169" t="s">
        <v>7024</v>
      </c>
      <c r="AQ3169" t="s">
        <v>25058</v>
      </c>
      <c r="AR3169" t="s">
        <v>25059</v>
      </c>
      <c r="AT3169" s="184">
        <v>38518</v>
      </c>
      <c r="AU3169" t="s">
        <v>25060</v>
      </c>
      <c r="AV3169">
        <v>25</v>
      </c>
      <c r="AW3169" s="184">
        <v>44917</v>
      </c>
      <c r="AX3169" t="s">
        <v>25061</v>
      </c>
      <c r="AY3169">
        <v>25</v>
      </c>
      <c r="AZ3169" s="184">
        <v>40798</v>
      </c>
      <c r="BA3169" t="s">
        <v>25062</v>
      </c>
      <c r="BB3169">
        <v>55</v>
      </c>
      <c r="BC3169">
        <v>60</v>
      </c>
      <c r="BD3169">
        <v>608</v>
      </c>
      <c r="BE3169">
        <v>2005</v>
      </c>
      <c r="BF3169">
        <v>16</v>
      </c>
      <c r="BG3169">
        <v>1</v>
      </c>
      <c r="BH3169">
        <v>25</v>
      </c>
      <c r="BI3169">
        <v>12</v>
      </c>
      <c r="BJ3169">
        <v>20</v>
      </c>
      <c r="BK3169">
        <v>4</v>
      </c>
      <c r="BP3169" s="184"/>
    </row>
    <row r="3170" spans="1:68">
      <c r="A3170">
        <v>37942455</v>
      </c>
      <c r="B3170">
        <v>37942455</v>
      </c>
      <c r="C3170" t="s">
        <v>7018</v>
      </c>
      <c r="D3170" t="s">
        <v>595</v>
      </c>
      <c r="E3170" s="184">
        <v>43642</v>
      </c>
      <c r="G3170" s="184"/>
      <c r="I3170" s="184"/>
      <c r="K3170" s="184"/>
      <c r="O3170" s="184"/>
      <c r="P3170" t="s">
        <v>7045</v>
      </c>
      <c r="Q3170" t="s">
        <v>7020</v>
      </c>
      <c r="R3170" s="184">
        <v>17228</v>
      </c>
      <c r="S3170">
        <v>77</v>
      </c>
      <c r="U3170" t="s">
        <v>7130</v>
      </c>
      <c r="V3170" t="s">
        <v>3317</v>
      </c>
      <c r="X3170" t="s">
        <v>3366</v>
      </c>
      <c r="AF3170" t="s">
        <v>25063</v>
      </c>
      <c r="AG3170" t="s">
        <v>3317</v>
      </c>
      <c r="AI3170" t="s">
        <v>25064</v>
      </c>
      <c r="AM3170" t="s">
        <v>3367</v>
      </c>
      <c r="AN3170" t="s">
        <v>2112</v>
      </c>
      <c r="AO3170" t="s">
        <v>25065</v>
      </c>
      <c r="AP3170" t="s">
        <v>7024</v>
      </c>
      <c r="AQ3170" t="s">
        <v>25066</v>
      </c>
      <c r="AR3170" t="s">
        <v>25067</v>
      </c>
      <c r="AT3170" s="184">
        <v>38523</v>
      </c>
      <c r="AU3170" t="s">
        <v>25068</v>
      </c>
      <c r="AV3170">
        <v>15</v>
      </c>
      <c r="AW3170" s="184">
        <v>45422</v>
      </c>
      <c r="AX3170" t="s">
        <v>7422</v>
      </c>
      <c r="AY3170">
        <v>25</v>
      </c>
      <c r="AZ3170" s="184">
        <v>45324</v>
      </c>
      <c r="BA3170" t="s">
        <v>25069</v>
      </c>
      <c r="BB3170">
        <v>75</v>
      </c>
      <c r="BC3170">
        <v>95</v>
      </c>
      <c r="BD3170">
        <v>4480</v>
      </c>
      <c r="BE3170">
        <v>2005</v>
      </c>
      <c r="BF3170">
        <v>185</v>
      </c>
      <c r="BG3170">
        <v>42</v>
      </c>
      <c r="BH3170">
        <v>1100</v>
      </c>
      <c r="BI3170">
        <v>19</v>
      </c>
      <c r="BJ3170">
        <v>20</v>
      </c>
      <c r="BK3170">
        <v>17</v>
      </c>
      <c r="BP3170" s="184"/>
    </row>
    <row r="3171" spans="1:68">
      <c r="A3171">
        <v>37965340</v>
      </c>
      <c r="B3171">
        <v>37965340</v>
      </c>
      <c r="C3171" t="s">
        <v>7018</v>
      </c>
      <c r="D3171" t="s">
        <v>595</v>
      </c>
      <c r="E3171" s="184">
        <v>43669</v>
      </c>
      <c r="G3171" s="184"/>
      <c r="I3171" s="184"/>
      <c r="K3171" s="184"/>
      <c r="O3171" s="184"/>
      <c r="P3171" t="s">
        <v>7019</v>
      </c>
      <c r="Q3171" t="s">
        <v>7383</v>
      </c>
      <c r="R3171" s="184">
        <v>9713</v>
      </c>
      <c r="S3171">
        <v>97</v>
      </c>
      <c r="V3171" t="s">
        <v>3663</v>
      </c>
      <c r="X3171" t="s">
        <v>3664</v>
      </c>
      <c r="Z3171">
        <v>100109824</v>
      </c>
      <c r="AB3171" t="s">
        <v>2742</v>
      </c>
      <c r="AD3171" t="s">
        <v>3664</v>
      </c>
      <c r="AF3171" t="s">
        <v>25070</v>
      </c>
      <c r="AG3171" t="s">
        <v>25071</v>
      </c>
      <c r="AI3171" t="s">
        <v>25072</v>
      </c>
      <c r="AM3171" t="s">
        <v>3498</v>
      </c>
      <c r="AN3171" t="s">
        <v>2162</v>
      </c>
      <c r="AO3171" t="s">
        <v>25073</v>
      </c>
      <c r="AP3171" t="s">
        <v>7024</v>
      </c>
      <c r="AQ3171" t="s">
        <v>25074</v>
      </c>
      <c r="AR3171" t="s">
        <v>25075</v>
      </c>
      <c r="AT3171" s="184">
        <v>38540</v>
      </c>
      <c r="AU3171" t="s">
        <v>25076</v>
      </c>
      <c r="AV3171">
        <v>10</v>
      </c>
      <c r="AW3171" s="184">
        <v>45040</v>
      </c>
      <c r="AX3171" t="s">
        <v>25077</v>
      </c>
      <c r="AY3171">
        <v>60</v>
      </c>
      <c r="AZ3171" s="184">
        <v>45040</v>
      </c>
      <c r="BA3171" t="s">
        <v>25077</v>
      </c>
      <c r="BB3171">
        <v>60</v>
      </c>
      <c r="BC3171">
        <v>55</v>
      </c>
      <c r="BD3171">
        <v>405</v>
      </c>
      <c r="BE3171">
        <v>2006</v>
      </c>
      <c r="BF3171">
        <v>13</v>
      </c>
      <c r="BG3171">
        <v>1</v>
      </c>
      <c r="BH3171">
        <v>60</v>
      </c>
      <c r="BI3171">
        <v>11</v>
      </c>
      <c r="BJ3171">
        <v>20</v>
      </c>
      <c r="BK3171">
        <v>7</v>
      </c>
      <c r="BP3171" s="184"/>
    </row>
    <row r="3172" spans="1:68">
      <c r="A3172">
        <v>100109824</v>
      </c>
      <c r="B3172">
        <v>37965340</v>
      </c>
      <c r="C3172" t="s">
        <v>7018</v>
      </c>
      <c r="D3172" t="s">
        <v>595</v>
      </c>
      <c r="E3172" s="184">
        <v>43669</v>
      </c>
      <c r="G3172" s="184"/>
      <c r="I3172" s="184"/>
      <c r="K3172" s="184"/>
      <c r="O3172" s="184"/>
      <c r="P3172" t="s">
        <v>7019</v>
      </c>
      <c r="Q3172" t="s">
        <v>7383</v>
      </c>
      <c r="R3172" s="184">
        <v>22443</v>
      </c>
      <c r="S3172">
        <v>62</v>
      </c>
      <c r="V3172" t="s">
        <v>2742</v>
      </c>
      <c r="X3172" t="s">
        <v>3664</v>
      </c>
      <c r="Z3172">
        <v>37965340</v>
      </c>
      <c r="AB3172" t="s">
        <v>3663</v>
      </c>
      <c r="AD3172" t="s">
        <v>3664</v>
      </c>
      <c r="AF3172" t="s">
        <v>25070</v>
      </c>
      <c r="AG3172" t="s">
        <v>25071</v>
      </c>
      <c r="AI3172" t="s">
        <v>25072</v>
      </c>
      <c r="AM3172" t="s">
        <v>3498</v>
      </c>
      <c r="AN3172" t="s">
        <v>2162</v>
      </c>
      <c r="AO3172" t="s">
        <v>25073</v>
      </c>
      <c r="AP3172" t="s">
        <v>7024</v>
      </c>
      <c r="AQ3172" t="s">
        <v>25074</v>
      </c>
      <c r="AT3172" s="184">
        <v>44124</v>
      </c>
      <c r="AU3172" t="s">
        <v>9633</v>
      </c>
      <c r="AV3172">
        <v>50</v>
      </c>
      <c r="AW3172" s="184">
        <v>44927</v>
      </c>
      <c r="AX3172" t="s">
        <v>13849</v>
      </c>
      <c r="AY3172">
        <v>60</v>
      </c>
      <c r="AZ3172" s="184">
        <v>44927</v>
      </c>
      <c r="BA3172" t="s">
        <v>13849</v>
      </c>
      <c r="BB3172">
        <v>60</v>
      </c>
      <c r="BC3172">
        <v>60</v>
      </c>
      <c r="BD3172">
        <v>170</v>
      </c>
      <c r="BE3172">
        <v>2021</v>
      </c>
      <c r="BF3172">
        <v>3</v>
      </c>
      <c r="BG3172">
        <v>1</v>
      </c>
      <c r="BH3172">
        <v>60</v>
      </c>
      <c r="BI3172">
        <v>3</v>
      </c>
      <c r="BJ3172">
        <v>5</v>
      </c>
      <c r="BK3172">
        <v>2</v>
      </c>
      <c r="BP3172" s="184"/>
    </row>
    <row r="3173" spans="1:68">
      <c r="A3173">
        <v>37967577</v>
      </c>
      <c r="B3173">
        <v>37967577</v>
      </c>
      <c r="C3173" t="s">
        <v>7018</v>
      </c>
      <c r="D3173" t="s">
        <v>595</v>
      </c>
      <c r="E3173" s="184">
        <v>44313</v>
      </c>
      <c r="G3173" s="184"/>
      <c r="I3173" s="184"/>
      <c r="K3173" s="184"/>
      <c r="O3173" s="184"/>
      <c r="P3173" t="s">
        <v>7045</v>
      </c>
      <c r="Q3173" t="s">
        <v>7262</v>
      </c>
      <c r="R3173" s="184">
        <v>16699</v>
      </c>
      <c r="S3173">
        <v>78</v>
      </c>
      <c r="U3173" t="s">
        <v>7031</v>
      </c>
      <c r="V3173" t="s">
        <v>25078</v>
      </c>
      <c r="X3173" t="s">
        <v>25079</v>
      </c>
      <c r="Z3173">
        <v>100109840</v>
      </c>
      <c r="AA3173" t="s">
        <v>7032</v>
      </c>
      <c r="AB3173" t="s">
        <v>25080</v>
      </c>
      <c r="AD3173" t="s">
        <v>3204</v>
      </c>
      <c r="AF3173" t="s">
        <v>25081</v>
      </c>
      <c r="AG3173" t="s">
        <v>25082</v>
      </c>
      <c r="AI3173" t="s">
        <v>25083</v>
      </c>
      <c r="AM3173" t="s">
        <v>2730</v>
      </c>
      <c r="AN3173" t="s">
        <v>2069</v>
      </c>
      <c r="AO3173" t="s">
        <v>25084</v>
      </c>
      <c r="AP3173" t="s">
        <v>7024</v>
      </c>
      <c r="AQ3173" t="s">
        <v>25085</v>
      </c>
      <c r="AR3173" t="s">
        <v>25086</v>
      </c>
      <c r="AT3173" s="184">
        <v>38540</v>
      </c>
      <c r="AU3173" t="s">
        <v>25076</v>
      </c>
      <c r="AV3173">
        <v>25</v>
      </c>
      <c r="AW3173" s="184">
        <v>44933</v>
      </c>
      <c r="AX3173" t="s">
        <v>9576</v>
      </c>
      <c r="AY3173">
        <v>50</v>
      </c>
      <c r="AZ3173" s="184">
        <v>38723</v>
      </c>
      <c r="BA3173" t="s">
        <v>25087</v>
      </c>
      <c r="BB3173">
        <v>100</v>
      </c>
      <c r="BC3173">
        <v>90</v>
      </c>
      <c r="BD3173">
        <v>1597</v>
      </c>
      <c r="BE3173">
        <v>2006</v>
      </c>
      <c r="BF3173">
        <v>56</v>
      </c>
      <c r="BG3173">
        <v>2</v>
      </c>
      <c r="BH3173">
        <v>100</v>
      </c>
      <c r="BI3173">
        <v>18</v>
      </c>
      <c r="BJ3173">
        <v>20</v>
      </c>
      <c r="BK3173">
        <v>10</v>
      </c>
      <c r="BP3173" s="184"/>
    </row>
    <row r="3174" spans="1:68">
      <c r="A3174">
        <v>100109840</v>
      </c>
      <c r="B3174">
        <v>37967577</v>
      </c>
      <c r="C3174" t="s">
        <v>7018</v>
      </c>
      <c r="D3174" t="s">
        <v>595</v>
      </c>
      <c r="E3174" s="184">
        <v>44313</v>
      </c>
      <c r="G3174" s="184"/>
      <c r="I3174" s="184"/>
      <c r="K3174" s="184"/>
      <c r="M3174" s="184"/>
      <c r="O3174" s="184"/>
      <c r="P3174" t="s">
        <v>7045</v>
      </c>
      <c r="Q3174" t="s">
        <v>7262</v>
      </c>
      <c r="R3174" s="184">
        <v>23647</v>
      </c>
      <c r="S3174">
        <v>59</v>
      </c>
      <c r="U3174" t="s">
        <v>7032</v>
      </c>
      <c r="V3174" t="s">
        <v>25080</v>
      </c>
      <c r="X3174" t="s">
        <v>3204</v>
      </c>
      <c r="Z3174">
        <v>37967577</v>
      </c>
      <c r="AA3174" t="s">
        <v>7031</v>
      </c>
      <c r="AB3174" t="s">
        <v>25078</v>
      </c>
      <c r="AD3174" t="s">
        <v>25079</v>
      </c>
      <c r="AF3174" t="s">
        <v>25081</v>
      </c>
      <c r="AG3174" t="s">
        <v>25082</v>
      </c>
      <c r="AI3174" t="s">
        <v>25083</v>
      </c>
      <c r="AM3174" t="s">
        <v>2730</v>
      </c>
      <c r="AN3174" t="s">
        <v>2069</v>
      </c>
      <c r="AO3174" t="s">
        <v>25084</v>
      </c>
      <c r="AP3174" t="s">
        <v>7024</v>
      </c>
      <c r="AQ3174" t="s">
        <v>25088</v>
      </c>
      <c r="AR3174" t="s">
        <v>25089</v>
      </c>
      <c r="AT3174" s="184">
        <v>43802</v>
      </c>
      <c r="AU3174" t="s">
        <v>7260</v>
      </c>
      <c r="AV3174">
        <v>100</v>
      </c>
      <c r="AW3174" s="184">
        <v>43802</v>
      </c>
      <c r="AX3174" t="s">
        <v>7260</v>
      </c>
      <c r="AY3174">
        <v>100</v>
      </c>
      <c r="AZ3174" s="184">
        <v>43802</v>
      </c>
      <c r="BA3174" t="s">
        <v>7260</v>
      </c>
      <c r="BB3174">
        <v>100</v>
      </c>
      <c r="BC3174">
        <v>17</v>
      </c>
      <c r="BD3174">
        <v>100</v>
      </c>
      <c r="BE3174">
        <v>2020</v>
      </c>
      <c r="BF3174">
        <v>1</v>
      </c>
      <c r="BI3174">
        <v>1</v>
      </c>
      <c r="BJ3174">
        <v>6</v>
      </c>
      <c r="BK3174">
        <v>1</v>
      </c>
      <c r="BN3174" t="s">
        <v>595</v>
      </c>
      <c r="BP3174" s="184"/>
    </row>
    <row r="3175" spans="1:68">
      <c r="A3175">
        <v>37975372</v>
      </c>
      <c r="B3175">
        <v>37975372</v>
      </c>
      <c r="C3175" t="s">
        <v>7018</v>
      </c>
      <c r="D3175" t="s">
        <v>595</v>
      </c>
      <c r="E3175" s="184">
        <v>44073</v>
      </c>
      <c r="G3175" s="184"/>
      <c r="I3175" s="184"/>
      <c r="K3175" s="184"/>
      <c r="M3175" s="184"/>
      <c r="O3175" s="184"/>
      <c r="P3175" t="s">
        <v>7045</v>
      </c>
      <c r="Q3175" t="s">
        <v>7383</v>
      </c>
      <c r="R3175" s="184">
        <v>13803</v>
      </c>
      <c r="S3175">
        <v>86</v>
      </c>
      <c r="U3175" t="s">
        <v>7032</v>
      </c>
      <c r="V3175" t="s">
        <v>4140</v>
      </c>
      <c r="W3175" t="s">
        <v>7560</v>
      </c>
      <c r="X3175" t="s">
        <v>25090</v>
      </c>
      <c r="AF3175" t="s">
        <v>25091</v>
      </c>
      <c r="AG3175" t="s">
        <v>4140</v>
      </c>
      <c r="AI3175" t="s">
        <v>25092</v>
      </c>
      <c r="AM3175" t="s">
        <v>24106</v>
      </c>
      <c r="AN3175" t="s">
        <v>2185</v>
      </c>
      <c r="AO3175" t="s">
        <v>25093</v>
      </c>
      <c r="AP3175" t="s">
        <v>7024</v>
      </c>
      <c r="AQ3175" t="s">
        <v>25094</v>
      </c>
      <c r="AR3175" t="s">
        <v>25095</v>
      </c>
      <c r="AT3175" s="184">
        <v>38544</v>
      </c>
      <c r="AU3175" t="s">
        <v>25096</v>
      </c>
      <c r="AV3175">
        <v>10</v>
      </c>
      <c r="AW3175" s="184">
        <v>44937</v>
      </c>
      <c r="AX3175" t="s">
        <v>25097</v>
      </c>
      <c r="AY3175">
        <v>50</v>
      </c>
      <c r="AZ3175" s="184">
        <v>42429</v>
      </c>
      <c r="BA3175" t="s">
        <v>25098</v>
      </c>
      <c r="BB3175">
        <v>100</v>
      </c>
      <c r="BC3175">
        <v>85</v>
      </c>
      <c r="BD3175">
        <v>1050</v>
      </c>
      <c r="BE3175">
        <v>2006</v>
      </c>
      <c r="BF3175">
        <v>20</v>
      </c>
      <c r="BG3175">
        <v>1</v>
      </c>
      <c r="BH3175">
        <v>50</v>
      </c>
      <c r="BI3175">
        <v>17</v>
      </c>
      <c r="BJ3175">
        <v>20</v>
      </c>
      <c r="BK3175">
        <v>16</v>
      </c>
      <c r="BP3175" s="184"/>
    </row>
    <row r="3176" spans="1:68">
      <c r="A3176">
        <v>37989258</v>
      </c>
      <c r="B3176">
        <v>37989258</v>
      </c>
      <c r="C3176" t="s">
        <v>7018</v>
      </c>
      <c r="D3176" t="s">
        <v>595</v>
      </c>
      <c r="E3176" s="184">
        <v>43864</v>
      </c>
      <c r="G3176" s="184"/>
      <c r="I3176" s="184"/>
      <c r="K3176" s="184"/>
      <c r="O3176" s="184"/>
      <c r="P3176" t="s">
        <v>7045</v>
      </c>
      <c r="Q3176" t="s">
        <v>7383</v>
      </c>
      <c r="R3176" s="184">
        <v>17654</v>
      </c>
      <c r="S3176">
        <v>76</v>
      </c>
      <c r="U3176" t="s">
        <v>7076</v>
      </c>
      <c r="V3176" t="s">
        <v>3504</v>
      </c>
      <c r="X3176" t="s">
        <v>4232</v>
      </c>
      <c r="Z3176">
        <v>100234014</v>
      </c>
      <c r="AA3176" t="s">
        <v>7031</v>
      </c>
      <c r="AB3176" t="s">
        <v>2511</v>
      </c>
      <c r="AD3176" t="s">
        <v>4232</v>
      </c>
      <c r="AF3176" t="s">
        <v>25099</v>
      </c>
      <c r="AG3176" t="s">
        <v>25100</v>
      </c>
      <c r="AI3176" t="s">
        <v>25101</v>
      </c>
      <c r="AM3176" t="s">
        <v>4681</v>
      </c>
      <c r="AN3176" t="s">
        <v>2139</v>
      </c>
      <c r="AO3176" t="s">
        <v>25102</v>
      </c>
      <c r="AP3176" t="s">
        <v>7024</v>
      </c>
      <c r="AQ3176" t="s">
        <v>25103</v>
      </c>
      <c r="AR3176" t="s">
        <v>25104</v>
      </c>
      <c r="AT3176" s="184">
        <v>38547</v>
      </c>
      <c r="AU3176" t="s">
        <v>25105</v>
      </c>
      <c r="AV3176">
        <v>15</v>
      </c>
      <c r="AW3176" s="184">
        <v>43689</v>
      </c>
      <c r="AX3176" t="s">
        <v>25106</v>
      </c>
      <c r="AY3176">
        <v>20</v>
      </c>
      <c r="AZ3176" s="184">
        <v>38930</v>
      </c>
      <c r="BA3176" t="s">
        <v>25107</v>
      </c>
      <c r="BB3176">
        <v>50</v>
      </c>
      <c r="BC3176">
        <v>45</v>
      </c>
      <c r="BD3176">
        <v>201</v>
      </c>
      <c r="BE3176">
        <v>2006</v>
      </c>
      <c r="BF3176">
        <v>10</v>
      </c>
      <c r="BI3176">
        <v>9</v>
      </c>
      <c r="BJ3176">
        <v>20</v>
      </c>
      <c r="BK3176">
        <v>3</v>
      </c>
      <c r="BP3176" s="184"/>
    </row>
    <row r="3177" spans="1:68">
      <c r="A3177">
        <v>100234014</v>
      </c>
      <c r="B3177">
        <v>37989258</v>
      </c>
      <c r="C3177" t="s">
        <v>7018</v>
      </c>
      <c r="D3177" t="s">
        <v>595</v>
      </c>
      <c r="E3177" s="184">
        <v>43864</v>
      </c>
      <c r="G3177" s="184"/>
      <c r="I3177" s="184"/>
      <c r="K3177" s="184"/>
      <c r="O3177" s="184"/>
      <c r="P3177" t="s">
        <v>7045</v>
      </c>
      <c r="Q3177" t="s">
        <v>7383</v>
      </c>
      <c r="R3177" s="184">
        <v>16439</v>
      </c>
      <c r="S3177">
        <v>79</v>
      </c>
      <c r="U3177" t="s">
        <v>7031</v>
      </c>
      <c r="V3177" t="s">
        <v>2511</v>
      </c>
      <c r="X3177" t="s">
        <v>4232</v>
      </c>
      <c r="Z3177">
        <v>37989258</v>
      </c>
      <c r="AA3177" t="s">
        <v>7076</v>
      </c>
      <c r="AB3177" t="s">
        <v>3504</v>
      </c>
      <c r="AD3177" t="s">
        <v>4232</v>
      </c>
      <c r="AF3177" t="s">
        <v>25099</v>
      </c>
      <c r="AG3177" t="s">
        <v>25100</v>
      </c>
      <c r="AI3177" t="s">
        <v>25101</v>
      </c>
      <c r="AM3177" t="s">
        <v>4681</v>
      </c>
      <c r="AN3177" t="s">
        <v>2139</v>
      </c>
      <c r="AO3177" t="s">
        <v>25102</v>
      </c>
      <c r="AP3177" t="s">
        <v>7024</v>
      </c>
      <c r="AT3177" s="184"/>
      <c r="AW3177" s="184"/>
      <c r="AZ3177" s="184"/>
      <c r="BP3177" s="184"/>
    </row>
    <row r="3178" spans="1:68">
      <c r="A3178">
        <v>37989944</v>
      </c>
      <c r="B3178">
        <v>37989944</v>
      </c>
      <c r="C3178" t="s">
        <v>7018</v>
      </c>
      <c r="E3178" s="184"/>
      <c r="G3178" s="184"/>
      <c r="J3178" t="s">
        <v>595</v>
      </c>
      <c r="K3178" s="184">
        <v>42960</v>
      </c>
      <c r="M3178" s="184"/>
      <c r="O3178" s="184"/>
      <c r="P3178" t="s">
        <v>7045</v>
      </c>
      <c r="Q3178" t="s">
        <v>7262</v>
      </c>
      <c r="R3178" s="184">
        <v>18933</v>
      </c>
      <c r="S3178">
        <v>72</v>
      </c>
      <c r="U3178" t="s">
        <v>7031</v>
      </c>
      <c r="V3178" t="s">
        <v>3103</v>
      </c>
      <c r="X3178" t="s">
        <v>3321</v>
      </c>
      <c r="AF3178" t="s">
        <v>6561</v>
      </c>
      <c r="AG3178" t="s">
        <v>3103</v>
      </c>
      <c r="AI3178" t="s">
        <v>25108</v>
      </c>
      <c r="AM3178" t="s">
        <v>25109</v>
      </c>
      <c r="AN3178" t="s">
        <v>2106</v>
      </c>
      <c r="AO3178" t="s">
        <v>25110</v>
      </c>
      <c r="AP3178" t="s">
        <v>7024</v>
      </c>
      <c r="AQ3178" t="s">
        <v>25111</v>
      </c>
      <c r="AR3178" t="s">
        <v>25112</v>
      </c>
      <c r="AT3178" s="184">
        <v>38547</v>
      </c>
      <c r="AU3178" t="s">
        <v>25096</v>
      </c>
      <c r="AV3178">
        <v>25</v>
      </c>
      <c r="AW3178" s="184">
        <v>45191</v>
      </c>
      <c r="AX3178" t="s">
        <v>7168</v>
      </c>
      <c r="AY3178">
        <v>100</v>
      </c>
      <c r="AZ3178" s="184">
        <v>45191</v>
      </c>
      <c r="BA3178" t="s">
        <v>7168</v>
      </c>
      <c r="BB3178">
        <v>100</v>
      </c>
      <c r="BC3178">
        <v>95</v>
      </c>
      <c r="BD3178">
        <v>1010</v>
      </c>
      <c r="BE3178">
        <v>2006</v>
      </c>
      <c r="BF3178">
        <v>19</v>
      </c>
      <c r="BG3178">
        <v>2</v>
      </c>
      <c r="BH3178">
        <v>200</v>
      </c>
      <c r="BI3178">
        <v>19</v>
      </c>
      <c r="BJ3178">
        <v>20</v>
      </c>
      <c r="BK3178">
        <v>19</v>
      </c>
      <c r="BP3178" s="184"/>
    </row>
    <row r="3179" spans="1:68">
      <c r="A3179">
        <v>37995131</v>
      </c>
      <c r="B3179">
        <v>37995131</v>
      </c>
      <c r="C3179" t="s">
        <v>7018</v>
      </c>
      <c r="D3179" t="s">
        <v>595</v>
      </c>
      <c r="E3179" s="184">
        <v>43657</v>
      </c>
      <c r="G3179" s="184"/>
      <c r="I3179" s="184"/>
      <c r="K3179" s="184"/>
      <c r="O3179" s="184"/>
      <c r="P3179" t="s">
        <v>7045</v>
      </c>
      <c r="Q3179" t="s">
        <v>7030</v>
      </c>
      <c r="R3179" s="184">
        <v>17930</v>
      </c>
      <c r="S3179">
        <v>75</v>
      </c>
      <c r="V3179" t="s">
        <v>2733</v>
      </c>
      <c r="X3179" t="s">
        <v>3645</v>
      </c>
      <c r="AF3179" t="s">
        <v>25113</v>
      </c>
      <c r="AG3179" t="s">
        <v>2733</v>
      </c>
      <c r="AI3179" t="s">
        <v>25114</v>
      </c>
      <c r="AM3179" t="s">
        <v>2679</v>
      </c>
      <c r="AN3179" t="s">
        <v>2638</v>
      </c>
      <c r="AO3179" t="s">
        <v>25115</v>
      </c>
      <c r="AP3179" t="s">
        <v>7024</v>
      </c>
      <c r="AT3179" s="184">
        <v>38552</v>
      </c>
      <c r="AU3179" t="s">
        <v>25116</v>
      </c>
      <c r="AV3179">
        <v>15</v>
      </c>
      <c r="AW3179" s="184">
        <v>44018</v>
      </c>
      <c r="AX3179" t="s">
        <v>25117</v>
      </c>
      <c r="AY3179">
        <v>25</v>
      </c>
      <c r="AZ3179" s="184">
        <v>42191</v>
      </c>
      <c r="BA3179" t="s">
        <v>25118</v>
      </c>
      <c r="BB3179">
        <v>60</v>
      </c>
      <c r="BC3179">
        <v>60</v>
      </c>
      <c r="BD3179">
        <v>370</v>
      </c>
      <c r="BE3179">
        <v>2006</v>
      </c>
      <c r="BF3179">
        <v>17</v>
      </c>
      <c r="BI3179">
        <v>12</v>
      </c>
      <c r="BJ3179">
        <v>20</v>
      </c>
      <c r="BK3179">
        <v>4</v>
      </c>
      <c r="BP3179" s="184"/>
    </row>
    <row r="3180" spans="1:68">
      <c r="A3180">
        <v>37998812</v>
      </c>
      <c r="B3180">
        <v>37998812</v>
      </c>
      <c r="C3180" t="s">
        <v>7018</v>
      </c>
      <c r="E3180" s="184"/>
      <c r="G3180" s="184"/>
      <c r="I3180" s="184"/>
      <c r="J3180" t="s">
        <v>595</v>
      </c>
      <c r="K3180" s="184">
        <v>41955</v>
      </c>
      <c r="M3180" s="184"/>
      <c r="O3180" s="184"/>
      <c r="P3180" t="s">
        <v>7045</v>
      </c>
      <c r="Q3180" t="s">
        <v>7194</v>
      </c>
      <c r="R3180" s="184"/>
      <c r="U3180" t="s">
        <v>7076</v>
      </c>
      <c r="V3180" t="s">
        <v>3008</v>
      </c>
      <c r="X3180" t="s">
        <v>25119</v>
      </c>
      <c r="AF3180" t="s">
        <v>6613</v>
      </c>
      <c r="AG3180" t="s">
        <v>3008</v>
      </c>
      <c r="AI3180" t="s">
        <v>25120</v>
      </c>
      <c r="AM3180" t="s">
        <v>25121</v>
      </c>
      <c r="AN3180" t="s">
        <v>2046</v>
      </c>
      <c r="AO3180" t="s">
        <v>25122</v>
      </c>
      <c r="AP3180" t="s">
        <v>7024</v>
      </c>
      <c r="AQ3180" t="s">
        <v>25123</v>
      </c>
      <c r="AT3180" s="184">
        <v>38554</v>
      </c>
      <c r="AU3180" t="s">
        <v>25124</v>
      </c>
      <c r="AV3180">
        <v>15</v>
      </c>
      <c r="AW3180" s="184">
        <v>44118</v>
      </c>
      <c r="AX3180" t="s">
        <v>25125</v>
      </c>
      <c r="AY3180">
        <v>25</v>
      </c>
      <c r="AZ3180" s="184">
        <v>43609</v>
      </c>
      <c r="BA3180" t="s">
        <v>25126</v>
      </c>
      <c r="BB3180">
        <v>100</v>
      </c>
      <c r="BC3180">
        <v>40</v>
      </c>
      <c r="BD3180">
        <v>427</v>
      </c>
      <c r="BE3180">
        <v>2006</v>
      </c>
      <c r="BF3180">
        <v>9</v>
      </c>
      <c r="BI3180">
        <v>8</v>
      </c>
      <c r="BJ3180">
        <v>20</v>
      </c>
      <c r="BK3180">
        <v>3</v>
      </c>
      <c r="BP3180" s="184"/>
    </row>
    <row r="3181" spans="1:68">
      <c r="A3181">
        <v>38008652</v>
      </c>
      <c r="B3181">
        <v>38008652</v>
      </c>
      <c r="C3181" t="s">
        <v>7018</v>
      </c>
      <c r="D3181" t="s">
        <v>595</v>
      </c>
      <c r="E3181" s="184">
        <v>43642</v>
      </c>
      <c r="G3181" s="184"/>
      <c r="I3181" s="184"/>
      <c r="K3181" s="184"/>
      <c r="O3181" s="184"/>
      <c r="P3181" t="s">
        <v>7045</v>
      </c>
      <c r="Q3181" t="s">
        <v>7020</v>
      </c>
      <c r="R3181" s="184">
        <v>12389</v>
      </c>
      <c r="S3181">
        <v>90</v>
      </c>
      <c r="V3181" t="s">
        <v>3368</v>
      </c>
      <c r="W3181" t="s">
        <v>7560</v>
      </c>
      <c r="X3181" t="s">
        <v>3369</v>
      </c>
      <c r="AF3181" t="s">
        <v>25127</v>
      </c>
      <c r="AG3181" t="s">
        <v>3368</v>
      </c>
      <c r="AI3181" t="s">
        <v>25128</v>
      </c>
      <c r="AM3181" t="s">
        <v>3370</v>
      </c>
      <c r="AN3181" t="s">
        <v>2363</v>
      </c>
      <c r="AO3181" t="s">
        <v>25129</v>
      </c>
      <c r="AP3181" t="s">
        <v>7024</v>
      </c>
      <c r="AT3181" s="184">
        <v>38561</v>
      </c>
      <c r="AU3181" t="s">
        <v>25024</v>
      </c>
      <c r="AV3181">
        <v>25</v>
      </c>
      <c r="AW3181" s="184">
        <v>41698</v>
      </c>
      <c r="AX3181" t="s">
        <v>25130</v>
      </c>
      <c r="AY3181">
        <v>40</v>
      </c>
      <c r="AZ3181" s="184">
        <v>38894</v>
      </c>
      <c r="BA3181" t="s">
        <v>25131</v>
      </c>
      <c r="BB3181">
        <v>60</v>
      </c>
      <c r="BC3181">
        <v>40</v>
      </c>
      <c r="BD3181">
        <v>385</v>
      </c>
      <c r="BE3181">
        <v>2006</v>
      </c>
      <c r="BF3181">
        <v>12</v>
      </c>
      <c r="BI3181">
        <v>8</v>
      </c>
      <c r="BJ3181">
        <v>20</v>
      </c>
      <c r="BK3181">
        <v>5</v>
      </c>
      <c r="BP3181" s="184"/>
    </row>
    <row r="3182" spans="1:68">
      <c r="A3182">
        <v>38030680</v>
      </c>
      <c r="B3182">
        <v>38030680</v>
      </c>
      <c r="C3182" t="s">
        <v>7018</v>
      </c>
      <c r="E3182" s="184"/>
      <c r="G3182" s="184"/>
      <c r="I3182" s="184"/>
      <c r="J3182" t="s">
        <v>595</v>
      </c>
      <c r="K3182" s="184">
        <v>39603</v>
      </c>
      <c r="M3182" s="184"/>
      <c r="O3182" s="184"/>
      <c r="P3182" t="s">
        <v>7045</v>
      </c>
      <c r="Q3182" t="s">
        <v>7160</v>
      </c>
      <c r="R3182" s="184">
        <v>16428</v>
      </c>
      <c r="S3182">
        <v>79</v>
      </c>
      <c r="U3182" t="s">
        <v>7031</v>
      </c>
      <c r="V3182" t="s">
        <v>10325</v>
      </c>
      <c r="X3182" t="s">
        <v>25132</v>
      </c>
      <c r="AF3182" t="s">
        <v>6618</v>
      </c>
      <c r="AG3182" t="s">
        <v>10325</v>
      </c>
      <c r="AI3182" t="s">
        <v>25133</v>
      </c>
      <c r="AM3182" t="s">
        <v>3829</v>
      </c>
      <c r="AN3182" t="s">
        <v>2446</v>
      </c>
      <c r="AO3182" t="s">
        <v>25134</v>
      </c>
      <c r="AP3182" t="s">
        <v>7024</v>
      </c>
      <c r="AQ3182" t="s">
        <v>25135</v>
      </c>
      <c r="AR3182" t="s">
        <v>25136</v>
      </c>
      <c r="AT3182" s="184">
        <v>37124</v>
      </c>
      <c r="AU3182" t="s">
        <v>25137</v>
      </c>
      <c r="AV3182">
        <v>25</v>
      </c>
      <c r="AW3182" s="184">
        <v>43144</v>
      </c>
      <c r="AX3182" t="s">
        <v>10233</v>
      </c>
      <c r="AY3182">
        <v>35</v>
      </c>
      <c r="AZ3182" s="184">
        <v>43144</v>
      </c>
      <c r="BA3182" t="s">
        <v>10233</v>
      </c>
      <c r="BB3182">
        <v>35</v>
      </c>
      <c r="BC3182">
        <v>55</v>
      </c>
      <c r="BD3182">
        <v>383</v>
      </c>
      <c r="BE3182">
        <v>2002</v>
      </c>
      <c r="BF3182">
        <v>16</v>
      </c>
      <c r="BI3182">
        <v>13</v>
      </c>
      <c r="BJ3182">
        <v>24</v>
      </c>
      <c r="BK3182">
        <v>9</v>
      </c>
      <c r="BL3182" t="s">
        <v>595</v>
      </c>
      <c r="BP3182" s="184"/>
    </row>
    <row r="3183" spans="1:68">
      <c r="A3183">
        <v>38055877</v>
      </c>
      <c r="B3183">
        <v>38055877</v>
      </c>
      <c r="C3183" t="s">
        <v>7018</v>
      </c>
      <c r="D3183" t="s">
        <v>595</v>
      </c>
      <c r="E3183" s="184">
        <v>44441</v>
      </c>
      <c r="G3183" s="184"/>
      <c r="I3183" s="184"/>
      <c r="K3183" s="184"/>
      <c r="O3183" s="184"/>
      <c r="P3183" t="s">
        <v>7045</v>
      </c>
      <c r="Q3183" t="s">
        <v>7194</v>
      </c>
      <c r="R3183" s="184">
        <v>20155</v>
      </c>
      <c r="S3183">
        <v>69</v>
      </c>
      <c r="U3183" t="s">
        <v>7032</v>
      </c>
      <c r="V3183" t="s">
        <v>2049</v>
      </c>
      <c r="W3183" t="s">
        <v>4013</v>
      </c>
      <c r="X3183" t="s">
        <v>25138</v>
      </c>
      <c r="AF3183" t="s">
        <v>25139</v>
      </c>
      <c r="AG3183" t="s">
        <v>25140</v>
      </c>
      <c r="AI3183" t="s">
        <v>25141</v>
      </c>
      <c r="AM3183" t="s">
        <v>25142</v>
      </c>
      <c r="AN3183" t="s">
        <v>2046</v>
      </c>
      <c r="AO3183" t="s">
        <v>25143</v>
      </c>
      <c r="AP3183" t="s">
        <v>7024</v>
      </c>
      <c r="AT3183" s="184">
        <v>38579</v>
      </c>
      <c r="AU3183" t="s">
        <v>25144</v>
      </c>
      <c r="AV3183">
        <v>15</v>
      </c>
      <c r="AW3183" s="184">
        <v>45030</v>
      </c>
      <c r="AX3183" t="s">
        <v>25145</v>
      </c>
      <c r="AY3183">
        <v>25</v>
      </c>
      <c r="AZ3183" s="184">
        <v>43943</v>
      </c>
      <c r="BA3183" t="s">
        <v>16478</v>
      </c>
      <c r="BB3183">
        <v>60</v>
      </c>
      <c r="BC3183">
        <v>30</v>
      </c>
      <c r="BD3183">
        <v>190</v>
      </c>
      <c r="BE3183">
        <v>2006</v>
      </c>
      <c r="BF3183">
        <v>7</v>
      </c>
      <c r="BG3183">
        <v>1</v>
      </c>
      <c r="BH3183">
        <v>25</v>
      </c>
      <c r="BI3183">
        <v>6</v>
      </c>
      <c r="BJ3183">
        <v>20</v>
      </c>
      <c r="BK3183">
        <v>3</v>
      </c>
      <c r="BP3183" s="184"/>
    </row>
    <row r="3184" spans="1:68">
      <c r="A3184">
        <v>38057402</v>
      </c>
      <c r="B3184">
        <v>38057402</v>
      </c>
      <c r="C3184" t="s">
        <v>7018</v>
      </c>
      <c r="E3184" s="184"/>
      <c r="G3184" s="184"/>
      <c r="I3184" s="184"/>
      <c r="K3184" s="184"/>
      <c r="M3184" s="184"/>
      <c r="N3184" t="s">
        <v>595</v>
      </c>
      <c r="O3184" s="184">
        <v>39213</v>
      </c>
      <c r="P3184" t="s">
        <v>7045</v>
      </c>
      <c r="Q3184" t="s">
        <v>7160</v>
      </c>
      <c r="R3184" s="184">
        <v>7676</v>
      </c>
      <c r="S3184">
        <v>103</v>
      </c>
      <c r="V3184" t="s">
        <v>3373</v>
      </c>
      <c r="W3184" t="s">
        <v>7396</v>
      </c>
      <c r="X3184" t="s">
        <v>5678</v>
      </c>
      <c r="Y3184" t="s">
        <v>8154</v>
      </c>
      <c r="AF3184" t="s">
        <v>25146</v>
      </c>
      <c r="AG3184" t="s">
        <v>25147</v>
      </c>
      <c r="AI3184" t="s">
        <v>25148</v>
      </c>
      <c r="AM3184" t="s">
        <v>4670</v>
      </c>
      <c r="AN3184" t="s">
        <v>2203</v>
      </c>
      <c r="AO3184" t="s">
        <v>25149</v>
      </c>
      <c r="AP3184" t="s">
        <v>7024</v>
      </c>
      <c r="AT3184" s="184">
        <v>38579</v>
      </c>
      <c r="AU3184" t="s">
        <v>25150</v>
      </c>
      <c r="AV3184">
        <v>25</v>
      </c>
      <c r="AW3184" s="184">
        <v>39213</v>
      </c>
      <c r="AX3184" t="s">
        <v>9364</v>
      </c>
      <c r="AY3184">
        <v>25000</v>
      </c>
      <c r="AZ3184" s="184">
        <v>39213</v>
      </c>
      <c r="BA3184" t="s">
        <v>9364</v>
      </c>
      <c r="BB3184">
        <v>25000</v>
      </c>
      <c r="BC3184">
        <v>15</v>
      </c>
      <c r="BD3184">
        <v>25090</v>
      </c>
      <c r="BE3184">
        <v>2006</v>
      </c>
      <c r="BF3184">
        <v>5</v>
      </c>
      <c r="BI3184">
        <v>3</v>
      </c>
      <c r="BJ3184">
        <v>20</v>
      </c>
      <c r="BK3184">
        <v>3</v>
      </c>
      <c r="BO3184" t="s">
        <v>595</v>
      </c>
      <c r="BP3184" s="184">
        <v>40037</v>
      </c>
    </row>
    <row r="3185" spans="1:68">
      <c r="A3185">
        <v>38062535</v>
      </c>
      <c r="B3185">
        <v>38062535</v>
      </c>
      <c r="C3185" t="s">
        <v>7018</v>
      </c>
      <c r="E3185" s="184"/>
      <c r="G3185" s="184"/>
      <c r="I3185" s="184"/>
      <c r="J3185" t="s">
        <v>595</v>
      </c>
      <c r="K3185" s="184">
        <v>41912</v>
      </c>
      <c r="M3185" s="184"/>
      <c r="O3185" s="184"/>
      <c r="P3185" t="s">
        <v>7045</v>
      </c>
      <c r="Q3185" t="s">
        <v>7494</v>
      </c>
      <c r="R3185" s="184">
        <v>15067</v>
      </c>
      <c r="S3185">
        <v>83</v>
      </c>
      <c r="U3185" t="s">
        <v>7031</v>
      </c>
      <c r="V3185" t="s">
        <v>3632</v>
      </c>
      <c r="W3185" t="s">
        <v>7384</v>
      </c>
      <c r="X3185" t="s">
        <v>2597</v>
      </c>
      <c r="AF3185" t="s">
        <v>6223</v>
      </c>
      <c r="AG3185" t="s">
        <v>3632</v>
      </c>
      <c r="AI3185" t="s">
        <v>25151</v>
      </c>
      <c r="AM3185" t="s">
        <v>3770</v>
      </c>
      <c r="AN3185" t="s">
        <v>2174</v>
      </c>
      <c r="AO3185" t="s">
        <v>25152</v>
      </c>
      <c r="AP3185" t="s">
        <v>7024</v>
      </c>
      <c r="AQ3185" t="s">
        <v>25153</v>
      </c>
      <c r="AR3185" t="s">
        <v>25154</v>
      </c>
      <c r="AT3185" s="184">
        <v>38580</v>
      </c>
      <c r="AU3185" t="s">
        <v>25155</v>
      </c>
      <c r="AV3185">
        <v>25</v>
      </c>
      <c r="AW3185" s="184">
        <v>45412</v>
      </c>
      <c r="AX3185" t="s">
        <v>7429</v>
      </c>
      <c r="AY3185">
        <v>25</v>
      </c>
      <c r="AZ3185" s="184">
        <v>41236</v>
      </c>
      <c r="BA3185" t="s">
        <v>25156</v>
      </c>
      <c r="BB3185">
        <v>75</v>
      </c>
      <c r="BC3185">
        <v>95</v>
      </c>
      <c r="BD3185">
        <v>3777</v>
      </c>
      <c r="BE3185">
        <v>2006</v>
      </c>
      <c r="BF3185">
        <v>151</v>
      </c>
      <c r="BG3185">
        <v>25</v>
      </c>
      <c r="BH3185">
        <v>625</v>
      </c>
      <c r="BI3185">
        <v>19</v>
      </c>
      <c r="BJ3185">
        <v>20</v>
      </c>
      <c r="BK3185">
        <v>15</v>
      </c>
      <c r="BP3185" s="184"/>
    </row>
    <row r="3186" spans="1:68">
      <c r="A3186">
        <v>38063756</v>
      </c>
      <c r="B3186">
        <v>38063756</v>
      </c>
      <c r="C3186" t="s">
        <v>7018</v>
      </c>
      <c r="D3186" t="s">
        <v>595</v>
      </c>
      <c r="E3186" s="184">
        <v>43640</v>
      </c>
      <c r="G3186" s="184"/>
      <c r="I3186" s="184"/>
      <c r="K3186" s="184"/>
      <c r="O3186" s="184"/>
      <c r="P3186" t="s">
        <v>7045</v>
      </c>
      <c r="Q3186" t="s">
        <v>7383</v>
      </c>
      <c r="R3186" s="184">
        <v>20333</v>
      </c>
      <c r="S3186">
        <v>68</v>
      </c>
      <c r="V3186" t="s">
        <v>3011</v>
      </c>
      <c r="X3186" t="s">
        <v>3012</v>
      </c>
      <c r="AF3186" t="s">
        <v>25157</v>
      </c>
      <c r="AG3186" t="s">
        <v>3011</v>
      </c>
      <c r="AI3186" t="s">
        <v>25158</v>
      </c>
      <c r="AM3186" t="s">
        <v>3013</v>
      </c>
      <c r="AN3186" t="s">
        <v>2274</v>
      </c>
      <c r="AO3186" t="s">
        <v>25159</v>
      </c>
      <c r="AP3186" t="s">
        <v>7024</v>
      </c>
      <c r="AT3186" s="184">
        <v>38580</v>
      </c>
      <c r="AU3186" t="s">
        <v>25160</v>
      </c>
      <c r="AV3186">
        <v>25</v>
      </c>
      <c r="AW3186" s="184">
        <v>45378</v>
      </c>
      <c r="AX3186" t="s">
        <v>13596</v>
      </c>
      <c r="AY3186">
        <v>50</v>
      </c>
      <c r="AZ3186" s="184">
        <v>38875</v>
      </c>
      <c r="BA3186" t="s">
        <v>25161</v>
      </c>
      <c r="BB3186">
        <v>60</v>
      </c>
      <c r="BC3186">
        <v>95</v>
      </c>
      <c r="BD3186">
        <v>990</v>
      </c>
      <c r="BE3186">
        <v>2006</v>
      </c>
      <c r="BF3186">
        <v>21</v>
      </c>
      <c r="BG3186">
        <v>3</v>
      </c>
      <c r="BH3186">
        <v>150</v>
      </c>
      <c r="BI3186">
        <v>19</v>
      </c>
      <c r="BJ3186">
        <v>20</v>
      </c>
      <c r="BK3186">
        <v>16</v>
      </c>
      <c r="BP3186" s="184"/>
    </row>
    <row r="3187" spans="1:68">
      <c r="A3187">
        <v>38064820</v>
      </c>
      <c r="B3187">
        <v>38064820</v>
      </c>
      <c r="C3187" t="s">
        <v>7018</v>
      </c>
      <c r="D3187" t="s">
        <v>595</v>
      </c>
      <c r="E3187" s="184">
        <v>45279</v>
      </c>
      <c r="G3187" s="184"/>
      <c r="I3187" s="184"/>
      <c r="J3187" t="s">
        <v>595</v>
      </c>
      <c r="K3187" s="184">
        <v>45279</v>
      </c>
      <c r="M3187" s="184"/>
      <c r="O3187" s="184"/>
      <c r="P3187" t="s">
        <v>7045</v>
      </c>
      <c r="Q3187" t="s">
        <v>7454</v>
      </c>
      <c r="R3187" s="184">
        <v>20029</v>
      </c>
      <c r="S3187">
        <v>69</v>
      </c>
      <c r="V3187" t="s">
        <v>25162</v>
      </c>
      <c r="X3187" t="s">
        <v>25163</v>
      </c>
      <c r="AF3187" t="s">
        <v>25164</v>
      </c>
      <c r="AG3187" t="s">
        <v>25162</v>
      </c>
      <c r="AI3187" t="s">
        <v>25165</v>
      </c>
      <c r="AM3187" t="s">
        <v>4101</v>
      </c>
      <c r="AN3187" t="s">
        <v>2299</v>
      </c>
      <c r="AO3187" t="s">
        <v>25166</v>
      </c>
      <c r="AP3187" t="s">
        <v>7024</v>
      </c>
      <c r="AQ3187" t="s">
        <v>25167</v>
      </c>
      <c r="AR3187" t="s">
        <v>25168</v>
      </c>
      <c r="AT3187" s="184">
        <v>38580</v>
      </c>
      <c r="AU3187" t="s">
        <v>25169</v>
      </c>
      <c r="AV3187">
        <v>25</v>
      </c>
      <c r="AW3187" s="184">
        <v>44692</v>
      </c>
      <c r="AX3187" t="s">
        <v>25170</v>
      </c>
      <c r="AY3187">
        <v>50</v>
      </c>
      <c r="AZ3187" s="184">
        <v>44531</v>
      </c>
      <c r="BA3187" t="s">
        <v>25171</v>
      </c>
      <c r="BB3187">
        <v>500</v>
      </c>
      <c r="BC3187">
        <v>80</v>
      </c>
      <c r="BD3187">
        <v>2695</v>
      </c>
      <c r="BE3187">
        <v>2006</v>
      </c>
      <c r="BF3187">
        <v>25</v>
      </c>
      <c r="BG3187">
        <v>1</v>
      </c>
      <c r="BH3187">
        <v>50</v>
      </c>
      <c r="BI3187">
        <v>16</v>
      </c>
      <c r="BJ3187">
        <v>20</v>
      </c>
      <c r="BK3187">
        <v>11</v>
      </c>
      <c r="BP3187" s="184"/>
    </row>
    <row r="3188" spans="1:68">
      <c r="A3188">
        <v>38078804</v>
      </c>
      <c r="B3188">
        <v>38078804</v>
      </c>
      <c r="C3188" t="s">
        <v>7018</v>
      </c>
      <c r="D3188" t="s">
        <v>595</v>
      </c>
      <c r="E3188" s="184">
        <v>44168</v>
      </c>
      <c r="G3188" s="184"/>
      <c r="I3188" s="184"/>
      <c r="K3188" s="184"/>
      <c r="M3188" s="184"/>
      <c r="O3188" s="184"/>
      <c r="P3188" t="s">
        <v>7045</v>
      </c>
      <c r="Q3188" t="s">
        <v>7020</v>
      </c>
      <c r="R3188" s="184">
        <v>33635</v>
      </c>
      <c r="S3188">
        <v>32</v>
      </c>
      <c r="U3188" t="s">
        <v>7130</v>
      </c>
      <c r="V3188" t="s">
        <v>2586</v>
      </c>
      <c r="X3188" t="s">
        <v>25172</v>
      </c>
      <c r="AF3188" t="s">
        <v>25173</v>
      </c>
      <c r="AG3188" t="s">
        <v>2586</v>
      </c>
      <c r="AI3188" t="s">
        <v>25174</v>
      </c>
      <c r="AM3188" t="s">
        <v>25175</v>
      </c>
      <c r="AN3188" t="s">
        <v>2052</v>
      </c>
      <c r="AO3188" t="s">
        <v>25176</v>
      </c>
      <c r="AP3188" t="s">
        <v>7024</v>
      </c>
      <c r="AQ3188" t="s">
        <v>25177</v>
      </c>
      <c r="AT3188" s="184">
        <v>38583</v>
      </c>
      <c r="AU3188" t="s">
        <v>25178</v>
      </c>
      <c r="AV3188">
        <v>15</v>
      </c>
      <c r="AW3188" s="184">
        <v>41967</v>
      </c>
      <c r="AX3188" t="s">
        <v>25179</v>
      </c>
      <c r="AY3188">
        <v>25</v>
      </c>
      <c r="AZ3188" s="184">
        <v>41922</v>
      </c>
      <c r="BA3188" t="s">
        <v>25180</v>
      </c>
      <c r="BB3188">
        <v>60</v>
      </c>
      <c r="BC3188">
        <v>50</v>
      </c>
      <c r="BD3188">
        <v>455</v>
      </c>
      <c r="BE3188">
        <v>2006</v>
      </c>
      <c r="BF3188">
        <v>17</v>
      </c>
      <c r="BI3188">
        <v>10</v>
      </c>
      <c r="BJ3188">
        <v>20</v>
      </c>
      <c r="BK3188">
        <v>10</v>
      </c>
      <c r="BP3188" s="184"/>
    </row>
    <row r="3189" spans="1:68">
      <c r="A3189">
        <v>38093332</v>
      </c>
      <c r="B3189">
        <v>38093332</v>
      </c>
      <c r="C3189" t="s">
        <v>7018</v>
      </c>
      <c r="D3189" t="s">
        <v>595</v>
      </c>
      <c r="E3189" s="184">
        <v>44104</v>
      </c>
      <c r="G3189" s="184"/>
      <c r="I3189" s="184"/>
      <c r="K3189" s="184"/>
      <c r="M3189" s="184"/>
      <c r="O3189" s="184"/>
      <c r="P3189" t="s">
        <v>7045</v>
      </c>
      <c r="Q3189" t="s">
        <v>7383</v>
      </c>
      <c r="R3189" s="184">
        <v>15342</v>
      </c>
      <c r="S3189">
        <v>82</v>
      </c>
      <c r="V3189" t="s">
        <v>3317</v>
      </c>
      <c r="X3189" t="s">
        <v>25181</v>
      </c>
      <c r="AF3189" t="s">
        <v>25182</v>
      </c>
      <c r="AG3189" t="s">
        <v>3317</v>
      </c>
      <c r="AI3189" t="s">
        <v>25183</v>
      </c>
      <c r="AM3189" t="s">
        <v>3040</v>
      </c>
      <c r="AN3189" t="s">
        <v>2072</v>
      </c>
      <c r="AO3189" t="s">
        <v>25184</v>
      </c>
      <c r="AP3189" t="s">
        <v>7024</v>
      </c>
      <c r="AT3189" s="184">
        <v>38586</v>
      </c>
      <c r="AU3189" t="s">
        <v>25185</v>
      </c>
      <c r="AV3189">
        <v>15</v>
      </c>
      <c r="AW3189" s="184">
        <v>45191</v>
      </c>
      <c r="AX3189" t="s">
        <v>7635</v>
      </c>
      <c r="AY3189">
        <v>100</v>
      </c>
      <c r="AZ3189" s="184">
        <v>44671</v>
      </c>
      <c r="BA3189" t="s">
        <v>25186</v>
      </c>
      <c r="BB3189">
        <v>120</v>
      </c>
      <c r="BC3189">
        <v>70</v>
      </c>
      <c r="BD3189">
        <v>1005</v>
      </c>
      <c r="BE3189">
        <v>2006</v>
      </c>
      <c r="BF3189">
        <v>22</v>
      </c>
      <c r="BG3189">
        <v>2</v>
      </c>
      <c r="BH3189">
        <v>220</v>
      </c>
      <c r="BI3189">
        <v>14</v>
      </c>
      <c r="BJ3189">
        <v>20</v>
      </c>
      <c r="BK3189">
        <v>8</v>
      </c>
      <c r="BP3189" s="184"/>
    </row>
    <row r="3190" spans="1:68">
      <c r="A3190">
        <v>38100210</v>
      </c>
      <c r="B3190">
        <v>38100210</v>
      </c>
      <c r="C3190" t="s">
        <v>7018</v>
      </c>
      <c r="D3190" t="s">
        <v>595</v>
      </c>
      <c r="E3190" s="184">
        <v>44070</v>
      </c>
      <c r="G3190" s="184"/>
      <c r="I3190" s="184"/>
      <c r="K3190" s="184"/>
      <c r="M3190" s="184"/>
      <c r="O3190" s="184"/>
      <c r="P3190" t="s">
        <v>7045</v>
      </c>
      <c r="Q3190" t="s">
        <v>7020</v>
      </c>
      <c r="R3190" s="184">
        <v>14200</v>
      </c>
      <c r="S3190">
        <v>85</v>
      </c>
      <c r="U3190" t="s">
        <v>7031</v>
      </c>
      <c r="V3190" t="s">
        <v>2724</v>
      </c>
      <c r="W3190" t="s">
        <v>205</v>
      </c>
      <c r="X3190" t="s">
        <v>5716</v>
      </c>
      <c r="AF3190" t="s">
        <v>25187</v>
      </c>
      <c r="AG3190" t="s">
        <v>2724</v>
      </c>
      <c r="AI3190" t="s">
        <v>25188</v>
      </c>
      <c r="AM3190" t="s">
        <v>25189</v>
      </c>
      <c r="AN3190" t="s">
        <v>2363</v>
      </c>
      <c r="AO3190" t="s">
        <v>25190</v>
      </c>
      <c r="AP3190" t="s">
        <v>7024</v>
      </c>
      <c r="AQ3190" t="s">
        <v>25191</v>
      </c>
      <c r="AR3190" t="s">
        <v>25192</v>
      </c>
      <c r="AT3190" s="184">
        <v>38587</v>
      </c>
      <c r="AU3190" t="s">
        <v>25193</v>
      </c>
      <c r="AV3190">
        <v>15</v>
      </c>
      <c r="AW3190" s="184">
        <v>45408</v>
      </c>
      <c r="AX3190" t="s">
        <v>25194</v>
      </c>
      <c r="AY3190">
        <v>25</v>
      </c>
      <c r="AZ3190" s="184">
        <v>39730</v>
      </c>
      <c r="BA3190" t="s">
        <v>25195</v>
      </c>
      <c r="BB3190">
        <v>60</v>
      </c>
      <c r="BC3190">
        <v>100</v>
      </c>
      <c r="BD3190">
        <v>2305</v>
      </c>
      <c r="BE3190">
        <v>2006</v>
      </c>
      <c r="BF3190">
        <v>131</v>
      </c>
      <c r="BG3190">
        <v>18</v>
      </c>
      <c r="BH3190">
        <v>335</v>
      </c>
      <c r="BI3190">
        <v>20</v>
      </c>
      <c r="BJ3190">
        <v>20</v>
      </c>
      <c r="BK3190">
        <v>20</v>
      </c>
      <c r="BP3190" s="184"/>
    </row>
    <row r="3191" spans="1:68">
      <c r="A3191">
        <v>38108767</v>
      </c>
      <c r="B3191">
        <v>38108767</v>
      </c>
      <c r="C3191" t="s">
        <v>7018</v>
      </c>
      <c r="E3191" s="184"/>
      <c r="F3191" t="s">
        <v>595</v>
      </c>
      <c r="G3191" s="184">
        <v>43731</v>
      </c>
      <c r="I3191" s="184"/>
      <c r="K3191" s="184"/>
      <c r="M3191" s="184"/>
      <c r="O3191" s="184"/>
      <c r="P3191" t="s">
        <v>7045</v>
      </c>
      <c r="Q3191" t="s">
        <v>7160</v>
      </c>
      <c r="R3191" s="184">
        <v>12968</v>
      </c>
      <c r="S3191">
        <v>88</v>
      </c>
      <c r="V3191" t="s">
        <v>3254</v>
      </c>
      <c r="X3191" t="s">
        <v>4027</v>
      </c>
      <c r="AF3191" t="s">
        <v>25196</v>
      </c>
      <c r="AG3191" t="s">
        <v>3254</v>
      </c>
      <c r="AI3191" t="s">
        <v>25197</v>
      </c>
      <c r="AM3191" t="s">
        <v>4028</v>
      </c>
      <c r="AN3191" t="s">
        <v>2446</v>
      </c>
      <c r="AO3191" t="s">
        <v>25198</v>
      </c>
      <c r="AP3191" t="s">
        <v>7024</v>
      </c>
      <c r="AT3191" s="184">
        <v>38588</v>
      </c>
      <c r="AU3191" t="s">
        <v>25193</v>
      </c>
      <c r="AV3191">
        <v>15</v>
      </c>
      <c r="AW3191" s="184">
        <v>44636</v>
      </c>
      <c r="AX3191" t="s">
        <v>25199</v>
      </c>
      <c r="AY3191">
        <v>50</v>
      </c>
      <c r="AZ3191" s="184">
        <v>39982</v>
      </c>
      <c r="BA3191" t="s">
        <v>25200</v>
      </c>
      <c r="BB3191">
        <v>75</v>
      </c>
      <c r="BC3191">
        <v>90</v>
      </c>
      <c r="BD3191">
        <v>1105</v>
      </c>
      <c r="BE3191">
        <v>2006</v>
      </c>
      <c r="BF3191">
        <v>23</v>
      </c>
      <c r="BI3191">
        <v>18</v>
      </c>
      <c r="BJ3191">
        <v>20</v>
      </c>
      <c r="BK3191">
        <v>18</v>
      </c>
      <c r="BP3191" s="184"/>
    </row>
    <row r="3192" spans="1:68">
      <c r="A3192">
        <v>38110516</v>
      </c>
      <c r="B3192">
        <v>38110516</v>
      </c>
      <c r="C3192" t="s">
        <v>7018</v>
      </c>
      <c r="D3192" t="s">
        <v>595</v>
      </c>
      <c r="E3192" s="184">
        <v>45174</v>
      </c>
      <c r="G3192" s="184"/>
      <c r="I3192" s="184"/>
      <c r="K3192" s="184"/>
      <c r="M3192" s="184"/>
      <c r="O3192" s="184"/>
      <c r="P3192" t="s">
        <v>7019</v>
      </c>
      <c r="Q3192" t="s">
        <v>7383</v>
      </c>
      <c r="R3192" s="184">
        <v>21276</v>
      </c>
      <c r="S3192">
        <v>66</v>
      </c>
      <c r="V3192" t="s">
        <v>2825</v>
      </c>
      <c r="X3192" t="s">
        <v>25201</v>
      </c>
      <c r="Z3192">
        <v>100110313</v>
      </c>
      <c r="AA3192" t="s">
        <v>7031</v>
      </c>
      <c r="AB3192" t="s">
        <v>2511</v>
      </c>
      <c r="AC3192" t="s">
        <v>7107</v>
      </c>
      <c r="AD3192" t="s">
        <v>25201</v>
      </c>
      <c r="AF3192" t="s">
        <v>25202</v>
      </c>
      <c r="AG3192" t="s">
        <v>25203</v>
      </c>
      <c r="AI3192" t="s">
        <v>25204</v>
      </c>
      <c r="AM3192" t="s">
        <v>3164</v>
      </c>
      <c r="AN3192" t="s">
        <v>2185</v>
      </c>
      <c r="AO3192" t="s">
        <v>25205</v>
      </c>
      <c r="AP3192" t="s">
        <v>7024</v>
      </c>
      <c r="AQ3192" t="s">
        <v>25206</v>
      </c>
      <c r="AR3192" t="s">
        <v>25207</v>
      </c>
      <c r="AT3192" s="184">
        <v>38588</v>
      </c>
      <c r="AU3192" t="s">
        <v>25208</v>
      </c>
      <c r="AV3192">
        <v>25</v>
      </c>
      <c r="AW3192" s="184">
        <v>44724</v>
      </c>
      <c r="AX3192" t="s">
        <v>25209</v>
      </c>
      <c r="AY3192">
        <v>87</v>
      </c>
      <c r="AZ3192" s="184">
        <v>41404</v>
      </c>
      <c r="BA3192" t="s">
        <v>25210</v>
      </c>
      <c r="BB3192">
        <v>115</v>
      </c>
      <c r="BC3192">
        <v>90</v>
      </c>
      <c r="BD3192">
        <v>1412</v>
      </c>
      <c r="BE3192">
        <v>2006</v>
      </c>
      <c r="BF3192">
        <v>47</v>
      </c>
      <c r="BG3192">
        <v>1</v>
      </c>
      <c r="BH3192">
        <v>87</v>
      </c>
      <c r="BI3192">
        <v>18</v>
      </c>
      <c r="BJ3192">
        <v>20</v>
      </c>
      <c r="BK3192">
        <v>18</v>
      </c>
      <c r="BN3192" t="s">
        <v>595</v>
      </c>
      <c r="BP3192" s="184"/>
    </row>
    <row r="3193" spans="1:68">
      <c r="A3193">
        <v>100110313</v>
      </c>
      <c r="B3193">
        <v>38110516</v>
      </c>
      <c r="C3193" t="s">
        <v>7018</v>
      </c>
      <c r="D3193" t="s">
        <v>595</v>
      </c>
      <c r="E3193" s="184">
        <v>45174</v>
      </c>
      <c r="G3193" s="184"/>
      <c r="I3193" s="184"/>
      <c r="K3193" s="184"/>
      <c r="M3193" s="184"/>
      <c r="P3193" t="s">
        <v>7019</v>
      </c>
      <c r="Q3193" t="s">
        <v>7383</v>
      </c>
      <c r="R3193" s="184">
        <v>25385</v>
      </c>
      <c r="S3193">
        <v>54</v>
      </c>
      <c r="U3193" t="s">
        <v>7031</v>
      </c>
      <c r="V3193" t="s">
        <v>2511</v>
      </c>
      <c r="W3193" t="s">
        <v>7107</v>
      </c>
      <c r="X3193" t="s">
        <v>25201</v>
      </c>
      <c r="Z3193">
        <v>38110516</v>
      </c>
      <c r="AB3193" t="s">
        <v>2825</v>
      </c>
      <c r="AD3193" t="s">
        <v>25201</v>
      </c>
      <c r="AF3193" t="s">
        <v>25202</v>
      </c>
      <c r="AG3193" t="s">
        <v>25203</v>
      </c>
      <c r="AI3193" t="s">
        <v>25204</v>
      </c>
      <c r="AM3193" t="s">
        <v>3164</v>
      </c>
      <c r="AN3193" t="s">
        <v>2185</v>
      </c>
      <c r="AO3193" t="s">
        <v>25205</v>
      </c>
      <c r="AP3193" t="s">
        <v>7024</v>
      </c>
      <c r="AQ3193" t="s">
        <v>25207</v>
      </c>
      <c r="AT3193" s="184">
        <v>44011</v>
      </c>
      <c r="AU3193" t="s">
        <v>9633</v>
      </c>
      <c r="AV3193">
        <v>35</v>
      </c>
      <c r="AW3193" s="184">
        <v>44011</v>
      </c>
      <c r="AX3193" t="s">
        <v>9633</v>
      </c>
      <c r="AY3193">
        <v>35</v>
      </c>
      <c r="AZ3193" s="184">
        <v>44011</v>
      </c>
      <c r="BA3193" t="s">
        <v>9633</v>
      </c>
      <c r="BB3193">
        <v>35</v>
      </c>
      <c r="BC3193">
        <v>20</v>
      </c>
      <c r="BD3193">
        <v>35</v>
      </c>
      <c r="BE3193">
        <v>2020</v>
      </c>
      <c r="BF3193">
        <v>1</v>
      </c>
      <c r="BI3193">
        <v>1</v>
      </c>
      <c r="BJ3193">
        <v>5</v>
      </c>
      <c r="BK3193">
        <v>1</v>
      </c>
    </row>
    <row r="3194" spans="1:68">
      <c r="A3194">
        <v>38110953</v>
      </c>
      <c r="B3194">
        <v>38110953</v>
      </c>
      <c r="C3194" t="s">
        <v>7018</v>
      </c>
      <c r="D3194" t="s">
        <v>595</v>
      </c>
      <c r="E3194" s="184">
        <v>45175</v>
      </c>
      <c r="G3194" s="184"/>
      <c r="I3194" s="184"/>
      <c r="K3194" s="184"/>
      <c r="O3194" s="184"/>
      <c r="P3194" t="s">
        <v>7045</v>
      </c>
      <c r="Q3194" t="s">
        <v>7383</v>
      </c>
      <c r="R3194" s="184">
        <v>12693</v>
      </c>
      <c r="S3194">
        <v>89</v>
      </c>
      <c r="V3194" t="s">
        <v>3453</v>
      </c>
      <c r="X3194" t="s">
        <v>25211</v>
      </c>
      <c r="Z3194">
        <v>100110317</v>
      </c>
      <c r="AB3194" t="s">
        <v>25212</v>
      </c>
      <c r="AD3194" t="s">
        <v>25211</v>
      </c>
      <c r="AF3194" t="s">
        <v>25213</v>
      </c>
      <c r="AG3194" t="s">
        <v>25214</v>
      </c>
      <c r="AI3194" t="s">
        <v>25215</v>
      </c>
      <c r="AM3194" t="s">
        <v>25216</v>
      </c>
      <c r="AN3194" t="s">
        <v>2139</v>
      </c>
      <c r="AO3194" t="s">
        <v>25217</v>
      </c>
      <c r="AP3194" t="s">
        <v>7024</v>
      </c>
      <c r="AQ3194" t="s">
        <v>25218</v>
      </c>
      <c r="AT3194" s="184">
        <v>38588</v>
      </c>
      <c r="AU3194" t="s">
        <v>25219</v>
      </c>
      <c r="AV3194">
        <v>15</v>
      </c>
      <c r="AW3194" s="184">
        <v>44498</v>
      </c>
      <c r="AX3194" t="s">
        <v>25220</v>
      </c>
      <c r="AY3194">
        <v>15</v>
      </c>
      <c r="AZ3194" s="184">
        <v>43088</v>
      </c>
      <c r="BA3194" t="s">
        <v>25221</v>
      </c>
      <c r="BB3194">
        <v>20</v>
      </c>
      <c r="BC3194">
        <v>25</v>
      </c>
      <c r="BD3194">
        <v>80</v>
      </c>
      <c r="BE3194">
        <v>2006</v>
      </c>
      <c r="BF3194">
        <v>5</v>
      </c>
      <c r="BI3194">
        <v>5</v>
      </c>
      <c r="BJ3194">
        <v>20</v>
      </c>
      <c r="BK3194">
        <v>1</v>
      </c>
      <c r="BP3194" s="184"/>
    </row>
    <row r="3195" spans="1:68">
      <c r="A3195">
        <v>100110317</v>
      </c>
      <c r="B3195">
        <v>38110953</v>
      </c>
      <c r="C3195" t="s">
        <v>7018</v>
      </c>
      <c r="D3195" t="s">
        <v>595</v>
      </c>
      <c r="E3195" s="184">
        <v>45175</v>
      </c>
      <c r="G3195" s="184"/>
      <c r="I3195" s="184"/>
      <c r="K3195" s="184"/>
      <c r="M3195" s="184"/>
      <c r="O3195" s="184"/>
      <c r="P3195" t="s">
        <v>7045</v>
      </c>
      <c r="Q3195" t="s">
        <v>7383</v>
      </c>
      <c r="R3195" s="184">
        <v>13667</v>
      </c>
      <c r="S3195">
        <v>86</v>
      </c>
      <c r="V3195" t="s">
        <v>25212</v>
      </c>
      <c r="X3195" t="s">
        <v>25211</v>
      </c>
      <c r="Z3195">
        <v>38110953</v>
      </c>
      <c r="AB3195" t="s">
        <v>3453</v>
      </c>
      <c r="AD3195" t="s">
        <v>25211</v>
      </c>
      <c r="AF3195" t="s">
        <v>25213</v>
      </c>
      <c r="AG3195" t="s">
        <v>25214</v>
      </c>
      <c r="AI3195" t="s">
        <v>25215</v>
      </c>
      <c r="AM3195" t="s">
        <v>25216</v>
      </c>
      <c r="AN3195" t="s">
        <v>2139</v>
      </c>
      <c r="AO3195" t="s">
        <v>25217</v>
      </c>
      <c r="AP3195" t="s">
        <v>7024</v>
      </c>
      <c r="AQ3195" t="s">
        <v>25222</v>
      </c>
      <c r="AT3195" s="184">
        <v>34967</v>
      </c>
      <c r="AU3195" t="s">
        <v>25223</v>
      </c>
      <c r="AV3195">
        <v>15</v>
      </c>
      <c r="AW3195" s="184">
        <v>36662</v>
      </c>
      <c r="AX3195" t="s">
        <v>25224</v>
      </c>
      <c r="AY3195">
        <v>15</v>
      </c>
      <c r="AZ3195" s="184">
        <v>35306</v>
      </c>
      <c r="BA3195" t="s">
        <v>25225</v>
      </c>
      <c r="BB3195">
        <v>25</v>
      </c>
      <c r="BC3195">
        <v>14</v>
      </c>
      <c r="BD3195">
        <v>70</v>
      </c>
      <c r="BE3195">
        <v>1996</v>
      </c>
      <c r="BF3195">
        <v>4</v>
      </c>
      <c r="BI3195">
        <v>4</v>
      </c>
      <c r="BJ3195">
        <v>30</v>
      </c>
      <c r="BK3195">
        <v>3</v>
      </c>
      <c r="BP3195" s="184"/>
    </row>
    <row r="3196" spans="1:68">
      <c r="A3196">
        <v>38119574</v>
      </c>
      <c r="B3196">
        <v>38119574</v>
      </c>
      <c r="C3196" t="s">
        <v>7018</v>
      </c>
      <c r="D3196" t="s">
        <v>595</v>
      </c>
      <c r="E3196" s="184">
        <v>45119</v>
      </c>
      <c r="G3196" s="184"/>
      <c r="I3196" s="184"/>
      <c r="K3196" s="184"/>
      <c r="M3196" s="184"/>
      <c r="O3196" s="184"/>
      <c r="P3196" t="s">
        <v>7045</v>
      </c>
      <c r="Q3196" t="s">
        <v>7383</v>
      </c>
      <c r="R3196" s="184">
        <v>20880</v>
      </c>
      <c r="S3196">
        <v>67</v>
      </c>
      <c r="U3196" t="s">
        <v>7130</v>
      </c>
      <c r="V3196" t="s">
        <v>25226</v>
      </c>
      <c r="X3196" t="s">
        <v>25227</v>
      </c>
      <c r="AF3196" t="s">
        <v>25228</v>
      </c>
      <c r="AG3196" t="s">
        <v>25226</v>
      </c>
      <c r="AI3196" t="s">
        <v>25229</v>
      </c>
      <c r="AM3196" t="s">
        <v>7574</v>
      </c>
      <c r="AN3196" t="s">
        <v>2059</v>
      </c>
      <c r="AO3196" t="s">
        <v>25230</v>
      </c>
      <c r="AP3196" t="s">
        <v>7024</v>
      </c>
      <c r="AQ3196" t="s">
        <v>25231</v>
      </c>
      <c r="AT3196" s="184">
        <v>38589</v>
      </c>
      <c r="AU3196" t="s">
        <v>25232</v>
      </c>
      <c r="AV3196">
        <v>25</v>
      </c>
      <c r="AW3196" s="184">
        <v>44957</v>
      </c>
      <c r="AX3196" t="s">
        <v>13610</v>
      </c>
      <c r="AY3196">
        <v>25</v>
      </c>
      <c r="AZ3196" s="184">
        <v>43202</v>
      </c>
      <c r="BA3196" t="s">
        <v>25233</v>
      </c>
      <c r="BB3196">
        <v>40</v>
      </c>
      <c r="BC3196">
        <v>80</v>
      </c>
      <c r="BD3196">
        <v>550</v>
      </c>
      <c r="BE3196">
        <v>2006</v>
      </c>
      <c r="BF3196">
        <v>22</v>
      </c>
      <c r="BG3196">
        <v>2</v>
      </c>
      <c r="BH3196">
        <v>50</v>
      </c>
      <c r="BI3196">
        <v>16</v>
      </c>
      <c r="BJ3196">
        <v>20</v>
      </c>
      <c r="BK3196">
        <v>9</v>
      </c>
      <c r="BN3196" t="s">
        <v>595</v>
      </c>
      <c r="BP3196" s="184"/>
    </row>
    <row r="3197" spans="1:68">
      <c r="A3197">
        <v>38126751</v>
      </c>
      <c r="B3197">
        <v>38126751</v>
      </c>
      <c r="C3197" t="s">
        <v>7018</v>
      </c>
      <c r="E3197" s="184"/>
      <c r="G3197" s="184"/>
      <c r="I3197" s="184"/>
      <c r="J3197" t="s">
        <v>595</v>
      </c>
      <c r="K3197" s="184">
        <v>44489</v>
      </c>
      <c r="M3197" s="184"/>
      <c r="O3197" s="184"/>
      <c r="P3197" t="s">
        <v>7029</v>
      </c>
      <c r="Q3197" t="s">
        <v>7454</v>
      </c>
      <c r="R3197" s="184">
        <v>16217</v>
      </c>
      <c r="S3197">
        <v>79</v>
      </c>
      <c r="U3197" t="s">
        <v>7031</v>
      </c>
      <c r="V3197" t="s">
        <v>2551</v>
      </c>
      <c r="W3197" t="s">
        <v>2049</v>
      </c>
      <c r="X3197" t="s">
        <v>25234</v>
      </c>
      <c r="Z3197">
        <v>100591963</v>
      </c>
      <c r="AB3197" t="s">
        <v>4024</v>
      </c>
      <c r="AD3197" t="s">
        <v>4184</v>
      </c>
      <c r="AF3197" t="s">
        <v>25235</v>
      </c>
      <c r="AG3197" t="s">
        <v>25236</v>
      </c>
      <c r="AI3197" t="s">
        <v>25237</v>
      </c>
      <c r="AM3197" t="s">
        <v>3855</v>
      </c>
      <c r="AN3197" t="s">
        <v>2055</v>
      </c>
      <c r="AO3197" t="s">
        <v>25238</v>
      </c>
      <c r="AP3197" t="s">
        <v>7024</v>
      </c>
      <c r="AQ3197" t="s">
        <v>25239</v>
      </c>
      <c r="AT3197" s="184">
        <v>38590</v>
      </c>
      <c r="AU3197" t="s">
        <v>25240</v>
      </c>
      <c r="AV3197">
        <v>25</v>
      </c>
      <c r="AW3197" s="184">
        <v>45163</v>
      </c>
      <c r="AX3197" t="s">
        <v>25241</v>
      </c>
      <c r="AY3197">
        <v>1000</v>
      </c>
      <c r="AZ3197" s="184">
        <v>45163</v>
      </c>
      <c r="BA3197" t="s">
        <v>25241</v>
      </c>
      <c r="BB3197">
        <v>1000</v>
      </c>
      <c r="BC3197">
        <v>75</v>
      </c>
      <c r="BD3197">
        <v>3455</v>
      </c>
      <c r="BE3197">
        <v>2006</v>
      </c>
      <c r="BF3197">
        <v>16</v>
      </c>
      <c r="BG3197">
        <v>2</v>
      </c>
      <c r="BH3197">
        <v>2000</v>
      </c>
      <c r="BI3197">
        <v>15</v>
      </c>
      <c r="BJ3197">
        <v>20</v>
      </c>
      <c r="BK3197">
        <v>11</v>
      </c>
      <c r="BP3197" s="184"/>
    </row>
    <row r="3198" spans="1:68">
      <c r="A3198">
        <v>100591963</v>
      </c>
      <c r="B3198">
        <v>38126751</v>
      </c>
      <c r="C3198" t="s">
        <v>7018</v>
      </c>
      <c r="E3198" s="184"/>
      <c r="G3198" s="184"/>
      <c r="I3198" s="184"/>
      <c r="J3198" t="s">
        <v>595</v>
      </c>
      <c r="K3198" s="184">
        <v>44489</v>
      </c>
      <c r="M3198" s="184"/>
      <c r="O3198" s="184"/>
      <c r="P3198" t="s">
        <v>7029</v>
      </c>
      <c r="Q3198" t="s">
        <v>7454</v>
      </c>
      <c r="R3198" s="184">
        <v>21194</v>
      </c>
      <c r="S3198">
        <v>66</v>
      </c>
      <c r="V3198" t="s">
        <v>4024</v>
      </c>
      <c r="X3198" t="s">
        <v>4184</v>
      </c>
      <c r="Z3198">
        <v>38126751</v>
      </c>
      <c r="AA3198" t="s">
        <v>7031</v>
      </c>
      <c r="AB3198" t="s">
        <v>2551</v>
      </c>
      <c r="AC3198" t="s">
        <v>2049</v>
      </c>
      <c r="AD3198" t="s">
        <v>25234</v>
      </c>
      <c r="AF3198" t="s">
        <v>25235</v>
      </c>
      <c r="AG3198" t="s">
        <v>25236</v>
      </c>
      <c r="AI3198" t="s">
        <v>25237</v>
      </c>
      <c r="AM3198" t="s">
        <v>3855</v>
      </c>
      <c r="AN3198" t="s">
        <v>2055</v>
      </c>
      <c r="AO3198" t="s">
        <v>25238</v>
      </c>
      <c r="AP3198" t="s">
        <v>7024</v>
      </c>
      <c r="AT3198" s="184"/>
      <c r="AW3198" s="184"/>
      <c r="AZ3198" s="184"/>
    </row>
    <row r="3199" spans="1:68">
      <c r="A3199">
        <v>38128724</v>
      </c>
      <c r="B3199">
        <v>38128724</v>
      </c>
      <c r="C3199" t="s">
        <v>7018</v>
      </c>
      <c r="D3199" t="s">
        <v>595</v>
      </c>
      <c r="E3199" s="184">
        <v>43864</v>
      </c>
      <c r="G3199" s="184"/>
      <c r="I3199" s="184"/>
      <c r="K3199" s="184"/>
      <c r="M3199" s="184"/>
      <c r="O3199" s="184"/>
      <c r="P3199" t="s">
        <v>7045</v>
      </c>
      <c r="Q3199" t="s">
        <v>7383</v>
      </c>
      <c r="R3199" s="184">
        <v>16226</v>
      </c>
      <c r="S3199">
        <v>79</v>
      </c>
      <c r="U3199" t="s">
        <v>7130</v>
      </c>
      <c r="V3199" t="s">
        <v>3246</v>
      </c>
      <c r="X3199" t="s">
        <v>4718</v>
      </c>
      <c r="AF3199" t="s">
        <v>25242</v>
      </c>
      <c r="AG3199" t="s">
        <v>3246</v>
      </c>
      <c r="AI3199" t="s">
        <v>25243</v>
      </c>
      <c r="AM3199" t="s">
        <v>4719</v>
      </c>
      <c r="AN3199" t="s">
        <v>2072</v>
      </c>
      <c r="AO3199" t="s">
        <v>25244</v>
      </c>
      <c r="AP3199" t="s">
        <v>7024</v>
      </c>
      <c r="AQ3199" t="s">
        <v>25245</v>
      </c>
      <c r="AR3199" t="s">
        <v>25246</v>
      </c>
      <c r="AT3199" s="184">
        <v>38590</v>
      </c>
      <c r="AU3199" t="s">
        <v>25247</v>
      </c>
      <c r="AV3199">
        <v>15</v>
      </c>
      <c r="AW3199" s="184">
        <v>45315</v>
      </c>
      <c r="AX3199" t="s">
        <v>14267</v>
      </c>
      <c r="AY3199">
        <v>100</v>
      </c>
      <c r="AZ3199" s="184">
        <v>45315</v>
      </c>
      <c r="BA3199" t="s">
        <v>14267</v>
      </c>
      <c r="BB3199">
        <v>100</v>
      </c>
      <c r="BC3199">
        <v>60</v>
      </c>
      <c r="BD3199">
        <v>740</v>
      </c>
      <c r="BE3199">
        <v>2006</v>
      </c>
      <c r="BF3199">
        <v>12</v>
      </c>
      <c r="BG3199">
        <v>1</v>
      </c>
      <c r="BH3199">
        <v>100</v>
      </c>
      <c r="BI3199">
        <v>12</v>
      </c>
      <c r="BJ3199">
        <v>20</v>
      </c>
      <c r="BK3199">
        <v>5</v>
      </c>
      <c r="BP3199" s="184"/>
    </row>
    <row r="3200" spans="1:68">
      <c r="A3200">
        <v>38128989</v>
      </c>
      <c r="B3200">
        <v>38128989</v>
      </c>
      <c r="C3200" t="s">
        <v>7018</v>
      </c>
      <c r="D3200" t="s">
        <v>595</v>
      </c>
      <c r="E3200" s="184">
        <v>44167</v>
      </c>
      <c r="G3200" s="184"/>
      <c r="I3200" s="184"/>
      <c r="K3200" s="184"/>
      <c r="M3200" s="184"/>
      <c r="P3200" t="s">
        <v>7045</v>
      </c>
      <c r="Q3200" t="s">
        <v>7262</v>
      </c>
      <c r="R3200" s="184">
        <v>16355</v>
      </c>
      <c r="S3200">
        <v>79</v>
      </c>
      <c r="V3200" t="s">
        <v>2832</v>
      </c>
      <c r="X3200" t="s">
        <v>25248</v>
      </c>
      <c r="Z3200">
        <v>100110385</v>
      </c>
      <c r="AB3200" t="s">
        <v>3317</v>
      </c>
      <c r="AD3200" t="s">
        <v>25248</v>
      </c>
      <c r="AF3200" t="s">
        <v>25249</v>
      </c>
      <c r="AG3200" t="s">
        <v>25250</v>
      </c>
      <c r="AI3200" t="s">
        <v>25251</v>
      </c>
      <c r="AM3200" t="s">
        <v>2671</v>
      </c>
      <c r="AN3200" t="s">
        <v>65</v>
      </c>
      <c r="AO3200" t="s">
        <v>25252</v>
      </c>
      <c r="AP3200" t="s">
        <v>7024</v>
      </c>
      <c r="AQ3200" t="s">
        <v>25253</v>
      </c>
      <c r="AR3200" t="s">
        <v>25254</v>
      </c>
      <c r="AT3200" s="184">
        <v>38589</v>
      </c>
      <c r="AU3200" t="s">
        <v>25193</v>
      </c>
      <c r="AV3200">
        <v>30</v>
      </c>
      <c r="AW3200" s="184">
        <v>45163</v>
      </c>
      <c r="AX3200" t="s">
        <v>22771</v>
      </c>
      <c r="AY3200">
        <v>100</v>
      </c>
      <c r="AZ3200" s="184">
        <v>45163</v>
      </c>
      <c r="BA3200" t="s">
        <v>22771</v>
      </c>
      <c r="BB3200">
        <v>100</v>
      </c>
      <c r="BC3200">
        <v>85</v>
      </c>
      <c r="BD3200">
        <v>1230</v>
      </c>
      <c r="BE3200">
        <v>2006</v>
      </c>
      <c r="BF3200">
        <v>20</v>
      </c>
      <c r="BG3200">
        <v>3</v>
      </c>
      <c r="BH3200">
        <v>300</v>
      </c>
      <c r="BI3200">
        <v>17</v>
      </c>
      <c r="BJ3200">
        <v>20</v>
      </c>
      <c r="BK3200">
        <v>12</v>
      </c>
      <c r="BN3200" t="s">
        <v>595</v>
      </c>
      <c r="BP3200" s="184"/>
    </row>
    <row r="3201" spans="1:68">
      <c r="A3201">
        <v>100110385</v>
      </c>
      <c r="B3201">
        <v>38128989</v>
      </c>
      <c r="C3201" t="s">
        <v>7018</v>
      </c>
      <c r="D3201" t="s">
        <v>595</v>
      </c>
      <c r="E3201" s="184">
        <v>44167</v>
      </c>
      <c r="G3201" s="184"/>
      <c r="I3201" s="184"/>
      <c r="K3201" s="184"/>
      <c r="M3201" s="184"/>
      <c r="P3201" t="s">
        <v>7045</v>
      </c>
      <c r="Q3201" t="s">
        <v>7262</v>
      </c>
      <c r="R3201" s="184">
        <v>19025</v>
      </c>
      <c r="S3201">
        <v>72</v>
      </c>
      <c r="V3201" t="s">
        <v>3317</v>
      </c>
      <c r="X3201" t="s">
        <v>25248</v>
      </c>
      <c r="Z3201">
        <v>38128989</v>
      </c>
      <c r="AB3201" t="s">
        <v>2832</v>
      </c>
      <c r="AD3201" t="s">
        <v>25248</v>
      </c>
      <c r="AF3201" t="s">
        <v>25249</v>
      </c>
      <c r="AG3201" t="s">
        <v>25250</v>
      </c>
      <c r="AI3201" t="s">
        <v>25251</v>
      </c>
      <c r="AM3201" t="s">
        <v>2671</v>
      </c>
      <c r="AN3201" t="s">
        <v>65</v>
      </c>
      <c r="AO3201" t="s">
        <v>25252</v>
      </c>
      <c r="AP3201" t="s">
        <v>7024</v>
      </c>
      <c r="AQ3201" t="s">
        <v>25255</v>
      </c>
      <c r="AT3201" s="184"/>
      <c r="AW3201" s="184"/>
      <c r="AZ3201" s="184"/>
      <c r="BP3201" s="184"/>
    </row>
    <row r="3202" spans="1:68">
      <c r="A3202">
        <v>38157822</v>
      </c>
      <c r="B3202">
        <v>38157822</v>
      </c>
      <c r="C3202" t="s">
        <v>7018</v>
      </c>
      <c r="E3202" s="184"/>
      <c r="G3202" s="184"/>
      <c r="I3202" s="184"/>
      <c r="J3202" t="s">
        <v>595</v>
      </c>
      <c r="K3202" s="184">
        <v>43649</v>
      </c>
      <c r="M3202" s="184"/>
      <c r="O3202" s="184"/>
      <c r="P3202" t="s">
        <v>7045</v>
      </c>
      <c r="Q3202" t="s">
        <v>7160</v>
      </c>
      <c r="R3202" s="184"/>
      <c r="V3202" t="s">
        <v>2979</v>
      </c>
      <c r="W3202" t="s">
        <v>2049</v>
      </c>
      <c r="X3202" t="s">
        <v>3605</v>
      </c>
      <c r="AF3202" t="s">
        <v>6636</v>
      </c>
      <c r="AG3202" t="s">
        <v>2979</v>
      </c>
      <c r="AI3202" t="s">
        <v>25256</v>
      </c>
      <c r="AM3202" t="s">
        <v>3606</v>
      </c>
      <c r="AN3202" t="s">
        <v>2413</v>
      </c>
      <c r="AO3202" t="s">
        <v>25257</v>
      </c>
      <c r="AP3202" t="s">
        <v>7024</v>
      </c>
      <c r="AQ3202" t="s">
        <v>25258</v>
      </c>
      <c r="AR3202" t="s">
        <v>25259</v>
      </c>
      <c r="AT3202" s="184">
        <v>38596</v>
      </c>
      <c r="AU3202" t="s">
        <v>25260</v>
      </c>
      <c r="AV3202">
        <v>25</v>
      </c>
      <c r="AW3202" s="184">
        <v>44557</v>
      </c>
      <c r="AX3202" t="s">
        <v>11848</v>
      </c>
      <c r="AY3202">
        <v>100</v>
      </c>
      <c r="AZ3202" s="184">
        <v>44557</v>
      </c>
      <c r="BA3202" t="s">
        <v>11848</v>
      </c>
      <c r="BB3202">
        <v>100</v>
      </c>
      <c r="BC3202">
        <v>45</v>
      </c>
      <c r="BD3202">
        <v>581</v>
      </c>
      <c r="BE3202">
        <v>2006</v>
      </c>
      <c r="BF3202">
        <v>11</v>
      </c>
      <c r="BI3202">
        <v>9</v>
      </c>
      <c r="BJ3202">
        <v>20</v>
      </c>
      <c r="BK3202">
        <v>3</v>
      </c>
      <c r="BL3202" t="s">
        <v>595</v>
      </c>
      <c r="BN3202" t="s">
        <v>595</v>
      </c>
      <c r="BP3202" s="184"/>
    </row>
    <row r="3203" spans="1:68">
      <c r="A3203">
        <v>38158036</v>
      </c>
      <c r="B3203">
        <v>38158036</v>
      </c>
      <c r="C3203" t="s">
        <v>7018</v>
      </c>
      <c r="E3203" s="184"/>
      <c r="G3203" s="184"/>
      <c r="I3203" s="184"/>
      <c r="K3203" s="184"/>
      <c r="L3203" t="s">
        <v>595</v>
      </c>
      <c r="M3203" s="184">
        <v>44265</v>
      </c>
      <c r="O3203" s="184"/>
      <c r="P3203" t="s">
        <v>7045</v>
      </c>
      <c r="Q3203" t="s">
        <v>7160</v>
      </c>
      <c r="R3203" s="184">
        <v>13454</v>
      </c>
      <c r="S3203">
        <v>87</v>
      </c>
      <c r="U3203" t="s">
        <v>7076</v>
      </c>
      <c r="V3203" t="s">
        <v>25261</v>
      </c>
      <c r="X3203" t="s">
        <v>7086</v>
      </c>
      <c r="AF3203" t="s">
        <v>25262</v>
      </c>
      <c r="AG3203" t="s">
        <v>25261</v>
      </c>
      <c r="AI3203" t="s">
        <v>25263</v>
      </c>
      <c r="AM3203" t="s">
        <v>3243</v>
      </c>
      <c r="AN3203" t="s">
        <v>2395</v>
      </c>
      <c r="AO3203" t="s">
        <v>25264</v>
      </c>
      <c r="AP3203" t="s">
        <v>7024</v>
      </c>
      <c r="AQ3203" t="s">
        <v>25265</v>
      </c>
      <c r="AT3203" s="184">
        <v>38596</v>
      </c>
      <c r="AU3203" t="s">
        <v>25266</v>
      </c>
      <c r="AV3203">
        <v>15</v>
      </c>
      <c r="AW3203" s="184">
        <v>45210</v>
      </c>
      <c r="AX3203" t="s">
        <v>25267</v>
      </c>
      <c r="AY3203">
        <v>75</v>
      </c>
      <c r="AZ3203" s="184">
        <v>43739</v>
      </c>
      <c r="BA3203" t="s">
        <v>25268</v>
      </c>
      <c r="BB3203">
        <v>100</v>
      </c>
      <c r="BC3203">
        <v>70</v>
      </c>
      <c r="BD3203">
        <v>1015</v>
      </c>
      <c r="BE3203">
        <v>2006</v>
      </c>
      <c r="BF3203">
        <v>15</v>
      </c>
      <c r="BG3203">
        <v>2</v>
      </c>
      <c r="BH3203">
        <v>150</v>
      </c>
      <c r="BI3203">
        <v>14</v>
      </c>
      <c r="BJ3203">
        <v>20</v>
      </c>
      <c r="BK3203">
        <v>13</v>
      </c>
      <c r="BP3203" s="184"/>
    </row>
    <row r="3204" spans="1:68">
      <c r="A3204">
        <v>38175931</v>
      </c>
      <c r="B3204">
        <v>38175931</v>
      </c>
      <c r="C3204" t="s">
        <v>7018</v>
      </c>
      <c r="E3204" s="184"/>
      <c r="G3204" s="184"/>
      <c r="I3204" s="184"/>
      <c r="J3204" t="s">
        <v>595</v>
      </c>
      <c r="K3204" s="184">
        <v>42004</v>
      </c>
      <c r="M3204" s="184"/>
      <c r="O3204" s="184"/>
      <c r="P3204" t="s">
        <v>7045</v>
      </c>
      <c r="Q3204" t="s">
        <v>7374</v>
      </c>
      <c r="R3204" s="184">
        <v>15919</v>
      </c>
      <c r="S3204">
        <v>80</v>
      </c>
      <c r="U3204" t="s">
        <v>7031</v>
      </c>
      <c r="V3204" t="s">
        <v>3054</v>
      </c>
      <c r="W3204" t="s">
        <v>2308</v>
      </c>
      <c r="X3204" t="s">
        <v>2962</v>
      </c>
      <c r="AF3204" t="s">
        <v>6460</v>
      </c>
      <c r="AG3204" t="s">
        <v>3054</v>
      </c>
      <c r="AI3204" t="s">
        <v>25269</v>
      </c>
      <c r="AM3204" t="s">
        <v>5080</v>
      </c>
      <c r="AN3204" t="s">
        <v>2081</v>
      </c>
      <c r="AO3204" t="s">
        <v>25270</v>
      </c>
      <c r="AP3204" t="s">
        <v>7024</v>
      </c>
      <c r="AQ3204" t="s">
        <v>25271</v>
      </c>
      <c r="AR3204" t="s">
        <v>25272</v>
      </c>
      <c r="AT3204" s="184">
        <v>38601</v>
      </c>
      <c r="AU3204" t="s">
        <v>25193</v>
      </c>
      <c r="AV3204">
        <v>20</v>
      </c>
      <c r="AW3204" s="184">
        <v>45286</v>
      </c>
      <c r="AX3204" t="s">
        <v>9378</v>
      </c>
      <c r="AY3204">
        <v>170</v>
      </c>
      <c r="AZ3204" s="184">
        <v>44904</v>
      </c>
      <c r="BA3204" t="s">
        <v>10277</v>
      </c>
      <c r="BB3204">
        <v>175</v>
      </c>
      <c r="BC3204">
        <v>85</v>
      </c>
      <c r="BD3204">
        <v>1625</v>
      </c>
      <c r="BE3204">
        <v>2006</v>
      </c>
      <c r="BF3204">
        <v>17</v>
      </c>
      <c r="BG3204">
        <v>2</v>
      </c>
      <c r="BH3204">
        <v>345</v>
      </c>
      <c r="BI3204">
        <v>17</v>
      </c>
      <c r="BJ3204">
        <v>20</v>
      </c>
      <c r="BK3204">
        <v>10</v>
      </c>
      <c r="BP3204" s="184"/>
    </row>
    <row r="3205" spans="1:68">
      <c r="A3205">
        <v>38184040</v>
      </c>
      <c r="B3205">
        <v>38184040</v>
      </c>
      <c r="C3205" t="s">
        <v>7018</v>
      </c>
      <c r="E3205" s="184"/>
      <c r="F3205" t="s">
        <v>595</v>
      </c>
      <c r="G3205" s="184">
        <v>43647</v>
      </c>
      <c r="I3205" s="184"/>
      <c r="K3205" s="184"/>
      <c r="P3205" t="s">
        <v>7045</v>
      </c>
      <c r="Q3205" t="s">
        <v>7383</v>
      </c>
      <c r="R3205" s="184">
        <v>16489</v>
      </c>
      <c r="S3205">
        <v>79</v>
      </c>
      <c r="U3205" t="s">
        <v>7076</v>
      </c>
      <c r="V3205" t="s">
        <v>3419</v>
      </c>
      <c r="X3205" t="s">
        <v>3420</v>
      </c>
      <c r="AF3205" t="s">
        <v>25273</v>
      </c>
      <c r="AG3205" t="s">
        <v>3419</v>
      </c>
      <c r="AI3205" t="s">
        <v>25274</v>
      </c>
      <c r="AM3205" t="s">
        <v>3082</v>
      </c>
      <c r="AN3205" t="s">
        <v>2313</v>
      </c>
      <c r="AO3205" t="s">
        <v>25275</v>
      </c>
      <c r="AP3205" t="s">
        <v>7024</v>
      </c>
      <c r="AQ3205" t="s">
        <v>25276</v>
      </c>
      <c r="AT3205" s="184">
        <v>38602</v>
      </c>
      <c r="AU3205" t="s">
        <v>25277</v>
      </c>
      <c r="AV3205">
        <v>25</v>
      </c>
      <c r="AW3205" s="184">
        <v>45412</v>
      </c>
      <c r="AX3205" t="s">
        <v>7429</v>
      </c>
      <c r="AY3205">
        <v>20</v>
      </c>
      <c r="AZ3205" s="184">
        <v>40361</v>
      </c>
      <c r="BA3205" t="s">
        <v>25278</v>
      </c>
      <c r="BB3205">
        <v>35</v>
      </c>
      <c r="BC3205">
        <v>100</v>
      </c>
      <c r="BD3205">
        <v>4380</v>
      </c>
      <c r="BE3205">
        <v>2006</v>
      </c>
      <c r="BF3205">
        <v>218</v>
      </c>
      <c r="BG3205">
        <v>24</v>
      </c>
      <c r="BH3205">
        <v>480</v>
      </c>
      <c r="BI3205">
        <v>20</v>
      </c>
      <c r="BJ3205">
        <v>20</v>
      </c>
      <c r="BK3205">
        <v>20</v>
      </c>
      <c r="BP3205" s="184"/>
    </row>
    <row r="3206" spans="1:68">
      <c r="A3206">
        <v>38202321</v>
      </c>
      <c r="B3206">
        <v>38202321</v>
      </c>
      <c r="C3206" t="s">
        <v>7018</v>
      </c>
      <c r="D3206" t="s">
        <v>595</v>
      </c>
      <c r="E3206" s="184">
        <v>44167</v>
      </c>
      <c r="G3206" s="184"/>
      <c r="I3206" s="184"/>
      <c r="K3206" s="184"/>
      <c r="M3206" s="184"/>
      <c r="O3206" s="184"/>
      <c r="P3206" t="s">
        <v>7045</v>
      </c>
      <c r="Q3206" t="s">
        <v>7194</v>
      </c>
      <c r="R3206" s="184">
        <v>14656</v>
      </c>
      <c r="S3206">
        <v>84</v>
      </c>
      <c r="V3206" t="s">
        <v>2541</v>
      </c>
      <c r="X3206" t="s">
        <v>25279</v>
      </c>
      <c r="AF3206" t="s">
        <v>25280</v>
      </c>
      <c r="AG3206" t="s">
        <v>2541</v>
      </c>
      <c r="AI3206" t="s">
        <v>25281</v>
      </c>
      <c r="AM3206" t="s">
        <v>25282</v>
      </c>
      <c r="AN3206" t="s">
        <v>2046</v>
      </c>
      <c r="AO3206" t="s">
        <v>25283</v>
      </c>
      <c r="AP3206" t="s">
        <v>7024</v>
      </c>
      <c r="AQ3206" t="s">
        <v>25284</v>
      </c>
      <c r="AR3206" t="s">
        <v>25285</v>
      </c>
      <c r="AT3206" s="184">
        <v>38608</v>
      </c>
      <c r="AU3206" t="s">
        <v>25286</v>
      </c>
      <c r="AV3206">
        <v>25</v>
      </c>
      <c r="AW3206" s="184">
        <v>45412</v>
      </c>
      <c r="AX3206" t="s">
        <v>14823</v>
      </c>
      <c r="AY3206">
        <v>25</v>
      </c>
      <c r="AZ3206" s="184">
        <v>45412</v>
      </c>
      <c r="BA3206" t="s">
        <v>14823</v>
      </c>
      <c r="BB3206">
        <v>25</v>
      </c>
      <c r="BC3206">
        <v>50</v>
      </c>
      <c r="BD3206">
        <v>280</v>
      </c>
      <c r="BE3206">
        <v>2006</v>
      </c>
      <c r="BF3206">
        <v>12</v>
      </c>
      <c r="BG3206">
        <v>2</v>
      </c>
      <c r="BH3206">
        <v>50</v>
      </c>
      <c r="BI3206">
        <v>10</v>
      </c>
      <c r="BJ3206">
        <v>20</v>
      </c>
      <c r="BK3206">
        <v>3</v>
      </c>
      <c r="BP3206" s="184"/>
    </row>
    <row r="3207" spans="1:68">
      <c r="A3207">
        <v>38213799</v>
      </c>
      <c r="B3207">
        <v>38213799</v>
      </c>
      <c r="C3207" t="s">
        <v>7018</v>
      </c>
      <c r="D3207" t="s">
        <v>595</v>
      </c>
      <c r="E3207" s="184">
        <v>43843</v>
      </c>
      <c r="G3207" s="184"/>
      <c r="I3207" s="184"/>
      <c r="K3207" s="184"/>
      <c r="O3207" s="184"/>
      <c r="P3207" t="s">
        <v>7045</v>
      </c>
      <c r="Q3207" t="s">
        <v>7383</v>
      </c>
      <c r="R3207" s="184">
        <v>16483</v>
      </c>
      <c r="S3207">
        <v>79</v>
      </c>
      <c r="U3207" t="s">
        <v>7076</v>
      </c>
      <c r="V3207" t="s">
        <v>3101</v>
      </c>
      <c r="X3207" t="s">
        <v>25287</v>
      </c>
      <c r="AF3207" t="s">
        <v>25288</v>
      </c>
      <c r="AG3207" t="s">
        <v>3101</v>
      </c>
      <c r="AI3207" t="s">
        <v>25289</v>
      </c>
      <c r="AM3207" t="s">
        <v>2703</v>
      </c>
      <c r="AN3207" t="s">
        <v>2064</v>
      </c>
      <c r="AO3207" t="s">
        <v>25290</v>
      </c>
      <c r="AP3207" t="s">
        <v>7024</v>
      </c>
      <c r="AQ3207" t="s">
        <v>25291</v>
      </c>
      <c r="AT3207" s="184">
        <v>38614</v>
      </c>
      <c r="AU3207" t="s">
        <v>25178</v>
      </c>
      <c r="AV3207">
        <v>25</v>
      </c>
      <c r="AW3207" s="184">
        <v>45289</v>
      </c>
      <c r="AX3207" t="s">
        <v>25292</v>
      </c>
      <c r="AY3207">
        <v>52.5</v>
      </c>
      <c r="AZ3207" s="184">
        <v>45289</v>
      </c>
      <c r="BA3207" t="s">
        <v>25292</v>
      </c>
      <c r="BB3207">
        <v>52.5</v>
      </c>
      <c r="BC3207">
        <v>90</v>
      </c>
      <c r="BD3207">
        <v>1027.5</v>
      </c>
      <c r="BE3207">
        <v>2006</v>
      </c>
      <c r="BF3207">
        <v>34</v>
      </c>
      <c r="BG3207">
        <v>4</v>
      </c>
      <c r="BH3207">
        <v>177.5</v>
      </c>
      <c r="BI3207">
        <v>18</v>
      </c>
      <c r="BJ3207">
        <v>20</v>
      </c>
      <c r="BK3207">
        <v>16</v>
      </c>
    </row>
    <row r="3208" spans="1:68">
      <c r="A3208">
        <v>38226767</v>
      </c>
      <c r="B3208">
        <v>38226767</v>
      </c>
      <c r="C3208" t="s">
        <v>7018</v>
      </c>
      <c r="D3208" t="s">
        <v>595</v>
      </c>
      <c r="E3208" s="184">
        <v>44104</v>
      </c>
      <c r="G3208" s="184"/>
      <c r="I3208" s="184"/>
      <c r="K3208" s="184"/>
      <c r="M3208" s="184"/>
      <c r="O3208" s="184"/>
      <c r="P3208" t="s">
        <v>7045</v>
      </c>
      <c r="Q3208" t="s">
        <v>7454</v>
      </c>
      <c r="R3208" s="184">
        <v>15707</v>
      </c>
      <c r="S3208">
        <v>81</v>
      </c>
      <c r="V3208" t="s">
        <v>2903</v>
      </c>
      <c r="W3208" t="s">
        <v>4139</v>
      </c>
      <c r="X3208" t="s">
        <v>25293</v>
      </c>
      <c r="AF3208" t="s">
        <v>25294</v>
      </c>
      <c r="AG3208" t="s">
        <v>2903</v>
      </c>
      <c r="AI3208" t="s">
        <v>25295</v>
      </c>
      <c r="AJ3208" t="s">
        <v>25296</v>
      </c>
      <c r="AM3208" t="s">
        <v>3611</v>
      </c>
      <c r="AN3208" t="s">
        <v>2055</v>
      </c>
      <c r="AO3208" t="s">
        <v>25297</v>
      </c>
      <c r="AP3208" t="s">
        <v>7024</v>
      </c>
      <c r="AQ3208" t="s">
        <v>25298</v>
      </c>
      <c r="AT3208" s="184">
        <v>38621</v>
      </c>
      <c r="AU3208" t="s">
        <v>25299</v>
      </c>
      <c r="AV3208">
        <v>25</v>
      </c>
      <c r="AW3208" s="184">
        <v>45267</v>
      </c>
      <c r="AX3208" t="s">
        <v>11761</v>
      </c>
      <c r="AY3208">
        <v>150</v>
      </c>
      <c r="AZ3208" s="184">
        <v>43060</v>
      </c>
      <c r="BA3208" t="s">
        <v>25300</v>
      </c>
      <c r="BB3208">
        <v>310</v>
      </c>
      <c r="BC3208">
        <v>75</v>
      </c>
      <c r="BD3208">
        <v>5230</v>
      </c>
      <c r="BE3208">
        <v>2006</v>
      </c>
      <c r="BF3208">
        <v>37</v>
      </c>
      <c r="BG3208">
        <v>7</v>
      </c>
      <c r="BH3208">
        <v>950</v>
      </c>
      <c r="BI3208">
        <v>15</v>
      </c>
      <c r="BJ3208">
        <v>20</v>
      </c>
      <c r="BK3208">
        <v>5</v>
      </c>
      <c r="BP3208" s="184"/>
    </row>
    <row r="3209" spans="1:68">
      <c r="A3209">
        <v>38229373</v>
      </c>
      <c r="B3209">
        <v>38229373</v>
      </c>
      <c r="C3209" t="s">
        <v>7018</v>
      </c>
      <c r="D3209" t="s">
        <v>595</v>
      </c>
      <c r="E3209" s="184">
        <v>44414</v>
      </c>
      <c r="G3209" s="184"/>
      <c r="H3209" t="s">
        <v>595</v>
      </c>
      <c r="I3209" s="184">
        <v>44419</v>
      </c>
      <c r="K3209" s="184"/>
      <c r="M3209" s="184"/>
      <c r="O3209" s="184"/>
      <c r="P3209" t="s">
        <v>7029</v>
      </c>
      <c r="Q3209" t="s">
        <v>7383</v>
      </c>
      <c r="R3209" s="184">
        <v>12875</v>
      </c>
      <c r="S3209">
        <v>89</v>
      </c>
      <c r="V3209" t="s">
        <v>5116</v>
      </c>
      <c r="X3209" t="s">
        <v>5117</v>
      </c>
      <c r="Z3209">
        <v>100110810</v>
      </c>
      <c r="AB3209" t="s">
        <v>3574</v>
      </c>
      <c r="AD3209" t="s">
        <v>5117</v>
      </c>
      <c r="AF3209" t="s">
        <v>25301</v>
      </c>
      <c r="AG3209" t="s">
        <v>25302</v>
      </c>
      <c r="AI3209" t="s">
        <v>25303</v>
      </c>
      <c r="AM3209" t="s">
        <v>5118</v>
      </c>
      <c r="AN3209" t="s">
        <v>2064</v>
      </c>
      <c r="AO3209" t="s">
        <v>25304</v>
      </c>
      <c r="AP3209" t="s">
        <v>7024</v>
      </c>
      <c r="AQ3209" t="s">
        <v>25305</v>
      </c>
      <c r="AT3209" s="184">
        <v>38621</v>
      </c>
      <c r="AU3209" t="s">
        <v>25306</v>
      </c>
      <c r="AV3209">
        <v>15</v>
      </c>
      <c r="AW3209" s="184">
        <v>44267</v>
      </c>
      <c r="AX3209" t="s">
        <v>19938</v>
      </c>
      <c r="AY3209">
        <v>1000</v>
      </c>
      <c r="AZ3209" s="184">
        <v>44267</v>
      </c>
      <c r="BA3209" t="s">
        <v>19938</v>
      </c>
      <c r="BB3209">
        <v>1000</v>
      </c>
      <c r="BC3209">
        <v>30</v>
      </c>
      <c r="BD3209">
        <v>1305</v>
      </c>
      <c r="BE3209">
        <v>2006</v>
      </c>
      <c r="BF3209">
        <v>8</v>
      </c>
      <c r="BI3209">
        <v>6</v>
      </c>
      <c r="BJ3209">
        <v>20</v>
      </c>
      <c r="BK3209">
        <v>2</v>
      </c>
      <c r="BP3209" s="184"/>
    </row>
    <row r="3210" spans="1:68">
      <c r="A3210">
        <v>100110810</v>
      </c>
      <c r="B3210">
        <v>38229373</v>
      </c>
      <c r="C3210" t="s">
        <v>7018</v>
      </c>
      <c r="D3210" t="s">
        <v>595</v>
      </c>
      <c r="E3210" s="184">
        <v>44414</v>
      </c>
      <c r="G3210" s="184"/>
      <c r="H3210" t="s">
        <v>595</v>
      </c>
      <c r="I3210" s="184">
        <v>44419</v>
      </c>
      <c r="K3210" s="184"/>
      <c r="O3210" s="184"/>
      <c r="P3210" t="s">
        <v>7029</v>
      </c>
      <c r="Q3210" t="s">
        <v>7383</v>
      </c>
      <c r="R3210" s="184">
        <v>12651</v>
      </c>
      <c r="S3210">
        <v>89</v>
      </c>
      <c r="V3210" t="s">
        <v>3574</v>
      </c>
      <c r="X3210" t="s">
        <v>5117</v>
      </c>
      <c r="Z3210">
        <v>38229373</v>
      </c>
      <c r="AB3210" t="s">
        <v>5116</v>
      </c>
      <c r="AD3210" t="s">
        <v>5117</v>
      </c>
      <c r="AF3210" t="s">
        <v>25301</v>
      </c>
      <c r="AG3210" t="s">
        <v>25302</v>
      </c>
      <c r="AI3210" t="s">
        <v>25303</v>
      </c>
      <c r="AM3210" t="s">
        <v>5118</v>
      </c>
      <c r="AN3210" t="s">
        <v>2064</v>
      </c>
      <c r="AO3210" t="s">
        <v>25304</v>
      </c>
      <c r="AP3210" t="s">
        <v>7024</v>
      </c>
      <c r="AT3210" s="184"/>
      <c r="AW3210" s="184"/>
      <c r="AZ3210" s="184"/>
      <c r="BP3210" s="184"/>
    </row>
    <row r="3211" spans="1:68">
      <c r="A3211">
        <v>38238382</v>
      </c>
      <c r="B3211">
        <v>38238382</v>
      </c>
      <c r="C3211" t="s">
        <v>7018</v>
      </c>
      <c r="D3211" t="s">
        <v>595</v>
      </c>
      <c r="E3211" s="184">
        <v>43843</v>
      </c>
      <c r="G3211" s="184"/>
      <c r="I3211" s="184"/>
      <c r="K3211" s="184"/>
      <c r="M3211" s="184"/>
      <c r="O3211" s="184"/>
      <c r="P3211" t="s">
        <v>7045</v>
      </c>
      <c r="Q3211" t="s">
        <v>7383</v>
      </c>
      <c r="R3211" s="184">
        <v>16380</v>
      </c>
      <c r="S3211">
        <v>79</v>
      </c>
      <c r="V3211" t="s">
        <v>2932</v>
      </c>
      <c r="X3211" t="s">
        <v>25307</v>
      </c>
      <c r="AF3211" t="s">
        <v>25308</v>
      </c>
      <c r="AG3211" t="s">
        <v>2932</v>
      </c>
      <c r="AI3211" t="s">
        <v>25309</v>
      </c>
      <c r="AM3211" t="s">
        <v>25310</v>
      </c>
      <c r="AN3211" t="s">
        <v>2274</v>
      </c>
      <c r="AO3211" t="s">
        <v>25311</v>
      </c>
      <c r="AP3211" t="s">
        <v>7024</v>
      </c>
      <c r="AT3211" s="184">
        <v>38623</v>
      </c>
      <c r="AU3211" t="s">
        <v>25312</v>
      </c>
      <c r="AV3211">
        <v>10</v>
      </c>
      <c r="AW3211" s="184">
        <v>44186</v>
      </c>
      <c r="AX3211" t="s">
        <v>25313</v>
      </c>
      <c r="AY3211">
        <v>40</v>
      </c>
      <c r="AZ3211" s="184">
        <v>43074</v>
      </c>
      <c r="BA3211" t="s">
        <v>25314</v>
      </c>
      <c r="BB3211">
        <v>50</v>
      </c>
      <c r="BC3211">
        <v>65</v>
      </c>
      <c r="BD3211">
        <v>435</v>
      </c>
      <c r="BE3211">
        <v>2006</v>
      </c>
      <c r="BF3211">
        <v>13</v>
      </c>
      <c r="BI3211">
        <v>13</v>
      </c>
      <c r="BJ3211">
        <v>20</v>
      </c>
      <c r="BK3211">
        <v>6</v>
      </c>
      <c r="BP3211" s="184"/>
    </row>
    <row r="3212" spans="1:68">
      <c r="A3212">
        <v>38245015</v>
      </c>
      <c r="B3212">
        <v>38245015</v>
      </c>
      <c r="C3212" t="s">
        <v>7018</v>
      </c>
      <c r="D3212" t="s">
        <v>595</v>
      </c>
      <c r="E3212" s="184">
        <v>43761</v>
      </c>
      <c r="G3212" s="184"/>
      <c r="I3212" s="184"/>
      <c r="K3212" s="184"/>
      <c r="M3212" s="184"/>
      <c r="O3212" s="184"/>
      <c r="P3212" t="s">
        <v>7045</v>
      </c>
      <c r="Q3212" t="s">
        <v>7374</v>
      </c>
      <c r="R3212" s="184">
        <v>19373</v>
      </c>
      <c r="S3212">
        <v>71</v>
      </c>
      <c r="U3212" t="s">
        <v>7031</v>
      </c>
      <c r="V3212" t="s">
        <v>2898</v>
      </c>
      <c r="W3212" t="s">
        <v>7407</v>
      </c>
      <c r="X3212" t="s">
        <v>2962</v>
      </c>
      <c r="AF3212" t="s">
        <v>25315</v>
      </c>
      <c r="AG3212" t="s">
        <v>2898</v>
      </c>
      <c r="AI3212" t="s">
        <v>25316</v>
      </c>
      <c r="AM3212" t="s">
        <v>4221</v>
      </c>
      <c r="AN3212" t="s">
        <v>2081</v>
      </c>
      <c r="AO3212" t="s">
        <v>25317</v>
      </c>
      <c r="AP3212" t="s">
        <v>7024</v>
      </c>
      <c r="AQ3212" t="s">
        <v>25318</v>
      </c>
      <c r="AR3212" t="s">
        <v>25319</v>
      </c>
      <c r="AT3212" s="184">
        <v>38624</v>
      </c>
      <c r="AU3212" t="s">
        <v>25320</v>
      </c>
      <c r="AV3212">
        <v>25</v>
      </c>
      <c r="AW3212" s="184">
        <v>44132</v>
      </c>
      <c r="AX3212" t="s">
        <v>25321</v>
      </c>
      <c r="AY3212">
        <v>100</v>
      </c>
      <c r="AZ3212" s="184">
        <v>44132</v>
      </c>
      <c r="BA3212" t="s">
        <v>25321</v>
      </c>
      <c r="BB3212">
        <v>100</v>
      </c>
      <c r="BC3212">
        <v>65</v>
      </c>
      <c r="BD3212">
        <v>1740</v>
      </c>
      <c r="BE3212">
        <v>2006</v>
      </c>
      <c r="BF3212">
        <v>31</v>
      </c>
      <c r="BI3212">
        <v>13</v>
      </c>
      <c r="BJ3212">
        <v>20</v>
      </c>
      <c r="BK3212">
        <v>12</v>
      </c>
      <c r="BN3212" t="s">
        <v>595</v>
      </c>
      <c r="BP3212" s="184"/>
    </row>
    <row r="3213" spans="1:68">
      <c r="A3213">
        <v>38246955</v>
      </c>
      <c r="B3213">
        <v>38246955</v>
      </c>
      <c r="C3213" t="s">
        <v>7018</v>
      </c>
      <c r="D3213" t="s">
        <v>595</v>
      </c>
      <c r="E3213" s="184">
        <v>43861</v>
      </c>
      <c r="G3213" s="184"/>
      <c r="I3213" s="184"/>
      <c r="K3213" s="184"/>
      <c r="M3213" s="184"/>
      <c r="O3213" s="184"/>
      <c r="P3213" t="s">
        <v>7045</v>
      </c>
      <c r="Q3213" t="s">
        <v>7030</v>
      </c>
      <c r="R3213" s="184">
        <v>16984</v>
      </c>
      <c r="S3213">
        <v>77</v>
      </c>
      <c r="V3213" t="s">
        <v>4594</v>
      </c>
      <c r="W3213" t="s">
        <v>4139</v>
      </c>
      <c r="X3213" t="s">
        <v>4595</v>
      </c>
      <c r="AF3213" t="s">
        <v>25322</v>
      </c>
      <c r="AG3213" t="s">
        <v>4594</v>
      </c>
      <c r="AI3213" t="s">
        <v>25323</v>
      </c>
      <c r="AM3213" t="s">
        <v>4596</v>
      </c>
      <c r="AN3213" t="s">
        <v>2201</v>
      </c>
      <c r="AO3213" t="s">
        <v>25324</v>
      </c>
      <c r="AP3213" t="s">
        <v>7024</v>
      </c>
      <c r="AQ3213" t="s">
        <v>25325</v>
      </c>
      <c r="AR3213" t="s">
        <v>25326</v>
      </c>
      <c r="AT3213" s="184">
        <v>38624</v>
      </c>
      <c r="AU3213" t="s">
        <v>25327</v>
      </c>
      <c r="AV3213">
        <v>50</v>
      </c>
      <c r="AW3213" s="184">
        <v>45426</v>
      </c>
      <c r="AX3213" t="s">
        <v>7422</v>
      </c>
      <c r="AY3213">
        <v>26.25</v>
      </c>
      <c r="AZ3213" s="184">
        <v>44656</v>
      </c>
      <c r="BA3213" t="s">
        <v>8543</v>
      </c>
      <c r="BB3213">
        <v>100</v>
      </c>
      <c r="BC3213">
        <v>50</v>
      </c>
      <c r="BD3213">
        <v>2098.75</v>
      </c>
      <c r="BE3213">
        <v>2006</v>
      </c>
      <c r="BF3213">
        <v>77</v>
      </c>
      <c r="BG3213">
        <v>11</v>
      </c>
      <c r="BH3213">
        <v>288.75</v>
      </c>
      <c r="BI3213">
        <v>10</v>
      </c>
      <c r="BJ3213">
        <v>20</v>
      </c>
      <c r="BK3213">
        <v>9</v>
      </c>
      <c r="BP3213" s="184"/>
    </row>
    <row r="3214" spans="1:68">
      <c r="A3214">
        <v>38251450</v>
      </c>
      <c r="B3214">
        <v>38251450</v>
      </c>
      <c r="C3214" t="s">
        <v>7018</v>
      </c>
      <c r="E3214" s="184"/>
      <c r="G3214" s="184"/>
      <c r="H3214" t="s">
        <v>595</v>
      </c>
      <c r="I3214" s="184">
        <v>44328</v>
      </c>
      <c r="K3214" s="184"/>
      <c r="M3214" s="184"/>
      <c r="O3214" s="184"/>
      <c r="P3214" t="s">
        <v>7019</v>
      </c>
      <c r="Q3214" t="s">
        <v>7020</v>
      </c>
      <c r="R3214" s="184">
        <v>17123</v>
      </c>
      <c r="S3214">
        <v>77</v>
      </c>
      <c r="U3214" t="s">
        <v>7031</v>
      </c>
      <c r="V3214" t="s">
        <v>3825</v>
      </c>
      <c r="X3214" t="s">
        <v>25328</v>
      </c>
      <c r="AF3214" t="s">
        <v>25329</v>
      </c>
      <c r="AG3214" t="s">
        <v>3825</v>
      </c>
      <c r="AI3214" t="s">
        <v>25330</v>
      </c>
      <c r="AM3214" t="s">
        <v>25331</v>
      </c>
      <c r="AN3214" t="s">
        <v>2240</v>
      </c>
      <c r="AO3214" t="s">
        <v>25332</v>
      </c>
      <c r="AP3214" t="s">
        <v>7024</v>
      </c>
      <c r="AQ3214" t="s">
        <v>25333</v>
      </c>
      <c r="AT3214" s="184">
        <v>38625</v>
      </c>
      <c r="AU3214" t="s">
        <v>25334</v>
      </c>
      <c r="AV3214">
        <v>25</v>
      </c>
      <c r="AW3214" s="184">
        <v>44791</v>
      </c>
      <c r="AX3214" t="s">
        <v>20042</v>
      </c>
      <c r="AY3214">
        <v>87</v>
      </c>
      <c r="AZ3214" s="184">
        <v>41138</v>
      </c>
      <c r="BA3214" t="s">
        <v>25335</v>
      </c>
      <c r="BB3214">
        <v>100</v>
      </c>
      <c r="BC3214">
        <v>90</v>
      </c>
      <c r="BD3214">
        <v>992</v>
      </c>
      <c r="BE3214">
        <v>2006</v>
      </c>
      <c r="BF3214">
        <v>18</v>
      </c>
      <c r="BG3214">
        <v>1</v>
      </c>
      <c r="BH3214">
        <v>87</v>
      </c>
      <c r="BI3214">
        <v>18</v>
      </c>
      <c r="BJ3214">
        <v>20</v>
      </c>
      <c r="BK3214">
        <v>18</v>
      </c>
      <c r="BP3214" s="184"/>
    </row>
    <row r="3215" spans="1:68">
      <c r="A3215">
        <v>38252102</v>
      </c>
      <c r="B3215">
        <v>38252102</v>
      </c>
      <c r="C3215" t="s">
        <v>7018</v>
      </c>
      <c r="E3215" s="184"/>
      <c r="G3215" s="184"/>
      <c r="I3215" s="184"/>
      <c r="J3215" t="s">
        <v>595</v>
      </c>
      <c r="K3215" s="184">
        <v>43731</v>
      </c>
      <c r="M3215" s="184"/>
      <c r="O3215" s="184"/>
      <c r="P3215" t="s">
        <v>7019</v>
      </c>
      <c r="Q3215" t="s">
        <v>7454</v>
      </c>
      <c r="R3215" s="184">
        <v>20455</v>
      </c>
      <c r="S3215">
        <v>68</v>
      </c>
      <c r="V3215" t="s">
        <v>25336</v>
      </c>
      <c r="W3215" t="s">
        <v>7085</v>
      </c>
      <c r="X3215" t="s">
        <v>3831</v>
      </c>
      <c r="AF3215" t="s">
        <v>6434</v>
      </c>
      <c r="AG3215" t="s">
        <v>25336</v>
      </c>
      <c r="AI3215" t="s">
        <v>25337</v>
      </c>
      <c r="AM3215" t="s">
        <v>3832</v>
      </c>
      <c r="AN3215" t="s">
        <v>2055</v>
      </c>
      <c r="AO3215" t="s">
        <v>25338</v>
      </c>
      <c r="AP3215" t="s">
        <v>7024</v>
      </c>
      <c r="AT3215" s="184">
        <v>38625</v>
      </c>
      <c r="AU3215" t="s">
        <v>25339</v>
      </c>
      <c r="AV3215">
        <v>20</v>
      </c>
      <c r="AW3215" s="184">
        <v>45291</v>
      </c>
      <c r="AX3215" t="s">
        <v>25340</v>
      </c>
      <c r="AY3215">
        <v>20</v>
      </c>
      <c r="AZ3215" s="184">
        <v>44526</v>
      </c>
      <c r="BA3215" t="s">
        <v>10002</v>
      </c>
      <c r="BB3215">
        <v>87</v>
      </c>
      <c r="BC3215">
        <v>95</v>
      </c>
      <c r="BD3215">
        <v>1357</v>
      </c>
      <c r="BE3215">
        <v>2006</v>
      </c>
      <c r="BF3215">
        <v>59</v>
      </c>
      <c r="BG3215">
        <v>5</v>
      </c>
      <c r="BH3215">
        <v>100</v>
      </c>
      <c r="BI3215">
        <v>19</v>
      </c>
      <c r="BJ3215">
        <v>20</v>
      </c>
      <c r="BK3215">
        <v>19</v>
      </c>
    </row>
    <row r="3216" spans="1:68">
      <c r="A3216">
        <v>38260147</v>
      </c>
      <c r="B3216">
        <v>38260147</v>
      </c>
      <c r="C3216" t="s">
        <v>7018</v>
      </c>
      <c r="E3216" s="184"/>
      <c r="G3216" s="184"/>
      <c r="I3216" s="184"/>
      <c r="J3216" t="s">
        <v>595</v>
      </c>
      <c r="K3216" s="184">
        <v>40564</v>
      </c>
      <c r="M3216" s="184"/>
      <c r="O3216" s="184"/>
      <c r="P3216" t="s">
        <v>7045</v>
      </c>
      <c r="Q3216" t="s">
        <v>7194</v>
      </c>
      <c r="R3216" s="184">
        <v>15098</v>
      </c>
      <c r="S3216">
        <v>83</v>
      </c>
      <c r="U3216" t="s">
        <v>7031</v>
      </c>
      <c r="V3216" t="s">
        <v>3889</v>
      </c>
      <c r="W3216" t="s">
        <v>2511</v>
      </c>
      <c r="X3216" t="s">
        <v>7319</v>
      </c>
      <c r="Z3216">
        <v>100110936</v>
      </c>
      <c r="AA3216" t="s">
        <v>7130</v>
      </c>
      <c r="AB3216" t="s">
        <v>25341</v>
      </c>
      <c r="AC3216" t="s">
        <v>25342</v>
      </c>
      <c r="AD3216" t="s">
        <v>7319</v>
      </c>
      <c r="AF3216" t="s">
        <v>25343</v>
      </c>
      <c r="AG3216" t="s">
        <v>25344</v>
      </c>
      <c r="AI3216" t="s">
        <v>25345</v>
      </c>
      <c r="AM3216" t="s">
        <v>5097</v>
      </c>
      <c r="AN3216" t="s">
        <v>2046</v>
      </c>
      <c r="AO3216" t="s">
        <v>25346</v>
      </c>
      <c r="AP3216" t="s">
        <v>7024</v>
      </c>
      <c r="AQ3216" t="s">
        <v>25347</v>
      </c>
      <c r="AT3216" s="184">
        <v>38628</v>
      </c>
      <c r="AU3216" t="s">
        <v>25348</v>
      </c>
      <c r="AV3216">
        <v>100</v>
      </c>
      <c r="AW3216" s="184">
        <v>41008</v>
      </c>
      <c r="AX3216" t="s">
        <v>25349</v>
      </c>
      <c r="AY3216">
        <v>500</v>
      </c>
      <c r="AZ3216" s="184">
        <v>41008</v>
      </c>
      <c r="BA3216" t="s">
        <v>25349</v>
      </c>
      <c r="BB3216">
        <v>500</v>
      </c>
      <c r="BC3216">
        <v>40</v>
      </c>
      <c r="BD3216">
        <v>3100</v>
      </c>
      <c r="BE3216">
        <v>2006</v>
      </c>
      <c r="BF3216">
        <v>8</v>
      </c>
      <c r="BI3216">
        <v>8</v>
      </c>
      <c r="BJ3216">
        <v>20</v>
      </c>
      <c r="BK3216">
        <v>8</v>
      </c>
    </row>
    <row r="3217" spans="1:68">
      <c r="A3217">
        <v>100110936</v>
      </c>
      <c r="B3217">
        <v>38260147</v>
      </c>
      <c r="C3217" t="s">
        <v>7018</v>
      </c>
      <c r="E3217" s="184"/>
      <c r="G3217" s="184"/>
      <c r="I3217" s="184"/>
      <c r="J3217" t="s">
        <v>595</v>
      </c>
      <c r="K3217" s="184">
        <v>40564</v>
      </c>
      <c r="M3217" s="184"/>
      <c r="O3217" s="184"/>
      <c r="P3217" t="s">
        <v>7045</v>
      </c>
      <c r="Q3217" t="s">
        <v>7194</v>
      </c>
      <c r="R3217" s="184">
        <v>15369</v>
      </c>
      <c r="S3217">
        <v>82</v>
      </c>
      <c r="U3217" t="s">
        <v>7130</v>
      </c>
      <c r="V3217" t="s">
        <v>25341</v>
      </c>
      <c r="W3217" t="s">
        <v>25342</v>
      </c>
      <c r="X3217" t="s">
        <v>7319</v>
      </c>
      <c r="Z3217">
        <v>38260147</v>
      </c>
      <c r="AA3217" t="s">
        <v>7031</v>
      </c>
      <c r="AB3217" t="s">
        <v>3889</v>
      </c>
      <c r="AC3217" t="s">
        <v>2511</v>
      </c>
      <c r="AD3217" t="s">
        <v>7319</v>
      </c>
      <c r="AF3217" t="s">
        <v>25343</v>
      </c>
      <c r="AG3217" t="s">
        <v>25344</v>
      </c>
      <c r="AI3217" t="s">
        <v>25345</v>
      </c>
      <c r="AM3217" t="s">
        <v>5097</v>
      </c>
      <c r="AN3217" t="s">
        <v>2046</v>
      </c>
      <c r="AO3217" t="s">
        <v>25346</v>
      </c>
      <c r="AP3217" t="s">
        <v>7024</v>
      </c>
      <c r="AT3217" s="184"/>
      <c r="AW3217" s="184"/>
      <c r="AZ3217" s="184"/>
      <c r="BP3217" s="184"/>
    </row>
    <row r="3218" spans="1:68">
      <c r="A3218">
        <v>38264602</v>
      </c>
      <c r="B3218">
        <v>38264602</v>
      </c>
      <c r="C3218" t="s">
        <v>7018</v>
      </c>
      <c r="D3218" t="s">
        <v>595</v>
      </c>
      <c r="E3218" s="184">
        <v>44441</v>
      </c>
      <c r="G3218" s="184"/>
      <c r="I3218" s="184"/>
      <c r="K3218" s="184"/>
      <c r="O3218" s="184"/>
      <c r="P3218" t="s">
        <v>7045</v>
      </c>
      <c r="Q3218" t="s">
        <v>7374</v>
      </c>
      <c r="R3218" s="184">
        <v>15827</v>
      </c>
      <c r="S3218">
        <v>81</v>
      </c>
      <c r="V3218" t="s">
        <v>2733</v>
      </c>
      <c r="X3218" t="s">
        <v>4728</v>
      </c>
      <c r="AF3218" t="s">
        <v>25350</v>
      </c>
      <c r="AG3218" t="s">
        <v>2733</v>
      </c>
      <c r="AI3218" t="s">
        <v>25351</v>
      </c>
      <c r="AM3218" t="s">
        <v>25352</v>
      </c>
      <c r="AN3218" t="s">
        <v>2081</v>
      </c>
      <c r="AO3218" t="s">
        <v>25353</v>
      </c>
      <c r="AP3218" t="s">
        <v>7024</v>
      </c>
      <c r="AQ3218" t="s">
        <v>25354</v>
      </c>
      <c r="AT3218" s="184">
        <v>38629</v>
      </c>
      <c r="AU3218" t="s">
        <v>25339</v>
      </c>
      <c r="AV3218">
        <v>25</v>
      </c>
      <c r="AW3218" s="184">
        <v>44567</v>
      </c>
      <c r="AX3218" t="s">
        <v>25355</v>
      </c>
      <c r="AY3218">
        <v>35</v>
      </c>
      <c r="AZ3218" s="184">
        <v>44567</v>
      </c>
      <c r="BA3218" t="s">
        <v>25355</v>
      </c>
      <c r="BB3218">
        <v>35</v>
      </c>
      <c r="BC3218">
        <v>40</v>
      </c>
      <c r="BD3218">
        <v>220</v>
      </c>
      <c r="BE3218">
        <v>2006</v>
      </c>
      <c r="BF3218">
        <v>8</v>
      </c>
      <c r="BI3218">
        <v>8</v>
      </c>
      <c r="BJ3218">
        <v>20</v>
      </c>
      <c r="BK3218">
        <v>2</v>
      </c>
      <c r="BP3218" s="184"/>
    </row>
    <row r="3219" spans="1:68">
      <c r="A3219">
        <v>38275509</v>
      </c>
      <c r="B3219">
        <v>38275509</v>
      </c>
      <c r="C3219" t="s">
        <v>7018</v>
      </c>
      <c r="D3219" t="s">
        <v>595</v>
      </c>
      <c r="E3219" s="184">
        <v>45112</v>
      </c>
      <c r="G3219" s="184"/>
      <c r="I3219" s="184"/>
      <c r="K3219" s="184"/>
      <c r="M3219" s="184"/>
      <c r="O3219" s="184"/>
      <c r="P3219" t="s">
        <v>7045</v>
      </c>
      <c r="Q3219" t="s">
        <v>7262</v>
      </c>
      <c r="R3219" s="184">
        <v>19524</v>
      </c>
      <c r="S3219">
        <v>70</v>
      </c>
      <c r="V3219" t="s">
        <v>25356</v>
      </c>
      <c r="X3219" t="s">
        <v>25357</v>
      </c>
      <c r="AF3219" t="s">
        <v>25358</v>
      </c>
      <c r="AG3219" t="s">
        <v>25356</v>
      </c>
      <c r="AI3219" t="s">
        <v>25359</v>
      </c>
      <c r="AM3219" t="s">
        <v>25360</v>
      </c>
      <c r="AN3219" t="s">
        <v>2069</v>
      </c>
      <c r="AO3219" t="s">
        <v>25361</v>
      </c>
      <c r="AP3219" t="s">
        <v>7024</v>
      </c>
      <c r="AT3219" s="184">
        <v>38632</v>
      </c>
      <c r="AU3219" t="s">
        <v>25362</v>
      </c>
      <c r="AV3219">
        <v>15</v>
      </c>
      <c r="AW3219" s="184">
        <v>45247</v>
      </c>
      <c r="AX3219" t="s">
        <v>25363</v>
      </c>
      <c r="AY3219">
        <v>15</v>
      </c>
      <c r="AZ3219" s="184">
        <v>43556</v>
      </c>
      <c r="BA3219" t="s">
        <v>25364</v>
      </c>
      <c r="BB3219">
        <v>25</v>
      </c>
      <c r="BC3219">
        <v>40</v>
      </c>
      <c r="BD3219">
        <v>180</v>
      </c>
      <c r="BE3219">
        <v>2006</v>
      </c>
      <c r="BF3219">
        <v>10</v>
      </c>
      <c r="BG3219">
        <v>1</v>
      </c>
      <c r="BH3219">
        <v>15</v>
      </c>
      <c r="BI3219">
        <v>8</v>
      </c>
      <c r="BJ3219">
        <v>20</v>
      </c>
      <c r="BK3219">
        <v>3</v>
      </c>
      <c r="BP3219" s="184"/>
    </row>
    <row r="3220" spans="1:68">
      <c r="A3220">
        <v>38282323</v>
      </c>
      <c r="B3220">
        <v>38282323</v>
      </c>
      <c r="C3220" t="s">
        <v>7018</v>
      </c>
      <c r="D3220" t="s">
        <v>595</v>
      </c>
      <c r="E3220" s="184">
        <v>44313</v>
      </c>
      <c r="G3220" s="184"/>
      <c r="I3220" s="184"/>
      <c r="K3220" s="184"/>
      <c r="M3220" s="184"/>
      <c r="O3220" s="184"/>
      <c r="P3220" t="s">
        <v>7045</v>
      </c>
      <c r="Q3220" t="s">
        <v>7030</v>
      </c>
      <c r="R3220" s="184">
        <v>14726</v>
      </c>
      <c r="S3220">
        <v>84</v>
      </c>
      <c r="V3220" t="s">
        <v>25365</v>
      </c>
      <c r="W3220" t="s">
        <v>7085</v>
      </c>
      <c r="X3220" t="s">
        <v>13732</v>
      </c>
      <c r="AF3220" t="s">
        <v>25366</v>
      </c>
      <c r="AG3220" t="s">
        <v>25365</v>
      </c>
      <c r="AI3220" t="s">
        <v>25367</v>
      </c>
      <c r="AM3220" t="s">
        <v>3146</v>
      </c>
      <c r="AN3220" t="s">
        <v>2638</v>
      </c>
      <c r="AO3220">
        <v>84075</v>
      </c>
      <c r="AP3220" t="s">
        <v>7024</v>
      </c>
      <c r="AQ3220" t="s">
        <v>25368</v>
      </c>
      <c r="AR3220" t="s">
        <v>25369</v>
      </c>
      <c r="AT3220" s="184">
        <v>38635</v>
      </c>
      <c r="AU3220" t="s">
        <v>25299</v>
      </c>
      <c r="AV3220">
        <v>25</v>
      </c>
      <c r="AW3220" s="184">
        <v>44830</v>
      </c>
      <c r="AX3220" t="s">
        <v>25370</v>
      </c>
      <c r="AY3220">
        <v>35</v>
      </c>
      <c r="AZ3220" s="184">
        <v>44830</v>
      </c>
      <c r="BA3220" t="s">
        <v>25370</v>
      </c>
      <c r="BB3220">
        <v>35</v>
      </c>
      <c r="BC3220">
        <v>75</v>
      </c>
      <c r="BD3220">
        <v>500</v>
      </c>
      <c r="BE3220">
        <v>2006</v>
      </c>
      <c r="BF3220">
        <v>21</v>
      </c>
      <c r="BG3220">
        <v>1</v>
      </c>
      <c r="BH3220">
        <v>35</v>
      </c>
      <c r="BI3220">
        <v>15</v>
      </c>
      <c r="BJ3220">
        <v>20</v>
      </c>
      <c r="BK3220">
        <v>11</v>
      </c>
      <c r="BP3220" s="184"/>
    </row>
    <row r="3221" spans="1:68">
      <c r="A3221">
        <v>38289252</v>
      </c>
      <c r="B3221">
        <v>38289252</v>
      </c>
      <c r="C3221" t="s">
        <v>7018</v>
      </c>
      <c r="E3221" s="184"/>
      <c r="G3221" s="184"/>
      <c r="I3221" s="184"/>
      <c r="J3221" t="s">
        <v>595</v>
      </c>
      <c r="K3221" s="184">
        <v>44174</v>
      </c>
      <c r="M3221" s="184"/>
      <c r="O3221" s="184"/>
      <c r="P3221" t="s">
        <v>7045</v>
      </c>
      <c r="Q3221" t="s">
        <v>7030</v>
      </c>
      <c r="R3221" s="184">
        <v>18629</v>
      </c>
      <c r="S3221">
        <v>73</v>
      </c>
      <c r="V3221" t="s">
        <v>3223</v>
      </c>
      <c r="X3221" t="s">
        <v>2898</v>
      </c>
      <c r="Z3221">
        <v>100573288</v>
      </c>
      <c r="AB3221" t="s">
        <v>2697</v>
      </c>
      <c r="AD3221" t="s">
        <v>2898</v>
      </c>
      <c r="AF3221" t="s">
        <v>25371</v>
      </c>
      <c r="AG3221" t="s">
        <v>11026</v>
      </c>
      <c r="AI3221" t="s">
        <v>25372</v>
      </c>
      <c r="AM3221" t="s">
        <v>3601</v>
      </c>
      <c r="AN3221" t="s">
        <v>2201</v>
      </c>
      <c r="AO3221" t="s">
        <v>25373</v>
      </c>
      <c r="AP3221" t="s">
        <v>7024</v>
      </c>
      <c r="AQ3221" t="s">
        <v>25374</v>
      </c>
      <c r="AR3221" t="s">
        <v>25375</v>
      </c>
      <c r="AT3221" s="184">
        <v>38637</v>
      </c>
      <c r="AU3221" t="s">
        <v>25376</v>
      </c>
      <c r="AV3221">
        <v>25</v>
      </c>
      <c r="AW3221" s="184">
        <v>45423</v>
      </c>
      <c r="AX3221" t="s">
        <v>13518</v>
      </c>
      <c r="AY3221">
        <v>25</v>
      </c>
      <c r="AZ3221" s="184">
        <v>42223</v>
      </c>
      <c r="BA3221" t="s">
        <v>25377</v>
      </c>
      <c r="BB3221">
        <v>60</v>
      </c>
      <c r="BC3221">
        <v>85</v>
      </c>
      <c r="BD3221">
        <v>785</v>
      </c>
      <c r="BE3221">
        <v>2006</v>
      </c>
      <c r="BF3221">
        <v>27</v>
      </c>
      <c r="BG3221">
        <v>2</v>
      </c>
      <c r="BH3221">
        <v>75</v>
      </c>
      <c r="BI3221">
        <v>17</v>
      </c>
      <c r="BJ3221">
        <v>20</v>
      </c>
      <c r="BK3221">
        <v>9</v>
      </c>
      <c r="BP3221" s="184"/>
    </row>
    <row r="3222" spans="1:68">
      <c r="A3222">
        <v>100573288</v>
      </c>
      <c r="B3222">
        <v>38289252</v>
      </c>
      <c r="C3222" t="s">
        <v>7018</v>
      </c>
      <c r="E3222" s="184"/>
      <c r="G3222" s="184"/>
      <c r="I3222" s="184"/>
      <c r="J3222" t="s">
        <v>595</v>
      </c>
      <c r="K3222" s="184">
        <v>44174</v>
      </c>
      <c r="M3222" s="184"/>
      <c r="O3222" s="184"/>
      <c r="P3222" t="s">
        <v>7045</v>
      </c>
      <c r="Q3222" t="s">
        <v>7030</v>
      </c>
      <c r="R3222" s="184"/>
      <c r="V3222" t="s">
        <v>2697</v>
      </c>
      <c r="X3222" t="s">
        <v>2898</v>
      </c>
      <c r="Z3222">
        <v>38289252</v>
      </c>
      <c r="AB3222" t="s">
        <v>3223</v>
      </c>
      <c r="AD3222" t="s">
        <v>2898</v>
      </c>
      <c r="AF3222" t="s">
        <v>25371</v>
      </c>
      <c r="AG3222" t="s">
        <v>11026</v>
      </c>
      <c r="AI3222" t="s">
        <v>25372</v>
      </c>
      <c r="AM3222" t="s">
        <v>3601</v>
      </c>
      <c r="AN3222" t="s">
        <v>2201</v>
      </c>
      <c r="AO3222" t="s">
        <v>25373</v>
      </c>
      <c r="AP3222" t="s">
        <v>7024</v>
      </c>
      <c r="AT3222" s="184"/>
      <c r="AW3222" s="184"/>
      <c r="AZ3222" s="184"/>
      <c r="BP3222" s="184"/>
    </row>
    <row r="3223" spans="1:68">
      <c r="A3223">
        <v>38294682</v>
      </c>
      <c r="B3223">
        <v>38294682</v>
      </c>
      <c r="C3223" t="s">
        <v>7018</v>
      </c>
      <c r="D3223" t="s">
        <v>595</v>
      </c>
      <c r="E3223" s="184">
        <v>43801</v>
      </c>
      <c r="G3223" s="184"/>
      <c r="I3223" s="184"/>
      <c r="K3223" s="184"/>
      <c r="M3223" s="184"/>
      <c r="O3223" s="184"/>
      <c r="P3223" t="s">
        <v>7045</v>
      </c>
      <c r="Q3223" t="s">
        <v>7374</v>
      </c>
      <c r="R3223" s="184">
        <v>14977</v>
      </c>
      <c r="S3223">
        <v>83</v>
      </c>
      <c r="U3223" t="s">
        <v>7130</v>
      </c>
      <c r="V3223" t="s">
        <v>2989</v>
      </c>
      <c r="X3223" t="s">
        <v>4418</v>
      </c>
      <c r="AF3223" t="s">
        <v>25378</v>
      </c>
      <c r="AG3223" t="s">
        <v>2989</v>
      </c>
      <c r="AI3223" t="s">
        <v>25379</v>
      </c>
      <c r="AM3223" t="s">
        <v>4419</v>
      </c>
      <c r="AN3223" t="s">
        <v>2081</v>
      </c>
      <c r="AO3223" t="s">
        <v>25380</v>
      </c>
      <c r="AP3223" t="s">
        <v>7024</v>
      </c>
      <c r="AQ3223" t="s">
        <v>25381</v>
      </c>
      <c r="AT3223" s="184">
        <v>38639</v>
      </c>
      <c r="AU3223" t="s">
        <v>25382</v>
      </c>
      <c r="AV3223">
        <v>50</v>
      </c>
      <c r="AW3223" s="184">
        <v>44461</v>
      </c>
      <c r="AX3223" t="s">
        <v>25383</v>
      </c>
      <c r="AY3223">
        <v>200</v>
      </c>
      <c r="AZ3223" s="184">
        <v>43416</v>
      </c>
      <c r="BA3223" t="s">
        <v>25384</v>
      </c>
      <c r="BB3223">
        <v>300</v>
      </c>
      <c r="BC3223">
        <v>55</v>
      </c>
      <c r="BD3223">
        <v>1900</v>
      </c>
      <c r="BE3223">
        <v>2006</v>
      </c>
      <c r="BF3223">
        <v>13</v>
      </c>
      <c r="BI3223">
        <v>11</v>
      </c>
      <c r="BJ3223">
        <v>20</v>
      </c>
      <c r="BK3223">
        <v>4</v>
      </c>
      <c r="BP3223" s="184"/>
    </row>
    <row r="3224" spans="1:68">
      <c r="A3224">
        <v>38307609</v>
      </c>
      <c r="B3224">
        <v>38307609</v>
      </c>
      <c r="C3224" t="s">
        <v>7018</v>
      </c>
      <c r="E3224" s="184"/>
      <c r="F3224" t="s">
        <v>595</v>
      </c>
      <c r="G3224" s="184">
        <v>43731</v>
      </c>
      <c r="I3224" s="184"/>
      <c r="K3224" s="184"/>
      <c r="M3224" s="184"/>
      <c r="O3224" s="184"/>
      <c r="P3224" t="s">
        <v>7045</v>
      </c>
      <c r="Q3224" t="s">
        <v>7494</v>
      </c>
      <c r="R3224" s="184">
        <v>17197</v>
      </c>
      <c r="S3224">
        <v>77</v>
      </c>
      <c r="U3224" t="s">
        <v>7031</v>
      </c>
      <c r="V3224" t="s">
        <v>2644</v>
      </c>
      <c r="X3224" t="s">
        <v>3880</v>
      </c>
      <c r="AF3224" t="s">
        <v>25385</v>
      </c>
      <c r="AG3224" t="s">
        <v>2644</v>
      </c>
      <c r="AI3224" t="s">
        <v>25386</v>
      </c>
      <c r="AM3224" t="s">
        <v>3881</v>
      </c>
      <c r="AN3224" t="s">
        <v>2174</v>
      </c>
      <c r="AO3224" t="s">
        <v>25387</v>
      </c>
      <c r="AP3224" t="s">
        <v>7024</v>
      </c>
      <c r="AQ3224" t="s">
        <v>25388</v>
      </c>
      <c r="AT3224" s="184">
        <v>38645</v>
      </c>
      <c r="AU3224" t="s">
        <v>25219</v>
      </c>
      <c r="AV3224">
        <v>35</v>
      </c>
      <c r="AW3224" s="184">
        <v>45408</v>
      </c>
      <c r="AX3224" t="s">
        <v>7429</v>
      </c>
      <c r="AY3224">
        <v>25</v>
      </c>
      <c r="AZ3224" s="184">
        <v>39727</v>
      </c>
      <c r="BA3224" t="s">
        <v>25389</v>
      </c>
      <c r="BB3224">
        <v>100</v>
      </c>
      <c r="BC3224">
        <v>100</v>
      </c>
      <c r="BD3224">
        <v>4582.76</v>
      </c>
      <c r="BE3224">
        <v>2006</v>
      </c>
      <c r="BF3224">
        <v>171</v>
      </c>
      <c r="BG3224">
        <v>24</v>
      </c>
      <c r="BH3224">
        <v>600</v>
      </c>
      <c r="BI3224">
        <v>20</v>
      </c>
      <c r="BJ3224">
        <v>20</v>
      </c>
      <c r="BK3224">
        <v>20</v>
      </c>
      <c r="BP3224" s="184"/>
    </row>
    <row r="3225" spans="1:68">
      <c r="A3225">
        <v>38319919</v>
      </c>
      <c r="B3225">
        <v>38319919</v>
      </c>
      <c r="C3225" t="s">
        <v>7018</v>
      </c>
      <c r="D3225" t="s">
        <v>595</v>
      </c>
      <c r="E3225" s="184">
        <v>44152</v>
      </c>
      <c r="G3225" s="184"/>
      <c r="I3225" s="184"/>
      <c r="K3225" s="184"/>
      <c r="M3225" s="184"/>
      <c r="O3225" s="184"/>
      <c r="P3225" t="s">
        <v>7045</v>
      </c>
      <c r="Q3225" t="s">
        <v>7030</v>
      </c>
      <c r="R3225" s="184">
        <v>13783</v>
      </c>
      <c r="S3225">
        <v>86</v>
      </c>
      <c r="V3225" t="s">
        <v>25390</v>
      </c>
      <c r="X3225" t="s">
        <v>25391</v>
      </c>
      <c r="AF3225" t="s">
        <v>25392</v>
      </c>
      <c r="AG3225" t="s">
        <v>25390</v>
      </c>
      <c r="AI3225" t="s">
        <v>25393</v>
      </c>
      <c r="AJ3225" t="s">
        <v>25394</v>
      </c>
      <c r="AM3225" t="s">
        <v>3376</v>
      </c>
      <c r="AN3225" t="s">
        <v>2094</v>
      </c>
      <c r="AO3225" t="s">
        <v>25395</v>
      </c>
      <c r="AP3225" t="s">
        <v>7024</v>
      </c>
      <c r="AT3225" s="184">
        <v>38649</v>
      </c>
      <c r="AU3225" t="s">
        <v>25396</v>
      </c>
      <c r="AV3225">
        <v>15</v>
      </c>
      <c r="AW3225" s="184">
        <v>44137</v>
      </c>
      <c r="AX3225" t="s">
        <v>25397</v>
      </c>
      <c r="AY3225">
        <v>10</v>
      </c>
      <c r="AZ3225" s="184">
        <v>43725</v>
      </c>
      <c r="BA3225" t="s">
        <v>25398</v>
      </c>
      <c r="BB3225">
        <v>15</v>
      </c>
      <c r="BC3225">
        <v>70</v>
      </c>
      <c r="BD3225">
        <v>275</v>
      </c>
      <c r="BE3225">
        <v>2006</v>
      </c>
      <c r="BF3225">
        <v>21</v>
      </c>
      <c r="BI3225">
        <v>14</v>
      </c>
      <c r="BJ3225">
        <v>20</v>
      </c>
      <c r="BK3225">
        <v>11</v>
      </c>
      <c r="BP3225" s="184"/>
    </row>
    <row r="3226" spans="1:68">
      <c r="A3226">
        <v>38324430</v>
      </c>
      <c r="B3226">
        <v>38324430</v>
      </c>
      <c r="C3226" t="s">
        <v>7018</v>
      </c>
      <c r="E3226" s="184"/>
      <c r="G3226" s="184"/>
      <c r="I3226" s="184"/>
      <c r="J3226" t="s">
        <v>595</v>
      </c>
      <c r="K3226" s="184">
        <v>39517</v>
      </c>
      <c r="M3226" s="184"/>
      <c r="O3226" s="184"/>
      <c r="P3226" t="s">
        <v>7045</v>
      </c>
      <c r="Q3226" t="s">
        <v>7262</v>
      </c>
      <c r="R3226" s="184">
        <v>24903</v>
      </c>
      <c r="S3226">
        <v>56</v>
      </c>
      <c r="U3226" t="s">
        <v>7076</v>
      </c>
      <c r="V3226" t="s">
        <v>14917</v>
      </c>
      <c r="W3226" t="s">
        <v>4139</v>
      </c>
      <c r="X3226" t="s">
        <v>25399</v>
      </c>
      <c r="AF3226" t="s">
        <v>6574</v>
      </c>
      <c r="AG3226" t="s">
        <v>14917</v>
      </c>
      <c r="AI3226" t="s">
        <v>25400</v>
      </c>
      <c r="AM3226" t="s">
        <v>2679</v>
      </c>
      <c r="AN3226" t="s">
        <v>2318</v>
      </c>
      <c r="AO3226" t="s">
        <v>25401</v>
      </c>
      <c r="AP3226" t="s">
        <v>7024</v>
      </c>
      <c r="AQ3226" t="s">
        <v>25402</v>
      </c>
      <c r="AR3226" t="s">
        <v>25403</v>
      </c>
      <c r="AT3226" s="184">
        <v>38649</v>
      </c>
      <c r="AU3226" t="s">
        <v>25404</v>
      </c>
      <c r="AV3226">
        <v>15</v>
      </c>
      <c r="AW3226" s="184">
        <v>45179</v>
      </c>
      <c r="AX3226" t="s">
        <v>7832</v>
      </c>
      <c r="AY3226">
        <v>100</v>
      </c>
      <c r="AZ3226" s="184">
        <v>45179</v>
      </c>
      <c r="BA3226" t="s">
        <v>7832</v>
      </c>
      <c r="BB3226">
        <v>100</v>
      </c>
      <c r="BC3226">
        <v>75</v>
      </c>
      <c r="BD3226">
        <v>915</v>
      </c>
      <c r="BE3226">
        <v>2006</v>
      </c>
      <c r="BF3226">
        <v>17</v>
      </c>
      <c r="BG3226">
        <v>3</v>
      </c>
      <c r="BH3226">
        <v>250</v>
      </c>
      <c r="BI3226">
        <v>15</v>
      </c>
      <c r="BJ3226">
        <v>20</v>
      </c>
      <c r="BK3226">
        <v>8</v>
      </c>
      <c r="BP3226" s="184"/>
    </row>
    <row r="3227" spans="1:68">
      <c r="A3227">
        <v>38332995</v>
      </c>
      <c r="B3227">
        <v>38332995</v>
      </c>
      <c r="C3227" t="s">
        <v>7018</v>
      </c>
      <c r="E3227" s="184"/>
      <c r="G3227" s="184"/>
      <c r="I3227" s="184"/>
      <c r="K3227" s="184"/>
      <c r="L3227" t="s">
        <v>595</v>
      </c>
      <c r="M3227" s="184">
        <v>44265</v>
      </c>
      <c r="O3227" s="184"/>
      <c r="P3227" t="s">
        <v>7045</v>
      </c>
      <c r="Q3227" t="s">
        <v>7383</v>
      </c>
      <c r="R3227" s="184">
        <v>15746</v>
      </c>
      <c r="S3227">
        <v>81</v>
      </c>
      <c r="U3227" t="s">
        <v>7076</v>
      </c>
      <c r="V3227" t="s">
        <v>3101</v>
      </c>
      <c r="W3227" t="s">
        <v>7067</v>
      </c>
      <c r="X3227" t="s">
        <v>3102</v>
      </c>
      <c r="AF3227" t="s">
        <v>25405</v>
      </c>
      <c r="AG3227" t="s">
        <v>3101</v>
      </c>
      <c r="AI3227" t="s">
        <v>25406</v>
      </c>
      <c r="AM3227" t="s">
        <v>2888</v>
      </c>
      <c r="AN3227" t="s">
        <v>2274</v>
      </c>
      <c r="AO3227" t="s">
        <v>25407</v>
      </c>
      <c r="AP3227" t="s">
        <v>7024</v>
      </c>
      <c r="AQ3227" t="s">
        <v>25408</v>
      </c>
      <c r="AT3227" s="184">
        <v>38652</v>
      </c>
      <c r="AU3227" t="s">
        <v>25409</v>
      </c>
      <c r="AV3227">
        <v>25</v>
      </c>
      <c r="AW3227" s="184">
        <v>45322</v>
      </c>
      <c r="AX3227" t="s">
        <v>7339</v>
      </c>
      <c r="AY3227">
        <v>100</v>
      </c>
      <c r="AZ3227" s="184">
        <v>45322</v>
      </c>
      <c r="BA3227" t="s">
        <v>7339</v>
      </c>
      <c r="BB3227">
        <v>100</v>
      </c>
      <c r="BC3227">
        <v>85</v>
      </c>
      <c r="BD3227">
        <v>1275</v>
      </c>
      <c r="BE3227">
        <v>2006</v>
      </c>
      <c r="BF3227">
        <v>32</v>
      </c>
      <c r="BG3227">
        <v>2</v>
      </c>
      <c r="BH3227">
        <v>200</v>
      </c>
      <c r="BI3227">
        <v>17</v>
      </c>
      <c r="BJ3227">
        <v>20</v>
      </c>
      <c r="BK3227">
        <v>12</v>
      </c>
      <c r="BP3227" s="184"/>
    </row>
    <row r="3228" spans="1:68">
      <c r="A3228">
        <v>38337754</v>
      </c>
      <c r="B3228">
        <v>38337754</v>
      </c>
      <c r="C3228" t="s">
        <v>7018</v>
      </c>
      <c r="D3228" t="s">
        <v>595</v>
      </c>
      <c r="E3228" s="184">
        <v>45195</v>
      </c>
      <c r="G3228" s="184"/>
      <c r="I3228" s="184"/>
      <c r="K3228" s="184"/>
      <c r="M3228" s="184"/>
      <c r="O3228" s="184"/>
      <c r="P3228" t="s">
        <v>7045</v>
      </c>
      <c r="Q3228" t="s">
        <v>7374</v>
      </c>
      <c r="R3228" s="184">
        <v>15189</v>
      </c>
      <c r="S3228">
        <v>82</v>
      </c>
      <c r="U3228" t="s">
        <v>7031</v>
      </c>
      <c r="V3228" t="s">
        <v>3304</v>
      </c>
      <c r="W3228" t="s">
        <v>3830</v>
      </c>
      <c r="X3228" t="s">
        <v>25410</v>
      </c>
      <c r="Z3228">
        <v>100111268</v>
      </c>
      <c r="AA3228" t="s">
        <v>7130</v>
      </c>
      <c r="AB3228" t="s">
        <v>3043</v>
      </c>
      <c r="AC3228" t="s">
        <v>7407</v>
      </c>
      <c r="AD3228" t="s">
        <v>25410</v>
      </c>
      <c r="AF3228" t="s">
        <v>25411</v>
      </c>
      <c r="AG3228" t="s">
        <v>25412</v>
      </c>
      <c r="AI3228" t="s">
        <v>25413</v>
      </c>
      <c r="AM3228" t="s">
        <v>2797</v>
      </c>
      <c r="AN3228" t="s">
        <v>2081</v>
      </c>
      <c r="AO3228" t="s">
        <v>25414</v>
      </c>
      <c r="AP3228" t="s">
        <v>7024</v>
      </c>
      <c r="AQ3228" t="s">
        <v>25415</v>
      </c>
      <c r="AT3228" s="184">
        <v>38653</v>
      </c>
      <c r="AU3228" t="s">
        <v>25416</v>
      </c>
      <c r="AV3228">
        <v>25</v>
      </c>
      <c r="AW3228" s="184">
        <v>45104</v>
      </c>
      <c r="AX3228" t="s">
        <v>25417</v>
      </c>
      <c r="AY3228">
        <v>50</v>
      </c>
      <c r="AZ3228" s="184">
        <v>43329</v>
      </c>
      <c r="BA3228" t="s">
        <v>25418</v>
      </c>
      <c r="BB3228">
        <v>100</v>
      </c>
      <c r="BC3228">
        <v>60</v>
      </c>
      <c r="BD3228">
        <v>655</v>
      </c>
      <c r="BE3228">
        <v>2006</v>
      </c>
      <c r="BF3228">
        <v>15</v>
      </c>
      <c r="BG3228">
        <v>1</v>
      </c>
      <c r="BH3228">
        <v>50</v>
      </c>
      <c r="BI3228">
        <v>12</v>
      </c>
      <c r="BJ3228">
        <v>20</v>
      </c>
      <c r="BK3228">
        <v>5</v>
      </c>
      <c r="BP3228" s="184"/>
    </row>
    <row r="3229" spans="1:68">
      <c r="A3229">
        <v>100111268</v>
      </c>
      <c r="B3229">
        <v>38337754</v>
      </c>
      <c r="C3229" t="s">
        <v>7018</v>
      </c>
      <c r="D3229" t="s">
        <v>595</v>
      </c>
      <c r="E3229" s="184">
        <v>45195</v>
      </c>
      <c r="G3229" s="184"/>
      <c r="I3229" s="184"/>
      <c r="K3229" s="184"/>
      <c r="M3229" s="184"/>
      <c r="O3229" s="184"/>
      <c r="P3229" t="s">
        <v>7045</v>
      </c>
      <c r="Q3229" t="s">
        <v>7374</v>
      </c>
      <c r="R3229" s="184">
        <v>15858</v>
      </c>
      <c r="S3229">
        <v>80</v>
      </c>
      <c r="U3229" t="s">
        <v>7130</v>
      </c>
      <c r="V3229" t="s">
        <v>3043</v>
      </c>
      <c r="W3229" t="s">
        <v>7407</v>
      </c>
      <c r="X3229" t="s">
        <v>25410</v>
      </c>
      <c r="Z3229">
        <v>38337754</v>
      </c>
      <c r="AA3229" t="s">
        <v>7031</v>
      </c>
      <c r="AB3229" t="s">
        <v>3304</v>
      </c>
      <c r="AC3229" t="s">
        <v>3830</v>
      </c>
      <c r="AD3229" t="s">
        <v>25410</v>
      </c>
      <c r="AF3229" t="s">
        <v>25411</v>
      </c>
      <c r="AG3229" t="s">
        <v>25412</v>
      </c>
      <c r="AI3229" t="s">
        <v>25413</v>
      </c>
      <c r="AM3229" t="s">
        <v>2797</v>
      </c>
      <c r="AN3229" t="s">
        <v>2081</v>
      </c>
      <c r="AO3229" t="s">
        <v>25414</v>
      </c>
      <c r="AP3229" t="s">
        <v>7024</v>
      </c>
      <c r="AT3229" s="184"/>
      <c r="AW3229" s="184"/>
      <c r="AZ3229" s="184"/>
      <c r="BP3229" s="184"/>
    </row>
    <row r="3230" spans="1:68">
      <c r="A3230">
        <v>38338703</v>
      </c>
      <c r="B3230">
        <v>38338703</v>
      </c>
      <c r="C3230" t="s">
        <v>7018</v>
      </c>
      <c r="E3230" s="184"/>
      <c r="G3230" s="184"/>
      <c r="I3230" s="184"/>
      <c r="J3230" t="s">
        <v>595</v>
      </c>
      <c r="K3230" s="184">
        <v>44452</v>
      </c>
      <c r="O3230" s="184"/>
      <c r="P3230" t="s">
        <v>7045</v>
      </c>
      <c r="Q3230" t="s">
        <v>7454</v>
      </c>
      <c r="R3230" s="184">
        <v>24519</v>
      </c>
      <c r="S3230">
        <v>57</v>
      </c>
      <c r="V3230" t="s">
        <v>3209</v>
      </c>
      <c r="X3230" t="s">
        <v>3353</v>
      </c>
      <c r="AF3230" t="s">
        <v>25419</v>
      </c>
      <c r="AG3230" t="s">
        <v>3209</v>
      </c>
      <c r="AI3230" t="s">
        <v>25420</v>
      </c>
      <c r="AM3230" t="s">
        <v>25421</v>
      </c>
      <c r="AN3230" t="s">
        <v>2299</v>
      </c>
      <c r="AO3230" t="s">
        <v>25422</v>
      </c>
      <c r="AP3230" t="s">
        <v>7024</v>
      </c>
      <c r="AQ3230" t="s">
        <v>25423</v>
      </c>
      <c r="AR3230" t="s">
        <v>25424</v>
      </c>
      <c r="AT3230" s="184">
        <v>38653</v>
      </c>
      <c r="AU3230" t="s">
        <v>25425</v>
      </c>
      <c r="AV3230">
        <v>25</v>
      </c>
      <c r="AW3230" s="184">
        <v>42226</v>
      </c>
      <c r="AX3230" t="s">
        <v>19301</v>
      </c>
      <c r="AY3230">
        <v>10</v>
      </c>
      <c r="AZ3230" s="184">
        <v>42173</v>
      </c>
      <c r="BA3230" t="s">
        <v>25426</v>
      </c>
      <c r="BB3230">
        <v>35</v>
      </c>
      <c r="BC3230">
        <v>50</v>
      </c>
      <c r="BD3230">
        <v>380</v>
      </c>
      <c r="BE3230">
        <v>2006</v>
      </c>
      <c r="BF3230">
        <v>14</v>
      </c>
      <c r="BI3230">
        <v>10</v>
      </c>
      <c r="BJ3230">
        <v>20</v>
      </c>
      <c r="BK3230">
        <v>6</v>
      </c>
      <c r="BN3230" t="s">
        <v>595</v>
      </c>
      <c r="BP3230" s="184"/>
    </row>
    <row r="3231" spans="1:68">
      <c r="A3231">
        <v>38339818</v>
      </c>
      <c r="B3231">
        <v>38339818</v>
      </c>
      <c r="C3231" t="s">
        <v>7018</v>
      </c>
      <c r="D3231" t="s">
        <v>595</v>
      </c>
      <c r="E3231" s="184">
        <v>45204</v>
      </c>
      <c r="G3231" s="184"/>
      <c r="I3231" s="184"/>
      <c r="K3231" s="184"/>
      <c r="O3231" s="184"/>
      <c r="P3231" t="s">
        <v>7045</v>
      </c>
      <c r="Q3231" t="s">
        <v>7383</v>
      </c>
      <c r="R3231" s="184">
        <v>20090</v>
      </c>
      <c r="S3231">
        <v>69</v>
      </c>
      <c r="U3231" t="s">
        <v>7076</v>
      </c>
      <c r="V3231" t="s">
        <v>25427</v>
      </c>
      <c r="X3231" t="s">
        <v>25428</v>
      </c>
      <c r="AF3231" t="s">
        <v>25429</v>
      </c>
      <c r="AG3231" t="s">
        <v>25427</v>
      </c>
      <c r="AI3231" t="s">
        <v>25430</v>
      </c>
      <c r="AM3231" t="s">
        <v>4225</v>
      </c>
      <c r="AN3231" t="s">
        <v>2072</v>
      </c>
      <c r="AO3231" t="s">
        <v>25431</v>
      </c>
      <c r="AP3231" t="s">
        <v>7024</v>
      </c>
      <c r="AQ3231" t="s">
        <v>25432</v>
      </c>
      <c r="AT3231" s="184">
        <v>38658</v>
      </c>
      <c r="AU3231" t="s">
        <v>25433</v>
      </c>
      <c r="AV3231">
        <v>19.97</v>
      </c>
      <c r="AW3231" s="184">
        <v>45405</v>
      </c>
      <c r="AX3231" t="s">
        <v>7429</v>
      </c>
      <c r="AY3231">
        <v>10</v>
      </c>
      <c r="AZ3231" s="184">
        <v>40695</v>
      </c>
      <c r="BA3231" t="s">
        <v>25434</v>
      </c>
      <c r="BB3231">
        <v>25</v>
      </c>
      <c r="BC3231">
        <v>55</v>
      </c>
      <c r="BD3231">
        <v>749.97</v>
      </c>
      <c r="BE3231">
        <v>2006</v>
      </c>
      <c r="BF3231">
        <v>70</v>
      </c>
      <c r="BG3231">
        <v>24</v>
      </c>
      <c r="BH3231">
        <v>240</v>
      </c>
      <c r="BI3231">
        <v>11</v>
      </c>
      <c r="BJ3231">
        <v>20</v>
      </c>
      <c r="BK3231">
        <v>7</v>
      </c>
      <c r="BP3231" s="184"/>
    </row>
    <row r="3232" spans="1:68">
      <c r="A3232">
        <v>38348611</v>
      </c>
      <c r="B3232">
        <v>38348611</v>
      </c>
      <c r="C3232" t="s">
        <v>7018</v>
      </c>
      <c r="D3232" t="s">
        <v>595</v>
      </c>
      <c r="E3232" s="184">
        <v>44154</v>
      </c>
      <c r="G3232" s="184"/>
      <c r="I3232" s="184"/>
      <c r="K3232" s="184"/>
      <c r="M3232" s="184"/>
      <c r="O3232" s="184"/>
      <c r="P3232" t="s">
        <v>7045</v>
      </c>
      <c r="Q3232" t="s">
        <v>7383</v>
      </c>
      <c r="R3232" s="184">
        <v>15876</v>
      </c>
      <c r="S3232">
        <v>80</v>
      </c>
      <c r="V3232" t="s">
        <v>3830</v>
      </c>
      <c r="X3232" t="s">
        <v>20095</v>
      </c>
      <c r="AF3232" t="s">
        <v>25435</v>
      </c>
      <c r="AG3232" t="s">
        <v>5990</v>
      </c>
      <c r="AI3232" t="s">
        <v>25436</v>
      </c>
      <c r="AM3232" t="s">
        <v>3501</v>
      </c>
      <c r="AN3232" t="s">
        <v>2072</v>
      </c>
      <c r="AO3232" t="s">
        <v>25437</v>
      </c>
      <c r="AP3232" t="s">
        <v>7024</v>
      </c>
      <c r="AQ3232" t="s">
        <v>25438</v>
      </c>
      <c r="AT3232" s="184">
        <v>38660</v>
      </c>
      <c r="AU3232" t="s">
        <v>25439</v>
      </c>
      <c r="AV3232">
        <v>19.97</v>
      </c>
      <c r="AW3232" s="184">
        <v>44967</v>
      </c>
      <c r="AX3232" t="s">
        <v>25440</v>
      </c>
      <c r="AY3232">
        <v>100</v>
      </c>
      <c r="AZ3232" s="184">
        <v>44967</v>
      </c>
      <c r="BA3232" t="s">
        <v>25440</v>
      </c>
      <c r="BB3232">
        <v>100</v>
      </c>
      <c r="BC3232">
        <v>75</v>
      </c>
      <c r="BD3232">
        <v>794.97</v>
      </c>
      <c r="BE3232">
        <v>2006</v>
      </c>
      <c r="BF3232">
        <v>15</v>
      </c>
      <c r="BG3232">
        <v>1</v>
      </c>
      <c r="BH3232">
        <v>100</v>
      </c>
      <c r="BI3232">
        <v>15</v>
      </c>
      <c r="BJ3232">
        <v>20</v>
      </c>
      <c r="BK3232">
        <v>12</v>
      </c>
      <c r="BP3232" s="184"/>
    </row>
    <row r="3233" spans="1:68">
      <c r="A3233">
        <v>38355731</v>
      </c>
      <c r="B3233">
        <v>38355731</v>
      </c>
      <c r="C3233" t="s">
        <v>7018</v>
      </c>
      <c r="E3233" s="184"/>
      <c r="G3233" s="184"/>
      <c r="I3233" s="184"/>
      <c r="K3233" s="184"/>
      <c r="M3233" s="184"/>
      <c r="N3233" t="s">
        <v>595</v>
      </c>
      <c r="O3233" s="184">
        <v>42003</v>
      </c>
      <c r="P3233" t="s">
        <v>7019</v>
      </c>
      <c r="Q3233" t="s">
        <v>7020</v>
      </c>
      <c r="R3233" s="184">
        <v>15783</v>
      </c>
      <c r="S3233">
        <v>81</v>
      </c>
      <c r="U3233" t="s">
        <v>7031</v>
      </c>
      <c r="V3233" t="s">
        <v>5796</v>
      </c>
      <c r="W3233" t="s">
        <v>2982</v>
      </c>
      <c r="X3233" t="s">
        <v>5797</v>
      </c>
      <c r="AF3233" t="s">
        <v>25441</v>
      </c>
      <c r="AG3233" t="s">
        <v>5796</v>
      </c>
      <c r="AI3233" t="s">
        <v>25442</v>
      </c>
      <c r="AM3233" t="s">
        <v>5798</v>
      </c>
      <c r="AN3233" t="s">
        <v>2112</v>
      </c>
      <c r="AO3233" t="s">
        <v>25443</v>
      </c>
      <c r="AP3233" t="s">
        <v>7024</v>
      </c>
      <c r="AQ3233" t="s">
        <v>25444</v>
      </c>
      <c r="AT3233" s="184">
        <v>38659</v>
      </c>
      <c r="AU3233" t="s">
        <v>25445</v>
      </c>
      <c r="AV3233">
        <v>15</v>
      </c>
      <c r="AW3233" s="184">
        <v>42731</v>
      </c>
      <c r="AX3233" t="s">
        <v>7267</v>
      </c>
      <c r="AY3233">
        <v>10000</v>
      </c>
      <c r="AZ3233" s="184">
        <v>42731</v>
      </c>
      <c r="BA3233" t="s">
        <v>7267</v>
      </c>
      <c r="BB3233">
        <v>10000</v>
      </c>
      <c r="BC3233">
        <v>45</v>
      </c>
      <c r="BD3233">
        <v>20325</v>
      </c>
      <c r="BE3233">
        <v>2006</v>
      </c>
      <c r="BF3233">
        <v>13</v>
      </c>
      <c r="BI3233">
        <v>9</v>
      </c>
      <c r="BJ3233">
        <v>20</v>
      </c>
      <c r="BK3233">
        <v>5</v>
      </c>
      <c r="BM3233" t="s">
        <v>595</v>
      </c>
      <c r="BN3233" t="s">
        <v>595</v>
      </c>
    </row>
    <row r="3234" spans="1:68">
      <c r="A3234">
        <v>38365359</v>
      </c>
      <c r="B3234">
        <v>38365359</v>
      </c>
      <c r="C3234" t="s">
        <v>7018</v>
      </c>
      <c r="D3234" t="s">
        <v>595</v>
      </c>
      <c r="E3234" s="184">
        <v>45113</v>
      </c>
      <c r="G3234" s="184"/>
      <c r="I3234" s="184"/>
      <c r="K3234" s="184"/>
      <c r="O3234" s="184"/>
      <c r="P3234" t="s">
        <v>7045</v>
      </c>
      <c r="Q3234" t="s">
        <v>7494</v>
      </c>
      <c r="R3234" s="184">
        <v>15311</v>
      </c>
      <c r="S3234">
        <v>82</v>
      </c>
      <c r="V3234" t="s">
        <v>2851</v>
      </c>
      <c r="X3234" t="s">
        <v>25446</v>
      </c>
      <c r="Z3234">
        <v>100971633</v>
      </c>
      <c r="AB3234" t="s">
        <v>3545</v>
      </c>
      <c r="AD3234" t="s">
        <v>25446</v>
      </c>
      <c r="AF3234" t="s">
        <v>25447</v>
      </c>
      <c r="AG3234" t="s">
        <v>25448</v>
      </c>
      <c r="AI3234" t="s">
        <v>25449</v>
      </c>
      <c r="AM3234" t="s">
        <v>22455</v>
      </c>
      <c r="AN3234" t="s">
        <v>2174</v>
      </c>
      <c r="AO3234" t="s">
        <v>25450</v>
      </c>
      <c r="AP3234" t="s">
        <v>7024</v>
      </c>
      <c r="AQ3234" t="s">
        <v>25451</v>
      </c>
      <c r="AR3234" t="s">
        <v>25452</v>
      </c>
      <c r="AT3234" s="184">
        <v>38663</v>
      </c>
      <c r="AU3234" t="s">
        <v>25362</v>
      </c>
      <c r="AV3234">
        <v>25</v>
      </c>
      <c r="AW3234" s="184">
        <v>45355</v>
      </c>
      <c r="AX3234" t="s">
        <v>8797</v>
      </c>
      <c r="AY3234">
        <v>200</v>
      </c>
      <c r="AZ3234" s="184">
        <v>45355</v>
      </c>
      <c r="BA3234" t="s">
        <v>8797</v>
      </c>
      <c r="BB3234">
        <v>200</v>
      </c>
      <c r="BC3234">
        <v>75</v>
      </c>
      <c r="BD3234">
        <v>1610</v>
      </c>
      <c r="BE3234">
        <v>2006</v>
      </c>
      <c r="BF3234">
        <v>17</v>
      </c>
      <c r="BG3234">
        <v>3</v>
      </c>
      <c r="BH3234">
        <v>500</v>
      </c>
      <c r="BI3234">
        <v>15</v>
      </c>
      <c r="BJ3234">
        <v>20</v>
      </c>
      <c r="BK3234">
        <v>7</v>
      </c>
      <c r="BP3234" s="184"/>
    </row>
    <row r="3235" spans="1:68">
      <c r="A3235">
        <v>100971633</v>
      </c>
      <c r="B3235">
        <v>38365359</v>
      </c>
      <c r="C3235" t="s">
        <v>7018</v>
      </c>
      <c r="D3235" t="s">
        <v>595</v>
      </c>
      <c r="E3235" s="184">
        <v>45113</v>
      </c>
      <c r="G3235" s="184"/>
      <c r="I3235" s="184"/>
      <c r="K3235" s="184"/>
      <c r="O3235" s="184"/>
      <c r="P3235" t="s">
        <v>7045</v>
      </c>
      <c r="Q3235" t="s">
        <v>7494</v>
      </c>
      <c r="R3235" s="184">
        <v>15548</v>
      </c>
      <c r="S3235">
        <v>81</v>
      </c>
      <c r="V3235" t="s">
        <v>3545</v>
      </c>
      <c r="X3235" t="s">
        <v>25446</v>
      </c>
      <c r="Z3235">
        <v>38365359</v>
      </c>
      <c r="AB3235" t="s">
        <v>2851</v>
      </c>
      <c r="AD3235" t="s">
        <v>25446</v>
      </c>
      <c r="AF3235" t="s">
        <v>25447</v>
      </c>
      <c r="AG3235" t="s">
        <v>25448</v>
      </c>
      <c r="AI3235" t="s">
        <v>25449</v>
      </c>
      <c r="AM3235" t="s">
        <v>22455</v>
      </c>
      <c r="AN3235" t="s">
        <v>2174</v>
      </c>
      <c r="AO3235" t="s">
        <v>25450</v>
      </c>
      <c r="AP3235" t="s">
        <v>7024</v>
      </c>
      <c r="AT3235" s="184"/>
      <c r="AW3235" s="184"/>
      <c r="AZ3235" s="184"/>
      <c r="BP3235" s="184"/>
    </row>
    <row r="3236" spans="1:68">
      <c r="A3236">
        <v>38395752</v>
      </c>
      <c r="B3236">
        <v>38395752</v>
      </c>
      <c r="C3236" t="s">
        <v>7018</v>
      </c>
      <c r="D3236" t="s">
        <v>595</v>
      </c>
      <c r="E3236" s="184">
        <v>44455</v>
      </c>
      <c r="G3236" s="184"/>
      <c r="K3236" s="184"/>
      <c r="O3236" s="184"/>
      <c r="P3236" t="s">
        <v>7045</v>
      </c>
      <c r="Q3236" t="s">
        <v>7020</v>
      </c>
      <c r="R3236" s="184">
        <v>18233</v>
      </c>
      <c r="S3236">
        <v>74</v>
      </c>
      <c r="U3236" t="s">
        <v>7031</v>
      </c>
      <c r="V3236" t="s">
        <v>4044</v>
      </c>
      <c r="X3236" t="s">
        <v>25453</v>
      </c>
      <c r="AF3236" t="s">
        <v>25454</v>
      </c>
      <c r="AG3236" t="s">
        <v>4044</v>
      </c>
      <c r="AI3236" t="s">
        <v>25455</v>
      </c>
      <c r="AM3236" t="s">
        <v>5788</v>
      </c>
      <c r="AN3236" t="s">
        <v>2363</v>
      </c>
      <c r="AO3236" t="s">
        <v>25456</v>
      </c>
      <c r="AP3236" t="s">
        <v>7024</v>
      </c>
      <c r="AT3236" s="184">
        <v>38677</v>
      </c>
      <c r="AU3236" t="s">
        <v>25457</v>
      </c>
      <c r="AV3236">
        <v>15</v>
      </c>
      <c r="AW3236" s="184">
        <v>43109</v>
      </c>
      <c r="AX3236" t="s">
        <v>10233</v>
      </c>
      <c r="AY3236">
        <v>100</v>
      </c>
      <c r="AZ3236" s="184">
        <v>43109</v>
      </c>
      <c r="BA3236" t="s">
        <v>10233</v>
      </c>
      <c r="BB3236">
        <v>100</v>
      </c>
      <c r="BC3236">
        <v>30</v>
      </c>
      <c r="BD3236">
        <v>205</v>
      </c>
      <c r="BE3236">
        <v>2006</v>
      </c>
      <c r="BF3236">
        <v>6</v>
      </c>
      <c r="BI3236">
        <v>6</v>
      </c>
      <c r="BJ3236">
        <v>20</v>
      </c>
      <c r="BK3236">
        <v>3</v>
      </c>
      <c r="BP3236" s="184"/>
    </row>
    <row r="3237" spans="1:68">
      <c r="A3237">
        <v>38403788</v>
      </c>
      <c r="B3237">
        <v>38403788</v>
      </c>
      <c r="C3237" t="s">
        <v>7018</v>
      </c>
      <c r="D3237" t="s">
        <v>595</v>
      </c>
      <c r="E3237" s="184">
        <v>44104</v>
      </c>
      <c r="G3237" s="184"/>
      <c r="I3237" s="184"/>
      <c r="K3237" s="184"/>
      <c r="M3237" s="184"/>
      <c r="O3237" s="184"/>
      <c r="P3237" t="s">
        <v>7045</v>
      </c>
      <c r="Q3237" t="s">
        <v>7020</v>
      </c>
      <c r="R3237" s="184">
        <v>20325</v>
      </c>
      <c r="S3237">
        <v>68</v>
      </c>
      <c r="V3237" t="s">
        <v>2825</v>
      </c>
      <c r="X3237" t="s">
        <v>25458</v>
      </c>
      <c r="AF3237" t="s">
        <v>25459</v>
      </c>
      <c r="AG3237" t="s">
        <v>2825</v>
      </c>
      <c r="AI3237" t="s">
        <v>25460</v>
      </c>
      <c r="AM3237" t="s">
        <v>4114</v>
      </c>
      <c r="AN3237" t="s">
        <v>2052</v>
      </c>
      <c r="AO3237" t="s">
        <v>25461</v>
      </c>
      <c r="AP3237" t="s">
        <v>7024</v>
      </c>
      <c r="AQ3237" t="s">
        <v>25462</v>
      </c>
      <c r="AT3237" s="184">
        <v>38681</v>
      </c>
      <c r="AU3237" t="s">
        <v>25463</v>
      </c>
      <c r="AV3237">
        <v>25</v>
      </c>
      <c r="AW3237" s="184">
        <v>45278</v>
      </c>
      <c r="AX3237" t="s">
        <v>7742</v>
      </c>
      <c r="AY3237">
        <v>100</v>
      </c>
      <c r="AZ3237" s="184">
        <v>42320</v>
      </c>
      <c r="BA3237" t="s">
        <v>25464</v>
      </c>
      <c r="BB3237">
        <v>125</v>
      </c>
      <c r="BC3237">
        <v>90</v>
      </c>
      <c r="BD3237">
        <v>2485</v>
      </c>
      <c r="BE3237">
        <v>2006</v>
      </c>
      <c r="BF3237">
        <v>42</v>
      </c>
      <c r="BG3237">
        <v>4</v>
      </c>
      <c r="BH3237">
        <v>400</v>
      </c>
      <c r="BI3237">
        <v>18</v>
      </c>
      <c r="BJ3237">
        <v>20</v>
      </c>
      <c r="BK3237">
        <v>15</v>
      </c>
      <c r="BN3237" t="s">
        <v>595</v>
      </c>
      <c r="BP3237" s="184"/>
    </row>
    <row r="3238" spans="1:68">
      <c r="A3238">
        <v>38417754</v>
      </c>
      <c r="B3238">
        <v>38417754</v>
      </c>
      <c r="C3238" t="s">
        <v>7018</v>
      </c>
      <c r="D3238" t="s">
        <v>595</v>
      </c>
      <c r="E3238" s="184">
        <v>44167</v>
      </c>
      <c r="G3238" s="184"/>
      <c r="I3238" s="184"/>
      <c r="K3238" s="184"/>
      <c r="O3238" s="184"/>
      <c r="P3238" t="s">
        <v>7045</v>
      </c>
      <c r="Q3238" t="s">
        <v>7160</v>
      </c>
      <c r="R3238" s="184">
        <v>13130</v>
      </c>
      <c r="S3238">
        <v>88</v>
      </c>
      <c r="U3238" t="s">
        <v>7076</v>
      </c>
      <c r="V3238" t="s">
        <v>3898</v>
      </c>
      <c r="W3238" t="s">
        <v>7246</v>
      </c>
      <c r="X3238" t="s">
        <v>23286</v>
      </c>
      <c r="AF3238" t="s">
        <v>25465</v>
      </c>
      <c r="AG3238" t="s">
        <v>3898</v>
      </c>
      <c r="AI3238" t="s">
        <v>25466</v>
      </c>
      <c r="AM3238" t="s">
        <v>4670</v>
      </c>
      <c r="AN3238" t="s">
        <v>2203</v>
      </c>
      <c r="AO3238" t="s">
        <v>25467</v>
      </c>
      <c r="AP3238" t="s">
        <v>7024</v>
      </c>
      <c r="AQ3238" t="s">
        <v>25468</v>
      </c>
      <c r="AT3238" s="184">
        <v>38684</v>
      </c>
      <c r="AU3238" t="s">
        <v>25469</v>
      </c>
      <c r="AV3238">
        <v>35</v>
      </c>
      <c r="AW3238" s="184">
        <v>45308</v>
      </c>
      <c r="AX3238" t="s">
        <v>7339</v>
      </c>
      <c r="AY3238">
        <v>50</v>
      </c>
      <c r="AZ3238" s="184">
        <v>45308</v>
      </c>
      <c r="BA3238" t="s">
        <v>7339</v>
      </c>
      <c r="BB3238">
        <v>50</v>
      </c>
      <c r="BC3238">
        <v>70</v>
      </c>
      <c r="BD3238">
        <v>635</v>
      </c>
      <c r="BE3238">
        <v>2006</v>
      </c>
      <c r="BF3238">
        <v>20</v>
      </c>
      <c r="BG3238">
        <v>2</v>
      </c>
      <c r="BH3238">
        <v>100</v>
      </c>
      <c r="BI3238">
        <v>14</v>
      </c>
      <c r="BJ3238">
        <v>20</v>
      </c>
      <c r="BK3238">
        <v>6</v>
      </c>
      <c r="BP3238" s="184"/>
    </row>
    <row r="3239" spans="1:68">
      <c r="A3239">
        <v>38433868</v>
      </c>
      <c r="B3239">
        <v>38433868</v>
      </c>
      <c r="C3239" t="s">
        <v>7018</v>
      </c>
      <c r="D3239" t="s">
        <v>595</v>
      </c>
      <c r="E3239" s="184">
        <v>44070</v>
      </c>
      <c r="G3239" s="184"/>
      <c r="I3239" s="184"/>
      <c r="K3239" s="184"/>
      <c r="O3239" s="184"/>
      <c r="P3239" t="s">
        <v>7045</v>
      </c>
      <c r="Q3239" t="s">
        <v>7383</v>
      </c>
      <c r="R3239" s="184">
        <v>15281</v>
      </c>
      <c r="S3239">
        <v>82</v>
      </c>
      <c r="U3239" t="s">
        <v>7031</v>
      </c>
      <c r="V3239" t="s">
        <v>3134</v>
      </c>
      <c r="X3239" t="s">
        <v>25470</v>
      </c>
      <c r="AF3239" t="s">
        <v>25471</v>
      </c>
      <c r="AG3239" t="s">
        <v>3134</v>
      </c>
      <c r="AI3239" t="s">
        <v>25472</v>
      </c>
      <c r="AM3239" t="s">
        <v>25473</v>
      </c>
      <c r="AN3239" t="s">
        <v>2185</v>
      </c>
      <c r="AO3239" t="s">
        <v>25474</v>
      </c>
      <c r="AP3239" t="s">
        <v>7024</v>
      </c>
      <c r="AQ3239" t="s">
        <v>25475</v>
      </c>
      <c r="AT3239" s="184">
        <v>38691</v>
      </c>
      <c r="AU3239" t="s">
        <v>25476</v>
      </c>
      <c r="AV3239">
        <v>25</v>
      </c>
      <c r="AW3239" s="184">
        <v>44383</v>
      </c>
      <c r="AX3239" t="s">
        <v>25477</v>
      </c>
      <c r="AY3239">
        <v>100</v>
      </c>
      <c r="AZ3239" s="184">
        <v>42128</v>
      </c>
      <c r="BA3239" t="s">
        <v>22182</v>
      </c>
      <c r="BB3239">
        <v>125</v>
      </c>
      <c r="BC3239">
        <v>85</v>
      </c>
      <c r="BD3239">
        <v>1750</v>
      </c>
      <c r="BE3239">
        <v>2006</v>
      </c>
      <c r="BF3239">
        <v>19</v>
      </c>
      <c r="BI3239">
        <v>17</v>
      </c>
      <c r="BJ3239">
        <v>20</v>
      </c>
      <c r="BK3239">
        <v>17</v>
      </c>
      <c r="BP3239" s="184"/>
    </row>
    <row r="3240" spans="1:68">
      <c r="A3240">
        <v>38439808</v>
      </c>
      <c r="B3240">
        <v>38439808</v>
      </c>
      <c r="C3240" t="s">
        <v>7018</v>
      </c>
      <c r="D3240" t="s">
        <v>595</v>
      </c>
      <c r="E3240" s="184">
        <v>44104</v>
      </c>
      <c r="G3240" s="184"/>
      <c r="I3240" s="184"/>
      <c r="K3240" s="184"/>
      <c r="M3240" s="184"/>
      <c r="O3240" s="184"/>
      <c r="P3240" t="s">
        <v>7045</v>
      </c>
      <c r="Q3240" t="s">
        <v>7020</v>
      </c>
      <c r="R3240" s="184">
        <v>15760</v>
      </c>
      <c r="S3240">
        <v>81</v>
      </c>
      <c r="U3240" t="s">
        <v>7130</v>
      </c>
      <c r="V3240" t="s">
        <v>4134</v>
      </c>
      <c r="X3240" t="s">
        <v>25478</v>
      </c>
      <c r="AF3240" t="s">
        <v>25479</v>
      </c>
      <c r="AG3240" t="s">
        <v>4134</v>
      </c>
      <c r="AI3240" t="s">
        <v>25480</v>
      </c>
      <c r="AM3240" t="s">
        <v>25481</v>
      </c>
      <c r="AN3240" t="s">
        <v>2052</v>
      </c>
      <c r="AO3240" t="s">
        <v>25482</v>
      </c>
      <c r="AP3240" t="s">
        <v>7024</v>
      </c>
      <c r="AQ3240" t="s">
        <v>25483</v>
      </c>
      <c r="AR3240" t="s">
        <v>25484</v>
      </c>
      <c r="AT3240" s="184">
        <v>38695</v>
      </c>
      <c r="AU3240" t="s">
        <v>25425</v>
      </c>
      <c r="AV3240">
        <v>15</v>
      </c>
      <c r="AW3240" s="184">
        <v>45308</v>
      </c>
      <c r="AX3240" t="s">
        <v>14030</v>
      </c>
      <c r="AY3240">
        <v>100</v>
      </c>
      <c r="AZ3240" s="184">
        <v>45308</v>
      </c>
      <c r="BA3240" t="s">
        <v>14030</v>
      </c>
      <c r="BB3240">
        <v>100</v>
      </c>
      <c r="BC3240">
        <v>90</v>
      </c>
      <c r="BD3240">
        <v>1145</v>
      </c>
      <c r="BE3240">
        <v>2006</v>
      </c>
      <c r="BF3240">
        <v>21</v>
      </c>
      <c r="BG3240">
        <v>1</v>
      </c>
      <c r="BH3240">
        <v>100</v>
      </c>
      <c r="BI3240">
        <v>18</v>
      </c>
      <c r="BJ3240">
        <v>20</v>
      </c>
      <c r="BK3240">
        <v>16</v>
      </c>
      <c r="BP3240" s="184"/>
    </row>
    <row r="3241" spans="1:68">
      <c r="A3241">
        <v>38441721</v>
      </c>
      <c r="B3241">
        <v>38441721</v>
      </c>
      <c r="C3241" t="s">
        <v>7018</v>
      </c>
      <c r="D3241" t="s">
        <v>595</v>
      </c>
      <c r="E3241" s="184">
        <v>43647</v>
      </c>
      <c r="F3241" t="s">
        <v>595</v>
      </c>
      <c r="G3241" s="184">
        <v>45399</v>
      </c>
      <c r="I3241" s="184"/>
      <c r="K3241" s="184"/>
      <c r="O3241" s="184"/>
      <c r="P3241" t="s">
        <v>7045</v>
      </c>
      <c r="Q3241" t="s">
        <v>7030</v>
      </c>
      <c r="R3241" s="184">
        <v>19580</v>
      </c>
      <c r="S3241">
        <v>70</v>
      </c>
      <c r="V3241" t="s">
        <v>2771</v>
      </c>
      <c r="W3241" t="s">
        <v>2316</v>
      </c>
      <c r="X3241" t="s">
        <v>3568</v>
      </c>
      <c r="AF3241" t="s">
        <v>25485</v>
      </c>
      <c r="AG3241" t="s">
        <v>2771</v>
      </c>
      <c r="AI3241" t="s">
        <v>25486</v>
      </c>
      <c r="AM3241" t="s">
        <v>2873</v>
      </c>
      <c r="AN3241" t="s">
        <v>2094</v>
      </c>
      <c r="AO3241" t="s">
        <v>25487</v>
      </c>
      <c r="AP3241" t="s">
        <v>7024</v>
      </c>
      <c r="AQ3241" t="s">
        <v>25488</v>
      </c>
      <c r="AR3241" t="s">
        <v>25489</v>
      </c>
      <c r="AT3241" s="184">
        <v>38698</v>
      </c>
      <c r="AU3241" t="s">
        <v>25490</v>
      </c>
      <c r="AV3241">
        <v>25</v>
      </c>
      <c r="AW3241" s="184">
        <v>43126</v>
      </c>
      <c r="AX3241" t="s">
        <v>25491</v>
      </c>
      <c r="AY3241">
        <v>5</v>
      </c>
      <c r="AZ3241" s="184">
        <v>38698</v>
      </c>
      <c r="BA3241" t="s">
        <v>25490</v>
      </c>
      <c r="BB3241">
        <v>25</v>
      </c>
      <c r="BC3241">
        <v>70</v>
      </c>
      <c r="BD3241">
        <v>1100</v>
      </c>
      <c r="BE3241">
        <v>2006</v>
      </c>
      <c r="BF3241">
        <v>139</v>
      </c>
      <c r="BI3241">
        <v>14</v>
      </c>
      <c r="BJ3241">
        <v>20</v>
      </c>
      <c r="BK3241">
        <v>14</v>
      </c>
      <c r="BP3241" s="184"/>
    </row>
    <row r="3242" spans="1:68">
      <c r="A3242">
        <v>38442273</v>
      </c>
      <c r="B3242">
        <v>38442273</v>
      </c>
      <c r="C3242" t="s">
        <v>7018</v>
      </c>
      <c r="D3242" t="s">
        <v>595</v>
      </c>
      <c r="E3242" s="184">
        <v>44104</v>
      </c>
      <c r="G3242" s="184"/>
      <c r="I3242" s="184"/>
      <c r="K3242" s="184"/>
      <c r="O3242" s="184"/>
      <c r="P3242" t="s">
        <v>7045</v>
      </c>
      <c r="Q3242" t="s">
        <v>7262</v>
      </c>
      <c r="R3242" s="184">
        <v>20333</v>
      </c>
      <c r="S3242">
        <v>68</v>
      </c>
      <c r="V3242" t="s">
        <v>4943</v>
      </c>
      <c r="X3242" t="s">
        <v>25492</v>
      </c>
      <c r="AF3242" t="s">
        <v>25493</v>
      </c>
      <c r="AG3242" t="s">
        <v>4943</v>
      </c>
      <c r="AI3242" t="s">
        <v>25494</v>
      </c>
      <c r="AM3242" t="s">
        <v>25495</v>
      </c>
      <c r="AN3242" t="s">
        <v>2266</v>
      </c>
      <c r="AO3242" t="s">
        <v>25496</v>
      </c>
      <c r="AP3242" t="s">
        <v>7024</v>
      </c>
      <c r="AQ3242" t="s">
        <v>25497</v>
      </c>
      <c r="AR3242" t="s">
        <v>25498</v>
      </c>
      <c r="AT3242" s="184">
        <v>38698</v>
      </c>
      <c r="AU3242" t="s">
        <v>25499</v>
      </c>
      <c r="AV3242">
        <v>50</v>
      </c>
      <c r="AW3242" s="184">
        <v>45023</v>
      </c>
      <c r="AX3242" t="s">
        <v>7832</v>
      </c>
      <c r="AY3242">
        <v>35</v>
      </c>
      <c r="AZ3242" s="184">
        <v>43838</v>
      </c>
      <c r="BA3242" t="s">
        <v>25500</v>
      </c>
      <c r="BB3242">
        <v>100</v>
      </c>
      <c r="BC3242">
        <v>80</v>
      </c>
      <c r="BD3242">
        <v>1020</v>
      </c>
      <c r="BE3242">
        <v>2006</v>
      </c>
      <c r="BF3242">
        <v>18</v>
      </c>
      <c r="BG3242">
        <v>1</v>
      </c>
      <c r="BH3242">
        <v>35</v>
      </c>
      <c r="BI3242">
        <v>16</v>
      </c>
      <c r="BJ3242">
        <v>20</v>
      </c>
      <c r="BK3242">
        <v>8</v>
      </c>
      <c r="BP3242" s="184"/>
    </row>
    <row r="3243" spans="1:68">
      <c r="A3243">
        <v>38443826</v>
      </c>
      <c r="B3243">
        <v>38443826</v>
      </c>
      <c r="C3243" t="s">
        <v>7018</v>
      </c>
      <c r="D3243" t="s">
        <v>595</v>
      </c>
      <c r="E3243" s="184">
        <v>45139</v>
      </c>
      <c r="G3243" s="184"/>
      <c r="I3243" s="184"/>
      <c r="K3243" s="184"/>
      <c r="O3243" s="184"/>
      <c r="P3243" t="s">
        <v>7045</v>
      </c>
      <c r="Q3243" t="s">
        <v>7383</v>
      </c>
      <c r="R3243" s="184">
        <v>22407</v>
      </c>
      <c r="S3243">
        <v>63</v>
      </c>
      <c r="V3243" t="s">
        <v>2665</v>
      </c>
      <c r="W3243" t="s">
        <v>4139</v>
      </c>
      <c r="X3243" t="s">
        <v>25501</v>
      </c>
      <c r="AF3243" t="s">
        <v>25502</v>
      </c>
      <c r="AG3243" t="s">
        <v>2665</v>
      </c>
      <c r="AI3243" t="s">
        <v>25503</v>
      </c>
      <c r="AM3243" t="s">
        <v>4965</v>
      </c>
      <c r="AN3243" t="s">
        <v>2144</v>
      </c>
      <c r="AO3243" t="s">
        <v>25504</v>
      </c>
      <c r="AP3243" t="s">
        <v>7024</v>
      </c>
      <c r="AQ3243" t="s">
        <v>25505</v>
      </c>
      <c r="AT3243" s="184">
        <v>38699</v>
      </c>
      <c r="AU3243" t="s">
        <v>25490</v>
      </c>
      <c r="AV3243">
        <v>25</v>
      </c>
      <c r="AW3243" s="184">
        <v>45189</v>
      </c>
      <c r="AX3243" t="s">
        <v>15021</v>
      </c>
      <c r="AY3243">
        <v>50</v>
      </c>
      <c r="AZ3243" s="184">
        <v>45189</v>
      </c>
      <c r="BA3243" t="s">
        <v>15021</v>
      </c>
      <c r="BB3243">
        <v>50</v>
      </c>
      <c r="BC3243">
        <v>95</v>
      </c>
      <c r="BD3243">
        <v>760</v>
      </c>
      <c r="BE3243">
        <v>2006</v>
      </c>
      <c r="BF3243">
        <v>25</v>
      </c>
      <c r="BG3243">
        <v>3</v>
      </c>
      <c r="BH3243">
        <v>150</v>
      </c>
      <c r="BI3243">
        <v>19</v>
      </c>
      <c r="BJ3243">
        <v>20</v>
      </c>
      <c r="BK3243">
        <v>19</v>
      </c>
      <c r="BP3243" s="184"/>
    </row>
    <row r="3244" spans="1:68">
      <c r="A3244">
        <v>38445581</v>
      </c>
      <c r="B3244">
        <v>38445581</v>
      </c>
      <c r="C3244" t="s">
        <v>7018</v>
      </c>
      <c r="E3244" s="184"/>
      <c r="G3244" s="184"/>
      <c r="I3244" s="184"/>
      <c r="J3244" t="s">
        <v>595</v>
      </c>
      <c r="K3244" s="184">
        <v>44601</v>
      </c>
      <c r="M3244" s="184"/>
      <c r="N3244" t="s">
        <v>595</v>
      </c>
      <c r="O3244" s="184">
        <v>42717</v>
      </c>
      <c r="P3244" t="s">
        <v>7029</v>
      </c>
      <c r="Q3244" t="s">
        <v>7020</v>
      </c>
      <c r="R3244" s="184">
        <v>18629</v>
      </c>
      <c r="S3244">
        <v>73</v>
      </c>
      <c r="U3244" t="s">
        <v>7031</v>
      </c>
      <c r="V3244" t="s">
        <v>2982</v>
      </c>
      <c r="X3244" t="s">
        <v>5711</v>
      </c>
      <c r="Z3244">
        <v>100111709</v>
      </c>
      <c r="AA3244" t="s">
        <v>7130</v>
      </c>
      <c r="AB3244" t="s">
        <v>25506</v>
      </c>
      <c r="AD3244" t="s">
        <v>5711</v>
      </c>
      <c r="AF3244" t="s">
        <v>25507</v>
      </c>
      <c r="AG3244" t="s">
        <v>25508</v>
      </c>
      <c r="AI3244" t="s">
        <v>25509</v>
      </c>
      <c r="AM3244" t="s">
        <v>5712</v>
      </c>
      <c r="AN3244" t="s">
        <v>2052</v>
      </c>
      <c r="AO3244" t="s">
        <v>25510</v>
      </c>
      <c r="AP3244" t="s">
        <v>7024</v>
      </c>
      <c r="AQ3244" t="s">
        <v>25511</v>
      </c>
      <c r="AT3244" s="184">
        <v>38706</v>
      </c>
      <c r="AU3244" t="s">
        <v>25512</v>
      </c>
      <c r="AV3244">
        <v>100</v>
      </c>
      <c r="AW3244" s="184">
        <v>45322</v>
      </c>
      <c r="AX3244" t="s">
        <v>7749</v>
      </c>
      <c r="AY3244">
        <v>4500</v>
      </c>
      <c r="AZ3244" s="184">
        <v>42724</v>
      </c>
      <c r="BA3244" t="s">
        <v>7267</v>
      </c>
      <c r="BB3244">
        <v>12745.62</v>
      </c>
      <c r="BC3244">
        <v>85</v>
      </c>
      <c r="BD3244">
        <v>38649.629999999997</v>
      </c>
      <c r="BE3244">
        <v>2006</v>
      </c>
      <c r="BF3244">
        <v>20</v>
      </c>
      <c r="BG3244">
        <v>2</v>
      </c>
      <c r="BH3244">
        <v>8500</v>
      </c>
      <c r="BI3244">
        <v>17</v>
      </c>
      <c r="BJ3244">
        <v>20</v>
      </c>
      <c r="BK3244">
        <v>13</v>
      </c>
      <c r="BP3244" s="184"/>
    </row>
    <row r="3245" spans="1:68">
      <c r="A3245">
        <v>100111709</v>
      </c>
      <c r="B3245">
        <v>38445581</v>
      </c>
      <c r="C3245" t="s">
        <v>7018</v>
      </c>
      <c r="E3245" s="184"/>
      <c r="G3245" s="184"/>
      <c r="I3245" s="184"/>
      <c r="J3245" t="s">
        <v>595</v>
      </c>
      <c r="K3245" s="184">
        <v>44601</v>
      </c>
      <c r="O3245" s="184"/>
      <c r="P3245" t="s">
        <v>7029</v>
      </c>
      <c r="Q3245" t="s">
        <v>7020</v>
      </c>
      <c r="R3245" s="184">
        <v>23071</v>
      </c>
      <c r="S3245">
        <v>61</v>
      </c>
      <c r="U3245" t="s">
        <v>7130</v>
      </c>
      <c r="V3245" t="s">
        <v>25506</v>
      </c>
      <c r="X3245" t="s">
        <v>5711</v>
      </c>
      <c r="Z3245">
        <v>38445581</v>
      </c>
      <c r="AA3245" t="s">
        <v>7031</v>
      </c>
      <c r="AB3245" t="s">
        <v>2982</v>
      </c>
      <c r="AD3245" t="s">
        <v>5711</v>
      </c>
      <c r="AF3245" t="s">
        <v>25507</v>
      </c>
      <c r="AG3245" t="s">
        <v>25508</v>
      </c>
      <c r="AI3245" t="s">
        <v>25509</v>
      </c>
      <c r="AM3245" t="s">
        <v>5712</v>
      </c>
      <c r="AN3245" t="s">
        <v>2052</v>
      </c>
      <c r="AO3245" t="s">
        <v>25510</v>
      </c>
      <c r="AP3245" t="s">
        <v>7024</v>
      </c>
      <c r="AT3245" s="184"/>
      <c r="AW3245" s="184"/>
      <c r="AZ3245" s="184"/>
      <c r="BP3245" s="184"/>
    </row>
    <row r="3246" spans="1:68">
      <c r="A3246">
        <v>38451035</v>
      </c>
      <c r="B3246">
        <v>38451035</v>
      </c>
      <c r="C3246" t="s">
        <v>7018</v>
      </c>
      <c r="D3246" t="s">
        <v>595</v>
      </c>
      <c r="E3246" s="184">
        <v>45154</v>
      </c>
      <c r="G3246" s="184"/>
      <c r="I3246" s="184"/>
      <c r="K3246" s="184"/>
      <c r="O3246" s="184"/>
      <c r="P3246" t="s">
        <v>7045</v>
      </c>
      <c r="Q3246" t="s">
        <v>7160</v>
      </c>
      <c r="R3246" s="184">
        <v>14550</v>
      </c>
      <c r="S3246">
        <v>84</v>
      </c>
      <c r="V3246" t="s">
        <v>2742</v>
      </c>
      <c r="W3246" t="s">
        <v>4013</v>
      </c>
      <c r="X3246" t="s">
        <v>25513</v>
      </c>
      <c r="AF3246" t="s">
        <v>25514</v>
      </c>
      <c r="AG3246" t="s">
        <v>2742</v>
      </c>
      <c r="AI3246" t="s">
        <v>25515</v>
      </c>
      <c r="AM3246" t="s">
        <v>4984</v>
      </c>
      <c r="AN3246" t="s">
        <v>2675</v>
      </c>
      <c r="AO3246" t="s">
        <v>25516</v>
      </c>
      <c r="AP3246" t="s">
        <v>7024</v>
      </c>
      <c r="AT3246" s="184">
        <v>38702</v>
      </c>
      <c r="AU3246" t="s">
        <v>25517</v>
      </c>
      <c r="AV3246">
        <v>25</v>
      </c>
      <c r="AW3246" s="184">
        <v>45329</v>
      </c>
      <c r="AX3246" t="s">
        <v>25518</v>
      </c>
      <c r="AY3246">
        <v>50</v>
      </c>
      <c r="AZ3246" s="184">
        <v>43494</v>
      </c>
      <c r="BA3246" t="s">
        <v>17265</v>
      </c>
      <c r="BB3246">
        <v>100</v>
      </c>
      <c r="BC3246">
        <v>80</v>
      </c>
      <c r="BD3246">
        <v>780</v>
      </c>
      <c r="BE3246">
        <v>2006</v>
      </c>
      <c r="BF3246">
        <v>21</v>
      </c>
      <c r="BG3246">
        <v>4</v>
      </c>
      <c r="BH3246">
        <v>200</v>
      </c>
      <c r="BI3246">
        <v>16</v>
      </c>
      <c r="BJ3246">
        <v>20</v>
      </c>
      <c r="BK3246">
        <v>9</v>
      </c>
      <c r="BP3246" s="184"/>
    </row>
    <row r="3247" spans="1:68">
      <c r="A3247">
        <v>38470217</v>
      </c>
      <c r="B3247">
        <v>38470217</v>
      </c>
      <c r="C3247" t="s">
        <v>7018</v>
      </c>
      <c r="D3247" t="s">
        <v>595</v>
      </c>
      <c r="E3247" s="184">
        <v>44167</v>
      </c>
      <c r="G3247" s="184"/>
      <c r="I3247" s="184"/>
      <c r="K3247" s="184"/>
      <c r="O3247" s="184"/>
      <c r="P3247" t="s">
        <v>7045</v>
      </c>
      <c r="Q3247" t="s">
        <v>7194</v>
      </c>
      <c r="R3247" s="184">
        <v>15946</v>
      </c>
      <c r="S3247">
        <v>80</v>
      </c>
      <c r="U3247" t="s">
        <v>7130</v>
      </c>
      <c r="V3247" t="s">
        <v>3101</v>
      </c>
      <c r="X3247" t="s">
        <v>3224</v>
      </c>
      <c r="AF3247" t="s">
        <v>25519</v>
      </c>
      <c r="AG3247" t="s">
        <v>3101</v>
      </c>
      <c r="AI3247" t="s">
        <v>25520</v>
      </c>
      <c r="AM3247" t="s">
        <v>25521</v>
      </c>
      <c r="AN3247" t="s">
        <v>2046</v>
      </c>
      <c r="AO3247" t="s">
        <v>25522</v>
      </c>
      <c r="AP3247" t="s">
        <v>7024</v>
      </c>
      <c r="AQ3247" t="s">
        <v>25523</v>
      </c>
      <c r="AR3247" t="s">
        <v>25524</v>
      </c>
      <c r="AT3247" s="184">
        <v>38707</v>
      </c>
      <c r="AU3247" t="s">
        <v>25525</v>
      </c>
      <c r="AV3247">
        <v>50</v>
      </c>
      <c r="AW3247" s="184">
        <v>44610</v>
      </c>
      <c r="AX3247" t="s">
        <v>25526</v>
      </c>
      <c r="AY3247">
        <v>35</v>
      </c>
      <c r="AZ3247" s="184">
        <v>43768</v>
      </c>
      <c r="BA3247" t="s">
        <v>11691</v>
      </c>
      <c r="BB3247">
        <v>50</v>
      </c>
      <c r="BC3247">
        <v>40</v>
      </c>
      <c r="BD3247">
        <v>490</v>
      </c>
      <c r="BE3247">
        <v>2006</v>
      </c>
      <c r="BF3247">
        <v>11</v>
      </c>
      <c r="BI3247">
        <v>8</v>
      </c>
      <c r="BJ3247">
        <v>20</v>
      </c>
      <c r="BK3247">
        <v>5</v>
      </c>
      <c r="BN3247" t="s">
        <v>595</v>
      </c>
      <c r="BP3247" s="184"/>
    </row>
    <row r="3248" spans="1:68">
      <c r="A3248">
        <v>38472692</v>
      </c>
      <c r="B3248">
        <v>38472692</v>
      </c>
      <c r="C3248" t="s">
        <v>7018</v>
      </c>
      <c r="D3248" t="s">
        <v>595</v>
      </c>
      <c r="E3248" s="184">
        <v>43642</v>
      </c>
      <c r="G3248" s="184"/>
      <c r="I3248" s="184"/>
      <c r="K3248" s="184"/>
      <c r="O3248" s="184"/>
      <c r="P3248" t="s">
        <v>7045</v>
      </c>
      <c r="Q3248" t="s">
        <v>7020</v>
      </c>
      <c r="R3248" s="184">
        <v>20614</v>
      </c>
      <c r="S3248">
        <v>67</v>
      </c>
      <c r="V3248" t="s">
        <v>2995</v>
      </c>
      <c r="X3248" t="s">
        <v>3371</v>
      </c>
      <c r="AF3248" t="s">
        <v>25527</v>
      </c>
      <c r="AG3248" t="s">
        <v>2995</v>
      </c>
      <c r="AI3248" t="s">
        <v>25528</v>
      </c>
      <c r="AM3248" t="s">
        <v>3372</v>
      </c>
      <c r="AN3248" t="s">
        <v>2129</v>
      </c>
      <c r="AO3248" t="s">
        <v>25529</v>
      </c>
      <c r="AP3248" t="s">
        <v>7024</v>
      </c>
      <c r="AQ3248" t="s">
        <v>25530</v>
      </c>
      <c r="AT3248" s="184">
        <v>38708</v>
      </c>
      <c r="AU3248" t="s">
        <v>25531</v>
      </c>
      <c r="AV3248">
        <v>25</v>
      </c>
      <c r="AW3248" s="184">
        <v>45320</v>
      </c>
      <c r="AX3248" t="s">
        <v>25532</v>
      </c>
      <c r="AY3248">
        <v>15</v>
      </c>
      <c r="AZ3248" s="184">
        <v>41318</v>
      </c>
      <c r="BA3248" t="s">
        <v>25533</v>
      </c>
      <c r="BB3248">
        <v>50</v>
      </c>
      <c r="BC3248">
        <v>60</v>
      </c>
      <c r="BD3248">
        <v>422.53</v>
      </c>
      <c r="BE3248">
        <v>2006</v>
      </c>
      <c r="BF3248">
        <v>18</v>
      </c>
      <c r="BG3248">
        <v>1</v>
      </c>
      <c r="BH3248">
        <v>15</v>
      </c>
      <c r="BI3248">
        <v>12</v>
      </c>
      <c r="BJ3248">
        <v>20</v>
      </c>
      <c r="BK3248">
        <v>5</v>
      </c>
      <c r="BP3248" s="184"/>
    </row>
    <row r="3249" spans="1:68">
      <c r="A3249">
        <v>38488672</v>
      </c>
      <c r="B3249">
        <v>38488672</v>
      </c>
      <c r="C3249" t="s">
        <v>7018</v>
      </c>
      <c r="E3249" s="184"/>
      <c r="G3249" s="184"/>
      <c r="I3249" s="184"/>
      <c r="J3249" t="s">
        <v>595</v>
      </c>
      <c r="K3249" s="184">
        <v>40787</v>
      </c>
      <c r="O3249" s="184"/>
      <c r="P3249" t="s">
        <v>7084</v>
      </c>
      <c r="Q3249" t="s">
        <v>7374</v>
      </c>
      <c r="R3249" s="184">
        <v>15165</v>
      </c>
      <c r="S3249">
        <v>82</v>
      </c>
      <c r="V3249" t="s">
        <v>3103</v>
      </c>
      <c r="X3249" t="s">
        <v>25534</v>
      </c>
      <c r="AF3249" t="s">
        <v>6651</v>
      </c>
      <c r="AG3249" t="s">
        <v>3103</v>
      </c>
      <c r="AI3249" t="s">
        <v>25535</v>
      </c>
      <c r="AM3249" t="s">
        <v>2570</v>
      </c>
      <c r="AN3249" t="s">
        <v>2081</v>
      </c>
      <c r="AO3249" t="s">
        <v>25536</v>
      </c>
      <c r="AP3249" t="s">
        <v>7024</v>
      </c>
      <c r="AT3249" s="184">
        <v>38713</v>
      </c>
      <c r="AU3249" t="s">
        <v>25537</v>
      </c>
      <c r="AV3249">
        <v>10</v>
      </c>
      <c r="AW3249" s="184">
        <v>44643</v>
      </c>
      <c r="AX3249" t="s">
        <v>7093</v>
      </c>
      <c r="AY3249">
        <v>47382.34</v>
      </c>
      <c r="AZ3249" s="184">
        <v>44643</v>
      </c>
      <c r="BA3249" t="s">
        <v>7093</v>
      </c>
      <c r="BB3249">
        <v>47382.34</v>
      </c>
      <c r="BC3249">
        <v>65</v>
      </c>
      <c r="BD3249">
        <v>47644.34</v>
      </c>
      <c r="BE3249">
        <v>2006</v>
      </c>
      <c r="BF3249">
        <v>16</v>
      </c>
      <c r="BI3249">
        <v>13</v>
      </c>
      <c r="BJ3249">
        <v>20</v>
      </c>
      <c r="BK3249">
        <v>10</v>
      </c>
      <c r="BO3249" t="s">
        <v>595</v>
      </c>
      <c r="BP3249" s="184"/>
    </row>
    <row r="3250" spans="1:68">
      <c r="A3250">
        <v>38492948</v>
      </c>
      <c r="B3250">
        <v>38492948</v>
      </c>
      <c r="C3250" t="s">
        <v>7018</v>
      </c>
      <c r="E3250" s="184"/>
      <c r="G3250" s="184"/>
      <c r="I3250" s="184"/>
      <c r="J3250" t="s">
        <v>595</v>
      </c>
      <c r="K3250" s="184">
        <v>43623</v>
      </c>
      <c r="O3250" s="184"/>
      <c r="P3250" t="s">
        <v>7029</v>
      </c>
      <c r="Q3250" t="s">
        <v>7383</v>
      </c>
      <c r="R3250" s="184">
        <v>14307</v>
      </c>
      <c r="S3250">
        <v>85</v>
      </c>
      <c r="U3250" t="s">
        <v>7031</v>
      </c>
      <c r="V3250" t="s">
        <v>2946</v>
      </c>
      <c r="X3250" t="s">
        <v>2772</v>
      </c>
      <c r="Z3250">
        <v>100182923</v>
      </c>
      <c r="AA3250" t="s">
        <v>7130</v>
      </c>
      <c r="AB3250" t="s">
        <v>25538</v>
      </c>
      <c r="AD3250" t="s">
        <v>2772</v>
      </c>
      <c r="AF3250" t="s">
        <v>6341</v>
      </c>
      <c r="AG3250" t="s">
        <v>2946</v>
      </c>
      <c r="AI3250" t="s">
        <v>25539</v>
      </c>
      <c r="AJ3250" t="s">
        <v>25540</v>
      </c>
      <c r="AM3250" t="s">
        <v>2703</v>
      </c>
      <c r="AN3250" t="s">
        <v>2064</v>
      </c>
      <c r="AO3250" t="s">
        <v>25541</v>
      </c>
      <c r="AP3250" t="s">
        <v>7024</v>
      </c>
      <c r="AT3250" s="184">
        <v>38714</v>
      </c>
      <c r="AU3250" t="s">
        <v>25542</v>
      </c>
      <c r="AV3250">
        <v>100</v>
      </c>
      <c r="AW3250" s="184">
        <v>44204</v>
      </c>
      <c r="AX3250" t="s">
        <v>8371</v>
      </c>
      <c r="AY3250">
        <v>1000</v>
      </c>
      <c r="AZ3250" s="184">
        <v>44204</v>
      </c>
      <c r="BA3250" t="s">
        <v>8371</v>
      </c>
      <c r="BB3250">
        <v>1000</v>
      </c>
      <c r="BC3250">
        <v>80</v>
      </c>
      <c r="BD3250">
        <v>2465</v>
      </c>
      <c r="BE3250">
        <v>2006</v>
      </c>
      <c r="BF3250">
        <v>36</v>
      </c>
      <c r="BI3250">
        <v>16</v>
      </c>
      <c r="BJ3250">
        <v>20</v>
      </c>
      <c r="BK3250">
        <v>11</v>
      </c>
      <c r="BP3250" s="184"/>
    </row>
    <row r="3251" spans="1:68">
      <c r="A3251">
        <v>100182923</v>
      </c>
      <c r="B3251">
        <v>38492948</v>
      </c>
      <c r="C3251" t="s">
        <v>7018</v>
      </c>
      <c r="E3251" s="184"/>
      <c r="G3251" s="184"/>
      <c r="I3251" s="184"/>
      <c r="J3251" t="s">
        <v>595</v>
      </c>
      <c r="K3251" s="184">
        <v>43623</v>
      </c>
      <c r="O3251" s="184"/>
      <c r="P3251" t="s">
        <v>7029</v>
      </c>
      <c r="Q3251" t="s">
        <v>7383</v>
      </c>
      <c r="R3251" s="184">
        <v>15415</v>
      </c>
      <c r="S3251">
        <v>82</v>
      </c>
      <c r="U3251" t="s">
        <v>7130</v>
      </c>
      <c r="V3251" t="s">
        <v>25538</v>
      </c>
      <c r="X3251" t="s">
        <v>2772</v>
      </c>
      <c r="Z3251">
        <v>38492948</v>
      </c>
      <c r="AA3251" t="s">
        <v>7031</v>
      </c>
      <c r="AB3251" t="s">
        <v>2946</v>
      </c>
      <c r="AD3251" t="s">
        <v>2772</v>
      </c>
      <c r="AF3251" t="s">
        <v>6341</v>
      </c>
      <c r="AG3251" t="s">
        <v>2946</v>
      </c>
      <c r="AI3251" t="s">
        <v>25539</v>
      </c>
      <c r="AJ3251" t="s">
        <v>25540</v>
      </c>
      <c r="AM3251" t="s">
        <v>2703</v>
      </c>
      <c r="AN3251" t="s">
        <v>2064</v>
      </c>
      <c r="AO3251" t="s">
        <v>25541</v>
      </c>
      <c r="AP3251" t="s">
        <v>7024</v>
      </c>
      <c r="AQ3251" t="s">
        <v>25543</v>
      </c>
      <c r="AT3251" s="184"/>
      <c r="AW3251" s="184"/>
      <c r="AZ3251" s="184"/>
      <c r="BO3251" t="s">
        <v>595</v>
      </c>
      <c r="BP3251" s="184"/>
    </row>
    <row r="3252" spans="1:68">
      <c r="A3252">
        <v>38499265</v>
      </c>
      <c r="B3252">
        <v>38499265</v>
      </c>
      <c r="C3252" t="s">
        <v>7018</v>
      </c>
      <c r="D3252" t="s">
        <v>595</v>
      </c>
      <c r="E3252" s="184">
        <v>43657</v>
      </c>
      <c r="G3252" s="184"/>
      <c r="I3252" s="184"/>
      <c r="K3252" s="184"/>
      <c r="O3252" s="184"/>
      <c r="P3252" t="s">
        <v>7019</v>
      </c>
      <c r="Q3252" t="s">
        <v>7383</v>
      </c>
      <c r="R3252" s="184">
        <v>20699</v>
      </c>
      <c r="S3252">
        <v>67</v>
      </c>
      <c r="V3252" t="s">
        <v>2551</v>
      </c>
      <c r="X3252" t="s">
        <v>3646</v>
      </c>
      <c r="AF3252" t="s">
        <v>25544</v>
      </c>
      <c r="AG3252" t="s">
        <v>2551</v>
      </c>
      <c r="AI3252" t="s">
        <v>25545</v>
      </c>
      <c r="AM3252" t="s">
        <v>3647</v>
      </c>
      <c r="AN3252" t="s">
        <v>2313</v>
      </c>
      <c r="AO3252" t="s">
        <v>25546</v>
      </c>
      <c r="AP3252" t="s">
        <v>7024</v>
      </c>
      <c r="AQ3252" t="s">
        <v>25547</v>
      </c>
      <c r="AR3252" t="s">
        <v>25548</v>
      </c>
      <c r="AT3252" s="184">
        <v>38716</v>
      </c>
      <c r="AU3252" t="s">
        <v>25549</v>
      </c>
      <c r="AV3252">
        <v>25</v>
      </c>
      <c r="AW3252" s="184">
        <v>44901</v>
      </c>
      <c r="AX3252" t="s">
        <v>15246</v>
      </c>
      <c r="AY3252">
        <v>40</v>
      </c>
      <c r="AZ3252" s="184">
        <v>44544</v>
      </c>
      <c r="BA3252" t="s">
        <v>25550</v>
      </c>
      <c r="BB3252">
        <v>60</v>
      </c>
      <c r="BC3252">
        <v>70</v>
      </c>
      <c r="BD3252">
        <v>670</v>
      </c>
      <c r="BE3252">
        <v>2006</v>
      </c>
      <c r="BF3252">
        <v>20</v>
      </c>
      <c r="BG3252">
        <v>1</v>
      </c>
      <c r="BH3252">
        <v>40</v>
      </c>
      <c r="BI3252">
        <v>14</v>
      </c>
      <c r="BJ3252">
        <v>20</v>
      </c>
      <c r="BK3252">
        <v>8</v>
      </c>
      <c r="BP3252" s="184"/>
    </row>
    <row r="3253" spans="1:68">
      <c r="A3253">
        <v>100111940</v>
      </c>
      <c r="B3253">
        <v>38502167</v>
      </c>
      <c r="C3253" t="s">
        <v>7018</v>
      </c>
      <c r="D3253" t="s">
        <v>595</v>
      </c>
      <c r="E3253" s="184">
        <v>45174</v>
      </c>
      <c r="G3253" s="184"/>
      <c r="I3253" s="184"/>
      <c r="K3253" s="184"/>
      <c r="O3253" s="184"/>
      <c r="P3253" t="s">
        <v>7045</v>
      </c>
      <c r="Q3253" t="s">
        <v>7374</v>
      </c>
      <c r="R3253" s="184">
        <v>22402</v>
      </c>
      <c r="S3253">
        <v>63</v>
      </c>
      <c r="Z3253">
        <v>38502167</v>
      </c>
      <c r="AB3253" t="s">
        <v>25551</v>
      </c>
      <c r="AD3253" t="s">
        <v>25552</v>
      </c>
      <c r="AF3253" t="s">
        <v>25553</v>
      </c>
      <c r="AG3253" t="s">
        <v>25554</v>
      </c>
      <c r="AI3253" t="s">
        <v>25555</v>
      </c>
      <c r="AM3253" t="s">
        <v>25556</v>
      </c>
      <c r="AN3253" t="s">
        <v>2081</v>
      </c>
      <c r="AO3253" t="s">
        <v>25557</v>
      </c>
      <c r="AP3253" t="s">
        <v>7024</v>
      </c>
      <c r="AQ3253" t="s">
        <v>25558</v>
      </c>
      <c r="AT3253" s="184"/>
      <c r="AW3253" s="184"/>
      <c r="AZ3253" s="184"/>
      <c r="BP3253" s="184"/>
    </row>
    <row r="3254" spans="1:68">
      <c r="A3254">
        <v>38502258</v>
      </c>
      <c r="B3254">
        <v>38502258</v>
      </c>
      <c r="C3254" t="s">
        <v>7018</v>
      </c>
      <c r="D3254" t="s">
        <v>595</v>
      </c>
      <c r="E3254" s="184">
        <v>43773</v>
      </c>
      <c r="G3254" s="184"/>
      <c r="I3254" s="184"/>
      <c r="K3254" s="184"/>
      <c r="O3254" s="184"/>
      <c r="P3254" t="s">
        <v>7045</v>
      </c>
      <c r="Q3254" t="s">
        <v>7194</v>
      </c>
      <c r="R3254" s="184">
        <v>19694</v>
      </c>
      <c r="S3254">
        <v>70</v>
      </c>
      <c r="U3254" t="s">
        <v>7076</v>
      </c>
      <c r="V3254" t="s">
        <v>3574</v>
      </c>
      <c r="X3254" t="s">
        <v>4273</v>
      </c>
      <c r="AF3254" t="s">
        <v>25559</v>
      </c>
      <c r="AG3254" t="s">
        <v>3574</v>
      </c>
      <c r="AI3254" t="s">
        <v>25560</v>
      </c>
      <c r="AM3254" t="s">
        <v>4274</v>
      </c>
      <c r="AN3254" t="s">
        <v>2046</v>
      </c>
      <c r="AO3254" t="s">
        <v>25561</v>
      </c>
      <c r="AP3254" t="s">
        <v>7024</v>
      </c>
      <c r="AQ3254" t="s">
        <v>25562</v>
      </c>
      <c r="AT3254" s="184">
        <v>38727</v>
      </c>
      <c r="AU3254" t="s">
        <v>25439</v>
      </c>
      <c r="AV3254">
        <v>19.97</v>
      </c>
      <c r="AW3254" s="184">
        <v>44978</v>
      </c>
      <c r="AX3254" t="s">
        <v>8715</v>
      </c>
      <c r="AY3254">
        <v>75</v>
      </c>
      <c r="AZ3254" s="184">
        <v>44978</v>
      </c>
      <c r="BA3254" t="s">
        <v>8715</v>
      </c>
      <c r="BB3254">
        <v>75</v>
      </c>
      <c r="BC3254">
        <v>74</v>
      </c>
      <c r="BD3254">
        <v>984.94</v>
      </c>
      <c r="BE3254">
        <v>2006</v>
      </c>
      <c r="BF3254">
        <v>21</v>
      </c>
      <c r="BG3254">
        <v>2</v>
      </c>
      <c r="BH3254">
        <v>125</v>
      </c>
      <c r="BI3254">
        <v>14</v>
      </c>
      <c r="BJ3254">
        <v>19</v>
      </c>
      <c r="BK3254">
        <v>10</v>
      </c>
      <c r="BP3254" s="184"/>
    </row>
    <row r="3255" spans="1:68">
      <c r="A3255">
        <v>38506341</v>
      </c>
      <c r="B3255">
        <v>38506341</v>
      </c>
      <c r="C3255" t="s">
        <v>7018</v>
      </c>
      <c r="D3255" t="s">
        <v>595</v>
      </c>
      <c r="E3255" s="184">
        <v>43745</v>
      </c>
      <c r="G3255" s="184"/>
      <c r="I3255" s="184"/>
      <c r="K3255" s="184"/>
      <c r="O3255" s="184"/>
      <c r="P3255" t="s">
        <v>7045</v>
      </c>
      <c r="Q3255" t="s">
        <v>7160</v>
      </c>
      <c r="R3255" s="184">
        <v>11043</v>
      </c>
      <c r="S3255">
        <v>94</v>
      </c>
      <c r="U3255" t="s">
        <v>7076</v>
      </c>
      <c r="V3255" t="s">
        <v>4152</v>
      </c>
      <c r="W3255" t="s">
        <v>2845</v>
      </c>
      <c r="X3255" t="s">
        <v>2632</v>
      </c>
      <c r="AF3255" t="s">
        <v>25563</v>
      </c>
      <c r="AG3255" t="s">
        <v>25564</v>
      </c>
      <c r="AI3255" t="s">
        <v>25565</v>
      </c>
      <c r="AM3255" t="s">
        <v>4153</v>
      </c>
      <c r="AN3255" t="s">
        <v>2413</v>
      </c>
      <c r="AO3255" t="s">
        <v>25566</v>
      </c>
      <c r="AP3255" t="s">
        <v>7024</v>
      </c>
      <c r="AT3255" s="184">
        <v>38720</v>
      </c>
      <c r="AU3255" t="s">
        <v>25567</v>
      </c>
      <c r="AV3255">
        <v>20</v>
      </c>
      <c r="AW3255" s="184">
        <v>44256</v>
      </c>
      <c r="AX3255" t="s">
        <v>25568</v>
      </c>
      <c r="AY3255">
        <v>25</v>
      </c>
      <c r="AZ3255" s="184">
        <v>43826</v>
      </c>
      <c r="BA3255" t="s">
        <v>25500</v>
      </c>
      <c r="BB3255">
        <v>35</v>
      </c>
      <c r="BC3255">
        <v>85</v>
      </c>
      <c r="BD3255">
        <v>595</v>
      </c>
      <c r="BE3255">
        <v>2006</v>
      </c>
      <c r="BF3255">
        <v>34</v>
      </c>
      <c r="BI3255">
        <v>16</v>
      </c>
      <c r="BJ3255">
        <v>19</v>
      </c>
      <c r="BK3255">
        <v>16</v>
      </c>
      <c r="BP3255" s="184"/>
    </row>
    <row r="3256" spans="1:68">
      <c r="A3256">
        <v>38511713</v>
      </c>
      <c r="B3256">
        <v>38511713</v>
      </c>
      <c r="C3256" t="s">
        <v>7018</v>
      </c>
      <c r="E3256" s="184"/>
      <c r="G3256" s="184"/>
      <c r="I3256" s="184"/>
      <c r="J3256" t="s">
        <v>595</v>
      </c>
      <c r="K3256" s="184">
        <v>44167</v>
      </c>
      <c r="O3256" s="184"/>
      <c r="P3256" t="s">
        <v>7045</v>
      </c>
      <c r="Q3256" t="s">
        <v>7160</v>
      </c>
      <c r="R3256" s="184">
        <v>12148</v>
      </c>
      <c r="S3256">
        <v>91</v>
      </c>
      <c r="U3256" t="s">
        <v>7076</v>
      </c>
      <c r="V3256" t="s">
        <v>3431</v>
      </c>
      <c r="W3256" t="s">
        <v>3830</v>
      </c>
      <c r="X3256" t="s">
        <v>25569</v>
      </c>
      <c r="AF3256" t="s">
        <v>25570</v>
      </c>
      <c r="AG3256" t="s">
        <v>3431</v>
      </c>
      <c r="AI3256" t="s">
        <v>25571</v>
      </c>
      <c r="AM3256" t="s">
        <v>4692</v>
      </c>
      <c r="AN3256" t="s">
        <v>2176</v>
      </c>
      <c r="AO3256" t="s">
        <v>25572</v>
      </c>
      <c r="AP3256" t="s">
        <v>7024</v>
      </c>
      <c r="AT3256" s="184">
        <v>38720</v>
      </c>
      <c r="AU3256" t="s">
        <v>25573</v>
      </c>
      <c r="AV3256">
        <v>20</v>
      </c>
      <c r="AW3256" s="184">
        <v>45324</v>
      </c>
      <c r="AX3256" t="s">
        <v>12049</v>
      </c>
      <c r="AY3256">
        <v>150</v>
      </c>
      <c r="AZ3256" s="184">
        <v>45324</v>
      </c>
      <c r="BA3256" t="s">
        <v>12049</v>
      </c>
      <c r="BB3256">
        <v>150</v>
      </c>
      <c r="BC3256">
        <v>69</v>
      </c>
      <c r="BD3256">
        <v>1140</v>
      </c>
      <c r="BE3256">
        <v>2006</v>
      </c>
      <c r="BF3256">
        <v>20</v>
      </c>
      <c r="BG3256">
        <v>4</v>
      </c>
      <c r="BH3256">
        <v>400</v>
      </c>
      <c r="BI3256">
        <v>13</v>
      </c>
      <c r="BJ3256">
        <v>19</v>
      </c>
      <c r="BK3256">
        <v>9</v>
      </c>
      <c r="BP3256" s="184"/>
    </row>
    <row r="3257" spans="1:68">
      <c r="A3257">
        <v>38513792</v>
      </c>
      <c r="B3257">
        <v>38513792</v>
      </c>
      <c r="C3257" t="s">
        <v>7018</v>
      </c>
      <c r="E3257" s="184"/>
      <c r="G3257" s="184"/>
      <c r="I3257" s="184"/>
      <c r="J3257" t="s">
        <v>595</v>
      </c>
      <c r="K3257" s="184">
        <v>41793</v>
      </c>
      <c r="O3257" s="184"/>
      <c r="P3257" t="s">
        <v>7045</v>
      </c>
      <c r="Q3257" t="s">
        <v>7030</v>
      </c>
      <c r="R3257" s="184">
        <v>17899</v>
      </c>
      <c r="S3257">
        <v>75</v>
      </c>
      <c r="V3257" t="s">
        <v>3230</v>
      </c>
      <c r="W3257" t="s">
        <v>4139</v>
      </c>
      <c r="X3257" t="s">
        <v>25574</v>
      </c>
      <c r="AF3257" t="s">
        <v>6416</v>
      </c>
      <c r="AG3257" t="s">
        <v>3230</v>
      </c>
      <c r="AI3257" t="s">
        <v>25575</v>
      </c>
      <c r="AM3257" t="s">
        <v>4209</v>
      </c>
      <c r="AN3257" t="s">
        <v>2201</v>
      </c>
      <c r="AO3257" t="s">
        <v>25576</v>
      </c>
      <c r="AP3257" t="s">
        <v>7024</v>
      </c>
      <c r="AT3257" s="184">
        <v>38720</v>
      </c>
      <c r="AU3257" t="s">
        <v>25577</v>
      </c>
      <c r="AV3257">
        <v>100</v>
      </c>
      <c r="AW3257" s="184">
        <v>45408</v>
      </c>
      <c r="AX3257" t="s">
        <v>7524</v>
      </c>
      <c r="AY3257">
        <v>100</v>
      </c>
      <c r="AZ3257" s="184">
        <v>41109</v>
      </c>
      <c r="BA3257" t="s">
        <v>25578</v>
      </c>
      <c r="BB3257">
        <v>225</v>
      </c>
      <c r="BC3257">
        <v>48</v>
      </c>
      <c r="BD3257">
        <v>1810</v>
      </c>
      <c r="BE3257">
        <v>2006</v>
      </c>
      <c r="BF3257">
        <v>18</v>
      </c>
      <c r="BG3257">
        <v>5</v>
      </c>
      <c r="BH3257">
        <v>425</v>
      </c>
      <c r="BI3257">
        <v>9</v>
      </c>
      <c r="BJ3257">
        <v>19</v>
      </c>
      <c r="BK3257">
        <v>4</v>
      </c>
      <c r="BM3257" t="s">
        <v>595</v>
      </c>
      <c r="BP3257" s="184"/>
    </row>
    <row r="3258" spans="1:68">
      <c r="A3258">
        <v>38516076</v>
      </c>
      <c r="B3258">
        <v>38516076</v>
      </c>
      <c r="C3258" t="s">
        <v>7018</v>
      </c>
      <c r="E3258" s="184"/>
      <c r="G3258" s="184"/>
      <c r="I3258" s="184"/>
      <c r="J3258" t="s">
        <v>595</v>
      </c>
      <c r="K3258" s="184">
        <v>41716</v>
      </c>
      <c r="O3258" s="184"/>
      <c r="P3258" t="s">
        <v>7045</v>
      </c>
      <c r="Q3258" t="s">
        <v>7160</v>
      </c>
      <c r="R3258" s="184">
        <v>21923</v>
      </c>
      <c r="S3258">
        <v>64</v>
      </c>
      <c r="U3258" t="s">
        <v>13697</v>
      </c>
      <c r="V3258" t="s">
        <v>2863</v>
      </c>
      <c r="X3258" t="s">
        <v>21378</v>
      </c>
      <c r="Z3258">
        <v>100112012</v>
      </c>
      <c r="AA3258" t="s">
        <v>7032</v>
      </c>
      <c r="AB3258" t="s">
        <v>2863</v>
      </c>
      <c r="AD3258" t="s">
        <v>21378</v>
      </c>
      <c r="AF3258" t="s">
        <v>25579</v>
      </c>
      <c r="AG3258" t="s">
        <v>25580</v>
      </c>
      <c r="AI3258" t="s">
        <v>25581</v>
      </c>
      <c r="AM3258" t="s">
        <v>24713</v>
      </c>
      <c r="AN3258" t="s">
        <v>2428</v>
      </c>
      <c r="AO3258" t="s">
        <v>25582</v>
      </c>
      <c r="AP3258" t="s">
        <v>7024</v>
      </c>
      <c r="AQ3258" t="s">
        <v>25583</v>
      </c>
      <c r="AR3258" t="s">
        <v>25584</v>
      </c>
      <c r="AT3258" s="184">
        <v>38721</v>
      </c>
      <c r="AU3258" t="s">
        <v>25585</v>
      </c>
      <c r="AV3258">
        <v>10</v>
      </c>
      <c r="AW3258" s="184">
        <v>45308</v>
      </c>
      <c r="AX3258" t="s">
        <v>25586</v>
      </c>
      <c r="AY3258">
        <v>25</v>
      </c>
      <c r="AZ3258" s="184">
        <v>45308</v>
      </c>
      <c r="BA3258" t="s">
        <v>25586</v>
      </c>
      <c r="BB3258">
        <v>25</v>
      </c>
      <c r="BC3258">
        <v>79</v>
      </c>
      <c r="BD3258">
        <v>375</v>
      </c>
      <c r="BE3258">
        <v>2006</v>
      </c>
      <c r="BF3258">
        <v>16</v>
      </c>
      <c r="BG3258">
        <v>2</v>
      </c>
      <c r="BH3258">
        <v>50</v>
      </c>
      <c r="BI3258">
        <v>15</v>
      </c>
      <c r="BJ3258">
        <v>19</v>
      </c>
      <c r="BK3258">
        <v>9</v>
      </c>
      <c r="BP3258" s="184"/>
    </row>
    <row r="3259" spans="1:68">
      <c r="A3259">
        <v>100112012</v>
      </c>
      <c r="B3259">
        <v>38516076</v>
      </c>
      <c r="C3259" t="s">
        <v>7018</v>
      </c>
      <c r="E3259" s="184"/>
      <c r="G3259" s="184"/>
      <c r="I3259" s="184"/>
      <c r="J3259" t="s">
        <v>595</v>
      </c>
      <c r="K3259" s="184">
        <v>43654</v>
      </c>
      <c r="O3259" s="184"/>
      <c r="P3259" t="s">
        <v>7045</v>
      </c>
      <c r="Q3259" t="s">
        <v>7160</v>
      </c>
      <c r="R3259" s="184">
        <v>17899</v>
      </c>
      <c r="S3259">
        <v>75</v>
      </c>
      <c r="U3259" t="s">
        <v>7032</v>
      </c>
      <c r="V3259" t="s">
        <v>2863</v>
      </c>
      <c r="X3259" t="s">
        <v>21378</v>
      </c>
      <c r="Z3259">
        <v>38516076</v>
      </c>
      <c r="AA3259" t="s">
        <v>13697</v>
      </c>
      <c r="AB3259" t="s">
        <v>2863</v>
      </c>
      <c r="AD3259" t="s">
        <v>21378</v>
      </c>
      <c r="AF3259" t="s">
        <v>25579</v>
      </c>
      <c r="AG3259" t="s">
        <v>25580</v>
      </c>
      <c r="AI3259" t="s">
        <v>25581</v>
      </c>
      <c r="AM3259" t="s">
        <v>24713</v>
      </c>
      <c r="AN3259" t="s">
        <v>2428</v>
      </c>
      <c r="AO3259" t="s">
        <v>25582</v>
      </c>
      <c r="AP3259" t="s">
        <v>7024</v>
      </c>
      <c r="AT3259" s="184"/>
      <c r="AW3259" s="184"/>
      <c r="AZ3259" s="184"/>
      <c r="BP3259" s="184"/>
    </row>
    <row r="3260" spans="1:68">
      <c r="A3260">
        <v>38534038</v>
      </c>
      <c r="B3260">
        <v>38534038</v>
      </c>
      <c r="C3260" t="s">
        <v>7018</v>
      </c>
      <c r="E3260" s="184"/>
      <c r="G3260" s="184"/>
      <c r="I3260" s="184"/>
      <c r="K3260" s="184"/>
      <c r="N3260" t="s">
        <v>595</v>
      </c>
      <c r="O3260" s="184">
        <v>40455</v>
      </c>
      <c r="P3260" t="s">
        <v>7045</v>
      </c>
      <c r="Q3260" t="s">
        <v>7020</v>
      </c>
      <c r="R3260" s="184">
        <v>9893</v>
      </c>
      <c r="S3260">
        <v>97</v>
      </c>
      <c r="U3260" t="s">
        <v>7076</v>
      </c>
      <c r="V3260" t="s">
        <v>5785</v>
      </c>
      <c r="W3260" t="s">
        <v>8224</v>
      </c>
      <c r="X3260" t="s">
        <v>5786</v>
      </c>
      <c r="AF3260" t="s">
        <v>25587</v>
      </c>
      <c r="AG3260" t="s">
        <v>5785</v>
      </c>
      <c r="AI3260" t="s">
        <v>25588</v>
      </c>
      <c r="AM3260" t="s">
        <v>3004</v>
      </c>
      <c r="AN3260" t="s">
        <v>2112</v>
      </c>
      <c r="AO3260" t="s">
        <v>25589</v>
      </c>
      <c r="AP3260" t="s">
        <v>7024</v>
      </c>
      <c r="AQ3260" t="s">
        <v>25590</v>
      </c>
      <c r="AT3260" s="184">
        <v>38729</v>
      </c>
      <c r="AU3260" t="s">
        <v>25591</v>
      </c>
      <c r="AV3260">
        <v>25</v>
      </c>
      <c r="AW3260" s="184">
        <v>43844</v>
      </c>
      <c r="AX3260" t="s">
        <v>17953</v>
      </c>
      <c r="AY3260">
        <v>25</v>
      </c>
      <c r="AZ3260" s="184">
        <v>40883</v>
      </c>
      <c r="BA3260" t="s">
        <v>7075</v>
      </c>
      <c r="BB3260">
        <v>10404.1</v>
      </c>
      <c r="BC3260">
        <v>37</v>
      </c>
      <c r="BD3260">
        <v>20657.060000000001</v>
      </c>
      <c r="BE3260">
        <v>2006</v>
      </c>
      <c r="BF3260">
        <v>10</v>
      </c>
      <c r="BI3260">
        <v>7</v>
      </c>
      <c r="BJ3260">
        <v>19</v>
      </c>
      <c r="BK3260">
        <v>6</v>
      </c>
      <c r="BO3260" t="s">
        <v>595</v>
      </c>
      <c r="BP3260" s="184">
        <v>44632</v>
      </c>
    </row>
    <row r="3261" spans="1:68">
      <c r="A3261">
        <v>38536025</v>
      </c>
      <c r="B3261">
        <v>38536025</v>
      </c>
      <c r="C3261" t="s">
        <v>7018</v>
      </c>
      <c r="D3261" t="s">
        <v>595</v>
      </c>
      <c r="E3261" s="184">
        <v>45117</v>
      </c>
      <c r="G3261" s="184"/>
      <c r="I3261" s="184"/>
      <c r="K3261" s="184"/>
      <c r="O3261" s="184"/>
      <c r="P3261" t="s">
        <v>7045</v>
      </c>
      <c r="Q3261" t="s">
        <v>7383</v>
      </c>
      <c r="R3261" s="184">
        <v>19815</v>
      </c>
      <c r="S3261">
        <v>70</v>
      </c>
      <c r="V3261" t="s">
        <v>25592</v>
      </c>
      <c r="X3261" t="s">
        <v>25593</v>
      </c>
      <c r="Z3261">
        <v>100112122</v>
      </c>
      <c r="AA3261" t="s">
        <v>7130</v>
      </c>
      <c r="AB3261" t="s">
        <v>3554</v>
      </c>
      <c r="AD3261" t="s">
        <v>25593</v>
      </c>
      <c r="AF3261" t="s">
        <v>25594</v>
      </c>
      <c r="AG3261" t="s">
        <v>25595</v>
      </c>
      <c r="AI3261" t="s">
        <v>25596</v>
      </c>
      <c r="AM3261" t="s">
        <v>3113</v>
      </c>
      <c r="AN3261" t="s">
        <v>2162</v>
      </c>
      <c r="AO3261" t="s">
        <v>25597</v>
      </c>
      <c r="AP3261" t="s">
        <v>7024</v>
      </c>
      <c r="AT3261" s="184">
        <v>38730</v>
      </c>
      <c r="AU3261" t="s">
        <v>25598</v>
      </c>
      <c r="AV3261">
        <v>25</v>
      </c>
      <c r="AW3261" s="184">
        <v>43815</v>
      </c>
      <c r="AX3261" t="s">
        <v>22411</v>
      </c>
      <c r="AY3261">
        <v>35</v>
      </c>
      <c r="AZ3261" s="184">
        <v>43815</v>
      </c>
      <c r="BA3261" t="s">
        <v>22411</v>
      </c>
      <c r="BB3261">
        <v>35</v>
      </c>
      <c r="BC3261">
        <v>27</v>
      </c>
      <c r="BD3261">
        <v>135</v>
      </c>
      <c r="BE3261">
        <v>2006</v>
      </c>
      <c r="BF3261">
        <v>5</v>
      </c>
      <c r="BI3261">
        <v>5</v>
      </c>
      <c r="BJ3261">
        <v>19</v>
      </c>
      <c r="BK3261">
        <v>3</v>
      </c>
    </row>
    <row r="3262" spans="1:68">
      <c r="A3262">
        <v>100112122</v>
      </c>
      <c r="B3262">
        <v>38536025</v>
      </c>
      <c r="C3262" t="s">
        <v>7018</v>
      </c>
      <c r="D3262" t="s">
        <v>595</v>
      </c>
      <c r="E3262" s="184">
        <v>45117</v>
      </c>
      <c r="G3262" s="184"/>
      <c r="I3262" s="184"/>
      <c r="K3262" s="184"/>
      <c r="O3262" s="184"/>
      <c r="P3262" t="s">
        <v>7045</v>
      </c>
      <c r="Q3262" t="s">
        <v>7383</v>
      </c>
      <c r="R3262" s="184">
        <v>19480</v>
      </c>
      <c r="S3262">
        <v>71</v>
      </c>
      <c r="U3262" t="s">
        <v>7130</v>
      </c>
      <c r="V3262" t="s">
        <v>3554</v>
      </c>
      <c r="X3262" t="s">
        <v>25593</v>
      </c>
      <c r="Z3262">
        <v>38536025</v>
      </c>
      <c r="AB3262" t="s">
        <v>25592</v>
      </c>
      <c r="AD3262" t="s">
        <v>25593</v>
      </c>
      <c r="AF3262" t="s">
        <v>25594</v>
      </c>
      <c r="AG3262" t="s">
        <v>25595</v>
      </c>
      <c r="AI3262" t="s">
        <v>25596</v>
      </c>
      <c r="AM3262" t="s">
        <v>3113</v>
      </c>
      <c r="AN3262" t="s">
        <v>2162</v>
      </c>
      <c r="AO3262" t="s">
        <v>25597</v>
      </c>
      <c r="AP3262" t="s">
        <v>7024</v>
      </c>
      <c r="AQ3262" t="s">
        <v>25599</v>
      </c>
      <c r="AT3262" s="184"/>
      <c r="AW3262" s="184"/>
      <c r="AZ3262" s="184"/>
      <c r="BP3262" s="184"/>
    </row>
    <row r="3263" spans="1:68">
      <c r="A3263">
        <v>38551495</v>
      </c>
      <c r="B3263">
        <v>38551495</v>
      </c>
      <c r="C3263" t="s">
        <v>7018</v>
      </c>
      <c r="D3263" t="s">
        <v>595</v>
      </c>
      <c r="E3263" s="184">
        <v>44070</v>
      </c>
      <c r="G3263" s="184"/>
      <c r="H3263" t="s">
        <v>595</v>
      </c>
      <c r="I3263" s="184">
        <v>44070</v>
      </c>
      <c r="K3263" s="184"/>
      <c r="O3263" s="184"/>
      <c r="P3263" t="s">
        <v>7045</v>
      </c>
      <c r="Q3263" t="s">
        <v>7020</v>
      </c>
      <c r="R3263" s="184">
        <v>15821</v>
      </c>
      <c r="S3263">
        <v>81</v>
      </c>
      <c r="V3263" t="s">
        <v>3101</v>
      </c>
      <c r="X3263" t="s">
        <v>4875</v>
      </c>
      <c r="Z3263">
        <v>100112169</v>
      </c>
      <c r="AA3263" t="s">
        <v>7031</v>
      </c>
      <c r="AB3263" t="s">
        <v>4282</v>
      </c>
      <c r="AC3263" t="s">
        <v>7560</v>
      </c>
      <c r="AD3263" t="s">
        <v>4875</v>
      </c>
      <c r="AF3263" t="s">
        <v>25600</v>
      </c>
      <c r="AG3263" t="s">
        <v>25601</v>
      </c>
      <c r="AI3263" t="s">
        <v>25602</v>
      </c>
      <c r="AM3263" t="s">
        <v>4876</v>
      </c>
      <c r="AN3263" t="s">
        <v>2129</v>
      </c>
      <c r="AO3263" t="s">
        <v>25603</v>
      </c>
      <c r="AP3263" t="s">
        <v>7024</v>
      </c>
      <c r="AQ3263" t="s">
        <v>25604</v>
      </c>
      <c r="AR3263" t="s">
        <v>25605</v>
      </c>
      <c r="AT3263" s="184">
        <v>38737</v>
      </c>
      <c r="AU3263" t="s">
        <v>25606</v>
      </c>
      <c r="AV3263">
        <v>25</v>
      </c>
      <c r="AW3263" s="184">
        <v>45404</v>
      </c>
      <c r="AX3263" t="s">
        <v>7429</v>
      </c>
      <c r="AY3263">
        <v>20</v>
      </c>
      <c r="AZ3263" s="184">
        <v>43667</v>
      </c>
      <c r="BA3263" t="s">
        <v>14547</v>
      </c>
      <c r="BB3263">
        <v>100</v>
      </c>
      <c r="BC3263">
        <v>100</v>
      </c>
      <c r="BD3263">
        <v>2925</v>
      </c>
      <c r="BE3263">
        <v>2006</v>
      </c>
      <c r="BF3263">
        <v>117</v>
      </c>
      <c r="BG3263">
        <v>24</v>
      </c>
      <c r="BH3263">
        <v>480</v>
      </c>
      <c r="BI3263">
        <v>19</v>
      </c>
      <c r="BJ3263">
        <v>19</v>
      </c>
      <c r="BK3263">
        <v>19</v>
      </c>
      <c r="BP3263" s="184"/>
    </row>
    <row r="3264" spans="1:68">
      <c r="A3264">
        <v>100112169</v>
      </c>
      <c r="B3264">
        <v>38551495</v>
      </c>
      <c r="C3264" t="s">
        <v>7018</v>
      </c>
      <c r="D3264" t="s">
        <v>595</v>
      </c>
      <c r="E3264" s="184">
        <v>44070</v>
      </c>
      <c r="G3264" s="184"/>
      <c r="H3264" t="s">
        <v>595</v>
      </c>
      <c r="I3264" s="184">
        <v>44070</v>
      </c>
      <c r="K3264" s="184"/>
      <c r="P3264" t="s">
        <v>7045</v>
      </c>
      <c r="Q3264" t="s">
        <v>7020</v>
      </c>
      <c r="R3264" s="184">
        <v>15554</v>
      </c>
      <c r="S3264">
        <v>81</v>
      </c>
      <c r="U3264" t="s">
        <v>7031</v>
      </c>
      <c r="V3264" t="s">
        <v>4282</v>
      </c>
      <c r="W3264" t="s">
        <v>7560</v>
      </c>
      <c r="X3264" t="s">
        <v>4875</v>
      </c>
      <c r="Z3264">
        <v>38551495</v>
      </c>
      <c r="AB3264" t="s">
        <v>3101</v>
      </c>
      <c r="AD3264" t="s">
        <v>4875</v>
      </c>
      <c r="AF3264" t="s">
        <v>25600</v>
      </c>
      <c r="AG3264" t="s">
        <v>25601</v>
      </c>
      <c r="AI3264" t="s">
        <v>25602</v>
      </c>
      <c r="AM3264" t="s">
        <v>4876</v>
      </c>
      <c r="AN3264" t="s">
        <v>2129</v>
      </c>
      <c r="AO3264" t="s">
        <v>25603</v>
      </c>
      <c r="AP3264" t="s">
        <v>7024</v>
      </c>
      <c r="AQ3264" t="s">
        <v>25607</v>
      </c>
      <c r="AR3264" t="s">
        <v>25608</v>
      </c>
      <c r="AT3264" s="184">
        <v>44051</v>
      </c>
      <c r="AU3264" t="s">
        <v>9633</v>
      </c>
      <c r="AV3264">
        <v>25</v>
      </c>
      <c r="AW3264" s="184">
        <v>44218</v>
      </c>
      <c r="AX3264" t="s">
        <v>25609</v>
      </c>
      <c r="AY3264">
        <v>20</v>
      </c>
      <c r="AZ3264" s="184">
        <v>44051</v>
      </c>
      <c r="BA3264" t="s">
        <v>9633</v>
      </c>
      <c r="BB3264">
        <v>25</v>
      </c>
      <c r="BC3264">
        <v>40</v>
      </c>
      <c r="BD3264">
        <v>45</v>
      </c>
      <c r="BE3264">
        <v>2021</v>
      </c>
      <c r="BF3264">
        <v>2</v>
      </c>
      <c r="BI3264">
        <v>2</v>
      </c>
      <c r="BJ3264">
        <v>5</v>
      </c>
      <c r="BK3264">
        <v>2</v>
      </c>
      <c r="BP3264" s="184"/>
    </row>
    <row r="3265" spans="1:68">
      <c r="A3265">
        <v>38584769</v>
      </c>
      <c r="B3265">
        <v>38584769</v>
      </c>
      <c r="C3265" t="s">
        <v>7018</v>
      </c>
      <c r="E3265" s="184"/>
      <c r="G3265" s="184"/>
      <c r="I3265" s="184"/>
      <c r="J3265" t="s">
        <v>595</v>
      </c>
      <c r="K3265" s="184">
        <v>40830</v>
      </c>
      <c r="P3265" t="s">
        <v>7045</v>
      </c>
      <c r="Q3265" t="s">
        <v>7454</v>
      </c>
      <c r="R3265" s="184">
        <v>18884</v>
      </c>
      <c r="S3265">
        <v>72</v>
      </c>
      <c r="U3265" t="s">
        <v>7130</v>
      </c>
      <c r="V3265" t="s">
        <v>3358</v>
      </c>
      <c r="X3265" t="s">
        <v>25610</v>
      </c>
      <c r="Z3265">
        <v>100182939</v>
      </c>
      <c r="AB3265" t="s">
        <v>3692</v>
      </c>
      <c r="AD3265" t="s">
        <v>25610</v>
      </c>
      <c r="AF3265" t="s">
        <v>6585</v>
      </c>
      <c r="AG3265" t="s">
        <v>3358</v>
      </c>
      <c r="AI3265" t="s">
        <v>25611</v>
      </c>
      <c r="AJ3265" t="s">
        <v>25612</v>
      </c>
      <c r="AM3265" t="s">
        <v>3832</v>
      </c>
      <c r="AN3265" t="s">
        <v>2055</v>
      </c>
      <c r="AO3265">
        <v>98036</v>
      </c>
      <c r="AP3265" t="s">
        <v>7024</v>
      </c>
      <c r="AQ3265" t="s">
        <v>25613</v>
      </c>
      <c r="AT3265" s="184">
        <v>35542</v>
      </c>
      <c r="AU3265" t="s">
        <v>25614</v>
      </c>
      <c r="AV3265">
        <v>25</v>
      </c>
      <c r="AW3265" s="184">
        <v>40379</v>
      </c>
      <c r="AX3265" t="s">
        <v>10517</v>
      </c>
      <c r="AY3265">
        <v>25</v>
      </c>
      <c r="AZ3265" s="184">
        <v>36955</v>
      </c>
      <c r="BA3265" t="s">
        <v>25615</v>
      </c>
      <c r="BB3265">
        <v>55</v>
      </c>
      <c r="BC3265">
        <v>43</v>
      </c>
      <c r="BD3265">
        <v>530</v>
      </c>
      <c r="BE3265">
        <v>1997</v>
      </c>
      <c r="BF3265">
        <v>17</v>
      </c>
      <c r="BI3265">
        <v>12</v>
      </c>
      <c r="BJ3265">
        <v>28</v>
      </c>
      <c r="BK3265">
        <v>7</v>
      </c>
      <c r="BP3265" s="184"/>
    </row>
    <row r="3266" spans="1:68">
      <c r="A3266">
        <v>38594966</v>
      </c>
      <c r="B3266">
        <v>38594966</v>
      </c>
      <c r="C3266" t="s">
        <v>7018</v>
      </c>
      <c r="D3266" t="s">
        <v>595</v>
      </c>
      <c r="E3266" s="184">
        <v>43745</v>
      </c>
      <c r="G3266" s="184"/>
      <c r="I3266" s="184"/>
      <c r="K3266" s="184"/>
      <c r="P3266" t="s">
        <v>7045</v>
      </c>
      <c r="Q3266" t="s">
        <v>7454</v>
      </c>
      <c r="R3266" s="184">
        <v>20941</v>
      </c>
      <c r="S3266">
        <v>67</v>
      </c>
      <c r="V3266" t="s">
        <v>2697</v>
      </c>
      <c r="W3266" t="s">
        <v>7963</v>
      </c>
      <c r="X3266" t="s">
        <v>4154</v>
      </c>
      <c r="AF3266" t="s">
        <v>25616</v>
      </c>
      <c r="AG3266" t="s">
        <v>2697</v>
      </c>
      <c r="AI3266" t="s">
        <v>25617</v>
      </c>
      <c r="AM3266" t="s">
        <v>3958</v>
      </c>
      <c r="AN3266" t="s">
        <v>2055</v>
      </c>
      <c r="AO3266" t="s">
        <v>25618</v>
      </c>
      <c r="AP3266" t="s">
        <v>7024</v>
      </c>
      <c r="AQ3266" t="s">
        <v>25619</v>
      </c>
      <c r="AR3266" t="s">
        <v>25620</v>
      </c>
      <c r="AT3266" s="184">
        <v>38750</v>
      </c>
      <c r="AU3266" t="s">
        <v>25621</v>
      </c>
      <c r="AV3266">
        <v>50</v>
      </c>
      <c r="AW3266" s="184">
        <v>43878</v>
      </c>
      <c r="AX3266" t="s">
        <v>25622</v>
      </c>
      <c r="AY3266">
        <v>100</v>
      </c>
      <c r="AZ3266" s="184">
        <v>43878</v>
      </c>
      <c r="BA3266" t="s">
        <v>25622</v>
      </c>
      <c r="BB3266">
        <v>100</v>
      </c>
      <c r="BC3266">
        <v>27</v>
      </c>
      <c r="BD3266">
        <v>1110</v>
      </c>
      <c r="BE3266">
        <v>2006</v>
      </c>
      <c r="BF3266">
        <v>34</v>
      </c>
      <c r="BI3266">
        <v>5</v>
      </c>
      <c r="BJ3266">
        <v>19</v>
      </c>
      <c r="BK3266">
        <v>4</v>
      </c>
      <c r="BP3266" s="184"/>
    </row>
    <row r="3267" spans="1:68">
      <c r="A3267">
        <v>38638672</v>
      </c>
      <c r="B3267">
        <v>38638672</v>
      </c>
      <c r="C3267" t="s">
        <v>7018</v>
      </c>
      <c r="D3267" t="s">
        <v>595</v>
      </c>
      <c r="E3267" s="184">
        <v>43647</v>
      </c>
      <c r="G3267" s="184"/>
      <c r="I3267" s="184"/>
      <c r="K3267" s="184"/>
      <c r="P3267" t="s">
        <v>7045</v>
      </c>
      <c r="Q3267" t="s">
        <v>7383</v>
      </c>
      <c r="R3267" s="184">
        <v>19815</v>
      </c>
      <c r="S3267">
        <v>70</v>
      </c>
      <c r="U3267" t="s">
        <v>7076</v>
      </c>
      <c r="V3267" t="s">
        <v>3431</v>
      </c>
      <c r="X3267" t="s">
        <v>3569</v>
      </c>
      <c r="AF3267" t="s">
        <v>25623</v>
      </c>
      <c r="AG3267" t="s">
        <v>3431</v>
      </c>
      <c r="AI3267" t="s">
        <v>25624</v>
      </c>
      <c r="AM3267" t="s">
        <v>3570</v>
      </c>
      <c r="AN3267" t="s">
        <v>2185</v>
      </c>
      <c r="AO3267" t="s">
        <v>25625</v>
      </c>
      <c r="AP3267" t="s">
        <v>7024</v>
      </c>
      <c r="AT3267" s="184">
        <v>38762</v>
      </c>
      <c r="AU3267" t="s">
        <v>25626</v>
      </c>
      <c r="AV3267">
        <v>25</v>
      </c>
      <c r="AW3267" s="184">
        <v>44802</v>
      </c>
      <c r="AX3267" t="s">
        <v>25627</v>
      </c>
      <c r="AY3267">
        <v>8</v>
      </c>
      <c r="AZ3267" s="184">
        <v>42065</v>
      </c>
      <c r="BA3267" t="s">
        <v>23525</v>
      </c>
      <c r="BB3267">
        <v>60</v>
      </c>
      <c r="BC3267">
        <v>85</v>
      </c>
      <c r="BD3267">
        <v>1039</v>
      </c>
      <c r="BE3267">
        <v>2006</v>
      </c>
      <c r="BF3267">
        <v>100</v>
      </c>
      <c r="BG3267">
        <v>5</v>
      </c>
      <c r="BH3267">
        <v>40</v>
      </c>
      <c r="BI3267">
        <v>16</v>
      </c>
      <c r="BJ3267">
        <v>19</v>
      </c>
      <c r="BK3267">
        <v>11</v>
      </c>
    </row>
    <row r="3268" spans="1:68">
      <c r="A3268">
        <v>38653978</v>
      </c>
      <c r="B3268">
        <v>38653978</v>
      </c>
      <c r="C3268" t="s">
        <v>7018</v>
      </c>
      <c r="D3268" t="s">
        <v>595</v>
      </c>
      <c r="E3268" s="184">
        <v>44414</v>
      </c>
      <c r="G3268" s="184"/>
      <c r="I3268" s="184"/>
      <c r="K3268" s="184"/>
      <c r="O3268" s="184"/>
      <c r="P3268" t="s">
        <v>7045</v>
      </c>
      <c r="Q3268" t="s">
        <v>7383</v>
      </c>
      <c r="R3268" s="184">
        <v>14885</v>
      </c>
      <c r="S3268">
        <v>83</v>
      </c>
      <c r="U3268" t="s">
        <v>7031</v>
      </c>
      <c r="V3268" t="s">
        <v>2898</v>
      </c>
      <c r="W3268" t="s">
        <v>4139</v>
      </c>
      <c r="X3268" t="s">
        <v>25628</v>
      </c>
      <c r="AF3268" t="s">
        <v>25629</v>
      </c>
      <c r="AG3268" t="s">
        <v>2898</v>
      </c>
      <c r="AI3268" t="s">
        <v>25630</v>
      </c>
      <c r="AM3268" t="s">
        <v>3345</v>
      </c>
      <c r="AN3268" t="s">
        <v>2274</v>
      </c>
      <c r="AO3268" t="s">
        <v>25631</v>
      </c>
      <c r="AP3268" t="s">
        <v>7024</v>
      </c>
      <c r="AQ3268" t="s">
        <v>25632</v>
      </c>
      <c r="AT3268" s="184">
        <v>38768</v>
      </c>
      <c r="AU3268" t="s">
        <v>25633</v>
      </c>
      <c r="AV3268">
        <v>20</v>
      </c>
      <c r="AW3268" s="184">
        <v>44428</v>
      </c>
      <c r="AX3268" t="s">
        <v>25634</v>
      </c>
      <c r="AY3268">
        <v>30</v>
      </c>
      <c r="AZ3268" s="184">
        <v>44428</v>
      </c>
      <c r="BA3268" t="s">
        <v>25634</v>
      </c>
      <c r="BB3268">
        <v>30</v>
      </c>
      <c r="BC3268">
        <v>53</v>
      </c>
      <c r="BD3268">
        <v>1061</v>
      </c>
      <c r="BE3268">
        <v>2006</v>
      </c>
      <c r="BF3268">
        <v>61</v>
      </c>
      <c r="BI3268">
        <v>10</v>
      </c>
      <c r="BJ3268">
        <v>19</v>
      </c>
      <c r="BK3268">
        <v>6</v>
      </c>
      <c r="BP3268" s="184"/>
    </row>
    <row r="3269" spans="1:68">
      <c r="A3269">
        <v>38674370</v>
      </c>
      <c r="B3269">
        <v>38674370</v>
      </c>
      <c r="C3269" t="s">
        <v>7018</v>
      </c>
      <c r="D3269" t="s">
        <v>595</v>
      </c>
      <c r="E3269" s="184">
        <v>45153</v>
      </c>
      <c r="G3269" s="184"/>
      <c r="I3269" s="184"/>
      <c r="K3269" s="184"/>
      <c r="O3269" s="184"/>
      <c r="P3269" t="s">
        <v>7045</v>
      </c>
      <c r="Q3269" t="s">
        <v>7160</v>
      </c>
      <c r="R3269" s="184">
        <v>21276</v>
      </c>
      <c r="S3269">
        <v>66</v>
      </c>
      <c r="V3269" t="s">
        <v>13505</v>
      </c>
      <c r="X3269" t="s">
        <v>25635</v>
      </c>
      <c r="AF3269" t="s">
        <v>25636</v>
      </c>
      <c r="AG3269" t="s">
        <v>13505</v>
      </c>
      <c r="AI3269" t="s">
        <v>25637</v>
      </c>
      <c r="AM3269" t="s">
        <v>4984</v>
      </c>
      <c r="AN3269" t="s">
        <v>2675</v>
      </c>
      <c r="AO3269" t="s">
        <v>25638</v>
      </c>
      <c r="AP3269" t="s">
        <v>7024</v>
      </c>
      <c r="AQ3269" t="s">
        <v>25639</v>
      </c>
      <c r="AR3269" t="s">
        <v>25640</v>
      </c>
      <c r="AT3269" s="184">
        <v>38770</v>
      </c>
      <c r="AU3269" t="s">
        <v>25641</v>
      </c>
      <c r="AV3269">
        <v>20</v>
      </c>
      <c r="AW3269" s="184">
        <v>45065</v>
      </c>
      <c r="AX3269" t="s">
        <v>13831</v>
      </c>
      <c r="AY3269">
        <v>35</v>
      </c>
      <c r="AZ3269" s="184">
        <v>42436</v>
      </c>
      <c r="BA3269" t="s">
        <v>25642</v>
      </c>
      <c r="BB3269">
        <v>60</v>
      </c>
      <c r="BC3269">
        <v>58</v>
      </c>
      <c r="BD3269">
        <v>575</v>
      </c>
      <c r="BE3269">
        <v>2006</v>
      </c>
      <c r="BF3269">
        <v>19</v>
      </c>
      <c r="BG3269">
        <v>3</v>
      </c>
      <c r="BH3269">
        <v>85</v>
      </c>
      <c r="BI3269">
        <v>11</v>
      </c>
      <c r="BJ3269">
        <v>19</v>
      </c>
      <c r="BK3269">
        <v>7</v>
      </c>
      <c r="BP3269" s="184"/>
    </row>
    <row r="3270" spans="1:68">
      <c r="A3270">
        <v>38681656</v>
      </c>
      <c r="B3270">
        <v>38681656</v>
      </c>
      <c r="C3270" t="s">
        <v>7018</v>
      </c>
      <c r="D3270" t="s">
        <v>595</v>
      </c>
      <c r="E3270" s="184">
        <v>44104</v>
      </c>
      <c r="G3270" s="184"/>
      <c r="I3270" s="184"/>
      <c r="J3270" t="s">
        <v>595</v>
      </c>
      <c r="K3270" s="184">
        <v>44313</v>
      </c>
      <c r="O3270" s="184"/>
      <c r="P3270" t="s">
        <v>7045</v>
      </c>
      <c r="Q3270" t="s">
        <v>7383</v>
      </c>
      <c r="R3270" s="184">
        <v>20333</v>
      </c>
      <c r="S3270">
        <v>68</v>
      </c>
      <c r="U3270" t="s">
        <v>7076</v>
      </c>
      <c r="V3270" t="s">
        <v>3336</v>
      </c>
      <c r="X3270" t="s">
        <v>25643</v>
      </c>
      <c r="AF3270" t="s">
        <v>25644</v>
      </c>
      <c r="AG3270" t="s">
        <v>3336</v>
      </c>
      <c r="AI3270" t="s">
        <v>25645</v>
      </c>
      <c r="AM3270" t="s">
        <v>5597</v>
      </c>
      <c r="AN3270" t="s">
        <v>2059</v>
      </c>
      <c r="AO3270" t="s">
        <v>25646</v>
      </c>
      <c r="AP3270" t="s">
        <v>7024</v>
      </c>
      <c r="AQ3270" t="s">
        <v>25647</v>
      </c>
      <c r="AR3270" t="s">
        <v>25648</v>
      </c>
      <c r="AT3270" s="184">
        <v>38772</v>
      </c>
      <c r="AU3270" t="s">
        <v>21333</v>
      </c>
      <c r="AV3270">
        <v>15</v>
      </c>
      <c r="AW3270" s="184">
        <v>44585</v>
      </c>
      <c r="AX3270" t="s">
        <v>11161</v>
      </c>
      <c r="AY3270">
        <v>15</v>
      </c>
      <c r="AZ3270" s="184">
        <v>43174</v>
      </c>
      <c r="BA3270" t="s">
        <v>25649</v>
      </c>
      <c r="BB3270">
        <v>25</v>
      </c>
      <c r="BC3270">
        <v>64</v>
      </c>
      <c r="BD3270">
        <v>375</v>
      </c>
      <c r="BE3270">
        <v>2006</v>
      </c>
      <c r="BF3270">
        <v>17</v>
      </c>
      <c r="BI3270">
        <v>12</v>
      </c>
      <c r="BJ3270">
        <v>19</v>
      </c>
      <c r="BK3270">
        <v>5</v>
      </c>
      <c r="BP3270" s="184"/>
    </row>
    <row r="3271" spans="1:68">
      <c r="A3271">
        <v>38684593</v>
      </c>
      <c r="B3271">
        <v>38684593</v>
      </c>
      <c r="C3271" t="s">
        <v>7018</v>
      </c>
      <c r="D3271" t="s">
        <v>595</v>
      </c>
      <c r="E3271" s="184">
        <v>45196</v>
      </c>
      <c r="G3271" s="184"/>
      <c r="I3271" s="184"/>
      <c r="K3271" s="184"/>
      <c r="O3271" s="184"/>
      <c r="P3271" t="s">
        <v>7045</v>
      </c>
      <c r="Q3271" t="s">
        <v>7383</v>
      </c>
      <c r="R3271" s="184">
        <v>11933</v>
      </c>
      <c r="S3271">
        <v>91</v>
      </c>
      <c r="U3271" t="s">
        <v>7076</v>
      </c>
      <c r="V3271" t="s">
        <v>3764</v>
      </c>
      <c r="X3271" t="s">
        <v>3921</v>
      </c>
      <c r="AF3271" t="s">
        <v>25650</v>
      </c>
      <c r="AG3271" t="s">
        <v>3764</v>
      </c>
      <c r="AI3271" t="s">
        <v>25651</v>
      </c>
      <c r="AM3271" t="s">
        <v>2888</v>
      </c>
      <c r="AN3271" t="s">
        <v>2274</v>
      </c>
      <c r="AO3271" t="s">
        <v>25652</v>
      </c>
      <c r="AP3271" t="s">
        <v>7024</v>
      </c>
      <c r="AT3271" s="184">
        <v>38772</v>
      </c>
      <c r="AU3271" t="s">
        <v>25653</v>
      </c>
      <c r="AV3271">
        <v>15</v>
      </c>
      <c r="AW3271" s="184">
        <v>45124</v>
      </c>
      <c r="AX3271" t="s">
        <v>24145</v>
      </c>
      <c r="AY3271">
        <v>25</v>
      </c>
      <c r="AZ3271" s="184">
        <v>45124</v>
      </c>
      <c r="BA3271" t="s">
        <v>24145</v>
      </c>
      <c r="BB3271">
        <v>25</v>
      </c>
      <c r="BC3271">
        <v>74</v>
      </c>
      <c r="BD3271">
        <v>375</v>
      </c>
      <c r="BE3271">
        <v>2006</v>
      </c>
      <c r="BF3271">
        <v>18</v>
      </c>
      <c r="BG3271">
        <v>2</v>
      </c>
      <c r="BH3271">
        <v>50</v>
      </c>
      <c r="BI3271">
        <v>14</v>
      </c>
      <c r="BJ3271">
        <v>19</v>
      </c>
      <c r="BK3271">
        <v>12</v>
      </c>
      <c r="BP3271" s="184"/>
    </row>
    <row r="3272" spans="1:68">
      <c r="A3272">
        <v>38701884</v>
      </c>
      <c r="B3272">
        <v>38701884</v>
      </c>
      <c r="C3272" t="s">
        <v>7018</v>
      </c>
      <c r="D3272" t="s">
        <v>595</v>
      </c>
      <c r="E3272" s="184">
        <v>45112</v>
      </c>
      <c r="G3272" s="184"/>
      <c r="I3272" s="184"/>
      <c r="K3272" s="184"/>
      <c r="O3272" s="184"/>
      <c r="P3272" t="s">
        <v>7045</v>
      </c>
      <c r="Q3272" t="s">
        <v>7262</v>
      </c>
      <c r="R3272" s="184">
        <v>18354</v>
      </c>
      <c r="S3272">
        <v>74</v>
      </c>
      <c r="V3272" t="s">
        <v>25654</v>
      </c>
      <c r="X3272" t="s">
        <v>25655</v>
      </c>
      <c r="AF3272" t="s">
        <v>25656</v>
      </c>
      <c r="AG3272" t="s">
        <v>25654</v>
      </c>
      <c r="AI3272" t="s">
        <v>25657</v>
      </c>
      <c r="AM3272" t="s">
        <v>4116</v>
      </c>
      <c r="AN3272" t="s">
        <v>2266</v>
      </c>
      <c r="AO3272" t="s">
        <v>25658</v>
      </c>
      <c r="AP3272" t="s">
        <v>7024</v>
      </c>
      <c r="AQ3272" t="s">
        <v>25659</v>
      </c>
      <c r="AR3272" t="s">
        <v>25660</v>
      </c>
      <c r="AT3272" s="184">
        <v>38782</v>
      </c>
      <c r="AU3272" t="s">
        <v>17871</v>
      </c>
      <c r="AV3272">
        <v>25</v>
      </c>
      <c r="AW3272" s="184">
        <v>45209</v>
      </c>
      <c r="AX3272" t="s">
        <v>25661</v>
      </c>
      <c r="AY3272">
        <v>12</v>
      </c>
      <c r="AZ3272" s="184">
        <v>43845</v>
      </c>
      <c r="BA3272" t="s">
        <v>25662</v>
      </c>
      <c r="BB3272">
        <v>25</v>
      </c>
      <c r="BC3272">
        <v>69</v>
      </c>
      <c r="BD3272">
        <v>392</v>
      </c>
      <c r="BE3272">
        <v>2006</v>
      </c>
      <c r="BF3272">
        <v>22</v>
      </c>
      <c r="BG3272">
        <v>4</v>
      </c>
      <c r="BH3272">
        <v>47</v>
      </c>
      <c r="BI3272">
        <v>13</v>
      </c>
      <c r="BJ3272">
        <v>19</v>
      </c>
      <c r="BK3272">
        <v>6</v>
      </c>
      <c r="BN3272" t="s">
        <v>595</v>
      </c>
      <c r="BP3272" s="184"/>
    </row>
    <row r="3273" spans="1:68">
      <c r="A3273">
        <v>38704052</v>
      </c>
      <c r="B3273">
        <v>38704052</v>
      </c>
      <c r="C3273" t="s">
        <v>7018</v>
      </c>
      <c r="D3273" t="s">
        <v>595</v>
      </c>
      <c r="E3273" s="184">
        <v>45195</v>
      </c>
      <c r="G3273" s="184"/>
      <c r="I3273" s="184"/>
      <c r="K3273" s="184"/>
      <c r="O3273" s="184"/>
      <c r="P3273" t="s">
        <v>7045</v>
      </c>
      <c r="Q3273" t="s">
        <v>7383</v>
      </c>
      <c r="R3273" s="184">
        <v>18902</v>
      </c>
      <c r="S3273">
        <v>72</v>
      </c>
      <c r="V3273" t="s">
        <v>3565</v>
      </c>
      <c r="X3273" t="s">
        <v>25663</v>
      </c>
      <c r="AF3273" t="s">
        <v>25664</v>
      </c>
      <c r="AG3273" t="s">
        <v>3565</v>
      </c>
      <c r="AI3273" t="s">
        <v>25665</v>
      </c>
      <c r="AM3273" t="s">
        <v>25666</v>
      </c>
      <c r="AN3273" t="s">
        <v>2118</v>
      </c>
      <c r="AO3273" t="s">
        <v>25667</v>
      </c>
      <c r="AP3273" t="s">
        <v>7024</v>
      </c>
      <c r="AT3273" s="184">
        <v>38778</v>
      </c>
      <c r="AU3273" t="s">
        <v>25668</v>
      </c>
      <c r="AV3273">
        <v>25</v>
      </c>
      <c r="AW3273" s="184">
        <v>43109</v>
      </c>
      <c r="AX3273" t="s">
        <v>10233</v>
      </c>
      <c r="AY3273">
        <v>25</v>
      </c>
      <c r="AZ3273" s="184">
        <v>43109</v>
      </c>
      <c r="BA3273" t="s">
        <v>10233</v>
      </c>
      <c r="BB3273">
        <v>25</v>
      </c>
      <c r="BC3273">
        <v>27</v>
      </c>
      <c r="BD3273">
        <v>140</v>
      </c>
      <c r="BE3273">
        <v>2006</v>
      </c>
      <c r="BF3273">
        <v>6</v>
      </c>
      <c r="BI3273">
        <v>5</v>
      </c>
      <c r="BJ3273">
        <v>19</v>
      </c>
      <c r="BK3273">
        <v>1</v>
      </c>
      <c r="BP3273" s="184"/>
    </row>
    <row r="3274" spans="1:68">
      <c r="A3274">
        <v>38720926</v>
      </c>
      <c r="B3274">
        <v>38720926</v>
      </c>
      <c r="C3274" t="s">
        <v>7018</v>
      </c>
      <c r="D3274" t="s">
        <v>595</v>
      </c>
      <c r="E3274" s="184">
        <v>43642</v>
      </c>
      <c r="G3274" s="184"/>
      <c r="K3274" s="184"/>
      <c r="O3274" s="184"/>
      <c r="P3274" t="s">
        <v>7045</v>
      </c>
      <c r="Q3274" t="s">
        <v>7020</v>
      </c>
      <c r="R3274" s="184">
        <v>17258</v>
      </c>
      <c r="S3274">
        <v>77</v>
      </c>
      <c r="U3274" t="s">
        <v>7031</v>
      </c>
      <c r="V3274" t="s">
        <v>3373</v>
      </c>
      <c r="W3274" t="s">
        <v>7248</v>
      </c>
      <c r="X3274" t="s">
        <v>2706</v>
      </c>
      <c r="AF3274" t="s">
        <v>25669</v>
      </c>
      <c r="AG3274" t="s">
        <v>3373</v>
      </c>
      <c r="AI3274" t="s">
        <v>25670</v>
      </c>
      <c r="AM3274" t="s">
        <v>3374</v>
      </c>
      <c r="AN3274" t="s">
        <v>2129</v>
      </c>
      <c r="AO3274" t="s">
        <v>25671</v>
      </c>
      <c r="AP3274" t="s">
        <v>7024</v>
      </c>
      <c r="AQ3274" t="s">
        <v>25672</v>
      </c>
      <c r="AT3274" s="184">
        <v>38783</v>
      </c>
      <c r="AU3274" t="s">
        <v>25673</v>
      </c>
      <c r="AV3274">
        <v>25</v>
      </c>
      <c r="AW3274" s="184">
        <v>45145</v>
      </c>
      <c r="AX3274" t="s">
        <v>25674</v>
      </c>
      <c r="AY3274">
        <v>35</v>
      </c>
      <c r="AZ3274" s="184">
        <v>44362</v>
      </c>
      <c r="BA3274" t="s">
        <v>25675</v>
      </c>
      <c r="BB3274">
        <v>100</v>
      </c>
      <c r="BC3274">
        <v>74</v>
      </c>
      <c r="BD3274">
        <v>1045</v>
      </c>
      <c r="BE3274">
        <v>2006</v>
      </c>
      <c r="BF3274">
        <v>15</v>
      </c>
      <c r="BG3274">
        <v>1</v>
      </c>
      <c r="BH3274">
        <v>35</v>
      </c>
      <c r="BI3274">
        <v>14</v>
      </c>
      <c r="BJ3274">
        <v>19</v>
      </c>
      <c r="BK3274">
        <v>12</v>
      </c>
      <c r="BN3274" t="s">
        <v>595</v>
      </c>
      <c r="BP3274" s="184"/>
    </row>
    <row r="3275" spans="1:68">
      <c r="A3275">
        <v>38723045</v>
      </c>
      <c r="B3275">
        <v>38723045</v>
      </c>
      <c r="C3275" t="s">
        <v>7018</v>
      </c>
      <c r="D3275" t="s">
        <v>595</v>
      </c>
      <c r="E3275" s="184">
        <v>45140</v>
      </c>
      <c r="G3275" s="184"/>
      <c r="I3275" s="184"/>
      <c r="K3275" s="184"/>
      <c r="O3275" s="184"/>
      <c r="P3275" t="s">
        <v>7045</v>
      </c>
      <c r="Q3275" t="s">
        <v>7262</v>
      </c>
      <c r="R3275" s="184">
        <v>20637</v>
      </c>
      <c r="S3275">
        <v>67</v>
      </c>
      <c r="U3275" t="s">
        <v>7237</v>
      </c>
      <c r="V3275" t="s">
        <v>4879</v>
      </c>
      <c r="W3275" t="s">
        <v>7407</v>
      </c>
      <c r="X3275" t="s">
        <v>25676</v>
      </c>
      <c r="AF3275" t="s">
        <v>25677</v>
      </c>
      <c r="AG3275" t="s">
        <v>4879</v>
      </c>
      <c r="AI3275" t="s">
        <v>25678</v>
      </c>
      <c r="AM3275" t="s">
        <v>5519</v>
      </c>
      <c r="AN3275" t="s">
        <v>2069</v>
      </c>
      <c r="AO3275" t="s">
        <v>25679</v>
      </c>
      <c r="AP3275" t="s">
        <v>7024</v>
      </c>
      <c r="AQ3275" t="s">
        <v>25680</v>
      </c>
      <c r="AT3275" s="184">
        <v>38785</v>
      </c>
      <c r="AU3275" t="s">
        <v>25681</v>
      </c>
      <c r="AV3275">
        <v>15</v>
      </c>
      <c r="AW3275" s="184">
        <v>45308</v>
      </c>
      <c r="AX3275" t="s">
        <v>7092</v>
      </c>
      <c r="AY3275">
        <v>25</v>
      </c>
      <c r="AZ3275" s="184">
        <v>40336</v>
      </c>
      <c r="BA3275" t="s">
        <v>25682</v>
      </c>
      <c r="BB3275">
        <v>60</v>
      </c>
      <c r="BC3275">
        <v>64</v>
      </c>
      <c r="BD3275">
        <v>395</v>
      </c>
      <c r="BE3275">
        <v>2006</v>
      </c>
      <c r="BF3275">
        <v>14</v>
      </c>
      <c r="BG3275">
        <v>3</v>
      </c>
      <c r="BH3275">
        <v>75</v>
      </c>
      <c r="BI3275">
        <v>12</v>
      </c>
      <c r="BJ3275">
        <v>19</v>
      </c>
      <c r="BK3275">
        <v>6</v>
      </c>
      <c r="BP3275" s="184"/>
    </row>
    <row r="3276" spans="1:68">
      <c r="A3276">
        <v>38727046</v>
      </c>
      <c r="B3276">
        <v>38727046</v>
      </c>
      <c r="C3276" t="s">
        <v>7018</v>
      </c>
      <c r="D3276" t="s">
        <v>595</v>
      </c>
      <c r="E3276" s="184">
        <v>45204</v>
      </c>
      <c r="G3276" s="184"/>
      <c r="I3276" s="184"/>
      <c r="K3276" s="184"/>
      <c r="O3276" s="184"/>
      <c r="P3276" t="s">
        <v>7045</v>
      </c>
      <c r="Q3276" t="s">
        <v>7383</v>
      </c>
      <c r="R3276" s="184">
        <v>22769</v>
      </c>
      <c r="S3276">
        <v>62</v>
      </c>
      <c r="V3276" t="s">
        <v>3311</v>
      </c>
      <c r="X3276" t="s">
        <v>25683</v>
      </c>
      <c r="AF3276" t="s">
        <v>25684</v>
      </c>
      <c r="AG3276" t="s">
        <v>3311</v>
      </c>
      <c r="AI3276" t="s">
        <v>25685</v>
      </c>
      <c r="AM3276" t="s">
        <v>25686</v>
      </c>
      <c r="AN3276" t="s">
        <v>2313</v>
      </c>
      <c r="AO3276" t="s">
        <v>25687</v>
      </c>
      <c r="AP3276" t="s">
        <v>7024</v>
      </c>
      <c r="AQ3276" t="s">
        <v>25688</v>
      </c>
      <c r="AT3276" s="184">
        <v>38792</v>
      </c>
      <c r="AU3276" t="s">
        <v>25689</v>
      </c>
      <c r="AV3276">
        <v>19.97</v>
      </c>
      <c r="AW3276" s="184">
        <v>45296</v>
      </c>
      <c r="AX3276" t="s">
        <v>8252</v>
      </c>
      <c r="AY3276">
        <v>15</v>
      </c>
      <c r="AZ3276" s="184">
        <v>43437</v>
      </c>
      <c r="BA3276" t="s">
        <v>25690</v>
      </c>
      <c r="BB3276">
        <v>35</v>
      </c>
      <c r="BC3276">
        <v>74</v>
      </c>
      <c r="BD3276">
        <v>459.94</v>
      </c>
      <c r="BE3276">
        <v>2006</v>
      </c>
      <c r="BF3276">
        <v>16</v>
      </c>
      <c r="BG3276">
        <v>2</v>
      </c>
      <c r="BH3276">
        <v>30</v>
      </c>
      <c r="BI3276">
        <v>14</v>
      </c>
      <c r="BJ3276">
        <v>19</v>
      </c>
      <c r="BK3276">
        <v>8</v>
      </c>
      <c r="BN3276" t="s">
        <v>595</v>
      </c>
      <c r="BP3276" s="184"/>
    </row>
    <row r="3277" spans="1:68">
      <c r="A3277">
        <v>38727160</v>
      </c>
      <c r="B3277">
        <v>38727160</v>
      </c>
      <c r="C3277" t="s">
        <v>7018</v>
      </c>
      <c r="D3277" t="s">
        <v>595</v>
      </c>
      <c r="E3277" s="184">
        <v>45119</v>
      </c>
      <c r="G3277" s="184"/>
      <c r="I3277" s="184"/>
      <c r="K3277" s="184"/>
      <c r="O3277" s="184"/>
      <c r="P3277" t="s">
        <v>7045</v>
      </c>
      <c r="Q3277" t="s">
        <v>7383</v>
      </c>
      <c r="R3277" s="184">
        <v>17533</v>
      </c>
      <c r="S3277">
        <v>76</v>
      </c>
      <c r="V3277" t="s">
        <v>2863</v>
      </c>
      <c r="X3277" t="s">
        <v>3760</v>
      </c>
      <c r="AF3277" t="s">
        <v>25691</v>
      </c>
      <c r="AG3277" t="s">
        <v>2863</v>
      </c>
      <c r="AI3277" t="s">
        <v>25692</v>
      </c>
      <c r="AM3277" t="s">
        <v>2520</v>
      </c>
      <c r="AN3277" t="s">
        <v>2072</v>
      </c>
      <c r="AO3277" t="s">
        <v>25693</v>
      </c>
      <c r="AP3277" t="s">
        <v>7024</v>
      </c>
      <c r="AT3277" s="184">
        <v>38792</v>
      </c>
      <c r="AU3277" t="s">
        <v>25689</v>
      </c>
      <c r="AV3277">
        <v>19.97</v>
      </c>
      <c r="AW3277" s="184">
        <v>45341</v>
      </c>
      <c r="AX3277" t="s">
        <v>9748</v>
      </c>
      <c r="AY3277">
        <v>25</v>
      </c>
      <c r="AZ3277" s="184">
        <v>45341</v>
      </c>
      <c r="BA3277" t="s">
        <v>9748</v>
      </c>
      <c r="BB3277">
        <v>25</v>
      </c>
      <c r="BC3277">
        <v>64</v>
      </c>
      <c r="BD3277">
        <v>339.94</v>
      </c>
      <c r="BE3277">
        <v>2006</v>
      </c>
      <c r="BF3277">
        <v>14</v>
      </c>
      <c r="BG3277">
        <v>2</v>
      </c>
      <c r="BH3277">
        <v>50</v>
      </c>
      <c r="BI3277">
        <v>12</v>
      </c>
      <c r="BJ3277">
        <v>19</v>
      </c>
      <c r="BK3277">
        <v>5</v>
      </c>
      <c r="BP3277" s="184"/>
    </row>
    <row r="3278" spans="1:68">
      <c r="A3278">
        <v>38733739</v>
      </c>
      <c r="B3278">
        <v>38733739</v>
      </c>
      <c r="C3278" t="s">
        <v>7018</v>
      </c>
      <c r="D3278" t="s">
        <v>595</v>
      </c>
      <c r="E3278" s="184">
        <v>45160</v>
      </c>
      <c r="G3278" s="184"/>
      <c r="K3278" s="184"/>
      <c r="O3278" s="184"/>
      <c r="P3278" t="s">
        <v>7045</v>
      </c>
      <c r="Q3278" t="s">
        <v>7383</v>
      </c>
      <c r="R3278" s="184">
        <v>14837</v>
      </c>
      <c r="S3278">
        <v>83</v>
      </c>
      <c r="V3278" t="s">
        <v>2918</v>
      </c>
      <c r="X3278" t="s">
        <v>3175</v>
      </c>
      <c r="AF3278" t="s">
        <v>25694</v>
      </c>
      <c r="AG3278" t="s">
        <v>2918</v>
      </c>
      <c r="AI3278" t="s">
        <v>25695</v>
      </c>
      <c r="AM3278" t="s">
        <v>2703</v>
      </c>
      <c r="AN3278" t="s">
        <v>2064</v>
      </c>
      <c r="AO3278" t="s">
        <v>25696</v>
      </c>
      <c r="AP3278" t="s">
        <v>7024</v>
      </c>
      <c r="AQ3278" t="s">
        <v>25697</v>
      </c>
      <c r="AR3278" t="s">
        <v>25698</v>
      </c>
      <c r="AT3278" s="184">
        <v>38789</v>
      </c>
      <c r="AU3278" t="s">
        <v>25699</v>
      </c>
      <c r="AV3278">
        <v>15</v>
      </c>
      <c r="AW3278" s="184">
        <v>45152</v>
      </c>
      <c r="AX3278" t="s">
        <v>25700</v>
      </c>
      <c r="AY3278">
        <v>25</v>
      </c>
      <c r="AZ3278" s="184">
        <v>45152</v>
      </c>
      <c r="BA3278" t="s">
        <v>25700</v>
      </c>
      <c r="BB3278">
        <v>25</v>
      </c>
      <c r="BC3278">
        <v>32</v>
      </c>
      <c r="BD3278">
        <v>165</v>
      </c>
      <c r="BE3278">
        <v>2006</v>
      </c>
      <c r="BF3278">
        <v>8</v>
      </c>
      <c r="BG3278">
        <v>2</v>
      </c>
      <c r="BH3278">
        <v>35</v>
      </c>
      <c r="BI3278">
        <v>6</v>
      </c>
      <c r="BJ3278">
        <v>19</v>
      </c>
      <c r="BK3278">
        <v>1</v>
      </c>
      <c r="BP3278" s="184"/>
    </row>
    <row r="3279" spans="1:68">
      <c r="A3279">
        <v>38733820</v>
      </c>
      <c r="B3279">
        <v>38733820</v>
      </c>
      <c r="C3279" t="s">
        <v>7018</v>
      </c>
      <c r="D3279" t="s">
        <v>595</v>
      </c>
      <c r="E3279" s="184">
        <v>44167</v>
      </c>
      <c r="G3279" s="184"/>
      <c r="I3279" s="184"/>
      <c r="K3279" s="184"/>
      <c r="P3279" t="s">
        <v>7045</v>
      </c>
      <c r="Q3279" t="s">
        <v>7262</v>
      </c>
      <c r="R3279" s="184">
        <v>18033</v>
      </c>
      <c r="S3279">
        <v>75</v>
      </c>
      <c r="U3279" t="s">
        <v>7130</v>
      </c>
      <c r="V3279" t="s">
        <v>3898</v>
      </c>
      <c r="X3279" t="s">
        <v>25701</v>
      </c>
      <c r="Z3279">
        <v>100112808</v>
      </c>
      <c r="AA3279" t="s">
        <v>7031</v>
      </c>
      <c r="AB3279" t="s">
        <v>3254</v>
      </c>
      <c r="AD3279" t="s">
        <v>25701</v>
      </c>
      <c r="AF3279" t="s">
        <v>25702</v>
      </c>
      <c r="AG3279" t="s">
        <v>25703</v>
      </c>
      <c r="AI3279" t="s">
        <v>25704</v>
      </c>
      <c r="AM3279" t="s">
        <v>25705</v>
      </c>
      <c r="AN3279" t="s">
        <v>65</v>
      </c>
      <c r="AO3279" t="s">
        <v>25706</v>
      </c>
      <c r="AP3279" t="s">
        <v>7024</v>
      </c>
      <c r="AQ3279" t="s">
        <v>25707</v>
      </c>
      <c r="AT3279" s="184">
        <v>38789</v>
      </c>
      <c r="AU3279" t="s">
        <v>25699</v>
      </c>
      <c r="AV3279">
        <v>25</v>
      </c>
      <c r="AW3279" s="184">
        <v>44680</v>
      </c>
      <c r="AX3279" t="s">
        <v>25708</v>
      </c>
      <c r="AY3279">
        <v>100</v>
      </c>
      <c r="AZ3279" s="184">
        <v>43523</v>
      </c>
      <c r="BA3279" t="s">
        <v>10071</v>
      </c>
      <c r="BB3279">
        <v>150</v>
      </c>
      <c r="BC3279">
        <v>90</v>
      </c>
      <c r="BD3279">
        <v>1625</v>
      </c>
      <c r="BE3279">
        <v>2006</v>
      </c>
      <c r="BF3279">
        <v>32</v>
      </c>
      <c r="BG3279">
        <v>1</v>
      </c>
      <c r="BH3279">
        <v>100</v>
      </c>
      <c r="BI3279">
        <v>17</v>
      </c>
      <c r="BJ3279">
        <v>19</v>
      </c>
      <c r="BK3279">
        <v>17</v>
      </c>
    </row>
    <row r="3280" spans="1:68">
      <c r="A3280">
        <v>100112808</v>
      </c>
      <c r="B3280">
        <v>38733820</v>
      </c>
      <c r="C3280" t="s">
        <v>7018</v>
      </c>
      <c r="D3280" t="s">
        <v>595</v>
      </c>
      <c r="E3280" s="184">
        <v>44167</v>
      </c>
      <c r="G3280" s="184"/>
      <c r="K3280" s="184"/>
      <c r="O3280" s="184"/>
      <c r="P3280" t="s">
        <v>7045</v>
      </c>
      <c r="Q3280" t="s">
        <v>7262</v>
      </c>
      <c r="R3280" s="184">
        <v>18200</v>
      </c>
      <c r="S3280">
        <v>74</v>
      </c>
      <c r="U3280" t="s">
        <v>7031</v>
      </c>
      <c r="V3280" t="s">
        <v>3254</v>
      </c>
      <c r="X3280" t="s">
        <v>25701</v>
      </c>
      <c r="Z3280">
        <v>38733820</v>
      </c>
      <c r="AA3280" t="s">
        <v>7130</v>
      </c>
      <c r="AB3280" t="s">
        <v>3898</v>
      </c>
      <c r="AD3280" t="s">
        <v>25701</v>
      </c>
      <c r="AF3280" t="s">
        <v>25702</v>
      </c>
      <c r="AG3280" t="s">
        <v>25703</v>
      </c>
      <c r="AI3280" t="s">
        <v>25704</v>
      </c>
      <c r="AM3280" t="s">
        <v>25705</v>
      </c>
      <c r="AN3280" t="s">
        <v>65</v>
      </c>
      <c r="AO3280" t="s">
        <v>25706</v>
      </c>
      <c r="AP3280" t="s">
        <v>7024</v>
      </c>
      <c r="AQ3280" t="s">
        <v>25707</v>
      </c>
      <c r="AT3280" s="184">
        <v>44291</v>
      </c>
      <c r="AU3280" t="s">
        <v>7714</v>
      </c>
      <c r="AV3280">
        <v>50</v>
      </c>
      <c r="AW3280" s="184">
        <v>45071</v>
      </c>
      <c r="AX3280" t="s">
        <v>25709</v>
      </c>
      <c r="AY3280">
        <v>100</v>
      </c>
      <c r="AZ3280" s="184">
        <v>45071</v>
      </c>
      <c r="BA3280" t="s">
        <v>25709</v>
      </c>
      <c r="BB3280">
        <v>100</v>
      </c>
      <c r="BC3280">
        <v>50</v>
      </c>
      <c r="BD3280">
        <v>150</v>
      </c>
      <c r="BE3280">
        <v>2021</v>
      </c>
      <c r="BF3280">
        <v>2</v>
      </c>
      <c r="BG3280">
        <v>1</v>
      </c>
      <c r="BH3280">
        <v>100</v>
      </c>
      <c r="BI3280">
        <v>2</v>
      </c>
      <c r="BJ3280">
        <v>4</v>
      </c>
      <c r="BK3280">
        <v>1</v>
      </c>
      <c r="BP3280" s="184"/>
    </row>
    <row r="3281" spans="1:68">
      <c r="A3281">
        <v>38738928</v>
      </c>
      <c r="B3281">
        <v>38738928</v>
      </c>
      <c r="C3281" t="s">
        <v>7018</v>
      </c>
      <c r="D3281" t="s">
        <v>595</v>
      </c>
      <c r="E3281" s="184">
        <v>44167</v>
      </c>
      <c r="G3281" s="184"/>
      <c r="I3281" s="184"/>
      <c r="K3281" s="184"/>
      <c r="O3281" s="184"/>
      <c r="P3281" t="s">
        <v>7045</v>
      </c>
      <c r="Q3281" t="s">
        <v>7194</v>
      </c>
      <c r="R3281" s="184">
        <v>16257</v>
      </c>
      <c r="S3281">
        <v>79</v>
      </c>
      <c r="U3281" t="s">
        <v>7076</v>
      </c>
      <c r="V3281" t="s">
        <v>3072</v>
      </c>
      <c r="W3281" t="s">
        <v>2049</v>
      </c>
      <c r="X3281" t="s">
        <v>25710</v>
      </c>
      <c r="AF3281" t="s">
        <v>25711</v>
      </c>
      <c r="AG3281" t="s">
        <v>3072</v>
      </c>
      <c r="AI3281" t="s">
        <v>25712</v>
      </c>
      <c r="AM3281" t="s">
        <v>23578</v>
      </c>
      <c r="AN3281" t="s">
        <v>2046</v>
      </c>
      <c r="AO3281" t="s">
        <v>25713</v>
      </c>
      <c r="AP3281" t="s">
        <v>7024</v>
      </c>
      <c r="AT3281" s="184">
        <v>38793</v>
      </c>
      <c r="AU3281" t="s">
        <v>25714</v>
      </c>
      <c r="AV3281">
        <v>25</v>
      </c>
      <c r="AW3281" s="184">
        <v>45378</v>
      </c>
      <c r="AX3281" t="s">
        <v>7648</v>
      </c>
      <c r="AY3281">
        <v>10</v>
      </c>
      <c r="AZ3281" s="184">
        <v>41393</v>
      </c>
      <c r="BA3281" t="s">
        <v>25715</v>
      </c>
      <c r="BB3281">
        <v>50</v>
      </c>
      <c r="BC3281">
        <v>100</v>
      </c>
      <c r="BD3281">
        <v>1530</v>
      </c>
      <c r="BE3281">
        <v>2006</v>
      </c>
      <c r="BF3281">
        <v>131</v>
      </c>
      <c r="BG3281">
        <v>24</v>
      </c>
      <c r="BH3281">
        <v>240</v>
      </c>
      <c r="BI3281">
        <v>19</v>
      </c>
      <c r="BJ3281">
        <v>19</v>
      </c>
      <c r="BK3281">
        <v>19</v>
      </c>
      <c r="BP3281" s="184"/>
    </row>
    <row r="3282" spans="1:68">
      <c r="A3282">
        <v>38745006</v>
      </c>
      <c r="B3282">
        <v>38745006</v>
      </c>
      <c r="C3282" t="s">
        <v>7018</v>
      </c>
      <c r="D3282" t="s">
        <v>595</v>
      </c>
      <c r="E3282" s="184">
        <v>45125</v>
      </c>
      <c r="G3282" s="184"/>
      <c r="I3282" s="184"/>
      <c r="K3282" s="184"/>
      <c r="M3282" s="184"/>
      <c r="P3282" t="s">
        <v>7019</v>
      </c>
      <c r="Q3282" t="s">
        <v>7262</v>
      </c>
      <c r="R3282" s="184">
        <v>22601</v>
      </c>
      <c r="S3282">
        <v>62</v>
      </c>
      <c r="U3282" t="s">
        <v>7031</v>
      </c>
      <c r="V3282" t="s">
        <v>2898</v>
      </c>
      <c r="X3282" t="s">
        <v>3353</v>
      </c>
      <c r="Z3282">
        <v>100112844</v>
      </c>
      <c r="AB3282" t="s">
        <v>5743</v>
      </c>
      <c r="AD3282" t="s">
        <v>3353</v>
      </c>
      <c r="AF3282" t="s">
        <v>25716</v>
      </c>
      <c r="AG3282" t="s">
        <v>25717</v>
      </c>
      <c r="AI3282" t="s">
        <v>25718</v>
      </c>
      <c r="AM3282" t="s">
        <v>25719</v>
      </c>
      <c r="AN3282" t="s">
        <v>2069</v>
      </c>
      <c r="AO3282" t="s">
        <v>25720</v>
      </c>
      <c r="AP3282" t="s">
        <v>7024</v>
      </c>
      <c r="AQ3282" t="s">
        <v>25721</v>
      </c>
      <c r="AR3282" t="s">
        <v>25722</v>
      </c>
      <c r="AT3282" s="184">
        <v>38798</v>
      </c>
      <c r="AU3282" t="s">
        <v>25723</v>
      </c>
      <c r="AV3282">
        <v>25</v>
      </c>
      <c r="AW3282" s="184">
        <v>41716</v>
      </c>
      <c r="AX3282" t="s">
        <v>21810</v>
      </c>
      <c r="AY3282">
        <v>60</v>
      </c>
      <c r="AZ3282" s="184">
        <v>41716</v>
      </c>
      <c r="BA3282" t="s">
        <v>21810</v>
      </c>
      <c r="BB3282">
        <v>60</v>
      </c>
      <c r="BC3282">
        <v>32</v>
      </c>
      <c r="BD3282">
        <v>270</v>
      </c>
      <c r="BE3282">
        <v>2006</v>
      </c>
      <c r="BF3282">
        <v>6</v>
      </c>
      <c r="BI3282">
        <v>6</v>
      </c>
      <c r="BJ3282">
        <v>19</v>
      </c>
      <c r="BK3282">
        <v>4</v>
      </c>
      <c r="BN3282" t="s">
        <v>595</v>
      </c>
      <c r="BP3282" s="184"/>
    </row>
    <row r="3283" spans="1:68">
      <c r="A3283">
        <v>100112844</v>
      </c>
      <c r="B3283">
        <v>38745006</v>
      </c>
      <c r="C3283" t="s">
        <v>7018</v>
      </c>
      <c r="D3283" t="s">
        <v>595</v>
      </c>
      <c r="E3283" s="184">
        <v>45125</v>
      </c>
      <c r="G3283" s="184"/>
      <c r="I3283" s="184"/>
      <c r="K3283" s="184"/>
      <c r="O3283" s="184"/>
      <c r="P3283" t="s">
        <v>7019</v>
      </c>
      <c r="Q3283" t="s">
        <v>7262</v>
      </c>
      <c r="R3283" s="184"/>
      <c r="V3283" t="s">
        <v>5743</v>
      </c>
      <c r="X3283" t="s">
        <v>3353</v>
      </c>
      <c r="Z3283">
        <v>38745006</v>
      </c>
      <c r="AA3283" t="s">
        <v>7031</v>
      </c>
      <c r="AB3283" t="s">
        <v>2898</v>
      </c>
      <c r="AD3283" t="s">
        <v>3353</v>
      </c>
      <c r="AF3283" t="s">
        <v>25716</v>
      </c>
      <c r="AG3283" t="s">
        <v>25717</v>
      </c>
      <c r="AI3283" t="s">
        <v>25718</v>
      </c>
      <c r="AM3283" t="s">
        <v>25719</v>
      </c>
      <c r="AN3283" t="s">
        <v>2069</v>
      </c>
      <c r="AO3283" t="s">
        <v>25720</v>
      </c>
      <c r="AP3283" t="s">
        <v>7024</v>
      </c>
      <c r="AT3283" s="184"/>
      <c r="AW3283" s="184"/>
      <c r="AZ3283" s="184"/>
      <c r="BP3283" s="184"/>
    </row>
    <row r="3284" spans="1:68">
      <c r="A3284">
        <v>38748091</v>
      </c>
      <c r="B3284">
        <v>38748091</v>
      </c>
      <c r="C3284" t="s">
        <v>7018</v>
      </c>
      <c r="D3284" t="s">
        <v>595</v>
      </c>
      <c r="E3284" s="184">
        <v>44484</v>
      </c>
      <c r="G3284" s="184"/>
      <c r="I3284" s="184"/>
      <c r="K3284" s="184"/>
      <c r="O3284" s="184"/>
      <c r="P3284" t="s">
        <v>7045</v>
      </c>
      <c r="Q3284" t="s">
        <v>7383</v>
      </c>
      <c r="R3284" s="184">
        <v>20262</v>
      </c>
      <c r="S3284">
        <v>68</v>
      </c>
      <c r="V3284" t="s">
        <v>25724</v>
      </c>
      <c r="W3284" t="s">
        <v>3830</v>
      </c>
      <c r="X3284" t="s">
        <v>2657</v>
      </c>
      <c r="AF3284" t="s">
        <v>25725</v>
      </c>
      <c r="AG3284" t="s">
        <v>25724</v>
      </c>
      <c r="AI3284" t="s">
        <v>25726</v>
      </c>
      <c r="AM3284" t="s">
        <v>2737</v>
      </c>
      <c r="AN3284" t="s">
        <v>2059</v>
      </c>
      <c r="AO3284" t="s">
        <v>25727</v>
      </c>
      <c r="AP3284" t="s">
        <v>7024</v>
      </c>
      <c r="AQ3284" t="s">
        <v>25728</v>
      </c>
      <c r="AR3284" t="s">
        <v>25729</v>
      </c>
      <c r="AT3284" s="184">
        <v>38799</v>
      </c>
      <c r="AU3284" t="s">
        <v>25730</v>
      </c>
      <c r="AV3284">
        <v>25</v>
      </c>
      <c r="AW3284" s="184">
        <v>45341</v>
      </c>
      <c r="AX3284" t="s">
        <v>25731</v>
      </c>
      <c r="AY3284">
        <v>26.25</v>
      </c>
      <c r="AZ3284" s="184">
        <v>42752</v>
      </c>
      <c r="BA3284" t="s">
        <v>25732</v>
      </c>
      <c r="BB3284">
        <v>30</v>
      </c>
      <c r="BC3284">
        <v>53</v>
      </c>
      <c r="BD3284">
        <v>256.25</v>
      </c>
      <c r="BE3284">
        <v>2006</v>
      </c>
      <c r="BF3284">
        <v>10</v>
      </c>
      <c r="BG3284">
        <v>2</v>
      </c>
      <c r="BH3284">
        <v>51.25</v>
      </c>
      <c r="BI3284">
        <v>10</v>
      </c>
      <c r="BJ3284">
        <v>19</v>
      </c>
      <c r="BK3284">
        <v>3</v>
      </c>
      <c r="BP3284" s="184"/>
    </row>
    <row r="3285" spans="1:68">
      <c r="A3285">
        <v>38752762</v>
      </c>
      <c r="B3285">
        <v>38752762</v>
      </c>
      <c r="C3285" t="s">
        <v>7018</v>
      </c>
      <c r="E3285" s="184"/>
      <c r="F3285" t="s">
        <v>595</v>
      </c>
      <c r="G3285" s="184">
        <v>43647</v>
      </c>
      <c r="I3285" s="184"/>
      <c r="K3285" s="184"/>
      <c r="P3285" t="s">
        <v>7045</v>
      </c>
      <c r="Q3285" t="s">
        <v>7262</v>
      </c>
      <c r="R3285" s="184">
        <v>13254</v>
      </c>
      <c r="S3285">
        <v>88</v>
      </c>
      <c r="V3285" t="s">
        <v>3373</v>
      </c>
      <c r="X3285" t="s">
        <v>2962</v>
      </c>
      <c r="AF3285" t="s">
        <v>25733</v>
      </c>
      <c r="AG3285" t="s">
        <v>3373</v>
      </c>
      <c r="AI3285" t="s">
        <v>25734</v>
      </c>
      <c r="AM3285" t="s">
        <v>25735</v>
      </c>
      <c r="AN3285" t="s">
        <v>2106</v>
      </c>
      <c r="AO3285" t="s">
        <v>25736</v>
      </c>
      <c r="AP3285" t="s">
        <v>7024</v>
      </c>
      <c r="AT3285" s="184">
        <v>38803</v>
      </c>
      <c r="AU3285" t="s">
        <v>25737</v>
      </c>
      <c r="AV3285">
        <v>20</v>
      </c>
      <c r="AW3285" s="184">
        <v>45408</v>
      </c>
      <c r="AX3285" t="s">
        <v>8483</v>
      </c>
      <c r="AY3285">
        <v>10</v>
      </c>
      <c r="AZ3285" s="184">
        <v>40525</v>
      </c>
      <c r="BA3285" t="s">
        <v>25738</v>
      </c>
      <c r="BB3285">
        <v>60</v>
      </c>
      <c r="BC3285">
        <v>100</v>
      </c>
      <c r="BD3285">
        <v>2004</v>
      </c>
      <c r="BE3285">
        <v>2006</v>
      </c>
      <c r="BF3285">
        <v>178</v>
      </c>
      <c r="BG3285">
        <v>24</v>
      </c>
      <c r="BH3285">
        <v>240</v>
      </c>
      <c r="BI3285">
        <v>19</v>
      </c>
      <c r="BJ3285">
        <v>19</v>
      </c>
      <c r="BK3285">
        <v>19</v>
      </c>
      <c r="BP3285" s="184"/>
    </row>
    <row r="3286" spans="1:68">
      <c r="A3286">
        <v>38758918</v>
      </c>
      <c r="B3286">
        <v>38758918</v>
      </c>
      <c r="C3286" t="s">
        <v>7018</v>
      </c>
      <c r="E3286" s="184"/>
      <c r="F3286" t="s">
        <v>595</v>
      </c>
      <c r="G3286" s="184">
        <v>43731</v>
      </c>
      <c r="I3286" s="184"/>
      <c r="K3286" s="184"/>
      <c r="O3286" s="184"/>
      <c r="P3286" t="s">
        <v>7045</v>
      </c>
      <c r="Q3286" t="s">
        <v>7383</v>
      </c>
      <c r="R3286" s="184">
        <v>18568</v>
      </c>
      <c r="S3286">
        <v>73</v>
      </c>
      <c r="U3286" t="s">
        <v>7076</v>
      </c>
      <c r="V3286" t="s">
        <v>3409</v>
      </c>
      <c r="W3286" t="s">
        <v>4139</v>
      </c>
      <c r="X3286" t="s">
        <v>3882</v>
      </c>
      <c r="AF3286" t="s">
        <v>25739</v>
      </c>
      <c r="AG3286" t="s">
        <v>3409</v>
      </c>
      <c r="AI3286" t="s">
        <v>25740</v>
      </c>
      <c r="AM3286" t="s">
        <v>3883</v>
      </c>
      <c r="AN3286" t="s">
        <v>2059</v>
      </c>
      <c r="AO3286" t="s">
        <v>25741</v>
      </c>
      <c r="AP3286" t="s">
        <v>7024</v>
      </c>
      <c r="AQ3286" t="s">
        <v>25742</v>
      </c>
      <c r="AR3286" t="s">
        <v>25743</v>
      </c>
      <c r="AT3286" s="184">
        <v>38803</v>
      </c>
      <c r="AU3286" t="s">
        <v>25744</v>
      </c>
      <c r="AV3286">
        <v>25</v>
      </c>
      <c r="AW3286" s="184">
        <v>45355</v>
      </c>
      <c r="AX3286" t="s">
        <v>25745</v>
      </c>
      <c r="AY3286">
        <v>25</v>
      </c>
      <c r="AZ3286" s="184">
        <v>42558</v>
      </c>
      <c r="BA3286" t="s">
        <v>24552</v>
      </c>
      <c r="BB3286">
        <v>60</v>
      </c>
      <c r="BC3286">
        <v>74</v>
      </c>
      <c r="BD3286">
        <v>470</v>
      </c>
      <c r="BE3286">
        <v>2006</v>
      </c>
      <c r="BF3286">
        <v>14</v>
      </c>
      <c r="BG3286">
        <v>1</v>
      </c>
      <c r="BH3286">
        <v>25</v>
      </c>
      <c r="BI3286">
        <v>14</v>
      </c>
      <c r="BJ3286">
        <v>19</v>
      </c>
      <c r="BK3286">
        <v>6</v>
      </c>
      <c r="BN3286" t="s">
        <v>595</v>
      </c>
      <c r="BP3286" s="184"/>
    </row>
    <row r="3287" spans="1:68">
      <c r="A3287">
        <v>38760104</v>
      </c>
      <c r="B3287">
        <v>38760104</v>
      </c>
      <c r="C3287" t="s">
        <v>7018</v>
      </c>
      <c r="E3287" s="184"/>
      <c r="F3287" t="s">
        <v>595</v>
      </c>
      <c r="G3287" s="184">
        <v>44104</v>
      </c>
      <c r="I3287" s="184"/>
      <c r="K3287" s="184"/>
      <c r="O3287" s="184"/>
      <c r="P3287" t="s">
        <v>7045</v>
      </c>
      <c r="Q3287" t="s">
        <v>7383</v>
      </c>
      <c r="R3287" s="184">
        <v>14235</v>
      </c>
      <c r="S3287">
        <v>85</v>
      </c>
      <c r="V3287" t="s">
        <v>3603</v>
      </c>
      <c r="X3287" t="s">
        <v>25746</v>
      </c>
      <c r="AF3287" t="s">
        <v>25747</v>
      </c>
      <c r="AG3287" t="s">
        <v>3603</v>
      </c>
      <c r="AI3287" t="s">
        <v>25748</v>
      </c>
      <c r="AM3287" t="s">
        <v>2830</v>
      </c>
      <c r="AN3287" t="s">
        <v>2185</v>
      </c>
      <c r="AO3287" t="s">
        <v>25749</v>
      </c>
      <c r="AP3287" t="s">
        <v>7024</v>
      </c>
      <c r="AQ3287" t="s">
        <v>25750</v>
      </c>
      <c r="AT3287" s="184">
        <v>38804</v>
      </c>
      <c r="AU3287" t="s">
        <v>25751</v>
      </c>
      <c r="AV3287">
        <v>25</v>
      </c>
      <c r="AW3287" s="184">
        <v>45041</v>
      </c>
      <c r="AX3287" t="s">
        <v>11545</v>
      </c>
      <c r="AY3287">
        <v>25</v>
      </c>
      <c r="AZ3287" s="184">
        <v>40862</v>
      </c>
      <c r="BA3287" t="s">
        <v>25752</v>
      </c>
      <c r="BB3287">
        <v>50</v>
      </c>
      <c r="BC3287">
        <v>90</v>
      </c>
      <c r="BD3287">
        <v>930</v>
      </c>
      <c r="BE3287">
        <v>2006</v>
      </c>
      <c r="BF3287">
        <v>29</v>
      </c>
      <c r="BG3287">
        <v>2</v>
      </c>
      <c r="BH3287">
        <v>50</v>
      </c>
      <c r="BI3287">
        <v>17</v>
      </c>
      <c r="BJ3287">
        <v>19</v>
      </c>
      <c r="BK3287">
        <v>15</v>
      </c>
      <c r="BP3287" s="184"/>
    </row>
    <row r="3288" spans="1:68">
      <c r="A3288">
        <v>38800728</v>
      </c>
      <c r="B3288">
        <v>38800728</v>
      </c>
      <c r="C3288" t="s">
        <v>7018</v>
      </c>
      <c r="D3288" t="s">
        <v>595</v>
      </c>
      <c r="E3288" s="184">
        <v>45154</v>
      </c>
      <c r="G3288" s="184"/>
      <c r="I3288" s="184"/>
      <c r="K3288" s="184"/>
      <c r="O3288" s="184"/>
      <c r="P3288" t="s">
        <v>7045</v>
      </c>
      <c r="Q3288" t="s">
        <v>7494</v>
      </c>
      <c r="R3288" s="184">
        <v>15373</v>
      </c>
      <c r="S3288">
        <v>82</v>
      </c>
      <c r="U3288" t="s">
        <v>7031</v>
      </c>
      <c r="V3288" t="s">
        <v>2832</v>
      </c>
      <c r="X3288" t="s">
        <v>25753</v>
      </c>
      <c r="AF3288" t="s">
        <v>25754</v>
      </c>
      <c r="AG3288" t="s">
        <v>2832</v>
      </c>
      <c r="AI3288" t="s">
        <v>25755</v>
      </c>
      <c r="AM3288" t="s">
        <v>25756</v>
      </c>
      <c r="AN3288" t="s">
        <v>2174</v>
      </c>
      <c r="AO3288" t="s">
        <v>25757</v>
      </c>
      <c r="AP3288" t="s">
        <v>7024</v>
      </c>
      <c r="AT3288" s="184">
        <v>38811</v>
      </c>
      <c r="AU3288" t="s">
        <v>25758</v>
      </c>
      <c r="AV3288">
        <v>15</v>
      </c>
      <c r="AW3288" s="184">
        <v>42529</v>
      </c>
      <c r="AX3288" t="s">
        <v>10856</v>
      </c>
      <c r="AY3288">
        <v>25</v>
      </c>
      <c r="AZ3288" s="184">
        <v>42529</v>
      </c>
      <c r="BA3288" t="s">
        <v>10856</v>
      </c>
      <c r="BB3288">
        <v>25</v>
      </c>
      <c r="BC3288">
        <v>27</v>
      </c>
      <c r="BD3288">
        <v>155</v>
      </c>
      <c r="BE3288">
        <v>2006</v>
      </c>
      <c r="BF3288">
        <v>7</v>
      </c>
      <c r="BI3288">
        <v>5</v>
      </c>
      <c r="BJ3288">
        <v>19</v>
      </c>
      <c r="BK3288">
        <v>2</v>
      </c>
    </row>
    <row r="3289" spans="1:68">
      <c r="A3289">
        <v>38804704</v>
      </c>
      <c r="B3289">
        <v>38804704</v>
      </c>
      <c r="C3289" t="s">
        <v>7018</v>
      </c>
      <c r="D3289" t="s">
        <v>595</v>
      </c>
      <c r="E3289" s="184">
        <v>43642</v>
      </c>
      <c r="G3289" s="184"/>
      <c r="I3289" s="184"/>
      <c r="K3289" s="184"/>
      <c r="O3289" s="184"/>
      <c r="P3289" t="s">
        <v>7045</v>
      </c>
      <c r="Q3289" t="s">
        <v>7030</v>
      </c>
      <c r="R3289" s="184">
        <v>13893</v>
      </c>
      <c r="S3289">
        <v>86</v>
      </c>
      <c r="U3289" t="s">
        <v>7076</v>
      </c>
      <c r="V3289" t="s">
        <v>2989</v>
      </c>
      <c r="X3289" t="s">
        <v>3375</v>
      </c>
      <c r="AF3289" t="s">
        <v>25759</v>
      </c>
      <c r="AG3289" t="s">
        <v>2989</v>
      </c>
      <c r="AI3289" t="s">
        <v>25760</v>
      </c>
      <c r="AM3289" t="s">
        <v>3376</v>
      </c>
      <c r="AN3289" t="s">
        <v>2094</v>
      </c>
      <c r="AO3289" t="s">
        <v>25761</v>
      </c>
      <c r="AP3289" t="s">
        <v>7024</v>
      </c>
      <c r="AT3289" s="184">
        <v>38812</v>
      </c>
      <c r="AU3289" t="s">
        <v>21333</v>
      </c>
      <c r="AV3289">
        <v>50</v>
      </c>
      <c r="AW3289" s="184">
        <v>45412</v>
      </c>
      <c r="AX3289" t="s">
        <v>25762</v>
      </c>
      <c r="AY3289">
        <v>10</v>
      </c>
      <c r="AZ3289" s="184">
        <v>44971</v>
      </c>
      <c r="BA3289" t="s">
        <v>25763</v>
      </c>
      <c r="BB3289">
        <v>50</v>
      </c>
      <c r="BC3289">
        <v>95</v>
      </c>
      <c r="BD3289">
        <v>900</v>
      </c>
      <c r="BE3289">
        <v>2006</v>
      </c>
      <c r="BF3289">
        <v>19</v>
      </c>
      <c r="BG3289">
        <v>3</v>
      </c>
      <c r="BH3289">
        <v>100</v>
      </c>
      <c r="BI3289">
        <v>18</v>
      </c>
      <c r="BJ3289">
        <v>19</v>
      </c>
      <c r="BK3289">
        <v>12</v>
      </c>
      <c r="BP3289" s="184"/>
    </row>
    <row r="3290" spans="1:68">
      <c r="A3290">
        <v>38816401</v>
      </c>
      <c r="B3290">
        <v>38816401</v>
      </c>
      <c r="C3290" t="s">
        <v>7018</v>
      </c>
      <c r="E3290" s="184"/>
      <c r="F3290" t="s">
        <v>595</v>
      </c>
      <c r="G3290" s="184">
        <v>43731</v>
      </c>
      <c r="I3290" s="184"/>
      <c r="K3290" s="184"/>
      <c r="M3290" s="184"/>
      <c r="O3290" s="184"/>
      <c r="P3290" t="s">
        <v>7029</v>
      </c>
      <c r="Q3290" t="s">
        <v>7020</v>
      </c>
      <c r="R3290" s="184">
        <v>15462</v>
      </c>
      <c r="S3290">
        <v>82</v>
      </c>
      <c r="U3290" t="s">
        <v>7130</v>
      </c>
      <c r="V3290" t="s">
        <v>3400</v>
      </c>
      <c r="X3290" t="s">
        <v>3884</v>
      </c>
      <c r="AF3290" t="s">
        <v>25764</v>
      </c>
      <c r="AG3290" t="s">
        <v>3400</v>
      </c>
      <c r="AI3290" t="s">
        <v>25765</v>
      </c>
      <c r="AM3290" t="s">
        <v>4104</v>
      </c>
      <c r="AN3290" t="s">
        <v>2465</v>
      </c>
      <c r="AO3290" t="s">
        <v>25766</v>
      </c>
      <c r="AP3290" t="s">
        <v>7024</v>
      </c>
      <c r="AT3290" s="184">
        <v>38817</v>
      </c>
      <c r="AU3290" t="s">
        <v>25767</v>
      </c>
      <c r="AV3290">
        <v>25</v>
      </c>
      <c r="AW3290" s="184">
        <v>44477</v>
      </c>
      <c r="AX3290" t="s">
        <v>25768</v>
      </c>
      <c r="AY3290">
        <v>350</v>
      </c>
      <c r="AZ3290" s="184">
        <v>44477</v>
      </c>
      <c r="BA3290" t="s">
        <v>25768</v>
      </c>
      <c r="BB3290">
        <v>350</v>
      </c>
      <c r="BC3290">
        <v>85</v>
      </c>
      <c r="BD3290">
        <v>7840</v>
      </c>
      <c r="BE3290">
        <v>2006</v>
      </c>
      <c r="BF3290">
        <v>57</v>
      </c>
      <c r="BI3290">
        <v>16</v>
      </c>
      <c r="BJ3290">
        <v>19</v>
      </c>
      <c r="BK3290">
        <v>16</v>
      </c>
      <c r="BP3290" s="184"/>
    </row>
    <row r="3291" spans="1:68">
      <c r="A3291">
        <v>38817474</v>
      </c>
      <c r="B3291">
        <v>38817474</v>
      </c>
      <c r="C3291" t="s">
        <v>7018</v>
      </c>
      <c r="E3291" s="184"/>
      <c r="G3291" s="184"/>
      <c r="I3291" s="184"/>
      <c r="J3291" t="s">
        <v>595</v>
      </c>
      <c r="K3291" s="184">
        <v>43649</v>
      </c>
      <c r="O3291" s="184"/>
      <c r="P3291" t="s">
        <v>7045</v>
      </c>
      <c r="Q3291" t="s">
        <v>7383</v>
      </c>
      <c r="R3291" s="184">
        <v>20302</v>
      </c>
      <c r="S3291">
        <v>68</v>
      </c>
      <c r="U3291" t="s">
        <v>7130</v>
      </c>
      <c r="V3291" t="s">
        <v>3478</v>
      </c>
      <c r="W3291" t="s">
        <v>7407</v>
      </c>
      <c r="X3291" t="s">
        <v>3479</v>
      </c>
      <c r="AF3291" t="s">
        <v>6580</v>
      </c>
      <c r="AG3291" t="s">
        <v>3478</v>
      </c>
      <c r="AI3291" t="s">
        <v>25769</v>
      </c>
      <c r="AM3291" t="s">
        <v>2974</v>
      </c>
      <c r="AN3291" t="s">
        <v>2072</v>
      </c>
      <c r="AO3291" t="s">
        <v>25770</v>
      </c>
      <c r="AP3291" t="s">
        <v>7024</v>
      </c>
      <c r="AQ3291" t="s">
        <v>25771</v>
      </c>
      <c r="AR3291" t="s">
        <v>25772</v>
      </c>
      <c r="AT3291" s="184">
        <v>38818</v>
      </c>
      <c r="AU3291" t="s">
        <v>25773</v>
      </c>
      <c r="AV3291">
        <v>20</v>
      </c>
      <c r="AW3291" s="184">
        <v>44796</v>
      </c>
      <c r="AX3291" t="s">
        <v>25774</v>
      </c>
      <c r="AY3291">
        <v>40</v>
      </c>
      <c r="AZ3291" s="184">
        <v>44021</v>
      </c>
      <c r="BA3291" t="s">
        <v>9633</v>
      </c>
      <c r="BB3291">
        <v>50</v>
      </c>
      <c r="BC3291">
        <v>85</v>
      </c>
      <c r="BD3291">
        <v>630</v>
      </c>
      <c r="BE3291">
        <v>2006</v>
      </c>
      <c r="BF3291">
        <v>18</v>
      </c>
      <c r="BG3291">
        <v>1</v>
      </c>
      <c r="BH3291">
        <v>40</v>
      </c>
      <c r="BI3291">
        <v>16</v>
      </c>
      <c r="BJ3291">
        <v>19</v>
      </c>
      <c r="BK3291">
        <v>15</v>
      </c>
      <c r="BN3291" t="s">
        <v>595</v>
      </c>
      <c r="BP3291" s="184"/>
    </row>
    <row r="3292" spans="1:68">
      <c r="A3292">
        <v>38883179</v>
      </c>
      <c r="B3292">
        <v>38883179</v>
      </c>
      <c r="C3292" t="s">
        <v>7018</v>
      </c>
      <c r="E3292" s="184"/>
      <c r="G3292" s="184"/>
      <c r="I3292" s="184"/>
      <c r="J3292" t="s">
        <v>595</v>
      </c>
      <c r="K3292" s="184">
        <v>43613</v>
      </c>
      <c r="O3292" s="184"/>
      <c r="P3292" t="s">
        <v>7019</v>
      </c>
      <c r="Q3292" t="s">
        <v>7030</v>
      </c>
      <c r="R3292" s="184">
        <v>29823</v>
      </c>
      <c r="S3292">
        <v>42</v>
      </c>
      <c r="U3292" t="s">
        <v>7031</v>
      </c>
      <c r="V3292" t="s">
        <v>3080</v>
      </c>
      <c r="X3292" t="s">
        <v>25775</v>
      </c>
      <c r="AF3292" t="s">
        <v>6576</v>
      </c>
      <c r="AG3292" t="s">
        <v>3080</v>
      </c>
      <c r="AI3292" t="s">
        <v>25776</v>
      </c>
      <c r="AM3292" t="s">
        <v>4984</v>
      </c>
      <c r="AN3292" t="s">
        <v>2094</v>
      </c>
      <c r="AO3292" t="s">
        <v>25777</v>
      </c>
      <c r="AP3292" t="s">
        <v>7024</v>
      </c>
      <c r="AQ3292" t="s">
        <v>25778</v>
      </c>
      <c r="AT3292" s="184">
        <v>38824</v>
      </c>
      <c r="AU3292" t="s">
        <v>25730</v>
      </c>
      <c r="AV3292">
        <v>25</v>
      </c>
      <c r="AW3292" s="184">
        <v>44937</v>
      </c>
      <c r="AX3292" t="s">
        <v>25779</v>
      </c>
      <c r="AY3292">
        <v>60</v>
      </c>
      <c r="AZ3292" s="184">
        <v>44937</v>
      </c>
      <c r="BA3292" t="s">
        <v>25779</v>
      </c>
      <c r="BB3292">
        <v>60</v>
      </c>
      <c r="BC3292">
        <v>74</v>
      </c>
      <c r="BD3292">
        <v>675</v>
      </c>
      <c r="BE3292">
        <v>2006</v>
      </c>
      <c r="BF3292">
        <v>46</v>
      </c>
      <c r="BG3292">
        <v>1</v>
      </c>
      <c r="BH3292">
        <v>60</v>
      </c>
      <c r="BI3292">
        <v>14</v>
      </c>
      <c r="BJ3292">
        <v>19</v>
      </c>
      <c r="BK3292">
        <v>8</v>
      </c>
      <c r="BP3292" s="184"/>
    </row>
    <row r="3293" spans="1:68">
      <c r="A3293">
        <v>38937561</v>
      </c>
      <c r="B3293">
        <v>38937561</v>
      </c>
      <c r="C3293" t="s">
        <v>7018</v>
      </c>
      <c r="D3293" t="s">
        <v>595</v>
      </c>
      <c r="E3293" s="184">
        <v>45105</v>
      </c>
      <c r="G3293" s="184"/>
      <c r="I3293" s="184"/>
      <c r="K3293" s="184"/>
      <c r="M3293" s="184"/>
      <c r="O3293" s="184"/>
      <c r="P3293" t="s">
        <v>7045</v>
      </c>
      <c r="Q3293" t="s">
        <v>7383</v>
      </c>
      <c r="R3293" s="184">
        <v>20533</v>
      </c>
      <c r="S3293">
        <v>68</v>
      </c>
      <c r="U3293" t="s">
        <v>7031</v>
      </c>
      <c r="V3293" t="s">
        <v>25780</v>
      </c>
      <c r="W3293" t="s">
        <v>2049</v>
      </c>
      <c r="X3293" t="s">
        <v>25781</v>
      </c>
      <c r="AF3293" t="s">
        <v>25782</v>
      </c>
      <c r="AG3293" t="s">
        <v>25780</v>
      </c>
      <c r="AI3293" t="s">
        <v>25783</v>
      </c>
      <c r="AM3293" t="s">
        <v>3245</v>
      </c>
      <c r="AN3293" t="s">
        <v>2274</v>
      </c>
      <c r="AO3293" t="s">
        <v>25784</v>
      </c>
      <c r="AP3293" t="s">
        <v>7024</v>
      </c>
      <c r="AQ3293" t="s">
        <v>25785</v>
      </c>
      <c r="AR3293" t="s">
        <v>25786</v>
      </c>
      <c r="AT3293" s="184">
        <v>41961</v>
      </c>
      <c r="AU3293" t="s">
        <v>25787</v>
      </c>
      <c r="AV3293">
        <v>10</v>
      </c>
      <c r="AW3293" s="184">
        <v>45067</v>
      </c>
      <c r="AX3293" t="s">
        <v>25788</v>
      </c>
      <c r="AY3293">
        <v>11</v>
      </c>
      <c r="AZ3293" s="184">
        <v>43696</v>
      </c>
      <c r="BA3293" t="s">
        <v>25789</v>
      </c>
      <c r="BB3293">
        <v>18</v>
      </c>
      <c r="BC3293">
        <v>91</v>
      </c>
      <c r="BD3293">
        <v>132</v>
      </c>
      <c r="BE3293">
        <v>2015</v>
      </c>
      <c r="BF3293">
        <v>10</v>
      </c>
      <c r="BG3293">
        <v>2</v>
      </c>
      <c r="BH3293">
        <v>21</v>
      </c>
      <c r="BI3293">
        <v>10</v>
      </c>
      <c r="BJ3293">
        <v>11</v>
      </c>
      <c r="BK3293">
        <v>10</v>
      </c>
      <c r="BP3293" s="184"/>
    </row>
    <row r="3294" spans="1:68">
      <c r="A3294">
        <v>38956207</v>
      </c>
      <c r="B3294">
        <v>38956207</v>
      </c>
      <c r="C3294" t="s">
        <v>7018</v>
      </c>
      <c r="D3294" t="s">
        <v>595</v>
      </c>
      <c r="E3294" s="184">
        <v>44217</v>
      </c>
      <c r="G3294" s="184"/>
      <c r="I3294" s="184"/>
      <c r="K3294" s="184"/>
      <c r="O3294" s="184"/>
      <c r="P3294" t="s">
        <v>7045</v>
      </c>
      <c r="Q3294" t="s">
        <v>7030</v>
      </c>
      <c r="R3294" s="184">
        <v>16803</v>
      </c>
      <c r="S3294">
        <v>78</v>
      </c>
      <c r="V3294" t="s">
        <v>3468</v>
      </c>
      <c r="W3294" t="s">
        <v>2049</v>
      </c>
      <c r="X3294" t="s">
        <v>25790</v>
      </c>
      <c r="Z3294">
        <v>100586816</v>
      </c>
      <c r="AB3294" t="s">
        <v>4676</v>
      </c>
      <c r="AD3294" t="s">
        <v>25790</v>
      </c>
      <c r="AF3294" t="s">
        <v>25791</v>
      </c>
      <c r="AG3294" t="s">
        <v>25792</v>
      </c>
      <c r="AI3294" t="s">
        <v>25793</v>
      </c>
      <c r="AM3294" t="s">
        <v>2564</v>
      </c>
      <c r="AN3294" t="s">
        <v>2089</v>
      </c>
      <c r="AO3294" t="s">
        <v>25794</v>
      </c>
      <c r="AP3294" t="s">
        <v>7024</v>
      </c>
      <c r="AQ3294" t="s">
        <v>25795</v>
      </c>
      <c r="AR3294" t="s">
        <v>25796</v>
      </c>
      <c r="AT3294" s="184">
        <v>40637</v>
      </c>
      <c r="AU3294" t="s">
        <v>25797</v>
      </c>
      <c r="AV3294">
        <v>25</v>
      </c>
      <c r="AW3294" s="184">
        <v>45384</v>
      </c>
      <c r="AX3294" t="s">
        <v>8008</v>
      </c>
      <c r="AY3294">
        <v>35</v>
      </c>
      <c r="AZ3294" s="184">
        <v>42779</v>
      </c>
      <c r="BA3294" t="s">
        <v>24508</v>
      </c>
      <c r="BB3294">
        <v>87</v>
      </c>
      <c r="BC3294">
        <v>65</v>
      </c>
      <c r="BD3294">
        <v>497</v>
      </c>
      <c r="BE3294">
        <v>2011</v>
      </c>
      <c r="BF3294">
        <v>12</v>
      </c>
      <c r="BG3294">
        <v>2</v>
      </c>
      <c r="BH3294">
        <v>75</v>
      </c>
      <c r="BI3294">
        <v>9</v>
      </c>
      <c r="BJ3294">
        <v>14</v>
      </c>
      <c r="BK3294">
        <v>3</v>
      </c>
      <c r="BP3294" s="184"/>
    </row>
    <row r="3295" spans="1:68">
      <c r="A3295">
        <v>100586816</v>
      </c>
      <c r="B3295">
        <v>38956207</v>
      </c>
      <c r="C3295" t="s">
        <v>7018</v>
      </c>
      <c r="D3295" t="s">
        <v>595</v>
      </c>
      <c r="E3295" s="184">
        <v>44217</v>
      </c>
      <c r="G3295" s="184"/>
      <c r="I3295" s="184"/>
      <c r="K3295" s="184"/>
      <c r="M3295" s="184"/>
      <c r="O3295" s="184"/>
      <c r="P3295" t="s">
        <v>7045</v>
      </c>
      <c r="Q3295" t="s">
        <v>7030</v>
      </c>
      <c r="R3295" s="184">
        <v>17492</v>
      </c>
      <c r="S3295">
        <v>76</v>
      </c>
      <c r="V3295" t="s">
        <v>4676</v>
      </c>
      <c r="X3295" t="s">
        <v>25790</v>
      </c>
      <c r="Z3295">
        <v>38956207</v>
      </c>
      <c r="AB3295" t="s">
        <v>3468</v>
      </c>
      <c r="AC3295" t="s">
        <v>2049</v>
      </c>
      <c r="AD3295" t="s">
        <v>25790</v>
      </c>
      <c r="AF3295" t="s">
        <v>25791</v>
      </c>
      <c r="AG3295" t="s">
        <v>25792</v>
      </c>
      <c r="AI3295" t="s">
        <v>25793</v>
      </c>
      <c r="AM3295" t="s">
        <v>2564</v>
      </c>
      <c r="AN3295" t="s">
        <v>2089</v>
      </c>
      <c r="AO3295" t="s">
        <v>25794</v>
      </c>
      <c r="AP3295" t="s">
        <v>7024</v>
      </c>
      <c r="AQ3295" t="s">
        <v>25795</v>
      </c>
      <c r="AT3295" s="184">
        <v>44630</v>
      </c>
      <c r="AU3295" t="s">
        <v>25798</v>
      </c>
      <c r="AV3295">
        <v>50</v>
      </c>
      <c r="AW3295" s="184">
        <v>44630</v>
      </c>
      <c r="AX3295" t="s">
        <v>25798</v>
      </c>
      <c r="AY3295">
        <v>50</v>
      </c>
      <c r="AZ3295" s="184">
        <v>44630</v>
      </c>
      <c r="BA3295" t="s">
        <v>25798</v>
      </c>
      <c r="BB3295">
        <v>50</v>
      </c>
      <c r="BC3295">
        <v>34</v>
      </c>
      <c r="BD3295">
        <v>50</v>
      </c>
      <c r="BE3295">
        <v>2022</v>
      </c>
      <c r="BF3295">
        <v>1</v>
      </c>
      <c r="BI3295">
        <v>1</v>
      </c>
      <c r="BJ3295">
        <v>3</v>
      </c>
      <c r="BK3295">
        <v>1</v>
      </c>
      <c r="BP3295" s="184"/>
    </row>
    <row r="3296" spans="1:68">
      <c r="A3296">
        <v>38992749</v>
      </c>
      <c r="B3296">
        <v>38992749</v>
      </c>
      <c r="C3296" t="s">
        <v>7018</v>
      </c>
      <c r="D3296" t="s">
        <v>595</v>
      </c>
      <c r="E3296" s="184">
        <v>45195</v>
      </c>
      <c r="G3296" s="184"/>
      <c r="I3296" s="184"/>
      <c r="K3296" s="184"/>
      <c r="O3296" s="184"/>
      <c r="P3296" t="s">
        <v>7045</v>
      </c>
      <c r="Q3296" t="s">
        <v>7030</v>
      </c>
      <c r="R3296" s="184">
        <v>22341</v>
      </c>
      <c r="S3296">
        <v>63</v>
      </c>
      <c r="U3296" t="s">
        <v>7076</v>
      </c>
      <c r="V3296" t="s">
        <v>2602</v>
      </c>
      <c r="W3296" t="s">
        <v>4139</v>
      </c>
      <c r="X3296" t="s">
        <v>25799</v>
      </c>
      <c r="AF3296" t="s">
        <v>25800</v>
      </c>
      <c r="AG3296" t="s">
        <v>2602</v>
      </c>
      <c r="AI3296" t="s">
        <v>25801</v>
      </c>
      <c r="AM3296" t="s">
        <v>4424</v>
      </c>
      <c r="AN3296" t="s">
        <v>2089</v>
      </c>
      <c r="AO3296" t="s">
        <v>25802</v>
      </c>
      <c r="AP3296" t="s">
        <v>7024</v>
      </c>
      <c r="AQ3296" t="s">
        <v>25803</v>
      </c>
      <c r="AR3296" t="s">
        <v>25804</v>
      </c>
      <c r="AT3296" s="184">
        <v>42086</v>
      </c>
      <c r="AU3296" t="s">
        <v>25805</v>
      </c>
      <c r="AV3296">
        <v>25</v>
      </c>
      <c r="AW3296" s="184">
        <v>45384</v>
      </c>
      <c r="AX3296" t="s">
        <v>8008</v>
      </c>
      <c r="AY3296">
        <v>25</v>
      </c>
      <c r="AZ3296" s="184">
        <v>45384</v>
      </c>
      <c r="BA3296" t="s">
        <v>8008</v>
      </c>
      <c r="BB3296">
        <v>25</v>
      </c>
      <c r="BC3296">
        <v>90</v>
      </c>
      <c r="BD3296">
        <v>250</v>
      </c>
      <c r="BE3296">
        <v>2015</v>
      </c>
      <c r="BF3296">
        <v>10</v>
      </c>
      <c r="BG3296">
        <v>2</v>
      </c>
      <c r="BH3296">
        <v>50</v>
      </c>
      <c r="BI3296">
        <v>9</v>
      </c>
      <c r="BJ3296">
        <v>10</v>
      </c>
      <c r="BK3296">
        <v>5</v>
      </c>
      <c r="BP3296" s="184"/>
    </row>
    <row r="3297" spans="1:68">
      <c r="A3297">
        <v>39012794</v>
      </c>
      <c r="B3297">
        <v>39012794</v>
      </c>
      <c r="C3297" t="s">
        <v>7018</v>
      </c>
      <c r="E3297" s="184"/>
      <c r="F3297" t="s">
        <v>595</v>
      </c>
      <c r="G3297" s="184">
        <v>45104</v>
      </c>
      <c r="I3297" s="184"/>
      <c r="J3297" t="s">
        <v>595</v>
      </c>
      <c r="K3297" s="184">
        <v>45124</v>
      </c>
      <c r="M3297" s="184"/>
      <c r="O3297" s="184"/>
      <c r="P3297" t="s">
        <v>7045</v>
      </c>
      <c r="Q3297" t="s">
        <v>7383</v>
      </c>
      <c r="R3297" s="184">
        <v>18080</v>
      </c>
      <c r="S3297">
        <v>74</v>
      </c>
      <c r="V3297" t="s">
        <v>11393</v>
      </c>
      <c r="X3297" t="s">
        <v>25806</v>
      </c>
      <c r="Z3297">
        <v>100113806</v>
      </c>
      <c r="AB3297" t="s">
        <v>3562</v>
      </c>
      <c r="AD3297" t="s">
        <v>25806</v>
      </c>
      <c r="AF3297" t="s">
        <v>25807</v>
      </c>
      <c r="AG3297" t="s">
        <v>25808</v>
      </c>
      <c r="AI3297" t="s">
        <v>25809</v>
      </c>
      <c r="AM3297" t="s">
        <v>22592</v>
      </c>
      <c r="AN3297" t="s">
        <v>2274</v>
      </c>
      <c r="AO3297" t="s">
        <v>25810</v>
      </c>
      <c r="AP3297" t="s">
        <v>7024</v>
      </c>
      <c r="AQ3297" t="s">
        <v>25811</v>
      </c>
      <c r="AR3297" t="s">
        <v>25812</v>
      </c>
      <c r="AT3297" s="184">
        <v>43095</v>
      </c>
      <c r="AU3297" t="s">
        <v>25813</v>
      </c>
      <c r="AV3297">
        <v>20</v>
      </c>
      <c r="AW3297" s="184">
        <v>44592</v>
      </c>
      <c r="AX3297" t="s">
        <v>25814</v>
      </c>
      <c r="AY3297">
        <v>100</v>
      </c>
      <c r="AZ3297" s="184">
        <v>44253</v>
      </c>
      <c r="BA3297" t="s">
        <v>25815</v>
      </c>
      <c r="BB3297">
        <v>150</v>
      </c>
      <c r="BC3297">
        <v>63</v>
      </c>
      <c r="BD3297">
        <v>595</v>
      </c>
      <c r="BE3297">
        <v>2018</v>
      </c>
      <c r="BF3297">
        <v>7</v>
      </c>
      <c r="BI3297">
        <v>5</v>
      </c>
      <c r="BJ3297">
        <v>8</v>
      </c>
      <c r="BK3297">
        <v>4</v>
      </c>
      <c r="BP3297" s="184"/>
    </row>
    <row r="3298" spans="1:68">
      <c r="A3298">
        <v>100113806</v>
      </c>
      <c r="B3298">
        <v>39012794</v>
      </c>
      <c r="C3298" t="s">
        <v>7018</v>
      </c>
      <c r="E3298" s="184"/>
      <c r="F3298" t="s">
        <v>595</v>
      </c>
      <c r="G3298" s="184">
        <v>45104</v>
      </c>
      <c r="I3298" s="184"/>
      <c r="J3298" t="s">
        <v>595</v>
      </c>
      <c r="K3298" s="184">
        <v>45124</v>
      </c>
      <c r="O3298" s="184"/>
      <c r="P3298" t="s">
        <v>7045</v>
      </c>
      <c r="Q3298" t="s">
        <v>7383</v>
      </c>
      <c r="R3298" s="184">
        <v>16430</v>
      </c>
      <c r="S3298">
        <v>79</v>
      </c>
      <c r="V3298" t="s">
        <v>3562</v>
      </c>
      <c r="X3298" t="s">
        <v>25806</v>
      </c>
      <c r="Z3298">
        <v>39012794</v>
      </c>
      <c r="AB3298" t="s">
        <v>11393</v>
      </c>
      <c r="AD3298" t="s">
        <v>25806</v>
      </c>
      <c r="AF3298" t="s">
        <v>25807</v>
      </c>
      <c r="AG3298" t="s">
        <v>25808</v>
      </c>
      <c r="AI3298" t="s">
        <v>25809</v>
      </c>
      <c r="AM3298" t="s">
        <v>22592</v>
      </c>
      <c r="AN3298" t="s">
        <v>2274</v>
      </c>
      <c r="AO3298" t="s">
        <v>25810</v>
      </c>
      <c r="AP3298" t="s">
        <v>7024</v>
      </c>
      <c r="AT3298" s="184"/>
      <c r="AW3298" s="184"/>
      <c r="AZ3298" s="184"/>
      <c r="BP3298" s="184"/>
    </row>
    <row r="3299" spans="1:68">
      <c r="A3299">
        <v>39061551</v>
      </c>
      <c r="B3299">
        <v>39061551</v>
      </c>
      <c r="C3299" t="s">
        <v>7018</v>
      </c>
      <c r="D3299" t="s">
        <v>595</v>
      </c>
      <c r="E3299" s="184">
        <v>43801</v>
      </c>
      <c r="G3299" s="184"/>
      <c r="I3299" s="184"/>
      <c r="K3299" s="184"/>
      <c r="M3299" s="184"/>
      <c r="O3299" s="184"/>
      <c r="P3299" t="s">
        <v>7045</v>
      </c>
      <c r="Q3299" t="s">
        <v>7030</v>
      </c>
      <c r="R3299" s="184">
        <v>15100</v>
      </c>
      <c r="S3299">
        <v>83</v>
      </c>
      <c r="U3299" t="s">
        <v>7032</v>
      </c>
      <c r="V3299" t="s">
        <v>3179</v>
      </c>
      <c r="X3299" t="s">
        <v>2768</v>
      </c>
      <c r="Z3299">
        <v>100114014</v>
      </c>
      <c r="AA3299" t="s">
        <v>7032</v>
      </c>
      <c r="AB3299" t="s">
        <v>3080</v>
      </c>
      <c r="AD3299" t="s">
        <v>2768</v>
      </c>
      <c r="AF3299" t="s">
        <v>25816</v>
      </c>
      <c r="AG3299" t="s">
        <v>25817</v>
      </c>
      <c r="AI3299" t="s">
        <v>25818</v>
      </c>
      <c r="AM3299" t="s">
        <v>4420</v>
      </c>
      <c r="AN3299" t="s">
        <v>2089</v>
      </c>
      <c r="AO3299" t="s">
        <v>25819</v>
      </c>
      <c r="AP3299" t="s">
        <v>7024</v>
      </c>
      <c r="AQ3299" t="s">
        <v>25820</v>
      </c>
      <c r="AR3299" t="s">
        <v>25821</v>
      </c>
      <c r="AT3299" s="184">
        <v>38925</v>
      </c>
      <c r="AU3299" t="s">
        <v>25822</v>
      </c>
      <c r="AV3299">
        <v>25</v>
      </c>
      <c r="AW3299" s="184">
        <v>45372</v>
      </c>
      <c r="AX3299" t="s">
        <v>25823</v>
      </c>
      <c r="AY3299">
        <v>75</v>
      </c>
      <c r="AZ3299" s="184">
        <v>44686</v>
      </c>
      <c r="BA3299" t="s">
        <v>25824</v>
      </c>
      <c r="BB3299">
        <v>100</v>
      </c>
      <c r="BC3299">
        <v>95</v>
      </c>
      <c r="BD3299">
        <v>1290</v>
      </c>
      <c r="BE3299">
        <v>2007</v>
      </c>
      <c r="BF3299">
        <v>24</v>
      </c>
      <c r="BG3299">
        <v>2</v>
      </c>
      <c r="BH3299">
        <v>125</v>
      </c>
      <c r="BI3299">
        <v>18</v>
      </c>
      <c r="BJ3299">
        <v>19</v>
      </c>
      <c r="BK3299">
        <v>16</v>
      </c>
      <c r="BN3299" t="s">
        <v>595</v>
      </c>
      <c r="BP3299" s="184"/>
    </row>
    <row r="3300" spans="1:68">
      <c r="A3300">
        <v>100114014</v>
      </c>
      <c r="B3300">
        <v>39061551</v>
      </c>
      <c r="C3300" t="s">
        <v>7018</v>
      </c>
      <c r="D3300" t="s">
        <v>595</v>
      </c>
      <c r="E3300" s="184">
        <v>43801</v>
      </c>
      <c r="G3300" s="184"/>
      <c r="I3300" s="184"/>
      <c r="K3300" s="184"/>
      <c r="O3300" s="184"/>
      <c r="P3300" t="s">
        <v>7045</v>
      </c>
      <c r="Q3300" t="s">
        <v>7030</v>
      </c>
      <c r="R3300" s="184">
        <v>14431</v>
      </c>
      <c r="S3300">
        <v>84</v>
      </c>
      <c r="U3300" t="s">
        <v>7032</v>
      </c>
      <c r="V3300" t="s">
        <v>3080</v>
      </c>
      <c r="X3300" t="s">
        <v>2768</v>
      </c>
      <c r="Z3300">
        <v>39061551</v>
      </c>
      <c r="AA3300" t="s">
        <v>7032</v>
      </c>
      <c r="AB3300" t="s">
        <v>3179</v>
      </c>
      <c r="AD3300" t="s">
        <v>2768</v>
      </c>
      <c r="AF3300" t="s">
        <v>25816</v>
      </c>
      <c r="AG3300" t="s">
        <v>25817</v>
      </c>
      <c r="AI3300" t="s">
        <v>25818</v>
      </c>
      <c r="AM3300" t="s">
        <v>4420</v>
      </c>
      <c r="AN3300" t="s">
        <v>2089</v>
      </c>
      <c r="AO3300" t="s">
        <v>25819</v>
      </c>
      <c r="AP3300" t="s">
        <v>7024</v>
      </c>
      <c r="AT3300" s="184"/>
      <c r="AW3300" s="184"/>
      <c r="AZ3300" s="184"/>
      <c r="BP3300" s="184"/>
    </row>
    <row r="3301" spans="1:68">
      <c r="A3301">
        <v>39072574</v>
      </c>
      <c r="B3301">
        <v>39072574</v>
      </c>
      <c r="C3301" t="s">
        <v>7018</v>
      </c>
      <c r="E3301" s="184"/>
      <c r="G3301" s="184"/>
      <c r="H3301" t="s">
        <v>595</v>
      </c>
      <c r="I3301" s="184">
        <v>44998</v>
      </c>
      <c r="K3301" s="184"/>
      <c r="M3301" s="184"/>
      <c r="O3301" s="184"/>
      <c r="P3301" t="s">
        <v>7045</v>
      </c>
      <c r="Q3301" t="s">
        <v>7383</v>
      </c>
      <c r="R3301" s="184">
        <v>12936</v>
      </c>
      <c r="S3301">
        <v>88</v>
      </c>
      <c r="V3301" t="s">
        <v>2832</v>
      </c>
      <c r="X3301" t="s">
        <v>2512</v>
      </c>
      <c r="AF3301" t="s">
        <v>25825</v>
      </c>
      <c r="AG3301" t="s">
        <v>2832</v>
      </c>
      <c r="AI3301" t="s">
        <v>25826</v>
      </c>
      <c r="AM3301" t="s">
        <v>21366</v>
      </c>
      <c r="AN3301" t="s">
        <v>2274</v>
      </c>
      <c r="AO3301" t="s">
        <v>25827</v>
      </c>
      <c r="AP3301" t="s">
        <v>7024</v>
      </c>
      <c r="AQ3301" t="s">
        <v>25828</v>
      </c>
      <c r="AT3301" s="184">
        <v>38820</v>
      </c>
      <c r="AU3301" t="s">
        <v>25829</v>
      </c>
      <c r="AV3301">
        <v>25</v>
      </c>
      <c r="AW3301" s="184">
        <v>45316</v>
      </c>
      <c r="AX3301" t="s">
        <v>24666</v>
      </c>
      <c r="AY3301">
        <v>100</v>
      </c>
      <c r="AZ3301" s="184">
        <v>45316</v>
      </c>
      <c r="BA3301" t="s">
        <v>24666</v>
      </c>
      <c r="BB3301">
        <v>100</v>
      </c>
      <c r="BC3301">
        <v>64</v>
      </c>
      <c r="BD3301">
        <v>1007</v>
      </c>
      <c r="BE3301">
        <v>2006</v>
      </c>
      <c r="BF3301">
        <v>16</v>
      </c>
      <c r="BG3301">
        <v>1</v>
      </c>
      <c r="BH3301">
        <v>100</v>
      </c>
      <c r="BI3301">
        <v>12</v>
      </c>
      <c r="BJ3301">
        <v>19</v>
      </c>
      <c r="BK3301">
        <v>4</v>
      </c>
      <c r="BP3301" s="184"/>
    </row>
    <row r="3302" spans="1:68">
      <c r="A3302">
        <v>39105853</v>
      </c>
      <c r="B3302">
        <v>39105853</v>
      </c>
      <c r="C3302" t="s">
        <v>7018</v>
      </c>
      <c r="D3302" t="s">
        <v>595</v>
      </c>
      <c r="E3302" s="184">
        <v>44167</v>
      </c>
      <c r="G3302" s="184"/>
      <c r="I3302" s="184"/>
      <c r="K3302" s="184"/>
      <c r="M3302" s="184"/>
      <c r="O3302" s="184"/>
      <c r="P3302" t="s">
        <v>7019</v>
      </c>
      <c r="Q3302" t="s">
        <v>7160</v>
      </c>
      <c r="R3302" s="184">
        <v>21033</v>
      </c>
      <c r="S3302">
        <v>66</v>
      </c>
      <c r="U3302" t="s">
        <v>7130</v>
      </c>
      <c r="V3302" t="s">
        <v>7446</v>
      </c>
      <c r="X3302" t="s">
        <v>2697</v>
      </c>
      <c r="AF3302" t="s">
        <v>25830</v>
      </c>
      <c r="AG3302" t="s">
        <v>7446</v>
      </c>
      <c r="AI3302" t="s">
        <v>25831</v>
      </c>
      <c r="AM3302" t="s">
        <v>25832</v>
      </c>
      <c r="AN3302" t="s">
        <v>2395</v>
      </c>
      <c r="AO3302" t="s">
        <v>25833</v>
      </c>
      <c r="AP3302" t="s">
        <v>7024</v>
      </c>
      <c r="AQ3302" t="s">
        <v>25834</v>
      </c>
      <c r="AT3302" s="184">
        <v>39804</v>
      </c>
      <c r="AU3302" t="s">
        <v>25835</v>
      </c>
      <c r="AV3302">
        <v>25</v>
      </c>
      <c r="AW3302" s="184">
        <v>44856</v>
      </c>
      <c r="AX3302" t="s">
        <v>12751</v>
      </c>
      <c r="AY3302">
        <v>35</v>
      </c>
      <c r="AZ3302" s="184">
        <v>44831</v>
      </c>
      <c r="BA3302" t="s">
        <v>25836</v>
      </c>
      <c r="BB3302">
        <v>60</v>
      </c>
      <c r="BC3302">
        <v>59</v>
      </c>
      <c r="BD3302">
        <v>420</v>
      </c>
      <c r="BE3302">
        <v>2009</v>
      </c>
      <c r="BF3302">
        <v>12</v>
      </c>
      <c r="BG3302">
        <v>2</v>
      </c>
      <c r="BH3302">
        <v>95</v>
      </c>
      <c r="BI3302">
        <v>10</v>
      </c>
      <c r="BJ3302">
        <v>17</v>
      </c>
      <c r="BK3302">
        <v>6</v>
      </c>
      <c r="BP3302" s="184"/>
    </row>
    <row r="3303" spans="1:68">
      <c r="A3303">
        <v>39187273</v>
      </c>
      <c r="B3303">
        <v>39187273</v>
      </c>
      <c r="C3303" t="s">
        <v>7018</v>
      </c>
      <c r="E3303" s="184"/>
      <c r="G3303" s="184"/>
      <c r="I3303" s="184"/>
      <c r="J3303" t="s">
        <v>595</v>
      </c>
      <c r="K3303" s="184">
        <v>44073</v>
      </c>
      <c r="O3303" s="184"/>
      <c r="P3303" t="s">
        <v>7045</v>
      </c>
      <c r="Q3303" t="s">
        <v>7454</v>
      </c>
      <c r="R3303" s="184">
        <v>14271</v>
      </c>
      <c r="S3303">
        <v>85</v>
      </c>
      <c r="U3303" t="s">
        <v>7076</v>
      </c>
      <c r="V3303" t="s">
        <v>2903</v>
      </c>
      <c r="X3303" t="s">
        <v>3353</v>
      </c>
      <c r="AF3303" t="s">
        <v>25837</v>
      </c>
      <c r="AG3303" t="s">
        <v>2903</v>
      </c>
      <c r="AI3303" t="s">
        <v>25838</v>
      </c>
      <c r="AM3303" t="s">
        <v>2608</v>
      </c>
      <c r="AN3303" t="s">
        <v>2299</v>
      </c>
      <c r="AO3303" t="s">
        <v>25839</v>
      </c>
      <c r="AP3303" t="s">
        <v>7024</v>
      </c>
      <c r="AQ3303" t="s">
        <v>25840</v>
      </c>
      <c r="AT3303" s="184">
        <v>39948</v>
      </c>
      <c r="AU3303" t="s">
        <v>25841</v>
      </c>
      <c r="AV3303">
        <v>15</v>
      </c>
      <c r="AW3303" s="184">
        <v>43979</v>
      </c>
      <c r="AX3303" t="s">
        <v>25842</v>
      </c>
      <c r="AY3303">
        <v>50</v>
      </c>
      <c r="AZ3303" s="184">
        <v>42838</v>
      </c>
      <c r="BA3303" t="s">
        <v>7765</v>
      </c>
      <c r="BB3303">
        <v>75</v>
      </c>
      <c r="BC3303">
        <v>75</v>
      </c>
      <c r="BD3303">
        <v>1115</v>
      </c>
      <c r="BE3303">
        <v>2009</v>
      </c>
      <c r="BF3303">
        <v>21</v>
      </c>
      <c r="BI3303">
        <v>12</v>
      </c>
      <c r="BJ3303">
        <v>16</v>
      </c>
      <c r="BK3303">
        <v>12</v>
      </c>
      <c r="BN3303" t="s">
        <v>595</v>
      </c>
      <c r="BP3303" s="184"/>
    </row>
    <row r="3304" spans="1:68">
      <c r="A3304">
        <v>39249545</v>
      </c>
      <c r="B3304">
        <v>39249545</v>
      </c>
      <c r="C3304" t="s">
        <v>7018</v>
      </c>
      <c r="D3304" t="s">
        <v>595</v>
      </c>
      <c r="E3304" s="184">
        <v>43864</v>
      </c>
      <c r="G3304" s="184"/>
      <c r="I3304" s="184"/>
      <c r="K3304" s="184"/>
      <c r="M3304" s="184"/>
      <c r="O3304" s="184"/>
      <c r="P3304" t="s">
        <v>7045</v>
      </c>
      <c r="Q3304" t="s">
        <v>7030</v>
      </c>
      <c r="R3304" s="184">
        <v>24200</v>
      </c>
      <c r="S3304">
        <v>58</v>
      </c>
      <c r="U3304" t="s">
        <v>7076</v>
      </c>
      <c r="V3304" t="s">
        <v>4720</v>
      </c>
      <c r="X3304" t="s">
        <v>4721</v>
      </c>
      <c r="AF3304" t="s">
        <v>25843</v>
      </c>
      <c r="AG3304" t="s">
        <v>4720</v>
      </c>
      <c r="AI3304" t="s">
        <v>25844</v>
      </c>
      <c r="AM3304" t="s">
        <v>4722</v>
      </c>
      <c r="AN3304" t="s">
        <v>2089</v>
      </c>
      <c r="AO3304" t="s">
        <v>25845</v>
      </c>
      <c r="AP3304" t="s">
        <v>7024</v>
      </c>
      <c r="AQ3304" t="s">
        <v>25846</v>
      </c>
      <c r="AT3304" s="184">
        <v>38887</v>
      </c>
      <c r="AU3304" t="s">
        <v>25847</v>
      </c>
      <c r="AV3304">
        <v>25</v>
      </c>
      <c r="AW3304" s="184">
        <v>45099</v>
      </c>
      <c r="AX3304" t="s">
        <v>14755</v>
      </c>
      <c r="AY3304">
        <v>100</v>
      </c>
      <c r="AZ3304" s="184">
        <v>45099</v>
      </c>
      <c r="BA3304" t="s">
        <v>14755</v>
      </c>
      <c r="BB3304">
        <v>100</v>
      </c>
      <c r="BC3304">
        <v>90</v>
      </c>
      <c r="BD3304">
        <v>1720</v>
      </c>
      <c r="BE3304">
        <v>2006</v>
      </c>
      <c r="BF3304">
        <v>33</v>
      </c>
      <c r="BG3304">
        <v>2</v>
      </c>
      <c r="BH3304">
        <v>200</v>
      </c>
      <c r="BI3304">
        <v>17</v>
      </c>
      <c r="BJ3304">
        <v>19</v>
      </c>
      <c r="BK3304">
        <v>16</v>
      </c>
      <c r="BP3304" s="184"/>
    </row>
    <row r="3305" spans="1:68">
      <c r="A3305">
        <v>39301551</v>
      </c>
      <c r="B3305">
        <v>39301551</v>
      </c>
      <c r="C3305" t="s">
        <v>7018</v>
      </c>
      <c r="E3305" s="184"/>
      <c r="G3305" s="184"/>
      <c r="I3305" s="184"/>
      <c r="J3305" t="s">
        <v>595</v>
      </c>
      <c r="K3305" s="184">
        <v>41921</v>
      </c>
      <c r="M3305" s="184"/>
      <c r="O3305" s="184"/>
      <c r="P3305" t="s">
        <v>7045</v>
      </c>
      <c r="Q3305" t="s">
        <v>7160</v>
      </c>
      <c r="R3305" s="184">
        <v>15766</v>
      </c>
      <c r="S3305">
        <v>81</v>
      </c>
      <c r="U3305" t="s">
        <v>7130</v>
      </c>
      <c r="V3305" t="s">
        <v>3554</v>
      </c>
      <c r="X3305" t="s">
        <v>25848</v>
      </c>
      <c r="Z3305">
        <v>100114732</v>
      </c>
      <c r="AA3305" t="s">
        <v>7031</v>
      </c>
      <c r="AB3305" t="s">
        <v>3740</v>
      </c>
      <c r="AD3305" t="s">
        <v>25848</v>
      </c>
      <c r="AF3305" t="s">
        <v>6262</v>
      </c>
      <c r="AG3305" t="s">
        <v>25849</v>
      </c>
      <c r="AI3305" t="s">
        <v>25850</v>
      </c>
      <c r="AM3305" t="s">
        <v>4692</v>
      </c>
      <c r="AN3305" t="s">
        <v>2176</v>
      </c>
      <c r="AO3305" t="s">
        <v>25851</v>
      </c>
      <c r="AP3305" t="s">
        <v>7024</v>
      </c>
      <c r="AQ3305" t="s">
        <v>25852</v>
      </c>
      <c r="AR3305" t="s">
        <v>25853</v>
      </c>
      <c r="AT3305" s="184">
        <v>35102</v>
      </c>
      <c r="AU3305" t="s">
        <v>25854</v>
      </c>
      <c r="AV3305">
        <v>25</v>
      </c>
      <c r="AW3305" s="184">
        <v>43096</v>
      </c>
      <c r="AX3305" t="s">
        <v>25855</v>
      </c>
      <c r="AY3305">
        <v>25</v>
      </c>
      <c r="AZ3305" s="184">
        <v>38482</v>
      </c>
      <c r="BA3305" t="s">
        <v>25856</v>
      </c>
      <c r="BB3305">
        <v>75</v>
      </c>
      <c r="BC3305">
        <v>69</v>
      </c>
      <c r="BD3305">
        <v>2040</v>
      </c>
      <c r="BE3305">
        <v>1996</v>
      </c>
      <c r="BF3305">
        <v>48</v>
      </c>
      <c r="BI3305">
        <v>20</v>
      </c>
      <c r="BJ3305">
        <v>29</v>
      </c>
      <c r="BK3305">
        <v>16</v>
      </c>
      <c r="BP3305" s="184"/>
    </row>
    <row r="3306" spans="1:68">
      <c r="A3306">
        <v>100114732</v>
      </c>
      <c r="B3306">
        <v>39301551</v>
      </c>
      <c r="C3306" t="s">
        <v>7018</v>
      </c>
      <c r="E3306" s="184"/>
      <c r="G3306" s="184"/>
      <c r="I3306" s="184"/>
      <c r="J3306" t="s">
        <v>595</v>
      </c>
      <c r="K3306" s="184">
        <v>41921</v>
      </c>
      <c r="M3306" s="184"/>
      <c r="O3306" s="184"/>
      <c r="P3306" t="s">
        <v>7045</v>
      </c>
      <c r="Q3306" t="s">
        <v>7160</v>
      </c>
      <c r="R3306" s="184">
        <v>15780</v>
      </c>
      <c r="S3306">
        <v>81</v>
      </c>
      <c r="U3306" t="s">
        <v>7031</v>
      </c>
      <c r="V3306" t="s">
        <v>3740</v>
      </c>
      <c r="X3306" t="s">
        <v>25848</v>
      </c>
      <c r="Z3306">
        <v>39301551</v>
      </c>
      <c r="AA3306" t="s">
        <v>7130</v>
      </c>
      <c r="AB3306" t="s">
        <v>3554</v>
      </c>
      <c r="AD3306" t="s">
        <v>25848</v>
      </c>
      <c r="AF3306" t="s">
        <v>6262</v>
      </c>
      <c r="AG3306" t="s">
        <v>25849</v>
      </c>
      <c r="AI3306" t="s">
        <v>25850</v>
      </c>
      <c r="AM3306" t="s">
        <v>4692</v>
      </c>
      <c r="AN3306" t="s">
        <v>2176</v>
      </c>
      <c r="AO3306" t="s">
        <v>25851</v>
      </c>
      <c r="AP3306" t="s">
        <v>7024</v>
      </c>
      <c r="AQ3306" t="s">
        <v>25857</v>
      </c>
      <c r="AT3306" s="184"/>
      <c r="AW3306" s="184"/>
      <c r="AZ3306" s="184"/>
      <c r="BP3306" s="184"/>
    </row>
    <row r="3307" spans="1:68">
      <c r="A3307">
        <v>39303904</v>
      </c>
      <c r="B3307">
        <v>39303904</v>
      </c>
      <c r="C3307" t="s">
        <v>7018</v>
      </c>
      <c r="E3307" s="184"/>
      <c r="G3307" s="184"/>
      <c r="I3307" s="184"/>
      <c r="J3307" t="s">
        <v>595</v>
      </c>
      <c r="K3307" s="184">
        <v>39497</v>
      </c>
      <c r="M3307" s="184"/>
      <c r="O3307" s="184"/>
      <c r="P3307" t="s">
        <v>7084</v>
      </c>
      <c r="Q3307" t="s">
        <v>7160</v>
      </c>
      <c r="R3307" s="184">
        <v>17437</v>
      </c>
      <c r="S3307">
        <v>76</v>
      </c>
      <c r="U3307" t="s">
        <v>7032</v>
      </c>
      <c r="V3307" t="s">
        <v>2697</v>
      </c>
      <c r="W3307" t="s">
        <v>7067</v>
      </c>
      <c r="X3307" t="s">
        <v>5443</v>
      </c>
      <c r="Z3307">
        <v>100114738</v>
      </c>
      <c r="AA3307" t="s">
        <v>7076</v>
      </c>
      <c r="AB3307" t="s">
        <v>5446</v>
      </c>
      <c r="AD3307" t="s">
        <v>5447</v>
      </c>
      <c r="AF3307" t="s">
        <v>25858</v>
      </c>
      <c r="AG3307" t="s">
        <v>25859</v>
      </c>
      <c r="AI3307" t="s">
        <v>25860</v>
      </c>
      <c r="AM3307" t="s">
        <v>5444</v>
      </c>
      <c r="AN3307" t="s">
        <v>2395</v>
      </c>
      <c r="AO3307" t="s">
        <v>25861</v>
      </c>
      <c r="AP3307" t="s">
        <v>7024</v>
      </c>
      <c r="AQ3307" t="s">
        <v>25862</v>
      </c>
      <c r="AR3307" t="s">
        <v>25863</v>
      </c>
      <c r="AT3307" s="184">
        <v>31590</v>
      </c>
      <c r="AU3307" t="s">
        <v>8659</v>
      </c>
      <c r="AV3307">
        <v>22</v>
      </c>
      <c r="AW3307" s="184">
        <v>45366</v>
      </c>
      <c r="AX3307" t="s">
        <v>25864</v>
      </c>
      <c r="AY3307">
        <v>500</v>
      </c>
      <c r="AZ3307" s="184">
        <v>44634</v>
      </c>
      <c r="BA3307" t="s">
        <v>25865</v>
      </c>
      <c r="BB3307">
        <v>33923</v>
      </c>
      <c r="BC3307">
        <v>90</v>
      </c>
      <c r="BD3307">
        <v>240220.64</v>
      </c>
      <c r="BE3307">
        <v>1986</v>
      </c>
      <c r="BF3307">
        <v>89</v>
      </c>
      <c r="BG3307">
        <v>6</v>
      </c>
      <c r="BH3307">
        <v>39500</v>
      </c>
      <c r="BI3307">
        <v>35</v>
      </c>
      <c r="BJ3307">
        <v>39</v>
      </c>
      <c r="BK3307">
        <v>19</v>
      </c>
      <c r="BP3307" s="184"/>
    </row>
    <row r="3308" spans="1:68">
      <c r="A3308">
        <v>100114738</v>
      </c>
      <c r="B3308">
        <v>39303904</v>
      </c>
      <c r="C3308" t="s">
        <v>7018</v>
      </c>
      <c r="E3308" s="184"/>
      <c r="G3308" s="184"/>
      <c r="I3308" s="184"/>
      <c r="J3308" t="s">
        <v>595</v>
      </c>
      <c r="K3308" s="184">
        <v>43760</v>
      </c>
      <c r="M3308" s="184"/>
      <c r="O3308" s="184"/>
      <c r="P3308" t="s">
        <v>7084</v>
      </c>
      <c r="Q3308" t="s">
        <v>7160</v>
      </c>
      <c r="R3308" s="184">
        <v>20302</v>
      </c>
      <c r="S3308">
        <v>68</v>
      </c>
      <c r="U3308" t="s">
        <v>7076</v>
      </c>
      <c r="V3308" t="s">
        <v>5446</v>
      </c>
      <c r="X3308" t="s">
        <v>5447</v>
      </c>
      <c r="Z3308">
        <v>39303904</v>
      </c>
      <c r="AA3308" t="s">
        <v>7032</v>
      </c>
      <c r="AB3308" t="s">
        <v>2697</v>
      </c>
      <c r="AC3308" t="s">
        <v>7067</v>
      </c>
      <c r="AD3308" t="s">
        <v>5443</v>
      </c>
      <c r="AF3308" t="s">
        <v>25858</v>
      </c>
      <c r="AG3308" t="s">
        <v>25859</v>
      </c>
      <c r="AI3308" t="s">
        <v>25860</v>
      </c>
      <c r="AM3308" t="s">
        <v>5444</v>
      </c>
      <c r="AN3308" t="s">
        <v>2395</v>
      </c>
      <c r="AO3308" t="s">
        <v>25861</v>
      </c>
      <c r="AP3308" t="s">
        <v>7024</v>
      </c>
      <c r="AQ3308" t="s">
        <v>25866</v>
      </c>
      <c r="AT3308" s="184">
        <v>45014</v>
      </c>
      <c r="AU3308" t="s">
        <v>25867</v>
      </c>
      <c r="AV3308">
        <v>25</v>
      </c>
      <c r="AW3308" s="184">
        <v>45014</v>
      </c>
      <c r="AX3308" t="s">
        <v>25867</v>
      </c>
      <c r="AY3308">
        <v>25</v>
      </c>
      <c r="AZ3308" s="184">
        <v>45014</v>
      </c>
      <c r="BA3308" t="s">
        <v>25867</v>
      </c>
      <c r="BB3308">
        <v>25</v>
      </c>
      <c r="BC3308">
        <v>50</v>
      </c>
      <c r="BD3308">
        <v>25</v>
      </c>
      <c r="BE3308">
        <v>2023</v>
      </c>
      <c r="BF3308">
        <v>1</v>
      </c>
      <c r="BG3308">
        <v>1</v>
      </c>
      <c r="BH3308">
        <v>25</v>
      </c>
      <c r="BI3308">
        <v>1</v>
      </c>
      <c r="BJ3308">
        <v>2</v>
      </c>
      <c r="BK3308">
        <v>1</v>
      </c>
      <c r="BP3308" s="184"/>
    </row>
    <row r="3309" spans="1:68">
      <c r="A3309">
        <v>39306543</v>
      </c>
      <c r="B3309">
        <v>39306543</v>
      </c>
      <c r="C3309" t="s">
        <v>7018</v>
      </c>
      <c r="D3309" t="s">
        <v>595</v>
      </c>
      <c r="E3309" s="184">
        <v>44455</v>
      </c>
      <c r="G3309" s="184"/>
      <c r="I3309" s="184"/>
      <c r="K3309" s="184"/>
      <c r="M3309" s="184"/>
      <c r="O3309" s="184"/>
      <c r="P3309" t="s">
        <v>7045</v>
      </c>
      <c r="Q3309" t="s">
        <v>7383</v>
      </c>
      <c r="R3309" s="184">
        <v>19391</v>
      </c>
      <c r="S3309">
        <v>71</v>
      </c>
      <c r="U3309" t="s">
        <v>7032</v>
      </c>
      <c r="V3309" t="s">
        <v>5410</v>
      </c>
      <c r="X3309" t="s">
        <v>25868</v>
      </c>
      <c r="AF3309" t="s">
        <v>25869</v>
      </c>
      <c r="AG3309" t="s">
        <v>5410</v>
      </c>
      <c r="AI3309" t="s">
        <v>25870</v>
      </c>
      <c r="AM3309" t="s">
        <v>25871</v>
      </c>
      <c r="AN3309" t="s">
        <v>2313</v>
      </c>
      <c r="AO3309" t="s">
        <v>25872</v>
      </c>
      <c r="AP3309" t="s">
        <v>7024</v>
      </c>
      <c r="AQ3309" t="s">
        <v>25873</v>
      </c>
      <c r="AT3309" s="184">
        <v>40542</v>
      </c>
      <c r="AU3309" t="s">
        <v>25874</v>
      </c>
      <c r="AV3309">
        <v>50</v>
      </c>
      <c r="AW3309" s="184">
        <v>45408</v>
      </c>
      <c r="AX3309" t="s">
        <v>8483</v>
      </c>
      <c r="AY3309">
        <v>10</v>
      </c>
      <c r="AZ3309" s="184">
        <v>43460</v>
      </c>
      <c r="BA3309" t="s">
        <v>25875</v>
      </c>
      <c r="BB3309">
        <v>50</v>
      </c>
      <c r="BC3309">
        <v>60</v>
      </c>
      <c r="BD3309">
        <v>730</v>
      </c>
      <c r="BE3309">
        <v>2011</v>
      </c>
      <c r="BF3309">
        <v>57</v>
      </c>
      <c r="BG3309">
        <v>24</v>
      </c>
      <c r="BH3309">
        <v>240</v>
      </c>
      <c r="BI3309">
        <v>9</v>
      </c>
      <c r="BJ3309">
        <v>15</v>
      </c>
      <c r="BK3309">
        <v>5</v>
      </c>
      <c r="BP3309" s="184"/>
    </row>
    <row r="3310" spans="1:68">
      <c r="A3310">
        <v>39375290</v>
      </c>
      <c r="B3310">
        <v>39375290</v>
      </c>
      <c r="C3310" t="s">
        <v>7018</v>
      </c>
      <c r="D3310" t="s">
        <v>595</v>
      </c>
      <c r="E3310" s="184">
        <v>44152</v>
      </c>
      <c r="G3310" s="184"/>
      <c r="I3310" s="184"/>
      <c r="K3310" s="184"/>
      <c r="M3310" s="184"/>
      <c r="O3310" s="184"/>
      <c r="P3310" t="s">
        <v>7045</v>
      </c>
      <c r="Q3310" t="s">
        <v>7020</v>
      </c>
      <c r="R3310" s="184">
        <v>14936</v>
      </c>
      <c r="S3310">
        <v>83</v>
      </c>
      <c r="U3310" t="s">
        <v>7076</v>
      </c>
      <c r="V3310" t="s">
        <v>25876</v>
      </c>
      <c r="X3310" t="s">
        <v>25877</v>
      </c>
      <c r="AF3310" t="s">
        <v>25878</v>
      </c>
      <c r="AG3310" t="s">
        <v>25876</v>
      </c>
      <c r="AI3310" t="s">
        <v>25879</v>
      </c>
      <c r="AM3310" t="s">
        <v>25880</v>
      </c>
      <c r="AN3310" t="s">
        <v>2206</v>
      </c>
      <c r="AO3310" t="s">
        <v>25881</v>
      </c>
      <c r="AP3310" t="s">
        <v>7024</v>
      </c>
      <c r="AQ3310" t="s">
        <v>25882</v>
      </c>
      <c r="AR3310" t="s">
        <v>25883</v>
      </c>
      <c r="AT3310" s="184">
        <v>43157</v>
      </c>
      <c r="AU3310" t="s">
        <v>25884</v>
      </c>
      <c r="AV3310">
        <v>25</v>
      </c>
      <c r="AW3310" s="184">
        <v>44224</v>
      </c>
      <c r="AX3310" t="s">
        <v>25885</v>
      </c>
      <c r="AY3310">
        <v>50</v>
      </c>
      <c r="AZ3310" s="184">
        <v>44224</v>
      </c>
      <c r="BA3310" t="s">
        <v>25885</v>
      </c>
      <c r="BB3310">
        <v>50</v>
      </c>
      <c r="BC3310">
        <v>58</v>
      </c>
      <c r="BD3310">
        <v>175</v>
      </c>
      <c r="BE3310">
        <v>2018</v>
      </c>
      <c r="BF3310">
        <v>5</v>
      </c>
      <c r="BI3310">
        <v>4</v>
      </c>
      <c r="BJ3310">
        <v>7</v>
      </c>
      <c r="BK3310">
        <v>4</v>
      </c>
      <c r="BN3310" t="s">
        <v>595</v>
      </c>
      <c r="BP3310" s="184"/>
    </row>
    <row r="3311" spans="1:68">
      <c r="A3311">
        <v>39442546</v>
      </c>
      <c r="B3311">
        <v>39442546</v>
      </c>
      <c r="C3311" t="s">
        <v>7018</v>
      </c>
      <c r="D3311" t="s">
        <v>595</v>
      </c>
      <c r="E3311" s="184">
        <v>44104</v>
      </c>
      <c r="G3311" s="184"/>
      <c r="I3311" s="184"/>
      <c r="K3311" s="184"/>
      <c r="O3311" s="184"/>
      <c r="P3311" t="s">
        <v>7045</v>
      </c>
      <c r="Q3311" t="s">
        <v>7383</v>
      </c>
      <c r="R3311" s="184">
        <v>18537</v>
      </c>
      <c r="S3311">
        <v>73</v>
      </c>
      <c r="U3311" t="s">
        <v>7031</v>
      </c>
      <c r="V3311" t="s">
        <v>2982</v>
      </c>
      <c r="X3311" t="s">
        <v>25886</v>
      </c>
      <c r="Z3311">
        <v>100115046</v>
      </c>
      <c r="AB3311" t="s">
        <v>5872</v>
      </c>
      <c r="AD3311" t="s">
        <v>25886</v>
      </c>
      <c r="AF3311" t="s">
        <v>25887</v>
      </c>
      <c r="AG3311" t="s">
        <v>25888</v>
      </c>
      <c r="AI3311" t="s">
        <v>25889</v>
      </c>
      <c r="AM3311" t="s">
        <v>3953</v>
      </c>
      <c r="AN3311" t="s">
        <v>2059</v>
      </c>
      <c r="AO3311" t="s">
        <v>25890</v>
      </c>
      <c r="AP3311" t="s">
        <v>7024</v>
      </c>
      <c r="AQ3311" t="s">
        <v>25891</v>
      </c>
      <c r="AR3311" t="s">
        <v>25892</v>
      </c>
      <c r="AT3311" s="184">
        <v>40206</v>
      </c>
      <c r="AU3311" t="s">
        <v>25893</v>
      </c>
      <c r="AV3311">
        <v>25</v>
      </c>
      <c r="AW3311" s="184">
        <v>45377</v>
      </c>
      <c r="AX3311" t="s">
        <v>25894</v>
      </c>
      <c r="AY3311">
        <v>25</v>
      </c>
      <c r="AZ3311" s="184">
        <v>45141</v>
      </c>
      <c r="BA3311" t="s">
        <v>25895</v>
      </c>
      <c r="BB3311">
        <v>100</v>
      </c>
      <c r="BC3311">
        <v>87</v>
      </c>
      <c r="BD3311">
        <v>927</v>
      </c>
      <c r="BE3311">
        <v>2010</v>
      </c>
      <c r="BF3311">
        <v>21</v>
      </c>
      <c r="BG3311">
        <v>5</v>
      </c>
      <c r="BH3311">
        <v>250</v>
      </c>
      <c r="BI3311">
        <v>13</v>
      </c>
      <c r="BJ3311">
        <v>15</v>
      </c>
      <c r="BK3311">
        <v>12</v>
      </c>
      <c r="BP3311" s="184"/>
    </row>
    <row r="3312" spans="1:68">
      <c r="A3312">
        <v>100115046</v>
      </c>
      <c r="B3312">
        <v>39442546</v>
      </c>
      <c r="C3312" t="s">
        <v>7018</v>
      </c>
      <c r="D3312" t="s">
        <v>595</v>
      </c>
      <c r="E3312" s="184">
        <v>44104</v>
      </c>
      <c r="G3312" s="184"/>
      <c r="I3312" s="184"/>
      <c r="K3312" s="184"/>
      <c r="M3312" s="184"/>
      <c r="O3312" s="184"/>
      <c r="P3312" t="s">
        <v>7045</v>
      </c>
      <c r="Q3312" t="s">
        <v>7383</v>
      </c>
      <c r="R3312" s="184">
        <v>18384</v>
      </c>
      <c r="S3312">
        <v>74</v>
      </c>
      <c r="V3312" t="s">
        <v>5872</v>
      </c>
      <c r="X3312" t="s">
        <v>25886</v>
      </c>
      <c r="Z3312">
        <v>39442546</v>
      </c>
      <c r="AA3312" t="s">
        <v>7031</v>
      </c>
      <c r="AB3312" t="s">
        <v>2982</v>
      </c>
      <c r="AD3312" t="s">
        <v>25886</v>
      </c>
      <c r="AF3312" t="s">
        <v>25887</v>
      </c>
      <c r="AG3312" t="s">
        <v>25888</v>
      </c>
      <c r="AI3312" t="s">
        <v>25889</v>
      </c>
      <c r="AM3312" t="s">
        <v>3953</v>
      </c>
      <c r="AN3312" t="s">
        <v>2059</v>
      </c>
      <c r="AO3312" t="s">
        <v>25890</v>
      </c>
      <c r="AP3312" t="s">
        <v>7024</v>
      </c>
      <c r="AT3312" s="184"/>
      <c r="AW3312" s="184"/>
      <c r="AZ3312" s="184"/>
      <c r="BP3312" s="184"/>
    </row>
    <row r="3313" spans="1:68">
      <c r="A3313">
        <v>39470976</v>
      </c>
      <c r="B3313">
        <v>39470976</v>
      </c>
      <c r="C3313" t="s">
        <v>7018</v>
      </c>
      <c r="E3313" s="184"/>
      <c r="F3313" t="s">
        <v>595</v>
      </c>
      <c r="G3313" s="184">
        <v>43731</v>
      </c>
      <c r="I3313" s="184"/>
      <c r="K3313" s="184"/>
      <c r="M3313" s="184"/>
      <c r="O3313" s="184"/>
      <c r="P3313" t="s">
        <v>7029</v>
      </c>
      <c r="Q3313" t="s">
        <v>7494</v>
      </c>
      <c r="R3313" s="184">
        <v>20821</v>
      </c>
      <c r="S3313">
        <v>67</v>
      </c>
      <c r="V3313" t="s">
        <v>2742</v>
      </c>
      <c r="X3313" t="s">
        <v>2706</v>
      </c>
      <c r="Z3313">
        <v>100115104</v>
      </c>
      <c r="AB3313" t="s">
        <v>2732</v>
      </c>
      <c r="AD3313" t="s">
        <v>2706</v>
      </c>
      <c r="AF3313" t="s">
        <v>25896</v>
      </c>
      <c r="AG3313" t="s">
        <v>25897</v>
      </c>
      <c r="AI3313" t="s">
        <v>25898</v>
      </c>
      <c r="AM3313" t="s">
        <v>3770</v>
      </c>
      <c r="AN3313" t="s">
        <v>2174</v>
      </c>
      <c r="AO3313" t="s">
        <v>25899</v>
      </c>
      <c r="AP3313" t="s">
        <v>7024</v>
      </c>
      <c r="AQ3313" t="s">
        <v>25900</v>
      </c>
      <c r="AR3313" t="s">
        <v>25901</v>
      </c>
      <c r="AT3313" s="184">
        <v>38827</v>
      </c>
      <c r="AU3313" t="s">
        <v>25902</v>
      </c>
      <c r="AV3313">
        <v>50</v>
      </c>
      <c r="AW3313" s="184">
        <v>45286</v>
      </c>
      <c r="AX3313" t="s">
        <v>7382</v>
      </c>
      <c r="AY3313">
        <v>750</v>
      </c>
      <c r="AZ3313" s="184">
        <v>44882</v>
      </c>
      <c r="BA3313" t="s">
        <v>21464</v>
      </c>
      <c r="BB3313">
        <v>1000</v>
      </c>
      <c r="BC3313">
        <v>79</v>
      </c>
      <c r="BD3313">
        <v>10250</v>
      </c>
      <c r="BE3313">
        <v>2006</v>
      </c>
      <c r="BF3313">
        <v>22</v>
      </c>
      <c r="BG3313">
        <v>2</v>
      </c>
      <c r="BH3313">
        <v>1750</v>
      </c>
      <c r="BI3313">
        <v>15</v>
      </c>
      <c r="BJ3313">
        <v>19</v>
      </c>
      <c r="BK3313">
        <v>7</v>
      </c>
      <c r="BN3313" t="s">
        <v>595</v>
      </c>
      <c r="BP3313" s="184"/>
    </row>
    <row r="3314" spans="1:68">
      <c r="A3314">
        <v>100115104</v>
      </c>
      <c r="B3314">
        <v>39470976</v>
      </c>
      <c r="C3314" t="s">
        <v>7018</v>
      </c>
      <c r="E3314" s="184"/>
      <c r="F3314" t="s">
        <v>595</v>
      </c>
      <c r="G3314" s="184">
        <v>43731</v>
      </c>
      <c r="I3314" s="184"/>
      <c r="K3314" s="184"/>
      <c r="M3314" s="184"/>
      <c r="O3314" s="184"/>
      <c r="P3314" t="s">
        <v>7029</v>
      </c>
      <c r="Q3314" t="s">
        <v>7494</v>
      </c>
      <c r="R3314" s="184">
        <v>20821</v>
      </c>
      <c r="S3314">
        <v>67</v>
      </c>
      <c r="V3314" t="s">
        <v>2732</v>
      </c>
      <c r="X3314" t="s">
        <v>2706</v>
      </c>
      <c r="Z3314">
        <v>39470976</v>
      </c>
      <c r="AB3314" t="s">
        <v>2742</v>
      </c>
      <c r="AD3314" t="s">
        <v>2706</v>
      </c>
      <c r="AF3314" t="s">
        <v>25896</v>
      </c>
      <c r="AG3314" t="s">
        <v>25897</v>
      </c>
      <c r="AI3314" t="s">
        <v>25898</v>
      </c>
      <c r="AM3314" t="s">
        <v>3770</v>
      </c>
      <c r="AN3314" t="s">
        <v>2174</v>
      </c>
      <c r="AO3314" t="s">
        <v>25899</v>
      </c>
      <c r="AP3314" t="s">
        <v>7024</v>
      </c>
      <c r="AT3314" s="184"/>
      <c r="AW3314" s="184"/>
      <c r="AZ3314" s="184"/>
      <c r="BP3314" s="184"/>
    </row>
    <row r="3315" spans="1:68">
      <c r="A3315">
        <v>39519343</v>
      </c>
      <c r="B3315">
        <v>39519343</v>
      </c>
      <c r="C3315" t="s">
        <v>7018</v>
      </c>
      <c r="E3315" s="184"/>
      <c r="G3315" s="184"/>
      <c r="I3315" s="184"/>
      <c r="J3315" t="s">
        <v>595</v>
      </c>
      <c r="K3315" s="184">
        <v>44438</v>
      </c>
      <c r="M3315" s="184"/>
      <c r="O3315" s="184"/>
      <c r="P3315" t="s">
        <v>7045</v>
      </c>
      <c r="Q3315" t="s">
        <v>7160</v>
      </c>
      <c r="R3315" s="184">
        <v>18872</v>
      </c>
      <c r="S3315">
        <v>72</v>
      </c>
      <c r="U3315" t="s">
        <v>7031</v>
      </c>
      <c r="V3315" t="s">
        <v>4205</v>
      </c>
      <c r="W3315" t="s">
        <v>4139</v>
      </c>
      <c r="X3315" t="s">
        <v>2772</v>
      </c>
      <c r="AF3315" t="s">
        <v>25903</v>
      </c>
      <c r="AG3315" t="s">
        <v>4205</v>
      </c>
      <c r="AI3315" t="s">
        <v>25904</v>
      </c>
      <c r="AM3315" t="s">
        <v>25905</v>
      </c>
      <c r="AN3315" t="s">
        <v>2446</v>
      </c>
      <c r="AO3315" t="s">
        <v>25906</v>
      </c>
      <c r="AP3315" t="s">
        <v>7024</v>
      </c>
      <c r="AQ3315" t="s">
        <v>25907</v>
      </c>
      <c r="AT3315" s="184">
        <v>38838</v>
      </c>
      <c r="AU3315" t="s">
        <v>25908</v>
      </c>
      <c r="AV3315">
        <v>25</v>
      </c>
      <c r="AW3315" s="184">
        <v>44203</v>
      </c>
      <c r="AX3315" t="s">
        <v>25909</v>
      </c>
      <c r="AY3315">
        <v>50</v>
      </c>
      <c r="AZ3315" s="184">
        <v>44203</v>
      </c>
      <c r="BA3315" t="s">
        <v>25909</v>
      </c>
      <c r="BB3315">
        <v>50</v>
      </c>
      <c r="BC3315">
        <v>32</v>
      </c>
      <c r="BD3315">
        <v>230</v>
      </c>
      <c r="BE3315">
        <v>2006</v>
      </c>
      <c r="BF3315">
        <v>7</v>
      </c>
      <c r="BI3315">
        <v>6</v>
      </c>
      <c r="BJ3315">
        <v>19</v>
      </c>
      <c r="BK3315">
        <v>2</v>
      </c>
      <c r="BP3315" s="184"/>
    </row>
    <row r="3316" spans="1:68">
      <c r="A3316">
        <v>39525662</v>
      </c>
      <c r="B3316">
        <v>39525662</v>
      </c>
      <c r="C3316" t="s">
        <v>7018</v>
      </c>
      <c r="E3316" s="184"/>
      <c r="G3316" s="184"/>
      <c r="I3316" s="184"/>
      <c r="J3316" t="s">
        <v>595</v>
      </c>
      <c r="K3316" s="184">
        <v>41948</v>
      </c>
      <c r="M3316" s="184"/>
      <c r="O3316" s="184"/>
      <c r="P3316" t="s">
        <v>7019</v>
      </c>
      <c r="Q3316" t="s">
        <v>7194</v>
      </c>
      <c r="R3316" s="184">
        <v>19574</v>
      </c>
      <c r="S3316">
        <v>70</v>
      </c>
      <c r="V3316" t="s">
        <v>25910</v>
      </c>
      <c r="X3316" t="s">
        <v>25911</v>
      </c>
      <c r="AF3316" t="s">
        <v>6368</v>
      </c>
      <c r="AG3316" t="s">
        <v>25910</v>
      </c>
      <c r="AI3316" t="s">
        <v>25912</v>
      </c>
      <c r="AM3316" t="s">
        <v>4240</v>
      </c>
      <c r="AN3316" t="s">
        <v>2046</v>
      </c>
      <c r="AO3316" t="s">
        <v>25913</v>
      </c>
      <c r="AP3316" t="s">
        <v>7024</v>
      </c>
      <c r="AT3316" s="184">
        <v>36822</v>
      </c>
      <c r="AU3316" t="s">
        <v>25914</v>
      </c>
      <c r="AV3316">
        <v>25</v>
      </c>
      <c r="AW3316" s="184">
        <v>45148</v>
      </c>
      <c r="AX3316" t="s">
        <v>18695</v>
      </c>
      <c r="AY3316">
        <v>50</v>
      </c>
      <c r="AZ3316" s="184">
        <v>44602</v>
      </c>
      <c r="BA3316" t="s">
        <v>25915</v>
      </c>
      <c r="BB3316">
        <v>87</v>
      </c>
      <c r="BC3316">
        <v>80</v>
      </c>
      <c r="BD3316">
        <v>1597</v>
      </c>
      <c r="BE3316">
        <v>2001</v>
      </c>
      <c r="BF3316">
        <v>43</v>
      </c>
      <c r="BG3316">
        <v>2</v>
      </c>
      <c r="BH3316">
        <v>100</v>
      </c>
      <c r="BI3316">
        <v>20</v>
      </c>
      <c r="BJ3316">
        <v>25</v>
      </c>
      <c r="BK3316">
        <v>16</v>
      </c>
      <c r="BP3316" s="184"/>
    </row>
    <row r="3317" spans="1:68">
      <c r="A3317">
        <v>39528427</v>
      </c>
      <c r="B3317">
        <v>39528427</v>
      </c>
      <c r="C3317" t="s">
        <v>7018</v>
      </c>
      <c r="E3317" s="184"/>
      <c r="G3317" s="184"/>
      <c r="I3317" s="184"/>
      <c r="K3317" s="184"/>
      <c r="M3317" s="184"/>
      <c r="N3317" t="s">
        <v>595</v>
      </c>
      <c r="O3317" s="184">
        <v>43084</v>
      </c>
      <c r="P3317" t="s">
        <v>7045</v>
      </c>
      <c r="Q3317" t="s">
        <v>7020</v>
      </c>
      <c r="R3317" s="184">
        <v>19207</v>
      </c>
      <c r="S3317">
        <v>71</v>
      </c>
      <c r="V3317" t="s">
        <v>3783</v>
      </c>
      <c r="X3317" t="s">
        <v>25916</v>
      </c>
      <c r="Z3317">
        <v>100115274</v>
      </c>
      <c r="AB3317" t="s">
        <v>3101</v>
      </c>
      <c r="AD3317" t="s">
        <v>25916</v>
      </c>
      <c r="AF3317" t="s">
        <v>25917</v>
      </c>
      <c r="AG3317" t="s">
        <v>25918</v>
      </c>
      <c r="AI3317" t="s">
        <v>25919</v>
      </c>
      <c r="AM3317" t="s">
        <v>4694</v>
      </c>
      <c r="AN3317" t="s">
        <v>2206</v>
      </c>
      <c r="AO3317" t="s">
        <v>25920</v>
      </c>
      <c r="AP3317" t="s">
        <v>7024</v>
      </c>
      <c r="AT3317" s="184">
        <v>38840</v>
      </c>
      <c r="AU3317" t="s">
        <v>25921</v>
      </c>
      <c r="AV3317">
        <v>25</v>
      </c>
      <c r="AW3317" s="184">
        <v>45278</v>
      </c>
      <c r="AX3317" t="s">
        <v>25922</v>
      </c>
      <c r="AY3317">
        <v>100</v>
      </c>
      <c r="AZ3317" s="184">
        <v>45278</v>
      </c>
      <c r="BA3317" t="s">
        <v>25922</v>
      </c>
      <c r="BB3317">
        <v>100</v>
      </c>
      <c r="BC3317">
        <v>85</v>
      </c>
      <c r="BD3317">
        <v>1555</v>
      </c>
      <c r="BE3317">
        <v>2006</v>
      </c>
      <c r="BF3317">
        <v>27</v>
      </c>
      <c r="BG3317">
        <v>3</v>
      </c>
      <c r="BH3317">
        <v>300</v>
      </c>
      <c r="BI3317">
        <v>16</v>
      </c>
      <c r="BJ3317">
        <v>19</v>
      </c>
      <c r="BK3317">
        <v>9</v>
      </c>
      <c r="BP3317" s="184"/>
    </row>
    <row r="3318" spans="1:68">
      <c r="A3318">
        <v>100115274</v>
      </c>
      <c r="B3318">
        <v>39528427</v>
      </c>
      <c r="C3318" t="s">
        <v>7018</v>
      </c>
      <c r="E3318" s="184"/>
      <c r="G3318" s="184"/>
      <c r="I3318" s="184"/>
      <c r="K3318" s="184"/>
      <c r="M3318" s="184"/>
      <c r="N3318" t="s">
        <v>595</v>
      </c>
      <c r="O3318" s="184">
        <v>43084</v>
      </c>
      <c r="P3318" t="s">
        <v>7045</v>
      </c>
      <c r="Q3318" t="s">
        <v>7020</v>
      </c>
      <c r="R3318" s="184">
        <v>18963</v>
      </c>
      <c r="S3318">
        <v>72</v>
      </c>
      <c r="V3318" t="s">
        <v>3101</v>
      </c>
      <c r="X3318" t="s">
        <v>25916</v>
      </c>
      <c r="Z3318">
        <v>39528427</v>
      </c>
      <c r="AB3318" t="s">
        <v>3783</v>
      </c>
      <c r="AD3318" t="s">
        <v>25916</v>
      </c>
      <c r="AF3318" t="s">
        <v>25917</v>
      </c>
      <c r="AG3318" t="s">
        <v>25918</v>
      </c>
      <c r="AI3318" t="s">
        <v>25919</v>
      </c>
      <c r="AM3318" t="s">
        <v>4694</v>
      </c>
      <c r="AN3318" t="s">
        <v>2206</v>
      </c>
      <c r="AO3318" t="s">
        <v>25920</v>
      </c>
      <c r="AP3318" t="s">
        <v>7024</v>
      </c>
      <c r="AT3318" s="184"/>
      <c r="AW3318" s="184"/>
      <c r="AZ3318" s="184"/>
      <c r="BP3318" s="184"/>
    </row>
    <row r="3319" spans="1:68">
      <c r="A3319">
        <v>39533369</v>
      </c>
      <c r="B3319">
        <v>39533369</v>
      </c>
      <c r="C3319" t="s">
        <v>7018</v>
      </c>
      <c r="E3319" s="184"/>
      <c r="G3319" s="184"/>
      <c r="I3319" s="184"/>
      <c r="K3319" s="184"/>
      <c r="L3319" t="s">
        <v>595</v>
      </c>
      <c r="M3319" s="184">
        <v>44265</v>
      </c>
      <c r="O3319" s="184"/>
      <c r="P3319" t="s">
        <v>7045</v>
      </c>
      <c r="Q3319" t="s">
        <v>7383</v>
      </c>
      <c r="R3319" s="184">
        <v>15533</v>
      </c>
      <c r="S3319">
        <v>81</v>
      </c>
      <c r="U3319" t="s">
        <v>7130</v>
      </c>
      <c r="V3319" t="s">
        <v>2804</v>
      </c>
      <c r="X3319" t="s">
        <v>25923</v>
      </c>
      <c r="AF3319" t="s">
        <v>25924</v>
      </c>
      <c r="AG3319" t="s">
        <v>2804</v>
      </c>
      <c r="AI3319" t="s">
        <v>25925</v>
      </c>
      <c r="AM3319" t="s">
        <v>3488</v>
      </c>
      <c r="AN3319" t="s">
        <v>2072</v>
      </c>
      <c r="AO3319" t="s">
        <v>25926</v>
      </c>
      <c r="AP3319" t="s">
        <v>7024</v>
      </c>
      <c r="AQ3319" t="s">
        <v>25927</v>
      </c>
      <c r="AR3319" t="s">
        <v>25928</v>
      </c>
      <c r="AT3319" s="184">
        <v>38841</v>
      </c>
      <c r="AU3319" t="s">
        <v>25929</v>
      </c>
      <c r="AV3319">
        <v>200</v>
      </c>
      <c r="AW3319" s="184">
        <v>45002</v>
      </c>
      <c r="AX3319" t="s">
        <v>11563</v>
      </c>
      <c r="AY3319">
        <v>100</v>
      </c>
      <c r="AZ3319" s="184">
        <v>41688</v>
      </c>
      <c r="BA3319" t="s">
        <v>25930</v>
      </c>
      <c r="BB3319">
        <v>200</v>
      </c>
      <c r="BC3319">
        <v>95</v>
      </c>
      <c r="BD3319">
        <v>2950</v>
      </c>
      <c r="BE3319">
        <v>2006</v>
      </c>
      <c r="BF3319">
        <v>21</v>
      </c>
      <c r="BG3319">
        <v>1</v>
      </c>
      <c r="BH3319">
        <v>100</v>
      </c>
      <c r="BI3319">
        <v>18</v>
      </c>
      <c r="BJ3319">
        <v>19</v>
      </c>
      <c r="BK3319">
        <v>18</v>
      </c>
      <c r="BN3319" t="s">
        <v>595</v>
      </c>
      <c r="BP3319" s="184"/>
    </row>
    <row r="3320" spans="1:68">
      <c r="A3320">
        <v>39533641</v>
      </c>
      <c r="B3320">
        <v>39533641</v>
      </c>
      <c r="C3320" t="s">
        <v>7018</v>
      </c>
      <c r="E3320" s="184"/>
      <c r="G3320" s="184"/>
      <c r="H3320" t="s">
        <v>595</v>
      </c>
      <c r="I3320" s="184">
        <v>44923</v>
      </c>
      <c r="K3320" s="184"/>
      <c r="M3320" s="184"/>
      <c r="N3320" t="s">
        <v>595</v>
      </c>
      <c r="O3320" s="184">
        <v>44975</v>
      </c>
      <c r="P3320" t="s">
        <v>7019</v>
      </c>
      <c r="Q3320" t="s">
        <v>7262</v>
      </c>
      <c r="R3320" s="184">
        <v>19040</v>
      </c>
      <c r="S3320">
        <v>72</v>
      </c>
      <c r="U3320" t="s">
        <v>7130</v>
      </c>
      <c r="V3320" t="s">
        <v>3304</v>
      </c>
      <c r="X3320" t="s">
        <v>3626</v>
      </c>
      <c r="AF3320" t="s">
        <v>25931</v>
      </c>
      <c r="AG3320" t="s">
        <v>3304</v>
      </c>
      <c r="AI3320" t="s">
        <v>25932</v>
      </c>
      <c r="AM3320" t="s">
        <v>25933</v>
      </c>
      <c r="AN3320" t="s">
        <v>2106</v>
      </c>
      <c r="AO3320" t="s">
        <v>25934</v>
      </c>
      <c r="AP3320" t="s">
        <v>7024</v>
      </c>
      <c r="AQ3320" t="s">
        <v>25935</v>
      </c>
      <c r="AR3320" t="s">
        <v>25936</v>
      </c>
      <c r="AT3320" s="184">
        <v>38841</v>
      </c>
      <c r="AU3320" t="s">
        <v>25937</v>
      </c>
      <c r="AV3320">
        <v>15</v>
      </c>
      <c r="AW3320" s="184">
        <v>44972</v>
      </c>
      <c r="AX3320" t="s">
        <v>7044</v>
      </c>
      <c r="AY3320">
        <v>10000</v>
      </c>
      <c r="AZ3320" s="184">
        <v>44972</v>
      </c>
      <c r="BA3320" t="s">
        <v>7044</v>
      </c>
      <c r="BB3320">
        <v>10000</v>
      </c>
      <c r="BC3320">
        <v>79</v>
      </c>
      <c r="BD3320">
        <v>10832</v>
      </c>
      <c r="BE3320">
        <v>2006</v>
      </c>
      <c r="BF3320">
        <v>26</v>
      </c>
      <c r="BG3320">
        <v>1</v>
      </c>
      <c r="BH3320">
        <v>10000</v>
      </c>
      <c r="BI3320">
        <v>15</v>
      </c>
      <c r="BJ3320">
        <v>19</v>
      </c>
      <c r="BK3320">
        <v>10</v>
      </c>
      <c r="BP3320" s="184"/>
    </row>
    <row r="3321" spans="1:68">
      <c r="A3321">
        <v>39543699</v>
      </c>
      <c r="B3321">
        <v>39543699</v>
      </c>
      <c r="C3321" t="s">
        <v>7018</v>
      </c>
      <c r="D3321" t="s">
        <v>595</v>
      </c>
      <c r="E3321" s="184">
        <v>44073</v>
      </c>
      <c r="G3321" s="184"/>
      <c r="I3321" s="184"/>
      <c r="K3321" s="184"/>
      <c r="M3321" s="184"/>
      <c r="O3321" s="184"/>
      <c r="P3321" t="s">
        <v>7045</v>
      </c>
      <c r="Q3321" t="s">
        <v>7020</v>
      </c>
      <c r="R3321" s="184">
        <v>18507</v>
      </c>
      <c r="S3321">
        <v>73</v>
      </c>
      <c r="U3321" t="s">
        <v>7076</v>
      </c>
      <c r="V3321" t="s">
        <v>4800</v>
      </c>
      <c r="X3321" t="s">
        <v>4577</v>
      </c>
      <c r="AF3321" t="s">
        <v>25938</v>
      </c>
      <c r="AG3321" t="s">
        <v>4800</v>
      </c>
      <c r="AI3321" t="s">
        <v>25939</v>
      </c>
      <c r="AM3321" t="s">
        <v>25940</v>
      </c>
      <c r="AN3321" t="s">
        <v>2206</v>
      </c>
      <c r="AO3321" t="s">
        <v>25941</v>
      </c>
      <c r="AP3321" t="s">
        <v>7024</v>
      </c>
      <c r="AQ3321" t="s">
        <v>25942</v>
      </c>
      <c r="AR3321" t="s">
        <v>25943</v>
      </c>
      <c r="AT3321" s="184">
        <v>38846</v>
      </c>
      <c r="AU3321" t="s">
        <v>25944</v>
      </c>
      <c r="AV3321">
        <v>25</v>
      </c>
      <c r="AW3321" s="184">
        <v>45083</v>
      </c>
      <c r="AX3321" t="s">
        <v>21325</v>
      </c>
      <c r="AY3321">
        <v>22</v>
      </c>
      <c r="AZ3321" s="184">
        <v>39489</v>
      </c>
      <c r="BA3321" t="s">
        <v>25945</v>
      </c>
      <c r="BB3321">
        <v>50</v>
      </c>
      <c r="BC3321">
        <v>95</v>
      </c>
      <c r="BD3321">
        <v>3529</v>
      </c>
      <c r="BE3321">
        <v>2006</v>
      </c>
      <c r="BF3321">
        <v>167</v>
      </c>
      <c r="BG3321">
        <v>14</v>
      </c>
      <c r="BH3321">
        <v>308</v>
      </c>
      <c r="BI3321">
        <v>18</v>
      </c>
      <c r="BJ3321">
        <v>19</v>
      </c>
      <c r="BK3321">
        <v>18</v>
      </c>
      <c r="BP3321" s="184"/>
    </row>
    <row r="3322" spans="1:68">
      <c r="A3322">
        <v>39544424</v>
      </c>
      <c r="B3322">
        <v>39544424</v>
      </c>
      <c r="C3322" t="s">
        <v>7018</v>
      </c>
      <c r="E3322" s="184"/>
      <c r="G3322" s="184"/>
      <c r="I3322" s="184"/>
      <c r="J3322" t="s">
        <v>595</v>
      </c>
      <c r="K3322" s="184">
        <v>39524</v>
      </c>
      <c r="O3322" s="184"/>
      <c r="P3322" t="s">
        <v>7045</v>
      </c>
      <c r="Q3322" t="s">
        <v>7160</v>
      </c>
      <c r="R3322" s="184"/>
      <c r="U3322" t="s">
        <v>7032</v>
      </c>
      <c r="V3322" t="s">
        <v>2551</v>
      </c>
      <c r="X3322" t="s">
        <v>4752</v>
      </c>
      <c r="AF3322" t="s">
        <v>6737</v>
      </c>
      <c r="AG3322" t="s">
        <v>2551</v>
      </c>
      <c r="AI3322" t="s">
        <v>25946</v>
      </c>
      <c r="AM3322" t="s">
        <v>25947</v>
      </c>
      <c r="AN3322" t="s">
        <v>2428</v>
      </c>
      <c r="AO3322" t="s">
        <v>25948</v>
      </c>
      <c r="AP3322" t="s">
        <v>7024</v>
      </c>
      <c r="AQ3322" t="s">
        <v>25949</v>
      </c>
      <c r="AT3322" s="184">
        <v>38846</v>
      </c>
      <c r="AU3322" t="s">
        <v>25950</v>
      </c>
      <c r="AV3322">
        <v>15</v>
      </c>
      <c r="AW3322" s="184">
        <v>40189</v>
      </c>
      <c r="AX3322" t="s">
        <v>25951</v>
      </c>
      <c r="AY3322">
        <v>5</v>
      </c>
      <c r="AZ3322" s="184">
        <v>38846</v>
      </c>
      <c r="BA3322" t="s">
        <v>25950</v>
      </c>
      <c r="BB3322">
        <v>15</v>
      </c>
      <c r="BC3322">
        <v>11</v>
      </c>
      <c r="BD3322">
        <v>20</v>
      </c>
      <c r="BE3322">
        <v>2006</v>
      </c>
      <c r="BF3322">
        <v>2</v>
      </c>
      <c r="BI3322">
        <v>2</v>
      </c>
      <c r="BJ3322">
        <v>19</v>
      </c>
      <c r="BK3322">
        <v>1</v>
      </c>
      <c r="BN3322" t="s">
        <v>595</v>
      </c>
      <c r="BO3322" t="s">
        <v>595</v>
      </c>
      <c r="BP3322" s="184">
        <v>43545</v>
      </c>
    </row>
    <row r="3323" spans="1:68">
      <c r="A3323">
        <v>39546981</v>
      </c>
      <c r="B3323">
        <v>39546981</v>
      </c>
      <c r="C3323" t="s">
        <v>7018</v>
      </c>
      <c r="E3323" s="184"/>
      <c r="G3323" s="184"/>
      <c r="I3323" s="184"/>
      <c r="K3323" s="184"/>
      <c r="M3323" s="184"/>
      <c r="N3323" t="s">
        <v>595</v>
      </c>
      <c r="O3323" s="184">
        <v>41237</v>
      </c>
      <c r="P3323" t="s">
        <v>7029</v>
      </c>
      <c r="Q3323" t="s">
        <v>7020</v>
      </c>
      <c r="R3323" s="184">
        <v>13520</v>
      </c>
      <c r="S3323">
        <v>87</v>
      </c>
      <c r="U3323" t="s">
        <v>7130</v>
      </c>
      <c r="V3323" t="s">
        <v>2808</v>
      </c>
      <c r="X3323" t="s">
        <v>2809</v>
      </c>
      <c r="Z3323">
        <v>100183006</v>
      </c>
      <c r="AA3323" t="s">
        <v>7031</v>
      </c>
      <c r="AB3323" t="s">
        <v>2511</v>
      </c>
      <c r="AC3323" t="s">
        <v>2058</v>
      </c>
      <c r="AD3323" t="s">
        <v>2809</v>
      </c>
      <c r="AF3323" t="s">
        <v>25952</v>
      </c>
      <c r="AG3323" t="s">
        <v>2808</v>
      </c>
      <c r="AI3323" t="s">
        <v>25953</v>
      </c>
      <c r="AM3323" t="s">
        <v>2810</v>
      </c>
      <c r="AN3323" t="s">
        <v>2129</v>
      </c>
      <c r="AO3323" t="s">
        <v>25954</v>
      </c>
      <c r="AP3323" t="s">
        <v>7024</v>
      </c>
      <c r="AQ3323" t="s">
        <v>25955</v>
      </c>
      <c r="AR3323" t="s">
        <v>25956</v>
      </c>
      <c r="AT3323" s="184">
        <v>38848</v>
      </c>
      <c r="AU3323" t="s">
        <v>25957</v>
      </c>
      <c r="AV3323">
        <v>50</v>
      </c>
      <c r="AW3323" s="184">
        <v>45211</v>
      </c>
      <c r="AX3323" t="s">
        <v>8019</v>
      </c>
      <c r="AY3323">
        <v>1000</v>
      </c>
      <c r="AZ3323" s="184">
        <v>42712</v>
      </c>
      <c r="BA3323" t="s">
        <v>7267</v>
      </c>
      <c r="BB3323">
        <v>50000</v>
      </c>
      <c r="BC3323">
        <v>79</v>
      </c>
      <c r="BD3323">
        <v>215450</v>
      </c>
      <c r="BE3323">
        <v>2006</v>
      </c>
      <c r="BF3323">
        <v>23</v>
      </c>
      <c r="BG3323">
        <v>1</v>
      </c>
      <c r="BH3323">
        <v>1000</v>
      </c>
      <c r="BI3323">
        <v>15</v>
      </c>
      <c r="BJ3323">
        <v>19</v>
      </c>
      <c r="BK3323">
        <v>6</v>
      </c>
      <c r="BP3323" s="184"/>
    </row>
    <row r="3324" spans="1:68">
      <c r="A3324">
        <v>39549969</v>
      </c>
      <c r="B3324">
        <v>39549969</v>
      </c>
      <c r="C3324" t="s">
        <v>7018</v>
      </c>
      <c r="E3324" s="184"/>
      <c r="F3324" t="s">
        <v>595</v>
      </c>
      <c r="G3324" s="184">
        <v>43731</v>
      </c>
      <c r="I3324" s="184"/>
      <c r="K3324" s="184"/>
      <c r="M3324" s="184"/>
      <c r="O3324" s="184"/>
      <c r="P3324" t="s">
        <v>7045</v>
      </c>
      <c r="Q3324" t="s">
        <v>7454</v>
      </c>
      <c r="R3324" s="184">
        <v>18788</v>
      </c>
      <c r="S3324">
        <v>72</v>
      </c>
      <c r="U3324" t="s">
        <v>7076</v>
      </c>
      <c r="V3324" t="s">
        <v>2602</v>
      </c>
      <c r="X3324" t="s">
        <v>4029</v>
      </c>
      <c r="AF3324" t="s">
        <v>25958</v>
      </c>
      <c r="AG3324" t="s">
        <v>2602</v>
      </c>
      <c r="AI3324" t="s">
        <v>25959</v>
      </c>
      <c r="AM3324" t="s">
        <v>3855</v>
      </c>
      <c r="AN3324" t="s">
        <v>2055</v>
      </c>
      <c r="AO3324" t="s">
        <v>25960</v>
      </c>
      <c r="AP3324" t="s">
        <v>7024</v>
      </c>
      <c r="AQ3324" t="s">
        <v>25961</v>
      </c>
      <c r="AT3324" s="184">
        <v>38856</v>
      </c>
      <c r="AU3324" t="s">
        <v>25962</v>
      </c>
      <c r="AV3324">
        <v>35</v>
      </c>
      <c r="AW3324" s="184">
        <v>45306</v>
      </c>
      <c r="AX3324" t="s">
        <v>16654</v>
      </c>
      <c r="AY3324">
        <v>35</v>
      </c>
      <c r="AZ3324" s="184">
        <v>40715</v>
      </c>
      <c r="BA3324" t="s">
        <v>25963</v>
      </c>
      <c r="BB3324">
        <v>60</v>
      </c>
      <c r="BC3324">
        <v>90</v>
      </c>
      <c r="BD3324">
        <v>1240</v>
      </c>
      <c r="BE3324">
        <v>2006</v>
      </c>
      <c r="BF3324">
        <v>31</v>
      </c>
      <c r="BG3324">
        <v>3</v>
      </c>
      <c r="BH3324">
        <v>120</v>
      </c>
      <c r="BI3324">
        <v>17</v>
      </c>
      <c r="BJ3324">
        <v>19</v>
      </c>
      <c r="BK3324">
        <v>10</v>
      </c>
      <c r="BN3324" t="s">
        <v>595</v>
      </c>
      <c r="BP3324" s="184"/>
    </row>
    <row r="3325" spans="1:68">
      <c r="A3325">
        <v>39564547</v>
      </c>
      <c r="B3325">
        <v>39564547</v>
      </c>
      <c r="C3325" t="s">
        <v>7018</v>
      </c>
      <c r="D3325" t="s">
        <v>595</v>
      </c>
      <c r="E3325" s="184">
        <v>45169</v>
      </c>
      <c r="G3325" s="184"/>
      <c r="I3325" s="184"/>
      <c r="K3325" s="184"/>
      <c r="M3325" s="184"/>
      <c r="O3325" s="184"/>
      <c r="P3325" t="s">
        <v>7045</v>
      </c>
      <c r="Q3325" t="s">
        <v>7030</v>
      </c>
      <c r="R3325" s="184">
        <v>24838</v>
      </c>
      <c r="S3325">
        <v>56</v>
      </c>
      <c r="U3325" t="s">
        <v>7031</v>
      </c>
      <c r="V3325" t="s">
        <v>2832</v>
      </c>
      <c r="X3325" t="s">
        <v>25964</v>
      </c>
      <c r="AF3325" t="s">
        <v>25965</v>
      </c>
      <c r="AG3325" t="s">
        <v>2832</v>
      </c>
      <c r="AI3325" t="s">
        <v>25966</v>
      </c>
      <c r="AM3325" t="s">
        <v>3308</v>
      </c>
      <c r="AN3325" t="s">
        <v>2094</v>
      </c>
      <c r="AO3325" t="s">
        <v>25967</v>
      </c>
      <c r="AP3325" t="s">
        <v>7024</v>
      </c>
      <c r="AQ3325" t="s">
        <v>25968</v>
      </c>
      <c r="AT3325" s="184">
        <v>38859</v>
      </c>
      <c r="AU3325" t="s">
        <v>25969</v>
      </c>
      <c r="AV3325">
        <v>15</v>
      </c>
      <c r="AW3325" s="184">
        <v>45349</v>
      </c>
      <c r="AX3325" t="s">
        <v>7856</v>
      </c>
      <c r="AY3325">
        <v>25</v>
      </c>
      <c r="AZ3325" s="184">
        <v>45349</v>
      </c>
      <c r="BA3325" t="s">
        <v>7856</v>
      </c>
      <c r="BB3325">
        <v>25</v>
      </c>
      <c r="BC3325">
        <v>79</v>
      </c>
      <c r="BD3325">
        <v>400</v>
      </c>
      <c r="BE3325">
        <v>2006</v>
      </c>
      <c r="BF3325">
        <v>17</v>
      </c>
      <c r="BG3325">
        <v>2</v>
      </c>
      <c r="BH3325">
        <v>50</v>
      </c>
      <c r="BI3325">
        <v>15</v>
      </c>
      <c r="BJ3325">
        <v>19</v>
      </c>
      <c r="BK3325">
        <v>8</v>
      </c>
      <c r="BP3325" s="184"/>
    </row>
    <row r="3326" spans="1:68">
      <c r="A3326">
        <v>39606652</v>
      </c>
      <c r="B3326">
        <v>39606652</v>
      </c>
      <c r="C3326" t="s">
        <v>7018</v>
      </c>
      <c r="E3326" s="184"/>
      <c r="G3326" s="184"/>
      <c r="I3326" s="184"/>
      <c r="J3326" t="s">
        <v>595</v>
      </c>
      <c r="K3326" s="184">
        <v>43731</v>
      </c>
      <c r="M3326" s="184"/>
      <c r="O3326" s="184"/>
      <c r="P3326" t="s">
        <v>7045</v>
      </c>
      <c r="Q3326" t="s">
        <v>7494</v>
      </c>
      <c r="R3326" s="184">
        <v>15211</v>
      </c>
      <c r="S3326">
        <v>82</v>
      </c>
      <c r="U3326" t="s">
        <v>7130</v>
      </c>
      <c r="V3326" t="s">
        <v>3833</v>
      </c>
      <c r="X3326" t="s">
        <v>3834</v>
      </c>
      <c r="Z3326">
        <v>100115560</v>
      </c>
      <c r="AA3326" t="s">
        <v>7031</v>
      </c>
      <c r="AB3326" t="s">
        <v>10405</v>
      </c>
      <c r="AC3326" t="s">
        <v>205</v>
      </c>
      <c r="AD3326" t="s">
        <v>3834</v>
      </c>
      <c r="AF3326" t="s">
        <v>6433</v>
      </c>
      <c r="AG3326" t="s">
        <v>25970</v>
      </c>
      <c r="AI3326" t="s">
        <v>25971</v>
      </c>
      <c r="AM3326" t="s">
        <v>3835</v>
      </c>
      <c r="AN3326" t="s">
        <v>2174</v>
      </c>
      <c r="AO3326" t="s">
        <v>25972</v>
      </c>
      <c r="AP3326" t="s">
        <v>7024</v>
      </c>
      <c r="AQ3326" t="s">
        <v>25973</v>
      </c>
      <c r="AT3326" s="184">
        <v>38873</v>
      </c>
      <c r="AU3326" t="s">
        <v>25974</v>
      </c>
      <c r="AV3326">
        <v>25</v>
      </c>
      <c r="AW3326" s="184">
        <v>45397</v>
      </c>
      <c r="AX3326" t="s">
        <v>25975</v>
      </c>
      <c r="AY3326">
        <v>35</v>
      </c>
      <c r="AZ3326" s="184">
        <v>44704</v>
      </c>
      <c r="BA3326" t="s">
        <v>25976</v>
      </c>
      <c r="BB3326">
        <v>100</v>
      </c>
      <c r="BC3326">
        <v>69</v>
      </c>
      <c r="BD3326">
        <v>1296</v>
      </c>
      <c r="BE3326">
        <v>2006</v>
      </c>
      <c r="BF3326">
        <v>26</v>
      </c>
      <c r="BG3326">
        <v>3</v>
      </c>
      <c r="BH3326">
        <v>210</v>
      </c>
      <c r="BI3326">
        <v>13</v>
      </c>
      <c r="BJ3326">
        <v>19</v>
      </c>
      <c r="BK3326">
        <v>6</v>
      </c>
      <c r="BP3326" s="184"/>
    </row>
    <row r="3327" spans="1:68">
      <c r="A3327">
        <v>100115560</v>
      </c>
      <c r="B3327">
        <v>39606652</v>
      </c>
      <c r="C3327" t="s">
        <v>7018</v>
      </c>
      <c r="E3327" s="184"/>
      <c r="G3327" s="184"/>
      <c r="I3327" s="184"/>
      <c r="J3327" t="s">
        <v>595</v>
      </c>
      <c r="K3327" s="184">
        <v>43731</v>
      </c>
      <c r="M3327" s="184"/>
      <c r="O3327" s="184"/>
      <c r="P3327" t="s">
        <v>7045</v>
      </c>
      <c r="Q3327" t="s">
        <v>7494</v>
      </c>
      <c r="R3327" s="184">
        <v>26189</v>
      </c>
      <c r="S3327">
        <v>52</v>
      </c>
      <c r="U3327" t="s">
        <v>7031</v>
      </c>
      <c r="V3327" t="s">
        <v>10405</v>
      </c>
      <c r="W3327" t="s">
        <v>205</v>
      </c>
      <c r="X3327" t="s">
        <v>3834</v>
      </c>
      <c r="Z3327">
        <v>39606652</v>
      </c>
      <c r="AA3327" t="s">
        <v>7130</v>
      </c>
      <c r="AB3327" t="s">
        <v>3833</v>
      </c>
      <c r="AD3327" t="s">
        <v>3834</v>
      </c>
      <c r="AF3327" t="s">
        <v>6433</v>
      </c>
      <c r="AG3327" t="s">
        <v>25970</v>
      </c>
      <c r="AI3327" t="s">
        <v>25971</v>
      </c>
      <c r="AM3327" t="s">
        <v>3835</v>
      </c>
      <c r="AN3327" t="s">
        <v>2174</v>
      </c>
      <c r="AO3327" t="s">
        <v>25972</v>
      </c>
      <c r="AP3327" t="s">
        <v>7024</v>
      </c>
      <c r="AT3327" s="184"/>
      <c r="AW3327" s="184"/>
      <c r="AZ3327" s="184"/>
      <c r="BP3327" s="184"/>
    </row>
    <row r="3328" spans="1:68">
      <c r="A3328">
        <v>39607569</v>
      </c>
      <c r="B3328">
        <v>39607569</v>
      </c>
      <c r="C3328" t="s">
        <v>7018</v>
      </c>
      <c r="D3328" t="s">
        <v>595</v>
      </c>
      <c r="E3328" s="184">
        <v>44104</v>
      </c>
      <c r="G3328" s="184"/>
      <c r="I3328" s="184"/>
      <c r="K3328" s="184"/>
      <c r="M3328" s="184"/>
      <c r="O3328" s="184"/>
      <c r="P3328" t="s">
        <v>7045</v>
      </c>
      <c r="Q3328" t="s">
        <v>7383</v>
      </c>
      <c r="R3328" s="184">
        <v>16727</v>
      </c>
      <c r="S3328">
        <v>78</v>
      </c>
      <c r="U3328" t="s">
        <v>7031</v>
      </c>
      <c r="V3328" t="s">
        <v>2635</v>
      </c>
      <c r="X3328" t="s">
        <v>25977</v>
      </c>
      <c r="AF3328" t="s">
        <v>25978</v>
      </c>
      <c r="AG3328" t="s">
        <v>2635</v>
      </c>
      <c r="AI3328" t="s">
        <v>25979</v>
      </c>
      <c r="AM3328" t="s">
        <v>3815</v>
      </c>
      <c r="AN3328" t="s">
        <v>2059</v>
      </c>
      <c r="AO3328" t="s">
        <v>25980</v>
      </c>
      <c r="AP3328" t="s">
        <v>7024</v>
      </c>
      <c r="AQ3328" t="s">
        <v>25981</v>
      </c>
      <c r="AT3328" s="184">
        <v>38873</v>
      </c>
      <c r="AU3328" t="s">
        <v>25982</v>
      </c>
      <c r="AV3328">
        <v>10</v>
      </c>
      <c r="AW3328" s="184">
        <v>45379</v>
      </c>
      <c r="AX3328" t="s">
        <v>11903</v>
      </c>
      <c r="AY3328">
        <v>25</v>
      </c>
      <c r="AZ3328" s="184">
        <v>44760</v>
      </c>
      <c r="BA3328" t="s">
        <v>8969</v>
      </c>
      <c r="BB3328">
        <v>75</v>
      </c>
      <c r="BC3328">
        <v>100</v>
      </c>
      <c r="BD3328">
        <v>1737</v>
      </c>
      <c r="BE3328">
        <v>2006</v>
      </c>
      <c r="BF3328">
        <v>67</v>
      </c>
      <c r="BG3328">
        <v>8</v>
      </c>
      <c r="BH3328">
        <v>310</v>
      </c>
      <c r="BI3328">
        <v>19</v>
      </c>
      <c r="BJ3328">
        <v>19</v>
      </c>
      <c r="BK3328">
        <v>19</v>
      </c>
      <c r="BP3328" s="184"/>
    </row>
    <row r="3329" spans="1:68">
      <c r="A3329">
        <v>39613765</v>
      </c>
      <c r="B3329">
        <v>39613765</v>
      </c>
      <c r="C3329" t="s">
        <v>7018</v>
      </c>
      <c r="D3329" t="s">
        <v>595</v>
      </c>
      <c r="E3329" s="184">
        <v>43801</v>
      </c>
      <c r="G3329" s="184"/>
      <c r="I3329" s="184"/>
      <c r="K3329" s="184"/>
      <c r="M3329" s="184"/>
      <c r="O3329" s="184"/>
      <c r="P3329" t="s">
        <v>7045</v>
      </c>
      <c r="Q3329" t="s">
        <v>7374</v>
      </c>
      <c r="R3329" s="184">
        <v>12695</v>
      </c>
      <c r="S3329">
        <v>89</v>
      </c>
      <c r="U3329" t="s">
        <v>7031</v>
      </c>
      <c r="V3329" t="s">
        <v>2541</v>
      </c>
      <c r="W3329" t="s">
        <v>7560</v>
      </c>
      <c r="X3329" t="s">
        <v>4421</v>
      </c>
      <c r="AF3329" t="s">
        <v>25983</v>
      </c>
      <c r="AG3329" t="s">
        <v>2541</v>
      </c>
      <c r="AI3329" t="s">
        <v>25984</v>
      </c>
      <c r="AM3329" t="s">
        <v>4422</v>
      </c>
      <c r="AN3329" t="s">
        <v>2081</v>
      </c>
      <c r="AO3329" t="s">
        <v>25985</v>
      </c>
      <c r="AP3329" t="s">
        <v>7024</v>
      </c>
      <c r="AT3329" s="184">
        <v>38875</v>
      </c>
      <c r="AU3329" t="s">
        <v>25986</v>
      </c>
      <c r="AV3329">
        <v>25</v>
      </c>
      <c r="AW3329" s="184">
        <v>42333</v>
      </c>
      <c r="AX3329" t="s">
        <v>25987</v>
      </c>
      <c r="AY3329">
        <v>25</v>
      </c>
      <c r="AZ3329" s="184">
        <v>39157</v>
      </c>
      <c r="BA3329" t="s">
        <v>25988</v>
      </c>
      <c r="BB3329">
        <v>50</v>
      </c>
      <c r="BC3329">
        <v>37</v>
      </c>
      <c r="BD3329">
        <v>315</v>
      </c>
      <c r="BE3329">
        <v>2006</v>
      </c>
      <c r="BF3329">
        <v>10</v>
      </c>
      <c r="BI3329">
        <v>7</v>
      </c>
      <c r="BJ3329">
        <v>19</v>
      </c>
      <c r="BK3329">
        <v>5</v>
      </c>
      <c r="BP3329" s="184"/>
    </row>
    <row r="3330" spans="1:68">
      <c r="A3330">
        <v>39628383</v>
      </c>
      <c r="B3330">
        <v>39628383</v>
      </c>
      <c r="C3330" t="s">
        <v>7018</v>
      </c>
      <c r="E3330" s="184"/>
      <c r="G3330" s="184"/>
      <c r="I3330" s="184"/>
      <c r="K3330" s="184"/>
      <c r="L3330" t="s">
        <v>595</v>
      </c>
      <c r="M3330" s="184">
        <v>44504</v>
      </c>
      <c r="O3330" s="184"/>
      <c r="P3330" t="s">
        <v>7045</v>
      </c>
      <c r="Q3330" t="s">
        <v>7454</v>
      </c>
      <c r="R3330" s="184">
        <v>15557</v>
      </c>
      <c r="S3330">
        <v>81</v>
      </c>
      <c r="V3330" t="s">
        <v>25989</v>
      </c>
      <c r="X3330" t="s">
        <v>25990</v>
      </c>
      <c r="Z3330">
        <v>100988120</v>
      </c>
      <c r="AB3330" t="s">
        <v>25991</v>
      </c>
      <c r="AD3330" t="s">
        <v>25990</v>
      </c>
      <c r="AF3330" t="s">
        <v>25992</v>
      </c>
      <c r="AG3330" t="s">
        <v>25993</v>
      </c>
      <c r="AI3330" t="s">
        <v>25994</v>
      </c>
      <c r="AM3330" t="s">
        <v>25995</v>
      </c>
      <c r="AN3330" t="s">
        <v>2055</v>
      </c>
      <c r="AO3330" t="s">
        <v>25996</v>
      </c>
      <c r="AP3330" t="s">
        <v>7024</v>
      </c>
      <c r="AQ3330" t="s">
        <v>25997</v>
      </c>
      <c r="AT3330" s="184">
        <v>38884</v>
      </c>
      <c r="AU3330" t="s">
        <v>25998</v>
      </c>
      <c r="AV3330">
        <v>25</v>
      </c>
      <c r="AW3330" s="184">
        <v>45286</v>
      </c>
      <c r="AX3330" t="s">
        <v>21292</v>
      </c>
      <c r="AY3330">
        <v>600</v>
      </c>
      <c r="AZ3330" s="184">
        <v>45286</v>
      </c>
      <c r="BA3330" t="s">
        <v>21292</v>
      </c>
      <c r="BB3330">
        <v>600</v>
      </c>
      <c r="BC3330">
        <v>90</v>
      </c>
      <c r="BD3330">
        <v>2465</v>
      </c>
      <c r="BE3330">
        <v>2006</v>
      </c>
      <c r="BF3330">
        <v>19</v>
      </c>
      <c r="BG3330">
        <v>2</v>
      </c>
      <c r="BH3330">
        <v>1200</v>
      </c>
      <c r="BI3330">
        <v>17</v>
      </c>
      <c r="BJ3330">
        <v>19</v>
      </c>
      <c r="BK3330">
        <v>13</v>
      </c>
      <c r="BP3330" s="184"/>
    </row>
    <row r="3331" spans="1:68">
      <c r="A3331">
        <v>39670609</v>
      </c>
      <c r="B3331">
        <v>39670609</v>
      </c>
      <c r="C3331" t="s">
        <v>7018</v>
      </c>
      <c r="E3331" s="184"/>
      <c r="G3331" s="184"/>
      <c r="I3331" s="184"/>
      <c r="J3331" t="s">
        <v>595</v>
      </c>
      <c r="K3331" s="184">
        <v>42521</v>
      </c>
      <c r="M3331" s="184"/>
      <c r="O3331" s="184"/>
      <c r="P3331" t="s">
        <v>7019</v>
      </c>
      <c r="Q3331" t="s">
        <v>7383</v>
      </c>
      <c r="R3331" s="184">
        <v>17068</v>
      </c>
      <c r="S3331">
        <v>77</v>
      </c>
      <c r="V3331" t="s">
        <v>25999</v>
      </c>
      <c r="W3331" t="s">
        <v>7349</v>
      </c>
      <c r="X3331" t="s">
        <v>26000</v>
      </c>
      <c r="AF3331" t="s">
        <v>6629</v>
      </c>
      <c r="AG3331" t="s">
        <v>25999</v>
      </c>
      <c r="AI3331" t="s">
        <v>26001</v>
      </c>
      <c r="AM3331" t="s">
        <v>26002</v>
      </c>
      <c r="AN3331" t="s">
        <v>2313</v>
      </c>
      <c r="AO3331" t="s">
        <v>26003</v>
      </c>
      <c r="AP3331" t="s">
        <v>7024</v>
      </c>
      <c r="AQ3331" t="s">
        <v>26004</v>
      </c>
      <c r="AT3331" s="184">
        <v>38903</v>
      </c>
      <c r="AU3331" t="s">
        <v>26005</v>
      </c>
      <c r="AV3331">
        <v>25</v>
      </c>
      <c r="AW3331" s="184">
        <v>43199</v>
      </c>
      <c r="AX3331" t="s">
        <v>22568</v>
      </c>
      <c r="AY3331">
        <v>60</v>
      </c>
      <c r="AZ3331" s="184">
        <v>43199</v>
      </c>
      <c r="BA3331" t="s">
        <v>22568</v>
      </c>
      <c r="BB3331">
        <v>60</v>
      </c>
      <c r="BC3331">
        <v>37</v>
      </c>
      <c r="BD3331">
        <v>330</v>
      </c>
      <c r="BE3331">
        <v>2007</v>
      </c>
      <c r="BF3331">
        <v>9</v>
      </c>
      <c r="BI3331">
        <v>7</v>
      </c>
      <c r="BJ3331">
        <v>19</v>
      </c>
      <c r="BK3331">
        <v>2</v>
      </c>
      <c r="BL3331" t="s">
        <v>595</v>
      </c>
      <c r="BN3331" t="s">
        <v>595</v>
      </c>
      <c r="BO3331" t="s">
        <v>595</v>
      </c>
      <c r="BP3331" s="184"/>
    </row>
    <row r="3332" spans="1:68">
      <c r="A3332">
        <v>39679071</v>
      </c>
      <c r="B3332">
        <v>39679071</v>
      </c>
      <c r="C3332" t="s">
        <v>7018</v>
      </c>
      <c r="D3332" t="s">
        <v>595</v>
      </c>
      <c r="E3332" s="184">
        <v>43892</v>
      </c>
      <c r="G3332" s="184"/>
      <c r="I3332" s="184"/>
      <c r="K3332" s="184"/>
      <c r="O3332" s="184"/>
      <c r="P3332" t="s">
        <v>7045</v>
      </c>
      <c r="Q3332" t="s">
        <v>7383</v>
      </c>
      <c r="R3332" s="184">
        <v>17899</v>
      </c>
      <c r="S3332">
        <v>75</v>
      </c>
      <c r="U3332" t="s">
        <v>7130</v>
      </c>
      <c r="V3332" t="s">
        <v>3072</v>
      </c>
      <c r="X3332" t="s">
        <v>26006</v>
      </c>
      <c r="AF3332" t="s">
        <v>26007</v>
      </c>
      <c r="AG3332" t="s">
        <v>3072</v>
      </c>
      <c r="AI3332" t="s">
        <v>26008</v>
      </c>
      <c r="AM3332" t="s">
        <v>3040</v>
      </c>
      <c r="AN3332" t="s">
        <v>2064</v>
      </c>
      <c r="AO3332" t="s">
        <v>26009</v>
      </c>
      <c r="AP3332" t="s">
        <v>7024</v>
      </c>
      <c r="AQ3332" t="s">
        <v>26010</v>
      </c>
      <c r="AR3332" t="s">
        <v>26011</v>
      </c>
      <c r="AT3332" s="184">
        <v>38908</v>
      </c>
      <c r="AU3332" t="s">
        <v>26012</v>
      </c>
      <c r="AV3332">
        <v>20</v>
      </c>
      <c r="AW3332" s="184">
        <v>44803</v>
      </c>
      <c r="AX3332" t="s">
        <v>26013</v>
      </c>
      <c r="AY3332">
        <v>25</v>
      </c>
      <c r="AZ3332" s="184">
        <v>44803</v>
      </c>
      <c r="BA3332" t="s">
        <v>26013</v>
      </c>
      <c r="BB3332">
        <v>25</v>
      </c>
      <c r="BC3332">
        <v>58</v>
      </c>
      <c r="BD3332">
        <v>360</v>
      </c>
      <c r="BE3332">
        <v>2007</v>
      </c>
      <c r="BF3332">
        <v>15</v>
      </c>
      <c r="BG3332">
        <v>1</v>
      </c>
      <c r="BH3332">
        <v>25</v>
      </c>
      <c r="BI3332">
        <v>11</v>
      </c>
      <c r="BJ3332">
        <v>19</v>
      </c>
      <c r="BK3332">
        <v>6</v>
      </c>
      <c r="BP3332" s="184"/>
    </row>
    <row r="3333" spans="1:68">
      <c r="A3333">
        <v>39686787</v>
      </c>
      <c r="B3333">
        <v>39686787</v>
      </c>
      <c r="C3333" t="s">
        <v>7018</v>
      </c>
      <c r="D3333" t="s">
        <v>595</v>
      </c>
      <c r="E3333" s="184">
        <v>43861</v>
      </c>
      <c r="G3333" s="184"/>
      <c r="I3333" s="184"/>
      <c r="K3333" s="184"/>
      <c r="O3333" s="184"/>
      <c r="P3333" t="s">
        <v>7045</v>
      </c>
      <c r="Q3333" t="s">
        <v>7160</v>
      </c>
      <c r="R3333" s="184">
        <v>20486</v>
      </c>
      <c r="S3333">
        <v>68</v>
      </c>
      <c r="U3333" t="s">
        <v>7130</v>
      </c>
      <c r="V3333" t="s">
        <v>3131</v>
      </c>
      <c r="X3333" t="s">
        <v>4597</v>
      </c>
      <c r="AF3333" t="s">
        <v>26014</v>
      </c>
      <c r="AG3333" t="s">
        <v>3131</v>
      </c>
      <c r="AI3333" t="s">
        <v>26015</v>
      </c>
      <c r="AM3333" t="s">
        <v>4598</v>
      </c>
      <c r="AN3333" t="s">
        <v>2176</v>
      </c>
      <c r="AO3333" t="s">
        <v>26016</v>
      </c>
      <c r="AP3333" t="s">
        <v>7024</v>
      </c>
      <c r="AQ3333" t="s">
        <v>26017</v>
      </c>
      <c r="AR3333" t="s">
        <v>26018</v>
      </c>
      <c r="AT3333" s="184">
        <v>38917</v>
      </c>
      <c r="AU3333" t="s">
        <v>26019</v>
      </c>
      <c r="AV3333">
        <v>19.97</v>
      </c>
      <c r="AW3333" s="184">
        <v>42361</v>
      </c>
      <c r="AX3333" t="s">
        <v>26020</v>
      </c>
      <c r="AY3333">
        <v>50</v>
      </c>
      <c r="AZ3333" s="184">
        <v>42361</v>
      </c>
      <c r="BA3333" t="s">
        <v>26020</v>
      </c>
      <c r="BB3333">
        <v>50</v>
      </c>
      <c r="BC3333">
        <v>27</v>
      </c>
      <c r="BD3333">
        <v>189.94</v>
      </c>
      <c r="BE3333">
        <v>2007</v>
      </c>
      <c r="BF3333">
        <v>6</v>
      </c>
      <c r="BI3333">
        <v>5</v>
      </c>
      <c r="BJ3333">
        <v>19</v>
      </c>
      <c r="BK3333">
        <v>3</v>
      </c>
      <c r="BP3333" s="184"/>
    </row>
    <row r="3334" spans="1:68">
      <c r="A3334">
        <v>39723515</v>
      </c>
      <c r="B3334">
        <v>39723515</v>
      </c>
      <c r="C3334" t="s">
        <v>7018</v>
      </c>
      <c r="D3334" t="s">
        <v>595</v>
      </c>
      <c r="E3334" s="184">
        <v>45152</v>
      </c>
      <c r="G3334" s="184"/>
      <c r="I3334" s="184"/>
      <c r="K3334" s="184"/>
      <c r="O3334" s="184"/>
      <c r="P3334" t="s">
        <v>7045</v>
      </c>
      <c r="Q3334" t="s">
        <v>7383</v>
      </c>
      <c r="R3334" s="184">
        <v>20821</v>
      </c>
      <c r="S3334">
        <v>67</v>
      </c>
      <c r="U3334" t="s">
        <v>7031</v>
      </c>
      <c r="V3334" t="s">
        <v>2665</v>
      </c>
      <c r="X3334" t="s">
        <v>2934</v>
      </c>
      <c r="AF3334" t="s">
        <v>26021</v>
      </c>
      <c r="AG3334" t="s">
        <v>2665</v>
      </c>
      <c r="AI3334" t="s">
        <v>26022</v>
      </c>
      <c r="AM3334" t="s">
        <v>26023</v>
      </c>
      <c r="AN3334" t="s">
        <v>2274</v>
      </c>
      <c r="AO3334" t="s">
        <v>26024</v>
      </c>
      <c r="AP3334" t="s">
        <v>7024</v>
      </c>
      <c r="AQ3334" t="s">
        <v>26025</v>
      </c>
      <c r="AT3334" s="184">
        <v>38918</v>
      </c>
      <c r="AU3334" t="s">
        <v>26005</v>
      </c>
      <c r="AV3334">
        <v>15</v>
      </c>
      <c r="AW3334" s="184">
        <v>45302</v>
      </c>
      <c r="AX3334" t="s">
        <v>26026</v>
      </c>
      <c r="AY3334">
        <v>35</v>
      </c>
      <c r="AZ3334" s="184">
        <v>44165</v>
      </c>
      <c r="BA3334" t="s">
        <v>14081</v>
      </c>
      <c r="BB3334">
        <v>50</v>
      </c>
      <c r="BC3334">
        <v>64</v>
      </c>
      <c r="BD3334">
        <v>501.25</v>
      </c>
      <c r="BE3334">
        <v>2007</v>
      </c>
      <c r="BF3334">
        <v>18</v>
      </c>
      <c r="BG3334">
        <v>3</v>
      </c>
      <c r="BH3334">
        <v>86.25</v>
      </c>
      <c r="BI3334">
        <v>12</v>
      </c>
      <c r="BJ3334">
        <v>19</v>
      </c>
      <c r="BK3334">
        <v>4</v>
      </c>
    </row>
    <row r="3335" spans="1:68">
      <c r="A3335">
        <v>39746003</v>
      </c>
      <c r="B3335">
        <v>39746003</v>
      </c>
      <c r="C3335" t="s">
        <v>7018</v>
      </c>
      <c r="E3335" s="184"/>
      <c r="G3335" s="184"/>
      <c r="I3335" s="184"/>
      <c r="J3335" t="s">
        <v>595</v>
      </c>
      <c r="K3335" s="184">
        <v>45180</v>
      </c>
      <c r="O3335" s="184"/>
      <c r="P3335" t="s">
        <v>7686</v>
      </c>
      <c r="Q3335" t="s">
        <v>7020</v>
      </c>
      <c r="R3335" s="184">
        <v>18568</v>
      </c>
      <c r="S3335">
        <v>73</v>
      </c>
      <c r="U3335" t="s">
        <v>7076</v>
      </c>
      <c r="V3335" t="s">
        <v>26027</v>
      </c>
      <c r="X3335" t="s">
        <v>26028</v>
      </c>
      <c r="AF3335" t="s">
        <v>26029</v>
      </c>
      <c r="AG3335" t="s">
        <v>26027</v>
      </c>
      <c r="AI3335" t="s">
        <v>26030</v>
      </c>
      <c r="AM3335" t="s">
        <v>3004</v>
      </c>
      <c r="AN3335" t="s">
        <v>2112</v>
      </c>
      <c r="AO3335" t="s">
        <v>26031</v>
      </c>
      <c r="AP3335" t="s">
        <v>7024</v>
      </c>
      <c r="AQ3335" t="s">
        <v>26032</v>
      </c>
      <c r="AT3335" s="184">
        <v>38923</v>
      </c>
      <c r="AU3335" t="s">
        <v>26033</v>
      </c>
      <c r="AV3335">
        <v>35</v>
      </c>
      <c r="AW3335" s="184">
        <v>45131</v>
      </c>
      <c r="AX3335" t="s">
        <v>7749</v>
      </c>
      <c r="AY3335">
        <v>5500</v>
      </c>
      <c r="AZ3335" s="184">
        <v>45131</v>
      </c>
      <c r="BA3335" t="s">
        <v>7749</v>
      </c>
      <c r="BB3335">
        <v>5500</v>
      </c>
      <c r="BC3335">
        <v>95</v>
      </c>
      <c r="BD3335">
        <v>16455</v>
      </c>
      <c r="BE3335">
        <v>2007</v>
      </c>
      <c r="BF3335">
        <v>23</v>
      </c>
      <c r="BG3335">
        <v>2</v>
      </c>
      <c r="BH3335">
        <v>10500</v>
      </c>
      <c r="BI3335">
        <v>18</v>
      </c>
      <c r="BJ3335">
        <v>19</v>
      </c>
      <c r="BK3335">
        <v>18</v>
      </c>
      <c r="BP3335" s="184"/>
    </row>
    <row r="3336" spans="1:68">
      <c r="A3336">
        <v>39754411</v>
      </c>
      <c r="B3336">
        <v>39754411</v>
      </c>
      <c r="C3336" t="s">
        <v>7018</v>
      </c>
      <c r="D3336" t="s">
        <v>595</v>
      </c>
      <c r="E3336" s="184">
        <v>45154</v>
      </c>
      <c r="G3336" s="184"/>
      <c r="I3336" s="184"/>
      <c r="K3336" s="184"/>
      <c r="O3336" s="184"/>
      <c r="P3336" t="s">
        <v>7045</v>
      </c>
      <c r="Q3336" t="s">
        <v>7494</v>
      </c>
      <c r="R3336" s="184">
        <v>16589</v>
      </c>
      <c r="S3336">
        <v>78</v>
      </c>
      <c r="U3336" t="s">
        <v>7031</v>
      </c>
      <c r="V3336" t="s">
        <v>2821</v>
      </c>
      <c r="W3336" t="s">
        <v>7407</v>
      </c>
      <c r="X3336" t="s">
        <v>3870</v>
      </c>
      <c r="AF3336" t="s">
        <v>26034</v>
      </c>
      <c r="AG3336" t="s">
        <v>2821</v>
      </c>
      <c r="AI3336" t="s">
        <v>26035</v>
      </c>
      <c r="AM3336" t="s">
        <v>26036</v>
      </c>
      <c r="AN3336" t="s">
        <v>2174</v>
      </c>
      <c r="AO3336" t="s">
        <v>26037</v>
      </c>
      <c r="AP3336" t="s">
        <v>7024</v>
      </c>
      <c r="AT3336" s="184">
        <v>38924</v>
      </c>
      <c r="AU3336" t="s">
        <v>26038</v>
      </c>
      <c r="AV3336">
        <v>15</v>
      </c>
      <c r="AW3336" s="184">
        <v>45132</v>
      </c>
      <c r="AX3336" t="s">
        <v>8431</v>
      </c>
      <c r="AY3336">
        <v>10</v>
      </c>
      <c r="AZ3336" s="184">
        <v>42600</v>
      </c>
      <c r="BA3336" t="s">
        <v>26039</v>
      </c>
      <c r="BB3336">
        <v>25</v>
      </c>
      <c r="BC3336">
        <v>43</v>
      </c>
      <c r="BD3336">
        <v>135</v>
      </c>
      <c r="BE3336">
        <v>2007</v>
      </c>
      <c r="BF3336">
        <v>8</v>
      </c>
      <c r="BG3336">
        <v>2</v>
      </c>
      <c r="BH3336">
        <v>20</v>
      </c>
      <c r="BI3336">
        <v>8</v>
      </c>
      <c r="BJ3336">
        <v>19</v>
      </c>
      <c r="BK3336">
        <v>3</v>
      </c>
      <c r="BP3336" s="184"/>
    </row>
    <row r="3337" spans="1:68">
      <c r="A3337">
        <v>39761432</v>
      </c>
      <c r="B3337">
        <v>39761432</v>
      </c>
      <c r="C3337" t="s">
        <v>7018</v>
      </c>
      <c r="D3337" t="s">
        <v>595</v>
      </c>
      <c r="E3337" s="184">
        <v>43642</v>
      </c>
      <c r="G3337" s="184"/>
      <c r="I3337" s="184"/>
      <c r="K3337" s="184"/>
      <c r="O3337" s="184"/>
      <c r="P3337" t="s">
        <v>7045</v>
      </c>
      <c r="Q3337" t="s">
        <v>7383</v>
      </c>
      <c r="R3337" s="184">
        <v>15950</v>
      </c>
      <c r="S3337">
        <v>80</v>
      </c>
      <c r="U3337" t="s">
        <v>7031</v>
      </c>
      <c r="V3337" t="s">
        <v>3377</v>
      </c>
      <c r="X3337" t="s">
        <v>3378</v>
      </c>
      <c r="AF3337" t="s">
        <v>26040</v>
      </c>
      <c r="AG3337" t="s">
        <v>3377</v>
      </c>
      <c r="AI3337" t="s">
        <v>26041</v>
      </c>
      <c r="AM3337" t="s">
        <v>2520</v>
      </c>
      <c r="AN3337" t="s">
        <v>2072</v>
      </c>
      <c r="AO3337" t="s">
        <v>26042</v>
      </c>
      <c r="AP3337" t="s">
        <v>7024</v>
      </c>
      <c r="AT3337" s="184">
        <v>38924</v>
      </c>
      <c r="AU3337" t="s">
        <v>26043</v>
      </c>
      <c r="AV3337">
        <v>20</v>
      </c>
      <c r="AW3337" s="184">
        <v>45315</v>
      </c>
      <c r="AX3337" t="s">
        <v>25586</v>
      </c>
      <c r="AY3337">
        <v>25</v>
      </c>
      <c r="AZ3337" s="184">
        <v>45315</v>
      </c>
      <c r="BA3337" t="s">
        <v>25586</v>
      </c>
      <c r="BB3337">
        <v>25</v>
      </c>
      <c r="BC3337">
        <v>74</v>
      </c>
      <c r="BD3337">
        <v>495</v>
      </c>
      <c r="BE3337">
        <v>2007</v>
      </c>
      <c r="BF3337">
        <v>20</v>
      </c>
      <c r="BG3337">
        <v>2</v>
      </c>
      <c r="BH3337">
        <v>50</v>
      </c>
      <c r="BI3337">
        <v>14</v>
      </c>
      <c r="BJ3337">
        <v>19</v>
      </c>
      <c r="BK3337">
        <v>5</v>
      </c>
      <c r="BP3337" s="184"/>
    </row>
    <row r="3338" spans="1:68">
      <c r="A3338">
        <v>39767033</v>
      </c>
      <c r="B3338">
        <v>39767033</v>
      </c>
      <c r="C3338" t="s">
        <v>7018</v>
      </c>
      <c r="D3338" t="s">
        <v>595</v>
      </c>
      <c r="E3338" s="184">
        <v>43801</v>
      </c>
      <c r="G3338" s="184"/>
      <c r="I3338" s="184"/>
      <c r="K3338" s="184"/>
      <c r="O3338" s="184"/>
      <c r="P3338" t="s">
        <v>7045</v>
      </c>
      <c r="Q3338" t="s">
        <v>7030</v>
      </c>
      <c r="R3338" s="184">
        <v>32143</v>
      </c>
      <c r="S3338">
        <v>36</v>
      </c>
      <c r="U3338" t="s">
        <v>7031</v>
      </c>
      <c r="V3338" t="s">
        <v>2832</v>
      </c>
      <c r="X3338" t="s">
        <v>4423</v>
      </c>
      <c r="AF3338" t="s">
        <v>26044</v>
      </c>
      <c r="AG3338" t="s">
        <v>2832</v>
      </c>
      <c r="AI3338" t="s">
        <v>26045</v>
      </c>
      <c r="AM3338" t="s">
        <v>4424</v>
      </c>
      <c r="AN3338" t="s">
        <v>2089</v>
      </c>
      <c r="AO3338" t="s">
        <v>26046</v>
      </c>
      <c r="AP3338" t="s">
        <v>7024</v>
      </c>
      <c r="AQ3338" t="s">
        <v>26047</v>
      </c>
      <c r="AT3338" s="184">
        <v>38924</v>
      </c>
      <c r="AU3338" t="s">
        <v>26048</v>
      </c>
      <c r="AV3338">
        <v>50</v>
      </c>
      <c r="AW3338" s="184">
        <v>45126</v>
      </c>
      <c r="AX3338" t="s">
        <v>8104</v>
      </c>
      <c r="AY3338">
        <v>100</v>
      </c>
      <c r="AZ3338" s="184">
        <v>45126</v>
      </c>
      <c r="BA3338" t="s">
        <v>8104</v>
      </c>
      <c r="BB3338">
        <v>100</v>
      </c>
      <c r="BC3338">
        <v>95</v>
      </c>
      <c r="BD3338">
        <v>3400</v>
      </c>
      <c r="BE3338">
        <v>2007</v>
      </c>
      <c r="BF3338">
        <v>42</v>
      </c>
      <c r="BG3338">
        <v>7</v>
      </c>
      <c r="BH3338">
        <v>700</v>
      </c>
      <c r="BI3338">
        <v>18</v>
      </c>
      <c r="BJ3338">
        <v>19</v>
      </c>
      <c r="BK3338">
        <v>18</v>
      </c>
      <c r="BP3338" s="184"/>
    </row>
    <row r="3339" spans="1:68">
      <c r="A3339">
        <v>39780820</v>
      </c>
      <c r="B3339">
        <v>39780820</v>
      </c>
      <c r="C3339" t="s">
        <v>7018</v>
      </c>
      <c r="E3339" s="184"/>
      <c r="G3339" s="184"/>
      <c r="I3339" s="184"/>
      <c r="K3339" s="184"/>
      <c r="N3339" t="s">
        <v>595</v>
      </c>
      <c r="O3339" s="184">
        <v>42312</v>
      </c>
      <c r="P3339" t="s">
        <v>7045</v>
      </c>
      <c r="Q3339" t="s">
        <v>7383</v>
      </c>
      <c r="R3339" s="184">
        <v>10912</v>
      </c>
      <c r="S3339">
        <v>94</v>
      </c>
      <c r="U3339" t="s">
        <v>7076</v>
      </c>
      <c r="V3339" t="s">
        <v>26049</v>
      </c>
      <c r="X3339" t="s">
        <v>4291</v>
      </c>
      <c r="AF3339" t="s">
        <v>26050</v>
      </c>
      <c r="AG3339" t="s">
        <v>26049</v>
      </c>
      <c r="AI3339" t="s">
        <v>26051</v>
      </c>
      <c r="AM3339" t="s">
        <v>5754</v>
      </c>
      <c r="AN3339" t="s">
        <v>2162</v>
      </c>
      <c r="AO3339" t="s">
        <v>26052</v>
      </c>
      <c r="AP3339" t="s">
        <v>7024</v>
      </c>
      <c r="AQ3339" t="s">
        <v>26053</v>
      </c>
      <c r="AT3339" s="184">
        <v>38924</v>
      </c>
      <c r="AU3339" t="s">
        <v>26054</v>
      </c>
      <c r="AV3339">
        <v>35</v>
      </c>
      <c r="AW3339" s="184">
        <v>44939</v>
      </c>
      <c r="AX3339" t="s">
        <v>26055</v>
      </c>
      <c r="AY3339">
        <v>25</v>
      </c>
      <c r="AZ3339" s="184">
        <v>42577</v>
      </c>
      <c r="BA3339" t="s">
        <v>7267</v>
      </c>
      <c r="BB3339">
        <v>10000</v>
      </c>
      <c r="BC3339">
        <v>85</v>
      </c>
      <c r="BD3339">
        <v>21825</v>
      </c>
      <c r="BE3339">
        <v>2007</v>
      </c>
      <c r="BF3339">
        <v>28</v>
      </c>
      <c r="BG3339">
        <v>1</v>
      </c>
      <c r="BH3339">
        <v>25</v>
      </c>
      <c r="BI3339">
        <v>16</v>
      </c>
      <c r="BJ3339">
        <v>19</v>
      </c>
      <c r="BK3339">
        <v>12</v>
      </c>
      <c r="BP3339" s="184"/>
    </row>
    <row r="3340" spans="1:68">
      <c r="A3340">
        <v>39792551</v>
      </c>
      <c r="B3340">
        <v>39792551</v>
      </c>
      <c r="C3340" t="s">
        <v>7018</v>
      </c>
      <c r="D3340" t="s">
        <v>595</v>
      </c>
      <c r="E3340" s="184">
        <v>44073</v>
      </c>
      <c r="G3340" s="184"/>
      <c r="I3340" s="184"/>
      <c r="K3340" s="184"/>
      <c r="O3340" s="184"/>
      <c r="P3340" t="s">
        <v>7045</v>
      </c>
      <c r="Q3340" t="s">
        <v>7020</v>
      </c>
      <c r="R3340" s="184">
        <v>14851</v>
      </c>
      <c r="S3340">
        <v>83</v>
      </c>
      <c r="U3340" t="s">
        <v>7031</v>
      </c>
      <c r="V3340" t="s">
        <v>3254</v>
      </c>
      <c r="X3340" t="s">
        <v>26056</v>
      </c>
      <c r="AF3340" t="s">
        <v>26057</v>
      </c>
      <c r="AG3340" t="s">
        <v>3254</v>
      </c>
      <c r="AI3340" t="s">
        <v>26058</v>
      </c>
      <c r="AM3340" t="s">
        <v>3717</v>
      </c>
      <c r="AN3340" t="s">
        <v>2240</v>
      </c>
      <c r="AO3340" t="s">
        <v>26059</v>
      </c>
      <c r="AP3340" t="s">
        <v>7024</v>
      </c>
      <c r="AQ3340" t="s">
        <v>26060</v>
      </c>
      <c r="AT3340" s="184">
        <v>38925</v>
      </c>
      <c r="AU3340" t="s">
        <v>26061</v>
      </c>
      <c r="AV3340">
        <v>25</v>
      </c>
      <c r="AW3340" s="184">
        <v>45226</v>
      </c>
      <c r="AX3340" t="s">
        <v>26062</v>
      </c>
      <c r="AY3340">
        <v>100</v>
      </c>
      <c r="AZ3340" s="184">
        <v>41894</v>
      </c>
      <c r="BA3340" t="s">
        <v>26063</v>
      </c>
      <c r="BB3340">
        <v>120</v>
      </c>
      <c r="BC3340">
        <v>79</v>
      </c>
      <c r="BD3340">
        <v>1725</v>
      </c>
      <c r="BE3340">
        <v>2007</v>
      </c>
      <c r="BF3340">
        <v>30</v>
      </c>
      <c r="BG3340">
        <v>1</v>
      </c>
      <c r="BH3340">
        <v>100</v>
      </c>
      <c r="BI3340">
        <v>15</v>
      </c>
      <c r="BJ3340">
        <v>19</v>
      </c>
      <c r="BK3340">
        <v>10</v>
      </c>
    </row>
    <row r="3341" spans="1:68">
      <c r="A3341">
        <v>39821640</v>
      </c>
      <c r="B3341">
        <v>39821640</v>
      </c>
      <c r="C3341" t="s">
        <v>7018</v>
      </c>
      <c r="E3341" s="184"/>
      <c r="G3341" s="184"/>
      <c r="I3341" s="184"/>
      <c r="J3341" t="s">
        <v>595</v>
      </c>
      <c r="K3341" s="184">
        <v>42515</v>
      </c>
      <c r="O3341" s="184"/>
      <c r="P3341" t="s">
        <v>7084</v>
      </c>
      <c r="Q3341" t="s">
        <v>7374</v>
      </c>
      <c r="R3341" s="184">
        <v>15230</v>
      </c>
      <c r="S3341">
        <v>82</v>
      </c>
      <c r="U3341" t="s">
        <v>7031</v>
      </c>
      <c r="V3341" t="s">
        <v>2697</v>
      </c>
      <c r="W3341" t="s">
        <v>26064</v>
      </c>
      <c r="X3341" t="s">
        <v>5410</v>
      </c>
      <c r="Z3341">
        <v>101298896</v>
      </c>
      <c r="AA3341" t="s">
        <v>7130</v>
      </c>
      <c r="AB3341" t="s">
        <v>3293</v>
      </c>
      <c r="AC3341" t="s">
        <v>26065</v>
      </c>
      <c r="AD3341" t="s">
        <v>5410</v>
      </c>
      <c r="AF3341" t="s">
        <v>26066</v>
      </c>
      <c r="AG3341" t="s">
        <v>26067</v>
      </c>
      <c r="AI3341" t="s">
        <v>26068</v>
      </c>
      <c r="AM3341" t="s">
        <v>5411</v>
      </c>
      <c r="AN3341" t="s">
        <v>2081</v>
      </c>
      <c r="AO3341" t="s">
        <v>26069</v>
      </c>
      <c r="AP3341" t="s">
        <v>7024</v>
      </c>
      <c r="AQ3341" t="s">
        <v>26070</v>
      </c>
      <c r="AT3341" s="184">
        <v>38930</v>
      </c>
      <c r="AU3341" t="s">
        <v>26043</v>
      </c>
      <c r="AV3341">
        <v>25</v>
      </c>
      <c r="AW3341" s="184">
        <v>45281</v>
      </c>
      <c r="AX3341" t="s">
        <v>9245</v>
      </c>
      <c r="AY3341">
        <v>15000</v>
      </c>
      <c r="AZ3341" s="184">
        <v>44504</v>
      </c>
      <c r="BA3341" t="s">
        <v>26071</v>
      </c>
      <c r="BB3341">
        <v>100000</v>
      </c>
      <c r="BC3341">
        <v>90</v>
      </c>
      <c r="BD3341">
        <v>257185</v>
      </c>
      <c r="BE3341">
        <v>2007</v>
      </c>
      <c r="BF3341">
        <v>25</v>
      </c>
      <c r="BG3341">
        <v>2</v>
      </c>
      <c r="BH3341">
        <v>35000</v>
      </c>
      <c r="BI3341">
        <v>17</v>
      </c>
      <c r="BJ3341">
        <v>19</v>
      </c>
      <c r="BK3341">
        <v>14</v>
      </c>
      <c r="BP3341" s="184"/>
    </row>
    <row r="3342" spans="1:68">
      <c r="A3342">
        <v>39847330</v>
      </c>
      <c r="B3342">
        <v>39847330</v>
      </c>
      <c r="C3342" t="s">
        <v>7018</v>
      </c>
      <c r="D3342" t="s">
        <v>595</v>
      </c>
      <c r="E3342" s="184">
        <v>43864</v>
      </c>
      <c r="G3342" s="184"/>
      <c r="I3342" s="184"/>
      <c r="K3342" s="184"/>
      <c r="O3342" s="184"/>
      <c r="P3342" t="s">
        <v>7045</v>
      </c>
      <c r="Q3342" t="s">
        <v>7383</v>
      </c>
      <c r="R3342" s="184">
        <v>16559</v>
      </c>
      <c r="S3342">
        <v>79</v>
      </c>
      <c r="U3342" t="s">
        <v>7031</v>
      </c>
      <c r="V3342" t="s">
        <v>3460</v>
      </c>
      <c r="W3342" t="s">
        <v>205</v>
      </c>
      <c r="X3342" t="s">
        <v>4723</v>
      </c>
      <c r="AF3342" t="s">
        <v>26072</v>
      </c>
      <c r="AG3342" t="s">
        <v>3460</v>
      </c>
      <c r="AI3342" t="s">
        <v>26073</v>
      </c>
      <c r="AM3342" t="s">
        <v>2830</v>
      </c>
      <c r="AN3342" t="s">
        <v>2185</v>
      </c>
      <c r="AO3342" t="s">
        <v>26074</v>
      </c>
      <c r="AP3342" t="s">
        <v>7024</v>
      </c>
      <c r="AQ3342" t="s">
        <v>26075</v>
      </c>
      <c r="AR3342" t="s">
        <v>26076</v>
      </c>
      <c r="AT3342" s="184">
        <v>38936</v>
      </c>
      <c r="AU3342" t="s">
        <v>26077</v>
      </c>
      <c r="AV3342">
        <v>25</v>
      </c>
      <c r="AW3342" s="184">
        <v>45398</v>
      </c>
      <c r="AX3342" t="s">
        <v>26078</v>
      </c>
      <c r="AY3342">
        <v>375</v>
      </c>
      <c r="AZ3342" s="184">
        <v>45398</v>
      </c>
      <c r="BA3342" t="s">
        <v>26078</v>
      </c>
      <c r="BB3342">
        <v>375</v>
      </c>
      <c r="BC3342">
        <v>100</v>
      </c>
      <c r="BD3342">
        <v>3957</v>
      </c>
      <c r="BE3342">
        <v>2007</v>
      </c>
      <c r="BF3342">
        <v>20</v>
      </c>
      <c r="BG3342">
        <v>2</v>
      </c>
      <c r="BH3342">
        <v>750</v>
      </c>
      <c r="BI3342">
        <v>19</v>
      </c>
      <c r="BJ3342">
        <v>19</v>
      </c>
      <c r="BK3342">
        <v>19</v>
      </c>
      <c r="BN3342" t="s">
        <v>595</v>
      </c>
    </row>
    <row r="3343" spans="1:68">
      <c r="A3343">
        <v>39849542</v>
      </c>
      <c r="B3343">
        <v>39849542</v>
      </c>
      <c r="C3343" t="s">
        <v>7018</v>
      </c>
      <c r="E3343" s="184"/>
      <c r="G3343" s="184"/>
      <c r="H3343" t="s">
        <v>595</v>
      </c>
      <c r="I3343" s="184">
        <v>44105</v>
      </c>
      <c r="K3343" s="184"/>
      <c r="N3343" t="s">
        <v>595</v>
      </c>
      <c r="O3343" s="184">
        <v>44181</v>
      </c>
      <c r="P3343" t="s">
        <v>7045</v>
      </c>
      <c r="Q3343" t="s">
        <v>7194</v>
      </c>
      <c r="R3343" s="184">
        <v>9823</v>
      </c>
      <c r="S3343">
        <v>97</v>
      </c>
      <c r="U3343" t="s">
        <v>7031</v>
      </c>
      <c r="V3343" t="s">
        <v>3321</v>
      </c>
      <c r="W3343" t="s">
        <v>4013</v>
      </c>
      <c r="X3343" t="s">
        <v>5021</v>
      </c>
      <c r="AF3343" t="s">
        <v>26079</v>
      </c>
      <c r="AG3343" t="s">
        <v>3321</v>
      </c>
      <c r="AI3343" t="s">
        <v>26080</v>
      </c>
      <c r="AM3343" t="s">
        <v>4240</v>
      </c>
      <c r="AN3343" t="s">
        <v>2046</v>
      </c>
      <c r="AO3343" t="s">
        <v>26081</v>
      </c>
      <c r="AP3343" t="s">
        <v>7024</v>
      </c>
      <c r="AQ3343" t="s">
        <v>26082</v>
      </c>
      <c r="AT3343" s="184">
        <v>32974</v>
      </c>
      <c r="AU3343" t="s">
        <v>26083</v>
      </c>
      <c r="AV3343">
        <v>20</v>
      </c>
      <c r="AW3343" s="184">
        <v>44818</v>
      </c>
      <c r="AX3343" t="s">
        <v>26084</v>
      </c>
      <c r="AY3343">
        <v>75</v>
      </c>
      <c r="AZ3343" s="184">
        <v>41376</v>
      </c>
      <c r="BA3343" t="s">
        <v>26085</v>
      </c>
      <c r="BB3343">
        <v>100</v>
      </c>
      <c r="BC3343">
        <v>72</v>
      </c>
      <c r="BD3343">
        <v>3128</v>
      </c>
      <c r="BE3343">
        <v>1990</v>
      </c>
      <c r="BF3343">
        <v>57</v>
      </c>
      <c r="BG3343">
        <v>2</v>
      </c>
      <c r="BH3343">
        <v>150</v>
      </c>
      <c r="BI3343">
        <v>25</v>
      </c>
      <c r="BJ3343">
        <v>35</v>
      </c>
      <c r="BK3343">
        <v>12</v>
      </c>
      <c r="BO3343" t="s">
        <v>595</v>
      </c>
    </row>
    <row r="3344" spans="1:68">
      <c r="A3344">
        <v>39856133</v>
      </c>
      <c r="B3344">
        <v>39856133</v>
      </c>
      <c r="C3344" t="s">
        <v>7018</v>
      </c>
      <c r="D3344" t="s">
        <v>595</v>
      </c>
      <c r="E3344" s="184">
        <v>45195</v>
      </c>
      <c r="G3344" s="184"/>
      <c r="I3344" s="184"/>
      <c r="K3344" s="184"/>
      <c r="O3344" s="184"/>
      <c r="P3344" t="s">
        <v>7045</v>
      </c>
      <c r="Q3344" t="s">
        <v>7383</v>
      </c>
      <c r="R3344" s="184">
        <v>22071</v>
      </c>
      <c r="S3344">
        <v>63</v>
      </c>
      <c r="U3344" t="s">
        <v>7076</v>
      </c>
      <c r="V3344" t="s">
        <v>2989</v>
      </c>
      <c r="X3344" t="s">
        <v>26086</v>
      </c>
      <c r="AF3344" t="s">
        <v>26087</v>
      </c>
      <c r="AG3344" t="s">
        <v>2989</v>
      </c>
      <c r="AI3344" t="s">
        <v>26088</v>
      </c>
      <c r="AM3344" t="s">
        <v>3130</v>
      </c>
      <c r="AN3344" t="s">
        <v>2072</v>
      </c>
      <c r="AO3344" t="s">
        <v>26089</v>
      </c>
      <c r="AP3344" t="s">
        <v>7024</v>
      </c>
      <c r="AQ3344" t="s">
        <v>26090</v>
      </c>
      <c r="AR3344" t="s">
        <v>26091</v>
      </c>
      <c r="AT3344" s="184">
        <v>38937</v>
      </c>
      <c r="AU3344" t="s">
        <v>26077</v>
      </c>
      <c r="AV3344">
        <v>20</v>
      </c>
      <c r="AW3344" s="184">
        <v>44624</v>
      </c>
      <c r="AX3344" t="s">
        <v>26092</v>
      </c>
      <c r="AY3344">
        <v>25</v>
      </c>
      <c r="AZ3344" s="184">
        <v>44624</v>
      </c>
      <c r="BA3344" t="s">
        <v>26092</v>
      </c>
      <c r="BB3344">
        <v>25</v>
      </c>
      <c r="BC3344">
        <v>32</v>
      </c>
      <c r="BD3344">
        <v>135</v>
      </c>
      <c r="BE3344">
        <v>2007</v>
      </c>
      <c r="BF3344">
        <v>6</v>
      </c>
      <c r="BI3344">
        <v>6</v>
      </c>
      <c r="BJ3344">
        <v>19</v>
      </c>
      <c r="BK3344">
        <v>3</v>
      </c>
      <c r="BP3344" s="184"/>
    </row>
    <row r="3345" spans="1:68">
      <c r="A3345">
        <v>39858048</v>
      </c>
      <c r="B3345">
        <v>39858048</v>
      </c>
      <c r="C3345" t="s">
        <v>7018</v>
      </c>
      <c r="D3345" t="s">
        <v>595</v>
      </c>
      <c r="E3345" s="184">
        <v>45195</v>
      </c>
      <c r="G3345" s="184"/>
      <c r="I3345" s="184"/>
      <c r="K3345" s="184"/>
      <c r="O3345" s="184"/>
      <c r="P3345" t="s">
        <v>7045</v>
      </c>
      <c r="Q3345" t="s">
        <v>7383</v>
      </c>
      <c r="R3345" s="184">
        <v>18749</v>
      </c>
      <c r="S3345">
        <v>73</v>
      </c>
      <c r="U3345" t="s">
        <v>7076</v>
      </c>
      <c r="V3345" t="s">
        <v>4210</v>
      </c>
      <c r="X3345" t="s">
        <v>26093</v>
      </c>
      <c r="AF3345" t="s">
        <v>26094</v>
      </c>
      <c r="AG3345" t="s">
        <v>4210</v>
      </c>
      <c r="AI3345" t="s">
        <v>26095</v>
      </c>
      <c r="AM3345" t="s">
        <v>3390</v>
      </c>
      <c r="AN3345" t="s">
        <v>2144</v>
      </c>
      <c r="AO3345" t="s">
        <v>26096</v>
      </c>
      <c r="AP3345" t="s">
        <v>7024</v>
      </c>
      <c r="AT3345" s="184">
        <v>38937</v>
      </c>
      <c r="AU3345" t="s">
        <v>26097</v>
      </c>
      <c r="AV3345">
        <v>25</v>
      </c>
      <c r="AW3345" s="184">
        <v>43424</v>
      </c>
      <c r="AX3345" t="s">
        <v>26098</v>
      </c>
      <c r="AY3345">
        <v>25</v>
      </c>
      <c r="AZ3345" s="184">
        <v>42996</v>
      </c>
      <c r="BA3345" t="s">
        <v>26099</v>
      </c>
      <c r="BB3345">
        <v>50</v>
      </c>
      <c r="BC3345">
        <v>37</v>
      </c>
      <c r="BD3345">
        <v>350</v>
      </c>
      <c r="BE3345">
        <v>2007</v>
      </c>
      <c r="BF3345">
        <v>9</v>
      </c>
      <c r="BI3345">
        <v>7</v>
      </c>
      <c r="BJ3345">
        <v>19</v>
      </c>
      <c r="BK3345">
        <v>3</v>
      </c>
      <c r="BP3345" s="184"/>
    </row>
    <row r="3346" spans="1:68">
      <c r="A3346">
        <v>39865902</v>
      </c>
      <c r="B3346">
        <v>39865902</v>
      </c>
      <c r="C3346" t="s">
        <v>7018</v>
      </c>
      <c r="E3346" s="184"/>
      <c r="G3346" s="184"/>
      <c r="I3346" s="184"/>
      <c r="J3346" t="s">
        <v>595</v>
      </c>
      <c r="K3346" s="184">
        <v>43801</v>
      </c>
      <c r="O3346" s="184"/>
      <c r="P3346" t="s">
        <v>7045</v>
      </c>
      <c r="Q3346" t="s">
        <v>7374</v>
      </c>
      <c r="R3346" s="184">
        <v>18393</v>
      </c>
      <c r="S3346">
        <v>74</v>
      </c>
      <c r="V3346" t="s">
        <v>2871</v>
      </c>
      <c r="X3346" t="s">
        <v>3233</v>
      </c>
      <c r="AF3346" t="s">
        <v>6603</v>
      </c>
      <c r="AG3346" t="s">
        <v>2871</v>
      </c>
      <c r="AI3346" t="s">
        <v>26100</v>
      </c>
      <c r="AM3346" t="s">
        <v>4310</v>
      </c>
      <c r="AN3346" t="s">
        <v>2081</v>
      </c>
      <c r="AO3346" t="s">
        <v>26101</v>
      </c>
      <c r="AP3346" t="s">
        <v>7024</v>
      </c>
      <c r="AQ3346" t="s">
        <v>26102</v>
      </c>
      <c r="AT3346" s="184">
        <v>38943</v>
      </c>
      <c r="AU3346" t="s">
        <v>25730</v>
      </c>
      <c r="AV3346">
        <v>15</v>
      </c>
      <c r="AW3346" s="184">
        <v>45152</v>
      </c>
      <c r="AX3346" t="s">
        <v>13936</v>
      </c>
      <c r="AY3346">
        <v>35</v>
      </c>
      <c r="AZ3346" s="184">
        <v>40311</v>
      </c>
      <c r="BA3346" t="s">
        <v>26103</v>
      </c>
      <c r="BB3346">
        <v>60</v>
      </c>
      <c r="BC3346">
        <v>85</v>
      </c>
      <c r="BD3346">
        <v>590</v>
      </c>
      <c r="BE3346">
        <v>2007</v>
      </c>
      <c r="BF3346">
        <v>18</v>
      </c>
      <c r="BG3346">
        <v>2</v>
      </c>
      <c r="BH3346">
        <v>70</v>
      </c>
      <c r="BI3346">
        <v>16</v>
      </c>
      <c r="BJ3346">
        <v>19</v>
      </c>
      <c r="BK3346">
        <v>11</v>
      </c>
      <c r="BN3346" t="s">
        <v>595</v>
      </c>
      <c r="BP3346" s="184"/>
    </row>
    <row r="3347" spans="1:68">
      <c r="A3347">
        <v>39875075</v>
      </c>
      <c r="B3347">
        <v>39875075</v>
      </c>
      <c r="C3347" t="s">
        <v>7018</v>
      </c>
      <c r="D3347" t="s">
        <v>595</v>
      </c>
      <c r="E3347" s="184">
        <v>44236</v>
      </c>
      <c r="G3347" s="184"/>
      <c r="I3347" s="184"/>
      <c r="K3347" s="184"/>
      <c r="O3347" s="184"/>
      <c r="P3347" t="s">
        <v>7019</v>
      </c>
      <c r="Q3347" t="s">
        <v>7383</v>
      </c>
      <c r="R3347" s="184">
        <v>12861</v>
      </c>
      <c r="S3347">
        <v>89</v>
      </c>
      <c r="U3347" t="s">
        <v>7031</v>
      </c>
      <c r="V3347" t="s">
        <v>2863</v>
      </c>
      <c r="W3347" t="s">
        <v>2058</v>
      </c>
      <c r="X3347" t="s">
        <v>3746</v>
      </c>
      <c r="AF3347" t="s">
        <v>26104</v>
      </c>
      <c r="AG3347" t="s">
        <v>2863</v>
      </c>
      <c r="AI3347" t="s">
        <v>26105</v>
      </c>
      <c r="AM3347" t="s">
        <v>3345</v>
      </c>
      <c r="AN3347" t="s">
        <v>2274</v>
      </c>
      <c r="AO3347" t="s">
        <v>26106</v>
      </c>
      <c r="AP3347" t="s">
        <v>7024</v>
      </c>
      <c r="AT3347" s="184">
        <v>38940</v>
      </c>
      <c r="AU3347" t="s">
        <v>26107</v>
      </c>
      <c r="AV3347">
        <v>25</v>
      </c>
      <c r="AW3347" s="184">
        <v>43899</v>
      </c>
      <c r="AX3347" t="s">
        <v>26108</v>
      </c>
      <c r="AY3347">
        <v>50</v>
      </c>
      <c r="AZ3347" s="184">
        <v>43307</v>
      </c>
      <c r="BA3347" t="s">
        <v>26109</v>
      </c>
      <c r="BB3347">
        <v>60</v>
      </c>
      <c r="BC3347">
        <v>48</v>
      </c>
      <c r="BD3347">
        <v>425</v>
      </c>
      <c r="BE3347">
        <v>2007</v>
      </c>
      <c r="BF3347">
        <v>12</v>
      </c>
      <c r="BI3347">
        <v>9</v>
      </c>
      <c r="BJ3347">
        <v>19</v>
      </c>
      <c r="BK3347">
        <v>5</v>
      </c>
    </row>
    <row r="3348" spans="1:68">
      <c r="A3348">
        <v>39876628</v>
      </c>
      <c r="B3348">
        <v>39876628</v>
      </c>
      <c r="C3348" t="s">
        <v>7018</v>
      </c>
      <c r="D3348" t="s">
        <v>595</v>
      </c>
      <c r="E3348" s="184">
        <v>43861</v>
      </c>
      <c r="G3348" s="184"/>
      <c r="I3348" s="184"/>
      <c r="K3348" s="184"/>
      <c r="O3348" s="184"/>
      <c r="P3348" t="s">
        <v>7045</v>
      </c>
      <c r="Q3348" t="s">
        <v>7194</v>
      </c>
      <c r="R3348" s="184">
        <v>23766</v>
      </c>
      <c r="S3348">
        <v>59</v>
      </c>
      <c r="U3348" t="s">
        <v>7130</v>
      </c>
      <c r="V3348" t="s">
        <v>4599</v>
      </c>
      <c r="X3348" t="s">
        <v>4600</v>
      </c>
      <c r="Z3348">
        <v>100116388</v>
      </c>
      <c r="AA3348" t="s">
        <v>7130</v>
      </c>
      <c r="AB3348" t="s">
        <v>26110</v>
      </c>
      <c r="AC3348" t="s">
        <v>3981</v>
      </c>
      <c r="AD3348" t="s">
        <v>4600</v>
      </c>
      <c r="AF3348" t="s">
        <v>26111</v>
      </c>
      <c r="AG3348" t="s">
        <v>26112</v>
      </c>
      <c r="AI3348" t="s">
        <v>26113</v>
      </c>
      <c r="AM3348" t="s">
        <v>4601</v>
      </c>
      <c r="AN3348" t="s">
        <v>4512</v>
      </c>
      <c r="AO3348" t="s">
        <v>26114</v>
      </c>
      <c r="AP3348" t="s">
        <v>7024</v>
      </c>
      <c r="AQ3348" t="s">
        <v>26115</v>
      </c>
      <c r="AR3348" t="s">
        <v>26116</v>
      </c>
      <c r="AT3348" s="184">
        <v>38940</v>
      </c>
      <c r="AU3348" t="s">
        <v>26117</v>
      </c>
      <c r="AV3348">
        <v>25</v>
      </c>
      <c r="AW3348" s="184">
        <v>45219</v>
      </c>
      <c r="AX3348" t="s">
        <v>26118</v>
      </c>
      <c r="AY3348">
        <v>50</v>
      </c>
      <c r="AZ3348" s="184">
        <v>41892</v>
      </c>
      <c r="BA3348" t="s">
        <v>26119</v>
      </c>
      <c r="BB3348">
        <v>115</v>
      </c>
      <c r="BC3348">
        <v>64</v>
      </c>
      <c r="BD3348">
        <v>920</v>
      </c>
      <c r="BE3348">
        <v>2007</v>
      </c>
      <c r="BF3348">
        <v>17</v>
      </c>
      <c r="BG3348">
        <v>2</v>
      </c>
      <c r="BH3348">
        <v>100</v>
      </c>
      <c r="BI3348">
        <v>12</v>
      </c>
      <c r="BJ3348">
        <v>19</v>
      </c>
      <c r="BK3348">
        <v>4</v>
      </c>
      <c r="BP3348" s="184"/>
    </row>
    <row r="3349" spans="1:68">
      <c r="A3349">
        <v>100116388</v>
      </c>
      <c r="B3349">
        <v>39876628</v>
      </c>
      <c r="C3349" t="s">
        <v>7018</v>
      </c>
      <c r="D3349" t="s">
        <v>595</v>
      </c>
      <c r="E3349" s="184">
        <v>43861</v>
      </c>
      <c r="G3349" s="184"/>
      <c r="I3349" s="184"/>
      <c r="K3349" s="184"/>
      <c r="P3349" t="s">
        <v>7045</v>
      </c>
      <c r="Q3349" t="s">
        <v>7194</v>
      </c>
      <c r="R3349" s="184">
        <v>24470</v>
      </c>
      <c r="S3349">
        <v>57</v>
      </c>
      <c r="U3349" t="s">
        <v>7130</v>
      </c>
      <c r="V3349" t="s">
        <v>26110</v>
      </c>
      <c r="W3349" t="s">
        <v>3981</v>
      </c>
      <c r="X3349" t="s">
        <v>4600</v>
      </c>
      <c r="Z3349">
        <v>39876628</v>
      </c>
      <c r="AA3349" t="s">
        <v>7130</v>
      </c>
      <c r="AB3349" t="s">
        <v>4599</v>
      </c>
      <c r="AD3349" t="s">
        <v>4600</v>
      </c>
      <c r="AF3349" t="s">
        <v>26111</v>
      </c>
      <c r="AG3349" t="s">
        <v>26112</v>
      </c>
      <c r="AI3349" t="s">
        <v>26113</v>
      </c>
      <c r="AM3349" t="s">
        <v>4601</v>
      </c>
      <c r="AN3349" t="s">
        <v>4512</v>
      </c>
      <c r="AO3349" t="s">
        <v>26114</v>
      </c>
      <c r="AP3349" t="s">
        <v>7024</v>
      </c>
      <c r="AQ3349" t="s">
        <v>26120</v>
      </c>
      <c r="AR3349" t="s">
        <v>26116</v>
      </c>
      <c r="AT3349" s="184">
        <v>43956</v>
      </c>
      <c r="AU3349" t="s">
        <v>25842</v>
      </c>
      <c r="AV3349">
        <v>50</v>
      </c>
      <c r="AW3349" s="184">
        <v>45147</v>
      </c>
      <c r="AX3349" t="s">
        <v>9576</v>
      </c>
      <c r="AY3349">
        <v>50</v>
      </c>
      <c r="AZ3349" s="184">
        <v>45147</v>
      </c>
      <c r="BA3349" t="s">
        <v>9576</v>
      </c>
      <c r="BB3349">
        <v>50</v>
      </c>
      <c r="BC3349">
        <v>80</v>
      </c>
      <c r="BD3349">
        <v>200</v>
      </c>
      <c r="BE3349">
        <v>2020</v>
      </c>
      <c r="BF3349">
        <v>4</v>
      </c>
      <c r="BG3349">
        <v>2</v>
      </c>
      <c r="BH3349">
        <v>100</v>
      </c>
      <c r="BI3349">
        <v>4</v>
      </c>
      <c r="BJ3349">
        <v>5</v>
      </c>
      <c r="BK3349">
        <v>4</v>
      </c>
      <c r="BP3349" s="184"/>
    </row>
    <row r="3350" spans="1:68">
      <c r="A3350">
        <v>39879655</v>
      </c>
      <c r="B3350">
        <v>39879655</v>
      </c>
      <c r="C3350" t="s">
        <v>7018</v>
      </c>
      <c r="D3350" t="s">
        <v>595</v>
      </c>
      <c r="E3350" s="184">
        <v>44167</v>
      </c>
      <c r="G3350" s="184"/>
      <c r="I3350" s="184"/>
      <c r="K3350" s="184"/>
      <c r="P3350" t="s">
        <v>7045</v>
      </c>
      <c r="Q3350" t="s">
        <v>7262</v>
      </c>
      <c r="R3350" s="184">
        <v>19541</v>
      </c>
      <c r="S3350">
        <v>70</v>
      </c>
      <c r="U3350" t="s">
        <v>7031</v>
      </c>
      <c r="V3350" t="s">
        <v>3908</v>
      </c>
      <c r="X3350" t="s">
        <v>4094</v>
      </c>
      <c r="AF3350" t="s">
        <v>26121</v>
      </c>
      <c r="AG3350" t="s">
        <v>3908</v>
      </c>
      <c r="AI3350" t="s">
        <v>26122</v>
      </c>
      <c r="AM3350" t="s">
        <v>2616</v>
      </c>
      <c r="AN3350" t="s">
        <v>2069</v>
      </c>
      <c r="AO3350" t="s">
        <v>26123</v>
      </c>
      <c r="AP3350" t="s">
        <v>7024</v>
      </c>
      <c r="AQ3350" t="s">
        <v>26124</v>
      </c>
      <c r="AR3350" t="s">
        <v>26125</v>
      </c>
      <c r="AT3350" s="184">
        <v>34039</v>
      </c>
      <c r="AU3350" t="s">
        <v>26126</v>
      </c>
      <c r="AV3350">
        <v>15</v>
      </c>
      <c r="AW3350" s="184">
        <v>45412</v>
      </c>
      <c r="AX3350" t="s">
        <v>7429</v>
      </c>
      <c r="AY3350">
        <v>25</v>
      </c>
      <c r="AZ3350" s="184">
        <v>45015</v>
      </c>
      <c r="BA3350" t="s">
        <v>26127</v>
      </c>
      <c r="BB3350">
        <v>300</v>
      </c>
      <c r="BC3350">
        <v>63</v>
      </c>
      <c r="BD3350">
        <v>4385</v>
      </c>
      <c r="BE3350">
        <v>1993</v>
      </c>
      <c r="BF3350">
        <v>61</v>
      </c>
      <c r="BG3350">
        <v>10</v>
      </c>
      <c r="BH3350">
        <v>1000</v>
      </c>
      <c r="BI3350">
        <v>20</v>
      </c>
      <c r="BJ3350">
        <v>32</v>
      </c>
      <c r="BK3350">
        <v>19</v>
      </c>
      <c r="BP3350" s="184"/>
    </row>
    <row r="3351" spans="1:68">
      <c r="A3351">
        <v>39881495</v>
      </c>
      <c r="B3351">
        <v>39881495</v>
      </c>
      <c r="C3351" t="s">
        <v>7018</v>
      </c>
      <c r="D3351" t="s">
        <v>595</v>
      </c>
      <c r="E3351" s="184">
        <v>44070</v>
      </c>
      <c r="G3351" s="184"/>
      <c r="I3351" s="184"/>
      <c r="K3351" s="184"/>
      <c r="O3351" s="184"/>
      <c r="P3351" t="s">
        <v>7045</v>
      </c>
      <c r="Q3351" t="s">
        <v>7383</v>
      </c>
      <c r="R3351" s="184">
        <v>14938</v>
      </c>
      <c r="S3351">
        <v>83</v>
      </c>
      <c r="U3351" t="s">
        <v>7076</v>
      </c>
      <c r="V3351" t="s">
        <v>3381</v>
      </c>
      <c r="X3351" t="s">
        <v>26128</v>
      </c>
      <c r="AF3351" t="s">
        <v>26129</v>
      </c>
      <c r="AG3351" t="s">
        <v>3381</v>
      </c>
      <c r="AI3351" t="s">
        <v>26130</v>
      </c>
      <c r="AM3351" t="s">
        <v>26131</v>
      </c>
      <c r="AN3351" t="s">
        <v>2274</v>
      </c>
      <c r="AO3351" t="s">
        <v>26132</v>
      </c>
      <c r="AP3351" t="s">
        <v>7024</v>
      </c>
      <c r="AQ3351" t="s">
        <v>26133</v>
      </c>
      <c r="AT3351" s="184">
        <v>38943</v>
      </c>
      <c r="AU3351" t="s">
        <v>26134</v>
      </c>
      <c r="AV3351">
        <v>15</v>
      </c>
      <c r="AW3351" s="184">
        <v>44522</v>
      </c>
      <c r="AX3351" t="s">
        <v>19396</v>
      </c>
      <c r="AY3351">
        <v>50</v>
      </c>
      <c r="AZ3351" s="184">
        <v>44522</v>
      </c>
      <c r="BA3351" t="s">
        <v>19396</v>
      </c>
      <c r="BB3351">
        <v>50</v>
      </c>
      <c r="BC3351">
        <v>58</v>
      </c>
      <c r="BD3351">
        <v>499.97</v>
      </c>
      <c r="BE3351">
        <v>2007</v>
      </c>
      <c r="BF3351">
        <v>16</v>
      </c>
      <c r="BI3351">
        <v>11</v>
      </c>
      <c r="BJ3351">
        <v>19</v>
      </c>
      <c r="BK3351">
        <v>5</v>
      </c>
      <c r="BP3351" s="184"/>
    </row>
    <row r="3352" spans="1:68">
      <c r="A3352">
        <v>39907043</v>
      </c>
      <c r="B3352">
        <v>39907043</v>
      </c>
      <c r="C3352" t="s">
        <v>7018</v>
      </c>
      <c r="D3352" t="s">
        <v>595</v>
      </c>
      <c r="E3352" s="184">
        <v>43808</v>
      </c>
      <c r="G3352" s="184"/>
      <c r="I3352" s="184"/>
      <c r="K3352" s="184"/>
      <c r="P3352" t="s">
        <v>7045</v>
      </c>
      <c r="Q3352" t="s">
        <v>7374</v>
      </c>
      <c r="R3352" s="184">
        <v>16254</v>
      </c>
      <c r="S3352">
        <v>79</v>
      </c>
      <c r="U3352" t="s">
        <v>7031</v>
      </c>
      <c r="V3352" t="s">
        <v>2863</v>
      </c>
      <c r="X3352" t="s">
        <v>4461</v>
      </c>
      <c r="Z3352">
        <v>100116511</v>
      </c>
      <c r="AB3352" t="s">
        <v>3317</v>
      </c>
      <c r="AD3352" t="s">
        <v>4461</v>
      </c>
      <c r="AF3352" t="s">
        <v>26135</v>
      </c>
      <c r="AG3352" t="s">
        <v>26136</v>
      </c>
      <c r="AI3352" t="s">
        <v>26137</v>
      </c>
      <c r="AM3352" t="s">
        <v>2797</v>
      </c>
      <c r="AN3352" t="s">
        <v>2081</v>
      </c>
      <c r="AO3352" t="s">
        <v>26138</v>
      </c>
      <c r="AP3352" t="s">
        <v>7024</v>
      </c>
      <c r="AQ3352" t="s">
        <v>26139</v>
      </c>
      <c r="AR3352" t="s">
        <v>26140</v>
      </c>
      <c r="AT3352" s="184">
        <v>38950</v>
      </c>
      <c r="AU3352" t="s">
        <v>26141</v>
      </c>
      <c r="AV3352">
        <v>15</v>
      </c>
      <c r="AW3352" s="184">
        <v>44158</v>
      </c>
      <c r="AX3352" t="s">
        <v>18780</v>
      </c>
      <c r="AY3352">
        <v>25</v>
      </c>
      <c r="AZ3352" s="184">
        <v>44036</v>
      </c>
      <c r="BA3352" t="s">
        <v>26142</v>
      </c>
      <c r="BB3352">
        <v>30</v>
      </c>
      <c r="BC3352">
        <v>74</v>
      </c>
      <c r="BD3352">
        <v>1235</v>
      </c>
      <c r="BE3352">
        <v>2007</v>
      </c>
      <c r="BF3352">
        <v>75</v>
      </c>
      <c r="BI3352">
        <v>14</v>
      </c>
      <c r="BJ3352">
        <v>19</v>
      </c>
      <c r="BK3352">
        <v>11</v>
      </c>
      <c r="BN3352" t="s">
        <v>595</v>
      </c>
      <c r="BP3352" s="184"/>
    </row>
    <row r="3353" spans="1:68">
      <c r="A3353">
        <v>100116511</v>
      </c>
      <c r="B3353">
        <v>39907043</v>
      </c>
      <c r="C3353" t="s">
        <v>7018</v>
      </c>
      <c r="D3353" t="s">
        <v>595</v>
      </c>
      <c r="E3353" s="184">
        <v>43808</v>
      </c>
      <c r="G3353" s="184"/>
      <c r="I3353" s="184"/>
      <c r="K3353" s="184"/>
      <c r="O3353" s="184"/>
      <c r="P3353" t="s">
        <v>7045</v>
      </c>
      <c r="Q3353" t="s">
        <v>7374</v>
      </c>
      <c r="R3353" s="184">
        <v>15926</v>
      </c>
      <c r="S3353">
        <v>80</v>
      </c>
      <c r="V3353" t="s">
        <v>3317</v>
      </c>
      <c r="X3353" t="s">
        <v>4461</v>
      </c>
      <c r="Z3353">
        <v>39907043</v>
      </c>
      <c r="AA3353" t="s">
        <v>7031</v>
      </c>
      <c r="AB3353" t="s">
        <v>2863</v>
      </c>
      <c r="AD3353" t="s">
        <v>4461</v>
      </c>
      <c r="AF3353" t="s">
        <v>26135</v>
      </c>
      <c r="AG3353" t="s">
        <v>26136</v>
      </c>
      <c r="AI3353" t="s">
        <v>26137</v>
      </c>
      <c r="AM3353" t="s">
        <v>2797</v>
      </c>
      <c r="AN3353" t="s">
        <v>2081</v>
      </c>
      <c r="AO3353" t="s">
        <v>26138</v>
      </c>
      <c r="AP3353" t="s">
        <v>7024</v>
      </c>
      <c r="AT3353" s="184"/>
      <c r="AW3353" s="184"/>
      <c r="AZ3353" s="184"/>
      <c r="BP3353" s="184"/>
    </row>
    <row r="3354" spans="1:68">
      <c r="A3354">
        <v>39918644</v>
      </c>
      <c r="B3354">
        <v>39918644</v>
      </c>
      <c r="C3354" t="s">
        <v>7018</v>
      </c>
      <c r="E3354" s="184"/>
      <c r="G3354" s="184"/>
      <c r="I3354" s="184"/>
      <c r="J3354" t="s">
        <v>595</v>
      </c>
      <c r="K3354" s="184">
        <v>42522</v>
      </c>
      <c r="O3354" s="184"/>
      <c r="P3354" t="s">
        <v>7045</v>
      </c>
      <c r="Q3354" t="s">
        <v>7262</v>
      </c>
      <c r="R3354" s="184">
        <v>15853</v>
      </c>
      <c r="S3354">
        <v>80</v>
      </c>
      <c r="U3354" t="s">
        <v>7031</v>
      </c>
      <c r="V3354" t="s">
        <v>2889</v>
      </c>
      <c r="X3354" t="s">
        <v>26143</v>
      </c>
      <c r="AF3354" t="s">
        <v>6627</v>
      </c>
      <c r="AG3354" t="s">
        <v>2889</v>
      </c>
      <c r="AI3354" t="s">
        <v>26144</v>
      </c>
      <c r="AM3354" t="s">
        <v>2616</v>
      </c>
      <c r="AN3354" t="s">
        <v>2069</v>
      </c>
      <c r="AO3354" t="s">
        <v>26145</v>
      </c>
      <c r="AP3354" t="s">
        <v>7024</v>
      </c>
      <c r="AQ3354" t="s">
        <v>26146</v>
      </c>
      <c r="AT3354" s="184">
        <v>38953</v>
      </c>
      <c r="AU3354" t="s">
        <v>26147</v>
      </c>
      <c r="AV3354">
        <v>25</v>
      </c>
      <c r="AW3354" s="184">
        <v>45031</v>
      </c>
      <c r="AX3354" t="s">
        <v>26148</v>
      </c>
      <c r="AY3354">
        <v>30</v>
      </c>
      <c r="AZ3354" s="184">
        <v>40401</v>
      </c>
      <c r="BA3354" t="s">
        <v>16358</v>
      </c>
      <c r="BB3354">
        <v>60</v>
      </c>
      <c r="BC3354">
        <v>64</v>
      </c>
      <c r="BD3354">
        <v>395</v>
      </c>
      <c r="BE3354">
        <v>2007</v>
      </c>
      <c r="BF3354">
        <v>12</v>
      </c>
      <c r="BG3354">
        <v>2</v>
      </c>
      <c r="BH3354">
        <v>60</v>
      </c>
      <c r="BI3354">
        <v>12</v>
      </c>
      <c r="BJ3354">
        <v>19</v>
      </c>
      <c r="BK3354">
        <v>6</v>
      </c>
      <c r="BL3354" t="s">
        <v>595</v>
      </c>
      <c r="BM3354" t="s">
        <v>595</v>
      </c>
      <c r="BP3354" s="184"/>
    </row>
    <row r="3355" spans="1:68">
      <c r="A3355">
        <v>39920087</v>
      </c>
      <c r="B3355">
        <v>39920087</v>
      </c>
      <c r="C3355" t="s">
        <v>7018</v>
      </c>
      <c r="D3355" t="s">
        <v>595</v>
      </c>
      <c r="E3355" s="184">
        <v>43801</v>
      </c>
      <c r="G3355" s="184"/>
      <c r="I3355" s="184"/>
      <c r="K3355" s="184"/>
      <c r="O3355" s="184"/>
      <c r="P3355" t="s">
        <v>7045</v>
      </c>
      <c r="Q3355" t="s">
        <v>7194</v>
      </c>
      <c r="R3355" s="184">
        <v>19179</v>
      </c>
      <c r="S3355">
        <v>71</v>
      </c>
      <c r="U3355" t="s">
        <v>7076</v>
      </c>
      <c r="V3355" t="s">
        <v>4425</v>
      </c>
      <c r="W3355" t="s">
        <v>4013</v>
      </c>
      <c r="X3355" t="s">
        <v>4426</v>
      </c>
      <c r="AF3355" t="s">
        <v>26149</v>
      </c>
      <c r="AG3355" t="s">
        <v>4425</v>
      </c>
      <c r="AI3355" t="s">
        <v>26150</v>
      </c>
      <c r="AM3355" t="s">
        <v>4266</v>
      </c>
      <c r="AN3355" t="s">
        <v>2046</v>
      </c>
      <c r="AO3355" t="s">
        <v>26151</v>
      </c>
      <c r="AP3355" t="s">
        <v>7024</v>
      </c>
      <c r="AQ3355" t="s">
        <v>26152</v>
      </c>
      <c r="AT3355" s="184">
        <v>38954</v>
      </c>
      <c r="AU3355" t="s">
        <v>26153</v>
      </c>
      <c r="AV3355">
        <v>15</v>
      </c>
      <c r="AW3355" s="184">
        <v>45140</v>
      </c>
      <c r="AX3355" t="s">
        <v>13936</v>
      </c>
      <c r="AY3355">
        <v>25</v>
      </c>
      <c r="AZ3355" s="184">
        <v>42885</v>
      </c>
      <c r="BA3355" t="s">
        <v>26154</v>
      </c>
      <c r="BB3355">
        <v>50</v>
      </c>
      <c r="BC3355">
        <v>95</v>
      </c>
      <c r="BD3355">
        <v>515</v>
      </c>
      <c r="BE3355">
        <v>2007</v>
      </c>
      <c r="BF3355">
        <v>19</v>
      </c>
      <c r="BG3355">
        <v>2</v>
      </c>
      <c r="BH3355">
        <v>50</v>
      </c>
      <c r="BI3355">
        <v>18</v>
      </c>
      <c r="BJ3355">
        <v>19</v>
      </c>
      <c r="BK3355">
        <v>18</v>
      </c>
      <c r="BP3355" s="184"/>
    </row>
    <row r="3356" spans="1:68">
      <c r="A3356">
        <v>39920731</v>
      </c>
      <c r="B3356">
        <v>39920731</v>
      </c>
      <c r="C3356" t="s">
        <v>7018</v>
      </c>
      <c r="D3356" t="s">
        <v>595</v>
      </c>
      <c r="E3356" s="184">
        <v>44419</v>
      </c>
      <c r="G3356" s="184"/>
      <c r="I3356" s="184"/>
      <c r="K3356" s="184"/>
      <c r="O3356" s="184"/>
      <c r="P3356" t="s">
        <v>7045</v>
      </c>
      <c r="Q3356" t="s">
        <v>7383</v>
      </c>
      <c r="R3356" s="184">
        <v>24624</v>
      </c>
      <c r="S3356">
        <v>56</v>
      </c>
      <c r="V3356" t="s">
        <v>2541</v>
      </c>
      <c r="W3356" t="s">
        <v>205</v>
      </c>
      <c r="X3356" t="s">
        <v>26155</v>
      </c>
      <c r="AF3356" t="s">
        <v>26156</v>
      </c>
      <c r="AG3356" t="s">
        <v>2541</v>
      </c>
      <c r="AI3356" t="s">
        <v>26157</v>
      </c>
      <c r="AM3356" t="s">
        <v>23534</v>
      </c>
      <c r="AN3356" t="s">
        <v>2313</v>
      </c>
      <c r="AO3356" t="s">
        <v>26158</v>
      </c>
      <c r="AP3356" t="s">
        <v>7024</v>
      </c>
      <c r="AT3356" s="184">
        <v>38954</v>
      </c>
      <c r="AU3356" t="s">
        <v>26134</v>
      </c>
      <c r="AV3356">
        <v>15</v>
      </c>
      <c r="AW3356" s="184">
        <v>45154</v>
      </c>
      <c r="AX3356" t="s">
        <v>20130</v>
      </c>
      <c r="AY3356">
        <v>150</v>
      </c>
      <c r="AZ3356" s="184">
        <v>45154</v>
      </c>
      <c r="BA3356" t="s">
        <v>20130</v>
      </c>
      <c r="BB3356">
        <v>150</v>
      </c>
      <c r="BC3356">
        <v>85</v>
      </c>
      <c r="BD3356">
        <v>1705</v>
      </c>
      <c r="BE3356">
        <v>2007</v>
      </c>
      <c r="BF3356">
        <v>16</v>
      </c>
      <c r="BG3356">
        <v>2</v>
      </c>
      <c r="BH3356">
        <v>300</v>
      </c>
      <c r="BI3356">
        <v>16</v>
      </c>
      <c r="BJ3356">
        <v>19</v>
      </c>
      <c r="BK3356">
        <v>12</v>
      </c>
      <c r="BP3356" s="184"/>
    </row>
    <row r="3357" spans="1:68">
      <c r="A3357">
        <v>39934468</v>
      </c>
      <c r="B3357">
        <v>39934468</v>
      </c>
      <c r="C3357" t="s">
        <v>7018</v>
      </c>
      <c r="D3357" t="s">
        <v>595</v>
      </c>
      <c r="E3357" s="184">
        <v>44207</v>
      </c>
      <c r="G3357" s="184"/>
      <c r="I3357" s="184"/>
      <c r="K3357" s="184"/>
      <c r="M3357" s="184"/>
      <c r="P3357" t="s">
        <v>7045</v>
      </c>
      <c r="Q3357" t="s">
        <v>7374</v>
      </c>
      <c r="R3357" s="184">
        <v>17227</v>
      </c>
      <c r="S3357">
        <v>77</v>
      </c>
      <c r="V3357" t="s">
        <v>26159</v>
      </c>
      <c r="X3357" t="s">
        <v>26160</v>
      </c>
      <c r="Z3357">
        <v>100116658</v>
      </c>
      <c r="AB3357" t="s">
        <v>3103</v>
      </c>
      <c r="AD3357" t="s">
        <v>26160</v>
      </c>
      <c r="AF3357" t="s">
        <v>26161</v>
      </c>
      <c r="AG3357" t="s">
        <v>26162</v>
      </c>
      <c r="AI3357" t="s">
        <v>26163</v>
      </c>
      <c r="AM3357" t="s">
        <v>26164</v>
      </c>
      <c r="AN3357" t="s">
        <v>2081</v>
      </c>
      <c r="AO3357" t="s">
        <v>26165</v>
      </c>
      <c r="AP3357" t="s">
        <v>7024</v>
      </c>
      <c r="AQ3357" t="s">
        <v>26166</v>
      </c>
      <c r="AT3357" s="184">
        <v>38961</v>
      </c>
      <c r="AU3357" t="s">
        <v>26167</v>
      </c>
      <c r="AV3357">
        <v>30</v>
      </c>
      <c r="AW3357" s="184">
        <v>45043</v>
      </c>
      <c r="AX3357" t="s">
        <v>22771</v>
      </c>
      <c r="AY3357">
        <v>100</v>
      </c>
      <c r="AZ3357" s="184">
        <v>44749</v>
      </c>
      <c r="BA3357" t="s">
        <v>13952</v>
      </c>
      <c r="BB3357">
        <v>200</v>
      </c>
      <c r="BC3357">
        <v>85</v>
      </c>
      <c r="BD3357">
        <v>1240</v>
      </c>
      <c r="BE3357">
        <v>2007</v>
      </c>
      <c r="BF3357">
        <v>19</v>
      </c>
      <c r="BG3357">
        <v>2</v>
      </c>
      <c r="BH3357">
        <v>300</v>
      </c>
      <c r="BI3357">
        <v>16</v>
      </c>
      <c r="BJ3357">
        <v>19</v>
      </c>
      <c r="BK3357">
        <v>12</v>
      </c>
    </row>
    <row r="3358" spans="1:68">
      <c r="A3358">
        <v>100116658</v>
      </c>
      <c r="B3358">
        <v>39934468</v>
      </c>
      <c r="C3358" t="s">
        <v>7018</v>
      </c>
      <c r="D3358" t="s">
        <v>595</v>
      </c>
      <c r="E3358" s="184">
        <v>44207</v>
      </c>
      <c r="G3358" s="184"/>
      <c r="I3358" s="184"/>
      <c r="K3358" s="184"/>
      <c r="P3358" t="s">
        <v>7045</v>
      </c>
      <c r="Q3358" t="s">
        <v>7374</v>
      </c>
      <c r="R3358" s="184">
        <v>14443</v>
      </c>
      <c r="S3358">
        <v>84</v>
      </c>
      <c r="V3358" t="s">
        <v>3103</v>
      </c>
      <c r="X3358" t="s">
        <v>26160</v>
      </c>
      <c r="Z3358">
        <v>39934468</v>
      </c>
      <c r="AB3358" t="s">
        <v>26159</v>
      </c>
      <c r="AD3358" t="s">
        <v>26160</v>
      </c>
      <c r="AF3358" t="s">
        <v>26161</v>
      </c>
      <c r="AG3358" t="s">
        <v>26162</v>
      </c>
      <c r="AI3358" t="s">
        <v>26163</v>
      </c>
      <c r="AM3358" t="s">
        <v>26164</v>
      </c>
      <c r="AN3358" t="s">
        <v>2081</v>
      </c>
      <c r="AO3358" t="s">
        <v>26165</v>
      </c>
      <c r="AP3358" t="s">
        <v>7024</v>
      </c>
      <c r="AT3358" s="184"/>
      <c r="AW3358" s="184"/>
      <c r="AZ3358" s="184"/>
      <c r="BP3358" s="184"/>
    </row>
    <row r="3359" spans="1:68">
      <c r="A3359">
        <v>39935101</v>
      </c>
      <c r="B3359">
        <v>39935101</v>
      </c>
      <c r="C3359" t="s">
        <v>7018</v>
      </c>
      <c r="E3359" s="184"/>
      <c r="G3359" s="184"/>
      <c r="I3359" s="184"/>
      <c r="J3359" t="s">
        <v>595</v>
      </c>
      <c r="K3359" s="184">
        <v>40106</v>
      </c>
      <c r="O3359" s="184"/>
      <c r="P3359" t="s">
        <v>7045</v>
      </c>
      <c r="Q3359" t="s">
        <v>7383</v>
      </c>
      <c r="R3359" s="184">
        <v>20059</v>
      </c>
      <c r="S3359">
        <v>69</v>
      </c>
      <c r="U3359" t="s">
        <v>7076</v>
      </c>
      <c r="V3359" t="s">
        <v>3232</v>
      </c>
      <c r="X3359" t="s">
        <v>26168</v>
      </c>
      <c r="AF3359" t="s">
        <v>6551</v>
      </c>
      <c r="AG3359" t="s">
        <v>3232</v>
      </c>
      <c r="AI3359" t="s">
        <v>26169</v>
      </c>
      <c r="AM3359" t="s">
        <v>4225</v>
      </c>
      <c r="AN3359" t="s">
        <v>2072</v>
      </c>
      <c r="AO3359" t="s">
        <v>26170</v>
      </c>
      <c r="AP3359" t="s">
        <v>7024</v>
      </c>
      <c r="AQ3359" t="s">
        <v>26171</v>
      </c>
      <c r="AR3359" t="s">
        <v>26172</v>
      </c>
      <c r="AT3359" s="184">
        <v>38965</v>
      </c>
      <c r="AU3359" t="s">
        <v>26147</v>
      </c>
      <c r="AV3359">
        <v>10</v>
      </c>
      <c r="AW3359" s="184">
        <v>45400</v>
      </c>
      <c r="AX3359" t="s">
        <v>26173</v>
      </c>
      <c r="AY3359">
        <v>5</v>
      </c>
      <c r="AZ3359" s="184">
        <v>44218</v>
      </c>
      <c r="BA3359" t="s">
        <v>26174</v>
      </c>
      <c r="BB3359">
        <v>20</v>
      </c>
      <c r="BC3359">
        <v>95</v>
      </c>
      <c r="BD3359">
        <v>760</v>
      </c>
      <c r="BE3359">
        <v>2007</v>
      </c>
      <c r="BF3359">
        <v>120</v>
      </c>
      <c r="BG3359">
        <v>9</v>
      </c>
      <c r="BH3359">
        <v>70</v>
      </c>
      <c r="BI3359">
        <v>18</v>
      </c>
      <c r="BJ3359">
        <v>19</v>
      </c>
      <c r="BK3359">
        <v>16</v>
      </c>
      <c r="BP3359" s="184"/>
    </row>
    <row r="3360" spans="1:68">
      <c r="A3360">
        <v>39942578</v>
      </c>
      <c r="B3360">
        <v>39942578</v>
      </c>
      <c r="C3360" t="s">
        <v>7018</v>
      </c>
      <c r="D3360" t="s">
        <v>595</v>
      </c>
      <c r="E3360" s="184">
        <v>44484</v>
      </c>
      <c r="G3360" s="184"/>
      <c r="I3360" s="184"/>
      <c r="K3360" s="184"/>
      <c r="O3360" s="184"/>
      <c r="P3360" t="s">
        <v>7045</v>
      </c>
      <c r="Q3360" t="s">
        <v>7374</v>
      </c>
      <c r="R3360" s="184">
        <v>14669</v>
      </c>
      <c r="S3360">
        <v>84</v>
      </c>
      <c r="V3360" t="s">
        <v>4382</v>
      </c>
      <c r="X3360" t="s">
        <v>11768</v>
      </c>
      <c r="AF3360" t="s">
        <v>26175</v>
      </c>
      <c r="AG3360" t="s">
        <v>5990</v>
      </c>
      <c r="AI3360" t="s">
        <v>26176</v>
      </c>
      <c r="AM3360" t="s">
        <v>3001</v>
      </c>
      <c r="AN3360" t="s">
        <v>2081</v>
      </c>
      <c r="AO3360" t="s">
        <v>26177</v>
      </c>
      <c r="AP3360" t="s">
        <v>7024</v>
      </c>
      <c r="AT3360" s="184">
        <v>38968</v>
      </c>
      <c r="AU3360" t="s">
        <v>26178</v>
      </c>
      <c r="AV3360">
        <v>15</v>
      </c>
      <c r="AW3360" s="184">
        <v>43879</v>
      </c>
      <c r="AX3360" t="s">
        <v>22411</v>
      </c>
      <c r="AY3360">
        <v>25</v>
      </c>
      <c r="AZ3360" s="184">
        <v>43879</v>
      </c>
      <c r="BA3360" t="s">
        <v>22411</v>
      </c>
      <c r="BB3360">
        <v>25</v>
      </c>
      <c r="BC3360">
        <v>37</v>
      </c>
      <c r="BD3360">
        <v>160</v>
      </c>
      <c r="BE3360">
        <v>2007</v>
      </c>
      <c r="BF3360">
        <v>8</v>
      </c>
      <c r="BI3360">
        <v>7</v>
      </c>
      <c r="BJ3360">
        <v>19</v>
      </c>
      <c r="BK3360">
        <v>2</v>
      </c>
    </row>
    <row r="3361" spans="1:68">
      <c r="A3361">
        <v>39950514</v>
      </c>
      <c r="B3361">
        <v>39950514</v>
      </c>
      <c r="C3361" t="s">
        <v>7018</v>
      </c>
      <c r="D3361" t="s">
        <v>595</v>
      </c>
      <c r="E3361" s="184">
        <v>45167</v>
      </c>
      <c r="G3361" s="184"/>
      <c r="I3361" s="184"/>
      <c r="K3361" s="184"/>
      <c r="P3361" t="s">
        <v>7045</v>
      </c>
      <c r="Q3361" t="s">
        <v>7383</v>
      </c>
      <c r="R3361" s="184">
        <v>14397</v>
      </c>
      <c r="S3361">
        <v>84</v>
      </c>
      <c r="U3361" t="s">
        <v>7032</v>
      </c>
      <c r="V3361" t="s">
        <v>3103</v>
      </c>
      <c r="X3361" t="s">
        <v>26179</v>
      </c>
      <c r="Z3361">
        <v>100116745</v>
      </c>
      <c r="AA3361" t="s">
        <v>7130</v>
      </c>
      <c r="AB3361" t="s">
        <v>2586</v>
      </c>
      <c r="AD3361" t="s">
        <v>26179</v>
      </c>
      <c r="AF3361" t="s">
        <v>26180</v>
      </c>
      <c r="AG3361" t="s">
        <v>26181</v>
      </c>
      <c r="AI3361" t="s">
        <v>26182</v>
      </c>
      <c r="AM3361" t="s">
        <v>3298</v>
      </c>
      <c r="AN3361" t="s">
        <v>2274</v>
      </c>
      <c r="AO3361" t="s">
        <v>26183</v>
      </c>
      <c r="AP3361" t="s">
        <v>7024</v>
      </c>
      <c r="AQ3361" t="s">
        <v>26184</v>
      </c>
      <c r="AT3361" s="184">
        <v>38975</v>
      </c>
      <c r="AU3361" t="s">
        <v>26185</v>
      </c>
      <c r="AV3361">
        <v>50</v>
      </c>
      <c r="AW3361" s="184">
        <v>45411</v>
      </c>
      <c r="AX3361" t="s">
        <v>8516</v>
      </c>
      <c r="AY3361">
        <v>125</v>
      </c>
      <c r="AZ3361" s="184">
        <v>45411</v>
      </c>
      <c r="BA3361" t="s">
        <v>8516</v>
      </c>
      <c r="BB3361">
        <v>125</v>
      </c>
      <c r="BC3361">
        <v>100</v>
      </c>
      <c r="BD3361">
        <v>1615</v>
      </c>
      <c r="BE3361">
        <v>2007</v>
      </c>
      <c r="BF3361">
        <v>20</v>
      </c>
      <c r="BG3361">
        <v>2</v>
      </c>
      <c r="BH3361">
        <v>250</v>
      </c>
      <c r="BI3361">
        <v>19</v>
      </c>
      <c r="BJ3361">
        <v>19</v>
      </c>
      <c r="BK3361">
        <v>19</v>
      </c>
      <c r="BP3361" s="184"/>
    </row>
    <row r="3362" spans="1:68">
      <c r="A3362">
        <v>100116745</v>
      </c>
      <c r="B3362">
        <v>39950514</v>
      </c>
      <c r="C3362" t="s">
        <v>7018</v>
      </c>
      <c r="D3362" t="s">
        <v>595</v>
      </c>
      <c r="E3362" s="184">
        <v>45167</v>
      </c>
      <c r="G3362" s="184"/>
      <c r="I3362" s="184"/>
      <c r="K3362" s="184"/>
      <c r="O3362" s="184"/>
      <c r="P3362" t="s">
        <v>7045</v>
      </c>
      <c r="Q3362" t="s">
        <v>7383</v>
      </c>
      <c r="R3362" s="184">
        <v>14397</v>
      </c>
      <c r="S3362">
        <v>84</v>
      </c>
      <c r="U3362" t="s">
        <v>7130</v>
      </c>
      <c r="V3362" t="s">
        <v>2586</v>
      </c>
      <c r="X3362" t="s">
        <v>26179</v>
      </c>
      <c r="Z3362">
        <v>39950514</v>
      </c>
      <c r="AA3362" t="s">
        <v>7032</v>
      </c>
      <c r="AB3362" t="s">
        <v>3103</v>
      </c>
      <c r="AD3362" t="s">
        <v>26179</v>
      </c>
      <c r="AF3362" t="s">
        <v>26180</v>
      </c>
      <c r="AG3362" t="s">
        <v>26181</v>
      </c>
      <c r="AI3362" t="s">
        <v>26182</v>
      </c>
      <c r="AM3362" t="s">
        <v>3298</v>
      </c>
      <c r="AN3362" t="s">
        <v>2274</v>
      </c>
      <c r="AO3362" t="s">
        <v>26183</v>
      </c>
      <c r="AP3362" t="s">
        <v>7024</v>
      </c>
      <c r="AQ3362" t="s">
        <v>26184</v>
      </c>
      <c r="AT3362" s="184"/>
      <c r="AW3362" s="184"/>
      <c r="AZ3362" s="184"/>
      <c r="BP3362" s="184"/>
    </row>
    <row r="3363" spans="1:68">
      <c r="A3363">
        <v>39960208</v>
      </c>
      <c r="B3363">
        <v>39960208</v>
      </c>
      <c r="C3363" t="s">
        <v>7018</v>
      </c>
      <c r="D3363" t="s">
        <v>595</v>
      </c>
      <c r="E3363" s="184">
        <v>44438</v>
      </c>
      <c r="G3363" s="184"/>
      <c r="I3363" s="184"/>
      <c r="K3363" s="184"/>
      <c r="O3363" s="184"/>
      <c r="P3363" t="s">
        <v>7019</v>
      </c>
      <c r="Q3363" t="s">
        <v>7030</v>
      </c>
      <c r="R3363" s="184">
        <v>17624</v>
      </c>
      <c r="S3363">
        <v>76</v>
      </c>
      <c r="U3363" t="s">
        <v>7031</v>
      </c>
      <c r="V3363" t="s">
        <v>2697</v>
      </c>
      <c r="W3363" t="s">
        <v>3783</v>
      </c>
      <c r="X3363" t="s">
        <v>26186</v>
      </c>
      <c r="AF3363" t="s">
        <v>26187</v>
      </c>
      <c r="AG3363" t="s">
        <v>2697</v>
      </c>
      <c r="AI3363" t="s">
        <v>26188</v>
      </c>
      <c r="AM3363" t="s">
        <v>2564</v>
      </c>
      <c r="AN3363" t="s">
        <v>2089</v>
      </c>
      <c r="AO3363" t="s">
        <v>26189</v>
      </c>
      <c r="AP3363" t="s">
        <v>7024</v>
      </c>
      <c r="AQ3363" t="s">
        <v>26190</v>
      </c>
      <c r="AT3363" s="184">
        <v>38982</v>
      </c>
      <c r="AU3363" t="s">
        <v>26191</v>
      </c>
      <c r="AV3363">
        <v>25</v>
      </c>
      <c r="AW3363" s="184">
        <v>44340</v>
      </c>
      <c r="AX3363" t="s">
        <v>10770</v>
      </c>
      <c r="AY3363">
        <v>60</v>
      </c>
      <c r="AZ3363" s="184">
        <v>42812</v>
      </c>
      <c r="BA3363" t="s">
        <v>8586</v>
      </c>
      <c r="BB3363">
        <v>87</v>
      </c>
      <c r="BC3363">
        <v>43</v>
      </c>
      <c r="BD3363">
        <v>367</v>
      </c>
      <c r="BE3363">
        <v>2007</v>
      </c>
      <c r="BF3363">
        <v>8</v>
      </c>
      <c r="BI3363">
        <v>8</v>
      </c>
      <c r="BJ3363">
        <v>19</v>
      </c>
      <c r="BK3363">
        <v>2</v>
      </c>
      <c r="BN3363" t="s">
        <v>595</v>
      </c>
      <c r="BP3363" s="184"/>
    </row>
    <row r="3364" spans="1:68">
      <c r="A3364">
        <v>39963848</v>
      </c>
      <c r="B3364">
        <v>39963848</v>
      </c>
      <c r="C3364" t="s">
        <v>7018</v>
      </c>
      <c r="D3364" t="s">
        <v>595</v>
      </c>
      <c r="E3364" s="184">
        <v>45195</v>
      </c>
      <c r="G3364" s="184"/>
      <c r="I3364" s="184"/>
      <c r="K3364" s="184"/>
      <c r="O3364" s="184"/>
      <c r="P3364" t="s">
        <v>7045</v>
      </c>
      <c r="Q3364" t="s">
        <v>7383</v>
      </c>
      <c r="R3364" s="184">
        <v>20515</v>
      </c>
      <c r="S3364">
        <v>68</v>
      </c>
      <c r="V3364" t="s">
        <v>2851</v>
      </c>
      <c r="X3364" t="s">
        <v>26192</v>
      </c>
      <c r="Z3364">
        <v>100116802</v>
      </c>
      <c r="AB3364" t="s">
        <v>3516</v>
      </c>
      <c r="AD3364" t="s">
        <v>26192</v>
      </c>
      <c r="AF3364" t="s">
        <v>26193</v>
      </c>
      <c r="AG3364" t="s">
        <v>26194</v>
      </c>
      <c r="AI3364" t="s">
        <v>26195</v>
      </c>
      <c r="AM3364" t="s">
        <v>26196</v>
      </c>
      <c r="AN3364" t="s">
        <v>2313</v>
      </c>
      <c r="AO3364" t="s">
        <v>26197</v>
      </c>
      <c r="AP3364" t="s">
        <v>7024</v>
      </c>
      <c r="AQ3364" t="s">
        <v>26198</v>
      </c>
      <c r="AT3364" s="184">
        <v>38986</v>
      </c>
      <c r="AU3364" t="s">
        <v>26199</v>
      </c>
      <c r="AV3364">
        <v>25</v>
      </c>
      <c r="AW3364" s="184">
        <v>45281</v>
      </c>
      <c r="AX3364" t="s">
        <v>11384</v>
      </c>
      <c r="AY3364">
        <v>25</v>
      </c>
      <c r="AZ3364" s="184">
        <v>45281</v>
      </c>
      <c r="BA3364" t="s">
        <v>11384</v>
      </c>
      <c r="BB3364">
        <v>25</v>
      </c>
      <c r="BC3364">
        <v>64</v>
      </c>
      <c r="BD3364">
        <v>555</v>
      </c>
      <c r="BE3364">
        <v>2007</v>
      </c>
      <c r="BF3364">
        <v>27</v>
      </c>
      <c r="BG3364">
        <v>4</v>
      </c>
      <c r="BH3364">
        <v>80</v>
      </c>
      <c r="BI3364">
        <v>12</v>
      </c>
      <c r="BJ3364">
        <v>19</v>
      </c>
      <c r="BK3364">
        <v>10</v>
      </c>
      <c r="BN3364" t="s">
        <v>595</v>
      </c>
      <c r="BP3364" s="184"/>
    </row>
    <row r="3365" spans="1:68">
      <c r="A3365">
        <v>100116802</v>
      </c>
      <c r="B3365">
        <v>39963848</v>
      </c>
      <c r="C3365" t="s">
        <v>7018</v>
      </c>
      <c r="D3365" t="s">
        <v>595</v>
      </c>
      <c r="E3365" s="184">
        <v>45195</v>
      </c>
      <c r="G3365" s="184"/>
      <c r="I3365" s="184"/>
      <c r="K3365" s="184"/>
      <c r="O3365" s="184"/>
      <c r="P3365" t="s">
        <v>7045</v>
      </c>
      <c r="Q3365" t="s">
        <v>7383</v>
      </c>
      <c r="R3365" s="184">
        <v>21855</v>
      </c>
      <c r="S3365">
        <v>64</v>
      </c>
      <c r="V3365" t="s">
        <v>3516</v>
      </c>
      <c r="X3365" t="s">
        <v>26192</v>
      </c>
      <c r="Z3365">
        <v>39963848</v>
      </c>
      <c r="AB3365" t="s">
        <v>2851</v>
      </c>
      <c r="AD3365" t="s">
        <v>26192</v>
      </c>
      <c r="AF3365" t="s">
        <v>26193</v>
      </c>
      <c r="AG3365" t="s">
        <v>26194</v>
      </c>
      <c r="AI3365" t="s">
        <v>26195</v>
      </c>
      <c r="AM3365" t="s">
        <v>26196</v>
      </c>
      <c r="AN3365" t="s">
        <v>2313</v>
      </c>
      <c r="AO3365" t="s">
        <v>26197</v>
      </c>
      <c r="AP3365" t="s">
        <v>7024</v>
      </c>
      <c r="AT3365" s="184"/>
      <c r="AW3365" s="184"/>
      <c r="AZ3365" s="184"/>
      <c r="BP3365" s="184"/>
    </row>
    <row r="3366" spans="1:68">
      <c r="A3366">
        <v>39965884</v>
      </c>
      <c r="B3366">
        <v>39965884</v>
      </c>
      <c r="C3366" t="s">
        <v>7018</v>
      </c>
      <c r="D3366" t="s">
        <v>595</v>
      </c>
      <c r="E3366" s="184">
        <v>45195</v>
      </c>
      <c r="G3366" s="184"/>
      <c r="I3366" s="184"/>
      <c r="K3366" s="184"/>
      <c r="P3366" t="s">
        <v>7045</v>
      </c>
      <c r="Q3366" t="s">
        <v>7383</v>
      </c>
      <c r="R3366" s="184">
        <v>22923</v>
      </c>
      <c r="S3366">
        <v>61</v>
      </c>
      <c r="U3366" t="s">
        <v>7076</v>
      </c>
      <c r="V3366" t="s">
        <v>3002</v>
      </c>
      <c r="X3366" t="s">
        <v>16711</v>
      </c>
      <c r="AF3366" t="s">
        <v>26200</v>
      </c>
      <c r="AG3366" t="s">
        <v>3002</v>
      </c>
      <c r="AI3366" t="s">
        <v>26201</v>
      </c>
      <c r="AM3366" t="s">
        <v>3357</v>
      </c>
      <c r="AN3366" t="s">
        <v>2185</v>
      </c>
      <c r="AO3366" t="s">
        <v>26202</v>
      </c>
      <c r="AP3366" t="s">
        <v>7024</v>
      </c>
      <c r="AQ3366" t="s">
        <v>26203</v>
      </c>
      <c r="AR3366" t="s">
        <v>26204</v>
      </c>
      <c r="AT3366" s="184">
        <v>38986</v>
      </c>
      <c r="AU3366" t="s">
        <v>26205</v>
      </c>
      <c r="AV3366">
        <v>25</v>
      </c>
      <c r="AW3366" s="184">
        <v>45035</v>
      </c>
      <c r="AX3366" t="s">
        <v>14540</v>
      </c>
      <c r="AY3366">
        <v>35</v>
      </c>
      <c r="AZ3366" s="184">
        <v>45035</v>
      </c>
      <c r="BA3366" t="s">
        <v>14540</v>
      </c>
      <c r="BB3366">
        <v>35</v>
      </c>
      <c r="BC3366">
        <v>79</v>
      </c>
      <c r="BD3366">
        <v>475</v>
      </c>
      <c r="BE3366">
        <v>2007</v>
      </c>
      <c r="BF3366">
        <v>15</v>
      </c>
      <c r="BG3366">
        <v>2</v>
      </c>
      <c r="BH3366">
        <v>70</v>
      </c>
      <c r="BI3366">
        <v>15</v>
      </c>
      <c r="BJ3366">
        <v>19</v>
      </c>
      <c r="BK3366">
        <v>8</v>
      </c>
      <c r="BP3366" s="184"/>
    </row>
    <row r="3367" spans="1:68">
      <c r="A3367">
        <v>39973722</v>
      </c>
      <c r="B3367">
        <v>39973722</v>
      </c>
      <c r="C3367" t="s">
        <v>7018</v>
      </c>
      <c r="E3367" s="184"/>
      <c r="F3367" t="s">
        <v>595</v>
      </c>
      <c r="G3367" s="184">
        <v>45343</v>
      </c>
      <c r="H3367" t="s">
        <v>595</v>
      </c>
      <c r="I3367" s="184">
        <v>44952</v>
      </c>
      <c r="J3367" t="s">
        <v>595</v>
      </c>
      <c r="K3367" s="184">
        <v>45421</v>
      </c>
      <c r="P3367" t="s">
        <v>7029</v>
      </c>
      <c r="Q3367" t="s">
        <v>7030</v>
      </c>
      <c r="R3367" s="184">
        <v>28348</v>
      </c>
      <c r="S3367">
        <v>46</v>
      </c>
      <c r="U3367" t="s">
        <v>7130</v>
      </c>
      <c r="V3367" t="s">
        <v>3898</v>
      </c>
      <c r="X3367" t="s">
        <v>26206</v>
      </c>
      <c r="Z3367">
        <v>101079688</v>
      </c>
      <c r="AB3367" t="s">
        <v>3588</v>
      </c>
      <c r="AD3367" t="s">
        <v>26206</v>
      </c>
      <c r="AF3367" t="s">
        <v>26207</v>
      </c>
      <c r="AG3367" t="s">
        <v>26208</v>
      </c>
      <c r="AI3367" t="s">
        <v>26209</v>
      </c>
      <c r="AM3367" t="s">
        <v>4647</v>
      </c>
      <c r="AN3367" t="s">
        <v>2638</v>
      </c>
      <c r="AO3367" t="s">
        <v>26210</v>
      </c>
      <c r="AP3367" t="s">
        <v>7024</v>
      </c>
      <c r="AQ3367" t="s">
        <v>26211</v>
      </c>
      <c r="AT3367" s="184">
        <v>38988</v>
      </c>
      <c r="AU3367" t="s">
        <v>26212</v>
      </c>
      <c r="AV3367">
        <v>25</v>
      </c>
      <c r="AW3367" s="184">
        <v>45291</v>
      </c>
      <c r="AX3367" t="s">
        <v>7210</v>
      </c>
      <c r="AY3367">
        <v>2100</v>
      </c>
      <c r="AZ3367" s="184">
        <v>45291</v>
      </c>
      <c r="BA3367" t="s">
        <v>7210</v>
      </c>
      <c r="BB3367">
        <v>2100</v>
      </c>
      <c r="BC3367">
        <v>79</v>
      </c>
      <c r="BD3367">
        <v>15965</v>
      </c>
      <c r="BE3367">
        <v>2007</v>
      </c>
      <c r="BF3367">
        <v>18</v>
      </c>
      <c r="BG3367">
        <v>2</v>
      </c>
      <c r="BH3367">
        <v>4100</v>
      </c>
      <c r="BI3367">
        <v>15</v>
      </c>
      <c r="BJ3367">
        <v>19</v>
      </c>
      <c r="BK3367">
        <v>9</v>
      </c>
      <c r="BP3367" s="184"/>
    </row>
    <row r="3368" spans="1:68">
      <c r="A3368">
        <v>101079688</v>
      </c>
      <c r="B3368">
        <v>39973722</v>
      </c>
      <c r="C3368" t="s">
        <v>7018</v>
      </c>
      <c r="E3368" s="184"/>
      <c r="F3368" t="s">
        <v>595</v>
      </c>
      <c r="G3368" s="184">
        <v>45343</v>
      </c>
      <c r="H3368" t="s">
        <v>595</v>
      </c>
      <c r="I3368" s="184">
        <v>44952</v>
      </c>
      <c r="J3368" t="s">
        <v>595</v>
      </c>
      <c r="K3368" s="184">
        <v>45421</v>
      </c>
      <c r="O3368" s="184"/>
      <c r="P3368" t="s">
        <v>7029</v>
      </c>
      <c r="Q3368" t="s">
        <v>7030</v>
      </c>
      <c r="R3368" s="184">
        <v>24771</v>
      </c>
      <c r="S3368">
        <v>56</v>
      </c>
      <c r="V3368" t="s">
        <v>3588</v>
      </c>
      <c r="X3368" t="s">
        <v>26206</v>
      </c>
      <c r="Z3368">
        <v>39973722</v>
      </c>
      <c r="AA3368" t="s">
        <v>7130</v>
      </c>
      <c r="AB3368" t="s">
        <v>3898</v>
      </c>
      <c r="AD3368" t="s">
        <v>26206</v>
      </c>
      <c r="AF3368" t="s">
        <v>26207</v>
      </c>
      <c r="AG3368" t="s">
        <v>26208</v>
      </c>
      <c r="AI3368" t="s">
        <v>26209</v>
      </c>
      <c r="AM3368" t="s">
        <v>4647</v>
      </c>
      <c r="AN3368" t="s">
        <v>2638</v>
      </c>
      <c r="AO3368" t="s">
        <v>26210</v>
      </c>
      <c r="AP3368" t="s">
        <v>7024</v>
      </c>
      <c r="AT3368" s="184"/>
      <c r="AW3368" s="184"/>
      <c r="AZ3368" s="184"/>
      <c r="BP3368" s="184"/>
    </row>
    <row r="3369" spans="1:68">
      <c r="A3369">
        <v>39989140</v>
      </c>
      <c r="B3369">
        <v>39989140</v>
      </c>
      <c r="C3369" t="s">
        <v>7018</v>
      </c>
      <c r="D3369" t="s">
        <v>595</v>
      </c>
      <c r="E3369" s="184">
        <v>43662</v>
      </c>
      <c r="G3369" s="184"/>
      <c r="I3369" s="184"/>
      <c r="K3369" s="184"/>
      <c r="O3369" s="184"/>
      <c r="P3369" t="s">
        <v>7045</v>
      </c>
      <c r="Q3369" t="s">
        <v>7262</v>
      </c>
      <c r="R3369" s="184">
        <v>24280</v>
      </c>
      <c r="S3369">
        <v>57</v>
      </c>
      <c r="U3369" t="s">
        <v>7031</v>
      </c>
      <c r="V3369" t="s">
        <v>2961</v>
      </c>
      <c r="X3369" t="s">
        <v>3014</v>
      </c>
      <c r="Z3369">
        <v>100116890</v>
      </c>
      <c r="AB3369" t="s">
        <v>3043</v>
      </c>
      <c r="AD3369" t="s">
        <v>3014</v>
      </c>
      <c r="AF3369" t="s">
        <v>26213</v>
      </c>
      <c r="AG3369" t="s">
        <v>26214</v>
      </c>
      <c r="AI3369" t="s">
        <v>26215</v>
      </c>
      <c r="AM3369" t="s">
        <v>3015</v>
      </c>
      <c r="AN3369" t="s">
        <v>2106</v>
      </c>
      <c r="AO3369" t="s">
        <v>26216</v>
      </c>
      <c r="AP3369" t="s">
        <v>7024</v>
      </c>
      <c r="AQ3369" t="s">
        <v>26217</v>
      </c>
      <c r="AR3369" t="s">
        <v>26218</v>
      </c>
      <c r="AT3369" s="184">
        <v>38992</v>
      </c>
      <c r="AU3369" t="s">
        <v>26219</v>
      </c>
      <c r="AV3369">
        <v>25</v>
      </c>
      <c r="AW3369" s="184">
        <v>45405</v>
      </c>
      <c r="AX3369" t="s">
        <v>7742</v>
      </c>
      <c r="AY3369">
        <v>5</v>
      </c>
      <c r="AZ3369" s="184">
        <v>45188</v>
      </c>
      <c r="BA3369" t="s">
        <v>17610</v>
      </c>
      <c r="BB3369">
        <v>100</v>
      </c>
      <c r="BC3369">
        <v>100</v>
      </c>
      <c r="BD3369">
        <v>1785</v>
      </c>
      <c r="BE3369">
        <v>2007</v>
      </c>
      <c r="BF3369">
        <v>43</v>
      </c>
      <c r="BG3369">
        <v>8</v>
      </c>
      <c r="BH3369">
        <v>315</v>
      </c>
      <c r="BI3369">
        <v>19</v>
      </c>
      <c r="BJ3369">
        <v>19</v>
      </c>
      <c r="BK3369">
        <v>19</v>
      </c>
      <c r="BP3369" s="184"/>
    </row>
    <row r="3370" spans="1:68">
      <c r="A3370">
        <v>100116890</v>
      </c>
      <c r="B3370">
        <v>39989140</v>
      </c>
      <c r="C3370" t="s">
        <v>7018</v>
      </c>
      <c r="D3370" t="s">
        <v>595</v>
      </c>
      <c r="E3370" s="184">
        <v>43640</v>
      </c>
      <c r="G3370" s="184"/>
      <c r="I3370" s="184"/>
      <c r="K3370" s="184"/>
      <c r="O3370" s="184"/>
      <c r="P3370" t="s">
        <v>7045</v>
      </c>
      <c r="Q3370" t="s">
        <v>7262</v>
      </c>
      <c r="R3370" s="184">
        <v>30742</v>
      </c>
      <c r="S3370">
        <v>40</v>
      </c>
      <c r="V3370" t="s">
        <v>3043</v>
      </c>
      <c r="X3370" t="s">
        <v>3014</v>
      </c>
      <c r="Z3370">
        <v>39989140</v>
      </c>
      <c r="AA3370" t="s">
        <v>7031</v>
      </c>
      <c r="AB3370" t="s">
        <v>2961</v>
      </c>
      <c r="AD3370" t="s">
        <v>3014</v>
      </c>
      <c r="AF3370" t="s">
        <v>26213</v>
      </c>
      <c r="AG3370" t="s">
        <v>26214</v>
      </c>
      <c r="AI3370" t="s">
        <v>26215</v>
      </c>
      <c r="AM3370" t="s">
        <v>3015</v>
      </c>
      <c r="AN3370" t="s">
        <v>2106</v>
      </c>
      <c r="AO3370" t="s">
        <v>26216</v>
      </c>
      <c r="AP3370" t="s">
        <v>7024</v>
      </c>
      <c r="AT3370" s="184"/>
      <c r="AW3370" s="184"/>
      <c r="AZ3370" s="184"/>
      <c r="BP3370" s="184"/>
    </row>
    <row r="3371" spans="1:68">
      <c r="A3371">
        <v>39990395</v>
      </c>
      <c r="B3371">
        <v>39990395</v>
      </c>
      <c r="C3371" t="s">
        <v>7018</v>
      </c>
      <c r="D3371" t="s">
        <v>595</v>
      </c>
      <c r="E3371" s="184">
        <v>44167</v>
      </c>
      <c r="G3371" s="184"/>
      <c r="I3371" s="184"/>
      <c r="K3371" s="184"/>
      <c r="O3371" s="184"/>
      <c r="P3371" t="s">
        <v>7045</v>
      </c>
      <c r="Q3371" t="s">
        <v>7160</v>
      </c>
      <c r="R3371" s="184">
        <v>17624</v>
      </c>
      <c r="S3371">
        <v>76</v>
      </c>
      <c r="U3371" t="s">
        <v>7031</v>
      </c>
      <c r="V3371" t="s">
        <v>3206</v>
      </c>
      <c r="X3371" t="s">
        <v>4128</v>
      </c>
      <c r="AF3371" t="s">
        <v>26220</v>
      </c>
      <c r="AG3371" t="s">
        <v>3206</v>
      </c>
      <c r="AI3371" t="s">
        <v>26221</v>
      </c>
      <c r="AM3371" t="s">
        <v>26222</v>
      </c>
      <c r="AN3371" t="s">
        <v>2176</v>
      </c>
      <c r="AO3371" t="s">
        <v>26223</v>
      </c>
      <c r="AP3371" t="s">
        <v>7024</v>
      </c>
      <c r="AQ3371" t="s">
        <v>26224</v>
      </c>
      <c r="AR3371" t="s">
        <v>26225</v>
      </c>
      <c r="AT3371" s="184">
        <v>38992</v>
      </c>
      <c r="AU3371" t="s">
        <v>26212</v>
      </c>
      <c r="AV3371">
        <v>15</v>
      </c>
      <c r="AW3371" s="184">
        <v>45062</v>
      </c>
      <c r="AX3371" t="s">
        <v>21006</v>
      </c>
      <c r="AY3371">
        <v>25</v>
      </c>
      <c r="AZ3371" s="184">
        <v>39372</v>
      </c>
      <c r="BA3371" t="s">
        <v>26226</v>
      </c>
      <c r="BB3371">
        <v>50</v>
      </c>
      <c r="BC3371">
        <v>64</v>
      </c>
      <c r="BD3371">
        <v>510</v>
      </c>
      <c r="BE3371">
        <v>2007</v>
      </c>
      <c r="BF3371">
        <v>30</v>
      </c>
      <c r="BG3371">
        <v>3</v>
      </c>
      <c r="BH3371">
        <v>50</v>
      </c>
      <c r="BI3371">
        <v>12</v>
      </c>
      <c r="BJ3371">
        <v>19</v>
      </c>
      <c r="BK3371">
        <v>7</v>
      </c>
      <c r="BN3371" t="s">
        <v>595</v>
      </c>
      <c r="BO3371" t="s">
        <v>595</v>
      </c>
      <c r="BP3371" s="184"/>
    </row>
    <row r="3372" spans="1:68">
      <c r="A3372">
        <v>39999495</v>
      </c>
      <c r="B3372">
        <v>39999495</v>
      </c>
      <c r="C3372" t="s">
        <v>7018</v>
      </c>
      <c r="D3372" t="s">
        <v>595</v>
      </c>
      <c r="E3372" s="184">
        <v>44438</v>
      </c>
      <c r="G3372" s="184"/>
      <c r="I3372" s="184"/>
      <c r="K3372" s="184"/>
      <c r="O3372" s="184"/>
      <c r="P3372" t="s">
        <v>7045</v>
      </c>
      <c r="Q3372" t="s">
        <v>7262</v>
      </c>
      <c r="R3372" s="184">
        <v>14922</v>
      </c>
      <c r="S3372">
        <v>83</v>
      </c>
      <c r="V3372" t="s">
        <v>2586</v>
      </c>
      <c r="W3372" t="s">
        <v>205</v>
      </c>
      <c r="X3372" t="s">
        <v>26227</v>
      </c>
      <c r="AF3372" t="s">
        <v>26228</v>
      </c>
      <c r="AG3372" t="s">
        <v>2586</v>
      </c>
      <c r="AI3372" t="s">
        <v>26229</v>
      </c>
      <c r="AM3372" t="s">
        <v>3425</v>
      </c>
      <c r="AN3372" t="s">
        <v>2069</v>
      </c>
      <c r="AO3372" t="s">
        <v>26230</v>
      </c>
      <c r="AP3372" t="s">
        <v>7024</v>
      </c>
      <c r="AT3372" s="184">
        <v>38993</v>
      </c>
      <c r="AU3372" t="s">
        <v>26231</v>
      </c>
      <c r="AV3372">
        <v>25</v>
      </c>
      <c r="AW3372" s="184">
        <v>44489</v>
      </c>
      <c r="AX3372" t="s">
        <v>7851</v>
      </c>
      <c r="AY3372">
        <v>25</v>
      </c>
      <c r="AZ3372" s="184">
        <v>44057</v>
      </c>
      <c r="BA3372" t="s">
        <v>26232</v>
      </c>
      <c r="BB3372">
        <v>50</v>
      </c>
      <c r="BC3372">
        <v>58</v>
      </c>
      <c r="BD3372">
        <v>358</v>
      </c>
      <c r="BE3372">
        <v>2007</v>
      </c>
      <c r="BF3372">
        <v>12</v>
      </c>
      <c r="BI3372">
        <v>11</v>
      </c>
      <c r="BJ3372">
        <v>19</v>
      </c>
      <c r="BK3372">
        <v>4</v>
      </c>
      <c r="BL3372" t="s">
        <v>595</v>
      </c>
      <c r="BN3372" t="s">
        <v>595</v>
      </c>
      <c r="BP3372" s="184"/>
    </row>
    <row r="3373" spans="1:68">
      <c r="A3373">
        <v>40007627</v>
      </c>
      <c r="B3373">
        <v>40007627</v>
      </c>
      <c r="C3373" t="s">
        <v>7018</v>
      </c>
      <c r="D3373" t="s">
        <v>595</v>
      </c>
      <c r="E3373" s="184">
        <v>43892</v>
      </c>
      <c r="G3373" s="184"/>
      <c r="I3373" s="184"/>
      <c r="K3373" s="184"/>
      <c r="M3373" s="184"/>
      <c r="O3373" s="184"/>
      <c r="P3373" t="s">
        <v>7045</v>
      </c>
      <c r="Q3373" t="s">
        <v>7160</v>
      </c>
      <c r="R3373" s="184">
        <v>20149</v>
      </c>
      <c r="S3373">
        <v>69</v>
      </c>
      <c r="U3373" t="s">
        <v>7076</v>
      </c>
      <c r="V3373" t="s">
        <v>3748</v>
      </c>
      <c r="X3373" t="s">
        <v>26233</v>
      </c>
      <c r="AF3373" t="s">
        <v>26234</v>
      </c>
      <c r="AG3373" t="s">
        <v>3748</v>
      </c>
      <c r="AI3373" t="s">
        <v>26235</v>
      </c>
      <c r="AM3373" t="s">
        <v>26236</v>
      </c>
      <c r="AN3373" t="s">
        <v>2395</v>
      </c>
      <c r="AO3373" t="s">
        <v>26237</v>
      </c>
      <c r="AP3373" t="s">
        <v>7024</v>
      </c>
      <c r="AT3373" s="184">
        <v>38995</v>
      </c>
      <c r="AU3373" t="s">
        <v>26238</v>
      </c>
      <c r="AV3373">
        <v>15</v>
      </c>
      <c r="AW3373" s="184">
        <v>44071</v>
      </c>
      <c r="AX3373" t="s">
        <v>26239</v>
      </c>
      <c r="AY3373">
        <v>25</v>
      </c>
      <c r="AZ3373" s="184">
        <v>44071</v>
      </c>
      <c r="BA3373" t="s">
        <v>26239</v>
      </c>
      <c r="BB3373">
        <v>25</v>
      </c>
      <c r="BC3373">
        <v>43</v>
      </c>
      <c r="BD3373">
        <v>360</v>
      </c>
      <c r="BE3373">
        <v>2007</v>
      </c>
      <c r="BF3373">
        <v>16</v>
      </c>
      <c r="BI3373">
        <v>8</v>
      </c>
      <c r="BJ3373">
        <v>19</v>
      </c>
      <c r="BK3373">
        <v>7</v>
      </c>
      <c r="BP3373" s="184"/>
    </row>
    <row r="3374" spans="1:68">
      <c r="A3374">
        <v>40007684</v>
      </c>
      <c r="B3374">
        <v>40007684</v>
      </c>
      <c r="C3374" t="s">
        <v>7018</v>
      </c>
      <c r="D3374" t="s">
        <v>595</v>
      </c>
      <c r="E3374" s="184">
        <v>43815</v>
      </c>
      <c r="G3374" s="184"/>
      <c r="I3374" s="184"/>
      <c r="K3374" s="184"/>
      <c r="M3374" s="184"/>
      <c r="P3374" t="s">
        <v>7045</v>
      </c>
      <c r="Q3374" t="s">
        <v>7374</v>
      </c>
      <c r="R3374" s="184">
        <v>15858</v>
      </c>
      <c r="S3374">
        <v>80</v>
      </c>
      <c r="U3374" t="s">
        <v>7031</v>
      </c>
      <c r="V3374" t="s">
        <v>3336</v>
      </c>
      <c r="W3374" t="s">
        <v>26240</v>
      </c>
      <c r="X3374" t="s">
        <v>4470</v>
      </c>
      <c r="AF3374" t="s">
        <v>26241</v>
      </c>
      <c r="AG3374" t="s">
        <v>3336</v>
      </c>
      <c r="AI3374" t="s">
        <v>26242</v>
      </c>
      <c r="AM3374" t="s">
        <v>4471</v>
      </c>
      <c r="AN3374" t="s">
        <v>2081</v>
      </c>
      <c r="AO3374" t="s">
        <v>26243</v>
      </c>
      <c r="AP3374" t="s">
        <v>7024</v>
      </c>
      <c r="AQ3374" t="s">
        <v>26244</v>
      </c>
      <c r="AR3374" t="s">
        <v>26245</v>
      </c>
      <c r="AT3374" s="184">
        <v>38995</v>
      </c>
      <c r="AU3374" t="s">
        <v>26246</v>
      </c>
      <c r="AV3374">
        <v>15</v>
      </c>
      <c r="AW3374" s="184">
        <v>45227</v>
      </c>
      <c r="AX3374" t="s">
        <v>8185</v>
      </c>
      <c r="AY3374">
        <v>50</v>
      </c>
      <c r="AZ3374" s="184">
        <v>43016</v>
      </c>
      <c r="BA3374" t="s">
        <v>8586</v>
      </c>
      <c r="BB3374">
        <v>87</v>
      </c>
      <c r="BC3374">
        <v>64</v>
      </c>
      <c r="BD3374">
        <v>552</v>
      </c>
      <c r="BE3374">
        <v>2007</v>
      </c>
      <c r="BF3374">
        <v>13</v>
      </c>
      <c r="BG3374">
        <v>1</v>
      </c>
      <c r="BH3374">
        <v>50</v>
      </c>
      <c r="BI3374">
        <v>12</v>
      </c>
      <c r="BJ3374">
        <v>19</v>
      </c>
      <c r="BK3374">
        <v>8</v>
      </c>
      <c r="BP3374" s="184"/>
    </row>
    <row r="3375" spans="1:68">
      <c r="A3375">
        <v>40019051</v>
      </c>
      <c r="B3375">
        <v>40019051</v>
      </c>
      <c r="C3375" t="s">
        <v>7018</v>
      </c>
      <c r="E3375" s="184"/>
      <c r="G3375" s="184"/>
      <c r="I3375" s="184"/>
      <c r="J3375" t="s">
        <v>595</v>
      </c>
      <c r="K3375" s="184">
        <v>39001</v>
      </c>
      <c r="P3375" t="s">
        <v>7045</v>
      </c>
      <c r="Q3375" t="s">
        <v>7374</v>
      </c>
      <c r="R3375" s="184"/>
      <c r="U3375" t="s">
        <v>7076</v>
      </c>
      <c r="V3375" t="s">
        <v>7290</v>
      </c>
      <c r="W3375" t="s">
        <v>3224</v>
      </c>
      <c r="X3375" t="s">
        <v>26247</v>
      </c>
      <c r="AF3375" t="s">
        <v>6693</v>
      </c>
      <c r="AG3375" t="s">
        <v>7290</v>
      </c>
      <c r="AI3375" t="s">
        <v>26248</v>
      </c>
      <c r="AM3375" t="s">
        <v>26249</v>
      </c>
      <c r="AN3375" t="s">
        <v>2081</v>
      </c>
      <c r="AO3375" t="s">
        <v>26250</v>
      </c>
      <c r="AP3375" t="s">
        <v>7024</v>
      </c>
      <c r="AQ3375" t="s">
        <v>26251</v>
      </c>
      <c r="AT3375" s="184">
        <v>40177</v>
      </c>
      <c r="AU3375" t="s">
        <v>26252</v>
      </c>
      <c r="AV3375">
        <v>100</v>
      </c>
      <c r="AW3375" s="184">
        <v>40256</v>
      </c>
      <c r="AX3375" t="s">
        <v>26253</v>
      </c>
      <c r="AY3375">
        <v>25</v>
      </c>
      <c r="AZ3375" s="184">
        <v>40177</v>
      </c>
      <c r="BA3375" t="s">
        <v>26252</v>
      </c>
      <c r="BB3375">
        <v>100</v>
      </c>
      <c r="BC3375">
        <v>13</v>
      </c>
      <c r="BD3375">
        <v>125</v>
      </c>
      <c r="BE3375">
        <v>2010</v>
      </c>
      <c r="BF3375">
        <v>2</v>
      </c>
      <c r="BI3375">
        <v>2</v>
      </c>
      <c r="BJ3375">
        <v>16</v>
      </c>
      <c r="BK3375">
        <v>2</v>
      </c>
      <c r="BM3375" t="s">
        <v>595</v>
      </c>
      <c r="BP3375" s="184"/>
    </row>
    <row r="3376" spans="1:68">
      <c r="A3376">
        <v>40024903</v>
      </c>
      <c r="B3376">
        <v>40024903</v>
      </c>
      <c r="C3376" t="s">
        <v>7018</v>
      </c>
      <c r="D3376" t="s">
        <v>595</v>
      </c>
      <c r="E3376" s="184">
        <v>44438</v>
      </c>
      <c r="G3376" s="184"/>
      <c r="I3376" s="184"/>
      <c r="K3376" s="184"/>
      <c r="M3376" s="184"/>
      <c r="O3376" s="184"/>
      <c r="P3376" t="s">
        <v>7045</v>
      </c>
      <c r="Q3376" t="s">
        <v>7383</v>
      </c>
      <c r="R3376" s="184">
        <v>21642</v>
      </c>
      <c r="S3376">
        <v>65</v>
      </c>
      <c r="U3376" t="s">
        <v>7130</v>
      </c>
      <c r="V3376" t="s">
        <v>26254</v>
      </c>
      <c r="X3376" t="s">
        <v>26255</v>
      </c>
      <c r="AF3376" t="s">
        <v>26256</v>
      </c>
      <c r="AG3376" t="s">
        <v>26254</v>
      </c>
      <c r="AI3376" t="s">
        <v>26257</v>
      </c>
      <c r="AM3376" t="s">
        <v>3465</v>
      </c>
      <c r="AN3376" t="s">
        <v>2162</v>
      </c>
      <c r="AO3376" t="s">
        <v>26258</v>
      </c>
      <c r="AP3376" t="s">
        <v>7024</v>
      </c>
      <c r="AQ3376" t="s">
        <v>26259</v>
      </c>
      <c r="AT3376" s="184">
        <v>38999</v>
      </c>
      <c r="AU3376" t="s">
        <v>26260</v>
      </c>
      <c r="AV3376">
        <v>25</v>
      </c>
      <c r="AW3376" s="184">
        <v>40961</v>
      </c>
      <c r="AX3376" t="s">
        <v>26261</v>
      </c>
      <c r="AY3376">
        <v>35</v>
      </c>
      <c r="AZ3376" s="184">
        <v>39524</v>
      </c>
      <c r="BA3376" t="s">
        <v>26262</v>
      </c>
      <c r="BB3376">
        <v>40</v>
      </c>
      <c r="BC3376">
        <v>37</v>
      </c>
      <c r="BD3376">
        <v>525</v>
      </c>
      <c r="BE3376">
        <v>2007</v>
      </c>
      <c r="BF3376">
        <v>19</v>
      </c>
      <c r="BI3376">
        <v>7</v>
      </c>
      <c r="BJ3376">
        <v>19</v>
      </c>
      <c r="BK3376">
        <v>7</v>
      </c>
      <c r="BP3376" s="184"/>
    </row>
    <row r="3377" spans="1:68">
      <c r="A3377">
        <v>40025702</v>
      </c>
      <c r="B3377">
        <v>40025702</v>
      </c>
      <c r="C3377" t="s">
        <v>7018</v>
      </c>
      <c r="D3377" t="s">
        <v>595</v>
      </c>
      <c r="E3377" s="184">
        <v>43642</v>
      </c>
      <c r="G3377" s="184"/>
      <c r="I3377" s="184"/>
      <c r="K3377" s="184"/>
      <c r="M3377" s="184"/>
      <c r="O3377" s="184"/>
      <c r="P3377" t="s">
        <v>7045</v>
      </c>
      <c r="Q3377" t="s">
        <v>7383</v>
      </c>
      <c r="R3377" s="184">
        <v>16392</v>
      </c>
      <c r="S3377">
        <v>79</v>
      </c>
      <c r="U3377" t="s">
        <v>7076</v>
      </c>
      <c r="V3377" t="s">
        <v>3043</v>
      </c>
      <c r="X3377" t="s">
        <v>3379</v>
      </c>
      <c r="AF3377" t="s">
        <v>26263</v>
      </c>
      <c r="AG3377" t="s">
        <v>3043</v>
      </c>
      <c r="AI3377" t="s">
        <v>26264</v>
      </c>
      <c r="AM3377" t="s">
        <v>3030</v>
      </c>
      <c r="AN3377" t="s">
        <v>2072</v>
      </c>
      <c r="AO3377" t="s">
        <v>26265</v>
      </c>
      <c r="AP3377" t="s">
        <v>7024</v>
      </c>
      <c r="AQ3377" t="s">
        <v>26266</v>
      </c>
      <c r="AT3377" s="184">
        <v>38999</v>
      </c>
      <c r="AU3377" t="s">
        <v>26267</v>
      </c>
      <c r="AV3377">
        <v>30</v>
      </c>
      <c r="AW3377" s="184">
        <v>44920</v>
      </c>
      <c r="AX3377" t="s">
        <v>14540</v>
      </c>
      <c r="AY3377">
        <v>100</v>
      </c>
      <c r="AZ3377" s="184">
        <v>44920</v>
      </c>
      <c r="BA3377" t="s">
        <v>14540</v>
      </c>
      <c r="BB3377">
        <v>100</v>
      </c>
      <c r="BC3377">
        <v>53</v>
      </c>
      <c r="BD3377">
        <v>500</v>
      </c>
      <c r="BE3377">
        <v>2007</v>
      </c>
      <c r="BF3377">
        <v>11</v>
      </c>
      <c r="BG3377">
        <v>1</v>
      </c>
      <c r="BH3377">
        <v>100</v>
      </c>
      <c r="BI3377">
        <v>10</v>
      </c>
      <c r="BJ3377">
        <v>19</v>
      </c>
      <c r="BK3377">
        <v>6</v>
      </c>
      <c r="BP3377" s="184"/>
    </row>
    <row r="3378" spans="1:68">
      <c r="A3378">
        <v>40032971</v>
      </c>
      <c r="B3378">
        <v>40032971</v>
      </c>
      <c r="C3378" t="s">
        <v>7018</v>
      </c>
      <c r="E3378" s="184"/>
      <c r="G3378" s="184"/>
      <c r="I3378" s="184"/>
      <c r="J3378" t="s">
        <v>595</v>
      </c>
      <c r="K3378" s="184">
        <v>41921</v>
      </c>
      <c r="M3378" s="184"/>
      <c r="O3378" s="184"/>
      <c r="P3378" t="s">
        <v>7045</v>
      </c>
      <c r="Q3378" t="s">
        <v>7383</v>
      </c>
      <c r="R3378" s="184">
        <v>17899</v>
      </c>
      <c r="S3378">
        <v>75</v>
      </c>
      <c r="U3378" t="s">
        <v>7031</v>
      </c>
      <c r="V3378" t="s">
        <v>2871</v>
      </c>
      <c r="X3378" t="s">
        <v>26268</v>
      </c>
      <c r="AF3378" t="s">
        <v>6531</v>
      </c>
      <c r="AG3378" t="s">
        <v>2871</v>
      </c>
      <c r="AI3378" t="s">
        <v>26269</v>
      </c>
      <c r="AM3378" t="s">
        <v>26270</v>
      </c>
      <c r="AN3378" t="s">
        <v>2274</v>
      </c>
      <c r="AO3378" t="s">
        <v>26271</v>
      </c>
      <c r="AP3378" t="s">
        <v>7024</v>
      </c>
      <c r="AQ3378" t="s">
        <v>26272</v>
      </c>
      <c r="AT3378" s="184">
        <v>39000</v>
      </c>
      <c r="AU3378" t="s">
        <v>26273</v>
      </c>
      <c r="AV3378">
        <v>25</v>
      </c>
      <c r="AW3378" s="184">
        <v>45363</v>
      </c>
      <c r="AX3378" t="s">
        <v>26274</v>
      </c>
      <c r="AY3378">
        <v>50</v>
      </c>
      <c r="AZ3378" s="184">
        <v>42562</v>
      </c>
      <c r="BA3378" t="s">
        <v>26275</v>
      </c>
      <c r="BB3378">
        <v>100</v>
      </c>
      <c r="BC3378">
        <v>53</v>
      </c>
      <c r="BD3378">
        <v>740</v>
      </c>
      <c r="BE3378">
        <v>2007</v>
      </c>
      <c r="BF3378">
        <v>10</v>
      </c>
      <c r="BG3378">
        <v>1</v>
      </c>
      <c r="BH3378">
        <v>50</v>
      </c>
      <c r="BI3378">
        <v>10</v>
      </c>
      <c r="BJ3378">
        <v>19</v>
      </c>
      <c r="BK3378">
        <v>8</v>
      </c>
      <c r="BN3378" t="s">
        <v>595</v>
      </c>
      <c r="BP3378" s="184"/>
    </row>
    <row r="3379" spans="1:68">
      <c r="A3379">
        <v>40049439</v>
      </c>
      <c r="B3379">
        <v>40049439</v>
      </c>
      <c r="C3379" t="s">
        <v>7018</v>
      </c>
      <c r="D3379" t="s">
        <v>595</v>
      </c>
      <c r="E3379" s="184">
        <v>44070</v>
      </c>
      <c r="G3379" s="184"/>
      <c r="I3379" s="184"/>
      <c r="K3379" s="184"/>
      <c r="M3379" s="184"/>
      <c r="P3379" t="s">
        <v>7045</v>
      </c>
      <c r="Q3379" t="s">
        <v>7454</v>
      </c>
      <c r="R3379" s="184">
        <v>16795</v>
      </c>
      <c r="S3379">
        <v>78</v>
      </c>
      <c r="U3379" t="s">
        <v>7076</v>
      </c>
      <c r="V3379" t="s">
        <v>3872</v>
      </c>
      <c r="X3379" t="s">
        <v>26276</v>
      </c>
      <c r="AF3379" t="s">
        <v>26277</v>
      </c>
      <c r="AG3379" t="s">
        <v>3872</v>
      </c>
      <c r="AI3379" t="s">
        <v>26278</v>
      </c>
      <c r="AM3379" t="s">
        <v>26279</v>
      </c>
      <c r="AN3379" t="s">
        <v>2299</v>
      </c>
      <c r="AO3379" t="s">
        <v>26280</v>
      </c>
      <c r="AP3379" t="s">
        <v>7024</v>
      </c>
      <c r="AQ3379" t="s">
        <v>26281</v>
      </c>
      <c r="AT3379" s="184">
        <v>39006</v>
      </c>
      <c r="AU3379" t="s">
        <v>26282</v>
      </c>
      <c r="AV3379">
        <v>15</v>
      </c>
      <c r="AW3379" s="184">
        <v>45345</v>
      </c>
      <c r="AX3379" t="s">
        <v>26283</v>
      </c>
      <c r="AY3379">
        <v>100</v>
      </c>
      <c r="AZ3379" s="184">
        <v>45345</v>
      </c>
      <c r="BA3379" t="s">
        <v>26283</v>
      </c>
      <c r="BB3379">
        <v>100</v>
      </c>
      <c r="BC3379">
        <v>90</v>
      </c>
      <c r="BD3379">
        <v>1282</v>
      </c>
      <c r="BE3379">
        <v>2007</v>
      </c>
      <c r="BF3379">
        <v>25</v>
      </c>
      <c r="BG3379">
        <v>5</v>
      </c>
      <c r="BH3379">
        <v>375</v>
      </c>
      <c r="BI3379">
        <v>17</v>
      </c>
      <c r="BJ3379">
        <v>19</v>
      </c>
      <c r="BK3379">
        <v>15</v>
      </c>
      <c r="BP3379" s="184"/>
    </row>
    <row r="3380" spans="1:68">
      <c r="A3380">
        <v>40065195</v>
      </c>
      <c r="B3380">
        <v>40065195</v>
      </c>
      <c r="C3380" t="s">
        <v>7018</v>
      </c>
      <c r="E3380" s="184"/>
      <c r="G3380" s="184"/>
      <c r="I3380" s="184"/>
      <c r="J3380" t="s">
        <v>595</v>
      </c>
      <c r="K3380" s="184">
        <v>42493</v>
      </c>
      <c r="O3380" s="184"/>
      <c r="P3380" t="s">
        <v>7045</v>
      </c>
      <c r="Q3380" t="s">
        <v>7194</v>
      </c>
      <c r="R3380" s="184"/>
      <c r="U3380" t="s">
        <v>7032</v>
      </c>
      <c r="V3380" t="s">
        <v>26284</v>
      </c>
      <c r="X3380" t="s">
        <v>26285</v>
      </c>
      <c r="Z3380">
        <v>100117254</v>
      </c>
      <c r="AA3380" t="s">
        <v>7032</v>
      </c>
      <c r="AB3380" t="s">
        <v>7446</v>
      </c>
      <c r="AD3380" t="s">
        <v>26285</v>
      </c>
      <c r="AF3380" t="s">
        <v>6360</v>
      </c>
      <c r="AG3380" t="s">
        <v>26286</v>
      </c>
      <c r="AI3380" t="s">
        <v>26287</v>
      </c>
      <c r="AM3380" t="s">
        <v>26288</v>
      </c>
      <c r="AN3380" t="s">
        <v>2046</v>
      </c>
      <c r="AO3380" t="s">
        <v>26289</v>
      </c>
      <c r="AP3380" t="s">
        <v>7024</v>
      </c>
      <c r="AQ3380" t="s">
        <v>26290</v>
      </c>
      <c r="AR3380" t="s">
        <v>26291</v>
      </c>
      <c r="AT3380" s="184">
        <v>39014</v>
      </c>
      <c r="AU3380" t="s">
        <v>26292</v>
      </c>
      <c r="AV3380">
        <v>25</v>
      </c>
      <c r="AW3380" s="184">
        <v>45278</v>
      </c>
      <c r="AX3380" t="s">
        <v>26293</v>
      </c>
      <c r="AY3380">
        <v>100</v>
      </c>
      <c r="AZ3380" s="184">
        <v>45278</v>
      </c>
      <c r="BA3380" t="s">
        <v>26293</v>
      </c>
      <c r="BB3380">
        <v>100</v>
      </c>
      <c r="BC3380">
        <v>85</v>
      </c>
      <c r="BD3380">
        <v>1572</v>
      </c>
      <c r="BE3380">
        <v>2007</v>
      </c>
      <c r="BF3380">
        <v>23</v>
      </c>
      <c r="BG3380">
        <v>1</v>
      </c>
      <c r="BH3380">
        <v>100</v>
      </c>
      <c r="BI3380">
        <v>16</v>
      </c>
      <c r="BJ3380">
        <v>19</v>
      </c>
      <c r="BK3380">
        <v>15</v>
      </c>
      <c r="BP3380" s="184"/>
    </row>
    <row r="3381" spans="1:68">
      <c r="A3381">
        <v>100117254</v>
      </c>
      <c r="B3381">
        <v>40065195</v>
      </c>
      <c r="C3381" t="s">
        <v>7018</v>
      </c>
      <c r="E3381" s="184"/>
      <c r="G3381" s="184"/>
      <c r="I3381" s="184"/>
      <c r="J3381" t="s">
        <v>595</v>
      </c>
      <c r="K3381" s="184">
        <v>42493</v>
      </c>
      <c r="O3381" s="184"/>
      <c r="P3381" t="s">
        <v>7045</v>
      </c>
      <c r="Q3381" t="s">
        <v>7194</v>
      </c>
      <c r="R3381" s="184">
        <v>19268</v>
      </c>
      <c r="S3381">
        <v>71</v>
      </c>
      <c r="U3381" t="s">
        <v>7032</v>
      </c>
      <c r="V3381" t="s">
        <v>7446</v>
      </c>
      <c r="X3381" t="s">
        <v>26285</v>
      </c>
      <c r="Z3381">
        <v>40065195</v>
      </c>
      <c r="AA3381" t="s">
        <v>7032</v>
      </c>
      <c r="AB3381" t="s">
        <v>26284</v>
      </c>
      <c r="AD3381" t="s">
        <v>26285</v>
      </c>
      <c r="AF3381" t="s">
        <v>6360</v>
      </c>
      <c r="AG3381" t="s">
        <v>26286</v>
      </c>
      <c r="AI3381" t="s">
        <v>26287</v>
      </c>
      <c r="AM3381" t="s">
        <v>26288</v>
      </c>
      <c r="AN3381" t="s">
        <v>2046</v>
      </c>
      <c r="AO3381" t="s">
        <v>26289</v>
      </c>
      <c r="AP3381" t="s">
        <v>7024</v>
      </c>
      <c r="AT3381" s="184"/>
      <c r="AW3381" s="184"/>
      <c r="AZ3381" s="184"/>
      <c r="BP3381" s="184"/>
    </row>
    <row r="3382" spans="1:68">
      <c r="A3382">
        <v>40074155</v>
      </c>
      <c r="B3382">
        <v>40074155</v>
      </c>
      <c r="C3382" t="s">
        <v>7018</v>
      </c>
      <c r="D3382" t="s">
        <v>595</v>
      </c>
      <c r="E3382" s="184">
        <v>43642</v>
      </c>
      <c r="G3382" s="184"/>
      <c r="I3382" s="184"/>
      <c r="K3382" s="184"/>
      <c r="M3382" s="184"/>
      <c r="O3382" s="184"/>
      <c r="P3382" t="s">
        <v>7045</v>
      </c>
      <c r="Q3382" t="s">
        <v>7383</v>
      </c>
      <c r="R3382" s="184">
        <v>18735</v>
      </c>
      <c r="S3382">
        <v>73</v>
      </c>
      <c r="U3382" t="s">
        <v>7076</v>
      </c>
      <c r="V3382" t="s">
        <v>3381</v>
      </c>
      <c r="X3382" t="s">
        <v>3382</v>
      </c>
      <c r="AF3382" t="s">
        <v>26294</v>
      </c>
      <c r="AG3382" t="s">
        <v>3381</v>
      </c>
      <c r="AI3382" t="s">
        <v>26295</v>
      </c>
      <c r="AM3382" t="s">
        <v>3383</v>
      </c>
      <c r="AN3382" t="s">
        <v>2313</v>
      </c>
      <c r="AO3382" t="s">
        <v>26296</v>
      </c>
      <c r="AP3382" t="s">
        <v>7024</v>
      </c>
      <c r="AQ3382" t="s">
        <v>26297</v>
      </c>
      <c r="AT3382" s="184">
        <v>39017</v>
      </c>
      <c r="AU3382" t="s">
        <v>26117</v>
      </c>
      <c r="AV3382">
        <v>25</v>
      </c>
      <c r="AW3382" s="184">
        <v>45330</v>
      </c>
      <c r="AX3382" t="s">
        <v>26298</v>
      </c>
      <c r="AY3382">
        <v>50</v>
      </c>
      <c r="AZ3382" s="184">
        <v>41579</v>
      </c>
      <c r="BA3382" t="s">
        <v>26299</v>
      </c>
      <c r="BB3382">
        <v>55</v>
      </c>
      <c r="BC3382">
        <v>90</v>
      </c>
      <c r="BD3382">
        <v>820</v>
      </c>
      <c r="BE3382">
        <v>2007</v>
      </c>
      <c r="BF3382">
        <v>23</v>
      </c>
      <c r="BG3382">
        <v>4</v>
      </c>
      <c r="BH3382">
        <v>175</v>
      </c>
      <c r="BI3382">
        <v>17</v>
      </c>
      <c r="BJ3382">
        <v>19</v>
      </c>
      <c r="BK3382">
        <v>8</v>
      </c>
      <c r="BP3382" s="184"/>
    </row>
    <row r="3383" spans="1:68">
      <c r="A3383">
        <v>40074304</v>
      </c>
      <c r="B3383">
        <v>40074304</v>
      </c>
      <c r="C3383" t="s">
        <v>7018</v>
      </c>
      <c r="D3383" t="s">
        <v>595</v>
      </c>
      <c r="E3383" s="184">
        <v>45147</v>
      </c>
      <c r="G3383" s="184"/>
      <c r="I3383" s="184"/>
      <c r="K3383" s="184"/>
      <c r="O3383" s="184"/>
      <c r="P3383" t="s">
        <v>7045</v>
      </c>
      <c r="Q3383" t="s">
        <v>7383</v>
      </c>
      <c r="R3383" s="184">
        <v>11785</v>
      </c>
      <c r="S3383">
        <v>92</v>
      </c>
      <c r="U3383" t="s">
        <v>7076</v>
      </c>
      <c r="V3383" t="s">
        <v>5600</v>
      </c>
      <c r="X3383" t="s">
        <v>26300</v>
      </c>
      <c r="AF3383" t="s">
        <v>26301</v>
      </c>
      <c r="AG3383" t="s">
        <v>5600</v>
      </c>
      <c r="AI3383" t="s">
        <v>26302</v>
      </c>
      <c r="AM3383" t="s">
        <v>26303</v>
      </c>
      <c r="AN3383" t="s">
        <v>2064</v>
      </c>
      <c r="AO3383" t="s">
        <v>26304</v>
      </c>
      <c r="AP3383" t="s">
        <v>7024</v>
      </c>
      <c r="AQ3383" t="s">
        <v>26305</v>
      </c>
      <c r="AT3383" s="184">
        <v>39017</v>
      </c>
      <c r="AU3383" t="s">
        <v>26306</v>
      </c>
      <c r="AV3383">
        <v>25</v>
      </c>
      <c r="AW3383" s="184">
        <v>45384</v>
      </c>
      <c r="AX3383" t="s">
        <v>26307</v>
      </c>
      <c r="AY3383">
        <v>200</v>
      </c>
      <c r="AZ3383" s="184">
        <v>45384</v>
      </c>
      <c r="BA3383" t="s">
        <v>26307</v>
      </c>
      <c r="BB3383">
        <v>200</v>
      </c>
      <c r="BC3383">
        <v>37</v>
      </c>
      <c r="BD3383">
        <v>930</v>
      </c>
      <c r="BE3383">
        <v>2007</v>
      </c>
      <c r="BF3383">
        <v>10</v>
      </c>
      <c r="BG3383">
        <v>5</v>
      </c>
      <c r="BH3383">
        <v>750</v>
      </c>
      <c r="BI3383">
        <v>7</v>
      </c>
      <c r="BJ3383">
        <v>19</v>
      </c>
      <c r="BK3383">
        <v>4</v>
      </c>
      <c r="BP3383" s="184"/>
    </row>
    <row r="3384" spans="1:68">
      <c r="A3384">
        <v>40074460</v>
      </c>
      <c r="B3384">
        <v>40074460</v>
      </c>
      <c r="C3384" t="s">
        <v>7018</v>
      </c>
      <c r="E3384" s="184"/>
      <c r="G3384" s="184"/>
      <c r="I3384" s="184"/>
      <c r="J3384" t="s">
        <v>595</v>
      </c>
      <c r="K3384" s="184">
        <v>42948</v>
      </c>
      <c r="M3384" s="184"/>
      <c r="P3384" t="s">
        <v>7045</v>
      </c>
      <c r="Q3384" t="s">
        <v>7194</v>
      </c>
      <c r="R3384" s="184">
        <v>13632</v>
      </c>
      <c r="S3384">
        <v>87</v>
      </c>
      <c r="U3384" t="s">
        <v>7031</v>
      </c>
      <c r="V3384" t="s">
        <v>2992</v>
      </c>
      <c r="W3384" t="s">
        <v>2963</v>
      </c>
      <c r="X3384" t="s">
        <v>26308</v>
      </c>
      <c r="AF3384" t="s">
        <v>6377</v>
      </c>
      <c r="AG3384" t="s">
        <v>2992</v>
      </c>
      <c r="AI3384" t="s">
        <v>26309</v>
      </c>
      <c r="AM3384" t="s">
        <v>5517</v>
      </c>
      <c r="AN3384" t="s">
        <v>4512</v>
      </c>
      <c r="AO3384" t="s">
        <v>26310</v>
      </c>
      <c r="AP3384" t="s">
        <v>7024</v>
      </c>
      <c r="AT3384" s="184">
        <v>39017</v>
      </c>
      <c r="AU3384" t="s">
        <v>26219</v>
      </c>
      <c r="AV3384">
        <v>25</v>
      </c>
      <c r="AW3384" s="184">
        <v>45358</v>
      </c>
      <c r="AX3384" t="s">
        <v>15637</v>
      </c>
      <c r="AY3384">
        <v>100</v>
      </c>
      <c r="AZ3384" s="184">
        <v>45358</v>
      </c>
      <c r="BA3384" t="s">
        <v>15637</v>
      </c>
      <c r="BB3384">
        <v>100</v>
      </c>
      <c r="BC3384">
        <v>79</v>
      </c>
      <c r="BD3384">
        <v>1665</v>
      </c>
      <c r="BE3384">
        <v>2007</v>
      </c>
      <c r="BF3384">
        <v>19</v>
      </c>
      <c r="BG3384">
        <v>2</v>
      </c>
      <c r="BH3384">
        <v>200</v>
      </c>
      <c r="BI3384">
        <v>15</v>
      </c>
      <c r="BJ3384">
        <v>19</v>
      </c>
      <c r="BK3384">
        <v>8</v>
      </c>
      <c r="BP3384" s="184"/>
    </row>
    <row r="3385" spans="1:68">
      <c r="A3385">
        <v>40094534</v>
      </c>
      <c r="B3385">
        <v>40094534</v>
      </c>
      <c r="C3385" t="s">
        <v>7018</v>
      </c>
      <c r="D3385" t="s">
        <v>595</v>
      </c>
      <c r="E3385" s="184">
        <v>43864</v>
      </c>
      <c r="G3385" s="184"/>
      <c r="I3385" s="184"/>
      <c r="K3385" s="184"/>
      <c r="O3385" s="184"/>
      <c r="P3385" t="s">
        <v>7029</v>
      </c>
      <c r="Q3385" t="s">
        <v>7262</v>
      </c>
      <c r="R3385" s="184">
        <v>10348</v>
      </c>
      <c r="S3385">
        <v>96</v>
      </c>
      <c r="U3385" t="s">
        <v>7031</v>
      </c>
      <c r="V3385" t="s">
        <v>3054</v>
      </c>
      <c r="W3385" t="s">
        <v>205</v>
      </c>
      <c r="X3385" t="s">
        <v>4705</v>
      </c>
      <c r="AF3385" t="s">
        <v>26311</v>
      </c>
      <c r="AG3385" t="s">
        <v>3054</v>
      </c>
      <c r="AI3385" t="s">
        <v>26312</v>
      </c>
      <c r="AM3385" t="s">
        <v>26313</v>
      </c>
      <c r="AN3385" t="s">
        <v>2106</v>
      </c>
      <c r="AO3385" t="s">
        <v>26314</v>
      </c>
      <c r="AP3385" t="s">
        <v>7024</v>
      </c>
      <c r="AT3385" s="184">
        <v>39027</v>
      </c>
      <c r="AU3385" t="s">
        <v>26315</v>
      </c>
      <c r="AV3385">
        <v>25</v>
      </c>
      <c r="AW3385" s="184">
        <v>44568</v>
      </c>
      <c r="AX3385" t="s">
        <v>26316</v>
      </c>
      <c r="AY3385">
        <v>1000</v>
      </c>
      <c r="AZ3385" s="184">
        <v>44568</v>
      </c>
      <c r="BA3385" t="s">
        <v>26316</v>
      </c>
      <c r="BB3385">
        <v>1000</v>
      </c>
      <c r="BC3385">
        <v>90</v>
      </c>
      <c r="BD3385">
        <v>10505</v>
      </c>
      <c r="BE3385">
        <v>2007</v>
      </c>
      <c r="BF3385">
        <v>34</v>
      </c>
      <c r="BI3385">
        <v>17</v>
      </c>
      <c r="BJ3385">
        <v>19</v>
      </c>
      <c r="BK3385">
        <v>17</v>
      </c>
      <c r="BO3385" t="s">
        <v>595</v>
      </c>
      <c r="BP3385" s="184">
        <v>44652</v>
      </c>
    </row>
    <row r="3386" spans="1:68">
      <c r="A3386">
        <v>40099293</v>
      </c>
      <c r="B3386">
        <v>40099293</v>
      </c>
      <c r="C3386" t="s">
        <v>7018</v>
      </c>
      <c r="D3386" t="s">
        <v>595</v>
      </c>
      <c r="E3386" s="184">
        <v>43808</v>
      </c>
      <c r="G3386" s="184"/>
      <c r="I3386" s="184"/>
      <c r="K3386" s="184"/>
      <c r="O3386" s="184"/>
      <c r="P3386" t="s">
        <v>7045</v>
      </c>
      <c r="Q3386" t="s">
        <v>7030</v>
      </c>
      <c r="R3386" s="184">
        <v>19329</v>
      </c>
      <c r="S3386">
        <v>71</v>
      </c>
      <c r="U3386" t="s">
        <v>7076</v>
      </c>
      <c r="V3386" t="s">
        <v>3101</v>
      </c>
      <c r="X3386" t="s">
        <v>3318</v>
      </c>
      <c r="AF3386" t="s">
        <v>26317</v>
      </c>
      <c r="AG3386" t="s">
        <v>3101</v>
      </c>
      <c r="AI3386" t="s">
        <v>26318</v>
      </c>
      <c r="AM3386" t="s">
        <v>4462</v>
      </c>
      <c r="AN3386" t="s">
        <v>2201</v>
      </c>
      <c r="AO3386" t="s">
        <v>26319</v>
      </c>
      <c r="AP3386" t="s">
        <v>7024</v>
      </c>
      <c r="AQ3386" t="s">
        <v>26320</v>
      </c>
      <c r="AT3386" s="184">
        <v>39027</v>
      </c>
      <c r="AU3386" t="s">
        <v>26321</v>
      </c>
      <c r="AV3386">
        <v>20</v>
      </c>
      <c r="AW3386" s="184">
        <v>45159</v>
      </c>
      <c r="AX3386" t="s">
        <v>7159</v>
      </c>
      <c r="AY3386">
        <v>150</v>
      </c>
      <c r="AZ3386" s="184">
        <v>45159</v>
      </c>
      <c r="BA3386" t="s">
        <v>7159</v>
      </c>
      <c r="BB3386">
        <v>150</v>
      </c>
      <c r="BC3386">
        <v>79</v>
      </c>
      <c r="BD3386">
        <v>1127</v>
      </c>
      <c r="BE3386">
        <v>2007</v>
      </c>
      <c r="BF3386">
        <v>24</v>
      </c>
      <c r="BG3386">
        <v>4</v>
      </c>
      <c r="BH3386">
        <v>300</v>
      </c>
      <c r="BI3386">
        <v>15</v>
      </c>
      <c r="BJ3386">
        <v>19</v>
      </c>
      <c r="BK3386">
        <v>6</v>
      </c>
      <c r="BP3386" s="184"/>
    </row>
    <row r="3387" spans="1:68">
      <c r="A3387">
        <v>40101016</v>
      </c>
      <c r="B3387">
        <v>40101016</v>
      </c>
      <c r="C3387" t="s">
        <v>7018</v>
      </c>
      <c r="E3387" s="184"/>
      <c r="G3387" s="184"/>
      <c r="I3387" s="184"/>
      <c r="J3387" t="s">
        <v>595</v>
      </c>
      <c r="K3387" s="184">
        <v>44244</v>
      </c>
      <c r="O3387" s="184"/>
      <c r="P3387" t="s">
        <v>7045</v>
      </c>
      <c r="Q3387" t="s">
        <v>7383</v>
      </c>
      <c r="R3387" s="184">
        <v>22350</v>
      </c>
      <c r="S3387">
        <v>63</v>
      </c>
      <c r="U3387" t="s">
        <v>7031</v>
      </c>
      <c r="V3387" t="s">
        <v>2541</v>
      </c>
      <c r="X3387" t="s">
        <v>26322</v>
      </c>
      <c r="AF3387" t="s">
        <v>26323</v>
      </c>
      <c r="AG3387" t="s">
        <v>2541</v>
      </c>
      <c r="AI3387" t="s">
        <v>26324</v>
      </c>
      <c r="AM3387" t="s">
        <v>15826</v>
      </c>
      <c r="AN3387" t="s">
        <v>2313</v>
      </c>
      <c r="AO3387" t="s">
        <v>26325</v>
      </c>
      <c r="AP3387" t="s">
        <v>7024</v>
      </c>
      <c r="AQ3387" t="s">
        <v>26326</v>
      </c>
      <c r="AR3387" t="s">
        <v>26327</v>
      </c>
      <c r="AT3387" s="184">
        <v>39027</v>
      </c>
      <c r="AU3387" t="s">
        <v>26205</v>
      </c>
      <c r="AV3387">
        <v>25</v>
      </c>
      <c r="AW3387" s="184">
        <v>45249</v>
      </c>
      <c r="AX3387" t="s">
        <v>7168</v>
      </c>
      <c r="AY3387">
        <v>100</v>
      </c>
      <c r="AZ3387" s="184">
        <v>45249</v>
      </c>
      <c r="BA3387" t="s">
        <v>7168</v>
      </c>
      <c r="BB3387">
        <v>100</v>
      </c>
      <c r="BC3387">
        <v>69</v>
      </c>
      <c r="BD3387">
        <v>800</v>
      </c>
      <c r="BE3387">
        <v>2007</v>
      </c>
      <c r="BF3387">
        <v>15</v>
      </c>
      <c r="BG3387">
        <v>2</v>
      </c>
      <c r="BH3387">
        <v>200</v>
      </c>
      <c r="BI3387">
        <v>13</v>
      </c>
      <c r="BJ3387">
        <v>19</v>
      </c>
      <c r="BK3387">
        <v>6</v>
      </c>
      <c r="BP3387" s="184"/>
    </row>
    <row r="3388" spans="1:68">
      <c r="A3388">
        <v>40130502</v>
      </c>
      <c r="B3388">
        <v>40130502</v>
      </c>
      <c r="C3388" t="s">
        <v>7018</v>
      </c>
      <c r="D3388" t="s">
        <v>595</v>
      </c>
      <c r="E3388" s="184">
        <v>43642</v>
      </c>
      <c r="G3388" s="184"/>
      <c r="I3388" s="184"/>
      <c r="K3388" s="184"/>
      <c r="O3388" s="184"/>
      <c r="P3388" t="s">
        <v>7045</v>
      </c>
      <c r="Q3388" t="s">
        <v>7383</v>
      </c>
      <c r="R3388" s="184">
        <v>18780</v>
      </c>
      <c r="S3388">
        <v>72</v>
      </c>
      <c r="U3388" t="s">
        <v>7031</v>
      </c>
      <c r="V3388" t="s">
        <v>3384</v>
      </c>
      <c r="X3388" t="s">
        <v>3385</v>
      </c>
      <c r="AF3388" t="s">
        <v>26328</v>
      </c>
      <c r="AG3388" t="s">
        <v>3384</v>
      </c>
      <c r="AI3388" t="s">
        <v>26329</v>
      </c>
      <c r="AM3388" t="s">
        <v>2860</v>
      </c>
      <c r="AN3388" t="s">
        <v>2162</v>
      </c>
      <c r="AO3388" t="s">
        <v>26330</v>
      </c>
      <c r="AP3388" t="s">
        <v>7024</v>
      </c>
      <c r="AQ3388" t="s">
        <v>26331</v>
      </c>
      <c r="AT3388" s="184">
        <v>39034</v>
      </c>
      <c r="AU3388" t="s">
        <v>26332</v>
      </c>
      <c r="AV3388">
        <v>15</v>
      </c>
      <c r="AW3388" s="184">
        <v>44420</v>
      </c>
      <c r="AX3388" t="s">
        <v>26333</v>
      </c>
      <c r="AY3388">
        <v>25</v>
      </c>
      <c r="AZ3388" s="184">
        <v>42928</v>
      </c>
      <c r="BA3388" t="s">
        <v>22171</v>
      </c>
      <c r="BB3388">
        <v>60</v>
      </c>
      <c r="BC3388">
        <v>69</v>
      </c>
      <c r="BD3388">
        <v>500</v>
      </c>
      <c r="BE3388">
        <v>2007</v>
      </c>
      <c r="BF3388">
        <v>19</v>
      </c>
      <c r="BI3388">
        <v>13</v>
      </c>
      <c r="BJ3388">
        <v>19</v>
      </c>
      <c r="BK3388">
        <v>6</v>
      </c>
      <c r="BP3388" s="184"/>
    </row>
    <row r="3389" spans="1:68">
      <c r="A3389">
        <v>40153140</v>
      </c>
      <c r="B3389">
        <v>40153140</v>
      </c>
      <c r="C3389" t="s">
        <v>7018</v>
      </c>
      <c r="D3389" t="s">
        <v>595</v>
      </c>
      <c r="E3389" s="184">
        <v>44104</v>
      </c>
      <c r="G3389" s="184"/>
      <c r="I3389" s="184"/>
      <c r="K3389" s="184"/>
      <c r="O3389" s="184"/>
      <c r="P3389" t="s">
        <v>7045</v>
      </c>
      <c r="Q3389" t="s">
        <v>7020</v>
      </c>
      <c r="R3389" s="184">
        <v>14787</v>
      </c>
      <c r="S3389">
        <v>83</v>
      </c>
      <c r="U3389" t="s">
        <v>7076</v>
      </c>
      <c r="V3389" t="s">
        <v>23654</v>
      </c>
      <c r="X3389" t="s">
        <v>26334</v>
      </c>
      <c r="AF3389" t="s">
        <v>26335</v>
      </c>
      <c r="AG3389" t="s">
        <v>23654</v>
      </c>
      <c r="AI3389" t="s">
        <v>26336</v>
      </c>
      <c r="AM3389" t="s">
        <v>9970</v>
      </c>
      <c r="AN3389" t="s">
        <v>2112</v>
      </c>
      <c r="AO3389" t="s">
        <v>26337</v>
      </c>
      <c r="AP3389" t="s">
        <v>7024</v>
      </c>
      <c r="AQ3389" t="s">
        <v>26338</v>
      </c>
      <c r="AR3389" t="s">
        <v>26339</v>
      </c>
      <c r="AT3389" s="184">
        <v>39037</v>
      </c>
      <c r="AU3389" t="s">
        <v>26340</v>
      </c>
      <c r="AV3389">
        <v>25</v>
      </c>
      <c r="AW3389" s="184">
        <v>45346</v>
      </c>
      <c r="AX3389" t="s">
        <v>7832</v>
      </c>
      <c r="AY3389">
        <v>36.75</v>
      </c>
      <c r="AZ3389" s="184">
        <v>45346</v>
      </c>
      <c r="BA3389" t="s">
        <v>7832</v>
      </c>
      <c r="BB3389">
        <v>36.75</v>
      </c>
      <c r="BC3389">
        <v>95</v>
      </c>
      <c r="BD3389">
        <v>626.75</v>
      </c>
      <c r="BE3389">
        <v>2007</v>
      </c>
      <c r="BF3389">
        <v>19</v>
      </c>
      <c r="BG3389">
        <v>2</v>
      </c>
      <c r="BH3389">
        <v>71.75</v>
      </c>
      <c r="BI3389">
        <v>18</v>
      </c>
      <c r="BJ3389">
        <v>19</v>
      </c>
      <c r="BK3389">
        <v>12</v>
      </c>
      <c r="BP3389" s="184"/>
    </row>
    <row r="3390" spans="1:68">
      <c r="A3390">
        <v>40161739</v>
      </c>
      <c r="B3390">
        <v>40161739</v>
      </c>
      <c r="C3390" t="s">
        <v>7018</v>
      </c>
      <c r="D3390" t="s">
        <v>595</v>
      </c>
      <c r="E3390" s="184">
        <v>45195</v>
      </c>
      <c r="G3390" s="184"/>
      <c r="I3390" s="184"/>
      <c r="K3390" s="184"/>
      <c r="O3390" s="184"/>
      <c r="P3390" t="s">
        <v>7045</v>
      </c>
      <c r="Q3390" t="s">
        <v>7160</v>
      </c>
      <c r="R3390" s="184">
        <v>15401</v>
      </c>
      <c r="S3390">
        <v>82</v>
      </c>
      <c r="V3390" t="s">
        <v>2863</v>
      </c>
      <c r="X3390" t="s">
        <v>26341</v>
      </c>
      <c r="Z3390">
        <v>100117700</v>
      </c>
      <c r="AB3390" t="s">
        <v>3098</v>
      </c>
      <c r="AD3390" t="s">
        <v>26341</v>
      </c>
      <c r="AF3390" t="s">
        <v>26342</v>
      </c>
      <c r="AG3390" t="s">
        <v>26343</v>
      </c>
      <c r="AI3390" t="s">
        <v>26344</v>
      </c>
      <c r="AM3390" t="s">
        <v>4984</v>
      </c>
      <c r="AN3390" t="s">
        <v>2675</v>
      </c>
      <c r="AO3390" t="s">
        <v>26345</v>
      </c>
      <c r="AP3390" t="s">
        <v>7024</v>
      </c>
      <c r="AQ3390" t="s">
        <v>26346</v>
      </c>
      <c r="AR3390" t="s">
        <v>26347</v>
      </c>
      <c r="AT3390" s="184">
        <v>39041</v>
      </c>
      <c r="AU3390" t="s">
        <v>26348</v>
      </c>
      <c r="AV3390">
        <v>25</v>
      </c>
      <c r="AW3390" s="184">
        <v>45302</v>
      </c>
      <c r="AX3390" t="s">
        <v>26349</v>
      </c>
      <c r="AY3390">
        <v>25</v>
      </c>
      <c r="AZ3390" s="184">
        <v>43837</v>
      </c>
      <c r="BA3390" t="s">
        <v>26350</v>
      </c>
      <c r="BB3390">
        <v>60</v>
      </c>
      <c r="BC3390">
        <v>53</v>
      </c>
      <c r="BD3390">
        <v>315</v>
      </c>
      <c r="BE3390">
        <v>2007</v>
      </c>
      <c r="BF3390">
        <v>12</v>
      </c>
      <c r="BG3390">
        <v>2</v>
      </c>
      <c r="BH3390">
        <v>35</v>
      </c>
      <c r="BI3390">
        <v>10</v>
      </c>
      <c r="BJ3390">
        <v>19</v>
      </c>
      <c r="BK3390">
        <v>3</v>
      </c>
      <c r="BP3390" s="184"/>
    </row>
    <row r="3391" spans="1:68">
      <c r="A3391">
        <v>100117700</v>
      </c>
      <c r="B3391">
        <v>40161739</v>
      </c>
      <c r="C3391" t="s">
        <v>7018</v>
      </c>
      <c r="D3391" t="s">
        <v>595</v>
      </c>
      <c r="E3391" s="184">
        <v>45195</v>
      </c>
      <c r="G3391" s="184"/>
      <c r="I3391" s="184"/>
      <c r="K3391" s="184"/>
      <c r="O3391" s="184"/>
      <c r="P3391" t="s">
        <v>7045</v>
      </c>
      <c r="Q3391" t="s">
        <v>7160</v>
      </c>
      <c r="R3391" s="184">
        <v>15097</v>
      </c>
      <c r="S3391">
        <v>83</v>
      </c>
      <c r="V3391" t="s">
        <v>3098</v>
      </c>
      <c r="X3391" t="s">
        <v>26341</v>
      </c>
      <c r="Z3391">
        <v>40161739</v>
      </c>
      <c r="AB3391" t="s">
        <v>2863</v>
      </c>
      <c r="AD3391" t="s">
        <v>26341</v>
      </c>
      <c r="AF3391" t="s">
        <v>26342</v>
      </c>
      <c r="AG3391" t="s">
        <v>26343</v>
      </c>
      <c r="AI3391" t="s">
        <v>26344</v>
      </c>
      <c r="AM3391" t="s">
        <v>4984</v>
      </c>
      <c r="AN3391" t="s">
        <v>2675</v>
      </c>
      <c r="AO3391" t="s">
        <v>26345</v>
      </c>
      <c r="AP3391" t="s">
        <v>7024</v>
      </c>
      <c r="AQ3391" t="s">
        <v>26351</v>
      </c>
      <c r="AT3391" s="184"/>
      <c r="AW3391" s="184"/>
      <c r="AZ3391" s="184"/>
      <c r="BP3391" s="184"/>
    </row>
    <row r="3392" spans="1:68">
      <c r="A3392">
        <v>40177404</v>
      </c>
      <c r="B3392">
        <v>40177404</v>
      </c>
      <c r="C3392" t="s">
        <v>7018</v>
      </c>
      <c r="D3392" t="s">
        <v>595</v>
      </c>
      <c r="E3392" s="184">
        <v>44104</v>
      </c>
      <c r="G3392" s="184"/>
      <c r="I3392" s="184"/>
      <c r="K3392" s="184"/>
      <c r="O3392" s="184"/>
      <c r="P3392" t="s">
        <v>7045</v>
      </c>
      <c r="Q3392" t="s">
        <v>7160</v>
      </c>
      <c r="R3392" s="184">
        <v>13784</v>
      </c>
      <c r="S3392">
        <v>86</v>
      </c>
      <c r="U3392" t="s">
        <v>7130</v>
      </c>
      <c r="V3392" t="s">
        <v>26352</v>
      </c>
      <c r="X3392" t="s">
        <v>26353</v>
      </c>
      <c r="AF3392" t="s">
        <v>26354</v>
      </c>
      <c r="AG3392" t="s">
        <v>26352</v>
      </c>
      <c r="AI3392" t="s">
        <v>26355</v>
      </c>
      <c r="AM3392" t="s">
        <v>3960</v>
      </c>
      <c r="AN3392" t="s">
        <v>2413</v>
      </c>
      <c r="AO3392" t="s">
        <v>26356</v>
      </c>
      <c r="AP3392" t="s">
        <v>7024</v>
      </c>
      <c r="AQ3392" t="s">
        <v>26357</v>
      </c>
      <c r="AT3392" s="184">
        <v>39045</v>
      </c>
      <c r="AU3392" t="s">
        <v>26358</v>
      </c>
      <c r="AV3392">
        <v>50</v>
      </c>
      <c r="AW3392" s="184">
        <v>43949</v>
      </c>
      <c r="AX3392" t="s">
        <v>16478</v>
      </c>
      <c r="AY3392">
        <v>25</v>
      </c>
      <c r="AZ3392" s="184">
        <v>42860</v>
      </c>
      <c r="BA3392" t="s">
        <v>24667</v>
      </c>
      <c r="BB3392">
        <v>115</v>
      </c>
      <c r="BC3392">
        <v>79</v>
      </c>
      <c r="BD3392">
        <v>1454.97</v>
      </c>
      <c r="BE3392">
        <v>2007</v>
      </c>
      <c r="BF3392">
        <v>29</v>
      </c>
      <c r="BI3392">
        <v>15</v>
      </c>
      <c r="BJ3392">
        <v>19</v>
      </c>
      <c r="BK3392">
        <v>15</v>
      </c>
      <c r="BP3392" s="184"/>
    </row>
    <row r="3393" spans="1:68">
      <c r="A3393">
        <v>40188252</v>
      </c>
      <c r="B3393">
        <v>40188252</v>
      </c>
      <c r="C3393" t="s">
        <v>7018</v>
      </c>
      <c r="D3393" t="s">
        <v>595</v>
      </c>
      <c r="E3393" s="184">
        <v>45204</v>
      </c>
      <c r="G3393" s="184"/>
      <c r="I3393" s="184"/>
      <c r="K3393" s="184"/>
      <c r="O3393" s="184"/>
      <c r="P3393" t="s">
        <v>7045</v>
      </c>
      <c r="Q3393" t="s">
        <v>7383</v>
      </c>
      <c r="R3393" s="184">
        <v>22441</v>
      </c>
      <c r="S3393">
        <v>62</v>
      </c>
      <c r="U3393" t="s">
        <v>7031</v>
      </c>
      <c r="V3393" t="s">
        <v>3283</v>
      </c>
      <c r="X3393" t="s">
        <v>2612</v>
      </c>
      <c r="AF3393" t="s">
        <v>26359</v>
      </c>
      <c r="AG3393" t="s">
        <v>3283</v>
      </c>
      <c r="AI3393" t="s">
        <v>26360</v>
      </c>
      <c r="AM3393" t="s">
        <v>4719</v>
      </c>
      <c r="AN3393" t="s">
        <v>2072</v>
      </c>
      <c r="AO3393" t="s">
        <v>26361</v>
      </c>
      <c r="AP3393" t="s">
        <v>7024</v>
      </c>
      <c r="AQ3393" t="s">
        <v>26362</v>
      </c>
      <c r="AT3393" s="184">
        <v>39048</v>
      </c>
      <c r="AU3393" t="s">
        <v>26363</v>
      </c>
      <c r="AV3393">
        <v>25</v>
      </c>
      <c r="AW3393" s="184">
        <v>45330</v>
      </c>
      <c r="AX3393" t="s">
        <v>7856</v>
      </c>
      <c r="AY3393">
        <v>25</v>
      </c>
      <c r="AZ3393" s="184">
        <v>43917</v>
      </c>
      <c r="BA3393" t="s">
        <v>26364</v>
      </c>
      <c r="BB3393">
        <v>60</v>
      </c>
      <c r="BC3393">
        <v>100</v>
      </c>
      <c r="BD3393">
        <v>1475</v>
      </c>
      <c r="BE3393">
        <v>2007</v>
      </c>
      <c r="BF3393">
        <v>51</v>
      </c>
      <c r="BG3393">
        <v>4</v>
      </c>
      <c r="BH3393">
        <v>100</v>
      </c>
      <c r="BI3393">
        <v>19</v>
      </c>
      <c r="BJ3393">
        <v>19</v>
      </c>
      <c r="BK3393">
        <v>19</v>
      </c>
      <c r="BP3393" s="184"/>
    </row>
    <row r="3394" spans="1:68">
      <c r="A3394">
        <v>40192833</v>
      </c>
      <c r="B3394">
        <v>40192833</v>
      </c>
      <c r="C3394" t="s">
        <v>7018</v>
      </c>
      <c r="D3394" t="s">
        <v>595</v>
      </c>
      <c r="E3394" s="184">
        <v>45180</v>
      </c>
      <c r="G3394" s="184"/>
      <c r="I3394" s="184"/>
      <c r="K3394" s="184"/>
      <c r="O3394" s="184"/>
      <c r="P3394" t="s">
        <v>7045</v>
      </c>
      <c r="Q3394" t="s">
        <v>7030</v>
      </c>
      <c r="R3394" s="184">
        <v>23126</v>
      </c>
      <c r="S3394">
        <v>61</v>
      </c>
      <c r="U3394" t="s">
        <v>7031</v>
      </c>
      <c r="V3394" t="s">
        <v>2871</v>
      </c>
      <c r="W3394" t="s">
        <v>4139</v>
      </c>
      <c r="X3394" t="s">
        <v>26365</v>
      </c>
      <c r="AF3394" t="s">
        <v>26366</v>
      </c>
      <c r="AG3394" t="s">
        <v>2871</v>
      </c>
      <c r="AI3394" t="s">
        <v>26367</v>
      </c>
      <c r="AM3394" t="s">
        <v>4722</v>
      </c>
      <c r="AN3394" t="s">
        <v>2089</v>
      </c>
      <c r="AO3394" t="s">
        <v>26368</v>
      </c>
      <c r="AP3394" t="s">
        <v>7024</v>
      </c>
      <c r="AQ3394" t="s">
        <v>26369</v>
      </c>
      <c r="AR3394" t="s">
        <v>26370</v>
      </c>
      <c r="AT3394" s="184">
        <v>39049</v>
      </c>
      <c r="AU3394" t="s">
        <v>26363</v>
      </c>
      <c r="AV3394">
        <v>25</v>
      </c>
      <c r="AW3394" s="184">
        <v>45408</v>
      </c>
      <c r="AX3394" t="s">
        <v>8271</v>
      </c>
      <c r="AY3394">
        <v>100</v>
      </c>
      <c r="AZ3394" s="184">
        <v>45408</v>
      </c>
      <c r="BA3394" t="s">
        <v>8271</v>
      </c>
      <c r="BB3394">
        <v>100</v>
      </c>
      <c r="BC3394">
        <v>100</v>
      </c>
      <c r="BD3394">
        <v>1330</v>
      </c>
      <c r="BE3394">
        <v>2007</v>
      </c>
      <c r="BF3394">
        <v>25</v>
      </c>
      <c r="BG3394">
        <v>4</v>
      </c>
      <c r="BH3394">
        <v>350</v>
      </c>
      <c r="BI3394">
        <v>19</v>
      </c>
      <c r="BJ3394">
        <v>19</v>
      </c>
      <c r="BK3394">
        <v>19</v>
      </c>
      <c r="BP3394" s="184"/>
    </row>
    <row r="3395" spans="1:68">
      <c r="A3395">
        <v>40194615</v>
      </c>
      <c r="B3395">
        <v>40194615</v>
      </c>
      <c r="C3395" t="s">
        <v>7018</v>
      </c>
      <c r="D3395" t="s">
        <v>595</v>
      </c>
      <c r="E3395" s="184">
        <v>43647</v>
      </c>
      <c r="G3395" s="184"/>
      <c r="I3395" s="184"/>
      <c r="K3395" s="184"/>
      <c r="O3395" s="184"/>
      <c r="P3395" t="s">
        <v>7045</v>
      </c>
      <c r="Q3395" t="s">
        <v>7383</v>
      </c>
      <c r="R3395" s="184">
        <v>18537</v>
      </c>
      <c r="S3395">
        <v>73</v>
      </c>
      <c r="U3395" t="s">
        <v>7031</v>
      </c>
      <c r="V3395" t="s">
        <v>3411</v>
      </c>
      <c r="X3395" t="s">
        <v>3571</v>
      </c>
      <c r="AF3395" t="s">
        <v>26371</v>
      </c>
      <c r="AG3395" t="s">
        <v>3411</v>
      </c>
      <c r="AI3395" t="s">
        <v>26372</v>
      </c>
      <c r="AM3395" t="s">
        <v>3572</v>
      </c>
      <c r="AN3395" t="s">
        <v>2274</v>
      </c>
      <c r="AO3395" t="s">
        <v>26373</v>
      </c>
      <c r="AP3395" t="s">
        <v>7024</v>
      </c>
      <c r="AQ3395" t="s">
        <v>26374</v>
      </c>
      <c r="AT3395" s="184">
        <v>39050</v>
      </c>
      <c r="AU3395" t="s">
        <v>26375</v>
      </c>
      <c r="AV3395">
        <v>20</v>
      </c>
      <c r="AW3395" s="184">
        <v>43985</v>
      </c>
      <c r="AX3395" t="s">
        <v>26376</v>
      </c>
      <c r="AY3395">
        <v>50</v>
      </c>
      <c r="AZ3395" s="184">
        <v>43672</v>
      </c>
      <c r="BA3395" t="s">
        <v>26377</v>
      </c>
      <c r="BB3395">
        <v>60</v>
      </c>
      <c r="BC3395">
        <v>48</v>
      </c>
      <c r="BD3395">
        <v>435</v>
      </c>
      <c r="BE3395">
        <v>2007</v>
      </c>
      <c r="BF3395">
        <v>11</v>
      </c>
      <c r="BI3395">
        <v>9</v>
      </c>
      <c r="BJ3395">
        <v>19</v>
      </c>
      <c r="BK3395">
        <v>5</v>
      </c>
      <c r="BP3395" s="184"/>
    </row>
    <row r="3396" spans="1:68">
      <c r="A3396">
        <v>40195612</v>
      </c>
      <c r="B3396">
        <v>40195612</v>
      </c>
      <c r="C3396" t="s">
        <v>7018</v>
      </c>
      <c r="D3396" t="s">
        <v>595</v>
      </c>
      <c r="E3396" s="184">
        <v>43745</v>
      </c>
      <c r="G3396" s="184"/>
      <c r="I3396" s="184"/>
      <c r="K3396" s="184"/>
      <c r="O3396" s="184"/>
      <c r="P3396" t="s">
        <v>7045</v>
      </c>
      <c r="Q3396" t="s">
        <v>7454</v>
      </c>
      <c r="R3396" s="184">
        <v>14875</v>
      </c>
      <c r="S3396">
        <v>83</v>
      </c>
      <c r="V3396" t="s">
        <v>2718</v>
      </c>
      <c r="W3396" t="s">
        <v>2049</v>
      </c>
      <c r="X3396" t="s">
        <v>4158</v>
      </c>
      <c r="AF3396" t="s">
        <v>26378</v>
      </c>
      <c r="AG3396" t="s">
        <v>2718</v>
      </c>
      <c r="AI3396" t="s">
        <v>26379</v>
      </c>
      <c r="AM3396" t="s">
        <v>4159</v>
      </c>
      <c r="AN3396" t="s">
        <v>2055</v>
      </c>
      <c r="AO3396" t="s">
        <v>26380</v>
      </c>
      <c r="AP3396" t="s">
        <v>7024</v>
      </c>
      <c r="AQ3396" t="s">
        <v>26381</v>
      </c>
      <c r="AT3396" s="184">
        <v>39050</v>
      </c>
      <c r="AU3396" t="s">
        <v>26382</v>
      </c>
      <c r="AV3396">
        <v>15</v>
      </c>
      <c r="AW3396" s="184">
        <v>43201</v>
      </c>
      <c r="AX3396" t="s">
        <v>26383</v>
      </c>
      <c r="AY3396">
        <v>10</v>
      </c>
      <c r="AZ3396" s="184">
        <v>39574</v>
      </c>
      <c r="BA3396" t="s">
        <v>26384</v>
      </c>
      <c r="BB3396">
        <v>30</v>
      </c>
      <c r="BC3396">
        <v>69</v>
      </c>
      <c r="BD3396">
        <v>360</v>
      </c>
      <c r="BE3396">
        <v>2007</v>
      </c>
      <c r="BF3396">
        <v>27</v>
      </c>
      <c r="BI3396">
        <v>13</v>
      </c>
      <c r="BJ3396">
        <v>19</v>
      </c>
      <c r="BK3396">
        <v>13</v>
      </c>
      <c r="BP3396" s="184"/>
    </row>
    <row r="3397" spans="1:68">
      <c r="A3397">
        <v>40199895</v>
      </c>
      <c r="B3397">
        <v>40199895</v>
      </c>
      <c r="C3397" t="s">
        <v>7018</v>
      </c>
      <c r="D3397" t="s">
        <v>595</v>
      </c>
      <c r="E3397" s="184">
        <v>44167</v>
      </c>
      <c r="G3397" s="184"/>
      <c r="I3397" s="184"/>
      <c r="K3397" s="184"/>
      <c r="O3397" s="184"/>
      <c r="P3397" t="s">
        <v>7045</v>
      </c>
      <c r="Q3397" t="s">
        <v>7454</v>
      </c>
      <c r="R3397" s="184">
        <v>18019</v>
      </c>
      <c r="S3397">
        <v>75</v>
      </c>
      <c r="U3397" t="s">
        <v>7130</v>
      </c>
      <c r="V3397" t="s">
        <v>2586</v>
      </c>
      <c r="W3397" t="s">
        <v>7560</v>
      </c>
      <c r="X3397" t="s">
        <v>26385</v>
      </c>
      <c r="AF3397" t="s">
        <v>26386</v>
      </c>
      <c r="AG3397" t="s">
        <v>2586</v>
      </c>
      <c r="AI3397" t="s">
        <v>26387</v>
      </c>
      <c r="AM3397" t="s">
        <v>26388</v>
      </c>
      <c r="AN3397" t="s">
        <v>2055</v>
      </c>
      <c r="AO3397" t="s">
        <v>26389</v>
      </c>
      <c r="AP3397" t="s">
        <v>7024</v>
      </c>
      <c r="AQ3397" t="s">
        <v>26390</v>
      </c>
      <c r="AT3397" s="184">
        <v>39052</v>
      </c>
      <c r="AU3397" t="s">
        <v>26391</v>
      </c>
      <c r="AV3397">
        <v>15</v>
      </c>
      <c r="AW3397" s="184">
        <v>44449</v>
      </c>
      <c r="AX3397" t="s">
        <v>7714</v>
      </c>
      <c r="AY3397">
        <v>50</v>
      </c>
      <c r="AZ3397" s="184">
        <v>44275</v>
      </c>
      <c r="BA3397" t="s">
        <v>26392</v>
      </c>
      <c r="BB3397">
        <v>100</v>
      </c>
      <c r="BC3397">
        <v>74</v>
      </c>
      <c r="BD3397">
        <v>830</v>
      </c>
      <c r="BE3397">
        <v>2007</v>
      </c>
      <c r="BF3397">
        <v>17</v>
      </c>
      <c r="BI3397">
        <v>14</v>
      </c>
      <c r="BJ3397">
        <v>19</v>
      </c>
      <c r="BK3397">
        <v>8</v>
      </c>
      <c r="BP3397" s="184"/>
    </row>
    <row r="3398" spans="1:68">
      <c r="A3398">
        <v>40224180</v>
      </c>
      <c r="B3398">
        <v>40224180</v>
      </c>
      <c r="C3398" t="s">
        <v>7018</v>
      </c>
      <c r="D3398" t="s">
        <v>595</v>
      </c>
      <c r="E3398" s="184">
        <v>45112</v>
      </c>
      <c r="G3398" s="184"/>
      <c r="I3398" s="184"/>
      <c r="K3398" s="184"/>
      <c r="O3398" s="184"/>
      <c r="P3398" t="s">
        <v>7045</v>
      </c>
      <c r="Q3398" t="s">
        <v>7383</v>
      </c>
      <c r="R3398" s="184">
        <v>26304</v>
      </c>
      <c r="S3398">
        <v>52</v>
      </c>
      <c r="U3398" t="s">
        <v>7031</v>
      </c>
      <c r="V3398" t="s">
        <v>2665</v>
      </c>
      <c r="W3398" t="s">
        <v>7963</v>
      </c>
      <c r="X3398" t="s">
        <v>26393</v>
      </c>
      <c r="AF3398" t="s">
        <v>26394</v>
      </c>
      <c r="AG3398" t="s">
        <v>2665</v>
      </c>
      <c r="AI3398" t="s">
        <v>26395</v>
      </c>
      <c r="AM3398" t="s">
        <v>26396</v>
      </c>
      <c r="AN3398" t="s">
        <v>2274</v>
      </c>
      <c r="AO3398" t="s">
        <v>26397</v>
      </c>
      <c r="AP3398" t="s">
        <v>7024</v>
      </c>
      <c r="AQ3398" t="s">
        <v>26398</v>
      </c>
      <c r="AR3398" t="s">
        <v>26399</v>
      </c>
      <c r="AT3398" s="184">
        <v>39066</v>
      </c>
      <c r="AU3398" t="s">
        <v>26400</v>
      </c>
      <c r="AV3398">
        <v>25</v>
      </c>
      <c r="AW3398" s="184">
        <v>45407</v>
      </c>
      <c r="AX3398" t="s">
        <v>7429</v>
      </c>
      <c r="AY3398">
        <v>15</v>
      </c>
      <c r="AZ3398" s="184">
        <v>41480</v>
      </c>
      <c r="BA3398" t="s">
        <v>26401</v>
      </c>
      <c r="BB3398">
        <v>125</v>
      </c>
      <c r="BC3398">
        <v>100</v>
      </c>
      <c r="BD3398">
        <v>2635</v>
      </c>
      <c r="BE3398">
        <v>2007</v>
      </c>
      <c r="BF3398">
        <v>143</v>
      </c>
      <c r="BG3398">
        <v>24</v>
      </c>
      <c r="BH3398">
        <v>275</v>
      </c>
      <c r="BI3398">
        <v>19</v>
      </c>
      <c r="BJ3398">
        <v>19</v>
      </c>
      <c r="BK3398">
        <v>19</v>
      </c>
      <c r="BP3398" s="184"/>
    </row>
    <row r="3399" spans="1:68">
      <c r="A3399">
        <v>40231763</v>
      </c>
      <c r="B3399">
        <v>40231763</v>
      </c>
      <c r="C3399" t="s">
        <v>7018</v>
      </c>
      <c r="D3399" t="s">
        <v>595</v>
      </c>
      <c r="E3399" s="184">
        <v>45148</v>
      </c>
      <c r="G3399" s="184"/>
      <c r="I3399" s="184"/>
      <c r="K3399" s="184"/>
      <c r="M3399" s="184"/>
      <c r="O3399" s="184"/>
      <c r="P3399" t="s">
        <v>7045</v>
      </c>
      <c r="Q3399" t="s">
        <v>7383</v>
      </c>
      <c r="R3399" s="184">
        <v>13891</v>
      </c>
      <c r="S3399">
        <v>86</v>
      </c>
      <c r="U3399" t="s">
        <v>7076</v>
      </c>
      <c r="V3399" t="s">
        <v>3306</v>
      </c>
      <c r="X3399" t="s">
        <v>3318</v>
      </c>
      <c r="AF3399" t="s">
        <v>26402</v>
      </c>
      <c r="AG3399" t="s">
        <v>3306</v>
      </c>
      <c r="AI3399" t="s">
        <v>26403</v>
      </c>
      <c r="AM3399" t="s">
        <v>26404</v>
      </c>
      <c r="AN3399" t="s">
        <v>2139</v>
      </c>
      <c r="AO3399" t="s">
        <v>26405</v>
      </c>
      <c r="AP3399" t="s">
        <v>7024</v>
      </c>
      <c r="AQ3399" t="s">
        <v>26406</v>
      </c>
      <c r="AT3399" s="184">
        <v>39069</v>
      </c>
      <c r="AU3399" t="s">
        <v>26407</v>
      </c>
      <c r="AV3399">
        <v>20</v>
      </c>
      <c r="AW3399" s="184">
        <v>45376</v>
      </c>
      <c r="AX3399" t="s">
        <v>26408</v>
      </c>
      <c r="AY3399">
        <v>20</v>
      </c>
      <c r="AZ3399" s="184">
        <v>44861</v>
      </c>
      <c r="BA3399" t="s">
        <v>11563</v>
      </c>
      <c r="BB3399">
        <v>50</v>
      </c>
      <c r="BC3399">
        <v>53</v>
      </c>
      <c r="BD3399">
        <v>275</v>
      </c>
      <c r="BE3399">
        <v>2007</v>
      </c>
      <c r="BF3399">
        <v>11</v>
      </c>
      <c r="BG3399">
        <v>3</v>
      </c>
      <c r="BH3399">
        <v>90</v>
      </c>
      <c r="BI3399">
        <v>10</v>
      </c>
      <c r="BJ3399">
        <v>19</v>
      </c>
      <c r="BK3399">
        <v>4</v>
      </c>
      <c r="BP3399" s="184"/>
    </row>
    <row r="3400" spans="1:68">
      <c r="A3400">
        <v>40232514</v>
      </c>
      <c r="B3400">
        <v>40232514</v>
      </c>
      <c r="C3400" t="s">
        <v>7018</v>
      </c>
      <c r="E3400" s="184"/>
      <c r="G3400" s="184"/>
      <c r="H3400" t="s">
        <v>595</v>
      </c>
      <c r="I3400" s="184">
        <v>44147</v>
      </c>
      <c r="K3400" s="184"/>
      <c r="O3400" s="184"/>
      <c r="P3400" t="s">
        <v>7045</v>
      </c>
      <c r="Q3400" t="s">
        <v>7383</v>
      </c>
      <c r="R3400" s="184">
        <v>17564</v>
      </c>
      <c r="S3400">
        <v>76</v>
      </c>
      <c r="U3400" t="s">
        <v>7031</v>
      </c>
      <c r="V3400" t="s">
        <v>2871</v>
      </c>
      <c r="X3400" t="s">
        <v>5048</v>
      </c>
      <c r="Z3400">
        <v>100118094</v>
      </c>
      <c r="AB3400" t="s">
        <v>2989</v>
      </c>
      <c r="AD3400" t="s">
        <v>5048</v>
      </c>
      <c r="AF3400" t="s">
        <v>26409</v>
      </c>
      <c r="AG3400" t="s">
        <v>26410</v>
      </c>
      <c r="AI3400" t="s">
        <v>26411</v>
      </c>
      <c r="AM3400" t="s">
        <v>5049</v>
      </c>
      <c r="AN3400" t="s">
        <v>2064</v>
      </c>
      <c r="AO3400" t="s">
        <v>26412</v>
      </c>
      <c r="AP3400" t="s">
        <v>7024</v>
      </c>
      <c r="AQ3400" t="s">
        <v>26413</v>
      </c>
      <c r="AT3400" s="184">
        <v>39069</v>
      </c>
      <c r="AU3400" t="s">
        <v>26414</v>
      </c>
      <c r="AV3400">
        <v>25</v>
      </c>
      <c r="AW3400" s="184">
        <v>43976</v>
      </c>
      <c r="AX3400" t="s">
        <v>9633</v>
      </c>
      <c r="AY3400">
        <v>35</v>
      </c>
      <c r="AZ3400" s="184">
        <v>43976</v>
      </c>
      <c r="BA3400" t="s">
        <v>9633</v>
      </c>
      <c r="BB3400">
        <v>35</v>
      </c>
      <c r="BC3400">
        <v>43</v>
      </c>
      <c r="BD3400">
        <v>231</v>
      </c>
      <c r="BE3400">
        <v>2007</v>
      </c>
      <c r="BF3400">
        <v>9</v>
      </c>
      <c r="BI3400">
        <v>8</v>
      </c>
      <c r="BJ3400">
        <v>19</v>
      </c>
      <c r="BK3400">
        <v>4</v>
      </c>
      <c r="BP3400" s="184"/>
    </row>
    <row r="3401" spans="1:68">
      <c r="A3401">
        <v>100118094</v>
      </c>
      <c r="B3401">
        <v>40232514</v>
      </c>
      <c r="C3401" t="s">
        <v>7018</v>
      </c>
      <c r="E3401" s="184"/>
      <c r="G3401" s="184"/>
      <c r="H3401" t="s">
        <v>595</v>
      </c>
      <c r="I3401" s="184">
        <v>44147</v>
      </c>
      <c r="K3401" s="184"/>
      <c r="O3401" s="184"/>
      <c r="P3401" t="s">
        <v>7045</v>
      </c>
      <c r="Q3401" t="s">
        <v>7383</v>
      </c>
      <c r="R3401" s="184">
        <v>18749</v>
      </c>
      <c r="S3401">
        <v>73</v>
      </c>
      <c r="V3401" t="s">
        <v>2989</v>
      </c>
      <c r="X3401" t="s">
        <v>5048</v>
      </c>
      <c r="Z3401">
        <v>40232514</v>
      </c>
      <c r="AA3401" t="s">
        <v>7031</v>
      </c>
      <c r="AB3401" t="s">
        <v>2871</v>
      </c>
      <c r="AD3401" t="s">
        <v>5048</v>
      </c>
      <c r="AF3401" t="s">
        <v>26409</v>
      </c>
      <c r="AG3401" t="s">
        <v>26410</v>
      </c>
      <c r="AI3401" t="s">
        <v>26411</v>
      </c>
      <c r="AM3401" t="s">
        <v>5049</v>
      </c>
      <c r="AN3401" t="s">
        <v>2064</v>
      </c>
      <c r="AO3401" t="s">
        <v>26412</v>
      </c>
      <c r="AP3401" t="s">
        <v>7024</v>
      </c>
      <c r="AQ3401" t="s">
        <v>26415</v>
      </c>
      <c r="AT3401" s="184"/>
      <c r="AW3401" s="184"/>
      <c r="AZ3401" s="184"/>
      <c r="BP3401" s="184"/>
    </row>
    <row r="3402" spans="1:68">
      <c r="A3402">
        <v>40236051</v>
      </c>
      <c r="B3402">
        <v>40236051</v>
      </c>
      <c r="C3402" t="s">
        <v>7018</v>
      </c>
      <c r="E3402" s="184"/>
      <c r="G3402" s="184"/>
      <c r="I3402" s="184"/>
      <c r="J3402" t="s">
        <v>595</v>
      </c>
      <c r="K3402" s="184">
        <v>44414</v>
      </c>
      <c r="O3402" s="184"/>
      <c r="P3402" t="s">
        <v>7045</v>
      </c>
      <c r="Q3402" t="s">
        <v>7020</v>
      </c>
      <c r="R3402" s="184">
        <v>10638</v>
      </c>
      <c r="S3402">
        <v>95</v>
      </c>
      <c r="U3402" t="s">
        <v>7130</v>
      </c>
      <c r="V3402" t="s">
        <v>4523</v>
      </c>
      <c r="X3402" t="s">
        <v>26416</v>
      </c>
      <c r="AF3402" t="s">
        <v>26417</v>
      </c>
      <c r="AG3402" t="s">
        <v>4523</v>
      </c>
      <c r="AI3402" t="s">
        <v>26418</v>
      </c>
      <c r="AM3402" t="s">
        <v>26419</v>
      </c>
      <c r="AN3402" t="s">
        <v>2112</v>
      </c>
      <c r="AO3402" t="s">
        <v>26420</v>
      </c>
      <c r="AP3402" t="s">
        <v>7024</v>
      </c>
      <c r="AQ3402" t="s">
        <v>26421</v>
      </c>
      <c r="AT3402" s="184">
        <v>39070</v>
      </c>
      <c r="AU3402" t="s">
        <v>26422</v>
      </c>
      <c r="AV3402">
        <v>20</v>
      </c>
      <c r="AW3402" s="184">
        <v>45035</v>
      </c>
      <c r="AX3402" t="s">
        <v>9262</v>
      </c>
      <c r="AY3402">
        <v>100</v>
      </c>
      <c r="AZ3402" s="184">
        <v>45035</v>
      </c>
      <c r="BA3402" t="s">
        <v>9262</v>
      </c>
      <c r="BB3402">
        <v>100</v>
      </c>
      <c r="BC3402">
        <v>90</v>
      </c>
      <c r="BD3402">
        <v>530</v>
      </c>
      <c r="BE3402">
        <v>2007</v>
      </c>
      <c r="BF3402">
        <v>20</v>
      </c>
      <c r="BG3402">
        <v>2</v>
      </c>
      <c r="BH3402">
        <v>125</v>
      </c>
      <c r="BI3402">
        <v>17</v>
      </c>
      <c r="BJ3402">
        <v>19</v>
      </c>
      <c r="BK3402">
        <v>12</v>
      </c>
      <c r="BP3402" s="184"/>
    </row>
    <row r="3403" spans="1:68">
      <c r="A3403">
        <v>40239113</v>
      </c>
      <c r="B3403">
        <v>40239113</v>
      </c>
      <c r="C3403" t="s">
        <v>7018</v>
      </c>
      <c r="D3403" t="s">
        <v>595</v>
      </c>
      <c r="E3403" s="184">
        <v>45124</v>
      </c>
      <c r="G3403" s="184"/>
      <c r="I3403" s="184"/>
      <c r="K3403" s="184"/>
      <c r="O3403" s="184"/>
      <c r="P3403" t="s">
        <v>7045</v>
      </c>
      <c r="Q3403" t="s">
        <v>7194</v>
      </c>
      <c r="R3403" s="184">
        <v>16469</v>
      </c>
      <c r="S3403">
        <v>79</v>
      </c>
      <c r="U3403" t="s">
        <v>7076</v>
      </c>
      <c r="V3403" t="s">
        <v>2718</v>
      </c>
      <c r="X3403" t="s">
        <v>26423</v>
      </c>
      <c r="AF3403" t="s">
        <v>26424</v>
      </c>
      <c r="AG3403" t="s">
        <v>2718</v>
      </c>
      <c r="AI3403" t="s">
        <v>26425</v>
      </c>
      <c r="AM3403" t="s">
        <v>26426</v>
      </c>
      <c r="AN3403" t="s">
        <v>2046</v>
      </c>
      <c r="AO3403" t="s">
        <v>26427</v>
      </c>
      <c r="AP3403" t="s">
        <v>7024</v>
      </c>
      <c r="AQ3403" t="s">
        <v>26428</v>
      </c>
      <c r="AT3403" s="184">
        <v>39070</v>
      </c>
      <c r="AU3403" t="s">
        <v>26429</v>
      </c>
      <c r="AV3403">
        <v>20</v>
      </c>
      <c r="AW3403" s="184">
        <v>44830</v>
      </c>
      <c r="AX3403" t="s">
        <v>26430</v>
      </c>
      <c r="AY3403">
        <v>15</v>
      </c>
      <c r="AZ3403" s="184">
        <v>41877</v>
      </c>
      <c r="BA3403" t="s">
        <v>26431</v>
      </c>
      <c r="BB3403">
        <v>60</v>
      </c>
      <c r="BC3403">
        <v>64</v>
      </c>
      <c r="BD3403">
        <v>338</v>
      </c>
      <c r="BE3403">
        <v>2007</v>
      </c>
      <c r="BF3403">
        <v>14</v>
      </c>
      <c r="BG3403">
        <v>1</v>
      </c>
      <c r="BH3403">
        <v>15</v>
      </c>
      <c r="BI3403">
        <v>12</v>
      </c>
      <c r="BJ3403">
        <v>19</v>
      </c>
      <c r="BK3403">
        <v>7</v>
      </c>
      <c r="BN3403" t="s">
        <v>595</v>
      </c>
      <c r="BP3403" s="184"/>
    </row>
    <row r="3404" spans="1:68">
      <c r="A3404">
        <v>40258014</v>
      </c>
      <c r="B3404">
        <v>40258014</v>
      </c>
      <c r="C3404" t="s">
        <v>7018</v>
      </c>
      <c r="E3404" s="184"/>
      <c r="G3404" s="184"/>
      <c r="I3404" s="184"/>
      <c r="K3404" s="184"/>
      <c r="N3404" t="s">
        <v>595</v>
      </c>
      <c r="O3404" s="184">
        <v>39199</v>
      </c>
      <c r="P3404" t="s">
        <v>7045</v>
      </c>
      <c r="Q3404" t="s">
        <v>7374</v>
      </c>
      <c r="R3404" s="184">
        <v>12651</v>
      </c>
      <c r="S3404">
        <v>89</v>
      </c>
      <c r="U3404" t="s">
        <v>7032</v>
      </c>
      <c r="V3404" t="s">
        <v>2532</v>
      </c>
      <c r="W3404" t="s">
        <v>205</v>
      </c>
      <c r="X3404" t="s">
        <v>5622</v>
      </c>
      <c r="AF3404" t="s">
        <v>26432</v>
      </c>
      <c r="AG3404" t="s">
        <v>26433</v>
      </c>
      <c r="AI3404" t="s">
        <v>26434</v>
      </c>
      <c r="AM3404" t="s">
        <v>4312</v>
      </c>
      <c r="AN3404" t="s">
        <v>2081</v>
      </c>
      <c r="AO3404" t="s">
        <v>26435</v>
      </c>
      <c r="AP3404" t="s">
        <v>7024</v>
      </c>
      <c r="AT3404" s="184">
        <v>39073</v>
      </c>
      <c r="AU3404" t="s">
        <v>26340</v>
      </c>
      <c r="AV3404">
        <v>25</v>
      </c>
      <c r="AW3404" s="184">
        <v>39199</v>
      </c>
      <c r="AX3404" t="s">
        <v>9364</v>
      </c>
      <c r="AY3404">
        <v>30000</v>
      </c>
      <c r="AZ3404" s="184">
        <v>39199</v>
      </c>
      <c r="BA3404" t="s">
        <v>9364</v>
      </c>
      <c r="BB3404">
        <v>30000</v>
      </c>
      <c r="BC3404">
        <v>11</v>
      </c>
      <c r="BD3404">
        <v>30025</v>
      </c>
      <c r="BE3404">
        <v>2007</v>
      </c>
      <c r="BF3404">
        <v>2</v>
      </c>
      <c r="BI3404">
        <v>2</v>
      </c>
      <c r="BJ3404">
        <v>19</v>
      </c>
      <c r="BK3404">
        <v>2</v>
      </c>
      <c r="BO3404" t="s">
        <v>595</v>
      </c>
      <c r="BP3404" s="184">
        <v>39811</v>
      </c>
    </row>
    <row r="3405" spans="1:68">
      <c r="A3405">
        <v>40262917</v>
      </c>
      <c r="B3405">
        <v>40262917</v>
      </c>
      <c r="C3405" t="s">
        <v>7018</v>
      </c>
      <c r="E3405" s="184"/>
      <c r="G3405" s="184"/>
      <c r="I3405" s="184"/>
      <c r="J3405" t="s">
        <v>595</v>
      </c>
      <c r="K3405" s="184">
        <v>41197</v>
      </c>
      <c r="O3405" s="184"/>
      <c r="P3405" t="s">
        <v>7045</v>
      </c>
      <c r="Q3405" t="s">
        <v>7194</v>
      </c>
      <c r="R3405" s="184">
        <v>18021</v>
      </c>
      <c r="S3405">
        <v>75</v>
      </c>
      <c r="U3405" t="s">
        <v>7076</v>
      </c>
      <c r="V3405" t="s">
        <v>21282</v>
      </c>
      <c r="W3405" t="s">
        <v>7246</v>
      </c>
      <c r="X3405" t="s">
        <v>26436</v>
      </c>
      <c r="AF3405" t="s">
        <v>6621</v>
      </c>
      <c r="AG3405" t="s">
        <v>21282</v>
      </c>
      <c r="AI3405" t="s">
        <v>26437</v>
      </c>
      <c r="AM3405" t="s">
        <v>2513</v>
      </c>
      <c r="AN3405" t="s">
        <v>2046</v>
      </c>
      <c r="AO3405" t="s">
        <v>26438</v>
      </c>
      <c r="AP3405" t="s">
        <v>7024</v>
      </c>
      <c r="AQ3405" t="s">
        <v>26439</v>
      </c>
      <c r="AR3405" t="s">
        <v>26440</v>
      </c>
      <c r="AT3405" s="184">
        <v>39077</v>
      </c>
      <c r="AU3405" t="s">
        <v>26441</v>
      </c>
      <c r="AV3405">
        <v>20</v>
      </c>
      <c r="AW3405" s="184">
        <v>44095</v>
      </c>
      <c r="AX3405" t="s">
        <v>26442</v>
      </c>
      <c r="AY3405">
        <v>35</v>
      </c>
      <c r="AZ3405" s="184">
        <v>40995</v>
      </c>
      <c r="BA3405" t="s">
        <v>26443</v>
      </c>
      <c r="BB3405">
        <v>40</v>
      </c>
      <c r="BC3405">
        <v>48</v>
      </c>
      <c r="BD3405">
        <v>385</v>
      </c>
      <c r="BE3405">
        <v>2007</v>
      </c>
      <c r="BF3405">
        <v>15</v>
      </c>
      <c r="BI3405">
        <v>9</v>
      </c>
      <c r="BJ3405">
        <v>19</v>
      </c>
      <c r="BK3405">
        <v>8</v>
      </c>
      <c r="BP3405" s="184"/>
    </row>
    <row r="3406" spans="1:68">
      <c r="A3406">
        <v>40263311</v>
      </c>
      <c r="B3406">
        <v>40263311</v>
      </c>
      <c r="C3406" t="s">
        <v>7018</v>
      </c>
      <c r="D3406" t="s">
        <v>595</v>
      </c>
      <c r="E3406" s="184">
        <v>45117</v>
      </c>
      <c r="G3406" s="184"/>
      <c r="I3406" s="184"/>
      <c r="K3406" s="184"/>
      <c r="O3406" s="184"/>
      <c r="P3406" t="s">
        <v>7029</v>
      </c>
      <c r="Q3406" t="s">
        <v>7383</v>
      </c>
      <c r="R3406" s="184">
        <v>23863</v>
      </c>
      <c r="S3406">
        <v>59</v>
      </c>
      <c r="U3406" t="s">
        <v>7130</v>
      </c>
      <c r="V3406" t="s">
        <v>3005</v>
      </c>
      <c r="X3406" t="s">
        <v>4705</v>
      </c>
      <c r="AF3406" t="s">
        <v>26444</v>
      </c>
      <c r="AG3406" t="s">
        <v>3005</v>
      </c>
      <c r="AI3406" t="s">
        <v>26445</v>
      </c>
      <c r="AM3406" t="s">
        <v>4073</v>
      </c>
      <c r="AN3406" t="s">
        <v>2162</v>
      </c>
      <c r="AO3406" t="s">
        <v>26446</v>
      </c>
      <c r="AP3406" t="s">
        <v>7024</v>
      </c>
      <c r="AQ3406" t="s">
        <v>26447</v>
      </c>
      <c r="AT3406" s="184">
        <v>39077</v>
      </c>
      <c r="AU3406" t="s">
        <v>26448</v>
      </c>
      <c r="AV3406">
        <v>25</v>
      </c>
      <c r="AW3406" s="184">
        <v>45324</v>
      </c>
      <c r="AX3406" t="s">
        <v>22986</v>
      </c>
      <c r="AY3406">
        <v>600</v>
      </c>
      <c r="AZ3406" s="184">
        <v>45324</v>
      </c>
      <c r="BA3406" t="s">
        <v>22986</v>
      </c>
      <c r="BB3406">
        <v>600</v>
      </c>
      <c r="BC3406">
        <v>100</v>
      </c>
      <c r="BD3406">
        <v>3272</v>
      </c>
      <c r="BE3406">
        <v>2007</v>
      </c>
      <c r="BF3406">
        <v>39</v>
      </c>
      <c r="BG3406">
        <v>2</v>
      </c>
      <c r="BH3406">
        <v>1100</v>
      </c>
      <c r="BI3406">
        <v>19</v>
      </c>
      <c r="BJ3406">
        <v>19</v>
      </c>
      <c r="BK3406">
        <v>19</v>
      </c>
      <c r="BP3406" s="184"/>
    </row>
    <row r="3407" spans="1:68">
      <c r="A3407">
        <v>40263956</v>
      </c>
      <c r="B3407">
        <v>40263956</v>
      </c>
      <c r="C3407" t="s">
        <v>7018</v>
      </c>
      <c r="E3407" s="184"/>
      <c r="G3407" s="184"/>
      <c r="I3407" s="184"/>
      <c r="J3407" t="s">
        <v>595</v>
      </c>
      <c r="K3407" s="184">
        <v>44152</v>
      </c>
      <c r="O3407" s="184"/>
      <c r="P3407" t="s">
        <v>7045</v>
      </c>
      <c r="Q3407" t="s">
        <v>7030</v>
      </c>
      <c r="R3407" s="184">
        <v>17444</v>
      </c>
      <c r="S3407">
        <v>76</v>
      </c>
      <c r="T3407" t="s">
        <v>2786</v>
      </c>
      <c r="U3407" t="s">
        <v>7031</v>
      </c>
      <c r="V3407" t="s">
        <v>2863</v>
      </c>
      <c r="W3407" t="s">
        <v>3830</v>
      </c>
      <c r="X3407" t="s">
        <v>5732</v>
      </c>
      <c r="AF3407" t="s">
        <v>26449</v>
      </c>
      <c r="AG3407" t="s">
        <v>2863</v>
      </c>
      <c r="AI3407" t="s">
        <v>26450</v>
      </c>
      <c r="AM3407" t="s">
        <v>26451</v>
      </c>
      <c r="AN3407" t="s">
        <v>2089</v>
      </c>
      <c r="AO3407" t="s">
        <v>26452</v>
      </c>
      <c r="AP3407" t="s">
        <v>7024</v>
      </c>
      <c r="AQ3407" t="s">
        <v>26453</v>
      </c>
      <c r="AT3407" s="184">
        <v>39077</v>
      </c>
      <c r="AU3407" t="s">
        <v>26454</v>
      </c>
      <c r="AV3407">
        <v>25</v>
      </c>
      <c r="AW3407" s="184">
        <v>45205</v>
      </c>
      <c r="AX3407" t="s">
        <v>8383</v>
      </c>
      <c r="AY3407">
        <v>250</v>
      </c>
      <c r="AZ3407" s="184">
        <v>45205</v>
      </c>
      <c r="BA3407" t="s">
        <v>8383</v>
      </c>
      <c r="BB3407">
        <v>250</v>
      </c>
      <c r="BC3407">
        <v>95</v>
      </c>
      <c r="BD3407">
        <v>2020</v>
      </c>
      <c r="BE3407">
        <v>2007</v>
      </c>
      <c r="BF3407">
        <v>90</v>
      </c>
      <c r="BG3407">
        <v>2</v>
      </c>
      <c r="BH3407">
        <v>450</v>
      </c>
      <c r="BI3407">
        <v>18</v>
      </c>
      <c r="BJ3407">
        <v>19</v>
      </c>
      <c r="BK3407">
        <v>18</v>
      </c>
      <c r="BP3407" s="184"/>
    </row>
    <row r="3408" spans="1:68">
      <c r="A3408">
        <v>40265936</v>
      </c>
      <c r="B3408">
        <v>40265936</v>
      </c>
      <c r="C3408" t="s">
        <v>7018</v>
      </c>
      <c r="E3408" s="184"/>
      <c r="G3408" s="184"/>
      <c r="I3408" s="184"/>
      <c r="J3408" t="s">
        <v>595</v>
      </c>
      <c r="K3408" s="184">
        <v>39332</v>
      </c>
      <c r="O3408" s="184"/>
      <c r="P3408" t="s">
        <v>7045</v>
      </c>
      <c r="Q3408" t="s">
        <v>7383</v>
      </c>
      <c r="R3408" s="184"/>
      <c r="U3408" t="s">
        <v>7076</v>
      </c>
      <c r="V3408" t="s">
        <v>26455</v>
      </c>
      <c r="W3408" t="s">
        <v>7407</v>
      </c>
      <c r="X3408" t="s">
        <v>2530</v>
      </c>
      <c r="AF3408" t="s">
        <v>6745</v>
      </c>
      <c r="AG3408" t="s">
        <v>26455</v>
      </c>
      <c r="AI3408" t="s">
        <v>26456</v>
      </c>
      <c r="AM3408" t="s">
        <v>20868</v>
      </c>
      <c r="AN3408" t="s">
        <v>2072</v>
      </c>
      <c r="AO3408" t="s">
        <v>26457</v>
      </c>
      <c r="AP3408" t="s">
        <v>7024</v>
      </c>
      <c r="AT3408" s="184">
        <v>39077</v>
      </c>
      <c r="AU3408" t="s">
        <v>26458</v>
      </c>
      <c r="AV3408">
        <v>15</v>
      </c>
      <c r="AW3408" s="184">
        <v>39077</v>
      </c>
      <c r="AX3408" t="s">
        <v>26458</v>
      </c>
      <c r="AY3408">
        <v>15</v>
      </c>
      <c r="AZ3408" s="184">
        <v>39077</v>
      </c>
      <c r="BA3408" t="s">
        <v>26458</v>
      </c>
      <c r="BB3408">
        <v>15</v>
      </c>
      <c r="BC3408">
        <v>6</v>
      </c>
      <c r="BD3408">
        <v>15</v>
      </c>
      <c r="BE3408">
        <v>2007</v>
      </c>
      <c r="BF3408">
        <v>1</v>
      </c>
      <c r="BI3408">
        <v>1</v>
      </c>
      <c r="BJ3408">
        <v>19</v>
      </c>
      <c r="BK3408">
        <v>1</v>
      </c>
      <c r="BP3408" s="184"/>
    </row>
    <row r="3409" spans="1:68">
      <c r="A3409">
        <v>40276602</v>
      </c>
      <c r="B3409">
        <v>40276602</v>
      </c>
      <c r="C3409" t="s">
        <v>7018</v>
      </c>
      <c r="E3409" s="184"/>
      <c r="G3409" s="184"/>
      <c r="I3409" s="184"/>
      <c r="J3409" t="s">
        <v>595</v>
      </c>
      <c r="K3409" s="184">
        <v>40291</v>
      </c>
      <c r="O3409" s="184"/>
      <c r="P3409" t="s">
        <v>7029</v>
      </c>
      <c r="Q3409" t="s">
        <v>7160</v>
      </c>
      <c r="R3409" s="184">
        <v>15630</v>
      </c>
      <c r="S3409">
        <v>81</v>
      </c>
      <c r="U3409" t="s">
        <v>7031</v>
      </c>
      <c r="V3409" t="s">
        <v>5715</v>
      </c>
      <c r="W3409" t="s">
        <v>4139</v>
      </c>
      <c r="X3409" t="s">
        <v>5716</v>
      </c>
      <c r="AF3409" t="s">
        <v>26459</v>
      </c>
      <c r="AG3409" t="s">
        <v>5715</v>
      </c>
      <c r="AI3409" t="s">
        <v>26460</v>
      </c>
      <c r="AM3409" t="s">
        <v>5146</v>
      </c>
      <c r="AN3409" t="s">
        <v>2395</v>
      </c>
      <c r="AO3409" t="s">
        <v>26461</v>
      </c>
      <c r="AP3409" t="s">
        <v>7024</v>
      </c>
      <c r="AQ3409" t="s">
        <v>26462</v>
      </c>
      <c r="AT3409" s="184">
        <v>39079</v>
      </c>
      <c r="AU3409" t="s">
        <v>25730</v>
      </c>
      <c r="AV3409">
        <v>500</v>
      </c>
      <c r="AW3409" s="184">
        <v>43711</v>
      </c>
      <c r="AX3409" t="s">
        <v>10403</v>
      </c>
      <c r="AY3409">
        <v>3000</v>
      </c>
      <c r="AZ3409" s="184">
        <v>43711</v>
      </c>
      <c r="BA3409" t="s">
        <v>10403</v>
      </c>
      <c r="BB3409">
        <v>3000</v>
      </c>
      <c r="BC3409">
        <v>74</v>
      </c>
      <c r="BD3409">
        <v>22500</v>
      </c>
      <c r="BE3409">
        <v>2007</v>
      </c>
      <c r="BF3409">
        <v>15</v>
      </c>
      <c r="BI3409">
        <v>14</v>
      </c>
      <c r="BJ3409">
        <v>19</v>
      </c>
      <c r="BK3409">
        <v>14</v>
      </c>
      <c r="BN3409" t="s">
        <v>595</v>
      </c>
      <c r="BP3409" s="184"/>
    </row>
    <row r="3410" spans="1:68">
      <c r="A3410">
        <v>40278566</v>
      </c>
      <c r="B3410">
        <v>40278566</v>
      </c>
      <c r="C3410" t="s">
        <v>7018</v>
      </c>
      <c r="D3410" t="s">
        <v>595</v>
      </c>
      <c r="E3410" s="184">
        <v>44070</v>
      </c>
      <c r="G3410" s="184"/>
      <c r="I3410" s="184"/>
      <c r="K3410" s="184"/>
      <c r="O3410" s="184"/>
      <c r="P3410" t="s">
        <v>26463</v>
      </c>
      <c r="Q3410" t="s">
        <v>7374</v>
      </c>
      <c r="R3410" s="184">
        <v>16251</v>
      </c>
      <c r="S3410">
        <v>79</v>
      </c>
      <c r="U3410" t="s">
        <v>7032</v>
      </c>
      <c r="V3410" t="s">
        <v>3122</v>
      </c>
      <c r="X3410" t="s">
        <v>4625</v>
      </c>
      <c r="AF3410" t="s">
        <v>26464</v>
      </c>
      <c r="AG3410" t="s">
        <v>3122</v>
      </c>
      <c r="AI3410" t="s">
        <v>26465</v>
      </c>
      <c r="AM3410" t="s">
        <v>4342</v>
      </c>
      <c r="AN3410" t="s">
        <v>2081</v>
      </c>
      <c r="AO3410" t="s">
        <v>26466</v>
      </c>
      <c r="AP3410" t="s">
        <v>7024</v>
      </c>
      <c r="AT3410" s="184">
        <v>39080</v>
      </c>
      <c r="AU3410" t="s">
        <v>26467</v>
      </c>
      <c r="AV3410">
        <v>10</v>
      </c>
      <c r="AW3410" s="184">
        <v>44348</v>
      </c>
      <c r="AX3410" t="s">
        <v>26468</v>
      </c>
      <c r="AY3410">
        <v>10</v>
      </c>
      <c r="AZ3410" s="184">
        <v>44348</v>
      </c>
      <c r="BA3410" t="s">
        <v>26468</v>
      </c>
      <c r="BB3410">
        <v>10</v>
      </c>
      <c r="BC3410">
        <v>58</v>
      </c>
      <c r="BD3410">
        <v>110</v>
      </c>
      <c r="BE3410">
        <v>2007</v>
      </c>
      <c r="BF3410">
        <v>11</v>
      </c>
      <c r="BI3410">
        <v>11</v>
      </c>
      <c r="BJ3410">
        <v>19</v>
      </c>
      <c r="BK3410">
        <v>4</v>
      </c>
      <c r="BP3410" s="184"/>
    </row>
    <row r="3411" spans="1:68">
      <c r="A3411">
        <v>40281990</v>
      </c>
      <c r="B3411">
        <v>40281990</v>
      </c>
      <c r="C3411" t="s">
        <v>7018</v>
      </c>
      <c r="E3411" s="184"/>
      <c r="G3411" s="184"/>
      <c r="I3411" s="184"/>
      <c r="J3411" t="s">
        <v>595</v>
      </c>
      <c r="K3411" s="184">
        <v>43836</v>
      </c>
      <c r="O3411" s="184"/>
      <c r="P3411" t="s">
        <v>7084</v>
      </c>
      <c r="Q3411" t="s">
        <v>7030</v>
      </c>
      <c r="R3411" s="184">
        <v>10959</v>
      </c>
      <c r="S3411">
        <v>94</v>
      </c>
      <c r="U3411" t="s">
        <v>7031</v>
      </c>
      <c r="V3411" t="s">
        <v>26469</v>
      </c>
      <c r="X3411" t="s">
        <v>18931</v>
      </c>
      <c r="AF3411" t="s">
        <v>6079</v>
      </c>
      <c r="AG3411" t="s">
        <v>26469</v>
      </c>
      <c r="AI3411" t="s">
        <v>26470</v>
      </c>
      <c r="AM3411" t="s">
        <v>3181</v>
      </c>
      <c r="AN3411" t="s">
        <v>2094</v>
      </c>
      <c r="AO3411" t="s">
        <v>26471</v>
      </c>
      <c r="AP3411" t="s">
        <v>7024</v>
      </c>
      <c r="AQ3411" t="s">
        <v>26472</v>
      </c>
      <c r="AT3411" s="184">
        <v>39080</v>
      </c>
      <c r="AU3411" t="s">
        <v>25962</v>
      </c>
      <c r="AV3411">
        <v>200</v>
      </c>
      <c r="AW3411" s="184">
        <v>45291</v>
      </c>
      <c r="AX3411" t="s">
        <v>7296</v>
      </c>
      <c r="AY3411">
        <v>30876.09</v>
      </c>
      <c r="AZ3411" s="184">
        <v>44368</v>
      </c>
      <c r="BA3411" t="s">
        <v>7309</v>
      </c>
      <c r="BB3411">
        <v>43578.8</v>
      </c>
      <c r="BC3411">
        <v>64</v>
      </c>
      <c r="BD3411">
        <v>81654.89</v>
      </c>
      <c r="BE3411">
        <v>2007</v>
      </c>
      <c r="BF3411">
        <v>16</v>
      </c>
      <c r="BG3411">
        <v>1</v>
      </c>
      <c r="BH3411">
        <v>30876.09</v>
      </c>
      <c r="BI3411">
        <v>12</v>
      </c>
      <c r="BJ3411">
        <v>19</v>
      </c>
      <c r="BK3411">
        <v>9</v>
      </c>
      <c r="BO3411" t="s">
        <v>595</v>
      </c>
      <c r="BP3411" s="184"/>
    </row>
    <row r="3412" spans="1:68">
      <c r="A3412">
        <v>40295982</v>
      </c>
      <c r="B3412">
        <v>40295982</v>
      </c>
      <c r="C3412" t="s">
        <v>7018</v>
      </c>
      <c r="D3412" t="s">
        <v>595</v>
      </c>
      <c r="E3412" s="184">
        <v>45391</v>
      </c>
      <c r="G3412" s="184"/>
      <c r="H3412" t="s">
        <v>595</v>
      </c>
      <c r="I3412" s="184">
        <v>44671</v>
      </c>
      <c r="K3412" s="184"/>
      <c r="O3412" s="184"/>
      <c r="P3412" t="s">
        <v>7045</v>
      </c>
      <c r="Q3412" t="s">
        <v>7194</v>
      </c>
      <c r="R3412" s="184">
        <v>12519</v>
      </c>
      <c r="S3412">
        <v>90</v>
      </c>
      <c r="U3412" t="s">
        <v>7076</v>
      </c>
      <c r="V3412" t="s">
        <v>3220</v>
      </c>
      <c r="W3412" t="s">
        <v>7396</v>
      </c>
      <c r="X3412" t="s">
        <v>3040</v>
      </c>
      <c r="AF3412" t="s">
        <v>26473</v>
      </c>
      <c r="AG3412" t="s">
        <v>3220</v>
      </c>
      <c r="AI3412" t="s">
        <v>26474</v>
      </c>
      <c r="AM3412" t="s">
        <v>4187</v>
      </c>
      <c r="AN3412" t="s">
        <v>2046</v>
      </c>
      <c r="AO3412" t="s">
        <v>26475</v>
      </c>
      <c r="AP3412" t="s">
        <v>7024</v>
      </c>
      <c r="AQ3412" t="s">
        <v>26476</v>
      </c>
      <c r="AT3412" s="184">
        <v>39085</v>
      </c>
      <c r="AU3412" t="s">
        <v>26477</v>
      </c>
      <c r="AV3412">
        <v>30</v>
      </c>
      <c r="AW3412" s="184">
        <v>45397</v>
      </c>
      <c r="AX3412" t="s">
        <v>26478</v>
      </c>
      <c r="AY3412">
        <v>100</v>
      </c>
      <c r="AZ3412" s="184">
        <v>44894</v>
      </c>
      <c r="BA3412" t="s">
        <v>26479</v>
      </c>
      <c r="BB3412">
        <v>150</v>
      </c>
      <c r="BC3412">
        <v>78</v>
      </c>
      <c r="BD3412">
        <v>1295</v>
      </c>
      <c r="BE3412">
        <v>2007</v>
      </c>
      <c r="BF3412">
        <v>28</v>
      </c>
      <c r="BG3412">
        <v>3</v>
      </c>
      <c r="BH3412">
        <v>350</v>
      </c>
      <c r="BI3412">
        <v>14</v>
      </c>
      <c r="BJ3412">
        <v>18</v>
      </c>
      <c r="BK3412">
        <v>6</v>
      </c>
      <c r="BN3412" t="s">
        <v>595</v>
      </c>
      <c r="BP3412" s="184"/>
    </row>
    <row r="3413" spans="1:68">
      <c r="A3413">
        <v>40297590</v>
      </c>
      <c r="B3413">
        <v>40297590</v>
      </c>
      <c r="C3413" t="s">
        <v>7018</v>
      </c>
      <c r="D3413" t="s">
        <v>595</v>
      </c>
      <c r="E3413" s="184">
        <v>44236</v>
      </c>
      <c r="G3413" s="184"/>
      <c r="I3413" s="184"/>
      <c r="K3413" s="184"/>
      <c r="O3413" s="184"/>
      <c r="P3413" t="s">
        <v>7045</v>
      </c>
      <c r="Q3413" t="s">
        <v>7494</v>
      </c>
      <c r="R3413" s="184">
        <v>15261</v>
      </c>
      <c r="S3413">
        <v>82</v>
      </c>
      <c r="U3413" t="s">
        <v>7076</v>
      </c>
      <c r="V3413" t="s">
        <v>3554</v>
      </c>
      <c r="X3413" t="s">
        <v>26480</v>
      </c>
      <c r="AF3413" t="s">
        <v>26481</v>
      </c>
      <c r="AG3413" t="s">
        <v>3554</v>
      </c>
      <c r="AI3413" t="s">
        <v>26482</v>
      </c>
      <c r="AM3413" t="s">
        <v>2582</v>
      </c>
      <c r="AN3413" t="s">
        <v>2174</v>
      </c>
      <c r="AO3413" t="s">
        <v>26483</v>
      </c>
      <c r="AP3413" t="s">
        <v>7024</v>
      </c>
      <c r="AQ3413" t="s">
        <v>26484</v>
      </c>
      <c r="AR3413" t="s">
        <v>26485</v>
      </c>
      <c r="AT3413" s="184">
        <v>39085</v>
      </c>
      <c r="AU3413" t="s">
        <v>26486</v>
      </c>
      <c r="AV3413">
        <v>15</v>
      </c>
      <c r="AW3413" s="184">
        <v>42857</v>
      </c>
      <c r="AX3413" t="s">
        <v>26487</v>
      </c>
      <c r="AY3413">
        <v>25</v>
      </c>
      <c r="AZ3413" s="184">
        <v>42857</v>
      </c>
      <c r="BA3413" t="s">
        <v>26487</v>
      </c>
      <c r="BB3413">
        <v>25</v>
      </c>
      <c r="BC3413">
        <v>50</v>
      </c>
      <c r="BD3413">
        <v>285</v>
      </c>
      <c r="BE3413">
        <v>2007</v>
      </c>
      <c r="BF3413">
        <v>12</v>
      </c>
      <c r="BI3413">
        <v>9</v>
      </c>
      <c r="BJ3413">
        <v>18</v>
      </c>
      <c r="BK3413">
        <v>6</v>
      </c>
      <c r="BN3413" t="s">
        <v>595</v>
      </c>
      <c r="BP3413" s="184"/>
    </row>
    <row r="3414" spans="1:68">
      <c r="A3414">
        <v>100183125</v>
      </c>
      <c r="B3414">
        <v>40327496</v>
      </c>
      <c r="C3414" t="s">
        <v>7018</v>
      </c>
      <c r="E3414" s="184"/>
      <c r="G3414" s="184"/>
      <c r="I3414" s="184"/>
      <c r="K3414" s="184"/>
      <c r="N3414" t="s">
        <v>595</v>
      </c>
      <c r="O3414" s="184">
        <v>39805</v>
      </c>
      <c r="P3414" t="s">
        <v>7045</v>
      </c>
      <c r="Q3414" t="s">
        <v>7374</v>
      </c>
      <c r="R3414" s="184">
        <v>16253</v>
      </c>
      <c r="S3414">
        <v>79</v>
      </c>
      <c r="U3414" t="s">
        <v>7076</v>
      </c>
      <c r="V3414" t="s">
        <v>3901</v>
      </c>
      <c r="X3414" t="s">
        <v>5544</v>
      </c>
      <c r="Z3414">
        <v>40327496</v>
      </c>
      <c r="AA3414" t="s">
        <v>7031</v>
      </c>
      <c r="AB3414" t="s">
        <v>3889</v>
      </c>
      <c r="AD3414" t="s">
        <v>2612</v>
      </c>
      <c r="AF3414" t="s">
        <v>26488</v>
      </c>
      <c r="AG3414" t="s">
        <v>3889</v>
      </c>
      <c r="AI3414" t="s">
        <v>26489</v>
      </c>
      <c r="AM3414" t="s">
        <v>4349</v>
      </c>
      <c r="AN3414" t="s">
        <v>2081</v>
      </c>
      <c r="AO3414">
        <v>91001</v>
      </c>
      <c r="AP3414" t="s">
        <v>7024</v>
      </c>
      <c r="AQ3414" t="s">
        <v>26490</v>
      </c>
      <c r="AR3414" t="s">
        <v>26491</v>
      </c>
      <c r="AT3414" s="184"/>
      <c r="AW3414" s="184"/>
      <c r="AZ3414" s="184"/>
      <c r="BO3414" t="s">
        <v>595</v>
      </c>
      <c r="BP3414" s="184">
        <v>43228</v>
      </c>
    </row>
    <row r="3415" spans="1:68">
      <c r="A3415">
        <v>40333296</v>
      </c>
      <c r="B3415">
        <v>40333296</v>
      </c>
      <c r="C3415" t="s">
        <v>7018</v>
      </c>
      <c r="D3415" t="s">
        <v>595</v>
      </c>
      <c r="E3415" s="184">
        <v>43861</v>
      </c>
      <c r="G3415" s="184"/>
      <c r="I3415" s="184"/>
      <c r="K3415" s="184"/>
      <c r="O3415" s="184"/>
      <c r="P3415" t="s">
        <v>7045</v>
      </c>
      <c r="Q3415" t="s">
        <v>7374</v>
      </c>
      <c r="R3415" s="184">
        <v>14261</v>
      </c>
      <c r="S3415">
        <v>85</v>
      </c>
      <c r="U3415" t="s">
        <v>7076</v>
      </c>
      <c r="V3415" t="s">
        <v>4602</v>
      </c>
      <c r="X3415" t="s">
        <v>4603</v>
      </c>
      <c r="AF3415" t="s">
        <v>26492</v>
      </c>
      <c r="AG3415" t="s">
        <v>4602</v>
      </c>
      <c r="AI3415" t="s">
        <v>26493</v>
      </c>
      <c r="AM3415" t="s">
        <v>4258</v>
      </c>
      <c r="AN3415" t="s">
        <v>2081</v>
      </c>
      <c r="AO3415" t="s">
        <v>26494</v>
      </c>
      <c r="AP3415" t="s">
        <v>7024</v>
      </c>
      <c r="AQ3415" t="s">
        <v>26495</v>
      </c>
      <c r="AT3415" s="184">
        <v>39097</v>
      </c>
      <c r="AU3415" t="s">
        <v>26496</v>
      </c>
      <c r="AV3415">
        <v>25</v>
      </c>
      <c r="AW3415" s="184">
        <v>44938</v>
      </c>
      <c r="AX3415" t="s">
        <v>26497</v>
      </c>
      <c r="AY3415">
        <v>200</v>
      </c>
      <c r="AZ3415" s="184">
        <v>44938</v>
      </c>
      <c r="BA3415" t="s">
        <v>26497</v>
      </c>
      <c r="BB3415">
        <v>200</v>
      </c>
      <c r="BC3415">
        <v>39</v>
      </c>
      <c r="BD3415">
        <v>740</v>
      </c>
      <c r="BE3415">
        <v>2007</v>
      </c>
      <c r="BF3415">
        <v>9</v>
      </c>
      <c r="BG3415">
        <v>1</v>
      </c>
      <c r="BH3415">
        <v>200</v>
      </c>
      <c r="BI3415">
        <v>7</v>
      </c>
      <c r="BJ3415">
        <v>18</v>
      </c>
      <c r="BK3415">
        <v>2</v>
      </c>
      <c r="BP3415" s="184"/>
    </row>
    <row r="3416" spans="1:68">
      <c r="A3416">
        <v>40339426</v>
      </c>
      <c r="B3416">
        <v>40339426</v>
      </c>
      <c r="C3416" t="s">
        <v>7018</v>
      </c>
      <c r="D3416" t="s">
        <v>595</v>
      </c>
      <c r="E3416" s="184">
        <v>43642</v>
      </c>
      <c r="G3416" s="184"/>
      <c r="I3416" s="184"/>
      <c r="K3416" s="184"/>
      <c r="O3416" s="184"/>
      <c r="P3416" t="s">
        <v>7045</v>
      </c>
      <c r="Q3416" t="s">
        <v>7774</v>
      </c>
      <c r="R3416" s="184">
        <v>18507</v>
      </c>
      <c r="S3416">
        <v>73</v>
      </c>
      <c r="U3416" t="s">
        <v>7130</v>
      </c>
      <c r="V3416" t="s">
        <v>3386</v>
      </c>
      <c r="X3416" t="s">
        <v>3387</v>
      </c>
      <c r="AF3416" t="s">
        <v>26498</v>
      </c>
      <c r="AG3416" t="s">
        <v>3386</v>
      </c>
      <c r="AI3416" t="s">
        <v>26499</v>
      </c>
      <c r="AM3416" t="s">
        <v>3388</v>
      </c>
      <c r="AN3416" t="s">
        <v>2290</v>
      </c>
      <c r="AO3416" t="s">
        <v>26500</v>
      </c>
      <c r="AP3416" t="s">
        <v>7024</v>
      </c>
      <c r="AQ3416" t="s">
        <v>26501</v>
      </c>
      <c r="AT3416" s="184">
        <v>39098</v>
      </c>
      <c r="AU3416" t="s">
        <v>26502</v>
      </c>
      <c r="AV3416">
        <v>25</v>
      </c>
      <c r="AW3416" s="184">
        <v>45188</v>
      </c>
      <c r="AX3416" t="s">
        <v>15464</v>
      </c>
      <c r="AY3416">
        <v>35</v>
      </c>
      <c r="AZ3416" s="184">
        <v>45188</v>
      </c>
      <c r="BA3416" t="s">
        <v>15464</v>
      </c>
      <c r="BB3416">
        <v>35</v>
      </c>
      <c r="BC3416">
        <v>89</v>
      </c>
      <c r="BD3416">
        <v>555</v>
      </c>
      <c r="BE3416">
        <v>2007</v>
      </c>
      <c r="BF3416">
        <v>19</v>
      </c>
      <c r="BG3416">
        <v>2</v>
      </c>
      <c r="BH3416">
        <v>70</v>
      </c>
      <c r="BI3416">
        <v>16</v>
      </c>
      <c r="BJ3416">
        <v>18</v>
      </c>
      <c r="BK3416">
        <v>14</v>
      </c>
      <c r="BP3416" s="184"/>
    </row>
    <row r="3417" spans="1:68">
      <c r="A3417">
        <v>40341927</v>
      </c>
      <c r="B3417">
        <v>40341927</v>
      </c>
      <c r="C3417" t="s">
        <v>7018</v>
      </c>
      <c r="E3417" s="184"/>
      <c r="G3417" s="184"/>
      <c r="K3417" s="184"/>
      <c r="N3417" t="s">
        <v>595</v>
      </c>
      <c r="O3417" s="184">
        <v>39871</v>
      </c>
      <c r="P3417" t="s">
        <v>7045</v>
      </c>
      <c r="Q3417" t="s">
        <v>7494</v>
      </c>
      <c r="R3417" s="184">
        <v>8897</v>
      </c>
      <c r="S3417">
        <v>100</v>
      </c>
      <c r="U3417" t="s">
        <v>7031</v>
      </c>
      <c r="V3417" t="s">
        <v>5308</v>
      </c>
      <c r="W3417" t="s">
        <v>8224</v>
      </c>
      <c r="X3417" t="s">
        <v>5567</v>
      </c>
      <c r="Z3417">
        <v>100183128</v>
      </c>
      <c r="AA3417" t="s">
        <v>7130</v>
      </c>
      <c r="AB3417" t="s">
        <v>2609</v>
      </c>
      <c r="AC3417" t="s">
        <v>7067</v>
      </c>
      <c r="AD3417" t="s">
        <v>5567</v>
      </c>
      <c r="AF3417" t="s">
        <v>26503</v>
      </c>
      <c r="AG3417" t="s">
        <v>5308</v>
      </c>
      <c r="AI3417" t="s">
        <v>26504</v>
      </c>
      <c r="AJ3417" t="s">
        <v>26505</v>
      </c>
      <c r="AM3417" t="s">
        <v>4006</v>
      </c>
      <c r="AN3417" t="s">
        <v>2174</v>
      </c>
      <c r="AO3417">
        <v>78258</v>
      </c>
      <c r="AP3417" t="s">
        <v>7024</v>
      </c>
      <c r="AQ3417" t="s">
        <v>26506</v>
      </c>
      <c r="AR3417" t="s">
        <v>26507</v>
      </c>
      <c r="AT3417" s="184">
        <v>39099</v>
      </c>
      <c r="AU3417" t="s">
        <v>26508</v>
      </c>
      <c r="AV3417">
        <v>25</v>
      </c>
      <c r="AW3417" s="184">
        <v>42004</v>
      </c>
      <c r="AX3417" t="s">
        <v>20578</v>
      </c>
      <c r="AY3417">
        <v>100</v>
      </c>
      <c r="AZ3417" s="184">
        <v>41857</v>
      </c>
      <c r="BA3417" t="s">
        <v>7042</v>
      </c>
      <c r="BB3417">
        <v>25000</v>
      </c>
      <c r="BC3417">
        <v>39</v>
      </c>
      <c r="BD3417">
        <v>37300</v>
      </c>
      <c r="BE3417">
        <v>2007</v>
      </c>
      <c r="BF3417">
        <v>16</v>
      </c>
      <c r="BI3417">
        <v>7</v>
      </c>
      <c r="BJ3417">
        <v>18</v>
      </c>
      <c r="BK3417">
        <v>6</v>
      </c>
      <c r="BM3417" t="s">
        <v>595</v>
      </c>
      <c r="BN3417" t="s">
        <v>595</v>
      </c>
      <c r="BP3417" s="184"/>
    </row>
    <row r="3418" spans="1:68">
      <c r="A3418">
        <v>100183128</v>
      </c>
      <c r="B3418">
        <v>40341927</v>
      </c>
      <c r="C3418" t="s">
        <v>7018</v>
      </c>
      <c r="E3418" s="184"/>
      <c r="G3418" s="184"/>
      <c r="I3418" s="184"/>
      <c r="K3418" s="184"/>
      <c r="N3418" t="s">
        <v>595</v>
      </c>
      <c r="O3418" s="184">
        <v>39871</v>
      </c>
      <c r="P3418" t="s">
        <v>7045</v>
      </c>
      <c r="Q3418" t="s">
        <v>7494</v>
      </c>
      <c r="R3418" s="184">
        <v>8624</v>
      </c>
      <c r="S3418">
        <v>100</v>
      </c>
      <c r="U3418" t="s">
        <v>7130</v>
      </c>
      <c r="V3418" t="s">
        <v>2609</v>
      </c>
      <c r="W3418" t="s">
        <v>7067</v>
      </c>
      <c r="X3418" t="s">
        <v>5567</v>
      </c>
      <c r="Z3418">
        <v>40341927</v>
      </c>
      <c r="AA3418" t="s">
        <v>7031</v>
      </c>
      <c r="AB3418" t="s">
        <v>5308</v>
      </c>
      <c r="AC3418" t="s">
        <v>8224</v>
      </c>
      <c r="AD3418" t="s">
        <v>5567</v>
      </c>
      <c r="AF3418" t="s">
        <v>26503</v>
      </c>
      <c r="AG3418" t="s">
        <v>5308</v>
      </c>
      <c r="AI3418" t="s">
        <v>26504</v>
      </c>
      <c r="AJ3418" t="s">
        <v>26505</v>
      </c>
      <c r="AM3418" t="s">
        <v>4006</v>
      </c>
      <c r="AN3418" t="s">
        <v>2174</v>
      </c>
      <c r="AO3418">
        <v>78258</v>
      </c>
      <c r="AP3418" t="s">
        <v>7024</v>
      </c>
      <c r="AT3418" s="184"/>
      <c r="AW3418" s="184"/>
      <c r="AZ3418" s="184"/>
      <c r="BO3418" t="s">
        <v>595</v>
      </c>
      <c r="BP3418" s="184">
        <v>42630</v>
      </c>
    </row>
    <row r="3419" spans="1:68">
      <c r="A3419">
        <v>40352619</v>
      </c>
      <c r="B3419">
        <v>40352619</v>
      </c>
      <c r="C3419" t="s">
        <v>7018</v>
      </c>
      <c r="D3419" t="s">
        <v>595</v>
      </c>
      <c r="E3419" s="184">
        <v>43745</v>
      </c>
      <c r="G3419" s="184"/>
      <c r="I3419" s="184"/>
      <c r="K3419" s="184"/>
      <c r="O3419" s="184"/>
      <c r="P3419" t="s">
        <v>7045</v>
      </c>
      <c r="Q3419" t="s">
        <v>7454</v>
      </c>
      <c r="R3419" s="184">
        <v>20915</v>
      </c>
      <c r="S3419">
        <v>67</v>
      </c>
      <c r="U3419" t="s">
        <v>7076</v>
      </c>
      <c r="V3419" t="s">
        <v>4160</v>
      </c>
      <c r="X3419" t="s">
        <v>4161</v>
      </c>
      <c r="AF3419" t="s">
        <v>26509</v>
      </c>
      <c r="AG3419" t="s">
        <v>4160</v>
      </c>
      <c r="AI3419" t="s">
        <v>26510</v>
      </c>
      <c r="AM3419" t="s">
        <v>3750</v>
      </c>
      <c r="AN3419" t="s">
        <v>2055</v>
      </c>
      <c r="AO3419" t="s">
        <v>26511</v>
      </c>
      <c r="AP3419" t="s">
        <v>7024</v>
      </c>
      <c r="AQ3419" t="s">
        <v>26512</v>
      </c>
      <c r="AT3419" s="184">
        <v>39104</v>
      </c>
      <c r="AU3419" t="s">
        <v>26513</v>
      </c>
      <c r="AV3419">
        <v>15</v>
      </c>
      <c r="AW3419" s="184">
        <v>45264</v>
      </c>
      <c r="AX3419" t="s">
        <v>26514</v>
      </c>
      <c r="AY3419">
        <v>25</v>
      </c>
      <c r="AZ3419" s="184">
        <v>45264</v>
      </c>
      <c r="BA3419" t="s">
        <v>26514</v>
      </c>
      <c r="BB3419">
        <v>25</v>
      </c>
      <c r="BC3419">
        <v>95</v>
      </c>
      <c r="BD3419">
        <v>485</v>
      </c>
      <c r="BE3419">
        <v>2007</v>
      </c>
      <c r="BF3419">
        <v>21</v>
      </c>
      <c r="BG3419">
        <v>3</v>
      </c>
      <c r="BH3419">
        <v>75</v>
      </c>
      <c r="BI3419">
        <v>17</v>
      </c>
      <c r="BJ3419">
        <v>18</v>
      </c>
      <c r="BK3419">
        <v>17</v>
      </c>
      <c r="BP3419" s="184"/>
    </row>
    <row r="3420" spans="1:68">
      <c r="A3420">
        <v>40352866</v>
      </c>
      <c r="B3420">
        <v>40352866</v>
      </c>
      <c r="C3420" t="s">
        <v>7018</v>
      </c>
      <c r="D3420" t="s">
        <v>595</v>
      </c>
      <c r="E3420" s="184">
        <v>45195</v>
      </c>
      <c r="G3420" s="184"/>
      <c r="I3420" s="184"/>
      <c r="K3420" s="184"/>
      <c r="O3420" s="184"/>
      <c r="P3420" t="s">
        <v>7045</v>
      </c>
      <c r="Q3420" t="s">
        <v>7030</v>
      </c>
      <c r="R3420" s="184">
        <v>18019</v>
      </c>
      <c r="S3420">
        <v>75</v>
      </c>
      <c r="U3420" t="s">
        <v>7076</v>
      </c>
      <c r="V3420" t="s">
        <v>2518</v>
      </c>
      <c r="W3420" t="s">
        <v>7407</v>
      </c>
      <c r="X3420" t="s">
        <v>26515</v>
      </c>
      <c r="AF3420" t="s">
        <v>26516</v>
      </c>
      <c r="AG3420" t="s">
        <v>2518</v>
      </c>
      <c r="AI3420" t="s">
        <v>26517</v>
      </c>
      <c r="AM3420" t="s">
        <v>2564</v>
      </c>
      <c r="AN3420" t="s">
        <v>2089</v>
      </c>
      <c r="AO3420" t="s">
        <v>26518</v>
      </c>
      <c r="AP3420" t="s">
        <v>7024</v>
      </c>
      <c r="AQ3420" t="s">
        <v>26519</v>
      </c>
      <c r="AR3420" t="s">
        <v>26520</v>
      </c>
      <c r="AT3420" s="184">
        <v>39104</v>
      </c>
      <c r="AU3420" t="s">
        <v>26521</v>
      </c>
      <c r="AV3420">
        <v>15</v>
      </c>
      <c r="AW3420" s="184">
        <v>44263</v>
      </c>
      <c r="AX3420" t="s">
        <v>26522</v>
      </c>
      <c r="AY3420">
        <v>1</v>
      </c>
      <c r="AZ3420" s="184">
        <v>41436</v>
      </c>
      <c r="BA3420" t="s">
        <v>26523</v>
      </c>
      <c r="BB3420">
        <v>25</v>
      </c>
      <c r="BC3420">
        <v>45</v>
      </c>
      <c r="BD3420">
        <v>123</v>
      </c>
      <c r="BE3420">
        <v>2007</v>
      </c>
      <c r="BF3420">
        <v>9</v>
      </c>
      <c r="BI3420">
        <v>8</v>
      </c>
      <c r="BJ3420">
        <v>18</v>
      </c>
      <c r="BK3420">
        <v>3</v>
      </c>
      <c r="BP3420" s="184"/>
    </row>
    <row r="3421" spans="1:68">
      <c r="A3421">
        <v>40360018</v>
      </c>
      <c r="B3421">
        <v>40360018</v>
      </c>
      <c r="C3421" t="s">
        <v>7018</v>
      </c>
      <c r="E3421" s="184"/>
      <c r="G3421" s="184"/>
      <c r="I3421" s="184"/>
      <c r="J3421" t="s">
        <v>595</v>
      </c>
      <c r="K3421" s="184">
        <v>44048</v>
      </c>
      <c r="O3421" s="184"/>
      <c r="P3421" t="s">
        <v>7045</v>
      </c>
      <c r="Q3421" t="s">
        <v>7160</v>
      </c>
      <c r="R3421" s="184"/>
      <c r="U3421" t="s">
        <v>7031</v>
      </c>
      <c r="V3421" t="s">
        <v>2898</v>
      </c>
      <c r="X3421" t="s">
        <v>2985</v>
      </c>
      <c r="AF3421" t="s">
        <v>26524</v>
      </c>
      <c r="AG3421" t="s">
        <v>2898</v>
      </c>
      <c r="AI3421" t="s">
        <v>26525</v>
      </c>
      <c r="AM3421" t="s">
        <v>26526</v>
      </c>
      <c r="AN3421" t="s">
        <v>2176</v>
      </c>
      <c r="AO3421" t="s">
        <v>26527</v>
      </c>
      <c r="AP3421" t="s">
        <v>7024</v>
      </c>
      <c r="AT3421" s="184">
        <v>39107</v>
      </c>
      <c r="AU3421" t="s">
        <v>26528</v>
      </c>
      <c r="AV3421">
        <v>100</v>
      </c>
      <c r="AW3421" s="184">
        <v>44221</v>
      </c>
      <c r="AX3421" t="s">
        <v>7309</v>
      </c>
      <c r="AY3421">
        <v>106.47</v>
      </c>
      <c r="AZ3421" s="184">
        <v>42038</v>
      </c>
      <c r="BA3421" t="s">
        <v>26529</v>
      </c>
      <c r="BB3421">
        <v>150</v>
      </c>
      <c r="BC3421">
        <v>56</v>
      </c>
      <c r="BD3421">
        <v>1706.47</v>
      </c>
      <c r="BE3421">
        <v>2007</v>
      </c>
      <c r="BF3421">
        <v>17</v>
      </c>
      <c r="BI3421">
        <v>10</v>
      </c>
      <c r="BJ3421">
        <v>18</v>
      </c>
      <c r="BK3421">
        <v>9</v>
      </c>
      <c r="BO3421" t="s">
        <v>595</v>
      </c>
      <c r="BP3421" s="184"/>
    </row>
    <row r="3422" spans="1:68">
      <c r="A3422">
        <v>40364150</v>
      </c>
      <c r="B3422">
        <v>40364150</v>
      </c>
      <c r="C3422" t="s">
        <v>7018</v>
      </c>
      <c r="D3422" t="s">
        <v>595</v>
      </c>
      <c r="E3422" s="184">
        <v>45141</v>
      </c>
      <c r="G3422" s="184"/>
      <c r="I3422" s="184"/>
      <c r="K3422" s="184"/>
      <c r="O3422" s="184"/>
      <c r="P3422" t="s">
        <v>7045</v>
      </c>
      <c r="Q3422" t="s">
        <v>7160</v>
      </c>
      <c r="R3422" s="184">
        <v>21916</v>
      </c>
      <c r="S3422">
        <v>64</v>
      </c>
      <c r="V3422" t="s">
        <v>26530</v>
      </c>
      <c r="X3422" t="s">
        <v>26531</v>
      </c>
      <c r="AF3422" t="s">
        <v>26532</v>
      </c>
      <c r="AG3422" t="s">
        <v>26530</v>
      </c>
      <c r="AI3422" t="s">
        <v>26533</v>
      </c>
      <c r="AM3422" t="s">
        <v>4656</v>
      </c>
      <c r="AN3422" t="s">
        <v>4637</v>
      </c>
      <c r="AO3422" t="s">
        <v>26534</v>
      </c>
      <c r="AP3422" t="s">
        <v>7024</v>
      </c>
      <c r="AT3422" s="184">
        <v>39111</v>
      </c>
      <c r="AU3422" t="s">
        <v>26267</v>
      </c>
      <c r="AV3422">
        <v>15</v>
      </c>
      <c r="AW3422" s="184">
        <v>44462</v>
      </c>
      <c r="AX3422" t="s">
        <v>26535</v>
      </c>
      <c r="AY3422">
        <v>20</v>
      </c>
      <c r="AZ3422" s="184">
        <v>43756</v>
      </c>
      <c r="BA3422" t="s">
        <v>26536</v>
      </c>
      <c r="BB3422">
        <v>50</v>
      </c>
      <c r="BC3422">
        <v>34</v>
      </c>
      <c r="BD3422">
        <v>160</v>
      </c>
      <c r="BE3422">
        <v>2007</v>
      </c>
      <c r="BF3422">
        <v>7</v>
      </c>
      <c r="BI3422">
        <v>6</v>
      </c>
      <c r="BJ3422">
        <v>18</v>
      </c>
      <c r="BK3422">
        <v>3</v>
      </c>
      <c r="BP3422" s="184"/>
    </row>
    <row r="3423" spans="1:68">
      <c r="A3423">
        <v>40372435</v>
      </c>
      <c r="B3423">
        <v>40372435</v>
      </c>
      <c r="C3423" t="s">
        <v>7018</v>
      </c>
      <c r="D3423" t="s">
        <v>595</v>
      </c>
      <c r="E3423" s="184">
        <v>43615</v>
      </c>
      <c r="G3423" s="184"/>
      <c r="I3423" s="184"/>
      <c r="K3423" s="184"/>
      <c r="O3423" s="184"/>
      <c r="P3423" t="s">
        <v>7045</v>
      </c>
      <c r="Q3423" t="s">
        <v>7020</v>
      </c>
      <c r="R3423" s="184">
        <v>16980</v>
      </c>
      <c r="S3423">
        <v>77</v>
      </c>
      <c r="V3423" t="s">
        <v>2887</v>
      </c>
      <c r="X3423" t="s">
        <v>2851</v>
      </c>
      <c r="Z3423">
        <v>100118768</v>
      </c>
      <c r="AB3423" t="s">
        <v>5308</v>
      </c>
      <c r="AD3423" t="s">
        <v>2851</v>
      </c>
      <c r="AF3423" t="s">
        <v>26537</v>
      </c>
      <c r="AG3423" t="s">
        <v>26538</v>
      </c>
      <c r="AI3423" t="s">
        <v>26539</v>
      </c>
      <c r="AM3423" t="s">
        <v>2888</v>
      </c>
      <c r="AN3423" t="s">
        <v>2240</v>
      </c>
      <c r="AO3423" t="s">
        <v>26540</v>
      </c>
      <c r="AP3423" t="s">
        <v>7024</v>
      </c>
      <c r="AQ3423" t="s">
        <v>26541</v>
      </c>
      <c r="AT3423" s="184">
        <v>39120</v>
      </c>
      <c r="AU3423" t="s">
        <v>26542</v>
      </c>
      <c r="AV3423">
        <v>25</v>
      </c>
      <c r="AW3423" s="184">
        <v>45188</v>
      </c>
      <c r="AX3423" t="s">
        <v>26543</v>
      </c>
      <c r="AY3423">
        <v>55</v>
      </c>
      <c r="AZ3423" s="184">
        <v>45188</v>
      </c>
      <c r="BA3423" t="s">
        <v>26543</v>
      </c>
      <c r="BB3423">
        <v>55</v>
      </c>
      <c r="BC3423">
        <v>56</v>
      </c>
      <c r="BD3423">
        <v>560</v>
      </c>
      <c r="BE3423">
        <v>2007</v>
      </c>
      <c r="BF3423">
        <v>15</v>
      </c>
      <c r="BG3423">
        <v>2</v>
      </c>
      <c r="BH3423">
        <v>110</v>
      </c>
      <c r="BI3423">
        <v>10</v>
      </c>
      <c r="BJ3423">
        <v>18</v>
      </c>
      <c r="BK3423">
        <v>4</v>
      </c>
      <c r="BP3423" s="184"/>
    </row>
    <row r="3424" spans="1:68">
      <c r="A3424">
        <v>100118768</v>
      </c>
      <c r="B3424">
        <v>40372435</v>
      </c>
      <c r="C3424" t="s">
        <v>7018</v>
      </c>
      <c r="D3424" t="s">
        <v>595</v>
      </c>
      <c r="E3424" s="184">
        <v>43615</v>
      </c>
      <c r="G3424" s="184"/>
      <c r="I3424" s="184"/>
      <c r="K3424" s="184"/>
      <c r="O3424" s="184"/>
      <c r="P3424" t="s">
        <v>7045</v>
      </c>
      <c r="Q3424" t="s">
        <v>7020</v>
      </c>
      <c r="R3424" s="184">
        <v>15949</v>
      </c>
      <c r="S3424">
        <v>80</v>
      </c>
      <c r="V3424" t="s">
        <v>5308</v>
      </c>
      <c r="X3424" t="s">
        <v>2851</v>
      </c>
      <c r="Z3424">
        <v>40372435</v>
      </c>
      <c r="AB3424" t="s">
        <v>2887</v>
      </c>
      <c r="AD3424" t="s">
        <v>2851</v>
      </c>
      <c r="AF3424" t="s">
        <v>26537</v>
      </c>
      <c r="AG3424" t="s">
        <v>26538</v>
      </c>
      <c r="AI3424" t="s">
        <v>26539</v>
      </c>
      <c r="AM3424" t="s">
        <v>2888</v>
      </c>
      <c r="AN3424" t="s">
        <v>2240</v>
      </c>
      <c r="AO3424" t="s">
        <v>26540</v>
      </c>
      <c r="AP3424" t="s">
        <v>7024</v>
      </c>
      <c r="AT3424" s="184"/>
      <c r="AW3424" s="184"/>
      <c r="AZ3424" s="184"/>
      <c r="BP3424" s="184"/>
    </row>
    <row r="3425" spans="1:68">
      <c r="A3425">
        <v>40373623</v>
      </c>
      <c r="B3425">
        <v>40373623</v>
      </c>
      <c r="C3425" t="s">
        <v>7018</v>
      </c>
      <c r="E3425" s="184"/>
      <c r="F3425" t="s">
        <v>595</v>
      </c>
      <c r="G3425" s="184">
        <v>43731</v>
      </c>
      <c r="I3425" s="184"/>
      <c r="K3425" s="184"/>
      <c r="M3425" s="184"/>
      <c r="O3425" s="184"/>
      <c r="P3425" t="s">
        <v>7045</v>
      </c>
      <c r="Q3425" t="s">
        <v>7383</v>
      </c>
      <c r="R3425" s="184">
        <v>19238</v>
      </c>
      <c r="S3425">
        <v>71</v>
      </c>
      <c r="V3425" t="s">
        <v>2687</v>
      </c>
      <c r="W3425" t="s">
        <v>7469</v>
      </c>
      <c r="X3425" t="s">
        <v>4030</v>
      </c>
      <c r="AF3425" t="s">
        <v>26544</v>
      </c>
      <c r="AG3425" t="s">
        <v>2687</v>
      </c>
      <c r="AI3425" t="s">
        <v>26545</v>
      </c>
      <c r="AM3425" t="s">
        <v>4031</v>
      </c>
      <c r="AN3425" t="s">
        <v>2059</v>
      </c>
      <c r="AO3425" t="s">
        <v>26546</v>
      </c>
      <c r="AP3425" t="s">
        <v>7024</v>
      </c>
      <c r="AQ3425" t="s">
        <v>26547</v>
      </c>
      <c r="AR3425" t="s">
        <v>26548</v>
      </c>
      <c r="AT3425" s="184">
        <v>39121</v>
      </c>
      <c r="AU3425" t="s">
        <v>26513</v>
      </c>
      <c r="AV3425">
        <v>25</v>
      </c>
      <c r="AW3425" s="184">
        <v>43784</v>
      </c>
      <c r="AX3425" t="s">
        <v>16719</v>
      </c>
      <c r="AY3425">
        <v>35</v>
      </c>
      <c r="AZ3425" s="184">
        <v>42027</v>
      </c>
      <c r="BA3425" t="s">
        <v>26549</v>
      </c>
      <c r="BB3425">
        <v>87</v>
      </c>
      <c r="BC3425">
        <v>67</v>
      </c>
      <c r="BD3425">
        <v>677</v>
      </c>
      <c r="BE3425">
        <v>2007</v>
      </c>
      <c r="BF3425">
        <v>18</v>
      </c>
      <c r="BI3425">
        <v>12</v>
      </c>
      <c r="BJ3425">
        <v>18</v>
      </c>
      <c r="BK3425">
        <v>10</v>
      </c>
      <c r="BP3425" s="184"/>
    </row>
    <row r="3426" spans="1:68">
      <c r="A3426">
        <v>40375057</v>
      </c>
      <c r="B3426">
        <v>40375057</v>
      </c>
      <c r="C3426" t="s">
        <v>7018</v>
      </c>
      <c r="E3426" s="184"/>
      <c r="G3426" s="184"/>
      <c r="I3426" s="184"/>
      <c r="J3426" t="s">
        <v>595</v>
      </c>
      <c r="K3426" s="184">
        <v>41088</v>
      </c>
      <c r="O3426" s="184"/>
      <c r="P3426" t="s">
        <v>7045</v>
      </c>
      <c r="Q3426" t="s">
        <v>7020</v>
      </c>
      <c r="R3426" s="184"/>
      <c r="U3426" t="s">
        <v>7076</v>
      </c>
      <c r="V3426" t="s">
        <v>26550</v>
      </c>
      <c r="X3426" t="s">
        <v>26551</v>
      </c>
      <c r="AF3426" t="s">
        <v>6666</v>
      </c>
      <c r="AG3426" t="s">
        <v>26550</v>
      </c>
      <c r="AI3426" t="s">
        <v>26552</v>
      </c>
      <c r="AM3426" t="s">
        <v>25905</v>
      </c>
      <c r="AN3426" t="s">
        <v>2363</v>
      </c>
      <c r="AO3426" t="s">
        <v>26553</v>
      </c>
      <c r="AP3426" t="s">
        <v>7024</v>
      </c>
      <c r="AT3426" s="184">
        <v>39125</v>
      </c>
      <c r="AU3426" t="s">
        <v>26038</v>
      </c>
      <c r="AV3426">
        <v>15</v>
      </c>
      <c r="AW3426" s="184">
        <v>42835</v>
      </c>
      <c r="AX3426" t="s">
        <v>26554</v>
      </c>
      <c r="AY3426">
        <v>20</v>
      </c>
      <c r="AZ3426" s="184">
        <v>42212</v>
      </c>
      <c r="BA3426" t="s">
        <v>26555</v>
      </c>
      <c r="BB3426">
        <v>25</v>
      </c>
      <c r="BC3426">
        <v>62</v>
      </c>
      <c r="BD3426">
        <v>200</v>
      </c>
      <c r="BE3426">
        <v>2007</v>
      </c>
      <c r="BF3426">
        <v>11</v>
      </c>
      <c r="BI3426">
        <v>11</v>
      </c>
      <c r="BJ3426">
        <v>18</v>
      </c>
      <c r="BK3426">
        <v>11</v>
      </c>
      <c r="BP3426" s="184"/>
    </row>
    <row r="3427" spans="1:68">
      <c r="A3427">
        <v>40391344</v>
      </c>
      <c r="B3427">
        <v>40391344</v>
      </c>
      <c r="C3427" t="s">
        <v>7018</v>
      </c>
      <c r="D3427" t="s">
        <v>595</v>
      </c>
      <c r="E3427" s="184">
        <v>43647</v>
      </c>
      <c r="G3427" s="184"/>
      <c r="I3427" s="184"/>
      <c r="K3427" s="184"/>
      <c r="O3427" s="184"/>
      <c r="P3427" t="s">
        <v>7045</v>
      </c>
      <c r="Q3427" t="s">
        <v>7383</v>
      </c>
      <c r="R3427" s="184">
        <v>18537</v>
      </c>
      <c r="S3427">
        <v>73</v>
      </c>
      <c r="V3427" t="s">
        <v>3011</v>
      </c>
      <c r="X3427" t="s">
        <v>3573</v>
      </c>
      <c r="AF3427" t="s">
        <v>26556</v>
      </c>
      <c r="AG3427" t="s">
        <v>3011</v>
      </c>
      <c r="AI3427" t="s">
        <v>26557</v>
      </c>
      <c r="AM3427" t="s">
        <v>3434</v>
      </c>
      <c r="AN3427" t="s">
        <v>2072</v>
      </c>
      <c r="AO3427" t="s">
        <v>26558</v>
      </c>
      <c r="AP3427" t="s">
        <v>7024</v>
      </c>
      <c r="AQ3427" t="s">
        <v>26559</v>
      </c>
      <c r="AT3427" s="184">
        <v>39141</v>
      </c>
      <c r="AU3427" t="s">
        <v>26560</v>
      </c>
      <c r="AV3427">
        <v>19.97</v>
      </c>
      <c r="AW3427" s="184">
        <v>45398</v>
      </c>
      <c r="AX3427" t="s">
        <v>15674</v>
      </c>
      <c r="AY3427">
        <v>25</v>
      </c>
      <c r="AZ3427" s="184">
        <v>45398</v>
      </c>
      <c r="BA3427" t="s">
        <v>15674</v>
      </c>
      <c r="BB3427">
        <v>25</v>
      </c>
      <c r="BC3427">
        <v>100</v>
      </c>
      <c r="BD3427">
        <v>589.97</v>
      </c>
      <c r="BE3427">
        <v>2007</v>
      </c>
      <c r="BF3427">
        <v>28</v>
      </c>
      <c r="BG3427">
        <v>4</v>
      </c>
      <c r="BH3427">
        <v>85</v>
      </c>
      <c r="BI3427">
        <v>18</v>
      </c>
      <c r="BJ3427">
        <v>18</v>
      </c>
      <c r="BK3427">
        <v>18</v>
      </c>
      <c r="BP3427" s="184"/>
    </row>
    <row r="3428" spans="1:68">
      <c r="A3428">
        <v>40393084</v>
      </c>
      <c r="B3428">
        <v>40393084</v>
      </c>
      <c r="C3428" t="s">
        <v>7018</v>
      </c>
      <c r="D3428" t="s">
        <v>595</v>
      </c>
      <c r="E3428" s="184">
        <v>44455</v>
      </c>
      <c r="G3428" s="184"/>
      <c r="I3428" s="184"/>
      <c r="K3428" s="184"/>
      <c r="O3428" s="184"/>
      <c r="P3428" t="s">
        <v>7045</v>
      </c>
      <c r="Q3428" t="s">
        <v>7383</v>
      </c>
      <c r="R3428" s="184">
        <v>17493</v>
      </c>
      <c r="S3428">
        <v>76</v>
      </c>
      <c r="U3428" t="s">
        <v>7076</v>
      </c>
      <c r="V3428" t="s">
        <v>2718</v>
      </c>
      <c r="X3428" t="s">
        <v>3852</v>
      </c>
      <c r="AF3428" t="s">
        <v>26561</v>
      </c>
      <c r="AG3428" t="s">
        <v>2718</v>
      </c>
      <c r="AI3428" t="s">
        <v>26562</v>
      </c>
      <c r="AM3428" t="s">
        <v>3525</v>
      </c>
      <c r="AN3428" t="s">
        <v>2072</v>
      </c>
      <c r="AO3428" t="s">
        <v>26563</v>
      </c>
      <c r="AP3428" t="s">
        <v>7024</v>
      </c>
      <c r="AQ3428" t="s">
        <v>26564</v>
      </c>
      <c r="AT3428" s="184">
        <v>39136</v>
      </c>
      <c r="AU3428" t="s">
        <v>26565</v>
      </c>
      <c r="AV3428">
        <v>50</v>
      </c>
      <c r="AW3428" s="184">
        <v>45162</v>
      </c>
      <c r="AX3428" t="s">
        <v>26566</v>
      </c>
      <c r="AY3428">
        <v>150</v>
      </c>
      <c r="AZ3428" s="184">
        <v>41772</v>
      </c>
      <c r="BA3428" t="s">
        <v>26567</v>
      </c>
      <c r="BB3428">
        <v>230</v>
      </c>
      <c r="BC3428">
        <v>89</v>
      </c>
      <c r="BD3428">
        <v>1890</v>
      </c>
      <c r="BE3428">
        <v>2007</v>
      </c>
      <c r="BF3428">
        <v>17</v>
      </c>
      <c r="BG3428">
        <v>2</v>
      </c>
      <c r="BH3428">
        <v>300</v>
      </c>
      <c r="BI3428">
        <v>16</v>
      </c>
      <c r="BJ3428">
        <v>18</v>
      </c>
      <c r="BK3428">
        <v>15</v>
      </c>
      <c r="BP3428" s="184"/>
    </row>
    <row r="3429" spans="1:68">
      <c r="A3429">
        <v>40393878</v>
      </c>
      <c r="B3429">
        <v>40393878</v>
      </c>
      <c r="C3429" t="s">
        <v>7018</v>
      </c>
      <c r="E3429" s="184"/>
      <c r="G3429" s="184"/>
      <c r="I3429" s="184"/>
      <c r="K3429" s="184"/>
      <c r="N3429" t="s">
        <v>595</v>
      </c>
      <c r="O3429" s="184">
        <v>42936</v>
      </c>
      <c r="P3429" t="s">
        <v>7045</v>
      </c>
      <c r="Q3429" t="s">
        <v>7020</v>
      </c>
      <c r="R3429" s="184">
        <v>9004</v>
      </c>
      <c r="S3429">
        <v>99</v>
      </c>
      <c r="U3429" t="s">
        <v>7032</v>
      </c>
      <c r="V3429" t="s">
        <v>3663</v>
      </c>
      <c r="X3429" t="s">
        <v>5674</v>
      </c>
      <c r="Y3429" t="s">
        <v>7047</v>
      </c>
      <c r="AF3429" t="s">
        <v>26568</v>
      </c>
      <c r="AG3429" t="s">
        <v>3663</v>
      </c>
      <c r="AI3429" t="s">
        <v>26569</v>
      </c>
      <c r="AM3429" t="s">
        <v>3592</v>
      </c>
      <c r="AN3429" t="s">
        <v>2240</v>
      </c>
      <c r="AO3429">
        <v>6517</v>
      </c>
      <c r="AP3429" t="s">
        <v>7024</v>
      </c>
      <c r="AQ3429" t="s">
        <v>26570</v>
      </c>
      <c r="AT3429" s="184">
        <v>39136</v>
      </c>
      <c r="AU3429" t="s">
        <v>26571</v>
      </c>
      <c r="AV3429">
        <v>25</v>
      </c>
      <c r="AW3429" s="184">
        <v>43416</v>
      </c>
      <c r="AX3429" t="s">
        <v>17911</v>
      </c>
      <c r="AY3429">
        <v>50</v>
      </c>
      <c r="AZ3429" s="184">
        <v>42936</v>
      </c>
      <c r="BA3429" t="s">
        <v>8929</v>
      </c>
      <c r="BB3429">
        <v>25000</v>
      </c>
      <c r="BC3429">
        <v>50</v>
      </c>
      <c r="BD3429">
        <v>25450</v>
      </c>
      <c r="BE3429">
        <v>2007</v>
      </c>
      <c r="BF3429">
        <v>11</v>
      </c>
      <c r="BI3429">
        <v>9</v>
      </c>
      <c r="BJ3429">
        <v>18</v>
      </c>
      <c r="BK3429">
        <v>5</v>
      </c>
      <c r="BO3429" t="s">
        <v>595</v>
      </c>
      <c r="BP3429" s="184">
        <v>43982</v>
      </c>
    </row>
    <row r="3430" spans="1:68">
      <c r="A3430">
        <v>40402133</v>
      </c>
      <c r="B3430">
        <v>40402133</v>
      </c>
      <c r="C3430" t="s">
        <v>7018</v>
      </c>
      <c r="D3430" t="s">
        <v>595</v>
      </c>
      <c r="E3430" s="184">
        <v>44168</v>
      </c>
      <c r="G3430" s="184"/>
      <c r="I3430" s="184"/>
      <c r="K3430" s="184"/>
      <c r="O3430" s="184"/>
      <c r="P3430" t="s">
        <v>7045</v>
      </c>
      <c r="Q3430" t="s">
        <v>7160</v>
      </c>
      <c r="R3430" s="184">
        <v>15759</v>
      </c>
      <c r="S3430">
        <v>81</v>
      </c>
      <c r="U3430" t="s">
        <v>7031</v>
      </c>
      <c r="V3430" t="s">
        <v>2979</v>
      </c>
      <c r="W3430" t="s">
        <v>7067</v>
      </c>
      <c r="X3430" t="s">
        <v>5693</v>
      </c>
      <c r="AF3430" t="s">
        <v>26572</v>
      </c>
      <c r="AG3430" t="s">
        <v>2979</v>
      </c>
      <c r="AI3430" t="s">
        <v>26573</v>
      </c>
      <c r="AM3430" t="s">
        <v>26574</v>
      </c>
      <c r="AN3430" t="s">
        <v>2176</v>
      </c>
      <c r="AO3430" t="s">
        <v>26575</v>
      </c>
      <c r="AP3430" t="s">
        <v>7024</v>
      </c>
      <c r="AQ3430" t="s">
        <v>26576</v>
      </c>
      <c r="AR3430" t="s">
        <v>26577</v>
      </c>
      <c r="AT3430" s="184">
        <v>39139</v>
      </c>
      <c r="AU3430" t="s">
        <v>26578</v>
      </c>
      <c r="AV3430">
        <v>15</v>
      </c>
      <c r="AW3430" s="184">
        <v>42908</v>
      </c>
      <c r="AX3430" t="s">
        <v>8586</v>
      </c>
      <c r="AY3430">
        <v>35</v>
      </c>
      <c r="AZ3430" s="184">
        <v>42908</v>
      </c>
      <c r="BA3430" t="s">
        <v>8586</v>
      </c>
      <c r="BB3430">
        <v>35</v>
      </c>
      <c r="BC3430">
        <v>39</v>
      </c>
      <c r="BD3430">
        <v>195</v>
      </c>
      <c r="BE3430">
        <v>2007</v>
      </c>
      <c r="BF3430">
        <v>7</v>
      </c>
      <c r="BI3430">
        <v>7</v>
      </c>
      <c r="BJ3430">
        <v>18</v>
      </c>
      <c r="BK3430">
        <v>3</v>
      </c>
      <c r="BP3430" s="184"/>
    </row>
    <row r="3431" spans="1:68">
      <c r="A3431">
        <v>40414559</v>
      </c>
      <c r="B3431">
        <v>40414559</v>
      </c>
      <c r="C3431" t="s">
        <v>7018</v>
      </c>
      <c r="D3431" t="s">
        <v>595</v>
      </c>
      <c r="E3431" s="184">
        <v>43801</v>
      </c>
      <c r="G3431" s="184"/>
      <c r="I3431" s="184"/>
      <c r="K3431" s="184"/>
      <c r="O3431" s="184"/>
      <c r="P3431" t="s">
        <v>7045</v>
      </c>
      <c r="Q3431" t="s">
        <v>7160</v>
      </c>
      <c r="R3431" s="184">
        <v>17448</v>
      </c>
      <c r="S3431">
        <v>76</v>
      </c>
      <c r="V3431" t="s">
        <v>3453</v>
      </c>
      <c r="X3431" t="s">
        <v>4427</v>
      </c>
      <c r="Z3431">
        <v>100183146</v>
      </c>
      <c r="AB3431" t="s">
        <v>2863</v>
      </c>
      <c r="AD3431" t="s">
        <v>4427</v>
      </c>
      <c r="AF3431" t="s">
        <v>26579</v>
      </c>
      <c r="AG3431" t="s">
        <v>3453</v>
      </c>
      <c r="AI3431" t="s">
        <v>26580</v>
      </c>
      <c r="AM3431" t="s">
        <v>4774</v>
      </c>
      <c r="AN3431" t="s">
        <v>2176</v>
      </c>
      <c r="AO3431" t="s">
        <v>26581</v>
      </c>
      <c r="AP3431" t="s">
        <v>7024</v>
      </c>
      <c r="AT3431" s="184">
        <v>39139</v>
      </c>
      <c r="AU3431" t="s">
        <v>26582</v>
      </c>
      <c r="AV3431">
        <v>15</v>
      </c>
      <c r="AW3431" s="184">
        <v>45315</v>
      </c>
      <c r="AX3431" t="s">
        <v>26583</v>
      </c>
      <c r="AY3431">
        <v>40</v>
      </c>
      <c r="AZ3431" s="184">
        <v>44196</v>
      </c>
      <c r="BA3431" t="s">
        <v>26584</v>
      </c>
      <c r="BB3431">
        <v>55</v>
      </c>
      <c r="BC3431">
        <v>95</v>
      </c>
      <c r="BD3431">
        <v>1055</v>
      </c>
      <c r="BE3431">
        <v>2007</v>
      </c>
      <c r="BF3431">
        <v>31</v>
      </c>
      <c r="BG3431">
        <v>3</v>
      </c>
      <c r="BH3431">
        <v>140</v>
      </c>
      <c r="BI3431">
        <v>17</v>
      </c>
      <c r="BJ3431">
        <v>18</v>
      </c>
      <c r="BK3431">
        <v>10</v>
      </c>
      <c r="BP3431" s="184"/>
    </row>
    <row r="3432" spans="1:68">
      <c r="A3432">
        <v>100183146</v>
      </c>
      <c r="B3432">
        <v>40414559</v>
      </c>
      <c r="C3432" t="s">
        <v>7018</v>
      </c>
      <c r="D3432" t="s">
        <v>595</v>
      </c>
      <c r="E3432" s="184">
        <v>43801</v>
      </c>
      <c r="G3432" s="184"/>
      <c r="I3432" s="184"/>
      <c r="K3432" s="184"/>
      <c r="O3432" s="184"/>
      <c r="P3432" t="s">
        <v>7045</v>
      </c>
      <c r="Q3432" t="s">
        <v>7160</v>
      </c>
      <c r="R3432" s="184"/>
      <c r="V3432" t="s">
        <v>2863</v>
      </c>
      <c r="X3432" t="s">
        <v>4427</v>
      </c>
      <c r="Z3432">
        <v>40414559</v>
      </c>
      <c r="AB3432" t="s">
        <v>3453</v>
      </c>
      <c r="AD3432" t="s">
        <v>4427</v>
      </c>
      <c r="AF3432" t="s">
        <v>26579</v>
      </c>
      <c r="AG3432" t="s">
        <v>3453</v>
      </c>
      <c r="AI3432" t="s">
        <v>26580</v>
      </c>
      <c r="AM3432" t="s">
        <v>4774</v>
      </c>
      <c r="AN3432" t="s">
        <v>2176</v>
      </c>
      <c r="AO3432" t="s">
        <v>26581</v>
      </c>
      <c r="AP3432" t="s">
        <v>7024</v>
      </c>
      <c r="AT3432" s="184"/>
      <c r="AW3432" s="184"/>
      <c r="AZ3432" s="184"/>
      <c r="BO3432" t="s">
        <v>595</v>
      </c>
      <c r="BP3432" s="184"/>
    </row>
    <row r="3433" spans="1:68">
      <c r="A3433">
        <v>40426744</v>
      </c>
      <c r="B3433">
        <v>40426744</v>
      </c>
      <c r="C3433" t="s">
        <v>7018</v>
      </c>
      <c r="E3433" s="184"/>
      <c r="G3433" s="184"/>
      <c r="I3433" s="184"/>
      <c r="J3433" t="s">
        <v>595</v>
      </c>
      <c r="K3433" s="184">
        <v>43670</v>
      </c>
      <c r="P3433" t="s">
        <v>7045</v>
      </c>
      <c r="Q3433" t="s">
        <v>7383</v>
      </c>
      <c r="R3433" s="184">
        <v>16459</v>
      </c>
      <c r="S3433">
        <v>79</v>
      </c>
      <c r="U3433" t="s">
        <v>7032</v>
      </c>
      <c r="V3433" t="s">
        <v>3336</v>
      </c>
      <c r="W3433" t="s">
        <v>7246</v>
      </c>
      <c r="X3433" t="s">
        <v>3676</v>
      </c>
      <c r="AF3433" t="s">
        <v>6587</v>
      </c>
      <c r="AG3433" t="s">
        <v>3336</v>
      </c>
      <c r="AI3433" t="s">
        <v>26585</v>
      </c>
      <c r="AM3433" t="s">
        <v>3677</v>
      </c>
      <c r="AN3433" t="s">
        <v>2118</v>
      </c>
      <c r="AO3433" t="s">
        <v>26586</v>
      </c>
      <c r="AP3433" t="s">
        <v>7024</v>
      </c>
      <c r="AQ3433" t="s">
        <v>26587</v>
      </c>
      <c r="AT3433" s="184">
        <v>40875</v>
      </c>
      <c r="AU3433" t="s">
        <v>26588</v>
      </c>
      <c r="AV3433">
        <v>15</v>
      </c>
      <c r="AW3433" s="184">
        <v>45408</v>
      </c>
      <c r="AX3433" t="s">
        <v>8483</v>
      </c>
      <c r="AY3433">
        <v>12</v>
      </c>
      <c r="AZ3433" s="184">
        <v>42478</v>
      </c>
      <c r="BA3433" t="s">
        <v>24339</v>
      </c>
      <c r="BB3433">
        <v>65</v>
      </c>
      <c r="BC3433">
        <v>93</v>
      </c>
      <c r="BD3433">
        <v>1097</v>
      </c>
      <c r="BE3433">
        <v>2012</v>
      </c>
      <c r="BF3433">
        <v>80</v>
      </c>
      <c r="BG3433">
        <v>24</v>
      </c>
      <c r="BH3433">
        <v>288</v>
      </c>
      <c r="BI3433">
        <v>13</v>
      </c>
      <c r="BJ3433">
        <v>14</v>
      </c>
      <c r="BK3433">
        <v>12</v>
      </c>
      <c r="BP3433" s="184"/>
    </row>
    <row r="3434" spans="1:68">
      <c r="A3434">
        <v>40437642</v>
      </c>
      <c r="B3434">
        <v>40437642</v>
      </c>
      <c r="C3434" t="s">
        <v>7018</v>
      </c>
      <c r="E3434" s="184"/>
      <c r="G3434" s="184"/>
      <c r="I3434" s="184"/>
      <c r="J3434" t="s">
        <v>595</v>
      </c>
      <c r="K3434" s="184">
        <v>43051</v>
      </c>
      <c r="P3434" t="s">
        <v>7045</v>
      </c>
      <c r="Q3434" t="s">
        <v>7160</v>
      </c>
      <c r="R3434" s="184">
        <v>22282</v>
      </c>
      <c r="S3434">
        <v>63</v>
      </c>
      <c r="U3434" t="s">
        <v>7031</v>
      </c>
      <c r="V3434" t="s">
        <v>26589</v>
      </c>
      <c r="X3434" t="s">
        <v>3414</v>
      </c>
      <c r="AF3434" t="s">
        <v>6730</v>
      </c>
      <c r="AG3434" t="s">
        <v>26589</v>
      </c>
      <c r="AI3434" t="s">
        <v>26590</v>
      </c>
      <c r="AJ3434" t="s">
        <v>26591</v>
      </c>
      <c r="AM3434" t="s">
        <v>18737</v>
      </c>
      <c r="AN3434" t="s">
        <v>2395</v>
      </c>
      <c r="AO3434" t="s">
        <v>26592</v>
      </c>
      <c r="AP3434" t="s">
        <v>7024</v>
      </c>
      <c r="AT3434" s="184">
        <v>39143</v>
      </c>
      <c r="AU3434" t="s">
        <v>26593</v>
      </c>
      <c r="AV3434">
        <v>25</v>
      </c>
      <c r="AW3434" s="184">
        <v>39143</v>
      </c>
      <c r="AX3434" t="s">
        <v>26593</v>
      </c>
      <c r="AY3434">
        <v>25</v>
      </c>
      <c r="AZ3434" s="184">
        <v>39143</v>
      </c>
      <c r="BA3434" t="s">
        <v>26593</v>
      </c>
      <c r="BB3434">
        <v>25</v>
      </c>
      <c r="BC3434">
        <v>6</v>
      </c>
      <c r="BD3434">
        <v>25</v>
      </c>
      <c r="BE3434">
        <v>2007</v>
      </c>
      <c r="BF3434">
        <v>1</v>
      </c>
      <c r="BI3434">
        <v>1</v>
      </c>
      <c r="BJ3434">
        <v>18</v>
      </c>
      <c r="BK3434">
        <v>1</v>
      </c>
      <c r="BP3434" s="184"/>
    </row>
    <row r="3435" spans="1:68">
      <c r="A3435">
        <v>40442022</v>
      </c>
      <c r="B3435">
        <v>40442022</v>
      </c>
      <c r="C3435" t="s">
        <v>7018</v>
      </c>
      <c r="D3435" t="s">
        <v>595</v>
      </c>
      <c r="E3435" s="184">
        <v>43801</v>
      </c>
      <c r="G3435" s="184"/>
      <c r="I3435" s="184"/>
      <c r="K3435" s="184"/>
      <c r="O3435" s="184"/>
      <c r="P3435" t="s">
        <v>7045</v>
      </c>
      <c r="Q3435" t="s">
        <v>7374</v>
      </c>
      <c r="R3435" s="184">
        <v>15595</v>
      </c>
      <c r="S3435">
        <v>81</v>
      </c>
      <c r="U3435" t="s">
        <v>7031</v>
      </c>
      <c r="V3435" t="s">
        <v>3783</v>
      </c>
      <c r="W3435" t="s">
        <v>7246</v>
      </c>
      <c r="X3435" t="s">
        <v>3360</v>
      </c>
      <c r="AF3435" t="s">
        <v>26594</v>
      </c>
      <c r="AG3435" t="s">
        <v>3783</v>
      </c>
      <c r="AI3435" t="s">
        <v>26595</v>
      </c>
      <c r="AM3435" t="s">
        <v>4428</v>
      </c>
      <c r="AN3435" t="s">
        <v>2081</v>
      </c>
      <c r="AO3435" t="s">
        <v>26596</v>
      </c>
      <c r="AP3435" t="s">
        <v>7024</v>
      </c>
      <c r="AQ3435" t="s">
        <v>26597</v>
      </c>
      <c r="AR3435" t="s">
        <v>26598</v>
      </c>
      <c r="AT3435" s="184">
        <v>39143</v>
      </c>
      <c r="AU3435" t="s">
        <v>26599</v>
      </c>
      <c r="AV3435">
        <v>25</v>
      </c>
      <c r="AW3435" s="184">
        <v>45399</v>
      </c>
      <c r="AX3435" t="s">
        <v>7832</v>
      </c>
      <c r="AY3435">
        <v>50</v>
      </c>
      <c r="AZ3435" s="184">
        <v>45399</v>
      </c>
      <c r="BA3435" t="s">
        <v>7832</v>
      </c>
      <c r="BB3435">
        <v>50</v>
      </c>
      <c r="BC3435">
        <v>95</v>
      </c>
      <c r="BD3435">
        <v>855</v>
      </c>
      <c r="BE3435">
        <v>2007</v>
      </c>
      <c r="BF3435">
        <v>21</v>
      </c>
      <c r="BG3435">
        <v>2</v>
      </c>
      <c r="BH3435">
        <v>100</v>
      </c>
      <c r="BI3435">
        <v>17</v>
      </c>
      <c r="BJ3435">
        <v>18</v>
      </c>
      <c r="BK3435">
        <v>12</v>
      </c>
      <c r="BP3435" s="184"/>
    </row>
    <row r="3436" spans="1:68">
      <c r="A3436">
        <v>40442642</v>
      </c>
      <c r="B3436">
        <v>40442642</v>
      </c>
      <c r="C3436" t="s">
        <v>7018</v>
      </c>
      <c r="E3436" s="184"/>
      <c r="G3436" s="184"/>
      <c r="I3436" s="184"/>
      <c r="J3436" t="s">
        <v>595</v>
      </c>
      <c r="K3436" s="184">
        <v>44452</v>
      </c>
      <c r="P3436" t="s">
        <v>7045</v>
      </c>
      <c r="Q3436" t="s">
        <v>7262</v>
      </c>
      <c r="R3436" s="184">
        <v>18864</v>
      </c>
      <c r="S3436">
        <v>72</v>
      </c>
      <c r="U3436" t="s">
        <v>7076</v>
      </c>
      <c r="V3436" t="s">
        <v>3435</v>
      </c>
      <c r="X3436" t="s">
        <v>3828</v>
      </c>
      <c r="AF3436" t="s">
        <v>26600</v>
      </c>
      <c r="AG3436" t="s">
        <v>3435</v>
      </c>
      <c r="AI3436" t="s">
        <v>26601</v>
      </c>
      <c r="AM3436" t="s">
        <v>23473</v>
      </c>
      <c r="AN3436" t="s">
        <v>2266</v>
      </c>
      <c r="AO3436" t="s">
        <v>26602</v>
      </c>
      <c r="AP3436" t="s">
        <v>7024</v>
      </c>
      <c r="AQ3436" t="s">
        <v>26603</v>
      </c>
      <c r="AR3436" t="s">
        <v>26604</v>
      </c>
      <c r="AT3436" s="184">
        <v>39143</v>
      </c>
      <c r="AU3436" t="s">
        <v>26605</v>
      </c>
      <c r="AV3436">
        <v>25</v>
      </c>
      <c r="AW3436" s="184">
        <v>45280</v>
      </c>
      <c r="AX3436" t="s">
        <v>26606</v>
      </c>
      <c r="AY3436">
        <v>25</v>
      </c>
      <c r="AZ3436" s="184">
        <v>40197</v>
      </c>
      <c r="BA3436" t="s">
        <v>26607</v>
      </c>
      <c r="BB3436">
        <v>125</v>
      </c>
      <c r="BC3436">
        <v>50</v>
      </c>
      <c r="BD3436">
        <v>650</v>
      </c>
      <c r="BE3436">
        <v>2007</v>
      </c>
      <c r="BF3436">
        <v>12</v>
      </c>
      <c r="BG3436">
        <v>3</v>
      </c>
      <c r="BH3436">
        <v>100</v>
      </c>
      <c r="BI3436">
        <v>9</v>
      </c>
      <c r="BJ3436">
        <v>18</v>
      </c>
      <c r="BK3436">
        <v>5</v>
      </c>
    </row>
    <row r="3437" spans="1:68">
      <c r="A3437">
        <v>40446684</v>
      </c>
      <c r="B3437">
        <v>40446684</v>
      </c>
      <c r="C3437" t="s">
        <v>7018</v>
      </c>
      <c r="D3437" t="s">
        <v>595</v>
      </c>
      <c r="E3437" s="184">
        <v>44167</v>
      </c>
      <c r="G3437" s="184"/>
      <c r="I3437" s="184"/>
      <c r="K3437" s="184"/>
      <c r="M3437" s="184"/>
      <c r="O3437" s="184"/>
      <c r="P3437" t="s">
        <v>7045</v>
      </c>
      <c r="Q3437" t="s">
        <v>7194</v>
      </c>
      <c r="R3437" s="184">
        <v>15358</v>
      </c>
      <c r="S3437">
        <v>82</v>
      </c>
      <c r="U3437" t="s">
        <v>7076</v>
      </c>
      <c r="V3437" t="s">
        <v>26608</v>
      </c>
      <c r="W3437" t="s">
        <v>7396</v>
      </c>
      <c r="X3437" t="s">
        <v>12284</v>
      </c>
      <c r="AF3437" t="s">
        <v>26609</v>
      </c>
      <c r="AG3437" t="s">
        <v>26608</v>
      </c>
      <c r="AI3437" t="s">
        <v>26610</v>
      </c>
      <c r="AM3437" t="s">
        <v>26611</v>
      </c>
      <c r="AN3437" t="s">
        <v>2046</v>
      </c>
      <c r="AO3437" t="s">
        <v>26612</v>
      </c>
      <c r="AP3437" t="s">
        <v>7024</v>
      </c>
      <c r="AQ3437" t="s">
        <v>26613</v>
      </c>
      <c r="AR3437" t="s">
        <v>26614</v>
      </c>
      <c r="AT3437" s="184">
        <v>39146</v>
      </c>
      <c r="AU3437" t="s">
        <v>26615</v>
      </c>
      <c r="AV3437">
        <v>25</v>
      </c>
      <c r="AW3437" s="184">
        <v>45188</v>
      </c>
      <c r="AX3437" t="s">
        <v>13433</v>
      </c>
      <c r="AY3437">
        <v>25</v>
      </c>
      <c r="AZ3437" s="184">
        <v>41858</v>
      </c>
      <c r="BA3437" t="s">
        <v>26616</v>
      </c>
      <c r="BB3437">
        <v>60</v>
      </c>
      <c r="BC3437">
        <v>73</v>
      </c>
      <c r="BD3437">
        <v>400</v>
      </c>
      <c r="BE3437">
        <v>2007</v>
      </c>
      <c r="BF3437">
        <v>14</v>
      </c>
      <c r="BG3437">
        <v>2</v>
      </c>
      <c r="BH3437">
        <v>50</v>
      </c>
      <c r="BI3437">
        <v>13</v>
      </c>
      <c r="BJ3437">
        <v>18</v>
      </c>
      <c r="BK3437">
        <v>7</v>
      </c>
      <c r="BP3437" s="184"/>
    </row>
    <row r="3438" spans="1:68">
      <c r="A3438">
        <v>40450074</v>
      </c>
      <c r="B3438">
        <v>40450074</v>
      </c>
      <c r="C3438" t="s">
        <v>7018</v>
      </c>
      <c r="D3438" t="s">
        <v>595</v>
      </c>
      <c r="E3438" s="184">
        <v>45120</v>
      </c>
      <c r="G3438" s="184"/>
      <c r="I3438" s="184"/>
      <c r="K3438" s="184"/>
      <c r="O3438" s="184"/>
      <c r="P3438" t="s">
        <v>7045</v>
      </c>
      <c r="Q3438" t="s">
        <v>7494</v>
      </c>
      <c r="R3438" s="184">
        <v>14134</v>
      </c>
      <c r="S3438">
        <v>85</v>
      </c>
      <c r="U3438" t="s">
        <v>7130</v>
      </c>
      <c r="V3438" t="s">
        <v>2602</v>
      </c>
      <c r="W3438" t="s">
        <v>7085</v>
      </c>
      <c r="X3438" t="s">
        <v>26617</v>
      </c>
      <c r="Z3438">
        <v>100311495</v>
      </c>
      <c r="AA3438" t="s">
        <v>7032</v>
      </c>
      <c r="AB3438" t="s">
        <v>2832</v>
      </c>
      <c r="AC3438" t="s">
        <v>4013</v>
      </c>
      <c r="AD3438" t="s">
        <v>26617</v>
      </c>
      <c r="AE3438" t="s">
        <v>7047</v>
      </c>
      <c r="AF3438" t="s">
        <v>26618</v>
      </c>
      <c r="AG3438" t="s">
        <v>2602</v>
      </c>
      <c r="AI3438" t="s">
        <v>26619</v>
      </c>
      <c r="AM3438" t="s">
        <v>2889</v>
      </c>
      <c r="AN3438" t="s">
        <v>2484</v>
      </c>
      <c r="AO3438" t="s">
        <v>26620</v>
      </c>
      <c r="AP3438" t="s">
        <v>7024</v>
      </c>
      <c r="AQ3438" t="s">
        <v>26621</v>
      </c>
      <c r="AR3438" t="s">
        <v>26622</v>
      </c>
      <c r="AT3438" s="184">
        <v>39146</v>
      </c>
      <c r="AU3438" t="s">
        <v>26623</v>
      </c>
      <c r="AV3438">
        <v>25</v>
      </c>
      <c r="AW3438" s="184">
        <v>45302</v>
      </c>
      <c r="AX3438" t="s">
        <v>18549</v>
      </c>
      <c r="AY3438">
        <v>35</v>
      </c>
      <c r="AZ3438" s="184">
        <v>43749</v>
      </c>
      <c r="BA3438" t="s">
        <v>26624</v>
      </c>
      <c r="BB3438">
        <v>200</v>
      </c>
      <c r="BC3438">
        <v>89</v>
      </c>
      <c r="BD3438">
        <v>1145</v>
      </c>
      <c r="BE3438">
        <v>2007</v>
      </c>
      <c r="BF3438">
        <v>27</v>
      </c>
      <c r="BG3438">
        <v>2</v>
      </c>
      <c r="BH3438">
        <v>85</v>
      </c>
      <c r="BI3438">
        <v>16</v>
      </c>
      <c r="BJ3438">
        <v>18</v>
      </c>
      <c r="BK3438">
        <v>13</v>
      </c>
      <c r="BP3438" s="184"/>
    </row>
    <row r="3439" spans="1:68">
      <c r="A3439">
        <v>100311495</v>
      </c>
      <c r="B3439">
        <v>40450074</v>
      </c>
      <c r="C3439" t="s">
        <v>7018</v>
      </c>
      <c r="D3439" t="s">
        <v>595</v>
      </c>
      <c r="E3439" s="184">
        <v>45120</v>
      </c>
      <c r="G3439" s="184"/>
      <c r="I3439" s="184"/>
      <c r="K3439" s="184"/>
      <c r="P3439" t="s">
        <v>7045</v>
      </c>
      <c r="Q3439" t="s">
        <v>7494</v>
      </c>
      <c r="R3439" s="184"/>
      <c r="U3439" t="s">
        <v>7032</v>
      </c>
      <c r="V3439" t="s">
        <v>2832</v>
      </c>
      <c r="W3439" t="s">
        <v>4013</v>
      </c>
      <c r="X3439" t="s">
        <v>26617</v>
      </c>
      <c r="Y3439" t="s">
        <v>7047</v>
      </c>
      <c r="Z3439">
        <v>40450074</v>
      </c>
      <c r="AA3439" t="s">
        <v>7130</v>
      </c>
      <c r="AB3439" t="s">
        <v>2602</v>
      </c>
      <c r="AC3439" t="s">
        <v>7085</v>
      </c>
      <c r="AD3439" t="s">
        <v>26617</v>
      </c>
      <c r="AF3439" t="s">
        <v>26618</v>
      </c>
      <c r="AG3439" t="s">
        <v>2602</v>
      </c>
      <c r="AI3439" t="s">
        <v>26619</v>
      </c>
      <c r="AM3439" t="s">
        <v>2889</v>
      </c>
      <c r="AN3439" t="s">
        <v>2484</v>
      </c>
      <c r="AO3439" t="s">
        <v>26620</v>
      </c>
      <c r="AP3439" t="s">
        <v>7024</v>
      </c>
      <c r="AT3439" s="184"/>
      <c r="AW3439" s="184"/>
      <c r="AZ3439" s="184"/>
      <c r="BO3439" t="s">
        <v>595</v>
      </c>
    </row>
    <row r="3440" spans="1:68">
      <c r="A3440">
        <v>40451437</v>
      </c>
      <c r="B3440">
        <v>40451437</v>
      </c>
      <c r="C3440" t="s">
        <v>7018</v>
      </c>
      <c r="E3440" s="184"/>
      <c r="F3440" t="s">
        <v>595</v>
      </c>
      <c r="G3440" s="184">
        <v>43731</v>
      </c>
      <c r="I3440" s="184"/>
      <c r="K3440" s="184"/>
      <c r="O3440" s="184"/>
      <c r="P3440" t="s">
        <v>7045</v>
      </c>
      <c r="Q3440" t="s">
        <v>7383</v>
      </c>
      <c r="R3440" s="184">
        <v>12458</v>
      </c>
      <c r="S3440">
        <v>90</v>
      </c>
      <c r="U3440" t="s">
        <v>7130</v>
      </c>
      <c r="V3440" t="s">
        <v>4032</v>
      </c>
      <c r="W3440" t="s">
        <v>7067</v>
      </c>
      <c r="X3440" t="s">
        <v>4033</v>
      </c>
      <c r="AF3440" t="s">
        <v>26625</v>
      </c>
      <c r="AG3440" t="s">
        <v>4032</v>
      </c>
      <c r="AI3440" t="s">
        <v>26626</v>
      </c>
      <c r="AM3440" t="s">
        <v>3815</v>
      </c>
      <c r="AN3440" t="s">
        <v>2059</v>
      </c>
      <c r="AO3440" t="s">
        <v>26627</v>
      </c>
      <c r="AP3440" t="s">
        <v>7024</v>
      </c>
      <c r="AT3440" s="184">
        <v>39146</v>
      </c>
      <c r="AU3440" t="s">
        <v>26628</v>
      </c>
      <c r="AV3440">
        <v>15</v>
      </c>
      <c r="AW3440" s="184">
        <v>43679</v>
      </c>
      <c r="AX3440" t="s">
        <v>26629</v>
      </c>
      <c r="AY3440">
        <v>40</v>
      </c>
      <c r="AZ3440" s="184">
        <v>43679</v>
      </c>
      <c r="BA3440" t="s">
        <v>26629</v>
      </c>
      <c r="BB3440">
        <v>40</v>
      </c>
      <c r="BC3440">
        <v>50</v>
      </c>
      <c r="BD3440">
        <v>350</v>
      </c>
      <c r="BE3440">
        <v>2007</v>
      </c>
      <c r="BF3440">
        <v>14</v>
      </c>
      <c r="BI3440">
        <v>9</v>
      </c>
      <c r="BJ3440">
        <v>18</v>
      </c>
      <c r="BK3440">
        <v>8</v>
      </c>
      <c r="BP3440" s="184"/>
    </row>
    <row r="3441" spans="1:68">
      <c r="A3441">
        <v>40463721</v>
      </c>
      <c r="B3441">
        <v>40463721</v>
      </c>
      <c r="C3441" t="s">
        <v>7018</v>
      </c>
      <c r="D3441" t="s">
        <v>595</v>
      </c>
      <c r="E3441" s="184">
        <v>45195</v>
      </c>
      <c r="G3441" s="184"/>
      <c r="I3441" s="184"/>
      <c r="K3441" s="184"/>
      <c r="P3441" t="s">
        <v>7045</v>
      </c>
      <c r="Q3441" t="s">
        <v>7494</v>
      </c>
      <c r="R3441" s="184">
        <v>15060</v>
      </c>
      <c r="S3441">
        <v>83</v>
      </c>
      <c r="V3441" t="s">
        <v>3220</v>
      </c>
      <c r="X3441" t="s">
        <v>26630</v>
      </c>
      <c r="AF3441" t="s">
        <v>26631</v>
      </c>
      <c r="AG3441" t="s">
        <v>3220</v>
      </c>
      <c r="AI3441" t="s">
        <v>26632</v>
      </c>
      <c r="AM3441" t="s">
        <v>10875</v>
      </c>
      <c r="AN3441" t="s">
        <v>2174</v>
      </c>
      <c r="AO3441" t="s">
        <v>26633</v>
      </c>
      <c r="AP3441" t="s">
        <v>7024</v>
      </c>
      <c r="AQ3441" t="s">
        <v>26634</v>
      </c>
      <c r="AR3441" t="s">
        <v>26635</v>
      </c>
      <c r="AT3441" s="184">
        <v>40318</v>
      </c>
      <c r="AU3441" t="s">
        <v>26636</v>
      </c>
      <c r="AV3441">
        <v>25</v>
      </c>
      <c r="AW3441" s="184">
        <v>45105</v>
      </c>
      <c r="AX3441" t="s">
        <v>26637</v>
      </c>
      <c r="AY3441">
        <v>25</v>
      </c>
      <c r="AZ3441" s="184">
        <v>45105</v>
      </c>
      <c r="BA3441" t="s">
        <v>26637</v>
      </c>
      <c r="BB3441">
        <v>25</v>
      </c>
      <c r="BC3441">
        <v>54</v>
      </c>
      <c r="BD3441">
        <v>235</v>
      </c>
      <c r="BE3441">
        <v>2010</v>
      </c>
      <c r="BF3441">
        <v>10</v>
      </c>
      <c r="BG3441">
        <v>2</v>
      </c>
      <c r="BH3441">
        <v>50</v>
      </c>
      <c r="BI3441">
        <v>8</v>
      </c>
      <c r="BJ3441">
        <v>15</v>
      </c>
      <c r="BK3441">
        <v>6</v>
      </c>
      <c r="BN3441" t="s">
        <v>595</v>
      </c>
      <c r="BP3441" s="184"/>
    </row>
    <row r="3442" spans="1:68">
      <c r="A3442">
        <v>40469363</v>
      </c>
      <c r="B3442">
        <v>40469363</v>
      </c>
      <c r="C3442" t="s">
        <v>7018</v>
      </c>
      <c r="E3442" s="184"/>
      <c r="G3442" s="184"/>
      <c r="I3442" s="184"/>
      <c r="J3442" t="s">
        <v>595</v>
      </c>
      <c r="K3442" s="184">
        <v>43530</v>
      </c>
      <c r="O3442" s="184"/>
      <c r="P3442" t="s">
        <v>7045</v>
      </c>
      <c r="Q3442" t="s">
        <v>7262</v>
      </c>
      <c r="R3442" s="184">
        <v>21641</v>
      </c>
      <c r="S3442">
        <v>65</v>
      </c>
      <c r="U3442" t="s">
        <v>7237</v>
      </c>
      <c r="V3442" t="s">
        <v>2724</v>
      </c>
      <c r="X3442" t="s">
        <v>2725</v>
      </c>
      <c r="AF3442" t="s">
        <v>6313</v>
      </c>
      <c r="AG3442" t="s">
        <v>2724</v>
      </c>
      <c r="AI3442" t="s">
        <v>26638</v>
      </c>
      <c r="AM3442" t="s">
        <v>2726</v>
      </c>
      <c r="AN3442" t="s">
        <v>65</v>
      </c>
      <c r="AO3442" t="s">
        <v>26639</v>
      </c>
      <c r="AP3442" t="s">
        <v>7024</v>
      </c>
      <c r="AQ3442" t="s">
        <v>26640</v>
      </c>
      <c r="AT3442" s="184">
        <v>39149</v>
      </c>
      <c r="AU3442" t="s">
        <v>26641</v>
      </c>
      <c r="AV3442">
        <v>100</v>
      </c>
      <c r="AW3442" s="184">
        <v>45001</v>
      </c>
      <c r="AX3442" t="s">
        <v>26642</v>
      </c>
      <c r="AY3442">
        <v>100</v>
      </c>
      <c r="AZ3442" s="184">
        <v>41702</v>
      </c>
      <c r="BA3442" t="s">
        <v>26643</v>
      </c>
      <c r="BB3442">
        <v>150</v>
      </c>
      <c r="BC3442">
        <v>95</v>
      </c>
      <c r="BD3442">
        <v>1900</v>
      </c>
      <c r="BE3442">
        <v>2007</v>
      </c>
      <c r="BF3442">
        <v>17</v>
      </c>
      <c r="BG3442">
        <v>1</v>
      </c>
      <c r="BH3442">
        <v>100</v>
      </c>
      <c r="BI3442">
        <v>17</v>
      </c>
      <c r="BJ3442">
        <v>18</v>
      </c>
      <c r="BK3442">
        <v>17</v>
      </c>
      <c r="BP3442" s="184"/>
    </row>
    <row r="3443" spans="1:68">
      <c r="A3443">
        <v>40479610</v>
      </c>
      <c r="B3443">
        <v>40479610</v>
      </c>
      <c r="C3443" t="s">
        <v>7018</v>
      </c>
      <c r="E3443" s="184"/>
      <c r="G3443" s="184"/>
      <c r="I3443" s="184"/>
      <c r="J3443" t="s">
        <v>595</v>
      </c>
      <c r="K3443" s="184">
        <v>44104</v>
      </c>
      <c r="M3443" s="184"/>
      <c r="O3443" s="184"/>
      <c r="P3443" t="s">
        <v>7045</v>
      </c>
      <c r="Q3443" t="s">
        <v>7454</v>
      </c>
      <c r="R3443" s="184">
        <v>12466</v>
      </c>
      <c r="S3443">
        <v>90</v>
      </c>
      <c r="U3443" t="s">
        <v>7076</v>
      </c>
      <c r="V3443" t="s">
        <v>2985</v>
      </c>
      <c r="X3443" t="s">
        <v>2754</v>
      </c>
      <c r="AF3443" t="s">
        <v>26644</v>
      </c>
      <c r="AG3443" t="s">
        <v>2985</v>
      </c>
      <c r="AI3443" t="s">
        <v>26645</v>
      </c>
      <c r="AM3443" t="s">
        <v>24317</v>
      </c>
      <c r="AN3443" t="s">
        <v>2055</v>
      </c>
      <c r="AO3443" t="s">
        <v>26646</v>
      </c>
      <c r="AP3443" t="s">
        <v>7024</v>
      </c>
      <c r="AQ3443" t="s">
        <v>26647</v>
      </c>
      <c r="AT3443" s="184">
        <v>39153</v>
      </c>
      <c r="AU3443" t="s">
        <v>26648</v>
      </c>
      <c r="AV3443">
        <v>50</v>
      </c>
      <c r="AW3443" s="184">
        <v>44469</v>
      </c>
      <c r="AX3443" t="s">
        <v>26649</v>
      </c>
      <c r="AY3443">
        <v>25</v>
      </c>
      <c r="AZ3443" s="184">
        <v>44064</v>
      </c>
      <c r="BA3443" t="s">
        <v>26650</v>
      </c>
      <c r="BB3443">
        <v>100</v>
      </c>
      <c r="BC3443">
        <v>73</v>
      </c>
      <c r="BD3443">
        <v>670</v>
      </c>
      <c r="BE3443">
        <v>2007</v>
      </c>
      <c r="BF3443">
        <v>17</v>
      </c>
      <c r="BI3443">
        <v>13</v>
      </c>
      <c r="BJ3443">
        <v>18</v>
      </c>
      <c r="BK3443">
        <v>11</v>
      </c>
      <c r="BP3443" s="184"/>
    </row>
    <row r="3444" spans="1:68">
      <c r="A3444">
        <v>40499527</v>
      </c>
      <c r="B3444">
        <v>40499527</v>
      </c>
      <c r="C3444" t="s">
        <v>7018</v>
      </c>
      <c r="D3444" t="s">
        <v>595</v>
      </c>
      <c r="E3444" s="184">
        <v>44438</v>
      </c>
      <c r="G3444" s="184"/>
      <c r="I3444" s="184"/>
      <c r="K3444" s="184"/>
      <c r="O3444" s="184"/>
      <c r="P3444" t="s">
        <v>7045</v>
      </c>
      <c r="Q3444" t="s">
        <v>7194</v>
      </c>
      <c r="R3444" s="184">
        <v>20112</v>
      </c>
      <c r="S3444">
        <v>69</v>
      </c>
      <c r="U3444" t="s">
        <v>7076</v>
      </c>
      <c r="V3444" t="s">
        <v>4727</v>
      </c>
      <c r="W3444" t="s">
        <v>7836</v>
      </c>
      <c r="X3444" t="s">
        <v>26651</v>
      </c>
      <c r="AF3444" t="s">
        <v>26652</v>
      </c>
      <c r="AG3444" t="s">
        <v>4727</v>
      </c>
      <c r="AI3444" t="s">
        <v>26653</v>
      </c>
      <c r="AM3444" t="s">
        <v>10409</v>
      </c>
      <c r="AN3444" t="s">
        <v>2046</v>
      </c>
      <c r="AO3444" t="s">
        <v>26654</v>
      </c>
      <c r="AP3444" t="s">
        <v>7024</v>
      </c>
      <c r="AQ3444" t="s">
        <v>26655</v>
      </c>
      <c r="AT3444" s="184">
        <v>39156</v>
      </c>
      <c r="AU3444" t="s">
        <v>26656</v>
      </c>
      <c r="AV3444">
        <v>25</v>
      </c>
      <c r="AW3444" s="184">
        <v>42290</v>
      </c>
      <c r="AX3444" t="s">
        <v>26657</v>
      </c>
      <c r="AY3444">
        <v>25</v>
      </c>
      <c r="AZ3444" s="184">
        <v>39526</v>
      </c>
      <c r="BA3444" t="s">
        <v>26658</v>
      </c>
      <c r="BB3444">
        <v>60</v>
      </c>
      <c r="BC3444">
        <v>39</v>
      </c>
      <c r="BD3444">
        <v>260</v>
      </c>
      <c r="BE3444">
        <v>2007</v>
      </c>
      <c r="BF3444">
        <v>8</v>
      </c>
      <c r="BI3444">
        <v>7</v>
      </c>
      <c r="BJ3444">
        <v>18</v>
      </c>
      <c r="BK3444">
        <v>4</v>
      </c>
      <c r="BP3444" s="184"/>
    </row>
    <row r="3445" spans="1:68">
      <c r="A3445">
        <v>40512931</v>
      </c>
      <c r="B3445">
        <v>40512931</v>
      </c>
      <c r="C3445" t="s">
        <v>7018</v>
      </c>
      <c r="D3445" t="s">
        <v>595</v>
      </c>
      <c r="E3445" s="184">
        <v>44073</v>
      </c>
      <c r="G3445" s="184"/>
      <c r="I3445" s="184"/>
      <c r="K3445" s="184"/>
      <c r="O3445" s="184"/>
      <c r="P3445" t="s">
        <v>7045</v>
      </c>
      <c r="Q3445" t="s">
        <v>7454</v>
      </c>
      <c r="R3445" s="184">
        <v>17170</v>
      </c>
      <c r="S3445">
        <v>77</v>
      </c>
      <c r="U3445" t="s">
        <v>7076</v>
      </c>
      <c r="V3445" t="s">
        <v>3043</v>
      </c>
      <c r="W3445" t="s">
        <v>3226</v>
      </c>
      <c r="X3445" t="s">
        <v>14917</v>
      </c>
      <c r="AF3445" t="s">
        <v>26659</v>
      </c>
      <c r="AG3445" t="s">
        <v>3043</v>
      </c>
      <c r="AI3445" t="s">
        <v>26660</v>
      </c>
      <c r="AM3445" t="s">
        <v>4138</v>
      </c>
      <c r="AN3445" t="s">
        <v>2299</v>
      </c>
      <c r="AO3445" t="s">
        <v>26661</v>
      </c>
      <c r="AP3445" t="s">
        <v>7024</v>
      </c>
      <c r="AQ3445" t="s">
        <v>26662</v>
      </c>
      <c r="AT3445" s="184">
        <v>39160</v>
      </c>
      <c r="AU3445" t="s">
        <v>26663</v>
      </c>
      <c r="AV3445">
        <v>35</v>
      </c>
      <c r="AW3445" s="184">
        <v>45419</v>
      </c>
      <c r="AX3445" t="s">
        <v>7422</v>
      </c>
      <c r="AY3445">
        <v>28</v>
      </c>
      <c r="AZ3445" s="184">
        <v>42423</v>
      </c>
      <c r="BA3445" t="s">
        <v>26664</v>
      </c>
      <c r="BB3445">
        <v>100</v>
      </c>
      <c r="BC3445">
        <v>95</v>
      </c>
      <c r="BD3445">
        <v>2349</v>
      </c>
      <c r="BE3445">
        <v>2007</v>
      </c>
      <c r="BF3445">
        <v>97</v>
      </c>
      <c r="BG3445">
        <v>24</v>
      </c>
      <c r="BH3445">
        <v>672</v>
      </c>
      <c r="BI3445">
        <v>17</v>
      </c>
      <c r="BJ3445">
        <v>18</v>
      </c>
      <c r="BK3445">
        <v>12</v>
      </c>
    </row>
    <row r="3446" spans="1:68">
      <c r="A3446">
        <v>40517369</v>
      </c>
      <c r="B3446">
        <v>40517369</v>
      </c>
      <c r="C3446" t="s">
        <v>7018</v>
      </c>
      <c r="D3446" t="s">
        <v>595</v>
      </c>
      <c r="E3446" s="184">
        <v>45148</v>
      </c>
      <c r="G3446" s="184"/>
      <c r="I3446" s="184"/>
      <c r="K3446" s="184"/>
      <c r="P3446" t="s">
        <v>7045</v>
      </c>
      <c r="Q3446" t="s">
        <v>7383</v>
      </c>
      <c r="R3446" s="184">
        <v>19633</v>
      </c>
      <c r="S3446">
        <v>70</v>
      </c>
      <c r="V3446" t="s">
        <v>3145</v>
      </c>
      <c r="X3446" t="s">
        <v>26665</v>
      </c>
      <c r="Z3446">
        <v>100119349</v>
      </c>
      <c r="AB3446" t="s">
        <v>7349</v>
      </c>
      <c r="AD3446" t="s">
        <v>26665</v>
      </c>
      <c r="AF3446" t="s">
        <v>26666</v>
      </c>
      <c r="AG3446" t="s">
        <v>26667</v>
      </c>
      <c r="AI3446" t="s">
        <v>26668</v>
      </c>
      <c r="AM3446" t="s">
        <v>3234</v>
      </c>
      <c r="AN3446" t="s">
        <v>2072</v>
      </c>
      <c r="AO3446" t="s">
        <v>26669</v>
      </c>
      <c r="AP3446" t="s">
        <v>7024</v>
      </c>
      <c r="AQ3446" t="s">
        <v>26670</v>
      </c>
      <c r="AR3446" t="s">
        <v>26671</v>
      </c>
      <c r="AT3446" s="184">
        <v>39164</v>
      </c>
      <c r="AU3446" t="s">
        <v>26672</v>
      </c>
      <c r="AV3446">
        <v>19.97</v>
      </c>
      <c r="AW3446" s="184">
        <v>44998</v>
      </c>
      <c r="AX3446" t="s">
        <v>26673</v>
      </c>
      <c r="AY3446">
        <v>25</v>
      </c>
      <c r="AZ3446" s="184">
        <v>44998</v>
      </c>
      <c r="BA3446" t="s">
        <v>26673</v>
      </c>
      <c r="BB3446">
        <v>25</v>
      </c>
      <c r="BC3446">
        <v>34</v>
      </c>
      <c r="BD3446">
        <v>204.97</v>
      </c>
      <c r="BE3446">
        <v>2007</v>
      </c>
      <c r="BF3446">
        <v>9</v>
      </c>
      <c r="BG3446">
        <v>1</v>
      </c>
      <c r="BH3446">
        <v>25</v>
      </c>
      <c r="BI3446">
        <v>6</v>
      </c>
      <c r="BJ3446">
        <v>18</v>
      </c>
      <c r="BK3446">
        <v>3</v>
      </c>
      <c r="BN3446" t="s">
        <v>595</v>
      </c>
      <c r="BP3446" s="184"/>
    </row>
    <row r="3447" spans="1:68">
      <c r="A3447">
        <v>100119349</v>
      </c>
      <c r="B3447">
        <v>40517369</v>
      </c>
      <c r="C3447" t="s">
        <v>7018</v>
      </c>
      <c r="D3447" t="s">
        <v>595</v>
      </c>
      <c r="E3447" s="184">
        <v>45148</v>
      </c>
      <c r="G3447" s="184"/>
      <c r="I3447" s="184"/>
      <c r="K3447" s="184"/>
      <c r="O3447" s="184"/>
      <c r="P3447" t="s">
        <v>7045</v>
      </c>
      <c r="Q3447" t="s">
        <v>7383</v>
      </c>
      <c r="R3447" s="184">
        <v>19633</v>
      </c>
      <c r="S3447">
        <v>70</v>
      </c>
      <c r="V3447" t="s">
        <v>7349</v>
      </c>
      <c r="X3447" t="s">
        <v>26665</v>
      </c>
      <c r="Z3447">
        <v>40517369</v>
      </c>
      <c r="AB3447" t="s">
        <v>3145</v>
      </c>
      <c r="AD3447" t="s">
        <v>26665</v>
      </c>
      <c r="AF3447" t="s">
        <v>26666</v>
      </c>
      <c r="AG3447" t="s">
        <v>26667</v>
      </c>
      <c r="AI3447" t="s">
        <v>26668</v>
      </c>
      <c r="AM3447" t="s">
        <v>3234</v>
      </c>
      <c r="AN3447" t="s">
        <v>2072</v>
      </c>
      <c r="AO3447" t="s">
        <v>26669</v>
      </c>
      <c r="AP3447" t="s">
        <v>7024</v>
      </c>
      <c r="AT3447" s="184"/>
      <c r="AW3447" s="184"/>
      <c r="AZ3447" s="184"/>
      <c r="BP3447" s="184"/>
    </row>
    <row r="3448" spans="1:68">
      <c r="A3448">
        <v>40521312</v>
      </c>
      <c r="B3448">
        <v>40521312</v>
      </c>
      <c r="C3448" t="s">
        <v>7018</v>
      </c>
      <c r="E3448" s="184"/>
      <c r="G3448" s="184"/>
      <c r="I3448" s="184"/>
      <c r="J3448" t="s">
        <v>595</v>
      </c>
      <c r="K3448" s="184">
        <v>39346</v>
      </c>
      <c r="O3448" s="184"/>
      <c r="P3448" t="s">
        <v>7045</v>
      </c>
      <c r="Q3448" t="s">
        <v>7030</v>
      </c>
      <c r="R3448" s="184">
        <v>8068</v>
      </c>
      <c r="S3448">
        <v>102</v>
      </c>
      <c r="U3448" t="s">
        <v>7076</v>
      </c>
      <c r="V3448" t="s">
        <v>2586</v>
      </c>
      <c r="X3448" t="s">
        <v>2706</v>
      </c>
      <c r="AF3448" t="s">
        <v>6741</v>
      </c>
      <c r="AG3448" t="s">
        <v>2586</v>
      </c>
      <c r="AI3448" t="s">
        <v>26674</v>
      </c>
      <c r="AM3448" t="s">
        <v>2564</v>
      </c>
      <c r="AN3448" t="s">
        <v>2089</v>
      </c>
      <c r="AO3448" t="s">
        <v>26675</v>
      </c>
      <c r="AP3448" t="s">
        <v>7024</v>
      </c>
      <c r="AT3448" s="184">
        <v>39161</v>
      </c>
      <c r="AU3448" t="s">
        <v>26615</v>
      </c>
      <c r="AV3448">
        <v>15</v>
      </c>
      <c r="AW3448" s="184">
        <v>39161</v>
      </c>
      <c r="AX3448" t="s">
        <v>26615</v>
      </c>
      <c r="AY3448">
        <v>15</v>
      </c>
      <c r="AZ3448" s="184">
        <v>39161</v>
      </c>
      <c r="BA3448" t="s">
        <v>26615</v>
      </c>
      <c r="BB3448">
        <v>15</v>
      </c>
      <c r="BC3448">
        <v>6</v>
      </c>
      <c r="BD3448">
        <v>15</v>
      </c>
      <c r="BE3448">
        <v>2007</v>
      </c>
      <c r="BF3448">
        <v>1</v>
      </c>
      <c r="BI3448">
        <v>1</v>
      </c>
      <c r="BJ3448">
        <v>18</v>
      </c>
      <c r="BK3448">
        <v>1</v>
      </c>
      <c r="BP3448" s="184"/>
    </row>
    <row r="3449" spans="1:68">
      <c r="A3449">
        <v>40522948</v>
      </c>
      <c r="B3449">
        <v>40522948</v>
      </c>
      <c r="C3449" t="s">
        <v>7018</v>
      </c>
      <c r="D3449" t="s">
        <v>595</v>
      </c>
      <c r="E3449" s="184">
        <v>45167</v>
      </c>
      <c r="G3449" s="184"/>
      <c r="I3449" s="184"/>
      <c r="K3449" s="184"/>
      <c r="O3449" s="184"/>
      <c r="P3449" t="s">
        <v>7045</v>
      </c>
      <c r="Q3449" t="s">
        <v>7160</v>
      </c>
      <c r="R3449" s="184">
        <v>16862</v>
      </c>
      <c r="S3449">
        <v>78</v>
      </c>
      <c r="U3449" t="s">
        <v>7076</v>
      </c>
      <c r="V3449" t="s">
        <v>3463</v>
      </c>
      <c r="W3449" t="s">
        <v>7963</v>
      </c>
      <c r="X3449" t="s">
        <v>26676</v>
      </c>
      <c r="AF3449" t="s">
        <v>26677</v>
      </c>
      <c r="AG3449" t="s">
        <v>3463</v>
      </c>
      <c r="AI3449" t="s">
        <v>26678</v>
      </c>
      <c r="AM3449" t="s">
        <v>4984</v>
      </c>
      <c r="AN3449" t="s">
        <v>2675</v>
      </c>
      <c r="AO3449" t="s">
        <v>26679</v>
      </c>
      <c r="AP3449" t="s">
        <v>7024</v>
      </c>
      <c r="AQ3449" t="s">
        <v>26680</v>
      </c>
      <c r="AT3449" s="184">
        <v>39161</v>
      </c>
      <c r="AU3449" t="s">
        <v>26681</v>
      </c>
      <c r="AV3449">
        <v>50</v>
      </c>
      <c r="AW3449" s="184">
        <v>45146</v>
      </c>
      <c r="AX3449" t="s">
        <v>26682</v>
      </c>
      <c r="AY3449">
        <v>40</v>
      </c>
      <c r="AZ3449" s="184">
        <v>39983</v>
      </c>
      <c r="BA3449" t="s">
        <v>26683</v>
      </c>
      <c r="BB3449">
        <v>100</v>
      </c>
      <c r="BC3449">
        <v>67</v>
      </c>
      <c r="BD3449">
        <v>805</v>
      </c>
      <c r="BE3449">
        <v>2007</v>
      </c>
      <c r="BF3449">
        <v>13</v>
      </c>
      <c r="BG3449">
        <v>2</v>
      </c>
      <c r="BH3449">
        <v>80</v>
      </c>
      <c r="BI3449">
        <v>12</v>
      </c>
      <c r="BJ3449">
        <v>18</v>
      </c>
      <c r="BK3449">
        <v>6</v>
      </c>
      <c r="BP3449" s="184"/>
    </row>
    <row r="3450" spans="1:68">
      <c r="A3450">
        <v>40525032</v>
      </c>
      <c r="B3450">
        <v>40525032</v>
      </c>
      <c r="C3450" t="s">
        <v>7018</v>
      </c>
      <c r="E3450" s="184"/>
      <c r="F3450" t="s">
        <v>595</v>
      </c>
      <c r="G3450" s="184">
        <v>44167</v>
      </c>
      <c r="I3450" s="184"/>
      <c r="K3450" s="184"/>
      <c r="O3450" s="184"/>
      <c r="P3450" t="s">
        <v>7045</v>
      </c>
      <c r="Q3450" t="s">
        <v>7374</v>
      </c>
      <c r="R3450" s="184">
        <v>13516</v>
      </c>
      <c r="S3450">
        <v>87</v>
      </c>
      <c r="U3450" t="s">
        <v>7076</v>
      </c>
      <c r="V3450" t="s">
        <v>26684</v>
      </c>
      <c r="X3450" t="s">
        <v>10421</v>
      </c>
      <c r="AF3450" t="s">
        <v>26685</v>
      </c>
      <c r="AG3450" t="s">
        <v>26684</v>
      </c>
      <c r="AI3450" t="s">
        <v>26686</v>
      </c>
      <c r="AM3450" t="s">
        <v>4471</v>
      </c>
      <c r="AN3450" t="s">
        <v>2081</v>
      </c>
      <c r="AO3450" t="s">
        <v>26687</v>
      </c>
      <c r="AP3450" t="s">
        <v>7024</v>
      </c>
      <c r="AQ3450" t="s">
        <v>26688</v>
      </c>
      <c r="AR3450" t="s">
        <v>26689</v>
      </c>
      <c r="AT3450" s="184">
        <v>39161</v>
      </c>
      <c r="AU3450" t="s">
        <v>26690</v>
      </c>
      <c r="AV3450">
        <v>25</v>
      </c>
      <c r="AW3450" s="184">
        <v>45318</v>
      </c>
      <c r="AX3450" t="s">
        <v>7832</v>
      </c>
      <c r="AY3450">
        <v>35</v>
      </c>
      <c r="AZ3450" s="184">
        <v>45318</v>
      </c>
      <c r="BA3450" t="s">
        <v>7832</v>
      </c>
      <c r="BB3450">
        <v>35</v>
      </c>
      <c r="BC3450">
        <v>95</v>
      </c>
      <c r="BD3450">
        <v>570</v>
      </c>
      <c r="BE3450">
        <v>2007</v>
      </c>
      <c r="BF3450">
        <v>18</v>
      </c>
      <c r="BG3450">
        <v>2</v>
      </c>
      <c r="BH3450">
        <v>70</v>
      </c>
      <c r="BI3450">
        <v>17</v>
      </c>
      <c r="BJ3450">
        <v>18</v>
      </c>
      <c r="BK3450">
        <v>14</v>
      </c>
      <c r="BP3450" s="184"/>
    </row>
    <row r="3451" spans="1:68">
      <c r="A3451">
        <v>40525297</v>
      </c>
      <c r="B3451">
        <v>40525297</v>
      </c>
      <c r="C3451" t="s">
        <v>7018</v>
      </c>
      <c r="D3451" t="s">
        <v>595</v>
      </c>
      <c r="E3451" s="184">
        <v>44104</v>
      </c>
      <c r="G3451" s="184"/>
      <c r="I3451" s="184"/>
      <c r="K3451" s="184"/>
      <c r="O3451" s="184"/>
      <c r="P3451" t="s">
        <v>7029</v>
      </c>
      <c r="Q3451" t="s">
        <v>7454</v>
      </c>
      <c r="R3451" s="184">
        <v>18397</v>
      </c>
      <c r="S3451">
        <v>74</v>
      </c>
      <c r="U3451" t="s">
        <v>7076</v>
      </c>
      <c r="V3451" t="s">
        <v>12301</v>
      </c>
      <c r="W3451" t="s">
        <v>7396</v>
      </c>
      <c r="X3451" t="s">
        <v>26691</v>
      </c>
      <c r="AF3451" t="s">
        <v>26692</v>
      </c>
      <c r="AG3451" t="s">
        <v>12301</v>
      </c>
      <c r="AI3451" t="s">
        <v>26693</v>
      </c>
      <c r="AM3451" t="s">
        <v>15191</v>
      </c>
      <c r="AN3451" t="s">
        <v>2055</v>
      </c>
      <c r="AO3451" t="s">
        <v>26694</v>
      </c>
      <c r="AP3451" t="s">
        <v>7024</v>
      </c>
      <c r="AQ3451" t="s">
        <v>26695</v>
      </c>
      <c r="AT3451" s="184">
        <v>39161</v>
      </c>
      <c r="AU3451" t="s">
        <v>26696</v>
      </c>
      <c r="AV3451">
        <v>15</v>
      </c>
      <c r="AW3451" s="184">
        <v>45288</v>
      </c>
      <c r="AX3451" t="s">
        <v>26697</v>
      </c>
      <c r="AY3451">
        <v>500</v>
      </c>
      <c r="AZ3451" s="184">
        <v>45288</v>
      </c>
      <c r="BA3451" t="s">
        <v>26697</v>
      </c>
      <c r="BB3451">
        <v>500</v>
      </c>
      <c r="BC3451">
        <v>95</v>
      </c>
      <c r="BD3451">
        <v>7450</v>
      </c>
      <c r="BE3451">
        <v>2007</v>
      </c>
      <c r="BF3451">
        <v>38</v>
      </c>
      <c r="BG3451">
        <v>3</v>
      </c>
      <c r="BH3451">
        <v>1050</v>
      </c>
      <c r="BI3451">
        <v>17</v>
      </c>
      <c r="BJ3451">
        <v>18</v>
      </c>
      <c r="BK3451">
        <v>17</v>
      </c>
      <c r="BP3451" s="184"/>
    </row>
    <row r="3452" spans="1:68">
      <c r="A3452">
        <v>40544405</v>
      </c>
      <c r="B3452">
        <v>40544405</v>
      </c>
      <c r="C3452" t="s">
        <v>7018</v>
      </c>
      <c r="D3452" t="s">
        <v>595</v>
      </c>
      <c r="E3452" s="184">
        <v>44167</v>
      </c>
      <c r="G3452" s="184"/>
      <c r="I3452" s="184"/>
      <c r="K3452" s="184"/>
      <c r="M3452" s="184"/>
      <c r="O3452" s="184"/>
      <c r="P3452" t="s">
        <v>7045</v>
      </c>
      <c r="Q3452" t="s">
        <v>7160</v>
      </c>
      <c r="R3452" s="184">
        <v>22050</v>
      </c>
      <c r="S3452">
        <v>64</v>
      </c>
      <c r="V3452" t="s">
        <v>26698</v>
      </c>
      <c r="X3452" t="s">
        <v>23286</v>
      </c>
      <c r="Z3452">
        <v>100119463</v>
      </c>
      <c r="AB3452" t="s">
        <v>26699</v>
      </c>
      <c r="AD3452" t="s">
        <v>23286</v>
      </c>
      <c r="AF3452" t="s">
        <v>26700</v>
      </c>
      <c r="AG3452" t="s">
        <v>26701</v>
      </c>
      <c r="AI3452" t="s">
        <v>26702</v>
      </c>
      <c r="AM3452" t="s">
        <v>26703</v>
      </c>
      <c r="AN3452" t="s">
        <v>2395</v>
      </c>
      <c r="AO3452" t="s">
        <v>26704</v>
      </c>
      <c r="AP3452" t="s">
        <v>7024</v>
      </c>
      <c r="AQ3452" t="s">
        <v>26705</v>
      </c>
      <c r="AT3452" s="184">
        <v>39167</v>
      </c>
      <c r="AU3452" t="s">
        <v>26706</v>
      </c>
      <c r="AV3452">
        <v>25</v>
      </c>
      <c r="AW3452" s="184">
        <v>44217</v>
      </c>
      <c r="AX3452" t="s">
        <v>26707</v>
      </c>
      <c r="AY3452">
        <v>25</v>
      </c>
      <c r="AZ3452" s="184">
        <v>41120</v>
      </c>
      <c r="BA3452" t="s">
        <v>26708</v>
      </c>
      <c r="BB3452">
        <v>50</v>
      </c>
      <c r="BC3452">
        <v>50</v>
      </c>
      <c r="BD3452">
        <v>290</v>
      </c>
      <c r="BE3452">
        <v>2007</v>
      </c>
      <c r="BF3452">
        <v>11</v>
      </c>
      <c r="BI3452">
        <v>9</v>
      </c>
      <c r="BJ3452">
        <v>18</v>
      </c>
      <c r="BK3452">
        <v>3</v>
      </c>
      <c r="BP3452" s="184"/>
    </row>
    <row r="3453" spans="1:68">
      <c r="A3453">
        <v>100119463</v>
      </c>
      <c r="B3453">
        <v>40544405</v>
      </c>
      <c r="C3453" t="s">
        <v>7018</v>
      </c>
      <c r="D3453" t="s">
        <v>595</v>
      </c>
      <c r="E3453" s="184">
        <v>44167</v>
      </c>
      <c r="G3453" s="184"/>
      <c r="I3453" s="184"/>
      <c r="K3453" s="184"/>
      <c r="M3453" s="184"/>
      <c r="O3453" s="184"/>
      <c r="P3453" t="s">
        <v>7045</v>
      </c>
      <c r="Q3453" t="s">
        <v>7160</v>
      </c>
      <c r="R3453" s="184">
        <v>22920</v>
      </c>
      <c r="S3453">
        <v>61</v>
      </c>
      <c r="V3453" t="s">
        <v>26699</v>
      </c>
      <c r="X3453" t="s">
        <v>23286</v>
      </c>
      <c r="Z3453">
        <v>40544405</v>
      </c>
      <c r="AB3453" t="s">
        <v>26698</v>
      </c>
      <c r="AD3453" t="s">
        <v>23286</v>
      </c>
      <c r="AF3453" t="s">
        <v>26700</v>
      </c>
      <c r="AG3453" t="s">
        <v>26701</v>
      </c>
      <c r="AI3453" t="s">
        <v>26702</v>
      </c>
      <c r="AM3453" t="s">
        <v>26703</v>
      </c>
      <c r="AN3453" t="s">
        <v>2395</v>
      </c>
      <c r="AO3453" t="s">
        <v>26704</v>
      </c>
      <c r="AP3453" t="s">
        <v>7024</v>
      </c>
      <c r="AT3453" s="184"/>
      <c r="AW3453" s="184"/>
      <c r="AZ3453" s="184"/>
      <c r="BP3453" s="184"/>
    </row>
    <row r="3454" spans="1:68">
      <c r="A3454">
        <v>40554545</v>
      </c>
      <c r="B3454">
        <v>40554545</v>
      </c>
      <c r="C3454" t="s">
        <v>7018</v>
      </c>
      <c r="E3454" s="184"/>
      <c r="G3454" s="184"/>
      <c r="H3454" t="s">
        <v>595</v>
      </c>
      <c r="I3454" s="184">
        <v>44070</v>
      </c>
      <c r="J3454" t="s">
        <v>595</v>
      </c>
      <c r="K3454" s="184">
        <v>44070</v>
      </c>
      <c r="M3454" s="184"/>
      <c r="O3454" s="184"/>
      <c r="P3454" t="s">
        <v>7045</v>
      </c>
      <c r="Q3454" t="s">
        <v>7454</v>
      </c>
      <c r="R3454" s="184">
        <v>18507</v>
      </c>
      <c r="S3454">
        <v>73</v>
      </c>
      <c r="V3454" t="s">
        <v>2511</v>
      </c>
      <c r="X3454" t="s">
        <v>4877</v>
      </c>
      <c r="Z3454">
        <v>100119511</v>
      </c>
      <c r="AB3454" t="s">
        <v>2523</v>
      </c>
      <c r="AC3454" t="s">
        <v>2049</v>
      </c>
      <c r="AD3454" t="s">
        <v>4877</v>
      </c>
      <c r="AF3454" t="s">
        <v>26709</v>
      </c>
      <c r="AG3454" t="s">
        <v>26710</v>
      </c>
      <c r="AI3454" t="s">
        <v>26711</v>
      </c>
      <c r="AM3454" t="s">
        <v>4878</v>
      </c>
      <c r="AN3454" t="s">
        <v>2299</v>
      </c>
      <c r="AO3454" t="s">
        <v>26712</v>
      </c>
      <c r="AP3454" t="s">
        <v>7024</v>
      </c>
      <c r="AQ3454" t="s">
        <v>26713</v>
      </c>
      <c r="AR3454" t="s">
        <v>26714</v>
      </c>
      <c r="AT3454" s="184">
        <v>39170</v>
      </c>
      <c r="AU3454" t="s">
        <v>26715</v>
      </c>
      <c r="AV3454">
        <v>25</v>
      </c>
      <c r="AW3454" s="184">
        <v>44911</v>
      </c>
      <c r="AX3454" t="s">
        <v>26716</v>
      </c>
      <c r="AY3454">
        <v>50</v>
      </c>
      <c r="AZ3454" s="184">
        <v>40168</v>
      </c>
      <c r="BA3454" t="s">
        <v>26717</v>
      </c>
      <c r="BB3454">
        <v>250</v>
      </c>
      <c r="BC3454">
        <v>73</v>
      </c>
      <c r="BD3454">
        <v>2595</v>
      </c>
      <c r="BE3454">
        <v>2007</v>
      </c>
      <c r="BF3454">
        <v>64</v>
      </c>
      <c r="BG3454">
        <v>1</v>
      </c>
      <c r="BH3454">
        <v>50</v>
      </c>
      <c r="BI3454">
        <v>13</v>
      </c>
      <c r="BJ3454">
        <v>18</v>
      </c>
      <c r="BK3454">
        <v>9</v>
      </c>
      <c r="BP3454" s="184"/>
    </row>
    <row r="3455" spans="1:68">
      <c r="A3455">
        <v>100119511</v>
      </c>
      <c r="B3455">
        <v>40554545</v>
      </c>
      <c r="C3455" t="s">
        <v>7018</v>
      </c>
      <c r="E3455" s="184"/>
      <c r="G3455" s="184"/>
      <c r="H3455" t="s">
        <v>595</v>
      </c>
      <c r="I3455" s="184">
        <v>44070</v>
      </c>
      <c r="J3455" t="s">
        <v>595</v>
      </c>
      <c r="K3455" s="184">
        <v>44070</v>
      </c>
      <c r="O3455" s="184"/>
      <c r="P3455" t="s">
        <v>7045</v>
      </c>
      <c r="Q3455" t="s">
        <v>7454</v>
      </c>
      <c r="R3455" s="184">
        <v>18507</v>
      </c>
      <c r="S3455">
        <v>73</v>
      </c>
      <c r="V3455" t="s">
        <v>2523</v>
      </c>
      <c r="W3455" t="s">
        <v>2049</v>
      </c>
      <c r="X3455" t="s">
        <v>4877</v>
      </c>
      <c r="Z3455">
        <v>40554545</v>
      </c>
      <c r="AB3455" t="s">
        <v>2511</v>
      </c>
      <c r="AD3455" t="s">
        <v>4877</v>
      </c>
      <c r="AF3455" t="s">
        <v>26709</v>
      </c>
      <c r="AG3455" t="s">
        <v>26710</v>
      </c>
      <c r="AI3455" t="s">
        <v>26711</v>
      </c>
      <c r="AM3455" t="s">
        <v>4878</v>
      </c>
      <c r="AN3455" t="s">
        <v>2299</v>
      </c>
      <c r="AO3455" t="s">
        <v>26712</v>
      </c>
      <c r="AP3455" t="s">
        <v>7024</v>
      </c>
      <c r="AQ3455" t="s">
        <v>26718</v>
      </c>
      <c r="AT3455" s="184"/>
      <c r="AW3455" s="184"/>
      <c r="AZ3455" s="184"/>
      <c r="BP3455" s="184"/>
    </row>
    <row r="3456" spans="1:68">
      <c r="A3456">
        <v>40554602</v>
      </c>
      <c r="B3456">
        <v>40554602</v>
      </c>
      <c r="C3456" t="s">
        <v>7018</v>
      </c>
      <c r="E3456" s="184"/>
      <c r="G3456" s="184"/>
      <c r="I3456" s="184"/>
      <c r="J3456" t="s">
        <v>595</v>
      </c>
      <c r="K3456" s="184">
        <v>39176</v>
      </c>
      <c r="M3456" s="184"/>
      <c r="O3456" s="184"/>
      <c r="P3456" t="s">
        <v>8550</v>
      </c>
      <c r="Q3456" t="s">
        <v>7160</v>
      </c>
      <c r="R3456" s="184">
        <v>22417</v>
      </c>
      <c r="S3456">
        <v>62</v>
      </c>
      <c r="U3456" t="s">
        <v>7076</v>
      </c>
      <c r="V3456" t="s">
        <v>19316</v>
      </c>
      <c r="X3456" t="s">
        <v>26719</v>
      </c>
      <c r="AF3456" t="s">
        <v>6727</v>
      </c>
      <c r="AG3456" t="s">
        <v>19316</v>
      </c>
      <c r="AI3456" t="s">
        <v>26720</v>
      </c>
      <c r="AM3456" t="s">
        <v>26721</v>
      </c>
      <c r="AN3456" t="s">
        <v>2176</v>
      </c>
      <c r="AO3456">
        <v>28756</v>
      </c>
      <c r="AP3456" t="s">
        <v>7024</v>
      </c>
      <c r="AQ3456" t="s">
        <v>26722</v>
      </c>
      <c r="AT3456" s="184">
        <v>40099</v>
      </c>
      <c r="AU3456" t="s">
        <v>26723</v>
      </c>
      <c r="AV3456">
        <v>35</v>
      </c>
      <c r="AW3456" s="184">
        <v>40099</v>
      </c>
      <c r="AX3456" t="s">
        <v>26723</v>
      </c>
      <c r="AY3456">
        <v>35</v>
      </c>
      <c r="AZ3456" s="184">
        <v>40099</v>
      </c>
      <c r="BA3456" t="s">
        <v>26723</v>
      </c>
      <c r="BB3456">
        <v>35</v>
      </c>
      <c r="BC3456">
        <v>7</v>
      </c>
      <c r="BD3456">
        <v>35</v>
      </c>
      <c r="BE3456">
        <v>2010</v>
      </c>
      <c r="BF3456">
        <v>1</v>
      </c>
      <c r="BI3456">
        <v>1</v>
      </c>
      <c r="BJ3456">
        <v>16</v>
      </c>
      <c r="BK3456">
        <v>1</v>
      </c>
      <c r="BP3456" s="184"/>
    </row>
    <row r="3457" spans="1:68">
      <c r="A3457">
        <v>40557738</v>
      </c>
      <c r="B3457">
        <v>40557738</v>
      </c>
      <c r="C3457" t="s">
        <v>7018</v>
      </c>
      <c r="E3457" s="184"/>
      <c r="G3457" s="184"/>
      <c r="I3457" s="184"/>
      <c r="J3457" t="s">
        <v>595</v>
      </c>
      <c r="K3457" s="184">
        <v>43825</v>
      </c>
      <c r="M3457" s="184"/>
      <c r="O3457" s="184"/>
      <c r="P3457" t="s">
        <v>7045</v>
      </c>
      <c r="Q3457" t="s">
        <v>7374</v>
      </c>
      <c r="R3457" s="184">
        <v>19360</v>
      </c>
      <c r="S3457">
        <v>71</v>
      </c>
      <c r="V3457" t="s">
        <v>2821</v>
      </c>
      <c r="X3457" t="s">
        <v>26724</v>
      </c>
      <c r="Z3457">
        <v>100119581</v>
      </c>
      <c r="AB3457" t="s">
        <v>26725</v>
      </c>
      <c r="AD3457" t="s">
        <v>26724</v>
      </c>
      <c r="AF3457" t="s">
        <v>6512</v>
      </c>
      <c r="AG3457" t="s">
        <v>26726</v>
      </c>
      <c r="AI3457" t="s">
        <v>26727</v>
      </c>
      <c r="AM3457" t="s">
        <v>4419</v>
      </c>
      <c r="AN3457" t="s">
        <v>2081</v>
      </c>
      <c r="AO3457" t="s">
        <v>26728</v>
      </c>
      <c r="AP3457" t="s">
        <v>7024</v>
      </c>
      <c r="AQ3457" t="s">
        <v>26729</v>
      </c>
      <c r="AR3457" t="s">
        <v>26730</v>
      </c>
      <c r="AT3457" s="184">
        <v>39174</v>
      </c>
      <c r="AU3457" t="s">
        <v>26731</v>
      </c>
      <c r="AV3457">
        <v>20</v>
      </c>
      <c r="AW3457" s="184">
        <v>45258</v>
      </c>
      <c r="AX3457" t="s">
        <v>8896</v>
      </c>
      <c r="AY3457">
        <v>100</v>
      </c>
      <c r="AZ3457" s="184">
        <v>44802</v>
      </c>
      <c r="BA3457" t="s">
        <v>26732</v>
      </c>
      <c r="BB3457">
        <v>200</v>
      </c>
      <c r="BC3457">
        <v>67</v>
      </c>
      <c r="BD3457">
        <v>1755</v>
      </c>
      <c r="BE3457">
        <v>2007</v>
      </c>
      <c r="BF3457">
        <v>22</v>
      </c>
      <c r="BG3457">
        <v>4</v>
      </c>
      <c r="BH3457">
        <v>500</v>
      </c>
      <c r="BI3457">
        <v>12</v>
      </c>
      <c r="BJ3457">
        <v>18</v>
      </c>
      <c r="BK3457">
        <v>11</v>
      </c>
      <c r="BP3457" s="184"/>
    </row>
    <row r="3458" spans="1:68">
      <c r="A3458">
        <v>100119581</v>
      </c>
      <c r="B3458">
        <v>40557738</v>
      </c>
      <c r="C3458" t="s">
        <v>7018</v>
      </c>
      <c r="E3458" s="184"/>
      <c r="G3458" s="184"/>
      <c r="I3458" s="184"/>
      <c r="J3458" t="s">
        <v>595</v>
      </c>
      <c r="K3458" s="184">
        <v>43825</v>
      </c>
      <c r="M3458" s="184"/>
      <c r="O3458" s="184"/>
      <c r="P3458" t="s">
        <v>7045</v>
      </c>
      <c r="Q3458" t="s">
        <v>7374</v>
      </c>
      <c r="R3458" s="184">
        <v>19360</v>
      </c>
      <c r="S3458">
        <v>71</v>
      </c>
      <c r="V3458" t="s">
        <v>26725</v>
      </c>
      <c r="X3458" t="s">
        <v>26724</v>
      </c>
      <c r="Z3458">
        <v>40557738</v>
      </c>
      <c r="AB3458" t="s">
        <v>2821</v>
      </c>
      <c r="AD3458" t="s">
        <v>26724</v>
      </c>
      <c r="AF3458" t="s">
        <v>6512</v>
      </c>
      <c r="AG3458" t="s">
        <v>26726</v>
      </c>
      <c r="AI3458" t="s">
        <v>26727</v>
      </c>
      <c r="AM3458" t="s">
        <v>4419</v>
      </c>
      <c r="AN3458" t="s">
        <v>2081</v>
      </c>
      <c r="AO3458" t="s">
        <v>26728</v>
      </c>
      <c r="AP3458" t="s">
        <v>7024</v>
      </c>
      <c r="AT3458" s="184"/>
      <c r="AW3458" s="184"/>
      <c r="AZ3458" s="184"/>
      <c r="BP3458" s="184"/>
    </row>
    <row r="3459" spans="1:68">
      <c r="A3459">
        <v>40562506</v>
      </c>
      <c r="B3459">
        <v>40562506</v>
      </c>
      <c r="C3459" t="s">
        <v>7018</v>
      </c>
      <c r="D3459" t="s">
        <v>595</v>
      </c>
      <c r="E3459" s="184">
        <v>45154</v>
      </c>
      <c r="G3459" s="184"/>
      <c r="I3459" s="184"/>
      <c r="K3459" s="184"/>
      <c r="M3459" s="184"/>
      <c r="O3459" s="184"/>
      <c r="P3459" t="s">
        <v>7045</v>
      </c>
      <c r="Q3459" t="s">
        <v>7383</v>
      </c>
      <c r="R3459" s="184">
        <v>16069</v>
      </c>
      <c r="S3459">
        <v>80</v>
      </c>
      <c r="U3459" t="s">
        <v>7031</v>
      </c>
      <c r="V3459" t="s">
        <v>2832</v>
      </c>
      <c r="W3459" t="s">
        <v>7085</v>
      </c>
      <c r="X3459" t="s">
        <v>18772</v>
      </c>
      <c r="AF3459" t="s">
        <v>26733</v>
      </c>
      <c r="AG3459" t="s">
        <v>2832</v>
      </c>
      <c r="AI3459" t="s">
        <v>26734</v>
      </c>
      <c r="AM3459" t="s">
        <v>26735</v>
      </c>
      <c r="AN3459" t="s">
        <v>2144</v>
      </c>
      <c r="AO3459" t="s">
        <v>26736</v>
      </c>
      <c r="AP3459" t="s">
        <v>7024</v>
      </c>
      <c r="AQ3459" t="s">
        <v>26737</v>
      </c>
      <c r="AR3459" t="s">
        <v>26738</v>
      </c>
      <c r="AT3459" s="184">
        <v>39175</v>
      </c>
      <c r="AU3459" t="s">
        <v>26739</v>
      </c>
      <c r="AV3459">
        <v>15</v>
      </c>
      <c r="AW3459" s="184">
        <v>45412</v>
      </c>
      <c r="AX3459" t="s">
        <v>10133</v>
      </c>
      <c r="AY3459">
        <v>10</v>
      </c>
      <c r="AZ3459" s="184">
        <v>42772</v>
      </c>
      <c r="BA3459" t="s">
        <v>26740</v>
      </c>
      <c r="BB3459">
        <v>25</v>
      </c>
      <c r="BC3459">
        <v>39</v>
      </c>
      <c r="BD3459">
        <v>355</v>
      </c>
      <c r="BE3459">
        <v>2007</v>
      </c>
      <c r="BF3459">
        <v>29</v>
      </c>
      <c r="BG3459">
        <v>23</v>
      </c>
      <c r="BH3459">
        <v>230</v>
      </c>
      <c r="BI3459">
        <v>7</v>
      </c>
      <c r="BJ3459">
        <v>18</v>
      </c>
      <c r="BK3459">
        <v>3</v>
      </c>
      <c r="BP3459" s="184"/>
    </row>
    <row r="3460" spans="1:68">
      <c r="A3460">
        <v>40563397</v>
      </c>
      <c r="B3460">
        <v>40563397</v>
      </c>
      <c r="C3460" t="s">
        <v>7018</v>
      </c>
      <c r="D3460" t="s">
        <v>595</v>
      </c>
      <c r="E3460" s="184">
        <v>44441</v>
      </c>
      <c r="G3460" s="184"/>
      <c r="I3460" s="184"/>
      <c r="K3460" s="184"/>
      <c r="P3460" t="s">
        <v>7045</v>
      </c>
      <c r="Q3460" t="s">
        <v>7262</v>
      </c>
      <c r="R3460" s="184">
        <v>21125</v>
      </c>
      <c r="S3460">
        <v>66</v>
      </c>
      <c r="U3460" t="s">
        <v>7031</v>
      </c>
      <c r="V3460" t="s">
        <v>2863</v>
      </c>
      <c r="X3460" t="s">
        <v>26741</v>
      </c>
      <c r="AF3460" t="s">
        <v>26742</v>
      </c>
      <c r="AG3460" t="s">
        <v>2863</v>
      </c>
      <c r="AI3460" t="s">
        <v>26743</v>
      </c>
      <c r="AM3460" t="s">
        <v>11167</v>
      </c>
      <c r="AN3460" t="s">
        <v>2106</v>
      </c>
      <c r="AO3460" t="s">
        <v>26744</v>
      </c>
      <c r="AP3460" t="s">
        <v>7024</v>
      </c>
      <c r="AQ3460" t="s">
        <v>26745</v>
      </c>
      <c r="AT3460" s="184">
        <v>39175</v>
      </c>
      <c r="AU3460" t="s">
        <v>26746</v>
      </c>
      <c r="AV3460">
        <v>25</v>
      </c>
      <c r="AW3460" s="184">
        <v>45321</v>
      </c>
      <c r="AX3460" t="s">
        <v>26747</v>
      </c>
      <c r="AY3460">
        <v>60</v>
      </c>
      <c r="AZ3460" s="184">
        <v>45321</v>
      </c>
      <c r="BA3460" t="s">
        <v>26747</v>
      </c>
      <c r="BB3460">
        <v>60</v>
      </c>
      <c r="BC3460">
        <v>62</v>
      </c>
      <c r="BD3460">
        <v>495</v>
      </c>
      <c r="BE3460">
        <v>2007</v>
      </c>
      <c r="BF3460">
        <v>12</v>
      </c>
      <c r="BG3460">
        <v>3</v>
      </c>
      <c r="BH3460">
        <v>100</v>
      </c>
      <c r="BI3460">
        <v>11</v>
      </c>
      <c r="BJ3460">
        <v>18</v>
      </c>
      <c r="BK3460">
        <v>3</v>
      </c>
      <c r="BP3460" s="184"/>
    </row>
    <row r="3461" spans="1:68">
      <c r="A3461">
        <v>40579567</v>
      </c>
      <c r="B3461">
        <v>40579567</v>
      </c>
      <c r="C3461" t="s">
        <v>7018</v>
      </c>
      <c r="E3461" s="184"/>
      <c r="G3461" s="184"/>
      <c r="I3461" s="184"/>
      <c r="J3461" t="s">
        <v>595</v>
      </c>
      <c r="K3461" s="184">
        <v>42522</v>
      </c>
      <c r="O3461" s="184"/>
      <c r="P3461" t="s">
        <v>7045</v>
      </c>
      <c r="Q3461" t="s">
        <v>7020</v>
      </c>
      <c r="R3461" s="184">
        <v>16887</v>
      </c>
      <c r="S3461">
        <v>78</v>
      </c>
      <c r="V3461" t="s">
        <v>26748</v>
      </c>
      <c r="W3461" t="s">
        <v>7246</v>
      </c>
      <c r="X3461" t="s">
        <v>26749</v>
      </c>
      <c r="AF3461" t="s">
        <v>6258</v>
      </c>
      <c r="AG3461" t="s">
        <v>26748</v>
      </c>
      <c r="AI3461" t="s">
        <v>26750</v>
      </c>
      <c r="AM3461" t="s">
        <v>26751</v>
      </c>
      <c r="AN3461" t="s">
        <v>2112</v>
      </c>
      <c r="AO3461" t="s">
        <v>26752</v>
      </c>
      <c r="AP3461" t="s">
        <v>7024</v>
      </c>
      <c r="AQ3461" t="s">
        <v>26753</v>
      </c>
      <c r="AT3461" s="184">
        <v>39188</v>
      </c>
      <c r="AU3461" t="s">
        <v>26754</v>
      </c>
      <c r="AV3461">
        <v>35</v>
      </c>
      <c r="AW3461" s="184">
        <v>45401</v>
      </c>
      <c r="AX3461" t="s">
        <v>7429</v>
      </c>
      <c r="AY3461">
        <v>15</v>
      </c>
      <c r="AZ3461" s="184">
        <v>42402</v>
      </c>
      <c r="BA3461" t="s">
        <v>26755</v>
      </c>
      <c r="BB3461">
        <v>150</v>
      </c>
      <c r="BC3461">
        <v>100</v>
      </c>
      <c r="BD3461">
        <v>2912</v>
      </c>
      <c r="BE3461">
        <v>2007</v>
      </c>
      <c r="BF3461">
        <v>89</v>
      </c>
      <c r="BG3461">
        <v>25</v>
      </c>
      <c r="BH3461">
        <v>460</v>
      </c>
      <c r="BI3461">
        <v>18</v>
      </c>
      <c r="BJ3461">
        <v>18</v>
      </c>
      <c r="BK3461">
        <v>18</v>
      </c>
      <c r="BP3461" s="184"/>
    </row>
    <row r="3462" spans="1:68">
      <c r="A3462">
        <v>40580870</v>
      </c>
      <c r="B3462">
        <v>40580870</v>
      </c>
      <c r="C3462" t="s">
        <v>7018</v>
      </c>
      <c r="D3462" t="s">
        <v>595</v>
      </c>
      <c r="E3462" s="184">
        <v>44104</v>
      </c>
      <c r="G3462" s="184"/>
      <c r="I3462" s="184"/>
      <c r="K3462" s="184"/>
      <c r="O3462" s="184"/>
      <c r="P3462" t="s">
        <v>7045</v>
      </c>
      <c r="Q3462" t="s">
        <v>7030</v>
      </c>
      <c r="R3462" s="184">
        <v>17807</v>
      </c>
      <c r="S3462">
        <v>75</v>
      </c>
      <c r="V3462" t="s">
        <v>2979</v>
      </c>
      <c r="X3462" t="s">
        <v>26756</v>
      </c>
      <c r="AF3462" t="s">
        <v>26757</v>
      </c>
      <c r="AG3462" t="s">
        <v>2979</v>
      </c>
      <c r="AI3462" t="s">
        <v>26758</v>
      </c>
      <c r="AM3462" t="s">
        <v>24329</v>
      </c>
      <c r="AN3462" t="s">
        <v>2094</v>
      </c>
      <c r="AO3462" t="s">
        <v>26759</v>
      </c>
      <c r="AP3462" t="s">
        <v>7024</v>
      </c>
      <c r="AQ3462" t="s">
        <v>26760</v>
      </c>
      <c r="AR3462" t="s">
        <v>26761</v>
      </c>
      <c r="AT3462" s="184">
        <v>39189</v>
      </c>
      <c r="AU3462" t="s">
        <v>26762</v>
      </c>
      <c r="AV3462">
        <v>15</v>
      </c>
      <c r="AW3462" s="184">
        <v>45330</v>
      </c>
      <c r="AX3462" t="s">
        <v>10915</v>
      </c>
      <c r="AY3462">
        <v>25</v>
      </c>
      <c r="AZ3462" s="184">
        <v>45330</v>
      </c>
      <c r="BA3462" t="s">
        <v>10915</v>
      </c>
      <c r="BB3462">
        <v>25</v>
      </c>
      <c r="BC3462">
        <v>100</v>
      </c>
      <c r="BD3462">
        <v>520</v>
      </c>
      <c r="BE3462">
        <v>2007</v>
      </c>
      <c r="BF3462">
        <v>23</v>
      </c>
      <c r="BG3462">
        <v>4</v>
      </c>
      <c r="BH3462">
        <v>100</v>
      </c>
      <c r="BI3462">
        <v>18</v>
      </c>
      <c r="BJ3462">
        <v>18</v>
      </c>
      <c r="BK3462">
        <v>18</v>
      </c>
      <c r="BN3462" t="s">
        <v>595</v>
      </c>
      <c r="BP3462" s="184"/>
    </row>
    <row r="3463" spans="1:68">
      <c r="A3463">
        <v>40581506</v>
      </c>
      <c r="B3463">
        <v>40581506</v>
      </c>
      <c r="C3463" t="s">
        <v>7018</v>
      </c>
      <c r="E3463" s="184"/>
      <c r="G3463" s="184"/>
      <c r="I3463" s="184"/>
      <c r="J3463" t="s">
        <v>595</v>
      </c>
      <c r="K3463" s="184">
        <v>44616</v>
      </c>
      <c r="M3463" s="184"/>
      <c r="O3463" s="184"/>
      <c r="P3463" t="s">
        <v>7084</v>
      </c>
      <c r="Q3463" t="s">
        <v>7374</v>
      </c>
      <c r="R3463" s="184">
        <v>13606</v>
      </c>
      <c r="S3463">
        <v>87</v>
      </c>
      <c r="U3463" t="s">
        <v>7076</v>
      </c>
      <c r="V3463" t="s">
        <v>10311</v>
      </c>
      <c r="W3463" t="s">
        <v>7407</v>
      </c>
      <c r="X3463" t="s">
        <v>26763</v>
      </c>
      <c r="AF3463" t="s">
        <v>26764</v>
      </c>
      <c r="AG3463" t="s">
        <v>10311</v>
      </c>
      <c r="AI3463" t="s">
        <v>26765</v>
      </c>
      <c r="AM3463" t="s">
        <v>4400</v>
      </c>
      <c r="AN3463" t="s">
        <v>2081</v>
      </c>
      <c r="AO3463" t="s">
        <v>26766</v>
      </c>
      <c r="AP3463" t="s">
        <v>7024</v>
      </c>
      <c r="AQ3463" t="s">
        <v>26767</v>
      </c>
      <c r="AT3463" s="184">
        <v>39189</v>
      </c>
      <c r="AU3463" t="s">
        <v>26768</v>
      </c>
      <c r="AV3463">
        <v>100</v>
      </c>
      <c r="AW3463" s="184">
        <v>44739</v>
      </c>
      <c r="AX3463" t="s">
        <v>7093</v>
      </c>
      <c r="AY3463">
        <v>500000</v>
      </c>
      <c r="AZ3463" s="184">
        <v>44739</v>
      </c>
      <c r="BA3463" t="s">
        <v>7093</v>
      </c>
      <c r="BB3463">
        <v>500000</v>
      </c>
      <c r="BC3463">
        <v>56</v>
      </c>
      <c r="BD3463">
        <v>502535</v>
      </c>
      <c r="BE3463">
        <v>2007</v>
      </c>
      <c r="BF3463">
        <v>14</v>
      </c>
      <c r="BG3463">
        <v>1</v>
      </c>
      <c r="BH3463">
        <v>500000</v>
      </c>
      <c r="BI3463">
        <v>10</v>
      </c>
      <c r="BJ3463">
        <v>18</v>
      </c>
      <c r="BK3463">
        <v>6</v>
      </c>
      <c r="BO3463" t="s">
        <v>595</v>
      </c>
      <c r="BP3463" s="184">
        <v>44563</v>
      </c>
    </row>
    <row r="3464" spans="1:68">
      <c r="A3464">
        <v>40605115</v>
      </c>
      <c r="B3464">
        <v>40605115</v>
      </c>
      <c r="C3464" t="s">
        <v>7018</v>
      </c>
      <c r="D3464" t="s">
        <v>595</v>
      </c>
      <c r="E3464" s="184">
        <v>45278</v>
      </c>
      <c r="G3464" s="184"/>
      <c r="H3464" t="s">
        <v>595</v>
      </c>
      <c r="I3464" s="184">
        <v>45278</v>
      </c>
      <c r="K3464" s="184"/>
      <c r="O3464" s="184"/>
      <c r="P3464" t="s">
        <v>7045</v>
      </c>
      <c r="Q3464" t="s">
        <v>7374</v>
      </c>
      <c r="R3464" s="184">
        <v>19045</v>
      </c>
      <c r="S3464">
        <v>72</v>
      </c>
      <c r="U3464" t="s">
        <v>7031</v>
      </c>
      <c r="V3464" t="s">
        <v>26769</v>
      </c>
      <c r="X3464" t="s">
        <v>26770</v>
      </c>
      <c r="Z3464">
        <v>100119768</v>
      </c>
      <c r="AA3464" t="s">
        <v>7076</v>
      </c>
      <c r="AB3464" t="s">
        <v>26771</v>
      </c>
      <c r="AD3464" t="s">
        <v>26772</v>
      </c>
      <c r="AF3464" t="s">
        <v>26773</v>
      </c>
      <c r="AG3464" t="s">
        <v>26774</v>
      </c>
      <c r="AI3464" t="s">
        <v>26775</v>
      </c>
      <c r="AM3464" t="s">
        <v>3109</v>
      </c>
      <c r="AN3464" t="s">
        <v>2081</v>
      </c>
      <c r="AO3464" t="s">
        <v>26776</v>
      </c>
      <c r="AP3464" t="s">
        <v>7024</v>
      </c>
      <c r="AQ3464" t="s">
        <v>26777</v>
      </c>
      <c r="AT3464" s="184">
        <v>39192</v>
      </c>
      <c r="AU3464" t="s">
        <v>26778</v>
      </c>
      <c r="AV3464">
        <v>50</v>
      </c>
      <c r="AW3464" s="184">
        <v>43669</v>
      </c>
      <c r="AX3464" t="s">
        <v>26779</v>
      </c>
      <c r="AY3464">
        <v>100</v>
      </c>
      <c r="AZ3464" s="184">
        <v>43669</v>
      </c>
      <c r="BA3464" t="s">
        <v>26779</v>
      </c>
      <c r="BB3464">
        <v>100</v>
      </c>
      <c r="BC3464">
        <v>73</v>
      </c>
      <c r="BD3464">
        <v>2191</v>
      </c>
      <c r="BE3464">
        <v>2007</v>
      </c>
      <c r="BF3464">
        <v>69</v>
      </c>
      <c r="BI3464">
        <v>13</v>
      </c>
      <c r="BJ3464">
        <v>18</v>
      </c>
      <c r="BK3464">
        <v>13</v>
      </c>
      <c r="BN3464" t="s">
        <v>595</v>
      </c>
      <c r="BP3464" s="184"/>
    </row>
    <row r="3465" spans="1:68">
      <c r="A3465">
        <v>100119768</v>
      </c>
      <c r="B3465">
        <v>40605115</v>
      </c>
      <c r="C3465" t="s">
        <v>7018</v>
      </c>
      <c r="D3465" t="s">
        <v>595</v>
      </c>
      <c r="E3465" s="184">
        <v>45278</v>
      </c>
      <c r="G3465" s="184"/>
      <c r="H3465" t="s">
        <v>595</v>
      </c>
      <c r="I3465" s="184">
        <v>45278</v>
      </c>
      <c r="K3465" s="184"/>
      <c r="M3465" s="184"/>
      <c r="O3465" s="184"/>
      <c r="P3465" t="s">
        <v>7045</v>
      </c>
      <c r="Q3465" t="s">
        <v>7374</v>
      </c>
      <c r="R3465" s="184">
        <v>19257</v>
      </c>
      <c r="S3465">
        <v>71</v>
      </c>
      <c r="U3465" t="s">
        <v>7076</v>
      </c>
      <c r="V3465" t="s">
        <v>26771</v>
      </c>
      <c r="X3465" t="s">
        <v>26772</v>
      </c>
      <c r="Z3465">
        <v>40605115</v>
      </c>
      <c r="AA3465" t="s">
        <v>7031</v>
      </c>
      <c r="AB3465" t="s">
        <v>26769</v>
      </c>
      <c r="AD3465" t="s">
        <v>26770</v>
      </c>
      <c r="AF3465" t="s">
        <v>26773</v>
      </c>
      <c r="AG3465" t="s">
        <v>26774</v>
      </c>
      <c r="AI3465" t="s">
        <v>26775</v>
      </c>
      <c r="AM3465" t="s">
        <v>3109</v>
      </c>
      <c r="AN3465" t="s">
        <v>2081</v>
      </c>
      <c r="AO3465" t="s">
        <v>26776</v>
      </c>
      <c r="AP3465" t="s">
        <v>7024</v>
      </c>
      <c r="AQ3465" t="s">
        <v>26780</v>
      </c>
      <c r="AR3465" t="s">
        <v>26777</v>
      </c>
      <c r="AT3465" s="184">
        <v>43592</v>
      </c>
      <c r="AU3465" t="s">
        <v>11866</v>
      </c>
      <c r="AV3465">
        <v>20</v>
      </c>
      <c r="AW3465" s="184">
        <v>45419</v>
      </c>
      <c r="AX3465" t="s">
        <v>7112</v>
      </c>
      <c r="AY3465">
        <v>30</v>
      </c>
      <c r="AZ3465" s="184">
        <v>45419</v>
      </c>
      <c r="BA3465" t="s">
        <v>7112</v>
      </c>
      <c r="BB3465">
        <v>30</v>
      </c>
      <c r="BC3465">
        <v>100</v>
      </c>
      <c r="BD3465">
        <v>1800</v>
      </c>
      <c r="BE3465">
        <v>2019</v>
      </c>
      <c r="BF3465">
        <v>61</v>
      </c>
      <c r="BG3465">
        <v>24</v>
      </c>
      <c r="BH3465">
        <v>720</v>
      </c>
      <c r="BI3465">
        <v>6</v>
      </c>
      <c r="BJ3465">
        <v>6</v>
      </c>
      <c r="BK3465">
        <v>6</v>
      </c>
      <c r="BP3465" s="184"/>
    </row>
    <row r="3466" spans="1:68">
      <c r="A3466">
        <v>40621286</v>
      </c>
      <c r="B3466">
        <v>40621286</v>
      </c>
      <c r="C3466" t="s">
        <v>7018</v>
      </c>
      <c r="D3466" t="s">
        <v>595</v>
      </c>
      <c r="E3466" s="184">
        <v>43642</v>
      </c>
      <c r="G3466" s="184"/>
      <c r="I3466" s="184"/>
      <c r="K3466" s="184"/>
      <c r="O3466" s="184"/>
      <c r="P3466" t="s">
        <v>7019</v>
      </c>
      <c r="Q3466" t="s">
        <v>7383</v>
      </c>
      <c r="R3466" s="184">
        <v>15504</v>
      </c>
      <c r="S3466">
        <v>81</v>
      </c>
      <c r="V3466" t="s">
        <v>3103</v>
      </c>
      <c r="X3466" t="s">
        <v>3104</v>
      </c>
      <c r="AF3466" t="s">
        <v>26781</v>
      </c>
      <c r="AG3466" t="s">
        <v>3103</v>
      </c>
      <c r="AI3466" t="s">
        <v>26782</v>
      </c>
      <c r="AM3466" t="s">
        <v>3105</v>
      </c>
      <c r="AN3466" t="s">
        <v>2313</v>
      </c>
      <c r="AO3466" t="s">
        <v>26783</v>
      </c>
      <c r="AP3466" t="s">
        <v>7024</v>
      </c>
      <c r="AT3466" s="184">
        <v>39202</v>
      </c>
      <c r="AU3466" t="s">
        <v>26784</v>
      </c>
      <c r="AV3466">
        <v>25</v>
      </c>
      <c r="AW3466" s="184">
        <v>44743</v>
      </c>
      <c r="AX3466" t="s">
        <v>26785</v>
      </c>
      <c r="AY3466">
        <v>87</v>
      </c>
      <c r="AZ3466" s="184">
        <v>43629</v>
      </c>
      <c r="BA3466" t="s">
        <v>26786</v>
      </c>
      <c r="BB3466">
        <v>115</v>
      </c>
      <c r="BC3466">
        <v>45</v>
      </c>
      <c r="BD3466">
        <v>652</v>
      </c>
      <c r="BE3466">
        <v>2007</v>
      </c>
      <c r="BF3466">
        <v>13</v>
      </c>
      <c r="BG3466">
        <v>1</v>
      </c>
      <c r="BH3466">
        <v>87</v>
      </c>
      <c r="BI3466">
        <v>8</v>
      </c>
      <c r="BJ3466">
        <v>18</v>
      </c>
      <c r="BK3466">
        <v>3</v>
      </c>
      <c r="BP3466" s="184"/>
    </row>
    <row r="3467" spans="1:68">
      <c r="A3467">
        <v>40623803</v>
      </c>
      <c r="B3467">
        <v>40623803</v>
      </c>
      <c r="C3467" t="s">
        <v>7018</v>
      </c>
      <c r="E3467" s="184"/>
      <c r="F3467" t="s">
        <v>595</v>
      </c>
      <c r="G3467" s="184">
        <v>44104</v>
      </c>
      <c r="I3467" s="184"/>
      <c r="K3467" s="184"/>
      <c r="O3467" s="184"/>
      <c r="P3467" t="s">
        <v>7045</v>
      </c>
      <c r="Q3467" t="s">
        <v>7160</v>
      </c>
      <c r="R3467" s="184">
        <v>18354</v>
      </c>
      <c r="S3467">
        <v>74</v>
      </c>
      <c r="V3467" t="s">
        <v>3919</v>
      </c>
      <c r="X3467" t="s">
        <v>24930</v>
      </c>
      <c r="AF3467" t="s">
        <v>26787</v>
      </c>
      <c r="AG3467" t="s">
        <v>3919</v>
      </c>
      <c r="AI3467" t="s">
        <v>26788</v>
      </c>
      <c r="AM3467" t="s">
        <v>4031</v>
      </c>
      <c r="AN3467" t="s">
        <v>2446</v>
      </c>
      <c r="AO3467" t="s">
        <v>26789</v>
      </c>
      <c r="AP3467" t="s">
        <v>7024</v>
      </c>
      <c r="AQ3467" t="s">
        <v>26790</v>
      </c>
      <c r="AT3467" s="184">
        <v>39202</v>
      </c>
      <c r="AU3467" t="s">
        <v>26791</v>
      </c>
      <c r="AV3467">
        <v>15</v>
      </c>
      <c r="AW3467" s="184">
        <v>45198</v>
      </c>
      <c r="AX3467" t="s">
        <v>26792</v>
      </c>
      <c r="AY3467">
        <v>25</v>
      </c>
      <c r="AZ3467" s="184">
        <v>45198</v>
      </c>
      <c r="BA3467" t="s">
        <v>26792</v>
      </c>
      <c r="BB3467">
        <v>25</v>
      </c>
      <c r="BC3467">
        <v>84</v>
      </c>
      <c r="BD3467">
        <v>450</v>
      </c>
      <c r="BE3467">
        <v>2007</v>
      </c>
      <c r="BF3467">
        <v>19</v>
      </c>
      <c r="BG3467">
        <v>1</v>
      </c>
      <c r="BH3467">
        <v>25</v>
      </c>
      <c r="BI3467">
        <v>15</v>
      </c>
      <c r="BJ3467">
        <v>18</v>
      </c>
      <c r="BK3467">
        <v>10</v>
      </c>
      <c r="BP3467" s="184"/>
    </row>
    <row r="3468" spans="1:68">
      <c r="A3468">
        <v>40637571</v>
      </c>
      <c r="B3468">
        <v>40637571</v>
      </c>
      <c r="C3468" t="s">
        <v>7018</v>
      </c>
      <c r="D3468" t="s">
        <v>595</v>
      </c>
      <c r="E3468" s="184">
        <v>45166</v>
      </c>
      <c r="G3468" s="184"/>
      <c r="I3468" s="184"/>
      <c r="K3468" s="184"/>
      <c r="O3468" s="184"/>
      <c r="P3468" t="s">
        <v>7045</v>
      </c>
      <c r="Q3468" t="s">
        <v>7383</v>
      </c>
      <c r="R3468" s="184">
        <v>20699</v>
      </c>
      <c r="S3468">
        <v>67</v>
      </c>
      <c r="U3468" t="s">
        <v>7076</v>
      </c>
      <c r="V3468" t="s">
        <v>3624</v>
      </c>
      <c r="X3468" t="s">
        <v>26793</v>
      </c>
      <c r="AF3468" t="s">
        <v>26794</v>
      </c>
      <c r="AG3468" t="s">
        <v>3624</v>
      </c>
      <c r="AI3468" t="s">
        <v>26795</v>
      </c>
      <c r="AM3468" t="s">
        <v>4615</v>
      </c>
      <c r="AN3468" t="s">
        <v>2419</v>
      </c>
      <c r="AO3468" t="s">
        <v>26796</v>
      </c>
      <c r="AP3468" t="s">
        <v>7024</v>
      </c>
      <c r="AQ3468" t="s">
        <v>26797</v>
      </c>
      <c r="AT3468" s="184">
        <v>39205</v>
      </c>
      <c r="AU3468" t="s">
        <v>26798</v>
      </c>
      <c r="AV3468">
        <v>25</v>
      </c>
      <c r="AW3468" s="184">
        <v>45131</v>
      </c>
      <c r="AX3468" t="s">
        <v>24145</v>
      </c>
      <c r="AY3468">
        <v>25</v>
      </c>
      <c r="AZ3468" s="184">
        <v>43427</v>
      </c>
      <c r="BA3468" t="s">
        <v>26799</v>
      </c>
      <c r="BB3468">
        <v>30</v>
      </c>
      <c r="BC3468">
        <v>45</v>
      </c>
      <c r="BD3468">
        <v>265</v>
      </c>
      <c r="BE3468">
        <v>2007</v>
      </c>
      <c r="BF3468">
        <v>11</v>
      </c>
      <c r="BG3468">
        <v>1</v>
      </c>
      <c r="BH3468">
        <v>25</v>
      </c>
      <c r="BI3468">
        <v>8</v>
      </c>
      <c r="BJ3468">
        <v>18</v>
      </c>
      <c r="BK3468">
        <v>6</v>
      </c>
      <c r="BP3468" s="184"/>
    </row>
    <row r="3469" spans="1:68">
      <c r="A3469">
        <v>40638397</v>
      </c>
      <c r="B3469">
        <v>40638397</v>
      </c>
      <c r="C3469" t="s">
        <v>7018</v>
      </c>
      <c r="E3469" s="184"/>
      <c r="G3469" s="184"/>
      <c r="I3469" s="184"/>
      <c r="J3469" t="s">
        <v>595</v>
      </c>
      <c r="K3469" s="184">
        <v>42222</v>
      </c>
      <c r="O3469" s="184"/>
      <c r="P3469" t="s">
        <v>7084</v>
      </c>
      <c r="Q3469" t="s">
        <v>7383</v>
      </c>
      <c r="R3469" s="184">
        <v>17003</v>
      </c>
      <c r="S3469">
        <v>77</v>
      </c>
      <c r="U3469" t="s">
        <v>7031</v>
      </c>
      <c r="V3469" t="s">
        <v>3134</v>
      </c>
      <c r="W3469" t="s">
        <v>5414</v>
      </c>
      <c r="X3469" t="s">
        <v>26800</v>
      </c>
      <c r="AF3469" t="s">
        <v>6524</v>
      </c>
      <c r="AG3469" t="s">
        <v>3134</v>
      </c>
      <c r="AI3469" t="s">
        <v>26801</v>
      </c>
      <c r="AM3469" t="s">
        <v>2830</v>
      </c>
      <c r="AN3469" t="s">
        <v>2185</v>
      </c>
      <c r="AO3469" t="s">
        <v>26802</v>
      </c>
      <c r="AP3469" t="s">
        <v>7024</v>
      </c>
      <c r="AQ3469" t="s">
        <v>26803</v>
      </c>
      <c r="AR3469" t="s">
        <v>26804</v>
      </c>
      <c r="AT3469" s="184">
        <v>39205</v>
      </c>
      <c r="AU3469" t="s">
        <v>26805</v>
      </c>
      <c r="AV3469">
        <v>25</v>
      </c>
      <c r="AW3469" s="184">
        <v>44484</v>
      </c>
      <c r="AX3469" t="s">
        <v>7093</v>
      </c>
      <c r="AY3469">
        <v>171607.43</v>
      </c>
      <c r="AZ3469" s="184">
        <v>44484</v>
      </c>
      <c r="BA3469" t="s">
        <v>7093</v>
      </c>
      <c r="BB3469">
        <v>171607.43</v>
      </c>
      <c r="BC3469">
        <v>62</v>
      </c>
      <c r="BD3469">
        <v>229259.92</v>
      </c>
      <c r="BE3469">
        <v>2007</v>
      </c>
      <c r="BF3469">
        <v>18</v>
      </c>
      <c r="BI3469">
        <v>11</v>
      </c>
      <c r="BJ3469">
        <v>18</v>
      </c>
      <c r="BK3469">
        <v>6</v>
      </c>
      <c r="BO3469" t="s">
        <v>595</v>
      </c>
      <c r="BP3469" s="184">
        <v>43698</v>
      </c>
    </row>
    <row r="3470" spans="1:68">
      <c r="A3470">
        <v>40653768</v>
      </c>
      <c r="B3470">
        <v>40653768</v>
      </c>
      <c r="C3470" t="s">
        <v>7018</v>
      </c>
      <c r="D3470" t="s">
        <v>595</v>
      </c>
      <c r="E3470" s="184">
        <v>44441</v>
      </c>
      <c r="G3470" s="184"/>
      <c r="I3470" s="184"/>
      <c r="K3470" s="184"/>
      <c r="M3470" s="184"/>
      <c r="O3470" s="184"/>
      <c r="P3470" t="s">
        <v>7045</v>
      </c>
      <c r="Q3470" t="s">
        <v>7030</v>
      </c>
      <c r="R3470" s="184">
        <v>22062</v>
      </c>
      <c r="S3470">
        <v>63</v>
      </c>
      <c r="U3470" t="s">
        <v>7031</v>
      </c>
      <c r="V3470" t="s">
        <v>3266</v>
      </c>
      <c r="X3470" t="s">
        <v>26806</v>
      </c>
      <c r="AF3470" t="s">
        <v>26807</v>
      </c>
      <c r="AG3470" t="s">
        <v>3266</v>
      </c>
      <c r="AI3470" t="s">
        <v>26808</v>
      </c>
      <c r="AM3470" t="s">
        <v>14582</v>
      </c>
      <c r="AN3470" t="s">
        <v>2094</v>
      </c>
      <c r="AO3470" t="s">
        <v>26809</v>
      </c>
      <c r="AP3470" t="s">
        <v>7024</v>
      </c>
      <c r="AQ3470" t="s">
        <v>26810</v>
      </c>
      <c r="AT3470" s="184">
        <v>39210</v>
      </c>
      <c r="AU3470" t="s">
        <v>26811</v>
      </c>
      <c r="AV3470">
        <v>15</v>
      </c>
      <c r="AW3470" s="184">
        <v>45142</v>
      </c>
      <c r="AX3470" t="s">
        <v>26514</v>
      </c>
      <c r="AY3470">
        <v>25</v>
      </c>
      <c r="AZ3470" s="184">
        <v>40960</v>
      </c>
      <c r="BA3470" t="s">
        <v>26812</v>
      </c>
      <c r="BB3470">
        <v>30</v>
      </c>
      <c r="BC3470">
        <v>62</v>
      </c>
      <c r="BD3470">
        <v>310</v>
      </c>
      <c r="BE3470">
        <v>2007</v>
      </c>
      <c r="BF3470">
        <v>14</v>
      </c>
      <c r="BG3470">
        <v>2</v>
      </c>
      <c r="BH3470">
        <v>50</v>
      </c>
      <c r="BI3470">
        <v>11</v>
      </c>
      <c r="BJ3470">
        <v>18</v>
      </c>
      <c r="BK3470">
        <v>6</v>
      </c>
      <c r="BP3470" s="184"/>
    </row>
    <row r="3471" spans="1:68">
      <c r="A3471">
        <v>40675720</v>
      </c>
      <c r="B3471">
        <v>40675720</v>
      </c>
      <c r="C3471" t="s">
        <v>7018</v>
      </c>
      <c r="E3471" s="184"/>
      <c r="G3471" s="184"/>
      <c r="H3471" t="s">
        <v>595</v>
      </c>
      <c r="I3471" s="184">
        <v>44774</v>
      </c>
      <c r="K3471" s="184"/>
      <c r="N3471" t="s">
        <v>595</v>
      </c>
      <c r="O3471" s="184">
        <v>44803</v>
      </c>
      <c r="P3471" t="s">
        <v>7029</v>
      </c>
      <c r="Q3471" t="s">
        <v>7262</v>
      </c>
      <c r="R3471" s="184">
        <v>10613</v>
      </c>
      <c r="S3471">
        <v>95</v>
      </c>
      <c r="V3471" t="s">
        <v>26813</v>
      </c>
      <c r="X3471" t="s">
        <v>26814</v>
      </c>
      <c r="AF3471" t="s">
        <v>26815</v>
      </c>
      <c r="AG3471" t="s">
        <v>26816</v>
      </c>
      <c r="AI3471" t="s">
        <v>26817</v>
      </c>
      <c r="AM3471" t="s">
        <v>7352</v>
      </c>
      <c r="AN3471" t="s">
        <v>2069</v>
      </c>
      <c r="AO3471" t="s">
        <v>26818</v>
      </c>
      <c r="AP3471" t="s">
        <v>7024</v>
      </c>
      <c r="AT3471" s="184">
        <v>39216</v>
      </c>
      <c r="AU3471" t="s">
        <v>26819</v>
      </c>
      <c r="AV3471">
        <v>25</v>
      </c>
      <c r="AW3471" s="184">
        <v>44804</v>
      </c>
      <c r="AX3471" t="s">
        <v>7044</v>
      </c>
      <c r="AY3471">
        <v>10000</v>
      </c>
      <c r="AZ3471" s="184">
        <v>44804</v>
      </c>
      <c r="BA3471" t="s">
        <v>7044</v>
      </c>
      <c r="BB3471">
        <v>10000</v>
      </c>
      <c r="BC3471">
        <v>50</v>
      </c>
      <c r="BD3471">
        <v>13360</v>
      </c>
      <c r="BE3471">
        <v>2007</v>
      </c>
      <c r="BF3471">
        <v>10</v>
      </c>
      <c r="BG3471">
        <v>1</v>
      </c>
      <c r="BH3471">
        <v>10000</v>
      </c>
      <c r="BI3471">
        <v>9</v>
      </c>
      <c r="BJ3471">
        <v>18</v>
      </c>
      <c r="BK3471">
        <v>7</v>
      </c>
      <c r="BP3471" s="184"/>
    </row>
    <row r="3472" spans="1:68">
      <c r="A3472">
        <v>40681652</v>
      </c>
      <c r="B3472">
        <v>40681652</v>
      </c>
      <c r="C3472" t="s">
        <v>7018</v>
      </c>
      <c r="D3472" t="s">
        <v>595</v>
      </c>
      <c r="E3472" s="184">
        <v>44104</v>
      </c>
      <c r="G3472" s="184"/>
      <c r="I3472" s="184"/>
      <c r="K3472" s="184"/>
      <c r="M3472" s="184"/>
      <c r="O3472" s="184"/>
      <c r="P3472" t="s">
        <v>7045</v>
      </c>
      <c r="Q3472" t="s">
        <v>7454</v>
      </c>
      <c r="R3472" s="184">
        <v>14944</v>
      </c>
      <c r="S3472">
        <v>83</v>
      </c>
      <c r="U3472" t="s">
        <v>7031</v>
      </c>
      <c r="V3472" t="s">
        <v>5144</v>
      </c>
      <c r="W3472" t="s">
        <v>7560</v>
      </c>
      <c r="X3472" t="s">
        <v>26820</v>
      </c>
      <c r="AF3472" t="s">
        <v>26821</v>
      </c>
      <c r="AG3472" t="s">
        <v>5144</v>
      </c>
      <c r="AI3472" t="s">
        <v>26822</v>
      </c>
      <c r="AM3472" t="s">
        <v>26823</v>
      </c>
      <c r="AN3472" t="s">
        <v>2055</v>
      </c>
      <c r="AO3472" t="s">
        <v>26824</v>
      </c>
      <c r="AP3472" t="s">
        <v>7024</v>
      </c>
      <c r="AQ3472" t="s">
        <v>26825</v>
      </c>
      <c r="AT3472" s="184">
        <v>39217</v>
      </c>
      <c r="AU3472" t="s">
        <v>26826</v>
      </c>
      <c r="AV3472">
        <v>25</v>
      </c>
      <c r="AW3472" s="184">
        <v>44964</v>
      </c>
      <c r="AX3472" t="s">
        <v>26827</v>
      </c>
      <c r="AY3472">
        <v>100</v>
      </c>
      <c r="AZ3472" s="184">
        <v>44027</v>
      </c>
      <c r="BA3472" t="s">
        <v>26828</v>
      </c>
      <c r="BB3472">
        <v>250</v>
      </c>
      <c r="BC3472">
        <v>84</v>
      </c>
      <c r="BD3472">
        <v>1345</v>
      </c>
      <c r="BE3472">
        <v>2007</v>
      </c>
      <c r="BF3472">
        <v>44</v>
      </c>
      <c r="BG3472">
        <v>1</v>
      </c>
      <c r="BH3472">
        <v>100</v>
      </c>
      <c r="BI3472">
        <v>15</v>
      </c>
      <c r="BJ3472">
        <v>18</v>
      </c>
      <c r="BK3472">
        <v>12</v>
      </c>
      <c r="BP3472" s="184"/>
    </row>
    <row r="3473" spans="1:68">
      <c r="A3473">
        <v>40688376</v>
      </c>
      <c r="B3473">
        <v>40688376</v>
      </c>
      <c r="C3473" t="s">
        <v>7018</v>
      </c>
      <c r="E3473" s="184"/>
      <c r="F3473" t="s">
        <v>595</v>
      </c>
      <c r="G3473" s="184">
        <v>44104</v>
      </c>
      <c r="I3473" s="184"/>
      <c r="K3473" s="184"/>
      <c r="O3473" s="184"/>
      <c r="P3473" t="s">
        <v>7045</v>
      </c>
      <c r="Q3473" t="s">
        <v>7383</v>
      </c>
      <c r="R3473" s="184">
        <v>20067</v>
      </c>
      <c r="S3473">
        <v>69</v>
      </c>
      <c r="V3473" t="s">
        <v>4236</v>
      </c>
      <c r="W3473" t="s">
        <v>7248</v>
      </c>
      <c r="X3473" t="s">
        <v>26829</v>
      </c>
      <c r="AF3473" t="s">
        <v>26830</v>
      </c>
      <c r="AG3473" t="s">
        <v>4236</v>
      </c>
      <c r="AI3473" t="s">
        <v>26831</v>
      </c>
      <c r="AM3473" t="s">
        <v>3815</v>
      </c>
      <c r="AN3473" t="s">
        <v>2059</v>
      </c>
      <c r="AO3473" t="s">
        <v>26832</v>
      </c>
      <c r="AP3473" t="s">
        <v>7024</v>
      </c>
      <c r="AQ3473" t="s">
        <v>26833</v>
      </c>
      <c r="AT3473" s="184">
        <v>39219</v>
      </c>
      <c r="AU3473" t="s">
        <v>26834</v>
      </c>
      <c r="AV3473">
        <v>20</v>
      </c>
      <c r="AW3473" s="184">
        <v>45265</v>
      </c>
      <c r="AX3473" t="s">
        <v>15021</v>
      </c>
      <c r="AY3473">
        <v>33</v>
      </c>
      <c r="AZ3473" s="184">
        <v>43885</v>
      </c>
      <c r="BA3473" t="s">
        <v>26835</v>
      </c>
      <c r="BB3473">
        <v>87</v>
      </c>
      <c r="BC3473">
        <v>78</v>
      </c>
      <c r="BD3473">
        <v>710</v>
      </c>
      <c r="BE3473">
        <v>2007</v>
      </c>
      <c r="BF3473">
        <v>20</v>
      </c>
      <c r="BG3473">
        <v>2</v>
      </c>
      <c r="BH3473">
        <v>83</v>
      </c>
      <c r="BI3473">
        <v>14</v>
      </c>
      <c r="BJ3473">
        <v>18</v>
      </c>
      <c r="BK3473">
        <v>11</v>
      </c>
      <c r="BP3473" s="184"/>
    </row>
    <row r="3474" spans="1:68">
      <c r="A3474">
        <v>40719320</v>
      </c>
      <c r="B3474">
        <v>40719320</v>
      </c>
      <c r="C3474" t="s">
        <v>7018</v>
      </c>
      <c r="E3474" s="184"/>
      <c r="G3474" s="184"/>
      <c r="I3474" s="184"/>
      <c r="J3474" t="s">
        <v>595</v>
      </c>
      <c r="K3474" s="184">
        <v>40415</v>
      </c>
      <c r="O3474" s="184"/>
      <c r="P3474" t="s">
        <v>7084</v>
      </c>
      <c r="Q3474" t="s">
        <v>7020</v>
      </c>
      <c r="R3474" s="184">
        <v>11241</v>
      </c>
      <c r="S3474">
        <v>93</v>
      </c>
      <c r="U3474" t="s">
        <v>7094</v>
      </c>
      <c r="V3474" t="s">
        <v>2918</v>
      </c>
      <c r="W3474" t="s">
        <v>3919</v>
      </c>
      <c r="X3474" t="s">
        <v>26836</v>
      </c>
      <c r="AF3474" t="s">
        <v>6731</v>
      </c>
      <c r="AG3474" t="s">
        <v>2918</v>
      </c>
      <c r="AI3474" t="s">
        <v>26837</v>
      </c>
      <c r="AM3474" t="s">
        <v>26838</v>
      </c>
      <c r="AN3474" t="s">
        <v>2112</v>
      </c>
      <c r="AO3474" t="s">
        <v>26839</v>
      </c>
      <c r="AP3474" t="s">
        <v>7024</v>
      </c>
      <c r="AT3474" s="184">
        <v>39231</v>
      </c>
      <c r="AU3474" t="s">
        <v>26840</v>
      </c>
      <c r="AV3474">
        <v>15</v>
      </c>
      <c r="AW3474" s="184">
        <v>44907</v>
      </c>
      <c r="AX3474" t="s">
        <v>7721</v>
      </c>
      <c r="AY3474">
        <v>55657.81</v>
      </c>
      <c r="AZ3474" s="184">
        <v>44907</v>
      </c>
      <c r="BA3474" t="s">
        <v>7721</v>
      </c>
      <c r="BB3474">
        <v>55657.81</v>
      </c>
      <c r="BC3474">
        <v>17</v>
      </c>
      <c r="BD3474">
        <v>55682.81</v>
      </c>
      <c r="BE3474">
        <v>2007</v>
      </c>
      <c r="BF3474">
        <v>3</v>
      </c>
      <c r="BG3474">
        <v>1</v>
      </c>
      <c r="BH3474">
        <v>55657.81</v>
      </c>
      <c r="BI3474">
        <v>3</v>
      </c>
      <c r="BJ3474">
        <v>18</v>
      </c>
      <c r="BK3474">
        <v>2</v>
      </c>
      <c r="BO3474" t="s">
        <v>595</v>
      </c>
      <c r="BP3474" s="184">
        <v>43726</v>
      </c>
    </row>
    <row r="3475" spans="1:68">
      <c r="A3475">
        <v>40722464</v>
      </c>
      <c r="B3475">
        <v>40722464</v>
      </c>
      <c r="C3475" t="s">
        <v>7018</v>
      </c>
      <c r="D3475" t="s">
        <v>595</v>
      </c>
      <c r="E3475" s="184">
        <v>43801</v>
      </c>
      <c r="G3475" s="184"/>
      <c r="I3475" s="184"/>
      <c r="K3475" s="184"/>
      <c r="O3475" s="184"/>
      <c r="P3475" t="s">
        <v>7045</v>
      </c>
      <c r="Q3475" t="s">
        <v>7030</v>
      </c>
      <c r="R3475" s="184">
        <v>14909</v>
      </c>
      <c r="S3475">
        <v>83</v>
      </c>
      <c r="U3475" t="s">
        <v>7130</v>
      </c>
      <c r="V3475" t="s">
        <v>3101</v>
      </c>
      <c r="W3475" t="s">
        <v>4139</v>
      </c>
      <c r="X3475" t="s">
        <v>4429</v>
      </c>
      <c r="Z3475">
        <v>100183199</v>
      </c>
      <c r="AA3475" t="s">
        <v>7031</v>
      </c>
      <c r="AB3475" t="s">
        <v>2771</v>
      </c>
      <c r="AD3475" t="s">
        <v>4429</v>
      </c>
      <c r="AF3475" t="s">
        <v>26841</v>
      </c>
      <c r="AG3475" t="s">
        <v>3101</v>
      </c>
      <c r="AI3475" t="s">
        <v>26842</v>
      </c>
      <c r="AM3475" t="s">
        <v>4183</v>
      </c>
      <c r="AN3475" t="s">
        <v>2089</v>
      </c>
      <c r="AO3475" t="s">
        <v>26843</v>
      </c>
      <c r="AP3475" t="s">
        <v>7024</v>
      </c>
      <c r="AQ3475" t="s">
        <v>26844</v>
      </c>
      <c r="AR3475" t="s">
        <v>26845</v>
      </c>
      <c r="AT3475" s="184">
        <v>33017</v>
      </c>
      <c r="AU3475" t="s">
        <v>10605</v>
      </c>
      <c r="AV3475">
        <v>15</v>
      </c>
      <c r="AW3475" s="184">
        <v>44858</v>
      </c>
      <c r="AX3475" t="s">
        <v>26846</v>
      </c>
      <c r="AY3475">
        <v>50</v>
      </c>
      <c r="AZ3475" s="184">
        <v>39559</v>
      </c>
      <c r="BA3475" t="s">
        <v>26847</v>
      </c>
      <c r="BB3475">
        <v>250</v>
      </c>
      <c r="BC3475">
        <v>63</v>
      </c>
      <c r="BD3475">
        <v>1980</v>
      </c>
      <c r="BE3475">
        <v>1990</v>
      </c>
      <c r="BF3475">
        <v>28</v>
      </c>
      <c r="BG3475">
        <v>1</v>
      </c>
      <c r="BH3475">
        <v>50</v>
      </c>
      <c r="BI3475">
        <v>22</v>
      </c>
      <c r="BJ3475">
        <v>35</v>
      </c>
      <c r="BK3475">
        <v>16</v>
      </c>
      <c r="BN3475" t="s">
        <v>595</v>
      </c>
      <c r="BP3475" s="184"/>
    </row>
    <row r="3476" spans="1:68">
      <c r="A3476">
        <v>40736035</v>
      </c>
      <c r="B3476">
        <v>40736035</v>
      </c>
      <c r="C3476" t="s">
        <v>7018</v>
      </c>
      <c r="E3476" s="184"/>
      <c r="G3476" s="184"/>
      <c r="I3476" s="184"/>
      <c r="J3476" t="s">
        <v>595</v>
      </c>
      <c r="K3476" s="184">
        <v>43388</v>
      </c>
      <c r="O3476" s="184"/>
      <c r="P3476" t="s">
        <v>7045</v>
      </c>
      <c r="Q3476" t="s">
        <v>7383</v>
      </c>
      <c r="R3476" s="184">
        <v>19633</v>
      </c>
      <c r="S3476">
        <v>70</v>
      </c>
      <c r="V3476" t="s">
        <v>3593</v>
      </c>
      <c r="W3476" t="s">
        <v>3830</v>
      </c>
      <c r="X3476" t="s">
        <v>3163</v>
      </c>
      <c r="AF3476" t="s">
        <v>6340</v>
      </c>
      <c r="AG3476" t="s">
        <v>3593</v>
      </c>
      <c r="AI3476" t="s">
        <v>26848</v>
      </c>
      <c r="AM3476" t="s">
        <v>2878</v>
      </c>
      <c r="AN3476" t="s">
        <v>2313</v>
      </c>
      <c r="AO3476" t="s">
        <v>26849</v>
      </c>
      <c r="AP3476" t="s">
        <v>7024</v>
      </c>
      <c r="AT3476" s="184">
        <v>39240</v>
      </c>
      <c r="AU3476" t="s">
        <v>26850</v>
      </c>
      <c r="AV3476">
        <v>15</v>
      </c>
      <c r="AW3476" s="184">
        <v>45408</v>
      </c>
      <c r="AX3476" t="s">
        <v>8483</v>
      </c>
      <c r="AY3476">
        <v>15</v>
      </c>
      <c r="AZ3476" s="184">
        <v>45408</v>
      </c>
      <c r="BA3476" t="s">
        <v>8483</v>
      </c>
      <c r="BB3476">
        <v>15</v>
      </c>
      <c r="BC3476">
        <v>95</v>
      </c>
      <c r="BD3476">
        <v>2180</v>
      </c>
      <c r="BE3476">
        <v>2007</v>
      </c>
      <c r="BF3476">
        <v>175</v>
      </c>
      <c r="BG3476">
        <v>24</v>
      </c>
      <c r="BH3476">
        <v>360</v>
      </c>
      <c r="BI3476">
        <v>17</v>
      </c>
      <c r="BJ3476">
        <v>18</v>
      </c>
      <c r="BK3476">
        <v>16</v>
      </c>
      <c r="BP3476" s="184"/>
    </row>
    <row r="3477" spans="1:68">
      <c r="A3477">
        <v>40739393</v>
      </c>
      <c r="B3477">
        <v>40739393</v>
      </c>
      <c r="C3477" t="s">
        <v>7018</v>
      </c>
      <c r="D3477" t="s">
        <v>595</v>
      </c>
      <c r="E3477" s="184">
        <v>43647</v>
      </c>
      <c r="G3477" s="184"/>
      <c r="I3477" s="184"/>
      <c r="K3477" s="184"/>
      <c r="M3477" s="184"/>
      <c r="P3477" t="s">
        <v>7029</v>
      </c>
      <c r="Q3477" t="s">
        <v>7383</v>
      </c>
      <c r="R3477" s="184">
        <v>13242</v>
      </c>
      <c r="S3477">
        <v>88</v>
      </c>
      <c r="V3477" t="s">
        <v>3574</v>
      </c>
      <c r="X3477" t="s">
        <v>3575</v>
      </c>
      <c r="AF3477" t="s">
        <v>26851</v>
      </c>
      <c r="AG3477" t="s">
        <v>3574</v>
      </c>
      <c r="AI3477" t="s">
        <v>26852</v>
      </c>
      <c r="AM3477" t="s">
        <v>3576</v>
      </c>
      <c r="AN3477" t="s">
        <v>2313</v>
      </c>
      <c r="AO3477" t="s">
        <v>26853</v>
      </c>
      <c r="AP3477" t="s">
        <v>7024</v>
      </c>
      <c r="AQ3477" t="s">
        <v>26854</v>
      </c>
      <c r="AT3477" s="184">
        <v>39241</v>
      </c>
      <c r="AU3477" t="s">
        <v>26855</v>
      </c>
      <c r="AV3477">
        <v>50</v>
      </c>
      <c r="AW3477" s="184">
        <v>45289</v>
      </c>
      <c r="AX3477" t="s">
        <v>7382</v>
      </c>
      <c r="AY3477">
        <v>3000</v>
      </c>
      <c r="AZ3477" s="184">
        <v>44873</v>
      </c>
      <c r="BA3477" t="s">
        <v>21464</v>
      </c>
      <c r="BB3477">
        <v>3609</v>
      </c>
      <c r="BC3477">
        <v>89</v>
      </c>
      <c r="BD3477">
        <v>19378</v>
      </c>
      <c r="BE3477">
        <v>2007</v>
      </c>
      <c r="BF3477">
        <v>25</v>
      </c>
      <c r="BG3477">
        <v>2</v>
      </c>
      <c r="BH3477">
        <v>6609</v>
      </c>
      <c r="BI3477">
        <v>16</v>
      </c>
      <c r="BJ3477">
        <v>18</v>
      </c>
      <c r="BK3477">
        <v>14</v>
      </c>
      <c r="BP3477" s="184"/>
    </row>
    <row r="3478" spans="1:68">
      <c r="A3478">
        <v>40744229</v>
      </c>
      <c r="B3478">
        <v>40744229</v>
      </c>
      <c r="C3478" t="s">
        <v>7018</v>
      </c>
      <c r="D3478" t="s">
        <v>595</v>
      </c>
      <c r="E3478" s="184">
        <v>43871</v>
      </c>
      <c r="G3478" s="184"/>
      <c r="I3478" s="184"/>
      <c r="K3478" s="184"/>
      <c r="O3478" s="184"/>
      <c r="P3478" t="s">
        <v>7045</v>
      </c>
      <c r="Q3478" t="s">
        <v>7383</v>
      </c>
      <c r="R3478" s="184">
        <v>20424</v>
      </c>
      <c r="S3478">
        <v>68</v>
      </c>
      <c r="U3478" t="s">
        <v>7130</v>
      </c>
      <c r="V3478" t="s">
        <v>3683</v>
      </c>
      <c r="X3478" t="s">
        <v>4762</v>
      </c>
      <c r="AF3478" t="s">
        <v>26856</v>
      </c>
      <c r="AG3478" t="s">
        <v>3683</v>
      </c>
      <c r="AI3478" t="s">
        <v>26857</v>
      </c>
      <c r="AM3478" t="s">
        <v>4763</v>
      </c>
      <c r="AN3478" t="s">
        <v>2144</v>
      </c>
      <c r="AO3478" t="s">
        <v>26858</v>
      </c>
      <c r="AP3478" t="s">
        <v>7024</v>
      </c>
      <c r="AQ3478" t="s">
        <v>26859</v>
      </c>
      <c r="AT3478" s="184">
        <v>39241</v>
      </c>
      <c r="AU3478" t="s">
        <v>26860</v>
      </c>
      <c r="AV3478">
        <v>15</v>
      </c>
      <c r="AW3478" s="184">
        <v>45417</v>
      </c>
      <c r="AX3478" t="s">
        <v>7422</v>
      </c>
      <c r="AY3478">
        <v>25</v>
      </c>
      <c r="AZ3478" s="184">
        <v>42003</v>
      </c>
      <c r="BA3478" t="s">
        <v>26861</v>
      </c>
      <c r="BB3478">
        <v>250</v>
      </c>
      <c r="BC3478">
        <v>100</v>
      </c>
      <c r="BD3478">
        <v>5235</v>
      </c>
      <c r="BE3478">
        <v>2007</v>
      </c>
      <c r="BF3478">
        <v>158</v>
      </c>
      <c r="BG3478">
        <v>24</v>
      </c>
      <c r="BH3478">
        <v>600</v>
      </c>
      <c r="BI3478">
        <v>18</v>
      </c>
      <c r="BJ3478">
        <v>18</v>
      </c>
      <c r="BK3478">
        <v>18</v>
      </c>
      <c r="BP3478" s="184"/>
    </row>
    <row r="3479" spans="1:68">
      <c r="A3479">
        <v>40760928</v>
      </c>
      <c r="B3479">
        <v>40760928</v>
      </c>
      <c r="C3479" t="s">
        <v>7018</v>
      </c>
      <c r="D3479" t="s">
        <v>595</v>
      </c>
      <c r="E3479" s="184">
        <v>43801</v>
      </c>
      <c r="G3479" s="184"/>
      <c r="I3479" s="184"/>
      <c r="K3479" s="184"/>
      <c r="O3479" s="184"/>
      <c r="P3479" t="s">
        <v>7045</v>
      </c>
      <c r="Q3479" t="s">
        <v>7374</v>
      </c>
      <c r="R3479" s="184">
        <v>16407</v>
      </c>
      <c r="S3479">
        <v>79</v>
      </c>
      <c r="U3479" t="s">
        <v>7076</v>
      </c>
      <c r="V3479" t="s">
        <v>2985</v>
      </c>
      <c r="W3479" t="s">
        <v>7407</v>
      </c>
      <c r="X3479" t="s">
        <v>4430</v>
      </c>
      <c r="Z3479">
        <v>100120520</v>
      </c>
      <c r="AB3479" t="s">
        <v>2635</v>
      </c>
      <c r="AD3479" t="s">
        <v>4430</v>
      </c>
      <c r="AF3479" t="s">
        <v>26862</v>
      </c>
      <c r="AG3479" t="s">
        <v>26863</v>
      </c>
      <c r="AI3479" t="s">
        <v>26864</v>
      </c>
      <c r="AM3479" t="s">
        <v>4431</v>
      </c>
      <c r="AN3479" t="s">
        <v>2081</v>
      </c>
      <c r="AO3479" t="s">
        <v>26865</v>
      </c>
      <c r="AP3479" t="s">
        <v>7024</v>
      </c>
      <c r="AQ3479" t="s">
        <v>26866</v>
      </c>
      <c r="AR3479" t="s">
        <v>26867</v>
      </c>
      <c r="AT3479" s="184">
        <v>39255</v>
      </c>
      <c r="AU3479" t="s">
        <v>26868</v>
      </c>
      <c r="AV3479">
        <v>20</v>
      </c>
      <c r="AW3479" s="184">
        <v>44637</v>
      </c>
      <c r="AX3479" t="s">
        <v>26869</v>
      </c>
      <c r="AY3479">
        <v>100</v>
      </c>
      <c r="AZ3479" s="184">
        <v>44637</v>
      </c>
      <c r="BA3479" t="s">
        <v>26869</v>
      </c>
      <c r="BB3479">
        <v>100</v>
      </c>
      <c r="BC3479">
        <v>78</v>
      </c>
      <c r="BD3479">
        <v>1124.97</v>
      </c>
      <c r="BE3479">
        <v>2007</v>
      </c>
      <c r="BF3479">
        <v>16</v>
      </c>
      <c r="BI3479">
        <v>14</v>
      </c>
      <c r="BJ3479">
        <v>18</v>
      </c>
      <c r="BK3479">
        <v>10</v>
      </c>
      <c r="BN3479" t="s">
        <v>595</v>
      </c>
      <c r="BP3479" s="184"/>
    </row>
    <row r="3480" spans="1:68">
      <c r="A3480">
        <v>100120520</v>
      </c>
      <c r="B3480">
        <v>40760928</v>
      </c>
      <c r="C3480" t="s">
        <v>7018</v>
      </c>
      <c r="D3480" t="s">
        <v>595</v>
      </c>
      <c r="E3480" s="184">
        <v>43801</v>
      </c>
      <c r="G3480" s="184"/>
      <c r="I3480" s="184"/>
      <c r="K3480" s="184"/>
      <c r="M3480" s="184"/>
      <c r="O3480" s="184"/>
      <c r="P3480" t="s">
        <v>7045</v>
      </c>
      <c r="Q3480" t="s">
        <v>7374</v>
      </c>
      <c r="R3480" s="184"/>
      <c r="V3480" t="s">
        <v>2635</v>
      </c>
      <c r="X3480" t="s">
        <v>4430</v>
      </c>
      <c r="Z3480">
        <v>40760928</v>
      </c>
      <c r="AA3480" t="s">
        <v>7076</v>
      </c>
      <c r="AB3480" t="s">
        <v>2985</v>
      </c>
      <c r="AC3480" t="s">
        <v>7407</v>
      </c>
      <c r="AD3480" t="s">
        <v>4430</v>
      </c>
      <c r="AF3480" t="s">
        <v>26862</v>
      </c>
      <c r="AG3480" t="s">
        <v>26863</v>
      </c>
      <c r="AI3480" t="s">
        <v>26864</v>
      </c>
      <c r="AM3480" t="s">
        <v>4431</v>
      </c>
      <c r="AN3480" t="s">
        <v>2081</v>
      </c>
      <c r="AO3480" t="s">
        <v>26865</v>
      </c>
      <c r="AP3480" t="s">
        <v>7024</v>
      </c>
      <c r="AT3480" s="184"/>
      <c r="AW3480" s="184"/>
      <c r="AZ3480" s="184"/>
      <c r="BP3480" s="184"/>
    </row>
    <row r="3481" spans="1:68">
      <c r="A3481">
        <v>40781106</v>
      </c>
      <c r="B3481">
        <v>40781106</v>
      </c>
      <c r="C3481" t="s">
        <v>7018</v>
      </c>
      <c r="D3481" t="s">
        <v>595</v>
      </c>
      <c r="E3481" s="184">
        <v>43662</v>
      </c>
      <c r="G3481" s="184"/>
      <c r="I3481" s="184"/>
      <c r="K3481" s="184"/>
      <c r="O3481" s="184"/>
      <c r="P3481" t="s">
        <v>7045</v>
      </c>
      <c r="Q3481" t="s">
        <v>7020</v>
      </c>
      <c r="R3481" s="184">
        <v>16340</v>
      </c>
      <c r="S3481">
        <v>79</v>
      </c>
      <c r="V3481" t="s">
        <v>2841</v>
      </c>
      <c r="X3481" t="s">
        <v>3016</v>
      </c>
      <c r="Z3481">
        <v>100120631</v>
      </c>
      <c r="AB3481" t="s">
        <v>2511</v>
      </c>
      <c r="AD3481" t="s">
        <v>3016</v>
      </c>
      <c r="AF3481" t="s">
        <v>26870</v>
      </c>
      <c r="AG3481" t="s">
        <v>26871</v>
      </c>
      <c r="AI3481" t="s">
        <v>26872</v>
      </c>
      <c r="AM3481" t="s">
        <v>26873</v>
      </c>
      <c r="AN3481" t="s">
        <v>2112</v>
      </c>
      <c r="AO3481" t="s">
        <v>26874</v>
      </c>
      <c r="AP3481" t="s">
        <v>7024</v>
      </c>
      <c r="AQ3481" t="s">
        <v>26875</v>
      </c>
      <c r="AR3481" t="s">
        <v>26876</v>
      </c>
      <c r="AT3481" s="184">
        <v>39268</v>
      </c>
      <c r="AU3481" t="s">
        <v>26868</v>
      </c>
      <c r="AV3481">
        <v>15</v>
      </c>
      <c r="AW3481" s="184">
        <v>43951</v>
      </c>
      <c r="AX3481" t="s">
        <v>26877</v>
      </c>
      <c r="AY3481">
        <v>30</v>
      </c>
      <c r="AZ3481" s="184">
        <v>43951</v>
      </c>
      <c r="BA3481" t="s">
        <v>26877</v>
      </c>
      <c r="BB3481">
        <v>30</v>
      </c>
      <c r="BC3481">
        <v>45</v>
      </c>
      <c r="BD3481">
        <v>260</v>
      </c>
      <c r="BE3481">
        <v>2008</v>
      </c>
      <c r="BF3481">
        <v>14</v>
      </c>
      <c r="BI3481">
        <v>8</v>
      </c>
      <c r="BJ3481">
        <v>18</v>
      </c>
      <c r="BK3481">
        <v>3</v>
      </c>
    </row>
    <row r="3482" spans="1:68">
      <c r="A3482">
        <v>100120631</v>
      </c>
      <c r="B3482">
        <v>40781106</v>
      </c>
      <c r="C3482" t="s">
        <v>7018</v>
      </c>
      <c r="D3482" t="s">
        <v>595</v>
      </c>
      <c r="E3482" s="184">
        <v>43640</v>
      </c>
      <c r="G3482" s="184"/>
      <c r="I3482" s="184"/>
      <c r="K3482" s="184"/>
      <c r="O3482" s="184"/>
      <c r="P3482" t="s">
        <v>7045</v>
      </c>
      <c r="Q3482" t="s">
        <v>7020</v>
      </c>
      <c r="R3482" s="184">
        <v>15131</v>
      </c>
      <c r="S3482">
        <v>82</v>
      </c>
      <c r="V3482" t="s">
        <v>2511</v>
      </c>
      <c r="X3482" t="s">
        <v>3016</v>
      </c>
      <c r="Z3482">
        <v>40781106</v>
      </c>
      <c r="AB3482" t="s">
        <v>2841</v>
      </c>
      <c r="AD3482" t="s">
        <v>3016</v>
      </c>
      <c r="AF3482" t="s">
        <v>26870</v>
      </c>
      <c r="AG3482" t="s">
        <v>26871</v>
      </c>
      <c r="AI3482" t="s">
        <v>26872</v>
      </c>
      <c r="AM3482" t="s">
        <v>26873</v>
      </c>
      <c r="AN3482" t="s">
        <v>2112</v>
      </c>
      <c r="AO3482" t="s">
        <v>26874</v>
      </c>
      <c r="AP3482" t="s">
        <v>7024</v>
      </c>
      <c r="AT3482" s="184"/>
      <c r="AW3482" s="184"/>
      <c r="AZ3482" s="184"/>
    </row>
    <row r="3483" spans="1:68">
      <c r="A3483">
        <v>40783086</v>
      </c>
      <c r="B3483">
        <v>40783086</v>
      </c>
      <c r="C3483" t="s">
        <v>7018</v>
      </c>
      <c r="D3483" t="s">
        <v>595</v>
      </c>
      <c r="E3483" s="184">
        <v>43640</v>
      </c>
      <c r="G3483" s="184"/>
      <c r="K3483" s="184"/>
      <c r="O3483" s="184"/>
      <c r="P3483" t="s">
        <v>7045</v>
      </c>
      <c r="Q3483" t="s">
        <v>7020</v>
      </c>
      <c r="R3483" s="184">
        <v>20637</v>
      </c>
      <c r="S3483">
        <v>67</v>
      </c>
      <c r="U3483" t="s">
        <v>7031</v>
      </c>
      <c r="V3483" t="s">
        <v>2898</v>
      </c>
      <c r="X3483" t="s">
        <v>3018</v>
      </c>
      <c r="AF3483" t="s">
        <v>26878</v>
      </c>
      <c r="AG3483" t="s">
        <v>2898</v>
      </c>
      <c r="AI3483" t="s">
        <v>26879</v>
      </c>
      <c r="AM3483" t="s">
        <v>3019</v>
      </c>
      <c r="AN3483" t="s">
        <v>2129</v>
      </c>
      <c r="AO3483" t="s">
        <v>26880</v>
      </c>
      <c r="AP3483" t="s">
        <v>7024</v>
      </c>
      <c r="AQ3483" t="s">
        <v>26881</v>
      </c>
      <c r="AR3483" t="s">
        <v>26882</v>
      </c>
      <c r="AT3483" s="184">
        <v>39269</v>
      </c>
      <c r="AU3483" t="s">
        <v>26883</v>
      </c>
      <c r="AV3483">
        <v>25</v>
      </c>
      <c r="AW3483" s="184">
        <v>45296</v>
      </c>
      <c r="AX3483" t="s">
        <v>13134</v>
      </c>
      <c r="AY3483">
        <v>75</v>
      </c>
      <c r="AZ3483" s="184">
        <v>43467</v>
      </c>
      <c r="BA3483" t="s">
        <v>26884</v>
      </c>
      <c r="BB3483">
        <v>100</v>
      </c>
      <c r="BC3483">
        <v>100</v>
      </c>
      <c r="BD3483">
        <v>2395</v>
      </c>
      <c r="BE3483">
        <v>2008</v>
      </c>
      <c r="BF3483">
        <v>45</v>
      </c>
      <c r="BG3483">
        <v>3</v>
      </c>
      <c r="BH3483">
        <v>200</v>
      </c>
      <c r="BI3483">
        <v>18</v>
      </c>
      <c r="BJ3483">
        <v>18</v>
      </c>
      <c r="BK3483">
        <v>18</v>
      </c>
      <c r="BP3483" s="184"/>
    </row>
    <row r="3484" spans="1:68">
      <c r="A3484">
        <v>40785776</v>
      </c>
      <c r="B3484">
        <v>40785776</v>
      </c>
      <c r="C3484" t="s">
        <v>7018</v>
      </c>
      <c r="E3484" s="184"/>
      <c r="G3484" s="184"/>
      <c r="I3484" s="184"/>
      <c r="J3484" t="s">
        <v>595</v>
      </c>
      <c r="K3484" s="184">
        <v>44104</v>
      </c>
      <c r="O3484" s="184"/>
      <c r="P3484" t="s">
        <v>7029</v>
      </c>
      <c r="Q3484" t="s">
        <v>7383</v>
      </c>
      <c r="R3484" s="184">
        <v>15417</v>
      </c>
      <c r="S3484">
        <v>82</v>
      </c>
      <c r="V3484" t="s">
        <v>3103</v>
      </c>
      <c r="X3484" t="s">
        <v>26885</v>
      </c>
      <c r="Z3484">
        <v>100120673</v>
      </c>
      <c r="AB3484" t="s">
        <v>3095</v>
      </c>
      <c r="AD3484" t="s">
        <v>4271</v>
      </c>
      <c r="AF3484" t="s">
        <v>26886</v>
      </c>
      <c r="AG3484" t="s">
        <v>26887</v>
      </c>
      <c r="AI3484" t="s">
        <v>26888</v>
      </c>
      <c r="AM3484" t="s">
        <v>2881</v>
      </c>
      <c r="AN3484" t="s">
        <v>2162</v>
      </c>
      <c r="AO3484" t="s">
        <v>26889</v>
      </c>
      <c r="AP3484" t="s">
        <v>7024</v>
      </c>
      <c r="AQ3484" t="s">
        <v>26890</v>
      </c>
      <c r="AR3484" t="s">
        <v>26891</v>
      </c>
      <c r="AT3484" s="184">
        <v>38547</v>
      </c>
      <c r="AU3484" t="s">
        <v>25024</v>
      </c>
      <c r="AV3484">
        <v>20</v>
      </c>
      <c r="AW3484" s="184">
        <v>44328</v>
      </c>
      <c r="AX3484" t="s">
        <v>26892</v>
      </c>
      <c r="AY3484">
        <v>25</v>
      </c>
      <c r="AZ3484" s="184">
        <v>44245</v>
      </c>
      <c r="BA3484" t="s">
        <v>26893</v>
      </c>
      <c r="BB3484">
        <v>1000</v>
      </c>
      <c r="BC3484">
        <v>80</v>
      </c>
      <c r="BD3484">
        <v>3995</v>
      </c>
      <c r="BE3484">
        <v>2006</v>
      </c>
      <c r="BF3484">
        <v>57</v>
      </c>
      <c r="BI3484">
        <v>16</v>
      </c>
      <c r="BJ3484">
        <v>20</v>
      </c>
      <c r="BK3484">
        <v>12</v>
      </c>
      <c r="BN3484" t="s">
        <v>595</v>
      </c>
      <c r="BP3484" s="184"/>
    </row>
    <row r="3485" spans="1:68">
      <c r="A3485">
        <v>100120673</v>
      </c>
      <c r="B3485">
        <v>40785776</v>
      </c>
      <c r="C3485" t="s">
        <v>7018</v>
      </c>
      <c r="E3485" s="184"/>
      <c r="G3485" s="184"/>
      <c r="J3485" t="s">
        <v>595</v>
      </c>
      <c r="K3485" s="184">
        <v>44104</v>
      </c>
      <c r="O3485" s="184"/>
      <c r="P3485" t="s">
        <v>7029</v>
      </c>
      <c r="Q3485" t="s">
        <v>7383</v>
      </c>
      <c r="R3485" s="184">
        <v>15043</v>
      </c>
      <c r="S3485">
        <v>83</v>
      </c>
      <c r="V3485" t="s">
        <v>3095</v>
      </c>
      <c r="X3485" t="s">
        <v>4271</v>
      </c>
      <c r="Z3485">
        <v>40785776</v>
      </c>
      <c r="AB3485" t="s">
        <v>3103</v>
      </c>
      <c r="AD3485" t="s">
        <v>26885</v>
      </c>
      <c r="AF3485" t="s">
        <v>26886</v>
      </c>
      <c r="AG3485" t="s">
        <v>26887</v>
      </c>
      <c r="AI3485" t="s">
        <v>26888</v>
      </c>
      <c r="AM3485" t="s">
        <v>2881</v>
      </c>
      <c r="AN3485" t="s">
        <v>2162</v>
      </c>
      <c r="AO3485" t="s">
        <v>26889</v>
      </c>
      <c r="AP3485" t="s">
        <v>7024</v>
      </c>
      <c r="AT3485" s="184"/>
      <c r="AW3485" s="184"/>
      <c r="AZ3485" s="184"/>
      <c r="BP3485" s="184"/>
    </row>
    <row r="3486" spans="1:68">
      <c r="A3486">
        <v>40813677</v>
      </c>
      <c r="B3486">
        <v>40813677</v>
      </c>
      <c r="C3486" t="s">
        <v>7018</v>
      </c>
      <c r="D3486" t="s">
        <v>595</v>
      </c>
      <c r="E3486" s="184">
        <v>44167</v>
      </c>
      <c r="G3486" s="184"/>
      <c r="I3486" s="184"/>
      <c r="K3486" s="184"/>
      <c r="O3486" s="184"/>
      <c r="P3486" t="s">
        <v>7045</v>
      </c>
      <c r="Q3486" t="s">
        <v>7262</v>
      </c>
      <c r="R3486" s="184">
        <v>15612</v>
      </c>
      <c r="S3486">
        <v>81</v>
      </c>
      <c r="U3486" t="s">
        <v>7076</v>
      </c>
      <c r="V3486" t="s">
        <v>3400</v>
      </c>
      <c r="W3486" t="s">
        <v>2316</v>
      </c>
      <c r="X3486" t="s">
        <v>26894</v>
      </c>
      <c r="AF3486" t="s">
        <v>26895</v>
      </c>
      <c r="AG3486" t="s">
        <v>3400</v>
      </c>
      <c r="AI3486" t="s">
        <v>26896</v>
      </c>
      <c r="AM3486" t="s">
        <v>26897</v>
      </c>
      <c r="AN3486" t="s">
        <v>2069</v>
      </c>
      <c r="AO3486" t="s">
        <v>26898</v>
      </c>
      <c r="AP3486" t="s">
        <v>7024</v>
      </c>
      <c r="AQ3486" t="s">
        <v>26899</v>
      </c>
      <c r="AT3486" s="184">
        <v>39279</v>
      </c>
      <c r="AU3486" t="s">
        <v>26900</v>
      </c>
      <c r="AV3486">
        <v>15</v>
      </c>
      <c r="AW3486" s="184">
        <v>45181</v>
      </c>
      <c r="AX3486" t="s">
        <v>26901</v>
      </c>
      <c r="AY3486">
        <v>15</v>
      </c>
      <c r="AZ3486" s="184">
        <v>41520</v>
      </c>
      <c r="BA3486" t="s">
        <v>22895</v>
      </c>
      <c r="BB3486">
        <v>25</v>
      </c>
      <c r="BC3486">
        <v>78</v>
      </c>
      <c r="BD3486">
        <v>292</v>
      </c>
      <c r="BE3486">
        <v>2008</v>
      </c>
      <c r="BF3486">
        <v>18</v>
      </c>
      <c r="BG3486">
        <v>2</v>
      </c>
      <c r="BH3486">
        <v>33</v>
      </c>
      <c r="BI3486">
        <v>14</v>
      </c>
      <c r="BJ3486">
        <v>18</v>
      </c>
      <c r="BK3486">
        <v>9</v>
      </c>
      <c r="BP3486" s="184"/>
    </row>
    <row r="3487" spans="1:68">
      <c r="A3487">
        <v>40827255</v>
      </c>
      <c r="B3487">
        <v>40827255</v>
      </c>
      <c r="C3487" t="s">
        <v>7018</v>
      </c>
      <c r="E3487" s="184"/>
      <c r="F3487" t="s">
        <v>595</v>
      </c>
      <c r="G3487" s="184">
        <v>43731</v>
      </c>
      <c r="I3487" s="184"/>
      <c r="K3487" s="184"/>
      <c r="P3487" t="s">
        <v>7019</v>
      </c>
      <c r="Q3487" t="s">
        <v>7383</v>
      </c>
      <c r="R3487" s="184">
        <v>18059</v>
      </c>
      <c r="S3487">
        <v>74</v>
      </c>
      <c r="U3487" t="s">
        <v>7031</v>
      </c>
      <c r="V3487" t="s">
        <v>2851</v>
      </c>
      <c r="W3487" t="s">
        <v>3689</v>
      </c>
      <c r="X3487" t="s">
        <v>4034</v>
      </c>
      <c r="Z3487">
        <v>100120861</v>
      </c>
      <c r="AB3487" t="s">
        <v>5144</v>
      </c>
      <c r="AD3487" t="s">
        <v>4034</v>
      </c>
      <c r="AF3487" t="s">
        <v>26902</v>
      </c>
      <c r="AG3487" t="s">
        <v>26903</v>
      </c>
      <c r="AI3487" t="s">
        <v>26904</v>
      </c>
      <c r="AM3487" t="s">
        <v>3815</v>
      </c>
      <c r="AN3487" t="s">
        <v>2059</v>
      </c>
      <c r="AO3487" t="s">
        <v>26905</v>
      </c>
      <c r="AP3487" t="s">
        <v>7024</v>
      </c>
      <c r="AQ3487" t="s">
        <v>26906</v>
      </c>
      <c r="AT3487" s="184">
        <v>39282</v>
      </c>
      <c r="AU3487" t="s">
        <v>26907</v>
      </c>
      <c r="AV3487">
        <v>15</v>
      </c>
      <c r="AW3487" s="184">
        <v>44967</v>
      </c>
      <c r="AX3487" t="s">
        <v>26908</v>
      </c>
      <c r="AY3487">
        <v>4</v>
      </c>
      <c r="AZ3487" s="184">
        <v>44377</v>
      </c>
      <c r="BA3487" t="s">
        <v>26909</v>
      </c>
      <c r="BB3487">
        <v>60</v>
      </c>
      <c r="BC3487">
        <v>67</v>
      </c>
      <c r="BD3487">
        <v>162</v>
      </c>
      <c r="BE3487">
        <v>2008</v>
      </c>
      <c r="BF3487">
        <v>25</v>
      </c>
      <c r="BG3487">
        <v>3</v>
      </c>
      <c r="BH3487">
        <v>10</v>
      </c>
      <c r="BI3487">
        <v>12</v>
      </c>
      <c r="BJ3487">
        <v>18</v>
      </c>
      <c r="BK3487">
        <v>4</v>
      </c>
    </row>
    <row r="3488" spans="1:68">
      <c r="A3488">
        <v>100120861</v>
      </c>
      <c r="B3488">
        <v>40827255</v>
      </c>
      <c r="C3488" t="s">
        <v>7018</v>
      </c>
      <c r="E3488" s="184"/>
      <c r="F3488" t="s">
        <v>595</v>
      </c>
      <c r="G3488" s="184">
        <v>43731</v>
      </c>
      <c r="I3488" s="184"/>
      <c r="K3488" s="184"/>
      <c r="M3488" s="184"/>
      <c r="O3488" s="184"/>
      <c r="P3488" t="s">
        <v>7019</v>
      </c>
      <c r="Q3488" t="s">
        <v>7383</v>
      </c>
      <c r="R3488" s="184">
        <v>23080</v>
      </c>
      <c r="S3488">
        <v>61</v>
      </c>
      <c r="V3488" t="s">
        <v>5144</v>
      </c>
      <c r="X3488" t="s">
        <v>4034</v>
      </c>
      <c r="Z3488">
        <v>40827255</v>
      </c>
      <c r="AA3488" t="s">
        <v>7031</v>
      </c>
      <c r="AB3488" t="s">
        <v>2851</v>
      </c>
      <c r="AC3488" t="s">
        <v>3689</v>
      </c>
      <c r="AD3488" t="s">
        <v>4034</v>
      </c>
      <c r="AF3488" t="s">
        <v>26902</v>
      </c>
      <c r="AG3488" t="s">
        <v>26903</v>
      </c>
      <c r="AI3488" t="s">
        <v>26904</v>
      </c>
      <c r="AM3488" t="s">
        <v>3815</v>
      </c>
      <c r="AN3488" t="s">
        <v>2059</v>
      </c>
      <c r="AO3488" t="s">
        <v>26905</v>
      </c>
      <c r="AP3488" t="s">
        <v>7024</v>
      </c>
      <c r="AT3488" s="184"/>
      <c r="AW3488" s="184"/>
      <c r="AZ3488" s="184"/>
      <c r="BP3488" s="184"/>
    </row>
    <row r="3489" spans="1:68">
      <c r="A3489">
        <v>40831356</v>
      </c>
      <c r="B3489">
        <v>40831356</v>
      </c>
      <c r="C3489" t="s">
        <v>7018</v>
      </c>
      <c r="D3489" t="s">
        <v>595</v>
      </c>
      <c r="E3489" s="184">
        <v>45148</v>
      </c>
      <c r="G3489" s="184"/>
      <c r="I3489" s="184"/>
      <c r="K3489" s="184"/>
      <c r="O3489" s="184"/>
      <c r="P3489" t="s">
        <v>7045</v>
      </c>
      <c r="Q3489" t="s">
        <v>7383</v>
      </c>
      <c r="R3489" s="184">
        <v>19143</v>
      </c>
      <c r="S3489">
        <v>71</v>
      </c>
      <c r="U3489" t="s">
        <v>7130</v>
      </c>
      <c r="V3489" t="s">
        <v>3288</v>
      </c>
      <c r="X3489" t="s">
        <v>5410</v>
      </c>
      <c r="AF3489" t="s">
        <v>26910</v>
      </c>
      <c r="AG3489" t="s">
        <v>3288</v>
      </c>
      <c r="AI3489" t="s">
        <v>26911</v>
      </c>
      <c r="AM3489" t="s">
        <v>10675</v>
      </c>
      <c r="AN3489" t="s">
        <v>2313</v>
      </c>
      <c r="AO3489" t="s">
        <v>26912</v>
      </c>
      <c r="AP3489" t="s">
        <v>7024</v>
      </c>
      <c r="AQ3489" t="s">
        <v>26913</v>
      </c>
      <c r="AT3489" s="184">
        <v>39282</v>
      </c>
      <c r="AU3489" t="s">
        <v>26914</v>
      </c>
      <c r="AV3489">
        <v>25</v>
      </c>
      <c r="AW3489" s="184">
        <v>45133</v>
      </c>
      <c r="AX3489" t="s">
        <v>26915</v>
      </c>
      <c r="AY3489">
        <v>40</v>
      </c>
      <c r="AZ3489" s="184">
        <v>45133</v>
      </c>
      <c r="BA3489" t="s">
        <v>26915</v>
      </c>
      <c r="BB3489">
        <v>40</v>
      </c>
      <c r="BC3489">
        <v>45</v>
      </c>
      <c r="BD3489">
        <v>190</v>
      </c>
      <c r="BE3489">
        <v>2008</v>
      </c>
      <c r="BF3489">
        <v>8</v>
      </c>
      <c r="BG3489">
        <v>1</v>
      </c>
      <c r="BH3489">
        <v>40</v>
      </c>
      <c r="BI3489">
        <v>8</v>
      </c>
      <c r="BJ3489">
        <v>18</v>
      </c>
      <c r="BK3489">
        <v>2</v>
      </c>
    </row>
    <row r="3490" spans="1:68">
      <c r="A3490">
        <v>40863227</v>
      </c>
      <c r="B3490">
        <v>40863227</v>
      </c>
      <c r="C3490" t="s">
        <v>7018</v>
      </c>
      <c r="D3490" t="s">
        <v>595</v>
      </c>
      <c r="E3490" s="184">
        <v>43669</v>
      </c>
      <c r="G3490" s="184"/>
      <c r="I3490" s="184"/>
      <c r="K3490" s="184"/>
      <c r="O3490" s="184"/>
      <c r="P3490" t="s">
        <v>7045</v>
      </c>
      <c r="Q3490" t="s">
        <v>7383</v>
      </c>
      <c r="R3490" s="184">
        <v>16948</v>
      </c>
      <c r="S3490">
        <v>77</v>
      </c>
      <c r="U3490" t="s">
        <v>7076</v>
      </c>
      <c r="V3490" t="s">
        <v>3665</v>
      </c>
      <c r="X3490" t="s">
        <v>3666</v>
      </c>
      <c r="AF3490" t="s">
        <v>26916</v>
      </c>
      <c r="AG3490" t="s">
        <v>3665</v>
      </c>
      <c r="AI3490" t="s">
        <v>26917</v>
      </c>
      <c r="AM3490" t="s">
        <v>3667</v>
      </c>
      <c r="AN3490" t="s">
        <v>2313</v>
      </c>
      <c r="AO3490" t="s">
        <v>26918</v>
      </c>
      <c r="AP3490" t="s">
        <v>7024</v>
      </c>
      <c r="AQ3490" t="s">
        <v>26919</v>
      </c>
      <c r="AT3490" s="184">
        <v>39286</v>
      </c>
      <c r="AU3490" t="s">
        <v>26920</v>
      </c>
      <c r="AV3490">
        <v>25</v>
      </c>
      <c r="AW3490" s="184">
        <v>43860</v>
      </c>
      <c r="AX3490" t="s">
        <v>26921</v>
      </c>
      <c r="AY3490">
        <v>27</v>
      </c>
      <c r="AZ3490" s="184">
        <v>42682</v>
      </c>
      <c r="BA3490" t="s">
        <v>26922</v>
      </c>
      <c r="BB3490">
        <v>55</v>
      </c>
      <c r="BC3490">
        <v>78</v>
      </c>
      <c r="BD3490">
        <v>2409</v>
      </c>
      <c r="BE3490">
        <v>2008</v>
      </c>
      <c r="BF3490">
        <v>155</v>
      </c>
      <c r="BI3490">
        <v>14</v>
      </c>
      <c r="BJ3490">
        <v>18</v>
      </c>
      <c r="BK3490">
        <v>14</v>
      </c>
      <c r="BO3490" t="s">
        <v>595</v>
      </c>
      <c r="BP3490" s="184"/>
    </row>
    <row r="3491" spans="1:68">
      <c r="A3491">
        <v>40882961</v>
      </c>
      <c r="B3491">
        <v>40882961</v>
      </c>
      <c r="C3491" t="s">
        <v>7018</v>
      </c>
      <c r="D3491" t="s">
        <v>595</v>
      </c>
      <c r="E3491" s="184">
        <v>44167</v>
      </c>
      <c r="G3491" s="184"/>
      <c r="I3491" s="184"/>
      <c r="K3491" s="184"/>
      <c r="O3491" s="184"/>
      <c r="P3491" t="s">
        <v>7045</v>
      </c>
      <c r="Q3491" t="s">
        <v>7020</v>
      </c>
      <c r="R3491" s="184">
        <v>16362</v>
      </c>
      <c r="S3491">
        <v>79</v>
      </c>
      <c r="U3491" t="s">
        <v>7076</v>
      </c>
      <c r="V3491" t="s">
        <v>3409</v>
      </c>
      <c r="X3491" t="s">
        <v>4015</v>
      </c>
      <c r="AF3491" t="s">
        <v>26923</v>
      </c>
      <c r="AG3491" t="s">
        <v>3409</v>
      </c>
      <c r="AI3491" t="s">
        <v>26924</v>
      </c>
      <c r="AM3491" t="s">
        <v>26925</v>
      </c>
      <c r="AN3491" t="s">
        <v>2129</v>
      </c>
      <c r="AO3491" t="s">
        <v>26926</v>
      </c>
      <c r="AP3491" t="s">
        <v>7024</v>
      </c>
      <c r="AQ3491" t="s">
        <v>26927</v>
      </c>
      <c r="AT3491" s="184">
        <v>39289</v>
      </c>
      <c r="AU3491" t="s">
        <v>26928</v>
      </c>
      <c r="AV3491">
        <v>5</v>
      </c>
      <c r="AW3491" s="184">
        <v>44668</v>
      </c>
      <c r="AX3491" t="s">
        <v>8543</v>
      </c>
      <c r="AY3491">
        <v>50</v>
      </c>
      <c r="AZ3491" s="184">
        <v>44668</v>
      </c>
      <c r="BA3491" t="s">
        <v>8543</v>
      </c>
      <c r="BB3491">
        <v>50</v>
      </c>
      <c r="BC3491">
        <v>78</v>
      </c>
      <c r="BD3491">
        <v>360</v>
      </c>
      <c r="BE3491">
        <v>2008</v>
      </c>
      <c r="BF3491">
        <v>15</v>
      </c>
      <c r="BG3491">
        <v>1</v>
      </c>
      <c r="BH3491">
        <v>50</v>
      </c>
      <c r="BI3491">
        <v>14</v>
      </c>
      <c r="BJ3491">
        <v>18</v>
      </c>
      <c r="BK3491">
        <v>12</v>
      </c>
      <c r="BP3491" s="184"/>
    </row>
    <row r="3492" spans="1:68">
      <c r="A3492">
        <v>40887796</v>
      </c>
      <c r="B3492">
        <v>40887796</v>
      </c>
      <c r="C3492" t="s">
        <v>7018</v>
      </c>
      <c r="D3492" t="s">
        <v>595</v>
      </c>
      <c r="E3492" s="184">
        <v>43801</v>
      </c>
      <c r="G3492" s="184"/>
      <c r="K3492" s="184"/>
      <c r="O3492" s="184"/>
      <c r="P3492" t="s">
        <v>7045</v>
      </c>
      <c r="Q3492" t="s">
        <v>7020</v>
      </c>
      <c r="R3492" s="184">
        <v>17015</v>
      </c>
      <c r="S3492">
        <v>77</v>
      </c>
      <c r="U3492" t="s">
        <v>7076</v>
      </c>
      <c r="V3492" t="s">
        <v>4432</v>
      </c>
      <c r="X3492" t="s">
        <v>4433</v>
      </c>
      <c r="AF3492" t="s">
        <v>26929</v>
      </c>
      <c r="AG3492" t="s">
        <v>4432</v>
      </c>
      <c r="AI3492" t="s">
        <v>26930</v>
      </c>
      <c r="AM3492" t="s">
        <v>24482</v>
      </c>
      <c r="AN3492" t="s">
        <v>2465</v>
      </c>
      <c r="AO3492" t="s">
        <v>26931</v>
      </c>
      <c r="AP3492" t="s">
        <v>7024</v>
      </c>
      <c r="AQ3492" t="s">
        <v>26932</v>
      </c>
      <c r="AR3492" t="s">
        <v>26933</v>
      </c>
      <c r="AT3492" s="184">
        <v>39289</v>
      </c>
      <c r="AU3492" t="s">
        <v>26934</v>
      </c>
      <c r="AV3492">
        <v>25</v>
      </c>
      <c r="AW3492" s="184">
        <v>45421</v>
      </c>
      <c r="AX3492" t="s">
        <v>7422</v>
      </c>
      <c r="AY3492">
        <v>5</v>
      </c>
      <c r="AZ3492" s="184">
        <v>42607</v>
      </c>
      <c r="BA3492" t="s">
        <v>26935</v>
      </c>
      <c r="BB3492">
        <v>50</v>
      </c>
      <c r="BC3492">
        <v>100</v>
      </c>
      <c r="BD3492">
        <v>1260</v>
      </c>
      <c r="BE3492">
        <v>2008</v>
      </c>
      <c r="BF3492">
        <v>142</v>
      </c>
      <c r="BG3492">
        <v>24</v>
      </c>
      <c r="BH3492">
        <v>120</v>
      </c>
      <c r="BI3492">
        <v>18</v>
      </c>
      <c r="BJ3492">
        <v>18</v>
      </c>
      <c r="BK3492">
        <v>18</v>
      </c>
      <c r="BP3492" s="184"/>
    </row>
    <row r="3493" spans="1:68">
      <c r="A3493">
        <v>40906182</v>
      </c>
      <c r="B3493">
        <v>40906182</v>
      </c>
      <c r="C3493" t="s">
        <v>7018</v>
      </c>
      <c r="E3493" s="184"/>
      <c r="F3493" t="s">
        <v>595</v>
      </c>
      <c r="G3493" s="184">
        <v>44167</v>
      </c>
      <c r="K3493" s="184"/>
      <c r="O3493" s="184"/>
      <c r="P3493" t="s">
        <v>7045</v>
      </c>
      <c r="Q3493" t="s">
        <v>7030</v>
      </c>
      <c r="R3493" s="184">
        <v>14763</v>
      </c>
      <c r="S3493">
        <v>83</v>
      </c>
      <c r="U3493" t="s">
        <v>7031</v>
      </c>
      <c r="V3493" t="s">
        <v>5410</v>
      </c>
      <c r="W3493" t="s">
        <v>7407</v>
      </c>
      <c r="X3493" t="s">
        <v>3318</v>
      </c>
      <c r="Z3493">
        <v>100571995</v>
      </c>
      <c r="AB3493" t="s">
        <v>26936</v>
      </c>
      <c r="AD3493" t="s">
        <v>3318</v>
      </c>
      <c r="AF3493" t="s">
        <v>26937</v>
      </c>
      <c r="AG3493" t="s">
        <v>26938</v>
      </c>
      <c r="AI3493" t="s">
        <v>26939</v>
      </c>
      <c r="AM3493" t="s">
        <v>4722</v>
      </c>
      <c r="AN3493" t="s">
        <v>2089</v>
      </c>
      <c r="AO3493" t="s">
        <v>26940</v>
      </c>
      <c r="AP3493" t="s">
        <v>7024</v>
      </c>
      <c r="AQ3493" t="s">
        <v>26941</v>
      </c>
      <c r="AR3493" t="s">
        <v>26942</v>
      </c>
      <c r="AT3493" s="184">
        <v>39295</v>
      </c>
      <c r="AU3493" t="s">
        <v>26943</v>
      </c>
      <c r="AV3493">
        <v>20</v>
      </c>
      <c r="AW3493" s="184">
        <v>45364</v>
      </c>
      <c r="AX3493" t="s">
        <v>10666</v>
      </c>
      <c r="AY3493">
        <v>25</v>
      </c>
      <c r="AZ3493" s="184">
        <v>43852</v>
      </c>
      <c r="BA3493" t="s">
        <v>26944</v>
      </c>
      <c r="BB3493">
        <v>60</v>
      </c>
      <c r="BC3493">
        <v>45</v>
      </c>
      <c r="BD3493">
        <v>320</v>
      </c>
      <c r="BE3493">
        <v>2008</v>
      </c>
      <c r="BF3493">
        <v>12</v>
      </c>
      <c r="BG3493">
        <v>3</v>
      </c>
      <c r="BH3493">
        <v>75</v>
      </c>
      <c r="BI3493">
        <v>8</v>
      </c>
      <c r="BJ3493">
        <v>18</v>
      </c>
      <c r="BK3493">
        <v>2</v>
      </c>
      <c r="BN3493" t="s">
        <v>595</v>
      </c>
      <c r="BP3493" s="184"/>
    </row>
    <row r="3494" spans="1:68">
      <c r="A3494">
        <v>100571995</v>
      </c>
      <c r="B3494">
        <v>40906182</v>
      </c>
      <c r="C3494" t="s">
        <v>7018</v>
      </c>
      <c r="E3494" s="184"/>
      <c r="F3494" t="s">
        <v>595</v>
      </c>
      <c r="G3494" s="184">
        <v>44167</v>
      </c>
      <c r="I3494" s="184"/>
      <c r="K3494" s="184"/>
      <c r="P3494" t="s">
        <v>7045</v>
      </c>
      <c r="Q3494" t="s">
        <v>7030</v>
      </c>
      <c r="R3494" s="184">
        <v>15158</v>
      </c>
      <c r="S3494">
        <v>82</v>
      </c>
      <c r="V3494" t="s">
        <v>26936</v>
      </c>
      <c r="X3494" t="s">
        <v>3318</v>
      </c>
      <c r="Z3494">
        <v>40906182</v>
      </c>
      <c r="AA3494" t="s">
        <v>7031</v>
      </c>
      <c r="AB3494" t="s">
        <v>5410</v>
      </c>
      <c r="AC3494" t="s">
        <v>7407</v>
      </c>
      <c r="AD3494" t="s">
        <v>3318</v>
      </c>
      <c r="AF3494" t="s">
        <v>26937</v>
      </c>
      <c r="AG3494" t="s">
        <v>26938</v>
      </c>
      <c r="AI3494" t="s">
        <v>26939</v>
      </c>
      <c r="AM3494" t="s">
        <v>4722</v>
      </c>
      <c r="AN3494" t="s">
        <v>2089</v>
      </c>
      <c r="AO3494" t="s">
        <v>26940</v>
      </c>
      <c r="AP3494" t="s">
        <v>7024</v>
      </c>
      <c r="AT3494" s="184"/>
      <c r="AW3494" s="184"/>
      <c r="AZ3494" s="184"/>
      <c r="BP3494" s="184"/>
    </row>
    <row r="3495" spans="1:68">
      <c r="A3495">
        <v>40909046</v>
      </c>
      <c r="B3495">
        <v>40909046</v>
      </c>
      <c r="C3495" t="s">
        <v>7018</v>
      </c>
      <c r="D3495" t="s">
        <v>595</v>
      </c>
      <c r="E3495" s="184">
        <v>45195</v>
      </c>
      <c r="G3495" s="184"/>
      <c r="I3495" s="184"/>
      <c r="K3495" s="184"/>
      <c r="O3495" s="184"/>
      <c r="P3495" t="s">
        <v>7045</v>
      </c>
      <c r="Q3495" t="s">
        <v>7030</v>
      </c>
      <c r="R3495" s="184">
        <v>25645</v>
      </c>
      <c r="S3495">
        <v>54</v>
      </c>
      <c r="U3495" t="s">
        <v>7076</v>
      </c>
      <c r="V3495" t="s">
        <v>2577</v>
      </c>
      <c r="X3495" t="s">
        <v>26945</v>
      </c>
      <c r="AF3495" t="s">
        <v>26946</v>
      </c>
      <c r="AG3495" t="s">
        <v>2577</v>
      </c>
      <c r="AI3495" t="s">
        <v>26947</v>
      </c>
      <c r="AM3495" t="s">
        <v>17253</v>
      </c>
      <c r="AN3495" t="s">
        <v>2094</v>
      </c>
      <c r="AO3495" t="s">
        <v>26948</v>
      </c>
      <c r="AP3495" t="s">
        <v>7024</v>
      </c>
      <c r="AQ3495" t="s">
        <v>26949</v>
      </c>
      <c r="AR3495" t="s">
        <v>26950</v>
      </c>
      <c r="AT3495" s="184">
        <v>39296</v>
      </c>
      <c r="AU3495" t="s">
        <v>26914</v>
      </c>
      <c r="AV3495">
        <v>25</v>
      </c>
      <c r="AW3495" s="184">
        <v>45318</v>
      </c>
      <c r="AX3495" t="s">
        <v>14164</v>
      </c>
      <c r="AY3495">
        <v>52.5</v>
      </c>
      <c r="AZ3495" s="184">
        <v>45318</v>
      </c>
      <c r="BA3495" t="s">
        <v>14164</v>
      </c>
      <c r="BB3495">
        <v>52.5</v>
      </c>
      <c r="BC3495">
        <v>45</v>
      </c>
      <c r="BD3495">
        <v>310</v>
      </c>
      <c r="BE3495">
        <v>2008</v>
      </c>
      <c r="BF3495">
        <v>8</v>
      </c>
      <c r="BG3495">
        <v>3</v>
      </c>
      <c r="BH3495">
        <v>155</v>
      </c>
      <c r="BI3495">
        <v>8</v>
      </c>
      <c r="BJ3495">
        <v>18</v>
      </c>
      <c r="BK3495">
        <v>3</v>
      </c>
      <c r="BP3495" s="184"/>
    </row>
    <row r="3496" spans="1:68">
      <c r="A3496">
        <v>40914913</v>
      </c>
      <c r="B3496">
        <v>40914913</v>
      </c>
      <c r="C3496" t="s">
        <v>7018</v>
      </c>
      <c r="D3496" t="s">
        <v>595</v>
      </c>
      <c r="E3496" s="184">
        <v>43647</v>
      </c>
      <c r="G3496" s="184"/>
      <c r="I3496" s="184"/>
      <c r="K3496" s="184"/>
      <c r="O3496" s="184"/>
      <c r="P3496" t="s">
        <v>7045</v>
      </c>
      <c r="Q3496" t="s">
        <v>7020</v>
      </c>
      <c r="R3496" s="184">
        <v>14032</v>
      </c>
      <c r="S3496">
        <v>85</v>
      </c>
      <c r="U3496" t="s">
        <v>7031</v>
      </c>
      <c r="V3496" t="s">
        <v>2541</v>
      </c>
      <c r="W3496" t="s">
        <v>2316</v>
      </c>
      <c r="X3496" t="s">
        <v>3349</v>
      </c>
      <c r="AF3496" t="s">
        <v>26951</v>
      </c>
      <c r="AG3496" t="s">
        <v>2541</v>
      </c>
      <c r="AI3496" t="s">
        <v>26952</v>
      </c>
      <c r="AM3496" t="s">
        <v>3577</v>
      </c>
      <c r="AN3496" t="s">
        <v>2129</v>
      </c>
      <c r="AO3496" t="s">
        <v>26953</v>
      </c>
      <c r="AP3496" t="s">
        <v>7024</v>
      </c>
      <c r="AQ3496" t="s">
        <v>26954</v>
      </c>
      <c r="AT3496" s="184">
        <v>39300</v>
      </c>
      <c r="AU3496" t="s">
        <v>26955</v>
      </c>
      <c r="AV3496">
        <v>25</v>
      </c>
      <c r="AW3496" s="184">
        <v>44582</v>
      </c>
      <c r="AX3496" t="s">
        <v>26956</v>
      </c>
      <c r="AY3496">
        <v>100</v>
      </c>
      <c r="AZ3496" s="184">
        <v>43985</v>
      </c>
      <c r="BA3496" t="s">
        <v>26957</v>
      </c>
      <c r="BB3496">
        <v>300</v>
      </c>
      <c r="BC3496">
        <v>56</v>
      </c>
      <c r="BD3496">
        <v>1375</v>
      </c>
      <c r="BE3496">
        <v>2008</v>
      </c>
      <c r="BF3496">
        <v>16</v>
      </c>
      <c r="BI3496">
        <v>10</v>
      </c>
      <c r="BJ3496">
        <v>18</v>
      </c>
      <c r="BK3496">
        <v>8</v>
      </c>
      <c r="BP3496" s="184"/>
    </row>
    <row r="3497" spans="1:68">
      <c r="A3497">
        <v>40915464</v>
      </c>
      <c r="B3497">
        <v>40915464</v>
      </c>
      <c r="C3497" t="s">
        <v>7018</v>
      </c>
      <c r="E3497" s="184"/>
      <c r="G3497" s="184"/>
      <c r="I3497" s="184"/>
      <c r="J3497" t="s">
        <v>595</v>
      </c>
      <c r="K3497" s="184">
        <v>44073</v>
      </c>
      <c r="O3497" s="184"/>
      <c r="P3497" t="s">
        <v>7045</v>
      </c>
      <c r="Q3497" t="s">
        <v>7383</v>
      </c>
      <c r="R3497" s="184">
        <v>15264</v>
      </c>
      <c r="S3497">
        <v>82</v>
      </c>
      <c r="U3497" t="s">
        <v>7076</v>
      </c>
      <c r="V3497" t="s">
        <v>2593</v>
      </c>
      <c r="X3497" t="s">
        <v>4911</v>
      </c>
      <c r="AF3497" t="s">
        <v>26958</v>
      </c>
      <c r="AG3497" t="s">
        <v>2593</v>
      </c>
      <c r="AI3497" t="s">
        <v>26959</v>
      </c>
      <c r="AM3497" t="s">
        <v>4912</v>
      </c>
      <c r="AN3497" t="s">
        <v>2139</v>
      </c>
      <c r="AO3497" t="s">
        <v>26960</v>
      </c>
      <c r="AP3497" t="s">
        <v>7024</v>
      </c>
      <c r="AQ3497" t="s">
        <v>26961</v>
      </c>
      <c r="AR3497" t="s">
        <v>26962</v>
      </c>
      <c r="AT3497" s="184">
        <v>39300</v>
      </c>
      <c r="AU3497" t="s">
        <v>26963</v>
      </c>
      <c r="AV3497">
        <v>25</v>
      </c>
      <c r="AW3497" s="184">
        <v>45159</v>
      </c>
      <c r="AX3497" t="s">
        <v>26566</v>
      </c>
      <c r="AY3497">
        <v>100</v>
      </c>
      <c r="AZ3497" s="184">
        <v>44350</v>
      </c>
      <c r="BA3497" t="s">
        <v>26964</v>
      </c>
      <c r="BB3497">
        <v>140</v>
      </c>
      <c r="BC3497">
        <v>95</v>
      </c>
      <c r="BD3497">
        <v>3680</v>
      </c>
      <c r="BE3497">
        <v>2008</v>
      </c>
      <c r="BF3497">
        <v>39</v>
      </c>
      <c r="BG3497">
        <v>3</v>
      </c>
      <c r="BH3497">
        <v>300</v>
      </c>
      <c r="BI3497">
        <v>17</v>
      </c>
      <c r="BJ3497">
        <v>18</v>
      </c>
      <c r="BK3497">
        <v>17</v>
      </c>
      <c r="BP3497" s="184"/>
    </row>
    <row r="3498" spans="1:68">
      <c r="A3498">
        <v>40915878</v>
      </c>
      <c r="B3498">
        <v>40915878</v>
      </c>
      <c r="C3498" t="s">
        <v>7018</v>
      </c>
      <c r="E3498" s="184"/>
      <c r="G3498" s="184"/>
      <c r="I3498" s="184"/>
      <c r="J3498" t="s">
        <v>595</v>
      </c>
      <c r="K3498" s="184">
        <v>41088</v>
      </c>
      <c r="O3498" s="184"/>
      <c r="P3498" t="s">
        <v>7045</v>
      </c>
      <c r="Q3498" t="s">
        <v>7194</v>
      </c>
      <c r="R3498" s="184">
        <v>20241</v>
      </c>
      <c r="S3498">
        <v>68</v>
      </c>
      <c r="U3498" t="s">
        <v>7076</v>
      </c>
      <c r="V3498" t="s">
        <v>2938</v>
      </c>
      <c r="X3498" t="s">
        <v>26965</v>
      </c>
      <c r="AF3498" t="s">
        <v>6715</v>
      </c>
      <c r="AG3498" t="s">
        <v>2938</v>
      </c>
      <c r="AI3498" t="s">
        <v>26966</v>
      </c>
      <c r="AM3498" t="s">
        <v>26967</v>
      </c>
      <c r="AN3498" t="s">
        <v>2046</v>
      </c>
      <c r="AO3498" t="s">
        <v>26968</v>
      </c>
      <c r="AP3498" t="s">
        <v>7024</v>
      </c>
      <c r="AT3498" s="184">
        <v>39300</v>
      </c>
      <c r="AU3498" t="s">
        <v>26969</v>
      </c>
      <c r="AV3498">
        <v>15</v>
      </c>
      <c r="AW3498" s="184">
        <v>43402</v>
      </c>
      <c r="AX3498" t="s">
        <v>26970</v>
      </c>
      <c r="AY3498">
        <v>2</v>
      </c>
      <c r="AZ3498" s="184">
        <v>39300</v>
      </c>
      <c r="BA3498" t="s">
        <v>26969</v>
      </c>
      <c r="BB3498">
        <v>15</v>
      </c>
      <c r="BC3498">
        <v>39</v>
      </c>
      <c r="BD3498">
        <v>52</v>
      </c>
      <c r="BE3498">
        <v>2008</v>
      </c>
      <c r="BF3498">
        <v>8</v>
      </c>
      <c r="BI3498">
        <v>7</v>
      </c>
      <c r="BJ3498">
        <v>18</v>
      </c>
      <c r="BK3498">
        <v>2</v>
      </c>
      <c r="BP3498" s="184"/>
    </row>
    <row r="3499" spans="1:68">
      <c r="A3499">
        <v>40929853</v>
      </c>
      <c r="B3499">
        <v>40929853</v>
      </c>
      <c r="C3499" t="s">
        <v>7018</v>
      </c>
      <c r="D3499" t="s">
        <v>595</v>
      </c>
      <c r="E3499" s="184">
        <v>44167</v>
      </c>
      <c r="G3499" s="184"/>
      <c r="I3499" s="184"/>
      <c r="K3499" s="184"/>
      <c r="O3499" s="184"/>
      <c r="P3499" t="s">
        <v>7045</v>
      </c>
      <c r="Q3499" t="s">
        <v>7262</v>
      </c>
      <c r="R3499" s="184">
        <v>21671</v>
      </c>
      <c r="S3499">
        <v>65</v>
      </c>
      <c r="U3499" t="s">
        <v>7130</v>
      </c>
      <c r="V3499" t="s">
        <v>4992</v>
      </c>
      <c r="W3499" t="s">
        <v>7407</v>
      </c>
      <c r="X3499" t="s">
        <v>26971</v>
      </c>
      <c r="AF3499" t="s">
        <v>26972</v>
      </c>
      <c r="AG3499" t="s">
        <v>4992</v>
      </c>
      <c r="AI3499" t="s">
        <v>26973</v>
      </c>
      <c r="AM3499" t="s">
        <v>3203</v>
      </c>
      <c r="AN3499" t="s">
        <v>2069</v>
      </c>
      <c r="AO3499" t="s">
        <v>26974</v>
      </c>
      <c r="AP3499" t="s">
        <v>7024</v>
      </c>
      <c r="AQ3499" t="s">
        <v>26975</v>
      </c>
      <c r="AT3499" s="184">
        <v>39302</v>
      </c>
      <c r="AU3499" t="s">
        <v>26976</v>
      </c>
      <c r="AV3499">
        <v>20</v>
      </c>
      <c r="AW3499" s="184">
        <v>45252</v>
      </c>
      <c r="AX3499" t="s">
        <v>7832</v>
      </c>
      <c r="AY3499">
        <v>35</v>
      </c>
      <c r="AZ3499" s="184">
        <v>45252</v>
      </c>
      <c r="BA3499" t="s">
        <v>7832</v>
      </c>
      <c r="BB3499">
        <v>35</v>
      </c>
      <c r="BC3499">
        <v>50</v>
      </c>
      <c r="BD3499">
        <v>260</v>
      </c>
      <c r="BE3499">
        <v>2008</v>
      </c>
      <c r="BF3499">
        <v>10</v>
      </c>
      <c r="BG3499">
        <v>1</v>
      </c>
      <c r="BH3499">
        <v>35</v>
      </c>
      <c r="BI3499">
        <v>9</v>
      </c>
      <c r="BJ3499">
        <v>18</v>
      </c>
      <c r="BK3499">
        <v>3</v>
      </c>
      <c r="BP3499" s="184"/>
    </row>
    <row r="3500" spans="1:68">
      <c r="A3500">
        <v>40943847</v>
      </c>
      <c r="B3500">
        <v>40943847</v>
      </c>
      <c r="C3500" t="s">
        <v>7018</v>
      </c>
      <c r="E3500" s="184"/>
      <c r="F3500" t="s">
        <v>595</v>
      </c>
      <c r="G3500" s="184">
        <v>43731</v>
      </c>
      <c r="I3500" s="184"/>
      <c r="K3500" s="184"/>
      <c r="M3500" s="184"/>
      <c r="O3500" s="184"/>
      <c r="P3500" t="s">
        <v>7045</v>
      </c>
      <c r="Q3500" t="s">
        <v>7383</v>
      </c>
      <c r="R3500" s="184">
        <v>16159</v>
      </c>
      <c r="S3500">
        <v>80</v>
      </c>
      <c r="U3500" t="s">
        <v>7032</v>
      </c>
      <c r="V3500" t="s">
        <v>4035</v>
      </c>
      <c r="X3500" t="s">
        <v>4036</v>
      </c>
      <c r="Z3500">
        <v>100121511</v>
      </c>
      <c r="AB3500" t="s">
        <v>4105</v>
      </c>
      <c r="AD3500" t="s">
        <v>4036</v>
      </c>
      <c r="AF3500" t="s">
        <v>26977</v>
      </c>
      <c r="AG3500" t="s">
        <v>26978</v>
      </c>
      <c r="AI3500" t="s">
        <v>26979</v>
      </c>
      <c r="AM3500" t="s">
        <v>2616</v>
      </c>
      <c r="AN3500" t="s">
        <v>2185</v>
      </c>
      <c r="AO3500" t="s">
        <v>26980</v>
      </c>
      <c r="AP3500" t="s">
        <v>7024</v>
      </c>
      <c r="AQ3500" t="s">
        <v>26981</v>
      </c>
      <c r="AR3500" t="s">
        <v>26982</v>
      </c>
      <c r="AT3500" s="184">
        <v>39307</v>
      </c>
      <c r="AU3500" t="s">
        <v>26983</v>
      </c>
      <c r="AV3500">
        <v>20</v>
      </c>
      <c r="AW3500" s="184">
        <v>45194</v>
      </c>
      <c r="AX3500" t="s">
        <v>26984</v>
      </c>
      <c r="AY3500">
        <v>35</v>
      </c>
      <c r="AZ3500" s="184">
        <v>42971</v>
      </c>
      <c r="BA3500" t="s">
        <v>26985</v>
      </c>
      <c r="BB3500">
        <v>75</v>
      </c>
      <c r="BC3500">
        <v>56</v>
      </c>
      <c r="BD3500">
        <v>452</v>
      </c>
      <c r="BE3500">
        <v>2008</v>
      </c>
      <c r="BF3500">
        <v>11</v>
      </c>
      <c r="BG3500">
        <v>1</v>
      </c>
      <c r="BH3500">
        <v>35</v>
      </c>
      <c r="BI3500">
        <v>10</v>
      </c>
      <c r="BJ3500">
        <v>18</v>
      </c>
      <c r="BK3500">
        <v>5</v>
      </c>
      <c r="BP3500" s="184"/>
    </row>
    <row r="3501" spans="1:68">
      <c r="A3501">
        <v>100121511</v>
      </c>
      <c r="B3501">
        <v>40943847</v>
      </c>
      <c r="C3501" t="s">
        <v>7018</v>
      </c>
      <c r="E3501" s="184"/>
      <c r="F3501" t="s">
        <v>595</v>
      </c>
      <c r="G3501" s="184">
        <v>43731</v>
      </c>
      <c r="I3501" s="184"/>
      <c r="K3501" s="184"/>
      <c r="O3501" s="184"/>
      <c r="P3501" t="s">
        <v>7045</v>
      </c>
      <c r="Q3501" t="s">
        <v>7383</v>
      </c>
      <c r="R3501" s="184">
        <v>15766</v>
      </c>
      <c r="S3501">
        <v>81</v>
      </c>
      <c r="V3501" t="s">
        <v>4105</v>
      </c>
      <c r="X3501" t="s">
        <v>4036</v>
      </c>
      <c r="Z3501">
        <v>40943847</v>
      </c>
      <c r="AA3501" t="s">
        <v>7032</v>
      </c>
      <c r="AB3501" t="s">
        <v>4035</v>
      </c>
      <c r="AD3501" t="s">
        <v>4036</v>
      </c>
      <c r="AF3501" t="s">
        <v>26977</v>
      </c>
      <c r="AG3501" t="s">
        <v>26978</v>
      </c>
      <c r="AI3501" t="s">
        <v>26979</v>
      </c>
      <c r="AM3501" t="s">
        <v>2616</v>
      </c>
      <c r="AN3501" t="s">
        <v>2185</v>
      </c>
      <c r="AO3501" t="s">
        <v>26980</v>
      </c>
      <c r="AP3501" t="s">
        <v>7024</v>
      </c>
      <c r="AT3501" s="184"/>
      <c r="AW3501" s="184"/>
      <c r="AZ3501" s="184"/>
      <c r="BP3501" s="184"/>
    </row>
    <row r="3502" spans="1:68">
      <c r="A3502">
        <v>40944175</v>
      </c>
      <c r="B3502">
        <v>40944175</v>
      </c>
      <c r="C3502" t="s">
        <v>7018</v>
      </c>
      <c r="D3502" t="s">
        <v>595</v>
      </c>
      <c r="E3502" s="184">
        <v>43773</v>
      </c>
      <c r="G3502" s="184"/>
      <c r="I3502" s="184"/>
      <c r="K3502" s="184"/>
      <c r="O3502" s="184"/>
      <c r="P3502" t="s">
        <v>7029</v>
      </c>
      <c r="Q3502" t="s">
        <v>7383</v>
      </c>
      <c r="R3502" s="184">
        <v>10500</v>
      </c>
      <c r="S3502">
        <v>95</v>
      </c>
      <c r="V3502" t="s">
        <v>2832</v>
      </c>
      <c r="X3502" t="s">
        <v>4275</v>
      </c>
      <c r="AF3502" t="s">
        <v>26986</v>
      </c>
      <c r="AG3502" t="s">
        <v>2832</v>
      </c>
      <c r="AI3502" t="s">
        <v>26987</v>
      </c>
      <c r="AM3502" t="s">
        <v>4528</v>
      </c>
      <c r="AN3502" t="s">
        <v>2139</v>
      </c>
      <c r="AO3502" t="s">
        <v>26988</v>
      </c>
      <c r="AP3502" t="s">
        <v>7024</v>
      </c>
      <c r="AT3502" s="184">
        <v>39307</v>
      </c>
      <c r="AU3502" t="s">
        <v>26963</v>
      </c>
      <c r="AV3502">
        <v>15</v>
      </c>
      <c r="AW3502" s="184">
        <v>43642</v>
      </c>
      <c r="AX3502" t="s">
        <v>26989</v>
      </c>
      <c r="AY3502">
        <v>1000</v>
      </c>
      <c r="AZ3502" s="184">
        <v>43642</v>
      </c>
      <c r="BA3502" t="s">
        <v>26989</v>
      </c>
      <c r="BB3502">
        <v>1000</v>
      </c>
      <c r="BC3502">
        <v>62</v>
      </c>
      <c r="BD3502">
        <v>1855</v>
      </c>
      <c r="BE3502">
        <v>2008</v>
      </c>
      <c r="BF3502">
        <v>18</v>
      </c>
      <c r="BI3502">
        <v>11</v>
      </c>
      <c r="BJ3502">
        <v>18</v>
      </c>
      <c r="BK3502">
        <v>5</v>
      </c>
      <c r="BP3502" s="184"/>
    </row>
    <row r="3503" spans="1:68">
      <c r="A3503">
        <v>40956245</v>
      </c>
      <c r="B3503">
        <v>40956245</v>
      </c>
      <c r="C3503" t="s">
        <v>7018</v>
      </c>
      <c r="D3503" t="s">
        <v>595</v>
      </c>
      <c r="E3503" s="184">
        <v>44245</v>
      </c>
      <c r="G3503" s="184"/>
      <c r="I3503" s="184"/>
      <c r="K3503" s="184"/>
      <c r="O3503" s="184"/>
      <c r="P3503" t="s">
        <v>7045</v>
      </c>
      <c r="Q3503" t="s">
        <v>7262</v>
      </c>
      <c r="R3503" s="184">
        <v>12835</v>
      </c>
      <c r="S3503">
        <v>89</v>
      </c>
      <c r="U3503" t="s">
        <v>7076</v>
      </c>
      <c r="V3503" t="s">
        <v>26990</v>
      </c>
      <c r="W3503" t="s">
        <v>3522</v>
      </c>
      <c r="X3503" t="s">
        <v>26991</v>
      </c>
      <c r="AF3503" t="s">
        <v>26992</v>
      </c>
      <c r="AG3503" t="s">
        <v>26990</v>
      </c>
      <c r="AI3503" t="s">
        <v>26993</v>
      </c>
      <c r="AM3503" t="s">
        <v>26994</v>
      </c>
      <c r="AN3503" t="s">
        <v>65</v>
      </c>
      <c r="AO3503" t="s">
        <v>26995</v>
      </c>
      <c r="AP3503" t="s">
        <v>7024</v>
      </c>
      <c r="AQ3503" t="s">
        <v>26996</v>
      </c>
      <c r="AR3503" t="s">
        <v>26997</v>
      </c>
      <c r="AT3503" s="184">
        <v>39309</v>
      </c>
      <c r="AU3503" t="s">
        <v>26998</v>
      </c>
      <c r="AV3503">
        <v>25</v>
      </c>
      <c r="AW3503" s="184">
        <v>44250</v>
      </c>
      <c r="AX3503" t="s">
        <v>20452</v>
      </c>
      <c r="AY3503">
        <v>50</v>
      </c>
      <c r="AZ3503" s="184">
        <v>44204</v>
      </c>
      <c r="BA3503" t="s">
        <v>26999</v>
      </c>
      <c r="BB3503">
        <v>100</v>
      </c>
      <c r="BC3503">
        <v>73</v>
      </c>
      <c r="BD3503">
        <v>755</v>
      </c>
      <c r="BE3503">
        <v>2008</v>
      </c>
      <c r="BF3503">
        <v>19</v>
      </c>
      <c r="BI3503">
        <v>13</v>
      </c>
      <c r="BJ3503">
        <v>18</v>
      </c>
      <c r="BK3503">
        <v>9</v>
      </c>
      <c r="BP3503" s="184"/>
    </row>
    <row r="3504" spans="1:68">
      <c r="A3504">
        <v>40960106</v>
      </c>
      <c r="B3504">
        <v>40960106</v>
      </c>
      <c r="C3504" t="s">
        <v>7018</v>
      </c>
      <c r="D3504" t="s">
        <v>595</v>
      </c>
      <c r="E3504" s="184">
        <v>43647</v>
      </c>
      <c r="G3504" s="184"/>
      <c r="I3504" s="184"/>
      <c r="K3504" s="184"/>
      <c r="O3504" s="184"/>
      <c r="P3504" t="s">
        <v>7045</v>
      </c>
      <c r="Q3504" t="s">
        <v>7383</v>
      </c>
      <c r="R3504" s="184">
        <v>19204</v>
      </c>
      <c r="S3504">
        <v>71</v>
      </c>
      <c r="U3504" t="s">
        <v>7031</v>
      </c>
      <c r="V3504" t="s">
        <v>2697</v>
      </c>
      <c r="X3504" t="s">
        <v>3578</v>
      </c>
      <c r="AF3504" t="s">
        <v>27000</v>
      </c>
      <c r="AG3504" t="s">
        <v>2697</v>
      </c>
      <c r="AI3504" t="s">
        <v>27001</v>
      </c>
      <c r="AM3504" t="s">
        <v>3579</v>
      </c>
      <c r="AN3504" t="s">
        <v>2072</v>
      </c>
      <c r="AO3504" t="s">
        <v>27002</v>
      </c>
      <c r="AP3504" t="s">
        <v>7024</v>
      </c>
      <c r="AT3504" s="184">
        <v>39311</v>
      </c>
      <c r="AU3504" t="s">
        <v>27003</v>
      </c>
      <c r="AV3504">
        <v>15</v>
      </c>
      <c r="AW3504" s="184">
        <v>44949</v>
      </c>
      <c r="AX3504" t="s">
        <v>27004</v>
      </c>
      <c r="AY3504">
        <v>65</v>
      </c>
      <c r="AZ3504" s="184">
        <v>44949</v>
      </c>
      <c r="BA3504" t="s">
        <v>27004</v>
      </c>
      <c r="BB3504">
        <v>65</v>
      </c>
      <c r="BC3504">
        <v>95</v>
      </c>
      <c r="BD3504">
        <v>1855</v>
      </c>
      <c r="BE3504">
        <v>2008</v>
      </c>
      <c r="BF3504">
        <v>32</v>
      </c>
      <c r="BG3504">
        <v>1</v>
      </c>
      <c r="BH3504">
        <v>65</v>
      </c>
      <c r="BI3504">
        <v>17</v>
      </c>
      <c r="BJ3504">
        <v>18</v>
      </c>
      <c r="BK3504">
        <v>17</v>
      </c>
      <c r="BP3504" s="184"/>
    </row>
    <row r="3505" spans="1:68">
      <c r="A3505">
        <v>40960668</v>
      </c>
      <c r="B3505">
        <v>40960668</v>
      </c>
      <c r="C3505" t="s">
        <v>7018</v>
      </c>
      <c r="D3505" t="s">
        <v>595</v>
      </c>
      <c r="E3505" s="184">
        <v>45195</v>
      </c>
      <c r="G3505" s="184"/>
      <c r="I3505" s="184"/>
      <c r="K3505" s="184"/>
      <c r="O3505" s="184"/>
      <c r="P3505" t="s">
        <v>7045</v>
      </c>
      <c r="Q3505" t="s">
        <v>7383</v>
      </c>
      <c r="R3505" s="184">
        <v>22951</v>
      </c>
      <c r="S3505">
        <v>61</v>
      </c>
      <c r="U3505" t="s">
        <v>7031</v>
      </c>
      <c r="V3505" t="s">
        <v>3254</v>
      </c>
      <c r="W3505" t="s">
        <v>4013</v>
      </c>
      <c r="X3505" t="s">
        <v>27005</v>
      </c>
      <c r="AF3505" t="s">
        <v>27006</v>
      </c>
      <c r="AG3505" t="s">
        <v>3254</v>
      </c>
      <c r="AI3505" t="s">
        <v>27007</v>
      </c>
      <c r="AM3505" t="s">
        <v>27008</v>
      </c>
      <c r="AN3505" t="s">
        <v>2185</v>
      </c>
      <c r="AO3505" t="s">
        <v>27009</v>
      </c>
      <c r="AP3505" t="s">
        <v>7024</v>
      </c>
      <c r="AT3505" s="184">
        <v>39311</v>
      </c>
      <c r="AU3505" t="s">
        <v>26983</v>
      </c>
      <c r="AV3505">
        <v>15</v>
      </c>
      <c r="AW3505" s="184">
        <v>45043</v>
      </c>
      <c r="AX3505" t="s">
        <v>24577</v>
      </c>
      <c r="AY3505">
        <v>25</v>
      </c>
      <c r="AZ3505" s="184">
        <v>45043</v>
      </c>
      <c r="BA3505" t="s">
        <v>24577</v>
      </c>
      <c r="BB3505">
        <v>25</v>
      </c>
      <c r="BC3505">
        <v>34</v>
      </c>
      <c r="BD3505">
        <v>180</v>
      </c>
      <c r="BE3505">
        <v>2008</v>
      </c>
      <c r="BF3505">
        <v>8</v>
      </c>
      <c r="BG3505">
        <v>2</v>
      </c>
      <c r="BH3505">
        <v>50</v>
      </c>
      <c r="BI3505">
        <v>6</v>
      </c>
      <c r="BJ3505">
        <v>18</v>
      </c>
      <c r="BK3505">
        <v>2</v>
      </c>
      <c r="BP3505" s="184"/>
    </row>
    <row r="3506" spans="1:68">
      <c r="A3506">
        <v>40973653</v>
      </c>
      <c r="B3506">
        <v>40973653</v>
      </c>
      <c r="C3506" t="s">
        <v>7018</v>
      </c>
      <c r="D3506" t="s">
        <v>595</v>
      </c>
      <c r="E3506" s="184">
        <v>44154</v>
      </c>
      <c r="G3506" s="184"/>
      <c r="I3506" s="184"/>
      <c r="K3506" s="184"/>
      <c r="M3506" s="184"/>
      <c r="O3506" s="184"/>
      <c r="P3506" t="s">
        <v>7045</v>
      </c>
      <c r="Q3506" t="s">
        <v>7194</v>
      </c>
      <c r="R3506" s="184">
        <v>14218</v>
      </c>
      <c r="S3506">
        <v>85</v>
      </c>
      <c r="U3506" t="s">
        <v>7076</v>
      </c>
      <c r="V3506" t="s">
        <v>27010</v>
      </c>
      <c r="W3506" t="s">
        <v>2316</v>
      </c>
      <c r="X3506" t="s">
        <v>3870</v>
      </c>
      <c r="AF3506" t="s">
        <v>27011</v>
      </c>
      <c r="AG3506" t="s">
        <v>27010</v>
      </c>
      <c r="AI3506" t="s">
        <v>27012</v>
      </c>
      <c r="AM3506" t="s">
        <v>8571</v>
      </c>
      <c r="AN3506" t="s">
        <v>4512</v>
      </c>
      <c r="AO3506" t="s">
        <v>27013</v>
      </c>
      <c r="AP3506" t="s">
        <v>7024</v>
      </c>
      <c r="AQ3506" t="s">
        <v>27014</v>
      </c>
      <c r="AT3506" s="184">
        <v>39318</v>
      </c>
      <c r="AU3506" t="s">
        <v>26998</v>
      </c>
      <c r="AV3506">
        <v>15</v>
      </c>
      <c r="AW3506" s="184">
        <v>45388</v>
      </c>
      <c r="AX3506" t="s">
        <v>27015</v>
      </c>
      <c r="AY3506">
        <v>10.5</v>
      </c>
      <c r="AZ3506" s="184">
        <v>43971</v>
      </c>
      <c r="BA3506" t="s">
        <v>27016</v>
      </c>
      <c r="BB3506">
        <v>60</v>
      </c>
      <c r="BC3506">
        <v>95</v>
      </c>
      <c r="BD3506">
        <v>660.5</v>
      </c>
      <c r="BE3506">
        <v>2008</v>
      </c>
      <c r="BF3506">
        <v>30</v>
      </c>
      <c r="BG3506">
        <v>3</v>
      </c>
      <c r="BH3506">
        <v>60.5</v>
      </c>
      <c r="BI3506">
        <v>17</v>
      </c>
      <c r="BJ3506">
        <v>18</v>
      </c>
      <c r="BK3506">
        <v>14</v>
      </c>
      <c r="BP3506" s="184"/>
    </row>
    <row r="3507" spans="1:68">
      <c r="A3507">
        <v>40980245</v>
      </c>
      <c r="B3507">
        <v>40980245</v>
      </c>
      <c r="C3507" t="s">
        <v>7018</v>
      </c>
      <c r="D3507" t="s">
        <v>595</v>
      </c>
      <c r="E3507" s="184">
        <v>45120</v>
      </c>
      <c r="G3507" s="184"/>
      <c r="I3507" s="184"/>
      <c r="K3507" s="184"/>
      <c r="M3507" s="184"/>
      <c r="O3507" s="184"/>
      <c r="P3507" t="s">
        <v>7045</v>
      </c>
      <c r="Q3507" t="s">
        <v>7262</v>
      </c>
      <c r="R3507" s="184">
        <v>26407</v>
      </c>
      <c r="S3507">
        <v>52</v>
      </c>
      <c r="U3507" t="s">
        <v>7094</v>
      </c>
      <c r="V3507" t="s">
        <v>2590</v>
      </c>
      <c r="X3507" t="s">
        <v>27017</v>
      </c>
      <c r="AF3507" t="s">
        <v>27018</v>
      </c>
      <c r="AG3507" t="s">
        <v>2590</v>
      </c>
      <c r="AI3507" t="s">
        <v>27019</v>
      </c>
      <c r="AM3507" t="s">
        <v>4657</v>
      </c>
      <c r="AN3507" t="s">
        <v>2069</v>
      </c>
      <c r="AO3507" t="s">
        <v>27020</v>
      </c>
      <c r="AP3507" t="s">
        <v>7024</v>
      </c>
      <c r="AQ3507" t="s">
        <v>27021</v>
      </c>
      <c r="AT3507" s="184">
        <v>39323</v>
      </c>
      <c r="AU3507" t="s">
        <v>27022</v>
      </c>
      <c r="AV3507">
        <v>25</v>
      </c>
      <c r="AW3507" s="184">
        <v>43431</v>
      </c>
      <c r="AX3507" t="s">
        <v>27023</v>
      </c>
      <c r="AY3507">
        <v>50</v>
      </c>
      <c r="AZ3507" s="184">
        <v>43431</v>
      </c>
      <c r="BA3507" t="s">
        <v>27023</v>
      </c>
      <c r="BB3507">
        <v>50</v>
      </c>
      <c r="BC3507">
        <v>62</v>
      </c>
      <c r="BD3507">
        <v>495</v>
      </c>
      <c r="BE3507">
        <v>2008</v>
      </c>
      <c r="BF3507">
        <v>11</v>
      </c>
      <c r="BI3507">
        <v>11</v>
      </c>
      <c r="BJ3507">
        <v>18</v>
      </c>
      <c r="BK3507">
        <v>8</v>
      </c>
      <c r="BP3507" s="184"/>
    </row>
    <row r="3508" spans="1:68">
      <c r="A3508">
        <v>40989402</v>
      </c>
      <c r="B3508">
        <v>40989402</v>
      </c>
      <c r="C3508" t="s">
        <v>7018</v>
      </c>
      <c r="E3508" s="184"/>
      <c r="G3508" s="184"/>
      <c r="I3508" s="184"/>
      <c r="J3508" t="s">
        <v>595</v>
      </c>
      <c r="K3508" s="184">
        <v>41967</v>
      </c>
      <c r="P3508" t="s">
        <v>7045</v>
      </c>
      <c r="Q3508" t="s">
        <v>7194</v>
      </c>
      <c r="R3508" s="184">
        <v>22850</v>
      </c>
      <c r="S3508">
        <v>61</v>
      </c>
      <c r="U3508" t="s">
        <v>7076</v>
      </c>
      <c r="V3508" t="s">
        <v>2938</v>
      </c>
      <c r="X3508" t="s">
        <v>5683</v>
      </c>
      <c r="AF3508" t="s">
        <v>27024</v>
      </c>
      <c r="AG3508" t="s">
        <v>2938</v>
      </c>
      <c r="AI3508" t="s">
        <v>27025</v>
      </c>
      <c r="AM3508" t="s">
        <v>5684</v>
      </c>
      <c r="AN3508" t="s">
        <v>2046</v>
      </c>
      <c r="AO3508" t="s">
        <v>27026</v>
      </c>
      <c r="AP3508" t="s">
        <v>7024</v>
      </c>
      <c r="AT3508" s="184">
        <v>39335</v>
      </c>
      <c r="AU3508" t="s">
        <v>27027</v>
      </c>
      <c r="AV3508">
        <v>100</v>
      </c>
      <c r="AW3508" s="184">
        <v>42703</v>
      </c>
      <c r="AX3508" t="s">
        <v>27028</v>
      </c>
      <c r="AY3508">
        <v>5000</v>
      </c>
      <c r="AZ3508" s="184">
        <v>42368</v>
      </c>
      <c r="BA3508" t="s">
        <v>27029</v>
      </c>
      <c r="BB3508">
        <v>7500</v>
      </c>
      <c r="BC3508">
        <v>39</v>
      </c>
      <c r="BD3508">
        <v>24715</v>
      </c>
      <c r="BE3508">
        <v>2008</v>
      </c>
      <c r="BF3508">
        <v>9</v>
      </c>
      <c r="BI3508">
        <v>7</v>
      </c>
      <c r="BJ3508">
        <v>18</v>
      </c>
      <c r="BK3508">
        <v>3</v>
      </c>
      <c r="BP3508" s="184"/>
    </row>
    <row r="3509" spans="1:68">
      <c r="A3509">
        <v>40991127</v>
      </c>
      <c r="B3509">
        <v>40991127</v>
      </c>
      <c r="C3509" t="s">
        <v>7018</v>
      </c>
      <c r="E3509" s="184"/>
      <c r="G3509" s="184"/>
      <c r="I3509" s="184"/>
      <c r="J3509" t="s">
        <v>595</v>
      </c>
      <c r="K3509" s="184">
        <v>40975</v>
      </c>
      <c r="M3509" s="184"/>
      <c r="O3509" s="184"/>
      <c r="P3509" t="s">
        <v>7045</v>
      </c>
      <c r="Q3509" t="s">
        <v>7383</v>
      </c>
      <c r="R3509" s="184">
        <v>19207</v>
      </c>
      <c r="S3509">
        <v>71</v>
      </c>
      <c r="U3509" t="s">
        <v>7076</v>
      </c>
      <c r="V3509" t="s">
        <v>2718</v>
      </c>
      <c r="W3509" t="s">
        <v>7407</v>
      </c>
      <c r="X3509" t="s">
        <v>27030</v>
      </c>
      <c r="AF3509" t="s">
        <v>6517</v>
      </c>
      <c r="AG3509" t="s">
        <v>2718</v>
      </c>
      <c r="AI3509" t="s">
        <v>27031</v>
      </c>
      <c r="AM3509" t="s">
        <v>17776</v>
      </c>
      <c r="AN3509" t="s">
        <v>2064</v>
      </c>
      <c r="AO3509" t="s">
        <v>27032</v>
      </c>
      <c r="AP3509" t="s">
        <v>7024</v>
      </c>
      <c r="AQ3509" t="s">
        <v>27033</v>
      </c>
      <c r="AT3509" s="184">
        <v>39335</v>
      </c>
      <c r="AU3509" t="s">
        <v>27034</v>
      </c>
      <c r="AV3509">
        <v>25</v>
      </c>
      <c r="AW3509" s="184">
        <v>45166</v>
      </c>
      <c r="AX3509" t="s">
        <v>7619</v>
      </c>
      <c r="AY3509">
        <v>150</v>
      </c>
      <c r="AZ3509" s="184">
        <v>45166</v>
      </c>
      <c r="BA3509" t="s">
        <v>7619</v>
      </c>
      <c r="BB3509">
        <v>150</v>
      </c>
      <c r="BC3509">
        <v>84</v>
      </c>
      <c r="BD3509">
        <v>1185</v>
      </c>
      <c r="BE3509">
        <v>2008</v>
      </c>
      <c r="BF3509">
        <v>15</v>
      </c>
      <c r="BG3509">
        <v>2</v>
      </c>
      <c r="BH3509">
        <v>250</v>
      </c>
      <c r="BI3509">
        <v>15</v>
      </c>
      <c r="BJ3509">
        <v>18</v>
      </c>
      <c r="BK3509">
        <v>13</v>
      </c>
      <c r="BN3509" t="s">
        <v>595</v>
      </c>
      <c r="BP3509" s="184"/>
    </row>
    <row r="3510" spans="1:68">
      <c r="A3510">
        <v>40998270</v>
      </c>
      <c r="B3510">
        <v>40998270</v>
      </c>
      <c r="C3510" t="s">
        <v>7018</v>
      </c>
      <c r="E3510" s="184"/>
      <c r="G3510" s="184"/>
      <c r="I3510" s="184"/>
      <c r="J3510" t="s">
        <v>595</v>
      </c>
      <c r="K3510" s="184">
        <v>41921</v>
      </c>
      <c r="M3510" s="184"/>
      <c r="O3510" s="184"/>
      <c r="P3510" t="s">
        <v>7045</v>
      </c>
      <c r="Q3510" t="s">
        <v>7383</v>
      </c>
      <c r="R3510" s="184">
        <v>22351</v>
      </c>
      <c r="S3510">
        <v>63</v>
      </c>
      <c r="U3510" t="s">
        <v>7031</v>
      </c>
      <c r="V3510" t="s">
        <v>3228</v>
      </c>
      <c r="X3510" t="s">
        <v>27035</v>
      </c>
      <c r="AF3510" t="s">
        <v>6175</v>
      </c>
      <c r="AG3510" t="s">
        <v>3228</v>
      </c>
      <c r="AI3510" t="s">
        <v>27036</v>
      </c>
      <c r="AM3510" t="s">
        <v>9527</v>
      </c>
      <c r="AN3510" t="s">
        <v>2162</v>
      </c>
      <c r="AO3510" t="s">
        <v>27037</v>
      </c>
      <c r="AP3510" t="s">
        <v>7024</v>
      </c>
      <c r="AQ3510" t="s">
        <v>27038</v>
      </c>
      <c r="AR3510" t="s">
        <v>27039</v>
      </c>
      <c r="AT3510" s="184">
        <v>39342</v>
      </c>
      <c r="AU3510" t="s">
        <v>27040</v>
      </c>
      <c r="AV3510">
        <v>25</v>
      </c>
      <c r="AW3510" s="184">
        <v>45407</v>
      </c>
      <c r="AX3510" t="s">
        <v>7429</v>
      </c>
      <c r="AY3510">
        <v>35</v>
      </c>
      <c r="AZ3510" s="184">
        <v>44760</v>
      </c>
      <c r="BA3510" t="s">
        <v>27041</v>
      </c>
      <c r="BB3510">
        <v>50</v>
      </c>
      <c r="BC3510">
        <v>100</v>
      </c>
      <c r="BD3510">
        <v>4995</v>
      </c>
      <c r="BE3510">
        <v>2008</v>
      </c>
      <c r="BF3510">
        <v>191</v>
      </c>
      <c r="BG3510">
        <v>25</v>
      </c>
      <c r="BH3510">
        <v>890</v>
      </c>
      <c r="BI3510">
        <v>18</v>
      </c>
      <c r="BJ3510">
        <v>18</v>
      </c>
      <c r="BK3510">
        <v>18</v>
      </c>
      <c r="BP3510" s="184"/>
    </row>
    <row r="3511" spans="1:68">
      <c r="A3511">
        <v>40999658</v>
      </c>
      <c r="B3511">
        <v>40999658</v>
      </c>
      <c r="C3511" t="s">
        <v>7018</v>
      </c>
      <c r="E3511" s="184"/>
      <c r="F3511" t="s">
        <v>595</v>
      </c>
      <c r="G3511" s="184">
        <v>44104</v>
      </c>
      <c r="I3511" s="184"/>
      <c r="K3511" s="184"/>
      <c r="O3511" s="184"/>
      <c r="P3511" t="s">
        <v>7045</v>
      </c>
      <c r="Q3511" t="s">
        <v>7383</v>
      </c>
      <c r="R3511" s="184">
        <v>18749</v>
      </c>
      <c r="S3511">
        <v>73</v>
      </c>
      <c r="U3511" t="s">
        <v>7076</v>
      </c>
      <c r="V3511" t="s">
        <v>3898</v>
      </c>
      <c r="W3511" t="s">
        <v>4013</v>
      </c>
      <c r="X3511" t="s">
        <v>3145</v>
      </c>
      <c r="AF3511" t="s">
        <v>27042</v>
      </c>
      <c r="AG3511" t="s">
        <v>3898</v>
      </c>
      <c r="AI3511" t="s">
        <v>27043</v>
      </c>
      <c r="AM3511" t="s">
        <v>27044</v>
      </c>
      <c r="AN3511" t="s">
        <v>2059</v>
      </c>
      <c r="AO3511" t="s">
        <v>27045</v>
      </c>
      <c r="AP3511" t="s">
        <v>7024</v>
      </c>
      <c r="AQ3511" t="s">
        <v>27046</v>
      </c>
      <c r="AR3511" t="s">
        <v>27047</v>
      </c>
      <c r="AT3511" s="184">
        <v>39343</v>
      </c>
      <c r="AU3511" t="s">
        <v>26928</v>
      </c>
      <c r="AV3511">
        <v>35</v>
      </c>
      <c r="AW3511" s="184">
        <v>45412</v>
      </c>
      <c r="AX3511" t="s">
        <v>14823</v>
      </c>
      <c r="AY3511">
        <v>100</v>
      </c>
      <c r="AZ3511" s="184">
        <v>42303</v>
      </c>
      <c r="BA3511" t="s">
        <v>27048</v>
      </c>
      <c r="BB3511">
        <v>150</v>
      </c>
      <c r="BC3511">
        <v>84</v>
      </c>
      <c r="BD3511">
        <v>3060</v>
      </c>
      <c r="BE3511">
        <v>2008</v>
      </c>
      <c r="BF3511">
        <v>35</v>
      </c>
      <c r="BG3511">
        <v>7</v>
      </c>
      <c r="BH3511">
        <v>650</v>
      </c>
      <c r="BI3511">
        <v>15</v>
      </c>
      <c r="BJ3511">
        <v>18</v>
      </c>
      <c r="BK3511">
        <v>6</v>
      </c>
      <c r="BP3511" s="184"/>
    </row>
    <row r="3512" spans="1:68">
      <c r="A3512">
        <v>41001785</v>
      </c>
      <c r="B3512">
        <v>41001785</v>
      </c>
      <c r="C3512" t="s">
        <v>7018</v>
      </c>
      <c r="E3512" s="184"/>
      <c r="G3512" s="184"/>
      <c r="I3512" s="184"/>
      <c r="J3512" t="s">
        <v>595</v>
      </c>
      <c r="K3512" s="184">
        <v>44073</v>
      </c>
      <c r="M3512" s="184"/>
      <c r="O3512" s="184"/>
      <c r="P3512" t="s">
        <v>7045</v>
      </c>
      <c r="Q3512" t="s">
        <v>7160</v>
      </c>
      <c r="R3512" s="184">
        <v>20156</v>
      </c>
      <c r="S3512">
        <v>69</v>
      </c>
      <c r="U3512" t="s">
        <v>7076</v>
      </c>
      <c r="V3512" t="s">
        <v>4914</v>
      </c>
      <c r="X3512" t="s">
        <v>4915</v>
      </c>
      <c r="AF3512" t="s">
        <v>27049</v>
      </c>
      <c r="AG3512" t="s">
        <v>4914</v>
      </c>
      <c r="AI3512" t="s">
        <v>27050</v>
      </c>
      <c r="AM3512" t="s">
        <v>3975</v>
      </c>
      <c r="AN3512" t="s">
        <v>2413</v>
      </c>
      <c r="AO3512" t="s">
        <v>27051</v>
      </c>
      <c r="AP3512" t="s">
        <v>7024</v>
      </c>
      <c r="AQ3512" t="s">
        <v>27052</v>
      </c>
      <c r="AR3512" t="s">
        <v>27053</v>
      </c>
      <c r="AT3512" s="184">
        <v>39353</v>
      </c>
      <c r="AU3512" t="s">
        <v>27054</v>
      </c>
      <c r="AV3512">
        <v>20</v>
      </c>
      <c r="AW3512" s="184">
        <v>43798</v>
      </c>
      <c r="AX3512" t="s">
        <v>27055</v>
      </c>
      <c r="AY3512">
        <v>25</v>
      </c>
      <c r="AZ3512" s="184">
        <v>43798</v>
      </c>
      <c r="BA3512" t="s">
        <v>27055</v>
      </c>
      <c r="BB3512">
        <v>25</v>
      </c>
      <c r="BC3512">
        <v>23</v>
      </c>
      <c r="BD3512">
        <v>77</v>
      </c>
      <c r="BE3512">
        <v>2008</v>
      </c>
      <c r="BF3512">
        <v>4</v>
      </c>
      <c r="BI3512">
        <v>4</v>
      </c>
      <c r="BJ3512">
        <v>18</v>
      </c>
      <c r="BK3512">
        <v>1</v>
      </c>
      <c r="BL3512" t="s">
        <v>595</v>
      </c>
      <c r="BP3512" s="184"/>
    </row>
    <row r="3513" spans="1:68">
      <c r="A3513">
        <v>41019787</v>
      </c>
      <c r="B3513">
        <v>41019787</v>
      </c>
      <c r="C3513" t="s">
        <v>7018</v>
      </c>
      <c r="E3513" s="184"/>
      <c r="G3513" s="184"/>
      <c r="I3513" s="184"/>
      <c r="J3513" t="s">
        <v>595</v>
      </c>
      <c r="K3513" s="184">
        <v>44571</v>
      </c>
      <c r="O3513" s="184"/>
      <c r="P3513" t="s">
        <v>7084</v>
      </c>
      <c r="Q3513" t="s">
        <v>7494</v>
      </c>
      <c r="R3513" s="184"/>
      <c r="V3513" t="s">
        <v>3283</v>
      </c>
      <c r="X3513" t="s">
        <v>27056</v>
      </c>
      <c r="AF3513" t="s">
        <v>27057</v>
      </c>
      <c r="AG3513" t="s">
        <v>3283</v>
      </c>
      <c r="AI3513" t="s">
        <v>27058</v>
      </c>
      <c r="AM3513" t="s">
        <v>3763</v>
      </c>
      <c r="AN3513" t="s">
        <v>2484</v>
      </c>
      <c r="AO3513" t="s">
        <v>27059</v>
      </c>
      <c r="AP3513" t="s">
        <v>7024</v>
      </c>
      <c r="AT3513" s="184">
        <v>39345</v>
      </c>
      <c r="AU3513" t="s">
        <v>27060</v>
      </c>
      <c r="AV3513">
        <v>100</v>
      </c>
      <c r="AW3513" s="184">
        <v>45301</v>
      </c>
      <c r="AX3513" t="s">
        <v>7296</v>
      </c>
      <c r="AY3513">
        <v>20000</v>
      </c>
      <c r="AZ3513" s="184">
        <v>45301</v>
      </c>
      <c r="BA3513" t="s">
        <v>7296</v>
      </c>
      <c r="BB3513">
        <v>20000</v>
      </c>
      <c r="BC3513">
        <v>39</v>
      </c>
      <c r="BD3513">
        <v>41100</v>
      </c>
      <c r="BE3513">
        <v>2008</v>
      </c>
      <c r="BF3513">
        <v>11</v>
      </c>
      <c r="BG3513">
        <v>2</v>
      </c>
      <c r="BH3513">
        <v>40000</v>
      </c>
      <c r="BI3513">
        <v>7</v>
      </c>
      <c r="BJ3513">
        <v>18</v>
      </c>
      <c r="BK3513">
        <v>5</v>
      </c>
      <c r="BO3513" t="s">
        <v>595</v>
      </c>
      <c r="BP3513" s="184">
        <v>43991</v>
      </c>
    </row>
    <row r="3514" spans="1:68">
      <c r="A3514">
        <v>41076035</v>
      </c>
      <c r="B3514">
        <v>41076035</v>
      </c>
      <c r="C3514" t="s">
        <v>7018</v>
      </c>
      <c r="E3514" s="184"/>
      <c r="F3514" t="s">
        <v>595</v>
      </c>
      <c r="G3514" s="184">
        <v>43731</v>
      </c>
      <c r="I3514" s="184"/>
      <c r="K3514" s="184"/>
      <c r="O3514" s="184"/>
      <c r="P3514" t="s">
        <v>7045</v>
      </c>
      <c r="Q3514" t="s">
        <v>7160</v>
      </c>
      <c r="R3514" s="184">
        <v>13759</v>
      </c>
      <c r="S3514">
        <v>86</v>
      </c>
      <c r="V3514" t="s">
        <v>4037</v>
      </c>
      <c r="W3514" t="s">
        <v>7246</v>
      </c>
      <c r="X3514" t="s">
        <v>4038</v>
      </c>
      <c r="AF3514" t="s">
        <v>27061</v>
      </c>
      <c r="AG3514" t="s">
        <v>4037</v>
      </c>
      <c r="AI3514" t="s">
        <v>27062</v>
      </c>
      <c r="AM3514" t="s">
        <v>2999</v>
      </c>
      <c r="AN3514" t="s">
        <v>2446</v>
      </c>
      <c r="AO3514" t="s">
        <v>27063</v>
      </c>
      <c r="AP3514" t="s">
        <v>7024</v>
      </c>
      <c r="AQ3514" t="s">
        <v>27064</v>
      </c>
      <c r="AT3514" s="184">
        <v>38642</v>
      </c>
      <c r="AU3514" t="s">
        <v>27065</v>
      </c>
      <c r="AV3514">
        <v>60</v>
      </c>
      <c r="AW3514" s="184">
        <v>43276</v>
      </c>
      <c r="AX3514" t="s">
        <v>27066</v>
      </c>
      <c r="AY3514">
        <v>25</v>
      </c>
      <c r="AZ3514" s="184">
        <v>40849</v>
      </c>
      <c r="BA3514" t="s">
        <v>27067</v>
      </c>
      <c r="BB3514">
        <v>100</v>
      </c>
      <c r="BC3514">
        <v>60</v>
      </c>
      <c r="BD3514">
        <v>1184.8</v>
      </c>
      <c r="BE3514">
        <v>2006</v>
      </c>
      <c r="BF3514">
        <v>24</v>
      </c>
      <c r="BI3514">
        <v>12</v>
      </c>
      <c r="BJ3514">
        <v>20</v>
      </c>
      <c r="BK3514">
        <v>10</v>
      </c>
      <c r="BP3514" s="184"/>
    </row>
    <row r="3515" spans="1:68">
      <c r="A3515">
        <v>41079666</v>
      </c>
      <c r="B3515">
        <v>41079666</v>
      </c>
      <c r="C3515" t="s">
        <v>7018</v>
      </c>
      <c r="E3515" s="184"/>
      <c r="G3515" s="184"/>
      <c r="I3515" s="184"/>
      <c r="J3515" t="s">
        <v>595</v>
      </c>
      <c r="K3515" s="184">
        <v>44797</v>
      </c>
      <c r="O3515" s="184"/>
      <c r="P3515" t="s">
        <v>7045</v>
      </c>
      <c r="Q3515" t="s">
        <v>7030</v>
      </c>
      <c r="R3515" s="184">
        <v>21671</v>
      </c>
      <c r="S3515">
        <v>65</v>
      </c>
      <c r="U3515" t="s">
        <v>7076</v>
      </c>
      <c r="V3515" t="s">
        <v>27068</v>
      </c>
      <c r="X3515" t="s">
        <v>27069</v>
      </c>
      <c r="AF3515" t="s">
        <v>27070</v>
      </c>
      <c r="AG3515" t="s">
        <v>27068</v>
      </c>
      <c r="AI3515" t="s">
        <v>27071</v>
      </c>
      <c r="AM3515" t="s">
        <v>3615</v>
      </c>
      <c r="AN3515" t="s">
        <v>2094</v>
      </c>
      <c r="AO3515" t="s">
        <v>27072</v>
      </c>
      <c r="AP3515" t="s">
        <v>7024</v>
      </c>
      <c r="AQ3515" t="s">
        <v>27073</v>
      </c>
      <c r="AR3515" t="s">
        <v>27074</v>
      </c>
      <c r="AT3515" s="184">
        <v>39349</v>
      </c>
      <c r="AU3515" t="s">
        <v>27075</v>
      </c>
      <c r="AV3515">
        <v>25</v>
      </c>
      <c r="AW3515" s="184">
        <v>45105</v>
      </c>
      <c r="AX3515" t="s">
        <v>27076</v>
      </c>
      <c r="AY3515">
        <v>525</v>
      </c>
      <c r="AZ3515" s="184">
        <v>45105</v>
      </c>
      <c r="BA3515" t="s">
        <v>27076</v>
      </c>
      <c r="BB3515">
        <v>525</v>
      </c>
      <c r="BC3515">
        <v>78</v>
      </c>
      <c r="BD3515">
        <v>2460</v>
      </c>
      <c r="BE3515">
        <v>2008</v>
      </c>
      <c r="BF3515">
        <v>15</v>
      </c>
      <c r="BG3515">
        <v>2</v>
      </c>
      <c r="BH3515">
        <v>775</v>
      </c>
      <c r="BI3515">
        <v>14</v>
      </c>
      <c r="BJ3515">
        <v>18</v>
      </c>
      <c r="BK3515">
        <v>7</v>
      </c>
      <c r="BP3515" s="184"/>
    </row>
    <row r="3516" spans="1:68">
      <c r="A3516">
        <v>41079971</v>
      </c>
      <c r="B3516">
        <v>41079971</v>
      </c>
      <c r="C3516" t="s">
        <v>7018</v>
      </c>
      <c r="E3516" s="184"/>
      <c r="G3516" s="184"/>
      <c r="I3516" s="184"/>
      <c r="J3516" t="s">
        <v>595</v>
      </c>
      <c r="K3516" s="184">
        <v>39351</v>
      </c>
      <c r="O3516" s="184"/>
      <c r="P3516" t="s">
        <v>7045</v>
      </c>
      <c r="Q3516" t="s">
        <v>7374</v>
      </c>
      <c r="R3516" s="184">
        <v>17737</v>
      </c>
      <c r="S3516">
        <v>75</v>
      </c>
      <c r="U3516" t="s">
        <v>7076</v>
      </c>
      <c r="V3516" t="s">
        <v>27077</v>
      </c>
      <c r="W3516" t="s">
        <v>2308</v>
      </c>
      <c r="X3516" t="s">
        <v>6949</v>
      </c>
      <c r="AF3516" t="s">
        <v>6440</v>
      </c>
      <c r="AG3516" t="s">
        <v>27078</v>
      </c>
      <c r="AI3516" t="s">
        <v>27079</v>
      </c>
      <c r="AM3516" t="s">
        <v>27080</v>
      </c>
      <c r="AN3516" t="s">
        <v>2081</v>
      </c>
      <c r="AO3516" t="s">
        <v>27081</v>
      </c>
      <c r="AP3516" t="s">
        <v>7024</v>
      </c>
      <c r="AQ3516" t="s">
        <v>27082</v>
      </c>
      <c r="AR3516" t="s">
        <v>27083</v>
      </c>
      <c r="AT3516" s="184">
        <v>41453</v>
      </c>
      <c r="AU3516" t="s">
        <v>13035</v>
      </c>
      <c r="AV3516">
        <v>1012.64</v>
      </c>
      <c r="AW3516" s="184">
        <v>41453</v>
      </c>
      <c r="AX3516" t="s">
        <v>13035</v>
      </c>
      <c r="AY3516">
        <v>1012.64</v>
      </c>
      <c r="AZ3516" s="184">
        <v>41453</v>
      </c>
      <c r="BA3516" t="s">
        <v>13035</v>
      </c>
      <c r="BB3516">
        <v>1012.64</v>
      </c>
      <c r="BC3516">
        <v>9</v>
      </c>
      <c r="BD3516">
        <v>1012.64</v>
      </c>
      <c r="BE3516">
        <v>2013</v>
      </c>
      <c r="BF3516">
        <v>1</v>
      </c>
      <c r="BI3516">
        <v>1</v>
      </c>
      <c r="BJ3516">
        <v>12</v>
      </c>
      <c r="BK3516">
        <v>1</v>
      </c>
      <c r="BO3516" t="s">
        <v>595</v>
      </c>
      <c r="BP3516" s="184">
        <v>41037</v>
      </c>
    </row>
    <row r="3517" spans="1:68">
      <c r="A3517">
        <v>41081845</v>
      </c>
      <c r="B3517">
        <v>41081845</v>
      </c>
      <c r="C3517" t="s">
        <v>7018</v>
      </c>
      <c r="D3517" t="s">
        <v>595</v>
      </c>
      <c r="E3517" s="184">
        <v>43647</v>
      </c>
      <c r="G3517" s="184"/>
      <c r="I3517" s="184"/>
      <c r="K3517" s="184"/>
      <c r="O3517" s="184"/>
      <c r="P3517" t="s">
        <v>7045</v>
      </c>
      <c r="Q3517" t="s">
        <v>7020</v>
      </c>
      <c r="R3517" s="184">
        <v>18696</v>
      </c>
      <c r="S3517">
        <v>73</v>
      </c>
      <c r="U3517" t="s">
        <v>7076</v>
      </c>
      <c r="V3517" t="s">
        <v>3580</v>
      </c>
      <c r="W3517" t="s">
        <v>5006</v>
      </c>
      <c r="X3517" t="s">
        <v>3581</v>
      </c>
      <c r="AF3517" t="s">
        <v>27084</v>
      </c>
      <c r="AG3517" t="s">
        <v>3580</v>
      </c>
      <c r="AI3517" t="s">
        <v>27085</v>
      </c>
      <c r="AM3517" t="s">
        <v>3582</v>
      </c>
      <c r="AN3517" t="s">
        <v>2112</v>
      </c>
      <c r="AO3517" t="s">
        <v>27086</v>
      </c>
      <c r="AP3517" t="s">
        <v>7024</v>
      </c>
      <c r="AT3517" s="184">
        <v>39350</v>
      </c>
      <c r="AU3517" t="s">
        <v>27022</v>
      </c>
      <c r="AV3517">
        <v>15</v>
      </c>
      <c r="AW3517" s="184">
        <v>45098</v>
      </c>
      <c r="AX3517" t="s">
        <v>12641</v>
      </c>
      <c r="AY3517">
        <v>50</v>
      </c>
      <c r="AZ3517" s="184">
        <v>45098</v>
      </c>
      <c r="BA3517" t="s">
        <v>12641</v>
      </c>
      <c r="BB3517">
        <v>50</v>
      </c>
      <c r="BC3517">
        <v>95</v>
      </c>
      <c r="BD3517">
        <v>475</v>
      </c>
      <c r="BE3517">
        <v>2008</v>
      </c>
      <c r="BF3517">
        <v>18</v>
      </c>
      <c r="BG3517">
        <v>2</v>
      </c>
      <c r="BH3517">
        <v>85</v>
      </c>
      <c r="BI3517">
        <v>17</v>
      </c>
      <c r="BJ3517">
        <v>18</v>
      </c>
      <c r="BK3517">
        <v>17</v>
      </c>
      <c r="BP3517" s="184"/>
    </row>
    <row r="3518" spans="1:68">
      <c r="A3518">
        <v>41109158</v>
      </c>
      <c r="B3518">
        <v>41109158</v>
      </c>
      <c r="C3518" t="s">
        <v>13031</v>
      </c>
      <c r="E3518" s="184"/>
      <c r="G3518" s="184"/>
      <c r="I3518" s="184"/>
      <c r="K3518" s="184"/>
      <c r="N3518" t="s">
        <v>595</v>
      </c>
      <c r="O3518" s="184">
        <v>39314</v>
      </c>
      <c r="Q3518" t="s">
        <v>7262</v>
      </c>
      <c r="R3518" s="184"/>
      <c r="Z3518">
        <v>100176702</v>
      </c>
      <c r="AA3518" t="s">
        <v>7031</v>
      </c>
      <c r="AB3518" t="s">
        <v>3460</v>
      </c>
      <c r="AD3518" t="s">
        <v>3884</v>
      </c>
      <c r="AH3518" t="s">
        <v>27087</v>
      </c>
      <c r="AI3518" t="s">
        <v>27088</v>
      </c>
      <c r="AM3518" t="s">
        <v>5805</v>
      </c>
      <c r="AN3518" t="s">
        <v>2106</v>
      </c>
      <c r="AO3518">
        <v>19063</v>
      </c>
      <c r="AP3518" t="s">
        <v>7024</v>
      </c>
      <c r="AT3518" s="184">
        <v>39314</v>
      </c>
      <c r="AU3518" t="s">
        <v>8812</v>
      </c>
      <c r="AV3518">
        <v>20000</v>
      </c>
      <c r="AW3518" s="184">
        <v>40813</v>
      </c>
      <c r="AX3518" t="s">
        <v>27089</v>
      </c>
      <c r="AY3518">
        <v>25</v>
      </c>
      <c r="AZ3518" s="184">
        <v>39314</v>
      </c>
      <c r="BA3518" t="s">
        <v>8812</v>
      </c>
      <c r="BB3518">
        <v>20000</v>
      </c>
      <c r="BC3518">
        <v>12</v>
      </c>
      <c r="BD3518">
        <v>20025</v>
      </c>
      <c r="BE3518">
        <v>2008</v>
      </c>
      <c r="BF3518">
        <v>2</v>
      </c>
      <c r="BI3518">
        <v>2</v>
      </c>
      <c r="BJ3518">
        <v>18</v>
      </c>
      <c r="BK3518">
        <v>1</v>
      </c>
      <c r="BL3518" t="s">
        <v>595</v>
      </c>
      <c r="BM3518" t="s">
        <v>595</v>
      </c>
      <c r="BP3518" s="184"/>
    </row>
    <row r="3519" spans="1:68">
      <c r="A3519">
        <v>100176702</v>
      </c>
      <c r="B3519">
        <v>41109158</v>
      </c>
      <c r="C3519" t="s">
        <v>13031</v>
      </c>
      <c r="E3519" s="184"/>
      <c r="G3519" s="184"/>
      <c r="I3519" s="184"/>
      <c r="K3519" s="184"/>
      <c r="N3519" t="s">
        <v>595</v>
      </c>
      <c r="O3519" s="184">
        <v>39314</v>
      </c>
      <c r="Q3519" t="s">
        <v>7262</v>
      </c>
      <c r="R3519" s="184">
        <v>6543</v>
      </c>
      <c r="S3519">
        <v>106</v>
      </c>
      <c r="U3519" t="s">
        <v>7031</v>
      </c>
      <c r="V3519" t="s">
        <v>3460</v>
      </c>
      <c r="X3519" t="s">
        <v>3884</v>
      </c>
      <c r="Z3519">
        <v>41109158</v>
      </c>
      <c r="AH3519" t="s">
        <v>27087</v>
      </c>
      <c r="AI3519" t="s">
        <v>27088</v>
      </c>
      <c r="AM3519" t="s">
        <v>5805</v>
      </c>
      <c r="AN3519" t="s">
        <v>2106</v>
      </c>
      <c r="AO3519">
        <v>19063</v>
      </c>
      <c r="AP3519" t="s">
        <v>7024</v>
      </c>
      <c r="AT3519" s="184"/>
      <c r="AW3519" s="184"/>
      <c r="AZ3519" s="184"/>
      <c r="BO3519" t="s">
        <v>595</v>
      </c>
      <c r="BP3519" s="184">
        <v>41187</v>
      </c>
    </row>
    <row r="3520" spans="1:68">
      <c r="A3520">
        <v>41116203</v>
      </c>
      <c r="B3520">
        <v>41116203</v>
      </c>
      <c r="C3520" t="s">
        <v>7018</v>
      </c>
      <c r="D3520" t="s">
        <v>595</v>
      </c>
      <c r="E3520" s="184">
        <v>45195</v>
      </c>
      <c r="G3520" s="184"/>
      <c r="I3520" s="184"/>
      <c r="K3520" s="184"/>
      <c r="O3520" s="184"/>
      <c r="P3520" t="s">
        <v>7045</v>
      </c>
      <c r="Q3520" t="s">
        <v>7030</v>
      </c>
      <c r="R3520" s="184">
        <v>13363</v>
      </c>
      <c r="S3520">
        <v>87</v>
      </c>
      <c r="U3520" t="s">
        <v>7031</v>
      </c>
      <c r="V3520" t="s">
        <v>27090</v>
      </c>
      <c r="W3520" t="s">
        <v>27091</v>
      </c>
      <c r="X3520" t="s">
        <v>27092</v>
      </c>
      <c r="Z3520">
        <v>100122282</v>
      </c>
      <c r="AB3520" t="s">
        <v>3220</v>
      </c>
      <c r="AD3520" t="s">
        <v>27092</v>
      </c>
      <c r="AF3520" t="s">
        <v>27093</v>
      </c>
      <c r="AG3520" t="s">
        <v>27094</v>
      </c>
      <c r="AI3520" t="s">
        <v>27095</v>
      </c>
      <c r="AM3520" t="s">
        <v>4632</v>
      </c>
      <c r="AN3520" t="s">
        <v>2094</v>
      </c>
      <c r="AO3520" t="s">
        <v>27096</v>
      </c>
      <c r="AP3520" t="s">
        <v>7024</v>
      </c>
      <c r="AQ3520" t="s">
        <v>27097</v>
      </c>
      <c r="AR3520" t="s">
        <v>27098</v>
      </c>
      <c r="AT3520" s="184">
        <v>39359</v>
      </c>
      <c r="AU3520" t="s">
        <v>27099</v>
      </c>
      <c r="AV3520">
        <v>15</v>
      </c>
      <c r="AW3520" s="184">
        <v>45301</v>
      </c>
      <c r="AX3520" t="s">
        <v>7092</v>
      </c>
      <c r="AY3520">
        <v>50</v>
      </c>
      <c r="AZ3520" s="184">
        <v>44911</v>
      </c>
      <c r="BA3520" t="s">
        <v>16256</v>
      </c>
      <c r="BB3520">
        <v>75</v>
      </c>
      <c r="BC3520">
        <v>78</v>
      </c>
      <c r="BD3520">
        <v>520</v>
      </c>
      <c r="BE3520">
        <v>2008</v>
      </c>
      <c r="BF3520">
        <v>18</v>
      </c>
      <c r="BG3520">
        <v>2</v>
      </c>
      <c r="BH3520">
        <v>125</v>
      </c>
      <c r="BI3520">
        <v>14</v>
      </c>
      <c r="BJ3520">
        <v>18</v>
      </c>
      <c r="BK3520">
        <v>8</v>
      </c>
      <c r="BP3520" s="184"/>
    </row>
    <row r="3521" spans="1:68">
      <c r="A3521">
        <v>100122282</v>
      </c>
      <c r="B3521">
        <v>41116203</v>
      </c>
      <c r="C3521" t="s">
        <v>7018</v>
      </c>
      <c r="D3521" t="s">
        <v>595</v>
      </c>
      <c r="E3521" s="184">
        <v>45195</v>
      </c>
      <c r="G3521" s="184"/>
      <c r="I3521" s="184"/>
      <c r="K3521" s="184"/>
      <c r="P3521" t="s">
        <v>7045</v>
      </c>
      <c r="Q3521" t="s">
        <v>7030</v>
      </c>
      <c r="R3521" s="184">
        <v>13844</v>
      </c>
      <c r="S3521">
        <v>86</v>
      </c>
      <c r="V3521" t="s">
        <v>3220</v>
      </c>
      <c r="X3521" t="s">
        <v>27092</v>
      </c>
      <c r="Z3521">
        <v>41116203</v>
      </c>
      <c r="AA3521" t="s">
        <v>7031</v>
      </c>
      <c r="AB3521" t="s">
        <v>27090</v>
      </c>
      <c r="AC3521" t="s">
        <v>27091</v>
      </c>
      <c r="AD3521" t="s">
        <v>27092</v>
      </c>
      <c r="AF3521" t="s">
        <v>27093</v>
      </c>
      <c r="AG3521" t="s">
        <v>27094</v>
      </c>
      <c r="AI3521" t="s">
        <v>27095</v>
      </c>
      <c r="AM3521" t="s">
        <v>4632</v>
      </c>
      <c r="AN3521" t="s">
        <v>2094</v>
      </c>
      <c r="AO3521" t="s">
        <v>27096</v>
      </c>
      <c r="AP3521" t="s">
        <v>7024</v>
      </c>
      <c r="AT3521" s="184"/>
      <c r="AW3521" s="184"/>
      <c r="AZ3521" s="184"/>
      <c r="BP3521" s="184"/>
    </row>
    <row r="3522" spans="1:68">
      <c r="A3522">
        <v>41131137</v>
      </c>
      <c r="B3522">
        <v>41131137</v>
      </c>
      <c r="C3522" t="s">
        <v>7018</v>
      </c>
      <c r="D3522" t="s">
        <v>595</v>
      </c>
      <c r="E3522" s="184">
        <v>43773</v>
      </c>
      <c r="G3522" s="184"/>
      <c r="I3522" s="184"/>
      <c r="K3522" s="184"/>
      <c r="P3522" t="s">
        <v>7045</v>
      </c>
      <c r="Q3522" t="s">
        <v>7374</v>
      </c>
      <c r="R3522" s="184">
        <v>18233</v>
      </c>
      <c r="S3522">
        <v>74</v>
      </c>
      <c r="V3522" t="s">
        <v>3028</v>
      </c>
      <c r="W3522" t="s">
        <v>7963</v>
      </c>
      <c r="X3522" t="s">
        <v>4277</v>
      </c>
      <c r="AF3522" t="s">
        <v>27100</v>
      </c>
      <c r="AG3522" t="s">
        <v>3028</v>
      </c>
      <c r="AI3522" t="s">
        <v>27101</v>
      </c>
      <c r="AM3522" t="s">
        <v>27102</v>
      </c>
      <c r="AN3522" t="s">
        <v>2081</v>
      </c>
      <c r="AO3522" t="s">
        <v>27103</v>
      </c>
      <c r="AP3522" t="s">
        <v>7024</v>
      </c>
      <c r="AQ3522" t="s">
        <v>27104</v>
      </c>
      <c r="AT3522" s="184">
        <v>39364</v>
      </c>
      <c r="AU3522" t="s">
        <v>27105</v>
      </c>
      <c r="AV3522">
        <v>15</v>
      </c>
      <c r="AW3522" s="184">
        <v>43920</v>
      </c>
      <c r="AX3522" t="s">
        <v>27106</v>
      </c>
      <c r="AY3522">
        <v>25</v>
      </c>
      <c r="AZ3522" s="184">
        <v>43241</v>
      </c>
      <c r="BA3522" t="s">
        <v>27107</v>
      </c>
      <c r="BB3522">
        <v>60</v>
      </c>
      <c r="BC3522">
        <v>62</v>
      </c>
      <c r="BD3522">
        <v>405</v>
      </c>
      <c r="BE3522">
        <v>2008</v>
      </c>
      <c r="BF3522">
        <v>12</v>
      </c>
      <c r="BI3522">
        <v>11</v>
      </c>
      <c r="BJ3522">
        <v>18</v>
      </c>
      <c r="BK3522">
        <v>7</v>
      </c>
    </row>
    <row r="3523" spans="1:68">
      <c r="A3523">
        <v>41133620</v>
      </c>
      <c r="B3523">
        <v>41133620</v>
      </c>
      <c r="C3523" t="s">
        <v>7018</v>
      </c>
      <c r="E3523" s="184"/>
      <c r="F3523" t="s">
        <v>595</v>
      </c>
      <c r="G3523" s="184">
        <v>45104</v>
      </c>
      <c r="I3523" s="184"/>
      <c r="K3523" s="184"/>
      <c r="O3523" s="184"/>
      <c r="P3523" t="s">
        <v>7045</v>
      </c>
      <c r="Q3523" t="s">
        <v>7494</v>
      </c>
      <c r="R3523" s="184">
        <v>20607</v>
      </c>
      <c r="S3523">
        <v>67</v>
      </c>
      <c r="V3523" t="s">
        <v>27108</v>
      </c>
      <c r="W3523" t="s">
        <v>4152</v>
      </c>
      <c r="X3523" t="s">
        <v>27109</v>
      </c>
      <c r="AF3523" t="s">
        <v>27110</v>
      </c>
      <c r="AG3523" t="s">
        <v>27108</v>
      </c>
      <c r="AI3523" t="s">
        <v>27111</v>
      </c>
      <c r="AM3523" t="s">
        <v>4006</v>
      </c>
      <c r="AN3523" t="s">
        <v>2174</v>
      </c>
      <c r="AO3523" t="s">
        <v>27112</v>
      </c>
      <c r="AP3523" t="s">
        <v>7024</v>
      </c>
      <c r="AQ3523" t="s">
        <v>27113</v>
      </c>
      <c r="AR3523" t="s">
        <v>27114</v>
      </c>
      <c r="AT3523" s="184">
        <v>39366</v>
      </c>
      <c r="AU3523" t="s">
        <v>27115</v>
      </c>
      <c r="AV3523">
        <v>35</v>
      </c>
      <c r="AW3523" s="184">
        <v>45355</v>
      </c>
      <c r="AX3523" t="s">
        <v>20233</v>
      </c>
      <c r="AY3523">
        <v>100</v>
      </c>
      <c r="AZ3523" s="184">
        <v>45355</v>
      </c>
      <c r="BA3523" t="s">
        <v>20233</v>
      </c>
      <c r="BB3523">
        <v>100</v>
      </c>
      <c r="BC3523">
        <v>84</v>
      </c>
      <c r="BD3523">
        <v>1346</v>
      </c>
      <c r="BE3523">
        <v>2008</v>
      </c>
      <c r="BF3523">
        <v>23</v>
      </c>
      <c r="BG3523">
        <v>4</v>
      </c>
      <c r="BH3523">
        <v>400</v>
      </c>
      <c r="BI3523">
        <v>15</v>
      </c>
      <c r="BJ3523">
        <v>18</v>
      </c>
      <c r="BK3523">
        <v>7</v>
      </c>
      <c r="BP3523" s="184"/>
    </row>
    <row r="3524" spans="1:68">
      <c r="A3524">
        <v>41133869</v>
      </c>
      <c r="B3524">
        <v>41133869</v>
      </c>
      <c r="C3524" t="s">
        <v>7018</v>
      </c>
      <c r="D3524" t="s">
        <v>595</v>
      </c>
      <c r="E3524" s="184">
        <v>43642</v>
      </c>
      <c r="G3524" s="184"/>
      <c r="I3524" s="184"/>
      <c r="K3524" s="184"/>
      <c r="M3524" s="184"/>
      <c r="O3524" s="184"/>
      <c r="P3524" t="s">
        <v>7045</v>
      </c>
      <c r="Q3524" t="s">
        <v>7383</v>
      </c>
      <c r="R3524" s="184">
        <v>16842</v>
      </c>
      <c r="S3524">
        <v>78</v>
      </c>
      <c r="U3524" t="s">
        <v>7031</v>
      </c>
      <c r="V3524" t="s">
        <v>2511</v>
      </c>
      <c r="W3524" t="s">
        <v>3830</v>
      </c>
      <c r="X3524" t="s">
        <v>3389</v>
      </c>
      <c r="Z3524">
        <v>100122382</v>
      </c>
      <c r="AA3524" t="s">
        <v>7130</v>
      </c>
      <c r="AB3524" t="s">
        <v>4664</v>
      </c>
      <c r="AD3524" t="s">
        <v>3389</v>
      </c>
      <c r="AF3524" t="s">
        <v>27116</v>
      </c>
      <c r="AG3524" t="s">
        <v>27117</v>
      </c>
      <c r="AI3524" t="s">
        <v>27118</v>
      </c>
      <c r="AM3524" t="s">
        <v>3390</v>
      </c>
      <c r="AN3524" t="s">
        <v>2144</v>
      </c>
      <c r="AO3524" t="s">
        <v>27119</v>
      </c>
      <c r="AP3524" t="s">
        <v>7024</v>
      </c>
      <c r="AT3524" s="184">
        <v>39366</v>
      </c>
      <c r="AU3524" t="s">
        <v>27120</v>
      </c>
      <c r="AV3524">
        <v>25</v>
      </c>
      <c r="AW3524" s="184">
        <v>45145</v>
      </c>
      <c r="AX3524" t="s">
        <v>8104</v>
      </c>
      <c r="AY3524">
        <v>100</v>
      </c>
      <c r="AZ3524" s="184">
        <v>45145</v>
      </c>
      <c r="BA3524" t="s">
        <v>8104</v>
      </c>
      <c r="BB3524">
        <v>100</v>
      </c>
      <c r="BC3524">
        <v>95</v>
      </c>
      <c r="BD3524">
        <v>1825</v>
      </c>
      <c r="BE3524">
        <v>2008</v>
      </c>
      <c r="BF3524">
        <v>20</v>
      </c>
      <c r="BG3524">
        <v>3</v>
      </c>
      <c r="BH3524">
        <v>300</v>
      </c>
      <c r="BI3524">
        <v>17</v>
      </c>
      <c r="BJ3524">
        <v>18</v>
      </c>
      <c r="BK3524">
        <v>17</v>
      </c>
      <c r="BP3524" s="184"/>
    </row>
    <row r="3525" spans="1:68">
      <c r="A3525">
        <v>100122382</v>
      </c>
      <c r="B3525">
        <v>41133869</v>
      </c>
      <c r="C3525" t="s">
        <v>7018</v>
      </c>
      <c r="D3525" t="s">
        <v>595</v>
      </c>
      <c r="E3525" s="184">
        <v>43642</v>
      </c>
      <c r="G3525" s="184"/>
      <c r="I3525" s="184"/>
      <c r="K3525" s="184"/>
      <c r="M3525" s="184"/>
      <c r="P3525" t="s">
        <v>7045</v>
      </c>
      <c r="Q3525" t="s">
        <v>7383</v>
      </c>
      <c r="R3525" s="184">
        <v>15383</v>
      </c>
      <c r="S3525">
        <v>82</v>
      </c>
      <c r="U3525" t="s">
        <v>7130</v>
      </c>
      <c r="V3525" t="s">
        <v>4664</v>
      </c>
      <c r="X3525" t="s">
        <v>3389</v>
      </c>
      <c r="Z3525">
        <v>41133869</v>
      </c>
      <c r="AA3525" t="s">
        <v>7031</v>
      </c>
      <c r="AB3525" t="s">
        <v>2511</v>
      </c>
      <c r="AC3525" t="s">
        <v>3830</v>
      </c>
      <c r="AD3525" t="s">
        <v>3389</v>
      </c>
      <c r="AF3525" t="s">
        <v>27116</v>
      </c>
      <c r="AG3525" t="s">
        <v>27117</v>
      </c>
      <c r="AI3525" t="s">
        <v>27118</v>
      </c>
      <c r="AM3525" t="s">
        <v>3390</v>
      </c>
      <c r="AN3525" t="s">
        <v>2144</v>
      </c>
      <c r="AO3525" t="s">
        <v>27119</v>
      </c>
      <c r="AP3525" t="s">
        <v>7024</v>
      </c>
      <c r="AT3525" s="184"/>
      <c r="AW3525" s="184"/>
      <c r="AZ3525" s="184"/>
      <c r="BP3525" s="184"/>
    </row>
    <row r="3526" spans="1:68">
      <c r="A3526">
        <v>41134610</v>
      </c>
      <c r="B3526">
        <v>41134610</v>
      </c>
      <c r="C3526" t="s">
        <v>7018</v>
      </c>
      <c r="D3526" t="s">
        <v>595</v>
      </c>
      <c r="E3526" s="184">
        <v>45154</v>
      </c>
      <c r="G3526" s="184"/>
      <c r="I3526" s="184"/>
      <c r="K3526" s="184"/>
      <c r="M3526" s="184"/>
      <c r="P3526" t="s">
        <v>7019</v>
      </c>
      <c r="Q3526" t="s">
        <v>7383</v>
      </c>
      <c r="R3526" s="184">
        <v>16589</v>
      </c>
      <c r="S3526">
        <v>78</v>
      </c>
      <c r="V3526" t="s">
        <v>3131</v>
      </c>
      <c r="X3526" t="s">
        <v>2655</v>
      </c>
      <c r="AF3526" t="s">
        <v>27121</v>
      </c>
      <c r="AG3526" t="s">
        <v>3131</v>
      </c>
      <c r="AI3526" t="s">
        <v>27122</v>
      </c>
      <c r="AM3526" t="s">
        <v>27123</v>
      </c>
      <c r="AN3526" t="s">
        <v>2162</v>
      </c>
      <c r="AO3526" t="s">
        <v>27124</v>
      </c>
      <c r="AP3526" t="s">
        <v>7024</v>
      </c>
      <c r="AQ3526" t="s">
        <v>27125</v>
      </c>
      <c r="AT3526" s="184">
        <v>39366</v>
      </c>
      <c r="AU3526" t="s">
        <v>27126</v>
      </c>
      <c r="AV3526">
        <v>15</v>
      </c>
      <c r="AW3526" s="184">
        <v>44349</v>
      </c>
      <c r="AX3526" t="s">
        <v>16849</v>
      </c>
      <c r="AY3526">
        <v>60</v>
      </c>
      <c r="AZ3526" s="184">
        <v>44349</v>
      </c>
      <c r="BA3526" t="s">
        <v>16849</v>
      </c>
      <c r="BB3526">
        <v>60</v>
      </c>
      <c r="BC3526">
        <v>56</v>
      </c>
      <c r="BD3526">
        <v>335</v>
      </c>
      <c r="BE3526">
        <v>2008</v>
      </c>
      <c r="BF3526">
        <v>11</v>
      </c>
      <c r="BI3526">
        <v>10</v>
      </c>
      <c r="BJ3526">
        <v>18</v>
      </c>
      <c r="BK3526">
        <v>3</v>
      </c>
      <c r="BN3526" t="s">
        <v>595</v>
      </c>
      <c r="BP3526" s="184"/>
    </row>
    <row r="3527" spans="1:68">
      <c r="A3527">
        <v>41149113</v>
      </c>
      <c r="B3527">
        <v>41149113</v>
      </c>
      <c r="C3527" t="s">
        <v>7018</v>
      </c>
      <c r="E3527" s="184"/>
      <c r="F3527" t="s">
        <v>595</v>
      </c>
      <c r="G3527" s="184">
        <v>44104</v>
      </c>
      <c r="I3527" s="184"/>
      <c r="K3527" s="184"/>
      <c r="M3527" s="184"/>
      <c r="O3527" s="184"/>
      <c r="P3527" t="s">
        <v>7045</v>
      </c>
      <c r="Q3527" t="s">
        <v>7494</v>
      </c>
      <c r="R3527" s="184">
        <v>18050</v>
      </c>
      <c r="S3527">
        <v>74</v>
      </c>
      <c r="V3527" t="s">
        <v>2958</v>
      </c>
      <c r="X3527" t="s">
        <v>27127</v>
      </c>
      <c r="AF3527" t="s">
        <v>27128</v>
      </c>
      <c r="AG3527" t="s">
        <v>2958</v>
      </c>
      <c r="AI3527" t="s">
        <v>27129</v>
      </c>
      <c r="AM3527" t="s">
        <v>27130</v>
      </c>
      <c r="AN3527" t="s">
        <v>2174</v>
      </c>
      <c r="AO3527" t="s">
        <v>27131</v>
      </c>
      <c r="AP3527" t="s">
        <v>7024</v>
      </c>
      <c r="AQ3527" t="s">
        <v>27132</v>
      </c>
      <c r="AT3527" s="184">
        <v>39370</v>
      </c>
      <c r="AU3527" t="s">
        <v>27133</v>
      </c>
      <c r="AV3527">
        <v>25</v>
      </c>
      <c r="AW3527" s="184">
        <v>44984</v>
      </c>
      <c r="AX3527" t="s">
        <v>27134</v>
      </c>
      <c r="AY3527">
        <v>10</v>
      </c>
      <c r="AZ3527" s="184">
        <v>42969</v>
      </c>
      <c r="BA3527" t="s">
        <v>27135</v>
      </c>
      <c r="BB3527">
        <v>40</v>
      </c>
      <c r="BC3527">
        <v>89</v>
      </c>
      <c r="BD3527">
        <v>955</v>
      </c>
      <c r="BE3527">
        <v>2008</v>
      </c>
      <c r="BF3527">
        <v>68</v>
      </c>
      <c r="BG3527">
        <v>9</v>
      </c>
      <c r="BH3527">
        <v>90</v>
      </c>
      <c r="BI3527">
        <v>16</v>
      </c>
      <c r="BJ3527">
        <v>18</v>
      </c>
      <c r="BK3527">
        <v>9</v>
      </c>
      <c r="BP3527" s="184"/>
    </row>
    <row r="3528" spans="1:68">
      <c r="A3528">
        <v>41151861</v>
      </c>
      <c r="B3528">
        <v>41151861</v>
      </c>
      <c r="C3528" t="s">
        <v>7018</v>
      </c>
      <c r="E3528" s="184"/>
      <c r="G3528" s="184"/>
      <c r="I3528" s="184"/>
      <c r="J3528" t="s">
        <v>595</v>
      </c>
      <c r="K3528" s="184">
        <v>39987</v>
      </c>
      <c r="M3528" s="184"/>
      <c r="O3528" s="184"/>
      <c r="P3528" t="s">
        <v>7045</v>
      </c>
      <c r="Q3528" t="s">
        <v>7494</v>
      </c>
      <c r="R3528" s="184">
        <v>19906</v>
      </c>
      <c r="S3528">
        <v>69</v>
      </c>
      <c r="V3528" t="s">
        <v>3317</v>
      </c>
      <c r="X3528" t="s">
        <v>27136</v>
      </c>
      <c r="AF3528" t="s">
        <v>6466</v>
      </c>
      <c r="AG3528" t="s">
        <v>3317</v>
      </c>
      <c r="AI3528" t="s">
        <v>27137</v>
      </c>
      <c r="AM3528" t="s">
        <v>27138</v>
      </c>
      <c r="AN3528" t="s">
        <v>2174</v>
      </c>
      <c r="AO3528" t="s">
        <v>27139</v>
      </c>
      <c r="AP3528" t="s">
        <v>7024</v>
      </c>
      <c r="AQ3528" t="s">
        <v>27140</v>
      </c>
      <c r="AT3528" s="184">
        <v>39370</v>
      </c>
      <c r="AU3528" t="s">
        <v>27141</v>
      </c>
      <c r="AV3528">
        <v>25</v>
      </c>
      <c r="AW3528" s="184">
        <v>44937</v>
      </c>
      <c r="AX3528" t="s">
        <v>27142</v>
      </c>
      <c r="AY3528">
        <v>100</v>
      </c>
      <c r="AZ3528" s="184">
        <v>44937</v>
      </c>
      <c r="BA3528" t="s">
        <v>27142</v>
      </c>
      <c r="BB3528">
        <v>100</v>
      </c>
      <c r="BC3528">
        <v>84</v>
      </c>
      <c r="BD3528">
        <v>1200</v>
      </c>
      <c r="BE3528">
        <v>2008</v>
      </c>
      <c r="BF3528">
        <v>28</v>
      </c>
      <c r="BG3528">
        <v>1</v>
      </c>
      <c r="BH3528">
        <v>100</v>
      </c>
      <c r="BI3528">
        <v>15</v>
      </c>
      <c r="BJ3528">
        <v>18</v>
      </c>
      <c r="BK3528">
        <v>8</v>
      </c>
      <c r="BN3528" t="s">
        <v>595</v>
      </c>
      <c r="BP3528" s="184"/>
    </row>
    <row r="3529" spans="1:68">
      <c r="A3529">
        <v>41156944</v>
      </c>
      <c r="B3529">
        <v>41156944</v>
      </c>
      <c r="C3529" t="s">
        <v>7018</v>
      </c>
      <c r="E3529" s="184"/>
      <c r="G3529" s="184"/>
      <c r="I3529" s="184"/>
      <c r="J3529" t="s">
        <v>595</v>
      </c>
      <c r="K3529" s="184">
        <v>43731</v>
      </c>
      <c r="M3529" s="184"/>
      <c r="P3529" t="s">
        <v>7045</v>
      </c>
      <c r="Q3529" t="s">
        <v>7160</v>
      </c>
      <c r="R3529" s="184">
        <v>18312</v>
      </c>
      <c r="S3529">
        <v>74</v>
      </c>
      <c r="U3529" t="s">
        <v>7031</v>
      </c>
      <c r="V3529" t="s">
        <v>2541</v>
      </c>
      <c r="X3529" t="s">
        <v>3836</v>
      </c>
      <c r="Z3529">
        <v>100308862</v>
      </c>
      <c r="AB3529" t="s">
        <v>3898</v>
      </c>
      <c r="AD3529" t="s">
        <v>3836</v>
      </c>
      <c r="AF3529" t="s">
        <v>6294</v>
      </c>
      <c r="AG3529" t="s">
        <v>27143</v>
      </c>
      <c r="AI3529" t="s">
        <v>27144</v>
      </c>
      <c r="AM3529" t="s">
        <v>3837</v>
      </c>
      <c r="AN3529" t="s">
        <v>2413</v>
      </c>
      <c r="AO3529" t="s">
        <v>27145</v>
      </c>
      <c r="AP3529" t="s">
        <v>7024</v>
      </c>
      <c r="AQ3529" t="s">
        <v>27146</v>
      </c>
      <c r="AR3529" t="s">
        <v>27147</v>
      </c>
      <c r="AT3529" s="184">
        <v>39367</v>
      </c>
      <c r="AU3529" t="s">
        <v>27027</v>
      </c>
      <c r="AV3529">
        <v>100</v>
      </c>
      <c r="AW3529" s="184">
        <v>45117</v>
      </c>
      <c r="AX3529" t="s">
        <v>10302</v>
      </c>
      <c r="AY3529">
        <v>75</v>
      </c>
      <c r="AZ3529" s="184">
        <v>42335</v>
      </c>
      <c r="BA3529" t="s">
        <v>27148</v>
      </c>
      <c r="BB3529">
        <v>200</v>
      </c>
      <c r="BC3529">
        <v>95</v>
      </c>
      <c r="BD3529">
        <v>2150</v>
      </c>
      <c r="BE3529">
        <v>2008</v>
      </c>
      <c r="BF3529">
        <v>17</v>
      </c>
      <c r="BG3529">
        <v>2</v>
      </c>
      <c r="BH3529">
        <v>150</v>
      </c>
      <c r="BI3529">
        <v>17</v>
      </c>
      <c r="BJ3529">
        <v>18</v>
      </c>
      <c r="BK3529">
        <v>17</v>
      </c>
      <c r="BN3529" t="s">
        <v>595</v>
      </c>
      <c r="BP3529" s="184"/>
    </row>
    <row r="3530" spans="1:68">
      <c r="A3530">
        <v>100308862</v>
      </c>
      <c r="B3530">
        <v>41156944</v>
      </c>
      <c r="C3530" t="s">
        <v>7018</v>
      </c>
      <c r="E3530" s="184"/>
      <c r="G3530" s="184"/>
      <c r="I3530" s="184"/>
      <c r="J3530" t="s">
        <v>595</v>
      </c>
      <c r="K3530" s="184">
        <v>43745</v>
      </c>
      <c r="M3530" s="184"/>
      <c r="O3530" s="184"/>
      <c r="P3530" t="s">
        <v>7045</v>
      </c>
      <c r="Q3530" t="s">
        <v>7160</v>
      </c>
      <c r="R3530" s="184">
        <v>20183</v>
      </c>
      <c r="S3530">
        <v>69</v>
      </c>
      <c r="V3530" t="s">
        <v>3898</v>
      </c>
      <c r="X3530" t="s">
        <v>3836</v>
      </c>
      <c r="Z3530">
        <v>41156944</v>
      </c>
      <c r="AA3530" t="s">
        <v>7031</v>
      </c>
      <c r="AB3530" t="s">
        <v>2541</v>
      </c>
      <c r="AD3530" t="s">
        <v>3836</v>
      </c>
      <c r="AF3530" t="s">
        <v>6294</v>
      </c>
      <c r="AG3530" t="s">
        <v>27143</v>
      </c>
      <c r="AI3530" t="s">
        <v>27144</v>
      </c>
      <c r="AM3530" t="s">
        <v>3837</v>
      </c>
      <c r="AN3530" t="s">
        <v>2413</v>
      </c>
      <c r="AO3530" t="s">
        <v>27145</v>
      </c>
      <c r="AP3530" t="s">
        <v>7024</v>
      </c>
      <c r="AT3530" s="184"/>
      <c r="AW3530" s="184"/>
      <c r="AZ3530" s="184"/>
      <c r="BP3530" s="184"/>
    </row>
    <row r="3531" spans="1:68">
      <c r="A3531">
        <v>41163650</v>
      </c>
      <c r="B3531">
        <v>41163650</v>
      </c>
      <c r="C3531" t="s">
        <v>7018</v>
      </c>
      <c r="D3531" t="s">
        <v>595</v>
      </c>
      <c r="E3531" s="184">
        <v>43642</v>
      </c>
      <c r="G3531" s="184"/>
      <c r="I3531" s="184"/>
      <c r="K3531" s="184"/>
      <c r="M3531" s="184"/>
      <c r="O3531" s="184"/>
      <c r="P3531" t="s">
        <v>7045</v>
      </c>
      <c r="Q3531" t="s">
        <v>7020</v>
      </c>
      <c r="R3531" s="184">
        <v>17564</v>
      </c>
      <c r="S3531">
        <v>76</v>
      </c>
      <c r="V3531" t="s">
        <v>2982</v>
      </c>
      <c r="W3531" t="s">
        <v>7407</v>
      </c>
      <c r="X3531" t="s">
        <v>3391</v>
      </c>
      <c r="AF3531" t="s">
        <v>27149</v>
      </c>
      <c r="AG3531" t="s">
        <v>2982</v>
      </c>
      <c r="AI3531" t="s">
        <v>27150</v>
      </c>
      <c r="AM3531" t="s">
        <v>3392</v>
      </c>
      <c r="AN3531" t="s">
        <v>2112</v>
      </c>
      <c r="AO3531" t="s">
        <v>27151</v>
      </c>
      <c r="AP3531" t="s">
        <v>7024</v>
      </c>
      <c r="AQ3531" t="s">
        <v>27152</v>
      </c>
      <c r="AT3531" s="184">
        <v>39373</v>
      </c>
      <c r="AU3531" t="s">
        <v>27153</v>
      </c>
      <c r="AV3531">
        <v>20</v>
      </c>
      <c r="AW3531" s="184">
        <v>45264</v>
      </c>
      <c r="AX3531" t="s">
        <v>27154</v>
      </c>
      <c r="AY3531">
        <v>5</v>
      </c>
      <c r="AZ3531" s="184">
        <v>43147</v>
      </c>
      <c r="BA3531" t="s">
        <v>18447</v>
      </c>
      <c r="BB3531">
        <v>35</v>
      </c>
      <c r="BC3531">
        <v>84</v>
      </c>
      <c r="BD3531">
        <v>505</v>
      </c>
      <c r="BE3531">
        <v>2008</v>
      </c>
      <c r="BF3531">
        <v>22</v>
      </c>
      <c r="BG3531">
        <v>3</v>
      </c>
      <c r="BH3531">
        <v>15</v>
      </c>
      <c r="BI3531">
        <v>15</v>
      </c>
      <c r="BJ3531">
        <v>18</v>
      </c>
      <c r="BK3531">
        <v>6</v>
      </c>
      <c r="BP3531" s="184"/>
    </row>
    <row r="3532" spans="1:68">
      <c r="A3532">
        <v>41165598</v>
      </c>
      <c r="B3532">
        <v>41165598</v>
      </c>
      <c r="C3532" t="s">
        <v>7018</v>
      </c>
      <c r="D3532" t="s">
        <v>595</v>
      </c>
      <c r="E3532" s="184">
        <v>44104</v>
      </c>
      <c r="G3532" s="184"/>
      <c r="I3532" s="184"/>
      <c r="K3532" s="184"/>
      <c r="O3532" s="184"/>
      <c r="P3532" t="s">
        <v>7019</v>
      </c>
      <c r="Q3532" t="s">
        <v>7383</v>
      </c>
      <c r="R3532" s="184">
        <v>21885</v>
      </c>
      <c r="S3532">
        <v>64</v>
      </c>
      <c r="V3532" t="s">
        <v>7067</v>
      </c>
      <c r="W3532" t="s">
        <v>4139</v>
      </c>
      <c r="X3532" t="s">
        <v>3427</v>
      </c>
      <c r="AF3532" t="s">
        <v>27155</v>
      </c>
      <c r="AG3532" t="s">
        <v>5990</v>
      </c>
      <c r="AI3532" t="s">
        <v>27156</v>
      </c>
      <c r="AM3532" t="s">
        <v>17039</v>
      </c>
      <c r="AN3532" t="s">
        <v>2059</v>
      </c>
      <c r="AO3532" t="s">
        <v>27157</v>
      </c>
      <c r="AP3532" t="s">
        <v>7024</v>
      </c>
      <c r="AT3532" s="184">
        <v>39373</v>
      </c>
      <c r="AU3532" t="s">
        <v>27158</v>
      </c>
      <c r="AV3532">
        <v>15</v>
      </c>
      <c r="AW3532" s="184">
        <v>44957</v>
      </c>
      <c r="AX3532" t="s">
        <v>17926</v>
      </c>
      <c r="AY3532">
        <v>60</v>
      </c>
      <c r="AZ3532" s="184">
        <v>44957</v>
      </c>
      <c r="BA3532" t="s">
        <v>17926</v>
      </c>
      <c r="BB3532">
        <v>60</v>
      </c>
      <c r="BC3532">
        <v>78</v>
      </c>
      <c r="BD3532">
        <v>435</v>
      </c>
      <c r="BE3532">
        <v>2008</v>
      </c>
      <c r="BF3532">
        <v>15</v>
      </c>
      <c r="BG3532">
        <v>2</v>
      </c>
      <c r="BH3532">
        <v>90</v>
      </c>
      <c r="BI3532">
        <v>14</v>
      </c>
      <c r="BJ3532">
        <v>18</v>
      </c>
      <c r="BK3532">
        <v>8</v>
      </c>
      <c r="BP3532" s="184"/>
    </row>
    <row r="3533" spans="1:68">
      <c r="A3533">
        <v>41171679</v>
      </c>
      <c r="B3533">
        <v>41171679</v>
      </c>
      <c r="C3533" t="s">
        <v>7018</v>
      </c>
      <c r="E3533" s="184"/>
      <c r="G3533" s="184"/>
      <c r="I3533" s="184"/>
      <c r="J3533" t="s">
        <v>595</v>
      </c>
      <c r="K3533" s="184">
        <v>43900</v>
      </c>
      <c r="O3533" s="184"/>
      <c r="P3533" t="s">
        <v>7686</v>
      </c>
      <c r="Q3533" t="s">
        <v>7194</v>
      </c>
      <c r="R3533" s="184">
        <v>16110</v>
      </c>
      <c r="S3533">
        <v>80</v>
      </c>
      <c r="U3533" t="s">
        <v>7094</v>
      </c>
      <c r="V3533" t="s">
        <v>3470</v>
      </c>
      <c r="W3533" t="s">
        <v>4152</v>
      </c>
      <c r="X3533" t="s">
        <v>27159</v>
      </c>
      <c r="AF3533" t="s">
        <v>6058</v>
      </c>
      <c r="AG3533" t="s">
        <v>3470</v>
      </c>
      <c r="AI3533" t="s">
        <v>27160</v>
      </c>
      <c r="AM3533" t="s">
        <v>27161</v>
      </c>
      <c r="AN3533" t="s">
        <v>4512</v>
      </c>
      <c r="AO3533" t="s">
        <v>27162</v>
      </c>
      <c r="AP3533" t="s">
        <v>7024</v>
      </c>
      <c r="AQ3533" t="s">
        <v>27163</v>
      </c>
      <c r="AR3533" t="s">
        <v>27164</v>
      </c>
      <c r="AT3533" s="184">
        <v>39374</v>
      </c>
      <c r="AU3533" t="s">
        <v>27165</v>
      </c>
      <c r="AV3533">
        <v>15</v>
      </c>
      <c r="AW3533" s="184">
        <v>43901</v>
      </c>
      <c r="AX3533" t="s">
        <v>8257</v>
      </c>
      <c r="AY3533">
        <v>7710.74</v>
      </c>
      <c r="AZ3533" s="184">
        <v>43901</v>
      </c>
      <c r="BA3533" t="s">
        <v>8257</v>
      </c>
      <c r="BB3533">
        <v>7710.74</v>
      </c>
      <c r="BC3533">
        <v>67</v>
      </c>
      <c r="BD3533">
        <v>9215.74</v>
      </c>
      <c r="BE3533">
        <v>2008</v>
      </c>
      <c r="BF3533">
        <v>30</v>
      </c>
      <c r="BI3533">
        <v>12</v>
      </c>
      <c r="BJ3533">
        <v>18</v>
      </c>
      <c r="BK3533">
        <v>11</v>
      </c>
      <c r="BN3533" t="s">
        <v>595</v>
      </c>
      <c r="BO3533" t="s">
        <v>595</v>
      </c>
      <c r="BP3533" s="184">
        <v>43476</v>
      </c>
    </row>
    <row r="3534" spans="1:68">
      <c r="A3534">
        <v>41172586</v>
      </c>
      <c r="B3534">
        <v>41172586</v>
      </c>
      <c r="C3534" t="s">
        <v>7018</v>
      </c>
      <c r="E3534" s="184"/>
      <c r="F3534" t="s">
        <v>595</v>
      </c>
      <c r="G3534" s="184">
        <v>44441</v>
      </c>
      <c r="I3534" s="184"/>
      <c r="K3534" s="184"/>
      <c r="M3534" s="184"/>
      <c r="O3534" s="184"/>
      <c r="P3534" t="s">
        <v>7045</v>
      </c>
      <c r="Q3534" t="s">
        <v>7160</v>
      </c>
      <c r="R3534" s="184">
        <v>16153</v>
      </c>
      <c r="S3534">
        <v>80</v>
      </c>
      <c r="V3534" t="s">
        <v>2541</v>
      </c>
      <c r="X3534" t="s">
        <v>27166</v>
      </c>
      <c r="Z3534">
        <v>100122625</v>
      </c>
      <c r="AB3534" t="s">
        <v>3288</v>
      </c>
      <c r="AD3534" t="s">
        <v>27166</v>
      </c>
      <c r="AF3534" t="s">
        <v>27167</v>
      </c>
      <c r="AG3534" t="s">
        <v>27168</v>
      </c>
      <c r="AI3534" t="s">
        <v>27169</v>
      </c>
      <c r="AM3534" t="s">
        <v>4515</v>
      </c>
      <c r="AN3534" t="s">
        <v>2395</v>
      </c>
      <c r="AO3534" t="s">
        <v>27170</v>
      </c>
      <c r="AP3534" t="s">
        <v>7024</v>
      </c>
      <c r="AQ3534" t="s">
        <v>27171</v>
      </c>
      <c r="AT3534" s="184">
        <v>39374</v>
      </c>
      <c r="AU3534" t="s">
        <v>27172</v>
      </c>
      <c r="AV3534">
        <v>40</v>
      </c>
      <c r="AW3534" s="184">
        <v>45286</v>
      </c>
      <c r="AX3534" t="s">
        <v>27173</v>
      </c>
      <c r="AY3534">
        <v>300</v>
      </c>
      <c r="AZ3534" s="184">
        <v>45286</v>
      </c>
      <c r="BA3534" t="s">
        <v>27173</v>
      </c>
      <c r="BB3534">
        <v>300</v>
      </c>
      <c r="BC3534">
        <v>78</v>
      </c>
      <c r="BD3534">
        <v>1980</v>
      </c>
      <c r="BE3534">
        <v>2008</v>
      </c>
      <c r="BF3534">
        <v>18</v>
      </c>
      <c r="BG3534">
        <v>2</v>
      </c>
      <c r="BH3534">
        <v>550</v>
      </c>
      <c r="BI3534">
        <v>14</v>
      </c>
      <c r="BJ3534">
        <v>18</v>
      </c>
      <c r="BK3534">
        <v>8</v>
      </c>
      <c r="BP3534" s="184"/>
    </row>
    <row r="3535" spans="1:68">
      <c r="A3535">
        <v>100122625</v>
      </c>
      <c r="B3535">
        <v>41172586</v>
      </c>
      <c r="C3535" t="s">
        <v>7018</v>
      </c>
      <c r="E3535" s="184"/>
      <c r="F3535" t="s">
        <v>595</v>
      </c>
      <c r="G3535" s="184">
        <v>44441</v>
      </c>
      <c r="I3535" s="184"/>
      <c r="K3535" s="184"/>
      <c r="M3535" s="184"/>
      <c r="O3535" s="184"/>
      <c r="P3535" t="s">
        <v>7045</v>
      </c>
      <c r="Q3535" t="s">
        <v>7160</v>
      </c>
      <c r="R3535" s="184">
        <v>16626</v>
      </c>
      <c r="S3535">
        <v>78</v>
      </c>
      <c r="V3535" t="s">
        <v>3288</v>
      </c>
      <c r="X3535" t="s">
        <v>27166</v>
      </c>
      <c r="Z3535">
        <v>41172586</v>
      </c>
      <c r="AB3535" t="s">
        <v>2541</v>
      </c>
      <c r="AD3535" t="s">
        <v>27166</v>
      </c>
      <c r="AF3535" t="s">
        <v>27167</v>
      </c>
      <c r="AG3535" t="s">
        <v>27168</v>
      </c>
      <c r="AI3535" t="s">
        <v>27169</v>
      </c>
      <c r="AM3535" t="s">
        <v>4515</v>
      </c>
      <c r="AN3535" t="s">
        <v>2395</v>
      </c>
      <c r="AO3535" t="s">
        <v>27170</v>
      </c>
      <c r="AP3535" t="s">
        <v>7024</v>
      </c>
      <c r="AQ3535" t="s">
        <v>27174</v>
      </c>
      <c r="AT3535" s="184"/>
      <c r="AW3535" s="184"/>
      <c r="AZ3535" s="184"/>
    </row>
    <row r="3536" spans="1:68">
      <c r="A3536">
        <v>41183856</v>
      </c>
      <c r="B3536">
        <v>41183856</v>
      </c>
      <c r="C3536" t="s">
        <v>7018</v>
      </c>
      <c r="E3536" s="184"/>
      <c r="F3536" t="s">
        <v>595</v>
      </c>
      <c r="G3536" s="184">
        <v>44438</v>
      </c>
      <c r="I3536" s="184"/>
      <c r="K3536" s="184"/>
      <c r="M3536" s="184"/>
      <c r="O3536" s="184"/>
      <c r="P3536" t="s">
        <v>7045</v>
      </c>
      <c r="Q3536" t="s">
        <v>7194</v>
      </c>
      <c r="R3536" s="184">
        <v>21960</v>
      </c>
      <c r="S3536">
        <v>64</v>
      </c>
      <c r="V3536" t="s">
        <v>19844</v>
      </c>
      <c r="X3536" t="s">
        <v>27175</v>
      </c>
      <c r="AF3536" t="s">
        <v>27176</v>
      </c>
      <c r="AG3536" t="s">
        <v>19844</v>
      </c>
      <c r="AI3536" t="s">
        <v>27177</v>
      </c>
      <c r="AM3536" t="s">
        <v>27178</v>
      </c>
      <c r="AN3536" t="s">
        <v>2046</v>
      </c>
      <c r="AO3536" t="s">
        <v>27179</v>
      </c>
      <c r="AP3536" t="s">
        <v>7024</v>
      </c>
      <c r="AQ3536" t="s">
        <v>27180</v>
      </c>
      <c r="AT3536" s="184">
        <v>39378</v>
      </c>
      <c r="AU3536" t="s">
        <v>27181</v>
      </c>
      <c r="AV3536">
        <v>25</v>
      </c>
      <c r="AW3536" s="184">
        <v>44896</v>
      </c>
      <c r="AX3536" t="s">
        <v>27182</v>
      </c>
      <c r="AY3536">
        <v>75</v>
      </c>
      <c r="AZ3536" s="184">
        <v>44896</v>
      </c>
      <c r="BA3536" t="s">
        <v>27182</v>
      </c>
      <c r="BB3536">
        <v>75</v>
      </c>
      <c r="BC3536">
        <v>34</v>
      </c>
      <c r="BD3536">
        <v>285</v>
      </c>
      <c r="BE3536">
        <v>2008</v>
      </c>
      <c r="BF3536">
        <v>7</v>
      </c>
      <c r="BG3536">
        <v>1</v>
      </c>
      <c r="BH3536">
        <v>75</v>
      </c>
      <c r="BI3536">
        <v>6</v>
      </c>
      <c r="BJ3536">
        <v>18</v>
      </c>
      <c r="BK3536">
        <v>2</v>
      </c>
    </row>
    <row r="3537" spans="1:68">
      <c r="A3537">
        <v>41184417</v>
      </c>
      <c r="B3537">
        <v>41184417</v>
      </c>
      <c r="C3537" t="s">
        <v>7018</v>
      </c>
      <c r="D3537" t="s">
        <v>595</v>
      </c>
      <c r="E3537" s="184">
        <v>44167</v>
      </c>
      <c r="G3537" s="184"/>
      <c r="H3537" t="s">
        <v>595</v>
      </c>
      <c r="I3537" s="184">
        <v>44167</v>
      </c>
      <c r="K3537" s="184"/>
      <c r="M3537" s="184"/>
      <c r="O3537" s="184"/>
      <c r="P3537" t="s">
        <v>7045</v>
      </c>
      <c r="Q3537" t="s">
        <v>7194</v>
      </c>
      <c r="R3537" s="184">
        <v>15172</v>
      </c>
      <c r="S3537">
        <v>82</v>
      </c>
      <c r="U3537" t="s">
        <v>7031</v>
      </c>
      <c r="V3537" t="s">
        <v>3235</v>
      </c>
      <c r="X3537" t="s">
        <v>18582</v>
      </c>
      <c r="Z3537">
        <v>100452568</v>
      </c>
      <c r="AA3537" t="s">
        <v>7130</v>
      </c>
      <c r="AB3537" t="s">
        <v>4916</v>
      </c>
      <c r="AD3537" t="s">
        <v>18582</v>
      </c>
      <c r="AF3537" t="s">
        <v>27183</v>
      </c>
      <c r="AG3537" t="s">
        <v>27184</v>
      </c>
      <c r="AI3537" t="s">
        <v>27185</v>
      </c>
      <c r="AM3537" t="s">
        <v>27186</v>
      </c>
      <c r="AN3537" t="s">
        <v>2046</v>
      </c>
      <c r="AO3537" t="s">
        <v>27187</v>
      </c>
      <c r="AP3537" t="s">
        <v>7024</v>
      </c>
      <c r="AT3537" s="184">
        <v>31411</v>
      </c>
      <c r="AU3537" t="s">
        <v>27188</v>
      </c>
      <c r="AV3537">
        <v>18</v>
      </c>
      <c r="AW3537" s="184">
        <v>45405</v>
      </c>
      <c r="AX3537" t="s">
        <v>14823</v>
      </c>
      <c r="AY3537">
        <v>25</v>
      </c>
      <c r="AZ3537" s="184">
        <v>42858</v>
      </c>
      <c r="BA3537" t="s">
        <v>27189</v>
      </c>
      <c r="BB3537">
        <v>200</v>
      </c>
      <c r="BC3537">
        <v>40</v>
      </c>
      <c r="BD3537">
        <v>797.97</v>
      </c>
      <c r="BE3537">
        <v>1986</v>
      </c>
      <c r="BF3537">
        <v>19</v>
      </c>
      <c r="BG3537">
        <v>3</v>
      </c>
      <c r="BH3537">
        <v>100</v>
      </c>
      <c r="BI3537">
        <v>16</v>
      </c>
      <c r="BJ3537">
        <v>40</v>
      </c>
      <c r="BK3537">
        <v>6</v>
      </c>
      <c r="BP3537" s="184"/>
    </row>
    <row r="3538" spans="1:68">
      <c r="A3538">
        <v>41186099</v>
      </c>
      <c r="B3538">
        <v>41186099</v>
      </c>
      <c r="C3538" t="s">
        <v>7018</v>
      </c>
      <c r="D3538" t="s">
        <v>595</v>
      </c>
      <c r="E3538" s="184">
        <v>45154</v>
      </c>
      <c r="G3538" s="184"/>
      <c r="I3538" s="184"/>
      <c r="K3538" s="184"/>
      <c r="O3538" s="184"/>
      <c r="P3538" t="s">
        <v>7045</v>
      </c>
      <c r="Q3538" t="s">
        <v>7383</v>
      </c>
      <c r="R3538" s="184">
        <v>22209</v>
      </c>
      <c r="S3538">
        <v>63</v>
      </c>
      <c r="V3538" t="s">
        <v>3306</v>
      </c>
      <c r="X3538" t="s">
        <v>3170</v>
      </c>
      <c r="AF3538" t="s">
        <v>27190</v>
      </c>
      <c r="AG3538" t="s">
        <v>3306</v>
      </c>
      <c r="AI3538" t="s">
        <v>27191</v>
      </c>
      <c r="AM3538" t="s">
        <v>3345</v>
      </c>
      <c r="AN3538" t="s">
        <v>2274</v>
      </c>
      <c r="AO3538" t="s">
        <v>27192</v>
      </c>
      <c r="AP3538" t="s">
        <v>7024</v>
      </c>
      <c r="AT3538" s="184">
        <v>39384</v>
      </c>
      <c r="AU3538" t="s">
        <v>27193</v>
      </c>
      <c r="AV3538">
        <v>19.97</v>
      </c>
      <c r="AW3538" s="184">
        <v>44055</v>
      </c>
      <c r="AX3538" t="s">
        <v>27194</v>
      </c>
      <c r="AY3538">
        <v>65</v>
      </c>
      <c r="AZ3538" s="184">
        <v>44055</v>
      </c>
      <c r="BA3538" t="s">
        <v>27194</v>
      </c>
      <c r="BB3538">
        <v>65</v>
      </c>
      <c r="BC3538">
        <v>28</v>
      </c>
      <c r="BD3538">
        <v>129.97</v>
      </c>
      <c r="BE3538">
        <v>2008</v>
      </c>
      <c r="BF3538">
        <v>5</v>
      </c>
      <c r="BI3538">
        <v>5</v>
      </c>
      <c r="BJ3538">
        <v>18</v>
      </c>
      <c r="BK3538">
        <v>1</v>
      </c>
      <c r="BP3538" s="184"/>
    </row>
    <row r="3539" spans="1:68">
      <c r="A3539">
        <v>41191669</v>
      </c>
      <c r="B3539">
        <v>41191669</v>
      </c>
      <c r="C3539" t="s">
        <v>7018</v>
      </c>
      <c r="D3539" t="s">
        <v>595</v>
      </c>
      <c r="E3539" s="184">
        <v>44328</v>
      </c>
      <c r="G3539" s="184"/>
      <c r="H3539" t="s">
        <v>595</v>
      </c>
      <c r="I3539" s="184">
        <v>44328</v>
      </c>
      <c r="K3539" s="184"/>
      <c r="O3539" s="184"/>
      <c r="P3539" t="s">
        <v>7045</v>
      </c>
      <c r="Q3539" t="s">
        <v>7160</v>
      </c>
      <c r="R3539" s="184">
        <v>17168</v>
      </c>
      <c r="S3539">
        <v>77</v>
      </c>
      <c r="V3539" t="s">
        <v>27195</v>
      </c>
      <c r="X3539" t="s">
        <v>27196</v>
      </c>
      <c r="AF3539" t="s">
        <v>27197</v>
      </c>
      <c r="AG3539" t="s">
        <v>27195</v>
      </c>
      <c r="AI3539" t="s">
        <v>27198</v>
      </c>
      <c r="AM3539" t="s">
        <v>27199</v>
      </c>
      <c r="AN3539" t="s">
        <v>2395</v>
      </c>
      <c r="AO3539" t="s">
        <v>27200</v>
      </c>
      <c r="AP3539" t="s">
        <v>7024</v>
      </c>
      <c r="AQ3539" t="s">
        <v>27201</v>
      </c>
      <c r="AT3539" s="184">
        <v>39379</v>
      </c>
      <c r="AU3539" t="s">
        <v>27202</v>
      </c>
      <c r="AV3539">
        <v>15</v>
      </c>
      <c r="AW3539" s="184">
        <v>45406</v>
      </c>
      <c r="AX3539" t="s">
        <v>27203</v>
      </c>
      <c r="AY3539">
        <v>10</v>
      </c>
      <c r="AZ3539" s="184">
        <v>43642</v>
      </c>
      <c r="BA3539" t="s">
        <v>27204</v>
      </c>
      <c r="BB3539">
        <v>25</v>
      </c>
      <c r="BC3539">
        <v>73</v>
      </c>
      <c r="BD3539">
        <v>253</v>
      </c>
      <c r="BE3539">
        <v>2008</v>
      </c>
      <c r="BF3539">
        <v>15</v>
      </c>
      <c r="BG3539">
        <v>2</v>
      </c>
      <c r="BH3539">
        <v>25</v>
      </c>
      <c r="BI3539">
        <v>13</v>
      </c>
      <c r="BJ3539">
        <v>18</v>
      </c>
      <c r="BK3539">
        <v>8</v>
      </c>
    </row>
    <row r="3540" spans="1:68">
      <c r="A3540">
        <v>41197864</v>
      </c>
      <c r="B3540">
        <v>41197864</v>
      </c>
      <c r="C3540" t="s">
        <v>7018</v>
      </c>
      <c r="D3540" t="s">
        <v>595</v>
      </c>
      <c r="E3540" s="184">
        <v>44484</v>
      </c>
      <c r="G3540" s="184"/>
      <c r="I3540" s="184"/>
      <c r="K3540" s="184"/>
      <c r="O3540" s="184"/>
      <c r="P3540" t="s">
        <v>7045</v>
      </c>
      <c r="Q3540" t="s">
        <v>7494</v>
      </c>
      <c r="R3540" s="184">
        <v>15838</v>
      </c>
      <c r="S3540">
        <v>81</v>
      </c>
      <c r="U3540" t="s">
        <v>7130</v>
      </c>
      <c r="V3540" t="s">
        <v>12099</v>
      </c>
      <c r="W3540" t="s">
        <v>3226</v>
      </c>
      <c r="X3540" t="s">
        <v>27205</v>
      </c>
      <c r="AF3540" t="s">
        <v>27206</v>
      </c>
      <c r="AG3540" t="s">
        <v>12099</v>
      </c>
      <c r="AI3540" t="s">
        <v>27207</v>
      </c>
      <c r="AM3540" t="s">
        <v>2582</v>
      </c>
      <c r="AN3540" t="s">
        <v>2174</v>
      </c>
      <c r="AO3540" t="s">
        <v>27208</v>
      </c>
      <c r="AP3540" t="s">
        <v>7024</v>
      </c>
      <c r="AQ3540" t="s">
        <v>27209</v>
      </c>
      <c r="AR3540" t="s">
        <v>27210</v>
      </c>
      <c r="AT3540" s="184">
        <v>39384</v>
      </c>
      <c r="AU3540" t="s">
        <v>27211</v>
      </c>
      <c r="AV3540">
        <v>25</v>
      </c>
      <c r="AW3540" s="184">
        <v>44692</v>
      </c>
      <c r="AX3540" t="s">
        <v>11867</v>
      </c>
      <c r="AY3540">
        <v>5</v>
      </c>
      <c r="AZ3540" s="184">
        <v>44193</v>
      </c>
      <c r="BA3540" t="s">
        <v>22788</v>
      </c>
      <c r="BB3540">
        <v>50</v>
      </c>
      <c r="BC3540">
        <v>39</v>
      </c>
      <c r="BD3540">
        <v>435</v>
      </c>
      <c r="BE3540">
        <v>2008</v>
      </c>
      <c r="BF3540">
        <v>43</v>
      </c>
      <c r="BG3540">
        <v>1</v>
      </c>
      <c r="BH3540">
        <v>5</v>
      </c>
      <c r="BI3540">
        <v>7</v>
      </c>
      <c r="BJ3540">
        <v>18</v>
      </c>
      <c r="BK3540">
        <v>5</v>
      </c>
      <c r="BP3540" s="184"/>
    </row>
    <row r="3541" spans="1:68">
      <c r="A3541">
        <v>41200882</v>
      </c>
      <c r="B3541">
        <v>41200882</v>
      </c>
      <c r="C3541" t="s">
        <v>7018</v>
      </c>
      <c r="D3541" t="s">
        <v>595</v>
      </c>
      <c r="E3541" s="184">
        <v>44167</v>
      </c>
      <c r="G3541" s="184"/>
      <c r="I3541" s="184"/>
      <c r="K3541" s="184"/>
      <c r="O3541" s="184"/>
      <c r="P3541" t="s">
        <v>7045</v>
      </c>
      <c r="Q3541" t="s">
        <v>8385</v>
      </c>
      <c r="R3541" s="184">
        <v>19299</v>
      </c>
      <c r="S3541">
        <v>71</v>
      </c>
      <c r="V3541" t="s">
        <v>27212</v>
      </c>
      <c r="W3541" t="s">
        <v>5006</v>
      </c>
      <c r="X3541" t="s">
        <v>19447</v>
      </c>
      <c r="AF3541" t="s">
        <v>27213</v>
      </c>
      <c r="AG3541" t="s">
        <v>27212</v>
      </c>
      <c r="AI3541" t="s">
        <v>27214</v>
      </c>
      <c r="AM3541" t="s">
        <v>4842</v>
      </c>
      <c r="AN3541" t="s">
        <v>2181</v>
      </c>
      <c r="AO3541" t="s">
        <v>27215</v>
      </c>
      <c r="AP3541" t="s">
        <v>7024</v>
      </c>
      <c r="AQ3541" t="s">
        <v>27216</v>
      </c>
      <c r="AT3541" s="184">
        <v>39384</v>
      </c>
      <c r="AU3541" t="s">
        <v>27217</v>
      </c>
      <c r="AV3541">
        <v>25</v>
      </c>
      <c r="AW3541" s="184">
        <v>44926</v>
      </c>
      <c r="AX3541" t="s">
        <v>27218</v>
      </c>
      <c r="AY3541">
        <v>100</v>
      </c>
      <c r="AZ3541" s="184">
        <v>41630</v>
      </c>
      <c r="BA3541" t="s">
        <v>27219</v>
      </c>
      <c r="BB3541">
        <v>150</v>
      </c>
      <c r="BC3541">
        <v>67</v>
      </c>
      <c r="BD3541">
        <v>1195</v>
      </c>
      <c r="BE3541">
        <v>2008</v>
      </c>
      <c r="BF3541">
        <v>18</v>
      </c>
      <c r="BG3541">
        <v>1</v>
      </c>
      <c r="BH3541">
        <v>100</v>
      </c>
      <c r="BI3541">
        <v>12</v>
      </c>
      <c r="BJ3541">
        <v>18</v>
      </c>
      <c r="BK3541">
        <v>4</v>
      </c>
      <c r="BP3541" s="184"/>
    </row>
    <row r="3542" spans="1:68">
      <c r="A3542">
        <v>41206426</v>
      </c>
      <c r="B3542">
        <v>41206426</v>
      </c>
      <c r="C3542" t="s">
        <v>7018</v>
      </c>
      <c r="D3542" t="s">
        <v>595</v>
      </c>
      <c r="E3542" s="184">
        <v>45106</v>
      </c>
      <c r="G3542" s="184"/>
      <c r="I3542" s="184"/>
      <c r="K3542" s="184"/>
      <c r="O3542" s="184"/>
      <c r="P3542" t="s">
        <v>7045</v>
      </c>
      <c r="Q3542" t="s">
        <v>7160</v>
      </c>
      <c r="R3542" s="184">
        <v>15530</v>
      </c>
      <c r="S3542">
        <v>81</v>
      </c>
      <c r="V3542" t="s">
        <v>2985</v>
      </c>
      <c r="X3542" t="s">
        <v>3349</v>
      </c>
      <c r="AF3542" t="s">
        <v>27220</v>
      </c>
      <c r="AG3542" t="s">
        <v>2985</v>
      </c>
      <c r="AI3542" t="s">
        <v>27221</v>
      </c>
      <c r="AM3542" t="s">
        <v>27222</v>
      </c>
      <c r="AN3542" t="s">
        <v>2675</v>
      </c>
      <c r="AO3542" t="s">
        <v>27223</v>
      </c>
      <c r="AP3542" t="s">
        <v>7024</v>
      </c>
      <c r="AQ3542" t="s">
        <v>27224</v>
      </c>
      <c r="AT3542" s="184">
        <v>39387</v>
      </c>
      <c r="AU3542" t="s">
        <v>27225</v>
      </c>
      <c r="AV3542">
        <v>30</v>
      </c>
      <c r="AW3542" s="184">
        <v>44589</v>
      </c>
      <c r="AX3542" t="s">
        <v>27226</v>
      </c>
      <c r="AY3542">
        <v>25</v>
      </c>
      <c r="AZ3542" s="184">
        <v>39821</v>
      </c>
      <c r="BA3542" t="s">
        <v>27227</v>
      </c>
      <c r="BB3542">
        <v>30</v>
      </c>
      <c r="BC3542">
        <v>34</v>
      </c>
      <c r="BD3542">
        <v>135</v>
      </c>
      <c r="BE3542">
        <v>2008</v>
      </c>
      <c r="BF3542">
        <v>6</v>
      </c>
      <c r="BI3542">
        <v>6</v>
      </c>
      <c r="BJ3542">
        <v>18</v>
      </c>
      <c r="BK3542">
        <v>3</v>
      </c>
    </row>
    <row r="3543" spans="1:68">
      <c r="A3543">
        <v>41209495</v>
      </c>
      <c r="B3543">
        <v>41209495</v>
      </c>
      <c r="C3543" t="s">
        <v>7018</v>
      </c>
      <c r="D3543" t="s">
        <v>595</v>
      </c>
      <c r="E3543" s="184">
        <v>44104</v>
      </c>
      <c r="G3543" s="184"/>
      <c r="I3543" s="184"/>
      <c r="K3543" s="184"/>
      <c r="O3543" s="184"/>
      <c r="P3543" t="s">
        <v>7045</v>
      </c>
      <c r="Q3543" t="s">
        <v>7494</v>
      </c>
      <c r="R3543" s="184">
        <v>16737</v>
      </c>
      <c r="S3543">
        <v>78</v>
      </c>
      <c r="U3543" t="s">
        <v>7076</v>
      </c>
      <c r="V3543" t="s">
        <v>27228</v>
      </c>
      <c r="X3543" t="s">
        <v>5809</v>
      </c>
      <c r="AF3543" t="s">
        <v>27229</v>
      </c>
      <c r="AG3543" t="s">
        <v>27228</v>
      </c>
      <c r="AI3543" t="s">
        <v>27230</v>
      </c>
      <c r="AM3543" t="s">
        <v>27231</v>
      </c>
      <c r="AN3543" t="s">
        <v>2174</v>
      </c>
      <c r="AO3543" t="s">
        <v>27232</v>
      </c>
      <c r="AP3543" t="s">
        <v>7024</v>
      </c>
      <c r="AQ3543" t="s">
        <v>27233</v>
      </c>
      <c r="AR3543" t="s">
        <v>27234</v>
      </c>
      <c r="AT3543" s="184">
        <v>39391</v>
      </c>
      <c r="AU3543" t="s">
        <v>27235</v>
      </c>
      <c r="AV3543">
        <v>16</v>
      </c>
      <c r="AW3543" s="184">
        <v>44824</v>
      </c>
      <c r="AX3543" t="s">
        <v>14164</v>
      </c>
      <c r="AY3543">
        <v>30</v>
      </c>
      <c r="AZ3543" s="184">
        <v>44824</v>
      </c>
      <c r="BA3543" t="s">
        <v>14164</v>
      </c>
      <c r="BB3543">
        <v>30</v>
      </c>
      <c r="BC3543">
        <v>84</v>
      </c>
      <c r="BD3543">
        <v>431</v>
      </c>
      <c r="BE3543">
        <v>2008</v>
      </c>
      <c r="BF3543">
        <v>17</v>
      </c>
      <c r="BG3543">
        <v>1</v>
      </c>
      <c r="BH3543">
        <v>30</v>
      </c>
      <c r="BI3543">
        <v>15</v>
      </c>
      <c r="BJ3543">
        <v>18</v>
      </c>
      <c r="BK3543">
        <v>14</v>
      </c>
      <c r="BP3543" s="184"/>
    </row>
    <row r="3544" spans="1:68">
      <c r="A3544">
        <v>41221409</v>
      </c>
      <c r="B3544">
        <v>41221409</v>
      </c>
      <c r="C3544" t="s">
        <v>7018</v>
      </c>
      <c r="E3544" s="184"/>
      <c r="G3544" s="184"/>
      <c r="I3544" s="184"/>
      <c r="J3544" t="s">
        <v>595</v>
      </c>
      <c r="K3544" s="184">
        <v>44441</v>
      </c>
      <c r="P3544" t="s">
        <v>7045</v>
      </c>
      <c r="Q3544" t="s">
        <v>7383</v>
      </c>
      <c r="R3544" s="184">
        <v>16619</v>
      </c>
      <c r="S3544">
        <v>78</v>
      </c>
      <c r="U3544" t="s">
        <v>7031</v>
      </c>
      <c r="V3544" t="s">
        <v>2518</v>
      </c>
      <c r="X3544" t="s">
        <v>4573</v>
      </c>
      <c r="AF3544" t="s">
        <v>27236</v>
      </c>
      <c r="AG3544" t="s">
        <v>2518</v>
      </c>
      <c r="AI3544" t="s">
        <v>27237</v>
      </c>
      <c r="AM3544" t="s">
        <v>27238</v>
      </c>
      <c r="AN3544" t="s">
        <v>2144</v>
      </c>
      <c r="AO3544" t="s">
        <v>27239</v>
      </c>
      <c r="AP3544" t="s">
        <v>7024</v>
      </c>
      <c r="AT3544" s="184">
        <v>39393</v>
      </c>
      <c r="AU3544" t="s">
        <v>27240</v>
      </c>
      <c r="AV3544">
        <v>25</v>
      </c>
      <c r="AW3544" s="184">
        <v>45383</v>
      </c>
      <c r="AX3544" t="s">
        <v>27241</v>
      </c>
      <c r="AY3544">
        <v>25</v>
      </c>
      <c r="AZ3544" s="184">
        <v>44175</v>
      </c>
      <c r="BA3544" t="s">
        <v>7106</v>
      </c>
      <c r="BB3544">
        <v>87</v>
      </c>
      <c r="BC3544">
        <v>62</v>
      </c>
      <c r="BD3544">
        <v>472</v>
      </c>
      <c r="BE3544">
        <v>2008</v>
      </c>
      <c r="BF3544">
        <v>15</v>
      </c>
      <c r="BG3544">
        <v>1</v>
      </c>
      <c r="BH3544">
        <v>25</v>
      </c>
      <c r="BI3544">
        <v>11</v>
      </c>
      <c r="BJ3544">
        <v>18</v>
      </c>
      <c r="BK3544">
        <v>7</v>
      </c>
    </row>
    <row r="3545" spans="1:68">
      <c r="A3545">
        <v>41221854</v>
      </c>
      <c r="B3545">
        <v>41221854</v>
      </c>
      <c r="C3545" t="s">
        <v>7018</v>
      </c>
      <c r="E3545" s="184"/>
      <c r="F3545" t="s">
        <v>595</v>
      </c>
      <c r="G3545" s="184">
        <v>43731</v>
      </c>
      <c r="I3545" s="184"/>
      <c r="K3545" s="184"/>
      <c r="P3545" t="s">
        <v>7045</v>
      </c>
      <c r="Q3545" t="s">
        <v>7020</v>
      </c>
      <c r="R3545" s="184">
        <v>19025</v>
      </c>
      <c r="S3545">
        <v>72</v>
      </c>
      <c r="U3545" t="s">
        <v>7076</v>
      </c>
      <c r="V3545" t="s">
        <v>4039</v>
      </c>
      <c r="W3545" t="s">
        <v>7407</v>
      </c>
      <c r="X3545" t="s">
        <v>4040</v>
      </c>
      <c r="AF3545" t="s">
        <v>27242</v>
      </c>
      <c r="AG3545" t="s">
        <v>4039</v>
      </c>
      <c r="AI3545" t="s">
        <v>27243</v>
      </c>
      <c r="AM3545" t="s">
        <v>4041</v>
      </c>
      <c r="AN3545" t="s">
        <v>2052</v>
      </c>
      <c r="AO3545" t="s">
        <v>27244</v>
      </c>
      <c r="AP3545" t="s">
        <v>7024</v>
      </c>
      <c r="AQ3545" t="s">
        <v>27245</v>
      </c>
      <c r="AR3545" t="s">
        <v>27246</v>
      </c>
      <c r="AT3545" s="184">
        <v>39394</v>
      </c>
      <c r="AU3545" t="s">
        <v>26928</v>
      </c>
      <c r="AV3545">
        <v>20</v>
      </c>
      <c r="AW3545" s="184">
        <v>45211</v>
      </c>
      <c r="AX3545" t="s">
        <v>23885</v>
      </c>
      <c r="AY3545">
        <v>100</v>
      </c>
      <c r="AZ3545" s="184">
        <v>45211</v>
      </c>
      <c r="BA3545" t="s">
        <v>23885</v>
      </c>
      <c r="BB3545">
        <v>100</v>
      </c>
      <c r="BC3545">
        <v>95</v>
      </c>
      <c r="BD3545">
        <v>715</v>
      </c>
      <c r="BE3545">
        <v>2008</v>
      </c>
      <c r="BF3545">
        <v>17</v>
      </c>
      <c r="BG3545">
        <v>2</v>
      </c>
      <c r="BH3545">
        <v>200</v>
      </c>
      <c r="BI3545">
        <v>17</v>
      </c>
      <c r="BJ3545">
        <v>18</v>
      </c>
      <c r="BK3545">
        <v>17</v>
      </c>
    </row>
    <row r="3546" spans="1:68">
      <c r="A3546">
        <v>41231168</v>
      </c>
      <c r="B3546">
        <v>41231168</v>
      </c>
      <c r="C3546" t="s">
        <v>7018</v>
      </c>
      <c r="E3546" s="184"/>
      <c r="G3546" s="184"/>
      <c r="I3546" s="184"/>
      <c r="J3546" t="s">
        <v>595</v>
      </c>
      <c r="K3546" s="184">
        <v>42256</v>
      </c>
      <c r="O3546" s="184"/>
      <c r="P3546" t="s">
        <v>7045</v>
      </c>
      <c r="Q3546" t="s">
        <v>7160</v>
      </c>
      <c r="R3546" s="184"/>
      <c r="U3546" t="s">
        <v>7032</v>
      </c>
      <c r="V3546" t="s">
        <v>3355</v>
      </c>
      <c r="W3546" t="s">
        <v>7046</v>
      </c>
      <c r="X3546" t="s">
        <v>27247</v>
      </c>
      <c r="AF3546" t="s">
        <v>6216</v>
      </c>
      <c r="AG3546" t="s">
        <v>3355</v>
      </c>
      <c r="AI3546" t="s">
        <v>27248</v>
      </c>
      <c r="AM3546" t="s">
        <v>13664</v>
      </c>
      <c r="AN3546" t="s">
        <v>2413</v>
      </c>
      <c r="AO3546" t="s">
        <v>27249</v>
      </c>
      <c r="AP3546" t="s">
        <v>7024</v>
      </c>
      <c r="AQ3546" t="s">
        <v>27250</v>
      </c>
      <c r="AT3546" s="184">
        <v>39398</v>
      </c>
      <c r="AU3546" t="s">
        <v>27251</v>
      </c>
      <c r="AV3546">
        <v>25</v>
      </c>
      <c r="AW3546" s="184">
        <v>43201</v>
      </c>
      <c r="AX3546" t="s">
        <v>27252</v>
      </c>
      <c r="AY3546">
        <v>100</v>
      </c>
      <c r="AZ3546" s="184">
        <v>43201</v>
      </c>
      <c r="BA3546" t="s">
        <v>27252</v>
      </c>
      <c r="BB3546">
        <v>100</v>
      </c>
      <c r="BC3546">
        <v>67</v>
      </c>
      <c r="BD3546">
        <v>2610</v>
      </c>
      <c r="BE3546">
        <v>2008</v>
      </c>
      <c r="BF3546">
        <v>32</v>
      </c>
      <c r="BI3546">
        <v>12</v>
      </c>
      <c r="BJ3546">
        <v>18</v>
      </c>
      <c r="BK3546">
        <v>12</v>
      </c>
      <c r="BN3546" t="s">
        <v>595</v>
      </c>
      <c r="BP3546" s="184"/>
    </row>
    <row r="3547" spans="1:68">
      <c r="A3547">
        <v>41240482</v>
      </c>
      <c r="B3547">
        <v>41240482</v>
      </c>
      <c r="C3547" t="s">
        <v>7018</v>
      </c>
      <c r="D3547" t="s">
        <v>595</v>
      </c>
      <c r="E3547" s="184">
        <v>44455</v>
      </c>
      <c r="G3547" s="184"/>
      <c r="I3547" s="184"/>
      <c r="K3547" s="184"/>
      <c r="O3547" s="184"/>
      <c r="P3547" t="s">
        <v>7045</v>
      </c>
      <c r="Q3547" t="s">
        <v>8385</v>
      </c>
      <c r="R3547" s="184">
        <v>16370</v>
      </c>
      <c r="S3547">
        <v>79</v>
      </c>
      <c r="V3547" t="s">
        <v>3358</v>
      </c>
      <c r="X3547" t="s">
        <v>27253</v>
      </c>
      <c r="Z3547">
        <v>100123036</v>
      </c>
      <c r="AB3547" t="s">
        <v>2821</v>
      </c>
      <c r="AD3547" t="s">
        <v>27253</v>
      </c>
      <c r="AF3547" t="s">
        <v>27254</v>
      </c>
      <c r="AG3547" t="s">
        <v>27255</v>
      </c>
      <c r="AI3547" t="s">
        <v>27256</v>
      </c>
      <c r="AM3547" t="s">
        <v>4842</v>
      </c>
      <c r="AN3547" t="s">
        <v>2181</v>
      </c>
      <c r="AO3547" t="s">
        <v>27257</v>
      </c>
      <c r="AP3547" t="s">
        <v>7024</v>
      </c>
      <c r="AQ3547" t="s">
        <v>27258</v>
      </c>
      <c r="AR3547" t="s">
        <v>27259</v>
      </c>
      <c r="AT3547" s="184">
        <v>39395</v>
      </c>
      <c r="AU3547" t="s">
        <v>27217</v>
      </c>
      <c r="AV3547">
        <v>25</v>
      </c>
      <c r="AW3547" s="184">
        <v>43643</v>
      </c>
      <c r="AX3547" t="s">
        <v>17297</v>
      </c>
      <c r="AY3547">
        <v>100</v>
      </c>
      <c r="AZ3547" s="184">
        <v>43643</v>
      </c>
      <c r="BA3547" t="s">
        <v>17297</v>
      </c>
      <c r="BB3547">
        <v>100</v>
      </c>
      <c r="BC3547">
        <v>62</v>
      </c>
      <c r="BD3547">
        <v>565</v>
      </c>
      <c r="BE3547">
        <v>2008</v>
      </c>
      <c r="BF3547">
        <v>12</v>
      </c>
      <c r="BI3547">
        <v>11</v>
      </c>
      <c r="BJ3547">
        <v>18</v>
      </c>
      <c r="BK3547">
        <v>6</v>
      </c>
      <c r="BN3547" t="s">
        <v>595</v>
      </c>
      <c r="BP3547" s="184"/>
    </row>
    <row r="3548" spans="1:68">
      <c r="A3548">
        <v>100123036</v>
      </c>
      <c r="B3548">
        <v>41240482</v>
      </c>
      <c r="C3548" t="s">
        <v>7018</v>
      </c>
      <c r="D3548" t="s">
        <v>595</v>
      </c>
      <c r="E3548" s="184">
        <v>44455</v>
      </c>
      <c r="G3548" s="184"/>
      <c r="I3548" s="184"/>
      <c r="K3548" s="184"/>
      <c r="M3548" s="184"/>
      <c r="O3548" s="184"/>
      <c r="P3548" t="s">
        <v>7045</v>
      </c>
      <c r="Q3548" t="s">
        <v>8385</v>
      </c>
      <c r="R3548" s="184">
        <v>15429</v>
      </c>
      <c r="S3548">
        <v>82</v>
      </c>
      <c r="V3548" t="s">
        <v>2821</v>
      </c>
      <c r="X3548" t="s">
        <v>27253</v>
      </c>
      <c r="Z3548">
        <v>41240482</v>
      </c>
      <c r="AB3548" t="s">
        <v>3358</v>
      </c>
      <c r="AD3548" t="s">
        <v>27253</v>
      </c>
      <c r="AF3548" t="s">
        <v>27254</v>
      </c>
      <c r="AG3548" t="s">
        <v>27255</v>
      </c>
      <c r="AI3548" t="s">
        <v>27256</v>
      </c>
      <c r="AM3548" t="s">
        <v>4842</v>
      </c>
      <c r="AN3548" t="s">
        <v>2181</v>
      </c>
      <c r="AO3548" t="s">
        <v>27257</v>
      </c>
      <c r="AP3548" t="s">
        <v>7024</v>
      </c>
      <c r="AQ3548" t="s">
        <v>27258</v>
      </c>
      <c r="AT3548" s="184"/>
      <c r="AW3548" s="184"/>
      <c r="AZ3548" s="184"/>
      <c r="BP3548" s="184"/>
    </row>
    <row r="3549" spans="1:68">
      <c r="A3549">
        <v>41250408</v>
      </c>
      <c r="B3549">
        <v>41250408</v>
      </c>
      <c r="C3549" t="s">
        <v>7018</v>
      </c>
      <c r="E3549" s="184"/>
      <c r="F3549" t="s">
        <v>595</v>
      </c>
      <c r="G3549" s="184">
        <v>44167</v>
      </c>
      <c r="I3549" s="184"/>
      <c r="K3549" s="184"/>
      <c r="O3549" s="184"/>
      <c r="P3549" t="s">
        <v>7045</v>
      </c>
      <c r="Q3549" t="s">
        <v>7194</v>
      </c>
      <c r="R3549" s="184">
        <v>18629</v>
      </c>
      <c r="S3549">
        <v>73</v>
      </c>
      <c r="U3549" t="s">
        <v>7031</v>
      </c>
      <c r="V3549" t="s">
        <v>3103</v>
      </c>
      <c r="X3549" t="s">
        <v>4737</v>
      </c>
      <c r="Z3549">
        <v>100123084</v>
      </c>
      <c r="AA3549" t="s">
        <v>7130</v>
      </c>
      <c r="AB3549" t="s">
        <v>7799</v>
      </c>
      <c r="AD3549" t="s">
        <v>27260</v>
      </c>
      <c r="AF3549" t="s">
        <v>27261</v>
      </c>
      <c r="AG3549" t="s">
        <v>27262</v>
      </c>
      <c r="AI3549" t="s">
        <v>27263</v>
      </c>
      <c r="AM3549" t="s">
        <v>19388</v>
      </c>
      <c r="AN3549" t="s">
        <v>2046</v>
      </c>
      <c r="AO3549" t="s">
        <v>27264</v>
      </c>
      <c r="AP3549" t="s">
        <v>7024</v>
      </c>
      <c r="AQ3549" t="s">
        <v>27265</v>
      </c>
      <c r="AT3549" s="184">
        <v>39402</v>
      </c>
      <c r="AU3549" t="s">
        <v>27266</v>
      </c>
      <c r="AV3549">
        <v>25</v>
      </c>
      <c r="AW3549" s="184">
        <v>44911</v>
      </c>
      <c r="AX3549" t="s">
        <v>7405</v>
      </c>
      <c r="AY3549">
        <v>25</v>
      </c>
      <c r="AZ3549" s="184">
        <v>40529</v>
      </c>
      <c r="BA3549" t="s">
        <v>27267</v>
      </c>
      <c r="BB3549">
        <v>50</v>
      </c>
      <c r="BC3549">
        <v>84</v>
      </c>
      <c r="BD3549">
        <v>470</v>
      </c>
      <c r="BE3549">
        <v>2008</v>
      </c>
      <c r="BF3549">
        <v>17</v>
      </c>
      <c r="BG3549">
        <v>1</v>
      </c>
      <c r="BH3549">
        <v>25</v>
      </c>
      <c r="BI3549">
        <v>15</v>
      </c>
      <c r="BJ3549">
        <v>18</v>
      </c>
      <c r="BK3549">
        <v>9</v>
      </c>
      <c r="BP3549" s="184"/>
    </row>
    <row r="3550" spans="1:68">
      <c r="A3550">
        <v>100123084</v>
      </c>
      <c r="B3550">
        <v>41250408</v>
      </c>
      <c r="C3550" t="s">
        <v>7018</v>
      </c>
      <c r="E3550" s="184"/>
      <c r="F3550" t="s">
        <v>595</v>
      </c>
      <c r="G3550" s="184">
        <v>44167</v>
      </c>
      <c r="I3550" s="184"/>
      <c r="K3550" s="184"/>
      <c r="O3550" s="184"/>
      <c r="P3550" t="s">
        <v>7045</v>
      </c>
      <c r="Q3550" t="s">
        <v>7194</v>
      </c>
      <c r="R3550" s="184">
        <v>18233</v>
      </c>
      <c r="S3550">
        <v>74</v>
      </c>
      <c r="U3550" t="s">
        <v>7130</v>
      </c>
      <c r="V3550" t="s">
        <v>7799</v>
      </c>
      <c r="X3550" t="s">
        <v>27260</v>
      </c>
      <c r="Z3550">
        <v>41250408</v>
      </c>
      <c r="AA3550" t="s">
        <v>7031</v>
      </c>
      <c r="AB3550" t="s">
        <v>3103</v>
      </c>
      <c r="AD3550" t="s">
        <v>4737</v>
      </c>
      <c r="AF3550" t="s">
        <v>27261</v>
      </c>
      <c r="AG3550" t="s">
        <v>27262</v>
      </c>
      <c r="AI3550" t="s">
        <v>27263</v>
      </c>
      <c r="AM3550" t="s">
        <v>19388</v>
      </c>
      <c r="AN3550" t="s">
        <v>2046</v>
      </c>
      <c r="AO3550" t="s">
        <v>27264</v>
      </c>
      <c r="AP3550" t="s">
        <v>7024</v>
      </c>
      <c r="AT3550" s="184"/>
      <c r="AW3550" s="184"/>
      <c r="AZ3550" s="184"/>
    </row>
    <row r="3551" spans="1:68">
      <c r="A3551">
        <v>41262296</v>
      </c>
      <c r="B3551">
        <v>41262296</v>
      </c>
      <c r="C3551" t="s">
        <v>7018</v>
      </c>
      <c r="D3551" t="s">
        <v>595</v>
      </c>
      <c r="E3551" s="184">
        <v>45138</v>
      </c>
      <c r="G3551" s="184"/>
      <c r="I3551" s="184"/>
      <c r="K3551" s="184"/>
      <c r="M3551" s="184"/>
      <c r="O3551" s="184"/>
      <c r="P3551" t="s">
        <v>7029</v>
      </c>
      <c r="Q3551" t="s">
        <v>7383</v>
      </c>
      <c r="R3551" s="184">
        <v>12966</v>
      </c>
      <c r="S3551">
        <v>88</v>
      </c>
      <c r="U3551" t="s">
        <v>7237</v>
      </c>
      <c r="V3551" t="s">
        <v>4676</v>
      </c>
      <c r="W3551" t="s">
        <v>205</v>
      </c>
      <c r="X3551" t="s">
        <v>27268</v>
      </c>
      <c r="AF3551" t="s">
        <v>27269</v>
      </c>
      <c r="AG3551" t="s">
        <v>4676</v>
      </c>
      <c r="AI3551" t="s">
        <v>27270</v>
      </c>
      <c r="AM3551" t="s">
        <v>27271</v>
      </c>
      <c r="AN3551" t="s">
        <v>2162</v>
      </c>
      <c r="AO3551" t="s">
        <v>27272</v>
      </c>
      <c r="AP3551" t="s">
        <v>7024</v>
      </c>
      <c r="AQ3551" t="s">
        <v>27273</v>
      </c>
      <c r="AR3551" t="s">
        <v>27274</v>
      </c>
      <c r="AT3551" s="184">
        <v>39412</v>
      </c>
      <c r="AU3551" t="s">
        <v>27275</v>
      </c>
      <c r="AV3551">
        <v>25</v>
      </c>
      <c r="AW3551" s="184">
        <v>45352</v>
      </c>
      <c r="AX3551" t="s">
        <v>7302</v>
      </c>
      <c r="AY3551">
        <v>2000</v>
      </c>
      <c r="AZ3551" s="184">
        <v>45352</v>
      </c>
      <c r="BA3551" t="s">
        <v>7302</v>
      </c>
      <c r="BB3551">
        <v>2000</v>
      </c>
      <c r="BC3551">
        <v>100</v>
      </c>
      <c r="BD3551">
        <v>15725</v>
      </c>
      <c r="BE3551">
        <v>2008</v>
      </c>
      <c r="BF3551">
        <v>24</v>
      </c>
      <c r="BG3551">
        <v>3</v>
      </c>
      <c r="BH3551">
        <v>6000</v>
      </c>
      <c r="BI3551">
        <v>18</v>
      </c>
      <c r="BJ3551">
        <v>18</v>
      </c>
      <c r="BK3551">
        <v>18</v>
      </c>
    </row>
    <row r="3552" spans="1:68">
      <c r="A3552">
        <v>41263997</v>
      </c>
      <c r="B3552">
        <v>41263997</v>
      </c>
      <c r="C3552" t="s">
        <v>7018</v>
      </c>
      <c r="E3552" s="184"/>
      <c r="G3552" s="184"/>
      <c r="I3552" s="184"/>
      <c r="J3552" t="s">
        <v>595</v>
      </c>
      <c r="K3552" s="184">
        <v>44073</v>
      </c>
      <c r="M3552" s="184"/>
      <c r="O3552" s="184"/>
      <c r="P3552" t="s">
        <v>7045</v>
      </c>
      <c r="Q3552" t="s">
        <v>7374</v>
      </c>
      <c r="R3552" s="184">
        <v>16306</v>
      </c>
      <c r="S3552">
        <v>79</v>
      </c>
      <c r="V3552" t="s">
        <v>4616</v>
      </c>
      <c r="X3552" t="s">
        <v>4907</v>
      </c>
      <c r="AF3552" t="s">
        <v>27276</v>
      </c>
      <c r="AG3552" t="s">
        <v>4616</v>
      </c>
      <c r="AI3552" t="s">
        <v>27277</v>
      </c>
      <c r="AM3552" t="s">
        <v>4908</v>
      </c>
      <c r="AN3552" t="s">
        <v>2081</v>
      </c>
      <c r="AO3552" t="s">
        <v>27278</v>
      </c>
      <c r="AP3552" t="s">
        <v>7024</v>
      </c>
      <c r="AQ3552" t="s">
        <v>27279</v>
      </c>
      <c r="AT3552" s="184">
        <v>39412</v>
      </c>
      <c r="AU3552" t="s">
        <v>27280</v>
      </c>
      <c r="AV3552">
        <v>50</v>
      </c>
      <c r="AW3552" s="184">
        <v>45315</v>
      </c>
      <c r="AX3552" t="s">
        <v>20779</v>
      </c>
      <c r="AY3552">
        <v>100</v>
      </c>
      <c r="AZ3552" s="184">
        <v>44200</v>
      </c>
      <c r="BA3552" t="s">
        <v>27281</v>
      </c>
      <c r="BB3552">
        <v>115</v>
      </c>
      <c r="BC3552">
        <v>100</v>
      </c>
      <c r="BD3552">
        <v>1265</v>
      </c>
      <c r="BE3552">
        <v>2008</v>
      </c>
      <c r="BF3552">
        <v>19</v>
      </c>
      <c r="BG3552">
        <v>2</v>
      </c>
      <c r="BH3552">
        <v>200</v>
      </c>
      <c r="BI3552">
        <v>18</v>
      </c>
      <c r="BJ3552">
        <v>18</v>
      </c>
      <c r="BK3552">
        <v>18</v>
      </c>
      <c r="BN3552" t="s">
        <v>595</v>
      </c>
    </row>
    <row r="3553" spans="1:68">
      <c r="A3553">
        <v>41266867</v>
      </c>
      <c r="B3553">
        <v>41266867</v>
      </c>
      <c r="C3553" t="s">
        <v>7018</v>
      </c>
      <c r="D3553" t="s">
        <v>595</v>
      </c>
      <c r="E3553" s="184">
        <v>44070</v>
      </c>
      <c r="G3553" s="184"/>
      <c r="I3553" s="184"/>
      <c r="K3553" s="184"/>
      <c r="M3553" s="184"/>
      <c r="O3553" s="184"/>
      <c r="P3553" t="s">
        <v>7045</v>
      </c>
      <c r="Q3553" t="s">
        <v>7262</v>
      </c>
      <c r="R3553" s="184">
        <v>17564</v>
      </c>
      <c r="S3553">
        <v>76</v>
      </c>
      <c r="U3553" t="s">
        <v>7076</v>
      </c>
      <c r="V3553" t="s">
        <v>4664</v>
      </c>
      <c r="X3553" t="s">
        <v>27282</v>
      </c>
      <c r="AF3553" t="s">
        <v>27283</v>
      </c>
      <c r="AG3553" t="s">
        <v>4664</v>
      </c>
      <c r="AI3553" t="s">
        <v>27284</v>
      </c>
      <c r="AM3553" t="s">
        <v>3262</v>
      </c>
      <c r="AN3553" t="s">
        <v>2106</v>
      </c>
      <c r="AO3553" t="s">
        <v>27285</v>
      </c>
      <c r="AP3553" t="s">
        <v>7024</v>
      </c>
      <c r="AQ3553" t="s">
        <v>27286</v>
      </c>
      <c r="AT3553" s="184">
        <v>39412</v>
      </c>
      <c r="AU3553" t="s">
        <v>27287</v>
      </c>
      <c r="AV3553">
        <v>100</v>
      </c>
      <c r="AW3553" s="184">
        <v>45260</v>
      </c>
      <c r="AX3553" t="s">
        <v>16654</v>
      </c>
      <c r="AY3553">
        <v>50</v>
      </c>
      <c r="AZ3553" s="184">
        <v>42348</v>
      </c>
      <c r="BA3553" t="s">
        <v>20929</v>
      </c>
      <c r="BB3553">
        <v>100</v>
      </c>
      <c r="BC3553">
        <v>78</v>
      </c>
      <c r="BD3553">
        <v>1520</v>
      </c>
      <c r="BE3553">
        <v>2008</v>
      </c>
      <c r="BF3553">
        <v>21</v>
      </c>
      <c r="BG3553">
        <v>2</v>
      </c>
      <c r="BH3553">
        <v>100</v>
      </c>
      <c r="BI3553">
        <v>14</v>
      </c>
      <c r="BJ3553">
        <v>18</v>
      </c>
      <c r="BK3553">
        <v>7</v>
      </c>
      <c r="BN3553" t="s">
        <v>595</v>
      </c>
    </row>
    <row r="3554" spans="1:68">
      <c r="A3554">
        <v>41272048</v>
      </c>
      <c r="B3554">
        <v>41272048</v>
      </c>
      <c r="C3554" t="s">
        <v>7018</v>
      </c>
      <c r="D3554" t="s">
        <v>595</v>
      </c>
      <c r="E3554" s="184">
        <v>45148</v>
      </c>
      <c r="G3554" s="184"/>
      <c r="I3554" s="184"/>
      <c r="K3554" s="184"/>
      <c r="O3554" s="184"/>
      <c r="P3554" t="s">
        <v>7045</v>
      </c>
      <c r="Q3554" t="s">
        <v>7194</v>
      </c>
      <c r="R3554" s="184">
        <v>18933</v>
      </c>
      <c r="S3554">
        <v>72</v>
      </c>
      <c r="U3554" t="s">
        <v>7031</v>
      </c>
      <c r="V3554" t="s">
        <v>4587</v>
      </c>
      <c r="X3554" t="s">
        <v>27288</v>
      </c>
      <c r="Z3554">
        <v>101086309</v>
      </c>
      <c r="AB3554" t="s">
        <v>2938</v>
      </c>
      <c r="AD3554" t="s">
        <v>27288</v>
      </c>
      <c r="AF3554" t="s">
        <v>27289</v>
      </c>
      <c r="AG3554" t="s">
        <v>27290</v>
      </c>
      <c r="AI3554" t="s">
        <v>27291</v>
      </c>
      <c r="AM3554" t="s">
        <v>2513</v>
      </c>
      <c r="AN3554" t="s">
        <v>2046</v>
      </c>
      <c r="AO3554" t="s">
        <v>27292</v>
      </c>
      <c r="AP3554" t="s">
        <v>7024</v>
      </c>
      <c r="AQ3554" t="s">
        <v>27293</v>
      </c>
      <c r="AT3554" s="184">
        <v>39414</v>
      </c>
      <c r="AU3554" t="s">
        <v>27280</v>
      </c>
      <c r="AV3554">
        <v>15</v>
      </c>
      <c r="AW3554" s="184">
        <v>44972</v>
      </c>
      <c r="AX3554" t="s">
        <v>27294</v>
      </c>
      <c r="AY3554">
        <v>75</v>
      </c>
      <c r="AZ3554" s="184">
        <v>44972</v>
      </c>
      <c r="BA3554" t="s">
        <v>27294</v>
      </c>
      <c r="BB3554">
        <v>75</v>
      </c>
      <c r="BC3554">
        <v>28</v>
      </c>
      <c r="BD3554">
        <v>205</v>
      </c>
      <c r="BE3554">
        <v>2008</v>
      </c>
      <c r="BF3554">
        <v>5</v>
      </c>
      <c r="BG3554">
        <v>1</v>
      </c>
      <c r="BH3554">
        <v>75</v>
      </c>
      <c r="BI3554">
        <v>5</v>
      </c>
      <c r="BJ3554">
        <v>18</v>
      </c>
      <c r="BK3554">
        <v>1</v>
      </c>
      <c r="BP3554" s="184"/>
    </row>
    <row r="3555" spans="1:68">
      <c r="A3555">
        <v>101086309</v>
      </c>
      <c r="B3555">
        <v>41272048</v>
      </c>
      <c r="C3555" t="s">
        <v>7018</v>
      </c>
      <c r="D3555" t="s">
        <v>595</v>
      </c>
      <c r="E3555" s="184">
        <v>45148</v>
      </c>
      <c r="G3555" s="184"/>
      <c r="I3555" s="184"/>
      <c r="K3555" s="184"/>
      <c r="M3555" s="184"/>
      <c r="O3555" s="184"/>
      <c r="P3555" t="s">
        <v>7045</v>
      </c>
      <c r="Q3555" t="s">
        <v>7194</v>
      </c>
      <c r="R3555" s="184">
        <v>19054</v>
      </c>
      <c r="S3555">
        <v>72</v>
      </c>
      <c r="V3555" t="s">
        <v>2938</v>
      </c>
      <c r="X3555" t="s">
        <v>27288</v>
      </c>
      <c r="Z3555">
        <v>41272048</v>
      </c>
      <c r="AA3555" t="s">
        <v>7031</v>
      </c>
      <c r="AB3555" t="s">
        <v>4587</v>
      </c>
      <c r="AD3555" t="s">
        <v>27288</v>
      </c>
      <c r="AF3555" t="s">
        <v>27289</v>
      </c>
      <c r="AG3555" t="s">
        <v>27290</v>
      </c>
      <c r="AI3555" t="s">
        <v>27291</v>
      </c>
      <c r="AM3555" t="s">
        <v>2513</v>
      </c>
      <c r="AN3555" t="s">
        <v>2046</v>
      </c>
      <c r="AO3555" t="s">
        <v>27292</v>
      </c>
      <c r="AP3555" t="s">
        <v>7024</v>
      </c>
      <c r="AT3555" s="184"/>
      <c r="AW3555" s="184"/>
      <c r="AZ3555" s="184"/>
      <c r="BP3555" s="184"/>
    </row>
    <row r="3556" spans="1:68">
      <c r="A3556">
        <v>41295551</v>
      </c>
      <c r="B3556">
        <v>41295551</v>
      </c>
      <c r="C3556" t="s">
        <v>7018</v>
      </c>
      <c r="D3556" t="s">
        <v>595</v>
      </c>
      <c r="E3556" s="184">
        <v>44104</v>
      </c>
      <c r="G3556" s="184"/>
      <c r="I3556" s="184"/>
      <c r="K3556" s="184"/>
      <c r="O3556" s="184"/>
      <c r="P3556" t="s">
        <v>7045</v>
      </c>
      <c r="Q3556" t="s">
        <v>7454</v>
      </c>
      <c r="R3556" s="184">
        <v>16372</v>
      </c>
      <c r="S3556">
        <v>79</v>
      </c>
      <c r="U3556" t="s">
        <v>7031</v>
      </c>
      <c r="V3556" t="s">
        <v>5057</v>
      </c>
      <c r="X3556" t="s">
        <v>4024</v>
      </c>
      <c r="Z3556">
        <v>100563113</v>
      </c>
      <c r="AA3556" t="s">
        <v>7031</v>
      </c>
      <c r="AB3556" t="s">
        <v>5057</v>
      </c>
      <c r="AD3556" t="s">
        <v>4024</v>
      </c>
      <c r="AF3556" t="s">
        <v>27295</v>
      </c>
      <c r="AG3556" t="s">
        <v>5057</v>
      </c>
      <c r="AI3556" t="s">
        <v>27296</v>
      </c>
      <c r="AM3556" t="s">
        <v>27297</v>
      </c>
      <c r="AN3556" t="s">
        <v>2055</v>
      </c>
      <c r="AO3556" t="s">
        <v>27298</v>
      </c>
      <c r="AP3556" t="s">
        <v>7024</v>
      </c>
      <c r="AQ3556" t="s">
        <v>27299</v>
      </c>
      <c r="AR3556" t="s">
        <v>27300</v>
      </c>
      <c r="AT3556" s="184">
        <v>39422</v>
      </c>
      <c r="AU3556" t="s">
        <v>27301</v>
      </c>
      <c r="AV3556">
        <v>15</v>
      </c>
      <c r="AW3556" s="184">
        <v>45260</v>
      </c>
      <c r="AX3556" t="s">
        <v>24601</v>
      </c>
      <c r="AY3556">
        <v>100</v>
      </c>
      <c r="AZ3556" s="184">
        <v>45260</v>
      </c>
      <c r="BA3556" t="s">
        <v>24601</v>
      </c>
      <c r="BB3556">
        <v>100</v>
      </c>
      <c r="BC3556">
        <v>95</v>
      </c>
      <c r="BD3556">
        <v>885</v>
      </c>
      <c r="BE3556">
        <v>2008</v>
      </c>
      <c r="BF3556">
        <v>23</v>
      </c>
      <c r="BG3556">
        <v>4</v>
      </c>
      <c r="BH3556">
        <v>300</v>
      </c>
      <c r="BI3556">
        <v>17</v>
      </c>
      <c r="BJ3556">
        <v>18</v>
      </c>
      <c r="BK3556">
        <v>17</v>
      </c>
      <c r="BP3556" s="184"/>
    </row>
    <row r="3557" spans="1:68">
      <c r="A3557">
        <v>41296815</v>
      </c>
      <c r="B3557">
        <v>41296815</v>
      </c>
      <c r="C3557" t="s">
        <v>7018</v>
      </c>
      <c r="E3557" s="184"/>
      <c r="F3557" t="s">
        <v>595</v>
      </c>
      <c r="G3557" s="184">
        <v>43731</v>
      </c>
      <c r="I3557" s="184"/>
      <c r="K3557" s="184"/>
      <c r="M3557" s="184"/>
      <c r="O3557" s="184"/>
      <c r="P3557" t="s">
        <v>7045</v>
      </c>
      <c r="Q3557" t="s">
        <v>7454</v>
      </c>
      <c r="R3557" s="184">
        <v>18902</v>
      </c>
      <c r="S3557">
        <v>72</v>
      </c>
      <c r="U3557" t="s">
        <v>7076</v>
      </c>
      <c r="V3557" t="s">
        <v>3317</v>
      </c>
      <c r="W3557" t="s">
        <v>7407</v>
      </c>
      <c r="X3557" t="s">
        <v>3870</v>
      </c>
      <c r="AF3557" t="s">
        <v>27302</v>
      </c>
      <c r="AG3557" t="s">
        <v>3317</v>
      </c>
      <c r="AI3557" t="s">
        <v>27303</v>
      </c>
      <c r="AM3557" t="s">
        <v>3891</v>
      </c>
      <c r="AN3557" t="s">
        <v>2055</v>
      </c>
      <c r="AO3557" t="s">
        <v>27304</v>
      </c>
      <c r="AP3557" t="s">
        <v>7024</v>
      </c>
      <c r="AQ3557" t="s">
        <v>27305</v>
      </c>
      <c r="AR3557" t="s">
        <v>27306</v>
      </c>
      <c r="AT3557" s="184">
        <v>39423</v>
      </c>
      <c r="AU3557" t="s">
        <v>27275</v>
      </c>
      <c r="AV3557">
        <v>15</v>
      </c>
      <c r="AW3557" s="184">
        <v>44865</v>
      </c>
      <c r="AX3557" t="s">
        <v>11520</v>
      </c>
      <c r="AY3557">
        <v>25</v>
      </c>
      <c r="AZ3557" s="184">
        <v>43357</v>
      </c>
      <c r="BA3557" t="s">
        <v>10803</v>
      </c>
      <c r="BB3557">
        <v>87</v>
      </c>
      <c r="BC3557">
        <v>73</v>
      </c>
      <c r="BD3557">
        <v>437</v>
      </c>
      <c r="BE3557">
        <v>2008</v>
      </c>
      <c r="BF3557">
        <v>14</v>
      </c>
      <c r="BG3557">
        <v>1</v>
      </c>
      <c r="BH3557">
        <v>25</v>
      </c>
      <c r="BI3557">
        <v>13</v>
      </c>
      <c r="BJ3557">
        <v>18</v>
      </c>
      <c r="BK3557">
        <v>6</v>
      </c>
      <c r="BP3557" s="184"/>
    </row>
    <row r="3558" spans="1:68">
      <c r="A3558">
        <v>41302688</v>
      </c>
      <c r="B3558">
        <v>41302688</v>
      </c>
      <c r="C3558" t="s">
        <v>7018</v>
      </c>
      <c r="E3558" s="184"/>
      <c r="G3558" s="184"/>
      <c r="I3558" s="184"/>
      <c r="J3558" t="s">
        <v>595</v>
      </c>
      <c r="K3558" s="184">
        <v>40897</v>
      </c>
      <c r="O3558" s="184"/>
      <c r="P3558" t="s">
        <v>7045</v>
      </c>
      <c r="Q3558" t="s">
        <v>7160</v>
      </c>
      <c r="R3558" s="184">
        <v>23050</v>
      </c>
      <c r="S3558">
        <v>61</v>
      </c>
      <c r="U3558" t="s">
        <v>7076</v>
      </c>
      <c r="V3558" t="s">
        <v>2733</v>
      </c>
      <c r="X3558" t="s">
        <v>2732</v>
      </c>
      <c r="AF3558" t="s">
        <v>6290</v>
      </c>
      <c r="AG3558" t="s">
        <v>2733</v>
      </c>
      <c r="AI3558" t="s">
        <v>27307</v>
      </c>
      <c r="AM3558" t="s">
        <v>2734</v>
      </c>
      <c r="AN3558" t="s">
        <v>2395</v>
      </c>
      <c r="AO3558" t="s">
        <v>27308</v>
      </c>
      <c r="AP3558" t="s">
        <v>7024</v>
      </c>
      <c r="AQ3558" t="s">
        <v>27309</v>
      </c>
      <c r="AT3558" s="184">
        <v>39426</v>
      </c>
      <c r="AU3558" t="s">
        <v>27310</v>
      </c>
      <c r="AV3558">
        <v>50</v>
      </c>
      <c r="AW3558" s="184">
        <v>45408</v>
      </c>
      <c r="AX3558" t="s">
        <v>8483</v>
      </c>
      <c r="AY3558">
        <v>15</v>
      </c>
      <c r="AZ3558" s="184">
        <v>39426</v>
      </c>
      <c r="BA3558" t="s">
        <v>27310</v>
      </c>
      <c r="BB3558">
        <v>50</v>
      </c>
      <c r="BC3558">
        <v>100</v>
      </c>
      <c r="BD3558">
        <v>2541</v>
      </c>
      <c r="BE3558">
        <v>2008</v>
      </c>
      <c r="BF3558">
        <v>193</v>
      </c>
      <c r="BG3558">
        <v>24</v>
      </c>
      <c r="BH3558">
        <v>360</v>
      </c>
      <c r="BI3558">
        <v>18</v>
      </c>
      <c r="BJ3558">
        <v>18</v>
      </c>
      <c r="BK3558">
        <v>18</v>
      </c>
      <c r="BP3558" s="184"/>
    </row>
    <row r="3559" spans="1:68">
      <c r="A3559">
        <v>41309899</v>
      </c>
      <c r="B3559">
        <v>41309899</v>
      </c>
      <c r="C3559" t="s">
        <v>7018</v>
      </c>
      <c r="E3559" s="184"/>
      <c r="G3559" s="184"/>
      <c r="I3559" s="184"/>
      <c r="J3559" t="s">
        <v>595</v>
      </c>
      <c r="K3559" s="184">
        <v>43490</v>
      </c>
      <c r="M3559" s="184"/>
      <c r="O3559" s="184"/>
      <c r="P3559" t="s">
        <v>7045</v>
      </c>
      <c r="Q3559" t="s">
        <v>7160</v>
      </c>
      <c r="R3559" s="184">
        <v>22119</v>
      </c>
      <c r="S3559">
        <v>63</v>
      </c>
      <c r="V3559" t="s">
        <v>2586</v>
      </c>
      <c r="X3559" t="s">
        <v>2673</v>
      </c>
      <c r="Z3559">
        <v>100123445</v>
      </c>
      <c r="AB3559" t="s">
        <v>3311</v>
      </c>
      <c r="AD3559" t="s">
        <v>27311</v>
      </c>
      <c r="AF3559" t="s">
        <v>6345</v>
      </c>
      <c r="AG3559" t="s">
        <v>27312</v>
      </c>
      <c r="AI3559" t="s">
        <v>27313</v>
      </c>
      <c r="AM3559" t="s">
        <v>2674</v>
      </c>
      <c r="AN3559" t="s">
        <v>2675</v>
      </c>
      <c r="AO3559" t="s">
        <v>27314</v>
      </c>
      <c r="AP3559" t="s">
        <v>7024</v>
      </c>
      <c r="AQ3559" t="s">
        <v>27315</v>
      </c>
      <c r="AT3559" s="184">
        <v>37831</v>
      </c>
      <c r="AU3559" t="s">
        <v>27316</v>
      </c>
      <c r="AV3559">
        <v>20</v>
      </c>
      <c r="AW3559" s="184">
        <v>45342</v>
      </c>
      <c r="AX3559" t="s">
        <v>9748</v>
      </c>
      <c r="AY3559">
        <v>100</v>
      </c>
      <c r="AZ3559" s="184">
        <v>45342</v>
      </c>
      <c r="BA3559" t="s">
        <v>9748</v>
      </c>
      <c r="BB3559">
        <v>100</v>
      </c>
      <c r="BC3559">
        <v>100</v>
      </c>
      <c r="BD3559">
        <v>1835</v>
      </c>
      <c r="BE3559">
        <v>2004</v>
      </c>
      <c r="BF3559">
        <v>29</v>
      </c>
      <c r="BG3559">
        <v>2</v>
      </c>
      <c r="BH3559">
        <v>200</v>
      </c>
      <c r="BI3559">
        <v>22</v>
      </c>
      <c r="BJ3559">
        <v>22</v>
      </c>
      <c r="BK3559">
        <v>22</v>
      </c>
      <c r="BP3559" s="184"/>
    </row>
    <row r="3560" spans="1:68">
      <c r="A3560">
        <v>41311036</v>
      </c>
      <c r="B3560">
        <v>41311036</v>
      </c>
      <c r="C3560" t="s">
        <v>7018</v>
      </c>
      <c r="E3560" s="184"/>
      <c r="G3560" s="184"/>
      <c r="I3560" s="184"/>
      <c r="J3560" t="s">
        <v>595</v>
      </c>
      <c r="K3560" s="184">
        <v>40381</v>
      </c>
      <c r="M3560" s="184"/>
      <c r="O3560" s="184"/>
      <c r="P3560" t="s">
        <v>7045</v>
      </c>
      <c r="Q3560" t="s">
        <v>7194</v>
      </c>
      <c r="R3560" s="184">
        <v>24854</v>
      </c>
      <c r="S3560">
        <v>56</v>
      </c>
      <c r="U3560" t="s">
        <v>7130</v>
      </c>
      <c r="V3560" t="s">
        <v>3435</v>
      </c>
      <c r="X3560" t="s">
        <v>3716</v>
      </c>
      <c r="Z3560">
        <v>100123460</v>
      </c>
      <c r="AA3560" t="s">
        <v>7031</v>
      </c>
      <c r="AB3560" t="s">
        <v>3730</v>
      </c>
      <c r="AD3560" t="s">
        <v>3716</v>
      </c>
      <c r="AF3560" t="s">
        <v>6372</v>
      </c>
      <c r="AG3560" t="s">
        <v>20445</v>
      </c>
      <c r="AI3560" t="s">
        <v>27317</v>
      </c>
      <c r="AM3560" t="s">
        <v>4356</v>
      </c>
      <c r="AN3560" t="s">
        <v>2046</v>
      </c>
      <c r="AO3560" t="s">
        <v>27318</v>
      </c>
      <c r="AP3560" t="s">
        <v>7024</v>
      </c>
      <c r="AQ3560" t="s">
        <v>27319</v>
      </c>
      <c r="AR3560" t="s">
        <v>27320</v>
      </c>
      <c r="AT3560" s="184">
        <v>39428</v>
      </c>
      <c r="AU3560" t="s">
        <v>27321</v>
      </c>
      <c r="AV3560">
        <v>15</v>
      </c>
      <c r="AW3560" s="184">
        <v>45258</v>
      </c>
      <c r="AX3560" t="s">
        <v>10549</v>
      </c>
      <c r="AY3560">
        <v>100</v>
      </c>
      <c r="AZ3560" s="184">
        <v>44859</v>
      </c>
      <c r="BA3560" t="s">
        <v>27322</v>
      </c>
      <c r="BB3560">
        <v>150</v>
      </c>
      <c r="BC3560">
        <v>95</v>
      </c>
      <c r="BD3560">
        <v>1815</v>
      </c>
      <c r="BE3560">
        <v>2008</v>
      </c>
      <c r="BF3560">
        <v>26</v>
      </c>
      <c r="BG3560">
        <v>2</v>
      </c>
      <c r="BH3560">
        <v>250</v>
      </c>
      <c r="BI3560">
        <v>17</v>
      </c>
      <c r="BJ3560">
        <v>18</v>
      </c>
      <c r="BK3560">
        <v>17</v>
      </c>
      <c r="BP3560" s="184"/>
    </row>
    <row r="3561" spans="1:68">
      <c r="A3561">
        <v>100123460</v>
      </c>
      <c r="B3561">
        <v>41311036</v>
      </c>
      <c r="C3561" t="s">
        <v>7018</v>
      </c>
      <c r="E3561" s="184"/>
      <c r="G3561" s="184"/>
      <c r="I3561" s="184"/>
      <c r="J3561" t="s">
        <v>595</v>
      </c>
      <c r="K3561" s="184">
        <v>43654</v>
      </c>
      <c r="M3561" s="184"/>
      <c r="O3561" s="184"/>
      <c r="P3561" t="s">
        <v>7045</v>
      </c>
      <c r="Q3561" t="s">
        <v>7194</v>
      </c>
      <c r="R3561" s="184">
        <v>18902</v>
      </c>
      <c r="S3561">
        <v>72</v>
      </c>
      <c r="U3561" t="s">
        <v>7031</v>
      </c>
      <c r="V3561" t="s">
        <v>3730</v>
      </c>
      <c r="X3561" t="s">
        <v>3716</v>
      </c>
      <c r="Z3561">
        <v>41311036</v>
      </c>
      <c r="AA3561" t="s">
        <v>7130</v>
      </c>
      <c r="AB3561" t="s">
        <v>3435</v>
      </c>
      <c r="AD3561" t="s">
        <v>3716</v>
      </c>
      <c r="AF3561" t="s">
        <v>6372</v>
      </c>
      <c r="AG3561" t="s">
        <v>20445</v>
      </c>
      <c r="AI3561" t="s">
        <v>27317</v>
      </c>
      <c r="AM3561" t="s">
        <v>4356</v>
      </c>
      <c r="AN3561" t="s">
        <v>2046</v>
      </c>
      <c r="AO3561" t="s">
        <v>27318</v>
      </c>
      <c r="AP3561" t="s">
        <v>7024</v>
      </c>
      <c r="AT3561" s="184"/>
      <c r="AW3561" s="184"/>
      <c r="AZ3561" s="184"/>
      <c r="BP3561" s="184"/>
    </row>
    <row r="3562" spans="1:68">
      <c r="A3562">
        <v>41321514</v>
      </c>
      <c r="B3562">
        <v>41321514</v>
      </c>
      <c r="C3562" t="s">
        <v>7018</v>
      </c>
      <c r="D3562" t="s">
        <v>595</v>
      </c>
      <c r="E3562" s="184">
        <v>44104</v>
      </c>
      <c r="G3562" s="184"/>
      <c r="I3562" s="184"/>
      <c r="K3562" s="184"/>
      <c r="O3562" s="184"/>
      <c r="P3562" t="s">
        <v>7045</v>
      </c>
      <c r="Q3562" t="s">
        <v>7030</v>
      </c>
      <c r="R3562" s="184">
        <v>18476</v>
      </c>
      <c r="S3562">
        <v>73</v>
      </c>
      <c r="V3562" t="s">
        <v>4330</v>
      </c>
      <c r="X3562" t="s">
        <v>27323</v>
      </c>
      <c r="AF3562" t="s">
        <v>27324</v>
      </c>
      <c r="AG3562" t="s">
        <v>4330</v>
      </c>
      <c r="AI3562" t="s">
        <v>27325</v>
      </c>
      <c r="AM3562" t="s">
        <v>27326</v>
      </c>
      <c r="AN3562" t="s">
        <v>2094</v>
      </c>
      <c r="AO3562" t="s">
        <v>27327</v>
      </c>
      <c r="AP3562" t="s">
        <v>7024</v>
      </c>
      <c r="AQ3562" t="s">
        <v>27328</v>
      </c>
      <c r="AR3562" t="s">
        <v>27329</v>
      </c>
      <c r="AT3562" s="184">
        <v>39430</v>
      </c>
      <c r="AU3562" t="s">
        <v>27330</v>
      </c>
      <c r="AV3562">
        <v>20</v>
      </c>
      <c r="AW3562" s="184">
        <v>44776</v>
      </c>
      <c r="AX3562" t="s">
        <v>17980</v>
      </c>
      <c r="AY3562">
        <v>50</v>
      </c>
      <c r="AZ3562" s="184">
        <v>43549</v>
      </c>
      <c r="BA3562" t="s">
        <v>23011</v>
      </c>
      <c r="BB3562">
        <v>100</v>
      </c>
      <c r="BC3562">
        <v>84</v>
      </c>
      <c r="BD3562">
        <v>1075</v>
      </c>
      <c r="BE3562">
        <v>2008</v>
      </c>
      <c r="BF3562">
        <v>18</v>
      </c>
      <c r="BG3562">
        <v>1</v>
      </c>
      <c r="BH3562">
        <v>50</v>
      </c>
      <c r="BI3562">
        <v>15</v>
      </c>
      <c r="BJ3562">
        <v>18</v>
      </c>
      <c r="BK3562">
        <v>12</v>
      </c>
      <c r="BP3562" s="184"/>
    </row>
    <row r="3563" spans="1:68">
      <c r="A3563">
        <v>41322249</v>
      </c>
      <c r="B3563">
        <v>41322249</v>
      </c>
      <c r="C3563" t="s">
        <v>7018</v>
      </c>
      <c r="E3563" s="184"/>
      <c r="G3563" s="184"/>
      <c r="H3563" t="s">
        <v>595</v>
      </c>
      <c r="I3563" s="184">
        <v>44768</v>
      </c>
      <c r="K3563" s="184"/>
      <c r="P3563" t="s">
        <v>7045</v>
      </c>
      <c r="Q3563" t="s">
        <v>7383</v>
      </c>
      <c r="R3563" s="184">
        <v>12847</v>
      </c>
      <c r="S3563">
        <v>89</v>
      </c>
      <c r="V3563" t="s">
        <v>2898</v>
      </c>
      <c r="X3563" t="s">
        <v>27331</v>
      </c>
      <c r="AF3563" t="s">
        <v>27332</v>
      </c>
      <c r="AG3563" t="s">
        <v>2898</v>
      </c>
      <c r="AI3563" t="s">
        <v>27333</v>
      </c>
      <c r="AM3563" t="s">
        <v>3055</v>
      </c>
      <c r="AN3563" t="s">
        <v>2144</v>
      </c>
      <c r="AO3563" t="s">
        <v>27334</v>
      </c>
      <c r="AP3563" t="s">
        <v>7024</v>
      </c>
      <c r="AQ3563" t="s">
        <v>27335</v>
      </c>
      <c r="AT3563" s="184">
        <v>39430</v>
      </c>
      <c r="AU3563" t="s">
        <v>27336</v>
      </c>
      <c r="AV3563">
        <v>15</v>
      </c>
      <c r="AW3563" s="184">
        <v>44671</v>
      </c>
      <c r="AX3563" t="s">
        <v>27337</v>
      </c>
      <c r="AY3563">
        <v>20</v>
      </c>
      <c r="AZ3563" s="184">
        <v>44671</v>
      </c>
      <c r="BA3563" t="s">
        <v>27337</v>
      </c>
      <c r="BB3563">
        <v>20</v>
      </c>
      <c r="BC3563">
        <v>12</v>
      </c>
      <c r="BD3563">
        <v>35</v>
      </c>
      <c r="BE3563">
        <v>2008</v>
      </c>
      <c r="BF3563">
        <v>2</v>
      </c>
      <c r="BG3563">
        <v>1</v>
      </c>
      <c r="BH3563">
        <v>20</v>
      </c>
      <c r="BI3563">
        <v>2</v>
      </c>
      <c r="BJ3563">
        <v>18</v>
      </c>
      <c r="BK3563">
        <v>1</v>
      </c>
      <c r="BP3563" s="184"/>
    </row>
    <row r="3564" spans="1:68">
      <c r="A3564">
        <v>41343740</v>
      </c>
      <c r="B3564">
        <v>41343740</v>
      </c>
      <c r="C3564" t="s">
        <v>7018</v>
      </c>
      <c r="E3564" s="184"/>
      <c r="F3564" t="s">
        <v>595</v>
      </c>
      <c r="G3564" s="184">
        <v>44167</v>
      </c>
      <c r="I3564" s="184"/>
      <c r="J3564" t="s">
        <v>595</v>
      </c>
      <c r="K3564" s="184">
        <v>45238</v>
      </c>
      <c r="M3564" s="184"/>
      <c r="O3564" s="184"/>
      <c r="P3564" t="s">
        <v>7084</v>
      </c>
      <c r="Q3564" t="s">
        <v>7262</v>
      </c>
      <c r="R3564" s="184">
        <v>13732</v>
      </c>
      <c r="S3564">
        <v>86</v>
      </c>
      <c r="U3564" t="s">
        <v>7076</v>
      </c>
      <c r="V3564" t="s">
        <v>3506</v>
      </c>
      <c r="X3564" t="s">
        <v>27338</v>
      </c>
      <c r="AF3564" t="s">
        <v>27339</v>
      </c>
      <c r="AG3564" t="s">
        <v>3506</v>
      </c>
      <c r="AI3564" t="s">
        <v>27340</v>
      </c>
      <c r="AM3564" t="s">
        <v>27341</v>
      </c>
      <c r="AN3564" t="s">
        <v>65</v>
      </c>
      <c r="AO3564" t="s">
        <v>27342</v>
      </c>
      <c r="AP3564" t="s">
        <v>7024</v>
      </c>
      <c r="AQ3564" t="s">
        <v>27343</v>
      </c>
      <c r="AR3564" t="s">
        <v>27344</v>
      </c>
      <c r="AT3564" s="184">
        <v>39435</v>
      </c>
      <c r="AU3564" t="s">
        <v>27345</v>
      </c>
      <c r="AV3564">
        <v>20</v>
      </c>
      <c r="AW3564" s="184">
        <v>45033</v>
      </c>
      <c r="AX3564" t="s">
        <v>9057</v>
      </c>
      <c r="AY3564">
        <v>5000</v>
      </c>
      <c r="AZ3564" s="184">
        <v>45033</v>
      </c>
      <c r="BA3564" t="s">
        <v>9057</v>
      </c>
      <c r="BB3564">
        <v>5000</v>
      </c>
      <c r="BC3564">
        <v>67</v>
      </c>
      <c r="BD3564">
        <v>29280</v>
      </c>
      <c r="BE3564">
        <v>2008</v>
      </c>
      <c r="BF3564">
        <v>16</v>
      </c>
      <c r="BG3564">
        <v>2</v>
      </c>
      <c r="BH3564">
        <v>10000</v>
      </c>
      <c r="BI3564">
        <v>12</v>
      </c>
      <c r="BJ3564">
        <v>18</v>
      </c>
      <c r="BK3564">
        <v>7</v>
      </c>
      <c r="BP3564" s="184"/>
    </row>
    <row r="3565" spans="1:68">
      <c r="A3565">
        <v>41350158</v>
      </c>
      <c r="B3565">
        <v>41350158</v>
      </c>
      <c r="C3565" t="s">
        <v>7018</v>
      </c>
      <c r="D3565" t="s">
        <v>595</v>
      </c>
      <c r="E3565" s="184">
        <v>45148</v>
      </c>
      <c r="G3565" s="184"/>
      <c r="I3565" s="184"/>
      <c r="K3565" s="184"/>
      <c r="O3565" s="184"/>
      <c r="P3565" t="s">
        <v>7045</v>
      </c>
      <c r="Q3565" t="s">
        <v>7494</v>
      </c>
      <c r="R3565" s="184">
        <v>24868</v>
      </c>
      <c r="S3565">
        <v>56</v>
      </c>
      <c r="U3565" t="s">
        <v>7130</v>
      </c>
      <c r="V3565" t="s">
        <v>4616</v>
      </c>
      <c r="X3565" t="s">
        <v>27346</v>
      </c>
      <c r="AF3565" t="s">
        <v>27347</v>
      </c>
      <c r="AG3565" t="s">
        <v>4616</v>
      </c>
      <c r="AI3565" t="s">
        <v>27348</v>
      </c>
      <c r="AM3565" t="s">
        <v>9683</v>
      </c>
      <c r="AN3565" t="s">
        <v>2174</v>
      </c>
      <c r="AO3565" t="s">
        <v>27349</v>
      </c>
      <c r="AP3565" t="s">
        <v>7024</v>
      </c>
      <c r="AQ3565" t="s">
        <v>27350</v>
      </c>
      <c r="AT3565" s="184">
        <v>39437</v>
      </c>
      <c r="AU3565" t="s">
        <v>27351</v>
      </c>
      <c r="AV3565">
        <v>20</v>
      </c>
      <c r="AW3565" s="184">
        <v>45416</v>
      </c>
      <c r="AX3565" t="s">
        <v>7422</v>
      </c>
      <c r="AY3565">
        <v>10</v>
      </c>
      <c r="AZ3565" s="184">
        <v>41991</v>
      </c>
      <c r="BA3565" t="s">
        <v>19217</v>
      </c>
      <c r="BB3565">
        <v>60</v>
      </c>
      <c r="BC3565">
        <v>100</v>
      </c>
      <c r="BD3565">
        <v>1650</v>
      </c>
      <c r="BE3565">
        <v>2008</v>
      </c>
      <c r="BF3565">
        <v>135</v>
      </c>
      <c r="BG3565">
        <v>24</v>
      </c>
      <c r="BH3565">
        <v>240</v>
      </c>
      <c r="BI3565">
        <v>18</v>
      </c>
      <c r="BJ3565">
        <v>18</v>
      </c>
      <c r="BK3565">
        <v>18</v>
      </c>
      <c r="BP3565" s="184"/>
    </row>
    <row r="3566" spans="1:68">
      <c r="A3566">
        <v>41358292</v>
      </c>
      <c r="B3566">
        <v>41358292</v>
      </c>
      <c r="C3566" t="s">
        <v>7018</v>
      </c>
      <c r="D3566" t="s">
        <v>595</v>
      </c>
      <c r="E3566" s="184">
        <v>44104</v>
      </c>
      <c r="G3566" s="184"/>
      <c r="I3566" s="184"/>
      <c r="K3566" s="184"/>
      <c r="O3566" s="184"/>
      <c r="P3566" t="s">
        <v>7045</v>
      </c>
      <c r="Q3566" t="s">
        <v>7454</v>
      </c>
      <c r="R3566" s="184">
        <v>15315</v>
      </c>
      <c r="S3566">
        <v>82</v>
      </c>
      <c r="V3566" t="s">
        <v>3689</v>
      </c>
      <c r="X3566" t="s">
        <v>4387</v>
      </c>
      <c r="AF3566" t="s">
        <v>27352</v>
      </c>
      <c r="AG3566" t="s">
        <v>3689</v>
      </c>
      <c r="AI3566" t="s">
        <v>27353</v>
      </c>
      <c r="AM3566" t="s">
        <v>3855</v>
      </c>
      <c r="AN3566" t="s">
        <v>2055</v>
      </c>
      <c r="AO3566" t="s">
        <v>27354</v>
      </c>
      <c r="AP3566" t="s">
        <v>7024</v>
      </c>
      <c r="AQ3566" t="s">
        <v>27355</v>
      </c>
      <c r="AT3566" s="184">
        <v>39442</v>
      </c>
      <c r="AU3566" t="s">
        <v>27356</v>
      </c>
      <c r="AV3566">
        <v>25</v>
      </c>
      <c r="AW3566" s="184">
        <v>44987</v>
      </c>
      <c r="AX3566" t="s">
        <v>8332</v>
      </c>
      <c r="AY3566">
        <v>225</v>
      </c>
      <c r="AZ3566" s="184">
        <v>44987</v>
      </c>
      <c r="BA3566" t="s">
        <v>8332</v>
      </c>
      <c r="BB3566">
        <v>225</v>
      </c>
      <c r="BC3566">
        <v>84</v>
      </c>
      <c r="BD3566">
        <v>1335</v>
      </c>
      <c r="BE3566">
        <v>2008</v>
      </c>
      <c r="BF3566">
        <v>18</v>
      </c>
      <c r="BG3566">
        <v>1</v>
      </c>
      <c r="BH3566">
        <v>225</v>
      </c>
      <c r="BI3566">
        <v>15</v>
      </c>
      <c r="BJ3566">
        <v>18</v>
      </c>
      <c r="BK3566">
        <v>11</v>
      </c>
      <c r="BP3566" s="184"/>
    </row>
    <row r="3567" spans="1:68">
      <c r="A3567">
        <v>41363656</v>
      </c>
      <c r="B3567">
        <v>41363656</v>
      </c>
      <c r="C3567" t="s">
        <v>7018</v>
      </c>
      <c r="E3567" s="184"/>
      <c r="G3567" s="184"/>
      <c r="I3567" s="184"/>
      <c r="J3567" t="s">
        <v>595</v>
      </c>
      <c r="K3567" s="184">
        <v>42886</v>
      </c>
      <c r="P3567" t="s">
        <v>7029</v>
      </c>
      <c r="Q3567" t="s">
        <v>7262</v>
      </c>
      <c r="R3567" s="184">
        <v>22465</v>
      </c>
      <c r="S3567">
        <v>62</v>
      </c>
      <c r="U3567" t="s">
        <v>7076</v>
      </c>
      <c r="V3567" t="s">
        <v>2718</v>
      </c>
      <c r="X3567" t="s">
        <v>5773</v>
      </c>
      <c r="AF3567" t="s">
        <v>27357</v>
      </c>
      <c r="AG3567" t="s">
        <v>5772</v>
      </c>
      <c r="AI3567" t="s">
        <v>27358</v>
      </c>
      <c r="AM3567" t="s">
        <v>2924</v>
      </c>
      <c r="AN3567" t="s">
        <v>65</v>
      </c>
      <c r="AO3567" t="s">
        <v>27359</v>
      </c>
      <c r="AP3567" t="s">
        <v>7024</v>
      </c>
      <c r="AQ3567" t="s">
        <v>27360</v>
      </c>
      <c r="AT3567" s="184">
        <v>39443</v>
      </c>
      <c r="AU3567" t="s">
        <v>26860</v>
      </c>
      <c r="AV3567">
        <v>15</v>
      </c>
      <c r="AW3567" s="184">
        <v>45291</v>
      </c>
      <c r="AX3567" t="s">
        <v>9378</v>
      </c>
      <c r="AY3567">
        <v>500</v>
      </c>
      <c r="AZ3567" s="184">
        <v>44166</v>
      </c>
      <c r="BA3567" t="s">
        <v>27361</v>
      </c>
      <c r="BB3567">
        <v>2500</v>
      </c>
      <c r="BC3567">
        <v>89</v>
      </c>
      <c r="BD3567">
        <v>27515</v>
      </c>
      <c r="BE3567">
        <v>2008</v>
      </c>
      <c r="BF3567">
        <v>22</v>
      </c>
      <c r="BG3567">
        <v>2</v>
      </c>
      <c r="BH3567">
        <v>1500</v>
      </c>
      <c r="BI3567">
        <v>16</v>
      </c>
      <c r="BJ3567">
        <v>18</v>
      </c>
      <c r="BK3567">
        <v>9</v>
      </c>
      <c r="BP3567" s="184"/>
    </row>
    <row r="3568" spans="1:68">
      <c r="A3568">
        <v>41366873</v>
      </c>
      <c r="B3568">
        <v>41366873</v>
      </c>
      <c r="C3568" t="s">
        <v>7018</v>
      </c>
      <c r="D3568" t="s">
        <v>595</v>
      </c>
      <c r="E3568" s="184">
        <v>45145</v>
      </c>
      <c r="G3568" s="184"/>
      <c r="I3568" s="184"/>
      <c r="K3568" s="184"/>
      <c r="O3568" s="184"/>
      <c r="P3568" t="s">
        <v>7045</v>
      </c>
      <c r="Q3568" t="s">
        <v>7383</v>
      </c>
      <c r="R3568" s="184">
        <v>24473</v>
      </c>
      <c r="S3568">
        <v>57</v>
      </c>
      <c r="V3568" t="s">
        <v>3384</v>
      </c>
      <c r="X3568" t="s">
        <v>27362</v>
      </c>
      <c r="AF3568" t="s">
        <v>27363</v>
      </c>
      <c r="AG3568" t="s">
        <v>3384</v>
      </c>
      <c r="AI3568" t="s">
        <v>27364</v>
      </c>
      <c r="AM3568" t="s">
        <v>4088</v>
      </c>
      <c r="AN3568" t="s">
        <v>2313</v>
      </c>
      <c r="AO3568" t="s">
        <v>27365</v>
      </c>
      <c r="AP3568" t="s">
        <v>7024</v>
      </c>
      <c r="AQ3568" t="s">
        <v>27366</v>
      </c>
      <c r="AT3568" s="184">
        <v>42304</v>
      </c>
      <c r="AU3568" t="s">
        <v>27367</v>
      </c>
      <c r="AV3568">
        <v>25</v>
      </c>
      <c r="AW3568" s="184">
        <v>44776</v>
      </c>
      <c r="AX3568" t="s">
        <v>17980</v>
      </c>
      <c r="AY3568">
        <v>30</v>
      </c>
      <c r="AZ3568" s="184">
        <v>44776</v>
      </c>
      <c r="BA3568" t="s">
        <v>17980</v>
      </c>
      <c r="BB3568">
        <v>30</v>
      </c>
      <c r="BC3568">
        <v>50</v>
      </c>
      <c r="BD3568">
        <v>175</v>
      </c>
      <c r="BE3568">
        <v>2016</v>
      </c>
      <c r="BF3568">
        <v>7</v>
      </c>
      <c r="BG3568">
        <v>1</v>
      </c>
      <c r="BH3568">
        <v>30</v>
      </c>
      <c r="BI3568">
        <v>5</v>
      </c>
      <c r="BJ3568">
        <v>10</v>
      </c>
      <c r="BK3568">
        <v>3</v>
      </c>
      <c r="BP3568" s="184"/>
    </row>
    <row r="3569" spans="1:68">
      <c r="A3569">
        <v>41373242</v>
      </c>
      <c r="B3569">
        <v>41373242</v>
      </c>
      <c r="C3569" t="s">
        <v>7018</v>
      </c>
      <c r="D3569" t="s">
        <v>595</v>
      </c>
      <c r="E3569" s="184">
        <v>44167</v>
      </c>
      <c r="G3569" s="184"/>
      <c r="I3569" s="184"/>
      <c r="K3569" s="184"/>
      <c r="O3569" s="184"/>
      <c r="P3569" t="s">
        <v>7045</v>
      </c>
      <c r="Q3569" t="s">
        <v>7374</v>
      </c>
      <c r="R3569" s="184">
        <v>16954</v>
      </c>
      <c r="S3569">
        <v>77</v>
      </c>
      <c r="U3569" t="s">
        <v>7031</v>
      </c>
      <c r="V3569" t="s">
        <v>3080</v>
      </c>
      <c r="X3569" t="s">
        <v>2977</v>
      </c>
      <c r="AF3569" t="s">
        <v>27368</v>
      </c>
      <c r="AG3569" t="s">
        <v>3080</v>
      </c>
      <c r="AI3569" t="s">
        <v>27369</v>
      </c>
      <c r="AM3569" t="s">
        <v>4567</v>
      </c>
      <c r="AN3569" t="s">
        <v>2081</v>
      </c>
      <c r="AO3569" t="s">
        <v>27370</v>
      </c>
      <c r="AP3569" t="s">
        <v>7024</v>
      </c>
      <c r="AQ3569" t="s">
        <v>27371</v>
      </c>
      <c r="AR3569" t="s">
        <v>27372</v>
      </c>
      <c r="AT3569" s="184">
        <v>39447</v>
      </c>
      <c r="AU3569" t="s">
        <v>21912</v>
      </c>
      <c r="AV3569">
        <v>25</v>
      </c>
      <c r="AW3569" s="184">
        <v>45288</v>
      </c>
      <c r="AX3569" t="s">
        <v>27373</v>
      </c>
      <c r="AY3569">
        <v>52.5</v>
      </c>
      <c r="AZ3569" s="184">
        <v>44895</v>
      </c>
      <c r="BA3569" t="s">
        <v>14164</v>
      </c>
      <c r="BB3569">
        <v>100</v>
      </c>
      <c r="BC3569">
        <v>50</v>
      </c>
      <c r="BD3569">
        <v>536.75</v>
      </c>
      <c r="BE3569">
        <v>2008</v>
      </c>
      <c r="BF3569">
        <v>14</v>
      </c>
      <c r="BG3569">
        <v>4</v>
      </c>
      <c r="BH3569">
        <v>241.75</v>
      </c>
      <c r="BI3569">
        <v>9</v>
      </c>
      <c r="BJ3569">
        <v>18</v>
      </c>
      <c r="BK3569">
        <v>4</v>
      </c>
      <c r="BP3569" s="184"/>
    </row>
    <row r="3570" spans="1:68">
      <c r="A3570">
        <v>41378530</v>
      </c>
      <c r="B3570">
        <v>41378530</v>
      </c>
      <c r="C3570" t="s">
        <v>7018</v>
      </c>
      <c r="D3570" t="s">
        <v>595</v>
      </c>
      <c r="E3570" s="184">
        <v>44143</v>
      </c>
      <c r="G3570" s="184"/>
      <c r="I3570" s="184"/>
      <c r="K3570" s="184"/>
      <c r="M3570" s="184"/>
      <c r="P3570" t="s">
        <v>7045</v>
      </c>
      <c r="Q3570" t="s">
        <v>7262</v>
      </c>
      <c r="R3570" s="184">
        <v>22048</v>
      </c>
      <c r="S3570">
        <v>64</v>
      </c>
      <c r="U3570" t="s">
        <v>7031</v>
      </c>
      <c r="V3570" t="s">
        <v>2979</v>
      </c>
      <c r="X3570" t="s">
        <v>27374</v>
      </c>
      <c r="AF3570" t="s">
        <v>27375</v>
      </c>
      <c r="AG3570" t="s">
        <v>2979</v>
      </c>
      <c r="AI3570" t="s">
        <v>27376</v>
      </c>
      <c r="AM3570" t="s">
        <v>3425</v>
      </c>
      <c r="AN3570" t="s">
        <v>2069</v>
      </c>
      <c r="AO3570" t="s">
        <v>27377</v>
      </c>
      <c r="AP3570" t="s">
        <v>7024</v>
      </c>
      <c r="AQ3570" t="s">
        <v>27378</v>
      </c>
      <c r="AR3570" t="s">
        <v>27379</v>
      </c>
      <c r="AT3570" s="184">
        <v>39447</v>
      </c>
      <c r="AU3570" t="s">
        <v>27380</v>
      </c>
      <c r="AV3570">
        <v>25</v>
      </c>
      <c r="AW3570" s="184">
        <v>44939</v>
      </c>
      <c r="AX3570" t="s">
        <v>27381</v>
      </c>
      <c r="AY3570">
        <v>100</v>
      </c>
      <c r="AZ3570" s="184">
        <v>44939</v>
      </c>
      <c r="BA3570" t="s">
        <v>27381</v>
      </c>
      <c r="BB3570">
        <v>100</v>
      </c>
      <c r="BC3570">
        <v>73</v>
      </c>
      <c r="BD3570">
        <v>450</v>
      </c>
      <c r="BE3570">
        <v>2008</v>
      </c>
      <c r="BF3570">
        <v>15</v>
      </c>
      <c r="BG3570">
        <v>1</v>
      </c>
      <c r="BH3570">
        <v>100</v>
      </c>
      <c r="BI3570">
        <v>13</v>
      </c>
      <c r="BJ3570">
        <v>18</v>
      </c>
      <c r="BK3570">
        <v>5</v>
      </c>
      <c r="BN3570" t="s">
        <v>595</v>
      </c>
      <c r="BP3570" s="184"/>
    </row>
    <row r="3571" spans="1:68">
      <c r="A3571">
        <v>41378712</v>
      </c>
      <c r="B3571">
        <v>41378712</v>
      </c>
      <c r="C3571" t="s">
        <v>7018</v>
      </c>
      <c r="D3571" t="s">
        <v>595</v>
      </c>
      <c r="E3571" s="184">
        <v>45195</v>
      </c>
      <c r="G3571" s="184"/>
      <c r="I3571" s="184"/>
      <c r="K3571" s="184"/>
      <c r="P3571" t="s">
        <v>7045</v>
      </c>
      <c r="Q3571" t="s">
        <v>7383</v>
      </c>
      <c r="R3571" s="184">
        <v>21217</v>
      </c>
      <c r="S3571">
        <v>66</v>
      </c>
      <c r="V3571" t="s">
        <v>3981</v>
      </c>
      <c r="X3571" t="s">
        <v>27382</v>
      </c>
      <c r="AF3571" t="s">
        <v>27383</v>
      </c>
      <c r="AG3571" t="s">
        <v>3981</v>
      </c>
      <c r="AI3571" t="s">
        <v>27384</v>
      </c>
      <c r="AM3571" t="s">
        <v>27385</v>
      </c>
      <c r="AN3571" t="s">
        <v>2064</v>
      </c>
      <c r="AO3571" t="s">
        <v>27386</v>
      </c>
      <c r="AP3571" t="s">
        <v>7024</v>
      </c>
      <c r="AQ3571" t="s">
        <v>27387</v>
      </c>
      <c r="AR3571" t="s">
        <v>27388</v>
      </c>
      <c r="AT3571" s="184">
        <v>39447</v>
      </c>
      <c r="AU3571" t="s">
        <v>27389</v>
      </c>
      <c r="AV3571">
        <v>15</v>
      </c>
      <c r="AW3571" s="184">
        <v>45358</v>
      </c>
      <c r="AX3571" t="s">
        <v>10666</v>
      </c>
      <c r="AY3571">
        <v>25</v>
      </c>
      <c r="AZ3571" s="184">
        <v>45358</v>
      </c>
      <c r="BA3571" t="s">
        <v>10666</v>
      </c>
      <c r="BB3571">
        <v>25</v>
      </c>
      <c r="BC3571">
        <v>78</v>
      </c>
      <c r="BD3571">
        <v>340</v>
      </c>
      <c r="BE3571">
        <v>2008</v>
      </c>
      <c r="BF3571">
        <v>17</v>
      </c>
      <c r="BG3571">
        <v>2</v>
      </c>
      <c r="BH3571">
        <v>50</v>
      </c>
      <c r="BI3571">
        <v>14</v>
      </c>
      <c r="BJ3571">
        <v>18</v>
      </c>
      <c r="BK3571">
        <v>7</v>
      </c>
      <c r="BP3571" s="184"/>
    </row>
    <row r="3572" spans="1:68">
      <c r="A3572">
        <v>41388505</v>
      </c>
      <c r="B3572">
        <v>41388505</v>
      </c>
      <c r="C3572" t="s">
        <v>7018</v>
      </c>
      <c r="E3572" s="184"/>
      <c r="F3572" t="s">
        <v>595</v>
      </c>
      <c r="G3572" s="184">
        <v>44367</v>
      </c>
      <c r="I3572" s="184"/>
      <c r="K3572" s="184"/>
      <c r="O3572" s="184"/>
      <c r="P3572" t="s">
        <v>7045</v>
      </c>
      <c r="Q3572" t="s">
        <v>7374</v>
      </c>
      <c r="R3572" s="184">
        <v>21171</v>
      </c>
      <c r="S3572">
        <v>66</v>
      </c>
      <c r="V3572" t="s">
        <v>3768</v>
      </c>
      <c r="X3572" t="s">
        <v>27390</v>
      </c>
      <c r="Z3572">
        <v>100124007</v>
      </c>
      <c r="AB3572" t="s">
        <v>3435</v>
      </c>
      <c r="AC3572" t="s">
        <v>27391</v>
      </c>
      <c r="AD3572" t="s">
        <v>27390</v>
      </c>
      <c r="AF3572" t="s">
        <v>27392</v>
      </c>
      <c r="AG3572" t="s">
        <v>27393</v>
      </c>
      <c r="AI3572" t="s">
        <v>27394</v>
      </c>
      <c r="AM3572" t="s">
        <v>27395</v>
      </c>
      <c r="AN3572" t="s">
        <v>2081</v>
      </c>
      <c r="AO3572" t="s">
        <v>27396</v>
      </c>
      <c r="AP3572" t="s">
        <v>7024</v>
      </c>
      <c r="AQ3572" t="s">
        <v>27397</v>
      </c>
      <c r="AT3572" s="184">
        <v>39450</v>
      </c>
      <c r="AU3572" t="s">
        <v>27398</v>
      </c>
      <c r="AV3572">
        <v>25</v>
      </c>
      <c r="AW3572" s="184">
        <v>44957</v>
      </c>
      <c r="AX3572" t="s">
        <v>12715</v>
      </c>
      <c r="AY3572">
        <v>30</v>
      </c>
      <c r="AZ3572" s="184">
        <v>43465</v>
      </c>
      <c r="BA3572" t="s">
        <v>27399</v>
      </c>
      <c r="BB3572">
        <v>50</v>
      </c>
      <c r="BC3572">
        <v>59</v>
      </c>
      <c r="BD3572">
        <v>285</v>
      </c>
      <c r="BE3572">
        <v>2008</v>
      </c>
      <c r="BF3572">
        <v>10</v>
      </c>
      <c r="BG3572">
        <v>1</v>
      </c>
      <c r="BH3572">
        <v>30</v>
      </c>
      <c r="BI3572">
        <v>10</v>
      </c>
      <c r="BJ3572">
        <v>17</v>
      </c>
      <c r="BK3572">
        <v>5</v>
      </c>
      <c r="BP3572" s="184"/>
    </row>
    <row r="3573" spans="1:68">
      <c r="A3573">
        <v>100124007</v>
      </c>
      <c r="B3573">
        <v>41388505</v>
      </c>
      <c r="C3573" t="s">
        <v>7018</v>
      </c>
      <c r="E3573" s="184"/>
      <c r="F3573" t="s">
        <v>595</v>
      </c>
      <c r="G3573" s="184">
        <v>44367</v>
      </c>
      <c r="I3573" s="184"/>
      <c r="K3573" s="184"/>
      <c r="M3573" s="184"/>
      <c r="O3573" s="184"/>
      <c r="P3573" t="s">
        <v>7045</v>
      </c>
      <c r="Q3573" t="s">
        <v>7374</v>
      </c>
      <c r="R3573" s="184">
        <v>21033</v>
      </c>
      <c r="S3573">
        <v>66</v>
      </c>
      <c r="V3573" t="s">
        <v>3435</v>
      </c>
      <c r="W3573" t="s">
        <v>27391</v>
      </c>
      <c r="X3573" t="s">
        <v>27390</v>
      </c>
      <c r="Z3573">
        <v>41388505</v>
      </c>
      <c r="AB3573" t="s">
        <v>3768</v>
      </c>
      <c r="AD3573" t="s">
        <v>27390</v>
      </c>
      <c r="AF3573" t="s">
        <v>27392</v>
      </c>
      <c r="AG3573" t="s">
        <v>27393</v>
      </c>
      <c r="AI3573" t="s">
        <v>27394</v>
      </c>
      <c r="AM3573" t="s">
        <v>27395</v>
      </c>
      <c r="AN3573" t="s">
        <v>2081</v>
      </c>
      <c r="AO3573" t="s">
        <v>27396</v>
      </c>
      <c r="AP3573" t="s">
        <v>7024</v>
      </c>
      <c r="AQ3573" t="s">
        <v>27400</v>
      </c>
      <c r="AR3573" t="s">
        <v>27401</v>
      </c>
      <c r="AT3573" s="184">
        <v>43831</v>
      </c>
      <c r="AU3573" t="s">
        <v>9494</v>
      </c>
      <c r="AV3573">
        <v>40</v>
      </c>
      <c r="AW3573" s="184">
        <v>44561</v>
      </c>
      <c r="AX3573" t="s">
        <v>9028</v>
      </c>
      <c r="AY3573">
        <v>75</v>
      </c>
      <c r="AZ3573" s="184">
        <v>44561</v>
      </c>
      <c r="BA3573" t="s">
        <v>9028</v>
      </c>
      <c r="BB3573">
        <v>75</v>
      </c>
      <c r="BC3573">
        <v>40</v>
      </c>
      <c r="BD3573">
        <v>195</v>
      </c>
      <c r="BE3573">
        <v>2020</v>
      </c>
      <c r="BF3573">
        <v>4</v>
      </c>
      <c r="BI3573">
        <v>2</v>
      </c>
      <c r="BJ3573">
        <v>5</v>
      </c>
      <c r="BK3573">
        <v>2</v>
      </c>
      <c r="BP3573" s="184"/>
    </row>
    <row r="3574" spans="1:68">
      <c r="A3574">
        <v>41391855</v>
      </c>
      <c r="B3574">
        <v>41391855</v>
      </c>
      <c r="C3574" t="s">
        <v>7018</v>
      </c>
      <c r="D3574" t="s">
        <v>595</v>
      </c>
      <c r="E3574" s="184">
        <v>44236</v>
      </c>
      <c r="G3574" s="184"/>
      <c r="I3574" s="184"/>
      <c r="K3574" s="184"/>
      <c r="M3574" s="184"/>
      <c r="P3574" t="s">
        <v>7045</v>
      </c>
      <c r="Q3574" t="s">
        <v>7030</v>
      </c>
      <c r="R3574" s="184">
        <v>14067</v>
      </c>
      <c r="S3574">
        <v>85</v>
      </c>
      <c r="V3574" t="s">
        <v>2832</v>
      </c>
      <c r="W3574" t="s">
        <v>2058</v>
      </c>
      <c r="X3574" t="s">
        <v>2977</v>
      </c>
      <c r="AF3574" t="s">
        <v>27402</v>
      </c>
      <c r="AG3574" t="s">
        <v>2832</v>
      </c>
      <c r="AI3574" t="s">
        <v>27403</v>
      </c>
      <c r="AM3574" t="s">
        <v>27404</v>
      </c>
      <c r="AN3574" t="s">
        <v>2638</v>
      </c>
      <c r="AO3574" t="s">
        <v>27405</v>
      </c>
      <c r="AP3574" t="s">
        <v>7024</v>
      </c>
      <c r="AQ3574" t="s">
        <v>27406</v>
      </c>
      <c r="AT3574" s="184">
        <v>39451</v>
      </c>
      <c r="AU3574" t="s">
        <v>27407</v>
      </c>
      <c r="AV3574">
        <v>15</v>
      </c>
      <c r="AW3574" s="184">
        <v>42801</v>
      </c>
      <c r="AX3574" t="s">
        <v>27408</v>
      </c>
      <c r="AY3574">
        <v>35</v>
      </c>
      <c r="AZ3574" s="184">
        <v>42801</v>
      </c>
      <c r="BA3574" t="s">
        <v>27408</v>
      </c>
      <c r="BB3574">
        <v>35</v>
      </c>
      <c r="BC3574">
        <v>53</v>
      </c>
      <c r="BD3574">
        <v>208</v>
      </c>
      <c r="BE3574">
        <v>2008</v>
      </c>
      <c r="BF3574">
        <v>13</v>
      </c>
      <c r="BI3574">
        <v>9</v>
      </c>
      <c r="BJ3574">
        <v>17</v>
      </c>
      <c r="BK3574">
        <v>6</v>
      </c>
      <c r="BO3574" t="s">
        <v>595</v>
      </c>
      <c r="BP3574" s="184"/>
    </row>
    <row r="3575" spans="1:68">
      <c r="A3575">
        <v>41405572</v>
      </c>
      <c r="B3575">
        <v>41405572</v>
      </c>
      <c r="C3575" t="s">
        <v>7018</v>
      </c>
      <c r="D3575" t="s">
        <v>595</v>
      </c>
      <c r="E3575" s="184">
        <v>45196</v>
      </c>
      <c r="G3575" s="184"/>
      <c r="I3575" s="184"/>
      <c r="K3575" s="184"/>
      <c r="M3575" s="184"/>
      <c r="O3575" s="184"/>
      <c r="P3575" t="s">
        <v>7045</v>
      </c>
      <c r="Q3575" t="s">
        <v>7374</v>
      </c>
      <c r="R3575" s="184">
        <v>16438</v>
      </c>
      <c r="S3575">
        <v>79</v>
      </c>
      <c r="U3575" t="s">
        <v>7076</v>
      </c>
      <c r="V3575" t="s">
        <v>2733</v>
      </c>
      <c r="W3575" t="s">
        <v>4013</v>
      </c>
      <c r="X3575" t="s">
        <v>27409</v>
      </c>
      <c r="AF3575" t="s">
        <v>27410</v>
      </c>
      <c r="AG3575" t="s">
        <v>2733</v>
      </c>
      <c r="AI3575" t="s">
        <v>27411</v>
      </c>
      <c r="AM3575" t="s">
        <v>10189</v>
      </c>
      <c r="AN3575" t="s">
        <v>2081</v>
      </c>
      <c r="AO3575" t="s">
        <v>27412</v>
      </c>
      <c r="AP3575" t="s">
        <v>7024</v>
      </c>
      <c r="AQ3575" t="s">
        <v>27413</v>
      </c>
      <c r="AT3575" s="184">
        <v>39455</v>
      </c>
      <c r="AU3575" t="s">
        <v>27345</v>
      </c>
      <c r="AV3575">
        <v>20</v>
      </c>
      <c r="AW3575" s="184">
        <v>45145</v>
      </c>
      <c r="AX3575" t="s">
        <v>27414</v>
      </c>
      <c r="AY3575">
        <v>35</v>
      </c>
      <c r="AZ3575" s="184">
        <v>42062</v>
      </c>
      <c r="BA3575" t="s">
        <v>27415</v>
      </c>
      <c r="BB3575">
        <v>50</v>
      </c>
      <c r="BC3575">
        <v>95</v>
      </c>
      <c r="BD3575">
        <v>950</v>
      </c>
      <c r="BE3575">
        <v>2008</v>
      </c>
      <c r="BF3575">
        <v>33</v>
      </c>
      <c r="BG3575">
        <v>1</v>
      </c>
      <c r="BH3575">
        <v>35</v>
      </c>
      <c r="BI3575">
        <v>16</v>
      </c>
      <c r="BJ3575">
        <v>17</v>
      </c>
      <c r="BK3575">
        <v>16</v>
      </c>
      <c r="BP3575" s="184"/>
    </row>
    <row r="3576" spans="1:68">
      <c r="A3576">
        <v>41428970</v>
      </c>
      <c r="B3576">
        <v>41428970</v>
      </c>
      <c r="C3576" t="s">
        <v>7018</v>
      </c>
      <c r="E3576" s="184"/>
      <c r="F3576" t="s">
        <v>595</v>
      </c>
      <c r="G3576" s="184">
        <v>43801</v>
      </c>
      <c r="I3576" s="184"/>
      <c r="K3576" s="184"/>
      <c r="M3576" s="184"/>
      <c r="P3576" t="s">
        <v>7045</v>
      </c>
      <c r="Q3576" t="s">
        <v>7374</v>
      </c>
      <c r="R3576" s="184">
        <v>13187</v>
      </c>
      <c r="S3576">
        <v>88</v>
      </c>
      <c r="V3576" t="s">
        <v>2697</v>
      </c>
      <c r="W3576" t="s">
        <v>3830</v>
      </c>
      <c r="X3576" t="s">
        <v>4317</v>
      </c>
      <c r="AF3576" t="s">
        <v>27416</v>
      </c>
      <c r="AG3576" t="s">
        <v>2697</v>
      </c>
      <c r="AI3576" t="s">
        <v>27417</v>
      </c>
      <c r="AM3576" t="s">
        <v>4318</v>
      </c>
      <c r="AN3576" t="s">
        <v>2081</v>
      </c>
      <c r="AO3576" t="s">
        <v>27418</v>
      </c>
      <c r="AP3576" t="s">
        <v>7024</v>
      </c>
      <c r="AQ3576" t="s">
        <v>27419</v>
      </c>
      <c r="AT3576" s="184">
        <v>39458</v>
      </c>
      <c r="AU3576" t="s">
        <v>27420</v>
      </c>
      <c r="AV3576">
        <v>25</v>
      </c>
      <c r="AW3576" s="184">
        <v>43161</v>
      </c>
      <c r="AX3576" t="s">
        <v>27421</v>
      </c>
      <c r="AY3576">
        <v>35</v>
      </c>
      <c r="AZ3576" s="184">
        <v>40700</v>
      </c>
      <c r="BA3576" t="s">
        <v>27422</v>
      </c>
      <c r="BB3576">
        <v>50</v>
      </c>
      <c r="BC3576">
        <v>53</v>
      </c>
      <c r="BD3576">
        <v>310</v>
      </c>
      <c r="BE3576">
        <v>2008</v>
      </c>
      <c r="BF3576">
        <v>12</v>
      </c>
      <c r="BI3576">
        <v>9</v>
      </c>
      <c r="BJ3576">
        <v>17</v>
      </c>
      <c r="BK3576">
        <v>4</v>
      </c>
      <c r="BP3576" s="184"/>
    </row>
    <row r="3577" spans="1:68">
      <c r="A3577">
        <v>41432774</v>
      </c>
      <c r="B3577">
        <v>41432774</v>
      </c>
      <c r="C3577" t="s">
        <v>7018</v>
      </c>
      <c r="D3577" t="s">
        <v>595</v>
      </c>
      <c r="E3577" s="184">
        <v>43647</v>
      </c>
      <c r="G3577" s="184"/>
      <c r="I3577" s="184"/>
      <c r="K3577" s="184"/>
      <c r="M3577" s="184"/>
      <c r="O3577" s="184"/>
      <c r="P3577" t="s">
        <v>7045</v>
      </c>
      <c r="Q3577" t="s">
        <v>7020</v>
      </c>
      <c r="R3577" s="184">
        <v>17704</v>
      </c>
      <c r="S3577">
        <v>75</v>
      </c>
      <c r="V3577" t="s">
        <v>2511</v>
      </c>
      <c r="W3577" t="s">
        <v>7085</v>
      </c>
      <c r="X3577" t="s">
        <v>3583</v>
      </c>
      <c r="AF3577" t="s">
        <v>27423</v>
      </c>
      <c r="AG3577" t="s">
        <v>2511</v>
      </c>
      <c r="AI3577" t="s">
        <v>27424</v>
      </c>
      <c r="AM3577" t="s">
        <v>3131</v>
      </c>
      <c r="AN3577" t="s">
        <v>2240</v>
      </c>
      <c r="AO3577" t="s">
        <v>27425</v>
      </c>
      <c r="AP3577" t="s">
        <v>7024</v>
      </c>
      <c r="AQ3577" t="s">
        <v>27426</v>
      </c>
      <c r="AT3577" s="184">
        <v>39458</v>
      </c>
      <c r="AU3577" t="s">
        <v>27427</v>
      </c>
      <c r="AV3577">
        <v>15</v>
      </c>
      <c r="AW3577" s="184">
        <v>44441</v>
      </c>
      <c r="AX3577" t="s">
        <v>27428</v>
      </c>
      <c r="AY3577">
        <v>50</v>
      </c>
      <c r="AZ3577" s="184">
        <v>43220</v>
      </c>
      <c r="BA3577" t="s">
        <v>19879</v>
      </c>
      <c r="BB3577">
        <v>60</v>
      </c>
      <c r="BC3577">
        <v>53</v>
      </c>
      <c r="BD3577">
        <v>670</v>
      </c>
      <c r="BE3577">
        <v>2008</v>
      </c>
      <c r="BF3577">
        <v>22</v>
      </c>
      <c r="BI3577">
        <v>9</v>
      </c>
      <c r="BJ3577">
        <v>17</v>
      </c>
      <c r="BK3577">
        <v>8</v>
      </c>
      <c r="BO3577" t="s">
        <v>595</v>
      </c>
      <c r="BP3577" s="184">
        <v>44562</v>
      </c>
    </row>
    <row r="3578" spans="1:68">
      <c r="A3578">
        <v>41439993</v>
      </c>
      <c r="B3578">
        <v>41439993</v>
      </c>
      <c r="C3578" t="s">
        <v>7018</v>
      </c>
      <c r="D3578" t="s">
        <v>595</v>
      </c>
      <c r="E3578" s="184">
        <v>44167</v>
      </c>
      <c r="G3578" s="184"/>
      <c r="I3578" s="184"/>
      <c r="J3578" t="s">
        <v>595</v>
      </c>
      <c r="K3578" s="184">
        <v>45370</v>
      </c>
      <c r="M3578" s="184"/>
      <c r="P3578" t="s">
        <v>7045</v>
      </c>
      <c r="Q3578" t="s">
        <v>7194</v>
      </c>
      <c r="R3578" s="184">
        <v>17593</v>
      </c>
      <c r="S3578">
        <v>76</v>
      </c>
      <c r="U3578" t="s">
        <v>7130</v>
      </c>
      <c r="V3578" t="s">
        <v>27429</v>
      </c>
      <c r="W3578" t="s">
        <v>4327</v>
      </c>
      <c r="X3578" t="s">
        <v>27430</v>
      </c>
      <c r="AF3578" t="s">
        <v>27431</v>
      </c>
      <c r="AG3578" t="s">
        <v>27429</v>
      </c>
      <c r="AI3578" t="s">
        <v>27432</v>
      </c>
      <c r="AM3578" t="s">
        <v>27433</v>
      </c>
      <c r="AN3578" t="s">
        <v>2046</v>
      </c>
      <c r="AO3578" t="s">
        <v>27434</v>
      </c>
      <c r="AP3578" t="s">
        <v>7024</v>
      </c>
      <c r="AQ3578" t="s">
        <v>27435</v>
      </c>
      <c r="AT3578" s="184">
        <v>39458</v>
      </c>
      <c r="AU3578" t="s">
        <v>27436</v>
      </c>
      <c r="AV3578">
        <v>20</v>
      </c>
      <c r="AW3578" s="184">
        <v>45357</v>
      </c>
      <c r="AX3578" t="s">
        <v>27437</v>
      </c>
      <c r="AY3578">
        <v>50</v>
      </c>
      <c r="AZ3578" s="184">
        <v>43027</v>
      </c>
      <c r="BA3578" t="s">
        <v>27438</v>
      </c>
      <c r="BB3578">
        <v>200</v>
      </c>
      <c r="BC3578">
        <v>89</v>
      </c>
      <c r="BD3578">
        <v>1370</v>
      </c>
      <c r="BE3578">
        <v>2008</v>
      </c>
      <c r="BF3578">
        <v>26</v>
      </c>
      <c r="BG3578">
        <v>4</v>
      </c>
      <c r="BH3578">
        <v>250</v>
      </c>
      <c r="BI3578">
        <v>15</v>
      </c>
      <c r="BJ3578">
        <v>17</v>
      </c>
      <c r="BK3578">
        <v>12</v>
      </c>
      <c r="BP3578" s="184"/>
    </row>
    <row r="3579" spans="1:68">
      <c r="A3579">
        <v>41537770</v>
      </c>
      <c r="B3579">
        <v>41537770</v>
      </c>
      <c r="C3579" t="s">
        <v>7018</v>
      </c>
      <c r="E3579" s="184"/>
      <c r="F3579" t="s">
        <v>595</v>
      </c>
      <c r="G3579" s="184">
        <v>44103</v>
      </c>
      <c r="I3579" s="184"/>
      <c r="K3579" s="184"/>
      <c r="M3579" s="184"/>
      <c r="O3579" s="184"/>
      <c r="P3579" t="s">
        <v>7045</v>
      </c>
      <c r="Q3579" t="s">
        <v>7030</v>
      </c>
      <c r="R3579" s="184">
        <v>17868</v>
      </c>
      <c r="S3579">
        <v>75</v>
      </c>
      <c r="U3579" t="s">
        <v>7031</v>
      </c>
      <c r="V3579" t="s">
        <v>3246</v>
      </c>
      <c r="W3579" t="s">
        <v>27439</v>
      </c>
      <c r="X3579" t="s">
        <v>17321</v>
      </c>
      <c r="AF3579" t="s">
        <v>27440</v>
      </c>
      <c r="AG3579" t="s">
        <v>3246</v>
      </c>
      <c r="AI3579" t="s">
        <v>27441</v>
      </c>
      <c r="AM3579" t="s">
        <v>4424</v>
      </c>
      <c r="AN3579" t="s">
        <v>2089</v>
      </c>
      <c r="AO3579" t="s">
        <v>27442</v>
      </c>
      <c r="AP3579" t="s">
        <v>7024</v>
      </c>
      <c r="AQ3579" t="s">
        <v>27443</v>
      </c>
      <c r="AT3579" s="184">
        <v>39465</v>
      </c>
      <c r="AU3579" t="s">
        <v>27444</v>
      </c>
      <c r="AV3579">
        <v>25</v>
      </c>
      <c r="AW3579" s="184">
        <v>45358</v>
      </c>
      <c r="AX3579" t="s">
        <v>7832</v>
      </c>
      <c r="AY3579">
        <v>52.5</v>
      </c>
      <c r="AZ3579" s="184">
        <v>45358</v>
      </c>
      <c r="BA3579" t="s">
        <v>7832</v>
      </c>
      <c r="BB3579">
        <v>52.5</v>
      </c>
      <c r="BC3579">
        <v>83</v>
      </c>
      <c r="BD3579">
        <v>830</v>
      </c>
      <c r="BE3579">
        <v>2008</v>
      </c>
      <c r="BF3579">
        <v>20</v>
      </c>
      <c r="BG3579">
        <v>5</v>
      </c>
      <c r="BH3579">
        <v>255</v>
      </c>
      <c r="BI3579">
        <v>14</v>
      </c>
      <c r="BJ3579">
        <v>17</v>
      </c>
      <c r="BK3579">
        <v>6</v>
      </c>
      <c r="BP3579" s="184"/>
    </row>
    <row r="3580" spans="1:68">
      <c r="A3580">
        <v>41552555</v>
      </c>
      <c r="B3580">
        <v>41552555</v>
      </c>
      <c r="C3580" t="s">
        <v>7018</v>
      </c>
      <c r="E3580" s="184"/>
      <c r="F3580" t="s">
        <v>595</v>
      </c>
      <c r="G3580" s="184">
        <v>43731</v>
      </c>
      <c r="I3580" s="184"/>
      <c r="K3580" s="184"/>
      <c r="M3580" s="184"/>
      <c r="O3580" s="184"/>
      <c r="P3580" t="s">
        <v>7045</v>
      </c>
      <c r="Q3580" t="s">
        <v>7383</v>
      </c>
      <c r="R3580" s="184">
        <v>19756</v>
      </c>
      <c r="S3580">
        <v>70</v>
      </c>
      <c r="U3580" t="s">
        <v>7130</v>
      </c>
      <c r="V3580" t="s">
        <v>4042</v>
      </c>
      <c r="X3580" t="s">
        <v>4043</v>
      </c>
      <c r="AF3580" t="s">
        <v>27445</v>
      </c>
      <c r="AG3580" t="s">
        <v>4042</v>
      </c>
      <c r="AI3580" t="s">
        <v>27446</v>
      </c>
      <c r="AM3580" t="s">
        <v>3926</v>
      </c>
      <c r="AN3580" t="s">
        <v>2059</v>
      </c>
      <c r="AO3580" t="s">
        <v>27447</v>
      </c>
      <c r="AP3580" t="s">
        <v>7024</v>
      </c>
      <c r="AQ3580" t="s">
        <v>27448</v>
      </c>
      <c r="AT3580" s="184">
        <v>39468</v>
      </c>
      <c r="AU3580" t="s">
        <v>27449</v>
      </c>
      <c r="AV3580">
        <v>25</v>
      </c>
      <c r="AW3580" s="184">
        <v>45408</v>
      </c>
      <c r="AX3580" t="s">
        <v>8483</v>
      </c>
      <c r="AY3580">
        <v>10</v>
      </c>
      <c r="AZ3580" s="184">
        <v>40420</v>
      </c>
      <c r="BA3580" t="s">
        <v>27450</v>
      </c>
      <c r="BB3580">
        <v>50</v>
      </c>
      <c r="BC3580">
        <v>100</v>
      </c>
      <c r="BD3580">
        <v>1720</v>
      </c>
      <c r="BE3580">
        <v>2008</v>
      </c>
      <c r="BF3580">
        <v>164</v>
      </c>
      <c r="BG3580">
        <v>24</v>
      </c>
      <c r="BH3580">
        <v>240</v>
      </c>
      <c r="BI3580">
        <v>17</v>
      </c>
      <c r="BJ3580">
        <v>17</v>
      </c>
      <c r="BK3580">
        <v>17</v>
      </c>
      <c r="BP3580" s="184"/>
    </row>
    <row r="3581" spans="1:68">
      <c r="A3581">
        <v>41596172</v>
      </c>
      <c r="B3581">
        <v>41596172</v>
      </c>
      <c r="C3581" t="s">
        <v>7018</v>
      </c>
      <c r="D3581" t="s">
        <v>595</v>
      </c>
      <c r="E3581" s="184">
        <v>43647</v>
      </c>
      <c r="G3581" s="184"/>
      <c r="I3581" s="184"/>
      <c r="K3581" s="184"/>
      <c r="O3581" s="184"/>
      <c r="P3581" t="s">
        <v>7045</v>
      </c>
      <c r="Q3581" t="s">
        <v>7020</v>
      </c>
      <c r="R3581" s="184">
        <v>19025</v>
      </c>
      <c r="S3581">
        <v>72</v>
      </c>
      <c r="V3581" t="s">
        <v>3584</v>
      </c>
      <c r="X3581" t="s">
        <v>3585</v>
      </c>
      <c r="AF3581" t="s">
        <v>27451</v>
      </c>
      <c r="AG3581" t="s">
        <v>3584</v>
      </c>
      <c r="AI3581" t="s">
        <v>27452</v>
      </c>
      <c r="AM3581" t="s">
        <v>3146</v>
      </c>
      <c r="AN3581" t="s">
        <v>2112</v>
      </c>
      <c r="AO3581" t="s">
        <v>27453</v>
      </c>
      <c r="AP3581" t="s">
        <v>7024</v>
      </c>
      <c r="AT3581" s="184">
        <v>39468</v>
      </c>
      <c r="AU3581" t="s">
        <v>27454</v>
      </c>
      <c r="AV3581">
        <v>25</v>
      </c>
      <c r="AW3581" s="184">
        <v>45399</v>
      </c>
      <c r="AX3581" t="s">
        <v>14823</v>
      </c>
      <c r="AY3581">
        <v>50</v>
      </c>
      <c r="AZ3581" s="184">
        <v>44860</v>
      </c>
      <c r="BA3581" t="s">
        <v>17499</v>
      </c>
      <c r="BB3581">
        <v>60</v>
      </c>
      <c r="BC3581">
        <v>95</v>
      </c>
      <c r="BD3581">
        <v>1065</v>
      </c>
      <c r="BE3581">
        <v>2008</v>
      </c>
      <c r="BF3581">
        <v>33</v>
      </c>
      <c r="BG3581">
        <v>2</v>
      </c>
      <c r="BH3581">
        <v>110</v>
      </c>
      <c r="BI3581">
        <v>16</v>
      </c>
      <c r="BJ3581">
        <v>17</v>
      </c>
      <c r="BK3581">
        <v>15</v>
      </c>
      <c r="BP3581" s="184"/>
    </row>
    <row r="3582" spans="1:68">
      <c r="A3582">
        <v>41650821</v>
      </c>
      <c r="B3582">
        <v>41650821</v>
      </c>
      <c r="C3582" t="s">
        <v>7018</v>
      </c>
      <c r="D3582" t="s">
        <v>595</v>
      </c>
      <c r="E3582" s="184">
        <v>45141</v>
      </c>
      <c r="G3582" s="184"/>
      <c r="I3582" s="184"/>
      <c r="K3582" s="184"/>
      <c r="O3582" s="184"/>
      <c r="P3582" t="s">
        <v>7045</v>
      </c>
      <c r="Q3582" t="s">
        <v>7383</v>
      </c>
      <c r="R3582" s="184">
        <v>14613</v>
      </c>
      <c r="S3582">
        <v>84</v>
      </c>
      <c r="V3582" t="s">
        <v>4330</v>
      </c>
      <c r="W3582" t="s">
        <v>4139</v>
      </c>
      <c r="X3582" t="s">
        <v>27455</v>
      </c>
      <c r="AF3582" t="s">
        <v>27456</v>
      </c>
      <c r="AG3582" t="s">
        <v>4330</v>
      </c>
      <c r="AI3582" t="s">
        <v>27457</v>
      </c>
      <c r="AM3582" t="s">
        <v>27458</v>
      </c>
      <c r="AN3582" t="s">
        <v>2274</v>
      </c>
      <c r="AO3582" t="s">
        <v>27459</v>
      </c>
      <c r="AP3582" t="s">
        <v>7024</v>
      </c>
      <c r="AQ3582" t="s">
        <v>27460</v>
      </c>
      <c r="AR3582" t="s">
        <v>27461</v>
      </c>
      <c r="AT3582" s="184">
        <v>39469</v>
      </c>
      <c r="AU3582" t="s">
        <v>27336</v>
      </c>
      <c r="AV3582">
        <v>15</v>
      </c>
      <c r="AW3582" s="184">
        <v>45336</v>
      </c>
      <c r="AX3582" t="s">
        <v>7856</v>
      </c>
      <c r="AY3582">
        <v>35</v>
      </c>
      <c r="AZ3582" s="184">
        <v>45336</v>
      </c>
      <c r="BA3582" t="s">
        <v>7856</v>
      </c>
      <c r="BB3582">
        <v>35</v>
      </c>
      <c r="BC3582">
        <v>36</v>
      </c>
      <c r="BD3582">
        <v>350</v>
      </c>
      <c r="BE3582">
        <v>2008</v>
      </c>
      <c r="BF3582">
        <v>12</v>
      </c>
      <c r="BG3582">
        <v>4</v>
      </c>
      <c r="BH3582">
        <v>140</v>
      </c>
      <c r="BI3582">
        <v>6</v>
      </c>
      <c r="BJ3582">
        <v>17</v>
      </c>
      <c r="BK3582">
        <v>5</v>
      </c>
    </row>
    <row r="3583" spans="1:68">
      <c r="A3583">
        <v>41707183</v>
      </c>
      <c r="B3583">
        <v>41707183</v>
      </c>
      <c r="C3583" t="s">
        <v>7018</v>
      </c>
      <c r="E3583" s="184"/>
      <c r="G3583" s="184"/>
      <c r="I3583" s="184"/>
      <c r="J3583" t="s">
        <v>595</v>
      </c>
      <c r="K3583" s="184">
        <v>42481</v>
      </c>
      <c r="O3583" s="184"/>
      <c r="P3583" t="s">
        <v>7045</v>
      </c>
      <c r="Q3583" t="s">
        <v>7160</v>
      </c>
      <c r="R3583" s="184">
        <v>16563</v>
      </c>
      <c r="S3583">
        <v>79</v>
      </c>
      <c r="V3583" t="s">
        <v>2558</v>
      </c>
      <c r="W3583" t="s">
        <v>7246</v>
      </c>
      <c r="X3583" t="s">
        <v>27462</v>
      </c>
      <c r="Z3583">
        <v>100124307</v>
      </c>
      <c r="AB3583" t="s">
        <v>3431</v>
      </c>
      <c r="AD3583" t="s">
        <v>4113</v>
      </c>
      <c r="AF3583" t="s">
        <v>6590</v>
      </c>
      <c r="AG3583" t="s">
        <v>27463</v>
      </c>
      <c r="AI3583" t="s">
        <v>27464</v>
      </c>
      <c r="AM3583" t="s">
        <v>4351</v>
      </c>
      <c r="AN3583" t="s">
        <v>2395</v>
      </c>
      <c r="AO3583" t="s">
        <v>27465</v>
      </c>
      <c r="AP3583" t="s">
        <v>7024</v>
      </c>
      <c r="AQ3583" t="s">
        <v>27466</v>
      </c>
      <c r="AT3583" s="184">
        <v>39472</v>
      </c>
      <c r="AU3583" t="s">
        <v>27454</v>
      </c>
      <c r="AV3583">
        <v>15</v>
      </c>
      <c r="AW3583" s="184">
        <v>45181</v>
      </c>
      <c r="AX3583" t="s">
        <v>7245</v>
      </c>
      <c r="AY3583">
        <v>50</v>
      </c>
      <c r="AZ3583" s="184">
        <v>40827</v>
      </c>
      <c r="BA3583" t="s">
        <v>9853</v>
      </c>
      <c r="BB3583">
        <v>60</v>
      </c>
      <c r="BC3583">
        <v>77</v>
      </c>
      <c r="BD3583">
        <v>710</v>
      </c>
      <c r="BE3583">
        <v>2008</v>
      </c>
      <c r="BF3583">
        <v>15</v>
      </c>
      <c r="BG3583">
        <v>2</v>
      </c>
      <c r="BH3583">
        <v>100</v>
      </c>
      <c r="BI3583">
        <v>13</v>
      </c>
      <c r="BJ3583">
        <v>17</v>
      </c>
      <c r="BK3583">
        <v>10</v>
      </c>
    </row>
    <row r="3584" spans="1:68">
      <c r="A3584">
        <v>100124307</v>
      </c>
      <c r="B3584">
        <v>41707183</v>
      </c>
      <c r="C3584" t="s">
        <v>7018</v>
      </c>
      <c r="E3584" s="184"/>
      <c r="G3584" s="184"/>
      <c r="I3584" s="184"/>
      <c r="J3584" t="s">
        <v>595</v>
      </c>
      <c r="K3584" s="184">
        <v>42481</v>
      </c>
      <c r="M3584" s="184"/>
      <c r="O3584" s="184"/>
      <c r="P3584" t="s">
        <v>7045</v>
      </c>
      <c r="Q3584" t="s">
        <v>7160</v>
      </c>
      <c r="R3584" s="184">
        <v>15139</v>
      </c>
      <c r="S3584">
        <v>82</v>
      </c>
      <c r="V3584" t="s">
        <v>3431</v>
      </c>
      <c r="X3584" t="s">
        <v>4113</v>
      </c>
      <c r="Z3584">
        <v>41707183</v>
      </c>
      <c r="AB3584" t="s">
        <v>2558</v>
      </c>
      <c r="AC3584" t="s">
        <v>7246</v>
      </c>
      <c r="AD3584" t="s">
        <v>27462</v>
      </c>
      <c r="AF3584" t="s">
        <v>6590</v>
      </c>
      <c r="AG3584" t="s">
        <v>27463</v>
      </c>
      <c r="AI3584" t="s">
        <v>27464</v>
      </c>
      <c r="AM3584" t="s">
        <v>4351</v>
      </c>
      <c r="AN3584" t="s">
        <v>2395</v>
      </c>
      <c r="AO3584" t="s">
        <v>27465</v>
      </c>
      <c r="AP3584" t="s">
        <v>7024</v>
      </c>
      <c r="AT3584" s="184"/>
      <c r="AW3584" s="184"/>
      <c r="AZ3584" s="184"/>
    </row>
    <row r="3585" spans="1:68">
      <c r="A3585">
        <v>41756370</v>
      </c>
      <c r="B3585">
        <v>41756370</v>
      </c>
      <c r="C3585" t="s">
        <v>7018</v>
      </c>
      <c r="D3585" t="s">
        <v>595</v>
      </c>
      <c r="E3585" s="184">
        <v>44104</v>
      </c>
      <c r="G3585" s="184"/>
      <c r="I3585" s="184"/>
      <c r="K3585" s="184"/>
      <c r="M3585" s="184"/>
      <c r="O3585" s="184"/>
      <c r="P3585" t="s">
        <v>7045</v>
      </c>
      <c r="Q3585" t="s">
        <v>7454</v>
      </c>
      <c r="R3585" s="184">
        <v>17030</v>
      </c>
      <c r="S3585">
        <v>77</v>
      </c>
      <c r="V3585" t="s">
        <v>11458</v>
      </c>
      <c r="X3585" t="s">
        <v>27467</v>
      </c>
      <c r="AF3585" t="s">
        <v>27468</v>
      </c>
      <c r="AG3585" t="s">
        <v>11458</v>
      </c>
      <c r="AI3585" t="s">
        <v>27469</v>
      </c>
      <c r="AM3585" t="s">
        <v>3611</v>
      </c>
      <c r="AN3585" t="s">
        <v>2055</v>
      </c>
      <c r="AO3585" t="s">
        <v>27470</v>
      </c>
      <c r="AP3585" t="s">
        <v>7024</v>
      </c>
      <c r="AQ3585" t="s">
        <v>27471</v>
      </c>
      <c r="AR3585" t="s">
        <v>27472</v>
      </c>
      <c r="AT3585" s="184">
        <v>39475</v>
      </c>
      <c r="AU3585" t="s">
        <v>27473</v>
      </c>
      <c r="AV3585">
        <v>50</v>
      </c>
      <c r="AW3585" s="184">
        <v>45412</v>
      </c>
      <c r="AX3585" t="s">
        <v>10451</v>
      </c>
      <c r="AY3585">
        <v>10</v>
      </c>
      <c r="AZ3585" s="184">
        <v>43052</v>
      </c>
      <c r="BA3585" t="s">
        <v>27474</v>
      </c>
      <c r="BB3585">
        <v>75</v>
      </c>
      <c r="BC3585">
        <v>77</v>
      </c>
      <c r="BD3585">
        <v>980</v>
      </c>
      <c r="BE3585">
        <v>2008</v>
      </c>
      <c r="BF3585">
        <v>56</v>
      </c>
      <c r="BG3585">
        <v>8</v>
      </c>
      <c r="BH3585">
        <v>80</v>
      </c>
      <c r="BI3585">
        <v>13</v>
      </c>
      <c r="BJ3585">
        <v>17</v>
      </c>
      <c r="BK3585">
        <v>9</v>
      </c>
      <c r="BP3585" s="184"/>
    </row>
    <row r="3586" spans="1:68">
      <c r="A3586">
        <v>41801580</v>
      </c>
      <c r="B3586">
        <v>41801580</v>
      </c>
      <c r="C3586" t="s">
        <v>7018</v>
      </c>
      <c r="D3586" t="s">
        <v>595</v>
      </c>
      <c r="E3586" s="184">
        <v>44104</v>
      </c>
      <c r="G3586" s="184"/>
      <c r="I3586" s="184"/>
      <c r="K3586" s="184"/>
      <c r="M3586" s="184"/>
      <c r="O3586" s="184"/>
      <c r="P3586" t="s">
        <v>7045</v>
      </c>
      <c r="Q3586" t="s">
        <v>7494</v>
      </c>
      <c r="R3586" s="184">
        <v>16351</v>
      </c>
      <c r="S3586">
        <v>79</v>
      </c>
      <c r="U3586" t="s">
        <v>7031</v>
      </c>
      <c r="V3586" t="s">
        <v>17408</v>
      </c>
      <c r="W3586" t="s">
        <v>27475</v>
      </c>
      <c r="X3586" t="s">
        <v>27476</v>
      </c>
      <c r="AF3586" t="s">
        <v>27477</v>
      </c>
      <c r="AG3586" t="s">
        <v>17408</v>
      </c>
      <c r="AI3586" t="s">
        <v>27478</v>
      </c>
      <c r="AM3586" t="s">
        <v>27479</v>
      </c>
      <c r="AN3586" t="s">
        <v>2174</v>
      </c>
      <c r="AO3586" t="s">
        <v>27480</v>
      </c>
      <c r="AP3586" t="s">
        <v>7024</v>
      </c>
      <c r="AQ3586" t="s">
        <v>27481</v>
      </c>
      <c r="AR3586" t="s">
        <v>27482</v>
      </c>
      <c r="AT3586" s="184">
        <v>39478</v>
      </c>
      <c r="AU3586" t="s">
        <v>27483</v>
      </c>
      <c r="AV3586">
        <v>25</v>
      </c>
      <c r="AW3586" s="184">
        <v>45228</v>
      </c>
      <c r="AX3586" t="s">
        <v>7832</v>
      </c>
      <c r="AY3586">
        <v>50</v>
      </c>
      <c r="AZ3586" s="184">
        <v>43020</v>
      </c>
      <c r="BA3586" t="s">
        <v>8586</v>
      </c>
      <c r="BB3586">
        <v>75</v>
      </c>
      <c r="BC3586">
        <v>89</v>
      </c>
      <c r="BD3586">
        <v>920</v>
      </c>
      <c r="BE3586">
        <v>2008</v>
      </c>
      <c r="BF3586">
        <v>21</v>
      </c>
      <c r="BG3586">
        <v>2</v>
      </c>
      <c r="BH3586">
        <v>100</v>
      </c>
      <c r="BI3586">
        <v>15</v>
      </c>
      <c r="BJ3586">
        <v>17</v>
      </c>
      <c r="BK3586">
        <v>8</v>
      </c>
      <c r="BP3586" s="184"/>
    </row>
    <row r="3587" spans="1:68">
      <c r="A3587">
        <v>41825399</v>
      </c>
      <c r="B3587">
        <v>41825399</v>
      </c>
      <c r="C3587" t="s">
        <v>7018</v>
      </c>
      <c r="D3587" t="s">
        <v>595</v>
      </c>
      <c r="E3587" s="184">
        <v>44104</v>
      </c>
      <c r="I3587" s="184"/>
      <c r="K3587" s="184"/>
      <c r="M3587" s="184"/>
      <c r="O3587" s="184"/>
      <c r="P3587" t="s">
        <v>7045</v>
      </c>
      <c r="Q3587" t="s">
        <v>7454</v>
      </c>
      <c r="R3587" s="184">
        <v>18568</v>
      </c>
      <c r="S3587">
        <v>73</v>
      </c>
      <c r="U3587" t="s">
        <v>7031</v>
      </c>
      <c r="V3587" t="s">
        <v>2697</v>
      </c>
      <c r="X3587" t="s">
        <v>27484</v>
      </c>
      <c r="AF3587" t="s">
        <v>27485</v>
      </c>
      <c r="AG3587" t="s">
        <v>2697</v>
      </c>
      <c r="AI3587" t="s">
        <v>27486</v>
      </c>
      <c r="AM3587" t="s">
        <v>3750</v>
      </c>
      <c r="AN3587" t="s">
        <v>2055</v>
      </c>
      <c r="AO3587" t="s">
        <v>27487</v>
      </c>
      <c r="AP3587" t="s">
        <v>7024</v>
      </c>
      <c r="AQ3587" t="s">
        <v>27488</v>
      </c>
      <c r="AT3587" s="184">
        <v>39478</v>
      </c>
      <c r="AU3587" t="s">
        <v>27489</v>
      </c>
      <c r="AV3587">
        <v>25</v>
      </c>
      <c r="AW3587" s="184">
        <v>45185</v>
      </c>
      <c r="AX3587" t="s">
        <v>14164</v>
      </c>
      <c r="AY3587">
        <v>50</v>
      </c>
      <c r="AZ3587" s="184">
        <v>43642</v>
      </c>
      <c r="BA3587" t="s">
        <v>27490</v>
      </c>
      <c r="BB3587">
        <v>65</v>
      </c>
      <c r="BC3587">
        <v>83</v>
      </c>
      <c r="BD3587">
        <v>895</v>
      </c>
      <c r="BE3587">
        <v>2008</v>
      </c>
      <c r="BF3587">
        <v>16</v>
      </c>
      <c r="BG3587">
        <v>2</v>
      </c>
      <c r="BH3587">
        <v>100</v>
      </c>
      <c r="BI3587">
        <v>14</v>
      </c>
      <c r="BJ3587">
        <v>17</v>
      </c>
      <c r="BK3587">
        <v>8</v>
      </c>
    </row>
    <row r="3588" spans="1:68">
      <c r="A3588">
        <v>42331975</v>
      </c>
      <c r="B3588">
        <v>42331975</v>
      </c>
      <c r="C3588" t="s">
        <v>7018</v>
      </c>
      <c r="D3588" t="s">
        <v>595</v>
      </c>
      <c r="E3588" s="184">
        <v>43642</v>
      </c>
      <c r="G3588" s="184"/>
      <c r="I3588" s="184"/>
      <c r="K3588" s="184"/>
      <c r="M3588" s="184"/>
      <c r="O3588" s="184"/>
      <c r="P3588" t="s">
        <v>7045</v>
      </c>
      <c r="Q3588" t="s">
        <v>7030</v>
      </c>
      <c r="R3588" s="184">
        <v>17838</v>
      </c>
      <c r="S3588">
        <v>75</v>
      </c>
      <c r="U3588" t="s">
        <v>7031</v>
      </c>
      <c r="V3588" t="s">
        <v>3384</v>
      </c>
      <c r="X3588" t="s">
        <v>2510</v>
      </c>
      <c r="AF3588" t="s">
        <v>27491</v>
      </c>
      <c r="AG3588" t="s">
        <v>3384</v>
      </c>
      <c r="AI3588" t="s">
        <v>27492</v>
      </c>
      <c r="AM3588" t="s">
        <v>3181</v>
      </c>
      <c r="AN3588" t="s">
        <v>2094</v>
      </c>
      <c r="AO3588" t="s">
        <v>27493</v>
      </c>
      <c r="AP3588" t="s">
        <v>7024</v>
      </c>
      <c r="AQ3588" t="s">
        <v>27494</v>
      </c>
      <c r="AR3588" t="s">
        <v>27495</v>
      </c>
      <c r="AT3588" s="184">
        <v>39499</v>
      </c>
      <c r="AU3588" t="s">
        <v>27496</v>
      </c>
      <c r="AV3588">
        <v>25</v>
      </c>
      <c r="AW3588" s="184">
        <v>44978</v>
      </c>
      <c r="AX3588" t="s">
        <v>27497</v>
      </c>
      <c r="AY3588">
        <v>35</v>
      </c>
      <c r="AZ3588" s="184">
        <v>41407</v>
      </c>
      <c r="BA3588" t="s">
        <v>27498</v>
      </c>
      <c r="BB3588">
        <v>40</v>
      </c>
      <c r="BC3588">
        <v>89</v>
      </c>
      <c r="BD3588">
        <v>700</v>
      </c>
      <c r="BE3588">
        <v>2008</v>
      </c>
      <c r="BF3588">
        <v>23</v>
      </c>
      <c r="BG3588">
        <v>2</v>
      </c>
      <c r="BH3588">
        <v>60</v>
      </c>
      <c r="BI3588">
        <v>15</v>
      </c>
      <c r="BJ3588">
        <v>17</v>
      </c>
      <c r="BK3588">
        <v>13</v>
      </c>
    </row>
    <row r="3589" spans="1:68">
      <c r="A3589">
        <v>42398776</v>
      </c>
      <c r="B3589">
        <v>42398776</v>
      </c>
      <c r="C3589" t="s">
        <v>7018</v>
      </c>
      <c r="D3589" t="s">
        <v>595</v>
      </c>
      <c r="E3589" s="184">
        <v>45195</v>
      </c>
      <c r="G3589" s="184"/>
      <c r="I3589" s="184"/>
      <c r="K3589" s="184"/>
      <c r="M3589" s="184"/>
      <c r="P3589" t="s">
        <v>7045</v>
      </c>
      <c r="Q3589" t="s">
        <v>7030</v>
      </c>
      <c r="R3589" s="184">
        <v>23284</v>
      </c>
      <c r="S3589">
        <v>60</v>
      </c>
      <c r="U3589" t="s">
        <v>7094</v>
      </c>
      <c r="V3589" t="s">
        <v>4267</v>
      </c>
      <c r="X3589" t="s">
        <v>27499</v>
      </c>
      <c r="AF3589" t="s">
        <v>27500</v>
      </c>
      <c r="AG3589" t="s">
        <v>4267</v>
      </c>
      <c r="AI3589" t="s">
        <v>27501</v>
      </c>
      <c r="AM3589" t="s">
        <v>27502</v>
      </c>
      <c r="AN3589" t="s">
        <v>2638</v>
      </c>
      <c r="AO3589" t="s">
        <v>27503</v>
      </c>
      <c r="AP3589" t="s">
        <v>7024</v>
      </c>
      <c r="AQ3589" t="s">
        <v>27504</v>
      </c>
      <c r="AT3589" s="184">
        <v>39500</v>
      </c>
      <c r="AU3589" t="s">
        <v>27505</v>
      </c>
      <c r="AV3589">
        <v>20</v>
      </c>
      <c r="AW3589" s="184">
        <v>45349</v>
      </c>
      <c r="AX3589" t="s">
        <v>13596</v>
      </c>
      <c r="AY3589">
        <v>60</v>
      </c>
      <c r="AZ3589" s="184">
        <v>45349</v>
      </c>
      <c r="BA3589" t="s">
        <v>13596</v>
      </c>
      <c r="BB3589">
        <v>60</v>
      </c>
      <c r="BC3589">
        <v>83</v>
      </c>
      <c r="BD3589">
        <v>455</v>
      </c>
      <c r="BE3589">
        <v>2008</v>
      </c>
      <c r="BF3589">
        <v>16</v>
      </c>
      <c r="BG3589">
        <v>1</v>
      </c>
      <c r="BH3589">
        <v>60</v>
      </c>
      <c r="BI3589">
        <v>14</v>
      </c>
      <c r="BJ3589">
        <v>17</v>
      </c>
      <c r="BK3589">
        <v>11</v>
      </c>
    </row>
    <row r="3590" spans="1:68">
      <c r="A3590">
        <v>42635979</v>
      </c>
      <c r="B3590">
        <v>42635979</v>
      </c>
      <c r="C3590" t="s">
        <v>7018</v>
      </c>
      <c r="D3590" t="s">
        <v>595</v>
      </c>
      <c r="E3590" s="184">
        <v>43861</v>
      </c>
      <c r="G3590" s="184"/>
      <c r="I3590" s="184"/>
      <c r="K3590" s="184"/>
      <c r="M3590" s="184"/>
      <c r="O3590" s="184"/>
      <c r="P3590" t="s">
        <v>7045</v>
      </c>
      <c r="Q3590" t="s">
        <v>7030</v>
      </c>
      <c r="R3590" s="184">
        <v>21551</v>
      </c>
      <c r="S3590">
        <v>65</v>
      </c>
      <c r="U3590" t="s">
        <v>7076</v>
      </c>
      <c r="V3590" t="s">
        <v>4604</v>
      </c>
      <c r="W3590" t="s">
        <v>4013</v>
      </c>
      <c r="X3590" t="s">
        <v>4605</v>
      </c>
      <c r="AF3590" t="s">
        <v>27506</v>
      </c>
      <c r="AG3590" t="s">
        <v>4604</v>
      </c>
      <c r="AI3590" t="s">
        <v>27507</v>
      </c>
      <c r="AM3590" t="s">
        <v>2564</v>
      </c>
      <c r="AN3590" t="s">
        <v>2089</v>
      </c>
      <c r="AO3590" t="s">
        <v>27508</v>
      </c>
      <c r="AP3590" t="s">
        <v>7024</v>
      </c>
      <c r="AQ3590" t="s">
        <v>27509</v>
      </c>
      <c r="AT3590" s="184">
        <v>39503</v>
      </c>
      <c r="AU3590" t="s">
        <v>27510</v>
      </c>
      <c r="AV3590">
        <v>15</v>
      </c>
      <c r="AW3590" s="184">
        <v>43097</v>
      </c>
      <c r="AX3590" t="s">
        <v>15332</v>
      </c>
      <c r="AY3590">
        <v>15</v>
      </c>
      <c r="AZ3590" s="184">
        <v>42341</v>
      </c>
      <c r="BA3590" t="s">
        <v>27511</v>
      </c>
      <c r="BB3590">
        <v>25</v>
      </c>
      <c r="BC3590">
        <v>59</v>
      </c>
      <c r="BD3590">
        <v>1455</v>
      </c>
      <c r="BE3590">
        <v>2008</v>
      </c>
      <c r="BF3590">
        <v>111</v>
      </c>
      <c r="BI3590">
        <v>10</v>
      </c>
      <c r="BJ3590">
        <v>17</v>
      </c>
      <c r="BK3590">
        <v>10</v>
      </c>
      <c r="BN3590" t="s">
        <v>595</v>
      </c>
    </row>
    <row r="3591" spans="1:68">
      <c r="A3591">
        <v>42664912</v>
      </c>
      <c r="B3591">
        <v>42664912</v>
      </c>
      <c r="C3591" t="s">
        <v>7018</v>
      </c>
      <c r="D3591" t="s">
        <v>595</v>
      </c>
      <c r="E3591" s="184">
        <v>45148</v>
      </c>
      <c r="G3591" s="184"/>
      <c r="I3591" s="184"/>
      <c r="K3591" s="184"/>
      <c r="M3591" s="184"/>
      <c r="O3591" s="184"/>
      <c r="P3591" t="s">
        <v>7045</v>
      </c>
      <c r="Q3591" t="s">
        <v>7262</v>
      </c>
      <c r="R3591" s="184">
        <v>14611</v>
      </c>
      <c r="S3591">
        <v>84</v>
      </c>
      <c r="U3591" t="s">
        <v>7031</v>
      </c>
      <c r="V3591" t="s">
        <v>2898</v>
      </c>
      <c r="X3591" t="s">
        <v>27512</v>
      </c>
      <c r="AF3591" t="s">
        <v>27513</v>
      </c>
      <c r="AG3591" t="s">
        <v>2898</v>
      </c>
      <c r="AI3591" t="s">
        <v>27514</v>
      </c>
      <c r="AM3591" t="s">
        <v>27515</v>
      </c>
      <c r="AN3591" t="s">
        <v>2069</v>
      </c>
      <c r="AO3591" t="s">
        <v>27516</v>
      </c>
      <c r="AP3591" t="s">
        <v>7024</v>
      </c>
      <c r="AT3591" s="184">
        <v>39503</v>
      </c>
      <c r="AU3591" t="s">
        <v>27517</v>
      </c>
      <c r="AV3591">
        <v>25</v>
      </c>
      <c r="AW3591" s="184">
        <v>44853</v>
      </c>
      <c r="AX3591" t="s">
        <v>27518</v>
      </c>
      <c r="AY3591">
        <v>25</v>
      </c>
      <c r="AZ3591" s="184">
        <v>44853</v>
      </c>
      <c r="BA3591" t="s">
        <v>27518</v>
      </c>
      <c r="BB3591">
        <v>25</v>
      </c>
      <c r="BC3591">
        <v>36</v>
      </c>
      <c r="BD3591">
        <v>225</v>
      </c>
      <c r="BE3591">
        <v>2008</v>
      </c>
      <c r="BF3591">
        <v>9</v>
      </c>
      <c r="BG3591">
        <v>1</v>
      </c>
      <c r="BH3591">
        <v>25</v>
      </c>
      <c r="BI3591">
        <v>6</v>
      </c>
      <c r="BJ3591">
        <v>17</v>
      </c>
      <c r="BK3591">
        <v>1</v>
      </c>
      <c r="BP3591" s="184"/>
    </row>
    <row r="3592" spans="1:68">
      <c r="A3592">
        <v>42666776</v>
      </c>
      <c r="B3592">
        <v>42666776</v>
      </c>
      <c r="C3592" t="s">
        <v>7018</v>
      </c>
      <c r="D3592" t="s">
        <v>595</v>
      </c>
      <c r="E3592" s="184">
        <v>43892</v>
      </c>
      <c r="G3592" s="184"/>
      <c r="I3592" s="184"/>
      <c r="K3592" s="184"/>
      <c r="P3592" t="s">
        <v>7045</v>
      </c>
      <c r="Q3592" t="s">
        <v>7160</v>
      </c>
      <c r="R3592" s="184">
        <v>22161</v>
      </c>
      <c r="S3592">
        <v>63</v>
      </c>
      <c r="V3592" t="s">
        <v>4365</v>
      </c>
      <c r="X3592" t="s">
        <v>27519</v>
      </c>
      <c r="Z3592">
        <v>100124603</v>
      </c>
      <c r="AB3592" t="s">
        <v>4407</v>
      </c>
      <c r="AD3592" t="s">
        <v>4518</v>
      </c>
      <c r="AF3592" t="s">
        <v>27520</v>
      </c>
      <c r="AG3592" t="s">
        <v>27521</v>
      </c>
      <c r="AI3592" t="s">
        <v>27522</v>
      </c>
      <c r="AM3592" t="s">
        <v>27523</v>
      </c>
      <c r="AN3592" t="s">
        <v>2176</v>
      </c>
      <c r="AO3592" t="s">
        <v>27524</v>
      </c>
      <c r="AP3592" t="s">
        <v>7024</v>
      </c>
      <c r="AT3592" s="184">
        <v>39503</v>
      </c>
      <c r="AU3592" t="s">
        <v>27496</v>
      </c>
      <c r="AV3592">
        <v>25</v>
      </c>
      <c r="AW3592" s="184">
        <v>45042</v>
      </c>
      <c r="AX3592" t="s">
        <v>27525</v>
      </c>
      <c r="AY3592">
        <v>50</v>
      </c>
      <c r="AZ3592" s="184">
        <v>41705</v>
      </c>
      <c r="BA3592" t="s">
        <v>27526</v>
      </c>
      <c r="BB3592">
        <v>200</v>
      </c>
      <c r="BC3592">
        <v>77</v>
      </c>
      <c r="BD3592">
        <v>1275</v>
      </c>
      <c r="BE3592">
        <v>2008</v>
      </c>
      <c r="BF3592">
        <v>16</v>
      </c>
      <c r="BG3592">
        <v>1</v>
      </c>
      <c r="BH3592">
        <v>50</v>
      </c>
      <c r="BI3592">
        <v>13</v>
      </c>
      <c r="BJ3592">
        <v>17</v>
      </c>
      <c r="BK3592">
        <v>7</v>
      </c>
    </row>
    <row r="3593" spans="1:68">
      <c r="A3593">
        <v>100124603</v>
      </c>
      <c r="B3593">
        <v>42666776</v>
      </c>
      <c r="C3593" t="s">
        <v>7018</v>
      </c>
      <c r="D3593" t="s">
        <v>595</v>
      </c>
      <c r="E3593" s="184">
        <v>43892</v>
      </c>
      <c r="G3593" s="184"/>
      <c r="I3593" s="184"/>
      <c r="K3593" s="184"/>
      <c r="P3593" t="s">
        <v>7045</v>
      </c>
      <c r="Q3593" t="s">
        <v>7160</v>
      </c>
      <c r="R3593" s="184">
        <v>20668</v>
      </c>
      <c r="S3593">
        <v>67</v>
      </c>
      <c r="V3593" t="s">
        <v>4407</v>
      </c>
      <c r="X3593" t="s">
        <v>4518</v>
      </c>
      <c r="Z3593">
        <v>42666776</v>
      </c>
      <c r="AB3593" t="s">
        <v>4365</v>
      </c>
      <c r="AD3593" t="s">
        <v>27519</v>
      </c>
      <c r="AF3593" t="s">
        <v>27520</v>
      </c>
      <c r="AG3593" t="s">
        <v>27521</v>
      </c>
      <c r="AI3593" t="s">
        <v>27522</v>
      </c>
      <c r="AM3593" t="s">
        <v>27523</v>
      </c>
      <c r="AN3593" t="s">
        <v>2176</v>
      </c>
      <c r="AO3593" t="s">
        <v>27524</v>
      </c>
      <c r="AP3593" t="s">
        <v>7024</v>
      </c>
      <c r="AQ3593" t="s">
        <v>27527</v>
      </c>
      <c r="AT3593" s="184"/>
      <c r="AW3593" s="184"/>
      <c r="AZ3593" s="184"/>
    </row>
    <row r="3594" spans="1:68">
      <c r="A3594">
        <v>42668095</v>
      </c>
      <c r="B3594">
        <v>42668095</v>
      </c>
      <c r="C3594" t="s">
        <v>7018</v>
      </c>
      <c r="D3594" t="s">
        <v>595</v>
      </c>
      <c r="E3594" s="184">
        <v>45195</v>
      </c>
      <c r="G3594" s="184"/>
      <c r="I3594" s="184"/>
      <c r="K3594" s="184"/>
      <c r="O3594" s="184"/>
      <c r="P3594" t="s">
        <v>7045</v>
      </c>
      <c r="Q3594" t="s">
        <v>7383</v>
      </c>
      <c r="R3594" s="184">
        <v>14702</v>
      </c>
      <c r="S3594">
        <v>84</v>
      </c>
      <c r="V3594" t="s">
        <v>27528</v>
      </c>
      <c r="X3594" t="s">
        <v>2999</v>
      </c>
      <c r="AF3594" t="s">
        <v>27529</v>
      </c>
      <c r="AG3594" t="s">
        <v>27528</v>
      </c>
      <c r="AI3594" t="s">
        <v>27530</v>
      </c>
      <c r="AM3594" t="s">
        <v>27531</v>
      </c>
      <c r="AN3594" t="s">
        <v>2185</v>
      </c>
      <c r="AO3594" t="s">
        <v>27532</v>
      </c>
      <c r="AP3594" t="s">
        <v>7024</v>
      </c>
      <c r="AT3594" s="184">
        <v>39503</v>
      </c>
      <c r="AU3594" t="s">
        <v>27533</v>
      </c>
      <c r="AV3594">
        <v>15</v>
      </c>
      <c r="AW3594" s="184">
        <v>45322</v>
      </c>
      <c r="AX3594" t="s">
        <v>27534</v>
      </c>
      <c r="AY3594">
        <v>25</v>
      </c>
      <c r="AZ3594" s="184">
        <v>45322</v>
      </c>
      <c r="BA3594" t="s">
        <v>27534</v>
      </c>
      <c r="BB3594">
        <v>25</v>
      </c>
      <c r="BC3594">
        <v>100</v>
      </c>
      <c r="BD3594">
        <v>655</v>
      </c>
      <c r="BE3594">
        <v>2008</v>
      </c>
      <c r="BF3594">
        <v>31</v>
      </c>
      <c r="BG3594">
        <v>4</v>
      </c>
      <c r="BH3594">
        <v>95</v>
      </c>
      <c r="BI3594">
        <v>17</v>
      </c>
      <c r="BJ3594">
        <v>17</v>
      </c>
      <c r="BK3594">
        <v>17</v>
      </c>
    </row>
    <row r="3595" spans="1:68">
      <c r="A3595">
        <v>42668350</v>
      </c>
      <c r="B3595">
        <v>42668350</v>
      </c>
      <c r="C3595" t="s">
        <v>7018</v>
      </c>
      <c r="D3595" t="s">
        <v>595</v>
      </c>
      <c r="E3595" s="184">
        <v>44956</v>
      </c>
      <c r="I3595" s="184"/>
      <c r="K3595" s="184"/>
      <c r="M3595" s="184"/>
      <c r="O3595" s="184"/>
      <c r="P3595" t="s">
        <v>7045</v>
      </c>
      <c r="Q3595" t="s">
        <v>7383</v>
      </c>
      <c r="R3595" s="184">
        <v>14134</v>
      </c>
      <c r="S3595">
        <v>85</v>
      </c>
      <c r="U3595" t="s">
        <v>7031</v>
      </c>
      <c r="V3595" t="s">
        <v>2863</v>
      </c>
      <c r="X3595" t="s">
        <v>27535</v>
      </c>
      <c r="Z3595">
        <v>101098276</v>
      </c>
      <c r="AB3595" t="s">
        <v>5638</v>
      </c>
      <c r="AD3595" t="s">
        <v>27535</v>
      </c>
      <c r="AF3595" t="s">
        <v>27536</v>
      </c>
      <c r="AG3595" t="s">
        <v>27537</v>
      </c>
      <c r="AI3595" t="s">
        <v>27538</v>
      </c>
      <c r="AM3595" t="s">
        <v>27539</v>
      </c>
      <c r="AN3595" t="s">
        <v>2072</v>
      </c>
      <c r="AO3595" t="s">
        <v>27540</v>
      </c>
      <c r="AP3595" t="s">
        <v>7024</v>
      </c>
      <c r="AQ3595" t="s">
        <v>27541</v>
      </c>
      <c r="AT3595" s="184">
        <v>39503</v>
      </c>
      <c r="AU3595" t="s">
        <v>27542</v>
      </c>
      <c r="AV3595">
        <v>15</v>
      </c>
      <c r="AW3595" s="184">
        <v>45264</v>
      </c>
      <c r="AX3595" t="s">
        <v>11384</v>
      </c>
      <c r="AY3595">
        <v>25</v>
      </c>
      <c r="AZ3595" s="184">
        <v>45264</v>
      </c>
      <c r="BA3595" t="s">
        <v>11384</v>
      </c>
      <c r="BB3595">
        <v>25</v>
      </c>
      <c r="BC3595">
        <v>24</v>
      </c>
      <c r="BD3595">
        <v>105</v>
      </c>
      <c r="BE3595">
        <v>2008</v>
      </c>
      <c r="BF3595">
        <v>5</v>
      </c>
      <c r="BG3595">
        <v>3</v>
      </c>
      <c r="BH3595">
        <v>75</v>
      </c>
      <c r="BI3595">
        <v>4</v>
      </c>
      <c r="BJ3595">
        <v>17</v>
      </c>
      <c r="BK3595">
        <v>3</v>
      </c>
      <c r="BP3595" s="184"/>
    </row>
    <row r="3596" spans="1:68">
      <c r="A3596">
        <v>101098276</v>
      </c>
      <c r="B3596">
        <v>42668350</v>
      </c>
      <c r="C3596" t="s">
        <v>7018</v>
      </c>
      <c r="D3596" t="s">
        <v>595</v>
      </c>
      <c r="E3596" s="184">
        <v>45022</v>
      </c>
      <c r="I3596" s="184"/>
      <c r="K3596" s="184"/>
      <c r="M3596" s="184"/>
      <c r="O3596" s="184"/>
      <c r="P3596" t="s">
        <v>7045</v>
      </c>
      <c r="Q3596" t="s">
        <v>7383</v>
      </c>
      <c r="R3596" s="184">
        <v>15029</v>
      </c>
      <c r="S3596">
        <v>83</v>
      </c>
      <c r="V3596" t="s">
        <v>5638</v>
      </c>
      <c r="X3596" t="s">
        <v>27535</v>
      </c>
      <c r="Z3596">
        <v>42668350</v>
      </c>
      <c r="AA3596" t="s">
        <v>7031</v>
      </c>
      <c r="AB3596" t="s">
        <v>2863</v>
      </c>
      <c r="AD3596" t="s">
        <v>27535</v>
      </c>
      <c r="AF3596" t="s">
        <v>27536</v>
      </c>
      <c r="AG3596" t="s">
        <v>27537</v>
      </c>
      <c r="AI3596" t="s">
        <v>27538</v>
      </c>
      <c r="AM3596" t="s">
        <v>27539</v>
      </c>
      <c r="AN3596" t="s">
        <v>2072</v>
      </c>
      <c r="AO3596" t="s">
        <v>27540</v>
      </c>
      <c r="AP3596" t="s">
        <v>7024</v>
      </c>
      <c r="AT3596" s="184"/>
      <c r="AW3596" s="184"/>
      <c r="AZ3596" s="184"/>
      <c r="BP3596" s="184"/>
    </row>
    <row r="3597" spans="1:68">
      <c r="A3597">
        <v>42814970</v>
      </c>
      <c r="B3597">
        <v>42814970</v>
      </c>
      <c r="C3597" t="s">
        <v>7018</v>
      </c>
      <c r="D3597" t="s">
        <v>595</v>
      </c>
      <c r="E3597" s="184">
        <v>44313</v>
      </c>
      <c r="G3597" s="184"/>
      <c r="I3597" s="184"/>
      <c r="K3597" s="184"/>
      <c r="M3597" s="184"/>
      <c r="O3597" s="184"/>
      <c r="P3597" t="s">
        <v>7045</v>
      </c>
      <c r="Q3597" t="s">
        <v>7374</v>
      </c>
      <c r="R3597" s="184">
        <v>14977</v>
      </c>
      <c r="S3597">
        <v>83</v>
      </c>
      <c r="U3597" t="s">
        <v>7031</v>
      </c>
      <c r="V3597" t="s">
        <v>4679</v>
      </c>
      <c r="X3597" t="s">
        <v>5550</v>
      </c>
      <c r="Z3597">
        <v>100124671</v>
      </c>
      <c r="AA3597" t="s">
        <v>7130</v>
      </c>
      <c r="AB3597" t="s">
        <v>23654</v>
      </c>
      <c r="AD3597" t="s">
        <v>5550</v>
      </c>
      <c r="AF3597" t="s">
        <v>27543</v>
      </c>
      <c r="AG3597" t="s">
        <v>27544</v>
      </c>
      <c r="AI3597" t="s">
        <v>27545</v>
      </c>
      <c r="AM3597" t="s">
        <v>27546</v>
      </c>
      <c r="AN3597" t="s">
        <v>2081</v>
      </c>
      <c r="AO3597" t="s">
        <v>27547</v>
      </c>
      <c r="AP3597" t="s">
        <v>7024</v>
      </c>
      <c r="AQ3597" t="s">
        <v>27548</v>
      </c>
      <c r="AT3597" s="184">
        <v>39504</v>
      </c>
      <c r="AU3597" t="s">
        <v>27549</v>
      </c>
      <c r="AV3597">
        <v>25</v>
      </c>
      <c r="AW3597" s="184">
        <v>45401</v>
      </c>
      <c r="AX3597" t="s">
        <v>7429</v>
      </c>
      <c r="AY3597">
        <v>20</v>
      </c>
      <c r="AZ3597" s="184">
        <v>43389</v>
      </c>
      <c r="BA3597" t="s">
        <v>12386</v>
      </c>
      <c r="BB3597">
        <v>100</v>
      </c>
      <c r="BC3597">
        <v>83</v>
      </c>
      <c r="BD3597">
        <v>1475</v>
      </c>
      <c r="BE3597">
        <v>2008</v>
      </c>
      <c r="BF3597">
        <v>62</v>
      </c>
      <c r="BG3597">
        <v>24</v>
      </c>
      <c r="BH3597">
        <v>480</v>
      </c>
      <c r="BI3597">
        <v>14</v>
      </c>
      <c r="BJ3597">
        <v>17</v>
      </c>
      <c r="BK3597">
        <v>11</v>
      </c>
      <c r="BN3597" t="s">
        <v>595</v>
      </c>
    </row>
    <row r="3598" spans="1:68">
      <c r="A3598">
        <v>100124671</v>
      </c>
      <c r="B3598">
        <v>42814970</v>
      </c>
      <c r="C3598" t="s">
        <v>7018</v>
      </c>
      <c r="D3598" t="s">
        <v>595</v>
      </c>
      <c r="E3598" s="184">
        <v>44313</v>
      </c>
      <c r="G3598" s="184"/>
      <c r="I3598" s="184"/>
      <c r="K3598" s="184"/>
      <c r="O3598" s="184"/>
      <c r="P3598" t="s">
        <v>7045</v>
      </c>
      <c r="Q3598" t="s">
        <v>7374</v>
      </c>
      <c r="R3598" s="184">
        <v>14977</v>
      </c>
      <c r="S3598">
        <v>83</v>
      </c>
      <c r="U3598" t="s">
        <v>7130</v>
      </c>
      <c r="V3598" t="s">
        <v>23654</v>
      </c>
      <c r="X3598" t="s">
        <v>5550</v>
      </c>
      <c r="Z3598">
        <v>42814970</v>
      </c>
      <c r="AA3598" t="s">
        <v>7031</v>
      </c>
      <c r="AB3598" t="s">
        <v>4679</v>
      </c>
      <c r="AD3598" t="s">
        <v>5550</v>
      </c>
      <c r="AF3598" t="s">
        <v>27543</v>
      </c>
      <c r="AG3598" t="s">
        <v>27544</v>
      </c>
      <c r="AI3598" t="s">
        <v>27545</v>
      </c>
      <c r="AM3598" t="s">
        <v>27546</v>
      </c>
      <c r="AN3598" t="s">
        <v>2081</v>
      </c>
      <c r="AO3598" t="s">
        <v>27547</v>
      </c>
      <c r="AP3598" t="s">
        <v>7024</v>
      </c>
      <c r="AT3598" s="184"/>
      <c r="AW3598" s="184"/>
      <c r="AZ3598" s="184"/>
    </row>
    <row r="3599" spans="1:68">
      <c r="A3599">
        <v>42907576</v>
      </c>
      <c r="B3599">
        <v>42907576</v>
      </c>
      <c r="C3599" t="s">
        <v>7018</v>
      </c>
      <c r="D3599" t="s">
        <v>595</v>
      </c>
      <c r="E3599" s="184">
        <v>44073</v>
      </c>
      <c r="G3599" s="184"/>
      <c r="I3599" s="184"/>
      <c r="K3599" s="184"/>
      <c r="P3599" t="s">
        <v>7045</v>
      </c>
      <c r="Q3599" t="s">
        <v>7020</v>
      </c>
      <c r="R3599" s="184">
        <v>18137</v>
      </c>
      <c r="S3599">
        <v>74</v>
      </c>
      <c r="V3599" t="s">
        <v>27550</v>
      </c>
      <c r="X3599" t="s">
        <v>27551</v>
      </c>
      <c r="AF3599" t="s">
        <v>27552</v>
      </c>
      <c r="AG3599" t="s">
        <v>27550</v>
      </c>
      <c r="AI3599" t="s">
        <v>27553</v>
      </c>
      <c r="AM3599" t="s">
        <v>27554</v>
      </c>
      <c r="AN3599" t="s">
        <v>2363</v>
      </c>
      <c r="AO3599" t="s">
        <v>27555</v>
      </c>
      <c r="AP3599" t="s">
        <v>7024</v>
      </c>
      <c r="AQ3599" t="s">
        <v>27556</v>
      </c>
      <c r="AR3599" t="s">
        <v>27557</v>
      </c>
      <c r="AT3599" s="184">
        <v>39506</v>
      </c>
      <c r="AU3599" t="s">
        <v>27558</v>
      </c>
      <c r="AV3599">
        <v>25</v>
      </c>
      <c r="AW3599" s="184">
        <v>45408</v>
      </c>
      <c r="AX3599" t="s">
        <v>8483</v>
      </c>
      <c r="AY3599">
        <v>22</v>
      </c>
      <c r="AZ3599" s="184">
        <v>41219</v>
      </c>
      <c r="BA3599" t="s">
        <v>27559</v>
      </c>
      <c r="BB3599">
        <v>55</v>
      </c>
      <c r="BC3599">
        <v>100</v>
      </c>
      <c r="BD3599">
        <v>2548</v>
      </c>
      <c r="BE3599">
        <v>2008</v>
      </c>
      <c r="BF3599">
        <v>135</v>
      </c>
      <c r="BG3599">
        <v>25</v>
      </c>
      <c r="BH3599">
        <v>532</v>
      </c>
      <c r="BI3599">
        <v>17</v>
      </c>
      <c r="BJ3599">
        <v>17</v>
      </c>
      <c r="BK3599">
        <v>17</v>
      </c>
    </row>
    <row r="3600" spans="1:68">
      <c r="A3600">
        <v>42924779</v>
      </c>
      <c r="B3600">
        <v>42924779</v>
      </c>
      <c r="C3600" t="s">
        <v>7018</v>
      </c>
      <c r="D3600" t="s">
        <v>595</v>
      </c>
      <c r="E3600" s="184">
        <v>43655</v>
      </c>
      <c r="G3600" s="184"/>
      <c r="I3600" s="184"/>
      <c r="K3600" s="184"/>
      <c r="O3600" s="184"/>
      <c r="P3600" t="s">
        <v>7045</v>
      </c>
      <c r="Q3600" t="s">
        <v>7020</v>
      </c>
      <c r="R3600" s="184">
        <v>20029</v>
      </c>
      <c r="S3600">
        <v>69</v>
      </c>
      <c r="U3600" t="s">
        <v>7076</v>
      </c>
      <c r="V3600" t="s">
        <v>3624</v>
      </c>
      <c r="X3600" t="s">
        <v>3625</v>
      </c>
      <c r="AF3600" t="s">
        <v>27560</v>
      </c>
      <c r="AG3600" t="s">
        <v>3624</v>
      </c>
      <c r="AI3600" t="s">
        <v>27561</v>
      </c>
      <c r="AM3600" t="s">
        <v>2722</v>
      </c>
      <c r="AN3600" t="s">
        <v>2240</v>
      </c>
      <c r="AO3600" t="s">
        <v>27562</v>
      </c>
      <c r="AP3600" t="s">
        <v>7024</v>
      </c>
      <c r="AQ3600" t="s">
        <v>27563</v>
      </c>
      <c r="AT3600" s="184">
        <v>39506</v>
      </c>
      <c r="AU3600" t="s">
        <v>27564</v>
      </c>
      <c r="AV3600">
        <v>20</v>
      </c>
      <c r="AW3600" s="184">
        <v>45408</v>
      </c>
      <c r="AX3600" t="s">
        <v>8483</v>
      </c>
      <c r="AY3600">
        <v>10</v>
      </c>
      <c r="AZ3600" s="184">
        <v>39506</v>
      </c>
      <c r="BA3600" t="s">
        <v>27564</v>
      </c>
      <c r="BB3600">
        <v>20</v>
      </c>
      <c r="BC3600">
        <v>100</v>
      </c>
      <c r="BD3600">
        <v>1830</v>
      </c>
      <c r="BE3600">
        <v>2008</v>
      </c>
      <c r="BF3600">
        <v>182</v>
      </c>
      <c r="BG3600">
        <v>24</v>
      </c>
      <c r="BH3600">
        <v>240</v>
      </c>
      <c r="BI3600">
        <v>17</v>
      </c>
      <c r="BJ3600">
        <v>17</v>
      </c>
      <c r="BK3600">
        <v>17</v>
      </c>
    </row>
    <row r="3601" spans="1:68">
      <c r="A3601">
        <v>42938175</v>
      </c>
      <c r="B3601">
        <v>42938175</v>
      </c>
      <c r="C3601" t="s">
        <v>7018</v>
      </c>
      <c r="E3601" s="184"/>
      <c r="G3601" s="184"/>
      <c r="I3601" s="184"/>
      <c r="J3601" t="s">
        <v>595</v>
      </c>
      <c r="K3601" s="184">
        <v>41939</v>
      </c>
      <c r="M3601" s="184"/>
      <c r="O3601" s="184"/>
      <c r="P3601" t="s">
        <v>7045</v>
      </c>
      <c r="Q3601" t="s">
        <v>7030</v>
      </c>
      <c r="R3601" s="184">
        <v>14032</v>
      </c>
      <c r="S3601">
        <v>85</v>
      </c>
      <c r="V3601" t="s">
        <v>2580</v>
      </c>
      <c r="X3601" t="s">
        <v>2657</v>
      </c>
      <c r="AF3601" t="s">
        <v>6381</v>
      </c>
      <c r="AG3601" t="s">
        <v>2580</v>
      </c>
      <c r="AI3601" t="s">
        <v>27565</v>
      </c>
      <c r="AM3601" t="s">
        <v>3601</v>
      </c>
      <c r="AN3601" t="s">
        <v>2201</v>
      </c>
      <c r="AO3601" t="s">
        <v>27566</v>
      </c>
      <c r="AP3601" t="s">
        <v>7024</v>
      </c>
      <c r="AQ3601" t="s">
        <v>27567</v>
      </c>
      <c r="AR3601" t="s">
        <v>27568</v>
      </c>
      <c r="AT3601" s="184">
        <v>39506</v>
      </c>
      <c r="AU3601" t="s">
        <v>27569</v>
      </c>
      <c r="AV3601">
        <v>50</v>
      </c>
      <c r="AW3601" s="184">
        <v>45380</v>
      </c>
      <c r="AX3601" t="s">
        <v>9624</v>
      </c>
      <c r="AY3601">
        <v>250</v>
      </c>
      <c r="AZ3601" s="184">
        <v>44523</v>
      </c>
      <c r="BA3601" t="s">
        <v>21743</v>
      </c>
      <c r="BB3601">
        <v>500</v>
      </c>
      <c r="BC3601">
        <v>89</v>
      </c>
      <c r="BD3601">
        <v>2750</v>
      </c>
      <c r="BE3601">
        <v>2008</v>
      </c>
      <c r="BF3601">
        <v>17</v>
      </c>
      <c r="BG3601">
        <v>3</v>
      </c>
      <c r="BH3601">
        <v>850</v>
      </c>
      <c r="BI3601">
        <v>15</v>
      </c>
      <c r="BJ3601">
        <v>17</v>
      </c>
      <c r="BK3601">
        <v>10</v>
      </c>
      <c r="BP3601" s="184"/>
    </row>
    <row r="3602" spans="1:68">
      <c r="A3602">
        <v>42943175</v>
      </c>
      <c r="B3602">
        <v>42943175</v>
      </c>
      <c r="C3602" t="s">
        <v>7018</v>
      </c>
      <c r="D3602" t="s">
        <v>595</v>
      </c>
      <c r="E3602" s="184">
        <v>43647</v>
      </c>
      <c r="G3602" s="184"/>
      <c r="I3602" s="184"/>
      <c r="K3602" s="184"/>
      <c r="M3602" s="184"/>
      <c r="O3602" s="184"/>
      <c r="P3602" t="s">
        <v>7045</v>
      </c>
      <c r="Q3602" t="s">
        <v>7262</v>
      </c>
      <c r="R3602" s="184">
        <v>18009</v>
      </c>
      <c r="S3602">
        <v>75</v>
      </c>
      <c r="V3602" t="s">
        <v>205</v>
      </c>
      <c r="X3602" t="s">
        <v>3586</v>
      </c>
      <c r="AF3602" t="s">
        <v>27570</v>
      </c>
      <c r="AG3602" t="s">
        <v>5990</v>
      </c>
      <c r="AI3602" t="s">
        <v>27571</v>
      </c>
      <c r="AM3602" t="s">
        <v>3587</v>
      </c>
      <c r="AN3602" t="s">
        <v>2106</v>
      </c>
      <c r="AO3602" t="s">
        <v>27572</v>
      </c>
      <c r="AP3602" t="s">
        <v>7024</v>
      </c>
      <c r="AQ3602" t="s">
        <v>27573</v>
      </c>
      <c r="AR3602" t="s">
        <v>27574</v>
      </c>
      <c r="AT3602" s="184">
        <v>39506</v>
      </c>
      <c r="AU3602" t="s">
        <v>27575</v>
      </c>
      <c r="AV3602">
        <v>20</v>
      </c>
      <c r="AW3602" s="184">
        <v>45322</v>
      </c>
      <c r="AX3602" t="s">
        <v>16096</v>
      </c>
      <c r="AY3602">
        <v>35</v>
      </c>
      <c r="AZ3602" s="184">
        <v>45322</v>
      </c>
      <c r="BA3602" t="s">
        <v>16096</v>
      </c>
      <c r="BB3602">
        <v>35</v>
      </c>
      <c r="BC3602">
        <v>59</v>
      </c>
      <c r="BD3602">
        <v>505</v>
      </c>
      <c r="BE3602">
        <v>2008</v>
      </c>
      <c r="BF3602">
        <v>20</v>
      </c>
      <c r="BG3602">
        <v>3</v>
      </c>
      <c r="BH3602">
        <v>105</v>
      </c>
      <c r="BI3602">
        <v>10</v>
      </c>
      <c r="BJ3602">
        <v>17</v>
      </c>
      <c r="BK3602">
        <v>8</v>
      </c>
      <c r="BN3602" t="s">
        <v>595</v>
      </c>
    </row>
    <row r="3603" spans="1:68">
      <c r="A3603">
        <v>42992578</v>
      </c>
      <c r="B3603">
        <v>42992578</v>
      </c>
      <c r="C3603" t="s">
        <v>7018</v>
      </c>
      <c r="D3603" t="s">
        <v>595</v>
      </c>
      <c r="E3603" s="184">
        <v>44167</v>
      </c>
      <c r="G3603" s="184"/>
      <c r="H3603" t="s">
        <v>595</v>
      </c>
      <c r="I3603" s="184">
        <v>44167</v>
      </c>
      <c r="K3603" s="184"/>
      <c r="O3603" s="184"/>
      <c r="P3603" t="s">
        <v>7045</v>
      </c>
      <c r="Q3603" t="s">
        <v>7262</v>
      </c>
      <c r="R3603" s="184">
        <v>17654</v>
      </c>
      <c r="S3603">
        <v>76</v>
      </c>
      <c r="U3603" t="s">
        <v>7031</v>
      </c>
      <c r="V3603" t="s">
        <v>3283</v>
      </c>
      <c r="X3603" t="s">
        <v>27576</v>
      </c>
      <c r="AF3603" t="s">
        <v>27577</v>
      </c>
      <c r="AG3603" t="s">
        <v>3283</v>
      </c>
      <c r="AI3603" t="s">
        <v>27578</v>
      </c>
      <c r="AM3603" t="s">
        <v>27579</v>
      </c>
      <c r="AN3603" t="s">
        <v>65</v>
      </c>
      <c r="AO3603" t="s">
        <v>27580</v>
      </c>
      <c r="AP3603" t="s">
        <v>7024</v>
      </c>
      <c r="AQ3603" t="s">
        <v>27581</v>
      </c>
      <c r="AT3603" s="184">
        <v>39506</v>
      </c>
      <c r="AU3603" t="s">
        <v>27582</v>
      </c>
      <c r="AV3603">
        <v>10</v>
      </c>
      <c r="AW3603" s="184">
        <v>45380</v>
      </c>
      <c r="AX3603" t="s">
        <v>22799</v>
      </c>
      <c r="AY3603">
        <v>100</v>
      </c>
      <c r="AZ3603" s="184">
        <v>45380</v>
      </c>
      <c r="BA3603" t="s">
        <v>22799</v>
      </c>
      <c r="BB3603">
        <v>100</v>
      </c>
      <c r="BC3603">
        <v>71</v>
      </c>
      <c r="BD3603">
        <v>625.32000000000005</v>
      </c>
      <c r="BE3603">
        <v>2008</v>
      </c>
      <c r="BF3603">
        <v>18</v>
      </c>
      <c r="BG3603">
        <v>4</v>
      </c>
      <c r="BH3603">
        <v>200</v>
      </c>
      <c r="BI3603">
        <v>12</v>
      </c>
      <c r="BJ3603">
        <v>17</v>
      </c>
      <c r="BK3603">
        <v>8</v>
      </c>
    </row>
    <row r="3604" spans="1:68">
      <c r="A3604">
        <v>43145176</v>
      </c>
      <c r="B3604">
        <v>43145176</v>
      </c>
      <c r="C3604" t="s">
        <v>7018</v>
      </c>
      <c r="D3604" t="s">
        <v>595</v>
      </c>
      <c r="E3604" s="184">
        <v>43881</v>
      </c>
      <c r="G3604" s="184"/>
      <c r="I3604" s="184"/>
      <c r="K3604" s="184"/>
      <c r="M3604" s="184"/>
      <c r="P3604" t="s">
        <v>7045</v>
      </c>
      <c r="Q3604" t="s">
        <v>7194</v>
      </c>
      <c r="R3604" s="184">
        <v>16438</v>
      </c>
      <c r="S3604">
        <v>79</v>
      </c>
      <c r="U3604" t="s">
        <v>7031</v>
      </c>
      <c r="V3604" t="s">
        <v>3825</v>
      </c>
      <c r="X3604" t="s">
        <v>2832</v>
      </c>
      <c r="AF3604" t="s">
        <v>27583</v>
      </c>
      <c r="AG3604" t="s">
        <v>3825</v>
      </c>
      <c r="AI3604" t="s">
        <v>27584</v>
      </c>
      <c r="AM3604" t="s">
        <v>27585</v>
      </c>
      <c r="AN3604" t="s">
        <v>2046</v>
      </c>
      <c r="AO3604" t="s">
        <v>27586</v>
      </c>
      <c r="AP3604" t="s">
        <v>7024</v>
      </c>
      <c r="AQ3604" t="s">
        <v>27587</v>
      </c>
      <c r="AR3604" t="s">
        <v>27588</v>
      </c>
      <c r="AT3604" s="184">
        <v>39510</v>
      </c>
      <c r="AU3604" t="s">
        <v>27549</v>
      </c>
      <c r="AV3604">
        <v>25</v>
      </c>
      <c r="AW3604" s="184">
        <v>45416</v>
      </c>
      <c r="AX3604" t="s">
        <v>7422</v>
      </c>
      <c r="AY3604">
        <v>15</v>
      </c>
      <c r="AZ3604" s="184">
        <v>39871</v>
      </c>
      <c r="BA3604" t="s">
        <v>27589</v>
      </c>
      <c r="BB3604">
        <v>60</v>
      </c>
      <c r="BC3604">
        <v>95</v>
      </c>
      <c r="BD3604">
        <v>2485</v>
      </c>
      <c r="BE3604">
        <v>2008</v>
      </c>
      <c r="BF3604">
        <v>154</v>
      </c>
      <c r="BG3604">
        <v>24</v>
      </c>
      <c r="BH3604">
        <v>360</v>
      </c>
      <c r="BI3604">
        <v>16</v>
      </c>
      <c r="BJ3604">
        <v>17</v>
      </c>
      <c r="BK3604">
        <v>14</v>
      </c>
    </row>
    <row r="3605" spans="1:68">
      <c r="A3605">
        <v>43295179</v>
      </c>
      <c r="B3605">
        <v>43295179</v>
      </c>
      <c r="C3605" t="s">
        <v>7018</v>
      </c>
      <c r="D3605" t="s">
        <v>595</v>
      </c>
      <c r="E3605" s="184">
        <v>44104</v>
      </c>
      <c r="G3605" s="184"/>
      <c r="I3605" s="184"/>
      <c r="K3605" s="184"/>
      <c r="M3605" s="184"/>
      <c r="P3605" t="s">
        <v>7045</v>
      </c>
      <c r="Q3605" t="s">
        <v>7383</v>
      </c>
      <c r="R3605" s="184">
        <v>16862</v>
      </c>
      <c r="S3605">
        <v>78</v>
      </c>
      <c r="U3605" t="s">
        <v>7130</v>
      </c>
      <c r="V3605" t="s">
        <v>3184</v>
      </c>
      <c r="X3605" t="s">
        <v>27590</v>
      </c>
      <c r="AF3605" t="s">
        <v>27591</v>
      </c>
      <c r="AG3605" t="s">
        <v>3184</v>
      </c>
      <c r="AI3605" t="s">
        <v>27592</v>
      </c>
      <c r="AM3605" t="s">
        <v>27593</v>
      </c>
      <c r="AN3605" t="s">
        <v>2059</v>
      </c>
      <c r="AO3605" t="s">
        <v>27594</v>
      </c>
      <c r="AP3605" t="s">
        <v>7024</v>
      </c>
      <c r="AT3605" s="184">
        <v>39513</v>
      </c>
      <c r="AU3605" t="s">
        <v>27595</v>
      </c>
      <c r="AV3605">
        <v>15</v>
      </c>
      <c r="AW3605" s="184">
        <v>45302</v>
      </c>
      <c r="AX3605" t="s">
        <v>27596</v>
      </c>
      <c r="AY3605">
        <v>25</v>
      </c>
      <c r="AZ3605" s="184">
        <v>44417</v>
      </c>
      <c r="BA3605" t="s">
        <v>27597</v>
      </c>
      <c r="BB3605">
        <v>2100</v>
      </c>
      <c r="BC3605">
        <v>71</v>
      </c>
      <c r="BD3605">
        <v>2565</v>
      </c>
      <c r="BE3605">
        <v>2008</v>
      </c>
      <c r="BF3605">
        <v>19</v>
      </c>
      <c r="BG3605">
        <v>1</v>
      </c>
      <c r="BH3605">
        <v>25</v>
      </c>
      <c r="BI3605">
        <v>12</v>
      </c>
      <c r="BJ3605">
        <v>17</v>
      </c>
      <c r="BK3605">
        <v>4</v>
      </c>
      <c r="BP3605" s="184"/>
    </row>
    <row r="3606" spans="1:68">
      <c r="A3606">
        <v>43299577</v>
      </c>
      <c r="B3606">
        <v>43299577</v>
      </c>
      <c r="C3606" t="s">
        <v>7018</v>
      </c>
      <c r="D3606" t="s">
        <v>595</v>
      </c>
      <c r="E3606" s="184">
        <v>45181</v>
      </c>
      <c r="G3606" s="184"/>
      <c r="I3606" s="184"/>
      <c r="K3606" s="184"/>
      <c r="M3606" s="184"/>
      <c r="O3606" s="184"/>
      <c r="P3606" t="s">
        <v>7019</v>
      </c>
      <c r="Q3606" t="s">
        <v>7374</v>
      </c>
      <c r="R3606" s="184">
        <v>22372</v>
      </c>
      <c r="S3606">
        <v>63</v>
      </c>
      <c r="U3606" t="s">
        <v>7031</v>
      </c>
      <c r="V3606" t="s">
        <v>3908</v>
      </c>
      <c r="W3606" t="s">
        <v>7407</v>
      </c>
      <c r="X3606" t="s">
        <v>27598</v>
      </c>
      <c r="AF3606" t="s">
        <v>27599</v>
      </c>
      <c r="AG3606" t="s">
        <v>3908</v>
      </c>
      <c r="AI3606" t="s">
        <v>27600</v>
      </c>
      <c r="AM3606" t="s">
        <v>4551</v>
      </c>
      <c r="AN3606" t="s">
        <v>2081</v>
      </c>
      <c r="AO3606" t="s">
        <v>27601</v>
      </c>
      <c r="AP3606" t="s">
        <v>7024</v>
      </c>
      <c r="AQ3606" t="s">
        <v>27602</v>
      </c>
      <c r="AT3606" s="184">
        <v>39513</v>
      </c>
      <c r="AU3606" t="s">
        <v>27603</v>
      </c>
      <c r="AV3606">
        <v>20</v>
      </c>
      <c r="AW3606" s="184">
        <v>44652</v>
      </c>
      <c r="AX3606" t="s">
        <v>27604</v>
      </c>
      <c r="AY3606">
        <v>60</v>
      </c>
      <c r="AZ3606" s="184">
        <v>44652</v>
      </c>
      <c r="BA3606" t="s">
        <v>27604</v>
      </c>
      <c r="BB3606">
        <v>60</v>
      </c>
      <c r="BC3606">
        <v>53</v>
      </c>
      <c r="BD3606">
        <v>375</v>
      </c>
      <c r="BE3606">
        <v>2008</v>
      </c>
      <c r="BF3606">
        <v>11</v>
      </c>
      <c r="BI3606">
        <v>9</v>
      </c>
      <c r="BJ3606">
        <v>17</v>
      </c>
      <c r="BK3606">
        <v>3</v>
      </c>
      <c r="BN3606" t="s">
        <v>595</v>
      </c>
      <c r="BP3606" s="184"/>
    </row>
    <row r="3607" spans="1:68">
      <c r="A3607">
        <v>43440585</v>
      </c>
      <c r="B3607">
        <v>43440585</v>
      </c>
      <c r="C3607" t="s">
        <v>7018</v>
      </c>
      <c r="D3607" t="s">
        <v>595</v>
      </c>
      <c r="E3607" s="184">
        <v>44438</v>
      </c>
      <c r="G3607" s="184"/>
      <c r="I3607" s="184"/>
      <c r="K3607" s="184"/>
      <c r="M3607" s="184"/>
      <c r="O3607" s="184"/>
      <c r="P3607" t="s">
        <v>7029</v>
      </c>
      <c r="Q3607" t="s">
        <v>7194</v>
      </c>
      <c r="R3607" s="184">
        <v>20271</v>
      </c>
      <c r="S3607">
        <v>68</v>
      </c>
      <c r="V3607" t="s">
        <v>27605</v>
      </c>
      <c r="X3607" t="s">
        <v>27606</v>
      </c>
      <c r="Z3607">
        <v>100124895</v>
      </c>
      <c r="AB3607" t="s">
        <v>2871</v>
      </c>
      <c r="AD3607" t="s">
        <v>27606</v>
      </c>
      <c r="AF3607" t="s">
        <v>27607</v>
      </c>
      <c r="AG3607" t="s">
        <v>27608</v>
      </c>
      <c r="AI3607" t="s">
        <v>27609</v>
      </c>
      <c r="AM3607" t="s">
        <v>4351</v>
      </c>
      <c r="AN3607" t="s">
        <v>2046</v>
      </c>
      <c r="AO3607" t="s">
        <v>27610</v>
      </c>
      <c r="AP3607" t="s">
        <v>7024</v>
      </c>
      <c r="AQ3607" t="s">
        <v>27611</v>
      </c>
      <c r="AT3607" s="184">
        <v>39517</v>
      </c>
      <c r="AU3607" t="s">
        <v>27612</v>
      </c>
      <c r="AV3607">
        <v>25</v>
      </c>
      <c r="AW3607" s="184">
        <v>45413</v>
      </c>
      <c r="AX3607" t="s">
        <v>11949</v>
      </c>
      <c r="AY3607">
        <v>500</v>
      </c>
      <c r="AZ3607" s="184">
        <v>44244</v>
      </c>
      <c r="BA3607" t="s">
        <v>9416</v>
      </c>
      <c r="BB3607">
        <v>1200</v>
      </c>
      <c r="BC3607">
        <v>89</v>
      </c>
      <c r="BD3607">
        <v>11075</v>
      </c>
      <c r="BE3607">
        <v>2008</v>
      </c>
      <c r="BF3607">
        <v>25</v>
      </c>
      <c r="BG3607">
        <v>5</v>
      </c>
      <c r="BH3607">
        <v>3250</v>
      </c>
      <c r="BI3607">
        <v>15</v>
      </c>
      <c r="BJ3607">
        <v>17</v>
      </c>
      <c r="BK3607">
        <v>12</v>
      </c>
      <c r="BN3607" t="s">
        <v>595</v>
      </c>
      <c r="BP3607" s="184"/>
    </row>
    <row r="3608" spans="1:68">
      <c r="A3608">
        <v>100124895</v>
      </c>
      <c r="B3608">
        <v>43440585</v>
      </c>
      <c r="C3608" t="s">
        <v>7018</v>
      </c>
      <c r="D3608" t="s">
        <v>595</v>
      </c>
      <c r="E3608" s="184">
        <v>44438</v>
      </c>
      <c r="G3608" s="184"/>
      <c r="I3608" s="184"/>
      <c r="K3608" s="184"/>
      <c r="M3608" s="184"/>
      <c r="O3608" s="184"/>
      <c r="P3608" t="s">
        <v>7029</v>
      </c>
      <c r="Q3608" t="s">
        <v>7194</v>
      </c>
      <c r="R3608" s="184">
        <v>18749</v>
      </c>
      <c r="S3608">
        <v>73</v>
      </c>
      <c r="V3608" t="s">
        <v>2871</v>
      </c>
      <c r="X3608" t="s">
        <v>27606</v>
      </c>
      <c r="Z3608">
        <v>43440585</v>
      </c>
      <c r="AB3608" t="s">
        <v>27605</v>
      </c>
      <c r="AD3608" t="s">
        <v>27606</v>
      </c>
      <c r="AF3608" t="s">
        <v>27607</v>
      </c>
      <c r="AG3608" t="s">
        <v>27608</v>
      </c>
      <c r="AI3608" t="s">
        <v>27609</v>
      </c>
      <c r="AM3608" t="s">
        <v>4351</v>
      </c>
      <c r="AN3608" t="s">
        <v>2046</v>
      </c>
      <c r="AO3608" t="s">
        <v>27610</v>
      </c>
      <c r="AP3608" t="s">
        <v>7024</v>
      </c>
      <c r="AT3608" s="184"/>
      <c r="AW3608" s="184"/>
      <c r="AZ3608" s="184"/>
    </row>
    <row r="3609" spans="1:68">
      <c r="A3609">
        <v>43452978</v>
      </c>
      <c r="B3609">
        <v>43452978</v>
      </c>
      <c r="C3609" t="s">
        <v>7018</v>
      </c>
      <c r="D3609" t="s">
        <v>595</v>
      </c>
      <c r="E3609" s="184">
        <v>44419</v>
      </c>
      <c r="G3609" s="184"/>
      <c r="I3609" s="184"/>
      <c r="K3609" s="184"/>
      <c r="M3609" s="184"/>
      <c r="O3609" s="184"/>
      <c r="P3609" t="s">
        <v>7045</v>
      </c>
      <c r="Q3609" t="s">
        <v>7030</v>
      </c>
      <c r="R3609" s="184">
        <v>21794</v>
      </c>
      <c r="S3609">
        <v>64</v>
      </c>
      <c r="V3609" t="s">
        <v>2733</v>
      </c>
      <c r="X3609" t="s">
        <v>27613</v>
      </c>
      <c r="AF3609" t="s">
        <v>27614</v>
      </c>
      <c r="AG3609" t="s">
        <v>2733</v>
      </c>
      <c r="AI3609" t="s">
        <v>27615</v>
      </c>
      <c r="AM3609" t="s">
        <v>3437</v>
      </c>
      <c r="AN3609" t="s">
        <v>2089</v>
      </c>
      <c r="AO3609" t="s">
        <v>27616</v>
      </c>
      <c r="AP3609" t="s">
        <v>7024</v>
      </c>
      <c r="AQ3609" t="s">
        <v>27617</v>
      </c>
      <c r="AR3609" t="s">
        <v>27618</v>
      </c>
      <c r="AT3609" s="184">
        <v>39517</v>
      </c>
      <c r="AU3609" t="s">
        <v>27619</v>
      </c>
      <c r="AV3609">
        <v>25</v>
      </c>
      <c r="AW3609" s="184">
        <v>45418</v>
      </c>
      <c r="AX3609" t="s">
        <v>7422</v>
      </c>
      <c r="AY3609">
        <v>5</v>
      </c>
      <c r="AZ3609" s="184">
        <v>43004</v>
      </c>
      <c r="BA3609" t="s">
        <v>27620</v>
      </c>
      <c r="BB3609">
        <v>25</v>
      </c>
      <c r="BC3609">
        <v>53</v>
      </c>
      <c r="BD3609">
        <v>455</v>
      </c>
      <c r="BE3609">
        <v>2008</v>
      </c>
      <c r="BF3609">
        <v>77</v>
      </c>
      <c r="BG3609">
        <v>25</v>
      </c>
      <c r="BH3609">
        <v>135</v>
      </c>
      <c r="BI3609">
        <v>9</v>
      </c>
      <c r="BJ3609">
        <v>17</v>
      </c>
      <c r="BK3609">
        <v>8</v>
      </c>
      <c r="BP3609" s="184"/>
    </row>
    <row r="3610" spans="1:68">
      <c r="A3610">
        <v>43454370</v>
      </c>
      <c r="B3610">
        <v>43454370</v>
      </c>
      <c r="C3610" t="s">
        <v>7018</v>
      </c>
      <c r="D3610" t="s">
        <v>595</v>
      </c>
      <c r="E3610" s="184">
        <v>43861</v>
      </c>
      <c r="G3610" s="184"/>
      <c r="I3610" s="184"/>
      <c r="K3610" s="184"/>
      <c r="M3610" s="184"/>
      <c r="O3610" s="184"/>
      <c r="P3610" t="s">
        <v>7045</v>
      </c>
      <c r="Q3610" t="s">
        <v>7020</v>
      </c>
      <c r="R3610" s="184">
        <v>13696</v>
      </c>
      <c r="S3610">
        <v>86</v>
      </c>
      <c r="U3610" t="s">
        <v>7031</v>
      </c>
      <c r="V3610" t="s">
        <v>2541</v>
      </c>
      <c r="W3610" t="s">
        <v>2049</v>
      </c>
      <c r="X3610" t="s">
        <v>4606</v>
      </c>
      <c r="AF3610" t="s">
        <v>27621</v>
      </c>
      <c r="AG3610" t="s">
        <v>2541</v>
      </c>
      <c r="AI3610" t="s">
        <v>27622</v>
      </c>
      <c r="AM3610" t="s">
        <v>3004</v>
      </c>
      <c r="AN3610" t="s">
        <v>2112</v>
      </c>
      <c r="AO3610" t="s">
        <v>27623</v>
      </c>
      <c r="AP3610" t="s">
        <v>7024</v>
      </c>
      <c r="AQ3610" t="s">
        <v>27624</v>
      </c>
      <c r="AT3610" s="184">
        <v>39517</v>
      </c>
      <c r="AU3610" t="s">
        <v>27612</v>
      </c>
      <c r="AV3610">
        <v>25</v>
      </c>
      <c r="AW3610" s="184">
        <v>44903</v>
      </c>
      <c r="AX3610" t="s">
        <v>11161</v>
      </c>
      <c r="AY3610">
        <v>100</v>
      </c>
      <c r="AZ3610" s="184">
        <v>44903</v>
      </c>
      <c r="BA3610" t="s">
        <v>11161</v>
      </c>
      <c r="BB3610">
        <v>100</v>
      </c>
      <c r="BC3610">
        <v>77</v>
      </c>
      <c r="BD3610">
        <v>1140</v>
      </c>
      <c r="BE3610">
        <v>2008</v>
      </c>
      <c r="BF3610">
        <v>51</v>
      </c>
      <c r="BG3610">
        <v>1</v>
      </c>
      <c r="BH3610">
        <v>100</v>
      </c>
      <c r="BI3610">
        <v>13</v>
      </c>
      <c r="BJ3610">
        <v>17</v>
      </c>
      <c r="BK3610">
        <v>11</v>
      </c>
    </row>
    <row r="3611" spans="1:68">
      <c r="A3611">
        <v>43608579</v>
      </c>
      <c r="B3611">
        <v>43608579</v>
      </c>
      <c r="C3611" t="s">
        <v>7018</v>
      </c>
      <c r="E3611" s="184"/>
      <c r="G3611" s="184"/>
      <c r="I3611" s="184"/>
      <c r="J3611" t="s">
        <v>595</v>
      </c>
      <c r="K3611" s="184">
        <v>39524</v>
      </c>
      <c r="O3611" s="184"/>
      <c r="Q3611" t="s">
        <v>7262</v>
      </c>
      <c r="R3611" s="184">
        <v>20506</v>
      </c>
      <c r="S3611">
        <v>68</v>
      </c>
      <c r="U3611" t="s">
        <v>7031</v>
      </c>
      <c r="V3611" t="s">
        <v>2863</v>
      </c>
      <c r="W3611" t="s">
        <v>15524</v>
      </c>
      <c r="X3611" t="s">
        <v>5841</v>
      </c>
      <c r="Y3611" t="s">
        <v>18166</v>
      </c>
      <c r="AF3611" t="s">
        <v>6778</v>
      </c>
      <c r="AG3611" t="s">
        <v>2863</v>
      </c>
      <c r="AI3611" t="s">
        <v>27625</v>
      </c>
      <c r="AM3611" t="s">
        <v>5805</v>
      </c>
      <c r="AN3611" t="s">
        <v>2106</v>
      </c>
      <c r="AO3611" t="s">
        <v>27626</v>
      </c>
      <c r="AP3611" t="s">
        <v>7024</v>
      </c>
      <c r="AT3611" s="184"/>
      <c r="AW3611" s="184"/>
      <c r="AZ3611" s="184"/>
    </row>
    <row r="3612" spans="1:68">
      <c r="A3612">
        <v>43635374</v>
      </c>
      <c r="B3612">
        <v>43635374</v>
      </c>
      <c r="C3612" t="s">
        <v>7018</v>
      </c>
      <c r="E3612" s="184"/>
      <c r="G3612" s="184"/>
      <c r="I3612" s="184"/>
      <c r="J3612" t="s">
        <v>595</v>
      </c>
      <c r="K3612" s="184">
        <v>43801</v>
      </c>
      <c r="P3612" t="s">
        <v>7045</v>
      </c>
      <c r="Q3612" t="s">
        <v>7194</v>
      </c>
      <c r="R3612" s="184">
        <v>18780</v>
      </c>
      <c r="S3612">
        <v>72</v>
      </c>
      <c r="U3612" t="s">
        <v>7031</v>
      </c>
      <c r="V3612" t="s">
        <v>3355</v>
      </c>
      <c r="W3612" t="s">
        <v>3830</v>
      </c>
      <c r="X3612" t="s">
        <v>4319</v>
      </c>
      <c r="AF3612" t="s">
        <v>6170</v>
      </c>
      <c r="AG3612" t="s">
        <v>3355</v>
      </c>
      <c r="AI3612" t="s">
        <v>27627</v>
      </c>
      <c r="AM3612" t="s">
        <v>14262</v>
      </c>
      <c r="AN3612" t="s">
        <v>2046</v>
      </c>
      <c r="AO3612" t="s">
        <v>27628</v>
      </c>
      <c r="AP3612" t="s">
        <v>7024</v>
      </c>
      <c r="AQ3612" t="s">
        <v>27629</v>
      </c>
      <c r="AT3612" s="184">
        <v>39520</v>
      </c>
      <c r="AU3612" t="s">
        <v>27630</v>
      </c>
      <c r="AV3612">
        <v>50</v>
      </c>
      <c r="AW3612" s="184">
        <v>44615</v>
      </c>
      <c r="AX3612" t="s">
        <v>27631</v>
      </c>
      <c r="AY3612">
        <v>250</v>
      </c>
      <c r="AZ3612" s="184">
        <v>42423</v>
      </c>
      <c r="BA3612" t="s">
        <v>27632</v>
      </c>
      <c r="BB3612">
        <v>300</v>
      </c>
      <c r="BC3612">
        <v>83</v>
      </c>
      <c r="BD3612">
        <v>4030</v>
      </c>
      <c r="BE3612">
        <v>2008</v>
      </c>
      <c r="BF3612">
        <v>25</v>
      </c>
      <c r="BI3612">
        <v>14</v>
      </c>
      <c r="BJ3612">
        <v>17</v>
      </c>
      <c r="BK3612">
        <v>12</v>
      </c>
    </row>
    <row r="3613" spans="1:68">
      <c r="A3613">
        <v>43687979</v>
      </c>
      <c r="B3613">
        <v>43687979</v>
      </c>
      <c r="C3613" t="s">
        <v>7018</v>
      </c>
      <c r="D3613" t="s">
        <v>595</v>
      </c>
      <c r="E3613" s="184">
        <v>44455</v>
      </c>
      <c r="G3613" s="184"/>
      <c r="I3613" s="184"/>
      <c r="K3613" s="184"/>
      <c r="O3613" s="184"/>
      <c r="P3613" t="s">
        <v>7019</v>
      </c>
      <c r="Q3613" t="s">
        <v>7262</v>
      </c>
      <c r="R3613" s="184">
        <v>18384</v>
      </c>
      <c r="S3613">
        <v>74</v>
      </c>
      <c r="U3613" t="s">
        <v>7076</v>
      </c>
      <c r="V3613" t="s">
        <v>7446</v>
      </c>
      <c r="X3613" t="s">
        <v>27633</v>
      </c>
      <c r="AF3613" t="s">
        <v>27634</v>
      </c>
      <c r="AG3613" t="s">
        <v>7446</v>
      </c>
      <c r="AI3613" t="s">
        <v>27635</v>
      </c>
      <c r="AM3613" t="s">
        <v>5415</v>
      </c>
      <c r="AN3613" t="s">
        <v>2219</v>
      </c>
      <c r="AO3613" t="s">
        <v>27636</v>
      </c>
      <c r="AP3613" t="s">
        <v>7024</v>
      </c>
      <c r="AQ3613" t="s">
        <v>27637</v>
      </c>
      <c r="AR3613" t="s">
        <v>27638</v>
      </c>
      <c r="AT3613" s="184">
        <v>39520</v>
      </c>
      <c r="AU3613" t="s">
        <v>21529</v>
      </c>
      <c r="AV3613">
        <v>15</v>
      </c>
      <c r="AW3613" s="184">
        <v>44509</v>
      </c>
      <c r="AX3613" t="s">
        <v>27639</v>
      </c>
      <c r="AY3613">
        <v>60</v>
      </c>
      <c r="AZ3613" s="184">
        <v>44509</v>
      </c>
      <c r="BA3613" t="s">
        <v>27639</v>
      </c>
      <c r="BB3613">
        <v>60</v>
      </c>
      <c r="BC3613">
        <v>53</v>
      </c>
      <c r="BD3613">
        <v>260</v>
      </c>
      <c r="BE3613">
        <v>2008</v>
      </c>
      <c r="BF3613">
        <v>9</v>
      </c>
      <c r="BI3613">
        <v>9</v>
      </c>
      <c r="BJ3613">
        <v>17</v>
      </c>
      <c r="BK3613">
        <v>4</v>
      </c>
    </row>
    <row r="3614" spans="1:68">
      <c r="A3614">
        <v>43700376</v>
      </c>
      <c r="B3614">
        <v>43700376</v>
      </c>
      <c r="C3614" t="s">
        <v>7018</v>
      </c>
      <c r="E3614" s="184"/>
      <c r="G3614" s="184"/>
      <c r="I3614" s="184"/>
      <c r="J3614" t="s">
        <v>595</v>
      </c>
      <c r="K3614" s="184">
        <v>39526</v>
      </c>
      <c r="O3614" s="184"/>
      <c r="P3614" t="s">
        <v>8550</v>
      </c>
      <c r="Q3614" t="s">
        <v>7262</v>
      </c>
      <c r="R3614" s="184">
        <v>24077</v>
      </c>
      <c r="S3614">
        <v>58</v>
      </c>
      <c r="U3614" t="s">
        <v>7031</v>
      </c>
      <c r="V3614" t="s">
        <v>3103</v>
      </c>
      <c r="X3614" t="s">
        <v>27640</v>
      </c>
      <c r="Y3614" t="s">
        <v>7941</v>
      </c>
      <c r="Z3614">
        <v>100124989</v>
      </c>
      <c r="AA3614" t="s">
        <v>7130</v>
      </c>
      <c r="AB3614" t="s">
        <v>11427</v>
      </c>
      <c r="AD3614" t="s">
        <v>27640</v>
      </c>
      <c r="AF3614" t="s">
        <v>27641</v>
      </c>
      <c r="AG3614" t="s">
        <v>27642</v>
      </c>
      <c r="AI3614" t="s">
        <v>27643</v>
      </c>
      <c r="AM3614" t="s">
        <v>27644</v>
      </c>
      <c r="AN3614" t="s">
        <v>2106</v>
      </c>
      <c r="AO3614" t="s">
        <v>27645</v>
      </c>
      <c r="AP3614" t="s">
        <v>7024</v>
      </c>
      <c r="AT3614" s="184"/>
      <c r="AW3614" s="184"/>
      <c r="AZ3614" s="184"/>
      <c r="BP3614" s="184"/>
    </row>
    <row r="3615" spans="1:68">
      <c r="A3615">
        <v>100124989</v>
      </c>
      <c r="B3615">
        <v>43700376</v>
      </c>
      <c r="C3615" t="s">
        <v>7018</v>
      </c>
      <c r="E3615" s="184"/>
      <c r="G3615" s="184"/>
      <c r="I3615" s="184"/>
      <c r="J3615" t="s">
        <v>595</v>
      </c>
      <c r="K3615" s="184">
        <v>39526</v>
      </c>
      <c r="M3615" s="184"/>
      <c r="O3615" s="184"/>
      <c r="P3615" t="s">
        <v>8550</v>
      </c>
      <c r="Q3615" t="s">
        <v>7262</v>
      </c>
      <c r="R3615" s="184">
        <v>18323</v>
      </c>
      <c r="S3615">
        <v>74</v>
      </c>
      <c r="U3615" t="s">
        <v>7130</v>
      </c>
      <c r="V3615" t="s">
        <v>11427</v>
      </c>
      <c r="X3615" t="s">
        <v>27640</v>
      </c>
      <c r="Z3615">
        <v>43700376</v>
      </c>
      <c r="AA3615" t="s">
        <v>7031</v>
      </c>
      <c r="AB3615" t="s">
        <v>3103</v>
      </c>
      <c r="AD3615" t="s">
        <v>27640</v>
      </c>
      <c r="AE3615" t="s">
        <v>7941</v>
      </c>
      <c r="AF3615" t="s">
        <v>27641</v>
      </c>
      <c r="AG3615" t="s">
        <v>27642</v>
      </c>
      <c r="AI3615" t="s">
        <v>27643</v>
      </c>
      <c r="AM3615" t="s">
        <v>27644</v>
      </c>
      <c r="AN3615" t="s">
        <v>2106</v>
      </c>
      <c r="AO3615" t="s">
        <v>27645</v>
      </c>
      <c r="AP3615" t="s">
        <v>7024</v>
      </c>
      <c r="AT3615" s="184"/>
      <c r="AW3615" s="184"/>
      <c r="AZ3615" s="184"/>
      <c r="BP3615" s="184"/>
    </row>
    <row r="3616" spans="1:68">
      <c r="A3616">
        <v>43802776</v>
      </c>
      <c r="B3616">
        <v>43802776</v>
      </c>
      <c r="C3616" t="s">
        <v>7018</v>
      </c>
      <c r="D3616" t="s">
        <v>595</v>
      </c>
      <c r="E3616" s="184">
        <v>44168</v>
      </c>
      <c r="G3616" s="184"/>
      <c r="I3616" s="184"/>
      <c r="K3616" s="184"/>
      <c r="O3616" s="184"/>
      <c r="P3616" t="s">
        <v>7045</v>
      </c>
      <c r="Q3616" t="s">
        <v>7383</v>
      </c>
      <c r="R3616" s="184">
        <v>14305</v>
      </c>
      <c r="S3616">
        <v>85</v>
      </c>
      <c r="V3616" t="s">
        <v>4646</v>
      </c>
      <c r="X3616" t="s">
        <v>3539</v>
      </c>
      <c r="AF3616" t="s">
        <v>27646</v>
      </c>
      <c r="AG3616" t="s">
        <v>4646</v>
      </c>
      <c r="AI3616" t="s">
        <v>27647</v>
      </c>
      <c r="AM3616" t="s">
        <v>3248</v>
      </c>
      <c r="AN3616" t="s">
        <v>2274</v>
      </c>
      <c r="AO3616" t="s">
        <v>27648</v>
      </c>
      <c r="AP3616" t="s">
        <v>7024</v>
      </c>
      <c r="AT3616" s="184">
        <v>39524</v>
      </c>
      <c r="AU3616" t="s">
        <v>27649</v>
      </c>
      <c r="AV3616">
        <v>25</v>
      </c>
      <c r="AW3616" s="184">
        <v>45378</v>
      </c>
      <c r="AX3616" t="s">
        <v>9421</v>
      </c>
      <c r="AY3616">
        <v>25</v>
      </c>
      <c r="AZ3616" s="184">
        <v>44376</v>
      </c>
      <c r="BA3616" t="s">
        <v>27650</v>
      </c>
      <c r="BB3616">
        <v>60</v>
      </c>
      <c r="BC3616">
        <v>71</v>
      </c>
      <c r="BD3616">
        <v>435</v>
      </c>
      <c r="BE3616">
        <v>2008</v>
      </c>
      <c r="BF3616">
        <v>15</v>
      </c>
      <c r="BG3616">
        <v>1</v>
      </c>
      <c r="BH3616">
        <v>25</v>
      </c>
      <c r="BI3616">
        <v>12</v>
      </c>
      <c r="BJ3616">
        <v>17</v>
      </c>
      <c r="BK3616">
        <v>8</v>
      </c>
      <c r="BP3616" s="184"/>
    </row>
    <row r="3617" spans="1:68">
      <c r="A3617">
        <v>44020170</v>
      </c>
      <c r="B3617">
        <v>44020170</v>
      </c>
      <c r="C3617" t="s">
        <v>7018</v>
      </c>
      <c r="D3617" t="s">
        <v>595</v>
      </c>
      <c r="E3617" s="184">
        <v>44168</v>
      </c>
      <c r="G3617" s="184"/>
      <c r="H3617" t="s">
        <v>595</v>
      </c>
      <c r="I3617" s="184">
        <v>44168</v>
      </c>
      <c r="K3617" s="184"/>
      <c r="M3617" s="184"/>
      <c r="O3617" s="184"/>
      <c r="P3617" t="s">
        <v>7045</v>
      </c>
      <c r="Q3617" t="s">
        <v>7160</v>
      </c>
      <c r="R3617" s="184">
        <v>13290</v>
      </c>
      <c r="S3617">
        <v>87</v>
      </c>
      <c r="V3617" t="s">
        <v>3080</v>
      </c>
      <c r="X3617" t="s">
        <v>21466</v>
      </c>
      <c r="AF3617" t="s">
        <v>27651</v>
      </c>
      <c r="AG3617" t="s">
        <v>3080</v>
      </c>
      <c r="AI3617" t="s">
        <v>27652</v>
      </c>
      <c r="AM3617" t="s">
        <v>2869</v>
      </c>
      <c r="AN3617" t="s">
        <v>2176</v>
      </c>
      <c r="AO3617" t="s">
        <v>27653</v>
      </c>
      <c r="AP3617" t="s">
        <v>7024</v>
      </c>
      <c r="AQ3617" t="s">
        <v>27654</v>
      </c>
      <c r="AT3617" s="184">
        <v>39527</v>
      </c>
      <c r="AU3617" t="s">
        <v>27655</v>
      </c>
      <c r="AV3617">
        <v>15</v>
      </c>
      <c r="AW3617" s="184">
        <v>44273</v>
      </c>
      <c r="AX3617" t="s">
        <v>27656</v>
      </c>
      <c r="AY3617">
        <v>25</v>
      </c>
      <c r="AZ3617" s="184">
        <v>42962</v>
      </c>
      <c r="BA3617" t="s">
        <v>10234</v>
      </c>
      <c r="BB3617">
        <v>60</v>
      </c>
      <c r="BC3617">
        <v>59</v>
      </c>
      <c r="BD3617">
        <v>300</v>
      </c>
      <c r="BE3617">
        <v>2008</v>
      </c>
      <c r="BF3617">
        <v>11</v>
      </c>
      <c r="BI3617">
        <v>10</v>
      </c>
      <c r="BJ3617">
        <v>17</v>
      </c>
      <c r="BK3617">
        <v>5</v>
      </c>
    </row>
    <row r="3618" spans="1:68">
      <c r="A3618">
        <v>44301174</v>
      </c>
      <c r="B3618">
        <v>44301174</v>
      </c>
      <c r="C3618" t="s">
        <v>7018</v>
      </c>
      <c r="D3618" t="s">
        <v>595</v>
      </c>
      <c r="E3618" s="184">
        <v>44328</v>
      </c>
      <c r="G3618" s="184"/>
      <c r="I3618" s="184"/>
      <c r="K3618" s="184"/>
      <c r="P3618" t="s">
        <v>7045</v>
      </c>
      <c r="Q3618" t="s">
        <v>7383</v>
      </c>
      <c r="R3618" s="184">
        <v>15400</v>
      </c>
      <c r="S3618">
        <v>82</v>
      </c>
      <c r="U3618" t="s">
        <v>7031</v>
      </c>
      <c r="V3618" t="s">
        <v>2863</v>
      </c>
      <c r="X3618" t="s">
        <v>27657</v>
      </c>
      <c r="AF3618" t="s">
        <v>27658</v>
      </c>
      <c r="AG3618" t="s">
        <v>2863</v>
      </c>
      <c r="AI3618" t="s">
        <v>27659</v>
      </c>
      <c r="AM3618" t="s">
        <v>24766</v>
      </c>
      <c r="AN3618" t="s">
        <v>2059</v>
      </c>
      <c r="AO3618" t="s">
        <v>27660</v>
      </c>
      <c r="AP3618" t="s">
        <v>7024</v>
      </c>
      <c r="AQ3618" t="s">
        <v>27661</v>
      </c>
      <c r="AR3618" t="s">
        <v>27662</v>
      </c>
      <c r="AT3618" s="184">
        <v>39534</v>
      </c>
      <c r="AU3618" t="s">
        <v>27663</v>
      </c>
      <c r="AV3618">
        <v>25</v>
      </c>
      <c r="AW3618" s="184">
        <v>45411</v>
      </c>
      <c r="AX3618" t="s">
        <v>7414</v>
      </c>
      <c r="AY3618">
        <v>35</v>
      </c>
      <c r="AZ3618" s="184">
        <v>40273</v>
      </c>
      <c r="BA3618" t="s">
        <v>27664</v>
      </c>
      <c r="BB3618">
        <v>115</v>
      </c>
      <c r="BC3618">
        <v>100</v>
      </c>
      <c r="BD3618">
        <v>5920</v>
      </c>
      <c r="BE3618">
        <v>2008</v>
      </c>
      <c r="BF3618">
        <v>183</v>
      </c>
      <c r="BG3618">
        <v>24</v>
      </c>
      <c r="BH3618">
        <v>840</v>
      </c>
      <c r="BI3618">
        <v>17</v>
      </c>
      <c r="BJ3618">
        <v>17</v>
      </c>
      <c r="BK3618">
        <v>17</v>
      </c>
    </row>
    <row r="3619" spans="1:68">
      <c r="A3619">
        <v>44686970</v>
      </c>
      <c r="B3619">
        <v>44686970</v>
      </c>
      <c r="C3619" t="s">
        <v>7018</v>
      </c>
      <c r="D3619" t="s">
        <v>595</v>
      </c>
      <c r="E3619" s="184">
        <v>44438</v>
      </c>
      <c r="G3619" s="184"/>
      <c r="I3619" s="184"/>
      <c r="K3619" s="184"/>
      <c r="P3619" t="s">
        <v>7019</v>
      </c>
      <c r="Q3619" t="s">
        <v>7383</v>
      </c>
      <c r="R3619" s="184">
        <v>21002</v>
      </c>
      <c r="S3619">
        <v>66</v>
      </c>
      <c r="V3619" t="s">
        <v>2518</v>
      </c>
      <c r="X3619" t="s">
        <v>3852</v>
      </c>
      <c r="AF3619" t="s">
        <v>27665</v>
      </c>
      <c r="AG3619" t="s">
        <v>2518</v>
      </c>
      <c r="AI3619" t="s">
        <v>27666</v>
      </c>
      <c r="AM3619" t="s">
        <v>27667</v>
      </c>
      <c r="AN3619" t="s">
        <v>2185</v>
      </c>
      <c r="AO3619" t="s">
        <v>27668</v>
      </c>
      <c r="AP3619" t="s">
        <v>7024</v>
      </c>
      <c r="AT3619" s="184">
        <v>39549</v>
      </c>
      <c r="AU3619" t="s">
        <v>27669</v>
      </c>
      <c r="AV3619">
        <v>20</v>
      </c>
      <c r="AW3619" s="184">
        <v>43732</v>
      </c>
      <c r="AX3619" t="s">
        <v>27670</v>
      </c>
      <c r="AY3619">
        <v>60</v>
      </c>
      <c r="AZ3619" s="184">
        <v>43732</v>
      </c>
      <c r="BA3619" t="s">
        <v>27670</v>
      </c>
      <c r="BB3619">
        <v>60</v>
      </c>
      <c r="BC3619">
        <v>42</v>
      </c>
      <c r="BD3619">
        <v>245</v>
      </c>
      <c r="BE3619">
        <v>2008</v>
      </c>
      <c r="BF3619">
        <v>9</v>
      </c>
      <c r="BI3619">
        <v>7</v>
      </c>
      <c r="BJ3619">
        <v>17</v>
      </c>
      <c r="BK3619">
        <v>6</v>
      </c>
      <c r="BP3619" s="184"/>
    </row>
    <row r="3620" spans="1:68">
      <c r="A3620">
        <v>44705275</v>
      </c>
      <c r="B3620">
        <v>44705275</v>
      </c>
      <c r="C3620" t="s">
        <v>7018</v>
      </c>
      <c r="E3620" s="184"/>
      <c r="F3620" t="s">
        <v>595</v>
      </c>
      <c r="G3620" s="184">
        <v>45180</v>
      </c>
      <c r="K3620" s="184"/>
      <c r="P3620" t="s">
        <v>7045</v>
      </c>
      <c r="Q3620" t="s">
        <v>7030</v>
      </c>
      <c r="R3620" s="184">
        <v>23354</v>
      </c>
      <c r="S3620">
        <v>60</v>
      </c>
      <c r="V3620" t="s">
        <v>20521</v>
      </c>
      <c r="X3620" t="s">
        <v>3094</v>
      </c>
      <c r="AF3620" t="s">
        <v>27671</v>
      </c>
      <c r="AG3620" t="s">
        <v>20521</v>
      </c>
      <c r="AI3620" t="s">
        <v>27672</v>
      </c>
      <c r="AM3620" t="s">
        <v>3161</v>
      </c>
      <c r="AN3620" t="s">
        <v>2094</v>
      </c>
      <c r="AO3620" t="s">
        <v>27673</v>
      </c>
      <c r="AP3620" t="s">
        <v>7024</v>
      </c>
      <c r="AQ3620" t="s">
        <v>27674</v>
      </c>
      <c r="AT3620" s="184">
        <v>39552</v>
      </c>
      <c r="AU3620" t="s">
        <v>27675</v>
      </c>
      <c r="AV3620">
        <v>10</v>
      </c>
      <c r="AW3620" s="184">
        <v>42997</v>
      </c>
      <c r="AX3620" t="s">
        <v>27676</v>
      </c>
      <c r="AY3620">
        <v>15</v>
      </c>
      <c r="AZ3620" s="184">
        <v>40337</v>
      </c>
      <c r="BA3620" t="s">
        <v>27677</v>
      </c>
      <c r="BB3620">
        <v>50</v>
      </c>
      <c r="BC3620">
        <v>48</v>
      </c>
      <c r="BD3620">
        <v>155</v>
      </c>
      <c r="BE3620">
        <v>2008</v>
      </c>
      <c r="BF3620">
        <v>8</v>
      </c>
      <c r="BI3620">
        <v>8</v>
      </c>
      <c r="BJ3620">
        <v>17</v>
      </c>
      <c r="BK3620">
        <v>5</v>
      </c>
      <c r="BP3620" s="184"/>
    </row>
    <row r="3621" spans="1:68">
      <c r="A3621">
        <v>44812378</v>
      </c>
      <c r="B3621">
        <v>44812378</v>
      </c>
      <c r="C3621" t="s">
        <v>7018</v>
      </c>
      <c r="D3621" t="s">
        <v>595</v>
      </c>
      <c r="E3621" s="184">
        <v>44455</v>
      </c>
      <c r="G3621" s="184"/>
      <c r="I3621" s="184"/>
      <c r="K3621" s="184"/>
      <c r="P3621" t="s">
        <v>7029</v>
      </c>
      <c r="Q3621" t="s">
        <v>7030</v>
      </c>
      <c r="R3621" s="184">
        <v>11689</v>
      </c>
      <c r="S3621">
        <v>92</v>
      </c>
      <c r="V3621" t="s">
        <v>3468</v>
      </c>
      <c r="W3621" t="s">
        <v>3226</v>
      </c>
      <c r="X3621" t="s">
        <v>27678</v>
      </c>
      <c r="AF3621" t="s">
        <v>27679</v>
      </c>
      <c r="AG3621" t="s">
        <v>3468</v>
      </c>
      <c r="AI3621" t="s">
        <v>27680</v>
      </c>
      <c r="AM3621" t="s">
        <v>2637</v>
      </c>
      <c r="AN3621" t="s">
        <v>2638</v>
      </c>
      <c r="AO3621" t="s">
        <v>27681</v>
      </c>
      <c r="AP3621" t="s">
        <v>7024</v>
      </c>
      <c r="AT3621" s="184">
        <v>39553</v>
      </c>
      <c r="AU3621" t="s">
        <v>27669</v>
      </c>
      <c r="AV3621">
        <v>50</v>
      </c>
      <c r="AW3621" s="184">
        <v>44041</v>
      </c>
      <c r="AX3621" t="s">
        <v>9793</v>
      </c>
      <c r="AY3621">
        <v>1500</v>
      </c>
      <c r="AZ3621" s="184">
        <v>42080</v>
      </c>
      <c r="BA3621" t="s">
        <v>27682</v>
      </c>
      <c r="BB3621">
        <v>2500</v>
      </c>
      <c r="BC3621">
        <v>71</v>
      </c>
      <c r="BD3621">
        <v>14450</v>
      </c>
      <c r="BE3621">
        <v>2008</v>
      </c>
      <c r="BF3621">
        <v>14</v>
      </c>
      <c r="BI3621">
        <v>12</v>
      </c>
      <c r="BJ3621">
        <v>17</v>
      </c>
      <c r="BK3621">
        <v>11</v>
      </c>
      <c r="BP3621" s="184"/>
    </row>
    <row r="3622" spans="1:68">
      <c r="A3622">
        <v>44840973</v>
      </c>
      <c r="B3622">
        <v>44840973</v>
      </c>
      <c r="C3622" t="s">
        <v>7018</v>
      </c>
      <c r="D3622" t="s">
        <v>595</v>
      </c>
      <c r="E3622" s="184">
        <v>43861</v>
      </c>
      <c r="G3622" s="184"/>
      <c r="I3622" s="184"/>
      <c r="K3622" s="184"/>
      <c r="O3622" s="184"/>
      <c r="P3622" t="s">
        <v>7045</v>
      </c>
      <c r="Q3622" t="s">
        <v>7383</v>
      </c>
      <c r="R3622" s="184"/>
      <c r="U3622" t="s">
        <v>7031</v>
      </c>
      <c r="V3622" t="s">
        <v>2851</v>
      </c>
      <c r="W3622" t="s">
        <v>2049</v>
      </c>
      <c r="X3622" t="s">
        <v>4607</v>
      </c>
      <c r="AF3622" t="s">
        <v>27683</v>
      </c>
      <c r="AG3622" t="s">
        <v>2851</v>
      </c>
      <c r="AI3622" t="s">
        <v>27684</v>
      </c>
      <c r="AM3622" t="s">
        <v>3529</v>
      </c>
      <c r="AN3622" t="s">
        <v>2072</v>
      </c>
      <c r="AO3622" t="s">
        <v>27685</v>
      </c>
      <c r="AP3622" t="s">
        <v>7024</v>
      </c>
      <c r="AQ3622" t="s">
        <v>27686</v>
      </c>
      <c r="AT3622" s="184">
        <v>39552</v>
      </c>
      <c r="AU3622" t="s">
        <v>27687</v>
      </c>
      <c r="AV3622">
        <v>25</v>
      </c>
      <c r="AW3622" s="184">
        <v>45315</v>
      </c>
      <c r="AX3622" t="s">
        <v>9445</v>
      </c>
      <c r="AY3622">
        <v>85</v>
      </c>
      <c r="AZ3622" s="184">
        <v>45315</v>
      </c>
      <c r="BA3622" t="s">
        <v>9445</v>
      </c>
      <c r="BB3622">
        <v>85</v>
      </c>
      <c r="BC3622">
        <v>95</v>
      </c>
      <c r="BD3622">
        <v>915</v>
      </c>
      <c r="BE3622">
        <v>2008</v>
      </c>
      <c r="BF3622">
        <v>25</v>
      </c>
      <c r="BG3622">
        <v>4</v>
      </c>
      <c r="BH3622">
        <v>250</v>
      </c>
      <c r="BI3622">
        <v>16</v>
      </c>
      <c r="BJ3622">
        <v>17</v>
      </c>
      <c r="BK3622">
        <v>10</v>
      </c>
      <c r="BN3622" t="s">
        <v>595</v>
      </c>
    </row>
    <row r="3623" spans="1:68">
      <c r="A3623">
        <v>44877975</v>
      </c>
      <c r="B3623">
        <v>44877975</v>
      </c>
      <c r="C3623" t="s">
        <v>7018</v>
      </c>
      <c r="E3623" s="184"/>
      <c r="G3623" s="184"/>
      <c r="I3623" s="184"/>
      <c r="J3623" t="s">
        <v>595</v>
      </c>
      <c r="K3623" s="184">
        <v>41088</v>
      </c>
      <c r="O3623" s="184"/>
      <c r="P3623" t="s">
        <v>7045</v>
      </c>
      <c r="Q3623" t="s">
        <v>7194</v>
      </c>
      <c r="R3623" s="184">
        <v>20090</v>
      </c>
      <c r="S3623">
        <v>69</v>
      </c>
      <c r="V3623" t="s">
        <v>4144</v>
      </c>
      <c r="X3623" t="s">
        <v>5716</v>
      </c>
      <c r="Z3623">
        <v>100125445</v>
      </c>
      <c r="AB3623" t="s">
        <v>3293</v>
      </c>
      <c r="AD3623" t="s">
        <v>5716</v>
      </c>
      <c r="AF3623" t="s">
        <v>6148</v>
      </c>
      <c r="AG3623" t="s">
        <v>27688</v>
      </c>
      <c r="AI3623" t="s">
        <v>27689</v>
      </c>
      <c r="AM3623" t="s">
        <v>27690</v>
      </c>
      <c r="AN3623" t="s">
        <v>2046</v>
      </c>
      <c r="AO3623" t="s">
        <v>27691</v>
      </c>
      <c r="AP3623" t="s">
        <v>7024</v>
      </c>
      <c r="AQ3623" t="s">
        <v>27692</v>
      </c>
      <c r="AR3623" t="s">
        <v>27693</v>
      </c>
      <c r="AT3623" s="184">
        <v>39555</v>
      </c>
      <c r="AU3623" t="s">
        <v>27694</v>
      </c>
      <c r="AV3623">
        <v>77</v>
      </c>
      <c r="AW3623" s="184">
        <v>43039</v>
      </c>
      <c r="AX3623" t="s">
        <v>27695</v>
      </c>
      <c r="AY3623">
        <v>20</v>
      </c>
      <c r="AZ3623" s="184">
        <v>41331</v>
      </c>
      <c r="BA3623" t="s">
        <v>27696</v>
      </c>
      <c r="BB3623">
        <v>1000</v>
      </c>
      <c r="BC3623">
        <v>42</v>
      </c>
      <c r="BD3623">
        <v>4057</v>
      </c>
      <c r="BE3623">
        <v>2008</v>
      </c>
      <c r="BF3623">
        <v>17</v>
      </c>
      <c r="BI3623">
        <v>7</v>
      </c>
      <c r="BJ3623">
        <v>17</v>
      </c>
      <c r="BK3623">
        <v>6</v>
      </c>
      <c r="BP3623" s="184"/>
    </row>
    <row r="3624" spans="1:68">
      <c r="A3624">
        <v>100125445</v>
      </c>
      <c r="B3624">
        <v>44877975</v>
      </c>
      <c r="C3624" t="s">
        <v>7018</v>
      </c>
      <c r="E3624" s="184"/>
      <c r="G3624" s="184"/>
      <c r="I3624" s="184"/>
      <c r="J3624" t="s">
        <v>595</v>
      </c>
      <c r="K3624" s="184">
        <v>41088</v>
      </c>
      <c r="O3624" s="184"/>
      <c r="P3624" t="s">
        <v>7045</v>
      </c>
      <c r="Q3624" t="s">
        <v>7194</v>
      </c>
      <c r="R3624" s="184"/>
      <c r="V3624" t="s">
        <v>3293</v>
      </c>
      <c r="X3624" t="s">
        <v>5716</v>
      </c>
      <c r="Z3624">
        <v>44877975</v>
      </c>
      <c r="AB3624" t="s">
        <v>4144</v>
      </c>
      <c r="AD3624" t="s">
        <v>5716</v>
      </c>
      <c r="AF3624" t="s">
        <v>6148</v>
      </c>
      <c r="AG3624" t="s">
        <v>27688</v>
      </c>
      <c r="AI3624" t="s">
        <v>27689</v>
      </c>
      <c r="AM3624" t="s">
        <v>27690</v>
      </c>
      <c r="AN3624" t="s">
        <v>2046</v>
      </c>
      <c r="AO3624" t="s">
        <v>27691</v>
      </c>
      <c r="AP3624" t="s">
        <v>7024</v>
      </c>
      <c r="AT3624" s="184"/>
      <c r="AW3624" s="184"/>
      <c r="AZ3624" s="184"/>
    </row>
    <row r="3625" spans="1:68">
      <c r="A3625">
        <v>45070448</v>
      </c>
      <c r="B3625">
        <v>45070448</v>
      </c>
      <c r="C3625" t="s">
        <v>7018</v>
      </c>
      <c r="E3625" s="184"/>
      <c r="G3625" s="184"/>
      <c r="I3625" s="184"/>
      <c r="J3625" t="s">
        <v>595</v>
      </c>
      <c r="K3625" s="184">
        <v>44167</v>
      </c>
      <c r="O3625" s="184"/>
      <c r="P3625" t="s">
        <v>7045</v>
      </c>
      <c r="Q3625" t="s">
        <v>7160</v>
      </c>
      <c r="R3625" s="184">
        <v>17446</v>
      </c>
      <c r="S3625">
        <v>76</v>
      </c>
      <c r="U3625" t="s">
        <v>7076</v>
      </c>
      <c r="V3625" t="s">
        <v>2602</v>
      </c>
      <c r="X3625" t="s">
        <v>5902</v>
      </c>
      <c r="AF3625" t="s">
        <v>27697</v>
      </c>
      <c r="AG3625" t="s">
        <v>2602</v>
      </c>
      <c r="AI3625" t="s">
        <v>27698</v>
      </c>
      <c r="AM3625" t="s">
        <v>2766</v>
      </c>
      <c r="AN3625" t="s">
        <v>2176</v>
      </c>
      <c r="AO3625" t="s">
        <v>27699</v>
      </c>
      <c r="AP3625" t="s">
        <v>7024</v>
      </c>
      <c r="AQ3625" t="s">
        <v>27700</v>
      </c>
      <c r="AT3625" s="184">
        <v>39560</v>
      </c>
      <c r="AU3625" t="s">
        <v>27701</v>
      </c>
      <c r="AV3625">
        <v>25</v>
      </c>
      <c r="AW3625" s="184">
        <v>45391</v>
      </c>
      <c r="AX3625" t="s">
        <v>7429</v>
      </c>
      <c r="AY3625">
        <v>10</v>
      </c>
      <c r="AZ3625" s="184">
        <v>40560</v>
      </c>
      <c r="BA3625" t="s">
        <v>24119</v>
      </c>
      <c r="BB3625">
        <v>60</v>
      </c>
      <c r="BC3625">
        <v>89</v>
      </c>
      <c r="BD3625">
        <v>1300</v>
      </c>
      <c r="BE3625">
        <v>2008</v>
      </c>
      <c r="BF3625">
        <v>119</v>
      </c>
      <c r="BG3625">
        <v>23</v>
      </c>
      <c r="BH3625">
        <v>230</v>
      </c>
      <c r="BI3625">
        <v>15</v>
      </c>
      <c r="BJ3625">
        <v>17</v>
      </c>
      <c r="BK3625">
        <v>11</v>
      </c>
    </row>
    <row r="3626" spans="1:68">
      <c r="A3626">
        <v>45170578</v>
      </c>
      <c r="B3626">
        <v>45170578</v>
      </c>
      <c r="C3626" t="s">
        <v>7018</v>
      </c>
      <c r="D3626" t="s">
        <v>595</v>
      </c>
      <c r="E3626" s="184">
        <v>45181</v>
      </c>
      <c r="G3626" s="184"/>
      <c r="I3626" s="184"/>
      <c r="K3626" s="184"/>
      <c r="P3626" t="s">
        <v>7045</v>
      </c>
      <c r="Q3626" t="s">
        <v>7374</v>
      </c>
      <c r="R3626" s="184">
        <v>25842</v>
      </c>
      <c r="S3626">
        <v>53</v>
      </c>
      <c r="V3626" t="s">
        <v>3922</v>
      </c>
      <c r="X3626" t="s">
        <v>27702</v>
      </c>
      <c r="AF3626" t="s">
        <v>27703</v>
      </c>
      <c r="AG3626" t="s">
        <v>3922</v>
      </c>
      <c r="AI3626" t="s">
        <v>27704</v>
      </c>
      <c r="AM3626" t="s">
        <v>27705</v>
      </c>
      <c r="AN3626" t="s">
        <v>2081</v>
      </c>
      <c r="AO3626" t="s">
        <v>27706</v>
      </c>
      <c r="AP3626" t="s">
        <v>7024</v>
      </c>
      <c r="AT3626" s="184">
        <v>39566</v>
      </c>
      <c r="AU3626" t="s">
        <v>27707</v>
      </c>
      <c r="AV3626">
        <v>25</v>
      </c>
      <c r="AW3626" s="184">
        <v>44959</v>
      </c>
      <c r="AX3626" t="s">
        <v>27708</v>
      </c>
      <c r="AY3626">
        <v>90</v>
      </c>
      <c r="AZ3626" s="184">
        <v>44959</v>
      </c>
      <c r="BA3626" t="s">
        <v>27708</v>
      </c>
      <c r="BB3626">
        <v>90</v>
      </c>
      <c r="BC3626">
        <v>42</v>
      </c>
      <c r="BD3626">
        <v>1005</v>
      </c>
      <c r="BE3626">
        <v>2008</v>
      </c>
      <c r="BF3626">
        <v>13</v>
      </c>
      <c r="BG3626">
        <v>1</v>
      </c>
      <c r="BH3626">
        <v>90</v>
      </c>
      <c r="BI3626">
        <v>7</v>
      </c>
      <c r="BJ3626">
        <v>17</v>
      </c>
      <c r="BK3626">
        <v>4</v>
      </c>
      <c r="BP3626" s="184"/>
    </row>
    <row r="3627" spans="1:68">
      <c r="A3627">
        <v>45195047</v>
      </c>
      <c r="B3627">
        <v>45195047</v>
      </c>
      <c r="C3627" t="s">
        <v>7018</v>
      </c>
      <c r="D3627" t="s">
        <v>595</v>
      </c>
      <c r="E3627" s="184">
        <v>45195</v>
      </c>
      <c r="G3627" s="184"/>
      <c r="I3627" s="184"/>
      <c r="K3627" s="184"/>
      <c r="M3627" s="184"/>
      <c r="O3627" s="184"/>
      <c r="P3627" t="s">
        <v>7045</v>
      </c>
      <c r="Q3627" t="s">
        <v>7030</v>
      </c>
      <c r="R3627" s="184">
        <v>18203</v>
      </c>
      <c r="S3627">
        <v>74</v>
      </c>
      <c r="V3627" t="s">
        <v>3072</v>
      </c>
      <c r="W3627" t="s">
        <v>7396</v>
      </c>
      <c r="X3627" t="s">
        <v>27709</v>
      </c>
      <c r="AF3627" t="s">
        <v>27710</v>
      </c>
      <c r="AG3627" t="s">
        <v>3072</v>
      </c>
      <c r="AI3627" t="s">
        <v>27711</v>
      </c>
      <c r="AM3627" t="s">
        <v>27712</v>
      </c>
      <c r="AN3627" t="s">
        <v>2638</v>
      </c>
      <c r="AO3627" t="s">
        <v>27713</v>
      </c>
      <c r="AP3627" t="s">
        <v>7024</v>
      </c>
      <c r="AQ3627" t="s">
        <v>27714</v>
      </c>
      <c r="AT3627" s="184">
        <v>39566</v>
      </c>
      <c r="AU3627" t="s">
        <v>27707</v>
      </c>
      <c r="AV3627">
        <v>20</v>
      </c>
      <c r="AW3627" s="184">
        <v>45371</v>
      </c>
      <c r="AX3627" t="s">
        <v>27715</v>
      </c>
      <c r="AY3627">
        <v>5</v>
      </c>
      <c r="AZ3627" s="184">
        <v>42276</v>
      </c>
      <c r="BA3627" t="s">
        <v>27716</v>
      </c>
      <c r="BB3627">
        <v>35</v>
      </c>
      <c r="BC3627">
        <v>100</v>
      </c>
      <c r="BD3627">
        <v>1301.05</v>
      </c>
      <c r="BE3627">
        <v>2008</v>
      </c>
      <c r="BF3627">
        <v>164</v>
      </c>
      <c r="BG3627">
        <v>22</v>
      </c>
      <c r="BH3627">
        <v>110</v>
      </c>
      <c r="BI3627">
        <v>17</v>
      </c>
      <c r="BJ3627">
        <v>17</v>
      </c>
      <c r="BK3627">
        <v>17</v>
      </c>
      <c r="BP3627" s="184"/>
    </row>
    <row r="3628" spans="1:68">
      <c r="A3628">
        <v>45245578</v>
      </c>
      <c r="B3628">
        <v>45245578</v>
      </c>
      <c r="C3628" t="s">
        <v>7018</v>
      </c>
      <c r="E3628" s="184"/>
      <c r="G3628" s="184"/>
      <c r="I3628" s="184"/>
      <c r="J3628" t="s">
        <v>595</v>
      </c>
      <c r="K3628" s="184">
        <v>40053</v>
      </c>
      <c r="M3628" s="184"/>
      <c r="O3628" s="184"/>
      <c r="P3628" t="s">
        <v>7045</v>
      </c>
      <c r="Q3628" t="s">
        <v>8385</v>
      </c>
      <c r="R3628" s="184"/>
      <c r="U3628" t="s">
        <v>7076</v>
      </c>
      <c r="V3628" t="s">
        <v>2938</v>
      </c>
      <c r="X3628" t="s">
        <v>27717</v>
      </c>
      <c r="Z3628">
        <v>100125603</v>
      </c>
      <c r="AA3628" t="s">
        <v>7031</v>
      </c>
      <c r="AB3628" t="s">
        <v>3311</v>
      </c>
      <c r="AD3628" t="s">
        <v>3706</v>
      </c>
      <c r="AF3628" t="s">
        <v>6732</v>
      </c>
      <c r="AG3628" t="s">
        <v>27718</v>
      </c>
      <c r="AI3628" t="s">
        <v>27719</v>
      </c>
      <c r="AM3628" t="s">
        <v>27720</v>
      </c>
      <c r="AN3628" t="s">
        <v>2181</v>
      </c>
      <c r="AO3628" t="s">
        <v>27721</v>
      </c>
      <c r="AP3628" t="s">
        <v>7024</v>
      </c>
      <c r="AQ3628" t="s">
        <v>27722</v>
      </c>
      <c r="AR3628" t="s">
        <v>27723</v>
      </c>
      <c r="AT3628" s="184">
        <v>39906</v>
      </c>
      <c r="AU3628" t="s">
        <v>27724</v>
      </c>
      <c r="AV3628">
        <v>25</v>
      </c>
      <c r="AW3628" s="184">
        <v>39906</v>
      </c>
      <c r="AX3628" t="s">
        <v>27724</v>
      </c>
      <c r="AY3628">
        <v>25</v>
      </c>
      <c r="AZ3628" s="184">
        <v>39906</v>
      </c>
      <c r="BA3628" t="s">
        <v>27724</v>
      </c>
      <c r="BB3628">
        <v>25</v>
      </c>
      <c r="BC3628">
        <v>7</v>
      </c>
      <c r="BD3628">
        <v>25</v>
      </c>
      <c r="BE3628">
        <v>2009</v>
      </c>
      <c r="BF3628">
        <v>1</v>
      </c>
      <c r="BI3628">
        <v>1</v>
      </c>
      <c r="BJ3628">
        <v>16</v>
      </c>
      <c r="BK3628">
        <v>1</v>
      </c>
      <c r="BN3628" t="s">
        <v>595</v>
      </c>
      <c r="BP3628" s="184"/>
    </row>
    <row r="3629" spans="1:68">
      <c r="A3629">
        <v>100125603</v>
      </c>
      <c r="B3629">
        <v>45245578</v>
      </c>
      <c r="C3629" t="s">
        <v>7018</v>
      </c>
      <c r="E3629" s="184"/>
      <c r="G3629" s="184"/>
      <c r="I3629" s="184"/>
      <c r="J3629" t="s">
        <v>595</v>
      </c>
      <c r="K3629" s="184">
        <v>40053</v>
      </c>
      <c r="M3629" s="184"/>
      <c r="O3629" s="184"/>
      <c r="P3629" t="s">
        <v>7045</v>
      </c>
      <c r="Q3629" t="s">
        <v>8385</v>
      </c>
      <c r="R3629" s="184"/>
      <c r="U3629" t="s">
        <v>7031</v>
      </c>
      <c r="V3629" t="s">
        <v>3311</v>
      </c>
      <c r="X3629" t="s">
        <v>3706</v>
      </c>
      <c r="Z3629">
        <v>45245578</v>
      </c>
      <c r="AA3629" t="s">
        <v>7076</v>
      </c>
      <c r="AB3629" t="s">
        <v>2938</v>
      </c>
      <c r="AD3629" t="s">
        <v>27717</v>
      </c>
      <c r="AF3629" t="s">
        <v>6732</v>
      </c>
      <c r="AG3629" t="s">
        <v>27718</v>
      </c>
      <c r="AI3629" t="s">
        <v>27719</v>
      </c>
      <c r="AM3629" t="s">
        <v>27720</v>
      </c>
      <c r="AN3629" t="s">
        <v>2181</v>
      </c>
      <c r="AO3629" t="s">
        <v>27721</v>
      </c>
      <c r="AP3629" t="s">
        <v>7024</v>
      </c>
      <c r="AQ3629" t="s">
        <v>27725</v>
      </c>
      <c r="AT3629" s="184"/>
      <c r="AW3629" s="184"/>
      <c r="AZ3629" s="184"/>
      <c r="BP3629" s="184"/>
    </row>
    <row r="3630" spans="1:68">
      <c r="A3630">
        <v>45333457</v>
      </c>
      <c r="B3630">
        <v>45333457</v>
      </c>
      <c r="C3630" t="s">
        <v>7018</v>
      </c>
      <c r="D3630" t="s">
        <v>595</v>
      </c>
      <c r="E3630" s="184">
        <v>44104</v>
      </c>
      <c r="G3630" s="184"/>
      <c r="I3630" s="184"/>
      <c r="K3630" s="184"/>
      <c r="M3630" s="184"/>
      <c r="O3630" s="184"/>
      <c r="P3630" t="s">
        <v>7045</v>
      </c>
      <c r="Q3630" t="s">
        <v>7020</v>
      </c>
      <c r="R3630" s="184">
        <v>17989</v>
      </c>
      <c r="S3630">
        <v>75</v>
      </c>
      <c r="U3630" t="s">
        <v>7031</v>
      </c>
      <c r="V3630" t="s">
        <v>26352</v>
      </c>
      <c r="X3630" t="s">
        <v>3640</v>
      </c>
      <c r="AF3630" t="s">
        <v>27726</v>
      </c>
      <c r="AG3630" t="s">
        <v>26352</v>
      </c>
      <c r="AI3630" t="s">
        <v>27727</v>
      </c>
      <c r="AM3630" t="s">
        <v>2788</v>
      </c>
      <c r="AN3630" t="s">
        <v>2465</v>
      </c>
      <c r="AO3630" t="s">
        <v>27728</v>
      </c>
      <c r="AP3630" t="s">
        <v>7024</v>
      </c>
      <c r="AQ3630" t="s">
        <v>27729</v>
      </c>
      <c r="AR3630" t="s">
        <v>27730</v>
      </c>
      <c r="AT3630" s="184">
        <v>39576</v>
      </c>
      <c r="AU3630" t="s">
        <v>27731</v>
      </c>
      <c r="AV3630">
        <v>25</v>
      </c>
      <c r="AW3630" s="184">
        <v>45323</v>
      </c>
      <c r="AX3630" t="s">
        <v>27732</v>
      </c>
      <c r="AY3630">
        <v>100</v>
      </c>
      <c r="AZ3630" s="184">
        <v>45323</v>
      </c>
      <c r="BA3630" t="s">
        <v>27732</v>
      </c>
      <c r="BB3630">
        <v>100</v>
      </c>
      <c r="BC3630">
        <v>100</v>
      </c>
      <c r="BD3630">
        <v>1235</v>
      </c>
      <c r="BE3630">
        <v>2008</v>
      </c>
      <c r="BF3630">
        <v>22</v>
      </c>
      <c r="BG3630">
        <v>3</v>
      </c>
      <c r="BH3630">
        <v>300</v>
      </c>
      <c r="BI3630">
        <v>17</v>
      </c>
      <c r="BJ3630">
        <v>17</v>
      </c>
      <c r="BK3630">
        <v>17</v>
      </c>
      <c r="BN3630" t="s">
        <v>595</v>
      </c>
      <c r="BP3630" s="184"/>
    </row>
    <row r="3631" spans="1:68">
      <c r="A3631">
        <v>45472776</v>
      </c>
      <c r="B3631">
        <v>45472776</v>
      </c>
      <c r="C3631" t="s">
        <v>7018</v>
      </c>
      <c r="E3631" s="184"/>
      <c r="G3631" s="184"/>
      <c r="I3631" s="184"/>
      <c r="J3631" t="s">
        <v>595</v>
      </c>
      <c r="K3631" s="184">
        <v>44438</v>
      </c>
      <c r="M3631" s="184"/>
      <c r="O3631" s="184"/>
      <c r="P3631" t="s">
        <v>7045</v>
      </c>
      <c r="Q3631" t="s">
        <v>7262</v>
      </c>
      <c r="R3631" s="184">
        <v>17624</v>
      </c>
      <c r="S3631">
        <v>76</v>
      </c>
      <c r="U3631" t="s">
        <v>7031</v>
      </c>
      <c r="V3631" t="s">
        <v>2724</v>
      </c>
      <c r="X3631" t="s">
        <v>27733</v>
      </c>
      <c r="AF3631" t="s">
        <v>27734</v>
      </c>
      <c r="AG3631" t="s">
        <v>2724</v>
      </c>
      <c r="AI3631" t="s">
        <v>27735</v>
      </c>
      <c r="AM3631" t="s">
        <v>2987</v>
      </c>
      <c r="AN3631" t="s">
        <v>2106</v>
      </c>
      <c r="AO3631" t="s">
        <v>27736</v>
      </c>
      <c r="AP3631" t="s">
        <v>7024</v>
      </c>
      <c r="AQ3631" t="s">
        <v>27737</v>
      </c>
      <c r="AR3631" t="s">
        <v>27738</v>
      </c>
      <c r="AT3631" s="184">
        <v>39580</v>
      </c>
      <c r="AU3631" t="s">
        <v>27739</v>
      </c>
      <c r="AV3631">
        <v>15</v>
      </c>
      <c r="AW3631" s="184">
        <v>45369</v>
      </c>
      <c r="AX3631" t="s">
        <v>22799</v>
      </c>
      <c r="AY3631">
        <v>60</v>
      </c>
      <c r="AZ3631" s="184">
        <v>45369</v>
      </c>
      <c r="BA3631" t="s">
        <v>22799</v>
      </c>
      <c r="BB3631">
        <v>60</v>
      </c>
      <c r="BC3631">
        <v>71</v>
      </c>
      <c r="BD3631">
        <v>725</v>
      </c>
      <c r="BE3631">
        <v>2008</v>
      </c>
      <c r="BF3631">
        <v>14</v>
      </c>
      <c r="BG3631">
        <v>2</v>
      </c>
      <c r="BH3631">
        <v>120</v>
      </c>
      <c r="BI3631">
        <v>12</v>
      </c>
      <c r="BJ3631">
        <v>17</v>
      </c>
      <c r="BK3631">
        <v>5</v>
      </c>
      <c r="BP3631" s="184"/>
    </row>
    <row r="3632" spans="1:68">
      <c r="A3632">
        <v>45530714</v>
      </c>
      <c r="B3632">
        <v>45530714</v>
      </c>
      <c r="C3632" t="s">
        <v>7018</v>
      </c>
      <c r="D3632" t="s">
        <v>595</v>
      </c>
      <c r="E3632" s="184">
        <v>43864</v>
      </c>
      <c r="G3632" s="184"/>
      <c r="I3632" s="184"/>
      <c r="K3632" s="184"/>
      <c r="M3632" s="184"/>
      <c r="O3632" s="184"/>
      <c r="P3632" t="s">
        <v>7019</v>
      </c>
      <c r="Q3632" t="s">
        <v>7194</v>
      </c>
      <c r="R3632" s="184">
        <v>25351</v>
      </c>
      <c r="S3632">
        <v>54</v>
      </c>
      <c r="U3632" t="s">
        <v>7130</v>
      </c>
      <c r="V3632" t="s">
        <v>4724</v>
      </c>
      <c r="W3632" t="s">
        <v>7407</v>
      </c>
      <c r="X3632" t="s">
        <v>4725</v>
      </c>
      <c r="Z3632">
        <v>100125689</v>
      </c>
      <c r="AA3632" t="s">
        <v>7031</v>
      </c>
      <c r="AB3632" t="s">
        <v>4724</v>
      </c>
      <c r="AC3632" t="s">
        <v>7407</v>
      </c>
      <c r="AD3632" t="s">
        <v>4725</v>
      </c>
      <c r="AF3632" t="s">
        <v>27740</v>
      </c>
      <c r="AG3632" t="s">
        <v>27741</v>
      </c>
      <c r="AI3632" t="s">
        <v>27742</v>
      </c>
      <c r="AM3632" t="s">
        <v>4726</v>
      </c>
      <c r="AN3632" t="s">
        <v>2046</v>
      </c>
      <c r="AO3632" t="s">
        <v>27743</v>
      </c>
      <c r="AP3632" t="s">
        <v>7024</v>
      </c>
      <c r="AQ3632" t="s">
        <v>27744</v>
      </c>
      <c r="AR3632" t="s">
        <v>27745</v>
      </c>
      <c r="AT3632" s="184">
        <v>39581</v>
      </c>
      <c r="AU3632" t="s">
        <v>27746</v>
      </c>
      <c r="AV3632">
        <v>25</v>
      </c>
      <c r="AW3632" s="184">
        <v>42025</v>
      </c>
      <c r="AX3632" t="s">
        <v>26549</v>
      </c>
      <c r="AY3632">
        <v>87</v>
      </c>
      <c r="AZ3632" s="184">
        <v>42025</v>
      </c>
      <c r="BA3632" t="s">
        <v>26549</v>
      </c>
      <c r="BB3632">
        <v>87</v>
      </c>
      <c r="BC3632">
        <v>36</v>
      </c>
      <c r="BD3632">
        <v>282</v>
      </c>
      <c r="BE3632">
        <v>2008</v>
      </c>
      <c r="BF3632">
        <v>7</v>
      </c>
      <c r="BI3632">
        <v>6</v>
      </c>
      <c r="BJ3632">
        <v>17</v>
      </c>
      <c r="BK3632">
        <v>3</v>
      </c>
      <c r="BP3632" s="184"/>
    </row>
    <row r="3633" spans="1:68">
      <c r="A3633">
        <v>100125689</v>
      </c>
      <c r="B3633">
        <v>45530714</v>
      </c>
      <c r="C3633" t="s">
        <v>7018</v>
      </c>
      <c r="D3633" t="s">
        <v>595</v>
      </c>
      <c r="E3633" s="184">
        <v>43864</v>
      </c>
      <c r="G3633" s="184"/>
      <c r="I3633" s="184"/>
      <c r="K3633" s="184"/>
      <c r="O3633" s="184"/>
      <c r="P3633" t="s">
        <v>7019</v>
      </c>
      <c r="Q3633" t="s">
        <v>7194</v>
      </c>
      <c r="R3633" s="184">
        <v>25351</v>
      </c>
      <c r="S3633">
        <v>54</v>
      </c>
      <c r="U3633" t="s">
        <v>7031</v>
      </c>
      <c r="V3633" t="s">
        <v>4724</v>
      </c>
      <c r="W3633" t="s">
        <v>7407</v>
      </c>
      <c r="X3633" t="s">
        <v>4725</v>
      </c>
      <c r="Z3633">
        <v>45530714</v>
      </c>
      <c r="AA3633" t="s">
        <v>7130</v>
      </c>
      <c r="AB3633" t="s">
        <v>4724</v>
      </c>
      <c r="AC3633" t="s">
        <v>7407</v>
      </c>
      <c r="AD3633" t="s">
        <v>4725</v>
      </c>
      <c r="AF3633" t="s">
        <v>27740</v>
      </c>
      <c r="AG3633" t="s">
        <v>27741</v>
      </c>
      <c r="AI3633" t="s">
        <v>27742</v>
      </c>
      <c r="AM3633" t="s">
        <v>4726</v>
      </c>
      <c r="AN3633" t="s">
        <v>2046</v>
      </c>
      <c r="AO3633" t="s">
        <v>27743</v>
      </c>
      <c r="AP3633" t="s">
        <v>7024</v>
      </c>
      <c r="AQ3633" t="s">
        <v>27744</v>
      </c>
      <c r="AT3633" s="184"/>
      <c r="AW3633" s="184"/>
      <c r="AZ3633" s="184"/>
    </row>
    <row r="3634" spans="1:68">
      <c r="A3634">
        <v>45592979</v>
      </c>
      <c r="B3634">
        <v>45592979</v>
      </c>
      <c r="C3634" t="s">
        <v>7018</v>
      </c>
      <c r="E3634" s="184"/>
      <c r="F3634" t="s">
        <v>595</v>
      </c>
      <c r="G3634" s="184">
        <v>43676</v>
      </c>
      <c r="I3634" s="184"/>
      <c r="K3634" s="184"/>
      <c r="M3634" s="184"/>
      <c r="O3634" s="184"/>
      <c r="P3634" t="s">
        <v>7045</v>
      </c>
      <c r="Q3634" t="s">
        <v>7383</v>
      </c>
      <c r="R3634" s="184">
        <v>12596</v>
      </c>
      <c r="S3634">
        <v>89</v>
      </c>
      <c r="V3634" t="s">
        <v>3683</v>
      </c>
      <c r="X3634" t="s">
        <v>3684</v>
      </c>
      <c r="AF3634" t="s">
        <v>27747</v>
      </c>
      <c r="AG3634" t="s">
        <v>3683</v>
      </c>
      <c r="AI3634" t="s">
        <v>27748</v>
      </c>
      <c r="AM3634" t="s">
        <v>15379</v>
      </c>
      <c r="AN3634" t="s">
        <v>2162</v>
      </c>
      <c r="AO3634" t="s">
        <v>27749</v>
      </c>
      <c r="AP3634" t="s">
        <v>7024</v>
      </c>
      <c r="AQ3634" t="s">
        <v>27750</v>
      </c>
      <c r="AT3634" s="184">
        <v>39583</v>
      </c>
      <c r="AU3634" t="s">
        <v>27675</v>
      </c>
      <c r="AV3634">
        <v>25</v>
      </c>
      <c r="AW3634" s="184">
        <v>44191</v>
      </c>
      <c r="AX3634" t="s">
        <v>27751</v>
      </c>
      <c r="AY3634">
        <v>25</v>
      </c>
      <c r="AZ3634" s="184">
        <v>44191</v>
      </c>
      <c r="BA3634" t="s">
        <v>27751</v>
      </c>
      <c r="BB3634">
        <v>25</v>
      </c>
      <c r="BC3634">
        <v>71</v>
      </c>
      <c r="BD3634">
        <v>700</v>
      </c>
      <c r="BE3634">
        <v>2008</v>
      </c>
      <c r="BF3634">
        <v>59</v>
      </c>
      <c r="BI3634">
        <v>12</v>
      </c>
      <c r="BJ3634">
        <v>17</v>
      </c>
      <c r="BK3634">
        <v>9</v>
      </c>
      <c r="BP3634" s="184"/>
    </row>
    <row r="3635" spans="1:68">
      <c r="A3635">
        <v>45693579</v>
      </c>
      <c r="B3635">
        <v>45693579</v>
      </c>
      <c r="C3635" t="s">
        <v>7018</v>
      </c>
      <c r="D3635" t="s">
        <v>595</v>
      </c>
      <c r="E3635" s="184">
        <v>43647</v>
      </c>
      <c r="G3635" s="184"/>
      <c r="I3635" s="184"/>
      <c r="K3635" s="184"/>
      <c r="M3635" s="184"/>
      <c r="O3635" s="184"/>
      <c r="P3635" t="s">
        <v>7029</v>
      </c>
      <c r="Q3635" t="s">
        <v>7774</v>
      </c>
      <c r="R3635" s="184">
        <v>19360</v>
      </c>
      <c r="S3635">
        <v>71</v>
      </c>
      <c r="U3635" t="s">
        <v>7031</v>
      </c>
      <c r="V3635" t="s">
        <v>3588</v>
      </c>
      <c r="X3635" t="s">
        <v>3589</v>
      </c>
      <c r="Z3635">
        <v>100125750</v>
      </c>
      <c r="AA3635" t="s">
        <v>7076</v>
      </c>
      <c r="AB3635" t="s">
        <v>2523</v>
      </c>
      <c r="AD3635" t="s">
        <v>3589</v>
      </c>
      <c r="AF3635" t="s">
        <v>27752</v>
      </c>
      <c r="AG3635" t="s">
        <v>3588</v>
      </c>
      <c r="AI3635" t="s">
        <v>27753</v>
      </c>
      <c r="AM3635" t="s">
        <v>3590</v>
      </c>
      <c r="AN3635" t="s">
        <v>2290</v>
      </c>
      <c r="AO3635" t="s">
        <v>27754</v>
      </c>
      <c r="AP3635" t="s">
        <v>7024</v>
      </c>
      <c r="AQ3635" t="s">
        <v>27755</v>
      </c>
      <c r="AR3635" t="s">
        <v>27756</v>
      </c>
      <c r="AT3635" s="184">
        <v>39587</v>
      </c>
      <c r="AU3635" t="s">
        <v>27757</v>
      </c>
      <c r="AV3635">
        <v>20</v>
      </c>
      <c r="AW3635" s="184">
        <v>45313</v>
      </c>
      <c r="AX3635" t="s">
        <v>7092</v>
      </c>
      <c r="AY3635">
        <v>1000</v>
      </c>
      <c r="AZ3635" s="184">
        <v>45313</v>
      </c>
      <c r="BA3635" t="s">
        <v>7092</v>
      </c>
      <c r="BB3635">
        <v>1000</v>
      </c>
      <c r="BC3635">
        <v>71</v>
      </c>
      <c r="BD3635">
        <v>4765</v>
      </c>
      <c r="BE3635">
        <v>2008</v>
      </c>
      <c r="BF3635">
        <v>17</v>
      </c>
      <c r="BG3635">
        <v>2</v>
      </c>
      <c r="BH3635">
        <v>2000</v>
      </c>
      <c r="BI3635">
        <v>12</v>
      </c>
      <c r="BJ3635">
        <v>17</v>
      </c>
      <c r="BK3635">
        <v>6</v>
      </c>
      <c r="BN3635" t="s">
        <v>595</v>
      </c>
      <c r="BP3635" s="184"/>
    </row>
    <row r="3636" spans="1:68">
      <c r="A3636">
        <v>100125750</v>
      </c>
      <c r="B3636">
        <v>45693579</v>
      </c>
      <c r="C3636" t="s">
        <v>7018</v>
      </c>
      <c r="D3636" t="s">
        <v>595</v>
      </c>
      <c r="E3636" s="184">
        <v>43647</v>
      </c>
      <c r="G3636" s="184"/>
      <c r="I3636" s="184"/>
      <c r="K3636" s="184"/>
      <c r="M3636" s="184"/>
      <c r="O3636" s="184"/>
      <c r="P3636" t="s">
        <v>7029</v>
      </c>
      <c r="Q3636" t="s">
        <v>7774</v>
      </c>
      <c r="R3636" s="184">
        <v>19360</v>
      </c>
      <c r="S3636">
        <v>71</v>
      </c>
      <c r="U3636" t="s">
        <v>7076</v>
      </c>
      <c r="V3636" t="s">
        <v>2523</v>
      </c>
      <c r="X3636" t="s">
        <v>3589</v>
      </c>
      <c r="Z3636">
        <v>45693579</v>
      </c>
      <c r="AA3636" t="s">
        <v>7031</v>
      </c>
      <c r="AB3636" t="s">
        <v>3588</v>
      </c>
      <c r="AD3636" t="s">
        <v>3589</v>
      </c>
      <c r="AF3636" t="s">
        <v>27752</v>
      </c>
      <c r="AG3636" t="s">
        <v>3588</v>
      </c>
      <c r="AI3636" t="s">
        <v>27753</v>
      </c>
      <c r="AM3636" t="s">
        <v>3590</v>
      </c>
      <c r="AN3636" t="s">
        <v>2290</v>
      </c>
      <c r="AO3636" t="s">
        <v>27754</v>
      </c>
      <c r="AP3636" t="s">
        <v>7024</v>
      </c>
      <c r="AT3636" s="184"/>
      <c r="AW3636" s="184"/>
      <c r="AZ3636" s="184"/>
      <c r="BN3636" t="s">
        <v>595</v>
      </c>
      <c r="BO3636" t="s">
        <v>595</v>
      </c>
      <c r="BP3636" s="184"/>
    </row>
    <row r="3637" spans="1:68">
      <c r="A3637">
        <v>45791373</v>
      </c>
      <c r="B3637">
        <v>45791373</v>
      </c>
      <c r="C3637" t="s">
        <v>7018</v>
      </c>
      <c r="E3637" s="184"/>
      <c r="F3637" t="s">
        <v>595</v>
      </c>
      <c r="G3637" s="184">
        <v>43731</v>
      </c>
      <c r="I3637" s="184"/>
      <c r="K3637" s="184"/>
      <c r="O3637" s="184"/>
      <c r="P3637" t="s">
        <v>7045</v>
      </c>
      <c r="Q3637" t="s">
        <v>7383</v>
      </c>
      <c r="R3637" s="184">
        <v>15337</v>
      </c>
      <c r="S3637">
        <v>82</v>
      </c>
      <c r="V3637" t="s">
        <v>4044</v>
      </c>
      <c r="X3637" t="s">
        <v>4045</v>
      </c>
      <c r="AF3637" t="s">
        <v>27758</v>
      </c>
      <c r="AG3637" t="s">
        <v>4044</v>
      </c>
      <c r="AI3637" t="s">
        <v>27759</v>
      </c>
      <c r="AM3637" t="s">
        <v>3815</v>
      </c>
      <c r="AN3637" t="s">
        <v>2059</v>
      </c>
      <c r="AO3637" t="s">
        <v>27760</v>
      </c>
      <c r="AP3637" t="s">
        <v>7024</v>
      </c>
      <c r="AQ3637" t="s">
        <v>27761</v>
      </c>
      <c r="AR3637" t="s">
        <v>27762</v>
      </c>
      <c r="AT3637" s="184">
        <v>39587</v>
      </c>
      <c r="AU3637" t="s">
        <v>27763</v>
      </c>
      <c r="AV3637">
        <v>15</v>
      </c>
      <c r="AW3637" s="184">
        <v>44440</v>
      </c>
      <c r="AX3637" t="s">
        <v>27764</v>
      </c>
      <c r="AY3637">
        <v>25</v>
      </c>
      <c r="AZ3637" s="184">
        <v>44440</v>
      </c>
      <c r="BA3637" t="s">
        <v>27764</v>
      </c>
      <c r="BB3637">
        <v>25</v>
      </c>
      <c r="BC3637">
        <v>53</v>
      </c>
      <c r="BD3637">
        <v>325</v>
      </c>
      <c r="BE3637">
        <v>2008</v>
      </c>
      <c r="BF3637">
        <v>16</v>
      </c>
      <c r="BI3637">
        <v>9</v>
      </c>
      <c r="BJ3637">
        <v>17</v>
      </c>
      <c r="BK3637">
        <v>3</v>
      </c>
      <c r="BP3637" s="184"/>
    </row>
    <row r="3638" spans="1:68">
      <c r="A3638">
        <v>45836970</v>
      </c>
      <c r="B3638">
        <v>45836970</v>
      </c>
      <c r="C3638" t="s">
        <v>7018</v>
      </c>
      <c r="D3638" t="s">
        <v>595</v>
      </c>
      <c r="E3638" s="184">
        <v>44414</v>
      </c>
      <c r="G3638" s="184"/>
      <c r="I3638" s="184"/>
      <c r="K3638" s="184"/>
      <c r="M3638" s="184"/>
      <c r="O3638" s="184"/>
      <c r="P3638" t="s">
        <v>7045</v>
      </c>
      <c r="Q3638" t="s">
        <v>7160</v>
      </c>
      <c r="R3638" s="184">
        <v>15554</v>
      </c>
      <c r="S3638">
        <v>81</v>
      </c>
      <c r="V3638" t="s">
        <v>3217</v>
      </c>
      <c r="W3638" t="s">
        <v>2058</v>
      </c>
      <c r="X3638" t="s">
        <v>2706</v>
      </c>
      <c r="Z3638">
        <v>100125805</v>
      </c>
      <c r="AB3638" t="s">
        <v>2586</v>
      </c>
      <c r="AD3638" t="s">
        <v>2706</v>
      </c>
      <c r="AF3638" t="s">
        <v>27765</v>
      </c>
      <c r="AG3638" t="s">
        <v>27766</v>
      </c>
      <c r="AI3638" t="s">
        <v>27767</v>
      </c>
      <c r="AM3638" t="s">
        <v>27768</v>
      </c>
      <c r="AN3638" t="s">
        <v>2176</v>
      </c>
      <c r="AO3638" t="s">
        <v>27769</v>
      </c>
      <c r="AP3638" t="s">
        <v>7024</v>
      </c>
      <c r="AQ3638" t="s">
        <v>27770</v>
      </c>
      <c r="AT3638" s="184">
        <v>39589</v>
      </c>
      <c r="AU3638" t="s">
        <v>27771</v>
      </c>
      <c r="AV3638">
        <v>15</v>
      </c>
      <c r="AW3638" s="184">
        <v>43578</v>
      </c>
      <c r="AX3638" t="s">
        <v>27772</v>
      </c>
      <c r="AY3638">
        <v>25</v>
      </c>
      <c r="AZ3638" s="184">
        <v>43578</v>
      </c>
      <c r="BA3638" t="s">
        <v>27772</v>
      </c>
      <c r="BB3638">
        <v>25</v>
      </c>
      <c r="BC3638">
        <v>53</v>
      </c>
      <c r="BD3638">
        <v>215</v>
      </c>
      <c r="BE3638">
        <v>2008</v>
      </c>
      <c r="BF3638">
        <v>9</v>
      </c>
      <c r="BI3638">
        <v>9</v>
      </c>
      <c r="BJ3638">
        <v>17</v>
      </c>
      <c r="BK3638">
        <v>6</v>
      </c>
      <c r="BN3638" t="s">
        <v>595</v>
      </c>
      <c r="BP3638" s="184"/>
    </row>
    <row r="3639" spans="1:68">
      <c r="A3639">
        <v>100125805</v>
      </c>
      <c r="B3639">
        <v>45836970</v>
      </c>
      <c r="C3639" t="s">
        <v>7018</v>
      </c>
      <c r="D3639" t="s">
        <v>595</v>
      </c>
      <c r="E3639" s="184">
        <v>44414</v>
      </c>
      <c r="G3639" s="184"/>
      <c r="I3639" s="184"/>
      <c r="K3639" s="184"/>
      <c r="M3639" s="184"/>
      <c r="O3639" s="184"/>
      <c r="P3639" t="s">
        <v>7045</v>
      </c>
      <c r="Q3639" t="s">
        <v>7160</v>
      </c>
      <c r="R3639" s="184">
        <v>16945</v>
      </c>
      <c r="S3639">
        <v>77</v>
      </c>
      <c r="V3639" t="s">
        <v>2586</v>
      </c>
      <c r="X3639" t="s">
        <v>2706</v>
      </c>
      <c r="Z3639">
        <v>45836970</v>
      </c>
      <c r="AB3639" t="s">
        <v>3217</v>
      </c>
      <c r="AC3639" t="s">
        <v>2058</v>
      </c>
      <c r="AD3639" t="s">
        <v>2706</v>
      </c>
      <c r="AF3639" t="s">
        <v>27765</v>
      </c>
      <c r="AG3639" t="s">
        <v>27766</v>
      </c>
      <c r="AI3639" t="s">
        <v>27767</v>
      </c>
      <c r="AM3639" t="s">
        <v>27768</v>
      </c>
      <c r="AN3639" t="s">
        <v>2176</v>
      </c>
      <c r="AO3639" t="s">
        <v>27769</v>
      </c>
      <c r="AP3639" t="s">
        <v>7024</v>
      </c>
      <c r="AT3639" s="184"/>
      <c r="AW3639" s="184"/>
      <c r="AZ3639" s="184"/>
      <c r="BP3639" s="184"/>
    </row>
    <row r="3640" spans="1:68">
      <c r="A3640">
        <v>45846771</v>
      </c>
      <c r="B3640">
        <v>45846771</v>
      </c>
      <c r="C3640" t="s">
        <v>7018</v>
      </c>
      <c r="E3640" s="184"/>
      <c r="G3640" s="184"/>
      <c r="I3640" s="184"/>
      <c r="J3640" t="s">
        <v>595</v>
      </c>
      <c r="K3640" s="184">
        <v>44328</v>
      </c>
      <c r="O3640" s="184"/>
      <c r="P3640" t="s">
        <v>7029</v>
      </c>
      <c r="Q3640" t="s">
        <v>7383</v>
      </c>
      <c r="R3640" s="184">
        <v>11975</v>
      </c>
      <c r="S3640">
        <v>91</v>
      </c>
      <c r="V3640" t="s">
        <v>2718</v>
      </c>
      <c r="X3640" t="s">
        <v>27773</v>
      </c>
      <c r="AF3640" t="s">
        <v>27774</v>
      </c>
      <c r="AG3640" t="s">
        <v>2718</v>
      </c>
      <c r="AI3640" t="s">
        <v>27775</v>
      </c>
      <c r="AM3640" t="s">
        <v>3082</v>
      </c>
      <c r="AN3640" t="s">
        <v>2313</v>
      </c>
      <c r="AO3640" t="s">
        <v>27776</v>
      </c>
      <c r="AP3640" t="s">
        <v>7024</v>
      </c>
      <c r="AQ3640" t="s">
        <v>27777</v>
      </c>
      <c r="AR3640" t="s">
        <v>27778</v>
      </c>
      <c r="AT3640" s="184">
        <v>39589</v>
      </c>
      <c r="AU3640" t="s">
        <v>27779</v>
      </c>
      <c r="AV3640">
        <v>25</v>
      </c>
      <c r="AW3640" s="184">
        <v>45399</v>
      </c>
      <c r="AX3640" t="s">
        <v>9576</v>
      </c>
      <c r="AY3640">
        <v>1000</v>
      </c>
      <c r="AZ3640" s="184">
        <v>45399</v>
      </c>
      <c r="BA3640" t="s">
        <v>9576</v>
      </c>
      <c r="BB3640">
        <v>1000</v>
      </c>
      <c r="BC3640">
        <v>89</v>
      </c>
      <c r="BD3640">
        <v>12860</v>
      </c>
      <c r="BE3640">
        <v>2008</v>
      </c>
      <c r="BF3640">
        <v>33</v>
      </c>
      <c r="BG3640">
        <v>5</v>
      </c>
      <c r="BH3640">
        <v>4200</v>
      </c>
      <c r="BI3640">
        <v>15</v>
      </c>
      <c r="BJ3640">
        <v>17</v>
      </c>
      <c r="BK3640">
        <v>13</v>
      </c>
      <c r="BP3640" s="184"/>
    </row>
    <row r="3641" spans="1:68">
      <c r="A3641">
        <v>45891975</v>
      </c>
      <c r="B3641">
        <v>45891975</v>
      </c>
      <c r="C3641" t="s">
        <v>7018</v>
      </c>
      <c r="E3641" s="184"/>
      <c r="G3641" s="184"/>
      <c r="I3641" s="184"/>
      <c r="J3641" t="s">
        <v>595</v>
      </c>
      <c r="K3641" s="184">
        <v>43035</v>
      </c>
      <c r="O3641" s="184"/>
      <c r="P3641" t="s">
        <v>7019</v>
      </c>
      <c r="Q3641" t="s">
        <v>7160</v>
      </c>
      <c r="R3641" s="184">
        <v>24032</v>
      </c>
      <c r="S3641">
        <v>58</v>
      </c>
      <c r="V3641" t="s">
        <v>4022</v>
      </c>
      <c r="X3641" t="s">
        <v>27780</v>
      </c>
      <c r="AF3641" t="s">
        <v>6560</v>
      </c>
      <c r="AG3641" t="s">
        <v>4022</v>
      </c>
      <c r="AI3641" t="s">
        <v>27781</v>
      </c>
      <c r="AM3641" t="s">
        <v>25016</v>
      </c>
      <c r="AN3641" t="s">
        <v>2395</v>
      </c>
      <c r="AO3641" t="s">
        <v>27782</v>
      </c>
      <c r="AP3641" t="s">
        <v>7024</v>
      </c>
      <c r="AQ3641" t="s">
        <v>27783</v>
      </c>
      <c r="AR3641" t="s">
        <v>27784</v>
      </c>
      <c r="AT3641" s="184">
        <v>39590</v>
      </c>
      <c r="AU3641" t="s">
        <v>27785</v>
      </c>
      <c r="AV3641">
        <v>25</v>
      </c>
      <c r="AW3641" s="184">
        <v>45366</v>
      </c>
      <c r="AX3641" t="s">
        <v>20457</v>
      </c>
      <c r="AY3641">
        <v>75</v>
      </c>
      <c r="AZ3641" s="184">
        <v>45366</v>
      </c>
      <c r="BA3641" t="s">
        <v>20457</v>
      </c>
      <c r="BB3641">
        <v>75</v>
      </c>
      <c r="BC3641">
        <v>95</v>
      </c>
      <c r="BD3641">
        <v>910</v>
      </c>
      <c r="BE3641">
        <v>2008</v>
      </c>
      <c r="BF3641">
        <v>20</v>
      </c>
      <c r="BG3641">
        <v>4</v>
      </c>
      <c r="BH3641">
        <v>235</v>
      </c>
      <c r="BI3641">
        <v>16</v>
      </c>
      <c r="BJ3641">
        <v>17</v>
      </c>
      <c r="BK3641">
        <v>15</v>
      </c>
    </row>
    <row r="3642" spans="1:68">
      <c r="A3642">
        <v>46057774</v>
      </c>
      <c r="B3642">
        <v>46057774</v>
      </c>
      <c r="C3642" t="s">
        <v>7018</v>
      </c>
      <c r="D3642" t="s">
        <v>595</v>
      </c>
      <c r="E3642" s="184">
        <v>45146</v>
      </c>
      <c r="G3642" s="184"/>
      <c r="I3642" s="184"/>
      <c r="K3642" s="184"/>
      <c r="O3642" s="184"/>
      <c r="P3642" t="s">
        <v>7045</v>
      </c>
      <c r="Q3642" t="s">
        <v>7020</v>
      </c>
      <c r="R3642" s="184">
        <v>13845</v>
      </c>
      <c r="S3642">
        <v>86</v>
      </c>
      <c r="V3642" t="s">
        <v>2982</v>
      </c>
      <c r="X3642" t="s">
        <v>27786</v>
      </c>
      <c r="Z3642">
        <v>100125855</v>
      </c>
      <c r="AB3642" t="s">
        <v>2985</v>
      </c>
      <c r="AD3642" t="s">
        <v>27786</v>
      </c>
      <c r="AF3642" t="s">
        <v>27787</v>
      </c>
      <c r="AG3642" t="s">
        <v>27788</v>
      </c>
      <c r="AI3642" t="s">
        <v>27789</v>
      </c>
      <c r="AM3642" t="s">
        <v>27790</v>
      </c>
      <c r="AN3642" t="s">
        <v>2052</v>
      </c>
      <c r="AO3642" t="s">
        <v>27791</v>
      </c>
      <c r="AP3642" t="s">
        <v>7024</v>
      </c>
      <c r="AQ3642" t="s">
        <v>27792</v>
      </c>
      <c r="AT3642" s="184">
        <v>39595</v>
      </c>
      <c r="AU3642" t="s">
        <v>27669</v>
      </c>
      <c r="AV3642">
        <v>25</v>
      </c>
      <c r="AW3642" s="184">
        <v>43473</v>
      </c>
      <c r="AX3642" t="s">
        <v>10459</v>
      </c>
      <c r="AY3642">
        <v>25</v>
      </c>
      <c r="AZ3642" s="184">
        <v>43473</v>
      </c>
      <c r="BA3642" t="s">
        <v>10459</v>
      </c>
      <c r="BB3642">
        <v>25</v>
      </c>
      <c r="BC3642">
        <v>30</v>
      </c>
      <c r="BD3642">
        <v>125</v>
      </c>
      <c r="BE3642">
        <v>2008</v>
      </c>
      <c r="BF3642">
        <v>5</v>
      </c>
      <c r="BI3642">
        <v>5</v>
      </c>
      <c r="BJ3642">
        <v>17</v>
      </c>
      <c r="BK3642">
        <v>4</v>
      </c>
      <c r="BP3642" s="184"/>
    </row>
    <row r="3643" spans="1:68">
      <c r="A3643">
        <v>100125855</v>
      </c>
      <c r="B3643">
        <v>46057774</v>
      </c>
      <c r="C3643" t="s">
        <v>7018</v>
      </c>
      <c r="D3643" t="s">
        <v>595</v>
      </c>
      <c r="E3643" s="184">
        <v>45146</v>
      </c>
      <c r="G3643" s="184"/>
      <c r="I3643" s="184"/>
      <c r="K3643" s="184"/>
      <c r="M3643" s="184"/>
      <c r="O3643" s="184"/>
      <c r="P3643" t="s">
        <v>7045</v>
      </c>
      <c r="Q3643" t="s">
        <v>7020</v>
      </c>
      <c r="R3643" s="184">
        <v>15256</v>
      </c>
      <c r="S3643">
        <v>82</v>
      </c>
      <c r="V3643" t="s">
        <v>2985</v>
      </c>
      <c r="X3643" t="s">
        <v>27786</v>
      </c>
      <c r="Z3643">
        <v>46057774</v>
      </c>
      <c r="AB3643" t="s">
        <v>2982</v>
      </c>
      <c r="AD3643" t="s">
        <v>27786</v>
      </c>
      <c r="AF3643" t="s">
        <v>27787</v>
      </c>
      <c r="AG3643" t="s">
        <v>27788</v>
      </c>
      <c r="AI3643" t="s">
        <v>27789</v>
      </c>
      <c r="AM3643" t="s">
        <v>27790</v>
      </c>
      <c r="AN3643" t="s">
        <v>2052</v>
      </c>
      <c r="AO3643" t="s">
        <v>27791</v>
      </c>
      <c r="AP3643" t="s">
        <v>7024</v>
      </c>
      <c r="AT3643" s="184"/>
      <c r="AW3643" s="184"/>
      <c r="AZ3643" s="184"/>
      <c r="BP3643" s="184"/>
    </row>
    <row r="3644" spans="1:68">
      <c r="A3644">
        <v>46086179</v>
      </c>
      <c r="B3644">
        <v>46086179</v>
      </c>
      <c r="C3644" t="s">
        <v>7018</v>
      </c>
      <c r="D3644" t="s">
        <v>595</v>
      </c>
      <c r="E3644" s="184">
        <v>44167</v>
      </c>
      <c r="G3644" s="184"/>
      <c r="I3644" s="184"/>
      <c r="K3644" s="184"/>
      <c r="O3644" s="184"/>
      <c r="P3644" t="s">
        <v>7045</v>
      </c>
      <c r="Q3644" t="s">
        <v>7374</v>
      </c>
      <c r="R3644" s="184">
        <v>11944</v>
      </c>
      <c r="S3644">
        <v>91</v>
      </c>
      <c r="V3644" t="s">
        <v>3400</v>
      </c>
      <c r="W3644" t="s">
        <v>7407</v>
      </c>
      <c r="X3644" t="s">
        <v>27793</v>
      </c>
      <c r="AF3644" t="s">
        <v>27794</v>
      </c>
      <c r="AG3644" t="s">
        <v>3400</v>
      </c>
      <c r="AI3644" t="s">
        <v>27795</v>
      </c>
      <c r="AM3644" t="s">
        <v>4268</v>
      </c>
      <c r="AN3644" t="s">
        <v>2081</v>
      </c>
      <c r="AO3644" t="s">
        <v>27796</v>
      </c>
      <c r="AP3644" t="s">
        <v>7024</v>
      </c>
      <c r="AQ3644" t="s">
        <v>27797</v>
      </c>
      <c r="AT3644" s="184">
        <v>39596</v>
      </c>
      <c r="AU3644" t="s">
        <v>27603</v>
      </c>
      <c r="AV3644">
        <v>100</v>
      </c>
      <c r="AW3644" s="184">
        <v>44013</v>
      </c>
      <c r="AX3644" t="s">
        <v>27798</v>
      </c>
      <c r="AY3644">
        <v>500</v>
      </c>
      <c r="AZ3644" s="184">
        <v>44013</v>
      </c>
      <c r="BA3644" t="s">
        <v>27798</v>
      </c>
      <c r="BB3644">
        <v>500</v>
      </c>
      <c r="BC3644">
        <v>71</v>
      </c>
      <c r="BD3644">
        <v>1835</v>
      </c>
      <c r="BE3644">
        <v>2008</v>
      </c>
      <c r="BF3644">
        <v>12</v>
      </c>
      <c r="BI3644">
        <v>12</v>
      </c>
      <c r="BJ3644">
        <v>17</v>
      </c>
      <c r="BK3644">
        <v>9</v>
      </c>
      <c r="BN3644" t="s">
        <v>595</v>
      </c>
      <c r="BP3644" s="184"/>
    </row>
    <row r="3645" spans="1:68">
      <c r="A3645">
        <v>46090973</v>
      </c>
      <c r="B3645">
        <v>46090973</v>
      </c>
      <c r="C3645" t="s">
        <v>7018</v>
      </c>
      <c r="D3645" t="s">
        <v>595</v>
      </c>
      <c r="E3645" s="184">
        <v>45125</v>
      </c>
      <c r="I3645" s="184"/>
      <c r="K3645" s="184"/>
      <c r="O3645" s="184"/>
      <c r="P3645" t="s">
        <v>7045</v>
      </c>
      <c r="Q3645" t="s">
        <v>7262</v>
      </c>
      <c r="R3645" s="184">
        <v>19054</v>
      </c>
      <c r="S3645">
        <v>72</v>
      </c>
      <c r="V3645" t="s">
        <v>3103</v>
      </c>
      <c r="W3645" t="s">
        <v>3830</v>
      </c>
      <c r="X3645" t="s">
        <v>20562</v>
      </c>
      <c r="AF3645" t="s">
        <v>27799</v>
      </c>
      <c r="AG3645" t="s">
        <v>3103</v>
      </c>
      <c r="AI3645" t="s">
        <v>27800</v>
      </c>
      <c r="AM3645" t="s">
        <v>3352</v>
      </c>
      <c r="AN3645" t="s">
        <v>2106</v>
      </c>
      <c r="AO3645" t="s">
        <v>27801</v>
      </c>
      <c r="AP3645" t="s">
        <v>7024</v>
      </c>
      <c r="AQ3645" t="s">
        <v>27802</v>
      </c>
      <c r="AT3645" s="184">
        <v>39597</v>
      </c>
      <c r="AU3645" t="s">
        <v>27803</v>
      </c>
      <c r="AV3645">
        <v>20</v>
      </c>
      <c r="AW3645" s="184">
        <v>45329</v>
      </c>
      <c r="AX3645" t="s">
        <v>7856</v>
      </c>
      <c r="AY3645">
        <v>25</v>
      </c>
      <c r="AZ3645" s="184">
        <v>45329</v>
      </c>
      <c r="BA3645" t="s">
        <v>7856</v>
      </c>
      <c r="BB3645">
        <v>25</v>
      </c>
      <c r="BC3645">
        <v>71</v>
      </c>
      <c r="BD3645">
        <v>225</v>
      </c>
      <c r="BE3645">
        <v>2008</v>
      </c>
      <c r="BF3645">
        <v>12</v>
      </c>
      <c r="BG3645">
        <v>2</v>
      </c>
      <c r="BH3645">
        <v>50</v>
      </c>
      <c r="BI3645">
        <v>12</v>
      </c>
      <c r="BJ3645">
        <v>17</v>
      </c>
      <c r="BK3645">
        <v>4</v>
      </c>
      <c r="BP3645" s="184"/>
    </row>
    <row r="3646" spans="1:68">
      <c r="A3646">
        <v>46104170</v>
      </c>
      <c r="B3646">
        <v>46104170</v>
      </c>
      <c r="C3646" t="s">
        <v>7018</v>
      </c>
      <c r="E3646" s="184"/>
      <c r="G3646" s="184"/>
      <c r="I3646" s="184"/>
      <c r="J3646" t="s">
        <v>595</v>
      </c>
      <c r="K3646" s="184">
        <v>43881</v>
      </c>
      <c r="O3646" s="184"/>
      <c r="P3646" t="s">
        <v>7045</v>
      </c>
      <c r="Q3646" t="s">
        <v>7160</v>
      </c>
      <c r="R3646" s="184">
        <v>24381</v>
      </c>
      <c r="S3646">
        <v>57</v>
      </c>
      <c r="U3646" t="s">
        <v>7031</v>
      </c>
      <c r="V3646" t="s">
        <v>5544</v>
      </c>
      <c r="X3646" t="s">
        <v>27804</v>
      </c>
      <c r="Z3646">
        <v>100125868</v>
      </c>
      <c r="AA3646" t="s">
        <v>7130</v>
      </c>
      <c r="AB3646" t="s">
        <v>15440</v>
      </c>
      <c r="AD3646" t="s">
        <v>27804</v>
      </c>
      <c r="AF3646" t="s">
        <v>27805</v>
      </c>
      <c r="AG3646" t="s">
        <v>27806</v>
      </c>
      <c r="AI3646" t="s">
        <v>27807</v>
      </c>
      <c r="AM3646" t="s">
        <v>4984</v>
      </c>
      <c r="AN3646" t="s">
        <v>2675</v>
      </c>
      <c r="AO3646" t="s">
        <v>27808</v>
      </c>
      <c r="AP3646" t="s">
        <v>7024</v>
      </c>
      <c r="AQ3646" t="s">
        <v>27809</v>
      </c>
      <c r="AR3646" t="s">
        <v>27810</v>
      </c>
      <c r="AT3646" s="184">
        <v>39601</v>
      </c>
      <c r="AU3646" t="s">
        <v>27811</v>
      </c>
      <c r="AV3646">
        <v>50</v>
      </c>
      <c r="AW3646" s="184">
        <v>44408</v>
      </c>
      <c r="AX3646" t="s">
        <v>7714</v>
      </c>
      <c r="AY3646">
        <v>100</v>
      </c>
      <c r="AZ3646" s="184">
        <v>42615</v>
      </c>
      <c r="BA3646" t="s">
        <v>27812</v>
      </c>
      <c r="BB3646">
        <v>150</v>
      </c>
      <c r="BC3646">
        <v>65</v>
      </c>
      <c r="BD3646">
        <v>1540</v>
      </c>
      <c r="BE3646">
        <v>2008</v>
      </c>
      <c r="BF3646">
        <v>16</v>
      </c>
      <c r="BI3646">
        <v>11</v>
      </c>
      <c r="BJ3646">
        <v>17</v>
      </c>
      <c r="BK3646">
        <v>6</v>
      </c>
      <c r="BN3646" t="s">
        <v>595</v>
      </c>
      <c r="BP3646" s="184"/>
    </row>
    <row r="3647" spans="1:68">
      <c r="A3647">
        <v>100125868</v>
      </c>
      <c r="B3647">
        <v>46104170</v>
      </c>
      <c r="C3647" t="s">
        <v>7018</v>
      </c>
      <c r="E3647" s="184"/>
      <c r="G3647" s="184"/>
      <c r="I3647" s="184"/>
      <c r="J3647" t="s">
        <v>595</v>
      </c>
      <c r="K3647" s="184">
        <v>43881</v>
      </c>
      <c r="M3647" s="184"/>
      <c r="O3647" s="184"/>
      <c r="P3647" t="s">
        <v>7045</v>
      </c>
      <c r="Q3647" t="s">
        <v>7160</v>
      </c>
      <c r="R3647" s="184">
        <v>21033</v>
      </c>
      <c r="S3647">
        <v>66</v>
      </c>
      <c r="U3647" t="s">
        <v>7130</v>
      </c>
      <c r="V3647" t="s">
        <v>15440</v>
      </c>
      <c r="X3647" t="s">
        <v>27804</v>
      </c>
      <c r="Z3647">
        <v>46104170</v>
      </c>
      <c r="AA3647" t="s">
        <v>7031</v>
      </c>
      <c r="AB3647" t="s">
        <v>5544</v>
      </c>
      <c r="AD3647" t="s">
        <v>27804</v>
      </c>
      <c r="AF3647" t="s">
        <v>27805</v>
      </c>
      <c r="AG3647" t="s">
        <v>27806</v>
      </c>
      <c r="AI3647" t="s">
        <v>27807</v>
      </c>
      <c r="AM3647" t="s">
        <v>4984</v>
      </c>
      <c r="AN3647" t="s">
        <v>2675</v>
      </c>
      <c r="AO3647" t="s">
        <v>27808</v>
      </c>
      <c r="AP3647" t="s">
        <v>7024</v>
      </c>
      <c r="AQ3647" t="s">
        <v>27813</v>
      </c>
      <c r="AT3647" s="184"/>
      <c r="AW3647" s="184"/>
      <c r="AZ3647" s="184"/>
      <c r="BP3647" s="184"/>
    </row>
    <row r="3648" spans="1:68">
      <c r="A3648">
        <v>46497210</v>
      </c>
      <c r="B3648">
        <v>46497210</v>
      </c>
      <c r="C3648" t="s">
        <v>7018</v>
      </c>
      <c r="E3648" s="184"/>
      <c r="G3648" s="184"/>
      <c r="H3648" t="s">
        <v>595</v>
      </c>
      <c r="I3648" s="184">
        <v>45403</v>
      </c>
      <c r="K3648" s="184"/>
      <c r="O3648" s="184"/>
      <c r="P3648" t="s">
        <v>7045</v>
      </c>
      <c r="Q3648" t="s">
        <v>7020</v>
      </c>
      <c r="R3648" s="184">
        <v>16212</v>
      </c>
      <c r="S3648">
        <v>79</v>
      </c>
      <c r="U3648" t="s">
        <v>7076</v>
      </c>
      <c r="V3648" t="s">
        <v>3444</v>
      </c>
      <c r="X3648" t="s">
        <v>27814</v>
      </c>
      <c r="AF3648" t="s">
        <v>27815</v>
      </c>
      <c r="AG3648" t="s">
        <v>3444</v>
      </c>
      <c r="AI3648" t="s">
        <v>27816</v>
      </c>
      <c r="AM3648" t="s">
        <v>27817</v>
      </c>
      <c r="AN3648" t="s">
        <v>2112</v>
      </c>
      <c r="AO3648" t="s">
        <v>27818</v>
      </c>
      <c r="AP3648" t="s">
        <v>7024</v>
      </c>
      <c r="AT3648" s="184">
        <v>39619</v>
      </c>
      <c r="AU3648" t="s">
        <v>27819</v>
      </c>
      <c r="AV3648">
        <v>10</v>
      </c>
      <c r="AW3648" s="184">
        <v>45408</v>
      </c>
      <c r="AX3648" t="s">
        <v>10980</v>
      </c>
      <c r="AY3648">
        <v>100</v>
      </c>
      <c r="AZ3648" s="184">
        <v>45408</v>
      </c>
      <c r="BA3648" t="s">
        <v>10980</v>
      </c>
      <c r="BB3648">
        <v>100</v>
      </c>
      <c r="BC3648">
        <v>71</v>
      </c>
      <c r="BD3648">
        <v>405</v>
      </c>
      <c r="BE3648">
        <v>2008</v>
      </c>
      <c r="BF3648">
        <v>18</v>
      </c>
      <c r="BG3648">
        <v>4</v>
      </c>
      <c r="BH3648">
        <v>160</v>
      </c>
      <c r="BI3648">
        <v>12</v>
      </c>
      <c r="BJ3648">
        <v>17</v>
      </c>
      <c r="BK3648">
        <v>4</v>
      </c>
      <c r="BP3648" s="184"/>
    </row>
    <row r="3649" spans="1:68">
      <c r="A3649">
        <v>46542171</v>
      </c>
      <c r="B3649">
        <v>46542171</v>
      </c>
      <c r="C3649" t="s">
        <v>7018</v>
      </c>
      <c r="D3649" t="s">
        <v>595</v>
      </c>
      <c r="E3649" s="184">
        <v>45195</v>
      </c>
      <c r="G3649" s="184"/>
      <c r="I3649" s="184"/>
      <c r="K3649" s="184"/>
      <c r="O3649" s="184"/>
      <c r="P3649" t="s">
        <v>7045</v>
      </c>
      <c r="Q3649" t="s">
        <v>7030</v>
      </c>
      <c r="R3649" s="184">
        <v>15766</v>
      </c>
      <c r="S3649">
        <v>81</v>
      </c>
      <c r="U3649" t="s">
        <v>7130</v>
      </c>
      <c r="V3649" t="s">
        <v>3306</v>
      </c>
      <c r="X3649" t="s">
        <v>27820</v>
      </c>
      <c r="AF3649" t="s">
        <v>27821</v>
      </c>
      <c r="AG3649" t="s">
        <v>3306</v>
      </c>
      <c r="AI3649" t="s">
        <v>27822</v>
      </c>
      <c r="AM3649" t="s">
        <v>9688</v>
      </c>
      <c r="AN3649" t="s">
        <v>2089</v>
      </c>
      <c r="AO3649" t="s">
        <v>27823</v>
      </c>
      <c r="AP3649" t="s">
        <v>7024</v>
      </c>
      <c r="AQ3649" t="s">
        <v>27824</v>
      </c>
      <c r="AT3649" s="184">
        <v>39622</v>
      </c>
      <c r="AU3649" t="s">
        <v>27825</v>
      </c>
      <c r="AV3649">
        <v>10</v>
      </c>
      <c r="AW3649" s="184">
        <v>44937</v>
      </c>
      <c r="AX3649" t="s">
        <v>27826</v>
      </c>
      <c r="AY3649">
        <v>5</v>
      </c>
      <c r="AZ3649" s="184">
        <v>43868</v>
      </c>
      <c r="BA3649" t="s">
        <v>27827</v>
      </c>
      <c r="BB3649">
        <v>25</v>
      </c>
      <c r="BC3649">
        <v>42</v>
      </c>
      <c r="BD3649">
        <v>103</v>
      </c>
      <c r="BE3649">
        <v>2008</v>
      </c>
      <c r="BF3649">
        <v>9</v>
      </c>
      <c r="BG3649">
        <v>1</v>
      </c>
      <c r="BH3649">
        <v>5</v>
      </c>
      <c r="BI3649">
        <v>7</v>
      </c>
      <c r="BJ3649">
        <v>17</v>
      </c>
      <c r="BK3649">
        <v>4</v>
      </c>
      <c r="BP3649" s="184"/>
    </row>
    <row r="3650" spans="1:68">
      <c r="A3650">
        <v>46637575</v>
      </c>
      <c r="B3650">
        <v>46637575</v>
      </c>
      <c r="C3650" t="s">
        <v>7018</v>
      </c>
      <c r="D3650" t="s">
        <v>595</v>
      </c>
      <c r="E3650" s="184">
        <v>44167</v>
      </c>
      <c r="G3650" s="184"/>
      <c r="I3650" s="184"/>
      <c r="K3650" s="184"/>
      <c r="M3650" s="184"/>
      <c r="P3650" t="s">
        <v>7045</v>
      </c>
      <c r="Q3650" t="s">
        <v>7374</v>
      </c>
      <c r="R3650" s="184">
        <v>16805</v>
      </c>
      <c r="S3650">
        <v>78</v>
      </c>
      <c r="U3650" t="s">
        <v>7031</v>
      </c>
      <c r="V3650" t="s">
        <v>2851</v>
      </c>
      <c r="X3650" t="s">
        <v>27828</v>
      </c>
      <c r="Z3650">
        <v>100818493</v>
      </c>
      <c r="AA3650" t="s">
        <v>7076</v>
      </c>
      <c r="AB3650" t="s">
        <v>3230</v>
      </c>
      <c r="AD3650" t="s">
        <v>27829</v>
      </c>
      <c r="AF3650" t="s">
        <v>27830</v>
      </c>
      <c r="AG3650" t="s">
        <v>27831</v>
      </c>
      <c r="AI3650" t="s">
        <v>27832</v>
      </c>
      <c r="AM3650" t="s">
        <v>16197</v>
      </c>
      <c r="AN3650" t="s">
        <v>2526</v>
      </c>
      <c r="AO3650" t="s">
        <v>27833</v>
      </c>
      <c r="AP3650" t="s">
        <v>7024</v>
      </c>
      <c r="AQ3650" t="s">
        <v>27834</v>
      </c>
      <c r="AR3650" t="s">
        <v>27835</v>
      </c>
      <c r="AT3650" s="184">
        <v>39625</v>
      </c>
      <c r="AU3650" t="s">
        <v>27836</v>
      </c>
      <c r="AV3650">
        <v>50</v>
      </c>
      <c r="AW3650" s="184">
        <v>44900</v>
      </c>
      <c r="AX3650" t="s">
        <v>27837</v>
      </c>
      <c r="AY3650">
        <v>50</v>
      </c>
      <c r="AZ3650" s="184">
        <v>40647</v>
      </c>
      <c r="BA3650" t="s">
        <v>27838</v>
      </c>
      <c r="BB3650">
        <v>75</v>
      </c>
      <c r="BC3650">
        <v>53</v>
      </c>
      <c r="BD3650">
        <v>665</v>
      </c>
      <c r="BE3650">
        <v>2008</v>
      </c>
      <c r="BF3650">
        <v>12</v>
      </c>
      <c r="BG3650">
        <v>3</v>
      </c>
      <c r="BH3650">
        <v>170</v>
      </c>
      <c r="BI3650">
        <v>9</v>
      </c>
      <c r="BJ3650">
        <v>17</v>
      </c>
      <c r="BK3650">
        <v>4</v>
      </c>
      <c r="BP3650" s="184"/>
    </row>
    <row r="3651" spans="1:68">
      <c r="A3651">
        <v>46641577</v>
      </c>
      <c r="B3651">
        <v>46641577</v>
      </c>
      <c r="C3651" t="s">
        <v>7018</v>
      </c>
      <c r="D3651" t="s">
        <v>595</v>
      </c>
      <c r="E3651" s="184">
        <v>43773</v>
      </c>
      <c r="G3651" s="184"/>
      <c r="I3651" s="184"/>
      <c r="K3651" s="184"/>
      <c r="M3651" s="184"/>
      <c r="O3651" s="184"/>
      <c r="P3651" t="s">
        <v>7045</v>
      </c>
      <c r="Q3651" t="s">
        <v>7374</v>
      </c>
      <c r="R3651" s="184">
        <v>16654</v>
      </c>
      <c r="S3651">
        <v>78</v>
      </c>
      <c r="V3651" t="s">
        <v>4279</v>
      </c>
      <c r="X3651" t="s">
        <v>4280</v>
      </c>
      <c r="AF3651" t="s">
        <v>27839</v>
      </c>
      <c r="AG3651" t="s">
        <v>4279</v>
      </c>
      <c r="AI3651" t="s">
        <v>27840</v>
      </c>
      <c r="AM3651" t="s">
        <v>4281</v>
      </c>
      <c r="AN3651" t="s">
        <v>2081</v>
      </c>
      <c r="AO3651" t="s">
        <v>27841</v>
      </c>
      <c r="AP3651" t="s">
        <v>7024</v>
      </c>
      <c r="AT3651" s="184">
        <v>39625</v>
      </c>
      <c r="AU3651" t="s">
        <v>7949</v>
      </c>
      <c r="AV3651">
        <v>25</v>
      </c>
      <c r="AW3651" s="184">
        <v>45258</v>
      </c>
      <c r="AX3651" t="s">
        <v>27842</v>
      </c>
      <c r="AY3651">
        <v>200</v>
      </c>
      <c r="AZ3651" s="184">
        <v>45258</v>
      </c>
      <c r="BA3651" t="s">
        <v>27842</v>
      </c>
      <c r="BB3651">
        <v>200</v>
      </c>
      <c r="BC3651">
        <v>71</v>
      </c>
      <c r="BD3651">
        <v>1010</v>
      </c>
      <c r="BE3651">
        <v>2008</v>
      </c>
      <c r="BF3651">
        <v>13</v>
      </c>
      <c r="BG3651">
        <v>1</v>
      </c>
      <c r="BH3651">
        <v>200</v>
      </c>
      <c r="BI3651">
        <v>12</v>
      </c>
      <c r="BJ3651">
        <v>17</v>
      </c>
      <c r="BK3651">
        <v>4</v>
      </c>
      <c r="BN3651" t="s">
        <v>595</v>
      </c>
      <c r="BP3651" s="184"/>
    </row>
    <row r="3652" spans="1:68">
      <c r="A3652">
        <v>46663779</v>
      </c>
      <c r="B3652">
        <v>46663779</v>
      </c>
      <c r="C3652" t="s">
        <v>7018</v>
      </c>
      <c r="E3652" s="184"/>
      <c r="G3652" s="184"/>
      <c r="I3652" s="184"/>
      <c r="K3652" s="184"/>
      <c r="N3652" t="s">
        <v>595</v>
      </c>
      <c r="O3652" s="184">
        <v>40196</v>
      </c>
      <c r="P3652" t="s">
        <v>7045</v>
      </c>
      <c r="Q3652" t="s">
        <v>7383</v>
      </c>
      <c r="R3652" s="184">
        <v>9914</v>
      </c>
      <c r="S3652">
        <v>97</v>
      </c>
      <c r="U3652" t="s">
        <v>7076</v>
      </c>
      <c r="V3652" t="s">
        <v>3468</v>
      </c>
      <c r="X3652" t="s">
        <v>2880</v>
      </c>
      <c r="AF3652" t="s">
        <v>27843</v>
      </c>
      <c r="AG3652" t="s">
        <v>3468</v>
      </c>
      <c r="AI3652" t="s">
        <v>27844</v>
      </c>
      <c r="AM3652" t="s">
        <v>3761</v>
      </c>
      <c r="AN3652" t="s">
        <v>2059</v>
      </c>
      <c r="AO3652" t="s">
        <v>27845</v>
      </c>
      <c r="AP3652" t="s">
        <v>7024</v>
      </c>
      <c r="AT3652" s="184">
        <v>39637</v>
      </c>
      <c r="AU3652" t="s">
        <v>11586</v>
      </c>
      <c r="AV3652">
        <v>300</v>
      </c>
      <c r="AW3652" s="184">
        <v>42997</v>
      </c>
      <c r="AX3652" t="s">
        <v>27846</v>
      </c>
      <c r="AY3652">
        <v>100</v>
      </c>
      <c r="AZ3652" s="184">
        <v>40196</v>
      </c>
      <c r="BA3652" t="s">
        <v>20993</v>
      </c>
      <c r="BB3652">
        <v>10000</v>
      </c>
      <c r="BC3652">
        <v>53</v>
      </c>
      <c r="BD3652">
        <v>13650</v>
      </c>
      <c r="BE3652">
        <v>2009</v>
      </c>
      <c r="BF3652">
        <v>27</v>
      </c>
      <c r="BI3652">
        <v>9</v>
      </c>
      <c r="BJ3652">
        <v>17</v>
      </c>
      <c r="BK3652">
        <v>6</v>
      </c>
      <c r="BO3652" t="s">
        <v>595</v>
      </c>
      <c r="BP3652" s="184">
        <v>43605</v>
      </c>
    </row>
    <row r="3653" spans="1:68">
      <c r="A3653">
        <v>46695979</v>
      </c>
      <c r="B3653">
        <v>46695979</v>
      </c>
      <c r="C3653" t="s">
        <v>7018</v>
      </c>
      <c r="D3653" t="s">
        <v>595</v>
      </c>
      <c r="E3653" s="184">
        <v>45113</v>
      </c>
      <c r="G3653" s="184"/>
      <c r="I3653" s="184"/>
      <c r="K3653" s="184"/>
      <c r="O3653" s="184"/>
      <c r="P3653" t="s">
        <v>7045</v>
      </c>
      <c r="Q3653" t="s">
        <v>7383</v>
      </c>
      <c r="R3653" s="184">
        <v>25312</v>
      </c>
      <c r="S3653">
        <v>55</v>
      </c>
      <c r="V3653" t="s">
        <v>27847</v>
      </c>
      <c r="W3653" t="s">
        <v>2049</v>
      </c>
      <c r="X3653" t="s">
        <v>4629</v>
      </c>
      <c r="AF3653" t="s">
        <v>27848</v>
      </c>
      <c r="AG3653" t="s">
        <v>27847</v>
      </c>
      <c r="AI3653" t="s">
        <v>27849</v>
      </c>
      <c r="AM3653" t="s">
        <v>27850</v>
      </c>
      <c r="AN3653" t="s">
        <v>2072</v>
      </c>
      <c r="AO3653" t="s">
        <v>27851</v>
      </c>
      <c r="AP3653" t="s">
        <v>7024</v>
      </c>
      <c r="AQ3653" t="s">
        <v>27852</v>
      </c>
      <c r="AT3653" s="184">
        <v>39629</v>
      </c>
      <c r="AU3653" t="s">
        <v>27853</v>
      </c>
      <c r="AV3653">
        <v>15</v>
      </c>
      <c r="AW3653" s="184">
        <v>44063</v>
      </c>
      <c r="AX3653" t="s">
        <v>27854</v>
      </c>
      <c r="AY3653">
        <v>15</v>
      </c>
      <c r="AZ3653" s="184">
        <v>42732</v>
      </c>
      <c r="BA3653" t="s">
        <v>27855</v>
      </c>
      <c r="BB3653">
        <v>35</v>
      </c>
      <c r="BC3653">
        <v>42</v>
      </c>
      <c r="BD3653">
        <v>145</v>
      </c>
      <c r="BE3653">
        <v>2008</v>
      </c>
      <c r="BF3653">
        <v>7</v>
      </c>
      <c r="BI3653">
        <v>7</v>
      </c>
      <c r="BJ3653">
        <v>17</v>
      </c>
      <c r="BK3653">
        <v>3</v>
      </c>
      <c r="BP3653" s="184"/>
    </row>
    <row r="3654" spans="1:68">
      <c r="A3654">
        <v>46802773</v>
      </c>
      <c r="B3654">
        <v>46802773</v>
      </c>
      <c r="C3654" t="s">
        <v>7018</v>
      </c>
      <c r="D3654" t="s">
        <v>595</v>
      </c>
      <c r="E3654" s="184">
        <v>43801</v>
      </c>
      <c r="G3654" s="184"/>
      <c r="I3654" s="184"/>
      <c r="K3654" s="184"/>
      <c r="O3654" s="184"/>
      <c r="P3654" t="s">
        <v>7045</v>
      </c>
      <c r="Q3654" t="s">
        <v>7454</v>
      </c>
      <c r="R3654" s="184">
        <v>21398</v>
      </c>
      <c r="S3654">
        <v>65</v>
      </c>
      <c r="V3654" t="s">
        <v>3293</v>
      </c>
      <c r="X3654" t="s">
        <v>4435</v>
      </c>
      <c r="AF3654" t="s">
        <v>27856</v>
      </c>
      <c r="AG3654" t="s">
        <v>3293</v>
      </c>
      <c r="AI3654" t="s">
        <v>27857</v>
      </c>
      <c r="AM3654" t="s">
        <v>4436</v>
      </c>
      <c r="AN3654" t="s">
        <v>2299</v>
      </c>
      <c r="AO3654" t="s">
        <v>27858</v>
      </c>
      <c r="AP3654" t="s">
        <v>7024</v>
      </c>
      <c r="AQ3654" t="s">
        <v>27859</v>
      </c>
      <c r="AT3654" s="184">
        <v>39632</v>
      </c>
      <c r="AU3654" t="s">
        <v>27860</v>
      </c>
      <c r="AV3654">
        <v>15</v>
      </c>
      <c r="AW3654" s="184">
        <v>45296</v>
      </c>
      <c r="AX3654" t="s">
        <v>13134</v>
      </c>
      <c r="AY3654">
        <v>50</v>
      </c>
      <c r="AZ3654" s="184">
        <v>39919</v>
      </c>
      <c r="BA3654" t="s">
        <v>27861</v>
      </c>
      <c r="BB3654">
        <v>60</v>
      </c>
      <c r="BC3654">
        <v>83</v>
      </c>
      <c r="BD3654">
        <v>750</v>
      </c>
      <c r="BE3654">
        <v>2009</v>
      </c>
      <c r="BF3654">
        <v>16</v>
      </c>
      <c r="BG3654">
        <v>2</v>
      </c>
      <c r="BH3654">
        <v>100</v>
      </c>
      <c r="BI3654">
        <v>14</v>
      </c>
      <c r="BJ3654">
        <v>17</v>
      </c>
      <c r="BK3654">
        <v>10</v>
      </c>
    </row>
    <row r="3655" spans="1:68">
      <c r="A3655">
        <v>46860573</v>
      </c>
      <c r="B3655">
        <v>46860573</v>
      </c>
      <c r="C3655" t="s">
        <v>7018</v>
      </c>
      <c r="E3655" s="184"/>
      <c r="G3655" s="184"/>
      <c r="I3655" s="184"/>
      <c r="J3655" t="s">
        <v>595</v>
      </c>
      <c r="K3655" s="184">
        <v>41204</v>
      </c>
      <c r="O3655" s="184"/>
      <c r="P3655" t="s">
        <v>7045</v>
      </c>
      <c r="Q3655" t="s">
        <v>7494</v>
      </c>
      <c r="R3655" s="184"/>
      <c r="U3655" t="s">
        <v>7031</v>
      </c>
      <c r="V3655" t="s">
        <v>27862</v>
      </c>
      <c r="W3655" t="s">
        <v>8224</v>
      </c>
      <c r="X3655" t="s">
        <v>27863</v>
      </c>
      <c r="AF3655" t="s">
        <v>6369</v>
      </c>
      <c r="AG3655" t="s">
        <v>27862</v>
      </c>
      <c r="AI3655" t="s">
        <v>27864</v>
      </c>
      <c r="AM3655" t="s">
        <v>4006</v>
      </c>
      <c r="AN3655" t="s">
        <v>2174</v>
      </c>
      <c r="AO3655" t="s">
        <v>27865</v>
      </c>
      <c r="AP3655" t="s">
        <v>7024</v>
      </c>
      <c r="AQ3655" t="s">
        <v>27866</v>
      </c>
      <c r="AR3655" t="s">
        <v>27867</v>
      </c>
      <c r="AT3655" s="184">
        <v>39637</v>
      </c>
      <c r="AU3655" t="s">
        <v>27687</v>
      </c>
      <c r="AV3655">
        <v>15</v>
      </c>
      <c r="AW3655" s="184">
        <v>45309</v>
      </c>
      <c r="AX3655" t="s">
        <v>7092</v>
      </c>
      <c r="AY3655">
        <v>100</v>
      </c>
      <c r="AZ3655" s="184">
        <v>44600</v>
      </c>
      <c r="BA3655" t="s">
        <v>7851</v>
      </c>
      <c r="BB3655">
        <v>250</v>
      </c>
      <c r="BC3655">
        <v>59</v>
      </c>
      <c r="BD3655">
        <v>1685</v>
      </c>
      <c r="BE3655">
        <v>2009</v>
      </c>
      <c r="BF3655">
        <v>11</v>
      </c>
      <c r="BG3655">
        <v>1</v>
      </c>
      <c r="BH3655">
        <v>100</v>
      </c>
      <c r="BI3655">
        <v>10</v>
      </c>
      <c r="BJ3655">
        <v>17</v>
      </c>
      <c r="BK3655">
        <v>3</v>
      </c>
      <c r="BM3655" t="s">
        <v>595</v>
      </c>
      <c r="BN3655" t="s">
        <v>595</v>
      </c>
      <c r="BP3655" s="184"/>
    </row>
    <row r="3656" spans="1:68">
      <c r="A3656">
        <v>47010822</v>
      </c>
      <c r="B3656">
        <v>47010822</v>
      </c>
      <c r="C3656" t="s">
        <v>7018</v>
      </c>
      <c r="D3656" t="s">
        <v>595</v>
      </c>
      <c r="E3656" s="184">
        <v>44167</v>
      </c>
      <c r="G3656" s="184"/>
      <c r="I3656" s="184"/>
      <c r="K3656" s="184"/>
      <c r="O3656" s="184"/>
      <c r="P3656" t="s">
        <v>7045</v>
      </c>
      <c r="Q3656" t="s">
        <v>7374</v>
      </c>
      <c r="R3656" s="184">
        <v>17132</v>
      </c>
      <c r="S3656">
        <v>77</v>
      </c>
      <c r="U3656" t="s">
        <v>7031</v>
      </c>
      <c r="V3656" t="s">
        <v>2724</v>
      </c>
      <c r="X3656" t="s">
        <v>27868</v>
      </c>
      <c r="AF3656" t="s">
        <v>27869</v>
      </c>
      <c r="AG3656" t="s">
        <v>2724</v>
      </c>
      <c r="AI3656" t="s">
        <v>27870</v>
      </c>
      <c r="AM3656" t="s">
        <v>27871</v>
      </c>
      <c r="AN3656" t="s">
        <v>2081</v>
      </c>
      <c r="AO3656" t="s">
        <v>27872</v>
      </c>
      <c r="AP3656" t="s">
        <v>7024</v>
      </c>
      <c r="AQ3656" t="s">
        <v>27873</v>
      </c>
      <c r="AT3656" s="184">
        <v>39650</v>
      </c>
      <c r="AU3656" t="s">
        <v>27874</v>
      </c>
      <c r="AV3656">
        <v>15</v>
      </c>
      <c r="AW3656" s="184">
        <v>45128</v>
      </c>
      <c r="AX3656" t="s">
        <v>13350</v>
      </c>
      <c r="AY3656">
        <v>25</v>
      </c>
      <c r="AZ3656" s="184">
        <v>45128</v>
      </c>
      <c r="BA3656" t="s">
        <v>13350</v>
      </c>
      <c r="BB3656">
        <v>25</v>
      </c>
      <c r="BC3656">
        <v>65</v>
      </c>
      <c r="BD3656">
        <v>235</v>
      </c>
      <c r="BE3656">
        <v>2009</v>
      </c>
      <c r="BF3656">
        <v>11</v>
      </c>
      <c r="BG3656">
        <v>2</v>
      </c>
      <c r="BH3656">
        <v>50</v>
      </c>
      <c r="BI3656">
        <v>11</v>
      </c>
      <c r="BJ3656">
        <v>17</v>
      </c>
      <c r="BK3656">
        <v>5</v>
      </c>
      <c r="BP3656" s="184"/>
    </row>
    <row r="3657" spans="1:68">
      <c r="A3657">
        <v>47125430</v>
      </c>
      <c r="B3657">
        <v>47125430</v>
      </c>
      <c r="C3657" t="s">
        <v>7018</v>
      </c>
      <c r="E3657" s="184"/>
      <c r="G3657" s="184"/>
      <c r="I3657" s="184"/>
      <c r="J3657" t="s">
        <v>595</v>
      </c>
      <c r="K3657" s="184">
        <v>44104</v>
      </c>
      <c r="M3657" s="184"/>
      <c r="O3657" s="184"/>
      <c r="P3657" t="s">
        <v>7045</v>
      </c>
      <c r="Q3657" t="s">
        <v>7020</v>
      </c>
      <c r="R3657" s="184">
        <v>17746</v>
      </c>
      <c r="S3657">
        <v>75</v>
      </c>
      <c r="V3657" t="s">
        <v>7446</v>
      </c>
      <c r="X3657" t="s">
        <v>27875</v>
      </c>
      <c r="AF3657" t="s">
        <v>27876</v>
      </c>
      <c r="AG3657" t="s">
        <v>7446</v>
      </c>
      <c r="AI3657" t="s">
        <v>27877</v>
      </c>
      <c r="AM3657" t="s">
        <v>27878</v>
      </c>
      <c r="AN3657" t="s">
        <v>2052</v>
      </c>
      <c r="AO3657" t="s">
        <v>27879</v>
      </c>
      <c r="AP3657" t="s">
        <v>7024</v>
      </c>
      <c r="AQ3657" t="s">
        <v>27880</v>
      </c>
      <c r="AT3657" s="184">
        <v>39651</v>
      </c>
      <c r="AU3657" t="s">
        <v>27881</v>
      </c>
      <c r="AV3657">
        <v>25</v>
      </c>
      <c r="AW3657" s="184">
        <v>45345</v>
      </c>
      <c r="AX3657" t="s">
        <v>27882</v>
      </c>
      <c r="AY3657">
        <v>25.6</v>
      </c>
      <c r="AZ3657" s="184">
        <v>44032</v>
      </c>
      <c r="BA3657" t="s">
        <v>9144</v>
      </c>
      <c r="BB3657">
        <v>60</v>
      </c>
      <c r="BC3657">
        <v>83</v>
      </c>
      <c r="BD3657">
        <v>521.20000000000005</v>
      </c>
      <c r="BE3657">
        <v>2009</v>
      </c>
      <c r="BF3657">
        <v>22</v>
      </c>
      <c r="BG3657">
        <v>3</v>
      </c>
      <c r="BH3657">
        <v>55.6</v>
      </c>
      <c r="BI3657">
        <v>14</v>
      </c>
      <c r="BJ3657">
        <v>17</v>
      </c>
      <c r="BK3657">
        <v>6</v>
      </c>
      <c r="BP3657" s="184"/>
    </row>
    <row r="3658" spans="1:68">
      <c r="A3658">
        <v>47126651</v>
      </c>
      <c r="B3658">
        <v>47126651</v>
      </c>
      <c r="C3658" t="s">
        <v>7018</v>
      </c>
      <c r="D3658" t="s">
        <v>595</v>
      </c>
      <c r="E3658" s="184">
        <v>43881</v>
      </c>
      <c r="G3658" s="184"/>
      <c r="I3658" s="184"/>
      <c r="K3658" s="184"/>
      <c r="O3658" s="184"/>
      <c r="P3658" t="s">
        <v>7045</v>
      </c>
      <c r="Q3658" t="s">
        <v>7160</v>
      </c>
      <c r="R3658" s="184">
        <v>17386</v>
      </c>
      <c r="S3658">
        <v>76</v>
      </c>
      <c r="U3658" t="s">
        <v>7076</v>
      </c>
      <c r="V3658" t="s">
        <v>24578</v>
      </c>
      <c r="X3658" t="s">
        <v>5464</v>
      </c>
      <c r="AF3658" t="s">
        <v>27883</v>
      </c>
      <c r="AG3658" t="s">
        <v>24578</v>
      </c>
      <c r="AI3658" t="s">
        <v>27884</v>
      </c>
      <c r="AM3658" t="s">
        <v>27885</v>
      </c>
      <c r="AN3658" t="s">
        <v>2203</v>
      </c>
      <c r="AO3658" t="s">
        <v>27886</v>
      </c>
      <c r="AP3658" t="s">
        <v>7024</v>
      </c>
      <c r="AQ3658" t="s">
        <v>27887</v>
      </c>
      <c r="AR3658" t="s">
        <v>27888</v>
      </c>
      <c r="AT3658" s="184">
        <v>39652</v>
      </c>
      <c r="AU3658" t="s">
        <v>27889</v>
      </c>
      <c r="AV3658">
        <v>25</v>
      </c>
      <c r="AW3658" s="184">
        <v>45408</v>
      </c>
      <c r="AX3658" t="s">
        <v>8483</v>
      </c>
      <c r="AY3658">
        <v>25</v>
      </c>
      <c r="AZ3658" s="184">
        <v>43816</v>
      </c>
      <c r="BA3658" t="s">
        <v>27890</v>
      </c>
      <c r="BB3658">
        <v>50</v>
      </c>
      <c r="BC3658">
        <v>100</v>
      </c>
      <c r="BD3658">
        <v>1760</v>
      </c>
      <c r="BE3658">
        <v>2009</v>
      </c>
      <c r="BF3658">
        <v>65</v>
      </c>
      <c r="BG3658">
        <v>24</v>
      </c>
      <c r="BH3658">
        <v>600</v>
      </c>
      <c r="BI3658">
        <v>17</v>
      </c>
      <c r="BJ3658">
        <v>17</v>
      </c>
      <c r="BK3658">
        <v>17</v>
      </c>
      <c r="BP3658" s="184"/>
    </row>
    <row r="3659" spans="1:68">
      <c r="A3659">
        <v>47204672</v>
      </c>
      <c r="B3659">
        <v>47204672</v>
      </c>
      <c r="C3659" t="s">
        <v>7018</v>
      </c>
      <c r="E3659" s="184"/>
      <c r="G3659" s="184"/>
      <c r="I3659" s="184"/>
      <c r="J3659" t="s">
        <v>595</v>
      </c>
      <c r="K3659" s="184">
        <v>43773</v>
      </c>
      <c r="O3659" s="184"/>
      <c r="P3659" t="s">
        <v>7045</v>
      </c>
      <c r="Q3659" t="s">
        <v>7194</v>
      </c>
      <c r="R3659" s="184">
        <v>18203</v>
      </c>
      <c r="S3659">
        <v>74</v>
      </c>
      <c r="U3659" t="s">
        <v>7031</v>
      </c>
      <c r="V3659" t="s">
        <v>4236</v>
      </c>
      <c r="W3659" t="s">
        <v>2049</v>
      </c>
      <c r="X3659" t="s">
        <v>4237</v>
      </c>
      <c r="AF3659" t="s">
        <v>6432</v>
      </c>
      <c r="AG3659" t="s">
        <v>4236</v>
      </c>
      <c r="AI3659" t="s">
        <v>27891</v>
      </c>
      <c r="AM3659" t="s">
        <v>4238</v>
      </c>
      <c r="AN3659" t="s">
        <v>2046</v>
      </c>
      <c r="AO3659" t="s">
        <v>27892</v>
      </c>
      <c r="AP3659" t="s">
        <v>7024</v>
      </c>
      <c r="AQ3659" t="s">
        <v>27893</v>
      </c>
      <c r="AR3659" t="s">
        <v>27894</v>
      </c>
      <c r="AT3659" s="184">
        <v>39653</v>
      </c>
      <c r="AU3659" t="s">
        <v>27895</v>
      </c>
      <c r="AV3659">
        <v>50</v>
      </c>
      <c r="AW3659" s="184">
        <v>45323</v>
      </c>
      <c r="AX3659" t="s">
        <v>18157</v>
      </c>
      <c r="AY3659">
        <v>25</v>
      </c>
      <c r="AZ3659" s="184">
        <v>42830</v>
      </c>
      <c r="BA3659" t="s">
        <v>27896</v>
      </c>
      <c r="BB3659">
        <v>50</v>
      </c>
      <c r="BC3659">
        <v>89</v>
      </c>
      <c r="BD3659">
        <v>1430</v>
      </c>
      <c r="BE3659">
        <v>2009</v>
      </c>
      <c r="BF3659">
        <v>50</v>
      </c>
      <c r="BG3659">
        <v>5</v>
      </c>
      <c r="BH3659">
        <v>140</v>
      </c>
      <c r="BI3659">
        <v>15</v>
      </c>
      <c r="BJ3659">
        <v>17</v>
      </c>
      <c r="BK3659">
        <v>14</v>
      </c>
      <c r="BN3659" t="s">
        <v>595</v>
      </c>
      <c r="BP3659" s="184"/>
    </row>
    <row r="3660" spans="1:68">
      <c r="A3660">
        <v>47332374</v>
      </c>
      <c r="B3660">
        <v>47332374</v>
      </c>
      <c r="C3660" t="s">
        <v>7018</v>
      </c>
      <c r="D3660" t="s">
        <v>595</v>
      </c>
      <c r="E3660" s="184">
        <v>43745</v>
      </c>
      <c r="G3660" s="184"/>
      <c r="I3660" s="184"/>
      <c r="K3660" s="184"/>
      <c r="M3660" s="184"/>
      <c r="O3660" s="184"/>
      <c r="P3660" t="s">
        <v>7045</v>
      </c>
      <c r="Q3660" t="s">
        <v>7494</v>
      </c>
      <c r="R3660" s="184">
        <v>18323</v>
      </c>
      <c r="S3660">
        <v>74</v>
      </c>
      <c r="U3660" t="s">
        <v>7076</v>
      </c>
      <c r="V3660" t="s">
        <v>2718</v>
      </c>
      <c r="X3660" t="s">
        <v>4162</v>
      </c>
      <c r="AF3660" t="s">
        <v>27897</v>
      </c>
      <c r="AG3660" t="s">
        <v>2718</v>
      </c>
      <c r="AI3660" t="s">
        <v>27898</v>
      </c>
      <c r="AM3660" t="s">
        <v>27899</v>
      </c>
      <c r="AN3660" t="s">
        <v>2484</v>
      </c>
      <c r="AO3660" t="s">
        <v>27900</v>
      </c>
      <c r="AP3660" t="s">
        <v>7024</v>
      </c>
      <c r="AT3660" s="184">
        <v>39658</v>
      </c>
      <c r="AU3660" t="s">
        <v>27901</v>
      </c>
      <c r="AV3660">
        <v>15</v>
      </c>
      <c r="AW3660" s="184">
        <v>44061</v>
      </c>
      <c r="AX3660" t="s">
        <v>27902</v>
      </c>
      <c r="AY3660">
        <v>30</v>
      </c>
      <c r="AZ3660" s="184">
        <v>44061</v>
      </c>
      <c r="BA3660" t="s">
        <v>27902</v>
      </c>
      <c r="BB3660">
        <v>30</v>
      </c>
      <c r="BC3660">
        <v>59</v>
      </c>
      <c r="BD3660">
        <v>280</v>
      </c>
      <c r="BE3660">
        <v>2009</v>
      </c>
      <c r="BF3660">
        <v>12</v>
      </c>
      <c r="BI3660">
        <v>10</v>
      </c>
      <c r="BJ3660">
        <v>17</v>
      </c>
      <c r="BK3660">
        <v>5</v>
      </c>
      <c r="BP3660" s="184"/>
    </row>
    <row r="3661" spans="1:68">
      <c r="A3661">
        <v>47433974</v>
      </c>
      <c r="B3661">
        <v>47433974</v>
      </c>
      <c r="C3661" t="s">
        <v>7018</v>
      </c>
      <c r="E3661" s="184"/>
      <c r="G3661" s="184"/>
      <c r="I3661" s="184"/>
      <c r="K3661" s="184"/>
      <c r="M3661" s="184"/>
      <c r="N3661" t="s">
        <v>595</v>
      </c>
      <c r="O3661" s="184">
        <v>40443</v>
      </c>
      <c r="P3661" t="s">
        <v>7045</v>
      </c>
      <c r="Q3661" t="s">
        <v>7020</v>
      </c>
      <c r="R3661" s="184">
        <v>13089</v>
      </c>
      <c r="S3661">
        <v>88</v>
      </c>
      <c r="V3661" t="s">
        <v>2863</v>
      </c>
      <c r="X3661" t="s">
        <v>27903</v>
      </c>
      <c r="Z3661">
        <v>100126504</v>
      </c>
      <c r="AB3661" t="s">
        <v>2969</v>
      </c>
      <c r="AD3661" t="s">
        <v>27904</v>
      </c>
      <c r="AF3661" t="s">
        <v>6015</v>
      </c>
      <c r="AG3661" t="s">
        <v>27905</v>
      </c>
      <c r="AI3661" t="s">
        <v>27906</v>
      </c>
      <c r="AM3661" t="s">
        <v>27907</v>
      </c>
      <c r="AN3661" t="s">
        <v>2255</v>
      </c>
      <c r="AO3661" t="s">
        <v>27908</v>
      </c>
      <c r="AP3661" t="s">
        <v>7024</v>
      </c>
      <c r="AQ3661" t="s">
        <v>27909</v>
      </c>
      <c r="AT3661" s="184">
        <v>39659</v>
      </c>
      <c r="AU3661" t="s">
        <v>27707</v>
      </c>
      <c r="AV3661">
        <v>25</v>
      </c>
      <c r="AW3661" s="184">
        <v>45369</v>
      </c>
      <c r="AX3661" t="s">
        <v>27910</v>
      </c>
      <c r="AY3661">
        <v>250</v>
      </c>
      <c r="AZ3661" s="184">
        <v>40443</v>
      </c>
      <c r="BA3661" t="s">
        <v>7415</v>
      </c>
      <c r="BB3661">
        <v>10000</v>
      </c>
      <c r="BC3661">
        <v>65</v>
      </c>
      <c r="BD3661">
        <v>11515</v>
      </c>
      <c r="BE3661">
        <v>2009</v>
      </c>
      <c r="BF3661">
        <v>12</v>
      </c>
      <c r="BG3661">
        <v>1</v>
      </c>
      <c r="BH3661">
        <v>250</v>
      </c>
      <c r="BI3661">
        <v>11</v>
      </c>
      <c r="BJ3661">
        <v>17</v>
      </c>
      <c r="BK3661">
        <v>4</v>
      </c>
    </row>
    <row r="3662" spans="1:68">
      <c r="A3662">
        <v>100126504</v>
      </c>
      <c r="B3662">
        <v>47433974</v>
      </c>
      <c r="C3662" t="s">
        <v>7018</v>
      </c>
      <c r="E3662" s="184"/>
      <c r="G3662" s="184"/>
      <c r="I3662" s="184"/>
      <c r="K3662" s="184"/>
      <c r="M3662" s="184"/>
      <c r="N3662" t="s">
        <v>595</v>
      </c>
      <c r="O3662" s="184">
        <v>40443</v>
      </c>
      <c r="P3662" t="s">
        <v>7045</v>
      </c>
      <c r="Q3662" t="s">
        <v>7020</v>
      </c>
      <c r="R3662" s="184">
        <v>13089</v>
      </c>
      <c r="S3662">
        <v>88</v>
      </c>
      <c r="V3662" t="s">
        <v>2969</v>
      </c>
      <c r="X3662" t="s">
        <v>27904</v>
      </c>
      <c r="Z3662">
        <v>47433974</v>
      </c>
      <c r="AB3662" t="s">
        <v>2863</v>
      </c>
      <c r="AD3662" t="s">
        <v>27903</v>
      </c>
      <c r="AF3662" t="s">
        <v>6015</v>
      </c>
      <c r="AG3662" t="s">
        <v>27905</v>
      </c>
      <c r="AI3662" t="s">
        <v>27906</v>
      </c>
      <c r="AM3662" t="s">
        <v>27907</v>
      </c>
      <c r="AN3662" t="s">
        <v>2255</v>
      </c>
      <c r="AO3662" t="s">
        <v>27908</v>
      </c>
      <c r="AP3662" t="s">
        <v>7024</v>
      </c>
      <c r="AQ3662" t="s">
        <v>27909</v>
      </c>
      <c r="AT3662" s="184">
        <v>44932</v>
      </c>
      <c r="AU3662" t="s">
        <v>27911</v>
      </c>
      <c r="AV3662">
        <v>250</v>
      </c>
      <c r="AW3662" s="184">
        <v>44977</v>
      </c>
      <c r="AX3662" t="s">
        <v>27912</v>
      </c>
      <c r="AY3662">
        <v>250</v>
      </c>
      <c r="AZ3662" s="184">
        <v>44977</v>
      </c>
      <c r="BA3662" t="s">
        <v>27912</v>
      </c>
      <c r="BB3662">
        <v>250</v>
      </c>
      <c r="BC3662">
        <v>50</v>
      </c>
      <c r="BD3662">
        <v>500</v>
      </c>
      <c r="BE3662">
        <v>2023</v>
      </c>
      <c r="BF3662">
        <v>2</v>
      </c>
      <c r="BG3662">
        <v>2</v>
      </c>
      <c r="BH3662">
        <v>500</v>
      </c>
      <c r="BI3662">
        <v>1</v>
      </c>
      <c r="BJ3662">
        <v>2</v>
      </c>
      <c r="BK3662">
        <v>1</v>
      </c>
      <c r="BP3662" s="184"/>
    </row>
    <row r="3663" spans="1:68">
      <c r="A3663">
        <v>47680574</v>
      </c>
      <c r="B3663">
        <v>47680574</v>
      </c>
      <c r="C3663" t="s">
        <v>7018</v>
      </c>
      <c r="D3663" t="s">
        <v>595</v>
      </c>
      <c r="E3663" s="184">
        <v>45120</v>
      </c>
      <c r="G3663" s="184"/>
      <c r="I3663" s="184"/>
      <c r="K3663" s="184"/>
      <c r="M3663" s="184"/>
      <c r="O3663" s="184"/>
      <c r="P3663" t="s">
        <v>7045</v>
      </c>
      <c r="Q3663" t="s">
        <v>7262</v>
      </c>
      <c r="R3663" s="184">
        <v>26543</v>
      </c>
      <c r="S3663">
        <v>51</v>
      </c>
      <c r="U3663" t="s">
        <v>7076</v>
      </c>
      <c r="V3663" t="s">
        <v>27913</v>
      </c>
      <c r="W3663" t="s">
        <v>27914</v>
      </c>
      <c r="X3663" t="s">
        <v>27914</v>
      </c>
      <c r="AF3663" t="s">
        <v>27915</v>
      </c>
      <c r="AG3663" t="s">
        <v>27913</v>
      </c>
      <c r="AI3663" t="s">
        <v>27916</v>
      </c>
      <c r="AM3663" t="s">
        <v>3362</v>
      </c>
      <c r="AN3663" t="s">
        <v>2106</v>
      </c>
      <c r="AO3663" t="s">
        <v>27917</v>
      </c>
      <c r="AP3663" t="s">
        <v>7024</v>
      </c>
      <c r="AQ3663" t="s">
        <v>27918</v>
      </c>
      <c r="AR3663" t="s">
        <v>27919</v>
      </c>
      <c r="AT3663" s="184">
        <v>39664</v>
      </c>
      <c r="AU3663" t="s">
        <v>27901</v>
      </c>
      <c r="AV3663">
        <v>15</v>
      </c>
      <c r="AW3663" s="184">
        <v>45151</v>
      </c>
      <c r="AX3663" t="s">
        <v>14164</v>
      </c>
      <c r="AY3663">
        <v>35</v>
      </c>
      <c r="AZ3663" s="184">
        <v>42232</v>
      </c>
      <c r="BA3663" t="s">
        <v>25426</v>
      </c>
      <c r="BB3663">
        <v>50</v>
      </c>
      <c r="BC3663">
        <v>83</v>
      </c>
      <c r="BD3663">
        <v>582</v>
      </c>
      <c r="BE3663">
        <v>2009</v>
      </c>
      <c r="BF3663">
        <v>19</v>
      </c>
      <c r="BG3663">
        <v>2</v>
      </c>
      <c r="BH3663">
        <v>70</v>
      </c>
      <c r="BI3663">
        <v>14</v>
      </c>
      <c r="BJ3663">
        <v>17</v>
      </c>
      <c r="BK3663">
        <v>8</v>
      </c>
      <c r="BP3663" s="184"/>
    </row>
    <row r="3664" spans="1:68">
      <c r="A3664">
        <v>47705173</v>
      </c>
      <c r="B3664">
        <v>47705173</v>
      </c>
      <c r="C3664" t="s">
        <v>7018</v>
      </c>
      <c r="D3664" t="s">
        <v>595</v>
      </c>
      <c r="E3664" s="184">
        <v>45147</v>
      </c>
      <c r="G3664" s="184"/>
      <c r="I3664" s="184"/>
      <c r="K3664" s="184"/>
      <c r="M3664" s="184"/>
      <c r="O3664" s="184"/>
      <c r="P3664" t="s">
        <v>7045</v>
      </c>
      <c r="Q3664" t="s">
        <v>7383</v>
      </c>
      <c r="R3664" s="184">
        <v>18780</v>
      </c>
      <c r="S3664">
        <v>72</v>
      </c>
      <c r="V3664" t="s">
        <v>3444</v>
      </c>
      <c r="W3664" t="s">
        <v>7067</v>
      </c>
      <c r="X3664" t="s">
        <v>14446</v>
      </c>
      <c r="AF3664" t="s">
        <v>27920</v>
      </c>
      <c r="AG3664" t="s">
        <v>3444</v>
      </c>
      <c r="AI3664" t="s">
        <v>27921</v>
      </c>
      <c r="AM3664" t="s">
        <v>3783</v>
      </c>
      <c r="AN3664" t="s">
        <v>2139</v>
      </c>
      <c r="AO3664" t="s">
        <v>27922</v>
      </c>
      <c r="AP3664" t="s">
        <v>7024</v>
      </c>
      <c r="AQ3664" t="s">
        <v>27923</v>
      </c>
      <c r="AT3664" s="184">
        <v>39664</v>
      </c>
      <c r="AU3664" t="s">
        <v>27924</v>
      </c>
      <c r="AV3664">
        <v>15</v>
      </c>
      <c r="AW3664" s="184">
        <v>45301</v>
      </c>
      <c r="AX3664" t="s">
        <v>7578</v>
      </c>
      <c r="AY3664">
        <v>25</v>
      </c>
      <c r="AZ3664" s="184">
        <v>45301</v>
      </c>
      <c r="BA3664" t="s">
        <v>7578</v>
      </c>
      <c r="BB3664">
        <v>25</v>
      </c>
      <c r="BC3664">
        <v>59</v>
      </c>
      <c r="BD3664">
        <v>345</v>
      </c>
      <c r="BE3664">
        <v>2009</v>
      </c>
      <c r="BF3664">
        <v>18</v>
      </c>
      <c r="BG3664">
        <v>4</v>
      </c>
      <c r="BH3664">
        <v>70</v>
      </c>
      <c r="BI3664">
        <v>10</v>
      </c>
      <c r="BJ3664">
        <v>17</v>
      </c>
      <c r="BK3664">
        <v>8</v>
      </c>
      <c r="BP3664" s="184"/>
    </row>
    <row r="3665" spans="1:68">
      <c r="A3665">
        <v>47950985</v>
      </c>
      <c r="B3665">
        <v>47950985</v>
      </c>
      <c r="C3665" t="s">
        <v>7018</v>
      </c>
      <c r="D3665" t="s">
        <v>595</v>
      </c>
      <c r="E3665" s="184">
        <v>44167</v>
      </c>
      <c r="G3665" s="184"/>
      <c r="I3665" s="184"/>
      <c r="K3665" s="184"/>
      <c r="M3665" s="184"/>
      <c r="O3665" s="184"/>
      <c r="P3665" t="s">
        <v>7045</v>
      </c>
      <c r="Q3665" t="s">
        <v>7160</v>
      </c>
      <c r="R3665" s="184">
        <v>16984</v>
      </c>
      <c r="S3665">
        <v>77</v>
      </c>
      <c r="U3665" t="s">
        <v>7130</v>
      </c>
      <c r="V3665" t="s">
        <v>4013</v>
      </c>
      <c r="X3665" t="s">
        <v>27925</v>
      </c>
      <c r="AF3665" t="s">
        <v>27926</v>
      </c>
      <c r="AG3665" t="s">
        <v>27927</v>
      </c>
      <c r="AI3665" t="s">
        <v>27928</v>
      </c>
      <c r="AM3665" t="s">
        <v>3037</v>
      </c>
      <c r="AN3665" t="s">
        <v>2176</v>
      </c>
      <c r="AO3665" t="s">
        <v>27929</v>
      </c>
      <c r="AP3665" t="s">
        <v>7024</v>
      </c>
      <c r="AQ3665" t="s">
        <v>27930</v>
      </c>
      <c r="AT3665" s="184">
        <v>39671</v>
      </c>
      <c r="AU3665" t="s">
        <v>27931</v>
      </c>
      <c r="AV3665">
        <v>15</v>
      </c>
      <c r="AW3665" s="184">
        <v>45169</v>
      </c>
      <c r="AX3665" t="s">
        <v>26901</v>
      </c>
      <c r="AY3665">
        <v>25</v>
      </c>
      <c r="AZ3665" s="184">
        <v>42369</v>
      </c>
      <c r="BA3665" t="s">
        <v>27932</v>
      </c>
      <c r="BB3665">
        <v>35</v>
      </c>
      <c r="BC3665">
        <v>89</v>
      </c>
      <c r="BD3665">
        <v>525</v>
      </c>
      <c r="BE3665">
        <v>2009</v>
      </c>
      <c r="BF3665">
        <v>24</v>
      </c>
      <c r="BG3665">
        <v>2</v>
      </c>
      <c r="BH3665">
        <v>45</v>
      </c>
      <c r="BI3665">
        <v>15</v>
      </c>
      <c r="BJ3665">
        <v>17</v>
      </c>
      <c r="BK3665">
        <v>9</v>
      </c>
      <c r="BN3665" t="s">
        <v>595</v>
      </c>
      <c r="BP3665" s="184"/>
    </row>
    <row r="3666" spans="1:68">
      <c r="A3666">
        <v>48061972</v>
      </c>
      <c r="B3666">
        <v>48061972</v>
      </c>
      <c r="C3666" t="s">
        <v>7018</v>
      </c>
      <c r="D3666" t="s">
        <v>595</v>
      </c>
      <c r="E3666" s="184">
        <v>43851</v>
      </c>
      <c r="G3666" s="184"/>
      <c r="I3666" s="184"/>
      <c r="K3666" s="184"/>
      <c r="O3666" s="184"/>
      <c r="P3666" t="s">
        <v>7045</v>
      </c>
      <c r="Q3666" t="s">
        <v>7194</v>
      </c>
      <c r="R3666" s="184">
        <v>13164</v>
      </c>
      <c r="S3666">
        <v>88</v>
      </c>
      <c r="U3666" t="s">
        <v>7130</v>
      </c>
      <c r="V3666" t="s">
        <v>27933</v>
      </c>
      <c r="W3666" t="s">
        <v>7067</v>
      </c>
      <c r="X3666" t="s">
        <v>27934</v>
      </c>
      <c r="AF3666" t="s">
        <v>27935</v>
      </c>
      <c r="AG3666" t="s">
        <v>27933</v>
      </c>
      <c r="AI3666" t="s">
        <v>27936</v>
      </c>
      <c r="AM3666" t="s">
        <v>5121</v>
      </c>
      <c r="AN3666" t="s">
        <v>4512</v>
      </c>
      <c r="AO3666" t="s">
        <v>27937</v>
      </c>
      <c r="AP3666" t="s">
        <v>7024</v>
      </c>
      <c r="AQ3666" t="s">
        <v>27938</v>
      </c>
      <c r="AR3666" t="s">
        <v>27939</v>
      </c>
      <c r="AT3666" s="184">
        <v>39672</v>
      </c>
      <c r="AU3666" t="s">
        <v>27940</v>
      </c>
      <c r="AV3666">
        <v>25</v>
      </c>
      <c r="AW3666" s="184">
        <v>44958</v>
      </c>
      <c r="AX3666" t="s">
        <v>27941</v>
      </c>
      <c r="AY3666">
        <v>50</v>
      </c>
      <c r="AZ3666" s="184">
        <v>44958</v>
      </c>
      <c r="BA3666" t="s">
        <v>27941</v>
      </c>
      <c r="BB3666">
        <v>50</v>
      </c>
      <c r="BC3666">
        <v>77</v>
      </c>
      <c r="BD3666">
        <v>410</v>
      </c>
      <c r="BE3666">
        <v>2009</v>
      </c>
      <c r="BF3666">
        <v>15</v>
      </c>
      <c r="BG3666">
        <v>1</v>
      </c>
      <c r="BH3666">
        <v>50</v>
      </c>
      <c r="BI3666">
        <v>13</v>
      </c>
      <c r="BJ3666">
        <v>17</v>
      </c>
      <c r="BK3666">
        <v>12</v>
      </c>
      <c r="BN3666" t="s">
        <v>595</v>
      </c>
      <c r="BP3666" s="184"/>
    </row>
    <row r="3667" spans="1:68">
      <c r="A3667">
        <v>48153225</v>
      </c>
      <c r="B3667">
        <v>48153225</v>
      </c>
      <c r="C3667" t="s">
        <v>7018</v>
      </c>
      <c r="D3667" t="s">
        <v>595</v>
      </c>
      <c r="E3667" s="184">
        <v>45148</v>
      </c>
      <c r="G3667" s="184"/>
      <c r="I3667" s="184"/>
      <c r="K3667" s="184"/>
      <c r="O3667" s="184"/>
      <c r="P3667" t="s">
        <v>7045</v>
      </c>
      <c r="Q3667" t="s">
        <v>7383</v>
      </c>
      <c r="R3667" s="184">
        <v>14980</v>
      </c>
      <c r="S3667">
        <v>83</v>
      </c>
      <c r="U3667" t="s">
        <v>7130</v>
      </c>
      <c r="V3667" t="s">
        <v>4916</v>
      </c>
      <c r="X3667" t="s">
        <v>2658</v>
      </c>
      <c r="AF3667" t="s">
        <v>27942</v>
      </c>
      <c r="AG3667" t="s">
        <v>4916</v>
      </c>
      <c r="AI3667" t="s">
        <v>27943</v>
      </c>
      <c r="AM3667" t="s">
        <v>27944</v>
      </c>
      <c r="AN3667" t="s">
        <v>2274</v>
      </c>
      <c r="AO3667" t="s">
        <v>27945</v>
      </c>
      <c r="AP3667" t="s">
        <v>7024</v>
      </c>
      <c r="AQ3667" t="s">
        <v>27946</v>
      </c>
      <c r="AT3667" s="184">
        <v>39675</v>
      </c>
      <c r="AU3667" t="s">
        <v>27947</v>
      </c>
      <c r="AV3667">
        <v>25</v>
      </c>
      <c r="AW3667" s="184">
        <v>45300</v>
      </c>
      <c r="AX3667" t="s">
        <v>8112</v>
      </c>
      <c r="AY3667">
        <v>50</v>
      </c>
      <c r="AZ3667" s="184">
        <v>45300</v>
      </c>
      <c r="BA3667" t="s">
        <v>8112</v>
      </c>
      <c r="BB3667">
        <v>50</v>
      </c>
      <c r="BC3667">
        <v>48</v>
      </c>
      <c r="BD3667">
        <v>270</v>
      </c>
      <c r="BE3667">
        <v>2009</v>
      </c>
      <c r="BF3667">
        <v>9</v>
      </c>
      <c r="BG3667">
        <v>3</v>
      </c>
      <c r="BH3667">
        <v>120</v>
      </c>
      <c r="BI3667">
        <v>8</v>
      </c>
      <c r="BJ3667">
        <v>17</v>
      </c>
      <c r="BK3667">
        <v>3</v>
      </c>
      <c r="BP3667" s="184"/>
    </row>
    <row r="3668" spans="1:68">
      <c r="A3668">
        <v>48160402</v>
      </c>
      <c r="B3668">
        <v>48160402</v>
      </c>
      <c r="C3668" t="s">
        <v>7018</v>
      </c>
      <c r="D3668" t="s">
        <v>595</v>
      </c>
      <c r="E3668" s="184">
        <v>44167</v>
      </c>
      <c r="G3668" s="184"/>
      <c r="I3668" s="184"/>
      <c r="K3668" s="184"/>
      <c r="O3668" s="184"/>
      <c r="P3668" t="s">
        <v>7045</v>
      </c>
      <c r="Q3668" t="s">
        <v>7374</v>
      </c>
      <c r="R3668" s="184">
        <v>14062</v>
      </c>
      <c r="S3668">
        <v>85</v>
      </c>
      <c r="V3668" t="s">
        <v>3072</v>
      </c>
      <c r="W3668" t="s">
        <v>7963</v>
      </c>
      <c r="X3668" t="s">
        <v>27948</v>
      </c>
      <c r="AF3668" t="s">
        <v>27949</v>
      </c>
      <c r="AG3668" t="s">
        <v>3072</v>
      </c>
      <c r="AI3668" t="s">
        <v>27950</v>
      </c>
      <c r="AM3668" t="s">
        <v>27951</v>
      </c>
      <c r="AN3668" t="s">
        <v>2081</v>
      </c>
      <c r="AO3668" t="s">
        <v>27952</v>
      </c>
      <c r="AP3668" t="s">
        <v>7024</v>
      </c>
      <c r="AQ3668" t="s">
        <v>27953</v>
      </c>
      <c r="AR3668" t="s">
        <v>27954</v>
      </c>
      <c r="AT3668" s="184">
        <v>39675</v>
      </c>
      <c r="AU3668" t="s">
        <v>27955</v>
      </c>
      <c r="AV3668">
        <v>25</v>
      </c>
      <c r="AW3668" s="184">
        <v>42927</v>
      </c>
      <c r="AX3668" t="s">
        <v>27956</v>
      </c>
      <c r="AY3668">
        <v>50</v>
      </c>
      <c r="AZ3668" s="184">
        <v>42927</v>
      </c>
      <c r="BA3668" t="s">
        <v>27956</v>
      </c>
      <c r="BB3668">
        <v>50</v>
      </c>
      <c r="BC3668">
        <v>59</v>
      </c>
      <c r="BD3668">
        <v>810</v>
      </c>
      <c r="BE3668">
        <v>2009</v>
      </c>
      <c r="BF3668">
        <v>24</v>
      </c>
      <c r="BI3668">
        <v>10</v>
      </c>
      <c r="BJ3668">
        <v>17</v>
      </c>
      <c r="BK3668">
        <v>10</v>
      </c>
      <c r="BN3668" t="s">
        <v>595</v>
      </c>
      <c r="BP3668" s="184"/>
    </row>
    <row r="3669" spans="1:68">
      <c r="A3669">
        <v>48264972</v>
      </c>
      <c r="B3669">
        <v>48264972</v>
      </c>
      <c r="C3669" t="s">
        <v>7018</v>
      </c>
      <c r="D3669" t="s">
        <v>595</v>
      </c>
      <c r="E3669" s="184">
        <v>43892</v>
      </c>
      <c r="G3669" s="184"/>
      <c r="I3669" s="184"/>
      <c r="K3669" s="184"/>
      <c r="O3669" s="184"/>
      <c r="P3669" t="s">
        <v>7045</v>
      </c>
      <c r="Q3669" t="s">
        <v>7262</v>
      </c>
      <c r="R3669" s="184">
        <v>18080</v>
      </c>
      <c r="S3669">
        <v>74</v>
      </c>
      <c r="V3669" t="s">
        <v>5351</v>
      </c>
      <c r="W3669" t="s">
        <v>205</v>
      </c>
      <c r="X3669" t="s">
        <v>27957</v>
      </c>
      <c r="AF3669" t="s">
        <v>27958</v>
      </c>
      <c r="AG3669" t="s">
        <v>5351</v>
      </c>
      <c r="AI3669" t="s">
        <v>27959</v>
      </c>
      <c r="AM3669" t="s">
        <v>27960</v>
      </c>
      <c r="AN3669" t="s">
        <v>65</v>
      </c>
      <c r="AO3669" t="s">
        <v>27961</v>
      </c>
      <c r="AP3669" t="s">
        <v>7024</v>
      </c>
      <c r="AQ3669" t="s">
        <v>27962</v>
      </c>
      <c r="AT3669" s="184">
        <v>39682</v>
      </c>
      <c r="AU3669" t="s">
        <v>27963</v>
      </c>
      <c r="AV3669">
        <v>25</v>
      </c>
      <c r="AW3669" s="184">
        <v>45191</v>
      </c>
      <c r="AX3669" t="s">
        <v>27964</v>
      </c>
      <c r="AY3669">
        <v>50</v>
      </c>
      <c r="AZ3669" s="184">
        <v>44389</v>
      </c>
      <c r="BA3669" t="s">
        <v>14144</v>
      </c>
      <c r="BB3669">
        <v>75</v>
      </c>
      <c r="BC3669">
        <v>71</v>
      </c>
      <c r="BD3669">
        <v>1165</v>
      </c>
      <c r="BE3669">
        <v>2009</v>
      </c>
      <c r="BF3669">
        <v>37</v>
      </c>
      <c r="BG3669">
        <v>2</v>
      </c>
      <c r="BH3669">
        <v>100</v>
      </c>
      <c r="BI3669">
        <v>12</v>
      </c>
      <c r="BJ3669">
        <v>17</v>
      </c>
      <c r="BK3669">
        <v>11</v>
      </c>
      <c r="BN3669" t="s">
        <v>595</v>
      </c>
      <c r="BP3669" s="184"/>
    </row>
    <row r="3670" spans="1:68">
      <c r="A3670">
        <v>48309777</v>
      </c>
      <c r="B3670">
        <v>48309777</v>
      </c>
      <c r="C3670" t="s">
        <v>7018</v>
      </c>
      <c r="E3670" s="184"/>
      <c r="F3670" t="s">
        <v>595</v>
      </c>
      <c r="G3670" s="184">
        <v>43731</v>
      </c>
      <c r="I3670" s="184"/>
      <c r="K3670" s="184"/>
      <c r="M3670" s="184"/>
      <c r="O3670" s="184"/>
      <c r="P3670" t="s">
        <v>7045</v>
      </c>
      <c r="Q3670" t="s">
        <v>7454</v>
      </c>
      <c r="R3670" s="184">
        <v>17381</v>
      </c>
      <c r="S3670">
        <v>76</v>
      </c>
      <c r="U3670" t="s">
        <v>7130</v>
      </c>
      <c r="V3670" t="s">
        <v>4018</v>
      </c>
      <c r="W3670" t="s">
        <v>2049</v>
      </c>
      <c r="X3670" t="s">
        <v>4046</v>
      </c>
      <c r="AF3670" t="s">
        <v>27965</v>
      </c>
      <c r="AG3670" t="s">
        <v>4018</v>
      </c>
      <c r="AI3670" t="s">
        <v>27966</v>
      </c>
      <c r="AM3670" t="s">
        <v>4047</v>
      </c>
      <c r="AN3670" t="s">
        <v>2055</v>
      </c>
      <c r="AO3670" t="s">
        <v>27967</v>
      </c>
      <c r="AP3670" t="s">
        <v>7024</v>
      </c>
      <c r="AQ3670" t="s">
        <v>27968</v>
      </c>
      <c r="AT3670" s="184">
        <v>39685</v>
      </c>
      <c r="AU3670" t="s">
        <v>27969</v>
      </c>
      <c r="AV3670">
        <v>25</v>
      </c>
      <c r="AW3670" s="184">
        <v>45217</v>
      </c>
      <c r="AX3670" t="s">
        <v>12373</v>
      </c>
      <c r="AY3670">
        <v>50</v>
      </c>
      <c r="AZ3670" s="184">
        <v>44092</v>
      </c>
      <c r="BA3670" t="s">
        <v>9477</v>
      </c>
      <c r="BB3670">
        <v>100</v>
      </c>
      <c r="BC3670">
        <v>95</v>
      </c>
      <c r="BD3670">
        <v>1080.6600000000001</v>
      </c>
      <c r="BE3670">
        <v>2009</v>
      </c>
      <c r="BF3670">
        <v>23</v>
      </c>
      <c r="BG3670">
        <v>4</v>
      </c>
      <c r="BH3670">
        <v>200.66</v>
      </c>
      <c r="BI3670">
        <v>16</v>
      </c>
      <c r="BJ3670">
        <v>17</v>
      </c>
      <c r="BK3670">
        <v>16</v>
      </c>
      <c r="BP3670" s="184"/>
    </row>
    <row r="3671" spans="1:68">
      <c r="A3671">
        <v>48471973</v>
      </c>
      <c r="B3671">
        <v>48471973</v>
      </c>
      <c r="C3671" t="s">
        <v>7018</v>
      </c>
      <c r="D3671" t="s">
        <v>595</v>
      </c>
      <c r="E3671" s="184">
        <v>44484</v>
      </c>
      <c r="G3671" s="184"/>
      <c r="I3671" s="184"/>
      <c r="K3671" s="184"/>
      <c r="M3671" s="184"/>
      <c r="O3671" s="184"/>
      <c r="P3671" t="s">
        <v>7045</v>
      </c>
      <c r="Q3671" t="s">
        <v>7030</v>
      </c>
      <c r="R3671" s="184">
        <v>15067</v>
      </c>
      <c r="S3671">
        <v>83</v>
      </c>
      <c r="U3671" t="s">
        <v>7076</v>
      </c>
      <c r="V3671" t="s">
        <v>2671</v>
      </c>
      <c r="X3671" t="s">
        <v>9671</v>
      </c>
      <c r="AF3671" t="s">
        <v>27970</v>
      </c>
      <c r="AG3671" t="s">
        <v>2671</v>
      </c>
      <c r="AI3671" t="s">
        <v>27971</v>
      </c>
      <c r="AM3671" t="s">
        <v>4209</v>
      </c>
      <c r="AN3671" t="s">
        <v>2201</v>
      </c>
      <c r="AO3671" t="s">
        <v>27972</v>
      </c>
      <c r="AP3671" t="s">
        <v>7024</v>
      </c>
      <c r="AQ3671" t="s">
        <v>27973</v>
      </c>
      <c r="AT3671" s="184">
        <v>39699</v>
      </c>
      <c r="AU3671" t="s">
        <v>27974</v>
      </c>
      <c r="AV3671">
        <v>50</v>
      </c>
      <c r="AW3671" s="184">
        <v>45034</v>
      </c>
      <c r="AX3671" t="s">
        <v>9552</v>
      </c>
      <c r="AY3671">
        <v>100</v>
      </c>
      <c r="AZ3671" s="184">
        <v>45034</v>
      </c>
      <c r="BA3671" t="s">
        <v>9552</v>
      </c>
      <c r="BB3671">
        <v>100</v>
      </c>
      <c r="BC3671">
        <v>83</v>
      </c>
      <c r="BD3671">
        <v>1150</v>
      </c>
      <c r="BE3671">
        <v>2009</v>
      </c>
      <c r="BF3671">
        <v>16</v>
      </c>
      <c r="BG3671">
        <v>2</v>
      </c>
      <c r="BH3671">
        <v>200</v>
      </c>
      <c r="BI3671">
        <v>14</v>
      </c>
      <c r="BJ3671">
        <v>17</v>
      </c>
      <c r="BK3671">
        <v>6</v>
      </c>
      <c r="BP3671" s="184"/>
    </row>
    <row r="3672" spans="1:68">
      <c r="A3672">
        <v>48486179</v>
      </c>
      <c r="B3672">
        <v>48486179</v>
      </c>
      <c r="C3672" t="s">
        <v>7018</v>
      </c>
      <c r="D3672" t="s">
        <v>595</v>
      </c>
      <c r="E3672" s="184">
        <v>44167</v>
      </c>
      <c r="G3672" s="184"/>
      <c r="I3672" s="184"/>
      <c r="K3672" s="184"/>
      <c r="M3672" s="184"/>
      <c r="O3672" s="184"/>
      <c r="P3672" t="s">
        <v>7045</v>
      </c>
      <c r="Q3672" t="s">
        <v>7160</v>
      </c>
      <c r="R3672" s="184">
        <v>19419</v>
      </c>
      <c r="S3672">
        <v>71</v>
      </c>
      <c r="U3672" t="s">
        <v>7031</v>
      </c>
      <c r="V3672" t="s">
        <v>3603</v>
      </c>
      <c r="X3672" t="s">
        <v>19958</v>
      </c>
      <c r="AF3672" t="s">
        <v>27975</v>
      </c>
      <c r="AG3672" t="s">
        <v>3603</v>
      </c>
      <c r="AI3672" t="s">
        <v>27976</v>
      </c>
      <c r="AM3672" t="s">
        <v>4692</v>
      </c>
      <c r="AN3672" t="s">
        <v>2176</v>
      </c>
      <c r="AO3672" t="s">
        <v>27977</v>
      </c>
      <c r="AP3672" t="s">
        <v>7024</v>
      </c>
      <c r="AQ3672" t="s">
        <v>27978</v>
      </c>
      <c r="AT3672" s="184">
        <v>39699</v>
      </c>
      <c r="AU3672" t="s">
        <v>27979</v>
      </c>
      <c r="AV3672">
        <v>25</v>
      </c>
      <c r="AW3672" s="184">
        <v>44853</v>
      </c>
      <c r="AX3672" t="s">
        <v>15628</v>
      </c>
      <c r="AY3672">
        <v>100</v>
      </c>
      <c r="AZ3672" s="184">
        <v>43040</v>
      </c>
      <c r="BA3672" t="s">
        <v>27438</v>
      </c>
      <c r="BB3672">
        <v>150</v>
      </c>
      <c r="BC3672">
        <v>71</v>
      </c>
      <c r="BD3672">
        <v>1325</v>
      </c>
      <c r="BE3672">
        <v>2009</v>
      </c>
      <c r="BF3672">
        <v>16</v>
      </c>
      <c r="BG3672">
        <v>1</v>
      </c>
      <c r="BH3672">
        <v>100</v>
      </c>
      <c r="BI3672">
        <v>12</v>
      </c>
      <c r="BJ3672">
        <v>17</v>
      </c>
      <c r="BK3672">
        <v>8</v>
      </c>
      <c r="BP3672" s="184"/>
    </row>
    <row r="3673" spans="1:68">
      <c r="A3673">
        <v>48613772</v>
      </c>
      <c r="B3673">
        <v>48613772</v>
      </c>
      <c r="C3673" t="s">
        <v>7018</v>
      </c>
      <c r="D3673" t="s">
        <v>595</v>
      </c>
      <c r="E3673" s="184">
        <v>44441</v>
      </c>
      <c r="G3673" s="184"/>
      <c r="I3673" s="184"/>
      <c r="K3673" s="184"/>
      <c r="M3673" s="184"/>
      <c r="O3673" s="184"/>
      <c r="P3673" t="s">
        <v>7045</v>
      </c>
      <c r="Q3673" t="s">
        <v>7383</v>
      </c>
      <c r="R3673" s="184">
        <v>21245</v>
      </c>
      <c r="S3673">
        <v>66</v>
      </c>
      <c r="U3673" t="s">
        <v>7076</v>
      </c>
      <c r="V3673" t="s">
        <v>2841</v>
      </c>
      <c r="W3673" t="s">
        <v>2049</v>
      </c>
      <c r="X3673" t="s">
        <v>27980</v>
      </c>
      <c r="AF3673" t="s">
        <v>27981</v>
      </c>
      <c r="AG3673" t="s">
        <v>2841</v>
      </c>
      <c r="AI3673" t="s">
        <v>27982</v>
      </c>
      <c r="AM3673" t="s">
        <v>3717</v>
      </c>
      <c r="AN3673" t="s">
        <v>2144</v>
      </c>
      <c r="AO3673" t="s">
        <v>27983</v>
      </c>
      <c r="AP3673" t="s">
        <v>7024</v>
      </c>
      <c r="AQ3673" t="s">
        <v>27984</v>
      </c>
      <c r="AT3673" s="184">
        <v>39708</v>
      </c>
      <c r="AU3673" t="s">
        <v>27985</v>
      </c>
      <c r="AV3673">
        <v>25</v>
      </c>
      <c r="AW3673" s="184">
        <v>45035</v>
      </c>
      <c r="AX3673" t="s">
        <v>11161</v>
      </c>
      <c r="AY3673">
        <v>25</v>
      </c>
      <c r="AZ3673" s="184">
        <v>41482</v>
      </c>
      <c r="BA3673" t="s">
        <v>27986</v>
      </c>
      <c r="BB3673">
        <v>150</v>
      </c>
      <c r="BC3673">
        <v>71</v>
      </c>
      <c r="BD3673">
        <v>769</v>
      </c>
      <c r="BE3673">
        <v>2009</v>
      </c>
      <c r="BF3673">
        <v>14</v>
      </c>
      <c r="BG3673">
        <v>1</v>
      </c>
      <c r="BH3673">
        <v>25</v>
      </c>
      <c r="BI3673">
        <v>12</v>
      </c>
      <c r="BJ3673">
        <v>17</v>
      </c>
      <c r="BK3673">
        <v>6</v>
      </c>
      <c r="BP3673" s="184"/>
    </row>
    <row r="3674" spans="1:68">
      <c r="A3674">
        <v>48619696</v>
      </c>
      <c r="B3674">
        <v>48619696</v>
      </c>
      <c r="C3674" t="s">
        <v>7018</v>
      </c>
      <c r="D3674" t="s">
        <v>595</v>
      </c>
      <c r="E3674" s="184">
        <v>44104</v>
      </c>
      <c r="G3674" s="184"/>
      <c r="I3674" s="184"/>
      <c r="K3674" s="184"/>
      <c r="M3674" s="184"/>
      <c r="O3674" s="184"/>
      <c r="P3674" t="s">
        <v>7045</v>
      </c>
      <c r="Q3674" t="s">
        <v>7494</v>
      </c>
      <c r="R3674" s="184">
        <v>14223</v>
      </c>
      <c r="S3674">
        <v>85</v>
      </c>
      <c r="V3674" t="s">
        <v>4523</v>
      </c>
      <c r="W3674" t="s">
        <v>3522</v>
      </c>
      <c r="X3674" t="s">
        <v>27987</v>
      </c>
      <c r="AF3674" t="s">
        <v>27988</v>
      </c>
      <c r="AG3674" t="s">
        <v>4523</v>
      </c>
      <c r="AI3674" t="s">
        <v>27989</v>
      </c>
      <c r="AM3674" t="s">
        <v>4006</v>
      </c>
      <c r="AN3674" t="s">
        <v>2174</v>
      </c>
      <c r="AO3674" t="s">
        <v>27990</v>
      </c>
      <c r="AP3674" t="s">
        <v>7024</v>
      </c>
      <c r="AQ3674" t="s">
        <v>27991</v>
      </c>
      <c r="AT3674" s="184">
        <v>39709</v>
      </c>
      <c r="AU3674" t="s">
        <v>27992</v>
      </c>
      <c r="AV3674">
        <v>25</v>
      </c>
      <c r="AW3674" s="184">
        <v>45086</v>
      </c>
      <c r="AX3674" t="s">
        <v>21325</v>
      </c>
      <c r="AY3674">
        <v>15</v>
      </c>
      <c r="AZ3674" s="184">
        <v>44587</v>
      </c>
      <c r="BA3674" t="s">
        <v>27993</v>
      </c>
      <c r="BB3674">
        <v>500</v>
      </c>
      <c r="BC3674">
        <v>95</v>
      </c>
      <c r="BD3674">
        <v>2465</v>
      </c>
      <c r="BE3674">
        <v>2009</v>
      </c>
      <c r="BF3674">
        <v>148</v>
      </c>
      <c r="BG3674">
        <v>14</v>
      </c>
      <c r="BH3674">
        <v>210</v>
      </c>
      <c r="BI3674">
        <v>16</v>
      </c>
      <c r="BJ3674">
        <v>17</v>
      </c>
      <c r="BK3674">
        <v>16</v>
      </c>
      <c r="BP3674" s="184"/>
    </row>
    <row r="3675" spans="1:68">
      <c r="A3675">
        <v>48620447</v>
      </c>
      <c r="B3675">
        <v>48620447</v>
      </c>
      <c r="C3675" t="s">
        <v>7018</v>
      </c>
      <c r="D3675" t="s">
        <v>595</v>
      </c>
      <c r="E3675" s="184">
        <v>45097</v>
      </c>
      <c r="H3675" t="s">
        <v>595</v>
      </c>
      <c r="I3675" s="184">
        <v>45097</v>
      </c>
      <c r="K3675" s="184"/>
      <c r="M3675" s="184"/>
      <c r="O3675" s="184"/>
      <c r="P3675" t="s">
        <v>7045</v>
      </c>
      <c r="Q3675" t="s">
        <v>7020</v>
      </c>
      <c r="R3675" s="184">
        <v>16536</v>
      </c>
      <c r="S3675">
        <v>79</v>
      </c>
      <c r="U3675" t="s">
        <v>7031</v>
      </c>
      <c r="V3675" t="s">
        <v>5152</v>
      </c>
      <c r="X3675" t="s">
        <v>27994</v>
      </c>
      <c r="AF3675" t="s">
        <v>27995</v>
      </c>
      <c r="AG3675" t="s">
        <v>5152</v>
      </c>
      <c r="AI3675" t="s">
        <v>27996</v>
      </c>
      <c r="AM3675" t="s">
        <v>27997</v>
      </c>
      <c r="AN3675" t="s">
        <v>2052</v>
      </c>
      <c r="AO3675" t="s">
        <v>27998</v>
      </c>
      <c r="AP3675" t="s">
        <v>7024</v>
      </c>
      <c r="AQ3675" t="s">
        <v>27999</v>
      </c>
      <c r="AT3675" s="184">
        <v>39709</v>
      </c>
      <c r="AU3675" t="s">
        <v>28000</v>
      </c>
      <c r="AV3675">
        <v>15</v>
      </c>
      <c r="AW3675" s="184">
        <v>44916</v>
      </c>
      <c r="AX3675" t="s">
        <v>13849</v>
      </c>
      <c r="AY3675">
        <v>25</v>
      </c>
      <c r="AZ3675" s="184">
        <v>41715</v>
      </c>
      <c r="BA3675" t="s">
        <v>28001</v>
      </c>
      <c r="BB3675">
        <v>50</v>
      </c>
      <c r="BC3675">
        <v>42</v>
      </c>
      <c r="BD3675">
        <v>190</v>
      </c>
      <c r="BE3675">
        <v>2009</v>
      </c>
      <c r="BF3675">
        <v>7</v>
      </c>
      <c r="BG3675">
        <v>1</v>
      </c>
      <c r="BH3675">
        <v>25</v>
      </c>
      <c r="BI3675">
        <v>7</v>
      </c>
      <c r="BJ3675">
        <v>17</v>
      </c>
      <c r="BK3675">
        <v>3</v>
      </c>
      <c r="BP3675" s="184"/>
    </row>
    <row r="3676" spans="1:68">
      <c r="A3676">
        <v>48632376</v>
      </c>
      <c r="B3676">
        <v>48632376</v>
      </c>
      <c r="C3676" t="s">
        <v>7018</v>
      </c>
      <c r="E3676" s="184"/>
      <c r="G3676" s="184"/>
      <c r="I3676" s="184"/>
      <c r="J3676" t="s">
        <v>595</v>
      </c>
      <c r="K3676" s="184">
        <v>41600</v>
      </c>
      <c r="M3676" s="184"/>
      <c r="O3676" s="184"/>
      <c r="P3676" t="s">
        <v>7045</v>
      </c>
      <c r="Q3676" t="s">
        <v>7194</v>
      </c>
      <c r="R3676" s="184">
        <v>15083</v>
      </c>
      <c r="S3676">
        <v>83</v>
      </c>
      <c r="V3676" t="s">
        <v>2871</v>
      </c>
      <c r="W3676" t="s">
        <v>7246</v>
      </c>
      <c r="X3676" t="s">
        <v>2962</v>
      </c>
      <c r="AF3676" t="s">
        <v>6692</v>
      </c>
      <c r="AG3676" t="s">
        <v>2871</v>
      </c>
      <c r="AI3676" t="s">
        <v>28002</v>
      </c>
      <c r="AM3676" t="s">
        <v>4402</v>
      </c>
      <c r="AN3676" t="s">
        <v>2046</v>
      </c>
      <c r="AO3676" t="s">
        <v>28003</v>
      </c>
      <c r="AP3676" t="s">
        <v>7024</v>
      </c>
      <c r="AQ3676" t="s">
        <v>28004</v>
      </c>
      <c r="AT3676" s="184">
        <v>39710</v>
      </c>
      <c r="AU3676" t="s">
        <v>27974</v>
      </c>
      <c r="AV3676">
        <v>10</v>
      </c>
      <c r="AW3676" s="184">
        <v>45201</v>
      </c>
      <c r="AX3676" t="s">
        <v>28005</v>
      </c>
      <c r="AY3676">
        <v>12</v>
      </c>
      <c r="AZ3676" s="184">
        <v>42016</v>
      </c>
      <c r="BA3676" t="s">
        <v>28006</v>
      </c>
      <c r="BB3676">
        <v>15</v>
      </c>
      <c r="BC3676">
        <v>95</v>
      </c>
      <c r="BD3676">
        <v>171</v>
      </c>
      <c r="BE3676">
        <v>2009</v>
      </c>
      <c r="BF3676">
        <v>16</v>
      </c>
      <c r="BG3676">
        <v>2</v>
      </c>
      <c r="BH3676">
        <v>24</v>
      </c>
      <c r="BI3676">
        <v>16</v>
      </c>
      <c r="BJ3676">
        <v>17</v>
      </c>
      <c r="BK3676">
        <v>16</v>
      </c>
      <c r="BP3676" s="184"/>
    </row>
    <row r="3677" spans="1:68">
      <c r="A3677">
        <v>48677777</v>
      </c>
      <c r="B3677">
        <v>48677777</v>
      </c>
      <c r="C3677" t="s">
        <v>7018</v>
      </c>
      <c r="D3677" t="s">
        <v>595</v>
      </c>
      <c r="E3677" s="184">
        <v>44438</v>
      </c>
      <c r="G3677" s="184"/>
      <c r="I3677" s="184"/>
      <c r="K3677" s="184"/>
      <c r="M3677" s="184"/>
      <c r="O3677" s="184"/>
      <c r="P3677" t="s">
        <v>7045</v>
      </c>
      <c r="Q3677" t="s">
        <v>7383</v>
      </c>
      <c r="R3677" s="184">
        <v>11280</v>
      </c>
      <c r="S3677">
        <v>93</v>
      </c>
      <c r="V3677" t="s">
        <v>5747</v>
      </c>
      <c r="X3677" t="s">
        <v>27667</v>
      </c>
      <c r="AF3677" t="s">
        <v>28007</v>
      </c>
      <c r="AG3677" t="s">
        <v>5747</v>
      </c>
      <c r="AI3677" t="s">
        <v>28008</v>
      </c>
      <c r="AM3677" t="s">
        <v>28009</v>
      </c>
      <c r="AN3677" t="s">
        <v>2274</v>
      </c>
      <c r="AO3677" t="s">
        <v>28010</v>
      </c>
      <c r="AP3677" t="s">
        <v>7024</v>
      </c>
      <c r="AT3677" s="184">
        <v>39710</v>
      </c>
      <c r="AU3677" t="s">
        <v>28011</v>
      </c>
      <c r="AV3677">
        <v>25</v>
      </c>
      <c r="AW3677" s="184">
        <v>43733</v>
      </c>
      <c r="AX3677" t="s">
        <v>28012</v>
      </c>
      <c r="AY3677">
        <v>25</v>
      </c>
      <c r="AZ3677" s="184">
        <v>40707</v>
      </c>
      <c r="BA3677" t="s">
        <v>28013</v>
      </c>
      <c r="BB3677">
        <v>50</v>
      </c>
      <c r="BC3677">
        <v>48</v>
      </c>
      <c r="BD3677">
        <v>385</v>
      </c>
      <c r="BE3677">
        <v>2009</v>
      </c>
      <c r="BF3677">
        <v>14</v>
      </c>
      <c r="BI3677">
        <v>8</v>
      </c>
      <c r="BJ3677">
        <v>17</v>
      </c>
      <c r="BK3677">
        <v>4</v>
      </c>
      <c r="BP3677" s="184"/>
    </row>
    <row r="3678" spans="1:68">
      <c r="A3678">
        <v>48700173</v>
      </c>
      <c r="B3678">
        <v>48700173</v>
      </c>
      <c r="C3678" t="s">
        <v>7018</v>
      </c>
      <c r="D3678" t="s">
        <v>595</v>
      </c>
      <c r="E3678" s="184">
        <v>44167</v>
      </c>
      <c r="G3678" s="184"/>
      <c r="I3678" s="184"/>
      <c r="K3678" s="184"/>
      <c r="M3678" s="184"/>
      <c r="O3678" s="184"/>
      <c r="P3678" t="s">
        <v>7019</v>
      </c>
      <c r="Q3678" t="s">
        <v>7383</v>
      </c>
      <c r="R3678" s="184">
        <v>18749</v>
      </c>
      <c r="S3678">
        <v>73</v>
      </c>
      <c r="U3678" t="s">
        <v>7076</v>
      </c>
      <c r="V3678" t="s">
        <v>3288</v>
      </c>
      <c r="W3678" t="s">
        <v>4013</v>
      </c>
      <c r="X3678" t="s">
        <v>5792</v>
      </c>
      <c r="AF3678" t="s">
        <v>28014</v>
      </c>
      <c r="AG3678" t="s">
        <v>3288</v>
      </c>
      <c r="AI3678" t="s">
        <v>28015</v>
      </c>
      <c r="AM3678" t="s">
        <v>28016</v>
      </c>
      <c r="AN3678" t="s">
        <v>2139</v>
      </c>
      <c r="AO3678" t="s">
        <v>28017</v>
      </c>
      <c r="AP3678" t="s">
        <v>7024</v>
      </c>
      <c r="AQ3678" t="s">
        <v>28018</v>
      </c>
      <c r="AR3678" t="s">
        <v>28019</v>
      </c>
      <c r="AT3678" s="184">
        <v>39713</v>
      </c>
      <c r="AU3678" t="s">
        <v>28020</v>
      </c>
      <c r="AV3678">
        <v>25</v>
      </c>
      <c r="AW3678" s="184">
        <v>44622</v>
      </c>
      <c r="AX3678" t="s">
        <v>8678</v>
      </c>
      <c r="AY3678">
        <v>50</v>
      </c>
      <c r="AZ3678" s="184">
        <v>44007</v>
      </c>
      <c r="BA3678" t="s">
        <v>28021</v>
      </c>
      <c r="BB3678">
        <v>60</v>
      </c>
      <c r="BC3678">
        <v>53</v>
      </c>
      <c r="BD3678">
        <v>405</v>
      </c>
      <c r="BE3678">
        <v>2009</v>
      </c>
      <c r="BF3678">
        <v>13</v>
      </c>
      <c r="BI3678">
        <v>9</v>
      </c>
      <c r="BJ3678">
        <v>17</v>
      </c>
      <c r="BK3678">
        <v>4</v>
      </c>
      <c r="BM3678" t="s">
        <v>595</v>
      </c>
      <c r="BP3678" s="184"/>
    </row>
    <row r="3679" spans="1:68">
      <c r="A3679">
        <v>48734370</v>
      </c>
      <c r="B3679">
        <v>48734370</v>
      </c>
      <c r="C3679" t="s">
        <v>7018</v>
      </c>
      <c r="E3679" s="184"/>
      <c r="G3679" s="184"/>
      <c r="I3679" s="184"/>
      <c r="J3679" t="s">
        <v>595</v>
      </c>
      <c r="K3679" s="184">
        <v>41955</v>
      </c>
      <c r="O3679" s="184"/>
      <c r="P3679" t="s">
        <v>7045</v>
      </c>
      <c r="Q3679" t="s">
        <v>7160</v>
      </c>
      <c r="R3679" s="184">
        <v>22250</v>
      </c>
      <c r="S3679">
        <v>63</v>
      </c>
      <c r="U3679" t="s">
        <v>7031</v>
      </c>
      <c r="V3679" t="s">
        <v>2871</v>
      </c>
      <c r="W3679" t="s">
        <v>7396</v>
      </c>
      <c r="X3679" t="s">
        <v>28022</v>
      </c>
      <c r="AF3679" t="s">
        <v>6418</v>
      </c>
      <c r="AG3679" t="s">
        <v>2871</v>
      </c>
      <c r="AI3679" t="s">
        <v>28023</v>
      </c>
      <c r="AM3679" t="s">
        <v>2674</v>
      </c>
      <c r="AN3679" t="s">
        <v>2675</v>
      </c>
      <c r="AO3679" t="s">
        <v>28024</v>
      </c>
      <c r="AP3679" t="s">
        <v>7024</v>
      </c>
      <c r="AQ3679" t="s">
        <v>28025</v>
      </c>
      <c r="AR3679" t="s">
        <v>28026</v>
      </c>
      <c r="AT3679" s="184">
        <v>39713</v>
      </c>
      <c r="AU3679" t="s">
        <v>27992</v>
      </c>
      <c r="AV3679">
        <v>25</v>
      </c>
      <c r="AW3679" s="184">
        <v>44089</v>
      </c>
      <c r="AX3679" t="s">
        <v>28027</v>
      </c>
      <c r="AY3679">
        <v>10</v>
      </c>
      <c r="AZ3679" s="184">
        <v>41804</v>
      </c>
      <c r="BA3679" t="s">
        <v>28028</v>
      </c>
      <c r="BB3679">
        <v>50</v>
      </c>
      <c r="BC3679">
        <v>77</v>
      </c>
      <c r="BD3679">
        <v>1160</v>
      </c>
      <c r="BE3679">
        <v>2009</v>
      </c>
      <c r="BF3679">
        <v>89</v>
      </c>
      <c r="BI3679">
        <v>13</v>
      </c>
      <c r="BJ3679">
        <v>17</v>
      </c>
      <c r="BK3679">
        <v>13</v>
      </c>
      <c r="BP3679" s="184"/>
    </row>
    <row r="3680" spans="1:68">
      <c r="A3680">
        <v>48775027</v>
      </c>
      <c r="B3680">
        <v>48775027</v>
      </c>
      <c r="C3680" t="s">
        <v>7018</v>
      </c>
      <c r="E3680" s="184"/>
      <c r="G3680" s="184"/>
      <c r="H3680" t="s">
        <v>595</v>
      </c>
      <c r="I3680" s="184">
        <v>44167</v>
      </c>
      <c r="K3680" s="184"/>
      <c r="M3680" s="184"/>
      <c r="O3680" s="184"/>
      <c r="P3680" t="s">
        <v>7045</v>
      </c>
      <c r="Q3680" t="s">
        <v>7160</v>
      </c>
      <c r="R3680" s="184">
        <v>32964</v>
      </c>
      <c r="S3680">
        <v>34</v>
      </c>
      <c r="V3680" t="s">
        <v>28029</v>
      </c>
      <c r="W3680" t="s">
        <v>3522</v>
      </c>
      <c r="X3680" t="s">
        <v>2977</v>
      </c>
      <c r="AF3680" t="s">
        <v>28030</v>
      </c>
      <c r="AG3680" t="s">
        <v>28029</v>
      </c>
      <c r="AI3680" t="s">
        <v>28031</v>
      </c>
      <c r="AM3680" t="s">
        <v>10056</v>
      </c>
      <c r="AN3680" t="s">
        <v>2176</v>
      </c>
      <c r="AO3680" t="s">
        <v>28032</v>
      </c>
      <c r="AP3680" t="s">
        <v>7024</v>
      </c>
      <c r="AQ3680" t="s">
        <v>28033</v>
      </c>
      <c r="AT3680" s="184">
        <v>39713</v>
      </c>
      <c r="AU3680" t="s">
        <v>27992</v>
      </c>
      <c r="AV3680">
        <v>25</v>
      </c>
      <c r="AW3680" s="184">
        <v>45421</v>
      </c>
      <c r="AX3680" t="s">
        <v>7422</v>
      </c>
      <c r="AY3680">
        <v>25</v>
      </c>
      <c r="AZ3680" s="184">
        <v>40542</v>
      </c>
      <c r="BA3680" t="s">
        <v>21273</v>
      </c>
      <c r="BB3680">
        <v>50</v>
      </c>
      <c r="BC3680">
        <v>100</v>
      </c>
      <c r="BD3680">
        <v>4375</v>
      </c>
      <c r="BE3680">
        <v>2009</v>
      </c>
      <c r="BF3680">
        <v>174</v>
      </c>
      <c r="BG3680">
        <v>24</v>
      </c>
      <c r="BH3680">
        <v>600</v>
      </c>
      <c r="BI3680">
        <v>17</v>
      </c>
      <c r="BJ3680">
        <v>17</v>
      </c>
      <c r="BK3680">
        <v>17</v>
      </c>
      <c r="BP3680" s="184"/>
    </row>
    <row r="3681" spans="1:68">
      <c r="A3681">
        <v>48775050</v>
      </c>
      <c r="B3681">
        <v>48775050</v>
      </c>
      <c r="C3681" t="s">
        <v>7018</v>
      </c>
      <c r="D3681" t="s">
        <v>595</v>
      </c>
      <c r="E3681" s="184">
        <v>44104</v>
      </c>
      <c r="G3681" s="184"/>
      <c r="I3681" s="184"/>
      <c r="K3681" s="184"/>
      <c r="M3681" s="184"/>
      <c r="O3681" s="184"/>
      <c r="P3681" t="s">
        <v>7045</v>
      </c>
      <c r="Q3681" t="s">
        <v>7383</v>
      </c>
      <c r="R3681" s="184">
        <v>12272</v>
      </c>
      <c r="S3681">
        <v>90</v>
      </c>
      <c r="V3681" t="s">
        <v>28034</v>
      </c>
      <c r="X3681" t="s">
        <v>8066</v>
      </c>
      <c r="AF3681" t="s">
        <v>28035</v>
      </c>
      <c r="AG3681" t="s">
        <v>28034</v>
      </c>
      <c r="AI3681" t="s">
        <v>28036</v>
      </c>
      <c r="AM3681" t="s">
        <v>5672</v>
      </c>
      <c r="AN3681" t="s">
        <v>2313</v>
      </c>
      <c r="AO3681" t="s">
        <v>28037</v>
      </c>
      <c r="AP3681" t="s">
        <v>7024</v>
      </c>
      <c r="AQ3681" t="s">
        <v>28038</v>
      </c>
      <c r="AR3681" t="s">
        <v>28039</v>
      </c>
      <c r="AT3681" s="184">
        <v>39713</v>
      </c>
      <c r="AU3681" t="s">
        <v>28040</v>
      </c>
      <c r="AV3681">
        <v>20</v>
      </c>
      <c r="AW3681" s="184">
        <v>45334</v>
      </c>
      <c r="AX3681" t="s">
        <v>13414</v>
      </c>
      <c r="AY3681">
        <v>35</v>
      </c>
      <c r="AZ3681" s="184">
        <v>42317</v>
      </c>
      <c r="BA3681" t="s">
        <v>28041</v>
      </c>
      <c r="BB3681">
        <v>40</v>
      </c>
      <c r="BC3681">
        <v>89</v>
      </c>
      <c r="BD3681">
        <v>1265</v>
      </c>
      <c r="BE3681">
        <v>2009</v>
      </c>
      <c r="BF3681">
        <v>39</v>
      </c>
      <c r="BG3681">
        <v>6</v>
      </c>
      <c r="BH3681">
        <v>210</v>
      </c>
      <c r="BI3681">
        <v>15</v>
      </c>
      <c r="BJ3681">
        <v>17</v>
      </c>
      <c r="BK3681">
        <v>13</v>
      </c>
      <c r="BP3681" s="184"/>
    </row>
    <row r="3682" spans="1:68">
      <c r="A3682">
        <v>48826176</v>
      </c>
      <c r="B3682">
        <v>48826176</v>
      </c>
      <c r="C3682" t="s">
        <v>7018</v>
      </c>
      <c r="E3682" s="184"/>
      <c r="G3682" s="184"/>
      <c r="I3682" s="184"/>
      <c r="K3682" s="184"/>
      <c r="M3682" s="184"/>
      <c r="N3682" t="s">
        <v>595</v>
      </c>
      <c r="O3682" s="184">
        <v>41340</v>
      </c>
      <c r="P3682" t="s">
        <v>7045</v>
      </c>
      <c r="Q3682" t="s">
        <v>7454</v>
      </c>
      <c r="R3682" s="184">
        <v>7245</v>
      </c>
      <c r="S3682">
        <v>104</v>
      </c>
      <c r="U3682" t="s">
        <v>7076</v>
      </c>
      <c r="V3682" t="s">
        <v>3683</v>
      </c>
      <c r="W3682" t="s">
        <v>2316</v>
      </c>
      <c r="X3682" t="s">
        <v>4660</v>
      </c>
      <c r="AF3682" t="s">
        <v>6000</v>
      </c>
      <c r="AG3682" t="s">
        <v>28042</v>
      </c>
      <c r="AI3682" t="s">
        <v>28043</v>
      </c>
      <c r="AM3682" t="s">
        <v>28044</v>
      </c>
      <c r="AN3682" t="s">
        <v>2055</v>
      </c>
      <c r="AO3682" t="s">
        <v>28045</v>
      </c>
      <c r="AP3682" t="s">
        <v>7024</v>
      </c>
      <c r="AQ3682" t="s">
        <v>28046</v>
      </c>
      <c r="AT3682" s="184">
        <v>39714</v>
      </c>
      <c r="AU3682" t="s">
        <v>28047</v>
      </c>
      <c r="AV3682">
        <v>25</v>
      </c>
      <c r="AW3682" s="184">
        <v>41585</v>
      </c>
      <c r="AX3682" t="s">
        <v>11392</v>
      </c>
      <c r="AY3682">
        <v>50</v>
      </c>
      <c r="AZ3682" s="184">
        <v>41340</v>
      </c>
      <c r="BA3682" t="s">
        <v>15414</v>
      </c>
      <c r="BB3682">
        <v>10000</v>
      </c>
      <c r="BC3682">
        <v>36</v>
      </c>
      <c r="BD3682">
        <v>11125</v>
      </c>
      <c r="BE3682">
        <v>2009</v>
      </c>
      <c r="BF3682">
        <v>12</v>
      </c>
      <c r="BI3682">
        <v>6</v>
      </c>
      <c r="BJ3682">
        <v>17</v>
      </c>
      <c r="BK3682">
        <v>6</v>
      </c>
      <c r="BM3682" t="s">
        <v>595</v>
      </c>
      <c r="BN3682" t="s">
        <v>595</v>
      </c>
      <c r="BO3682" t="s">
        <v>595</v>
      </c>
      <c r="BP3682" s="184">
        <v>42903</v>
      </c>
    </row>
    <row r="3683" spans="1:68">
      <c r="A3683">
        <v>48826374</v>
      </c>
      <c r="B3683">
        <v>48826374</v>
      </c>
      <c r="C3683" t="s">
        <v>7018</v>
      </c>
      <c r="D3683" t="s">
        <v>595</v>
      </c>
      <c r="E3683" s="184">
        <v>44168</v>
      </c>
      <c r="G3683" s="184"/>
      <c r="I3683" s="184"/>
      <c r="K3683" s="184"/>
      <c r="M3683" s="184"/>
      <c r="O3683" s="184"/>
      <c r="P3683" t="s">
        <v>7045</v>
      </c>
      <c r="Q3683" t="s">
        <v>7374</v>
      </c>
      <c r="R3683" s="184">
        <v>14921</v>
      </c>
      <c r="S3683">
        <v>83</v>
      </c>
      <c r="U3683" t="s">
        <v>7032</v>
      </c>
      <c r="V3683" t="s">
        <v>2602</v>
      </c>
      <c r="X3683" t="s">
        <v>2698</v>
      </c>
      <c r="Y3683" t="s">
        <v>28048</v>
      </c>
      <c r="AF3683" t="s">
        <v>28049</v>
      </c>
      <c r="AG3683" t="s">
        <v>2602</v>
      </c>
      <c r="AI3683" t="s">
        <v>28050</v>
      </c>
      <c r="AM3683" t="s">
        <v>4297</v>
      </c>
      <c r="AN3683" t="s">
        <v>2526</v>
      </c>
      <c r="AO3683" t="s">
        <v>28051</v>
      </c>
      <c r="AP3683" t="s">
        <v>7024</v>
      </c>
      <c r="AQ3683" t="s">
        <v>28052</v>
      </c>
      <c r="AT3683" s="184">
        <v>39714</v>
      </c>
      <c r="AU3683" t="s">
        <v>28053</v>
      </c>
      <c r="AV3683">
        <v>25</v>
      </c>
      <c r="AW3683" s="184">
        <v>44999</v>
      </c>
      <c r="AX3683" t="s">
        <v>28054</v>
      </c>
      <c r="AY3683">
        <v>25</v>
      </c>
      <c r="AZ3683" s="184">
        <v>44999</v>
      </c>
      <c r="BA3683" t="s">
        <v>28054</v>
      </c>
      <c r="BB3683">
        <v>25</v>
      </c>
      <c r="BC3683">
        <v>59</v>
      </c>
      <c r="BD3683">
        <v>210</v>
      </c>
      <c r="BE3683">
        <v>2009</v>
      </c>
      <c r="BF3683">
        <v>10</v>
      </c>
      <c r="BG3683">
        <v>1</v>
      </c>
      <c r="BH3683">
        <v>25</v>
      </c>
      <c r="BI3683">
        <v>10</v>
      </c>
      <c r="BJ3683">
        <v>17</v>
      </c>
      <c r="BK3683">
        <v>6</v>
      </c>
      <c r="BP3683" s="184"/>
    </row>
    <row r="3684" spans="1:68">
      <c r="A3684">
        <v>49006778</v>
      </c>
      <c r="B3684">
        <v>49006778</v>
      </c>
      <c r="C3684" t="s">
        <v>7018</v>
      </c>
      <c r="D3684" t="s">
        <v>595</v>
      </c>
      <c r="E3684" s="184">
        <v>44070</v>
      </c>
      <c r="I3684" s="184"/>
      <c r="K3684" s="184"/>
      <c r="M3684" s="184"/>
      <c r="P3684" t="s">
        <v>7045</v>
      </c>
      <c r="Q3684" t="s">
        <v>7030</v>
      </c>
      <c r="R3684" s="184">
        <v>13881</v>
      </c>
      <c r="S3684">
        <v>86</v>
      </c>
      <c r="V3684" t="s">
        <v>4916</v>
      </c>
      <c r="X3684" t="s">
        <v>3995</v>
      </c>
      <c r="Y3684" t="s">
        <v>65</v>
      </c>
      <c r="AF3684" t="s">
        <v>28055</v>
      </c>
      <c r="AG3684" t="s">
        <v>4916</v>
      </c>
      <c r="AI3684" t="s">
        <v>28056</v>
      </c>
      <c r="AM3684" t="s">
        <v>3181</v>
      </c>
      <c r="AN3684" t="s">
        <v>2094</v>
      </c>
      <c r="AO3684" t="s">
        <v>28057</v>
      </c>
      <c r="AP3684" t="s">
        <v>7024</v>
      </c>
      <c r="AQ3684" t="s">
        <v>28058</v>
      </c>
      <c r="AT3684" s="184">
        <v>39717</v>
      </c>
      <c r="AU3684" t="s">
        <v>28059</v>
      </c>
      <c r="AV3684">
        <v>25</v>
      </c>
      <c r="AW3684" s="184">
        <v>45063</v>
      </c>
      <c r="AX3684" t="s">
        <v>12898</v>
      </c>
      <c r="AY3684">
        <v>250</v>
      </c>
      <c r="AZ3684" s="184">
        <v>45063</v>
      </c>
      <c r="BA3684" t="s">
        <v>12898</v>
      </c>
      <c r="BB3684">
        <v>250</v>
      </c>
      <c r="BC3684">
        <v>95</v>
      </c>
      <c r="BD3684">
        <v>2110</v>
      </c>
      <c r="BE3684">
        <v>2009</v>
      </c>
      <c r="BF3684">
        <v>23</v>
      </c>
      <c r="BG3684">
        <v>2</v>
      </c>
      <c r="BH3684">
        <v>450</v>
      </c>
      <c r="BI3684">
        <v>16</v>
      </c>
      <c r="BJ3684">
        <v>17</v>
      </c>
      <c r="BK3684">
        <v>16</v>
      </c>
      <c r="BP3684" s="184"/>
    </row>
    <row r="3685" spans="1:68">
      <c r="A3685">
        <v>49058399</v>
      </c>
      <c r="B3685">
        <v>49058399</v>
      </c>
      <c r="C3685" t="s">
        <v>7018</v>
      </c>
      <c r="D3685" t="s">
        <v>595</v>
      </c>
      <c r="E3685" s="184">
        <v>44073</v>
      </c>
      <c r="G3685" s="184"/>
      <c r="I3685" s="184"/>
      <c r="K3685" s="184"/>
      <c r="M3685" s="184"/>
      <c r="O3685" s="184"/>
      <c r="P3685" t="s">
        <v>7045</v>
      </c>
      <c r="Q3685" t="s">
        <v>7774</v>
      </c>
      <c r="R3685" s="184">
        <v>18780</v>
      </c>
      <c r="S3685">
        <v>72</v>
      </c>
      <c r="U3685" t="s">
        <v>7130</v>
      </c>
      <c r="V3685" t="s">
        <v>3122</v>
      </c>
      <c r="W3685" t="s">
        <v>7407</v>
      </c>
      <c r="X3685" t="s">
        <v>28060</v>
      </c>
      <c r="AF3685" t="s">
        <v>28061</v>
      </c>
      <c r="AG3685" t="s">
        <v>3122</v>
      </c>
      <c r="AI3685" t="s">
        <v>28062</v>
      </c>
      <c r="AM3685" t="s">
        <v>28063</v>
      </c>
      <c r="AN3685" t="s">
        <v>2077</v>
      </c>
      <c r="AO3685" t="s">
        <v>28064</v>
      </c>
      <c r="AP3685" t="s">
        <v>7024</v>
      </c>
      <c r="AQ3685" t="s">
        <v>28065</v>
      </c>
      <c r="AT3685" s="184">
        <v>39720</v>
      </c>
      <c r="AU3685" t="s">
        <v>28040</v>
      </c>
      <c r="AV3685">
        <v>15</v>
      </c>
      <c r="AW3685" s="184">
        <v>44943</v>
      </c>
      <c r="AX3685" t="s">
        <v>23605</v>
      </c>
      <c r="AY3685">
        <v>25</v>
      </c>
      <c r="AZ3685" s="184">
        <v>44943</v>
      </c>
      <c r="BA3685" t="s">
        <v>23605</v>
      </c>
      <c r="BB3685">
        <v>25</v>
      </c>
      <c r="BC3685">
        <v>89</v>
      </c>
      <c r="BD3685">
        <v>485</v>
      </c>
      <c r="BE3685">
        <v>2009</v>
      </c>
      <c r="BF3685">
        <v>22</v>
      </c>
      <c r="BG3685">
        <v>1</v>
      </c>
      <c r="BH3685">
        <v>25</v>
      </c>
      <c r="BI3685">
        <v>15</v>
      </c>
      <c r="BJ3685">
        <v>17</v>
      </c>
      <c r="BK3685">
        <v>13</v>
      </c>
      <c r="BN3685" t="s">
        <v>595</v>
      </c>
      <c r="BP3685" s="184"/>
    </row>
    <row r="3686" spans="1:68">
      <c r="A3686">
        <v>49059587</v>
      </c>
      <c r="B3686">
        <v>49059587</v>
      </c>
      <c r="C3686" t="s">
        <v>7018</v>
      </c>
      <c r="D3686" t="s">
        <v>595</v>
      </c>
      <c r="E3686" s="184">
        <v>44070</v>
      </c>
      <c r="G3686" s="184"/>
      <c r="I3686" s="184"/>
      <c r="K3686" s="184"/>
      <c r="O3686" s="184"/>
      <c r="P3686" t="s">
        <v>7045</v>
      </c>
      <c r="Q3686" t="s">
        <v>7383</v>
      </c>
      <c r="R3686" s="184">
        <v>15466</v>
      </c>
      <c r="S3686">
        <v>82</v>
      </c>
      <c r="V3686" t="s">
        <v>3830</v>
      </c>
      <c r="X3686" t="s">
        <v>28066</v>
      </c>
      <c r="AF3686" t="s">
        <v>28067</v>
      </c>
      <c r="AG3686" t="s">
        <v>5990</v>
      </c>
      <c r="AI3686" t="s">
        <v>28068</v>
      </c>
      <c r="AM3686" t="s">
        <v>3529</v>
      </c>
      <c r="AN3686" t="s">
        <v>2072</v>
      </c>
      <c r="AO3686" t="s">
        <v>28069</v>
      </c>
      <c r="AP3686" t="s">
        <v>7024</v>
      </c>
      <c r="AT3686" s="184">
        <v>39720</v>
      </c>
      <c r="AU3686" t="s">
        <v>28070</v>
      </c>
      <c r="AV3686">
        <v>20</v>
      </c>
      <c r="AW3686" s="184">
        <v>43964</v>
      </c>
      <c r="AX3686" t="s">
        <v>27016</v>
      </c>
      <c r="AY3686">
        <v>25</v>
      </c>
      <c r="AZ3686" s="184">
        <v>43241</v>
      </c>
      <c r="BA3686" t="s">
        <v>28071</v>
      </c>
      <c r="BB3686">
        <v>55</v>
      </c>
      <c r="BC3686">
        <v>59</v>
      </c>
      <c r="BD3686">
        <v>460</v>
      </c>
      <c r="BE3686">
        <v>2009</v>
      </c>
      <c r="BF3686">
        <v>13</v>
      </c>
      <c r="BI3686">
        <v>10</v>
      </c>
      <c r="BJ3686">
        <v>17</v>
      </c>
      <c r="BK3686">
        <v>6</v>
      </c>
      <c r="BP3686" s="184"/>
    </row>
    <row r="3687" spans="1:68">
      <c r="A3687">
        <v>49110174</v>
      </c>
      <c r="B3687">
        <v>49110174</v>
      </c>
      <c r="C3687" t="s">
        <v>7018</v>
      </c>
      <c r="D3687" t="s">
        <v>595</v>
      </c>
      <c r="E3687" s="184">
        <v>45195</v>
      </c>
      <c r="G3687" s="184"/>
      <c r="I3687" s="184"/>
      <c r="K3687" s="184"/>
      <c r="O3687" s="184"/>
      <c r="P3687" t="s">
        <v>7045</v>
      </c>
      <c r="Q3687" t="s">
        <v>7383</v>
      </c>
      <c r="R3687" s="184">
        <v>18384</v>
      </c>
      <c r="S3687">
        <v>74</v>
      </c>
      <c r="U3687" t="s">
        <v>7031</v>
      </c>
      <c r="V3687" t="s">
        <v>3254</v>
      </c>
      <c r="X3687" t="s">
        <v>28072</v>
      </c>
      <c r="AF3687" t="s">
        <v>28073</v>
      </c>
      <c r="AG3687" t="s">
        <v>3254</v>
      </c>
      <c r="AI3687" t="s">
        <v>28074</v>
      </c>
      <c r="AM3687" t="s">
        <v>27667</v>
      </c>
      <c r="AN3687" t="s">
        <v>2185</v>
      </c>
      <c r="AO3687" t="s">
        <v>28075</v>
      </c>
      <c r="AP3687" t="s">
        <v>7024</v>
      </c>
      <c r="AQ3687" t="s">
        <v>28076</v>
      </c>
      <c r="AR3687" t="s">
        <v>28077</v>
      </c>
      <c r="AT3687" s="184">
        <v>39721</v>
      </c>
      <c r="AU3687" t="s">
        <v>28078</v>
      </c>
      <c r="AV3687">
        <v>15</v>
      </c>
      <c r="AW3687" s="184">
        <v>43206</v>
      </c>
      <c r="AX3687" t="s">
        <v>28079</v>
      </c>
      <c r="AY3687">
        <v>25</v>
      </c>
      <c r="AZ3687" s="184">
        <v>41813</v>
      </c>
      <c r="BA3687" t="s">
        <v>28080</v>
      </c>
      <c r="BB3687">
        <v>45</v>
      </c>
      <c r="BC3687">
        <v>42</v>
      </c>
      <c r="BD3687">
        <v>190</v>
      </c>
      <c r="BE3687">
        <v>2009</v>
      </c>
      <c r="BF3687">
        <v>7</v>
      </c>
      <c r="BI3687">
        <v>7</v>
      </c>
      <c r="BJ3687">
        <v>17</v>
      </c>
      <c r="BK3687">
        <v>3</v>
      </c>
      <c r="BP3687" s="184"/>
    </row>
    <row r="3688" spans="1:68">
      <c r="A3688">
        <v>49419971</v>
      </c>
      <c r="B3688">
        <v>49419971</v>
      </c>
      <c r="C3688" t="s">
        <v>7018</v>
      </c>
      <c r="E3688" s="184"/>
      <c r="G3688" s="184"/>
      <c r="H3688" t="s">
        <v>595</v>
      </c>
      <c r="I3688" s="184">
        <v>44328</v>
      </c>
      <c r="K3688" s="184"/>
      <c r="P3688" t="s">
        <v>7045</v>
      </c>
      <c r="Q3688" t="s">
        <v>7020</v>
      </c>
      <c r="R3688" s="184">
        <v>17349</v>
      </c>
      <c r="S3688">
        <v>76</v>
      </c>
      <c r="T3688" t="s">
        <v>4602</v>
      </c>
      <c r="U3688" t="s">
        <v>7130</v>
      </c>
      <c r="V3688" t="s">
        <v>3400</v>
      </c>
      <c r="W3688" t="s">
        <v>8224</v>
      </c>
      <c r="X3688" t="s">
        <v>27391</v>
      </c>
      <c r="AF3688" t="s">
        <v>28081</v>
      </c>
      <c r="AG3688" t="s">
        <v>3400</v>
      </c>
      <c r="AI3688" t="s">
        <v>28082</v>
      </c>
      <c r="AM3688" t="s">
        <v>28083</v>
      </c>
      <c r="AN3688" t="s">
        <v>2129</v>
      </c>
      <c r="AO3688" t="s">
        <v>28084</v>
      </c>
      <c r="AP3688" t="s">
        <v>7024</v>
      </c>
      <c r="AQ3688" t="s">
        <v>28085</v>
      </c>
      <c r="AT3688" s="184">
        <v>39730</v>
      </c>
      <c r="AU3688" t="s">
        <v>28086</v>
      </c>
      <c r="AV3688">
        <v>25</v>
      </c>
      <c r="AW3688" s="184">
        <v>45187</v>
      </c>
      <c r="AX3688" t="s">
        <v>8383</v>
      </c>
      <c r="AY3688">
        <v>50</v>
      </c>
      <c r="AZ3688" s="184">
        <v>44757</v>
      </c>
      <c r="BA3688" t="s">
        <v>28087</v>
      </c>
      <c r="BB3688">
        <v>100</v>
      </c>
      <c r="BC3688">
        <v>95</v>
      </c>
      <c r="BD3688">
        <v>2610</v>
      </c>
      <c r="BE3688">
        <v>2009</v>
      </c>
      <c r="BF3688">
        <v>40</v>
      </c>
      <c r="BG3688">
        <v>2</v>
      </c>
      <c r="BH3688">
        <v>150</v>
      </c>
      <c r="BI3688">
        <v>16</v>
      </c>
      <c r="BJ3688">
        <v>17</v>
      </c>
      <c r="BK3688">
        <v>16</v>
      </c>
      <c r="BP3688" s="184"/>
    </row>
    <row r="3689" spans="1:68">
      <c r="A3689">
        <v>49506371</v>
      </c>
      <c r="B3689">
        <v>49506371</v>
      </c>
      <c r="C3689" t="s">
        <v>7018</v>
      </c>
      <c r="D3689" t="s">
        <v>595</v>
      </c>
      <c r="E3689" s="184">
        <v>44073</v>
      </c>
      <c r="G3689" s="184"/>
      <c r="I3689" s="184"/>
      <c r="K3689" s="184"/>
      <c r="M3689" s="184"/>
      <c r="O3689" s="184"/>
      <c r="P3689" t="s">
        <v>7045</v>
      </c>
      <c r="Q3689" t="s">
        <v>7383</v>
      </c>
      <c r="R3689" s="184">
        <v>20137</v>
      </c>
      <c r="S3689">
        <v>69</v>
      </c>
      <c r="V3689" t="s">
        <v>24076</v>
      </c>
      <c r="X3689" t="s">
        <v>8472</v>
      </c>
      <c r="AF3689" t="s">
        <v>28088</v>
      </c>
      <c r="AG3689" t="s">
        <v>24076</v>
      </c>
      <c r="AI3689" t="s">
        <v>28089</v>
      </c>
      <c r="AM3689" t="s">
        <v>3266</v>
      </c>
      <c r="AN3689" t="s">
        <v>2274</v>
      </c>
      <c r="AO3689" t="s">
        <v>28090</v>
      </c>
      <c r="AP3689" t="s">
        <v>7024</v>
      </c>
      <c r="AQ3689" t="s">
        <v>28091</v>
      </c>
      <c r="AT3689" s="184">
        <v>39735</v>
      </c>
      <c r="AU3689" t="s">
        <v>28092</v>
      </c>
      <c r="AV3689">
        <v>25</v>
      </c>
      <c r="AW3689" s="184">
        <v>45152</v>
      </c>
      <c r="AX3689" t="s">
        <v>28093</v>
      </c>
      <c r="AY3689">
        <v>200</v>
      </c>
      <c r="AZ3689" s="184">
        <v>45152</v>
      </c>
      <c r="BA3689" t="s">
        <v>28093</v>
      </c>
      <c r="BB3689">
        <v>200</v>
      </c>
      <c r="BC3689">
        <v>95</v>
      </c>
      <c r="BD3689">
        <v>3095</v>
      </c>
      <c r="BE3689">
        <v>2009</v>
      </c>
      <c r="BF3689">
        <v>32</v>
      </c>
      <c r="BG3689">
        <v>2</v>
      </c>
      <c r="BH3689">
        <v>400</v>
      </c>
      <c r="BI3689">
        <v>16</v>
      </c>
      <c r="BJ3689">
        <v>17</v>
      </c>
      <c r="BK3689">
        <v>16</v>
      </c>
      <c r="BP3689" s="184"/>
    </row>
    <row r="3690" spans="1:68">
      <c r="A3690">
        <v>49512973</v>
      </c>
      <c r="B3690">
        <v>49512973</v>
      </c>
      <c r="C3690" t="s">
        <v>7018</v>
      </c>
      <c r="D3690" t="s">
        <v>595</v>
      </c>
      <c r="E3690" s="184">
        <v>45154</v>
      </c>
      <c r="G3690" s="184"/>
      <c r="I3690" s="184"/>
      <c r="K3690" s="184"/>
      <c r="M3690" s="184"/>
      <c r="O3690" s="184"/>
      <c r="P3690" t="s">
        <v>7045</v>
      </c>
      <c r="Q3690" t="s">
        <v>7383</v>
      </c>
      <c r="R3690" s="184">
        <v>15044</v>
      </c>
      <c r="S3690">
        <v>83</v>
      </c>
      <c r="U3690" t="s">
        <v>7130</v>
      </c>
      <c r="V3690" t="s">
        <v>2518</v>
      </c>
      <c r="W3690" t="s">
        <v>2049</v>
      </c>
      <c r="X3690" t="s">
        <v>28094</v>
      </c>
      <c r="Z3690">
        <v>100183471</v>
      </c>
      <c r="AB3690" t="s">
        <v>9138</v>
      </c>
      <c r="AC3690" t="s">
        <v>8224</v>
      </c>
      <c r="AD3690" t="s">
        <v>28094</v>
      </c>
      <c r="AF3690" t="s">
        <v>28095</v>
      </c>
      <c r="AG3690" t="s">
        <v>2518</v>
      </c>
      <c r="AI3690" t="s">
        <v>28096</v>
      </c>
      <c r="AM3690" t="s">
        <v>28097</v>
      </c>
      <c r="AN3690" t="s">
        <v>2185</v>
      </c>
      <c r="AO3690" t="s">
        <v>28098</v>
      </c>
      <c r="AP3690" t="s">
        <v>7024</v>
      </c>
      <c r="AQ3690" t="s">
        <v>28099</v>
      </c>
      <c r="AT3690" s="184">
        <v>39735</v>
      </c>
      <c r="AU3690" t="s">
        <v>28092</v>
      </c>
      <c r="AV3690">
        <v>25</v>
      </c>
      <c r="AW3690" s="184">
        <v>45296</v>
      </c>
      <c r="AX3690" t="s">
        <v>17925</v>
      </c>
      <c r="AY3690">
        <v>75</v>
      </c>
      <c r="AZ3690" s="184">
        <v>43096</v>
      </c>
      <c r="BA3690" t="s">
        <v>10277</v>
      </c>
      <c r="BB3690">
        <v>300</v>
      </c>
      <c r="BC3690">
        <v>95</v>
      </c>
      <c r="BD3690">
        <v>1660</v>
      </c>
      <c r="BE3690">
        <v>2009</v>
      </c>
      <c r="BF3690">
        <v>20</v>
      </c>
      <c r="BG3690">
        <v>2</v>
      </c>
      <c r="BH3690">
        <v>150</v>
      </c>
      <c r="BI3690">
        <v>16</v>
      </c>
      <c r="BJ3690">
        <v>17</v>
      </c>
      <c r="BK3690">
        <v>14</v>
      </c>
    </row>
    <row r="3691" spans="1:68">
      <c r="A3691">
        <v>100183471</v>
      </c>
      <c r="B3691">
        <v>49512973</v>
      </c>
      <c r="C3691" t="s">
        <v>7018</v>
      </c>
      <c r="D3691" t="s">
        <v>595</v>
      </c>
      <c r="E3691" s="184">
        <v>45154</v>
      </c>
      <c r="G3691" s="184"/>
      <c r="I3691" s="184"/>
      <c r="K3691" s="184"/>
      <c r="M3691" s="184"/>
      <c r="P3691" t="s">
        <v>7045</v>
      </c>
      <c r="Q3691" t="s">
        <v>7383</v>
      </c>
      <c r="R3691" s="184">
        <v>14150</v>
      </c>
      <c r="S3691">
        <v>85</v>
      </c>
      <c r="V3691" t="s">
        <v>9138</v>
      </c>
      <c r="W3691" t="s">
        <v>8224</v>
      </c>
      <c r="X3691" t="s">
        <v>28094</v>
      </c>
      <c r="Z3691">
        <v>49512973</v>
      </c>
      <c r="AA3691" t="s">
        <v>7130</v>
      </c>
      <c r="AB3691" t="s">
        <v>2518</v>
      </c>
      <c r="AC3691" t="s">
        <v>2049</v>
      </c>
      <c r="AD3691" t="s">
        <v>28094</v>
      </c>
      <c r="AF3691" t="s">
        <v>28095</v>
      </c>
      <c r="AG3691" t="s">
        <v>2518</v>
      </c>
      <c r="AI3691" t="s">
        <v>28096</v>
      </c>
      <c r="AM3691" t="s">
        <v>28097</v>
      </c>
      <c r="AN3691" t="s">
        <v>2185</v>
      </c>
      <c r="AO3691" t="s">
        <v>28098</v>
      </c>
      <c r="AP3691" t="s">
        <v>7024</v>
      </c>
      <c r="AQ3691" t="s">
        <v>28100</v>
      </c>
      <c r="AT3691" s="184"/>
      <c r="AW3691" s="184"/>
      <c r="AZ3691" s="184"/>
      <c r="BO3691" t="s">
        <v>595</v>
      </c>
      <c r="BP3691" s="184"/>
    </row>
    <row r="3692" spans="1:68">
      <c r="A3692">
        <v>49663370</v>
      </c>
      <c r="B3692">
        <v>49663370</v>
      </c>
      <c r="C3692" t="s">
        <v>7018</v>
      </c>
      <c r="D3692" t="s">
        <v>595</v>
      </c>
      <c r="E3692" s="184">
        <v>45112</v>
      </c>
      <c r="G3692" s="184"/>
      <c r="I3692" s="184"/>
      <c r="K3692" s="184"/>
      <c r="M3692" s="184"/>
      <c r="O3692" s="184"/>
      <c r="P3692" t="s">
        <v>7045</v>
      </c>
      <c r="Q3692" t="s">
        <v>7160</v>
      </c>
      <c r="R3692" s="184">
        <v>19670</v>
      </c>
      <c r="S3692">
        <v>70</v>
      </c>
      <c r="U3692" t="s">
        <v>7076</v>
      </c>
      <c r="V3692" t="s">
        <v>11364</v>
      </c>
      <c r="W3692" t="s">
        <v>205</v>
      </c>
      <c r="X3692" t="s">
        <v>28101</v>
      </c>
      <c r="AF3692" t="s">
        <v>28102</v>
      </c>
      <c r="AG3692" t="s">
        <v>11364</v>
      </c>
      <c r="AI3692" t="s">
        <v>28103</v>
      </c>
      <c r="AM3692" t="s">
        <v>28104</v>
      </c>
      <c r="AN3692" t="s">
        <v>2203</v>
      </c>
      <c r="AO3692" t="s">
        <v>28105</v>
      </c>
      <c r="AP3692" t="s">
        <v>7024</v>
      </c>
      <c r="AQ3692" t="s">
        <v>28106</v>
      </c>
      <c r="AR3692" t="s">
        <v>28107</v>
      </c>
      <c r="AT3692" s="184">
        <v>39741</v>
      </c>
      <c r="AU3692" t="s">
        <v>28108</v>
      </c>
      <c r="AV3692">
        <v>19.95</v>
      </c>
      <c r="AW3692" s="184">
        <v>45410</v>
      </c>
      <c r="AX3692" t="s">
        <v>10451</v>
      </c>
      <c r="AY3692">
        <v>10</v>
      </c>
      <c r="AZ3692" s="184">
        <v>45167</v>
      </c>
      <c r="BA3692" t="s">
        <v>28109</v>
      </c>
      <c r="BB3692">
        <v>25</v>
      </c>
      <c r="BC3692">
        <v>36</v>
      </c>
      <c r="BD3692">
        <v>474.95</v>
      </c>
      <c r="BE3692">
        <v>2009</v>
      </c>
      <c r="BF3692">
        <v>42</v>
      </c>
      <c r="BG3692">
        <v>25</v>
      </c>
      <c r="BH3692">
        <v>265</v>
      </c>
      <c r="BI3692">
        <v>6</v>
      </c>
      <c r="BJ3692">
        <v>17</v>
      </c>
      <c r="BK3692">
        <v>5</v>
      </c>
      <c r="BP3692" s="184"/>
    </row>
    <row r="3693" spans="1:68">
      <c r="A3693">
        <v>49667058</v>
      </c>
      <c r="B3693">
        <v>49667058</v>
      </c>
      <c r="C3693" t="s">
        <v>7018</v>
      </c>
      <c r="D3693" t="s">
        <v>595</v>
      </c>
      <c r="E3693" s="184">
        <v>44167</v>
      </c>
      <c r="G3693" s="184"/>
      <c r="I3693" s="184"/>
      <c r="K3693" s="184"/>
      <c r="M3693" s="184"/>
      <c r="O3693" s="184"/>
      <c r="P3693" t="s">
        <v>7045</v>
      </c>
      <c r="Q3693" t="s">
        <v>7160</v>
      </c>
      <c r="R3693" s="184">
        <v>14642</v>
      </c>
      <c r="S3693">
        <v>84</v>
      </c>
      <c r="V3693" t="s">
        <v>2586</v>
      </c>
      <c r="X3693" t="s">
        <v>28110</v>
      </c>
      <c r="AF3693" t="s">
        <v>28111</v>
      </c>
      <c r="AG3693" t="s">
        <v>2586</v>
      </c>
      <c r="AI3693" t="s">
        <v>28112</v>
      </c>
      <c r="AM3693" t="s">
        <v>28113</v>
      </c>
      <c r="AN3693" t="s">
        <v>2428</v>
      </c>
      <c r="AO3693" t="s">
        <v>28114</v>
      </c>
      <c r="AP3693" t="s">
        <v>7024</v>
      </c>
      <c r="AQ3693" t="s">
        <v>28115</v>
      </c>
      <c r="AR3693" t="s">
        <v>28116</v>
      </c>
      <c r="AT3693" s="184">
        <v>39745</v>
      </c>
      <c r="AU3693" t="s">
        <v>28117</v>
      </c>
      <c r="AV3693">
        <v>15</v>
      </c>
      <c r="AW3693" s="184">
        <v>43830</v>
      </c>
      <c r="AX3693" t="s">
        <v>28118</v>
      </c>
      <c r="AY3693">
        <v>5</v>
      </c>
      <c r="AZ3693" s="184">
        <v>43249</v>
      </c>
      <c r="BA3693" t="s">
        <v>28119</v>
      </c>
      <c r="BB3693">
        <v>15</v>
      </c>
      <c r="BC3693">
        <v>42</v>
      </c>
      <c r="BD3693">
        <v>86</v>
      </c>
      <c r="BE3693">
        <v>2009</v>
      </c>
      <c r="BF3693">
        <v>10</v>
      </c>
      <c r="BI3693">
        <v>7</v>
      </c>
      <c r="BJ3693">
        <v>17</v>
      </c>
      <c r="BK3693">
        <v>4</v>
      </c>
      <c r="BN3693" t="s">
        <v>595</v>
      </c>
      <c r="BO3693" t="s">
        <v>595</v>
      </c>
      <c r="BP3693" s="184"/>
    </row>
    <row r="3694" spans="1:68">
      <c r="A3694">
        <v>49696230</v>
      </c>
      <c r="B3694">
        <v>49696230</v>
      </c>
      <c r="C3694" t="s">
        <v>7018</v>
      </c>
      <c r="D3694" t="s">
        <v>595</v>
      </c>
      <c r="E3694" s="184">
        <v>44104</v>
      </c>
      <c r="G3694" s="184"/>
      <c r="I3694" s="184"/>
      <c r="K3694" s="184"/>
      <c r="M3694" s="184"/>
      <c r="O3694" s="184"/>
      <c r="P3694" t="s">
        <v>7045</v>
      </c>
      <c r="Q3694" t="s">
        <v>7160</v>
      </c>
      <c r="R3694" s="184">
        <v>15980</v>
      </c>
      <c r="S3694">
        <v>80</v>
      </c>
      <c r="V3694" t="s">
        <v>2635</v>
      </c>
      <c r="X3694" t="s">
        <v>28120</v>
      </c>
      <c r="Z3694">
        <v>100988902</v>
      </c>
      <c r="AB3694" t="s">
        <v>28121</v>
      </c>
      <c r="AD3694" t="s">
        <v>28120</v>
      </c>
      <c r="AF3694" t="s">
        <v>28122</v>
      </c>
      <c r="AG3694" t="s">
        <v>28123</v>
      </c>
      <c r="AI3694" t="s">
        <v>28124</v>
      </c>
      <c r="AM3694" t="s">
        <v>28125</v>
      </c>
      <c r="AN3694" t="s">
        <v>2446</v>
      </c>
      <c r="AO3694" t="s">
        <v>28126</v>
      </c>
      <c r="AP3694" t="s">
        <v>7024</v>
      </c>
      <c r="AQ3694" t="s">
        <v>28127</v>
      </c>
      <c r="AR3694" t="s">
        <v>28128</v>
      </c>
      <c r="AT3694" s="184">
        <v>39748</v>
      </c>
      <c r="AU3694" t="s">
        <v>28129</v>
      </c>
      <c r="AV3694">
        <v>15</v>
      </c>
      <c r="AW3694" s="184">
        <v>45296</v>
      </c>
      <c r="AX3694" t="s">
        <v>7339</v>
      </c>
      <c r="AY3694">
        <v>100</v>
      </c>
      <c r="AZ3694" s="184">
        <v>44236</v>
      </c>
      <c r="BA3694" t="s">
        <v>7099</v>
      </c>
      <c r="BB3694">
        <v>600</v>
      </c>
      <c r="BC3694">
        <v>89</v>
      </c>
      <c r="BD3694">
        <v>1195</v>
      </c>
      <c r="BE3694">
        <v>2009</v>
      </c>
      <c r="BF3694">
        <v>16</v>
      </c>
      <c r="BG3694">
        <v>2</v>
      </c>
      <c r="BH3694">
        <v>200</v>
      </c>
      <c r="BI3694">
        <v>15</v>
      </c>
      <c r="BJ3694">
        <v>17</v>
      </c>
      <c r="BK3694">
        <v>7</v>
      </c>
      <c r="BP3694" s="184"/>
    </row>
    <row r="3695" spans="1:68">
      <c r="A3695">
        <v>49696883</v>
      </c>
      <c r="B3695">
        <v>49696883</v>
      </c>
      <c r="C3695" t="s">
        <v>7018</v>
      </c>
      <c r="D3695" t="s">
        <v>595</v>
      </c>
      <c r="E3695" s="184">
        <v>45113</v>
      </c>
      <c r="G3695" s="184"/>
      <c r="I3695" s="184"/>
      <c r="K3695" s="184"/>
      <c r="M3695" s="184"/>
      <c r="O3695" s="184"/>
      <c r="P3695" t="s">
        <v>7045</v>
      </c>
      <c r="Q3695" t="s">
        <v>7383</v>
      </c>
      <c r="R3695" s="184">
        <v>17227</v>
      </c>
      <c r="S3695">
        <v>77</v>
      </c>
      <c r="V3695" t="s">
        <v>3603</v>
      </c>
      <c r="X3695" t="s">
        <v>28130</v>
      </c>
      <c r="AF3695" t="s">
        <v>28131</v>
      </c>
      <c r="AG3695" t="s">
        <v>3603</v>
      </c>
      <c r="AI3695" t="s">
        <v>28132</v>
      </c>
      <c r="AM3695" t="s">
        <v>28133</v>
      </c>
      <c r="AN3695" t="s">
        <v>2274</v>
      </c>
      <c r="AO3695" t="s">
        <v>28134</v>
      </c>
      <c r="AP3695" t="s">
        <v>7024</v>
      </c>
      <c r="AQ3695" t="s">
        <v>28135</v>
      </c>
      <c r="AT3695" s="184">
        <v>39748</v>
      </c>
      <c r="AU3695" t="s">
        <v>28136</v>
      </c>
      <c r="AV3695">
        <v>20</v>
      </c>
      <c r="AW3695" s="184">
        <v>45322</v>
      </c>
      <c r="AX3695" t="s">
        <v>9445</v>
      </c>
      <c r="AY3695">
        <v>65</v>
      </c>
      <c r="AZ3695" s="184">
        <v>45322</v>
      </c>
      <c r="BA3695" t="s">
        <v>9445</v>
      </c>
      <c r="BB3695">
        <v>65</v>
      </c>
      <c r="BC3695">
        <v>89</v>
      </c>
      <c r="BD3695">
        <v>910</v>
      </c>
      <c r="BE3695">
        <v>2009</v>
      </c>
      <c r="BF3695">
        <v>16</v>
      </c>
      <c r="BG3695">
        <v>3</v>
      </c>
      <c r="BH3695">
        <v>180</v>
      </c>
      <c r="BI3695">
        <v>15</v>
      </c>
      <c r="BJ3695">
        <v>17</v>
      </c>
      <c r="BK3695">
        <v>12</v>
      </c>
      <c r="BP3695" s="184"/>
    </row>
    <row r="3696" spans="1:68">
      <c r="A3696">
        <v>49818925</v>
      </c>
      <c r="B3696">
        <v>49818925</v>
      </c>
      <c r="C3696" t="s">
        <v>7018</v>
      </c>
      <c r="D3696" t="s">
        <v>595</v>
      </c>
      <c r="E3696" s="184">
        <v>45141</v>
      </c>
      <c r="G3696" s="184"/>
      <c r="I3696" s="184"/>
      <c r="K3696" s="184"/>
      <c r="M3696" s="184"/>
      <c r="O3696" s="184"/>
      <c r="P3696" t="s">
        <v>7045</v>
      </c>
      <c r="Q3696" t="s">
        <v>7383</v>
      </c>
      <c r="R3696" s="184">
        <v>14519</v>
      </c>
      <c r="S3696">
        <v>84</v>
      </c>
      <c r="U3696" t="s">
        <v>28137</v>
      </c>
      <c r="V3696" t="s">
        <v>2851</v>
      </c>
      <c r="W3696" t="s">
        <v>3825</v>
      </c>
      <c r="X3696" t="s">
        <v>28138</v>
      </c>
      <c r="AF3696" t="s">
        <v>28139</v>
      </c>
      <c r="AG3696" t="s">
        <v>2851</v>
      </c>
      <c r="AI3696" t="s">
        <v>28140</v>
      </c>
      <c r="AM3696" t="s">
        <v>28141</v>
      </c>
      <c r="AN3696" t="s">
        <v>2313</v>
      </c>
      <c r="AO3696" t="s">
        <v>28142</v>
      </c>
      <c r="AP3696" t="s">
        <v>7024</v>
      </c>
      <c r="AQ3696" t="s">
        <v>28143</v>
      </c>
      <c r="AT3696" s="184">
        <v>39752</v>
      </c>
      <c r="AU3696" t="s">
        <v>28144</v>
      </c>
      <c r="AV3696">
        <v>19.97</v>
      </c>
      <c r="AW3696" s="184">
        <v>44797</v>
      </c>
      <c r="AX3696" t="s">
        <v>28145</v>
      </c>
      <c r="AY3696">
        <v>20</v>
      </c>
      <c r="AZ3696" s="184">
        <v>41813</v>
      </c>
      <c r="BA3696" t="s">
        <v>28146</v>
      </c>
      <c r="BB3696">
        <v>60</v>
      </c>
      <c r="BC3696">
        <v>59</v>
      </c>
      <c r="BD3696">
        <v>249.97</v>
      </c>
      <c r="BE3696">
        <v>2009</v>
      </c>
      <c r="BF3696">
        <v>10</v>
      </c>
      <c r="BG3696">
        <v>1</v>
      </c>
      <c r="BH3696">
        <v>20</v>
      </c>
      <c r="BI3696">
        <v>10</v>
      </c>
      <c r="BJ3696">
        <v>17</v>
      </c>
      <c r="BK3696">
        <v>4</v>
      </c>
      <c r="BN3696" t="s">
        <v>595</v>
      </c>
      <c r="BP3696" s="184"/>
    </row>
    <row r="3697" spans="1:68">
      <c r="A3697">
        <v>49939572</v>
      </c>
      <c r="B3697">
        <v>49939572</v>
      </c>
      <c r="C3697" t="s">
        <v>7018</v>
      </c>
      <c r="D3697" t="s">
        <v>595</v>
      </c>
      <c r="E3697" s="184">
        <v>45196</v>
      </c>
      <c r="G3697" s="184"/>
      <c r="I3697" s="184"/>
      <c r="K3697" s="184"/>
      <c r="M3697" s="184"/>
      <c r="P3697" t="s">
        <v>7045</v>
      </c>
      <c r="Q3697" t="s">
        <v>7374</v>
      </c>
      <c r="R3697" s="184">
        <v>18272</v>
      </c>
      <c r="S3697">
        <v>74</v>
      </c>
      <c r="V3697" t="s">
        <v>3898</v>
      </c>
      <c r="X3697" t="s">
        <v>4924</v>
      </c>
      <c r="AF3697" t="s">
        <v>28147</v>
      </c>
      <c r="AG3697" t="s">
        <v>3898</v>
      </c>
      <c r="AI3697" t="s">
        <v>28148</v>
      </c>
      <c r="AM3697" t="s">
        <v>9411</v>
      </c>
      <c r="AN3697" t="s">
        <v>2081</v>
      </c>
      <c r="AO3697" t="s">
        <v>28149</v>
      </c>
      <c r="AP3697" t="s">
        <v>7024</v>
      </c>
      <c r="AQ3697" t="s">
        <v>28150</v>
      </c>
      <c r="AT3697" s="184">
        <v>39752</v>
      </c>
      <c r="AU3697" t="s">
        <v>28151</v>
      </c>
      <c r="AV3697">
        <v>25</v>
      </c>
      <c r="AW3697" s="184">
        <v>44615</v>
      </c>
      <c r="AX3697" t="s">
        <v>8977</v>
      </c>
      <c r="AY3697">
        <v>80</v>
      </c>
      <c r="AZ3697" s="184">
        <v>44615</v>
      </c>
      <c r="BA3697" t="s">
        <v>8977</v>
      </c>
      <c r="BB3697">
        <v>80</v>
      </c>
      <c r="BC3697">
        <v>12</v>
      </c>
      <c r="BD3697">
        <v>105</v>
      </c>
      <c r="BE3697">
        <v>2009</v>
      </c>
      <c r="BF3697">
        <v>2</v>
      </c>
      <c r="BI3697">
        <v>2</v>
      </c>
      <c r="BJ3697">
        <v>17</v>
      </c>
      <c r="BK3697">
        <v>1</v>
      </c>
      <c r="BP3697" s="184"/>
    </row>
    <row r="3698" spans="1:68">
      <c r="A3698">
        <v>49940372</v>
      </c>
      <c r="B3698">
        <v>49940372</v>
      </c>
      <c r="C3698" t="s">
        <v>7018</v>
      </c>
      <c r="E3698" s="184"/>
      <c r="G3698" s="184"/>
      <c r="H3698" t="s">
        <v>595</v>
      </c>
      <c r="I3698" s="184">
        <v>44328</v>
      </c>
      <c r="K3698" s="184"/>
      <c r="M3698" s="184"/>
      <c r="O3698" s="184"/>
      <c r="P3698" t="s">
        <v>7045</v>
      </c>
      <c r="Q3698" t="s">
        <v>7383</v>
      </c>
      <c r="R3698" s="184">
        <v>18749</v>
      </c>
      <c r="S3698">
        <v>73</v>
      </c>
      <c r="V3698" t="s">
        <v>2586</v>
      </c>
      <c r="W3698" t="s">
        <v>3830</v>
      </c>
      <c r="X3698" t="s">
        <v>4959</v>
      </c>
      <c r="AF3698" t="s">
        <v>28152</v>
      </c>
      <c r="AG3698" t="s">
        <v>2586</v>
      </c>
      <c r="AI3698" t="s">
        <v>28153</v>
      </c>
      <c r="AM3698" t="s">
        <v>4960</v>
      </c>
      <c r="AN3698" t="s">
        <v>2274</v>
      </c>
      <c r="AO3698" t="s">
        <v>28154</v>
      </c>
      <c r="AP3698" t="s">
        <v>7024</v>
      </c>
      <c r="AQ3698" t="s">
        <v>28155</v>
      </c>
      <c r="AT3698" s="184">
        <v>39752</v>
      </c>
      <c r="AU3698" t="s">
        <v>28156</v>
      </c>
      <c r="AV3698">
        <v>50</v>
      </c>
      <c r="AW3698" s="184">
        <v>45315</v>
      </c>
      <c r="AX3698" t="s">
        <v>7972</v>
      </c>
      <c r="AY3698">
        <v>100</v>
      </c>
      <c r="AZ3698" s="184">
        <v>45315</v>
      </c>
      <c r="BA3698" t="s">
        <v>7972</v>
      </c>
      <c r="BB3698">
        <v>100</v>
      </c>
      <c r="BC3698">
        <v>89</v>
      </c>
      <c r="BD3698">
        <v>1400</v>
      </c>
      <c r="BE3698">
        <v>2009</v>
      </c>
      <c r="BF3698">
        <v>21</v>
      </c>
      <c r="BG3698">
        <v>2</v>
      </c>
      <c r="BH3698">
        <v>200</v>
      </c>
      <c r="BI3698">
        <v>15</v>
      </c>
      <c r="BJ3698">
        <v>17</v>
      </c>
      <c r="BK3698">
        <v>10</v>
      </c>
      <c r="BP3698" s="184"/>
    </row>
    <row r="3699" spans="1:68">
      <c r="A3699">
        <v>50017268</v>
      </c>
      <c r="B3699">
        <v>50017268</v>
      </c>
      <c r="C3699" t="s">
        <v>7018</v>
      </c>
      <c r="D3699" t="s">
        <v>595</v>
      </c>
      <c r="E3699" s="184">
        <v>45153</v>
      </c>
      <c r="G3699" s="184"/>
      <c r="I3699" s="184"/>
      <c r="K3699" s="184"/>
      <c r="M3699" s="184"/>
      <c r="O3699" s="184"/>
      <c r="P3699" t="s">
        <v>7045</v>
      </c>
      <c r="Q3699" t="s">
        <v>7262</v>
      </c>
      <c r="R3699" s="184">
        <v>15342</v>
      </c>
      <c r="S3699">
        <v>82</v>
      </c>
      <c r="U3699" t="s">
        <v>7031</v>
      </c>
      <c r="V3699" t="s">
        <v>4684</v>
      </c>
      <c r="X3699" t="s">
        <v>8838</v>
      </c>
      <c r="AF3699" t="s">
        <v>28157</v>
      </c>
      <c r="AG3699" t="s">
        <v>4684</v>
      </c>
      <c r="AI3699" t="s">
        <v>28158</v>
      </c>
      <c r="AM3699" t="s">
        <v>2987</v>
      </c>
      <c r="AN3699" t="s">
        <v>2106</v>
      </c>
      <c r="AO3699" t="s">
        <v>28159</v>
      </c>
      <c r="AP3699" t="s">
        <v>7024</v>
      </c>
      <c r="AQ3699" t="s">
        <v>28160</v>
      </c>
      <c r="AT3699" s="184">
        <v>39758</v>
      </c>
      <c r="AU3699" t="s">
        <v>28092</v>
      </c>
      <c r="AV3699">
        <v>50</v>
      </c>
      <c r="AW3699" s="184">
        <v>44978</v>
      </c>
      <c r="AX3699" t="s">
        <v>7082</v>
      </c>
      <c r="AY3699">
        <v>100</v>
      </c>
      <c r="AZ3699" s="184">
        <v>40851</v>
      </c>
      <c r="BA3699" t="s">
        <v>28161</v>
      </c>
      <c r="BB3699">
        <v>250</v>
      </c>
      <c r="BC3699">
        <v>89</v>
      </c>
      <c r="BD3699">
        <v>1750</v>
      </c>
      <c r="BE3699">
        <v>2009</v>
      </c>
      <c r="BF3699">
        <v>18</v>
      </c>
      <c r="BG3699">
        <v>2</v>
      </c>
      <c r="BH3699">
        <v>200</v>
      </c>
      <c r="BI3699">
        <v>15</v>
      </c>
      <c r="BJ3699">
        <v>17</v>
      </c>
      <c r="BK3699">
        <v>9</v>
      </c>
      <c r="BP3699" s="184"/>
    </row>
    <row r="3700" spans="1:68">
      <c r="A3700">
        <v>50056860</v>
      </c>
      <c r="B3700">
        <v>50056860</v>
      </c>
      <c r="C3700" t="s">
        <v>7018</v>
      </c>
      <c r="E3700" s="184"/>
      <c r="G3700" s="184"/>
      <c r="I3700" s="184"/>
      <c r="J3700" t="s">
        <v>595</v>
      </c>
      <c r="K3700" s="184">
        <v>41921</v>
      </c>
      <c r="M3700" s="184"/>
      <c r="O3700" s="184"/>
      <c r="P3700" t="s">
        <v>7084</v>
      </c>
      <c r="Q3700" t="s">
        <v>7494</v>
      </c>
      <c r="R3700" s="184">
        <v>13773</v>
      </c>
      <c r="S3700">
        <v>86</v>
      </c>
      <c r="U3700" t="s">
        <v>7076</v>
      </c>
      <c r="V3700" t="s">
        <v>4330</v>
      </c>
      <c r="W3700" t="s">
        <v>2316</v>
      </c>
      <c r="X3700" t="s">
        <v>24887</v>
      </c>
      <c r="AF3700" t="s">
        <v>6199</v>
      </c>
      <c r="AG3700" t="s">
        <v>4330</v>
      </c>
      <c r="AI3700" t="s">
        <v>28162</v>
      </c>
      <c r="AM3700" t="s">
        <v>2582</v>
      </c>
      <c r="AN3700" t="s">
        <v>2174</v>
      </c>
      <c r="AO3700" t="s">
        <v>28163</v>
      </c>
      <c r="AP3700" t="s">
        <v>7024</v>
      </c>
      <c r="AQ3700" t="s">
        <v>28164</v>
      </c>
      <c r="AT3700" s="184">
        <v>39763</v>
      </c>
      <c r="AU3700" t="s">
        <v>28165</v>
      </c>
      <c r="AV3700">
        <v>15</v>
      </c>
      <c r="AW3700" s="184">
        <v>45103</v>
      </c>
      <c r="AX3700" t="s">
        <v>7721</v>
      </c>
      <c r="AY3700">
        <v>15466.39</v>
      </c>
      <c r="AZ3700" s="184">
        <v>45103</v>
      </c>
      <c r="BA3700" t="s">
        <v>7721</v>
      </c>
      <c r="BB3700">
        <v>15466.39</v>
      </c>
      <c r="BC3700">
        <v>77</v>
      </c>
      <c r="BD3700">
        <v>18371.39</v>
      </c>
      <c r="BE3700">
        <v>2009</v>
      </c>
      <c r="BF3700">
        <v>92</v>
      </c>
      <c r="BG3700">
        <v>1</v>
      </c>
      <c r="BH3700">
        <v>15466.39</v>
      </c>
      <c r="BI3700">
        <v>13</v>
      </c>
      <c r="BJ3700">
        <v>17</v>
      </c>
      <c r="BK3700">
        <v>11</v>
      </c>
      <c r="BO3700" t="s">
        <v>595</v>
      </c>
      <c r="BP3700" s="184">
        <v>43942</v>
      </c>
    </row>
    <row r="3701" spans="1:68">
      <c r="A3701">
        <v>50102573</v>
      </c>
      <c r="B3701">
        <v>50102573</v>
      </c>
      <c r="C3701" t="s">
        <v>7018</v>
      </c>
      <c r="D3701" t="s">
        <v>595</v>
      </c>
      <c r="E3701" s="184">
        <v>43861</v>
      </c>
      <c r="G3701" s="184"/>
      <c r="I3701" s="184"/>
      <c r="K3701" s="184"/>
      <c r="O3701" s="184"/>
      <c r="P3701" t="s">
        <v>7045</v>
      </c>
      <c r="Q3701" t="s">
        <v>7383</v>
      </c>
      <c r="R3701" s="184">
        <v>14732</v>
      </c>
      <c r="S3701">
        <v>84</v>
      </c>
      <c r="U3701" t="s">
        <v>7076</v>
      </c>
      <c r="V3701" t="s">
        <v>4608</v>
      </c>
      <c r="X3701" t="s">
        <v>3639</v>
      </c>
      <c r="AF3701" t="s">
        <v>28166</v>
      </c>
      <c r="AG3701" t="s">
        <v>4608</v>
      </c>
      <c r="AI3701" t="s">
        <v>28167</v>
      </c>
      <c r="AM3701" t="s">
        <v>4104</v>
      </c>
      <c r="AN3701" t="s">
        <v>2059</v>
      </c>
      <c r="AO3701" t="s">
        <v>28168</v>
      </c>
      <c r="AP3701" t="s">
        <v>7024</v>
      </c>
      <c r="AQ3701" t="s">
        <v>28169</v>
      </c>
      <c r="AT3701" s="184">
        <v>39769</v>
      </c>
      <c r="AU3701" t="s">
        <v>28117</v>
      </c>
      <c r="AV3701">
        <v>20</v>
      </c>
      <c r="AW3701" s="184">
        <v>45171</v>
      </c>
      <c r="AX3701" t="s">
        <v>9576</v>
      </c>
      <c r="AY3701">
        <v>25</v>
      </c>
      <c r="AZ3701" s="184">
        <v>41271</v>
      </c>
      <c r="BA3701" t="s">
        <v>28170</v>
      </c>
      <c r="BB3701">
        <v>60</v>
      </c>
      <c r="BC3701">
        <v>89</v>
      </c>
      <c r="BD3701">
        <v>399</v>
      </c>
      <c r="BE3701">
        <v>2009</v>
      </c>
      <c r="BF3701">
        <v>15</v>
      </c>
      <c r="BG3701">
        <v>2</v>
      </c>
      <c r="BH3701">
        <v>50</v>
      </c>
      <c r="BI3701">
        <v>15</v>
      </c>
      <c r="BJ3701">
        <v>17</v>
      </c>
      <c r="BK3701">
        <v>10</v>
      </c>
      <c r="BP3701" s="184"/>
    </row>
    <row r="3702" spans="1:68">
      <c r="A3702">
        <v>50119973</v>
      </c>
      <c r="B3702">
        <v>50119973</v>
      </c>
      <c r="C3702" t="s">
        <v>7018</v>
      </c>
      <c r="D3702" t="s">
        <v>595</v>
      </c>
      <c r="E3702" s="184">
        <v>44168</v>
      </c>
      <c r="G3702" s="184"/>
      <c r="I3702" s="184"/>
      <c r="K3702" s="184"/>
      <c r="P3702" t="s">
        <v>7045</v>
      </c>
      <c r="Q3702" t="s">
        <v>7374</v>
      </c>
      <c r="R3702" s="184">
        <v>17472</v>
      </c>
      <c r="S3702">
        <v>76</v>
      </c>
      <c r="U3702" t="s">
        <v>7130</v>
      </c>
      <c r="V3702" t="s">
        <v>28171</v>
      </c>
      <c r="X3702" t="s">
        <v>28172</v>
      </c>
      <c r="AF3702" t="s">
        <v>28173</v>
      </c>
      <c r="AG3702" t="s">
        <v>28171</v>
      </c>
      <c r="AI3702" t="s">
        <v>28174</v>
      </c>
      <c r="AM3702" t="s">
        <v>5439</v>
      </c>
      <c r="AN3702" t="s">
        <v>2081</v>
      </c>
      <c r="AO3702" t="s">
        <v>28175</v>
      </c>
      <c r="AP3702" t="s">
        <v>7024</v>
      </c>
      <c r="AQ3702" t="s">
        <v>28176</v>
      </c>
      <c r="AT3702" s="184">
        <v>39769</v>
      </c>
      <c r="AU3702" t="s">
        <v>28177</v>
      </c>
      <c r="AV3702">
        <v>50</v>
      </c>
      <c r="AW3702" s="184">
        <v>45040</v>
      </c>
      <c r="AX3702" t="s">
        <v>20857</v>
      </c>
      <c r="AY3702">
        <v>100</v>
      </c>
      <c r="AZ3702" s="184">
        <v>45040</v>
      </c>
      <c r="BA3702" t="s">
        <v>20857</v>
      </c>
      <c r="BB3702">
        <v>100</v>
      </c>
      <c r="BC3702">
        <v>83</v>
      </c>
      <c r="BD3702">
        <v>1200</v>
      </c>
      <c r="BE3702">
        <v>2009</v>
      </c>
      <c r="BF3702">
        <v>15</v>
      </c>
      <c r="BG3702">
        <v>2</v>
      </c>
      <c r="BH3702">
        <v>200</v>
      </c>
      <c r="BI3702">
        <v>14</v>
      </c>
      <c r="BJ3702">
        <v>17</v>
      </c>
      <c r="BK3702">
        <v>11</v>
      </c>
    </row>
    <row r="3703" spans="1:68">
      <c r="A3703">
        <v>50294065</v>
      </c>
      <c r="B3703">
        <v>50294065</v>
      </c>
      <c r="C3703" t="s">
        <v>7018</v>
      </c>
      <c r="E3703" s="184"/>
      <c r="F3703" t="s">
        <v>595</v>
      </c>
      <c r="G3703" s="184">
        <v>44484</v>
      </c>
      <c r="I3703" s="184"/>
      <c r="K3703" s="184"/>
      <c r="O3703" s="184"/>
      <c r="P3703" t="s">
        <v>7045</v>
      </c>
      <c r="Q3703" t="s">
        <v>7030</v>
      </c>
      <c r="R3703" s="184">
        <v>17126</v>
      </c>
      <c r="S3703">
        <v>77</v>
      </c>
      <c r="U3703" t="s">
        <v>7076</v>
      </c>
      <c r="V3703" t="s">
        <v>3220</v>
      </c>
      <c r="X3703" t="s">
        <v>28178</v>
      </c>
      <c r="AF3703" t="s">
        <v>28179</v>
      </c>
      <c r="AG3703" t="s">
        <v>3220</v>
      </c>
      <c r="AI3703" t="s">
        <v>28180</v>
      </c>
      <c r="AM3703" t="s">
        <v>2930</v>
      </c>
      <c r="AN3703" t="s">
        <v>2094</v>
      </c>
      <c r="AO3703" t="s">
        <v>28181</v>
      </c>
      <c r="AP3703" t="s">
        <v>7024</v>
      </c>
      <c r="AT3703" s="184">
        <v>39777</v>
      </c>
      <c r="AU3703" t="s">
        <v>28182</v>
      </c>
      <c r="AV3703">
        <v>25</v>
      </c>
      <c r="AW3703" s="184">
        <v>45301</v>
      </c>
      <c r="AX3703" t="s">
        <v>26293</v>
      </c>
      <c r="AY3703">
        <v>25</v>
      </c>
      <c r="AZ3703" s="184">
        <v>45225</v>
      </c>
      <c r="BA3703" t="s">
        <v>28183</v>
      </c>
      <c r="BB3703">
        <v>60</v>
      </c>
      <c r="BC3703">
        <v>65</v>
      </c>
      <c r="BD3703">
        <v>825</v>
      </c>
      <c r="BE3703">
        <v>2009</v>
      </c>
      <c r="BF3703">
        <v>19</v>
      </c>
      <c r="BG3703">
        <v>2</v>
      </c>
      <c r="BH3703">
        <v>85</v>
      </c>
      <c r="BI3703">
        <v>11</v>
      </c>
      <c r="BJ3703">
        <v>17</v>
      </c>
      <c r="BK3703">
        <v>5</v>
      </c>
      <c r="BP3703" s="184"/>
    </row>
    <row r="3704" spans="1:68">
      <c r="A3704">
        <v>50308519</v>
      </c>
      <c r="B3704">
        <v>50308519</v>
      </c>
      <c r="C3704" t="s">
        <v>7018</v>
      </c>
      <c r="E3704" s="184"/>
      <c r="G3704" s="184"/>
      <c r="I3704" s="184"/>
      <c r="J3704" t="s">
        <v>595</v>
      </c>
      <c r="K3704" s="184">
        <v>41718</v>
      </c>
      <c r="M3704" s="184"/>
      <c r="O3704" s="184"/>
      <c r="P3704" t="s">
        <v>7045</v>
      </c>
      <c r="Q3704" t="s">
        <v>7262</v>
      </c>
      <c r="R3704" s="184">
        <v>13552</v>
      </c>
      <c r="S3704">
        <v>87</v>
      </c>
      <c r="U3704" t="s">
        <v>7076</v>
      </c>
      <c r="V3704" t="s">
        <v>3288</v>
      </c>
      <c r="W3704" t="s">
        <v>4013</v>
      </c>
      <c r="X3704" t="s">
        <v>2706</v>
      </c>
      <c r="AF3704" t="s">
        <v>6132</v>
      </c>
      <c r="AG3704" t="s">
        <v>3288</v>
      </c>
      <c r="AI3704" t="s">
        <v>28184</v>
      </c>
      <c r="AM3704" t="s">
        <v>3408</v>
      </c>
      <c r="AN3704" t="s">
        <v>2219</v>
      </c>
      <c r="AO3704" t="s">
        <v>28185</v>
      </c>
      <c r="AP3704" t="s">
        <v>7024</v>
      </c>
      <c r="AT3704" s="184">
        <v>39778</v>
      </c>
      <c r="AU3704" t="s">
        <v>28186</v>
      </c>
      <c r="AV3704">
        <v>50</v>
      </c>
      <c r="AW3704" s="184">
        <v>42108</v>
      </c>
      <c r="AX3704" t="s">
        <v>9136</v>
      </c>
      <c r="AY3704">
        <v>50</v>
      </c>
      <c r="AZ3704" s="184">
        <v>40714</v>
      </c>
      <c r="BA3704" t="s">
        <v>28187</v>
      </c>
      <c r="BB3704">
        <v>1500</v>
      </c>
      <c r="BC3704">
        <v>48</v>
      </c>
      <c r="BD3704">
        <v>4395</v>
      </c>
      <c r="BE3704">
        <v>2009</v>
      </c>
      <c r="BF3704">
        <v>25</v>
      </c>
      <c r="BI3704">
        <v>8</v>
      </c>
      <c r="BJ3704">
        <v>17</v>
      </c>
      <c r="BK3704">
        <v>8</v>
      </c>
      <c r="BP3704" s="184"/>
    </row>
    <row r="3705" spans="1:68">
      <c r="A3705">
        <v>50323609</v>
      </c>
      <c r="B3705">
        <v>50323609</v>
      </c>
      <c r="C3705" t="s">
        <v>7018</v>
      </c>
      <c r="E3705" s="184"/>
      <c r="G3705" s="184"/>
      <c r="H3705" t="s">
        <v>595</v>
      </c>
      <c r="I3705" s="184">
        <v>44167</v>
      </c>
      <c r="K3705" s="184"/>
      <c r="M3705" s="184"/>
      <c r="O3705" s="184"/>
      <c r="P3705" t="s">
        <v>7045</v>
      </c>
      <c r="Q3705" t="s">
        <v>7383</v>
      </c>
      <c r="R3705" s="184">
        <v>20059</v>
      </c>
      <c r="S3705">
        <v>69</v>
      </c>
      <c r="U3705" t="s">
        <v>7076</v>
      </c>
      <c r="V3705" t="s">
        <v>28188</v>
      </c>
      <c r="W3705" t="s">
        <v>3506</v>
      </c>
      <c r="X3705" t="s">
        <v>28189</v>
      </c>
      <c r="AF3705" t="s">
        <v>28190</v>
      </c>
      <c r="AG3705" t="s">
        <v>28188</v>
      </c>
      <c r="AI3705" t="s">
        <v>28191</v>
      </c>
      <c r="AM3705" t="s">
        <v>2703</v>
      </c>
      <c r="AN3705" t="s">
        <v>2064</v>
      </c>
      <c r="AO3705" t="s">
        <v>28192</v>
      </c>
      <c r="AP3705" t="s">
        <v>7024</v>
      </c>
      <c r="AQ3705" t="s">
        <v>28193</v>
      </c>
      <c r="AR3705" t="s">
        <v>28194</v>
      </c>
      <c r="AT3705" s="184">
        <v>39780</v>
      </c>
      <c r="AU3705" t="s">
        <v>28186</v>
      </c>
      <c r="AV3705">
        <v>20</v>
      </c>
      <c r="AW3705" s="184">
        <v>45191</v>
      </c>
      <c r="AX3705" t="s">
        <v>28195</v>
      </c>
      <c r="AY3705">
        <v>50</v>
      </c>
      <c r="AZ3705" s="184">
        <v>45191</v>
      </c>
      <c r="BA3705" t="s">
        <v>28195</v>
      </c>
      <c r="BB3705">
        <v>50</v>
      </c>
      <c r="BC3705">
        <v>95</v>
      </c>
      <c r="BD3705">
        <v>910</v>
      </c>
      <c r="BE3705">
        <v>2009</v>
      </c>
      <c r="BF3705">
        <v>29</v>
      </c>
      <c r="BG3705">
        <v>3</v>
      </c>
      <c r="BH3705">
        <v>120</v>
      </c>
      <c r="BI3705">
        <v>16</v>
      </c>
      <c r="BJ3705">
        <v>17</v>
      </c>
      <c r="BK3705">
        <v>16</v>
      </c>
    </row>
    <row r="3706" spans="1:68">
      <c r="A3706">
        <v>50427178</v>
      </c>
      <c r="B3706">
        <v>50427178</v>
      </c>
      <c r="C3706" t="s">
        <v>7018</v>
      </c>
      <c r="D3706" t="s">
        <v>595</v>
      </c>
      <c r="E3706" s="184">
        <v>44484</v>
      </c>
      <c r="G3706" s="184"/>
      <c r="I3706" s="184"/>
      <c r="K3706" s="184"/>
      <c r="M3706" s="184"/>
      <c r="P3706" t="s">
        <v>7045</v>
      </c>
      <c r="Q3706" t="s">
        <v>7494</v>
      </c>
      <c r="R3706" s="184">
        <v>19268</v>
      </c>
      <c r="S3706">
        <v>71</v>
      </c>
      <c r="V3706" t="s">
        <v>28196</v>
      </c>
      <c r="X3706" t="s">
        <v>3175</v>
      </c>
      <c r="AF3706" t="s">
        <v>28197</v>
      </c>
      <c r="AG3706" t="s">
        <v>28196</v>
      </c>
      <c r="AI3706" t="s">
        <v>28198</v>
      </c>
      <c r="AM3706" t="s">
        <v>28199</v>
      </c>
      <c r="AN3706" t="s">
        <v>2174</v>
      </c>
      <c r="AO3706" t="s">
        <v>28200</v>
      </c>
      <c r="AP3706" t="s">
        <v>7024</v>
      </c>
      <c r="AQ3706" t="s">
        <v>28201</v>
      </c>
      <c r="AT3706" s="184">
        <v>39777</v>
      </c>
      <c r="AU3706" t="s">
        <v>28202</v>
      </c>
      <c r="AV3706">
        <v>19.97</v>
      </c>
      <c r="AW3706" s="184">
        <v>44327</v>
      </c>
      <c r="AX3706" t="s">
        <v>7714</v>
      </c>
      <c r="AY3706">
        <v>100</v>
      </c>
      <c r="AZ3706" s="184">
        <v>44327</v>
      </c>
      <c r="BA3706" t="s">
        <v>7714</v>
      </c>
      <c r="BB3706">
        <v>100</v>
      </c>
      <c r="BC3706">
        <v>30</v>
      </c>
      <c r="BD3706">
        <v>339.97</v>
      </c>
      <c r="BE3706">
        <v>2009</v>
      </c>
      <c r="BF3706">
        <v>6</v>
      </c>
      <c r="BI3706">
        <v>5</v>
      </c>
      <c r="BJ3706">
        <v>17</v>
      </c>
      <c r="BK3706">
        <v>3</v>
      </c>
    </row>
    <row r="3707" spans="1:68">
      <c r="A3707">
        <v>50559574</v>
      </c>
      <c r="B3707">
        <v>50559574</v>
      </c>
      <c r="C3707" t="s">
        <v>7018</v>
      </c>
      <c r="E3707" s="184"/>
      <c r="G3707" s="184"/>
      <c r="I3707" s="184"/>
      <c r="J3707" t="s">
        <v>595</v>
      </c>
      <c r="K3707" s="184">
        <v>39792</v>
      </c>
      <c r="M3707" s="184"/>
      <c r="O3707" s="184"/>
      <c r="Q3707" t="s">
        <v>7020</v>
      </c>
      <c r="R3707" s="184"/>
      <c r="U3707" t="s">
        <v>7031</v>
      </c>
      <c r="V3707" t="s">
        <v>3103</v>
      </c>
      <c r="X3707" t="s">
        <v>16750</v>
      </c>
      <c r="AF3707" t="s">
        <v>6761</v>
      </c>
      <c r="AG3707" t="s">
        <v>3103</v>
      </c>
      <c r="AI3707" t="s">
        <v>28203</v>
      </c>
      <c r="AM3707" t="s">
        <v>28204</v>
      </c>
      <c r="AN3707" t="s">
        <v>2112</v>
      </c>
      <c r="AO3707">
        <v>11003</v>
      </c>
      <c r="AP3707" t="s">
        <v>7024</v>
      </c>
      <c r="AT3707" s="184"/>
      <c r="AW3707" s="184"/>
      <c r="AZ3707" s="184"/>
    </row>
    <row r="3708" spans="1:68">
      <c r="A3708">
        <v>50599513</v>
      </c>
      <c r="B3708">
        <v>50599513</v>
      </c>
      <c r="C3708" t="s">
        <v>7018</v>
      </c>
      <c r="D3708" t="s">
        <v>595</v>
      </c>
      <c r="E3708" s="184">
        <v>43836</v>
      </c>
      <c r="G3708" s="184"/>
      <c r="I3708" s="184"/>
      <c r="K3708" s="184"/>
      <c r="O3708" s="184"/>
      <c r="P3708" t="s">
        <v>7029</v>
      </c>
      <c r="Q3708" t="s">
        <v>7262</v>
      </c>
      <c r="R3708" s="184">
        <v>22282</v>
      </c>
      <c r="S3708">
        <v>63</v>
      </c>
      <c r="U3708" t="s">
        <v>7076</v>
      </c>
      <c r="V3708" t="s">
        <v>3778</v>
      </c>
      <c r="X3708" t="s">
        <v>4496</v>
      </c>
      <c r="AF3708" t="s">
        <v>28205</v>
      </c>
      <c r="AG3708" t="s">
        <v>3778</v>
      </c>
      <c r="AI3708" t="s">
        <v>28206</v>
      </c>
      <c r="AM3708" t="s">
        <v>4497</v>
      </c>
      <c r="AN3708" t="s">
        <v>2069</v>
      </c>
      <c r="AO3708" t="s">
        <v>28207</v>
      </c>
      <c r="AP3708" t="s">
        <v>7024</v>
      </c>
      <c r="AT3708" s="184">
        <v>39792</v>
      </c>
      <c r="AU3708" t="s">
        <v>28208</v>
      </c>
      <c r="AV3708">
        <v>100</v>
      </c>
      <c r="AW3708" s="184">
        <v>45313</v>
      </c>
      <c r="AX3708" t="s">
        <v>7382</v>
      </c>
      <c r="AY3708">
        <v>1000</v>
      </c>
      <c r="AZ3708" s="184">
        <v>45313</v>
      </c>
      <c r="BA3708" t="s">
        <v>7382</v>
      </c>
      <c r="BB3708">
        <v>1000</v>
      </c>
      <c r="BC3708">
        <v>83</v>
      </c>
      <c r="BD3708">
        <v>8650</v>
      </c>
      <c r="BE3708">
        <v>2009</v>
      </c>
      <c r="BF3708">
        <v>29</v>
      </c>
      <c r="BG3708">
        <v>4</v>
      </c>
      <c r="BH3708">
        <v>4000</v>
      </c>
      <c r="BI3708">
        <v>14</v>
      </c>
      <c r="BJ3708">
        <v>17</v>
      </c>
      <c r="BK3708">
        <v>10</v>
      </c>
    </row>
    <row r="3709" spans="1:68">
      <c r="A3709">
        <v>50601970</v>
      </c>
      <c r="B3709">
        <v>50601970</v>
      </c>
      <c r="C3709" t="s">
        <v>7018</v>
      </c>
      <c r="D3709" t="s">
        <v>595</v>
      </c>
      <c r="E3709" s="184">
        <v>44419</v>
      </c>
      <c r="I3709" s="184"/>
      <c r="K3709" s="184"/>
      <c r="O3709" s="184"/>
      <c r="P3709" t="s">
        <v>7019</v>
      </c>
      <c r="Q3709" t="s">
        <v>7494</v>
      </c>
      <c r="R3709" s="184">
        <v>18384</v>
      </c>
      <c r="S3709">
        <v>74</v>
      </c>
      <c r="V3709" t="s">
        <v>2733</v>
      </c>
      <c r="X3709" t="s">
        <v>28209</v>
      </c>
      <c r="AF3709" t="s">
        <v>28210</v>
      </c>
      <c r="AG3709" t="s">
        <v>2733</v>
      </c>
      <c r="AI3709" t="s">
        <v>28211</v>
      </c>
      <c r="AM3709" t="s">
        <v>3763</v>
      </c>
      <c r="AN3709" t="s">
        <v>2484</v>
      </c>
      <c r="AO3709" t="s">
        <v>28212</v>
      </c>
      <c r="AP3709" t="s">
        <v>7024</v>
      </c>
      <c r="AQ3709" t="s">
        <v>28213</v>
      </c>
      <c r="AT3709" s="184">
        <v>39792</v>
      </c>
      <c r="AU3709" t="s">
        <v>28214</v>
      </c>
      <c r="AV3709">
        <v>20</v>
      </c>
      <c r="AW3709" s="184">
        <v>45267</v>
      </c>
      <c r="AX3709" t="s">
        <v>22710</v>
      </c>
      <c r="AY3709">
        <v>20</v>
      </c>
      <c r="AZ3709" s="184">
        <v>42699</v>
      </c>
      <c r="BA3709" t="s">
        <v>23733</v>
      </c>
      <c r="BB3709">
        <v>87</v>
      </c>
      <c r="BC3709">
        <v>77</v>
      </c>
      <c r="BD3709">
        <v>707</v>
      </c>
      <c r="BE3709">
        <v>2009</v>
      </c>
      <c r="BF3709">
        <v>25</v>
      </c>
      <c r="BG3709">
        <v>7</v>
      </c>
      <c r="BH3709">
        <v>185</v>
      </c>
      <c r="BI3709">
        <v>13</v>
      </c>
      <c r="BJ3709">
        <v>17</v>
      </c>
      <c r="BK3709">
        <v>6</v>
      </c>
    </row>
    <row r="3710" spans="1:68">
      <c r="A3710">
        <v>50685577</v>
      </c>
      <c r="B3710">
        <v>50685577</v>
      </c>
      <c r="C3710" t="s">
        <v>7018</v>
      </c>
      <c r="D3710" t="s">
        <v>595</v>
      </c>
      <c r="E3710" s="184">
        <v>44065</v>
      </c>
      <c r="G3710" s="184"/>
      <c r="I3710" s="184"/>
      <c r="K3710" s="184"/>
      <c r="O3710" s="184"/>
      <c r="P3710" t="s">
        <v>7045</v>
      </c>
      <c r="Q3710" t="s">
        <v>7383</v>
      </c>
      <c r="R3710" s="184">
        <v>20090</v>
      </c>
      <c r="S3710">
        <v>69</v>
      </c>
      <c r="U3710" t="s">
        <v>7031</v>
      </c>
      <c r="V3710" t="s">
        <v>2863</v>
      </c>
      <c r="W3710" t="s">
        <v>7046</v>
      </c>
      <c r="X3710" t="s">
        <v>28215</v>
      </c>
      <c r="Y3710" t="s">
        <v>7047</v>
      </c>
      <c r="Z3710">
        <v>100351243</v>
      </c>
      <c r="AB3710" t="s">
        <v>3565</v>
      </c>
      <c r="AD3710" t="s">
        <v>28215</v>
      </c>
      <c r="AF3710" t="s">
        <v>28216</v>
      </c>
      <c r="AG3710" t="s">
        <v>28217</v>
      </c>
      <c r="AI3710" t="s">
        <v>28218</v>
      </c>
      <c r="AM3710" t="s">
        <v>28219</v>
      </c>
      <c r="AN3710" t="s">
        <v>2072</v>
      </c>
      <c r="AO3710" t="s">
        <v>28220</v>
      </c>
      <c r="AP3710" t="s">
        <v>7024</v>
      </c>
      <c r="AQ3710" t="s">
        <v>28221</v>
      </c>
      <c r="AT3710" s="184">
        <v>39794</v>
      </c>
      <c r="AU3710" t="s">
        <v>28222</v>
      </c>
      <c r="AV3710">
        <v>25</v>
      </c>
      <c r="AW3710" s="184">
        <v>45421</v>
      </c>
      <c r="AX3710" t="s">
        <v>7422</v>
      </c>
      <c r="AY3710">
        <v>20</v>
      </c>
      <c r="AZ3710" s="184">
        <v>43945</v>
      </c>
      <c r="BA3710" t="s">
        <v>9633</v>
      </c>
      <c r="BB3710">
        <v>50</v>
      </c>
      <c r="BC3710">
        <v>100</v>
      </c>
      <c r="BD3710">
        <v>2815</v>
      </c>
      <c r="BE3710">
        <v>2009</v>
      </c>
      <c r="BF3710">
        <v>153</v>
      </c>
      <c r="BG3710">
        <v>24</v>
      </c>
      <c r="BH3710">
        <v>480</v>
      </c>
      <c r="BI3710">
        <v>17</v>
      </c>
      <c r="BJ3710">
        <v>17</v>
      </c>
      <c r="BK3710">
        <v>17</v>
      </c>
      <c r="BP3710" s="184"/>
    </row>
    <row r="3711" spans="1:68">
      <c r="A3711">
        <v>50723113</v>
      </c>
      <c r="B3711">
        <v>50723113</v>
      </c>
      <c r="C3711" t="s">
        <v>7018</v>
      </c>
      <c r="E3711" s="184"/>
      <c r="G3711" s="184"/>
      <c r="I3711" s="184"/>
      <c r="J3711" t="s">
        <v>595</v>
      </c>
      <c r="K3711" s="184">
        <v>44441</v>
      </c>
      <c r="M3711" s="184"/>
      <c r="O3711" s="184"/>
      <c r="P3711" t="s">
        <v>7019</v>
      </c>
      <c r="Q3711" t="s">
        <v>7383</v>
      </c>
      <c r="R3711" s="184">
        <v>15653</v>
      </c>
      <c r="S3711">
        <v>81</v>
      </c>
      <c r="V3711" t="s">
        <v>3360</v>
      </c>
      <c r="X3711" t="s">
        <v>28223</v>
      </c>
      <c r="Z3711">
        <v>100128046</v>
      </c>
      <c r="AB3711" t="s">
        <v>2903</v>
      </c>
      <c r="AD3711" t="s">
        <v>28223</v>
      </c>
      <c r="AF3711" t="s">
        <v>28224</v>
      </c>
      <c r="AG3711" t="s">
        <v>28225</v>
      </c>
      <c r="AI3711" t="s">
        <v>28226</v>
      </c>
      <c r="AM3711" t="s">
        <v>28227</v>
      </c>
      <c r="AN3711" t="s">
        <v>2274</v>
      </c>
      <c r="AO3711" t="s">
        <v>28228</v>
      </c>
      <c r="AP3711" t="s">
        <v>7024</v>
      </c>
      <c r="AQ3711" t="s">
        <v>28229</v>
      </c>
      <c r="AR3711" t="s">
        <v>28230</v>
      </c>
      <c r="AT3711" s="184">
        <v>39797</v>
      </c>
      <c r="AU3711" t="s">
        <v>28231</v>
      </c>
      <c r="AV3711">
        <v>25</v>
      </c>
      <c r="AW3711" s="184">
        <v>44677</v>
      </c>
      <c r="AX3711" t="s">
        <v>28232</v>
      </c>
      <c r="AY3711">
        <v>60</v>
      </c>
      <c r="AZ3711" s="184">
        <v>44677</v>
      </c>
      <c r="BA3711" t="s">
        <v>28232</v>
      </c>
      <c r="BB3711">
        <v>60</v>
      </c>
      <c r="BC3711">
        <v>59</v>
      </c>
      <c r="BD3711">
        <v>490</v>
      </c>
      <c r="BE3711">
        <v>2009</v>
      </c>
      <c r="BF3711">
        <v>14</v>
      </c>
      <c r="BG3711">
        <v>1</v>
      </c>
      <c r="BH3711">
        <v>60</v>
      </c>
      <c r="BI3711">
        <v>10</v>
      </c>
      <c r="BJ3711">
        <v>17</v>
      </c>
      <c r="BK3711">
        <v>7</v>
      </c>
      <c r="BN3711" t="s">
        <v>595</v>
      </c>
      <c r="BP3711" s="184"/>
    </row>
    <row r="3712" spans="1:68">
      <c r="A3712">
        <v>100128046</v>
      </c>
      <c r="B3712">
        <v>50723113</v>
      </c>
      <c r="C3712" t="s">
        <v>7018</v>
      </c>
      <c r="E3712" s="184"/>
      <c r="G3712" s="184"/>
      <c r="I3712" s="184"/>
      <c r="J3712" t="s">
        <v>595</v>
      </c>
      <c r="K3712" s="184">
        <v>44441</v>
      </c>
      <c r="O3712" s="184"/>
      <c r="P3712" t="s">
        <v>7019</v>
      </c>
      <c r="Q3712" t="s">
        <v>7383</v>
      </c>
      <c r="R3712" s="184">
        <v>16266</v>
      </c>
      <c r="S3712">
        <v>79</v>
      </c>
      <c r="V3712" t="s">
        <v>2903</v>
      </c>
      <c r="X3712" t="s">
        <v>28223</v>
      </c>
      <c r="Z3712">
        <v>50723113</v>
      </c>
      <c r="AB3712" t="s">
        <v>3360</v>
      </c>
      <c r="AD3712" t="s">
        <v>28223</v>
      </c>
      <c r="AF3712" t="s">
        <v>28224</v>
      </c>
      <c r="AG3712" t="s">
        <v>28225</v>
      </c>
      <c r="AI3712" t="s">
        <v>28226</v>
      </c>
      <c r="AM3712" t="s">
        <v>28227</v>
      </c>
      <c r="AN3712" t="s">
        <v>2274</v>
      </c>
      <c r="AO3712" t="s">
        <v>28228</v>
      </c>
      <c r="AP3712" t="s">
        <v>7024</v>
      </c>
      <c r="AT3712" s="184"/>
      <c r="AW3712" s="184"/>
      <c r="AZ3712" s="184"/>
    </row>
    <row r="3713" spans="1:68">
      <c r="A3713">
        <v>50791359</v>
      </c>
      <c r="B3713">
        <v>50791359</v>
      </c>
      <c r="C3713" t="s">
        <v>7018</v>
      </c>
      <c r="E3713" s="184"/>
      <c r="G3713" s="184"/>
      <c r="I3713" s="184"/>
      <c r="J3713" t="s">
        <v>595</v>
      </c>
      <c r="K3713" s="184">
        <v>41708</v>
      </c>
      <c r="O3713" s="184"/>
      <c r="P3713" t="s">
        <v>7045</v>
      </c>
      <c r="Q3713" t="s">
        <v>7020</v>
      </c>
      <c r="R3713" s="184">
        <v>17529</v>
      </c>
      <c r="S3713">
        <v>76</v>
      </c>
      <c r="U3713" t="s">
        <v>7031</v>
      </c>
      <c r="V3713" t="s">
        <v>3141</v>
      </c>
      <c r="W3713" t="s">
        <v>4139</v>
      </c>
      <c r="X3713" t="s">
        <v>28233</v>
      </c>
      <c r="AF3713" t="s">
        <v>6607</v>
      </c>
      <c r="AG3713" t="s">
        <v>3141</v>
      </c>
      <c r="AI3713" t="s">
        <v>28234</v>
      </c>
      <c r="AM3713" t="s">
        <v>28235</v>
      </c>
      <c r="AN3713" t="s">
        <v>2052</v>
      </c>
      <c r="AO3713" t="s">
        <v>28236</v>
      </c>
      <c r="AP3713" t="s">
        <v>7024</v>
      </c>
      <c r="AQ3713" t="s">
        <v>28237</v>
      </c>
      <c r="AR3713" t="s">
        <v>28238</v>
      </c>
      <c r="AT3713" s="184">
        <v>39800</v>
      </c>
      <c r="AU3713" t="s">
        <v>28239</v>
      </c>
      <c r="AV3713">
        <v>20</v>
      </c>
      <c r="AW3713" s="184">
        <v>45303</v>
      </c>
      <c r="AX3713" t="s">
        <v>14216</v>
      </c>
      <c r="AY3713">
        <v>25</v>
      </c>
      <c r="AZ3713" s="184">
        <v>45182</v>
      </c>
      <c r="BA3713" t="s">
        <v>8954</v>
      </c>
      <c r="BB3713">
        <v>50</v>
      </c>
      <c r="BC3713">
        <v>100</v>
      </c>
      <c r="BD3713">
        <v>765</v>
      </c>
      <c r="BE3713">
        <v>2009</v>
      </c>
      <c r="BF3713">
        <v>28</v>
      </c>
      <c r="BG3713">
        <v>3</v>
      </c>
      <c r="BH3713">
        <v>125</v>
      </c>
      <c r="BI3713">
        <v>17</v>
      </c>
      <c r="BJ3713">
        <v>17</v>
      </c>
      <c r="BK3713">
        <v>17</v>
      </c>
      <c r="BP3713" s="184"/>
    </row>
    <row r="3714" spans="1:68">
      <c r="A3714">
        <v>50874973</v>
      </c>
      <c r="B3714">
        <v>50874973</v>
      </c>
      <c r="C3714" t="s">
        <v>7018</v>
      </c>
      <c r="E3714" s="184"/>
      <c r="G3714" s="184"/>
      <c r="I3714" s="184"/>
      <c r="J3714" t="s">
        <v>595</v>
      </c>
      <c r="K3714" s="184">
        <v>41088</v>
      </c>
      <c r="O3714" s="184"/>
      <c r="P3714" t="s">
        <v>7019</v>
      </c>
      <c r="Q3714" t="s">
        <v>7454</v>
      </c>
      <c r="R3714" s="184">
        <v>22098</v>
      </c>
      <c r="S3714">
        <v>63</v>
      </c>
      <c r="U3714" t="s">
        <v>7076</v>
      </c>
      <c r="V3714" t="s">
        <v>3317</v>
      </c>
      <c r="W3714" t="s">
        <v>7407</v>
      </c>
      <c r="X3714" t="s">
        <v>28240</v>
      </c>
      <c r="AF3714" t="s">
        <v>6504</v>
      </c>
      <c r="AG3714" t="s">
        <v>3317</v>
      </c>
      <c r="AI3714" t="s">
        <v>28241</v>
      </c>
      <c r="AM3714" t="s">
        <v>3855</v>
      </c>
      <c r="AN3714" t="s">
        <v>2055</v>
      </c>
      <c r="AO3714" t="s">
        <v>28242</v>
      </c>
      <c r="AP3714" t="s">
        <v>7024</v>
      </c>
      <c r="AQ3714" t="s">
        <v>28243</v>
      </c>
      <c r="AT3714" s="184">
        <v>39804</v>
      </c>
      <c r="AU3714" t="s">
        <v>28244</v>
      </c>
      <c r="AV3714">
        <v>25</v>
      </c>
      <c r="AW3714" s="184">
        <v>45402</v>
      </c>
      <c r="AX3714" t="s">
        <v>10451</v>
      </c>
      <c r="AY3714">
        <v>10</v>
      </c>
      <c r="AZ3714" s="184">
        <v>45378</v>
      </c>
      <c r="BA3714" t="s">
        <v>20999</v>
      </c>
      <c r="BB3714">
        <v>75</v>
      </c>
      <c r="BC3714">
        <v>71</v>
      </c>
      <c r="BD3714">
        <v>1042</v>
      </c>
      <c r="BE3714">
        <v>2009</v>
      </c>
      <c r="BF3714">
        <v>51</v>
      </c>
      <c r="BG3714">
        <v>5</v>
      </c>
      <c r="BH3714">
        <v>210</v>
      </c>
      <c r="BI3714">
        <v>12</v>
      </c>
      <c r="BJ3714">
        <v>17</v>
      </c>
      <c r="BK3714">
        <v>10</v>
      </c>
      <c r="BP3714" s="184"/>
    </row>
    <row r="3715" spans="1:68">
      <c r="A3715">
        <v>50961572</v>
      </c>
      <c r="B3715">
        <v>50961572</v>
      </c>
      <c r="C3715" t="s">
        <v>7018</v>
      </c>
      <c r="D3715" t="s">
        <v>595</v>
      </c>
      <c r="E3715" s="184">
        <v>44441</v>
      </c>
      <c r="I3715" s="184"/>
      <c r="K3715" s="184"/>
      <c r="M3715" s="184"/>
      <c r="O3715" s="184"/>
      <c r="P3715" t="s">
        <v>7045</v>
      </c>
      <c r="Q3715" t="s">
        <v>7374</v>
      </c>
      <c r="R3715" s="184">
        <v>19115</v>
      </c>
      <c r="S3715">
        <v>72</v>
      </c>
      <c r="V3715" t="s">
        <v>4587</v>
      </c>
      <c r="X3715" t="s">
        <v>28245</v>
      </c>
      <c r="AF3715" t="s">
        <v>28246</v>
      </c>
      <c r="AG3715" t="s">
        <v>4587</v>
      </c>
      <c r="AI3715" t="s">
        <v>28247</v>
      </c>
      <c r="AM3715" t="s">
        <v>5949</v>
      </c>
      <c r="AN3715" t="s">
        <v>2081</v>
      </c>
      <c r="AO3715" t="s">
        <v>28248</v>
      </c>
      <c r="AP3715" t="s">
        <v>7024</v>
      </c>
      <c r="AQ3715" t="s">
        <v>28249</v>
      </c>
      <c r="AT3715" s="184">
        <v>39808</v>
      </c>
      <c r="AU3715" t="s">
        <v>28250</v>
      </c>
      <c r="AV3715">
        <v>30</v>
      </c>
      <c r="AW3715" s="184">
        <v>45296</v>
      </c>
      <c r="AX3715" t="s">
        <v>28251</v>
      </c>
      <c r="AY3715">
        <v>25</v>
      </c>
      <c r="AZ3715" s="184">
        <v>42373</v>
      </c>
      <c r="BA3715" t="s">
        <v>28252</v>
      </c>
      <c r="BB3715">
        <v>60</v>
      </c>
      <c r="BC3715">
        <v>83</v>
      </c>
      <c r="BD3715">
        <v>640</v>
      </c>
      <c r="BE3715">
        <v>2009</v>
      </c>
      <c r="BF3715">
        <v>19</v>
      </c>
      <c r="BG3715">
        <v>3</v>
      </c>
      <c r="BH3715">
        <v>75</v>
      </c>
      <c r="BI3715">
        <v>14</v>
      </c>
      <c r="BJ3715">
        <v>17</v>
      </c>
      <c r="BK3715">
        <v>6</v>
      </c>
      <c r="BN3715" t="s">
        <v>595</v>
      </c>
    </row>
    <row r="3716" spans="1:68">
      <c r="A3716">
        <v>50978790</v>
      </c>
      <c r="B3716">
        <v>50978790</v>
      </c>
      <c r="C3716" t="s">
        <v>7018</v>
      </c>
      <c r="E3716" s="184"/>
      <c r="G3716" s="184"/>
      <c r="K3716" s="184"/>
      <c r="N3716" t="s">
        <v>595</v>
      </c>
      <c r="O3716" s="184">
        <v>41029</v>
      </c>
      <c r="P3716" t="s">
        <v>7045</v>
      </c>
      <c r="Q3716" t="s">
        <v>7020</v>
      </c>
      <c r="R3716" s="184">
        <v>10627</v>
      </c>
      <c r="S3716">
        <v>95</v>
      </c>
      <c r="U3716" t="s">
        <v>7076</v>
      </c>
      <c r="V3716" t="s">
        <v>2858</v>
      </c>
      <c r="X3716" t="s">
        <v>2859</v>
      </c>
      <c r="AF3716" t="s">
        <v>28253</v>
      </c>
      <c r="AG3716" t="s">
        <v>2858</v>
      </c>
      <c r="AI3716" t="s">
        <v>28254</v>
      </c>
      <c r="AM3716" t="s">
        <v>2860</v>
      </c>
      <c r="AN3716" t="s">
        <v>2112</v>
      </c>
      <c r="AO3716" t="s">
        <v>28255</v>
      </c>
      <c r="AP3716" t="s">
        <v>7024</v>
      </c>
      <c r="AQ3716" t="s">
        <v>28256</v>
      </c>
      <c r="AT3716" s="184">
        <v>39808</v>
      </c>
      <c r="AU3716" t="s">
        <v>28182</v>
      </c>
      <c r="AV3716">
        <v>25</v>
      </c>
      <c r="AW3716" s="184">
        <v>42887</v>
      </c>
      <c r="AX3716" t="s">
        <v>7267</v>
      </c>
      <c r="AY3716">
        <v>25000</v>
      </c>
      <c r="AZ3716" s="184">
        <v>41029</v>
      </c>
      <c r="BA3716" t="s">
        <v>7075</v>
      </c>
      <c r="BB3716">
        <v>50000</v>
      </c>
      <c r="BC3716">
        <v>59</v>
      </c>
      <c r="BD3716">
        <v>75715</v>
      </c>
      <c r="BE3716">
        <v>2009</v>
      </c>
      <c r="BF3716">
        <v>13</v>
      </c>
      <c r="BI3716">
        <v>10</v>
      </c>
      <c r="BJ3716">
        <v>17</v>
      </c>
      <c r="BK3716">
        <v>10</v>
      </c>
      <c r="BM3716" t="s">
        <v>595</v>
      </c>
    </row>
    <row r="3717" spans="1:68">
      <c r="A3717">
        <v>51008753</v>
      </c>
      <c r="B3717">
        <v>51008753</v>
      </c>
      <c r="C3717" t="s">
        <v>7018</v>
      </c>
      <c r="D3717" t="s">
        <v>595</v>
      </c>
      <c r="E3717" s="184">
        <v>44167</v>
      </c>
      <c r="G3717" s="184"/>
      <c r="I3717" s="184"/>
      <c r="K3717" s="184"/>
      <c r="M3717" s="184"/>
      <c r="O3717" s="184"/>
      <c r="P3717" t="s">
        <v>7045</v>
      </c>
      <c r="Q3717" t="s">
        <v>7262</v>
      </c>
      <c r="R3717" s="184">
        <v>14969</v>
      </c>
      <c r="S3717">
        <v>83</v>
      </c>
      <c r="U3717" t="s">
        <v>7076</v>
      </c>
      <c r="V3717" t="s">
        <v>4210</v>
      </c>
      <c r="X3717" t="s">
        <v>28257</v>
      </c>
      <c r="AF3717" t="s">
        <v>28258</v>
      </c>
      <c r="AG3717" t="s">
        <v>4210</v>
      </c>
      <c r="AI3717" t="s">
        <v>28259</v>
      </c>
      <c r="AM3717" t="s">
        <v>28260</v>
      </c>
      <c r="AN3717" t="s">
        <v>2069</v>
      </c>
      <c r="AO3717" t="s">
        <v>28261</v>
      </c>
      <c r="AP3717" t="s">
        <v>7024</v>
      </c>
      <c r="AQ3717" t="s">
        <v>28262</v>
      </c>
      <c r="AT3717" s="184">
        <v>39811</v>
      </c>
      <c r="AU3717" t="s">
        <v>28244</v>
      </c>
      <c r="AV3717">
        <v>25</v>
      </c>
      <c r="AW3717" s="184">
        <v>44974</v>
      </c>
      <c r="AX3717" t="s">
        <v>28263</v>
      </c>
      <c r="AY3717">
        <v>35</v>
      </c>
      <c r="AZ3717" s="184">
        <v>44778</v>
      </c>
      <c r="BA3717" t="s">
        <v>17054</v>
      </c>
      <c r="BB3717">
        <v>40</v>
      </c>
      <c r="BC3717">
        <v>95</v>
      </c>
      <c r="BD3717">
        <v>1205</v>
      </c>
      <c r="BE3717">
        <v>2009</v>
      </c>
      <c r="BF3717">
        <v>36</v>
      </c>
      <c r="BG3717">
        <v>3</v>
      </c>
      <c r="BH3717">
        <v>110</v>
      </c>
      <c r="BI3717">
        <v>16</v>
      </c>
      <c r="BJ3717">
        <v>17</v>
      </c>
      <c r="BK3717">
        <v>16</v>
      </c>
      <c r="BP3717" s="184"/>
    </row>
    <row r="3718" spans="1:68">
      <c r="A3718">
        <v>51009488</v>
      </c>
      <c r="B3718">
        <v>51009488</v>
      </c>
      <c r="C3718" t="s">
        <v>7018</v>
      </c>
      <c r="D3718" t="s">
        <v>595</v>
      </c>
      <c r="E3718" s="184">
        <v>44167</v>
      </c>
      <c r="G3718" s="184"/>
      <c r="I3718" s="184"/>
      <c r="K3718" s="184"/>
      <c r="O3718" s="184"/>
      <c r="P3718" t="s">
        <v>7045</v>
      </c>
      <c r="Q3718" t="s">
        <v>7160</v>
      </c>
      <c r="R3718" s="184">
        <v>18420</v>
      </c>
      <c r="S3718">
        <v>73</v>
      </c>
      <c r="U3718" t="s">
        <v>7076</v>
      </c>
      <c r="V3718" t="s">
        <v>3230</v>
      </c>
      <c r="W3718" t="s">
        <v>7407</v>
      </c>
      <c r="X3718" t="s">
        <v>10612</v>
      </c>
      <c r="AF3718" t="s">
        <v>28264</v>
      </c>
      <c r="AG3718" t="s">
        <v>3230</v>
      </c>
      <c r="AI3718" t="s">
        <v>28265</v>
      </c>
      <c r="AM3718" t="s">
        <v>2869</v>
      </c>
      <c r="AN3718" t="s">
        <v>2176</v>
      </c>
      <c r="AO3718" t="s">
        <v>28266</v>
      </c>
      <c r="AP3718" t="s">
        <v>7024</v>
      </c>
      <c r="AQ3718" t="s">
        <v>28267</v>
      </c>
      <c r="AT3718" s="184">
        <v>39811</v>
      </c>
      <c r="AU3718" t="s">
        <v>28244</v>
      </c>
      <c r="AV3718">
        <v>15</v>
      </c>
      <c r="AW3718" s="184">
        <v>45398</v>
      </c>
      <c r="AX3718" t="s">
        <v>9576</v>
      </c>
      <c r="AY3718">
        <v>35</v>
      </c>
      <c r="AZ3718" s="184">
        <v>45191</v>
      </c>
      <c r="BA3718" t="s">
        <v>28195</v>
      </c>
      <c r="BB3718">
        <v>36.75</v>
      </c>
      <c r="BC3718">
        <v>95</v>
      </c>
      <c r="BD3718">
        <v>908.75</v>
      </c>
      <c r="BE3718">
        <v>2009</v>
      </c>
      <c r="BF3718">
        <v>29</v>
      </c>
      <c r="BG3718">
        <v>3</v>
      </c>
      <c r="BH3718">
        <v>106.75</v>
      </c>
      <c r="BI3718">
        <v>16</v>
      </c>
      <c r="BJ3718">
        <v>17</v>
      </c>
      <c r="BK3718">
        <v>15</v>
      </c>
      <c r="BP3718" s="184"/>
    </row>
    <row r="3719" spans="1:68">
      <c r="A3719">
        <v>51042570</v>
      </c>
      <c r="B3719">
        <v>51042570</v>
      </c>
      <c r="C3719" t="s">
        <v>7018</v>
      </c>
      <c r="E3719" s="184"/>
      <c r="G3719" s="184"/>
      <c r="I3719" s="184"/>
      <c r="J3719" t="s">
        <v>595</v>
      </c>
      <c r="K3719" s="184">
        <v>44167</v>
      </c>
      <c r="O3719" s="184"/>
      <c r="P3719" t="s">
        <v>7045</v>
      </c>
      <c r="Q3719" t="s">
        <v>7160</v>
      </c>
      <c r="R3719" s="184">
        <v>19985</v>
      </c>
      <c r="S3719">
        <v>69</v>
      </c>
      <c r="V3719" t="s">
        <v>2871</v>
      </c>
      <c r="W3719" t="s">
        <v>7407</v>
      </c>
      <c r="X3719" t="s">
        <v>28268</v>
      </c>
      <c r="AF3719" t="s">
        <v>28269</v>
      </c>
      <c r="AG3719" t="s">
        <v>2871</v>
      </c>
      <c r="AI3719" t="s">
        <v>28270</v>
      </c>
      <c r="AM3719" t="s">
        <v>3980</v>
      </c>
      <c r="AN3719" t="s">
        <v>4637</v>
      </c>
      <c r="AO3719" t="s">
        <v>28271</v>
      </c>
      <c r="AP3719" t="s">
        <v>7024</v>
      </c>
      <c r="AQ3719" t="s">
        <v>28272</v>
      </c>
      <c r="AT3719" s="184">
        <v>39813</v>
      </c>
      <c r="AU3719" t="s">
        <v>28273</v>
      </c>
      <c r="AV3719">
        <v>15</v>
      </c>
      <c r="AW3719" s="184">
        <v>45180</v>
      </c>
      <c r="AX3719" t="s">
        <v>14595</v>
      </c>
      <c r="AY3719">
        <v>50</v>
      </c>
      <c r="AZ3719" s="184">
        <v>45180</v>
      </c>
      <c r="BA3719" t="s">
        <v>14595</v>
      </c>
      <c r="BB3719">
        <v>50</v>
      </c>
      <c r="BC3719">
        <v>83</v>
      </c>
      <c r="BD3719">
        <v>570</v>
      </c>
      <c r="BE3719">
        <v>2009</v>
      </c>
      <c r="BF3719">
        <v>16</v>
      </c>
      <c r="BG3719">
        <v>2</v>
      </c>
      <c r="BH3719">
        <v>100</v>
      </c>
      <c r="BI3719">
        <v>14</v>
      </c>
      <c r="BJ3719">
        <v>17</v>
      </c>
      <c r="BK3719">
        <v>9</v>
      </c>
      <c r="BP3719" s="184"/>
    </row>
    <row r="3720" spans="1:68">
      <c r="A3720">
        <v>51058667</v>
      </c>
      <c r="B3720">
        <v>51058667</v>
      </c>
      <c r="C3720" t="s">
        <v>7018</v>
      </c>
      <c r="E3720" s="184"/>
      <c r="I3720" s="184"/>
      <c r="J3720" t="s">
        <v>595</v>
      </c>
      <c r="K3720" s="184">
        <v>42522</v>
      </c>
      <c r="M3720" s="184"/>
      <c r="O3720" s="184"/>
      <c r="P3720" t="s">
        <v>7045</v>
      </c>
      <c r="Q3720" t="s">
        <v>7160</v>
      </c>
      <c r="R3720" s="184">
        <v>18384</v>
      </c>
      <c r="S3720">
        <v>74</v>
      </c>
      <c r="U3720" t="s">
        <v>7076</v>
      </c>
      <c r="V3720" t="s">
        <v>3011</v>
      </c>
      <c r="W3720" t="s">
        <v>7290</v>
      </c>
      <c r="X3720" t="s">
        <v>4472</v>
      </c>
      <c r="Z3720">
        <v>100219645</v>
      </c>
      <c r="AB3720" t="s">
        <v>2687</v>
      </c>
      <c r="AD3720" t="s">
        <v>4472</v>
      </c>
      <c r="AF3720" t="s">
        <v>6107</v>
      </c>
      <c r="AG3720" t="s">
        <v>28274</v>
      </c>
      <c r="AI3720" t="s">
        <v>28275</v>
      </c>
      <c r="AM3720" t="s">
        <v>27199</v>
      </c>
      <c r="AN3720" t="s">
        <v>2395</v>
      </c>
      <c r="AO3720" t="s">
        <v>28276</v>
      </c>
      <c r="AP3720" t="s">
        <v>7024</v>
      </c>
      <c r="AQ3720" t="s">
        <v>28277</v>
      </c>
      <c r="AR3720" t="s">
        <v>28278</v>
      </c>
      <c r="AT3720" s="184">
        <v>39813</v>
      </c>
      <c r="AU3720" t="s">
        <v>28202</v>
      </c>
      <c r="AV3720">
        <v>19.97</v>
      </c>
      <c r="AW3720" s="184">
        <v>45406</v>
      </c>
      <c r="AX3720" t="s">
        <v>7429</v>
      </c>
      <c r="AY3720">
        <v>50</v>
      </c>
      <c r="AZ3720" s="184">
        <v>43712</v>
      </c>
      <c r="BA3720" t="s">
        <v>28279</v>
      </c>
      <c r="BB3720">
        <v>500</v>
      </c>
      <c r="BC3720">
        <v>95</v>
      </c>
      <c r="BD3720">
        <v>7834.97</v>
      </c>
      <c r="BE3720">
        <v>2009</v>
      </c>
      <c r="BF3720">
        <v>125</v>
      </c>
      <c r="BG3720">
        <v>24</v>
      </c>
      <c r="BH3720">
        <v>1200</v>
      </c>
      <c r="BI3720">
        <v>16</v>
      </c>
      <c r="BJ3720">
        <v>17</v>
      </c>
      <c r="BK3720">
        <v>12</v>
      </c>
      <c r="BP3720" s="184"/>
    </row>
    <row r="3721" spans="1:68">
      <c r="A3721">
        <v>100219645</v>
      </c>
      <c r="B3721">
        <v>51058667</v>
      </c>
      <c r="C3721" t="s">
        <v>7018</v>
      </c>
      <c r="E3721" s="184"/>
      <c r="I3721" s="184"/>
      <c r="J3721" t="s">
        <v>595</v>
      </c>
      <c r="K3721" s="184">
        <v>43654</v>
      </c>
      <c r="M3721" s="184"/>
      <c r="O3721" s="184"/>
      <c r="P3721" t="s">
        <v>7045</v>
      </c>
      <c r="Q3721" t="s">
        <v>7160</v>
      </c>
      <c r="R3721" s="184">
        <v>18323</v>
      </c>
      <c r="S3721">
        <v>74</v>
      </c>
      <c r="V3721" t="s">
        <v>2687</v>
      </c>
      <c r="X3721" t="s">
        <v>4472</v>
      </c>
      <c r="Z3721">
        <v>51058667</v>
      </c>
      <c r="AA3721" t="s">
        <v>7076</v>
      </c>
      <c r="AB3721" t="s">
        <v>3011</v>
      </c>
      <c r="AC3721" t="s">
        <v>7290</v>
      </c>
      <c r="AD3721" t="s">
        <v>4472</v>
      </c>
      <c r="AF3721" t="s">
        <v>6107</v>
      </c>
      <c r="AG3721" t="s">
        <v>28274</v>
      </c>
      <c r="AI3721" t="s">
        <v>28275</v>
      </c>
      <c r="AM3721" t="s">
        <v>27199</v>
      </c>
      <c r="AN3721" t="s">
        <v>2395</v>
      </c>
      <c r="AO3721" t="s">
        <v>28276</v>
      </c>
      <c r="AP3721" t="s">
        <v>7024</v>
      </c>
      <c r="AT3721" s="184"/>
      <c r="AW3721" s="184"/>
      <c r="AZ3721" s="184"/>
      <c r="BP3721" s="184"/>
    </row>
    <row r="3722" spans="1:68">
      <c r="A3722">
        <v>51105682</v>
      </c>
      <c r="B3722">
        <v>51105682</v>
      </c>
      <c r="C3722" t="s">
        <v>7018</v>
      </c>
      <c r="D3722" t="s">
        <v>595</v>
      </c>
      <c r="E3722" s="184">
        <v>44455</v>
      </c>
      <c r="G3722" s="184"/>
      <c r="I3722" s="184"/>
      <c r="K3722" s="184"/>
      <c r="M3722" s="184"/>
      <c r="O3722" s="184"/>
      <c r="P3722" t="s">
        <v>7045</v>
      </c>
      <c r="Q3722" t="s">
        <v>7454</v>
      </c>
      <c r="R3722" s="184">
        <v>15615</v>
      </c>
      <c r="S3722">
        <v>81</v>
      </c>
      <c r="V3722" t="s">
        <v>18354</v>
      </c>
      <c r="X3722" t="s">
        <v>28280</v>
      </c>
      <c r="AF3722" t="s">
        <v>28281</v>
      </c>
      <c r="AG3722" t="s">
        <v>18354</v>
      </c>
      <c r="AI3722" t="s">
        <v>28282</v>
      </c>
      <c r="AM3722" t="s">
        <v>3551</v>
      </c>
      <c r="AN3722" t="s">
        <v>2299</v>
      </c>
      <c r="AO3722" t="s">
        <v>28283</v>
      </c>
      <c r="AP3722" t="s">
        <v>7024</v>
      </c>
      <c r="AT3722" s="184">
        <v>39818</v>
      </c>
      <c r="AU3722" t="s">
        <v>28284</v>
      </c>
      <c r="AV3722">
        <v>20</v>
      </c>
      <c r="AW3722" s="184">
        <v>42123</v>
      </c>
      <c r="AX3722" t="s">
        <v>23525</v>
      </c>
      <c r="AY3722">
        <v>55</v>
      </c>
      <c r="AZ3722" s="184">
        <v>42123</v>
      </c>
      <c r="BA3722" t="s">
        <v>23525</v>
      </c>
      <c r="BB3722">
        <v>55</v>
      </c>
      <c r="BC3722">
        <v>44</v>
      </c>
      <c r="BD3722">
        <v>250</v>
      </c>
      <c r="BE3722">
        <v>2009</v>
      </c>
      <c r="BF3722">
        <v>7</v>
      </c>
      <c r="BI3722">
        <v>7</v>
      </c>
      <c r="BJ3722">
        <v>16</v>
      </c>
      <c r="BK3722">
        <v>7</v>
      </c>
      <c r="BP3722" s="184"/>
    </row>
    <row r="3723" spans="1:68">
      <c r="A3723">
        <v>51125177</v>
      </c>
      <c r="B3723">
        <v>51125177</v>
      </c>
      <c r="C3723" t="s">
        <v>7018</v>
      </c>
      <c r="D3723" t="s">
        <v>595</v>
      </c>
      <c r="E3723" s="184">
        <v>44067</v>
      </c>
      <c r="G3723" s="184"/>
      <c r="I3723" s="184"/>
      <c r="K3723" s="184"/>
      <c r="M3723" s="184"/>
      <c r="O3723" s="184"/>
      <c r="P3723" t="s">
        <v>7084</v>
      </c>
      <c r="Q3723" t="s">
        <v>7374</v>
      </c>
      <c r="R3723" s="184">
        <v>17502</v>
      </c>
      <c r="S3723">
        <v>76</v>
      </c>
      <c r="V3723" t="s">
        <v>2848</v>
      </c>
      <c r="W3723" t="s">
        <v>28285</v>
      </c>
      <c r="X3723" t="s">
        <v>4863</v>
      </c>
      <c r="Y3723" t="s">
        <v>7327</v>
      </c>
      <c r="Z3723">
        <v>100128417</v>
      </c>
      <c r="AB3723" t="s">
        <v>2551</v>
      </c>
      <c r="AC3723" t="s">
        <v>4013</v>
      </c>
      <c r="AD3723" t="s">
        <v>4863</v>
      </c>
      <c r="AE3723" t="s">
        <v>7047</v>
      </c>
      <c r="AF3723" t="s">
        <v>28286</v>
      </c>
      <c r="AG3723" t="s">
        <v>28287</v>
      </c>
      <c r="AI3723" t="s">
        <v>28288</v>
      </c>
      <c r="AM3723" t="s">
        <v>4864</v>
      </c>
      <c r="AN3723" t="s">
        <v>2081</v>
      </c>
      <c r="AO3723" t="s">
        <v>28289</v>
      </c>
      <c r="AP3723" t="s">
        <v>7024</v>
      </c>
      <c r="AQ3723" t="s">
        <v>28290</v>
      </c>
      <c r="AT3723" s="184">
        <v>41088</v>
      </c>
      <c r="AU3723" t="s">
        <v>19247</v>
      </c>
      <c r="AV3723">
        <v>10000</v>
      </c>
      <c r="AW3723" s="184">
        <v>45369</v>
      </c>
      <c r="AX3723" t="s">
        <v>13016</v>
      </c>
      <c r="AY3723">
        <v>2500</v>
      </c>
      <c r="AZ3723" s="184">
        <v>42349</v>
      </c>
      <c r="BA3723" t="s">
        <v>9115</v>
      </c>
      <c r="BB3723">
        <v>50000</v>
      </c>
      <c r="BC3723">
        <v>100</v>
      </c>
      <c r="BD3723">
        <v>354047</v>
      </c>
      <c r="BE3723">
        <v>2012</v>
      </c>
      <c r="BF3723">
        <v>31</v>
      </c>
      <c r="BG3723">
        <v>5</v>
      </c>
      <c r="BH3723">
        <v>58500</v>
      </c>
      <c r="BI3723">
        <v>13</v>
      </c>
      <c r="BJ3723">
        <v>13</v>
      </c>
      <c r="BK3723">
        <v>13</v>
      </c>
      <c r="BP3723" s="184"/>
    </row>
    <row r="3724" spans="1:68">
      <c r="A3724">
        <v>100128417</v>
      </c>
      <c r="B3724">
        <v>51125177</v>
      </c>
      <c r="C3724" t="s">
        <v>7018</v>
      </c>
      <c r="D3724" t="s">
        <v>595</v>
      </c>
      <c r="E3724" s="184">
        <v>44067</v>
      </c>
      <c r="G3724" s="184"/>
      <c r="I3724" s="184"/>
      <c r="K3724" s="184"/>
      <c r="O3724" s="184"/>
      <c r="P3724" t="s">
        <v>7084</v>
      </c>
      <c r="Q3724" t="s">
        <v>7374</v>
      </c>
      <c r="R3724" s="184"/>
      <c r="V3724" t="s">
        <v>2551</v>
      </c>
      <c r="W3724" t="s">
        <v>4013</v>
      </c>
      <c r="X3724" t="s">
        <v>4863</v>
      </c>
      <c r="Y3724" t="s">
        <v>7047</v>
      </c>
      <c r="Z3724">
        <v>51125177</v>
      </c>
      <c r="AB3724" t="s">
        <v>2848</v>
      </c>
      <c r="AC3724" t="s">
        <v>28285</v>
      </c>
      <c r="AD3724" t="s">
        <v>4863</v>
      </c>
      <c r="AE3724" t="s">
        <v>7327</v>
      </c>
      <c r="AF3724" t="s">
        <v>28286</v>
      </c>
      <c r="AG3724" t="s">
        <v>28287</v>
      </c>
      <c r="AI3724" t="s">
        <v>28288</v>
      </c>
      <c r="AM3724" t="s">
        <v>4864</v>
      </c>
      <c r="AN3724" t="s">
        <v>2081</v>
      </c>
      <c r="AO3724" t="s">
        <v>28289</v>
      </c>
      <c r="AP3724" t="s">
        <v>7024</v>
      </c>
      <c r="AT3724" s="184"/>
      <c r="AW3724" s="184"/>
      <c r="AZ3724" s="184"/>
      <c r="BP3724" s="184"/>
    </row>
    <row r="3725" spans="1:68">
      <c r="A3725">
        <v>51252179</v>
      </c>
      <c r="B3725">
        <v>51252179</v>
      </c>
      <c r="C3725" t="s">
        <v>7018</v>
      </c>
      <c r="E3725" s="184"/>
      <c r="G3725" s="184"/>
      <c r="I3725" s="184"/>
      <c r="J3725" t="s">
        <v>595</v>
      </c>
      <c r="K3725" s="184">
        <v>43011</v>
      </c>
      <c r="O3725" s="184"/>
      <c r="P3725" t="s">
        <v>7045</v>
      </c>
      <c r="Q3725" t="s">
        <v>7160</v>
      </c>
      <c r="R3725" s="184">
        <v>14399</v>
      </c>
      <c r="S3725">
        <v>84</v>
      </c>
      <c r="V3725" t="s">
        <v>3350</v>
      </c>
      <c r="X3725" t="s">
        <v>28291</v>
      </c>
      <c r="AF3725" t="s">
        <v>6430</v>
      </c>
      <c r="AG3725" t="s">
        <v>3350</v>
      </c>
      <c r="AI3725" t="s">
        <v>28292</v>
      </c>
      <c r="AM3725" t="s">
        <v>3408</v>
      </c>
      <c r="AN3725" t="s">
        <v>2176</v>
      </c>
      <c r="AO3725" t="s">
        <v>28293</v>
      </c>
      <c r="AP3725" t="s">
        <v>7024</v>
      </c>
      <c r="AT3725" s="184">
        <v>39822</v>
      </c>
      <c r="AU3725" t="s">
        <v>28294</v>
      </c>
      <c r="AV3725">
        <v>25</v>
      </c>
      <c r="AW3725" s="184">
        <v>42867</v>
      </c>
      <c r="AX3725" t="s">
        <v>15038</v>
      </c>
      <c r="AY3725">
        <v>120</v>
      </c>
      <c r="AZ3725" s="184">
        <v>42867</v>
      </c>
      <c r="BA3725" t="s">
        <v>15038</v>
      </c>
      <c r="BB3725">
        <v>120</v>
      </c>
      <c r="BC3725">
        <v>57</v>
      </c>
      <c r="BD3725">
        <v>1045</v>
      </c>
      <c r="BE3725">
        <v>2009</v>
      </c>
      <c r="BF3725">
        <v>58</v>
      </c>
      <c r="BI3725">
        <v>9</v>
      </c>
      <c r="BJ3725">
        <v>16</v>
      </c>
      <c r="BK3725">
        <v>9</v>
      </c>
      <c r="BP3725" s="184"/>
    </row>
    <row r="3726" spans="1:68">
      <c r="A3726">
        <v>51284925</v>
      </c>
      <c r="B3726">
        <v>51284925</v>
      </c>
      <c r="C3726" t="s">
        <v>7018</v>
      </c>
      <c r="D3726" t="s">
        <v>595</v>
      </c>
      <c r="E3726" s="184">
        <v>44438</v>
      </c>
      <c r="G3726" s="184"/>
      <c r="I3726" s="184"/>
      <c r="K3726" s="184"/>
      <c r="M3726" s="184"/>
      <c r="O3726" s="184"/>
      <c r="P3726" t="s">
        <v>7045</v>
      </c>
      <c r="Q3726" t="s">
        <v>7262</v>
      </c>
      <c r="R3726" s="184">
        <v>15899</v>
      </c>
      <c r="S3726">
        <v>80</v>
      </c>
      <c r="V3726" t="s">
        <v>28295</v>
      </c>
      <c r="X3726" t="s">
        <v>28296</v>
      </c>
      <c r="AF3726" t="s">
        <v>28297</v>
      </c>
      <c r="AG3726" t="s">
        <v>28295</v>
      </c>
      <c r="AI3726" t="s">
        <v>28298</v>
      </c>
      <c r="AM3726" t="s">
        <v>11647</v>
      </c>
      <c r="AN3726" t="s">
        <v>2069</v>
      </c>
      <c r="AO3726" t="s">
        <v>28299</v>
      </c>
      <c r="AP3726" t="s">
        <v>7024</v>
      </c>
      <c r="AT3726" s="184">
        <v>39825</v>
      </c>
      <c r="AU3726" t="s">
        <v>28300</v>
      </c>
      <c r="AV3726">
        <v>15</v>
      </c>
      <c r="AW3726" s="184">
        <v>45072</v>
      </c>
      <c r="AX3726" t="s">
        <v>10966</v>
      </c>
      <c r="AY3726">
        <v>25</v>
      </c>
      <c r="AZ3726" s="184">
        <v>45072</v>
      </c>
      <c r="BA3726" t="s">
        <v>10966</v>
      </c>
      <c r="BB3726">
        <v>25</v>
      </c>
      <c r="BC3726">
        <v>82</v>
      </c>
      <c r="BD3726">
        <v>365</v>
      </c>
      <c r="BE3726">
        <v>2009</v>
      </c>
      <c r="BF3726">
        <v>15</v>
      </c>
      <c r="BG3726">
        <v>2</v>
      </c>
      <c r="BH3726">
        <v>50</v>
      </c>
      <c r="BI3726">
        <v>13</v>
      </c>
      <c r="BJ3726">
        <v>16</v>
      </c>
      <c r="BK3726">
        <v>8</v>
      </c>
      <c r="BP3726" s="184"/>
    </row>
    <row r="3727" spans="1:68">
      <c r="A3727">
        <v>51289312</v>
      </c>
      <c r="B3727">
        <v>51289312</v>
      </c>
      <c r="C3727" t="s">
        <v>7018</v>
      </c>
      <c r="D3727" t="s">
        <v>595</v>
      </c>
      <c r="E3727" s="184">
        <v>44438</v>
      </c>
      <c r="F3727" t="s">
        <v>595</v>
      </c>
      <c r="G3727" s="184">
        <v>45413</v>
      </c>
      <c r="I3727" s="184"/>
      <c r="K3727" s="184"/>
      <c r="M3727" s="184"/>
      <c r="O3727" s="184"/>
      <c r="P3727" t="s">
        <v>7045</v>
      </c>
      <c r="Q3727" t="s">
        <v>7383</v>
      </c>
      <c r="R3727" s="184">
        <v>19085</v>
      </c>
      <c r="S3727">
        <v>72</v>
      </c>
      <c r="V3727" t="s">
        <v>28301</v>
      </c>
      <c r="W3727" t="s">
        <v>3522</v>
      </c>
      <c r="X3727" t="s">
        <v>28302</v>
      </c>
      <c r="AF3727" t="s">
        <v>28303</v>
      </c>
      <c r="AG3727" t="s">
        <v>28301</v>
      </c>
      <c r="AI3727" t="s">
        <v>28304</v>
      </c>
      <c r="AM3727" t="s">
        <v>3815</v>
      </c>
      <c r="AN3727" t="s">
        <v>2059</v>
      </c>
      <c r="AO3727" t="s">
        <v>28305</v>
      </c>
      <c r="AP3727" t="s">
        <v>7024</v>
      </c>
      <c r="AQ3727" t="s">
        <v>28306</v>
      </c>
      <c r="AT3727" s="184">
        <v>39825</v>
      </c>
      <c r="AU3727" t="s">
        <v>28307</v>
      </c>
      <c r="AV3727">
        <v>50</v>
      </c>
      <c r="AW3727" s="184">
        <v>43881</v>
      </c>
      <c r="AX3727" t="s">
        <v>28308</v>
      </c>
      <c r="AY3727">
        <v>100</v>
      </c>
      <c r="AZ3727" s="184">
        <v>41241</v>
      </c>
      <c r="BA3727" t="s">
        <v>10993</v>
      </c>
      <c r="BB3727">
        <v>200</v>
      </c>
      <c r="BC3727">
        <v>50</v>
      </c>
      <c r="BD3727">
        <v>1070</v>
      </c>
      <c r="BE3727">
        <v>2009</v>
      </c>
      <c r="BF3727">
        <v>13</v>
      </c>
      <c r="BI3727">
        <v>8</v>
      </c>
      <c r="BJ3727">
        <v>16</v>
      </c>
      <c r="BK3727">
        <v>2</v>
      </c>
      <c r="BN3727" t="s">
        <v>595</v>
      </c>
      <c r="BP3727" s="184"/>
    </row>
    <row r="3728" spans="1:68">
      <c r="A3728">
        <v>51391977</v>
      </c>
      <c r="B3728">
        <v>51391977</v>
      </c>
      <c r="C3728" t="s">
        <v>7018</v>
      </c>
      <c r="D3728" t="s">
        <v>595</v>
      </c>
      <c r="E3728" s="184">
        <v>45174</v>
      </c>
      <c r="G3728" s="184"/>
      <c r="I3728" s="184"/>
      <c r="K3728" s="184"/>
      <c r="M3728" s="184"/>
      <c r="O3728" s="184"/>
      <c r="P3728" t="s">
        <v>7045</v>
      </c>
      <c r="Q3728" t="s">
        <v>7194</v>
      </c>
      <c r="R3728" s="184">
        <v>21125</v>
      </c>
      <c r="S3728">
        <v>66</v>
      </c>
      <c r="U3728" t="s">
        <v>7031</v>
      </c>
      <c r="V3728" t="s">
        <v>14847</v>
      </c>
      <c r="X3728" t="s">
        <v>28309</v>
      </c>
      <c r="AF3728" t="s">
        <v>28310</v>
      </c>
      <c r="AG3728" t="s">
        <v>14847</v>
      </c>
      <c r="AI3728" t="s">
        <v>28311</v>
      </c>
      <c r="AM3728" t="s">
        <v>3347</v>
      </c>
      <c r="AN3728" t="s">
        <v>4512</v>
      </c>
      <c r="AO3728" t="s">
        <v>28312</v>
      </c>
      <c r="AP3728" t="s">
        <v>7024</v>
      </c>
      <c r="AQ3728" t="s">
        <v>28313</v>
      </c>
      <c r="AT3728" s="184">
        <v>39828</v>
      </c>
      <c r="AU3728" t="s">
        <v>28314</v>
      </c>
      <c r="AV3728">
        <v>15</v>
      </c>
      <c r="AW3728" s="184">
        <v>45127</v>
      </c>
      <c r="AX3728" t="s">
        <v>13372</v>
      </c>
      <c r="AY3728">
        <v>10</v>
      </c>
      <c r="AZ3728" s="184">
        <v>44978</v>
      </c>
      <c r="BA3728" t="s">
        <v>12922</v>
      </c>
      <c r="BB3728">
        <v>25</v>
      </c>
      <c r="BC3728">
        <v>57</v>
      </c>
      <c r="BD3728">
        <v>230</v>
      </c>
      <c r="BE3728">
        <v>2009</v>
      </c>
      <c r="BF3728">
        <v>11</v>
      </c>
      <c r="BG3728">
        <v>2</v>
      </c>
      <c r="BH3728">
        <v>35</v>
      </c>
      <c r="BI3728">
        <v>9</v>
      </c>
      <c r="BJ3728">
        <v>16</v>
      </c>
      <c r="BK3728">
        <v>3</v>
      </c>
      <c r="BN3728" t="s">
        <v>595</v>
      </c>
      <c r="BP3728" s="184"/>
    </row>
    <row r="3729" spans="1:68">
      <c r="A3729">
        <v>51399806</v>
      </c>
      <c r="B3729">
        <v>51399806</v>
      </c>
      <c r="C3729" t="s">
        <v>7018</v>
      </c>
      <c r="E3729" s="184"/>
      <c r="G3729" s="184"/>
      <c r="I3729" s="184"/>
      <c r="J3729" t="s">
        <v>595</v>
      </c>
      <c r="K3729" s="184">
        <v>38526</v>
      </c>
      <c r="M3729" s="184"/>
      <c r="O3729" s="184"/>
      <c r="P3729" t="s">
        <v>7045</v>
      </c>
      <c r="Q3729" t="s">
        <v>7020</v>
      </c>
      <c r="R3729" s="184">
        <v>11926</v>
      </c>
      <c r="S3729">
        <v>91</v>
      </c>
      <c r="U3729" t="s">
        <v>7130</v>
      </c>
      <c r="V3729" t="s">
        <v>3764</v>
      </c>
      <c r="W3729" t="s">
        <v>7067</v>
      </c>
      <c r="X3729" t="s">
        <v>28315</v>
      </c>
      <c r="Z3729">
        <v>100183534</v>
      </c>
      <c r="AA3729" t="s">
        <v>7031</v>
      </c>
      <c r="AB3729" t="s">
        <v>15867</v>
      </c>
      <c r="AC3729" t="s">
        <v>3830</v>
      </c>
      <c r="AD3729" t="s">
        <v>28315</v>
      </c>
      <c r="AF3729" t="s">
        <v>6631</v>
      </c>
      <c r="AG3729" t="s">
        <v>3764</v>
      </c>
      <c r="AI3729" t="s">
        <v>28316</v>
      </c>
      <c r="AM3729" t="s">
        <v>28317</v>
      </c>
      <c r="AN3729" t="s">
        <v>2129</v>
      </c>
      <c r="AO3729" t="s">
        <v>28318</v>
      </c>
      <c r="AP3729" t="s">
        <v>7024</v>
      </c>
      <c r="AT3729" s="184">
        <v>33995</v>
      </c>
      <c r="AU3729" t="s">
        <v>13943</v>
      </c>
      <c r="AV3729">
        <v>25</v>
      </c>
      <c r="AW3729" s="184">
        <v>41864</v>
      </c>
      <c r="AX3729" t="s">
        <v>28319</v>
      </c>
      <c r="AY3729">
        <v>25</v>
      </c>
      <c r="AZ3729" s="184">
        <v>36843</v>
      </c>
      <c r="BA3729" t="s">
        <v>28320</v>
      </c>
      <c r="BB3729">
        <v>60</v>
      </c>
      <c r="BC3729">
        <v>35</v>
      </c>
      <c r="BD3729">
        <v>325</v>
      </c>
      <c r="BE3729">
        <v>1993</v>
      </c>
      <c r="BF3729">
        <v>13</v>
      </c>
      <c r="BI3729">
        <v>11</v>
      </c>
      <c r="BJ3729">
        <v>32</v>
      </c>
      <c r="BK3729">
        <v>3</v>
      </c>
      <c r="BP3729" s="184"/>
    </row>
    <row r="3730" spans="1:68">
      <c r="A3730">
        <v>100183534</v>
      </c>
      <c r="B3730">
        <v>51399806</v>
      </c>
      <c r="C3730" t="s">
        <v>7018</v>
      </c>
      <c r="E3730" s="184"/>
      <c r="G3730" s="184"/>
      <c r="I3730" s="184"/>
      <c r="J3730" t="s">
        <v>595</v>
      </c>
      <c r="K3730" s="184">
        <v>38526</v>
      </c>
      <c r="O3730" s="184"/>
      <c r="P3730" t="s">
        <v>7045</v>
      </c>
      <c r="Q3730" t="s">
        <v>7020</v>
      </c>
      <c r="R3730" s="184">
        <v>11926</v>
      </c>
      <c r="S3730">
        <v>91</v>
      </c>
      <c r="U3730" t="s">
        <v>7031</v>
      </c>
      <c r="V3730" t="s">
        <v>15867</v>
      </c>
      <c r="W3730" t="s">
        <v>3830</v>
      </c>
      <c r="X3730" t="s">
        <v>28315</v>
      </c>
      <c r="Z3730">
        <v>51399806</v>
      </c>
      <c r="AA3730" t="s">
        <v>7130</v>
      </c>
      <c r="AB3730" t="s">
        <v>3764</v>
      </c>
      <c r="AC3730" t="s">
        <v>7067</v>
      </c>
      <c r="AD3730" t="s">
        <v>28315</v>
      </c>
      <c r="AF3730" t="s">
        <v>6631</v>
      </c>
      <c r="AG3730" t="s">
        <v>3764</v>
      </c>
      <c r="AI3730" t="s">
        <v>28316</v>
      </c>
      <c r="AM3730" t="s">
        <v>28317</v>
      </c>
      <c r="AN3730" t="s">
        <v>2129</v>
      </c>
      <c r="AO3730" t="s">
        <v>28318</v>
      </c>
      <c r="AP3730" t="s">
        <v>7024</v>
      </c>
      <c r="AT3730" s="184"/>
      <c r="AW3730" s="184"/>
      <c r="AZ3730" s="184"/>
      <c r="BO3730" t="s">
        <v>595</v>
      </c>
      <c r="BP3730" s="184"/>
    </row>
    <row r="3731" spans="1:68">
      <c r="A3731">
        <v>51404762</v>
      </c>
      <c r="B3731">
        <v>51404762</v>
      </c>
      <c r="C3731" t="s">
        <v>7018</v>
      </c>
      <c r="E3731" s="184"/>
      <c r="G3731" s="184"/>
      <c r="I3731" s="184"/>
      <c r="J3731" t="s">
        <v>595</v>
      </c>
      <c r="K3731" s="184">
        <v>40259</v>
      </c>
      <c r="M3731" s="184"/>
      <c r="O3731" s="184"/>
      <c r="P3731" t="s">
        <v>7045</v>
      </c>
      <c r="Q3731" t="s">
        <v>7454</v>
      </c>
      <c r="R3731" s="184">
        <v>15710</v>
      </c>
      <c r="S3731">
        <v>81</v>
      </c>
      <c r="U3731" t="s">
        <v>7031</v>
      </c>
      <c r="V3731" t="s">
        <v>2518</v>
      </c>
      <c r="X3731" t="s">
        <v>28321</v>
      </c>
      <c r="AF3731" t="s">
        <v>6413</v>
      </c>
      <c r="AG3731" t="s">
        <v>2518</v>
      </c>
      <c r="AI3731" t="s">
        <v>28322</v>
      </c>
      <c r="AM3731" t="s">
        <v>3855</v>
      </c>
      <c r="AN3731" t="s">
        <v>2055</v>
      </c>
      <c r="AO3731" t="s">
        <v>28323</v>
      </c>
      <c r="AP3731" t="s">
        <v>7024</v>
      </c>
      <c r="AQ3731" t="s">
        <v>28324</v>
      </c>
      <c r="AT3731" s="184">
        <v>39829</v>
      </c>
      <c r="AU3731" t="s">
        <v>27757</v>
      </c>
      <c r="AV3731">
        <v>100</v>
      </c>
      <c r="AW3731" s="184">
        <v>44237</v>
      </c>
      <c r="AX3731" t="s">
        <v>28325</v>
      </c>
      <c r="AY3731">
        <v>100</v>
      </c>
      <c r="AZ3731" s="184">
        <v>41639</v>
      </c>
      <c r="BA3731" t="s">
        <v>28326</v>
      </c>
      <c r="BB3731">
        <v>250</v>
      </c>
      <c r="BC3731">
        <v>38</v>
      </c>
      <c r="BD3731">
        <v>1235</v>
      </c>
      <c r="BE3731">
        <v>2009</v>
      </c>
      <c r="BF3731">
        <v>10</v>
      </c>
      <c r="BI3731">
        <v>6</v>
      </c>
      <c r="BJ3731">
        <v>16</v>
      </c>
      <c r="BK3731">
        <v>2</v>
      </c>
      <c r="BP3731" s="184"/>
    </row>
    <row r="3732" spans="1:68">
      <c r="A3732">
        <v>51447381</v>
      </c>
      <c r="B3732">
        <v>51447381</v>
      </c>
      <c r="C3732" t="s">
        <v>7018</v>
      </c>
      <c r="D3732" t="s">
        <v>595</v>
      </c>
      <c r="E3732" s="184">
        <v>45124</v>
      </c>
      <c r="F3732" t="s">
        <v>595</v>
      </c>
      <c r="G3732" s="184">
        <v>45386</v>
      </c>
      <c r="I3732" s="184"/>
      <c r="K3732" s="184"/>
      <c r="M3732" s="184"/>
      <c r="O3732" s="184"/>
      <c r="P3732" t="s">
        <v>7045</v>
      </c>
      <c r="Q3732" t="s">
        <v>7383</v>
      </c>
      <c r="R3732" s="184">
        <v>16438</v>
      </c>
      <c r="S3732">
        <v>79</v>
      </c>
      <c r="V3732" t="s">
        <v>4330</v>
      </c>
      <c r="X3732" t="s">
        <v>28327</v>
      </c>
      <c r="AF3732" t="s">
        <v>28328</v>
      </c>
      <c r="AG3732" t="s">
        <v>4330</v>
      </c>
      <c r="AI3732" t="s">
        <v>28329</v>
      </c>
      <c r="AM3732" t="s">
        <v>28330</v>
      </c>
      <c r="AN3732" t="s">
        <v>2313</v>
      </c>
      <c r="AO3732" t="s">
        <v>28331</v>
      </c>
      <c r="AP3732" t="s">
        <v>7024</v>
      </c>
      <c r="AQ3732" t="s">
        <v>28332</v>
      </c>
      <c r="AR3732" t="s">
        <v>28333</v>
      </c>
      <c r="AT3732" s="184">
        <v>39833</v>
      </c>
      <c r="AU3732" t="s">
        <v>28334</v>
      </c>
      <c r="AV3732">
        <v>25</v>
      </c>
      <c r="AW3732" s="184">
        <v>45313</v>
      </c>
      <c r="AX3732" t="s">
        <v>28335</v>
      </c>
      <c r="AY3732">
        <v>100</v>
      </c>
      <c r="AZ3732" s="184">
        <v>45313</v>
      </c>
      <c r="BA3732" t="s">
        <v>28335</v>
      </c>
      <c r="BB3732">
        <v>100</v>
      </c>
      <c r="BC3732">
        <v>44</v>
      </c>
      <c r="BD3732">
        <v>315</v>
      </c>
      <c r="BE3732">
        <v>2009</v>
      </c>
      <c r="BF3732">
        <v>8</v>
      </c>
      <c r="BG3732">
        <v>3</v>
      </c>
      <c r="BH3732">
        <v>175</v>
      </c>
      <c r="BI3732">
        <v>7</v>
      </c>
      <c r="BJ3732">
        <v>16</v>
      </c>
      <c r="BK3732">
        <v>4</v>
      </c>
      <c r="BP3732" s="184"/>
    </row>
    <row r="3733" spans="1:68">
      <c r="A3733">
        <v>51459774</v>
      </c>
      <c r="B3733">
        <v>51459774</v>
      </c>
      <c r="C3733" t="s">
        <v>7018</v>
      </c>
      <c r="D3733" t="s">
        <v>595</v>
      </c>
      <c r="E3733" s="184">
        <v>44065</v>
      </c>
      <c r="G3733" s="184"/>
      <c r="I3733" s="184"/>
      <c r="K3733" s="184"/>
      <c r="M3733" s="184"/>
      <c r="O3733" s="184"/>
      <c r="P3733" t="s">
        <v>7045</v>
      </c>
      <c r="Q3733" t="s">
        <v>7383</v>
      </c>
      <c r="R3733" s="184">
        <v>17777</v>
      </c>
      <c r="S3733">
        <v>75</v>
      </c>
      <c r="V3733" t="s">
        <v>2733</v>
      </c>
      <c r="X3733" t="s">
        <v>2706</v>
      </c>
      <c r="Z3733">
        <v>100128665</v>
      </c>
      <c r="AA3733" t="s">
        <v>7031</v>
      </c>
      <c r="AB3733" t="s">
        <v>2961</v>
      </c>
      <c r="AC3733" t="s">
        <v>2058</v>
      </c>
      <c r="AD3733" t="s">
        <v>2706</v>
      </c>
      <c r="AF3733" t="s">
        <v>28336</v>
      </c>
      <c r="AG3733" t="s">
        <v>28337</v>
      </c>
      <c r="AI3733" t="s">
        <v>28338</v>
      </c>
      <c r="AM3733" t="s">
        <v>2737</v>
      </c>
      <c r="AN3733" t="s">
        <v>2059</v>
      </c>
      <c r="AO3733" t="s">
        <v>28339</v>
      </c>
      <c r="AP3733" t="s">
        <v>7024</v>
      </c>
      <c r="AQ3733" t="s">
        <v>28340</v>
      </c>
      <c r="AR3733" t="s">
        <v>28341</v>
      </c>
      <c r="AT3733" s="184">
        <v>39833</v>
      </c>
      <c r="AU3733" t="s">
        <v>28342</v>
      </c>
      <c r="AV3733">
        <v>25</v>
      </c>
      <c r="AW3733" s="184">
        <v>43465</v>
      </c>
      <c r="AX3733" t="s">
        <v>28343</v>
      </c>
      <c r="AY3733">
        <v>50</v>
      </c>
      <c r="AZ3733" s="184">
        <v>43465</v>
      </c>
      <c r="BA3733" t="s">
        <v>28343</v>
      </c>
      <c r="BB3733">
        <v>50</v>
      </c>
      <c r="BC3733">
        <v>32</v>
      </c>
      <c r="BD3733">
        <v>200</v>
      </c>
      <c r="BE3733">
        <v>2009</v>
      </c>
      <c r="BF3733">
        <v>5</v>
      </c>
      <c r="BI3733">
        <v>5</v>
      </c>
      <c r="BJ3733">
        <v>16</v>
      </c>
      <c r="BK3733">
        <v>3</v>
      </c>
      <c r="BP3733" s="184"/>
    </row>
    <row r="3734" spans="1:68">
      <c r="A3734">
        <v>100128665</v>
      </c>
      <c r="B3734">
        <v>51459774</v>
      </c>
      <c r="C3734" t="s">
        <v>7018</v>
      </c>
      <c r="D3734" t="s">
        <v>595</v>
      </c>
      <c r="E3734" s="184">
        <v>44065</v>
      </c>
      <c r="G3734" s="184"/>
      <c r="I3734" s="184"/>
      <c r="K3734" s="184"/>
      <c r="M3734" s="184"/>
      <c r="O3734" s="184"/>
      <c r="P3734" t="s">
        <v>7045</v>
      </c>
      <c r="Q3734" t="s">
        <v>7383</v>
      </c>
      <c r="R3734" s="184">
        <v>16782</v>
      </c>
      <c r="S3734">
        <v>78</v>
      </c>
      <c r="T3734" t="s">
        <v>2536</v>
      </c>
      <c r="U3734" t="s">
        <v>7031</v>
      </c>
      <c r="V3734" t="s">
        <v>2961</v>
      </c>
      <c r="W3734" t="s">
        <v>2058</v>
      </c>
      <c r="X3734" t="s">
        <v>2706</v>
      </c>
      <c r="Z3734">
        <v>51459774</v>
      </c>
      <c r="AB3734" t="s">
        <v>2733</v>
      </c>
      <c r="AD3734" t="s">
        <v>2706</v>
      </c>
      <c r="AF3734" t="s">
        <v>28336</v>
      </c>
      <c r="AG3734" t="s">
        <v>28337</v>
      </c>
      <c r="AI3734" t="s">
        <v>28338</v>
      </c>
      <c r="AM3734" t="s">
        <v>2737</v>
      </c>
      <c r="AN3734" t="s">
        <v>2059</v>
      </c>
      <c r="AO3734" t="s">
        <v>28339</v>
      </c>
      <c r="AP3734" t="s">
        <v>7024</v>
      </c>
      <c r="AQ3734" t="s">
        <v>28344</v>
      </c>
      <c r="AT3734" s="184">
        <v>43603</v>
      </c>
      <c r="AU3734" t="s">
        <v>28345</v>
      </c>
      <c r="AV3734">
        <v>100</v>
      </c>
      <c r="AW3734" s="184">
        <v>45288</v>
      </c>
      <c r="AX3734" t="s">
        <v>28346</v>
      </c>
      <c r="AY3734">
        <v>5.25</v>
      </c>
      <c r="AZ3734" s="184">
        <v>43931</v>
      </c>
      <c r="BA3734" t="s">
        <v>28347</v>
      </c>
      <c r="BB3734">
        <v>150</v>
      </c>
      <c r="BC3734">
        <v>50</v>
      </c>
      <c r="BD3734">
        <v>555.25</v>
      </c>
      <c r="BE3734">
        <v>2019</v>
      </c>
      <c r="BF3734">
        <v>7</v>
      </c>
      <c r="BG3734">
        <v>1</v>
      </c>
      <c r="BH3734">
        <v>5.25</v>
      </c>
      <c r="BI3734">
        <v>3</v>
      </c>
      <c r="BJ3734">
        <v>6</v>
      </c>
      <c r="BK3734">
        <v>2</v>
      </c>
      <c r="BP3734" s="184"/>
    </row>
    <row r="3735" spans="1:68">
      <c r="A3735">
        <v>51543007</v>
      </c>
      <c r="B3735">
        <v>51543007</v>
      </c>
      <c r="C3735" t="s">
        <v>7018</v>
      </c>
      <c r="D3735" t="s">
        <v>595</v>
      </c>
      <c r="E3735" s="184">
        <v>45160</v>
      </c>
      <c r="G3735" s="184"/>
      <c r="I3735" s="184"/>
      <c r="K3735" s="184"/>
      <c r="M3735" s="184"/>
      <c r="O3735" s="184"/>
      <c r="P3735" t="s">
        <v>7045</v>
      </c>
      <c r="Q3735" t="s">
        <v>7383</v>
      </c>
      <c r="R3735" s="184">
        <v>18568</v>
      </c>
      <c r="S3735">
        <v>73</v>
      </c>
      <c r="V3735" t="s">
        <v>2845</v>
      </c>
      <c r="W3735" t="s">
        <v>4013</v>
      </c>
      <c r="X3735" t="s">
        <v>28348</v>
      </c>
      <c r="AF3735" t="s">
        <v>28349</v>
      </c>
      <c r="AG3735" t="s">
        <v>2845</v>
      </c>
      <c r="AI3735" t="s">
        <v>28350</v>
      </c>
      <c r="AM3735" t="s">
        <v>28351</v>
      </c>
      <c r="AN3735" t="s">
        <v>2313</v>
      </c>
      <c r="AO3735" t="s">
        <v>28352</v>
      </c>
      <c r="AP3735" t="s">
        <v>7024</v>
      </c>
      <c r="AQ3735" t="s">
        <v>28353</v>
      </c>
      <c r="AT3735" s="184">
        <v>39839</v>
      </c>
      <c r="AU3735" t="s">
        <v>28354</v>
      </c>
      <c r="AV3735">
        <v>15</v>
      </c>
      <c r="AW3735" s="184">
        <v>45296</v>
      </c>
      <c r="AX3735" t="s">
        <v>20283</v>
      </c>
      <c r="AY3735">
        <v>10</v>
      </c>
      <c r="AZ3735" s="184">
        <v>44999</v>
      </c>
      <c r="BA3735" t="s">
        <v>12922</v>
      </c>
      <c r="BB3735">
        <v>25</v>
      </c>
      <c r="BC3735">
        <v>88</v>
      </c>
      <c r="BD3735">
        <v>205</v>
      </c>
      <c r="BE3735">
        <v>2009</v>
      </c>
      <c r="BF3735">
        <v>14</v>
      </c>
      <c r="BG3735">
        <v>3</v>
      </c>
      <c r="BH3735">
        <v>60</v>
      </c>
      <c r="BI3735">
        <v>14</v>
      </c>
      <c r="BJ3735">
        <v>16</v>
      </c>
      <c r="BK3735">
        <v>8</v>
      </c>
      <c r="BP3735" s="184"/>
    </row>
    <row r="3736" spans="1:68">
      <c r="A3736">
        <v>51543593</v>
      </c>
      <c r="B3736">
        <v>51543593</v>
      </c>
      <c r="C3736" t="s">
        <v>7018</v>
      </c>
      <c r="E3736" s="184"/>
      <c r="G3736" s="184"/>
      <c r="I3736" s="184"/>
      <c r="K3736" s="184"/>
      <c r="N3736" t="s">
        <v>595</v>
      </c>
      <c r="O3736" s="184">
        <v>42647</v>
      </c>
      <c r="P3736" t="s">
        <v>7029</v>
      </c>
      <c r="Q3736" t="s">
        <v>7262</v>
      </c>
      <c r="R3736" s="184">
        <v>10664</v>
      </c>
      <c r="S3736">
        <v>95</v>
      </c>
      <c r="U3736" t="s">
        <v>7031</v>
      </c>
      <c r="V3736" t="s">
        <v>3246</v>
      </c>
      <c r="W3736" t="s">
        <v>5006</v>
      </c>
      <c r="X3736" t="s">
        <v>2594</v>
      </c>
      <c r="AF3736" t="s">
        <v>28355</v>
      </c>
      <c r="AG3736" t="s">
        <v>3246</v>
      </c>
      <c r="AI3736" t="s">
        <v>28356</v>
      </c>
      <c r="AM3736" t="s">
        <v>5751</v>
      </c>
      <c r="AN3736" t="s">
        <v>2069</v>
      </c>
      <c r="AO3736" t="s">
        <v>28357</v>
      </c>
      <c r="AP3736" t="s">
        <v>7024</v>
      </c>
      <c r="AQ3736" t="s">
        <v>28358</v>
      </c>
      <c r="AT3736" s="184">
        <v>39839</v>
      </c>
      <c r="AU3736" t="s">
        <v>28359</v>
      </c>
      <c r="AV3736">
        <v>25</v>
      </c>
      <c r="AW3736" s="184">
        <v>44945</v>
      </c>
      <c r="AX3736" t="s">
        <v>16575</v>
      </c>
      <c r="AY3736">
        <v>500</v>
      </c>
      <c r="AZ3736" s="184">
        <v>42650</v>
      </c>
      <c r="BA3736" t="s">
        <v>7267</v>
      </c>
      <c r="BB3736">
        <v>10000</v>
      </c>
      <c r="BC3736">
        <v>69</v>
      </c>
      <c r="BD3736">
        <v>22675</v>
      </c>
      <c r="BE3736">
        <v>2009</v>
      </c>
      <c r="BF3736">
        <v>23</v>
      </c>
      <c r="BG3736">
        <v>1</v>
      </c>
      <c r="BH3736">
        <v>500</v>
      </c>
      <c r="BI3736">
        <v>11</v>
      </c>
      <c r="BJ3736">
        <v>16</v>
      </c>
      <c r="BK3736">
        <v>8</v>
      </c>
      <c r="BN3736" t="s">
        <v>595</v>
      </c>
      <c r="BO3736" t="s">
        <v>595</v>
      </c>
      <c r="BP3736" s="184">
        <v>45223</v>
      </c>
    </row>
    <row r="3737" spans="1:68">
      <c r="A3737">
        <v>51569010</v>
      </c>
      <c r="B3737">
        <v>51569010</v>
      </c>
      <c r="C3737" t="s">
        <v>7018</v>
      </c>
      <c r="D3737" t="s">
        <v>595</v>
      </c>
      <c r="E3737" s="184">
        <v>43861</v>
      </c>
      <c r="G3737" s="184"/>
      <c r="I3737" s="184"/>
      <c r="K3737" s="184"/>
      <c r="M3737" s="184"/>
      <c r="O3737" s="184"/>
      <c r="P3737" t="s">
        <v>7045</v>
      </c>
      <c r="Q3737" t="s">
        <v>7262</v>
      </c>
      <c r="R3737" s="184">
        <v>19968</v>
      </c>
      <c r="S3737">
        <v>69</v>
      </c>
      <c r="U3737" t="s">
        <v>7076</v>
      </c>
      <c r="V3737" t="s">
        <v>2600</v>
      </c>
      <c r="X3737" t="s">
        <v>4609</v>
      </c>
      <c r="AF3737" t="s">
        <v>28360</v>
      </c>
      <c r="AG3737" t="s">
        <v>2600</v>
      </c>
      <c r="AI3737" t="s">
        <v>28361</v>
      </c>
      <c r="AM3737" t="s">
        <v>4610</v>
      </c>
      <c r="AN3737" t="s">
        <v>2106</v>
      </c>
      <c r="AO3737" t="s">
        <v>28362</v>
      </c>
      <c r="AP3737" t="s">
        <v>7024</v>
      </c>
      <c r="AQ3737" t="s">
        <v>28363</v>
      </c>
      <c r="AT3737" s="184">
        <v>39839</v>
      </c>
      <c r="AU3737" t="s">
        <v>27724</v>
      </c>
      <c r="AV3737">
        <v>50</v>
      </c>
      <c r="AW3737" s="184">
        <v>44753</v>
      </c>
      <c r="AX3737" t="s">
        <v>28364</v>
      </c>
      <c r="AY3737">
        <v>50</v>
      </c>
      <c r="AZ3737" s="184">
        <v>41409</v>
      </c>
      <c r="BA3737" t="s">
        <v>28365</v>
      </c>
      <c r="BB3737">
        <v>75</v>
      </c>
      <c r="BC3737">
        <v>82</v>
      </c>
      <c r="BD3737">
        <v>805</v>
      </c>
      <c r="BE3737">
        <v>2009</v>
      </c>
      <c r="BF3737">
        <v>18</v>
      </c>
      <c r="BG3737">
        <v>1</v>
      </c>
      <c r="BH3737">
        <v>50</v>
      </c>
      <c r="BI3737">
        <v>13</v>
      </c>
      <c r="BJ3737">
        <v>16</v>
      </c>
      <c r="BK3737">
        <v>8</v>
      </c>
      <c r="BP3737" s="184"/>
    </row>
    <row r="3738" spans="1:68">
      <c r="A3738">
        <v>51572170</v>
      </c>
      <c r="B3738">
        <v>51572170</v>
      </c>
      <c r="C3738" t="s">
        <v>7018</v>
      </c>
      <c r="D3738" t="s">
        <v>595</v>
      </c>
      <c r="E3738" s="184">
        <v>44167</v>
      </c>
      <c r="G3738" s="184"/>
      <c r="I3738" s="184"/>
      <c r="K3738" s="184"/>
      <c r="M3738" s="184"/>
      <c r="O3738" s="184"/>
      <c r="P3738" t="s">
        <v>7045</v>
      </c>
      <c r="Q3738" t="s">
        <v>7262</v>
      </c>
      <c r="R3738" s="184">
        <v>15408</v>
      </c>
      <c r="S3738">
        <v>82</v>
      </c>
      <c r="U3738" t="s">
        <v>7076</v>
      </c>
      <c r="V3738" t="s">
        <v>3223</v>
      </c>
      <c r="W3738" t="s">
        <v>7246</v>
      </c>
      <c r="X3738" t="s">
        <v>28366</v>
      </c>
      <c r="AF3738" t="s">
        <v>28367</v>
      </c>
      <c r="AG3738" t="s">
        <v>3223</v>
      </c>
      <c r="AI3738" t="s">
        <v>28368</v>
      </c>
      <c r="AM3738" t="s">
        <v>2730</v>
      </c>
      <c r="AN3738" t="s">
        <v>2069</v>
      </c>
      <c r="AO3738" t="s">
        <v>28369</v>
      </c>
      <c r="AP3738" t="s">
        <v>7024</v>
      </c>
      <c r="AQ3738" t="s">
        <v>28370</v>
      </c>
      <c r="AT3738" s="184">
        <v>39918</v>
      </c>
      <c r="AU3738" t="s">
        <v>28371</v>
      </c>
      <c r="AV3738">
        <v>30</v>
      </c>
      <c r="AW3738" s="184">
        <v>45408</v>
      </c>
      <c r="AX3738" t="s">
        <v>8271</v>
      </c>
      <c r="AY3738">
        <v>20</v>
      </c>
      <c r="AZ3738" s="184">
        <v>42297</v>
      </c>
      <c r="BA3738" t="s">
        <v>28372</v>
      </c>
      <c r="BB3738">
        <v>87</v>
      </c>
      <c r="BC3738">
        <v>88</v>
      </c>
      <c r="BD3738">
        <v>913.75</v>
      </c>
      <c r="BE3738">
        <v>2009</v>
      </c>
      <c r="BF3738">
        <v>26</v>
      </c>
      <c r="BG3738">
        <v>4</v>
      </c>
      <c r="BH3738">
        <v>126.75</v>
      </c>
      <c r="BI3738">
        <v>14</v>
      </c>
      <c r="BJ3738">
        <v>16</v>
      </c>
      <c r="BK3738">
        <v>10</v>
      </c>
      <c r="BP3738" s="184"/>
    </row>
    <row r="3739" spans="1:68">
      <c r="A3739">
        <v>51575405</v>
      </c>
      <c r="B3739">
        <v>51575405</v>
      </c>
      <c r="C3739" t="s">
        <v>7018</v>
      </c>
      <c r="D3739" t="s">
        <v>595</v>
      </c>
      <c r="E3739" s="184">
        <v>44438</v>
      </c>
      <c r="G3739" s="184"/>
      <c r="I3739" s="184"/>
      <c r="K3739" s="184"/>
      <c r="M3739" s="184"/>
      <c r="O3739" s="184"/>
      <c r="P3739" t="s">
        <v>7045</v>
      </c>
      <c r="Q3739" t="s">
        <v>7383</v>
      </c>
      <c r="R3739" s="184">
        <v>16300</v>
      </c>
      <c r="S3739">
        <v>79</v>
      </c>
      <c r="U3739" t="s">
        <v>7076</v>
      </c>
      <c r="V3739" t="s">
        <v>2705</v>
      </c>
      <c r="W3739" t="s">
        <v>2049</v>
      </c>
      <c r="X3739" t="s">
        <v>2999</v>
      </c>
      <c r="AF3739" t="s">
        <v>28373</v>
      </c>
      <c r="AG3739" t="s">
        <v>2705</v>
      </c>
      <c r="AI3739" t="s">
        <v>28374</v>
      </c>
      <c r="AM3739" t="s">
        <v>3357</v>
      </c>
      <c r="AN3739" t="s">
        <v>2185</v>
      </c>
      <c r="AO3739" t="s">
        <v>28375</v>
      </c>
      <c r="AP3739" t="s">
        <v>7024</v>
      </c>
      <c r="AQ3739" t="s">
        <v>28376</v>
      </c>
      <c r="AR3739" t="s">
        <v>28377</v>
      </c>
      <c r="AT3739" s="184">
        <v>39841</v>
      </c>
      <c r="AU3739" t="s">
        <v>28378</v>
      </c>
      <c r="AV3739">
        <v>25</v>
      </c>
      <c r="AW3739" s="184">
        <v>44508</v>
      </c>
      <c r="AX3739" t="s">
        <v>14121</v>
      </c>
      <c r="AY3739">
        <v>25</v>
      </c>
      <c r="AZ3739" s="184">
        <v>44508</v>
      </c>
      <c r="BA3739" t="s">
        <v>14121</v>
      </c>
      <c r="BB3739">
        <v>25</v>
      </c>
      <c r="BC3739">
        <v>57</v>
      </c>
      <c r="BD3739">
        <v>320</v>
      </c>
      <c r="BE3739">
        <v>2009</v>
      </c>
      <c r="BF3739">
        <v>14</v>
      </c>
      <c r="BI3739">
        <v>9</v>
      </c>
      <c r="BJ3739">
        <v>16</v>
      </c>
      <c r="BK3739">
        <v>3</v>
      </c>
      <c r="BP3739" s="184"/>
    </row>
    <row r="3740" spans="1:68">
      <c r="A3740">
        <v>51790970</v>
      </c>
      <c r="B3740">
        <v>51790970</v>
      </c>
      <c r="C3740" t="s">
        <v>7018</v>
      </c>
      <c r="E3740" s="184"/>
      <c r="G3740" s="184"/>
      <c r="I3740" s="184"/>
      <c r="J3740" t="s">
        <v>595</v>
      </c>
      <c r="K3740" s="184">
        <v>44069</v>
      </c>
      <c r="M3740" s="184"/>
      <c r="O3740" s="184"/>
      <c r="P3740" t="s">
        <v>7084</v>
      </c>
      <c r="Q3740" t="s">
        <v>7374</v>
      </c>
      <c r="R3740" s="184"/>
      <c r="V3740" t="s">
        <v>2511</v>
      </c>
      <c r="W3740" t="s">
        <v>7067</v>
      </c>
      <c r="X3740" t="s">
        <v>2839</v>
      </c>
      <c r="Z3740">
        <v>100467198</v>
      </c>
      <c r="AB3740" t="s">
        <v>28379</v>
      </c>
      <c r="AD3740" t="s">
        <v>28380</v>
      </c>
      <c r="AF3740" t="s">
        <v>28381</v>
      </c>
      <c r="AG3740" t="s">
        <v>28382</v>
      </c>
      <c r="AI3740" t="s">
        <v>28383</v>
      </c>
      <c r="AM3740" t="s">
        <v>27951</v>
      </c>
      <c r="AN3740" t="s">
        <v>2081</v>
      </c>
      <c r="AO3740" t="s">
        <v>28384</v>
      </c>
      <c r="AP3740" t="s">
        <v>7024</v>
      </c>
      <c r="AT3740" s="184">
        <v>39864</v>
      </c>
      <c r="AU3740" t="s">
        <v>28385</v>
      </c>
      <c r="AV3740">
        <v>25</v>
      </c>
      <c r="AW3740" s="184">
        <v>44683</v>
      </c>
      <c r="AX3740" t="s">
        <v>7093</v>
      </c>
      <c r="AY3740">
        <v>2981.85</v>
      </c>
      <c r="AZ3740" s="184">
        <v>44522</v>
      </c>
      <c r="BA3740" t="s">
        <v>7093</v>
      </c>
      <c r="BB3740">
        <v>38000</v>
      </c>
      <c r="BC3740">
        <v>32</v>
      </c>
      <c r="BD3740">
        <v>41076.85</v>
      </c>
      <c r="BE3740">
        <v>2009</v>
      </c>
      <c r="BF3740">
        <v>5</v>
      </c>
      <c r="BG3740">
        <v>1</v>
      </c>
      <c r="BH3740">
        <v>2981.85</v>
      </c>
      <c r="BI3740">
        <v>5</v>
      </c>
      <c r="BJ3740">
        <v>16</v>
      </c>
      <c r="BK3740">
        <v>3</v>
      </c>
      <c r="BO3740" t="s">
        <v>595</v>
      </c>
      <c r="BP3740" s="184">
        <v>43231</v>
      </c>
    </row>
    <row r="3741" spans="1:68">
      <c r="A3741">
        <v>100467198</v>
      </c>
      <c r="B3741">
        <v>51790970</v>
      </c>
      <c r="C3741" t="s">
        <v>7018</v>
      </c>
      <c r="E3741" s="184"/>
      <c r="G3741" s="184"/>
      <c r="I3741" s="184"/>
      <c r="J3741" t="s">
        <v>595</v>
      </c>
      <c r="K3741" s="184">
        <v>44069</v>
      </c>
      <c r="M3741" s="184"/>
      <c r="O3741" s="184"/>
      <c r="P3741" t="s">
        <v>7084</v>
      </c>
      <c r="Q3741" t="s">
        <v>7374</v>
      </c>
      <c r="R3741" s="184"/>
      <c r="V3741" t="s">
        <v>28379</v>
      </c>
      <c r="X3741" t="s">
        <v>28380</v>
      </c>
      <c r="Z3741">
        <v>51790970</v>
      </c>
      <c r="AB3741" t="s">
        <v>2511</v>
      </c>
      <c r="AC3741" t="s">
        <v>7067</v>
      </c>
      <c r="AD3741" t="s">
        <v>2839</v>
      </c>
      <c r="AF3741" t="s">
        <v>28381</v>
      </c>
      <c r="AG3741" t="s">
        <v>28382</v>
      </c>
      <c r="AI3741" t="s">
        <v>28383</v>
      </c>
      <c r="AM3741" t="s">
        <v>27951</v>
      </c>
      <c r="AN3741" t="s">
        <v>2081</v>
      </c>
      <c r="AO3741" t="s">
        <v>28384</v>
      </c>
      <c r="AP3741" t="s">
        <v>7024</v>
      </c>
      <c r="AT3741" s="184"/>
      <c r="AW3741" s="184"/>
      <c r="AZ3741" s="184"/>
      <c r="BO3741" t="s">
        <v>595</v>
      </c>
      <c r="BP3741" s="184">
        <v>37426</v>
      </c>
    </row>
    <row r="3742" spans="1:68">
      <c r="A3742">
        <v>51847176</v>
      </c>
      <c r="B3742">
        <v>51847176</v>
      </c>
      <c r="C3742" t="s">
        <v>7018</v>
      </c>
      <c r="D3742" t="s">
        <v>595</v>
      </c>
      <c r="E3742" s="184">
        <v>44167</v>
      </c>
      <c r="G3742" s="184"/>
      <c r="I3742" s="184"/>
      <c r="K3742" s="184"/>
      <c r="M3742" s="184"/>
      <c r="O3742" s="184"/>
      <c r="P3742" t="s">
        <v>7045</v>
      </c>
      <c r="Q3742" t="s">
        <v>7194</v>
      </c>
      <c r="R3742" s="184">
        <v>13596</v>
      </c>
      <c r="S3742">
        <v>87</v>
      </c>
      <c r="U3742" t="s">
        <v>7031</v>
      </c>
      <c r="V3742" t="s">
        <v>5414</v>
      </c>
      <c r="X3742" t="s">
        <v>28386</v>
      </c>
      <c r="AF3742" t="s">
        <v>28387</v>
      </c>
      <c r="AG3742" t="s">
        <v>5414</v>
      </c>
      <c r="AI3742" t="s">
        <v>28388</v>
      </c>
      <c r="AM3742" t="s">
        <v>28389</v>
      </c>
      <c r="AN3742" t="s">
        <v>2046</v>
      </c>
      <c r="AO3742" t="s">
        <v>28390</v>
      </c>
      <c r="AP3742" t="s">
        <v>7024</v>
      </c>
      <c r="AQ3742" t="s">
        <v>28391</v>
      </c>
      <c r="AR3742" t="s">
        <v>28392</v>
      </c>
      <c r="AT3742" s="184">
        <v>39864</v>
      </c>
      <c r="AU3742" t="s">
        <v>28393</v>
      </c>
      <c r="AV3742">
        <v>15</v>
      </c>
      <c r="AW3742" s="184">
        <v>44980</v>
      </c>
      <c r="AX3742" t="s">
        <v>28394</v>
      </c>
      <c r="AY3742">
        <v>15</v>
      </c>
      <c r="AZ3742" s="184">
        <v>43640</v>
      </c>
      <c r="BA3742" t="s">
        <v>8589</v>
      </c>
      <c r="BB3742">
        <v>25</v>
      </c>
      <c r="BC3742">
        <v>57</v>
      </c>
      <c r="BD3742">
        <v>275</v>
      </c>
      <c r="BE3742">
        <v>2009</v>
      </c>
      <c r="BF3742">
        <v>21</v>
      </c>
      <c r="BG3742">
        <v>1</v>
      </c>
      <c r="BH3742">
        <v>15</v>
      </c>
      <c r="BI3742">
        <v>9</v>
      </c>
      <c r="BJ3742">
        <v>16</v>
      </c>
      <c r="BK3742">
        <v>5</v>
      </c>
      <c r="BP3742" s="184"/>
    </row>
    <row r="3743" spans="1:68">
      <c r="A3743">
        <v>51879997</v>
      </c>
      <c r="B3743">
        <v>51879997</v>
      </c>
      <c r="C3743" t="s">
        <v>7018</v>
      </c>
      <c r="D3743" t="s">
        <v>595</v>
      </c>
      <c r="E3743" s="184">
        <v>45154</v>
      </c>
      <c r="G3743" s="184"/>
      <c r="I3743" s="184"/>
      <c r="K3743" s="184"/>
      <c r="O3743" s="184"/>
      <c r="P3743" t="s">
        <v>7045</v>
      </c>
      <c r="Q3743" t="s">
        <v>7383</v>
      </c>
      <c r="R3743" s="184">
        <v>14943</v>
      </c>
      <c r="S3743">
        <v>83</v>
      </c>
      <c r="U3743" t="s">
        <v>7031</v>
      </c>
      <c r="V3743" t="s">
        <v>3411</v>
      </c>
      <c r="X3743" t="s">
        <v>28395</v>
      </c>
      <c r="AF3743" t="s">
        <v>28396</v>
      </c>
      <c r="AG3743" t="s">
        <v>3411</v>
      </c>
      <c r="AI3743" t="s">
        <v>28397</v>
      </c>
      <c r="AM3743" t="s">
        <v>28398</v>
      </c>
      <c r="AN3743" t="s">
        <v>2072</v>
      </c>
      <c r="AO3743" t="s">
        <v>28399</v>
      </c>
      <c r="AP3743" t="s">
        <v>7024</v>
      </c>
      <c r="AQ3743" t="s">
        <v>28400</v>
      </c>
      <c r="AT3743" s="184">
        <v>39867</v>
      </c>
      <c r="AU3743" t="s">
        <v>28401</v>
      </c>
      <c r="AV3743">
        <v>20</v>
      </c>
      <c r="AW3743" s="184">
        <v>44767</v>
      </c>
      <c r="AX3743" t="s">
        <v>22873</v>
      </c>
      <c r="AY3743">
        <v>25</v>
      </c>
      <c r="AZ3743" s="184">
        <v>44767</v>
      </c>
      <c r="BA3743" t="s">
        <v>22873</v>
      </c>
      <c r="BB3743">
        <v>25</v>
      </c>
      <c r="BC3743">
        <v>63</v>
      </c>
      <c r="BD3743">
        <v>190</v>
      </c>
      <c r="BE3743">
        <v>2009</v>
      </c>
      <c r="BF3743">
        <v>12</v>
      </c>
      <c r="BG3743">
        <v>1</v>
      </c>
      <c r="BH3743">
        <v>25</v>
      </c>
      <c r="BI3743">
        <v>10</v>
      </c>
      <c r="BJ3743">
        <v>16</v>
      </c>
      <c r="BK3743">
        <v>8</v>
      </c>
    </row>
    <row r="3744" spans="1:68">
      <c r="A3744">
        <v>52003001</v>
      </c>
      <c r="B3744">
        <v>52003001</v>
      </c>
      <c r="C3744" t="s">
        <v>7018</v>
      </c>
      <c r="D3744" t="s">
        <v>595</v>
      </c>
      <c r="E3744" s="184">
        <v>45148</v>
      </c>
      <c r="G3744" s="184"/>
      <c r="I3744" s="184"/>
      <c r="K3744" s="184"/>
      <c r="O3744" s="184"/>
      <c r="P3744" t="s">
        <v>7045</v>
      </c>
      <c r="Q3744" t="s">
        <v>7494</v>
      </c>
      <c r="R3744" s="184">
        <v>16163</v>
      </c>
      <c r="S3744">
        <v>80</v>
      </c>
      <c r="V3744" t="s">
        <v>2932</v>
      </c>
      <c r="X3744" t="s">
        <v>3038</v>
      </c>
      <c r="AF3744" t="s">
        <v>28402</v>
      </c>
      <c r="AG3744" t="s">
        <v>2932</v>
      </c>
      <c r="AI3744" t="s">
        <v>28403</v>
      </c>
      <c r="AM3744" t="s">
        <v>28404</v>
      </c>
      <c r="AN3744" t="s">
        <v>2174</v>
      </c>
      <c r="AO3744" t="s">
        <v>28405</v>
      </c>
      <c r="AP3744" t="s">
        <v>7024</v>
      </c>
      <c r="AT3744" s="184">
        <v>39867</v>
      </c>
      <c r="AU3744" t="s">
        <v>28406</v>
      </c>
      <c r="AV3744">
        <v>15</v>
      </c>
      <c r="AW3744" s="184">
        <v>44894</v>
      </c>
      <c r="AX3744" t="s">
        <v>26716</v>
      </c>
      <c r="AY3744">
        <v>75</v>
      </c>
      <c r="AZ3744" s="184">
        <v>44894</v>
      </c>
      <c r="BA3744" t="s">
        <v>26716</v>
      </c>
      <c r="BB3744">
        <v>75</v>
      </c>
      <c r="BC3744">
        <v>50</v>
      </c>
      <c r="BD3744">
        <v>675</v>
      </c>
      <c r="BE3744">
        <v>2009</v>
      </c>
      <c r="BF3744">
        <v>13</v>
      </c>
      <c r="BG3744">
        <v>1</v>
      </c>
      <c r="BH3744">
        <v>75</v>
      </c>
      <c r="BI3744">
        <v>8</v>
      </c>
      <c r="BJ3744">
        <v>16</v>
      </c>
      <c r="BK3744">
        <v>4</v>
      </c>
      <c r="BP3744" s="184"/>
    </row>
    <row r="3745" spans="1:68">
      <c r="A3745">
        <v>52015575</v>
      </c>
      <c r="B3745">
        <v>52015575</v>
      </c>
      <c r="C3745" t="s">
        <v>7018</v>
      </c>
      <c r="D3745" t="s">
        <v>595</v>
      </c>
      <c r="E3745" s="184">
        <v>45196</v>
      </c>
      <c r="G3745" s="184"/>
      <c r="I3745" s="184"/>
      <c r="K3745" s="184"/>
      <c r="M3745" s="184"/>
      <c r="O3745" s="184"/>
      <c r="P3745" t="s">
        <v>7045</v>
      </c>
      <c r="Q3745" t="s">
        <v>7374</v>
      </c>
      <c r="R3745" s="184">
        <v>15311</v>
      </c>
      <c r="S3745">
        <v>82</v>
      </c>
      <c r="V3745" t="s">
        <v>2523</v>
      </c>
      <c r="X3745" t="s">
        <v>28407</v>
      </c>
      <c r="AF3745" t="s">
        <v>28408</v>
      </c>
      <c r="AG3745" t="s">
        <v>2523</v>
      </c>
      <c r="AI3745" t="s">
        <v>28409</v>
      </c>
      <c r="AM3745" t="s">
        <v>3428</v>
      </c>
      <c r="AN3745" t="s">
        <v>2081</v>
      </c>
      <c r="AO3745" t="s">
        <v>28410</v>
      </c>
      <c r="AP3745" t="s">
        <v>7024</v>
      </c>
      <c r="AQ3745" t="s">
        <v>28411</v>
      </c>
      <c r="AT3745" s="184">
        <v>39867</v>
      </c>
      <c r="AU3745" t="s">
        <v>28412</v>
      </c>
      <c r="AV3745">
        <v>20</v>
      </c>
      <c r="AW3745" s="184">
        <v>44799</v>
      </c>
      <c r="AX3745" t="s">
        <v>17980</v>
      </c>
      <c r="AY3745">
        <v>100</v>
      </c>
      <c r="AZ3745" s="184">
        <v>44799</v>
      </c>
      <c r="BA3745" t="s">
        <v>17980</v>
      </c>
      <c r="BB3745">
        <v>100</v>
      </c>
      <c r="BC3745">
        <v>88</v>
      </c>
      <c r="BD3745">
        <v>720</v>
      </c>
      <c r="BE3745">
        <v>2009</v>
      </c>
      <c r="BF3745">
        <v>16</v>
      </c>
      <c r="BG3745">
        <v>1</v>
      </c>
      <c r="BH3745">
        <v>100</v>
      </c>
      <c r="BI3745">
        <v>14</v>
      </c>
      <c r="BJ3745">
        <v>16</v>
      </c>
      <c r="BK3745">
        <v>14</v>
      </c>
      <c r="BN3745" t="s">
        <v>595</v>
      </c>
      <c r="BP3745" s="184"/>
    </row>
    <row r="3746" spans="1:68">
      <c r="A3746">
        <v>52045986</v>
      </c>
      <c r="B3746">
        <v>52045986</v>
      </c>
      <c r="C3746" t="s">
        <v>7018</v>
      </c>
      <c r="D3746" t="s">
        <v>595</v>
      </c>
      <c r="E3746" s="184">
        <v>44167</v>
      </c>
      <c r="G3746" s="184"/>
      <c r="I3746" s="184"/>
      <c r="K3746" s="184"/>
      <c r="M3746" s="184"/>
      <c r="O3746" s="184"/>
      <c r="P3746" t="s">
        <v>7045</v>
      </c>
      <c r="Q3746" t="s">
        <v>7374</v>
      </c>
      <c r="R3746" s="184">
        <v>12420</v>
      </c>
      <c r="S3746">
        <v>90</v>
      </c>
      <c r="V3746" t="s">
        <v>2602</v>
      </c>
      <c r="X3746" t="s">
        <v>28413</v>
      </c>
      <c r="AF3746" t="s">
        <v>28414</v>
      </c>
      <c r="AG3746" t="s">
        <v>2602</v>
      </c>
      <c r="AI3746" t="s">
        <v>28415</v>
      </c>
      <c r="AM3746" t="s">
        <v>2788</v>
      </c>
      <c r="AN3746" t="s">
        <v>2081</v>
      </c>
      <c r="AO3746" t="s">
        <v>28416</v>
      </c>
      <c r="AP3746" t="s">
        <v>7024</v>
      </c>
      <c r="AQ3746" t="s">
        <v>28417</v>
      </c>
      <c r="AT3746" s="184">
        <v>39868</v>
      </c>
      <c r="AU3746" t="s">
        <v>28418</v>
      </c>
      <c r="AV3746">
        <v>20</v>
      </c>
      <c r="AW3746" s="184">
        <v>44364</v>
      </c>
      <c r="AX3746" t="s">
        <v>28419</v>
      </c>
      <c r="AY3746">
        <v>50</v>
      </c>
      <c r="AZ3746" s="184">
        <v>43980</v>
      </c>
      <c r="BA3746" t="s">
        <v>28420</v>
      </c>
      <c r="BB3746">
        <v>100</v>
      </c>
      <c r="BC3746">
        <v>50</v>
      </c>
      <c r="BD3746">
        <v>405</v>
      </c>
      <c r="BE3746">
        <v>2009</v>
      </c>
      <c r="BF3746">
        <v>10</v>
      </c>
      <c r="BI3746">
        <v>8</v>
      </c>
      <c r="BJ3746">
        <v>16</v>
      </c>
      <c r="BK3746">
        <v>2</v>
      </c>
    </row>
    <row r="3747" spans="1:68">
      <c r="A3747">
        <v>52047172</v>
      </c>
      <c r="B3747">
        <v>52047172</v>
      </c>
      <c r="C3747" t="s">
        <v>7018</v>
      </c>
      <c r="D3747" t="s">
        <v>595</v>
      </c>
      <c r="E3747" s="184">
        <v>44438</v>
      </c>
      <c r="G3747" s="184"/>
      <c r="I3747" s="184"/>
      <c r="K3747" s="184"/>
      <c r="M3747" s="184"/>
      <c r="O3747" s="184"/>
      <c r="P3747" t="s">
        <v>7045</v>
      </c>
      <c r="Q3747" t="s">
        <v>7160</v>
      </c>
      <c r="R3747" s="184">
        <v>17593</v>
      </c>
      <c r="S3747">
        <v>76</v>
      </c>
      <c r="U3747" t="s">
        <v>7076</v>
      </c>
      <c r="V3747" t="s">
        <v>4720</v>
      </c>
      <c r="X3747" t="s">
        <v>28421</v>
      </c>
      <c r="AF3747" t="s">
        <v>28422</v>
      </c>
      <c r="AG3747" t="s">
        <v>4720</v>
      </c>
      <c r="AI3747" t="s">
        <v>28423</v>
      </c>
      <c r="AM3747" t="s">
        <v>28424</v>
      </c>
      <c r="AN3747" t="s">
        <v>4637</v>
      </c>
      <c r="AO3747" t="s">
        <v>28425</v>
      </c>
      <c r="AP3747" t="s">
        <v>7024</v>
      </c>
      <c r="AQ3747" t="s">
        <v>28426</v>
      </c>
      <c r="AR3747" t="s">
        <v>28427</v>
      </c>
      <c r="AT3747" s="184">
        <v>39868</v>
      </c>
      <c r="AU3747" t="s">
        <v>28428</v>
      </c>
      <c r="AV3747">
        <v>25</v>
      </c>
      <c r="AW3747" s="184">
        <v>44851</v>
      </c>
      <c r="AX3747" t="s">
        <v>14164</v>
      </c>
      <c r="AY3747">
        <v>25</v>
      </c>
      <c r="AZ3747" s="184">
        <v>43757</v>
      </c>
      <c r="BA3747" t="s">
        <v>7959</v>
      </c>
      <c r="BB3747">
        <v>60</v>
      </c>
      <c r="BC3747">
        <v>63</v>
      </c>
      <c r="BD3747">
        <v>450</v>
      </c>
      <c r="BE3747">
        <v>2009</v>
      </c>
      <c r="BF3747">
        <v>16</v>
      </c>
      <c r="BG3747">
        <v>2</v>
      </c>
      <c r="BH3747">
        <v>50</v>
      </c>
      <c r="BI3747">
        <v>10</v>
      </c>
      <c r="BJ3747">
        <v>16</v>
      </c>
      <c r="BK3747">
        <v>5</v>
      </c>
      <c r="BN3747" t="s">
        <v>595</v>
      </c>
    </row>
    <row r="3748" spans="1:68">
      <c r="A3748">
        <v>52075918</v>
      </c>
      <c r="B3748">
        <v>52075918</v>
      </c>
      <c r="C3748" t="s">
        <v>7018</v>
      </c>
      <c r="D3748" t="s">
        <v>595</v>
      </c>
      <c r="E3748" s="184">
        <v>44065</v>
      </c>
      <c r="G3748" s="184"/>
      <c r="I3748" s="184"/>
      <c r="K3748" s="184"/>
      <c r="M3748" s="184"/>
      <c r="P3748" t="s">
        <v>7045</v>
      </c>
      <c r="Q3748" t="s">
        <v>7383</v>
      </c>
      <c r="R3748" s="184">
        <v>17843</v>
      </c>
      <c r="S3748">
        <v>75</v>
      </c>
      <c r="V3748" t="s">
        <v>4282</v>
      </c>
      <c r="W3748" t="s">
        <v>7836</v>
      </c>
      <c r="X3748" t="s">
        <v>28429</v>
      </c>
      <c r="Z3748">
        <v>100129005</v>
      </c>
      <c r="AA3748" t="s">
        <v>7076</v>
      </c>
      <c r="AB3748" t="s">
        <v>4086</v>
      </c>
      <c r="AD3748" t="s">
        <v>28429</v>
      </c>
      <c r="AF3748" t="s">
        <v>28430</v>
      </c>
      <c r="AG3748" t="s">
        <v>28431</v>
      </c>
      <c r="AI3748" t="s">
        <v>28432</v>
      </c>
      <c r="AM3748" t="s">
        <v>28433</v>
      </c>
      <c r="AN3748" t="s">
        <v>2419</v>
      </c>
      <c r="AO3748" t="s">
        <v>28434</v>
      </c>
      <c r="AP3748" t="s">
        <v>7024</v>
      </c>
      <c r="AQ3748" t="s">
        <v>28435</v>
      </c>
      <c r="AR3748" t="s">
        <v>28436</v>
      </c>
      <c r="AT3748" s="184">
        <v>39870</v>
      </c>
      <c r="AU3748" t="s">
        <v>28437</v>
      </c>
      <c r="AV3748">
        <v>19.97</v>
      </c>
      <c r="AW3748" s="184">
        <v>45118</v>
      </c>
      <c r="AX3748" t="s">
        <v>7832</v>
      </c>
      <c r="AY3748">
        <v>100</v>
      </c>
      <c r="AZ3748" s="184">
        <v>45118</v>
      </c>
      <c r="BA3748" t="s">
        <v>7832</v>
      </c>
      <c r="BB3748">
        <v>100</v>
      </c>
      <c r="BC3748">
        <v>88</v>
      </c>
      <c r="BD3748">
        <v>919.97</v>
      </c>
      <c r="BE3748">
        <v>2009</v>
      </c>
      <c r="BF3748">
        <v>16</v>
      </c>
      <c r="BG3748">
        <v>1</v>
      </c>
      <c r="BH3748">
        <v>100</v>
      </c>
      <c r="BI3748">
        <v>14</v>
      </c>
      <c r="BJ3748">
        <v>16</v>
      </c>
      <c r="BK3748">
        <v>10</v>
      </c>
      <c r="BP3748" s="184"/>
    </row>
    <row r="3749" spans="1:68">
      <c r="A3749">
        <v>100129005</v>
      </c>
      <c r="B3749">
        <v>52075918</v>
      </c>
      <c r="C3749" t="s">
        <v>7018</v>
      </c>
      <c r="D3749" t="s">
        <v>595</v>
      </c>
      <c r="E3749" s="184">
        <v>44065</v>
      </c>
      <c r="G3749" s="184"/>
      <c r="I3749" s="184"/>
      <c r="K3749" s="184"/>
      <c r="M3749" s="184"/>
      <c r="P3749" t="s">
        <v>7045</v>
      </c>
      <c r="Q3749" t="s">
        <v>7383</v>
      </c>
      <c r="R3749" s="184">
        <v>17902</v>
      </c>
      <c r="S3749">
        <v>75</v>
      </c>
      <c r="U3749" t="s">
        <v>7076</v>
      </c>
      <c r="V3749" t="s">
        <v>4086</v>
      </c>
      <c r="X3749" t="s">
        <v>28429</v>
      </c>
      <c r="Z3749">
        <v>52075918</v>
      </c>
      <c r="AB3749" t="s">
        <v>4282</v>
      </c>
      <c r="AC3749" t="s">
        <v>7836</v>
      </c>
      <c r="AD3749" t="s">
        <v>28429</v>
      </c>
      <c r="AF3749" t="s">
        <v>28430</v>
      </c>
      <c r="AG3749" t="s">
        <v>28431</v>
      </c>
      <c r="AI3749" t="s">
        <v>28432</v>
      </c>
      <c r="AM3749" t="s">
        <v>28433</v>
      </c>
      <c r="AN3749" t="s">
        <v>2419</v>
      </c>
      <c r="AO3749" t="s">
        <v>28434</v>
      </c>
      <c r="AP3749" t="s">
        <v>7024</v>
      </c>
      <c r="AT3749" s="184"/>
      <c r="AW3749" s="184"/>
      <c r="AZ3749" s="184"/>
    </row>
    <row r="3750" spans="1:68">
      <c r="A3750">
        <v>52113594</v>
      </c>
      <c r="B3750">
        <v>52113594</v>
      </c>
      <c r="C3750" t="s">
        <v>7018</v>
      </c>
      <c r="D3750" t="s">
        <v>595</v>
      </c>
      <c r="E3750" s="184">
        <v>44167</v>
      </c>
      <c r="G3750" s="184"/>
      <c r="I3750" s="184"/>
      <c r="K3750" s="184"/>
      <c r="M3750" s="184"/>
      <c r="O3750" s="184"/>
      <c r="P3750" t="s">
        <v>7019</v>
      </c>
      <c r="Q3750" t="s">
        <v>7160</v>
      </c>
      <c r="R3750" s="184">
        <v>15219</v>
      </c>
      <c r="S3750">
        <v>82</v>
      </c>
      <c r="V3750" t="s">
        <v>2786</v>
      </c>
      <c r="X3750" t="s">
        <v>3277</v>
      </c>
      <c r="AF3750" t="s">
        <v>28438</v>
      </c>
      <c r="AG3750" t="s">
        <v>2786</v>
      </c>
      <c r="AI3750" t="s">
        <v>28439</v>
      </c>
      <c r="AM3750" t="s">
        <v>28440</v>
      </c>
      <c r="AN3750" t="s">
        <v>4637</v>
      </c>
      <c r="AO3750" t="s">
        <v>28441</v>
      </c>
      <c r="AP3750" t="s">
        <v>7024</v>
      </c>
      <c r="AQ3750" t="s">
        <v>28442</v>
      </c>
      <c r="AR3750" t="s">
        <v>28443</v>
      </c>
      <c r="AT3750" s="184">
        <v>39869</v>
      </c>
      <c r="AU3750" t="s">
        <v>28444</v>
      </c>
      <c r="AV3750">
        <v>15</v>
      </c>
      <c r="AW3750" s="184">
        <v>44581</v>
      </c>
      <c r="AX3750" t="s">
        <v>10309</v>
      </c>
      <c r="AY3750">
        <v>60</v>
      </c>
      <c r="AZ3750" s="184">
        <v>44581</v>
      </c>
      <c r="BA3750" t="s">
        <v>10309</v>
      </c>
      <c r="BB3750">
        <v>60</v>
      </c>
      <c r="BC3750">
        <v>88</v>
      </c>
      <c r="BD3750">
        <v>625</v>
      </c>
      <c r="BE3750">
        <v>2009</v>
      </c>
      <c r="BF3750">
        <v>24</v>
      </c>
      <c r="BI3750">
        <v>14</v>
      </c>
      <c r="BJ3750">
        <v>16</v>
      </c>
      <c r="BK3750">
        <v>14</v>
      </c>
    </row>
    <row r="3751" spans="1:68">
      <c r="A3751">
        <v>52152592</v>
      </c>
      <c r="B3751">
        <v>52152592</v>
      </c>
      <c r="C3751" t="s">
        <v>7018</v>
      </c>
      <c r="E3751" s="184"/>
      <c r="G3751" s="184"/>
      <c r="I3751" s="184"/>
      <c r="K3751" s="184"/>
      <c r="L3751" t="s">
        <v>595</v>
      </c>
      <c r="M3751" s="184">
        <v>44202</v>
      </c>
      <c r="O3751" s="184"/>
      <c r="P3751" t="s">
        <v>7045</v>
      </c>
      <c r="Q3751" t="s">
        <v>7374</v>
      </c>
      <c r="R3751" s="184">
        <v>15564</v>
      </c>
      <c r="S3751">
        <v>81</v>
      </c>
      <c r="V3751" t="s">
        <v>3080</v>
      </c>
      <c r="X3751" t="s">
        <v>28445</v>
      </c>
      <c r="Z3751">
        <v>100129049</v>
      </c>
      <c r="AB3751" t="s">
        <v>3072</v>
      </c>
      <c r="AD3751" t="s">
        <v>28445</v>
      </c>
      <c r="AF3751" t="s">
        <v>28446</v>
      </c>
      <c r="AG3751" t="s">
        <v>28447</v>
      </c>
      <c r="AI3751" t="s">
        <v>28448</v>
      </c>
      <c r="AM3751" t="s">
        <v>27951</v>
      </c>
      <c r="AN3751" t="s">
        <v>2081</v>
      </c>
      <c r="AO3751" t="s">
        <v>28449</v>
      </c>
      <c r="AP3751" t="s">
        <v>7024</v>
      </c>
      <c r="AQ3751" t="s">
        <v>28450</v>
      </c>
      <c r="AT3751" s="184">
        <v>39870</v>
      </c>
      <c r="AU3751" t="s">
        <v>28418</v>
      </c>
      <c r="AV3751">
        <v>25</v>
      </c>
      <c r="AW3751" s="184">
        <v>45363</v>
      </c>
      <c r="AX3751" t="s">
        <v>12134</v>
      </c>
      <c r="AY3751">
        <v>120</v>
      </c>
      <c r="AZ3751" s="184">
        <v>45363</v>
      </c>
      <c r="BA3751" t="s">
        <v>12134</v>
      </c>
      <c r="BB3751">
        <v>120</v>
      </c>
      <c r="BC3751">
        <v>94</v>
      </c>
      <c r="BD3751">
        <v>1420</v>
      </c>
      <c r="BE3751">
        <v>2009</v>
      </c>
      <c r="BF3751">
        <v>47</v>
      </c>
      <c r="BG3751">
        <v>2</v>
      </c>
      <c r="BH3751">
        <v>240</v>
      </c>
      <c r="BI3751">
        <v>15</v>
      </c>
      <c r="BJ3751">
        <v>16</v>
      </c>
      <c r="BK3751">
        <v>12</v>
      </c>
    </row>
    <row r="3752" spans="1:68">
      <c r="A3752">
        <v>52179975</v>
      </c>
      <c r="B3752">
        <v>52179975</v>
      </c>
      <c r="C3752" t="s">
        <v>7018</v>
      </c>
      <c r="D3752" t="s">
        <v>595</v>
      </c>
      <c r="E3752" s="184">
        <v>45140</v>
      </c>
      <c r="G3752" s="184"/>
      <c r="I3752" s="184"/>
      <c r="K3752" s="184"/>
      <c r="M3752" s="184"/>
      <c r="O3752" s="184"/>
      <c r="P3752" t="s">
        <v>7045</v>
      </c>
      <c r="Q3752" t="s">
        <v>7383</v>
      </c>
      <c r="R3752" s="184">
        <v>15915</v>
      </c>
      <c r="S3752">
        <v>80</v>
      </c>
      <c r="V3752" t="s">
        <v>2586</v>
      </c>
      <c r="X3752" t="s">
        <v>28451</v>
      </c>
      <c r="Z3752">
        <v>100183558</v>
      </c>
      <c r="AB3752" t="s">
        <v>2541</v>
      </c>
      <c r="AD3752" t="s">
        <v>28451</v>
      </c>
      <c r="AF3752" t="s">
        <v>28452</v>
      </c>
      <c r="AG3752" t="s">
        <v>2586</v>
      </c>
      <c r="AI3752" t="s">
        <v>28453</v>
      </c>
      <c r="AM3752" t="s">
        <v>28454</v>
      </c>
      <c r="AN3752" t="s">
        <v>2274</v>
      </c>
      <c r="AO3752" t="s">
        <v>28455</v>
      </c>
      <c r="AP3752" t="s">
        <v>7024</v>
      </c>
      <c r="AQ3752" t="s">
        <v>28456</v>
      </c>
      <c r="AT3752" s="184">
        <v>39871</v>
      </c>
      <c r="AU3752" t="s">
        <v>28401</v>
      </c>
      <c r="AV3752">
        <v>25</v>
      </c>
      <c r="AW3752" s="184">
        <v>45378</v>
      </c>
      <c r="AX3752" t="s">
        <v>23454</v>
      </c>
      <c r="AY3752">
        <v>35</v>
      </c>
      <c r="AZ3752" s="184">
        <v>45378</v>
      </c>
      <c r="BA3752" t="s">
        <v>23454</v>
      </c>
      <c r="BB3752">
        <v>35</v>
      </c>
      <c r="BC3752">
        <v>75</v>
      </c>
      <c r="BD3752">
        <v>355</v>
      </c>
      <c r="BE3752">
        <v>2009</v>
      </c>
      <c r="BF3752">
        <v>12</v>
      </c>
      <c r="BG3752">
        <v>2</v>
      </c>
      <c r="BH3752">
        <v>70</v>
      </c>
      <c r="BI3752">
        <v>12</v>
      </c>
      <c r="BJ3752">
        <v>16</v>
      </c>
      <c r="BK3752">
        <v>8</v>
      </c>
    </row>
    <row r="3753" spans="1:68">
      <c r="A3753">
        <v>100183558</v>
      </c>
      <c r="B3753">
        <v>52179975</v>
      </c>
      <c r="C3753" t="s">
        <v>7018</v>
      </c>
      <c r="D3753" t="s">
        <v>595</v>
      </c>
      <c r="E3753" s="184">
        <v>45140</v>
      </c>
      <c r="G3753" s="184"/>
      <c r="I3753" s="184"/>
      <c r="K3753" s="184"/>
      <c r="M3753" s="184"/>
      <c r="O3753" s="184"/>
      <c r="P3753" t="s">
        <v>7045</v>
      </c>
      <c r="Q3753" t="s">
        <v>7383</v>
      </c>
      <c r="R3753" s="184"/>
      <c r="V3753" t="s">
        <v>2541</v>
      </c>
      <c r="X3753" t="s">
        <v>28451</v>
      </c>
      <c r="Z3753">
        <v>52179975</v>
      </c>
      <c r="AB3753" t="s">
        <v>2586</v>
      </c>
      <c r="AD3753" t="s">
        <v>28451</v>
      </c>
      <c r="AF3753" t="s">
        <v>28452</v>
      </c>
      <c r="AG3753" t="s">
        <v>2586</v>
      </c>
      <c r="AI3753" t="s">
        <v>28453</v>
      </c>
      <c r="AM3753" t="s">
        <v>28454</v>
      </c>
      <c r="AN3753" t="s">
        <v>2274</v>
      </c>
      <c r="AO3753" t="s">
        <v>28455</v>
      </c>
      <c r="AP3753" t="s">
        <v>7024</v>
      </c>
      <c r="AT3753" s="184"/>
      <c r="AW3753" s="184"/>
      <c r="AZ3753" s="184"/>
      <c r="BO3753" t="s">
        <v>595</v>
      </c>
      <c r="BP3753" s="184"/>
    </row>
    <row r="3754" spans="1:68">
      <c r="A3754">
        <v>52295789</v>
      </c>
      <c r="B3754">
        <v>52295789</v>
      </c>
      <c r="C3754" t="s">
        <v>7018</v>
      </c>
      <c r="E3754" s="184"/>
      <c r="G3754" s="184"/>
      <c r="I3754" s="184"/>
      <c r="J3754" t="s">
        <v>595</v>
      </c>
      <c r="K3754" s="184">
        <v>44264</v>
      </c>
      <c r="M3754" s="184"/>
      <c r="O3754" s="184"/>
      <c r="P3754" t="s">
        <v>7045</v>
      </c>
      <c r="Q3754" t="s">
        <v>7160</v>
      </c>
      <c r="R3754" s="184">
        <v>14264</v>
      </c>
      <c r="S3754">
        <v>85</v>
      </c>
      <c r="U3754" t="s">
        <v>7031</v>
      </c>
      <c r="V3754" t="s">
        <v>2511</v>
      </c>
      <c r="X3754" t="s">
        <v>28457</v>
      </c>
      <c r="Z3754">
        <v>100601937</v>
      </c>
      <c r="AB3754" t="s">
        <v>28458</v>
      </c>
      <c r="AD3754" t="s">
        <v>28459</v>
      </c>
      <c r="AF3754" t="s">
        <v>28460</v>
      </c>
      <c r="AG3754" t="s">
        <v>28461</v>
      </c>
      <c r="AI3754" t="s">
        <v>28462</v>
      </c>
      <c r="AM3754" t="s">
        <v>28463</v>
      </c>
      <c r="AN3754" t="s">
        <v>2446</v>
      </c>
      <c r="AO3754" t="s">
        <v>28464</v>
      </c>
      <c r="AP3754" t="s">
        <v>7024</v>
      </c>
      <c r="AQ3754" t="s">
        <v>28465</v>
      </c>
      <c r="AT3754" s="184">
        <v>44525</v>
      </c>
      <c r="AU3754" t="s">
        <v>28466</v>
      </c>
      <c r="AV3754">
        <v>50</v>
      </c>
      <c r="AW3754" s="184">
        <v>44525</v>
      </c>
      <c r="AX3754" t="s">
        <v>28466</v>
      </c>
      <c r="AY3754">
        <v>50</v>
      </c>
      <c r="AZ3754" s="184">
        <v>44525</v>
      </c>
      <c r="BA3754" t="s">
        <v>28466</v>
      </c>
      <c r="BB3754">
        <v>50</v>
      </c>
      <c r="BC3754">
        <v>25</v>
      </c>
      <c r="BD3754">
        <v>50</v>
      </c>
      <c r="BE3754">
        <v>2022</v>
      </c>
      <c r="BF3754">
        <v>1</v>
      </c>
      <c r="BI3754">
        <v>1</v>
      </c>
      <c r="BJ3754">
        <v>4</v>
      </c>
      <c r="BK3754">
        <v>1</v>
      </c>
      <c r="BP3754" s="184"/>
    </row>
    <row r="3755" spans="1:68">
      <c r="A3755">
        <v>100601937</v>
      </c>
      <c r="B3755">
        <v>52295789</v>
      </c>
      <c r="C3755" t="s">
        <v>7018</v>
      </c>
      <c r="E3755" s="184"/>
      <c r="G3755" s="184"/>
      <c r="I3755" s="184"/>
      <c r="J3755" t="s">
        <v>595</v>
      </c>
      <c r="K3755" s="184">
        <v>44264</v>
      </c>
      <c r="M3755" s="184"/>
      <c r="O3755" s="184"/>
      <c r="P3755" t="s">
        <v>7045</v>
      </c>
      <c r="Q3755" t="s">
        <v>7160</v>
      </c>
      <c r="R3755" s="184">
        <v>18994</v>
      </c>
      <c r="S3755">
        <v>72</v>
      </c>
      <c r="V3755" t="s">
        <v>28458</v>
      </c>
      <c r="X3755" t="s">
        <v>28459</v>
      </c>
      <c r="Z3755">
        <v>52295789</v>
      </c>
      <c r="AA3755" t="s">
        <v>7031</v>
      </c>
      <c r="AB3755" t="s">
        <v>2511</v>
      </c>
      <c r="AD3755" t="s">
        <v>28457</v>
      </c>
      <c r="AF3755" t="s">
        <v>28460</v>
      </c>
      <c r="AG3755" t="s">
        <v>28461</v>
      </c>
      <c r="AI3755" t="s">
        <v>28462</v>
      </c>
      <c r="AM3755" t="s">
        <v>28463</v>
      </c>
      <c r="AN3755" t="s">
        <v>2446</v>
      </c>
      <c r="AO3755" t="s">
        <v>28464</v>
      </c>
      <c r="AP3755" t="s">
        <v>7024</v>
      </c>
      <c r="AT3755" s="184"/>
      <c r="AW3755" s="184"/>
      <c r="AZ3755" s="184"/>
      <c r="BP3755" s="184"/>
    </row>
    <row r="3756" spans="1:68">
      <c r="A3756">
        <v>52395787</v>
      </c>
      <c r="B3756">
        <v>52395787</v>
      </c>
      <c r="C3756" t="s">
        <v>7018</v>
      </c>
      <c r="E3756" s="184"/>
      <c r="G3756" s="184"/>
      <c r="I3756" s="184"/>
      <c r="J3756" t="s">
        <v>595</v>
      </c>
      <c r="K3756" s="184">
        <v>41088</v>
      </c>
      <c r="M3756" s="184"/>
      <c r="O3756" s="184"/>
      <c r="P3756" t="s">
        <v>7045</v>
      </c>
      <c r="Q3756" t="s">
        <v>7374</v>
      </c>
      <c r="R3756" s="184">
        <v>15832</v>
      </c>
      <c r="S3756">
        <v>81</v>
      </c>
      <c r="U3756" t="s">
        <v>7076</v>
      </c>
      <c r="V3756" t="s">
        <v>2660</v>
      </c>
      <c r="X3756" t="s">
        <v>5767</v>
      </c>
      <c r="AF3756" t="s">
        <v>6403</v>
      </c>
      <c r="AG3756" t="s">
        <v>2660</v>
      </c>
      <c r="AI3756" t="s">
        <v>28467</v>
      </c>
      <c r="AM3756" t="s">
        <v>28468</v>
      </c>
      <c r="AN3756" t="s">
        <v>2081</v>
      </c>
      <c r="AO3756" t="s">
        <v>28469</v>
      </c>
      <c r="AP3756" t="s">
        <v>7024</v>
      </c>
      <c r="AT3756" s="184">
        <v>39876</v>
      </c>
      <c r="AU3756" t="s">
        <v>28470</v>
      </c>
      <c r="AV3756">
        <v>20</v>
      </c>
      <c r="AW3756" s="184">
        <v>44109</v>
      </c>
      <c r="AX3756" t="s">
        <v>28471</v>
      </c>
      <c r="AY3756">
        <v>50</v>
      </c>
      <c r="AZ3756" s="184">
        <v>43980</v>
      </c>
      <c r="BA3756" t="s">
        <v>28472</v>
      </c>
      <c r="BB3756">
        <v>100</v>
      </c>
      <c r="BC3756">
        <v>69</v>
      </c>
      <c r="BD3756">
        <v>1305</v>
      </c>
      <c r="BE3756">
        <v>2009</v>
      </c>
      <c r="BF3756">
        <v>25</v>
      </c>
      <c r="BI3756">
        <v>11</v>
      </c>
      <c r="BJ3756">
        <v>16</v>
      </c>
      <c r="BK3756">
        <v>9</v>
      </c>
    </row>
    <row r="3757" spans="1:68">
      <c r="A3757">
        <v>52397668</v>
      </c>
      <c r="B3757">
        <v>52397668</v>
      </c>
      <c r="C3757" t="s">
        <v>7018</v>
      </c>
      <c r="E3757" s="184"/>
      <c r="G3757" s="184"/>
      <c r="H3757" t="s">
        <v>595</v>
      </c>
      <c r="I3757" s="184">
        <v>44109</v>
      </c>
      <c r="K3757" s="184"/>
      <c r="P3757" t="s">
        <v>7045</v>
      </c>
      <c r="Q3757" t="s">
        <v>7494</v>
      </c>
      <c r="R3757" s="184">
        <v>20515</v>
      </c>
      <c r="S3757">
        <v>68</v>
      </c>
      <c r="U3757" t="s">
        <v>7032</v>
      </c>
      <c r="V3757" t="s">
        <v>3043</v>
      </c>
      <c r="X3757" t="s">
        <v>3913</v>
      </c>
      <c r="AF3757" t="s">
        <v>28473</v>
      </c>
      <c r="AG3757" t="s">
        <v>3043</v>
      </c>
      <c r="AI3757" t="s">
        <v>28474</v>
      </c>
      <c r="AM3757" t="s">
        <v>4994</v>
      </c>
      <c r="AN3757" t="s">
        <v>2484</v>
      </c>
      <c r="AO3757" t="s">
        <v>28475</v>
      </c>
      <c r="AP3757" t="s">
        <v>7024</v>
      </c>
      <c r="AQ3757" t="s">
        <v>28476</v>
      </c>
      <c r="AR3757" t="s">
        <v>28477</v>
      </c>
      <c r="AT3757" s="184">
        <v>39877</v>
      </c>
      <c r="AU3757" t="s">
        <v>24193</v>
      </c>
      <c r="AV3757">
        <v>50</v>
      </c>
      <c r="AW3757" s="184">
        <v>45336</v>
      </c>
      <c r="AX3757" t="s">
        <v>11740</v>
      </c>
      <c r="AY3757">
        <v>100</v>
      </c>
      <c r="AZ3757" s="184">
        <v>45336</v>
      </c>
      <c r="BA3757" t="s">
        <v>11740</v>
      </c>
      <c r="BB3757">
        <v>100</v>
      </c>
      <c r="BC3757">
        <v>100</v>
      </c>
      <c r="BD3757">
        <v>2120</v>
      </c>
      <c r="BE3757">
        <v>2009</v>
      </c>
      <c r="BF3757">
        <v>160</v>
      </c>
      <c r="BG3757">
        <v>9</v>
      </c>
      <c r="BH3757">
        <v>450</v>
      </c>
      <c r="BI3757">
        <v>16</v>
      </c>
      <c r="BJ3757">
        <v>16</v>
      </c>
      <c r="BK3757">
        <v>16</v>
      </c>
      <c r="BN3757" t="s">
        <v>595</v>
      </c>
    </row>
    <row r="3758" spans="1:68">
      <c r="A3758">
        <v>52403482</v>
      </c>
      <c r="B3758">
        <v>52403482</v>
      </c>
      <c r="C3758" t="s">
        <v>7018</v>
      </c>
      <c r="D3758" t="s">
        <v>595</v>
      </c>
      <c r="E3758" s="184">
        <v>44484</v>
      </c>
      <c r="G3758" s="184"/>
      <c r="I3758" s="184"/>
      <c r="K3758" s="184"/>
      <c r="P3758" t="s">
        <v>7045</v>
      </c>
      <c r="Q3758" t="s">
        <v>7160</v>
      </c>
      <c r="R3758" s="184">
        <v>17289</v>
      </c>
      <c r="S3758">
        <v>77</v>
      </c>
      <c r="V3758" t="s">
        <v>2903</v>
      </c>
      <c r="X3758" t="s">
        <v>28478</v>
      </c>
      <c r="AF3758" t="s">
        <v>28479</v>
      </c>
      <c r="AG3758" t="s">
        <v>2903</v>
      </c>
      <c r="AI3758" t="s">
        <v>28480</v>
      </c>
      <c r="AM3758" t="s">
        <v>28481</v>
      </c>
      <c r="AN3758" t="s">
        <v>2446</v>
      </c>
      <c r="AO3758" t="s">
        <v>28482</v>
      </c>
      <c r="AP3758" t="s">
        <v>7024</v>
      </c>
      <c r="AQ3758" t="s">
        <v>28483</v>
      </c>
      <c r="AT3758" s="184">
        <v>39877</v>
      </c>
      <c r="AU3758" t="s">
        <v>28484</v>
      </c>
      <c r="AV3758">
        <v>25</v>
      </c>
      <c r="AW3758" s="184">
        <v>43382</v>
      </c>
      <c r="AX3758" t="s">
        <v>28485</v>
      </c>
      <c r="AY3758">
        <v>40</v>
      </c>
      <c r="AZ3758" s="184">
        <v>43382</v>
      </c>
      <c r="BA3758" t="s">
        <v>28485</v>
      </c>
      <c r="BB3758">
        <v>40</v>
      </c>
      <c r="BC3758">
        <v>44</v>
      </c>
      <c r="BD3758">
        <v>520</v>
      </c>
      <c r="BE3758">
        <v>2009</v>
      </c>
      <c r="BF3758">
        <v>16</v>
      </c>
      <c r="BI3758">
        <v>7</v>
      </c>
      <c r="BJ3758">
        <v>16</v>
      </c>
      <c r="BK3758">
        <v>4</v>
      </c>
    </row>
    <row r="3759" spans="1:68">
      <c r="A3759">
        <v>52457785</v>
      </c>
      <c r="B3759">
        <v>52457785</v>
      </c>
      <c r="C3759" t="s">
        <v>7018</v>
      </c>
      <c r="E3759" s="184"/>
      <c r="G3759" s="184"/>
      <c r="I3759" s="184"/>
      <c r="J3759" t="s">
        <v>595</v>
      </c>
      <c r="K3759" s="184">
        <v>43607</v>
      </c>
      <c r="O3759" s="184"/>
      <c r="P3759" t="s">
        <v>7029</v>
      </c>
      <c r="Q3759" t="s">
        <v>7454</v>
      </c>
      <c r="R3759" s="184">
        <v>12964</v>
      </c>
      <c r="S3759">
        <v>88</v>
      </c>
      <c r="U3759" t="s">
        <v>7076</v>
      </c>
      <c r="V3759" t="s">
        <v>2845</v>
      </c>
      <c r="X3759" t="s">
        <v>2846</v>
      </c>
      <c r="AF3759" t="s">
        <v>6203</v>
      </c>
      <c r="AG3759" t="s">
        <v>2845</v>
      </c>
      <c r="AI3759" t="s">
        <v>28486</v>
      </c>
      <c r="AM3759" t="s">
        <v>3611</v>
      </c>
      <c r="AN3759" t="s">
        <v>2055</v>
      </c>
      <c r="AO3759" t="s">
        <v>28487</v>
      </c>
      <c r="AP3759" t="s">
        <v>7024</v>
      </c>
      <c r="AQ3759" t="s">
        <v>28488</v>
      </c>
      <c r="AR3759" t="s">
        <v>28489</v>
      </c>
      <c r="AT3759" s="184">
        <v>39883</v>
      </c>
      <c r="AU3759" t="s">
        <v>28418</v>
      </c>
      <c r="AV3759">
        <v>15</v>
      </c>
      <c r="AW3759" s="184">
        <v>44636</v>
      </c>
      <c r="AX3759" t="s">
        <v>28490</v>
      </c>
      <c r="AY3759">
        <v>25</v>
      </c>
      <c r="AZ3759" s="184">
        <v>43819</v>
      </c>
      <c r="BA3759" t="s">
        <v>15775</v>
      </c>
      <c r="BB3759">
        <v>1000</v>
      </c>
      <c r="BC3759">
        <v>69</v>
      </c>
      <c r="BD3759">
        <v>3465</v>
      </c>
      <c r="BE3759">
        <v>2009</v>
      </c>
      <c r="BF3759">
        <v>90</v>
      </c>
      <c r="BI3759">
        <v>11</v>
      </c>
      <c r="BJ3759">
        <v>16</v>
      </c>
      <c r="BK3759">
        <v>8</v>
      </c>
      <c r="BO3759" t="s">
        <v>595</v>
      </c>
    </row>
    <row r="3760" spans="1:68">
      <c r="A3760">
        <v>52481835</v>
      </c>
      <c r="B3760">
        <v>52481835</v>
      </c>
      <c r="C3760" t="s">
        <v>7018</v>
      </c>
      <c r="E3760" s="184"/>
      <c r="G3760" s="184"/>
      <c r="H3760" t="s">
        <v>595</v>
      </c>
      <c r="I3760" s="184">
        <v>44167</v>
      </c>
      <c r="K3760" s="184"/>
      <c r="M3760" s="184"/>
      <c r="P3760" t="s">
        <v>7045</v>
      </c>
      <c r="Q3760" t="s">
        <v>7160</v>
      </c>
      <c r="R3760" s="184">
        <v>15179</v>
      </c>
      <c r="S3760">
        <v>82</v>
      </c>
      <c r="V3760" t="s">
        <v>28491</v>
      </c>
      <c r="W3760" t="s">
        <v>4013</v>
      </c>
      <c r="X3760" t="s">
        <v>4896</v>
      </c>
      <c r="AF3760" t="s">
        <v>28492</v>
      </c>
      <c r="AG3760" t="s">
        <v>28491</v>
      </c>
      <c r="AI3760" t="s">
        <v>28493</v>
      </c>
      <c r="AM3760" t="s">
        <v>28494</v>
      </c>
      <c r="AN3760" t="s">
        <v>2176</v>
      </c>
      <c r="AO3760" t="s">
        <v>28495</v>
      </c>
      <c r="AP3760" t="s">
        <v>7024</v>
      </c>
      <c r="AQ3760" t="s">
        <v>28496</v>
      </c>
      <c r="AR3760" t="s">
        <v>28497</v>
      </c>
      <c r="AT3760" s="184">
        <v>39888</v>
      </c>
      <c r="AU3760" t="s">
        <v>28498</v>
      </c>
      <c r="AV3760">
        <v>25</v>
      </c>
      <c r="AW3760" s="184">
        <v>44649</v>
      </c>
      <c r="AX3760" t="s">
        <v>8747</v>
      </c>
      <c r="AY3760">
        <v>25</v>
      </c>
      <c r="AZ3760" s="184">
        <v>42571</v>
      </c>
      <c r="BA3760" t="s">
        <v>28499</v>
      </c>
      <c r="BB3760">
        <v>85</v>
      </c>
      <c r="BC3760">
        <v>82</v>
      </c>
      <c r="BD3760">
        <v>720</v>
      </c>
      <c r="BE3760">
        <v>2009</v>
      </c>
      <c r="BF3760">
        <v>21</v>
      </c>
      <c r="BI3760">
        <v>13</v>
      </c>
      <c r="BJ3760">
        <v>16</v>
      </c>
      <c r="BK3760">
        <v>8</v>
      </c>
    </row>
    <row r="3761" spans="1:68">
      <c r="A3761">
        <v>52487436</v>
      </c>
      <c r="B3761">
        <v>52487436</v>
      </c>
      <c r="C3761" t="s">
        <v>7018</v>
      </c>
      <c r="E3761" s="184"/>
      <c r="F3761" t="s">
        <v>595</v>
      </c>
      <c r="G3761" s="184">
        <v>44438</v>
      </c>
      <c r="I3761" s="184"/>
      <c r="K3761" s="184"/>
      <c r="M3761" s="184"/>
      <c r="P3761" t="s">
        <v>7029</v>
      </c>
      <c r="Q3761" t="s">
        <v>7494</v>
      </c>
      <c r="R3761" s="184">
        <v>17065</v>
      </c>
      <c r="S3761">
        <v>77</v>
      </c>
      <c r="V3761" t="s">
        <v>3593</v>
      </c>
      <c r="X3761" t="s">
        <v>28500</v>
      </c>
      <c r="AF3761" t="s">
        <v>28501</v>
      </c>
      <c r="AG3761" t="s">
        <v>3593</v>
      </c>
      <c r="AI3761" t="s">
        <v>28502</v>
      </c>
      <c r="AM3761" t="s">
        <v>28503</v>
      </c>
      <c r="AN3761" t="s">
        <v>2174</v>
      </c>
      <c r="AO3761" t="s">
        <v>28504</v>
      </c>
      <c r="AP3761" t="s">
        <v>7024</v>
      </c>
      <c r="AQ3761" t="s">
        <v>28505</v>
      </c>
      <c r="AR3761" t="s">
        <v>28506</v>
      </c>
      <c r="AT3761" s="184">
        <v>39888</v>
      </c>
      <c r="AU3761" t="s">
        <v>28507</v>
      </c>
      <c r="AV3761">
        <v>50</v>
      </c>
      <c r="AW3761" s="184">
        <v>44747</v>
      </c>
      <c r="AX3761" t="s">
        <v>28508</v>
      </c>
      <c r="AY3761">
        <v>1000</v>
      </c>
      <c r="AZ3761" s="184">
        <v>44747</v>
      </c>
      <c r="BA3761" t="s">
        <v>28508</v>
      </c>
      <c r="BB3761">
        <v>1000</v>
      </c>
      <c r="BC3761">
        <v>63</v>
      </c>
      <c r="BD3761">
        <v>2150</v>
      </c>
      <c r="BE3761">
        <v>2009</v>
      </c>
      <c r="BF3761">
        <v>11</v>
      </c>
      <c r="BG3761">
        <v>1</v>
      </c>
      <c r="BH3761">
        <v>1000</v>
      </c>
      <c r="BI3761">
        <v>10</v>
      </c>
      <c r="BJ3761">
        <v>16</v>
      </c>
      <c r="BK3761">
        <v>8</v>
      </c>
      <c r="BP3761" s="184"/>
    </row>
    <row r="3762" spans="1:68">
      <c r="A3762">
        <v>52491172</v>
      </c>
      <c r="B3762">
        <v>52491172</v>
      </c>
      <c r="C3762" t="s">
        <v>7018</v>
      </c>
      <c r="E3762" s="184"/>
      <c r="G3762" s="184"/>
      <c r="H3762" t="s">
        <v>595</v>
      </c>
      <c r="I3762" s="184">
        <v>44019</v>
      </c>
      <c r="K3762" s="184"/>
      <c r="O3762" s="184"/>
      <c r="P3762" t="s">
        <v>7045</v>
      </c>
      <c r="Q3762" t="s">
        <v>7194</v>
      </c>
      <c r="R3762" s="184">
        <v>17624</v>
      </c>
      <c r="S3762">
        <v>76</v>
      </c>
      <c r="V3762" t="s">
        <v>3908</v>
      </c>
      <c r="X3762" t="s">
        <v>4832</v>
      </c>
      <c r="Z3762">
        <v>100448196</v>
      </c>
      <c r="AB3762" t="s">
        <v>3898</v>
      </c>
      <c r="AD3762" t="s">
        <v>28509</v>
      </c>
      <c r="AF3762" t="s">
        <v>28510</v>
      </c>
      <c r="AG3762" t="s">
        <v>28511</v>
      </c>
      <c r="AI3762" t="s">
        <v>28512</v>
      </c>
      <c r="AM3762" t="s">
        <v>4833</v>
      </c>
      <c r="AN3762" t="s">
        <v>2046</v>
      </c>
      <c r="AO3762" t="s">
        <v>28513</v>
      </c>
      <c r="AP3762" t="s">
        <v>7024</v>
      </c>
      <c r="AQ3762" t="s">
        <v>28514</v>
      </c>
      <c r="AT3762" s="184">
        <v>39888</v>
      </c>
      <c r="AU3762" t="s">
        <v>28515</v>
      </c>
      <c r="AV3762">
        <v>20</v>
      </c>
      <c r="AW3762" s="184">
        <v>45316</v>
      </c>
      <c r="AX3762" t="s">
        <v>28516</v>
      </c>
      <c r="AY3762">
        <v>75</v>
      </c>
      <c r="AZ3762" s="184">
        <v>45316</v>
      </c>
      <c r="BA3762" t="s">
        <v>28516</v>
      </c>
      <c r="BB3762">
        <v>75</v>
      </c>
      <c r="BC3762">
        <v>69</v>
      </c>
      <c r="BD3762">
        <v>505</v>
      </c>
      <c r="BE3762">
        <v>2009</v>
      </c>
      <c r="BF3762">
        <v>15</v>
      </c>
      <c r="BG3762">
        <v>1</v>
      </c>
      <c r="BH3762">
        <v>75</v>
      </c>
      <c r="BI3762">
        <v>11</v>
      </c>
      <c r="BJ3762">
        <v>16</v>
      </c>
      <c r="BK3762">
        <v>4</v>
      </c>
      <c r="BN3762" t="s">
        <v>595</v>
      </c>
      <c r="BP3762" s="184"/>
    </row>
    <row r="3763" spans="1:68">
      <c r="A3763">
        <v>100448196</v>
      </c>
      <c r="B3763">
        <v>52491172</v>
      </c>
      <c r="C3763" t="s">
        <v>7018</v>
      </c>
      <c r="E3763" s="184"/>
      <c r="G3763" s="184"/>
      <c r="H3763" t="s">
        <v>595</v>
      </c>
      <c r="I3763" s="184">
        <v>44019</v>
      </c>
      <c r="K3763" s="184"/>
      <c r="O3763" s="184"/>
      <c r="P3763" t="s">
        <v>7045</v>
      </c>
      <c r="Q3763" t="s">
        <v>7194</v>
      </c>
      <c r="R3763" s="184">
        <v>18203</v>
      </c>
      <c r="S3763">
        <v>74</v>
      </c>
      <c r="V3763" t="s">
        <v>3898</v>
      </c>
      <c r="X3763" t="s">
        <v>28509</v>
      </c>
      <c r="Z3763">
        <v>52491172</v>
      </c>
      <c r="AB3763" t="s">
        <v>3908</v>
      </c>
      <c r="AD3763" t="s">
        <v>4832</v>
      </c>
      <c r="AF3763" t="s">
        <v>28510</v>
      </c>
      <c r="AG3763" t="s">
        <v>28511</v>
      </c>
      <c r="AI3763" t="s">
        <v>28512</v>
      </c>
      <c r="AM3763" t="s">
        <v>4833</v>
      </c>
      <c r="AN3763" t="s">
        <v>2046</v>
      </c>
      <c r="AO3763" t="s">
        <v>28513</v>
      </c>
      <c r="AP3763" t="s">
        <v>7024</v>
      </c>
      <c r="AQ3763" t="s">
        <v>28517</v>
      </c>
      <c r="AT3763" s="184"/>
      <c r="AW3763" s="184"/>
      <c r="AZ3763" s="184"/>
    </row>
    <row r="3764" spans="1:68">
      <c r="A3764">
        <v>52504792</v>
      </c>
      <c r="B3764">
        <v>52504792</v>
      </c>
      <c r="C3764" t="s">
        <v>7018</v>
      </c>
      <c r="D3764" t="s">
        <v>595</v>
      </c>
      <c r="E3764" s="184">
        <v>44484</v>
      </c>
      <c r="G3764" s="184"/>
      <c r="I3764" s="184"/>
      <c r="K3764" s="184"/>
      <c r="M3764" s="184"/>
      <c r="P3764" t="s">
        <v>7045</v>
      </c>
      <c r="Q3764" t="s">
        <v>7262</v>
      </c>
      <c r="R3764" s="184">
        <v>16011</v>
      </c>
      <c r="S3764">
        <v>80</v>
      </c>
      <c r="V3764" t="s">
        <v>3516</v>
      </c>
      <c r="X3764" t="s">
        <v>28518</v>
      </c>
      <c r="AF3764" t="s">
        <v>28519</v>
      </c>
      <c r="AG3764" t="s">
        <v>3516</v>
      </c>
      <c r="AI3764" t="s">
        <v>28520</v>
      </c>
      <c r="AM3764" t="s">
        <v>28521</v>
      </c>
      <c r="AN3764" t="s">
        <v>2106</v>
      </c>
      <c r="AO3764" t="s">
        <v>28522</v>
      </c>
      <c r="AP3764" t="s">
        <v>7024</v>
      </c>
      <c r="AQ3764" t="s">
        <v>28523</v>
      </c>
      <c r="AT3764" s="184">
        <v>39890</v>
      </c>
      <c r="AU3764" t="s">
        <v>28524</v>
      </c>
      <c r="AV3764">
        <v>15</v>
      </c>
      <c r="AW3764" s="184">
        <v>44858</v>
      </c>
      <c r="AX3764" t="s">
        <v>11520</v>
      </c>
      <c r="AY3764">
        <v>20</v>
      </c>
      <c r="AZ3764" s="184">
        <v>44505</v>
      </c>
      <c r="BA3764" t="s">
        <v>14359</v>
      </c>
      <c r="BB3764">
        <v>25</v>
      </c>
      <c r="BC3764">
        <v>82</v>
      </c>
      <c r="BD3764">
        <v>340</v>
      </c>
      <c r="BE3764">
        <v>2009</v>
      </c>
      <c r="BF3764">
        <v>15</v>
      </c>
      <c r="BG3764">
        <v>1</v>
      </c>
      <c r="BH3764">
        <v>20</v>
      </c>
      <c r="BI3764">
        <v>13</v>
      </c>
      <c r="BJ3764">
        <v>16</v>
      </c>
      <c r="BK3764">
        <v>8</v>
      </c>
      <c r="BN3764" t="s">
        <v>595</v>
      </c>
    </row>
    <row r="3765" spans="1:68">
      <c r="A3765">
        <v>52519378</v>
      </c>
      <c r="B3765">
        <v>52519378</v>
      </c>
      <c r="C3765" t="s">
        <v>7018</v>
      </c>
      <c r="D3765" t="s">
        <v>595</v>
      </c>
      <c r="E3765" s="184">
        <v>43861</v>
      </c>
      <c r="G3765" s="184"/>
      <c r="I3765" s="184"/>
      <c r="K3765" s="184"/>
      <c r="M3765" s="184"/>
      <c r="O3765" s="184"/>
      <c r="P3765" t="s">
        <v>7045</v>
      </c>
      <c r="Q3765" t="s">
        <v>7774</v>
      </c>
      <c r="R3765" s="184">
        <v>20180</v>
      </c>
      <c r="S3765">
        <v>69</v>
      </c>
      <c r="U3765" t="s">
        <v>7031</v>
      </c>
      <c r="V3765" t="s">
        <v>3981</v>
      </c>
      <c r="W3765" t="s">
        <v>4382</v>
      </c>
      <c r="X3765" t="s">
        <v>4611</v>
      </c>
      <c r="Z3765">
        <v>100129292</v>
      </c>
      <c r="AB3765" t="s">
        <v>3652</v>
      </c>
      <c r="AD3765" t="s">
        <v>4611</v>
      </c>
      <c r="AF3765" t="s">
        <v>28525</v>
      </c>
      <c r="AG3765" t="s">
        <v>28526</v>
      </c>
      <c r="AI3765" t="s">
        <v>28527</v>
      </c>
      <c r="AM3765" t="s">
        <v>28528</v>
      </c>
      <c r="AN3765" t="s">
        <v>2077</v>
      </c>
      <c r="AO3765" t="s">
        <v>28529</v>
      </c>
      <c r="AP3765" t="s">
        <v>7024</v>
      </c>
      <c r="AQ3765" t="s">
        <v>28530</v>
      </c>
      <c r="AT3765" s="184">
        <v>39889</v>
      </c>
      <c r="AU3765" t="s">
        <v>28354</v>
      </c>
      <c r="AV3765">
        <v>20</v>
      </c>
      <c r="AW3765" s="184">
        <v>44286</v>
      </c>
      <c r="AX3765" t="s">
        <v>28531</v>
      </c>
      <c r="AY3765">
        <v>25</v>
      </c>
      <c r="AZ3765" s="184">
        <v>44286</v>
      </c>
      <c r="BA3765" t="s">
        <v>28531</v>
      </c>
      <c r="BB3765">
        <v>25</v>
      </c>
      <c r="BC3765">
        <v>75</v>
      </c>
      <c r="BD3765">
        <v>320</v>
      </c>
      <c r="BE3765">
        <v>2009</v>
      </c>
      <c r="BF3765">
        <v>13</v>
      </c>
      <c r="BI3765">
        <v>12</v>
      </c>
      <c r="BJ3765">
        <v>16</v>
      </c>
      <c r="BK3765">
        <v>7</v>
      </c>
      <c r="BP3765" s="184"/>
    </row>
    <row r="3766" spans="1:68">
      <c r="A3766">
        <v>100129292</v>
      </c>
      <c r="B3766">
        <v>52519378</v>
      </c>
      <c r="C3766" t="s">
        <v>7018</v>
      </c>
      <c r="D3766" t="s">
        <v>595</v>
      </c>
      <c r="E3766" s="184">
        <v>43861</v>
      </c>
      <c r="G3766" s="184"/>
      <c r="I3766" s="184"/>
      <c r="K3766" s="184"/>
      <c r="M3766" s="184"/>
      <c r="P3766" t="s">
        <v>7045</v>
      </c>
      <c r="Q3766" t="s">
        <v>7774</v>
      </c>
      <c r="R3766" s="184">
        <v>20302</v>
      </c>
      <c r="S3766">
        <v>68</v>
      </c>
      <c r="V3766" t="s">
        <v>3652</v>
      </c>
      <c r="X3766" t="s">
        <v>4611</v>
      </c>
      <c r="Z3766">
        <v>52519378</v>
      </c>
      <c r="AA3766" t="s">
        <v>7031</v>
      </c>
      <c r="AB3766" t="s">
        <v>3981</v>
      </c>
      <c r="AC3766" t="s">
        <v>4382</v>
      </c>
      <c r="AD3766" t="s">
        <v>4611</v>
      </c>
      <c r="AF3766" t="s">
        <v>28525</v>
      </c>
      <c r="AG3766" t="s">
        <v>28526</v>
      </c>
      <c r="AI3766" t="s">
        <v>28527</v>
      </c>
      <c r="AM3766" t="s">
        <v>28528</v>
      </c>
      <c r="AN3766" t="s">
        <v>2077</v>
      </c>
      <c r="AO3766" t="s">
        <v>28529</v>
      </c>
      <c r="AP3766" t="s">
        <v>7024</v>
      </c>
      <c r="AT3766" s="184"/>
      <c r="AW3766" s="184"/>
      <c r="AZ3766" s="184"/>
      <c r="BP3766" s="184"/>
    </row>
    <row r="3767" spans="1:68">
      <c r="A3767">
        <v>52539376</v>
      </c>
      <c r="B3767">
        <v>52539376</v>
      </c>
      <c r="C3767" t="s">
        <v>7018</v>
      </c>
      <c r="D3767" t="s">
        <v>595</v>
      </c>
      <c r="E3767" s="184">
        <v>44167</v>
      </c>
      <c r="G3767" s="184"/>
      <c r="I3767" s="184"/>
      <c r="K3767" s="184"/>
      <c r="M3767" s="184"/>
      <c r="O3767" s="184"/>
      <c r="P3767" t="s">
        <v>7045</v>
      </c>
      <c r="Q3767" t="s">
        <v>7030</v>
      </c>
      <c r="R3767" s="184">
        <v>15215</v>
      </c>
      <c r="S3767">
        <v>82</v>
      </c>
      <c r="V3767" t="s">
        <v>7952</v>
      </c>
      <c r="W3767" t="s">
        <v>4139</v>
      </c>
      <c r="X3767" t="s">
        <v>28532</v>
      </c>
      <c r="AF3767" t="s">
        <v>28533</v>
      </c>
      <c r="AG3767" t="s">
        <v>7952</v>
      </c>
      <c r="AI3767" t="s">
        <v>28534</v>
      </c>
      <c r="AM3767" t="s">
        <v>2564</v>
      </c>
      <c r="AN3767" t="s">
        <v>2089</v>
      </c>
      <c r="AO3767" t="s">
        <v>28535</v>
      </c>
      <c r="AP3767" t="s">
        <v>7024</v>
      </c>
      <c r="AQ3767" t="s">
        <v>28536</v>
      </c>
      <c r="AR3767" t="s">
        <v>28537</v>
      </c>
      <c r="AT3767" s="184">
        <v>39891</v>
      </c>
      <c r="AU3767" t="s">
        <v>28538</v>
      </c>
      <c r="AV3767">
        <v>25</v>
      </c>
      <c r="AW3767" s="184">
        <v>45398</v>
      </c>
      <c r="AX3767" t="s">
        <v>14823</v>
      </c>
      <c r="AY3767">
        <v>35</v>
      </c>
      <c r="AZ3767" s="184">
        <v>45398</v>
      </c>
      <c r="BA3767" t="s">
        <v>14823</v>
      </c>
      <c r="BB3767">
        <v>35</v>
      </c>
      <c r="BC3767">
        <v>100</v>
      </c>
      <c r="BD3767">
        <v>450</v>
      </c>
      <c r="BE3767">
        <v>2009</v>
      </c>
      <c r="BF3767">
        <v>16</v>
      </c>
      <c r="BG3767">
        <v>2</v>
      </c>
      <c r="BH3767">
        <v>70</v>
      </c>
      <c r="BI3767">
        <v>16</v>
      </c>
      <c r="BJ3767">
        <v>16</v>
      </c>
      <c r="BK3767">
        <v>16</v>
      </c>
      <c r="BN3767" t="s">
        <v>595</v>
      </c>
      <c r="BP3767" s="184"/>
    </row>
    <row r="3768" spans="1:68">
      <c r="A3768">
        <v>52574845</v>
      </c>
      <c r="B3768">
        <v>52574845</v>
      </c>
      <c r="C3768" t="s">
        <v>7018</v>
      </c>
      <c r="D3768" t="s">
        <v>595</v>
      </c>
      <c r="E3768" s="184">
        <v>44455</v>
      </c>
      <c r="G3768" s="184"/>
      <c r="I3768" s="184"/>
      <c r="K3768" s="184"/>
      <c r="M3768" s="184"/>
      <c r="O3768" s="184"/>
      <c r="P3768" t="s">
        <v>7045</v>
      </c>
      <c r="Q3768" t="s">
        <v>7020</v>
      </c>
      <c r="R3768" s="184">
        <v>16029</v>
      </c>
      <c r="S3768">
        <v>80</v>
      </c>
      <c r="V3768" t="s">
        <v>2586</v>
      </c>
      <c r="X3768" t="s">
        <v>3092</v>
      </c>
      <c r="AF3768" t="s">
        <v>28539</v>
      </c>
      <c r="AG3768" t="s">
        <v>2586</v>
      </c>
      <c r="AI3768" t="s">
        <v>28540</v>
      </c>
      <c r="AM3768" t="s">
        <v>28541</v>
      </c>
      <c r="AN3768" t="s">
        <v>2112</v>
      </c>
      <c r="AO3768" t="s">
        <v>28542</v>
      </c>
      <c r="AP3768" t="s">
        <v>7024</v>
      </c>
      <c r="AT3768" s="184">
        <v>39892</v>
      </c>
      <c r="AU3768" t="s">
        <v>28543</v>
      </c>
      <c r="AV3768">
        <v>25</v>
      </c>
      <c r="AW3768" s="184">
        <v>42844</v>
      </c>
      <c r="AX3768" t="s">
        <v>28544</v>
      </c>
      <c r="AY3768">
        <v>50</v>
      </c>
      <c r="AZ3768" s="184">
        <v>42349</v>
      </c>
      <c r="BA3768" t="s">
        <v>28545</v>
      </c>
      <c r="BB3768">
        <v>60</v>
      </c>
      <c r="BC3768">
        <v>38</v>
      </c>
      <c r="BD3768">
        <v>385</v>
      </c>
      <c r="BE3768">
        <v>2009</v>
      </c>
      <c r="BF3768">
        <v>10</v>
      </c>
      <c r="BI3768">
        <v>6</v>
      </c>
      <c r="BJ3768">
        <v>16</v>
      </c>
      <c r="BK3768">
        <v>4</v>
      </c>
    </row>
    <row r="3769" spans="1:68">
      <c r="A3769">
        <v>52633740</v>
      </c>
      <c r="B3769">
        <v>52633740</v>
      </c>
      <c r="C3769" t="s">
        <v>7018</v>
      </c>
      <c r="E3769" s="184"/>
      <c r="G3769" s="184"/>
      <c r="I3769" s="184"/>
      <c r="J3769" t="s">
        <v>595</v>
      </c>
      <c r="K3769" s="184">
        <v>44167</v>
      </c>
      <c r="M3769" s="184"/>
      <c r="O3769" s="184"/>
      <c r="P3769" t="s">
        <v>7045</v>
      </c>
      <c r="Q3769" t="s">
        <v>7262</v>
      </c>
      <c r="R3769" s="184">
        <v>31959</v>
      </c>
      <c r="S3769">
        <v>36</v>
      </c>
      <c r="V3769" t="s">
        <v>3206</v>
      </c>
      <c r="X3769" t="s">
        <v>2962</v>
      </c>
      <c r="AF3769" t="s">
        <v>28546</v>
      </c>
      <c r="AG3769" t="s">
        <v>3206</v>
      </c>
      <c r="AI3769" t="s">
        <v>28547</v>
      </c>
      <c r="AM3769" t="s">
        <v>10430</v>
      </c>
      <c r="AN3769" t="s">
        <v>65</v>
      </c>
      <c r="AO3769" t="s">
        <v>28548</v>
      </c>
      <c r="AP3769" t="s">
        <v>7024</v>
      </c>
      <c r="AT3769" s="184">
        <v>39895</v>
      </c>
      <c r="AU3769" t="s">
        <v>28549</v>
      </c>
      <c r="AV3769">
        <v>25</v>
      </c>
      <c r="AW3769" s="184">
        <v>45124</v>
      </c>
      <c r="AX3769" t="s">
        <v>13433</v>
      </c>
      <c r="AY3769">
        <v>35</v>
      </c>
      <c r="AZ3769" s="184">
        <v>45124</v>
      </c>
      <c r="BA3769" t="s">
        <v>13433</v>
      </c>
      <c r="BB3769">
        <v>35</v>
      </c>
      <c r="BC3769">
        <v>94</v>
      </c>
      <c r="BD3769">
        <v>1060</v>
      </c>
      <c r="BE3769">
        <v>2009</v>
      </c>
      <c r="BF3769">
        <v>37</v>
      </c>
      <c r="BG3769">
        <v>3</v>
      </c>
      <c r="BH3769">
        <v>105</v>
      </c>
      <c r="BI3769">
        <v>15</v>
      </c>
      <c r="BJ3769">
        <v>16</v>
      </c>
      <c r="BK3769">
        <v>15</v>
      </c>
      <c r="BP3769" s="184"/>
    </row>
    <row r="3770" spans="1:68">
      <c r="A3770">
        <v>52667573</v>
      </c>
      <c r="B3770">
        <v>52667573</v>
      </c>
      <c r="C3770" t="s">
        <v>7018</v>
      </c>
      <c r="D3770" t="s">
        <v>595</v>
      </c>
      <c r="E3770" s="184">
        <v>44145</v>
      </c>
      <c r="G3770" s="184"/>
      <c r="I3770" s="184"/>
      <c r="K3770" s="184"/>
      <c r="M3770" s="184"/>
      <c r="P3770" t="s">
        <v>7045</v>
      </c>
      <c r="Q3770" t="s">
        <v>7374</v>
      </c>
      <c r="R3770" s="184">
        <v>16711</v>
      </c>
      <c r="S3770">
        <v>78</v>
      </c>
      <c r="U3770" t="s">
        <v>7031</v>
      </c>
      <c r="V3770" t="s">
        <v>18931</v>
      </c>
      <c r="W3770" t="s">
        <v>7067</v>
      </c>
      <c r="X3770" t="s">
        <v>28550</v>
      </c>
      <c r="AF3770" t="s">
        <v>28551</v>
      </c>
      <c r="AG3770" t="s">
        <v>18931</v>
      </c>
      <c r="AI3770" t="s">
        <v>28552</v>
      </c>
      <c r="AM3770" t="s">
        <v>4297</v>
      </c>
      <c r="AN3770" t="s">
        <v>2526</v>
      </c>
      <c r="AO3770" t="s">
        <v>28553</v>
      </c>
      <c r="AP3770" t="s">
        <v>7024</v>
      </c>
      <c r="AQ3770" t="s">
        <v>28554</v>
      </c>
      <c r="AR3770" t="s">
        <v>28555</v>
      </c>
      <c r="AT3770" s="184">
        <v>39896</v>
      </c>
      <c r="AU3770" t="s">
        <v>28556</v>
      </c>
      <c r="AV3770">
        <v>25</v>
      </c>
      <c r="AW3770" s="184">
        <v>45127</v>
      </c>
      <c r="AX3770" t="s">
        <v>28557</v>
      </c>
      <c r="AY3770">
        <v>25</v>
      </c>
      <c r="AZ3770" s="184">
        <v>42451</v>
      </c>
      <c r="BA3770" t="s">
        <v>28558</v>
      </c>
      <c r="BB3770">
        <v>50</v>
      </c>
      <c r="BC3770">
        <v>94</v>
      </c>
      <c r="BD3770">
        <v>770</v>
      </c>
      <c r="BE3770">
        <v>2009</v>
      </c>
      <c r="BF3770">
        <v>24</v>
      </c>
      <c r="BG3770">
        <v>2</v>
      </c>
      <c r="BH3770">
        <v>50</v>
      </c>
      <c r="BI3770">
        <v>15</v>
      </c>
      <c r="BJ3770">
        <v>16</v>
      </c>
      <c r="BK3770">
        <v>15</v>
      </c>
    </row>
    <row r="3771" spans="1:68">
      <c r="A3771">
        <v>52694452</v>
      </c>
      <c r="B3771">
        <v>52694452</v>
      </c>
      <c r="C3771" t="s">
        <v>7018</v>
      </c>
      <c r="E3771" s="184"/>
      <c r="F3771" t="s">
        <v>595</v>
      </c>
      <c r="G3771" s="184">
        <v>44168</v>
      </c>
      <c r="I3771" s="184"/>
      <c r="K3771" s="184"/>
      <c r="M3771" s="184"/>
      <c r="O3771" s="184"/>
      <c r="P3771" t="s">
        <v>7045</v>
      </c>
      <c r="Q3771" t="s">
        <v>7160</v>
      </c>
      <c r="R3771" s="184">
        <v>15943</v>
      </c>
      <c r="S3771">
        <v>80</v>
      </c>
      <c r="U3771" t="s">
        <v>7076</v>
      </c>
      <c r="V3771" t="s">
        <v>4042</v>
      </c>
      <c r="X3771" t="s">
        <v>28559</v>
      </c>
      <c r="AF3771" t="s">
        <v>28560</v>
      </c>
      <c r="AG3771" t="s">
        <v>4042</v>
      </c>
      <c r="AI3771" t="s">
        <v>28561</v>
      </c>
      <c r="AM3771" t="s">
        <v>2766</v>
      </c>
      <c r="AN3771" t="s">
        <v>2176</v>
      </c>
      <c r="AO3771" t="s">
        <v>28562</v>
      </c>
      <c r="AP3771" t="s">
        <v>7024</v>
      </c>
      <c r="AQ3771" t="s">
        <v>28563</v>
      </c>
      <c r="AT3771" s="184">
        <v>39898</v>
      </c>
      <c r="AU3771" t="s">
        <v>28556</v>
      </c>
      <c r="AV3771">
        <v>15</v>
      </c>
      <c r="AW3771" s="184">
        <v>45291</v>
      </c>
      <c r="AX3771" t="s">
        <v>22958</v>
      </c>
      <c r="AY3771">
        <v>25</v>
      </c>
      <c r="AZ3771" s="184">
        <v>40339</v>
      </c>
      <c r="BA3771" t="s">
        <v>28564</v>
      </c>
      <c r="BB3771">
        <v>60</v>
      </c>
      <c r="BC3771">
        <v>57</v>
      </c>
      <c r="BD3771">
        <v>290</v>
      </c>
      <c r="BE3771">
        <v>2009</v>
      </c>
      <c r="BF3771">
        <v>10</v>
      </c>
      <c r="BG3771">
        <v>1</v>
      </c>
      <c r="BH3771">
        <v>25</v>
      </c>
      <c r="BI3771">
        <v>9</v>
      </c>
      <c r="BJ3771">
        <v>16</v>
      </c>
      <c r="BK3771">
        <v>3</v>
      </c>
      <c r="BP3771" s="184"/>
    </row>
    <row r="3772" spans="1:68">
      <c r="A3772">
        <v>52759784</v>
      </c>
      <c r="B3772">
        <v>52759784</v>
      </c>
      <c r="C3772" t="s">
        <v>7018</v>
      </c>
      <c r="D3772" t="s">
        <v>595</v>
      </c>
      <c r="E3772" s="184">
        <v>44167</v>
      </c>
      <c r="G3772" s="184"/>
      <c r="H3772" t="s">
        <v>595</v>
      </c>
      <c r="I3772" s="184">
        <v>44167</v>
      </c>
      <c r="K3772" s="184"/>
      <c r="M3772" s="184"/>
      <c r="O3772" s="184"/>
      <c r="P3772" t="s">
        <v>7045</v>
      </c>
      <c r="Q3772" t="s">
        <v>7374</v>
      </c>
      <c r="R3772" s="184">
        <v>13759</v>
      </c>
      <c r="S3772">
        <v>86</v>
      </c>
      <c r="U3772" t="s">
        <v>7031</v>
      </c>
      <c r="V3772" t="s">
        <v>2832</v>
      </c>
      <c r="X3772" t="s">
        <v>3277</v>
      </c>
      <c r="AF3772" t="s">
        <v>28565</v>
      </c>
      <c r="AG3772" t="s">
        <v>2832</v>
      </c>
      <c r="AI3772" t="s">
        <v>28566</v>
      </c>
      <c r="AM3772" t="s">
        <v>27395</v>
      </c>
      <c r="AN3772" t="s">
        <v>2081</v>
      </c>
      <c r="AO3772" t="s">
        <v>28567</v>
      </c>
      <c r="AP3772" t="s">
        <v>7024</v>
      </c>
      <c r="AQ3772" t="s">
        <v>28568</v>
      </c>
      <c r="AT3772" s="184">
        <v>39904</v>
      </c>
      <c r="AU3772" t="s">
        <v>28538</v>
      </c>
      <c r="AV3772">
        <v>25</v>
      </c>
      <c r="AW3772" s="184">
        <v>43927</v>
      </c>
      <c r="AX3772" t="s">
        <v>20850</v>
      </c>
      <c r="AY3772">
        <v>25</v>
      </c>
      <c r="AZ3772" s="184">
        <v>43927</v>
      </c>
      <c r="BA3772" t="s">
        <v>20850</v>
      </c>
      <c r="BB3772">
        <v>25</v>
      </c>
      <c r="BC3772">
        <v>75</v>
      </c>
      <c r="BD3772">
        <v>325</v>
      </c>
      <c r="BE3772">
        <v>2009</v>
      </c>
      <c r="BF3772">
        <v>13</v>
      </c>
      <c r="BI3772">
        <v>12</v>
      </c>
      <c r="BJ3772">
        <v>16</v>
      </c>
      <c r="BK3772">
        <v>12</v>
      </c>
      <c r="BP3772" s="184"/>
    </row>
    <row r="3773" spans="1:68">
      <c r="A3773">
        <v>52770989</v>
      </c>
      <c r="B3773">
        <v>52770989</v>
      </c>
      <c r="C3773" t="s">
        <v>7018</v>
      </c>
      <c r="E3773" s="184"/>
      <c r="F3773" t="s">
        <v>595</v>
      </c>
      <c r="G3773" s="184">
        <v>44328</v>
      </c>
      <c r="I3773" s="184"/>
      <c r="K3773" s="184"/>
      <c r="M3773" s="184"/>
      <c r="O3773" s="184"/>
      <c r="P3773" t="s">
        <v>7045</v>
      </c>
      <c r="Q3773" t="s">
        <v>7374</v>
      </c>
      <c r="R3773" s="184">
        <v>15827</v>
      </c>
      <c r="S3773">
        <v>81</v>
      </c>
      <c r="U3773" t="s">
        <v>7076</v>
      </c>
      <c r="V3773" t="s">
        <v>3230</v>
      </c>
      <c r="X3773" t="s">
        <v>28569</v>
      </c>
      <c r="AF3773" t="s">
        <v>28570</v>
      </c>
      <c r="AG3773" t="s">
        <v>3230</v>
      </c>
      <c r="AI3773" t="s">
        <v>28571</v>
      </c>
      <c r="AM3773" t="s">
        <v>26164</v>
      </c>
      <c r="AN3773" t="s">
        <v>2081</v>
      </c>
      <c r="AO3773" t="s">
        <v>28572</v>
      </c>
      <c r="AP3773" t="s">
        <v>7024</v>
      </c>
      <c r="AQ3773" t="s">
        <v>28573</v>
      </c>
      <c r="AT3773" s="184">
        <v>39905</v>
      </c>
      <c r="AU3773" t="s">
        <v>28574</v>
      </c>
      <c r="AV3773">
        <v>15</v>
      </c>
      <c r="AW3773" s="184">
        <v>45104</v>
      </c>
      <c r="AX3773" t="s">
        <v>28575</v>
      </c>
      <c r="AY3773">
        <v>25</v>
      </c>
      <c r="AZ3773" s="184">
        <v>45104</v>
      </c>
      <c r="BA3773" t="s">
        <v>28575</v>
      </c>
      <c r="BB3773">
        <v>25</v>
      </c>
      <c r="BC3773">
        <v>69</v>
      </c>
      <c r="BD3773">
        <v>370</v>
      </c>
      <c r="BE3773">
        <v>2009</v>
      </c>
      <c r="BF3773">
        <v>19</v>
      </c>
      <c r="BG3773">
        <v>3</v>
      </c>
      <c r="BH3773">
        <v>75</v>
      </c>
      <c r="BI3773">
        <v>11</v>
      </c>
      <c r="BJ3773">
        <v>16</v>
      </c>
      <c r="BK3773">
        <v>9</v>
      </c>
      <c r="BP3773" s="184"/>
    </row>
    <row r="3774" spans="1:68">
      <c r="A3774">
        <v>52805595</v>
      </c>
      <c r="B3774">
        <v>52805595</v>
      </c>
      <c r="C3774" t="s">
        <v>7018</v>
      </c>
      <c r="D3774" t="s">
        <v>595</v>
      </c>
      <c r="E3774" s="184">
        <v>44168</v>
      </c>
      <c r="G3774" s="184"/>
      <c r="I3774" s="184"/>
      <c r="K3774" s="184"/>
      <c r="M3774" s="184"/>
      <c r="O3774" s="184"/>
      <c r="P3774" t="s">
        <v>7045</v>
      </c>
      <c r="Q3774" t="s">
        <v>7194</v>
      </c>
      <c r="R3774" s="184">
        <v>18476</v>
      </c>
      <c r="S3774">
        <v>73</v>
      </c>
      <c r="U3774" t="s">
        <v>7130</v>
      </c>
      <c r="V3774" t="s">
        <v>3131</v>
      </c>
      <c r="X3774" t="s">
        <v>28576</v>
      </c>
      <c r="AF3774" t="s">
        <v>28577</v>
      </c>
      <c r="AG3774" t="s">
        <v>3131</v>
      </c>
      <c r="AI3774" t="s">
        <v>28578</v>
      </c>
      <c r="AM3774" t="s">
        <v>4402</v>
      </c>
      <c r="AN3774" t="s">
        <v>2046</v>
      </c>
      <c r="AO3774" t="s">
        <v>28579</v>
      </c>
      <c r="AP3774" t="s">
        <v>7024</v>
      </c>
      <c r="AQ3774" t="s">
        <v>28580</v>
      </c>
      <c r="AT3774" s="184">
        <v>39910</v>
      </c>
      <c r="AU3774" t="s">
        <v>28581</v>
      </c>
      <c r="AV3774">
        <v>25</v>
      </c>
      <c r="AW3774" s="184">
        <v>45006</v>
      </c>
      <c r="AX3774" t="s">
        <v>28582</v>
      </c>
      <c r="AY3774">
        <v>50</v>
      </c>
      <c r="AZ3774" s="184">
        <v>45006</v>
      </c>
      <c r="BA3774" t="s">
        <v>28582</v>
      </c>
      <c r="BB3774">
        <v>50</v>
      </c>
      <c r="BC3774">
        <v>94</v>
      </c>
      <c r="BD3774">
        <v>875</v>
      </c>
      <c r="BE3774">
        <v>2009</v>
      </c>
      <c r="BF3774">
        <v>25</v>
      </c>
      <c r="BG3774">
        <v>2</v>
      </c>
      <c r="BH3774">
        <v>100</v>
      </c>
      <c r="BI3774">
        <v>15</v>
      </c>
      <c r="BJ3774">
        <v>16</v>
      </c>
      <c r="BK3774">
        <v>15</v>
      </c>
      <c r="BN3774" t="s">
        <v>595</v>
      </c>
    </row>
    <row r="3775" spans="1:68">
      <c r="A3775">
        <v>52850583</v>
      </c>
      <c r="B3775">
        <v>52850583</v>
      </c>
      <c r="C3775" t="s">
        <v>7018</v>
      </c>
      <c r="D3775" t="s">
        <v>595</v>
      </c>
      <c r="E3775" s="184">
        <v>45125</v>
      </c>
      <c r="G3775" s="184"/>
      <c r="I3775" s="184"/>
      <c r="K3775" s="184"/>
      <c r="M3775" s="184"/>
      <c r="O3775" s="184"/>
      <c r="P3775" t="s">
        <v>7019</v>
      </c>
      <c r="Q3775" t="s">
        <v>7383</v>
      </c>
      <c r="R3775" s="184">
        <v>18142</v>
      </c>
      <c r="S3775">
        <v>74</v>
      </c>
      <c r="U3775" t="s">
        <v>7031</v>
      </c>
      <c r="V3775" t="s">
        <v>2511</v>
      </c>
      <c r="X3775" t="s">
        <v>28583</v>
      </c>
      <c r="AF3775" t="s">
        <v>28584</v>
      </c>
      <c r="AG3775" t="s">
        <v>2511</v>
      </c>
      <c r="AI3775" t="s">
        <v>28585</v>
      </c>
      <c r="AM3775" t="s">
        <v>28586</v>
      </c>
      <c r="AN3775" t="s">
        <v>2072</v>
      </c>
      <c r="AO3775" t="s">
        <v>28587</v>
      </c>
      <c r="AP3775" t="s">
        <v>7024</v>
      </c>
      <c r="AQ3775" t="s">
        <v>28588</v>
      </c>
      <c r="AT3775" s="184">
        <v>39912</v>
      </c>
      <c r="AU3775" t="s">
        <v>28589</v>
      </c>
      <c r="AV3775">
        <v>25</v>
      </c>
      <c r="AW3775" s="184">
        <v>44733</v>
      </c>
      <c r="AX3775" t="s">
        <v>28590</v>
      </c>
      <c r="AY3775">
        <v>60</v>
      </c>
      <c r="AZ3775" s="184">
        <v>44733</v>
      </c>
      <c r="BA3775" t="s">
        <v>28590</v>
      </c>
      <c r="BB3775">
        <v>60</v>
      </c>
      <c r="BC3775">
        <v>44</v>
      </c>
      <c r="BD3775">
        <v>205</v>
      </c>
      <c r="BE3775">
        <v>2009</v>
      </c>
      <c r="BF3775">
        <v>7</v>
      </c>
      <c r="BG3775">
        <v>1</v>
      </c>
      <c r="BH3775">
        <v>60</v>
      </c>
      <c r="BI3775">
        <v>7</v>
      </c>
      <c r="BJ3775">
        <v>16</v>
      </c>
      <c r="BK3775">
        <v>4</v>
      </c>
      <c r="BP3775" s="184"/>
    </row>
    <row r="3776" spans="1:68">
      <c r="A3776">
        <v>52855186</v>
      </c>
      <c r="B3776">
        <v>52855186</v>
      </c>
      <c r="C3776" t="s">
        <v>7018</v>
      </c>
      <c r="D3776" t="s">
        <v>595</v>
      </c>
      <c r="E3776" s="184">
        <v>45152</v>
      </c>
      <c r="G3776" s="184"/>
      <c r="I3776" s="184"/>
      <c r="K3776" s="184"/>
      <c r="M3776" s="184"/>
      <c r="O3776" s="184"/>
      <c r="P3776" t="s">
        <v>7045</v>
      </c>
      <c r="Q3776" t="s">
        <v>7494</v>
      </c>
      <c r="R3776" s="184">
        <v>18963</v>
      </c>
      <c r="S3776">
        <v>72</v>
      </c>
      <c r="V3776" t="s">
        <v>5249</v>
      </c>
      <c r="X3776" t="s">
        <v>28591</v>
      </c>
      <c r="Z3776">
        <v>100129568</v>
      </c>
      <c r="AB3776" t="s">
        <v>2551</v>
      </c>
      <c r="AD3776" t="s">
        <v>28591</v>
      </c>
      <c r="AF3776" t="s">
        <v>28592</v>
      </c>
      <c r="AG3776" t="s">
        <v>28593</v>
      </c>
      <c r="AI3776" t="s">
        <v>28594</v>
      </c>
      <c r="AM3776" t="s">
        <v>4482</v>
      </c>
      <c r="AN3776" t="s">
        <v>2174</v>
      </c>
      <c r="AO3776" t="s">
        <v>28595</v>
      </c>
      <c r="AP3776" t="s">
        <v>7024</v>
      </c>
      <c r="AQ3776" t="s">
        <v>28596</v>
      </c>
      <c r="AT3776" s="184">
        <v>39912</v>
      </c>
      <c r="AU3776" t="s">
        <v>28597</v>
      </c>
      <c r="AV3776">
        <v>50</v>
      </c>
      <c r="AW3776" s="184">
        <v>45406</v>
      </c>
      <c r="AX3776" t="s">
        <v>28598</v>
      </c>
      <c r="AY3776">
        <v>105</v>
      </c>
      <c r="AZ3776" s="184">
        <v>45406</v>
      </c>
      <c r="BA3776" t="s">
        <v>28598</v>
      </c>
      <c r="BB3776">
        <v>105</v>
      </c>
      <c r="BC3776">
        <v>75</v>
      </c>
      <c r="BD3776">
        <v>1205</v>
      </c>
      <c r="BE3776">
        <v>2009</v>
      </c>
      <c r="BF3776">
        <v>15</v>
      </c>
      <c r="BG3776">
        <v>2</v>
      </c>
      <c r="BH3776">
        <v>205</v>
      </c>
      <c r="BI3776">
        <v>12</v>
      </c>
      <c r="BJ3776">
        <v>16</v>
      </c>
      <c r="BK3776">
        <v>5</v>
      </c>
    </row>
    <row r="3777" spans="1:68">
      <c r="A3777">
        <v>100129568</v>
      </c>
      <c r="B3777">
        <v>52855186</v>
      </c>
      <c r="C3777" t="s">
        <v>7018</v>
      </c>
      <c r="D3777" t="s">
        <v>595</v>
      </c>
      <c r="E3777" s="184">
        <v>45152</v>
      </c>
      <c r="G3777" s="184"/>
      <c r="I3777" s="184"/>
      <c r="K3777" s="184"/>
      <c r="M3777" s="184"/>
      <c r="O3777" s="184"/>
      <c r="P3777" t="s">
        <v>7045</v>
      </c>
      <c r="Q3777" t="s">
        <v>7494</v>
      </c>
      <c r="R3777" s="184">
        <v>19207</v>
      </c>
      <c r="S3777">
        <v>71</v>
      </c>
      <c r="V3777" t="s">
        <v>2551</v>
      </c>
      <c r="X3777" t="s">
        <v>28591</v>
      </c>
      <c r="Z3777">
        <v>52855186</v>
      </c>
      <c r="AB3777" t="s">
        <v>5249</v>
      </c>
      <c r="AD3777" t="s">
        <v>28591</v>
      </c>
      <c r="AF3777" t="s">
        <v>28592</v>
      </c>
      <c r="AG3777" t="s">
        <v>28593</v>
      </c>
      <c r="AI3777" t="s">
        <v>28594</v>
      </c>
      <c r="AM3777" t="s">
        <v>4482</v>
      </c>
      <c r="AN3777" t="s">
        <v>2174</v>
      </c>
      <c r="AO3777" t="s">
        <v>28595</v>
      </c>
      <c r="AP3777" t="s">
        <v>7024</v>
      </c>
      <c r="AQ3777" t="s">
        <v>28596</v>
      </c>
      <c r="AT3777" s="184">
        <v>45321</v>
      </c>
      <c r="AU3777" t="s">
        <v>20387</v>
      </c>
      <c r="AV3777">
        <v>105</v>
      </c>
      <c r="AW3777" s="184">
        <v>45321</v>
      </c>
      <c r="AX3777" t="s">
        <v>20387</v>
      </c>
      <c r="AY3777">
        <v>105</v>
      </c>
      <c r="AZ3777" s="184">
        <v>45321</v>
      </c>
      <c r="BA3777" t="s">
        <v>20387</v>
      </c>
      <c r="BB3777">
        <v>105</v>
      </c>
      <c r="BC3777">
        <v>100</v>
      </c>
      <c r="BD3777">
        <v>105</v>
      </c>
      <c r="BE3777">
        <v>2024</v>
      </c>
      <c r="BF3777">
        <v>1</v>
      </c>
      <c r="BG3777">
        <v>1</v>
      </c>
      <c r="BH3777">
        <v>105</v>
      </c>
      <c r="BI3777">
        <v>1</v>
      </c>
      <c r="BJ3777">
        <v>1</v>
      </c>
      <c r="BK3777">
        <v>1</v>
      </c>
      <c r="BP3777" s="184"/>
    </row>
    <row r="3778" spans="1:68">
      <c r="A3778">
        <v>52859543</v>
      </c>
      <c r="B3778">
        <v>52859543</v>
      </c>
      <c r="C3778" t="s">
        <v>7018</v>
      </c>
      <c r="D3778" t="s">
        <v>595</v>
      </c>
      <c r="E3778" s="184">
        <v>45204</v>
      </c>
      <c r="G3778" s="184"/>
      <c r="I3778" s="184"/>
      <c r="K3778" s="184"/>
      <c r="M3778" s="184"/>
      <c r="O3778" s="184"/>
      <c r="P3778" t="s">
        <v>7045</v>
      </c>
      <c r="Q3778" t="s">
        <v>7383</v>
      </c>
      <c r="R3778" s="184">
        <v>20180</v>
      </c>
      <c r="S3778">
        <v>69</v>
      </c>
      <c r="V3778" t="s">
        <v>3011</v>
      </c>
      <c r="W3778" t="s">
        <v>2049</v>
      </c>
      <c r="X3778" t="s">
        <v>18533</v>
      </c>
      <c r="AF3778" t="s">
        <v>28599</v>
      </c>
      <c r="AG3778" t="s">
        <v>3011</v>
      </c>
      <c r="AI3778" t="s">
        <v>28600</v>
      </c>
      <c r="AM3778" t="s">
        <v>28601</v>
      </c>
      <c r="AN3778" t="s">
        <v>2072</v>
      </c>
      <c r="AO3778" t="s">
        <v>28602</v>
      </c>
      <c r="AP3778" t="s">
        <v>7024</v>
      </c>
      <c r="AQ3778" t="s">
        <v>28603</v>
      </c>
      <c r="AT3778" s="184">
        <v>39913</v>
      </c>
      <c r="AU3778" t="s">
        <v>28604</v>
      </c>
      <c r="AV3778">
        <v>20.16</v>
      </c>
      <c r="AW3778" s="184">
        <v>44951</v>
      </c>
      <c r="AX3778" t="s">
        <v>28605</v>
      </c>
      <c r="AY3778">
        <v>25</v>
      </c>
      <c r="AZ3778" s="184">
        <v>44951</v>
      </c>
      <c r="BA3778" t="s">
        <v>28605</v>
      </c>
      <c r="BB3778">
        <v>25</v>
      </c>
      <c r="BC3778">
        <v>50</v>
      </c>
      <c r="BD3778">
        <v>194.16</v>
      </c>
      <c r="BE3778">
        <v>2009</v>
      </c>
      <c r="BF3778">
        <v>9</v>
      </c>
      <c r="BG3778">
        <v>1</v>
      </c>
      <c r="BH3778">
        <v>25</v>
      </c>
      <c r="BI3778">
        <v>8</v>
      </c>
      <c r="BJ3778">
        <v>16</v>
      </c>
      <c r="BK3778">
        <v>3</v>
      </c>
      <c r="BP3778" s="184"/>
    </row>
    <row r="3779" spans="1:68">
      <c r="A3779">
        <v>52872389</v>
      </c>
      <c r="B3779">
        <v>52872389</v>
      </c>
      <c r="C3779" t="s">
        <v>7018</v>
      </c>
      <c r="D3779" t="s">
        <v>595</v>
      </c>
      <c r="E3779" s="184">
        <v>44104</v>
      </c>
      <c r="G3779" s="184"/>
      <c r="I3779" s="184"/>
      <c r="K3779" s="184"/>
      <c r="M3779" s="184"/>
      <c r="O3779" s="184"/>
      <c r="P3779" t="s">
        <v>7029</v>
      </c>
      <c r="Q3779" t="s">
        <v>7494</v>
      </c>
      <c r="R3779" s="184">
        <v>18507</v>
      </c>
      <c r="S3779">
        <v>73</v>
      </c>
      <c r="U3779" t="s">
        <v>7032</v>
      </c>
      <c r="V3779" t="s">
        <v>2979</v>
      </c>
      <c r="W3779" t="s">
        <v>4847</v>
      </c>
      <c r="X3779" t="s">
        <v>28606</v>
      </c>
      <c r="AF3779" t="s">
        <v>28607</v>
      </c>
      <c r="AG3779" t="s">
        <v>2979</v>
      </c>
      <c r="AI3779" t="s">
        <v>28608</v>
      </c>
      <c r="AM3779" t="s">
        <v>3371</v>
      </c>
      <c r="AN3779" t="s">
        <v>2174</v>
      </c>
      <c r="AO3779" t="s">
        <v>28609</v>
      </c>
      <c r="AP3779" t="s">
        <v>7024</v>
      </c>
      <c r="AQ3779" t="s">
        <v>28610</v>
      </c>
      <c r="AR3779" t="s">
        <v>28611</v>
      </c>
      <c r="AT3779" s="184">
        <v>39916</v>
      </c>
      <c r="AU3779" t="s">
        <v>28612</v>
      </c>
      <c r="AV3779">
        <v>100</v>
      </c>
      <c r="AW3779" s="184">
        <v>44404</v>
      </c>
      <c r="AX3779" t="s">
        <v>7714</v>
      </c>
      <c r="AY3779">
        <v>1000</v>
      </c>
      <c r="AZ3779" s="184">
        <v>44404</v>
      </c>
      <c r="BA3779" t="s">
        <v>7714</v>
      </c>
      <c r="BB3779">
        <v>1000</v>
      </c>
      <c r="BC3779">
        <v>82</v>
      </c>
      <c r="BD3779">
        <v>7725</v>
      </c>
      <c r="BE3779">
        <v>2009</v>
      </c>
      <c r="BF3779">
        <v>22</v>
      </c>
      <c r="BI3779">
        <v>13</v>
      </c>
      <c r="BJ3779">
        <v>16</v>
      </c>
      <c r="BK3779">
        <v>13</v>
      </c>
      <c r="BN3779" t="s">
        <v>595</v>
      </c>
      <c r="BP3779" s="184"/>
    </row>
    <row r="3780" spans="1:68">
      <c r="A3780">
        <v>52918406</v>
      </c>
      <c r="B3780">
        <v>52918406</v>
      </c>
      <c r="C3780" t="s">
        <v>7018</v>
      </c>
      <c r="E3780" s="184"/>
      <c r="G3780" s="184"/>
      <c r="H3780" t="s">
        <v>595</v>
      </c>
      <c r="I3780" s="184">
        <v>44713</v>
      </c>
      <c r="K3780" s="184"/>
      <c r="M3780" s="184"/>
      <c r="O3780" s="184"/>
      <c r="P3780" t="s">
        <v>7045</v>
      </c>
      <c r="Q3780" t="s">
        <v>7454</v>
      </c>
      <c r="R3780" s="184">
        <v>19391</v>
      </c>
      <c r="S3780">
        <v>71</v>
      </c>
      <c r="U3780" t="s">
        <v>7076</v>
      </c>
      <c r="V3780" t="s">
        <v>3235</v>
      </c>
      <c r="X3780" t="s">
        <v>18533</v>
      </c>
      <c r="AF3780" t="s">
        <v>28613</v>
      </c>
      <c r="AG3780" t="s">
        <v>3235</v>
      </c>
      <c r="AI3780" t="s">
        <v>28614</v>
      </c>
      <c r="AM3780" t="s">
        <v>28615</v>
      </c>
      <c r="AN3780" t="s">
        <v>2055</v>
      </c>
      <c r="AO3780" t="s">
        <v>28616</v>
      </c>
      <c r="AP3780" t="s">
        <v>7024</v>
      </c>
      <c r="AQ3780" t="s">
        <v>28617</v>
      </c>
      <c r="AT3780" s="184">
        <v>39917</v>
      </c>
      <c r="AU3780" t="s">
        <v>28618</v>
      </c>
      <c r="AV3780">
        <v>40.32</v>
      </c>
      <c r="AW3780" s="184">
        <v>44455</v>
      </c>
      <c r="AX3780" t="s">
        <v>15069</v>
      </c>
      <c r="AY3780">
        <v>35</v>
      </c>
      <c r="AZ3780" s="184">
        <v>42989</v>
      </c>
      <c r="BA3780" t="s">
        <v>13771</v>
      </c>
      <c r="BB3780">
        <v>100</v>
      </c>
      <c r="BC3780">
        <v>63</v>
      </c>
      <c r="BD3780">
        <v>445.32</v>
      </c>
      <c r="BE3780">
        <v>2009</v>
      </c>
      <c r="BF3780">
        <v>12</v>
      </c>
      <c r="BI3780">
        <v>10</v>
      </c>
      <c r="BJ3780">
        <v>16</v>
      </c>
      <c r="BK3780">
        <v>4</v>
      </c>
      <c r="BP3780" s="184"/>
    </row>
    <row r="3781" spans="1:68">
      <c r="A3781">
        <v>52933389</v>
      </c>
      <c r="B3781">
        <v>52933389</v>
      </c>
      <c r="C3781" t="s">
        <v>7018</v>
      </c>
      <c r="E3781" s="184"/>
      <c r="G3781" s="184"/>
      <c r="I3781" s="184"/>
      <c r="J3781" t="s">
        <v>595</v>
      </c>
      <c r="K3781" s="184">
        <v>42829</v>
      </c>
      <c r="M3781" s="184"/>
      <c r="O3781" s="184"/>
      <c r="P3781" t="s">
        <v>7045</v>
      </c>
      <c r="Q3781" t="s">
        <v>7374</v>
      </c>
      <c r="R3781" s="184">
        <v>10197</v>
      </c>
      <c r="S3781">
        <v>96</v>
      </c>
      <c r="U3781" t="s">
        <v>7076</v>
      </c>
      <c r="V3781" t="s">
        <v>4037</v>
      </c>
      <c r="W3781" t="s">
        <v>7246</v>
      </c>
      <c r="X3781" t="s">
        <v>4671</v>
      </c>
      <c r="AF3781" t="s">
        <v>28619</v>
      </c>
      <c r="AG3781" t="s">
        <v>4037</v>
      </c>
      <c r="AI3781" t="s">
        <v>28620</v>
      </c>
      <c r="AM3781" t="s">
        <v>23228</v>
      </c>
      <c r="AN3781" t="s">
        <v>2081</v>
      </c>
      <c r="AO3781" t="s">
        <v>28621</v>
      </c>
      <c r="AP3781" t="s">
        <v>7024</v>
      </c>
      <c r="AQ3781" t="s">
        <v>28622</v>
      </c>
      <c r="AR3781" t="s">
        <v>28623</v>
      </c>
      <c r="AT3781" s="184">
        <v>39919</v>
      </c>
      <c r="AU3781" t="s">
        <v>28624</v>
      </c>
      <c r="AV3781">
        <v>25</v>
      </c>
      <c r="AW3781" s="184">
        <v>45039</v>
      </c>
      <c r="AX3781" t="s">
        <v>28625</v>
      </c>
      <c r="AY3781">
        <v>35</v>
      </c>
      <c r="AZ3781" s="184">
        <v>45039</v>
      </c>
      <c r="BA3781" t="s">
        <v>28625</v>
      </c>
      <c r="BB3781">
        <v>35</v>
      </c>
      <c r="BC3781">
        <v>75</v>
      </c>
      <c r="BD3781">
        <v>475</v>
      </c>
      <c r="BE3781">
        <v>2009</v>
      </c>
      <c r="BF3781">
        <v>17</v>
      </c>
      <c r="BG3781">
        <v>1</v>
      </c>
      <c r="BH3781">
        <v>35</v>
      </c>
      <c r="BI3781">
        <v>12</v>
      </c>
      <c r="BJ3781">
        <v>16</v>
      </c>
      <c r="BK3781">
        <v>7</v>
      </c>
      <c r="BP3781" s="184"/>
    </row>
    <row r="3782" spans="1:68">
      <c r="A3782">
        <v>52988607</v>
      </c>
      <c r="B3782">
        <v>52988607</v>
      </c>
      <c r="C3782" t="s">
        <v>7018</v>
      </c>
      <c r="E3782" s="184"/>
      <c r="G3782" s="184"/>
      <c r="I3782" s="184"/>
      <c r="J3782" t="s">
        <v>595</v>
      </c>
      <c r="K3782" s="184">
        <v>40296</v>
      </c>
      <c r="M3782" s="184"/>
      <c r="O3782" s="184"/>
      <c r="P3782" t="s">
        <v>7045</v>
      </c>
      <c r="Q3782" t="s">
        <v>7030</v>
      </c>
      <c r="R3782" s="184"/>
      <c r="U3782" t="s">
        <v>7031</v>
      </c>
      <c r="V3782" t="s">
        <v>3825</v>
      </c>
      <c r="X3782" t="s">
        <v>27404</v>
      </c>
      <c r="AF3782" t="s">
        <v>6094</v>
      </c>
      <c r="AG3782" t="s">
        <v>3825</v>
      </c>
      <c r="AI3782" t="s">
        <v>28626</v>
      </c>
      <c r="AJ3782" t="s">
        <v>28627</v>
      </c>
      <c r="AM3782" t="s">
        <v>28628</v>
      </c>
      <c r="AN3782" t="s">
        <v>2089</v>
      </c>
      <c r="AO3782" t="s">
        <v>28629</v>
      </c>
      <c r="AP3782" t="s">
        <v>7024</v>
      </c>
      <c r="AQ3782" t="s">
        <v>28630</v>
      </c>
      <c r="AR3782" t="s">
        <v>28631</v>
      </c>
      <c r="AT3782" s="184">
        <v>39916</v>
      </c>
      <c r="AU3782" t="s">
        <v>28632</v>
      </c>
      <c r="AV3782">
        <v>25</v>
      </c>
      <c r="AW3782" s="184">
        <v>45336</v>
      </c>
      <c r="AX3782" t="s">
        <v>28633</v>
      </c>
      <c r="AY3782">
        <v>125</v>
      </c>
      <c r="AZ3782" s="184">
        <v>40158</v>
      </c>
      <c r="BA3782" t="s">
        <v>28634</v>
      </c>
      <c r="BB3782">
        <v>2500</v>
      </c>
      <c r="BC3782">
        <v>75</v>
      </c>
      <c r="BD3782">
        <v>7550</v>
      </c>
      <c r="BE3782">
        <v>2009</v>
      </c>
      <c r="BF3782">
        <v>69</v>
      </c>
      <c r="BG3782">
        <v>10</v>
      </c>
      <c r="BH3782">
        <v>575</v>
      </c>
      <c r="BI3782">
        <v>12</v>
      </c>
      <c r="BJ3782">
        <v>16</v>
      </c>
      <c r="BK3782">
        <v>7</v>
      </c>
      <c r="BP3782" s="184"/>
    </row>
    <row r="3783" spans="1:68">
      <c r="A3783">
        <v>53020657</v>
      </c>
      <c r="B3783">
        <v>53020657</v>
      </c>
      <c r="C3783" t="s">
        <v>7018</v>
      </c>
      <c r="D3783" t="s">
        <v>595</v>
      </c>
      <c r="E3783" s="184">
        <v>45141</v>
      </c>
      <c r="G3783" s="184"/>
      <c r="I3783" s="184"/>
      <c r="K3783" s="184"/>
      <c r="M3783" s="184"/>
      <c r="O3783" s="184"/>
      <c r="P3783" t="s">
        <v>7045</v>
      </c>
      <c r="Q3783" t="s">
        <v>7160</v>
      </c>
      <c r="R3783" s="184">
        <v>25993</v>
      </c>
      <c r="S3783">
        <v>53</v>
      </c>
      <c r="U3783" t="s">
        <v>7237</v>
      </c>
      <c r="V3783" t="s">
        <v>7469</v>
      </c>
      <c r="X3783" t="s">
        <v>28635</v>
      </c>
      <c r="AF3783" t="s">
        <v>28636</v>
      </c>
      <c r="AG3783" t="s">
        <v>28637</v>
      </c>
      <c r="AI3783" t="s">
        <v>28638</v>
      </c>
      <c r="AM3783" t="s">
        <v>4153</v>
      </c>
      <c r="AN3783" t="s">
        <v>2413</v>
      </c>
      <c r="AO3783" t="s">
        <v>28639</v>
      </c>
      <c r="AP3783" t="s">
        <v>7024</v>
      </c>
      <c r="AQ3783" t="s">
        <v>28640</v>
      </c>
      <c r="AT3783" s="184">
        <v>39927</v>
      </c>
      <c r="AU3783" t="s">
        <v>28641</v>
      </c>
      <c r="AV3783">
        <v>15</v>
      </c>
      <c r="AW3783" s="184">
        <v>45271</v>
      </c>
      <c r="AX3783" t="s">
        <v>28642</v>
      </c>
      <c r="AY3783">
        <v>35</v>
      </c>
      <c r="AZ3783" s="184">
        <v>43164</v>
      </c>
      <c r="BA3783" t="s">
        <v>28643</v>
      </c>
      <c r="BB3783">
        <v>40</v>
      </c>
      <c r="BC3783">
        <v>75</v>
      </c>
      <c r="BD3783">
        <v>460</v>
      </c>
      <c r="BE3783">
        <v>2009</v>
      </c>
      <c r="BF3783">
        <v>16</v>
      </c>
      <c r="BG3783">
        <v>4</v>
      </c>
      <c r="BH3783">
        <v>140</v>
      </c>
      <c r="BI3783">
        <v>12</v>
      </c>
      <c r="BJ3783">
        <v>16</v>
      </c>
      <c r="BK3783">
        <v>10</v>
      </c>
    </row>
    <row r="3784" spans="1:68">
      <c r="A3784">
        <v>53035424</v>
      </c>
      <c r="B3784">
        <v>53035424</v>
      </c>
      <c r="C3784" t="s">
        <v>7018</v>
      </c>
      <c r="E3784" s="184"/>
      <c r="G3784" s="184"/>
      <c r="I3784" s="184"/>
      <c r="K3784" s="184"/>
      <c r="L3784" t="s">
        <v>595</v>
      </c>
      <c r="M3784" s="184">
        <v>45378</v>
      </c>
      <c r="O3784" s="184"/>
      <c r="P3784" t="s">
        <v>7084</v>
      </c>
      <c r="Q3784" t="s">
        <v>7374</v>
      </c>
      <c r="R3784" s="184">
        <v>17746</v>
      </c>
      <c r="S3784">
        <v>75</v>
      </c>
      <c r="U3784" t="s">
        <v>7031</v>
      </c>
      <c r="V3784" t="s">
        <v>27925</v>
      </c>
      <c r="W3784" t="s">
        <v>2612</v>
      </c>
      <c r="X3784" t="s">
        <v>4595</v>
      </c>
      <c r="Z3784">
        <v>100129708</v>
      </c>
      <c r="AB3784" t="s">
        <v>28644</v>
      </c>
      <c r="AD3784" t="s">
        <v>4595</v>
      </c>
      <c r="AF3784" t="s">
        <v>28645</v>
      </c>
      <c r="AG3784" t="s">
        <v>28646</v>
      </c>
      <c r="AI3784" t="s">
        <v>28647</v>
      </c>
      <c r="AM3784" t="s">
        <v>28648</v>
      </c>
      <c r="AN3784" t="s">
        <v>2066</v>
      </c>
      <c r="AO3784" t="s">
        <v>28649</v>
      </c>
      <c r="AP3784" t="s">
        <v>7024</v>
      </c>
      <c r="AQ3784" t="s">
        <v>28650</v>
      </c>
      <c r="AT3784" s="184">
        <v>33352</v>
      </c>
      <c r="AU3784" t="s">
        <v>28651</v>
      </c>
      <c r="AV3784">
        <v>15</v>
      </c>
      <c r="AW3784" s="184">
        <v>45411</v>
      </c>
      <c r="AX3784" t="s">
        <v>9245</v>
      </c>
      <c r="AY3784">
        <v>10000</v>
      </c>
      <c r="AZ3784" s="184">
        <v>45411</v>
      </c>
      <c r="BA3784" t="s">
        <v>9245</v>
      </c>
      <c r="BB3784">
        <v>10000</v>
      </c>
      <c r="BC3784">
        <v>42</v>
      </c>
      <c r="BD3784">
        <v>50792</v>
      </c>
      <c r="BE3784">
        <v>1991</v>
      </c>
      <c r="BF3784">
        <v>17</v>
      </c>
      <c r="BG3784">
        <v>3</v>
      </c>
      <c r="BH3784">
        <v>30000</v>
      </c>
      <c r="BI3784">
        <v>14</v>
      </c>
      <c r="BJ3784">
        <v>34</v>
      </c>
      <c r="BK3784">
        <v>4</v>
      </c>
    </row>
    <row r="3785" spans="1:68">
      <c r="A3785">
        <v>100129708</v>
      </c>
      <c r="B3785">
        <v>53035424</v>
      </c>
      <c r="C3785" t="s">
        <v>7018</v>
      </c>
      <c r="E3785" s="184"/>
      <c r="G3785" s="184"/>
      <c r="I3785" s="184"/>
      <c r="K3785" s="184"/>
      <c r="L3785" t="s">
        <v>595</v>
      </c>
      <c r="M3785" s="184">
        <v>45378</v>
      </c>
      <c r="O3785" s="184"/>
      <c r="P3785" t="s">
        <v>7084</v>
      </c>
      <c r="Q3785" t="s">
        <v>7374</v>
      </c>
      <c r="R3785" s="184">
        <v>17227</v>
      </c>
      <c r="S3785">
        <v>77</v>
      </c>
      <c r="V3785" t="s">
        <v>28644</v>
      </c>
      <c r="X3785" t="s">
        <v>4595</v>
      </c>
      <c r="Z3785">
        <v>53035424</v>
      </c>
      <c r="AA3785" t="s">
        <v>7031</v>
      </c>
      <c r="AB3785" t="s">
        <v>27925</v>
      </c>
      <c r="AC3785" t="s">
        <v>2612</v>
      </c>
      <c r="AD3785" t="s">
        <v>4595</v>
      </c>
      <c r="AF3785" t="s">
        <v>28645</v>
      </c>
      <c r="AG3785" t="s">
        <v>28646</v>
      </c>
      <c r="AI3785" t="s">
        <v>28647</v>
      </c>
      <c r="AM3785" t="s">
        <v>28648</v>
      </c>
      <c r="AN3785" t="s">
        <v>2066</v>
      </c>
      <c r="AO3785" t="s">
        <v>28649</v>
      </c>
      <c r="AP3785" t="s">
        <v>7024</v>
      </c>
      <c r="AT3785" s="184"/>
      <c r="AW3785" s="184"/>
      <c r="AZ3785" s="184"/>
      <c r="BP3785" s="184"/>
    </row>
    <row r="3786" spans="1:68">
      <c r="A3786">
        <v>53054375</v>
      </c>
      <c r="B3786">
        <v>53054375</v>
      </c>
      <c r="C3786" t="s">
        <v>7018</v>
      </c>
      <c r="E3786" s="184"/>
      <c r="G3786" s="184"/>
      <c r="I3786" s="184"/>
      <c r="J3786" t="s">
        <v>595</v>
      </c>
      <c r="K3786" s="184">
        <v>42858</v>
      </c>
      <c r="M3786" s="184"/>
      <c r="O3786" s="184"/>
      <c r="P3786" t="s">
        <v>7045</v>
      </c>
      <c r="Q3786" t="s">
        <v>7160</v>
      </c>
      <c r="R3786" s="184">
        <v>24327</v>
      </c>
      <c r="S3786">
        <v>57</v>
      </c>
      <c r="U3786" t="s">
        <v>7032</v>
      </c>
      <c r="V3786" t="s">
        <v>3147</v>
      </c>
      <c r="W3786" t="s">
        <v>3332</v>
      </c>
      <c r="X3786" t="s">
        <v>28652</v>
      </c>
      <c r="AF3786" t="s">
        <v>28653</v>
      </c>
      <c r="AG3786" t="s">
        <v>3147</v>
      </c>
      <c r="AI3786" t="s">
        <v>28654</v>
      </c>
      <c r="AM3786" t="s">
        <v>28655</v>
      </c>
      <c r="AN3786" t="s">
        <v>2176</v>
      </c>
      <c r="AO3786" t="s">
        <v>28656</v>
      </c>
      <c r="AP3786" t="s">
        <v>7024</v>
      </c>
      <c r="AQ3786" t="s">
        <v>28657</v>
      </c>
      <c r="AR3786" t="s">
        <v>28658</v>
      </c>
      <c r="AT3786" s="184">
        <v>39934</v>
      </c>
      <c r="AU3786" t="s">
        <v>28618</v>
      </c>
      <c r="AV3786">
        <v>50</v>
      </c>
      <c r="AW3786" s="184">
        <v>45225</v>
      </c>
      <c r="AX3786" t="s">
        <v>7596</v>
      </c>
      <c r="AY3786">
        <v>125</v>
      </c>
      <c r="AZ3786" s="184">
        <v>42342</v>
      </c>
      <c r="BA3786" t="s">
        <v>28659</v>
      </c>
      <c r="BB3786">
        <v>250</v>
      </c>
      <c r="BC3786">
        <v>94</v>
      </c>
      <c r="BD3786">
        <v>3084</v>
      </c>
      <c r="BE3786">
        <v>2009</v>
      </c>
      <c r="BF3786">
        <v>71</v>
      </c>
      <c r="BG3786">
        <v>3</v>
      </c>
      <c r="BH3786">
        <v>375</v>
      </c>
      <c r="BI3786">
        <v>15</v>
      </c>
      <c r="BJ3786">
        <v>16</v>
      </c>
      <c r="BK3786">
        <v>15</v>
      </c>
      <c r="BN3786" t="s">
        <v>595</v>
      </c>
      <c r="BP3786" s="184"/>
    </row>
    <row r="3787" spans="1:68">
      <c r="A3787">
        <v>53111985</v>
      </c>
      <c r="B3787">
        <v>53111985</v>
      </c>
      <c r="C3787" t="s">
        <v>7018</v>
      </c>
      <c r="E3787" s="184"/>
      <c r="G3787" s="184"/>
      <c r="I3787" s="184"/>
      <c r="J3787" t="s">
        <v>595</v>
      </c>
      <c r="K3787" s="184">
        <v>45355</v>
      </c>
      <c r="M3787" s="184"/>
      <c r="O3787" s="184"/>
      <c r="P3787" t="s">
        <v>7045</v>
      </c>
      <c r="Q3787" t="s">
        <v>8385</v>
      </c>
      <c r="R3787" s="184">
        <v>19694</v>
      </c>
      <c r="S3787">
        <v>70</v>
      </c>
      <c r="V3787" t="s">
        <v>10122</v>
      </c>
      <c r="X3787" t="s">
        <v>28660</v>
      </c>
      <c r="AF3787" t="s">
        <v>28661</v>
      </c>
      <c r="AG3787" t="s">
        <v>10122</v>
      </c>
      <c r="AI3787" t="s">
        <v>28662</v>
      </c>
      <c r="AM3787" t="s">
        <v>4842</v>
      </c>
      <c r="AN3787" t="s">
        <v>2181</v>
      </c>
      <c r="AO3787" t="s">
        <v>28663</v>
      </c>
      <c r="AP3787" t="s">
        <v>7024</v>
      </c>
      <c r="AQ3787" t="s">
        <v>28664</v>
      </c>
      <c r="AT3787" s="184">
        <v>43872</v>
      </c>
      <c r="AU3787" t="s">
        <v>28665</v>
      </c>
      <c r="AV3787">
        <v>25</v>
      </c>
      <c r="AW3787" s="184">
        <v>45278</v>
      </c>
      <c r="AX3787" t="s">
        <v>7578</v>
      </c>
      <c r="AY3787">
        <v>35</v>
      </c>
      <c r="AZ3787" s="184">
        <v>45278</v>
      </c>
      <c r="BA3787" t="s">
        <v>7578</v>
      </c>
      <c r="BB3787">
        <v>35</v>
      </c>
      <c r="BC3787">
        <v>80</v>
      </c>
      <c r="BD3787">
        <v>135</v>
      </c>
      <c r="BE3787">
        <v>2020</v>
      </c>
      <c r="BF3787">
        <v>5</v>
      </c>
      <c r="BG3787">
        <v>2</v>
      </c>
      <c r="BH3787">
        <v>60</v>
      </c>
      <c r="BI3787">
        <v>4</v>
      </c>
      <c r="BJ3787">
        <v>5</v>
      </c>
      <c r="BK3787">
        <v>4</v>
      </c>
      <c r="BP3787" s="184"/>
    </row>
    <row r="3788" spans="1:68">
      <c r="A3788">
        <v>53180980</v>
      </c>
      <c r="B3788">
        <v>53180980</v>
      </c>
      <c r="C3788" t="s">
        <v>7018</v>
      </c>
      <c r="E3788" s="184"/>
      <c r="G3788" s="184"/>
      <c r="H3788" t="s">
        <v>595</v>
      </c>
      <c r="I3788" s="184">
        <v>44147</v>
      </c>
      <c r="K3788" s="184"/>
      <c r="M3788" s="184"/>
      <c r="O3788" s="184"/>
      <c r="P3788" t="s">
        <v>7045</v>
      </c>
      <c r="Q3788" t="s">
        <v>7160</v>
      </c>
      <c r="R3788" s="184">
        <v>14973</v>
      </c>
      <c r="S3788">
        <v>83</v>
      </c>
      <c r="U3788" t="s">
        <v>7031</v>
      </c>
      <c r="V3788" t="s">
        <v>2832</v>
      </c>
      <c r="W3788" t="s">
        <v>7375</v>
      </c>
      <c r="X3788" t="s">
        <v>5044</v>
      </c>
      <c r="AF3788" t="s">
        <v>28666</v>
      </c>
      <c r="AG3788" t="s">
        <v>2832</v>
      </c>
      <c r="AI3788" t="s">
        <v>28667</v>
      </c>
      <c r="AM3788" t="s">
        <v>17039</v>
      </c>
      <c r="AN3788" t="s">
        <v>2395</v>
      </c>
      <c r="AO3788" t="s">
        <v>28668</v>
      </c>
      <c r="AP3788" t="s">
        <v>7024</v>
      </c>
      <c r="AQ3788" t="s">
        <v>28669</v>
      </c>
      <c r="AT3788" s="184">
        <v>39965</v>
      </c>
      <c r="AU3788" t="s">
        <v>28670</v>
      </c>
      <c r="AV3788">
        <v>50</v>
      </c>
      <c r="AW3788" s="184">
        <v>45426</v>
      </c>
      <c r="AX3788" t="s">
        <v>7422</v>
      </c>
      <c r="AY3788">
        <v>30</v>
      </c>
      <c r="AZ3788" s="184">
        <v>42909</v>
      </c>
      <c r="BA3788" t="s">
        <v>8586</v>
      </c>
      <c r="BB3788">
        <v>150</v>
      </c>
      <c r="BC3788">
        <v>94</v>
      </c>
      <c r="BD3788">
        <v>2105</v>
      </c>
      <c r="BE3788">
        <v>2009</v>
      </c>
      <c r="BF3788">
        <v>80</v>
      </c>
      <c r="BG3788">
        <v>24</v>
      </c>
      <c r="BH3788">
        <v>625</v>
      </c>
      <c r="BI3788">
        <v>15</v>
      </c>
      <c r="BJ3788">
        <v>16</v>
      </c>
      <c r="BK3788">
        <v>10</v>
      </c>
      <c r="BP3788" s="184"/>
    </row>
    <row r="3789" spans="1:68">
      <c r="A3789">
        <v>53186680</v>
      </c>
      <c r="B3789">
        <v>53186680</v>
      </c>
      <c r="C3789" t="s">
        <v>7018</v>
      </c>
      <c r="E3789" s="184"/>
      <c r="F3789" t="s">
        <v>595</v>
      </c>
      <c r="G3789" s="184">
        <v>44419</v>
      </c>
      <c r="I3789" s="184"/>
      <c r="K3789" s="184"/>
      <c r="O3789" s="184"/>
      <c r="P3789" t="s">
        <v>7045</v>
      </c>
      <c r="Q3789" t="s">
        <v>7383</v>
      </c>
      <c r="R3789" s="184">
        <v>20029</v>
      </c>
      <c r="S3789">
        <v>69</v>
      </c>
      <c r="V3789" t="s">
        <v>2893</v>
      </c>
      <c r="X3789" t="s">
        <v>4963</v>
      </c>
      <c r="AF3789" t="s">
        <v>28671</v>
      </c>
      <c r="AG3789" t="s">
        <v>2893</v>
      </c>
      <c r="AI3789" t="s">
        <v>28672</v>
      </c>
      <c r="AM3789" t="s">
        <v>19942</v>
      </c>
      <c r="AN3789" t="s">
        <v>2162</v>
      </c>
      <c r="AO3789" t="s">
        <v>28673</v>
      </c>
      <c r="AP3789" t="s">
        <v>7024</v>
      </c>
      <c r="AQ3789" t="s">
        <v>28674</v>
      </c>
      <c r="AT3789" s="184">
        <v>39965</v>
      </c>
      <c r="AU3789" t="s">
        <v>28675</v>
      </c>
      <c r="AV3789">
        <v>25</v>
      </c>
      <c r="AW3789" s="184">
        <v>45376</v>
      </c>
      <c r="AX3789" t="s">
        <v>9421</v>
      </c>
      <c r="AY3789">
        <v>25</v>
      </c>
      <c r="AZ3789" s="184">
        <v>45376</v>
      </c>
      <c r="BA3789" t="s">
        <v>9421</v>
      </c>
      <c r="BB3789">
        <v>25</v>
      </c>
      <c r="BC3789">
        <v>75</v>
      </c>
      <c r="BD3789">
        <v>385</v>
      </c>
      <c r="BE3789">
        <v>2009</v>
      </c>
      <c r="BF3789">
        <v>16</v>
      </c>
      <c r="BG3789">
        <v>3</v>
      </c>
      <c r="BH3789">
        <v>75</v>
      </c>
      <c r="BI3789">
        <v>12</v>
      </c>
      <c r="BJ3789">
        <v>16</v>
      </c>
      <c r="BK3789">
        <v>7</v>
      </c>
      <c r="BP3789" s="184"/>
    </row>
    <row r="3790" spans="1:68">
      <c r="A3790">
        <v>53193009</v>
      </c>
      <c r="B3790">
        <v>53193009</v>
      </c>
      <c r="C3790" t="s">
        <v>7018</v>
      </c>
      <c r="D3790" t="s">
        <v>595</v>
      </c>
      <c r="E3790" s="184">
        <v>44168</v>
      </c>
      <c r="G3790" s="184"/>
      <c r="I3790" s="184"/>
      <c r="K3790" s="184"/>
      <c r="O3790" s="184"/>
      <c r="P3790" t="s">
        <v>7029</v>
      </c>
      <c r="Q3790" t="s">
        <v>7374</v>
      </c>
      <c r="R3790" s="184">
        <v>12730</v>
      </c>
      <c r="S3790">
        <v>89</v>
      </c>
      <c r="U3790" t="s">
        <v>7130</v>
      </c>
      <c r="V3790" t="s">
        <v>3400</v>
      </c>
      <c r="X3790" t="s">
        <v>28676</v>
      </c>
      <c r="AF3790" t="s">
        <v>28677</v>
      </c>
      <c r="AG3790" t="s">
        <v>3400</v>
      </c>
      <c r="AI3790" t="s">
        <v>28678</v>
      </c>
      <c r="AM3790" t="s">
        <v>5817</v>
      </c>
      <c r="AN3790" t="s">
        <v>2081</v>
      </c>
      <c r="AO3790" t="s">
        <v>28679</v>
      </c>
      <c r="AP3790" t="s">
        <v>7024</v>
      </c>
      <c r="AT3790" s="184">
        <v>39966</v>
      </c>
      <c r="AU3790" t="s">
        <v>28680</v>
      </c>
      <c r="AV3790">
        <v>50</v>
      </c>
      <c r="AW3790" s="184">
        <v>45211</v>
      </c>
      <c r="AX3790" t="s">
        <v>9037</v>
      </c>
      <c r="AY3790">
        <v>1000</v>
      </c>
      <c r="AZ3790" s="184">
        <v>45211</v>
      </c>
      <c r="BA3790" t="s">
        <v>9037</v>
      </c>
      <c r="BB3790">
        <v>1000</v>
      </c>
      <c r="BC3790">
        <v>69</v>
      </c>
      <c r="BD3790">
        <v>5300</v>
      </c>
      <c r="BE3790">
        <v>2009</v>
      </c>
      <c r="BF3790">
        <v>13</v>
      </c>
      <c r="BG3790">
        <v>1</v>
      </c>
      <c r="BH3790">
        <v>1000</v>
      </c>
      <c r="BI3790">
        <v>11</v>
      </c>
      <c r="BJ3790">
        <v>16</v>
      </c>
      <c r="BK3790">
        <v>6</v>
      </c>
      <c r="BP3790" s="184"/>
    </row>
    <row r="3791" spans="1:68">
      <c r="A3791">
        <v>53199998</v>
      </c>
      <c r="B3791">
        <v>53199998</v>
      </c>
      <c r="C3791" t="s">
        <v>7018</v>
      </c>
      <c r="D3791" t="s">
        <v>595</v>
      </c>
      <c r="E3791" s="184">
        <v>44073</v>
      </c>
      <c r="G3791" s="184"/>
      <c r="I3791" s="184"/>
      <c r="K3791" s="184"/>
      <c r="O3791" s="184"/>
      <c r="P3791" t="s">
        <v>7045</v>
      </c>
      <c r="Q3791" t="s">
        <v>7383</v>
      </c>
      <c r="R3791" s="184">
        <v>16456</v>
      </c>
      <c r="S3791">
        <v>79</v>
      </c>
      <c r="V3791" t="s">
        <v>4879</v>
      </c>
      <c r="X3791" t="s">
        <v>28681</v>
      </c>
      <c r="AF3791" t="s">
        <v>28682</v>
      </c>
      <c r="AG3791" t="s">
        <v>4879</v>
      </c>
      <c r="AI3791" t="s">
        <v>28683</v>
      </c>
      <c r="AM3791" t="s">
        <v>3488</v>
      </c>
      <c r="AN3791" t="s">
        <v>2072</v>
      </c>
      <c r="AO3791" t="s">
        <v>28684</v>
      </c>
      <c r="AP3791" t="s">
        <v>7024</v>
      </c>
      <c r="AQ3791" t="s">
        <v>28685</v>
      </c>
      <c r="AT3791" s="184">
        <v>39966</v>
      </c>
      <c r="AU3791" t="s">
        <v>28634</v>
      </c>
      <c r="AV3791">
        <v>500</v>
      </c>
      <c r="AW3791" s="184">
        <v>45406</v>
      </c>
      <c r="AX3791" t="s">
        <v>7429</v>
      </c>
      <c r="AY3791">
        <v>20</v>
      </c>
      <c r="AZ3791" s="184">
        <v>39966</v>
      </c>
      <c r="BA3791" t="s">
        <v>28634</v>
      </c>
      <c r="BB3791">
        <v>500</v>
      </c>
      <c r="BC3791">
        <v>88</v>
      </c>
      <c r="BD3791">
        <v>3170</v>
      </c>
      <c r="BE3791">
        <v>2009</v>
      </c>
      <c r="BF3791">
        <v>68</v>
      </c>
      <c r="BG3791">
        <v>24</v>
      </c>
      <c r="BH3791">
        <v>480</v>
      </c>
      <c r="BI3791">
        <v>14</v>
      </c>
      <c r="BJ3791">
        <v>16</v>
      </c>
      <c r="BK3791">
        <v>13</v>
      </c>
      <c r="BN3791" t="s">
        <v>595</v>
      </c>
      <c r="BP3791" s="184"/>
    </row>
    <row r="3792" spans="1:68">
      <c r="A3792">
        <v>53212528</v>
      </c>
      <c r="B3792">
        <v>53212528</v>
      </c>
      <c r="C3792" t="s">
        <v>7018</v>
      </c>
      <c r="D3792" t="s">
        <v>595</v>
      </c>
      <c r="E3792" s="184">
        <v>44073</v>
      </c>
      <c r="G3792" s="184"/>
      <c r="I3792" s="184"/>
      <c r="K3792" s="184"/>
      <c r="O3792" s="184"/>
      <c r="P3792" t="s">
        <v>7045</v>
      </c>
      <c r="Q3792" t="s">
        <v>7383</v>
      </c>
      <c r="R3792" s="184">
        <v>15272</v>
      </c>
      <c r="S3792">
        <v>82</v>
      </c>
      <c r="V3792" t="s">
        <v>3400</v>
      </c>
      <c r="X3792" t="s">
        <v>3321</v>
      </c>
      <c r="Z3792">
        <v>100129886</v>
      </c>
      <c r="AA3792" t="s">
        <v>7031</v>
      </c>
      <c r="AB3792" t="s">
        <v>2863</v>
      </c>
      <c r="AD3792" t="s">
        <v>3321</v>
      </c>
      <c r="AF3792" t="s">
        <v>28686</v>
      </c>
      <c r="AG3792" t="s">
        <v>28687</v>
      </c>
      <c r="AI3792" t="s">
        <v>28688</v>
      </c>
      <c r="AM3792" t="s">
        <v>11022</v>
      </c>
      <c r="AN3792" t="s">
        <v>2274</v>
      </c>
      <c r="AO3792" t="s">
        <v>28689</v>
      </c>
      <c r="AP3792" t="s">
        <v>7024</v>
      </c>
      <c r="AQ3792" t="s">
        <v>28690</v>
      </c>
      <c r="AR3792" t="s">
        <v>28691</v>
      </c>
      <c r="AT3792" s="184">
        <v>39962</v>
      </c>
      <c r="AU3792" t="s">
        <v>28692</v>
      </c>
      <c r="AV3792">
        <v>19.97</v>
      </c>
      <c r="AW3792" s="184">
        <v>45068</v>
      </c>
      <c r="AX3792" t="s">
        <v>10165</v>
      </c>
      <c r="AY3792">
        <v>35</v>
      </c>
      <c r="AZ3792" s="184">
        <v>45068</v>
      </c>
      <c r="BA3792" t="s">
        <v>10165</v>
      </c>
      <c r="BB3792">
        <v>35</v>
      </c>
      <c r="BC3792">
        <v>94</v>
      </c>
      <c r="BD3792">
        <v>549.94000000000005</v>
      </c>
      <c r="BE3792">
        <v>2009</v>
      </c>
      <c r="BF3792">
        <v>18</v>
      </c>
      <c r="BG3792">
        <v>1</v>
      </c>
      <c r="BH3792">
        <v>35</v>
      </c>
      <c r="BI3792">
        <v>15</v>
      </c>
      <c r="BJ3792">
        <v>16</v>
      </c>
      <c r="BK3792">
        <v>15</v>
      </c>
      <c r="BN3792" t="s">
        <v>595</v>
      </c>
      <c r="BP3792" s="184"/>
    </row>
    <row r="3793" spans="1:68">
      <c r="A3793">
        <v>100129886</v>
      </c>
      <c r="B3793">
        <v>53212528</v>
      </c>
      <c r="C3793" t="s">
        <v>7018</v>
      </c>
      <c r="D3793" t="s">
        <v>595</v>
      </c>
      <c r="E3793" s="184">
        <v>44073</v>
      </c>
      <c r="G3793" s="184"/>
      <c r="I3793" s="184"/>
      <c r="K3793" s="184"/>
      <c r="M3793" s="184"/>
      <c r="O3793" s="184"/>
      <c r="P3793" t="s">
        <v>7045</v>
      </c>
      <c r="Q3793" t="s">
        <v>7383</v>
      </c>
      <c r="R3793" s="184">
        <v>15705</v>
      </c>
      <c r="S3793">
        <v>81</v>
      </c>
      <c r="U3793" t="s">
        <v>7031</v>
      </c>
      <c r="V3793" t="s">
        <v>2863</v>
      </c>
      <c r="X3793" t="s">
        <v>3321</v>
      </c>
      <c r="Z3793">
        <v>53212528</v>
      </c>
      <c r="AB3793" t="s">
        <v>3400</v>
      </c>
      <c r="AD3793" t="s">
        <v>3321</v>
      </c>
      <c r="AF3793" t="s">
        <v>28686</v>
      </c>
      <c r="AG3793" t="s">
        <v>28687</v>
      </c>
      <c r="AI3793" t="s">
        <v>28688</v>
      </c>
      <c r="AM3793" t="s">
        <v>11022</v>
      </c>
      <c r="AN3793" t="s">
        <v>2274</v>
      </c>
      <c r="AO3793" t="s">
        <v>28689</v>
      </c>
      <c r="AP3793" t="s">
        <v>7024</v>
      </c>
      <c r="AQ3793" t="s">
        <v>28693</v>
      </c>
      <c r="AT3793" s="184"/>
      <c r="AW3793" s="184"/>
      <c r="AZ3793" s="184"/>
      <c r="BP3793" s="184"/>
    </row>
    <row r="3794" spans="1:68">
      <c r="A3794">
        <v>53272373</v>
      </c>
      <c r="B3794">
        <v>53272373</v>
      </c>
      <c r="C3794" t="s">
        <v>7018</v>
      </c>
      <c r="E3794" s="184"/>
      <c r="G3794" s="184"/>
      <c r="I3794" s="184"/>
      <c r="K3794" s="184"/>
      <c r="M3794" s="184"/>
      <c r="N3794" t="s">
        <v>595</v>
      </c>
      <c r="O3794" s="184">
        <v>40004</v>
      </c>
      <c r="P3794" t="s">
        <v>7045</v>
      </c>
      <c r="Q3794" t="s">
        <v>7020</v>
      </c>
      <c r="R3794" s="184">
        <v>8186</v>
      </c>
      <c r="S3794">
        <v>101</v>
      </c>
      <c r="U3794" t="s">
        <v>7076</v>
      </c>
      <c r="V3794" t="s">
        <v>28694</v>
      </c>
      <c r="X3794" t="s">
        <v>28695</v>
      </c>
      <c r="AF3794" t="s">
        <v>6043</v>
      </c>
      <c r="AG3794" t="s">
        <v>28696</v>
      </c>
      <c r="AI3794" t="s">
        <v>28697</v>
      </c>
      <c r="AM3794" t="s">
        <v>28698</v>
      </c>
      <c r="AN3794" t="s">
        <v>2240</v>
      </c>
      <c r="AO3794">
        <v>6488</v>
      </c>
      <c r="AP3794" t="s">
        <v>7024</v>
      </c>
      <c r="AT3794" s="184">
        <v>40004</v>
      </c>
      <c r="AU3794" t="s">
        <v>20993</v>
      </c>
      <c r="AV3794">
        <v>10000</v>
      </c>
      <c r="AW3794" s="184">
        <v>40004</v>
      </c>
      <c r="AX3794" t="s">
        <v>20993</v>
      </c>
      <c r="AY3794">
        <v>10000</v>
      </c>
      <c r="AZ3794" s="184">
        <v>40004</v>
      </c>
      <c r="BA3794" t="s">
        <v>20993</v>
      </c>
      <c r="BB3794">
        <v>10000</v>
      </c>
      <c r="BC3794">
        <v>7</v>
      </c>
      <c r="BD3794">
        <v>10000</v>
      </c>
      <c r="BE3794">
        <v>2010</v>
      </c>
      <c r="BF3794">
        <v>1</v>
      </c>
      <c r="BI3794">
        <v>1</v>
      </c>
      <c r="BJ3794">
        <v>16</v>
      </c>
      <c r="BK3794">
        <v>1</v>
      </c>
      <c r="BO3794" t="s">
        <v>595</v>
      </c>
      <c r="BP3794" s="184">
        <v>43442</v>
      </c>
    </row>
    <row r="3795" spans="1:68">
      <c r="A3795">
        <v>53314985</v>
      </c>
      <c r="B3795">
        <v>53314985</v>
      </c>
      <c r="C3795" t="s">
        <v>7018</v>
      </c>
      <c r="D3795" t="s">
        <v>595</v>
      </c>
      <c r="E3795" s="184">
        <v>44073</v>
      </c>
      <c r="G3795" s="184"/>
      <c r="H3795" t="s">
        <v>595</v>
      </c>
      <c r="I3795" s="184">
        <v>44073</v>
      </c>
      <c r="K3795" s="184"/>
      <c r="M3795" s="184"/>
      <c r="O3795" s="184"/>
      <c r="P3795" t="s">
        <v>7045</v>
      </c>
      <c r="Q3795" t="s">
        <v>7262</v>
      </c>
      <c r="R3795" s="184">
        <v>18080</v>
      </c>
      <c r="S3795">
        <v>74</v>
      </c>
      <c r="U3795" t="s">
        <v>7031</v>
      </c>
      <c r="V3795" t="s">
        <v>2839</v>
      </c>
      <c r="X3795" t="s">
        <v>4941</v>
      </c>
      <c r="AF3795" t="s">
        <v>28699</v>
      </c>
      <c r="AG3795" t="s">
        <v>2839</v>
      </c>
      <c r="AI3795" t="s">
        <v>28700</v>
      </c>
      <c r="AM3795" t="s">
        <v>4942</v>
      </c>
      <c r="AN3795" t="s">
        <v>2106</v>
      </c>
      <c r="AO3795" t="s">
        <v>28701</v>
      </c>
      <c r="AP3795" t="s">
        <v>7024</v>
      </c>
      <c r="AQ3795" t="s">
        <v>28702</v>
      </c>
      <c r="AT3795" s="184">
        <v>39986</v>
      </c>
      <c r="AU3795" t="s">
        <v>28401</v>
      </c>
      <c r="AV3795">
        <v>25</v>
      </c>
      <c r="AW3795" s="184">
        <v>45300</v>
      </c>
      <c r="AX3795" t="s">
        <v>7092</v>
      </c>
      <c r="AY3795">
        <v>75</v>
      </c>
      <c r="AZ3795" s="184">
        <v>44559</v>
      </c>
      <c r="BA3795" t="s">
        <v>28703</v>
      </c>
      <c r="BB3795">
        <v>379</v>
      </c>
      <c r="BC3795">
        <v>88</v>
      </c>
      <c r="BD3795">
        <v>2820.82</v>
      </c>
      <c r="BE3795">
        <v>2009</v>
      </c>
      <c r="BF3795">
        <v>32</v>
      </c>
      <c r="BG3795">
        <v>5</v>
      </c>
      <c r="BH3795">
        <v>1016.82</v>
      </c>
      <c r="BI3795">
        <v>14</v>
      </c>
      <c r="BJ3795">
        <v>16</v>
      </c>
      <c r="BK3795">
        <v>13</v>
      </c>
      <c r="BN3795" t="s">
        <v>595</v>
      </c>
      <c r="BP3795" s="184"/>
    </row>
    <row r="3796" spans="1:68">
      <c r="A3796">
        <v>53390571</v>
      </c>
      <c r="B3796">
        <v>53390571</v>
      </c>
      <c r="C3796" t="s">
        <v>7018</v>
      </c>
      <c r="D3796" t="s">
        <v>595</v>
      </c>
      <c r="E3796" s="184">
        <v>45153</v>
      </c>
      <c r="G3796" s="184"/>
      <c r="I3796" s="184"/>
      <c r="K3796" s="184"/>
      <c r="M3796" s="184"/>
      <c r="O3796" s="184"/>
      <c r="P3796" t="s">
        <v>7045</v>
      </c>
      <c r="Q3796" t="s">
        <v>7020</v>
      </c>
      <c r="R3796" s="184">
        <v>20760</v>
      </c>
      <c r="S3796">
        <v>67</v>
      </c>
      <c r="V3796" t="s">
        <v>23654</v>
      </c>
      <c r="X3796" t="s">
        <v>28704</v>
      </c>
      <c r="AF3796" t="s">
        <v>28705</v>
      </c>
      <c r="AG3796" t="s">
        <v>23654</v>
      </c>
      <c r="AI3796" t="s">
        <v>28706</v>
      </c>
      <c r="AM3796" t="s">
        <v>28707</v>
      </c>
      <c r="AN3796" t="s">
        <v>2052</v>
      </c>
      <c r="AO3796" t="s">
        <v>28708</v>
      </c>
      <c r="AP3796" t="s">
        <v>7024</v>
      </c>
      <c r="AQ3796" t="s">
        <v>28709</v>
      </c>
      <c r="AT3796" s="184">
        <v>39987</v>
      </c>
      <c r="AU3796" t="s">
        <v>28670</v>
      </c>
      <c r="AV3796">
        <v>25</v>
      </c>
      <c r="AW3796" s="184">
        <v>45348</v>
      </c>
      <c r="AX3796" t="s">
        <v>28710</v>
      </c>
      <c r="AY3796">
        <v>100</v>
      </c>
      <c r="AZ3796" s="184">
        <v>45348</v>
      </c>
      <c r="BA3796" t="s">
        <v>28710</v>
      </c>
      <c r="BB3796">
        <v>100</v>
      </c>
      <c r="BC3796">
        <v>88</v>
      </c>
      <c r="BD3796">
        <v>1445</v>
      </c>
      <c r="BE3796">
        <v>2009</v>
      </c>
      <c r="BF3796">
        <v>18</v>
      </c>
      <c r="BG3796">
        <v>4</v>
      </c>
      <c r="BH3796">
        <v>400</v>
      </c>
      <c r="BI3796">
        <v>14</v>
      </c>
      <c r="BJ3796">
        <v>16</v>
      </c>
      <c r="BK3796">
        <v>12</v>
      </c>
      <c r="BP3796" s="184"/>
    </row>
    <row r="3797" spans="1:68">
      <c r="A3797">
        <v>53404174</v>
      </c>
      <c r="B3797">
        <v>53404174</v>
      </c>
      <c r="C3797" t="s">
        <v>7018</v>
      </c>
      <c r="D3797" t="s">
        <v>595</v>
      </c>
      <c r="E3797" s="184">
        <v>43861</v>
      </c>
      <c r="G3797" s="184"/>
      <c r="I3797" s="184"/>
      <c r="K3797" s="184"/>
      <c r="M3797" s="184"/>
      <c r="O3797" s="184"/>
      <c r="P3797" t="s">
        <v>7045</v>
      </c>
      <c r="Q3797" t="s">
        <v>7383</v>
      </c>
      <c r="R3797" s="184"/>
      <c r="U3797" t="s">
        <v>7031</v>
      </c>
      <c r="V3797" t="s">
        <v>4613</v>
      </c>
      <c r="W3797" t="s">
        <v>3360</v>
      </c>
      <c r="X3797" t="s">
        <v>4614</v>
      </c>
      <c r="AF3797" t="s">
        <v>28711</v>
      </c>
      <c r="AG3797" t="s">
        <v>4613</v>
      </c>
      <c r="AI3797" t="s">
        <v>28712</v>
      </c>
      <c r="AJ3797" t="s">
        <v>28713</v>
      </c>
      <c r="AM3797" t="s">
        <v>4615</v>
      </c>
      <c r="AN3797" t="s">
        <v>2419</v>
      </c>
      <c r="AO3797" t="s">
        <v>28714</v>
      </c>
      <c r="AP3797" t="s">
        <v>7024</v>
      </c>
      <c r="AQ3797" t="s">
        <v>28715</v>
      </c>
      <c r="AT3797" s="184">
        <v>39987</v>
      </c>
      <c r="AU3797" t="s">
        <v>28716</v>
      </c>
      <c r="AV3797">
        <v>25</v>
      </c>
      <c r="AW3797" s="184">
        <v>44008</v>
      </c>
      <c r="AX3797" t="s">
        <v>28717</v>
      </c>
      <c r="AY3797">
        <v>50</v>
      </c>
      <c r="AZ3797" s="184">
        <v>44008</v>
      </c>
      <c r="BA3797" t="s">
        <v>28717</v>
      </c>
      <c r="BB3797">
        <v>50</v>
      </c>
      <c r="BC3797">
        <v>75</v>
      </c>
      <c r="BD3797">
        <v>555</v>
      </c>
      <c r="BE3797">
        <v>2009</v>
      </c>
      <c r="BF3797">
        <v>14</v>
      </c>
      <c r="BI3797">
        <v>12</v>
      </c>
      <c r="BJ3797">
        <v>16</v>
      </c>
      <c r="BK3797">
        <v>12</v>
      </c>
      <c r="BP3797" s="184"/>
    </row>
    <row r="3798" spans="1:68">
      <c r="A3798">
        <v>53459574</v>
      </c>
      <c r="B3798">
        <v>53459574</v>
      </c>
      <c r="C3798" t="s">
        <v>7018</v>
      </c>
      <c r="D3798" t="s">
        <v>595</v>
      </c>
      <c r="E3798" s="184">
        <v>45148</v>
      </c>
      <c r="G3798" s="184"/>
      <c r="I3798" s="184"/>
      <c r="K3798" s="184"/>
      <c r="M3798" s="184"/>
      <c r="P3798" t="s">
        <v>7045</v>
      </c>
      <c r="Q3798" t="s">
        <v>7383</v>
      </c>
      <c r="R3798" s="184">
        <v>13058</v>
      </c>
      <c r="S3798">
        <v>88</v>
      </c>
      <c r="U3798" t="s">
        <v>7031</v>
      </c>
      <c r="V3798" t="s">
        <v>28718</v>
      </c>
      <c r="W3798" t="s">
        <v>28719</v>
      </c>
      <c r="X3798" t="s">
        <v>28720</v>
      </c>
      <c r="AF3798" t="s">
        <v>28721</v>
      </c>
      <c r="AG3798" t="s">
        <v>28718</v>
      </c>
      <c r="AI3798" t="s">
        <v>28722</v>
      </c>
      <c r="AM3798" t="s">
        <v>28723</v>
      </c>
      <c r="AN3798" t="s">
        <v>2274</v>
      </c>
      <c r="AO3798" t="s">
        <v>28724</v>
      </c>
      <c r="AP3798" t="s">
        <v>7024</v>
      </c>
      <c r="AQ3798" t="s">
        <v>28725</v>
      </c>
      <c r="AR3798" t="s">
        <v>28726</v>
      </c>
      <c r="AT3798" s="184">
        <v>39990</v>
      </c>
      <c r="AU3798" t="s">
        <v>28727</v>
      </c>
      <c r="AV3798">
        <v>20</v>
      </c>
      <c r="AW3798" s="184">
        <v>45208</v>
      </c>
      <c r="AX3798" t="s">
        <v>15648</v>
      </c>
      <c r="AY3798">
        <v>20</v>
      </c>
      <c r="AZ3798" s="184">
        <v>44757</v>
      </c>
      <c r="BA3798" t="s">
        <v>28728</v>
      </c>
      <c r="BB3798">
        <v>35</v>
      </c>
      <c r="BC3798">
        <v>75</v>
      </c>
      <c r="BD3798">
        <v>345</v>
      </c>
      <c r="BE3798">
        <v>2009</v>
      </c>
      <c r="BF3798">
        <v>14</v>
      </c>
      <c r="BG3798">
        <v>2</v>
      </c>
      <c r="BH3798">
        <v>55</v>
      </c>
      <c r="BI3798">
        <v>12</v>
      </c>
      <c r="BJ3798">
        <v>16</v>
      </c>
      <c r="BK3798">
        <v>7</v>
      </c>
    </row>
    <row r="3799" spans="1:68">
      <c r="A3799">
        <v>53496584</v>
      </c>
      <c r="B3799">
        <v>53496584</v>
      </c>
      <c r="C3799" t="s">
        <v>7018</v>
      </c>
      <c r="E3799" s="184"/>
      <c r="G3799" s="184"/>
      <c r="H3799" t="s">
        <v>595</v>
      </c>
      <c r="I3799" s="184">
        <v>44109</v>
      </c>
      <c r="K3799" s="184"/>
      <c r="M3799" s="184"/>
      <c r="P3799" t="s">
        <v>7045</v>
      </c>
      <c r="Q3799" t="s">
        <v>7383</v>
      </c>
      <c r="R3799" s="184">
        <v>18323</v>
      </c>
      <c r="S3799">
        <v>74</v>
      </c>
      <c r="V3799" t="s">
        <v>2851</v>
      </c>
      <c r="X3799" t="s">
        <v>4150</v>
      </c>
      <c r="Z3799">
        <v>97243117</v>
      </c>
      <c r="AB3799" t="s">
        <v>2918</v>
      </c>
      <c r="AC3799" t="s">
        <v>4139</v>
      </c>
      <c r="AD3799" t="s">
        <v>4970</v>
      </c>
      <c r="AF3799" t="s">
        <v>28729</v>
      </c>
      <c r="AG3799" t="s">
        <v>28730</v>
      </c>
      <c r="AI3799" t="s">
        <v>28731</v>
      </c>
      <c r="AM3799" t="s">
        <v>4965</v>
      </c>
      <c r="AN3799" t="s">
        <v>2313</v>
      </c>
      <c r="AO3799" t="s">
        <v>28732</v>
      </c>
      <c r="AP3799" t="s">
        <v>7024</v>
      </c>
      <c r="AQ3799" t="s">
        <v>28733</v>
      </c>
      <c r="AT3799" s="184">
        <v>39993</v>
      </c>
      <c r="AU3799" t="s">
        <v>27724</v>
      </c>
      <c r="AV3799">
        <v>25</v>
      </c>
      <c r="AW3799" s="184">
        <v>44490</v>
      </c>
      <c r="AX3799" t="s">
        <v>28734</v>
      </c>
      <c r="AY3799">
        <v>225</v>
      </c>
      <c r="AZ3799" s="184">
        <v>44490</v>
      </c>
      <c r="BA3799" t="s">
        <v>28734</v>
      </c>
      <c r="BB3799">
        <v>225</v>
      </c>
      <c r="BC3799">
        <v>25</v>
      </c>
      <c r="BD3799">
        <v>525</v>
      </c>
      <c r="BE3799">
        <v>2009</v>
      </c>
      <c r="BF3799">
        <v>5</v>
      </c>
      <c r="BI3799">
        <v>4</v>
      </c>
      <c r="BJ3799">
        <v>16</v>
      </c>
      <c r="BK3799">
        <v>2</v>
      </c>
      <c r="BP3799" s="184"/>
    </row>
    <row r="3800" spans="1:68">
      <c r="A3800">
        <v>97243117</v>
      </c>
      <c r="B3800">
        <v>53496584</v>
      </c>
      <c r="C3800" t="s">
        <v>7018</v>
      </c>
      <c r="E3800" s="184"/>
      <c r="G3800" s="184"/>
      <c r="H3800" t="s">
        <v>595</v>
      </c>
      <c r="I3800" s="184">
        <v>44109</v>
      </c>
      <c r="K3800" s="184"/>
      <c r="P3800" t="s">
        <v>7045</v>
      </c>
      <c r="Q3800" t="s">
        <v>7383</v>
      </c>
      <c r="R3800" s="184">
        <v>21167</v>
      </c>
      <c r="S3800">
        <v>66</v>
      </c>
      <c r="V3800" t="s">
        <v>2918</v>
      </c>
      <c r="W3800" t="s">
        <v>4139</v>
      </c>
      <c r="X3800" t="s">
        <v>4970</v>
      </c>
      <c r="Z3800">
        <v>53496584</v>
      </c>
      <c r="AB3800" t="s">
        <v>2851</v>
      </c>
      <c r="AD3800" t="s">
        <v>4150</v>
      </c>
      <c r="AF3800" t="s">
        <v>28729</v>
      </c>
      <c r="AG3800" t="s">
        <v>28730</v>
      </c>
      <c r="AI3800" t="s">
        <v>28731</v>
      </c>
      <c r="AM3800" t="s">
        <v>4965</v>
      </c>
      <c r="AN3800" t="s">
        <v>2313</v>
      </c>
      <c r="AO3800" t="s">
        <v>28732</v>
      </c>
      <c r="AP3800" t="s">
        <v>7024</v>
      </c>
      <c r="AQ3800" t="s">
        <v>28735</v>
      </c>
      <c r="AR3800" t="s">
        <v>28736</v>
      </c>
      <c r="AT3800" s="184">
        <v>43024</v>
      </c>
      <c r="AU3800" t="s">
        <v>28737</v>
      </c>
      <c r="AV3800">
        <v>50</v>
      </c>
      <c r="AW3800" s="184">
        <v>43024</v>
      </c>
      <c r="AX3800" t="s">
        <v>28737</v>
      </c>
      <c r="AY3800">
        <v>50</v>
      </c>
      <c r="AZ3800" s="184">
        <v>43024</v>
      </c>
      <c r="BA3800" t="s">
        <v>28737</v>
      </c>
      <c r="BB3800">
        <v>50</v>
      </c>
      <c r="BC3800">
        <v>13</v>
      </c>
      <c r="BD3800">
        <v>50</v>
      </c>
      <c r="BE3800">
        <v>2018</v>
      </c>
      <c r="BF3800">
        <v>1</v>
      </c>
      <c r="BI3800">
        <v>1</v>
      </c>
      <c r="BJ3800">
        <v>8</v>
      </c>
      <c r="BK3800">
        <v>1</v>
      </c>
    </row>
    <row r="3801" spans="1:68">
      <c r="A3801">
        <v>53518775</v>
      </c>
      <c r="B3801">
        <v>53518775</v>
      </c>
      <c r="C3801" t="s">
        <v>7018</v>
      </c>
      <c r="D3801" t="s">
        <v>595</v>
      </c>
      <c r="E3801" s="184">
        <v>44070</v>
      </c>
      <c r="G3801" s="184"/>
      <c r="I3801" s="184"/>
      <c r="K3801" s="184"/>
      <c r="M3801" s="184"/>
      <c r="O3801" s="184"/>
      <c r="P3801" t="s">
        <v>7029</v>
      </c>
      <c r="Q3801" t="s">
        <v>7262</v>
      </c>
      <c r="R3801" s="184">
        <v>30103</v>
      </c>
      <c r="S3801">
        <v>41</v>
      </c>
      <c r="U3801" t="s">
        <v>7031</v>
      </c>
      <c r="V3801" t="s">
        <v>8470</v>
      </c>
      <c r="W3801" t="s">
        <v>2871</v>
      </c>
      <c r="X3801" t="s">
        <v>28738</v>
      </c>
      <c r="Z3801">
        <v>100130020</v>
      </c>
      <c r="AA3801" t="s">
        <v>7130</v>
      </c>
      <c r="AB3801" t="s">
        <v>3550</v>
      </c>
      <c r="AC3801" t="s">
        <v>7396</v>
      </c>
      <c r="AD3801" t="s">
        <v>28738</v>
      </c>
      <c r="AF3801" t="s">
        <v>28739</v>
      </c>
      <c r="AG3801" t="s">
        <v>28740</v>
      </c>
      <c r="AI3801" t="s">
        <v>28741</v>
      </c>
      <c r="AM3801" t="s">
        <v>28742</v>
      </c>
      <c r="AN3801" t="s">
        <v>2106</v>
      </c>
      <c r="AO3801" t="s">
        <v>28743</v>
      </c>
      <c r="AP3801" t="s">
        <v>7024</v>
      </c>
      <c r="AQ3801" t="s">
        <v>28744</v>
      </c>
      <c r="AR3801" t="s">
        <v>28745</v>
      </c>
      <c r="AT3801" s="184">
        <v>39994</v>
      </c>
      <c r="AU3801" t="s">
        <v>28692</v>
      </c>
      <c r="AV3801">
        <v>19.97</v>
      </c>
      <c r="AW3801" s="184">
        <v>44261</v>
      </c>
      <c r="AX3801" t="s">
        <v>28746</v>
      </c>
      <c r="AY3801">
        <v>500</v>
      </c>
      <c r="AZ3801" s="184">
        <v>44261</v>
      </c>
      <c r="BA3801" t="s">
        <v>28746</v>
      </c>
      <c r="BB3801">
        <v>500</v>
      </c>
      <c r="BC3801">
        <v>82</v>
      </c>
      <c r="BD3801">
        <v>8865.9699999999993</v>
      </c>
      <c r="BE3801">
        <v>2009</v>
      </c>
      <c r="BF3801">
        <v>75</v>
      </c>
      <c r="BI3801">
        <v>13</v>
      </c>
      <c r="BJ3801">
        <v>16</v>
      </c>
      <c r="BK3801">
        <v>13</v>
      </c>
      <c r="BP3801" s="184"/>
    </row>
    <row r="3802" spans="1:68">
      <c r="A3802">
        <v>100130020</v>
      </c>
      <c r="B3802">
        <v>53518775</v>
      </c>
      <c r="C3802" t="s">
        <v>7018</v>
      </c>
      <c r="D3802" t="s">
        <v>595</v>
      </c>
      <c r="E3802" s="184">
        <v>44070</v>
      </c>
      <c r="G3802" s="184"/>
      <c r="I3802" s="184"/>
      <c r="K3802" s="184"/>
      <c r="M3802" s="184"/>
      <c r="O3802" s="184"/>
      <c r="P3802" t="s">
        <v>7029</v>
      </c>
      <c r="Q3802" t="s">
        <v>7262</v>
      </c>
      <c r="R3802" s="184">
        <v>20363</v>
      </c>
      <c r="S3802">
        <v>68</v>
      </c>
      <c r="U3802" t="s">
        <v>7130</v>
      </c>
      <c r="V3802" t="s">
        <v>3550</v>
      </c>
      <c r="W3802" t="s">
        <v>7396</v>
      </c>
      <c r="X3802" t="s">
        <v>28738</v>
      </c>
      <c r="Z3802">
        <v>53518775</v>
      </c>
      <c r="AA3802" t="s">
        <v>7031</v>
      </c>
      <c r="AB3802" t="s">
        <v>8470</v>
      </c>
      <c r="AC3802" t="s">
        <v>2871</v>
      </c>
      <c r="AD3802" t="s">
        <v>28738</v>
      </c>
      <c r="AF3802" t="s">
        <v>28739</v>
      </c>
      <c r="AG3802" t="s">
        <v>28740</v>
      </c>
      <c r="AI3802" t="s">
        <v>28741</v>
      </c>
      <c r="AM3802" t="s">
        <v>28742</v>
      </c>
      <c r="AN3802" t="s">
        <v>2106</v>
      </c>
      <c r="AO3802" t="s">
        <v>28743</v>
      </c>
      <c r="AP3802" t="s">
        <v>7024</v>
      </c>
      <c r="AT3802" s="184"/>
      <c r="AW3802" s="184"/>
      <c r="AZ3802" s="184"/>
    </row>
    <row r="3803" spans="1:68">
      <c r="A3803">
        <v>53522173</v>
      </c>
      <c r="B3803">
        <v>53522173</v>
      </c>
      <c r="C3803" t="s">
        <v>7018</v>
      </c>
      <c r="D3803" t="s">
        <v>595</v>
      </c>
      <c r="E3803" s="184">
        <v>45140</v>
      </c>
      <c r="G3803" s="184"/>
      <c r="I3803" s="184"/>
      <c r="K3803" s="184"/>
      <c r="M3803" s="184"/>
      <c r="P3803" t="s">
        <v>7045</v>
      </c>
      <c r="Q3803" t="s">
        <v>7383</v>
      </c>
      <c r="R3803" s="184">
        <v>25580</v>
      </c>
      <c r="S3803">
        <v>54</v>
      </c>
      <c r="V3803" t="s">
        <v>3489</v>
      </c>
      <c r="X3803" t="s">
        <v>28747</v>
      </c>
      <c r="AF3803" t="s">
        <v>28748</v>
      </c>
      <c r="AG3803" t="s">
        <v>3489</v>
      </c>
      <c r="AI3803" t="s">
        <v>28749</v>
      </c>
      <c r="AM3803" t="s">
        <v>28750</v>
      </c>
      <c r="AN3803" t="s">
        <v>2185</v>
      </c>
      <c r="AO3803" t="s">
        <v>28751</v>
      </c>
      <c r="AP3803" t="s">
        <v>7024</v>
      </c>
      <c r="AT3803" s="184">
        <v>39994</v>
      </c>
      <c r="AU3803" t="s">
        <v>28692</v>
      </c>
      <c r="AV3803">
        <v>19.97</v>
      </c>
      <c r="AW3803" s="184">
        <v>45089</v>
      </c>
      <c r="AX3803" t="s">
        <v>10302</v>
      </c>
      <c r="AY3803">
        <v>75</v>
      </c>
      <c r="AZ3803" s="184">
        <v>45089</v>
      </c>
      <c r="BA3803" t="s">
        <v>10302</v>
      </c>
      <c r="BB3803">
        <v>75</v>
      </c>
      <c r="BC3803">
        <v>50</v>
      </c>
      <c r="BD3803">
        <v>404.97</v>
      </c>
      <c r="BE3803">
        <v>2009</v>
      </c>
      <c r="BF3803">
        <v>9</v>
      </c>
      <c r="BG3803">
        <v>2</v>
      </c>
      <c r="BH3803">
        <v>125</v>
      </c>
      <c r="BI3803">
        <v>8</v>
      </c>
      <c r="BJ3803">
        <v>16</v>
      </c>
      <c r="BK3803">
        <v>4</v>
      </c>
      <c r="BP3803" s="184"/>
    </row>
    <row r="3804" spans="1:68">
      <c r="A3804">
        <v>53539920</v>
      </c>
      <c r="B3804">
        <v>53539920</v>
      </c>
      <c r="C3804" t="s">
        <v>7018</v>
      </c>
      <c r="D3804" t="s">
        <v>595</v>
      </c>
      <c r="E3804" s="184">
        <v>44073</v>
      </c>
      <c r="G3804" s="184"/>
      <c r="I3804" s="184"/>
      <c r="K3804" s="184"/>
      <c r="M3804" s="184"/>
      <c r="O3804" s="184"/>
      <c r="P3804" t="s">
        <v>7045</v>
      </c>
      <c r="Q3804" t="s">
        <v>7030</v>
      </c>
      <c r="R3804" s="184">
        <v>19122</v>
      </c>
      <c r="S3804">
        <v>72</v>
      </c>
      <c r="U3804" t="s">
        <v>7076</v>
      </c>
      <c r="V3804" t="s">
        <v>2600</v>
      </c>
      <c r="X3804" t="s">
        <v>28752</v>
      </c>
      <c r="AF3804" t="s">
        <v>28753</v>
      </c>
      <c r="AG3804" t="s">
        <v>2600</v>
      </c>
      <c r="AI3804" t="s">
        <v>28754</v>
      </c>
      <c r="AM3804" t="s">
        <v>28755</v>
      </c>
      <c r="AN3804" t="s">
        <v>2094</v>
      </c>
      <c r="AO3804" t="s">
        <v>28756</v>
      </c>
      <c r="AP3804" t="s">
        <v>7024</v>
      </c>
      <c r="AQ3804" t="s">
        <v>28757</v>
      </c>
      <c r="AR3804" t="s">
        <v>28758</v>
      </c>
      <c r="AT3804" s="184">
        <v>39996</v>
      </c>
      <c r="AU3804" t="s">
        <v>28759</v>
      </c>
      <c r="AV3804">
        <v>50</v>
      </c>
      <c r="AW3804" s="184">
        <v>45216</v>
      </c>
      <c r="AX3804" t="s">
        <v>15486</v>
      </c>
      <c r="AY3804">
        <v>25</v>
      </c>
      <c r="AZ3804" s="184">
        <v>43432</v>
      </c>
      <c r="BA3804" t="s">
        <v>28760</v>
      </c>
      <c r="BB3804">
        <v>50</v>
      </c>
      <c r="BC3804">
        <v>88</v>
      </c>
      <c r="BD3804">
        <v>800</v>
      </c>
      <c r="BE3804">
        <v>2010</v>
      </c>
      <c r="BF3804">
        <v>20</v>
      </c>
      <c r="BG3804">
        <v>2</v>
      </c>
      <c r="BH3804">
        <v>50</v>
      </c>
      <c r="BI3804">
        <v>14</v>
      </c>
      <c r="BJ3804">
        <v>16</v>
      </c>
      <c r="BK3804">
        <v>13</v>
      </c>
      <c r="BN3804" t="s">
        <v>595</v>
      </c>
    </row>
    <row r="3805" spans="1:68">
      <c r="A3805">
        <v>53553376</v>
      </c>
      <c r="B3805">
        <v>53553376</v>
      </c>
      <c r="C3805" t="s">
        <v>7018</v>
      </c>
      <c r="D3805" t="s">
        <v>595</v>
      </c>
      <c r="E3805" s="184">
        <v>45133</v>
      </c>
      <c r="G3805" s="184"/>
      <c r="I3805" s="184"/>
      <c r="K3805" s="184"/>
      <c r="O3805" s="184"/>
      <c r="P3805" t="s">
        <v>7045</v>
      </c>
      <c r="Q3805" t="s">
        <v>7383</v>
      </c>
      <c r="R3805" s="184">
        <v>25597</v>
      </c>
      <c r="S3805">
        <v>54</v>
      </c>
      <c r="V3805" t="s">
        <v>28761</v>
      </c>
      <c r="X3805" t="s">
        <v>28762</v>
      </c>
      <c r="AF3805" t="s">
        <v>28763</v>
      </c>
      <c r="AG3805" t="s">
        <v>28761</v>
      </c>
      <c r="AI3805" t="s">
        <v>28764</v>
      </c>
      <c r="AM3805" t="s">
        <v>4497</v>
      </c>
      <c r="AN3805" t="s">
        <v>2064</v>
      </c>
      <c r="AO3805" t="s">
        <v>28765</v>
      </c>
      <c r="AP3805" t="s">
        <v>7024</v>
      </c>
      <c r="AQ3805" t="s">
        <v>28766</v>
      </c>
      <c r="AR3805" t="s">
        <v>28767</v>
      </c>
      <c r="AT3805" s="184">
        <v>40000</v>
      </c>
      <c r="AU3805" t="s">
        <v>28768</v>
      </c>
      <c r="AV3805">
        <v>35</v>
      </c>
      <c r="AW3805" s="184">
        <v>45162</v>
      </c>
      <c r="AX3805" t="s">
        <v>7245</v>
      </c>
      <c r="AY3805">
        <v>75</v>
      </c>
      <c r="AZ3805" s="184">
        <v>45162</v>
      </c>
      <c r="BA3805" t="s">
        <v>7245</v>
      </c>
      <c r="BB3805">
        <v>75</v>
      </c>
      <c r="BC3805">
        <v>94</v>
      </c>
      <c r="BD3805">
        <v>655</v>
      </c>
      <c r="BE3805">
        <v>2010</v>
      </c>
      <c r="BF3805">
        <v>15</v>
      </c>
      <c r="BG3805">
        <v>2</v>
      </c>
      <c r="BH3805">
        <v>150</v>
      </c>
      <c r="BI3805">
        <v>15</v>
      </c>
      <c r="BJ3805">
        <v>16</v>
      </c>
      <c r="BK3805">
        <v>15</v>
      </c>
      <c r="BP3805" s="184"/>
    </row>
    <row r="3806" spans="1:68">
      <c r="A3806">
        <v>53582540</v>
      </c>
      <c r="B3806">
        <v>53582540</v>
      </c>
      <c r="C3806" t="s">
        <v>7018</v>
      </c>
      <c r="E3806" s="184"/>
      <c r="G3806" s="184"/>
      <c r="I3806" s="184"/>
      <c r="J3806" t="s">
        <v>595</v>
      </c>
      <c r="K3806" s="184">
        <v>41955</v>
      </c>
      <c r="O3806" s="184"/>
      <c r="P3806" t="s">
        <v>7045</v>
      </c>
      <c r="Q3806" t="s">
        <v>7494</v>
      </c>
      <c r="R3806" s="184">
        <v>21763</v>
      </c>
      <c r="S3806">
        <v>64</v>
      </c>
      <c r="V3806" t="s">
        <v>2718</v>
      </c>
      <c r="X3806" t="s">
        <v>2749</v>
      </c>
      <c r="AF3806" t="s">
        <v>6597</v>
      </c>
      <c r="AG3806" t="s">
        <v>2718</v>
      </c>
      <c r="AI3806" t="s">
        <v>28769</v>
      </c>
      <c r="AM3806" t="s">
        <v>4020</v>
      </c>
      <c r="AN3806" t="s">
        <v>2174</v>
      </c>
      <c r="AO3806" t="s">
        <v>28770</v>
      </c>
      <c r="AP3806" t="s">
        <v>7024</v>
      </c>
      <c r="AQ3806" t="s">
        <v>28771</v>
      </c>
      <c r="AR3806" t="s">
        <v>28772</v>
      </c>
      <c r="AT3806" s="184">
        <v>40002</v>
      </c>
      <c r="AU3806" t="s">
        <v>28773</v>
      </c>
      <c r="AV3806">
        <v>25</v>
      </c>
      <c r="AW3806" s="184">
        <v>43035</v>
      </c>
      <c r="AX3806" t="s">
        <v>28774</v>
      </c>
      <c r="AY3806">
        <v>15</v>
      </c>
      <c r="AZ3806" s="184">
        <v>40175</v>
      </c>
      <c r="BA3806" t="s">
        <v>28775</v>
      </c>
      <c r="BB3806">
        <v>100</v>
      </c>
      <c r="BC3806">
        <v>50</v>
      </c>
      <c r="BD3806">
        <v>480</v>
      </c>
      <c r="BE3806">
        <v>2010</v>
      </c>
      <c r="BF3806">
        <v>31</v>
      </c>
      <c r="BI3806">
        <v>8</v>
      </c>
      <c r="BJ3806">
        <v>16</v>
      </c>
      <c r="BK3806">
        <v>7</v>
      </c>
      <c r="BN3806" t="s">
        <v>595</v>
      </c>
      <c r="BP3806" s="184"/>
    </row>
    <row r="3807" spans="1:68">
      <c r="A3807">
        <v>53809570</v>
      </c>
      <c r="B3807">
        <v>53809570</v>
      </c>
      <c r="C3807" t="s">
        <v>7018</v>
      </c>
      <c r="D3807" t="s">
        <v>595</v>
      </c>
      <c r="E3807" s="184">
        <v>44070</v>
      </c>
      <c r="G3807" s="184"/>
      <c r="I3807" s="184"/>
      <c r="K3807" s="184"/>
      <c r="O3807" s="184"/>
      <c r="P3807" t="s">
        <v>7045</v>
      </c>
      <c r="Q3807" t="s">
        <v>7020</v>
      </c>
      <c r="R3807" s="184">
        <v>17746</v>
      </c>
      <c r="S3807">
        <v>75</v>
      </c>
      <c r="U3807" t="s">
        <v>7031</v>
      </c>
      <c r="V3807" t="s">
        <v>2771</v>
      </c>
      <c r="W3807" t="s">
        <v>4013</v>
      </c>
      <c r="X3807" t="s">
        <v>28776</v>
      </c>
      <c r="AF3807" t="s">
        <v>28777</v>
      </c>
      <c r="AG3807" t="s">
        <v>2771</v>
      </c>
      <c r="AI3807" t="s">
        <v>28778</v>
      </c>
      <c r="AM3807" t="s">
        <v>28779</v>
      </c>
      <c r="AN3807" t="s">
        <v>2363</v>
      </c>
      <c r="AO3807" t="s">
        <v>28780</v>
      </c>
      <c r="AP3807" t="s">
        <v>7024</v>
      </c>
      <c r="AT3807" s="184">
        <v>40010</v>
      </c>
      <c r="AU3807" t="s">
        <v>28781</v>
      </c>
      <c r="AV3807">
        <v>15</v>
      </c>
      <c r="AW3807" s="184">
        <v>45302</v>
      </c>
      <c r="AX3807" t="s">
        <v>12457</v>
      </c>
      <c r="AY3807">
        <v>50</v>
      </c>
      <c r="AZ3807" s="184">
        <v>45302</v>
      </c>
      <c r="BA3807" t="s">
        <v>12457</v>
      </c>
      <c r="BB3807">
        <v>50</v>
      </c>
      <c r="BC3807">
        <v>94</v>
      </c>
      <c r="BD3807">
        <v>2705</v>
      </c>
      <c r="BE3807">
        <v>2010</v>
      </c>
      <c r="BF3807">
        <v>89</v>
      </c>
      <c r="BG3807">
        <v>2</v>
      </c>
      <c r="BH3807">
        <v>100</v>
      </c>
      <c r="BI3807">
        <v>15</v>
      </c>
      <c r="BJ3807">
        <v>16</v>
      </c>
      <c r="BK3807">
        <v>14</v>
      </c>
      <c r="BP3807" s="184"/>
    </row>
    <row r="3808" spans="1:68">
      <c r="A3808">
        <v>53860375</v>
      </c>
      <c r="B3808">
        <v>53860375</v>
      </c>
      <c r="C3808" t="s">
        <v>7018</v>
      </c>
      <c r="D3808" t="s">
        <v>595</v>
      </c>
      <c r="E3808" s="184">
        <v>45141</v>
      </c>
      <c r="G3808" s="184"/>
      <c r="I3808" s="184"/>
      <c r="K3808" s="184"/>
      <c r="M3808" s="184"/>
      <c r="O3808" s="184"/>
      <c r="P3808" t="s">
        <v>7045</v>
      </c>
      <c r="Q3808" t="s">
        <v>7494</v>
      </c>
      <c r="R3808" s="184">
        <v>22935</v>
      </c>
      <c r="S3808">
        <v>61</v>
      </c>
      <c r="U3808" t="s">
        <v>7031</v>
      </c>
      <c r="V3808" t="s">
        <v>3311</v>
      </c>
      <c r="X3808" t="s">
        <v>2706</v>
      </c>
      <c r="AF3808" t="s">
        <v>28782</v>
      </c>
      <c r="AG3808" t="s">
        <v>3311</v>
      </c>
      <c r="AI3808" t="s">
        <v>28783</v>
      </c>
      <c r="AM3808" t="s">
        <v>3974</v>
      </c>
      <c r="AN3808" t="s">
        <v>2174</v>
      </c>
      <c r="AO3808" t="s">
        <v>28784</v>
      </c>
      <c r="AP3808" t="s">
        <v>7024</v>
      </c>
      <c r="AQ3808" t="s">
        <v>28785</v>
      </c>
      <c r="AR3808" t="s">
        <v>28786</v>
      </c>
      <c r="AT3808" s="184">
        <v>40010</v>
      </c>
      <c r="AU3808" t="s">
        <v>7297</v>
      </c>
      <c r="AV3808">
        <v>50</v>
      </c>
      <c r="AW3808" s="184">
        <v>45384</v>
      </c>
      <c r="AX3808" t="s">
        <v>10444</v>
      </c>
      <c r="AY3808">
        <v>100</v>
      </c>
      <c r="AZ3808" s="184">
        <v>42816</v>
      </c>
      <c r="BA3808" t="s">
        <v>28787</v>
      </c>
      <c r="BB3808">
        <v>115</v>
      </c>
      <c r="BC3808">
        <v>100</v>
      </c>
      <c r="BD3808">
        <v>2165</v>
      </c>
      <c r="BE3808">
        <v>2010</v>
      </c>
      <c r="BF3808">
        <v>33</v>
      </c>
      <c r="BG3808">
        <v>2</v>
      </c>
      <c r="BH3808">
        <v>200</v>
      </c>
      <c r="BI3808">
        <v>16</v>
      </c>
      <c r="BJ3808">
        <v>16</v>
      </c>
      <c r="BK3808">
        <v>16</v>
      </c>
      <c r="BP3808" s="184"/>
    </row>
    <row r="3809" spans="1:68">
      <c r="A3809">
        <v>54096177</v>
      </c>
      <c r="B3809">
        <v>54096177</v>
      </c>
      <c r="C3809" t="s">
        <v>7018</v>
      </c>
      <c r="D3809" t="s">
        <v>595</v>
      </c>
      <c r="E3809" s="184">
        <v>43782</v>
      </c>
      <c r="G3809" s="184"/>
      <c r="I3809" s="184"/>
      <c r="K3809" s="184"/>
      <c r="M3809" s="184"/>
      <c r="P3809" t="s">
        <v>7045</v>
      </c>
      <c r="Q3809" t="s">
        <v>7494</v>
      </c>
      <c r="R3809" s="184">
        <v>15478</v>
      </c>
      <c r="S3809">
        <v>81</v>
      </c>
      <c r="U3809" t="s">
        <v>7076</v>
      </c>
      <c r="V3809" t="s">
        <v>2523</v>
      </c>
      <c r="X3809" t="s">
        <v>28788</v>
      </c>
      <c r="AF3809" t="s">
        <v>28789</v>
      </c>
      <c r="AG3809" t="s">
        <v>2523</v>
      </c>
      <c r="AI3809" t="s">
        <v>28790</v>
      </c>
      <c r="AM3809" t="s">
        <v>22455</v>
      </c>
      <c r="AN3809" t="s">
        <v>2174</v>
      </c>
      <c r="AO3809" t="s">
        <v>28791</v>
      </c>
      <c r="AP3809" t="s">
        <v>7024</v>
      </c>
      <c r="AT3809" s="184">
        <v>40014</v>
      </c>
      <c r="AU3809" t="s">
        <v>28792</v>
      </c>
      <c r="AV3809">
        <v>20</v>
      </c>
      <c r="AW3809" s="184">
        <v>45271</v>
      </c>
      <c r="AX3809" t="s">
        <v>28793</v>
      </c>
      <c r="AY3809">
        <v>55</v>
      </c>
      <c r="AZ3809" s="184">
        <v>45271</v>
      </c>
      <c r="BA3809" t="s">
        <v>28793</v>
      </c>
      <c r="BB3809">
        <v>55</v>
      </c>
      <c r="BC3809">
        <v>38</v>
      </c>
      <c r="BD3809">
        <v>320</v>
      </c>
      <c r="BE3809">
        <v>2010</v>
      </c>
      <c r="BF3809">
        <v>7</v>
      </c>
      <c r="BG3809">
        <v>1</v>
      </c>
      <c r="BH3809">
        <v>55</v>
      </c>
      <c r="BI3809">
        <v>6</v>
      </c>
      <c r="BJ3809">
        <v>16</v>
      </c>
      <c r="BK3809">
        <v>3</v>
      </c>
    </row>
    <row r="3810" spans="1:68">
      <c r="A3810">
        <v>54520036</v>
      </c>
      <c r="B3810">
        <v>54520036</v>
      </c>
      <c r="C3810" t="s">
        <v>7018</v>
      </c>
      <c r="D3810" t="s">
        <v>595</v>
      </c>
      <c r="E3810" s="184">
        <v>44414</v>
      </c>
      <c r="G3810" s="184"/>
      <c r="I3810" s="184"/>
      <c r="K3810" s="184"/>
      <c r="M3810" s="184"/>
      <c r="P3810" t="s">
        <v>7045</v>
      </c>
      <c r="Q3810" t="s">
        <v>7262</v>
      </c>
      <c r="R3810" s="184">
        <v>16907</v>
      </c>
      <c r="S3810">
        <v>78</v>
      </c>
      <c r="U3810" t="s">
        <v>7031</v>
      </c>
      <c r="V3810" t="s">
        <v>2511</v>
      </c>
      <c r="W3810" t="s">
        <v>2049</v>
      </c>
      <c r="X3810" t="s">
        <v>28794</v>
      </c>
      <c r="AF3810" t="s">
        <v>28795</v>
      </c>
      <c r="AG3810" t="s">
        <v>2511</v>
      </c>
      <c r="AI3810" t="s">
        <v>28796</v>
      </c>
      <c r="AM3810" t="s">
        <v>3205</v>
      </c>
      <c r="AN3810" t="s">
        <v>2106</v>
      </c>
      <c r="AO3810" t="s">
        <v>28797</v>
      </c>
      <c r="AP3810" t="s">
        <v>7024</v>
      </c>
      <c r="AT3810" s="184">
        <v>40017</v>
      </c>
      <c r="AU3810" t="s">
        <v>28798</v>
      </c>
      <c r="AV3810">
        <v>25</v>
      </c>
      <c r="AW3810" s="184">
        <v>45306</v>
      </c>
      <c r="AX3810" t="s">
        <v>26583</v>
      </c>
      <c r="AY3810">
        <v>55</v>
      </c>
      <c r="AZ3810" s="184">
        <v>45306</v>
      </c>
      <c r="BA3810" t="s">
        <v>26583</v>
      </c>
      <c r="BB3810">
        <v>55</v>
      </c>
      <c r="BC3810">
        <v>94</v>
      </c>
      <c r="BD3810">
        <v>810</v>
      </c>
      <c r="BE3810">
        <v>2010</v>
      </c>
      <c r="BF3810">
        <v>24</v>
      </c>
      <c r="BG3810">
        <v>5</v>
      </c>
      <c r="BH3810">
        <v>215</v>
      </c>
      <c r="BI3810">
        <v>15</v>
      </c>
      <c r="BJ3810">
        <v>16</v>
      </c>
      <c r="BK3810">
        <v>9</v>
      </c>
      <c r="BP3810" s="184"/>
    </row>
    <row r="3811" spans="1:68">
      <c r="A3811">
        <v>54554118</v>
      </c>
      <c r="B3811">
        <v>54554118</v>
      </c>
      <c r="C3811" t="s">
        <v>7018</v>
      </c>
      <c r="E3811" s="184"/>
      <c r="F3811" t="s">
        <v>595</v>
      </c>
      <c r="G3811" s="184">
        <v>44328</v>
      </c>
      <c r="I3811" s="184"/>
      <c r="K3811" s="184"/>
      <c r="M3811" s="184"/>
      <c r="O3811" s="184"/>
      <c r="P3811" t="s">
        <v>7045</v>
      </c>
      <c r="Q3811" t="s">
        <v>7374</v>
      </c>
      <c r="R3811" s="184">
        <v>15337</v>
      </c>
      <c r="S3811">
        <v>82</v>
      </c>
      <c r="V3811" t="s">
        <v>2541</v>
      </c>
      <c r="W3811" t="s">
        <v>7407</v>
      </c>
      <c r="X3811" t="s">
        <v>28799</v>
      </c>
      <c r="AF3811" t="s">
        <v>28800</v>
      </c>
      <c r="AG3811" t="s">
        <v>2541</v>
      </c>
      <c r="AI3811" t="s">
        <v>28801</v>
      </c>
      <c r="AM3811" t="s">
        <v>2534</v>
      </c>
      <c r="AN3811" t="s">
        <v>2081</v>
      </c>
      <c r="AO3811" t="s">
        <v>28802</v>
      </c>
      <c r="AP3811" t="s">
        <v>7024</v>
      </c>
      <c r="AQ3811" t="s">
        <v>28803</v>
      </c>
      <c r="AR3811" t="s">
        <v>28804</v>
      </c>
      <c r="AT3811" s="184">
        <v>40018</v>
      </c>
      <c r="AU3811" t="s">
        <v>28805</v>
      </c>
      <c r="AV3811">
        <v>15</v>
      </c>
      <c r="AW3811" s="184">
        <v>45327</v>
      </c>
      <c r="AX3811" t="s">
        <v>7856</v>
      </c>
      <c r="AY3811">
        <v>35</v>
      </c>
      <c r="AZ3811" s="184">
        <v>42368</v>
      </c>
      <c r="BA3811" t="s">
        <v>28806</v>
      </c>
      <c r="BB3811">
        <v>55</v>
      </c>
      <c r="BC3811">
        <v>82</v>
      </c>
      <c r="BD3811">
        <v>470</v>
      </c>
      <c r="BE3811">
        <v>2010</v>
      </c>
      <c r="BF3811">
        <v>16</v>
      </c>
      <c r="BG3811">
        <v>2</v>
      </c>
      <c r="BH3811">
        <v>70</v>
      </c>
      <c r="BI3811">
        <v>13</v>
      </c>
      <c r="BJ3811">
        <v>16</v>
      </c>
      <c r="BK3811">
        <v>4</v>
      </c>
    </row>
    <row r="3812" spans="1:68">
      <c r="A3812">
        <v>54555115</v>
      </c>
      <c r="B3812">
        <v>54555115</v>
      </c>
      <c r="C3812" t="s">
        <v>7018</v>
      </c>
      <c r="D3812" t="s">
        <v>595</v>
      </c>
      <c r="E3812" s="184">
        <v>45195</v>
      </c>
      <c r="G3812" s="184"/>
      <c r="I3812" s="184"/>
      <c r="K3812" s="184"/>
      <c r="M3812" s="184"/>
      <c r="P3812" t="s">
        <v>7045</v>
      </c>
      <c r="Q3812" t="s">
        <v>7774</v>
      </c>
      <c r="R3812" s="184">
        <v>16923</v>
      </c>
      <c r="S3812">
        <v>78</v>
      </c>
      <c r="V3812" t="s">
        <v>3002</v>
      </c>
      <c r="W3812" t="s">
        <v>7407</v>
      </c>
      <c r="X3812" t="s">
        <v>3145</v>
      </c>
      <c r="AF3812" t="s">
        <v>28807</v>
      </c>
      <c r="AG3812" t="s">
        <v>3002</v>
      </c>
      <c r="AI3812" t="s">
        <v>28808</v>
      </c>
      <c r="AM3812" t="s">
        <v>5330</v>
      </c>
      <c r="AN3812" t="s">
        <v>2077</v>
      </c>
      <c r="AO3812" t="s">
        <v>28809</v>
      </c>
      <c r="AP3812" t="s">
        <v>7024</v>
      </c>
      <c r="AQ3812" t="s">
        <v>28810</v>
      </c>
      <c r="AT3812" s="184">
        <v>40018</v>
      </c>
      <c r="AU3812" t="s">
        <v>28811</v>
      </c>
      <c r="AV3812">
        <v>25</v>
      </c>
      <c r="AW3812" s="184">
        <v>43448</v>
      </c>
      <c r="AX3812" t="s">
        <v>28812</v>
      </c>
      <c r="AY3812">
        <v>200</v>
      </c>
      <c r="AZ3812" s="184">
        <v>43448</v>
      </c>
      <c r="BA3812" t="s">
        <v>28812</v>
      </c>
      <c r="BB3812">
        <v>200</v>
      </c>
      <c r="BC3812">
        <v>38</v>
      </c>
      <c r="BD3812">
        <v>385</v>
      </c>
      <c r="BE3812">
        <v>2010</v>
      </c>
      <c r="BF3812">
        <v>6</v>
      </c>
      <c r="BI3812">
        <v>6</v>
      </c>
      <c r="BJ3812">
        <v>16</v>
      </c>
      <c r="BK3812">
        <v>2</v>
      </c>
    </row>
    <row r="3813" spans="1:68">
      <c r="A3813">
        <v>54648175</v>
      </c>
      <c r="B3813">
        <v>54648175</v>
      </c>
      <c r="C3813" t="s">
        <v>7018</v>
      </c>
      <c r="D3813" t="s">
        <v>595</v>
      </c>
      <c r="E3813" s="184">
        <v>45195</v>
      </c>
      <c r="G3813" s="184"/>
      <c r="I3813" s="184"/>
      <c r="K3813" s="184"/>
      <c r="M3813" s="184"/>
      <c r="P3813" t="s">
        <v>7045</v>
      </c>
      <c r="Q3813" t="s">
        <v>7383</v>
      </c>
      <c r="R3813" s="184">
        <v>24421</v>
      </c>
      <c r="S3813">
        <v>57</v>
      </c>
      <c r="U3813" t="s">
        <v>7076</v>
      </c>
      <c r="V3813" t="s">
        <v>28813</v>
      </c>
      <c r="X3813" t="s">
        <v>2772</v>
      </c>
      <c r="AF3813" t="s">
        <v>28814</v>
      </c>
      <c r="AG3813" t="s">
        <v>28813</v>
      </c>
      <c r="AI3813" t="s">
        <v>28815</v>
      </c>
      <c r="AM3813" t="s">
        <v>10682</v>
      </c>
      <c r="AN3813" t="s">
        <v>2185</v>
      </c>
      <c r="AO3813" t="s">
        <v>28816</v>
      </c>
      <c r="AP3813" t="s">
        <v>7024</v>
      </c>
      <c r="AQ3813" t="s">
        <v>28817</v>
      </c>
      <c r="AT3813" s="184">
        <v>40035</v>
      </c>
      <c r="AU3813" t="s">
        <v>28818</v>
      </c>
      <c r="AV3813">
        <v>15</v>
      </c>
      <c r="AW3813" s="184">
        <v>42550</v>
      </c>
      <c r="AX3813" t="s">
        <v>21457</v>
      </c>
      <c r="AY3813">
        <v>35</v>
      </c>
      <c r="AZ3813" s="184">
        <v>42550</v>
      </c>
      <c r="BA3813" t="s">
        <v>21457</v>
      </c>
      <c r="BB3813">
        <v>35</v>
      </c>
      <c r="BC3813">
        <v>44</v>
      </c>
      <c r="BD3813">
        <v>260</v>
      </c>
      <c r="BE3813">
        <v>2010</v>
      </c>
      <c r="BF3813">
        <v>9</v>
      </c>
      <c r="BI3813">
        <v>7</v>
      </c>
      <c r="BJ3813">
        <v>16</v>
      </c>
      <c r="BK3813">
        <v>6</v>
      </c>
    </row>
    <row r="3814" spans="1:68">
      <c r="A3814">
        <v>54687371</v>
      </c>
      <c r="B3814">
        <v>54687371</v>
      </c>
      <c r="C3814" t="s">
        <v>7018</v>
      </c>
      <c r="E3814" s="184"/>
      <c r="G3814" s="184"/>
      <c r="I3814" s="184"/>
      <c r="J3814" t="s">
        <v>595</v>
      </c>
      <c r="K3814" s="184">
        <v>43789</v>
      </c>
      <c r="M3814" s="184"/>
      <c r="P3814" t="s">
        <v>7045</v>
      </c>
      <c r="Q3814" t="s">
        <v>7374</v>
      </c>
      <c r="R3814" s="184">
        <v>15950</v>
      </c>
      <c r="S3814">
        <v>80</v>
      </c>
      <c r="U3814" t="s">
        <v>7076</v>
      </c>
      <c r="V3814" t="s">
        <v>3101</v>
      </c>
      <c r="X3814" t="s">
        <v>28819</v>
      </c>
      <c r="AF3814" t="s">
        <v>6678</v>
      </c>
      <c r="AG3814" t="s">
        <v>3101</v>
      </c>
      <c r="AI3814" t="s">
        <v>28820</v>
      </c>
      <c r="AM3814" t="s">
        <v>8276</v>
      </c>
      <c r="AN3814" t="s">
        <v>2081</v>
      </c>
      <c r="AO3814" t="s">
        <v>28821</v>
      </c>
      <c r="AP3814" t="s">
        <v>7024</v>
      </c>
      <c r="AT3814" s="184">
        <v>40031</v>
      </c>
      <c r="AU3814" t="s">
        <v>28811</v>
      </c>
      <c r="AV3814">
        <v>15</v>
      </c>
      <c r="AW3814" s="184">
        <v>43504</v>
      </c>
      <c r="AX3814" t="s">
        <v>28822</v>
      </c>
      <c r="AY3814">
        <v>5</v>
      </c>
      <c r="AZ3814" s="184">
        <v>41836</v>
      </c>
      <c r="BA3814" t="s">
        <v>28823</v>
      </c>
      <c r="BB3814">
        <v>60</v>
      </c>
      <c r="BC3814">
        <v>25</v>
      </c>
      <c r="BD3814">
        <v>160.16</v>
      </c>
      <c r="BE3814">
        <v>2010</v>
      </c>
      <c r="BF3814">
        <v>5</v>
      </c>
      <c r="BI3814">
        <v>4</v>
      </c>
      <c r="BJ3814">
        <v>16</v>
      </c>
      <c r="BK3814">
        <v>2</v>
      </c>
    </row>
    <row r="3815" spans="1:68">
      <c r="A3815">
        <v>54776174</v>
      </c>
      <c r="B3815">
        <v>54776174</v>
      </c>
      <c r="C3815" t="s">
        <v>7018</v>
      </c>
      <c r="D3815" t="s">
        <v>595</v>
      </c>
      <c r="E3815" s="184">
        <v>44070</v>
      </c>
      <c r="G3815" s="184"/>
      <c r="I3815" s="184"/>
      <c r="K3815" s="184"/>
      <c r="M3815" s="184"/>
      <c r="O3815" s="184"/>
      <c r="P3815" t="s">
        <v>7045</v>
      </c>
      <c r="Q3815" t="s">
        <v>7383</v>
      </c>
      <c r="R3815" s="184">
        <v>13634</v>
      </c>
      <c r="S3815">
        <v>87</v>
      </c>
      <c r="V3815" t="s">
        <v>3468</v>
      </c>
      <c r="X3815" t="s">
        <v>28824</v>
      </c>
      <c r="AF3815" t="s">
        <v>28825</v>
      </c>
      <c r="AG3815" t="s">
        <v>3468</v>
      </c>
      <c r="AI3815" t="s">
        <v>28826</v>
      </c>
      <c r="AM3815" t="s">
        <v>28827</v>
      </c>
      <c r="AN3815" t="s">
        <v>2144</v>
      </c>
      <c r="AO3815" t="s">
        <v>28828</v>
      </c>
      <c r="AP3815" t="s">
        <v>7024</v>
      </c>
      <c r="AQ3815" t="s">
        <v>28829</v>
      </c>
      <c r="AT3815" s="184">
        <v>40042</v>
      </c>
      <c r="AU3815" t="s">
        <v>28830</v>
      </c>
      <c r="AV3815">
        <v>20</v>
      </c>
      <c r="AW3815" s="184">
        <v>44124</v>
      </c>
      <c r="AX3815" t="s">
        <v>7566</v>
      </c>
      <c r="AY3815">
        <v>50</v>
      </c>
      <c r="AZ3815" s="184">
        <v>44124</v>
      </c>
      <c r="BA3815" t="s">
        <v>7566</v>
      </c>
      <c r="BB3815">
        <v>50</v>
      </c>
      <c r="BC3815">
        <v>75</v>
      </c>
      <c r="BD3815">
        <v>555</v>
      </c>
      <c r="BE3815">
        <v>2010</v>
      </c>
      <c r="BF3815">
        <v>22</v>
      </c>
      <c r="BI3815">
        <v>12</v>
      </c>
      <c r="BJ3815">
        <v>16</v>
      </c>
      <c r="BK3815">
        <v>12</v>
      </c>
    </row>
    <row r="3816" spans="1:68">
      <c r="A3816">
        <v>54780184</v>
      </c>
      <c r="B3816">
        <v>54780184</v>
      </c>
      <c r="C3816" t="s">
        <v>7018</v>
      </c>
      <c r="D3816" t="s">
        <v>595</v>
      </c>
      <c r="E3816" s="184">
        <v>44070</v>
      </c>
      <c r="G3816" s="184"/>
      <c r="I3816" s="184"/>
      <c r="K3816" s="184"/>
      <c r="M3816" s="184"/>
      <c r="O3816" s="184"/>
      <c r="P3816" t="s">
        <v>7045</v>
      </c>
      <c r="Q3816" t="s">
        <v>7020</v>
      </c>
      <c r="R3816" s="184">
        <v>14756</v>
      </c>
      <c r="S3816">
        <v>83</v>
      </c>
      <c r="V3816" t="s">
        <v>28831</v>
      </c>
      <c r="X3816" t="s">
        <v>28832</v>
      </c>
      <c r="AF3816" t="s">
        <v>28833</v>
      </c>
      <c r="AG3816" t="s">
        <v>28831</v>
      </c>
      <c r="AI3816" t="s">
        <v>28834</v>
      </c>
      <c r="AM3816" t="s">
        <v>28835</v>
      </c>
      <c r="AN3816" t="s">
        <v>2112</v>
      </c>
      <c r="AO3816" t="s">
        <v>28836</v>
      </c>
      <c r="AP3816" t="s">
        <v>7024</v>
      </c>
      <c r="AT3816" s="184">
        <v>40042</v>
      </c>
      <c r="AU3816" t="s">
        <v>28830</v>
      </c>
      <c r="AV3816">
        <v>15</v>
      </c>
      <c r="AW3816" s="184">
        <v>45402</v>
      </c>
      <c r="AX3816" t="s">
        <v>7429</v>
      </c>
      <c r="AY3816">
        <v>15</v>
      </c>
      <c r="AZ3816" s="184">
        <v>40476</v>
      </c>
      <c r="BA3816" t="s">
        <v>28837</v>
      </c>
      <c r="BB3816">
        <v>60</v>
      </c>
      <c r="BC3816">
        <v>100</v>
      </c>
      <c r="BD3816">
        <v>1747</v>
      </c>
      <c r="BE3816">
        <v>2010</v>
      </c>
      <c r="BF3816">
        <v>146</v>
      </c>
      <c r="BG3816">
        <v>21</v>
      </c>
      <c r="BH3816">
        <v>315</v>
      </c>
      <c r="BI3816">
        <v>16</v>
      </c>
      <c r="BJ3816">
        <v>16</v>
      </c>
      <c r="BK3816">
        <v>16</v>
      </c>
      <c r="BP3816" s="184"/>
    </row>
    <row r="3817" spans="1:68">
      <c r="A3817">
        <v>54930375</v>
      </c>
      <c r="B3817">
        <v>54930375</v>
      </c>
      <c r="C3817" t="s">
        <v>7018</v>
      </c>
      <c r="E3817" s="184"/>
      <c r="G3817" s="184"/>
      <c r="I3817" s="184"/>
      <c r="J3817" t="s">
        <v>595</v>
      </c>
      <c r="K3817" s="184">
        <v>42522</v>
      </c>
      <c r="M3817" s="184"/>
      <c r="O3817" s="184"/>
      <c r="P3817" t="s">
        <v>7045</v>
      </c>
      <c r="Q3817" t="s">
        <v>7454</v>
      </c>
      <c r="R3817" s="184">
        <v>16193</v>
      </c>
      <c r="S3817">
        <v>80</v>
      </c>
      <c r="U3817" t="s">
        <v>7076</v>
      </c>
      <c r="V3817" t="s">
        <v>3593</v>
      </c>
      <c r="W3817" t="s">
        <v>4139</v>
      </c>
      <c r="X3817" t="s">
        <v>28838</v>
      </c>
      <c r="Z3817">
        <v>100130651</v>
      </c>
      <c r="AB3817" t="s">
        <v>3603</v>
      </c>
      <c r="AC3817" t="s">
        <v>7407</v>
      </c>
      <c r="AD3817" t="s">
        <v>2962</v>
      </c>
      <c r="AF3817" t="s">
        <v>6549</v>
      </c>
      <c r="AG3817" t="s">
        <v>28839</v>
      </c>
      <c r="AI3817" t="s">
        <v>28840</v>
      </c>
      <c r="AM3817" t="s">
        <v>4138</v>
      </c>
      <c r="AN3817" t="s">
        <v>2299</v>
      </c>
      <c r="AO3817" t="s">
        <v>28841</v>
      </c>
      <c r="AP3817" t="s">
        <v>7024</v>
      </c>
      <c r="AQ3817" t="s">
        <v>28842</v>
      </c>
      <c r="AT3817" s="184">
        <v>40056</v>
      </c>
      <c r="AU3817" t="s">
        <v>28843</v>
      </c>
      <c r="AV3817">
        <v>50</v>
      </c>
      <c r="AW3817" s="184">
        <v>45146</v>
      </c>
      <c r="AX3817" t="s">
        <v>7245</v>
      </c>
      <c r="AY3817">
        <v>40</v>
      </c>
      <c r="AZ3817" s="184">
        <v>44799</v>
      </c>
      <c r="BA3817" t="s">
        <v>17561</v>
      </c>
      <c r="BB3817">
        <v>50</v>
      </c>
      <c r="BC3817">
        <v>88</v>
      </c>
      <c r="BD3817">
        <v>1086.25</v>
      </c>
      <c r="BE3817">
        <v>2010</v>
      </c>
      <c r="BF3817">
        <v>29</v>
      </c>
      <c r="BG3817">
        <v>8</v>
      </c>
      <c r="BH3817">
        <v>286.25</v>
      </c>
      <c r="BI3817">
        <v>14</v>
      </c>
      <c r="BJ3817">
        <v>16</v>
      </c>
      <c r="BK3817">
        <v>12</v>
      </c>
    </row>
    <row r="3818" spans="1:68">
      <c r="A3818">
        <v>100130651</v>
      </c>
      <c r="B3818">
        <v>54930375</v>
      </c>
      <c r="C3818" t="s">
        <v>7018</v>
      </c>
      <c r="E3818" s="184"/>
      <c r="G3818" s="184"/>
      <c r="I3818" s="184"/>
      <c r="J3818" t="s">
        <v>595</v>
      </c>
      <c r="K3818" s="184">
        <v>42522</v>
      </c>
      <c r="M3818" s="184"/>
      <c r="P3818" t="s">
        <v>7045</v>
      </c>
      <c r="Q3818" t="s">
        <v>7454</v>
      </c>
      <c r="R3818" s="184"/>
      <c r="V3818" t="s">
        <v>3603</v>
      </c>
      <c r="W3818" t="s">
        <v>7407</v>
      </c>
      <c r="X3818" t="s">
        <v>2962</v>
      </c>
      <c r="Z3818">
        <v>54930375</v>
      </c>
      <c r="AA3818" t="s">
        <v>7076</v>
      </c>
      <c r="AB3818" t="s">
        <v>3593</v>
      </c>
      <c r="AC3818" t="s">
        <v>4139</v>
      </c>
      <c r="AD3818" t="s">
        <v>28838</v>
      </c>
      <c r="AF3818" t="s">
        <v>6549</v>
      </c>
      <c r="AG3818" t="s">
        <v>28839</v>
      </c>
      <c r="AI3818" t="s">
        <v>28840</v>
      </c>
      <c r="AM3818" t="s">
        <v>4138</v>
      </c>
      <c r="AN3818" t="s">
        <v>2299</v>
      </c>
      <c r="AO3818" t="s">
        <v>28841</v>
      </c>
      <c r="AP3818" t="s">
        <v>7024</v>
      </c>
      <c r="AT3818" s="184"/>
      <c r="AW3818" s="184"/>
      <c r="AZ3818" s="184"/>
    </row>
    <row r="3819" spans="1:68">
      <c r="A3819">
        <v>54937578</v>
      </c>
      <c r="B3819">
        <v>54937578</v>
      </c>
      <c r="C3819" t="s">
        <v>7018</v>
      </c>
      <c r="D3819" t="s">
        <v>595</v>
      </c>
      <c r="E3819" s="184">
        <v>44073</v>
      </c>
      <c r="G3819" s="184"/>
      <c r="I3819" s="184"/>
      <c r="K3819" s="184"/>
      <c r="M3819" s="184"/>
      <c r="O3819" s="184"/>
      <c r="P3819" t="s">
        <v>7045</v>
      </c>
      <c r="Q3819" t="s">
        <v>7383</v>
      </c>
      <c r="R3819" s="184">
        <v>16127</v>
      </c>
      <c r="S3819">
        <v>80</v>
      </c>
      <c r="V3819" t="s">
        <v>28844</v>
      </c>
      <c r="X3819" t="s">
        <v>4685</v>
      </c>
      <c r="AF3819" t="s">
        <v>28845</v>
      </c>
      <c r="AG3819" t="s">
        <v>28844</v>
      </c>
      <c r="AI3819" t="s">
        <v>28846</v>
      </c>
      <c r="AM3819" t="s">
        <v>2891</v>
      </c>
      <c r="AN3819" t="s">
        <v>2072</v>
      </c>
      <c r="AO3819" t="s">
        <v>28847</v>
      </c>
      <c r="AP3819" t="s">
        <v>7024</v>
      </c>
      <c r="AQ3819" t="s">
        <v>28848</v>
      </c>
      <c r="AT3819" s="184">
        <v>40056</v>
      </c>
      <c r="AU3819" t="s">
        <v>28849</v>
      </c>
      <c r="AV3819">
        <v>25</v>
      </c>
      <c r="AW3819" s="184">
        <v>45202</v>
      </c>
      <c r="AX3819" t="s">
        <v>28850</v>
      </c>
      <c r="AY3819">
        <v>50</v>
      </c>
      <c r="AZ3819" s="184">
        <v>44280</v>
      </c>
      <c r="BA3819" t="s">
        <v>28851</v>
      </c>
      <c r="BB3819">
        <v>200</v>
      </c>
      <c r="BC3819">
        <v>94</v>
      </c>
      <c r="BD3819">
        <v>1705</v>
      </c>
      <c r="BE3819">
        <v>2010</v>
      </c>
      <c r="BF3819">
        <v>30</v>
      </c>
      <c r="BG3819">
        <v>6</v>
      </c>
      <c r="BH3819">
        <v>550</v>
      </c>
      <c r="BI3819">
        <v>15</v>
      </c>
      <c r="BJ3819">
        <v>16</v>
      </c>
      <c r="BK3819">
        <v>15</v>
      </c>
    </row>
    <row r="3820" spans="1:68">
      <c r="A3820">
        <v>55001572</v>
      </c>
      <c r="B3820">
        <v>55001572</v>
      </c>
      <c r="C3820" t="s">
        <v>7018</v>
      </c>
      <c r="E3820" s="184"/>
      <c r="G3820" s="184"/>
      <c r="H3820" t="s">
        <v>595</v>
      </c>
      <c r="I3820" s="184">
        <v>44167</v>
      </c>
      <c r="K3820" s="184"/>
      <c r="M3820" s="184"/>
      <c r="O3820" s="184"/>
      <c r="P3820" t="s">
        <v>7045</v>
      </c>
      <c r="Q3820" t="s">
        <v>7194</v>
      </c>
      <c r="R3820" s="184">
        <v>16078</v>
      </c>
      <c r="S3820">
        <v>80</v>
      </c>
      <c r="U3820" t="s">
        <v>7076</v>
      </c>
      <c r="V3820" t="s">
        <v>4943</v>
      </c>
      <c r="X3820" t="s">
        <v>28852</v>
      </c>
      <c r="AF3820" t="s">
        <v>28853</v>
      </c>
      <c r="AG3820" t="s">
        <v>4943</v>
      </c>
      <c r="AI3820" t="s">
        <v>28854</v>
      </c>
      <c r="AM3820" t="s">
        <v>28855</v>
      </c>
      <c r="AN3820" t="s">
        <v>2046</v>
      </c>
      <c r="AO3820" t="s">
        <v>28856</v>
      </c>
      <c r="AP3820" t="s">
        <v>7024</v>
      </c>
      <c r="AQ3820" t="s">
        <v>28857</v>
      </c>
      <c r="AR3820" t="s">
        <v>28858</v>
      </c>
      <c r="AT3820" s="184">
        <v>40059</v>
      </c>
      <c r="AU3820" t="s">
        <v>28859</v>
      </c>
      <c r="AV3820">
        <v>25</v>
      </c>
      <c r="AW3820" s="184">
        <v>44487</v>
      </c>
      <c r="AX3820" t="s">
        <v>14035</v>
      </c>
      <c r="AY3820">
        <v>50</v>
      </c>
      <c r="AZ3820" s="184">
        <v>44487</v>
      </c>
      <c r="BA3820" t="s">
        <v>14035</v>
      </c>
      <c r="BB3820">
        <v>50</v>
      </c>
      <c r="BC3820">
        <v>57</v>
      </c>
      <c r="BD3820">
        <v>360</v>
      </c>
      <c r="BE3820">
        <v>2010</v>
      </c>
      <c r="BF3820">
        <v>9</v>
      </c>
      <c r="BI3820">
        <v>9</v>
      </c>
      <c r="BJ3820">
        <v>16</v>
      </c>
      <c r="BK3820">
        <v>7</v>
      </c>
      <c r="BN3820" t="s">
        <v>595</v>
      </c>
      <c r="BP3820" s="184"/>
    </row>
    <row r="3821" spans="1:68">
      <c r="A3821">
        <v>55102388</v>
      </c>
      <c r="B3821">
        <v>55102388</v>
      </c>
      <c r="C3821" t="s">
        <v>7018</v>
      </c>
      <c r="D3821" t="s">
        <v>595</v>
      </c>
      <c r="E3821" s="184">
        <v>44441</v>
      </c>
      <c r="G3821" s="184"/>
      <c r="I3821" s="184"/>
      <c r="K3821" s="184"/>
      <c r="M3821" s="184"/>
      <c r="O3821" s="184"/>
      <c r="P3821" t="s">
        <v>7045</v>
      </c>
      <c r="Q3821" t="s">
        <v>7030</v>
      </c>
      <c r="R3821" s="184">
        <v>18476</v>
      </c>
      <c r="S3821">
        <v>73</v>
      </c>
      <c r="V3821" t="s">
        <v>3206</v>
      </c>
      <c r="W3821" t="s">
        <v>7560</v>
      </c>
      <c r="X3821" t="s">
        <v>3347</v>
      </c>
      <c r="Z3821">
        <v>100130724</v>
      </c>
      <c r="AA3821" t="s">
        <v>7130</v>
      </c>
      <c r="AB3821" t="s">
        <v>12327</v>
      </c>
      <c r="AD3821" t="s">
        <v>3347</v>
      </c>
      <c r="AF3821" t="s">
        <v>28860</v>
      </c>
      <c r="AG3821" t="s">
        <v>28861</v>
      </c>
      <c r="AI3821" t="s">
        <v>28862</v>
      </c>
      <c r="AM3821" t="s">
        <v>4632</v>
      </c>
      <c r="AN3821" t="s">
        <v>2094</v>
      </c>
      <c r="AO3821" t="s">
        <v>28863</v>
      </c>
      <c r="AP3821" t="s">
        <v>7024</v>
      </c>
      <c r="AT3821" s="184">
        <v>40067</v>
      </c>
      <c r="AU3821" t="s">
        <v>28864</v>
      </c>
      <c r="AV3821">
        <v>25</v>
      </c>
      <c r="AW3821" s="184">
        <v>45196</v>
      </c>
      <c r="AX3821" t="s">
        <v>17610</v>
      </c>
      <c r="AY3821">
        <v>200</v>
      </c>
      <c r="AZ3821" s="184">
        <v>44452</v>
      </c>
      <c r="BA3821" t="s">
        <v>28865</v>
      </c>
      <c r="BB3821">
        <v>300</v>
      </c>
      <c r="BC3821">
        <v>94</v>
      </c>
      <c r="BD3821">
        <v>1885</v>
      </c>
      <c r="BE3821">
        <v>2010</v>
      </c>
      <c r="BF3821">
        <v>15</v>
      </c>
      <c r="BG3821">
        <v>2</v>
      </c>
      <c r="BH3821">
        <v>400</v>
      </c>
      <c r="BI3821">
        <v>15</v>
      </c>
      <c r="BJ3821">
        <v>16</v>
      </c>
      <c r="BK3821">
        <v>15</v>
      </c>
      <c r="BP3821" s="184"/>
    </row>
    <row r="3822" spans="1:68">
      <c r="A3822">
        <v>100130724</v>
      </c>
      <c r="B3822">
        <v>55102388</v>
      </c>
      <c r="C3822" t="s">
        <v>7018</v>
      </c>
      <c r="D3822" t="s">
        <v>595</v>
      </c>
      <c r="E3822" s="184">
        <v>44441</v>
      </c>
      <c r="G3822" s="184"/>
      <c r="I3822" s="184"/>
      <c r="K3822" s="184"/>
      <c r="M3822" s="184"/>
      <c r="O3822" s="184"/>
      <c r="P3822" t="s">
        <v>7045</v>
      </c>
      <c r="Q3822" t="s">
        <v>7030</v>
      </c>
      <c r="R3822" s="184">
        <v>18994</v>
      </c>
      <c r="S3822">
        <v>72</v>
      </c>
      <c r="U3822" t="s">
        <v>7130</v>
      </c>
      <c r="V3822" t="s">
        <v>12327</v>
      </c>
      <c r="X3822" t="s">
        <v>3347</v>
      </c>
      <c r="Z3822">
        <v>55102388</v>
      </c>
      <c r="AB3822" t="s">
        <v>3206</v>
      </c>
      <c r="AC3822" t="s">
        <v>7560</v>
      </c>
      <c r="AD3822" t="s">
        <v>3347</v>
      </c>
      <c r="AF3822" t="s">
        <v>28860</v>
      </c>
      <c r="AG3822" t="s">
        <v>28861</v>
      </c>
      <c r="AI3822" t="s">
        <v>28862</v>
      </c>
      <c r="AM3822" t="s">
        <v>4632</v>
      </c>
      <c r="AN3822" t="s">
        <v>2094</v>
      </c>
      <c r="AO3822" t="s">
        <v>28863</v>
      </c>
      <c r="AP3822" t="s">
        <v>7024</v>
      </c>
      <c r="AQ3822" t="s">
        <v>28866</v>
      </c>
      <c r="AT3822" s="184"/>
      <c r="AW3822" s="184"/>
      <c r="AZ3822" s="184"/>
      <c r="BP3822" s="184"/>
    </row>
    <row r="3823" spans="1:68">
      <c r="A3823">
        <v>55184337</v>
      </c>
      <c r="B3823">
        <v>55184337</v>
      </c>
      <c r="C3823" t="s">
        <v>7018</v>
      </c>
      <c r="D3823" t="s">
        <v>595</v>
      </c>
      <c r="E3823" s="184">
        <v>44167</v>
      </c>
      <c r="G3823" s="184"/>
      <c r="I3823" s="184"/>
      <c r="K3823" s="184"/>
      <c r="M3823" s="184"/>
      <c r="O3823" s="184"/>
      <c r="P3823" t="s">
        <v>7045</v>
      </c>
      <c r="Q3823" t="s">
        <v>7262</v>
      </c>
      <c r="R3823" s="184">
        <v>18415</v>
      </c>
      <c r="S3823">
        <v>73</v>
      </c>
      <c r="U3823" t="s">
        <v>7031</v>
      </c>
      <c r="V3823" t="s">
        <v>28867</v>
      </c>
      <c r="X3823" t="s">
        <v>28868</v>
      </c>
      <c r="AF3823" t="s">
        <v>28869</v>
      </c>
      <c r="AG3823" t="s">
        <v>28867</v>
      </c>
      <c r="AI3823" t="s">
        <v>28870</v>
      </c>
      <c r="AM3823" t="s">
        <v>2679</v>
      </c>
      <c r="AN3823" t="s">
        <v>2318</v>
      </c>
      <c r="AO3823" t="s">
        <v>28871</v>
      </c>
      <c r="AP3823" t="s">
        <v>7024</v>
      </c>
      <c r="AQ3823" t="s">
        <v>28872</v>
      </c>
      <c r="AT3823" s="184">
        <v>40070</v>
      </c>
      <c r="AU3823" t="s">
        <v>28873</v>
      </c>
      <c r="AV3823">
        <v>25</v>
      </c>
      <c r="AW3823" s="184">
        <v>45399</v>
      </c>
      <c r="AX3823" t="s">
        <v>7429</v>
      </c>
      <c r="AY3823">
        <v>20</v>
      </c>
      <c r="AZ3823" s="184">
        <v>42633</v>
      </c>
      <c r="BA3823" t="s">
        <v>12063</v>
      </c>
      <c r="BB3823">
        <v>50</v>
      </c>
      <c r="BC3823">
        <v>94</v>
      </c>
      <c r="BD3823">
        <v>1540</v>
      </c>
      <c r="BE3823">
        <v>2010</v>
      </c>
      <c r="BF3823">
        <v>88</v>
      </c>
      <c r="BG3823">
        <v>24</v>
      </c>
      <c r="BH3823">
        <v>460</v>
      </c>
      <c r="BI3823">
        <v>15</v>
      </c>
      <c r="BJ3823">
        <v>16</v>
      </c>
      <c r="BK3823">
        <v>11</v>
      </c>
    </row>
    <row r="3824" spans="1:68">
      <c r="A3824">
        <v>55184956</v>
      </c>
      <c r="B3824">
        <v>55184956</v>
      </c>
      <c r="C3824" t="s">
        <v>7018</v>
      </c>
      <c r="D3824" t="s">
        <v>595</v>
      </c>
      <c r="E3824" s="184">
        <v>44104</v>
      </c>
      <c r="G3824" s="184"/>
      <c r="I3824" s="184"/>
      <c r="K3824" s="184"/>
      <c r="M3824" s="184"/>
      <c r="O3824" s="184"/>
      <c r="P3824" t="s">
        <v>7045</v>
      </c>
      <c r="Q3824" t="s">
        <v>7494</v>
      </c>
      <c r="R3824" s="184">
        <v>17746</v>
      </c>
      <c r="S3824">
        <v>75</v>
      </c>
      <c r="V3824" t="s">
        <v>3547</v>
      </c>
      <c r="W3824" t="s">
        <v>4013</v>
      </c>
      <c r="X3824" t="s">
        <v>28874</v>
      </c>
      <c r="AF3824" t="s">
        <v>28875</v>
      </c>
      <c r="AG3824" t="s">
        <v>3547</v>
      </c>
      <c r="AI3824" t="s">
        <v>28876</v>
      </c>
      <c r="AM3824" t="s">
        <v>3763</v>
      </c>
      <c r="AN3824" t="s">
        <v>2484</v>
      </c>
      <c r="AO3824" t="s">
        <v>28877</v>
      </c>
      <c r="AP3824" t="s">
        <v>7024</v>
      </c>
      <c r="AQ3824" t="s">
        <v>28878</v>
      </c>
      <c r="AT3824" s="184">
        <v>40070</v>
      </c>
      <c r="AU3824" t="s">
        <v>28879</v>
      </c>
      <c r="AV3824">
        <v>25</v>
      </c>
      <c r="AW3824" s="184">
        <v>45082</v>
      </c>
      <c r="AX3824" t="s">
        <v>7701</v>
      </c>
      <c r="AY3824">
        <v>50</v>
      </c>
      <c r="AZ3824" s="184">
        <v>45082</v>
      </c>
      <c r="BA3824" t="s">
        <v>7701</v>
      </c>
      <c r="BB3824">
        <v>50</v>
      </c>
      <c r="BC3824">
        <v>88</v>
      </c>
      <c r="BD3824">
        <v>570</v>
      </c>
      <c r="BE3824">
        <v>2010</v>
      </c>
      <c r="BF3824">
        <v>14</v>
      </c>
      <c r="BG3824">
        <v>2</v>
      </c>
      <c r="BH3824">
        <v>100</v>
      </c>
      <c r="BI3824">
        <v>14</v>
      </c>
      <c r="BJ3824">
        <v>16</v>
      </c>
      <c r="BK3824">
        <v>11</v>
      </c>
      <c r="BP3824" s="184"/>
    </row>
    <row r="3825" spans="1:68">
      <c r="A3825">
        <v>55228985</v>
      </c>
      <c r="B3825">
        <v>55228985</v>
      </c>
      <c r="C3825" t="s">
        <v>7018</v>
      </c>
      <c r="D3825" t="s">
        <v>595</v>
      </c>
      <c r="E3825" s="184">
        <v>44147</v>
      </c>
      <c r="G3825" s="184"/>
      <c r="I3825" s="184"/>
      <c r="K3825" s="184"/>
      <c r="M3825" s="184"/>
      <c r="O3825" s="184"/>
      <c r="P3825" t="s">
        <v>7045</v>
      </c>
      <c r="Q3825" t="s">
        <v>7374</v>
      </c>
      <c r="R3825" s="184">
        <v>18688</v>
      </c>
      <c r="S3825">
        <v>73</v>
      </c>
      <c r="V3825" t="s">
        <v>2697</v>
      </c>
      <c r="W3825" t="s">
        <v>7085</v>
      </c>
      <c r="X3825" t="s">
        <v>28880</v>
      </c>
      <c r="Z3825">
        <v>100130779</v>
      </c>
      <c r="AB3825" t="s">
        <v>2903</v>
      </c>
      <c r="AD3825" t="s">
        <v>28880</v>
      </c>
      <c r="AF3825" t="s">
        <v>28881</v>
      </c>
      <c r="AG3825" t="s">
        <v>17774</v>
      </c>
      <c r="AI3825" t="s">
        <v>28882</v>
      </c>
      <c r="AM3825" t="s">
        <v>4245</v>
      </c>
      <c r="AN3825" t="s">
        <v>2081</v>
      </c>
      <c r="AO3825" t="s">
        <v>28883</v>
      </c>
      <c r="AP3825" t="s">
        <v>7024</v>
      </c>
      <c r="AQ3825" t="s">
        <v>28884</v>
      </c>
      <c r="AR3825" t="s">
        <v>28885</v>
      </c>
      <c r="AT3825" s="184">
        <v>40071</v>
      </c>
      <c r="AU3825" t="s">
        <v>28886</v>
      </c>
      <c r="AV3825">
        <v>25</v>
      </c>
      <c r="AW3825" s="184">
        <v>45401</v>
      </c>
      <c r="AX3825" t="s">
        <v>7429</v>
      </c>
      <c r="AY3825">
        <v>10</v>
      </c>
      <c r="AZ3825" s="184">
        <v>41548</v>
      </c>
      <c r="BA3825" t="s">
        <v>28887</v>
      </c>
      <c r="BB3825">
        <v>50</v>
      </c>
      <c r="BC3825">
        <v>88</v>
      </c>
      <c r="BD3825">
        <v>1490</v>
      </c>
      <c r="BE3825">
        <v>2010</v>
      </c>
      <c r="BF3825">
        <v>134</v>
      </c>
      <c r="BG3825">
        <v>24</v>
      </c>
      <c r="BH3825">
        <v>240</v>
      </c>
      <c r="BI3825">
        <v>14</v>
      </c>
      <c r="BJ3825">
        <v>16</v>
      </c>
      <c r="BK3825">
        <v>13</v>
      </c>
      <c r="BN3825" t="s">
        <v>595</v>
      </c>
    </row>
    <row r="3826" spans="1:68">
      <c r="A3826">
        <v>100130779</v>
      </c>
      <c r="B3826">
        <v>55228985</v>
      </c>
      <c r="C3826" t="s">
        <v>7018</v>
      </c>
      <c r="D3826" t="s">
        <v>595</v>
      </c>
      <c r="E3826" s="184">
        <v>44147</v>
      </c>
      <c r="G3826" s="184"/>
      <c r="I3826" s="184"/>
      <c r="K3826" s="184"/>
      <c r="M3826" s="184"/>
      <c r="O3826" s="184"/>
      <c r="P3826" t="s">
        <v>7045</v>
      </c>
      <c r="Q3826" t="s">
        <v>7374</v>
      </c>
      <c r="R3826" s="184">
        <v>18019</v>
      </c>
      <c r="S3826">
        <v>75</v>
      </c>
      <c r="V3826" t="s">
        <v>2903</v>
      </c>
      <c r="X3826" t="s">
        <v>28880</v>
      </c>
      <c r="Z3826">
        <v>55228985</v>
      </c>
      <c r="AB3826" t="s">
        <v>2697</v>
      </c>
      <c r="AC3826" t="s">
        <v>7085</v>
      </c>
      <c r="AD3826" t="s">
        <v>28880</v>
      </c>
      <c r="AF3826" t="s">
        <v>28881</v>
      </c>
      <c r="AG3826" t="s">
        <v>17774</v>
      </c>
      <c r="AI3826" t="s">
        <v>28882</v>
      </c>
      <c r="AM3826" t="s">
        <v>4245</v>
      </c>
      <c r="AN3826" t="s">
        <v>2081</v>
      </c>
      <c r="AO3826" t="s">
        <v>28883</v>
      </c>
      <c r="AP3826" t="s">
        <v>7024</v>
      </c>
      <c r="AT3826" s="184"/>
      <c r="AW3826" s="184"/>
      <c r="AZ3826" s="184"/>
      <c r="BP3826" s="184"/>
    </row>
    <row r="3827" spans="1:68">
      <c r="A3827">
        <v>55233787</v>
      </c>
      <c r="B3827">
        <v>55233787</v>
      </c>
      <c r="C3827" t="s">
        <v>7018</v>
      </c>
      <c r="D3827" t="s">
        <v>595</v>
      </c>
      <c r="E3827" s="184">
        <v>44168</v>
      </c>
      <c r="G3827" s="184"/>
      <c r="I3827" s="184"/>
      <c r="K3827" s="184"/>
      <c r="O3827" s="184"/>
      <c r="P3827" t="s">
        <v>7045</v>
      </c>
      <c r="Q3827" t="s">
        <v>7374</v>
      </c>
      <c r="R3827" s="184">
        <v>16624</v>
      </c>
      <c r="S3827">
        <v>78</v>
      </c>
      <c r="V3827" t="s">
        <v>28888</v>
      </c>
      <c r="X3827" t="s">
        <v>28889</v>
      </c>
      <c r="AF3827" t="s">
        <v>28890</v>
      </c>
      <c r="AG3827" t="s">
        <v>28888</v>
      </c>
      <c r="AI3827" t="s">
        <v>28891</v>
      </c>
      <c r="AJ3827" t="s">
        <v>28892</v>
      </c>
      <c r="AM3827" t="s">
        <v>3109</v>
      </c>
      <c r="AN3827" t="s">
        <v>2081</v>
      </c>
      <c r="AO3827" t="s">
        <v>28893</v>
      </c>
      <c r="AP3827" t="s">
        <v>7024</v>
      </c>
      <c r="AQ3827" t="s">
        <v>28894</v>
      </c>
      <c r="AR3827" t="s">
        <v>28895</v>
      </c>
      <c r="AT3827" s="184">
        <v>32983</v>
      </c>
      <c r="AU3827" t="s">
        <v>28896</v>
      </c>
      <c r="AV3827">
        <v>15</v>
      </c>
      <c r="AW3827" s="184">
        <v>45140</v>
      </c>
      <c r="AX3827" t="s">
        <v>28897</v>
      </c>
      <c r="AY3827">
        <v>30</v>
      </c>
      <c r="AZ3827" s="184">
        <v>40973</v>
      </c>
      <c r="BA3827" t="s">
        <v>28898</v>
      </c>
      <c r="BB3827">
        <v>180</v>
      </c>
      <c r="BC3827">
        <v>49</v>
      </c>
      <c r="BD3827">
        <v>1015</v>
      </c>
      <c r="BE3827">
        <v>1990</v>
      </c>
      <c r="BF3827">
        <v>26</v>
      </c>
      <c r="BG3827">
        <v>2</v>
      </c>
      <c r="BH3827">
        <v>50</v>
      </c>
      <c r="BI3827">
        <v>17</v>
      </c>
      <c r="BJ3827">
        <v>35</v>
      </c>
      <c r="BK3827">
        <v>6</v>
      </c>
    </row>
    <row r="3828" spans="1:68">
      <c r="A3828">
        <v>55235741</v>
      </c>
      <c r="B3828">
        <v>55235741</v>
      </c>
      <c r="C3828" t="s">
        <v>7018</v>
      </c>
      <c r="D3828" t="s">
        <v>595</v>
      </c>
      <c r="E3828" s="184">
        <v>44046</v>
      </c>
      <c r="G3828" s="184"/>
      <c r="I3828" s="184"/>
      <c r="K3828" s="184"/>
      <c r="M3828" s="184"/>
      <c r="O3828" s="184"/>
      <c r="P3828" t="s">
        <v>7045</v>
      </c>
      <c r="Q3828" t="s">
        <v>7262</v>
      </c>
      <c r="R3828" s="184">
        <v>19998</v>
      </c>
      <c r="S3828">
        <v>69</v>
      </c>
      <c r="U3828" t="s">
        <v>7031</v>
      </c>
      <c r="V3828" t="s">
        <v>3689</v>
      </c>
      <c r="W3828" t="s">
        <v>7407</v>
      </c>
      <c r="X3828" t="s">
        <v>28899</v>
      </c>
      <c r="AF3828" t="s">
        <v>28900</v>
      </c>
      <c r="AG3828" t="s">
        <v>3689</v>
      </c>
      <c r="AI3828" t="s">
        <v>28901</v>
      </c>
      <c r="AM3828" t="s">
        <v>28902</v>
      </c>
      <c r="AN3828" t="s">
        <v>2106</v>
      </c>
      <c r="AO3828" t="s">
        <v>28903</v>
      </c>
      <c r="AP3828" t="s">
        <v>7024</v>
      </c>
      <c r="AQ3828" t="s">
        <v>28904</v>
      </c>
      <c r="AT3828" s="184">
        <v>40071</v>
      </c>
      <c r="AU3828" t="s">
        <v>28905</v>
      </c>
      <c r="AV3828">
        <v>25</v>
      </c>
      <c r="AW3828" s="184">
        <v>45183</v>
      </c>
      <c r="AX3828" t="s">
        <v>15021</v>
      </c>
      <c r="AY3828">
        <v>75</v>
      </c>
      <c r="AZ3828" s="184">
        <v>42236</v>
      </c>
      <c r="BA3828" t="s">
        <v>9545</v>
      </c>
      <c r="BB3828">
        <v>100</v>
      </c>
      <c r="BC3828">
        <v>94</v>
      </c>
      <c r="BD3828">
        <v>1415</v>
      </c>
      <c r="BE3828">
        <v>2010</v>
      </c>
      <c r="BF3828">
        <v>22</v>
      </c>
      <c r="BG3828">
        <v>2</v>
      </c>
      <c r="BH3828">
        <v>150</v>
      </c>
      <c r="BI3828">
        <v>15</v>
      </c>
      <c r="BJ3828">
        <v>16</v>
      </c>
      <c r="BK3828">
        <v>15</v>
      </c>
      <c r="BP3828" s="184"/>
    </row>
    <row r="3829" spans="1:68">
      <c r="A3829">
        <v>55347173</v>
      </c>
      <c r="B3829">
        <v>55347173</v>
      </c>
      <c r="C3829" t="s">
        <v>7018</v>
      </c>
      <c r="D3829" t="s">
        <v>595</v>
      </c>
      <c r="E3829" s="184">
        <v>44167</v>
      </c>
      <c r="G3829" s="184"/>
      <c r="I3829" s="184"/>
      <c r="K3829" s="184"/>
      <c r="M3829" s="184"/>
      <c r="O3829" s="184"/>
      <c r="P3829" t="s">
        <v>7045</v>
      </c>
      <c r="Q3829" t="s">
        <v>7020</v>
      </c>
      <c r="R3829" s="184">
        <v>16862</v>
      </c>
      <c r="S3829">
        <v>78</v>
      </c>
      <c r="U3829" t="s">
        <v>7031</v>
      </c>
      <c r="V3829" t="s">
        <v>3632</v>
      </c>
      <c r="X3829" t="s">
        <v>3839</v>
      </c>
      <c r="AF3829" t="s">
        <v>28906</v>
      </c>
      <c r="AG3829" t="s">
        <v>3632</v>
      </c>
      <c r="AI3829" t="s">
        <v>28907</v>
      </c>
      <c r="AM3829" t="s">
        <v>28908</v>
      </c>
      <c r="AN3829" t="s">
        <v>2129</v>
      </c>
      <c r="AO3829" t="s">
        <v>28909</v>
      </c>
      <c r="AP3829" t="s">
        <v>7024</v>
      </c>
      <c r="AQ3829" t="s">
        <v>28910</v>
      </c>
      <c r="AT3829" s="184">
        <v>40073</v>
      </c>
      <c r="AU3829" t="s">
        <v>28873</v>
      </c>
      <c r="AV3829">
        <v>20</v>
      </c>
      <c r="AW3829" s="184">
        <v>45307</v>
      </c>
      <c r="AX3829" t="s">
        <v>13372</v>
      </c>
      <c r="AY3829">
        <v>8</v>
      </c>
      <c r="AZ3829" s="184">
        <v>42474</v>
      </c>
      <c r="BA3829" t="s">
        <v>28911</v>
      </c>
      <c r="BB3829">
        <v>30</v>
      </c>
      <c r="BC3829">
        <v>94</v>
      </c>
      <c r="BD3829">
        <v>438</v>
      </c>
      <c r="BE3829">
        <v>2010</v>
      </c>
      <c r="BF3829">
        <v>31</v>
      </c>
      <c r="BG3829">
        <v>4</v>
      </c>
      <c r="BH3829">
        <v>47</v>
      </c>
      <c r="BI3829">
        <v>15</v>
      </c>
      <c r="BJ3829">
        <v>16</v>
      </c>
      <c r="BK3829">
        <v>8</v>
      </c>
      <c r="BP3829" s="184"/>
    </row>
    <row r="3830" spans="1:68">
      <c r="A3830">
        <v>55431175</v>
      </c>
      <c r="B3830">
        <v>55431175</v>
      </c>
      <c r="C3830" t="s">
        <v>7018</v>
      </c>
      <c r="D3830" t="s">
        <v>595</v>
      </c>
      <c r="E3830" s="184">
        <v>45105</v>
      </c>
      <c r="G3830" s="184"/>
      <c r="I3830" s="184"/>
      <c r="K3830" s="184"/>
      <c r="M3830" s="184"/>
      <c r="O3830" s="184"/>
      <c r="P3830" t="s">
        <v>7045</v>
      </c>
      <c r="Q3830" t="s">
        <v>7494</v>
      </c>
      <c r="R3830" s="184">
        <v>14458</v>
      </c>
      <c r="S3830">
        <v>84</v>
      </c>
      <c r="U3830" t="s">
        <v>7031</v>
      </c>
      <c r="V3830" t="s">
        <v>2541</v>
      </c>
      <c r="X3830" t="s">
        <v>5622</v>
      </c>
      <c r="AF3830" t="s">
        <v>28912</v>
      </c>
      <c r="AG3830" t="s">
        <v>2541</v>
      </c>
      <c r="AI3830" t="s">
        <v>19975</v>
      </c>
      <c r="AM3830" t="s">
        <v>28913</v>
      </c>
      <c r="AN3830" t="s">
        <v>2484</v>
      </c>
      <c r="AO3830" t="s">
        <v>28914</v>
      </c>
      <c r="AP3830" t="s">
        <v>7024</v>
      </c>
      <c r="AQ3830" t="s">
        <v>28915</v>
      </c>
      <c r="AT3830" s="184">
        <v>40074</v>
      </c>
      <c r="AU3830" t="s">
        <v>28177</v>
      </c>
      <c r="AV3830">
        <v>15</v>
      </c>
      <c r="AW3830" s="184">
        <v>45407</v>
      </c>
      <c r="AX3830" t="s">
        <v>10980</v>
      </c>
      <c r="AY3830">
        <v>25</v>
      </c>
      <c r="AZ3830" s="184">
        <v>45407</v>
      </c>
      <c r="BA3830" t="s">
        <v>10980</v>
      </c>
      <c r="BB3830">
        <v>25</v>
      </c>
      <c r="BC3830">
        <v>63</v>
      </c>
      <c r="BD3830">
        <v>415</v>
      </c>
      <c r="BE3830">
        <v>2010</v>
      </c>
      <c r="BF3830">
        <v>21</v>
      </c>
      <c r="BG3830">
        <v>8</v>
      </c>
      <c r="BH3830">
        <v>175</v>
      </c>
      <c r="BI3830">
        <v>10</v>
      </c>
      <c r="BJ3830">
        <v>16</v>
      </c>
      <c r="BK3830">
        <v>8</v>
      </c>
    </row>
    <row r="3831" spans="1:68">
      <c r="A3831">
        <v>55469795</v>
      </c>
      <c r="B3831">
        <v>55469795</v>
      </c>
      <c r="C3831" t="s">
        <v>7018</v>
      </c>
      <c r="E3831" s="184"/>
      <c r="G3831" s="184"/>
      <c r="H3831" t="s">
        <v>595</v>
      </c>
      <c r="I3831" s="184">
        <v>44011</v>
      </c>
      <c r="K3831" s="184"/>
      <c r="M3831" s="184"/>
      <c r="O3831" s="184"/>
      <c r="P3831" t="s">
        <v>7045</v>
      </c>
      <c r="Q3831" t="s">
        <v>7374</v>
      </c>
      <c r="R3831" s="184">
        <v>19392</v>
      </c>
      <c r="S3831">
        <v>71</v>
      </c>
      <c r="V3831" t="s">
        <v>4391</v>
      </c>
      <c r="X3831" t="s">
        <v>4817</v>
      </c>
      <c r="AF3831" t="s">
        <v>28916</v>
      </c>
      <c r="AG3831" t="s">
        <v>4391</v>
      </c>
      <c r="AI3831" t="s">
        <v>28917</v>
      </c>
      <c r="AM3831" t="s">
        <v>3109</v>
      </c>
      <c r="AN3831" t="s">
        <v>2081</v>
      </c>
      <c r="AO3831" t="s">
        <v>28918</v>
      </c>
      <c r="AP3831" t="s">
        <v>7024</v>
      </c>
      <c r="AQ3831" t="s">
        <v>28919</v>
      </c>
      <c r="AT3831" s="184">
        <v>40077</v>
      </c>
      <c r="AU3831" t="s">
        <v>28920</v>
      </c>
      <c r="AV3831">
        <v>15</v>
      </c>
      <c r="AW3831" s="184">
        <v>44251</v>
      </c>
      <c r="AX3831" t="s">
        <v>7099</v>
      </c>
      <c r="AY3831">
        <v>500</v>
      </c>
      <c r="AZ3831" s="184">
        <v>44251</v>
      </c>
      <c r="BA3831" t="s">
        <v>7099</v>
      </c>
      <c r="BB3831">
        <v>500</v>
      </c>
      <c r="BC3831">
        <v>19</v>
      </c>
      <c r="BD3831">
        <v>1015</v>
      </c>
      <c r="BE3831">
        <v>2010</v>
      </c>
      <c r="BF3831">
        <v>3</v>
      </c>
      <c r="BI3831">
        <v>3</v>
      </c>
      <c r="BJ3831">
        <v>16</v>
      </c>
      <c r="BK3831">
        <v>2</v>
      </c>
      <c r="BN3831" t="s">
        <v>595</v>
      </c>
      <c r="BP3831" s="184"/>
    </row>
    <row r="3832" spans="1:68">
      <c r="A3832">
        <v>55509970</v>
      </c>
      <c r="B3832">
        <v>55509970</v>
      </c>
      <c r="C3832" t="s">
        <v>7018</v>
      </c>
      <c r="D3832" t="s">
        <v>595</v>
      </c>
      <c r="E3832" s="184">
        <v>44455</v>
      </c>
      <c r="G3832" s="184"/>
      <c r="I3832" s="184"/>
      <c r="K3832" s="184"/>
      <c r="M3832" s="184"/>
      <c r="O3832" s="184"/>
      <c r="P3832" t="s">
        <v>7045</v>
      </c>
      <c r="Q3832" t="s">
        <v>7194</v>
      </c>
      <c r="R3832" s="184">
        <v>15155</v>
      </c>
      <c r="S3832">
        <v>82</v>
      </c>
      <c r="V3832" t="s">
        <v>3901</v>
      </c>
      <c r="X3832" t="s">
        <v>3852</v>
      </c>
      <c r="AF3832" t="s">
        <v>28921</v>
      </c>
      <c r="AG3832" t="s">
        <v>3901</v>
      </c>
      <c r="AI3832" t="s">
        <v>28922</v>
      </c>
      <c r="AM3832" t="s">
        <v>11015</v>
      </c>
      <c r="AN3832" t="s">
        <v>2046</v>
      </c>
      <c r="AO3832" t="s">
        <v>28923</v>
      </c>
      <c r="AP3832" t="s">
        <v>7024</v>
      </c>
      <c r="AQ3832" t="s">
        <v>28924</v>
      </c>
      <c r="AT3832" s="184">
        <v>40077</v>
      </c>
      <c r="AU3832" t="s">
        <v>28925</v>
      </c>
      <c r="AV3832">
        <v>15</v>
      </c>
      <c r="AW3832" s="184">
        <v>45229</v>
      </c>
      <c r="AX3832" t="s">
        <v>28926</v>
      </c>
      <c r="AY3832">
        <v>25</v>
      </c>
      <c r="AZ3832" s="184">
        <v>45229</v>
      </c>
      <c r="BA3832" t="s">
        <v>28926</v>
      </c>
      <c r="BB3832">
        <v>25</v>
      </c>
      <c r="BC3832">
        <v>82</v>
      </c>
      <c r="BD3832">
        <v>360</v>
      </c>
      <c r="BE3832">
        <v>2010</v>
      </c>
      <c r="BF3832">
        <v>15</v>
      </c>
      <c r="BG3832">
        <v>2</v>
      </c>
      <c r="BH3832">
        <v>50</v>
      </c>
      <c r="BI3832">
        <v>13</v>
      </c>
      <c r="BJ3832">
        <v>16</v>
      </c>
      <c r="BK3832">
        <v>5</v>
      </c>
    </row>
    <row r="3833" spans="1:68">
      <c r="A3833">
        <v>55556120</v>
      </c>
      <c r="B3833">
        <v>55556120</v>
      </c>
      <c r="C3833" t="s">
        <v>7018</v>
      </c>
      <c r="E3833" s="184"/>
      <c r="F3833" t="s">
        <v>595</v>
      </c>
      <c r="G3833" s="184">
        <v>44104</v>
      </c>
      <c r="I3833" s="184"/>
      <c r="K3833" s="184"/>
      <c r="M3833" s="184"/>
      <c r="O3833" s="184"/>
      <c r="P3833" t="s">
        <v>7045</v>
      </c>
      <c r="Q3833" t="s">
        <v>7020</v>
      </c>
      <c r="R3833" s="184">
        <v>20241</v>
      </c>
      <c r="S3833">
        <v>68</v>
      </c>
      <c r="U3833" t="s">
        <v>7031</v>
      </c>
      <c r="V3833" t="s">
        <v>2758</v>
      </c>
      <c r="X3833" t="s">
        <v>16771</v>
      </c>
      <c r="AF3833" t="s">
        <v>28927</v>
      </c>
      <c r="AG3833" t="s">
        <v>2758</v>
      </c>
      <c r="AI3833" t="s">
        <v>28928</v>
      </c>
      <c r="AM3833" t="s">
        <v>2730</v>
      </c>
      <c r="AN3833" t="s">
        <v>2052</v>
      </c>
      <c r="AO3833" t="s">
        <v>28929</v>
      </c>
      <c r="AP3833" t="s">
        <v>7024</v>
      </c>
      <c r="AQ3833" t="s">
        <v>28930</v>
      </c>
      <c r="AT3833" s="184">
        <v>40078</v>
      </c>
      <c r="AU3833" t="s">
        <v>28879</v>
      </c>
      <c r="AV3833">
        <v>25</v>
      </c>
      <c r="AW3833" s="184">
        <v>45412</v>
      </c>
      <c r="AX3833" t="s">
        <v>7429</v>
      </c>
      <c r="AY3833">
        <v>10</v>
      </c>
      <c r="AZ3833" s="184">
        <v>45248</v>
      </c>
      <c r="BA3833" t="s">
        <v>8185</v>
      </c>
      <c r="BB3833">
        <v>50</v>
      </c>
      <c r="BC3833">
        <v>100</v>
      </c>
      <c r="BD3833">
        <v>1825</v>
      </c>
      <c r="BE3833">
        <v>2010</v>
      </c>
      <c r="BF3833">
        <v>135</v>
      </c>
      <c r="BG3833">
        <v>26</v>
      </c>
      <c r="BH3833">
        <v>340</v>
      </c>
      <c r="BI3833">
        <v>16</v>
      </c>
      <c r="BJ3833">
        <v>16</v>
      </c>
      <c r="BK3833">
        <v>16</v>
      </c>
    </row>
    <row r="3834" spans="1:68">
      <c r="A3834">
        <v>55589063</v>
      </c>
      <c r="B3834">
        <v>55589063</v>
      </c>
      <c r="C3834" t="s">
        <v>7018</v>
      </c>
      <c r="D3834" t="s">
        <v>595</v>
      </c>
      <c r="E3834" s="184">
        <v>44328</v>
      </c>
      <c r="G3834" s="184"/>
      <c r="I3834" s="184"/>
      <c r="J3834" t="s">
        <v>595</v>
      </c>
      <c r="K3834" s="184">
        <v>45372</v>
      </c>
      <c r="M3834" s="184"/>
      <c r="O3834" s="184"/>
      <c r="P3834" t="s">
        <v>7045</v>
      </c>
      <c r="Q3834" t="s">
        <v>7160</v>
      </c>
      <c r="R3834" s="184">
        <v>18019</v>
      </c>
      <c r="S3834">
        <v>75</v>
      </c>
      <c r="V3834" t="s">
        <v>3565</v>
      </c>
      <c r="X3834" t="s">
        <v>28931</v>
      </c>
      <c r="Z3834">
        <v>100130962</v>
      </c>
      <c r="AB3834" t="s">
        <v>16068</v>
      </c>
      <c r="AD3834" t="s">
        <v>28931</v>
      </c>
      <c r="AF3834" t="s">
        <v>28932</v>
      </c>
      <c r="AG3834" t="s">
        <v>28933</v>
      </c>
      <c r="AI3834" t="s">
        <v>28934</v>
      </c>
      <c r="AM3834" t="s">
        <v>2766</v>
      </c>
      <c r="AN3834" t="s">
        <v>2176</v>
      </c>
      <c r="AO3834" t="s">
        <v>28935</v>
      </c>
      <c r="AP3834" t="s">
        <v>7024</v>
      </c>
      <c r="AQ3834" t="s">
        <v>28936</v>
      </c>
      <c r="AT3834" s="184">
        <v>40080</v>
      </c>
      <c r="AU3834" t="s">
        <v>28937</v>
      </c>
      <c r="AV3834">
        <v>50</v>
      </c>
      <c r="AW3834" s="184">
        <v>45412</v>
      </c>
      <c r="AX3834" t="s">
        <v>28938</v>
      </c>
      <c r="AY3834">
        <v>10</v>
      </c>
      <c r="AZ3834" s="184">
        <v>45343</v>
      </c>
      <c r="BA3834" t="s">
        <v>7245</v>
      </c>
      <c r="BB3834">
        <v>100</v>
      </c>
      <c r="BC3834">
        <v>94</v>
      </c>
      <c r="BD3834">
        <v>1760</v>
      </c>
      <c r="BE3834">
        <v>2010</v>
      </c>
      <c r="BF3834">
        <v>27</v>
      </c>
      <c r="BG3834">
        <v>3</v>
      </c>
      <c r="BH3834">
        <v>160</v>
      </c>
      <c r="BI3834">
        <v>15</v>
      </c>
      <c r="BJ3834">
        <v>16</v>
      </c>
      <c r="BK3834">
        <v>14</v>
      </c>
      <c r="BP3834" s="184"/>
    </row>
    <row r="3835" spans="1:68">
      <c r="A3835">
        <v>100130962</v>
      </c>
      <c r="B3835">
        <v>55589063</v>
      </c>
      <c r="C3835" t="s">
        <v>7018</v>
      </c>
      <c r="D3835" t="s">
        <v>595</v>
      </c>
      <c r="E3835" s="184">
        <v>44328</v>
      </c>
      <c r="G3835" s="184"/>
      <c r="I3835" s="184"/>
      <c r="J3835" t="s">
        <v>595</v>
      </c>
      <c r="K3835" s="184">
        <v>45372</v>
      </c>
      <c r="M3835" s="184"/>
      <c r="O3835" s="184"/>
      <c r="P3835" t="s">
        <v>7045</v>
      </c>
      <c r="Q3835" t="s">
        <v>7160</v>
      </c>
      <c r="R3835" s="184">
        <v>17155</v>
      </c>
      <c r="S3835">
        <v>77</v>
      </c>
      <c r="V3835" t="s">
        <v>16068</v>
      </c>
      <c r="X3835" t="s">
        <v>28931</v>
      </c>
      <c r="Z3835">
        <v>55589063</v>
      </c>
      <c r="AB3835" t="s">
        <v>3565</v>
      </c>
      <c r="AD3835" t="s">
        <v>28931</v>
      </c>
      <c r="AF3835" t="s">
        <v>28932</v>
      </c>
      <c r="AG3835" t="s">
        <v>28933</v>
      </c>
      <c r="AI3835" t="s">
        <v>28934</v>
      </c>
      <c r="AM3835" t="s">
        <v>2766</v>
      </c>
      <c r="AN3835" t="s">
        <v>2176</v>
      </c>
      <c r="AO3835" t="s">
        <v>28935</v>
      </c>
      <c r="AP3835" t="s">
        <v>7024</v>
      </c>
      <c r="AQ3835" t="s">
        <v>28939</v>
      </c>
      <c r="AT3835" s="184"/>
      <c r="AW3835" s="184"/>
      <c r="AZ3835" s="184"/>
      <c r="BP3835" s="184"/>
    </row>
    <row r="3836" spans="1:68">
      <c r="A3836">
        <v>55612428</v>
      </c>
      <c r="B3836">
        <v>55612428</v>
      </c>
      <c r="C3836" t="s">
        <v>7018</v>
      </c>
      <c r="E3836" s="184"/>
      <c r="F3836" t="s">
        <v>595</v>
      </c>
      <c r="G3836" s="184">
        <v>44167</v>
      </c>
      <c r="I3836" s="184"/>
      <c r="K3836" s="184"/>
      <c r="M3836" s="184"/>
      <c r="O3836" s="184"/>
      <c r="P3836" t="s">
        <v>7045</v>
      </c>
      <c r="Q3836" t="s">
        <v>7160</v>
      </c>
      <c r="R3836" s="184">
        <v>14771</v>
      </c>
      <c r="S3836">
        <v>83</v>
      </c>
      <c r="U3836" t="s">
        <v>7031</v>
      </c>
      <c r="V3836" t="s">
        <v>4764</v>
      </c>
      <c r="X3836" t="s">
        <v>28940</v>
      </c>
      <c r="AF3836" t="s">
        <v>28941</v>
      </c>
      <c r="AG3836" t="s">
        <v>4764</v>
      </c>
      <c r="AI3836" t="s">
        <v>28942</v>
      </c>
      <c r="AJ3836" t="s">
        <v>28943</v>
      </c>
      <c r="AM3836" t="s">
        <v>28944</v>
      </c>
      <c r="AN3836" t="s">
        <v>2203</v>
      </c>
      <c r="AO3836">
        <v>35401</v>
      </c>
      <c r="AP3836" t="s">
        <v>7024</v>
      </c>
      <c r="AQ3836" t="s">
        <v>28945</v>
      </c>
      <c r="AT3836" s="184">
        <v>40084</v>
      </c>
      <c r="AU3836" t="s">
        <v>28946</v>
      </c>
      <c r="AV3836">
        <v>15</v>
      </c>
      <c r="AW3836" s="184">
        <v>44943</v>
      </c>
      <c r="AX3836" t="s">
        <v>28947</v>
      </c>
      <c r="AY3836">
        <v>75</v>
      </c>
      <c r="AZ3836" s="184">
        <v>40695</v>
      </c>
      <c r="BA3836" t="s">
        <v>9462</v>
      </c>
      <c r="BB3836">
        <v>125</v>
      </c>
      <c r="BC3836">
        <v>94</v>
      </c>
      <c r="BD3836">
        <v>1405</v>
      </c>
      <c r="BE3836">
        <v>2010</v>
      </c>
      <c r="BF3836">
        <v>27</v>
      </c>
      <c r="BG3836">
        <v>1</v>
      </c>
      <c r="BH3836">
        <v>75</v>
      </c>
      <c r="BI3836">
        <v>15</v>
      </c>
      <c r="BJ3836">
        <v>16</v>
      </c>
      <c r="BK3836">
        <v>15</v>
      </c>
    </row>
    <row r="3837" spans="1:68">
      <c r="A3837">
        <v>55615611</v>
      </c>
      <c r="B3837">
        <v>55615611</v>
      </c>
      <c r="C3837" t="s">
        <v>7018</v>
      </c>
      <c r="D3837" t="s">
        <v>595</v>
      </c>
      <c r="E3837" s="184">
        <v>44414</v>
      </c>
      <c r="G3837" s="184"/>
      <c r="I3837" s="184"/>
      <c r="K3837" s="184"/>
      <c r="M3837" s="184"/>
      <c r="O3837" s="184"/>
      <c r="P3837" t="s">
        <v>7045</v>
      </c>
      <c r="Q3837" t="s">
        <v>7160</v>
      </c>
      <c r="R3837" s="184">
        <v>19511</v>
      </c>
      <c r="S3837">
        <v>70</v>
      </c>
      <c r="V3837" t="s">
        <v>14072</v>
      </c>
      <c r="X3837" t="s">
        <v>28948</v>
      </c>
      <c r="AF3837" t="s">
        <v>28949</v>
      </c>
      <c r="AG3837" t="s">
        <v>14072</v>
      </c>
      <c r="AI3837" t="s">
        <v>28950</v>
      </c>
      <c r="AM3837" t="s">
        <v>28951</v>
      </c>
      <c r="AN3837" t="s">
        <v>2413</v>
      </c>
      <c r="AO3837" t="s">
        <v>28952</v>
      </c>
      <c r="AP3837" t="s">
        <v>7024</v>
      </c>
      <c r="AQ3837" t="s">
        <v>28953</v>
      </c>
      <c r="AT3837" s="184">
        <v>40084</v>
      </c>
      <c r="AU3837" t="s">
        <v>28954</v>
      </c>
      <c r="AV3837">
        <v>25</v>
      </c>
      <c r="AW3837" s="184">
        <v>44421</v>
      </c>
      <c r="AX3837" t="s">
        <v>28955</v>
      </c>
      <c r="AY3837">
        <v>15</v>
      </c>
      <c r="AZ3837" s="184">
        <v>43070</v>
      </c>
      <c r="BA3837" t="s">
        <v>28956</v>
      </c>
      <c r="BB3837">
        <v>45</v>
      </c>
      <c r="BC3837">
        <v>32</v>
      </c>
      <c r="BD3837">
        <v>195</v>
      </c>
      <c r="BE3837">
        <v>2010</v>
      </c>
      <c r="BF3837">
        <v>8</v>
      </c>
      <c r="BI3837">
        <v>5</v>
      </c>
      <c r="BJ3837">
        <v>16</v>
      </c>
      <c r="BK3837">
        <v>2</v>
      </c>
      <c r="BP3837" s="184"/>
    </row>
    <row r="3838" spans="1:68">
      <c r="A3838">
        <v>55633382</v>
      </c>
      <c r="B3838">
        <v>55633382</v>
      </c>
      <c r="C3838" t="s">
        <v>7018</v>
      </c>
      <c r="D3838" t="s">
        <v>595</v>
      </c>
      <c r="E3838" s="184">
        <v>44167</v>
      </c>
      <c r="G3838" s="184"/>
      <c r="H3838" t="s">
        <v>595</v>
      </c>
      <c r="I3838" s="184">
        <v>44167</v>
      </c>
      <c r="K3838" s="184"/>
      <c r="M3838" s="184"/>
      <c r="O3838" s="184"/>
      <c r="P3838" t="s">
        <v>7045</v>
      </c>
      <c r="Q3838" t="s">
        <v>7160</v>
      </c>
      <c r="R3838" s="184">
        <v>19352</v>
      </c>
      <c r="S3838">
        <v>71</v>
      </c>
      <c r="U3838" t="s">
        <v>7031</v>
      </c>
      <c r="V3838" t="s">
        <v>2732</v>
      </c>
      <c r="X3838" t="s">
        <v>5120</v>
      </c>
      <c r="AF3838" t="s">
        <v>28957</v>
      </c>
      <c r="AG3838" t="s">
        <v>2732</v>
      </c>
      <c r="AI3838" t="s">
        <v>28958</v>
      </c>
      <c r="AM3838" t="s">
        <v>28959</v>
      </c>
      <c r="AN3838" t="s">
        <v>2176</v>
      </c>
      <c r="AO3838" t="s">
        <v>28960</v>
      </c>
      <c r="AP3838" t="s">
        <v>7024</v>
      </c>
      <c r="AQ3838" t="s">
        <v>28961</v>
      </c>
      <c r="AR3838" t="s">
        <v>28962</v>
      </c>
      <c r="AT3838" s="184">
        <v>40085</v>
      </c>
      <c r="AU3838" t="s">
        <v>28963</v>
      </c>
      <c r="AV3838">
        <v>20</v>
      </c>
      <c r="AW3838" s="184">
        <v>45281</v>
      </c>
      <c r="AX3838" t="s">
        <v>11384</v>
      </c>
      <c r="AY3838">
        <v>25</v>
      </c>
      <c r="AZ3838" s="184">
        <v>45281</v>
      </c>
      <c r="BA3838" t="s">
        <v>11384</v>
      </c>
      <c r="BB3838">
        <v>25</v>
      </c>
      <c r="BC3838">
        <v>69</v>
      </c>
      <c r="BD3838">
        <v>295</v>
      </c>
      <c r="BE3838">
        <v>2010</v>
      </c>
      <c r="BF3838">
        <v>12</v>
      </c>
      <c r="BG3838">
        <v>2</v>
      </c>
      <c r="BH3838">
        <v>50</v>
      </c>
      <c r="BI3838">
        <v>11</v>
      </c>
      <c r="BJ3838">
        <v>16</v>
      </c>
      <c r="BK3838">
        <v>6</v>
      </c>
      <c r="BP3838" s="184"/>
    </row>
    <row r="3839" spans="1:68">
      <c r="A3839">
        <v>55740393</v>
      </c>
      <c r="B3839">
        <v>55740393</v>
      </c>
      <c r="C3839" t="s">
        <v>7018</v>
      </c>
      <c r="D3839" t="s">
        <v>595</v>
      </c>
      <c r="E3839" s="184">
        <v>44353</v>
      </c>
      <c r="G3839" s="184"/>
      <c r="I3839" s="184"/>
      <c r="K3839" s="184"/>
      <c r="M3839" s="184"/>
      <c r="O3839" s="184"/>
      <c r="P3839" t="s">
        <v>7045</v>
      </c>
      <c r="Q3839" t="s">
        <v>7374</v>
      </c>
      <c r="R3839" s="184">
        <v>13981</v>
      </c>
      <c r="S3839">
        <v>86</v>
      </c>
      <c r="U3839" t="s">
        <v>7031</v>
      </c>
      <c r="V3839" t="s">
        <v>28964</v>
      </c>
      <c r="W3839" t="s">
        <v>7588</v>
      </c>
      <c r="X3839" t="s">
        <v>28965</v>
      </c>
      <c r="AF3839" t="s">
        <v>28966</v>
      </c>
      <c r="AG3839" t="s">
        <v>28964</v>
      </c>
      <c r="AI3839" t="s">
        <v>28967</v>
      </c>
      <c r="AM3839" t="s">
        <v>18707</v>
      </c>
      <c r="AN3839" t="s">
        <v>2081</v>
      </c>
      <c r="AO3839" t="s">
        <v>28968</v>
      </c>
      <c r="AP3839" t="s">
        <v>7024</v>
      </c>
      <c r="AQ3839" t="s">
        <v>28969</v>
      </c>
      <c r="AT3839" s="184">
        <v>40091</v>
      </c>
      <c r="AU3839" t="s">
        <v>28970</v>
      </c>
      <c r="AV3839">
        <v>25</v>
      </c>
      <c r="AW3839" s="184">
        <v>45262</v>
      </c>
      <c r="AX3839" t="s">
        <v>28971</v>
      </c>
      <c r="AY3839">
        <v>50</v>
      </c>
      <c r="AZ3839" s="184">
        <v>40367</v>
      </c>
      <c r="BA3839" t="s">
        <v>28972</v>
      </c>
      <c r="BB3839">
        <v>100</v>
      </c>
      <c r="BC3839">
        <v>94</v>
      </c>
      <c r="BD3839">
        <v>1617.5</v>
      </c>
      <c r="BE3839">
        <v>2010</v>
      </c>
      <c r="BF3839">
        <v>32</v>
      </c>
      <c r="BG3839">
        <v>4</v>
      </c>
      <c r="BH3839">
        <v>207.5</v>
      </c>
      <c r="BI3839">
        <v>15</v>
      </c>
      <c r="BJ3839">
        <v>16</v>
      </c>
      <c r="BK3839">
        <v>15</v>
      </c>
      <c r="BP3839" s="184"/>
    </row>
    <row r="3840" spans="1:68">
      <c r="A3840">
        <v>55859011</v>
      </c>
      <c r="B3840">
        <v>55859011</v>
      </c>
      <c r="C3840" t="s">
        <v>7018</v>
      </c>
      <c r="D3840" t="s">
        <v>595</v>
      </c>
      <c r="E3840" s="184">
        <v>45195</v>
      </c>
      <c r="G3840" s="184"/>
      <c r="I3840" s="184"/>
      <c r="K3840" s="184"/>
      <c r="M3840" s="184"/>
      <c r="O3840" s="184"/>
      <c r="P3840" t="s">
        <v>7045</v>
      </c>
      <c r="Q3840" t="s">
        <v>7383</v>
      </c>
      <c r="R3840" s="184">
        <v>15565</v>
      </c>
      <c r="S3840">
        <v>81</v>
      </c>
      <c r="U3840" t="s">
        <v>7031</v>
      </c>
      <c r="V3840" t="s">
        <v>3732</v>
      </c>
      <c r="W3840" t="s">
        <v>8224</v>
      </c>
      <c r="X3840" t="s">
        <v>28973</v>
      </c>
      <c r="AF3840" t="s">
        <v>28974</v>
      </c>
      <c r="AG3840" t="s">
        <v>3732</v>
      </c>
      <c r="AI3840" t="s">
        <v>28975</v>
      </c>
      <c r="AM3840" t="s">
        <v>3248</v>
      </c>
      <c r="AN3840" t="s">
        <v>2274</v>
      </c>
      <c r="AO3840" t="s">
        <v>28976</v>
      </c>
      <c r="AP3840" t="s">
        <v>7024</v>
      </c>
      <c r="AQ3840" t="s">
        <v>28977</v>
      </c>
      <c r="AT3840" s="184">
        <v>40094</v>
      </c>
      <c r="AU3840" t="s">
        <v>28798</v>
      </c>
      <c r="AV3840">
        <v>15</v>
      </c>
      <c r="AW3840" s="184">
        <v>45320</v>
      </c>
      <c r="AX3840" t="s">
        <v>28978</v>
      </c>
      <c r="AY3840">
        <v>25</v>
      </c>
      <c r="AZ3840" s="184">
        <v>45320</v>
      </c>
      <c r="BA3840" t="s">
        <v>28978</v>
      </c>
      <c r="BB3840">
        <v>25</v>
      </c>
      <c r="BC3840">
        <v>63</v>
      </c>
      <c r="BD3840">
        <v>240</v>
      </c>
      <c r="BE3840">
        <v>2010</v>
      </c>
      <c r="BF3840">
        <v>10</v>
      </c>
      <c r="BG3840">
        <v>3</v>
      </c>
      <c r="BH3840">
        <v>75</v>
      </c>
      <c r="BI3840">
        <v>10</v>
      </c>
      <c r="BJ3840">
        <v>16</v>
      </c>
      <c r="BK3840">
        <v>9</v>
      </c>
    </row>
    <row r="3841" spans="1:68">
      <c r="A3841">
        <v>55866370</v>
      </c>
      <c r="B3841">
        <v>55866370</v>
      </c>
      <c r="C3841" t="s">
        <v>7018</v>
      </c>
      <c r="E3841" s="184"/>
      <c r="G3841" s="184"/>
      <c r="I3841" s="184"/>
      <c r="J3841" t="s">
        <v>595</v>
      </c>
      <c r="K3841" s="184">
        <v>44167</v>
      </c>
      <c r="M3841" s="184"/>
      <c r="O3841" s="184"/>
      <c r="P3841" t="s">
        <v>7045</v>
      </c>
      <c r="Q3841" t="s">
        <v>7160</v>
      </c>
      <c r="R3841" s="184">
        <v>18657</v>
      </c>
      <c r="S3841">
        <v>73</v>
      </c>
      <c r="V3841" t="s">
        <v>2958</v>
      </c>
      <c r="X3841" t="s">
        <v>28979</v>
      </c>
      <c r="AF3841" t="s">
        <v>28980</v>
      </c>
      <c r="AG3841" t="s">
        <v>2958</v>
      </c>
      <c r="AI3841" t="s">
        <v>28981</v>
      </c>
      <c r="AM3841" t="s">
        <v>5566</v>
      </c>
      <c r="AN3841" t="s">
        <v>2176</v>
      </c>
      <c r="AO3841" t="s">
        <v>28982</v>
      </c>
      <c r="AP3841" t="s">
        <v>7024</v>
      </c>
      <c r="AT3841" s="184">
        <v>40095</v>
      </c>
      <c r="AU3841" t="s">
        <v>28905</v>
      </c>
      <c r="AV3841">
        <v>25</v>
      </c>
      <c r="AW3841" s="184">
        <v>45219</v>
      </c>
      <c r="AX3841" t="s">
        <v>28983</v>
      </c>
      <c r="AY3841">
        <v>100</v>
      </c>
      <c r="AZ3841" s="184">
        <v>45219</v>
      </c>
      <c r="BA3841" t="s">
        <v>28983</v>
      </c>
      <c r="BB3841">
        <v>100</v>
      </c>
      <c r="BC3841">
        <v>94</v>
      </c>
      <c r="BD3841">
        <v>1015</v>
      </c>
      <c r="BE3841">
        <v>2010</v>
      </c>
      <c r="BF3841">
        <v>16</v>
      </c>
      <c r="BG3841">
        <v>2</v>
      </c>
      <c r="BH3841">
        <v>200</v>
      </c>
      <c r="BI3841">
        <v>15</v>
      </c>
      <c r="BJ3841">
        <v>16</v>
      </c>
      <c r="BK3841">
        <v>15</v>
      </c>
      <c r="BP3841" s="184"/>
    </row>
    <row r="3842" spans="1:68">
      <c r="A3842">
        <v>55890446</v>
      </c>
      <c r="B3842">
        <v>55890446</v>
      </c>
      <c r="C3842" t="s">
        <v>7018</v>
      </c>
      <c r="D3842" t="s">
        <v>595</v>
      </c>
      <c r="E3842" s="184">
        <v>44073</v>
      </c>
      <c r="G3842" s="184"/>
      <c r="I3842" s="184"/>
      <c r="K3842" s="184"/>
      <c r="M3842" s="184"/>
      <c r="O3842" s="184"/>
      <c r="P3842" t="s">
        <v>7045</v>
      </c>
      <c r="Q3842" t="s">
        <v>7262</v>
      </c>
      <c r="R3842" s="184">
        <v>18142</v>
      </c>
      <c r="S3842">
        <v>74</v>
      </c>
      <c r="U3842" t="s">
        <v>7032</v>
      </c>
      <c r="V3842" t="s">
        <v>2961</v>
      </c>
      <c r="X3842" t="s">
        <v>3145</v>
      </c>
      <c r="AF3842" t="s">
        <v>28984</v>
      </c>
      <c r="AG3842" t="s">
        <v>2961</v>
      </c>
      <c r="AI3842" t="s">
        <v>28985</v>
      </c>
      <c r="AM3842" t="s">
        <v>28986</v>
      </c>
      <c r="AN3842" t="s">
        <v>2106</v>
      </c>
      <c r="AO3842" t="s">
        <v>28987</v>
      </c>
      <c r="AP3842" t="s">
        <v>7024</v>
      </c>
      <c r="AQ3842" t="s">
        <v>28988</v>
      </c>
      <c r="AT3842" s="184">
        <v>40099</v>
      </c>
      <c r="AU3842" t="s">
        <v>28905</v>
      </c>
      <c r="AV3842">
        <v>50</v>
      </c>
      <c r="AW3842" s="184">
        <v>44589</v>
      </c>
      <c r="AX3842" t="s">
        <v>28989</v>
      </c>
      <c r="AY3842">
        <v>150</v>
      </c>
      <c r="AZ3842" s="184">
        <v>41536</v>
      </c>
      <c r="BA3842" t="s">
        <v>28990</v>
      </c>
      <c r="BB3842">
        <v>200</v>
      </c>
      <c r="BC3842">
        <v>69</v>
      </c>
      <c r="BD3842">
        <v>2370</v>
      </c>
      <c r="BE3842">
        <v>2010</v>
      </c>
      <c r="BF3842">
        <v>19</v>
      </c>
      <c r="BI3842">
        <v>11</v>
      </c>
      <c r="BJ3842">
        <v>16</v>
      </c>
      <c r="BK3842">
        <v>5</v>
      </c>
    </row>
    <row r="3843" spans="1:68">
      <c r="A3843">
        <v>55984546</v>
      </c>
      <c r="B3843">
        <v>55984546</v>
      </c>
      <c r="C3843" t="s">
        <v>7018</v>
      </c>
      <c r="E3843" s="184"/>
      <c r="G3843" s="184"/>
      <c r="I3843" s="184"/>
      <c r="J3843" t="s">
        <v>595</v>
      </c>
      <c r="K3843" s="184">
        <v>44168</v>
      </c>
      <c r="M3843" s="184"/>
      <c r="O3843" s="184"/>
      <c r="P3843" t="s">
        <v>7045</v>
      </c>
      <c r="Q3843" t="s">
        <v>7160</v>
      </c>
      <c r="R3843" s="184">
        <v>11511</v>
      </c>
      <c r="S3843">
        <v>92</v>
      </c>
      <c r="U3843" t="s">
        <v>7130</v>
      </c>
      <c r="V3843" t="s">
        <v>2845</v>
      </c>
      <c r="W3843" t="s">
        <v>7396</v>
      </c>
      <c r="X3843" t="s">
        <v>28991</v>
      </c>
      <c r="AF3843" t="s">
        <v>28992</v>
      </c>
      <c r="AG3843" t="s">
        <v>2845</v>
      </c>
      <c r="AI3843" t="s">
        <v>28993</v>
      </c>
      <c r="AM3843" t="s">
        <v>28994</v>
      </c>
      <c r="AN3843" t="s">
        <v>2176</v>
      </c>
      <c r="AO3843" t="s">
        <v>28995</v>
      </c>
      <c r="AP3843" t="s">
        <v>7024</v>
      </c>
      <c r="AQ3843" t="s">
        <v>28996</v>
      </c>
      <c r="AT3843" s="184">
        <v>40102</v>
      </c>
      <c r="AU3843" t="s">
        <v>28997</v>
      </c>
      <c r="AV3843">
        <v>15</v>
      </c>
      <c r="AW3843" s="184">
        <v>43887</v>
      </c>
      <c r="AX3843" t="s">
        <v>28998</v>
      </c>
      <c r="AY3843">
        <v>10</v>
      </c>
      <c r="AZ3843" s="184">
        <v>42543</v>
      </c>
      <c r="BA3843" t="s">
        <v>28999</v>
      </c>
      <c r="BB3843">
        <v>15</v>
      </c>
      <c r="BC3843">
        <v>38</v>
      </c>
      <c r="BD3843">
        <v>85</v>
      </c>
      <c r="BE3843">
        <v>2010</v>
      </c>
      <c r="BF3843">
        <v>7</v>
      </c>
      <c r="BI3843">
        <v>6</v>
      </c>
      <c r="BJ3843">
        <v>16</v>
      </c>
      <c r="BK3843">
        <v>3</v>
      </c>
      <c r="BP3843" s="184"/>
    </row>
    <row r="3844" spans="1:68">
      <c r="A3844">
        <v>55989909</v>
      </c>
      <c r="B3844">
        <v>55989909</v>
      </c>
      <c r="C3844" t="s">
        <v>7018</v>
      </c>
      <c r="E3844" s="184"/>
      <c r="F3844" t="s">
        <v>595</v>
      </c>
      <c r="G3844" s="184">
        <v>45176</v>
      </c>
      <c r="I3844" s="184"/>
      <c r="K3844" s="184"/>
      <c r="M3844" s="184"/>
      <c r="O3844" s="184"/>
      <c r="P3844" t="s">
        <v>7045</v>
      </c>
      <c r="Q3844" t="s">
        <v>7374</v>
      </c>
      <c r="R3844" s="184">
        <v>13295</v>
      </c>
      <c r="S3844">
        <v>87</v>
      </c>
      <c r="V3844" t="s">
        <v>3101</v>
      </c>
      <c r="W3844" t="s">
        <v>7396</v>
      </c>
      <c r="X3844" t="s">
        <v>29000</v>
      </c>
      <c r="AF3844" t="s">
        <v>29001</v>
      </c>
      <c r="AG3844" t="s">
        <v>3101</v>
      </c>
      <c r="AI3844" t="s">
        <v>29002</v>
      </c>
      <c r="AM3844" t="s">
        <v>15961</v>
      </c>
      <c r="AN3844" t="s">
        <v>2081</v>
      </c>
      <c r="AO3844" t="s">
        <v>29003</v>
      </c>
      <c r="AP3844" t="s">
        <v>7024</v>
      </c>
      <c r="AT3844" s="184">
        <v>40102</v>
      </c>
      <c r="AU3844" t="s">
        <v>29004</v>
      </c>
      <c r="AV3844">
        <v>20</v>
      </c>
      <c r="AW3844" s="184">
        <v>44498</v>
      </c>
      <c r="AX3844" t="s">
        <v>29005</v>
      </c>
      <c r="AY3844">
        <v>20</v>
      </c>
      <c r="AZ3844" s="184">
        <v>44498</v>
      </c>
      <c r="BA3844" t="s">
        <v>29005</v>
      </c>
      <c r="BB3844">
        <v>20</v>
      </c>
      <c r="BC3844">
        <v>38</v>
      </c>
      <c r="BD3844">
        <v>140</v>
      </c>
      <c r="BE3844">
        <v>2010</v>
      </c>
      <c r="BF3844">
        <v>7</v>
      </c>
      <c r="BI3844">
        <v>6</v>
      </c>
      <c r="BJ3844">
        <v>16</v>
      </c>
      <c r="BK3844">
        <v>4</v>
      </c>
      <c r="BP3844" s="184"/>
    </row>
    <row r="3845" spans="1:68">
      <c r="A3845">
        <v>55990048</v>
      </c>
      <c r="B3845">
        <v>55990048</v>
      </c>
      <c r="C3845" t="s">
        <v>7018</v>
      </c>
      <c r="D3845" t="s">
        <v>595</v>
      </c>
      <c r="E3845" s="184">
        <v>44073</v>
      </c>
      <c r="G3845" s="184"/>
      <c r="H3845" t="s">
        <v>595</v>
      </c>
      <c r="I3845" s="184">
        <v>44328</v>
      </c>
      <c r="K3845" s="184"/>
      <c r="M3845" s="184"/>
      <c r="O3845" s="184"/>
      <c r="P3845" t="s">
        <v>7045</v>
      </c>
      <c r="Q3845" t="s">
        <v>7383</v>
      </c>
      <c r="R3845" s="184">
        <v>18245</v>
      </c>
      <c r="S3845">
        <v>74</v>
      </c>
      <c r="U3845" t="s">
        <v>7032</v>
      </c>
      <c r="V3845" t="s">
        <v>29006</v>
      </c>
      <c r="X3845" t="s">
        <v>29007</v>
      </c>
      <c r="AF3845" t="s">
        <v>29008</v>
      </c>
      <c r="AG3845" t="s">
        <v>29006</v>
      </c>
      <c r="AI3845" t="s">
        <v>29009</v>
      </c>
      <c r="AM3845" t="s">
        <v>29010</v>
      </c>
      <c r="AN3845" t="s">
        <v>2274</v>
      </c>
      <c r="AO3845" t="s">
        <v>29011</v>
      </c>
      <c r="AP3845" t="s">
        <v>7024</v>
      </c>
      <c r="AQ3845" t="s">
        <v>29012</v>
      </c>
      <c r="AT3845" s="184">
        <v>40102</v>
      </c>
      <c r="AU3845" t="s">
        <v>29013</v>
      </c>
      <c r="AV3845">
        <v>25</v>
      </c>
      <c r="AW3845" s="184">
        <v>45405</v>
      </c>
      <c r="AX3845" t="s">
        <v>7429</v>
      </c>
      <c r="AY3845">
        <v>50</v>
      </c>
      <c r="AZ3845" s="184">
        <v>42277</v>
      </c>
      <c r="BA3845" t="s">
        <v>29014</v>
      </c>
      <c r="BB3845">
        <v>175</v>
      </c>
      <c r="BC3845">
        <v>100</v>
      </c>
      <c r="BD3845">
        <v>4610</v>
      </c>
      <c r="BE3845">
        <v>2010</v>
      </c>
      <c r="BF3845">
        <v>96</v>
      </c>
      <c r="BG3845">
        <v>24</v>
      </c>
      <c r="BH3845">
        <v>1200</v>
      </c>
      <c r="BI3845">
        <v>16</v>
      </c>
      <c r="BJ3845">
        <v>16</v>
      </c>
      <c r="BK3845">
        <v>16</v>
      </c>
      <c r="BP3845" s="184"/>
    </row>
    <row r="3846" spans="1:68">
      <c r="A3846">
        <v>56140593</v>
      </c>
      <c r="B3846">
        <v>56140593</v>
      </c>
      <c r="C3846" t="s">
        <v>7018</v>
      </c>
      <c r="E3846" s="184"/>
      <c r="G3846" s="184"/>
      <c r="I3846" s="184"/>
      <c r="J3846" t="s">
        <v>595</v>
      </c>
      <c r="K3846" s="184">
        <v>44104</v>
      </c>
      <c r="M3846" s="184"/>
      <c r="N3846" t="s">
        <v>595</v>
      </c>
      <c r="O3846" s="184">
        <v>42898</v>
      </c>
      <c r="P3846" t="s">
        <v>7045</v>
      </c>
      <c r="Q3846" t="s">
        <v>7262</v>
      </c>
      <c r="R3846" s="184">
        <v>17930</v>
      </c>
      <c r="S3846">
        <v>75</v>
      </c>
      <c r="U3846" t="s">
        <v>7076</v>
      </c>
      <c r="V3846" t="s">
        <v>3101</v>
      </c>
      <c r="W3846" t="s">
        <v>4152</v>
      </c>
      <c r="X3846" t="s">
        <v>29015</v>
      </c>
      <c r="AF3846" t="s">
        <v>5994</v>
      </c>
      <c r="AG3846" t="s">
        <v>3101</v>
      </c>
      <c r="AI3846" t="s">
        <v>29016</v>
      </c>
      <c r="AM3846" t="s">
        <v>29017</v>
      </c>
      <c r="AN3846" t="s">
        <v>2266</v>
      </c>
      <c r="AO3846" t="s">
        <v>29018</v>
      </c>
      <c r="AP3846" t="s">
        <v>7024</v>
      </c>
      <c r="AQ3846" t="s">
        <v>29019</v>
      </c>
      <c r="AR3846" t="s">
        <v>29020</v>
      </c>
      <c r="AT3846" s="184">
        <v>40107</v>
      </c>
      <c r="AU3846" t="s">
        <v>29021</v>
      </c>
      <c r="AV3846">
        <v>25</v>
      </c>
      <c r="AW3846" s="184">
        <v>45422</v>
      </c>
      <c r="AX3846" t="s">
        <v>7422</v>
      </c>
      <c r="AY3846">
        <v>25</v>
      </c>
      <c r="AZ3846" s="184">
        <v>42905</v>
      </c>
      <c r="BA3846" t="s">
        <v>7267</v>
      </c>
      <c r="BB3846">
        <v>10000</v>
      </c>
      <c r="BC3846">
        <v>100</v>
      </c>
      <c r="BD3846">
        <v>12667</v>
      </c>
      <c r="BE3846">
        <v>2010</v>
      </c>
      <c r="BF3846">
        <v>115</v>
      </c>
      <c r="BG3846">
        <v>25</v>
      </c>
      <c r="BH3846">
        <v>655</v>
      </c>
      <c r="BI3846">
        <v>16</v>
      </c>
      <c r="BJ3846">
        <v>16</v>
      </c>
      <c r="BK3846">
        <v>16</v>
      </c>
      <c r="BP3846" s="184"/>
    </row>
    <row r="3847" spans="1:68">
      <c r="A3847">
        <v>56183981</v>
      </c>
      <c r="B3847">
        <v>56183981</v>
      </c>
      <c r="C3847" t="s">
        <v>7018</v>
      </c>
      <c r="E3847" s="184"/>
      <c r="G3847" s="184"/>
      <c r="I3847" s="184"/>
      <c r="J3847" t="s">
        <v>595</v>
      </c>
      <c r="K3847" s="184">
        <v>41969</v>
      </c>
      <c r="M3847" s="184"/>
      <c r="O3847" s="184"/>
      <c r="P3847" t="s">
        <v>7045</v>
      </c>
      <c r="Q3847" t="s">
        <v>7160</v>
      </c>
      <c r="R3847" s="184">
        <v>27181</v>
      </c>
      <c r="S3847">
        <v>49</v>
      </c>
      <c r="U3847" t="s">
        <v>7076</v>
      </c>
      <c r="V3847" t="s">
        <v>29022</v>
      </c>
      <c r="X3847" t="s">
        <v>29023</v>
      </c>
      <c r="AF3847" t="s">
        <v>6248</v>
      </c>
      <c r="AG3847" t="s">
        <v>29022</v>
      </c>
      <c r="AI3847" t="s">
        <v>29024</v>
      </c>
      <c r="AM3847" t="s">
        <v>29025</v>
      </c>
      <c r="AN3847" t="s">
        <v>2176</v>
      </c>
      <c r="AO3847" t="s">
        <v>29026</v>
      </c>
      <c r="AP3847" t="s">
        <v>7024</v>
      </c>
      <c r="AQ3847" t="s">
        <v>29027</v>
      </c>
      <c r="AR3847" t="s">
        <v>29028</v>
      </c>
      <c r="AT3847" s="184">
        <v>40108</v>
      </c>
      <c r="AU3847" t="s">
        <v>29029</v>
      </c>
      <c r="AV3847">
        <v>25</v>
      </c>
      <c r="AW3847" s="184">
        <v>45422</v>
      </c>
      <c r="AX3847" t="s">
        <v>7422</v>
      </c>
      <c r="AY3847">
        <v>20</v>
      </c>
      <c r="AZ3847" s="184">
        <v>45258</v>
      </c>
      <c r="BA3847" t="s">
        <v>29030</v>
      </c>
      <c r="BB3847">
        <v>105</v>
      </c>
      <c r="BC3847">
        <v>100</v>
      </c>
      <c r="BD3847">
        <v>3255</v>
      </c>
      <c r="BE3847">
        <v>2010</v>
      </c>
      <c r="BF3847">
        <v>162</v>
      </c>
      <c r="BG3847">
        <v>25</v>
      </c>
      <c r="BH3847">
        <v>585</v>
      </c>
      <c r="BI3847">
        <v>16</v>
      </c>
      <c r="BJ3847">
        <v>16</v>
      </c>
      <c r="BK3847">
        <v>16</v>
      </c>
      <c r="BP3847" s="184"/>
    </row>
    <row r="3848" spans="1:68">
      <c r="A3848">
        <v>56298433</v>
      </c>
      <c r="B3848">
        <v>56298433</v>
      </c>
      <c r="C3848" t="s">
        <v>7018</v>
      </c>
      <c r="D3848" t="s">
        <v>595</v>
      </c>
      <c r="E3848" s="184">
        <v>44419</v>
      </c>
      <c r="G3848" s="184"/>
      <c r="I3848" s="184"/>
      <c r="K3848" s="184"/>
      <c r="M3848" s="184"/>
      <c r="O3848" s="184"/>
      <c r="P3848" t="s">
        <v>7045</v>
      </c>
      <c r="Q3848" t="s">
        <v>7194</v>
      </c>
      <c r="R3848" s="184">
        <v>14906</v>
      </c>
      <c r="S3848">
        <v>83</v>
      </c>
      <c r="U3848" t="s">
        <v>7076</v>
      </c>
      <c r="V3848" t="s">
        <v>3468</v>
      </c>
      <c r="X3848" t="s">
        <v>22813</v>
      </c>
      <c r="AF3848" t="s">
        <v>29031</v>
      </c>
      <c r="AG3848" t="s">
        <v>3468</v>
      </c>
      <c r="AI3848" t="s">
        <v>29032</v>
      </c>
      <c r="AM3848" t="s">
        <v>29033</v>
      </c>
      <c r="AN3848" t="s">
        <v>2046</v>
      </c>
      <c r="AO3848" t="s">
        <v>29034</v>
      </c>
      <c r="AP3848" t="s">
        <v>7024</v>
      </c>
      <c r="AQ3848" t="s">
        <v>29035</v>
      </c>
      <c r="AT3848" s="184">
        <v>40120</v>
      </c>
      <c r="AU3848" t="s">
        <v>28963</v>
      </c>
      <c r="AV3848">
        <v>20</v>
      </c>
      <c r="AW3848" s="184">
        <v>45182</v>
      </c>
      <c r="AX3848" t="s">
        <v>29036</v>
      </c>
      <c r="AY3848">
        <v>25</v>
      </c>
      <c r="AZ3848" s="184">
        <v>44034</v>
      </c>
      <c r="BA3848" t="s">
        <v>10303</v>
      </c>
      <c r="BB3848">
        <v>50</v>
      </c>
      <c r="BC3848">
        <v>75</v>
      </c>
      <c r="BD3848">
        <v>395</v>
      </c>
      <c r="BE3848">
        <v>2010</v>
      </c>
      <c r="BF3848">
        <v>16</v>
      </c>
      <c r="BG3848">
        <v>3</v>
      </c>
      <c r="BH3848">
        <v>75</v>
      </c>
      <c r="BI3848">
        <v>12</v>
      </c>
      <c r="BJ3848">
        <v>16</v>
      </c>
      <c r="BK3848">
        <v>10</v>
      </c>
      <c r="BP3848" s="184"/>
    </row>
    <row r="3849" spans="1:68">
      <c r="A3849">
        <v>56313976</v>
      </c>
      <c r="B3849">
        <v>56313976</v>
      </c>
      <c r="C3849" t="s">
        <v>7018</v>
      </c>
      <c r="E3849" s="184"/>
      <c r="G3849" s="184"/>
      <c r="I3849" s="184"/>
      <c r="J3849" t="s">
        <v>595</v>
      </c>
      <c r="K3849" s="184">
        <v>44467</v>
      </c>
      <c r="M3849" s="184"/>
      <c r="O3849" s="184"/>
      <c r="P3849" t="s">
        <v>7045</v>
      </c>
      <c r="Q3849" t="s">
        <v>7030</v>
      </c>
      <c r="R3849" s="184">
        <v>21459</v>
      </c>
      <c r="S3849">
        <v>65</v>
      </c>
      <c r="V3849" t="s">
        <v>2697</v>
      </c>
      <c r="X3849" t="s">
        <v>29037</v>
      </c>
      <c r="AF3849" t="s">
        <v>29038</v>
      </c>
      <c r="AG3849" t="s">
        <v>2697</v>
      </c>
      <c r="AI3849" t="s">
        <v>29039</v>
      </c>
      <c r="AM3849" t="s">
        <v>26451</v>
      </c>
      <c r="AN3849" t="s">
        <v>2089</v>
      </c>
      <c r="AO3849" t="s">
        <v>29040</v>
      </c>
      <c r="AP3849" t="s">
        <v>7024</v>
      </c>
      <c r="AQ3849" t="s">
        <v>29041</v>
      </c>
      <c r="AT3849" s="184">
        <v>40121</v>
      </c>
      <c r="AU3849" t="s">
        <v>29042</v>
      </c>
      <c r="AV3849">
        <v>25</v>
      </c>
      <c r="AW3849" s="184">
        <v>43411</v>
      </c>
      <c r="AX3849" t="s">
        <v>29043</v>
      </c>
      <c r="AY3849">
        <v>25</v>
      </c>
      <c r="AZ3849" s="184">
        <v>41852</v>
      </c>
      <c r="BA3849" t="s">
        <v>29044</v>
      </c>
      <c r="BB3849">
        <v>30</v>
      </c>
      <c r="BC3849">
        <v>44</v>
      </c>
      <c r="BD3849">
        <v>180</v>
      </c>
      <c r="BE3849">
        <v>2010</v>
      </c>
      <c r="BF3849">
        <v>8</v>
      </c>
      <c r="BI3849">
        <v>7</v>
      </c>
      <c r="BJ3849">
        <v>16</v>
      </c>
      <c r="BK3849">
        <v>5</v>
      </c>
    </row>
    <row r="3850" spans="1:68">
      <c r="A3850">
        <v>56343171</v>
      </c>
      <c r="B3850">
        <v>56343171</v>
      </c>
      <c r="C3850" t="s">
        <v>7018</v>
      </c>
      <c r="D3850" t="s">
        <v>595</v>
      </c>
      <c r="E3850" s="184">
        <v>44455</v>
      </c>
      <c r="G3850" s="184"/>
      <c r="I3850" s="184"/>
      <c r="K3850" s="184"/>
      <c r="M3850" s="184"/>
      <c r="O3850" s="184"/>
      <c r="P3850" t="s">
        <v>7045</v>
      </c>
      <c r="Q3850" t="s">
        <v>7454</v>
      </c>
      <c r="R3850" s="184">
        <v>12875</v>
      </c>
      <c r="S3850">
        <v>89</v>
      </c>
      <c r="U3850" t="s">
        <v>7130</v>
      </c>
      <c r="V3850" t="s">
        <v>29045</v>
      </c>
      <c r="X3850" t="s">
        <v>4727</v>
      </c>
      <c r="AF3850" t="s">
        <v>29046</v>
      </c>
      <c r="AG3850" t="s">
        <v>29045</v>
      </c>
      <c r="AI3850" t="s">
        <v>29047</v>
      </c>
      <c r="AM3850" t="s">
        <v>2608</v>
      </c>
      <c r="AN3850" t="s">
        <v>2299</v>
      </c>
      <c r="AO3850" t="s">
        <v>29048</v>
      </c>
      <c r="AP3850" t="s">
        <v>7024</v>
      </c>
      <c r="AQ3850" t="s">
        <v>29049</v>
      </c>
      <c r="AT3850" s="184">
        <v>40126</v>
      </c>
      <c r="AU3850" t="s">
        <v>28129</v>
      </c>
      <c r="AV3850">
        <v>50</v>
      </c>
      <c r="AW3850" s="184">
        <v>45391</v>
      </c>
      <c r="AX3850" t="s">
        <v>7339</v>
      </c>
      <c r="AY3850">
        <v>50</v>
      </c>
      <c r="AZ3850" s="184">
        <v>45391</v>
      </c>
      <c r="BA3850" t="s">
        <v>7339</v>
      </c>
      <c r="BB3850">
        <v>50</v>
      </c>
      <c r="BC3850">
        <v>82</v>
      </c>
      <c r="BD3850">
        <v>525</v>
      </c>
      <c r="BE3850">
        <v>2010</v>
      </c>
      <c r="BF3850">
        <v>15</v>
      </c>
      <c r="BG3850">
        <v>2</v>
      </c>
      <c r="BH3850">
        <v>100</v>
      </c>
      <c r="BI3850">
        <v>13</v>
      </c>
      <c r="BJ3850">
        <v>16</v>
      </c>
      <c r="BK3850">
        <v>4</v>
      </c>
    </row>
    <row r="3851" spans="1:68">
      <c r="A3851">
        <v>56349004</v>
      </c>
      <c r="B3851">
        <v>56349004</v>
      </c>
      <c r="C3851" t="s">
        <v>7018</v>
      </c>
      <c r="D3851" t="s">
        <v>595</v>
      </c>
      <c r="E3851" s="184">
        <v>45118</v>
      </c>
      <c r="G3851" s="184"/>
      <c r="I3851" s="184"/>
      <c r="K3851" s="184"/>
      <c r="M3851" s="184"/>
      <c r="O3851" s="184"/>
      <c r="P3851" t="s">
        <v>7045</v>
      </c>
      <c r="Q3851" t="s">
        <v>7383</v>
      </c>
      <c r="R3851" s="184">
        <v>13881</v>
      </c>
      <c r="S3851">
        <v>86</v>
      </c>
      <c r="U3851" t="s">
        <v>7031</v>
      </c>
      <c r="V3851" t="s">
        <v>29050</v>
      </c>
      <c r="W3851" t="s">
        <v>8224</v>
      </c>
      <c r="X3851" t="s">
        <v>8082</v>
      </c>
      <c r="AF3851" t="s">
        <v>29051</v>
      </c>
      <c r="AG3851" t="s">
        <v>29050</v>
      </c>
      <c r="AI3851" t="s">
        <v>29052</v>
      </c>
      <c r="AM3851" t="s">
        <v>3657</v>
      </c>
      <c r="AN3851" t="s">
        <v>2185</v>
      </c>
      <c r="AO3851" t="s">
        <v>29053</v>
      </c>
      <c r="AP3851" t="s">
        <v>7024</v>
      </c>
      <c r="AT3851" s="184">
        <v>40126</v>
      </c>
      <c r="AU3851" t="s">
        <v>28997</v>
      </c>
      <c r="AV3851">
        <v>25</v>
      </c>
      <c r="AW3851" s="184">
        <v>45316</v>
      </c>
      <c r="AX3851" t="s">
        <v>29054</v>
      </c>
      <c r="AY3851">
        <v>25</v>
      </c>
      <c r="AZ3851" s="184">
        <v>45316</v>
      </c>
      <c r="BA3851" t="s">
        <v>29054</v>
      </c>
      <c r="BB3851">
        <v>25</v>
      </c>
      <c r="BC3851">
        <v>88</v>
      </c>
      <c r="BD3851">
        <v>375</v>
      </c>
      <c r="BE3851">
        <v>2010</v>
      </c>
      <c r="BF3851">
        <v>15</v>
      </c>
      <c r="BG3851">
        <v>2</v>
      </c>
      <c r="BH3851">
        <v>50</v>
      </c>
      <c r="BI3851">
        <v>14</v>
      </c>
      <c r="BJ3851">
        <v>16</v>
      </c>
      <c r="BK3851">
        <v>8</v>
      </c>
      <c r="BP3851" s="184"/>
    </row>
    <row r="3852" spans="1:68">
      <c r="A3852">
        <v>56372949</v>
      </c>
      <c r="B3852">
        <v>56372949</v>
      </c>
      <c r="C3852" t="s">
        <v>7018</v>
      </c>
      <c r="D3852" t="s">
        <v>595</v>
      </c>
      <c r="E3852" s="184">
        <v>44441</v>
      </c>
      <c r="G3852" s="184"/>
      <c r="I3852" s="184"/>
      <c r="K3852" s="184"/>
      <c r="M3852" s="184"/>
      <c r="O3852" s="184"/>
      <c r="P3852" t="s">
        <v>7045</v>
      </c>
      <c r="Q3852" t="s">
        <v>7383</v>
      </c>
      <c r="R3852" s="184">
        <v>20090</v>
      </c>
      <c r="S3852">
        <v>69</v>
      </c>
      <c r="V3852" t="s">
        <v>3299</v>
      </c>
      <c r="X3852" t="s">
        <v>29055</v>
      </c>
      <c r="AF3852" t="s">
        <v>29056</v>
      </c>
      <c r="AG3852" t="s">
        <v>3299</v>
      </c>
      <c r="AI3852" t="s">
        <v>29057</v>
      </c>
      <c r="AM3852" t="s">
        <v>22519</v>
      </c>
      <c r="AN3852" t="s">
        <v>2274</v>
      </c>
      <c r="AO3852" t="s">
        <v>29058</v>
      </c>
      <c r="AP3852" t="s">
        <v>7024</v>
      </c>
      <c r="AT3852" s="184">
        <v>40129</v>
      </c>
      <c r="AU3852" t="s">
        <v>29059</v>
      </c>
      <c r="AV3852">
        <v>25</v>
      </c>
      <c r="AW3852" s="184">
        <v>45412</v>
      </c>
      <c r="AX3852" t="s">
        <v>9437</v>
      </c>
      <c r="AY3852">
        <v>60</v>
      </c>
      <c r="AZ3852" s="184">
        <v>45412</v>
      </c>
      <c r="BA3852" t="s">
        <v>9437</v>
      </c>
      <c r="BB3852">
        <v>60</v>
      </c>
      <c r="BC3852">
        <v>88</v>
      </c>
      <c r="BD3852">
        <v>635</v>
      </c>
      <c r="BE3852">
        <v>2010</v>
      </c>
      <c r="BF3852">
        <v>16</v>
      </c>
      <c r="BG3852">
        <v>2</v>
      </c>
      <c r="BH3852">
        <v>120</v>
      </c>
      <c r="BI3852">
        <v>14</v>
      </c>
      <c r="BJ3852">
        <v>16</v>
      </c>
      <c r="BK3852">
        <v>9</v>
      </c>
      <c r="BP3852" s="184"/>
    </row>
    <row r="3853" spans="1:68">
      <c r="A3853">
        <v>56397391</v>
      </c>
      <c r="B3853">
        <v>56397391</v>
      </c>
      <c r="C3853" t="s">
        <v>7018</v>
      </c>
      <c r="D3853" t="s">
        <v>595</v>
      </c>
      <c r="E3853" s="184">
        <v>45195</v>
      </c>
      <c r="G3853" s="184"/>
      <c r="I3853" s="184"/>
      <c r="K3853" s="184"/>
      <c r="M3853" s="184"/>
      <c r="O3853" s="184"/>
      <c r="P3853" t="s">
        <v>7045</v>
      </c>
      <c r="Q3853" t="s">
        <v>7030</v>
      </c>
      <c r="R3853" s="184">
        <v>13302</v>
      </c>
      <c r="S3853">
        <v>87</v>
      </c>
      <c r="U3853" t="s">
        <v>7076</v>
      </c>
      <c r="V3853" t="s">
        <v>3901</v>
      </c>
      <c r="W3853" t="s">
        <v>4139</v>
      </c>
      <c r="X3853" t="s">
        <v>29060</v>
      </c>
      <c r="AF3853" t="s">
        <v>29061</v>
      </c>
      <c r="AG3853" t="s">
        <v>3901</v>
      </c>
      <c r="AI3853" t="s">
        <v>29062</v>
      </c>
      <c r="AM3853" t="s">
        <v>11682</v>
      </c>
      <c r="AN3853" t="s">
        <v>2094</v>
      </c>
      <c r="AO3853" t="s">
        <v>29063</v>
      </c>
      <c r="AP3853" t="s">
        <v>7024</v>
      </c>
      <c r="AQ3853" t="s">
        <v>29064</v>
      </c>
      <c r="AR3853" t="s">
        <v>29065</v>
      </c>
      <c r="AT3853" s="184">
        <v>40134</v>
      </c>
      <c r="AU3853" t="s">
        <v>29066</v>
      </c>
      <c r="AV3853">
        <v>20</v>
      </c>
      <c r="AW3853" s="184">
        <v>45417</v>
      </c>
      <c r="AX3853" t="s">
        <v>7422</v>
      </c>
      <c r="AY3853">
        <v>3</v>
      </c>
      <c r="AZ3853" s="184">
        <v>40477</v>
      </c>
      <c r="BA3853" t="s">
        <v>29067</v>
      </c>
      <c r="BB3853">
        <v>60</v>
      </c>
      <c r="BC3853">
        <v>94</v>
      </c>
      <c r="BD3853">
        <v>588</v>
      </c>
      <c r="BE3853">
        <v>2010</v>
      </c>
      <c r="BF3853">
        <v>25</v>
      </c>
      <c r="BG3853">
        <v>7</v>
      </c>
      <c r="BH3853">
        <v>43</v>
      </c>
      <c r="BI3853">
        <v>15</v>
      </c>
      <c r="BJ3853">
        <v>16</v>
      </c>
      <c r="BK3853">
        <v>8</v>
      </c>
      <c r="BP3853" s="184"/>
    </row>
    <row r="3854" spans="1:68">
      <c r="A3854">
        <v>56398878</v>
      </c>
      <c r="B3854">
        <v>56398878</v>
      </c>
      <c r="C3854" t="s">
        <v>7018</v>
      </c>
      <c r="E3854" s="184"/>
      <c r="G3854" s="184"/>
      <c r="I3854" s="184"/>
      <c r="K3854" s="184"/>
      <c r="L3854" t="s">
        <v>595</v>
      </c>
      <c r="M3854" s="184">
        <v>44302</v>
      </c>
      <c r="O3854" s="184"/>
      <c r="P3854" t="s">
        <v>7686</v>
      </c>
      <c r="Q3854" t="s">
        <v>7160</v>
      </c>
      <c r="R3854" s="184">
        <v>15424</v>
      </c>
      <c r="S3854">
        <v>82</v>
      </c>
      <c r="U3854" t="s">
        <v>7031</v>
      </c>
      <c r="V3854" t="s">
        <v>2979</v>
      </c>
      <c r="W3854" t="s">
        <v>7407</v>
      </c>
      <c r="X3854" t="s">
        <v>5582</v>
      </c>
      <c r="AF3854" t="s">
        <v>29068</v>
      </c>
      <c r="AG3854" t="s">
        <v>2979</v>
      </c>
      <c r="AI3854" t="s">
        <v>29069</v>
      </c>
      <c r="AM3854" t="s">
        <v>3526</v>
      </c>
      <c r="AN3854" t="s">
        <v>2446</v>
      </c>
      <c r="AO3854" t="s">
        <v>29070</v>
      </c>
      <c r="AP3854" t="s">
        <v>7024</v>
      </c>
      <c r="AQ3854" t="s">
        <v>29071</v>
      </c>
      <c r="AR3854" t="s">
        <v>29072</v>
      </c>
      <c r="AT3854" s="184">
        <v>40133</v>
      </c>
      <c r="AU3854" t="s">
        <v>28634</v>
      </c>
      <c r="AV3854">
        <v>25</v>
      </c>
      <c r="AW3854" s="184">
        <v>45152</v>
      </c>
      <c r="AX3854" t="s">
        <v>7749</v>
      </c>
      <c r="AY3854">
        <v>8000</v>
      </c>
      <c r="AZ3854" s="184">
        <v>44330</v>
      </c>
      <c r="BA3854" t="s">
        <v>29073</v>
      </c>
      <c r="BB3854">
        <v>10000</v>
      </c>
      <c r="BC3854">
        <v>94</v>
      </c>
      <c r="BD3854">
        <v>41230</v>
      </c>
      <c r="BE3854">
        <v>2010</v>
      </c>
      <c r="BF3854">
        <v>15</v>
      </c>
      <c r="BG3854">
        <v>2</v>
      </c>
      <c r="BH3854">
        <v>16000</v>
      </c>
      <c r="BI3854">
        <v>15</v>
      </c>
      <c r="BJ3854">
        <v>16</v>
      </c>
      <c r="BK3854">
        <v>15</v>
      </c>
      <c r="BN3854" t="s">
        <v>595</v>
      </c>
      <c r="BP3854" s="184"/>
    </row>
    <row r="3855" spans="1:68">
      <c r="A3855">
        <v>56399777</v>
      </c>
      <c r="B3855">
        <v>56399777</v>
      </c>
      <c r="C3855" t="s">
        <v>7018</v>
      </c>
      <c r="E3855" s="184"/>
      <c r="G3855" s="184"/>
      <c r="I3855" s="184"/>
      <c r="J3855" t="s">
        <v>595</v>
      </c>
      <c r="K3855" s="184">
        <v>40140</v>
      </c>
      <c r="M3855" s="184"/>
      <c r="O3855" s="184"/>
      <c r="P3855" t="s">
        <v>7045</v>
      </c>
      <c r="Q3855" t="s">
        <v>7262</v>
      </c>
      <c r="R3855" s="184">
        <v>17506</v>
      </c>
      <c r="S3855">
        <v>76</v>
      </c>
      <c r="U3855" t="s">
        <v>7076</v>
      </c>
      <c r="V3855" t="s">
        <v>3350</v>
      </c>
      <c r="X3855" t="s">
        <v>29074</v>
      </c>
      <c r="Z3855">
        <v>100131712</v>
      </c>
      <c r="AA3855" t="s">
        <v>7076</v>
      </c>
      <c r="AB3855" t="s">
        <v>3101</v>
      </c>
      <c r="AD3855" t="s">
        <v>29075</v>
      </c>
      <c r="AF3855" t="s">
        <v>29076</v>
      </c>
      <c r="AG3855" t="s">
        <v>29077</v>
      </c>
      <c r="AI3855" t="s">
        <v>29078</v>
      </c>
      <c r="AM3855" t="s">
        <v>4657</v>
      </c>
      <c r="AN3855" t="s">
        <v>2069</v>
      </c>
      <c r="AO3855" t="s">
        <v>29079</v>
      </c>
      <c r="AP3855" t="s">
        <v>7024</v>
      </c>
      <c r="AT3855" s="184">
        <v>41116</v>
      </c>
      <c r="AU3855" t="s">
        <v>29080</v>
      </c>
      <c r="AV3855">
        <v>25</v>
      </c>
      <c r="AW3855" s="184">
        <v>43880</v>
      </c>
      <c r="AX3855" t="s">
        <v>29081</v>
      </c>
      <c r="AY3855">
        <v>25</v>
      </c>
      <c r="AZ3855" s="184">
        <v>42227</v>
      </c>
      <c r="BA3855" t="s">
        <v>18966</v>
      </c>
      <c r="BB3855">
        <v>60</v>
      </c>
      <c r="BC3855">
        <v>39</v>
      </c>
      <c r="BD3855">
        <v>160</v>
      </c>
      <c r="BE3855">
        <v>2013</v>
      </c>
      <c r="BF3855">
        <v>5</v>
      </c>
      <c r="BI3855">
        <v>5</v>
      </c>
      <c r="BJ3855">
        <v>13</v>
      </c>
      <c r="BK3855">
        <v>4</v>
      </c>
      <c r="BP3855" s="184"/>
    </row>
    <row r="3856" spans="1:68">
      <c r="A3856">
        <v>100131712</v>
      </c>
      <c r="B3856">
        <v>56399777</v>
      </c>
      <c r="C3856" t="s">
        <v>7018</v>
      </c>
      <c r="E3856" s="184"/>
      <c r="G3856" s="184"/>
      <c r="I3856" s="184"/>
      <c r="J3856" t="s">
        <v>595</v>
      </c>
      <c r="K3856" s="184">
        <v>43654</v>
      </c>
      <c r="M3856" s="184"/>
      <c r="O3856" s="184"/>
      <c r="P3856" t="s">
        <v>7045</v>
      </c>
      <c r="Q3856" t="s">
        <v>7262</v>
      </c>
      <c r="R3856" s="184">
        <v>17046</v>
      </c>
      <c r="S3856">
        <v>77</v>
      </c>
      <c r="U3856" t="s">
        <v>7076</v>
      </c>
      <c r="V3856" t="s">
        <v>3101</v>
      </c>
      <c r="X3856" t="s">
        <v>29075</v>
      </c>
      <c r="Z3856">
        <v>56399777</v>
      </c>
      <c r="AA3856" t="s">
        <v>7076</v>
      </c>
      <c r="AB3856" t="s">
        <v>3350</v>
      </c>
      <c r="AD3856" t="s">
        <v>29074</v>
      </c>
      <c r="AF3856" t="s">
        <v>29076</v>
      </c>
      <c r="AG3856" t="s">
        <v>29077</v>
      </c>
      <c r="AI3856" t="s">
        <v>29078</v>
      </c>
      <c r="AM3856" t="s">
        <v>4657</v>
      </c>
      <c r="AN3856" t="s">
        <v>2069</v>
      </c>
      <c r="AO3856" t="s">
        <v>29079</v>
      </c>
      <c r="AP3856" t="s">
        <v>7024</v>
      </c>
      <c r="AQ3856" t="s">
        <v>29082</v>
      </c>
      <c r="AT3856" s="184">
        <v>44249</v>
      </c>
      <c r="AU3856" t="s">
        <v>7714</v>
      </c>
      <c r="AV3856">
        <v>25</v>
      </c>
      <c r="AW3856" s="184">
        <v>45278</v>
      </c>
      <c r="AX3856" t="s">
        <v>7515</v>
      </c>
      <c r="AY3856">
        <v>50</v>
      </c>
      <c r="AZ3856" s="184">
        <v>45278</v>
      </c>
      <c r="BA3856" t="s">
        <v>7515</v>
      </c>
      <c r="BB3856">
        <v>50</v>
      </c>
      <c r="BC3856">
        <v>75</v>
      </c>
      <c r="BD3856">
        <v>175</v>
      </c>
      <c r="BE3856">
        <v>2021</v>
      </c>
      <c r="BF3856">
        <v>4</v>
      </c>
      <c r="BG3856">
        <v>2</v>
      </c>
      <c r="BH3856">
        <v>100</v>
      </c>
      <c r="BI3856">
        <v>3</v>
      </c>
      <c r="BJ3856">
        <v>4</v>
      </c>
      <c r="BK3856">
        <v>3</v>
      </c>
      <c r="BP3856" s="184"/>
    </row>
    <row r="3857" spans="1:68">
      <c r="A3857">
        <v>56467582</v>
      </c>
      <c r="B3857">
        <v>56467582</v>
      </c>
      <c r="C3857" t="s">
        <v>7018</v>
      </c>
      <c r="E3857" s="184"/>
      <c r="G3857" s="184"/>
      <c r="I3857" s="184"/>
      <c r="J3857" t="s">
        <v>595</v>
      </c>
      <c r="K3857" s="184">
        <v>43224</v>
      </c>
      <c r="M3857" s="184"/>
      <c r="O3857" s="184"/>
      <c r="P3857" t="s">
        <v>7045</v>
      </c>
      <c r="Q3857" t="s">
        <v>7030</v>
      </c>
      <c r="R3857" s="184">
        <v>15305</v>
      </c>
      <c r="S3857">
        <v>82</v>
      </c>
      <c r="U3857" t="s">
        <v>7076</v>
      </c>
      <c r="V3857" t="s">
        <v>3011</v>
      </c>
      <c r="W3857" t="s">
        <v>3237</v>
      </c>
      <c r="X3857" t="s">
        <v>29083</v>
      </c>
      <c r="AF3857" t="s">
        <v>6035</v>
      </c>
      <c r="AG3857" t="s">
        <v>3011</v>
      </c>
      <c r="AI3857" t="s">
        <v>29084</v>
      </c>
      <c r="AM3857" t="s">
        <v>29085</v>
      </c>
      <c r="AN3857" t="s">
        <v>2089</v>
      </c>
      <c r="AO3857" t="s">
        <v>29086</v>
      </c>
      <c r="AP3857" t="s">
        <v>7024</v>
      </c>
      <c r="AQ3857" t="s">
        <v>29087</v>
      </c>
      <c r="AT3857" s="184">
        <v>40136</v>
      </c>
      <c r="AU3857" t="s">
        <v>29088</v>
      </c>
      <c r="AV3857">
        <v>25</v>
      </c>
      <c r="AW3857" s="184">
        <v>42822</v>
      </c>
      <c r="AX3857" t="s">
        <v>29089</v>
      </c>
      <c r="AY3857">
        <v>10000</v>
      </c>
      <c r="AZ3857" s="184">
        <v>42822</v>
      </c>
      <c r="BA3857" t="s">
        <v>29089</v>
      </c>
      <c r="BB3857">
        <v>10000</v>
      </c>
      <c r="BC3857">
        <v>38</v>
      </c>
      <c r="BD3857">
        <v>10200</v>
      </c>
      <c r="BE3857">
        <v>2010</v>
      </c>
      <c r="BF3857">
        <v>7</v>
      </c>
      <c r="BI3857">
        <v>6</v>
      </c>
      <c r="BJ3857">
        <v>16</v>
      </c>
      <c r="BK3857">
        <v>3</v>
      </c>
      <c r="BN3857" t="s">
        <v>595</v>
      </c>
      <c r="BP3857" s="184"/>
    </row>
    <row r="3858" spans="1:68">
      <c r="A3858">
        <v>56535172</v>
      </c>
      <c r="B3858">
        <v>56535172</v>
      </c>
      <c r="C3858" t="s">
        <v>7018</v>
      </c>
      <c r="D3858" t="s">
        <v>595</v>
      </c>
      <c r="E3858" s="184">
        <v>44167</v>
      </c>
      <c r="G3858" s="184"/>
      <c r="I3858" s="184"/>
      <c r="K3858" s="184"/>
      <c r="M3858" s="184"/>
      <c r="O3858" s="184"/>
      <c r="P3858" t="s">
        <v>7045</v>
      </c>
      <c r="Q3858" t="s">
        <v>7383</v>
      </c>
      <c r="R3858" s="184">
        <v>16300</v>
      </c>
      <c r="S3858">
        <v>79</v>
      </c>
      <c r="V3858" t="s">
        <v>3235</v>
      </c>
      <c r="W3858" t="s">
        <v>115</v>
      </c>
      <c r="X3858" t="s">
        <v>3250</v>
      </c>
      <c r="AF3858" t="s">
        <v>29090</v>
      </c>
      <c r="AG3858" t="s">
        <v>3235</v>
      </c>
      <c r="AI3858" t="s">
        <v>29091</v>
      </c>
      <c r="AM3858" t="s">
        <v>28750</v>
      </c>
      <c r="AN3858" t="s">
        <v>2064</v>
      </c>
      <c r="AO3858" t="s">
        <v>29092</v>
      </c>
      <c r="AP3858" t="s">
        <v>7024</v>
      </c>
      <c r="AQ3858" t="s">
        <v>29093</v>
      </c>
      <c r="AT3858" s="184">
        <v>40137</v>
      </c>
      <c r="AU3858" t="s">
        <v>29066</v>
      </c>
      <c r="AV3858">
        <v>25</v>
      </c>
      <c r="AW3858" s="184">
        <v>44420</v>
      </c>
      <c r="AX3858" t="s">
        <v>10184</v>
      </c>
      <c r="AY3858">
        <v>100</v>
      </c>
      <c r="AZ3858" s="184">
        <v>42681</v>
      </c>
      <c r="BA3858" t="s">
        <v>29094</v>
      </c>
      <c r="BB3858">
        <v>300</v>
      </c>
      <c r="BC3858">
        <v>82</v>
      </c>
      <c r="BD3858">
        <v>2585</v>
      </c>
      <c r="BE3858">
        <v>2010</v>
      </c>
      <c r="BF3858">
        <v>34</v>
      </c>
      <c r="BI3858">
        <v>13</v>
      </c>
      <c r="BJ3858">
        <v>16</v>
      </c>
      <c r="BK3858">
        <v>13</v>
      </c>
      <c r="BP3858" s="184"/>
    </row>
    <row r="3859" spans="1:68">
      <c r="A3859">
        <v>56562002</v>
      </c>
      <c r="B3859">
        <v>56562002</v>
      </c>
      <c r="C3859" t="s">
        <v>7018</v>
      </c>
      <c r="E3859" s="184"/>
      <c r="G3859" s="184"/>
      <c r="I3859" s="184"/>
      <c r="K3859" s="184"/>
      <c r="M3859" s="184"/>
      <c r="N3859" t="s">
        <v>595</v>
      </c>
      <c r="O3859" s="184">
        <v>42143</v>
      </c>
      <c r="P3859" t="s">
        <v>7045</v>
      </c>
      <c r="Q3859" t="s">
        <v>7383</v>
      </c>
      <c r="R3859" s="184">
        <v>16103</v>
      </c>
      <c r="S3859">
        <v>80</v>
      </c>
      <c r="U3859" t="s">
        <v>7031</v>
      </c>
      <c r="V3859" t="s">
        <v>2898</v>
      </c>
      <c r="X3859" t="s">
        <v>5646</v>
      </c>
      <c r="AF3859" t="s">
        <v>29095</v>
      </c>
      <c r="AG3859" t="s">
        <v>2898</v>
      </c>
      <c r="AI3859" t="s">
        <v>29096</v>
      </c>
      <c r="AM3859" t="s">
        <v>4634</v>
      </c>
      <c r="AN3859" t="s">
        <v>2162</v>
      </c>
      <c r="AO3859" t="s">
        <v>29097</v>
      </c>
      <c r="AP3859" t="s">
        <v>7024</v>
      </c>
      <c r="AT3859" s="184">
        <v>40140</v>
      </c>
      <c r="AU3859" t="s">
        <v>29098</v>
      </c>
      <c r="AV3859">
        <v>15</v>
      </c>
      <c r="AW3859" s="184">
        <v>45373</v>
      </c>
      <c r="AX3859" t="s">
        <v>29099</v>
      </c>
      <c r="AY3859">
        <v>10</v>
      </c>
      <c r="AZ3859" s="184">
        <v>42143</v>
      </c>
      <c r="BA3859" t="s">
        <v>7042</v>
      </c>
      <c r="BB3859">
        <v>25000</v>
      </c>
      <c r="BC3859">
        <v>82</v>
      </c>
      <c r="BD3859">
        <v>26658</v>
      </c>
      <c r="BE3859">
        <v>2010</v>
      </c>
      <c r="BF3859">
        <v>39</v>
      </c>
      <c r="BG3859">
        <v>5</v>
      </c>
      <c r="BH3859">
        <v>37</v>
      </c>
      <c r="BI3859">
        <v>13</v>
      </c>
      <c r="BJ3859">
        <v>16</v>
      </c>
      <c r="BK3859">
        <v>7</v>
      </c>
      <c r="BP3859" s="184"/>
    </row>
    <row r="3860" spans="1:68">
      <c r="A3860">
        <v>56649973</v>
      </c>
      <c r="B3860">
        <v>56649973</v>
      </c>
      <c r="C3860" t="s">
        <v>7018</v>
      </c>
      <c r="E3860" s="184"/>
      <c r="G3860" s="184"/>
      <c r="I3860" s="184"/>
      <c r="J3860" t="s">
        <v>595</v>
      </c>
      <c r="K3860" s="184">
        <v>44459</v>
      </c>
      <c r="M3860" s="184"/>
      <c r="O3860" s="184"/>
      <c r="P3860" t="s">
        <v>7045</v>
      </c>
      <c r="Q3860" t="s">
        <v>7160</v>
      </c>
      <c r="R3860" s="184">
        <v>17777</v>
      </c>
      <c r="S3860">
        <v>75</v>
      </c>
      <c r="U3860" t="s">
        <v>7031</v>
      </c>
      <c r="V3860" t="s">
        <v>2832</v>
      </c>
      <c r="X3860" t="s">
        <v>29100</v>
      </c>
      <c r="AF3860" t="s">
        <v>29101</v>
      </c>
      <c r="AG3860" t="s">
        <v>2832</v>
      </c>
      <c r="AI3860" t="s">
        <v>29102</v>
      </c>
      <c r="AJ3860" t="s">
        <v>29103</v>
      </c>
      <c r="AM3860" t="s">
        <v>4515</v>
      </c>
      <c r="AN3860" t="s">
        <v>2395</v>
      </c>
      <c r="AO3860" t="s">
        <v>29104</v>
      </c>
      <c r="AP3860" t="s">
        <v>7024</v>
      </c>
      <c r="AT3860" s="184">
        <v>40141</v>
      </c>
      <c r="AU3860" t="s">
        <v>29066</v>
      </c>
      <c r="AV3860">
        <v>25</v>
      </c>
      <c r="AW3860" s="184">
        <v>44466</v>
      </c>
      <c r="AX3860" t="s">
        <v>7093</v>
      </c>
      <c r="AY3860">
        <v>1000</v>
      </c>
      <c r="AZ3860" s="184">
        <v>44466</v>
      </c>
      <c r="BA3860" t="s">
        <v>7093</v>
      </c>
      <c r="BB3860">
        <v>1000</v>
      </c>
      <c r="BC3860">
        <v>50</v>
      </c>
      <c r="BD3860">
        <v>1490</v>
      </c>
      <c r="BE3860">
        <v>2010</v>
      </c>
      <c r="BF3860">
        <v>9</v>
      </c>
      <c r="BI3860">
        <v>8</v>
      </c>
      <c r="BJ3860">
        <v>16</v>
      </c>
      <c r="BK3860">
        <v>3</v>
      </c>
      <c r="BO3860" t="s">
        <v>595</v>
      </c>
      <c r="BP3860" s="184">
        <v>44197</v>
      </c>
    </row>
    <row r="3861" spans="1:68">
      <c r="A3861">
        <v>56681471</v>
      </c>
      <c r="B3861">
        <v>56681471</v>
      </c>
      <c r="C3861" t="s">
        <v>7018</v>
      </c>
      <c r="E3861" s="184"/>
      <c r="G3861" s="184"/>
      <c r="H3861" t="s">
        <v>595</v>
      </c>
      <c r="I3861" s="184">
        <v>43914</v>
      </c>
      <c r="K3861" s="184"/>
      <c r="M3861" s="184"/>
      <c r="O3861" s="184"/>
      <c r="P3861" t="s">
        <v>7045</v>
      </c>
      <c r="Q3861" t="s">
        <v>7030</v>
      </c>
      <c r="R3861" s="184">
        <v>16452</v>
      </c>
      <c r="S3861">
        <v>79</v>
      </c>
      <c r="U3861" t="s">
        <v>7031</v>
      </c>
      <c r="V3861" t="s">
        <v>4786</v>
      </c>
      <c r="W3861" t="s">
        <v>7407</v>
      </c>
      <c r="X3861" t="s">
        <v>4787</v>
      </c>
      <c r="Z3861">
        <v>100332041</v>
      </c>
      <c r="AB3861" t="s">
        <v>2600</v>
      </c>
      <c r="AD3861" t="s">
        <v>4787</v>
      </c>
      <c r="AF3861" t="s">
        <v>29105</v>
      </c>
      <c r="AG3861" t="s">
        <v>29106</v>
      </c>
      <c r="AI3861" t="s">
        <v>29107</v>
      </c>
      <c r="AM3861" t="s">
        <v>4455</v>
      </c>
      <c r="AN3861" t="s">
        <v>2201</v>
      </c>
      <c r="AO3861" t="s">
        <v>29108</v>
      </c>
      <c r="AP3861" t="s">
        <v>7024</v>
      </c>
      <c r="AQ3861" t="s">
        <v>29109</v>
      </c>
      <c r="AR3861" t="s">
        <v>29110</v>
      </c>
      <c r="AT3861" s="184">
        <v>40147</v>
      </c>
      <c r="AU3861" t="s">
        <v>28692</v>
      </c>
      <c r="AV3861">
        <v>19.97</v>
      </c>
      <c r="AW3861" s="184">
        <v>43461</v>
      </c>
      <c r="AX3861" t="s">
        <v>29111</v>
      </c>
      <c r="AY3861">
        <v>25</v>
      </c>
      <c r="AZ3861" s="184">
        <v>43461</v>
      </c>
      <c r="BA3861" t="s">
        <v>29111</v>
      </c>
      <c r="BB3861">
        <v>25</v>
      </c>
      <c r="BC3861">
        <v>50</v>
      </c>
      <c r="BD3861">
        <v>194.97</v>
      </c>
      <c r="BE3861">
        <v>2010</v>
      </c>
      <c r="BF3861">
        <v>8</v>
      </c>
      <c r="BI3861">
        <v>8</v>
      </c>
      <c r="BJ3861">
        <v>16</v>
      </c>
      <c r="BK3861">
        <v>4</v>
      </c>
      <c r="BN3861" t="s">
        <v>595</v>
      </c>
      <c r="BP3861" s="184"/>
    </row>
    <row r="3862" spans="1:68">
      <c r="A3862">
        <v>100332041</v>
      </c>
      <c r="B3862">
        <v>56681471</v>
      </c>
      <c r="C3862" t="s">
        <v>7018</v>
      </c>
      <c r="E3862" s="184"/>
      <c r="G3862" s="184"/>
      <c r="H3862" t="s">
        <v>595</v>
      </c>
      <c r="I3862" s="184">
        <v>43914</v>
      </c>
      <c r="K3862" s="184"/>
      <c r="M3862" s="184"/>
      <c r="O3862" s="184"/>
      <c r="P3862" t="s">
        <v>7045</v>
      </c>
      <c r="Q3862" t="s">
        <v>7030</v>
      </c>
      <c r="R3862" s="184">
        <v>16811</v>
      </c>
      <c r="S3862">
        <v>78</v>
      </c>
      <c r="V3862" t="s">
        <v>2600</v>
      </c>
      <c r="X3862" t="s">
        <v>4787</v>
      </c>
      <c r="Z3862">
        <v>56681471</v>
      </c>
      <c r="AA3862" t="s">
        <v>7031</v>
      </c>
      <c r="AB3862" t="s">
        <v>4786</v>
      </c>
      <c r="AC3862" t="s">
        <v>7407</v>
      </c>
      <c r="AD3862" t="s">
        <v>4787</v>
      </c>
      <c r="AF3862" t="s">
        <v>29105</v>
      </c>
      <c r="AG3862" t="s">
        <v>29106</v>
      </c>
      <c r="AI3862" t="s">
        <v>29107</v>
      </c>
      <c r="AM3862" t="s">
        <v>4455</v>
      </c>
      <c r="AN3862" t="s">
        <v>2201</v>
      </c>
      <c r="AO3862" t="s">
        <v>29108</v>
      </c>
      <c r="AP3862" t="s">
        <v>7024</v>
      </c>
      <c r="AQ3862" t="s">
        <v>29112</v>
      </c>
      <c r="AR3862" t="s">
        <v>29113</v>
      </c>
      <c r="AT3862" s="184">
        <v>43821</v>
      </c>
      <c r="AU3862" t="s">
        <v>9494</v>
      </c>
      <c r="AV3862">
        <v>25</v>
      </c>
      <c r="AW3862" s="184">
        <v>44404</v>
      </c>
      <c r="AX3862" t="s">
        <v>7714</v>
      </c>
      <c r="AY3862">
        <v>25</v>
      </c>
      <c r="AZ3862" s="184">
        <v>44404</v>
      </c>
      <c r="BA3862" t="s">
        <v>7714</v>
      </c>
      <c r="BB3862">
        <v>25</v>
      </c>
      <c r="BC3862">
        <v>50</v>
      </c>
      <c r="BD3862">
        <v>100</v>
      </c>
      <c r="BE3862">
        <v>2020</v>
      </c>
      <c r="BF3862">
        <v>4</v>
      </c>
      <c r="BI3862">
        <v>3</v>
      </c>
      <c r="BJ3862">
        <v>6</v>
      </c>
      <c r="BK3862">
        <v>3</v>
      </c>
      <c r="BP3862" s="184"/>
    </row>
    <row r="3863" spans="1:68">
      <c r="A3863">
        <v>56709843</v>
      </c>
      <c r="B3863">
        <v>56709843</v>
      </c>
      <c r="C3863" t="s">
        <v>7018</v>
      </c>
      <c r="D3863" t="s">
        <v>595</v>
      </c>
      <c r="E3863" s="184">
        <v>43861</v>
      </c>
      <c r="G3863" s="184"/>
      <c r="I3863" s="184"/>
      <c r="K3863" s="184"/>
      <c r="O3863" s="184"/>
      <c r="P3863" t="s">
        <v>7045</v>
      </c>
      <c r="Q3863" t="s">
        <v>7494</v>
      </c>
      <c r="R3863" s="184">
        <v>28444</v>
      </c>
      <c r="S3863">
        <v>46</v>
      </c>
      <c r="U3863" t="s">
        <v>7130</v>
      </c>
      <c r="V3863" t="s">
        <v>4616</v>
      </c>
      <c r="W3863" t="s">
        <v>2049</v>
      </c>
      <c r="X3863" t="s">
        <v>4617</v>
      </c>
      <c r="AF3863" t="s">
        <v>29114</v>
      </c>
      <c r="AG3863" t="s">
        <v>4616</v>
      </c>
      <c r="AI3863" t="s">
        <v>29115</v>
      </c>
      <c r="AM3863" t="s">
        <v>3371</v>
      </c>
      <c r="AN3863" t="s">
        <v>2174</v>
      </c>
      <c r="AO3863" t="s">
        <v>29116</v>
      </c>
      <c r="AP3863" t="s">
        <v>7024</v>
      </c>
      <c r="AQ3863" t="s">
        <v>29117</v>
      </c>
      <c r="AT3863" s="184">
        <v>40147</v>
      </c>
      <c r="AU3863" t="s">
        <v>28437</v>
      </c>
      <c r="AV3863">
        <v>19.97</v>
      </c>
      <c r="AW3863" s="184">
        <v>45120</v>
      </c>
      <c r="AX3863" t="s">
        <v>13142</v>
      </c>
      <c r="AY3863">
        <v>35</v>
      </c>
      <c r="AZ3863" s="184">
        <v>45120</v>
      </c>
      <c r="BA3863" t="s">
        <v>13142</v>
      </c>
      <c r="BB3863">
        <v>35</v>
      </c>
      <c r="BC3863">
        <v>82</v>
      </c>
      <c r="BD3863">
        <v>479.97</v>
      </c>
      <c r="BE3863">
        <v>2010</v>
      </c>
      <c r="BF3863">
        <v>15</v>
      </c>
      <c r="BG3863">
        <v>1</v>
      </c>
      <c r="BH3863">
        <v>35</v>
      </c>
      <c r="BI3863">
        <v>13</v>
      </c>
      <c r="BJ3863">
        <v>16</v>
      </c>
      <c r="BK3863">
        <v>6</v>
      </c>
      <c r="BP3863" s="184"/>
    </row>
    <row r="3864" spans="1:68">
      <c r="A3864">
        <v>56864770</v>
      </c>
      <c r="B3864">
        <v>56864770</v>
      </c>
      <c r="C3864" t="s">
        <v>7018</v>
      </c>
      <c r="D3864" t="s">
        <v>595</v>
      </c>
      <c r="E3864" s="184">
        <v>44073</v>
      </c>
      <c r="I3864" s="184"/>
      <c r="K3864" s="184"/>
      <c r="M3864" s="184"/>
      <c r="O3864" s="184"/>
      <c r="P3864" t="s">
        <v>7019</v>
      </c>
      <c r="Q3864" t="s">
        <v>7383</v>
      </c>
      <c r="R3864" s="184">
        <v>18660</v>
      </c>
      <c r="S3864">
        <v>73</v>
      </c>
      <c r="V3864" t="s">
        <v>3689</v>
      </c>
      <c r="X3864" t="s">
        <v>29118</v>
      </c>
      <c r="AF3864" t="s">
        <v>29119</v>
      </c>
      <c r="AG3864" t="s">
        <v>3689</v>
      </c>
      <c r="AI3864" t="s">
        <v>29120</v>
      </c>
      <c r="AM3864" t="s">
        <v>3987</v>
      </c>
      <c r="AN3864" t="s">
        <v>2313</v>
      </c>
      <c r="AO3864" t="s">
        <v>29121</v>
      </c>
      <c r="AP3864" t="s">
        <v>7024</v>
      </c>
      <c r="AT3864" s="184">
        <v>40147</v>
      </c>
      <c r="AU3864" t="s">
        <v>29122</v>
      </c>
      <c r="AV3864">
        <v>25</v>
      </c>
      <c r="AW3864" s="184">
        <v>45215</v>
      </c>
      <c r="AX3864" t="s">
        <v>29123</v>
      </c>
      <c r="AY3864">
        <v>60</v>
      </c>
      <c r="AZ3864" s="184">
        <v>45215</v>
      </c>
      <c r="BA3864" t="s">
        <v>29123</v>
      </c>
      <c r="BB3864">
        <v>60</v>
      </c>
      <c r="BC3864">
        <v>94</v>
      </c>
      <c r="BD3864">
        <v>720</v>
      </c>
      <c r="BE3864">
        <v>2010</v>
      </c>
      <c r="BF3864">
        <v>16</v>
      </c>
      <c r="BG3864">
        <v>2</v>
      </c>
      <c r="BH3864">
        <v>120</v>
      </c>
      <c r="BI3864">
        <v>15</v>
      </c>
      <c r="BJ3864">
        <v>16</v>
      </c>
      <c r="BK3864">
        <v>15</v>
      </c>
    </row>
    <row r="3865" spans="1:68">
      <c r="A3865">
        <v>56880784</v>
      </c>
      <c r="B3865">
        <v>56880784</v>
      </c>
      <c r="C3865" t="s">
        <v>7018</v>
      </c>
      <c r="D3865" t="s">
        <v>595</v>
      </c>
      <c r="E3865" s="184">
        <v>44313</v>
      </c>
      <c r="G3865" s="184"/>
      <c r="I3865" s="184"/>
      <c r="K3865" s="184"/>
      <c r="M3865" s="184"/>
      <c r="O3865" s="184"/>
      <c r="P3865" t="s">
        <v>7045</v>
      </c>
      <c r="Q3865" t="s">
        <v>7374</v>
      </c>
      <c r="R3865" s="184">
        <v>17777</v>
      </c>
      <c r="S3865">
        <v>75</v>
      </c>
      <c r="V3865" t="s">
        <v>3311</v>
      </c>
      <c r="X3865" t="s">
        <v>9709</v>
      </c>
      <c r="AF3865" t="s">
        <v>29124</v>
      </c>
      <c r="AG3865" t="s">
        <v>3311</v>
      </c>
      <c r="AI3865" t="s">
        <v>29125</v>
      </c>
      <c r="AM3865" t="s">
        <v>29126</v>
      </c>
      <c r="AN3865" t="s">
        <v>2081</v>
      </c>
      <c r="AO3865" t="s">
        <v>29127</v>
      </c>
      <c r="AP3865" t="s">
        <v>7024</v>
      </c>
      <c r="AQ3865" t="s">
        <v>29128</v>
      </c>
      <c r="AT3865" s="184">
        <v>39553</v>
      </c>
      <c r="AU3865" t="s">
        <v>29129</v>
      </c>
      <c r="AV3865">
        <v>25</v>
      </c>
      <c r="AW3865" s="184">
        <v>45411</v>
      </c>
      <c r="AX3865" t="s">
        <v>16684</v>
      </c>
      <c r="AY3865">
        <v>36</v>
      </c>
      <c r="AZ3865" s="184">
        <v>44390</v>
      </c>
      <c r="BA3865" t="s">
        <v>29130</v>
      </c>
      <c r="BB3865">
        <v>87</v>
      </c>
      <c r="BC3865">
        <v>83</v>
      </c>
      <c r="BD3865">
        <v>934</v>
      </c>
      <c r="BE3865">
        <v>2008</v>
      </c>
      <c r="BF3865">
        <v>22</v>
      </c>
      <c r="BG3865">
        <v>5</v>
      </c>
      <c r="BH3865">
        <v>221</v>
      </c>
      <c r="BI3865">
        <v>14</v>
      </c>
      <c r="BJ3865">
        <v>17</v>
      </c>
      <c r="BK3865">
        <v>6</v>
      </c>
    </row>
    <row r="3866" spans="1:68">
      <c r="A3866">
        <v>57047375</v>
      </c>
      <c r="B3866">
        <v>57047375</v>
      </c>
      <c r="C3866" t="s">
        <v>7018</v>
      </c>
      <c r="D3866" t="s">
        <v>595</v>
      </c>
      <c r="E3866" s="184">
        <v>44167</v>
      </c>
      <c r="G3866" s="184"/>
      <c r="I3866" s="184"/>
      <c r="K3866" s="184"/>
      <c r="M3866" s="184"/>
      <c r="O3866" s="184"/>
      <c r="P3866" t="s">
        <v>7045</v>
      </c>
      <c r="Q3866" t="s">
        <v>7262</v>
      </c>
      <c r="R3866" s="184">
        <v>17654</v>
      </c>
      <c r="S3866">
        <v>76</v>
      </c>
      <c r="V3866" t="s">
        <v>3409</v>
      </c>
      <c r="X3866" t="s">
        <v>29131</v>
      </c>
      <c r="Z3866">
        <v>100131996</v>
      </c>
      <c r="AA3866" t="s">
        <v>7031</v>
      </c>
      <c r="AB3866" t="s">
        <v>2863</v>
      </c>
      <c r="AD3866" t="s">
        <v>29131</v>
      </c>
      <c r="AF3866" t="s">
        <v>29132</v>
      </c>
      <c r="AG3866" t="s">
        <v>29133</v>
      </c>
      <c r="AI3866" t="s">
        <v>29134</v>
      </c>
      <c r="AM3866" t="s">
        <v>2616</v>
      </c>
      <c r="AN3866" t="s">
        <v>2069</v>
      </c>
      <c r="AO3866" t="s">
        <v>29135</v>
      </c>
      <c r="AP3866" t="s">
        <v>7024</v>
      </c>
      <c r="AQ3866" t="s">
        <v>29136</v>
      </c>
      <c r="AR3866" t="s">
        <v>29137</v>
      </c>
      <c r="AT3866" s="184">
        <v>40149</v>
      </c>
      <c r="AU3866" t="s">
        <v>28428</v>
      </c>
      <c r="AV3866">
        <v>25</v>
      </c>
      <c r="AW3866" s="184">
        <v>44435</v>
      </c>
      <c r="AX3866" t="s">
        <v>29138</v>
      </c>
      <c r="AY3866">
        <v>50</v>
      </c>
      <c r="AZ3866" s="184">
        <v>44221</v>
      </c>
      <c r="BA3866" t="s">
        <v>11899</v>
      </c>
      <c r="BB3866">
        <v>60</v>
      </c>
      <c r="BC3866">
        <v>69</v>
      </c>
      <c r="BD3866">
        <v>1065</v>
      </c>
      <c r="BE3866">
        <v>2010</v>
      </c>
      <c r="BF3866">
        <v>25</v>
      </c>
      <c r="BI3866">
        <v>11</v>
      </c>
      <c r="BJ3866">
        <v>16</v>
      </c>
      <c r="BK3866">
        <v>9</v>
      </c>
      <c r="BN3866" t="s">
        <v>595</v>
      </c>
    </row>
    <row r="3867" spans="1:68">
      <c r="A3867">
        <v>100131996</v>
      </c>
      <c r="B3867">
        <v>57047375</v>
      </c>
      <c r="C3867" t="s">
        <v>7018</v>
      </c>
      <c r="D3867" t="s">
        <v>595</v>
      </c>
      <c r="E3867" s="184">
        <v>44167</v>
      </c>
      <c r="G3867" s="184"/>
      <c r="I3867" s="184"/>
      <c r="K3867" s="184"/>
      <c r="M3867" s="184"/>
      <c r="O3867" s="184"/>
      <c r="P3867" t="s">
        <v>7045</v>
      </c>
      <c r="Q3867" t="s">
        <v>7262</v>
      </c>
      <c r="R3867" s="184">
        <v>16866</v>
      </c>
      <c r="S3867">
        <v>78</v>
      </c>
      <c r="U3867" t="s">
        <v>7031</v>
      </c>
      <c r="V3867" t="s">
        <v>2863</v>
      </c>
      <c r="X3867" t="s">
        <v>29131</v>
      </c>
      <c r="Z3867">
        <v>57047375</v>
      </c>
      <c r="AB3867" t="s">
        <v>3409</v>
      </c>
      <c r="AD3867" t="s">
        <v>29131</v>
      </c>
      <c r="AF3867" t="s">
        <v>29132</v>
      </c>
      <c r="AG3867" t="s">
        <v>29133</v>
      </c>
      <c r="AI3867" t="s">
        <v>29134</v>
      </c>
      <c r="AM3867" t="s">
        <v>2616</v>
      </c>
      <c r="AN3867" t="s">
        <v>2069</v>
      </c>
      <c r="AO3867" t="s">
        <v>29135</v>
      </c>
      <c r="AP3867" t="s">
        <v>7024</v>
      </c>
      <c r="AQ3867" t="s">
        <v>29136</v>
      </c>
      <c r="AR3867" t="s">
        <v>29139</v>
      </c>
      <c r="AT3867" s="184"/>
      <c r="AW3867" s="184"/>
      <c r="AZ3867" s="184"/>
      <c r="BP3867" s="184"/>
    </row>
    <row r="3868" spans="1:68">
      <c r="A3868">
        <v>57062861</v>
      </c>
      <c r="B3868">
        <v>57062861</v>
      </c>
      <c r="C3868" t="s">
        <v>7018</v>
      </c>
      <c r="E3868" s="184"/>
      <c r="G3868" s="184"/>
      <c r="I3868" s="184"/>
      <c r="J3868" t="s">
        <v>595</v>
      </c>
      <c r="K3868" s="184">
        <v>40561</v>
      </c>
      <c r="M3868" s="184"/>
      <c r="O3868" s="184"/>
      <c r="P3868" t="s">
        <v>7045</v>
      </c>
      <c r="Q3868" t="s">
        <v>7454</v>
      </c>
      <c r="R3868" s="184">
        <v>15797</v>
      </c>
      <c r="S3868">
        <v>81</v>
      </c>
      <c r="V3868" t="s">
        <v>2863</v>
      </c>
      <c r="W3868" t="s">
        <v>4013</v>
      </c>
      <c r="X3868" t="s">
        <v>2832</v>
      </c>
      <c r="Z3868">
        <v>100183704</v>
      </c>
      <c r="AB3868" t="s">
        <v>29140</v>
      </c>
      <c r="AD3868" t="s">
        <v>2832</v>
      </c>
      <c r="AF3868" t="s">
        <v>6135</v>
      </c>
      <c r="AG3868" t="s">
        <v>2863</v>
      </c>
      <c r="AI3868" t="s">
        <v>29141</v>
      </c>
      <c r="AM3868" t="s">
        <v>22061</v>
      </c>
      <c r="AN3868" t="s">
        <v>2055</v>
      </c>
      <c r="AO3868" t="s">
        <v>29142</v>
      </c>
      <c r="AP3868" t="s">
        <v>7024</v>
      </c>
      <c r="AQ3868" t="s">
        <v>29143</v>
      </c>
      <c r="AR3868" t="s">
        <v>29144</v>
      </c>
      <c r="AT3868" s="184">
        <v>40150</v>
      </c>
      <c r="AU3868" t="s">
        <v>29145</v>
      </c>
      <c r="AV3868">
        <v>100</v>
      </c>
      <c r="AW3868" s="184">
        <v>42004</v>
      </c>
      <c r="AX3868" t="s">
        <v>29146</v>
      </c>
      <c r="AY3868">
        <v>500</v>
      </c>
      <c r="AZ3868" s="184">
        <v>41639</v>
      </c>
      <c r="BA3868" t="s">
        <v>29147</v>
      </c>
      <c r="BB3868">
        <v>1000</v>
      </c>
      <c r="BC3868">
        <v>32</v>
      </c>
      <c r="BD3868">
        <v>4350</v>
      </c>
      <c r="BE3868">
        <v>2010</v>
      </c>
      <c r="BF3868">
        <v>7</v>
      </c>
      <c r="BI3868">
        <v>5</v>
      </c>
      <c r="BJ3868">
        <v>16</v>
      </c>
      <c r="BK3868">
        <v>3</v>
      </c>
    </row>
    <row r="3869" spans="1:68">
      <c r="A3869">
        <v>57141806</v>
      </c>
      <c r="B3869">
        <v>57141806</v>
      </c>
      <c r="C3869" t="s">
        <v>7018</v>
      </c>
      <c r="D3869" t="s">
        <v>595</v>
      </c>
      <c r="E3869" s="184">
        <v>44073</v>
      </c>
      <c r="G3869" s="184"/>
      <c r="I3869" s="184"/>
      <c r="K3869" s="184"/>
      <c r="O3869" s="184"/>
      <c r="P3869" t="s">
        <v>7045</v>
      </c>
      <c r="Q3869" t="s">
        <v>7020</v>
      </c>
      <c r="R3869" s="184">
        <v>19511</v>
      </c>
      <c r="S3869">
        <v>70</v>
      </c>
      <c r="V3869" t="s">
        <v>4236</v>
      </c>
      <c r="X3869" t="s">
        <v>3233</v>
      </c>
      <c r="AF3869" t="s">
        <v>29148</v>
      </c>
      <c r="AG3869" t="s">
        <v>4236</v>
      </c>
      <c r="AI3869" t="s">
        <v>29149</v>
      </c>
      <c r="AM3869" t="s">
        <v>29150</v>
      </c>
      <c r="AN3869" t="s">
        <v>2129</v>
      </c>
      <c r="AO3869" t="s">
        <v>29151</v>
      </c>
      <c r="AP3869" t="s">
        <v>7024</v>
      </c>
      <c r="AQ3869" t="s">
        <v>29152</v>
      </c>
      <c r="AT3869" s="184">
        <v>40155</v>
      </c>
      <c r="AU3869" t="s">
        <v>29153</v>
      </c>
      <c r="AV3869">
        <v>25</v>
      </c>
      <c r="AW3869" s="184">
        <v>44193</v>
      </c>
      <c r="AX3869" t="s">
        <v>29154</v>
      </c>
      <c r="AY3869">
        <v>200</v>
      </c>
      <c r="AZ3869" s="184">
        <v>44193</v>
      </c>
      <c r="BA3869" t="s">
        <v>29154</v>
      </c>
      <c r="BB3869">
        <v>200</v>
      </c>
      <c r="BC3869">
        <v>32</v>
      </c>
      <c r="BD3869">
        <v>445</v>
      </c>
      <c r="BE3869">
        <v>2010</v>
      </c>
      <c r="BF3869">
        <v>5</v>
      </c>
      <c r="BI3869">
        <v>5</v>
      </c>
      <c r="BJ3869">
        <v>16</v>
      </c>
      <c r="BK3869">
        <v>2</v>
      </c>
    </row>
    <row r="3870" spans="1:68">
      <c r="A3870">
        <v>57181596</v>
      </c>
      <c r="B3870">
        <v>57181596</v>
      </c>
      <c r="C3870" t="s">
        <v>7018</v>
      </c>
      <c r="D3870" t="s">
        <v>595</v>
      </c>
      <c r="E3870" s="184">
        <v>44073</v>
      </c>
      <c r="G3870" s="184"/>
      <c r="I3870" s="184"/>
      <c r="K3870" s="184"/>
      <c r="M3870" s="184"/>
      <c r="O3870" s="184"/>
      <c r="P3870" t="s">
        <v>7029</v>
      </c>
      <c r="Q3870" t="s">
        <v>7383</v>
      </c>
      <c r="R3870" s="184">
        <v>17183</v>
      </c>
      <c r="S3870">
        <v>77</v>
      </c>
      <c r="U3870" t="s">
        <v>7031</v>
      </c>
      <c r="V3870" t="s">
        <v>2863</v>
      </c>
      <c r="W3870" t="s">
        <v>7963</v>
      </c>
      <c r="X3870" t="s">
        <v>29155</v>
      </c>
      <c r="Z3870">
        <v>100385081</v>
      </c>
      <c r="AB3870" t="s">
        <v>2523</v>
      </c>
      <c r="AD3870" t="s">
        <v>29156</v>
      </c>
      <c r="AF3870" t="s">
        <v>29157</v>
      </c>
      <c r="AG3870" t="s">
        <v>14288</v>
      </c>
      <c r="AI3870" t="s">
        <v>29158</v>
      </c>
      <c r="AM3870" t="s">
        <v>2755</v>
      </c>
      <c r="AN3870" t="s">
        <v>2072</v>
      </c>
      <c r="AO3870" t="s">
        <v>29159</v>
      </c>
      <c r="AP3870" t="s">
        <v>7024</v>
      </c>
      <c r="AQ3870" t="s">
        <v>29160</v>
      </c>
      <c r="AR3870" t="s">
        <v>29161</v>
      </c>
      <c r="AT3870" s="184">
        <v>40157</v>
      </c>
      <c r="AU3870" t="s">
        <v>29162</v>
      </c>
      <c r="AV3870">
        <v>25</v>
      </c>
      <c r="AW3870" s="184">
        <v>45383</v>
      </c>
      <c r="AX3870" t="s">
        <v>7302</v>
      </c>
      <c r="AY3870">
        <v>1500</v>
      </c>
      <c r="AZ3870" s="184">
        <v>45383</v>
      </c>
      <c r="BA3870" t="s">
        <v>7302</v>
      </c>
      <c r="BB3870">
        <v>1500</v>
      </c>
      <c r="BC3870">
        <v>100</v>
      </c>
      <c r="BD3870">
        <v>10927</v>
      </c>
      <c r="BE3870">
        <v>2010</v>
      </c>
      <c r="BF3870">
        <v>21</v>
      </c>
      <c r="BG3870">
        <v>3</v>
      </c>
      <c r="BH3870">
        <v>4250</v>
      </c>
      <c r="BI3870">
        <v>16</v>
      </c>
      <c r="BJ3870">
        <v>16</v>
      </c>
      <c r="BK3870">
        <v>16</v>
      </c>
    </row>
    <row r="3871" spans="1:68">
      <c r="A3871">
        <v>100385081</v>
      </c>
      <c r="B3871">
        <v>57181596</v>
      </c>
      <c r="C3871" t="s">
        <v>7018</v>
      </c>
      <c r="D3871" t="s">
        <v>595</v>
      </c>
      <c r="E3871" s="184">
        <v>44073</v>
      </c>
      <c r="G3871" s="184"/>
      <c r="I3871" s="184"/>
      <c r="K3871" s="184"/>
      <c r="M3871" s="184"/>
      <c r="O3871" s="184"/>
      <c r="P3871" t="s">
        <v>7029</v>
      </c>
      <c r="Q3871" t="s">
        <v>7383</v>
      </c>
      <c r="R3871" s="184">
        <v>19771</v>
      </c>
      <c r="S3871">
        <v>70</v>
      </c>
      <c r="V3871" t="s">
        <v>2523</v>
      </c>
      <c r="X3871" t="s">
        <v>29156</v>
      </c>
      <c r="Z3871">
        <v>57181596</v>
      </c>
      <c r="AA3871" t="s">
        <v>7031</v>
      </c>
      <c r="AB3871" t="s">
        <v>2863</v>
      </c>
      <c r="AC3871" t="s">
        <v>7963</v>
      </c>
      <c r="AD3871" t="s">
        <v>29155</v>
      </c>
      <c r="AF3871" t="s">
        <v>29157</v>
      </c>
      <c r="AG3871" t="s">
        <v>14288</v>
      </c>
      <c r="AI3871" t="s">
        <v>29158</v>
      </c>
      <c r="AM3871" t="s">
        <v>2755</v>
      </c>
      <c r="AN3871" t="s">
        <v>2072</v>
      </c>
      <c r="AO3871" t="s">
        <v>29159</v>
      </c>
      <c r="AP3871" t="s">
        <v>7024</v>
      </c>
      <c r="AT3871" s="184"/>
      <c r="AW3871" s="184"/>
      <c r="AZ3871" s="184"/>
    </row>
    <row r="3872" spans="1:68">
      <c r="A3872">
        <v>57183774</v>
      </c>
      <c r="B3872">
        <v>57183774</v>
      </c>
      <c r="C3872" t="s">
        <v>7018</v>
      </c>
      <c r="D3872" t="s">
        <v>595</v>
      </c>
      <c r="E3872" s="184">
        <v>44073</v>
      </c>
      <c r="G3872" s="184"/>
      <c r="I3872" s="184"/>
      <c r="K3872" s="184"/>
      <c r="M3872" s="184"/>
      <c r="O3872" s="184"/>
      <c r="P3872" t="s">
        <v>7045</v>
      </c>
      <c r="Q3872" t="s">
        <v>7030</v>
      </c>
      <c r="R3872" s="184">
        <v>16443</v>
      </c>
      <c r="S3872">
        <v>79</v>
      </c>
      <c r="V3872" t="s">
        <v>29163</v>
      </c>
      <c r="X3872" t="s">
        <v>29164</v>
      </c>
      <c r="AF3872" t="s">
        <v>29165</v>
      </c>
      <c r="AG3872" t="s">
        <v>29163</v>
      </c>
      <c r="AI3872" t="s">
        <v>29166</v>
      </c>
      <c r="AM3872" t="s">
        <v>3415</v>
      </c>
      <c r="AN3872" t="s">
        <v>2094</v>
      </c>
      <c r="AO3872" t="s">
        <v>29167</v>
      </c>
      <c r="AP3872" t="s">
        <v>7024</v>
      </c>
      <c r="AQ3872" t="s">
        <v>29168</v>
      </c>
      <c r="AR3872" t="s">
        <v>29169</v>
      </c>
      <c r="AT3872" s="184">
        <v>40157</v>
      </c>
      <c r="AU3872" t="s">
        <v>29145</v>
      </c>
      <c r="AV3872">
        <v>20</v>
      </c>
      <c r="AW3872" s="184">
        <v>45422</v>
      </c>
      <c r="AX3872" t="s">
        <v>7422</v>
      </c>
      <c r="AY3872">
        <v>10</v>
      </c>
      <c r="AZ3872" s="184">
        <v>41106</v>
      </c>
      <c r="BA3872" t="s">
        <v>29170</v>
      </c>
      <c r="BB3872">
        <v>60</v>
      </c>
      <c r="BC3872">
        <v>100</v>
      </c>
      <c r="BD3872">
        <v>1935</v>
      </c>
      <c r="BE3872">
        <v>2010</v>
      </c>
      <c r="BF3872">
        <v>124</v>
      </c>
      <c r="BG3872">
        <v>24</v>
      </c>
      <c r="BH3872">
        <v>240</v>
      </c>
      <c r="BI3872">
        <v>16</v>
      </c>
      <c r="BJ3872">
        <v>16</v>
      </c>
      <c r="BK3872">
        <v>16</v>
      </c>
      <c r="BN3872" t="s">
        <v>595</v>
      </c>
    </row>
    <row r="3873" spans="1:68">
      <c r="A3873">
        <v>57255580</v>
      </c>
      <c r="B3873">
        <v>57255580</v>
      </c>
      <c r="C3873" t="s">
        <v>7018</v>
      </c>
      <c r="D3873" t="s">
        <v>595</v>
      </c>
      <c r="E3873" s="184">
        <v>45148</v>
      </c>
      <c r="G3873" s="184"/>
      <c r="I3873" s="184"/>
      <c r="K3873" s="184"/>
      <c r="M3873" s="184"/>
      <c r="P3873" t="s">
        <v>7045</v>
      </c>
      <c r="Q3873" t="s">
        <v>7262</v>
      </c>
      <c r="R3873" s="184">
        <v>12145</v>
      </c>
      <c r="S3873">
        <v>91</v>
      </c>
      <c r="V3873" t="s">
        <v>2697</v>
      </c>
      <c r="W3873" t="s">
        <v>2316</v>
      </c>
      <c r="X3873" t="s">
        <v>2772</v>
      </c>
      <c r="Z3873">
        <v>100132185</v>
      </c>
      <c r="AB3873" t="s">
        <v>2958</v>
      </c>
      <c r="AC3873" t="s">
        <v>3522</v>
      </c>
      <c r="AD3873" t="s">
        <v>2772</v>
      </c>
      <c r="AF3873" t="s">
        <v>29171</v>
      </c>
      <c r="AG3873" t="s">
        <v>29172</v>
      </c>
      <c r="AI3873" t="s">
        <v>29173</v>
      </c>
      <c r="AM3873" t="s">
        <v>12736</v>
      </c>
      <c r="AN3873" t="s">
        <v>2069</v>
      </c>
      <c r="AO3873" t="s">
        <v>29174</v>
      </c>
      <c r="AP3873" t="s">
        <v>7024</v>
      </c>
      <c r="AQ3873" t="s">
        <v>29175</v>
      </c>
      <c r="AR3873" t="s">
        <v>29176</v>
      </c>
      <c r="AT3873" s="184">
        <v>40163</v>
      </c>
      <c r="AU3873" t="s">
        <v>29177</v>
      </c>
      <c r="AV3873">
        <v>20</v>
      </c>
      <c r="AW3873" s="184">
        <v>45027</v>
      </c>
      <c r="AX3873" t="s">
        <v>12446</v>
      </c>
      <c r="AY3873">
        <v>25</v>
      </c>
      <c r="AZ3873" s="184">
        <v>40557</v>
      </c>
      <c r="BA3873" t="s">
        <v>29178</v>
      </c>
      <c r="BB3873">
        <v>60</v>
      </c>
      <c r="BC3873">
        <v>63</v>
      </c>
      <c r="BD3873">
        <v>325</v>
      </c>
      <c r="BE3873">
        <v>2010</v>
      </c>
      <c r="BF3873">
        <v>10</v>
      </c>
      <c r="BG3873">
        <v>1</v>
      </c>
      <c r="BH3873">
        <v>25</v>
      </c>
      <c r="BI3873">
        <v>10</v>
      </c>
      <c r="BJ3873">
        <v>16</v>
      </c>
      <c r="BK3873">
        <v>4</v>
      </c>
    </row>
    <row r="3874" spans="1:68">
      <c r="A3874">
        <v>100132185</v>
      </c>
      <c r="B3874">
        <v>57255580</v>
      </c>
      <c r="C3874" t="s">
        <v>7018</v>
      </c>
      <c r="D3874" t="s">
        <v>595</v>
      </c>
      <c r="E3874" s="184">
        <v>45148</v>
      </c>
      <c r="G3874" s="184"/>
      <c r="I3874" s="184"/>
      <c r="K3874" s="184"/>
      <c r="M3874" s="184"/>
      <c r="O3874" s="184"/>
      <c r="P3874" t="s">
        <v>7045</v>
      </c>
      <c r="Q3874" t="s">
        <v>7262</v>
      </c>
      <c r="R3874" s="184">
        <v>12145</v>
      </c>
      <c r="S3874">
        <v>91</v>
      </c>
      <c r="V3874" t="s">
        <v>2958</v>
      </c>
      <c r="W3874" t="s">
        <v>3522</v>
      </c>
      <c r="X3874" t="s">
        <v>2772</v>
      </c>
      <c r="Z3874">
        <v>57255580</v>
      </c>
      <c r="AB3874" t="s">
        <v>2697</v>
      </c>
      <c r="AC3874" t="s">
        <v>2316</v>
      </c>
      <c r="AD3874" t="s">
        <v>2772</v>
      </c>
      <c r="AF3874" t="s">
        <v>29171</v>
      </c>
      <c r="AG3874" t="s">
        <v>29172</v>
      </c>
      <c r="AI3874" t="s">
        <v>29173</v>
      </c>
      <c r="AM3874" t="s">
        <v>12736</v>
      </c>
      <c r="AN3874" t="s">
        <v>2069</v>
      </c>
      <c r="AO3874" t="s">
        <v>29174</v>
      </c>
      <c r="AP3874" t="s">
        <v>7024</v>
      </c>
      <c r="AT3874" s="184"/>
      <c r="AW3874" s="184"/>
      <c r="AZ3874" s="184"/>
    </row>
    <row r="3875" spans="1:68">
      <c r="A3875">
        <v>57278178</v>
      </c>
      <c r="B3875">
        <v>57278178</v>
      </c>
      <c r="C3875" t="s">
        <v>7018</v>
      </c>
      <c r="D3875" t="s">
        <v>595</v>
      </c>
      <c r="E3875" s="184">
        <v>44168</v>
      </c>
      <c r="G3875" s="184"/>
      <c r="I3875" s="184"/>
      <c r="K3875" s="184"/>
      <c r="M3875" s="184"/>
      <c r="O3875" s="184"/>
      <c r="P3875" t="s">
        <v>7045</v>
      </c>
      <c r="Q3875" t="s">
        <v>7160</v>
      </c>
      <c r="R3875" s="184">
        <v>11938</v>
      </c>
      <c r="S3875">
        <v>91</v>
      </c>
      <c r="V3875" t="s">
        <v>29179</v>
      </c>
      <c r="X3875" t="s">
        <v>29180</v>
      </c>
      <c r="AF3875" t="s">
        <v>29181</v>
      </c>
      <c r="AG3875" t="s">
        <v>29179</v>
      </c>
      <c r="AI3875" t="s">
        <v>29182</v>
      </c>
      <c r="AM3875" t="s">
        <v>17235</v>
      </c>
      <c r="AN3875" t="s">
        <v>2413</v>
      </c>
      <c r="AO3875" t="s">
        <v>29183</v>
      </c>
      <c r="AP3875" t="s">
        <v>7024</v>
      </c>
      <c r="AT3875" s="184">
        <v>40164</v>
      </c>
      <c r="AU3875" t="s">
        <v>29184</v>
      </c>
      <c r="AV3875">
        <v>20</v>
      </c>
      <c r="AW3875" s="184">
        <v>42625</v>
      </c>
      <c r="AX3875" t="s">
        <v>12063</v>
      </c>
      <c r="AY3875">
        <v>25</v>
      </c>
      <c r="AZ3875" s="184">
        <v>42625</v>
      </c>
      <c r="BA3875" t="s">
        <v>12063</v>
      </c>
      <c r="BB3875">
        <v>25</v>
      </c>
      <c r="BC3875">
        <v>44</v>
      </c>
      <c r="BD3875">
        <v>345</v>
      </c>
      <c r="BE3875">
        <v>2010</v>
      </c>
      <c r="BF3875">
        <v>14</v>
      </c>
      <c r="BI3875">
        <v>7</v>
      </c>
      <c r="BJ3875">
        <v>16</v>
      </c>
      <c r="BK3875">
        <v>6</v>
      </c>
      <c r="BP3875" s="184"/>
    </row>
    <row r="3876" spans="1:68">
      <c r="A3876">
        <v>57316382</v>
      </c>
      <c r="B3876">
        <v>57316382</v>
      </c>
      <c r="C3876" t="s">
        <v>7018</v>
      </c>
      <c r="D3876" t="s">
        <v>595</v>
      </c>
      <c r="E3876" s="184">
        <v>44046</v>
      </c>
      <c r="G3876" s="184"/>
      <c r="I3876" s="184"/>
      <c r="K3876" s="184"/>
      <c r="M3876" s="184"/>
      <c r="O3876" s="184"/>
      <c r="P3876" t="s">
        <v>7045</v>
      </c>
      <c r="Q3876" t="s">
        <v>7020</v>
      </c>
      <c r="R3876" s="184">
        <v>21155</v>
      </c>
      <c r="S3876">
        <v>66</v>
      </c>
      <c r="U3876" t="s">
        <v>7031</v>
      </c>
      <c r="V3876" t="s">
        <v>2898</v>
      </c>
      <c r="X3876" t="s">
        <v>29185</v>
      </c>
      <c r="Z3876">
        <v>100132209</v>
      </c>
      <c r="AA3876" t="s">
        <v>7130</v>
      </c>
      <c r="AB3876" t="s">
        <v>3053</v>
      </c>
      <c r="AD3876" t="s">
        <v>29185</v>
      </c>
      <c r="AF3876" t="s">
        <v>29186</v>
      </c>
      <c r="AG3876" t="s">
        <v>29187</v>
      </c>
      <c r="AI3876" t="s">
        <v>29188</v>
      </c>
      <c r="AM3876" t="s">
        <v>19064</v>
      </c>
      <c r="AN3876" t="s">
        <v>2112</v>
      </c>
      <c r="AO3876" t="s">
        <v>29189</v>
      </c>
      <c r="AP3876" t="s">
        <v>7024</v>
      </c>
      <c r="AQ3876" t="s">
        <v>29190</v>
      </c>
      <c r="AR3876" t="s">
        <v>29191</v>
      </c>
      <c r="AT3876" s="184">
        <v>40164</v>
      </c>
      <c r="AU3876" t="s">
        <v>29177</v>
      </c>
      <c r="AV3876">
        <v>25</v>
      </c>
      <c r="AW3876" s="184">
        <v>45419</v>
      </c>
      <c r="AX3876" t="s">
        <v>7422</v>
      </c>
      <c r="AY3876">
        <v>7</v>
      </c>
      <c r="AZ3876" s="184">
        <v>41227</v>
      </c>
      <c r="BA3876" t="s">
        <v>8168</v>
      </c>
      <c r="BB3876">
        <v>25</v>
      </c>
      <c r="BC3876">
        <v>94</v>
      </c>
      <c r="BD3876">
        <v>992</v>
      </c>
      <c r="BE3876">
        <v>2010</v>
      </c>
      <c r="BF3876">
        <v>142</v>
      </c>
      <c r="BG3876">
        <v>24</v>
      </c>
      <c r="BH3876">
        <v>168</v>
      </c>
      <c r="BI3876">
        <v>15</v>
      </c>
      <c r="BJ3876">
        <v>16</v>
      </c>
      <c r="BK3876">
        <v>14</v>
      </c>
      <c r="BN3876" t="s">
        <v>595</v>
      </c>
      <c r="BP3876" s="184"/>
    </row>
    <row r="3877" spans="1:68">
      <c r="A3877">
        <v>100132209</v>
      </c>
      <c r="B3877">
        <v>57316382</v>
      </c>
      <c r="C3877" t="s">
        <v>7018</v>
      </c>
      <c r="D3877" t="s">
        <v>595</v>
      </c>
      <c r="E3877" s="184">
        <v>44046</v>
      </c>
      <c r="G3877" s="184"/>
      <c r="I3877" s="184"/>
      <c r="K3877" s="184"/>
      <c r="M3877" s="184"/>
      <c r="O3877" s="184"/>
      <c r="P3877" t="s">
        <v>7045</v>
      </c>
      <c r="Q3877" t="s">
        <v>7020</v>
      </c>
      <c r="R3877" s="184">
        <v>33086</v>
      </c>
      <c r="S3877">
        <v>33</v>
      </c>
      <c r="U3877" t="s">
        <v>7130</v>
      </c>
      <c r="V3877" t="s">
        <v>3053</v>
      </c>
      <c r="X3877" t="s">
        <v>29185</v>
      </c>
      <c r="Z3877">
        <v>57316382</v>
      </c>
      <c r="AA3877" t="s">
        <v>7031</v>
      </c>
      <c r="AB3877" t="s">
        <v>2898</v>
      </c>
      <c r="AD3877" t="s">
        <v>29185</v>
      </c>
      <c r="AF3877" t="s">
        <v>29186</v>
      </c>
      <c r="AG3877" t="s">
        <v>29187</v>
      </c>
      <c r="AI3877" t="s">
        <v>29188</v>
      </c>
      <c r="AM3877" t="s">
        <v>19064</v>
      </c>
      <c r="AN3877" t="s">
        <v>2112</v>
      </c>
      <c r="AO3877" t="s">
        <v>29189</v>
      </c>
      <c r="AP3877" t="s">
        <v>7024</v>
      </c>
      <c r="AT3877" s="184"/>
      <c r="AW3877" s="184"/>
      <c r="AZ3877" s="184"/>
      <c r="BP3877" s="184"/>
    </row>
    <row r="3878" spans="1:68">
      <c r="A3878">
        <v>57325482</v>
      </c>
      <c r="B3878">
        <v>57325482</v>
      </c>
      <c r="C3878" t="s">
        <v>7018</v>
      </c>
      <c r="D3878" t="s">
        <v>595</v>
      </c>
      <c r="E3878" s="184">
        <v>44073</v>
      </c>
      <c r="G3878" s="184"/>
      <c r="I3878" s="184"/>
      <c r="K3878" s="184"/>
      <c r="M3878" s="184"/>
      <c r="O3878" s="184"/>
      <c r="P3878" t="s">
        <v>7045</v>
      </c>
      <c r="Q3878" t="s">
        <v>7020</v>
      </c>
      <c r="R3878" s="184">
        <v>17772</v>
      </c>
      <c r="S3878">
        <v>75</v>
      </c>
      <c r="U3878" t="s">
        <v>7076</v>
      </c>
      <c r="V3878" t="s">
        <v>2903</v>
      </c>
      <c r="X3878" t="s">
        <v>29192</v>
      </c>
      <c r="AF3878" t="s">
        <v>29193</v>
      </c>
      <c r="AG3878" t="s">
        <v>2903</v>
      </c>
      <c r="AI3878" t="s">
        <v>29194</v>
      </c>
      <c r="AM3878" t="s">
        <v>29195</v>
      </c>
      <c r="AN3878" t="s">
        <v>2129</v>
      </c>
      <c r="AO3878" t="s">
        <v>29196</v>
      </c>
      <c r="AP3878" t="s">
        <v>7024</v>
      </c>
      <c r="AQ3878" t="s">
        <v>29197</v>
      </c>
      <c r="AR3878" t="s">
        <v>29198</v>
      </c>
      <c r="AT3878" s="184">
        <v>40165</v>
      </c>
      <c r="AU3878" t="s">
        <v>29199</v>
      </c>
      <c r="AV3878">
        <v>25</v>
      </c>
      <c r="AW3878" s="184">
        <v>45268</v>
      </c>
      <c r="AX3878" t="s">
        <v>24601</v>
      </c>
      <c r="AY3878">
        <v>100</v>
      </c>
      <c r="AZ3878" s="184">
        <v>45268</v>
      </c>
      <c r="BA3878" t="s">
        <v>24601</v>
      </c>
      <c r="BB3878">
        <v>100</v>
      </c>
      <c r="BC3878">
        <v>88</v>
      </c>
      <c r="BD3878">
        <v>1150</v>
      </c>
      <c r="BE3878">
        <v>2010</v>
      </c>
      <c r="BF3878">
        <v>19</v>
      </c>
      <c r="BG3878">
        <v>2</v>
      </c>
      <c r="BH3878">
        <v>200</v>
      </c>
      <c r="BI3878">
        <v>14</v>
      </c>
      <c r="BJ3878">
        <v>16</v>
      </c>
      <c r="BK3878">
        <v>8</v>
      </c>
      <c r="BN3878" t="s">
        <v>595</v>
      </c>
    </row>
    <row r="3879" spans="1:68">
      <c r="A3879">
        <v>57326373</v>
      </c>
      <c r="B3879">
        <v>57326373</v>
      </c>
      <c r="C3879" t="s">
        <v>7018</v>
      </c>
      <c r="D3879" t="s">
        <v>595</v>
      </c>
      <c r="E3879" s="184">
        <v>45125</v>
      </c>
      <c r="G3879" s="184"/>
      <c r="I3879" s="184"/>
      <c r="K3879" s="184"/>
      <c r="M3879" s="184"/>
      <c r="O3879" s="184"/>
      <c r="P3879" t="s">
        <v>7045</v>
      </c>
      <c r="Q3879" t="s">
        <v>7383</v>
      </c>
      <c r="R3879" s="184">
        <v>22474</v>
      </c>
      <c r="S3879">
        <v>62</v>
      </c>
      <c r="V3879" t="s">
        <v>3235</v>
      </c>
      <c r="W3879" t="s">
        <v>2049</v>
      </c>
      <c r="X3879" t="s">
        <v>29200</v>
      </c>
      <c r="AF3879" t="s">
        <v>29201</v>
      </c>
      <c r="AG3879" t="s">
        <v>3235</v>
      </c>
      <c r="AI3879" t="s">
        <v>29202</v>
      </c>
      <c r="AM3879" t="s">
        <v>29203</v>
      </c>
      <c r="AN3879" t="s">
        <v>2072</v>
      </c>
      <c r="AO3879" t="s">
        <v>29204</v>
      </c>
      <c r="AP3879" t="s">
        <v>7024</v>
      </c>
      <c r="AQ3879" t="s">
        <v>29205</v>
      </c>
      <c r="AT3879" s="184">
        <v>40165</v>
      </c>
      <c r="AU3879" t="s">
        <v>29177</v>
      </c>
      <c r="AV3879">
        <v>20</v>
      </c>
      <c r="AW3879" s="184">
        <v>44992</v>
      </c>
      <c r="AX3879" t="s">
        <v>14056</v>
      </c>
      <c r="AY3879">
        <v>25</v>
      </c>
      <c r="AZ3879" s="184">
        <v>44992</v>
      </c>
      <c r="BA3879" t="s">
        <v>14056</v>
      </c>
      <c r="BB3879">
        <v>25</v>
      </c>
      <c r="BC3879">
        <v>75</v>
      </c>
      <c r="BD3879">
        <v>309.97000000000003</v>
      </c>
      <c r="BE3879">
        <v>2010</v>
      </c>
      <c r="BF3879">
        <v>15</v>
      </c>
      <c r="BG3879">
        <v>2</v>
      </c>
      <c r="BH3879">
        <v>50</v>
      </c>
      <c r="BI3879">
        <v>12</v>
      </c>
      <c r="BJ3879">
        <v>16</v>
      </c>
      <c r="BK3879">
        <v>5</v>
      </c>
      <c r="BP3879" s="184"/>
    </row>
    <row r="3880" spans="1:68">
      <c r="A3880">
        <v>57333775</v>
      </c>
      <c r="B3880">
        <v>57333775</v>
      </c>
      <c r="C3880" t="s">
        <v>7018</v>
      </c>
      <c r="E3880" s="184"/>
      <c r="G3880" s="184"/>
      <c r="I3880" s="184"/>
      <c r="J3880" t="s">
        <v>595</v>
      </c>
      <c r="K3880" s="184">
        <v>44438</v>
      </c>
      <c r="M3880" s="184"/>
      <c r="O3880" s="184"/>
      <c r="P3880" t="s">
        <v>7045</v>
      </c>
      <c r="Q3880" t="s">
        <v>7020</v>
      </c>
      <c r="R3880" s="184">
        <v>15311</v>
      </c>
      <c r="S3880">
        <v>82</v>
      </c>
      <c r="U3880" t="s">
        <v>7031</v>
      </c>
      <c r="V3880" t="s">
        <v>3246</v>
      </c>
      <c r="X3880" t="s">
        <v>29206</v>
      </c>
      <c r="AF3880" t="s">
        <v>29207</v>
      </c>
      <c r="AG3880" t="s">
        <v>3246</v>
      </c>
      <c r="AI3880" t="s">
        <v>29208</v>
      </c>
      <c r="AM3880" t="s">
        <v>29209</v>
      </c>
      <c r="AN3880" t="s">
        <v>2255</v>
      </c>
      <c r="AO3880" t="s">
        <v>29210</v>
      </c>
      <c r="AP3880" t="s">
        <v>7024</v>
      </c>
      <c r="AT3880" s="184">
        <v>40165</v>
      </c>
      <c r="AU3880" t="s">
        <v>29211</v>
      </c>
      <c r="AV3880">
        <v>15</v>
      </c>
      <c r="AW3880" s="184">
        <v>45229</v>
      </c>
      <c r="AX3880" t="s">
        <v>8714</v>
      </c>
      <c r="AY3880">
        <v>10</v>
      </c>
      <c r="AZ3880" s="184">
        <v>42416</v>
      </c>
      <c r="BA3880" t="s">
        <v>29212</v>
      </c>
      <c r="BB3880">
        <v>25</v>
      </c>
      <c r="BC3880">
        <v>63</v>
      </c>
      <c r="BD3880">
        <v>218</v>
      </c>
      <c r="BE3880">
        <v>2010</v>
      </c>
      <c r="BF3880">
        <v>17</v>
      </c>
      <c r="BG3880">
        <v>2</v>
      </c>
      <c r="BH3880">
        <v>20</v>
      </c>
      <c r="BI3880">
        <v>10</v>
      </c>
      <c r="BJ3880">
        <v>16</v>
      </c>
      <c r="BK3880">
        <v>7</v>
      </c>
      <c r="BP3880" s="184"/>
    </row>
    <row r="3881" spans="1:68">
      <c r="A3881">
        <v>57493777</v>
      </c>
      <c r="B3881">
        <v>57493777</v>
      </c>
      <c r="C3881" t="s">
        <v>7018</v>
      </c>
      <c r="D3881" t="s">
        <v>595</v>
      </c>
      <c r="E3881" s="184">
        <v>44419</v>
      </c>
      <c r="G3881" s="184"/>
      <c r="K3881" s="184"/>
      <c r="M3881" s="184"/>
      <c r="O3881" s="184"/>
      <c r="P3881" t="s">
        <v>7045</v>
      </c>
      <c r="Q3881" t="s">
        <v>7262</v>
      </c>
      <c r="R3881" s="184">
        <v>20515</v>
      </c>
      <c r="S3881">
        <v>68</v>
      </c>
      <c r="V3881" t="s">
        <v>4300</v>
      </c>
      <c r="W3881" t="s">
        <v>3554</v>
      </c>
      <c r="X3881" t="s">
        <v>29213</v>
      </c>
      <c r="AF3881" t="s">
        <v>29214</v>
      </c>
      <c r="AG3881" t="s">
        <v>4300</v>
      </c>
      <c r="AI3881" t="s">
        <v>29215</v>
      </c>
      <c r="AM3881" t="s">
        <v>29216</v>
      </c>
      <c r="AN3881" t="s">
        <v>2106</v>
      </c>
      <c r="AO3881" t="s">
        <v>29217</v>
      </c>
      <c r="AP3881" t="s">
        <v>7024</v>
      </c>
      <c r="AQ3881" t="s">
        <v>29218</v>
      </c>
      <c r="AR3881" t="s">
        <v>29219</v>
      </c>
      <c r="AT3881" s="184">
        <v>40171</v>
      </c>
      <c r="AU3881" t="s">
        <v>29184</v>
      </c>
      <c r="AV3881">
        <v>20</v>
      </c>
      <c r="AW3881" s="184">
        <v>45272</v>
      </c>
      <c r="AX3881" t="s">
        <v>9159</v>
      </c>
      <c r="AY3881">
        <v>30</v>
      </c>
      <c r="AZ3881" s="184">
        <v>43055</v>
      </c>
      <c r="BA3881" t="s">
        <v>10234</v>
      </c>
      <c r="BB3881">
        <v>60</v>
      </c>
      <c r="BC3881">
        <v>69</v>
      </c>
      <c r="BD3881">
        <v>345</v>
      </c>
      <c r="BE3881">
        <v>2010</v>
      </c>
      <c r="BF3881">
        <v>11</v>
      </c>
      <c r="BG3881">
        <v>2</v>
      </c>
      <c r="BH3881">
        <v>55</v>
      </c>
      <c r="BI3881">
        <v>11</v>
      </c>
      <c r="BJ3881">
        <v>16</v>
      </c>
      <c r="BK3881">
        <v>5</v>
      </c>
    </row>
    <row r="3882" spans="1:68">
      <c r="A3882">
        <v>57563447</v>
      </c>
      <c r="B3882">
        <v>57563447</v>
      </c>
      <c r="C3882" t="s">
        <v>7018</v>
      </c>
      <c r="E3882" s="184"/>
      <c r="F3882" t="s">
        <v>595</v>
      </c>
      <c r="G3882" s="184">
        <v>44167</v>
      </c>
      <c r="I3882" s="184"/>
      <c r="K3882" s="184"/>
      <c r="M3882" s="184"/>
      <c r="O3882" s="184"/>
      <c r="P3882" t="s">
        <v>7019</v>
      </c>
      <c r="Q3882" t="s">
        <v>7160</v>
      </c>
      <c r="R3882" s="184">
        <v>20729</v>
      </c>
      <c r="S3882">
        <v>67</v>
      </c>
      <c r="U3882" t="s">
        <v>7031</v>
      </c>
      <c r="V3882" t="s">
        <v>3825</v>
      </c>
      <c r="X3882" t="s">
        <v>3204</v>
      </c>
      <c r="AF3882" t="s">
        <v>29220</v>
      </c>
      <c r="AG3882" t="s">
        <v>3825</v>
      </c>
      <c r="AI3882" t="s">
        <v>29221</v>
      </c>
      <c r="AM3882" t="s">
        <v>2674</v>
      </c>
      <c r="AN3882" t="s">
        <v>2675</v>
      </c>
      <c r="AO3882" t="s">
        <v>29222</v>
      </c>
      <c r="AP3882" t="s">
        <v>7024</v>
      </c>
      <c r="AQ3882" t="s">
        <v>29223</v>
      </c>
      <c r="AR3882" t="s">
        <v>29224</v>
      </c>
      <c r="AT3882" s="184">
        <v>40175</v>
      </c>
      <c r="AU3882" t="s">
        <v>29225</v>
      </c>
      <c r="AV3882">
        <v>25</v>
      </c>
      <c r="AW3882" s="184">
        <v>45300</v>
      </c>
      <c r="AX3882" t="s">
        <v>29226</v>
      </c>
      <c r="AY3882">
        <v>50</v>
      </c>
      <c r="AZ3882" s="184">
        <v>44831</v>
      </c>
      <c r="BA3882" t="s">
        <v>12309</v>
      </c>
      <c r="BB3882">
        <v>60</v>
      </c>
      <c r="BC3882">
        <v>69</v>
      </c>
      <c r="BD3882">
        <v>435</v>
      </c>
      <c r="BE3882">
        <v>2010</v>
      </c>
      <c r="BF3882">
        <v>14</v>
      </c>
      <c r="BG3882">
        <v>3</v>
      </c>
      <c r="BH3882">
        <v>150</v>
      </c>
      <c r="BI3882">
        <v>11</v>
      </c>
      <c r="BJ3882">
        <v>16</v>
      </c>
      <c r="BK3882">
        <v>6</v>
      </c>
    </row>
    <row r="3883" spans="1:68">
      <c r="A3883">
        <v>57565046</v>
      </c>
      <c r="B3883">
        <v>57565046</v>
      </c>
      <c r="C3883" t="s">
        <v>7018</v>
      </c>
      <c r="E3883" s="184"/>
      <c r="G3883" s="184"/>
      <c r="I3883" s="184"/>
      <c r="K3883" s="184"/>
      <c r="M3883" s="184"/>
      <c r="N3883" t="s">
        <v>595</v>
      </c>
      <c r="O3883" s="184">
        <v>42546</v>
      </c>
      <c r="P3883" t="s">
        <v>7029</v>
      </c>
      <c r="Q3883" t="s">
        <v>7160</v>
      </c>
      <c r="R3883" s="184">
        <v>14251</v>
      </c>
      <c r="S3883">
        <v>85</v>
      </c>
      <c r="U3883" t="s">
        <v>7031</v>
      </c>
      <c r="V3883" t="s">
        <v>3246</v>
      </c>
      <c r="W3883" t="s">
        <v>3830</v>
      </c>
      <c r="X3883" t="s">
        <v>5918</v>
      </c>
      <c r="Z3883">
        <v>100132374</v>
      </c>
      <c r="AA3883" t="s">
        <v>7130</v>
      </c>
      <c r="AB3883" t="s">
        <v>3444</v>
      </c>
      <c r="AC3883" t="s">
        <v>7560</v>
      </c>
      <c r="AD3883" t="s">
        <v>5918</v>
      </c>
      <c r="AF3883" t="s">
        <v>29227</v>
      </c>
      <c r="AG3883" t="s">
        <v>29228</v>
      </c>
      <c r="AI3883" t="s">
        <v>29229</v>
      </c>
      <c r="AM3883" t="s">
        <v>5919</v>
      </c>
      <c r="AN3883" t="s">
        <v>2203</v>
      </c>
      <c r="AO3883" t="s">
        <v>29230</v>
      </c>
      <c r="AP3883" t="s">
        <v>7024</v>
      </c>
      <c r="AQ3883" t="s">
        <v>29231</v>
      </c>
      <c r="AT3883" s="184">
        <v>40175</v>
      </c>
      <c r="AU3883" t="s">
        <v>29232</v>
      </c>
      <c r="AV3883">
        <v>50</v>
      </c>
      <c r="AW3883" s="184">
        <v>45397</v>
      </c>
      <c r="AX3883" t="s">
        <v>14823</v>
      </c>
      <c r="AY3883">
        <v>500</v>
      </c>
      <c r="AZ3883" s="184">
        <v>42549</v>
      </c>
      <c r="BA3883" t="s">
        <v>7100</v>
      </c>
      <c r="BB3883">
        <v>10000</v>
      </c>
      <c r="BC3883">
        <v>94</v>
      </c>
      <c r="BD3883">
        <v>16700</v>
      </c>
      <c r="BE3883">
        <v>2010</v>
      </c>
      <c r="BF3883">
        <v>27</v>
      </c>
      <c r="BG3883">
        <v>3</v>
      </c>
      <c r="BH3883">
        <v>1500</v>
      </c>
      <c r="BI3883">
        <v>15</v>
      </c>
      <c r="BJ3883">
        <v>16</v>
      </c>
      <c r="BK3883">
        <v>9</v>
      </c>
    </row>
    <row r="3884" spans="1:68">
      <c r="A3884">
        <v>100132374</v>
      </c>
      <c r="B3884">
        <v>57565046</v>
      </c>
      <c r="C3884" t="s">
        <v>7018</v>
      </c>
      <c r="E3884" s="184"/>
      <c r="G3884" s="184"/>
      <c r="I3884" s="184"/>
      <c r="K3884" s="184"/>
      <c r="M3884" s="184"/>
      <c r="N3884" t="s">
        <v>595</v>
      </c>
      <c r="O3884" s="184">
        <v>42546</v>
      </c>
      <c r="P3884" t="s">
        <v>7029</v>
      </c>
      <c r="Q3884" t="s">
        <v>7160</v>
      </c>
      <c r="R3884" s="184">
        <v>13922</v>
      </c>
      <c r="S3884">
        <v>86</v>
      </c>
      <c r="U3884" t="s">
        <v>7130</v>
      </c>
      <c r="V3884" t="s">
        <v>3444</v>
      </c>
      <c r="W3884" t="s">
        <v>7560</v>
      </c>
      <c r="X3884" t="s">
        <v>5918</v>
      </c>
      <c r="Z3884">
        <v>57565046</v>
      </c>
      <c r="AA3884" t="s">
        <v>7031</v>
      </c>
      <c r="AB3884" t="s">
        <v>3246</v>
      </c>
      <c r="AC3884" t="s">
        <v>3830</v>
      </c>
      <c r="AD3884" t="s">
        <v>5918</v>
      </c>
      <c r="AF3884" t="s">
        <v>29227</v>
      </c>
      <c r="AG3884" t="s">
        <v>29228</v>
      </c>
      <c r="AI3884" t="s">
        <v>29229</v>
      </c>
      <c r="AM3884" t="s">
        <v>5919</v>
      </c>
      <c r="AN3884" t="s">
        <v>2203</v>
      </c>
      <c r="AO3884" t="s">
        <v>29230</v>
      </c>
      <c r="AP3884" t="s">
        <v>7024</v>
      </c>
      <c r="AT3884" s="184"/>
      <c r="AW3884" s="184"/>
      <c r="AZ3884" s="184"/>
    </row>
    <row r="3885" spans="1:68">
      <c r="A3885">
        <v>57566770</v>
      </c>
      <c r="B3885">
        <v>57566770</v>
      </c>
      <c r="C3885" t="s">
        <v>7018</v>
      </c>
      <c r="D3885" t="s">
        <v>595</v>
      </c>
      <c r="E3885" s="184">
        <v>44168</v>
      </c>
      <c r="G3885" s="184"/>
      <c r="I3885" s="184"/>
      <c r="K3885" s="184"/>
      <c r="M3885" s="184"/>
      <c r="O3885" s="184"/>
      <c r="P3885" t="s">
        <v>7045</v>
      </c>
      <c r="Q3885" t="s">
        <v>7194</v>
      </c>
      <c r="R3885" s="184">
        <v>17746</v>
      </c>
      <c r="S3885">
        <v>75</v>
      </c>
      <c r="U3885" t="s">
        <v>7076</v>
      </c>
      <c r="V3885" t="s">
        <v>3350</v>
      </c>
      <c r="X3885" t="s">
        <v>29233</v>
      </c>
      <c r="AF3885" t="s">
        <v>29234</v>
      </c>
      <c r="AG3885" t="s">
        <v>3350</v>
      </c>
      <c r="AI3885" t="s">
        <v>29235</v>
      </c>
      <c r="AM3885" t="s">
        <v>4217</v>
      </c>
      <c r="AN3885" t="s">
        <v>2046</v>
      </c>
      <c r="AO3885" t="s">
        <v>29236</v>
      </c>
      <c r="AP3885" t="s">
        <v>7024</v>
      </c>
      <c r="AQ3885" t="s">
        <v>29237</v>
      </c>
      <c r="AT3885" s="184">
        <v>40175</v>
      </c>
      <c r="AU3885" t="s">
        <v>29238</v>
      </c>
      <c r="AV3885">
        <v>50</v>
      </c>
      <c r="AW3885" s="184">
        <v>45078</v>
      </c>
      <c r="AX3885" t="s">
        <v>29239</v>
      </c>
      <c r="AY3885">
        <v>40</v>
      </c>
      <c r="AZ3885" s="184">
        <v>42509</v>
      </c>
      <c r="BA3885" t="s">
        <v>29240</v>
      </c>
      <c r="BB3885">
        <v>100</v>
      </c>
      <c r="BC3885">
        <v>94</v>
      </c>
      <c r="BD3885">
        <v>2265</v>
      </c>
      <c r="BE3885">
        <v>2010</v>
      </c>
      <c r="BF3885">
        <v>69</v>
      </c>
      <c r="BG3885">
        <v>2</v>
      </c>
      <c r="BH3885">
        <v>65</v>
      </c>
      <c r="BI3885">
        <v>15</v>
      </c>
      <c r="BJ3885">
        <v>16</v>
      </c>
      <c r="BK3885">
        <v>15</v>
      </c>
      <c r="BP3885" s="184"/>
    </row>
    <row r="3886" spans="1:68">
      <c r="A3886">
        <v>57613770</v>
      </c>
      <c r="B3886">
        <v>57613770</v>
      </c>
      <c r="C3886" t="s">
        <v>7018</v>
      </c>
      <c r="E3886" s="184"/>
      <c r="G3886" s="184"/>
      <c r="I3886" s="184"/>
      <c r="J3886" t="s">
        <v>595</v>
      </c>
      <c r="K3886" s="184">
        <v>44776</v>
      </c>
      <c r="O3886" s="184"/>
      <c r="P3886" t="s">
        <v>7029</v>
      </c>
      <c r="Q3886" t="s">
        <v>7262</v>
      </c>
      <c r="R3886" s="184">
        <v>21610</v>
      </c>
      <c r="S3886">
        <v>65</v>
      </c>
      <c r="U3886" t="s">
        <v>7076</v>
      </c>
      <c r="V3886" t="s">
        <v>5772</v>
      </c>
      <c r="W3886" t="s">
        <v>4139</v>
      </c>
      <c r="X3886" t="s">
        <v>29241</v>
      </c>
      <c r="AF3886" t="s">
        <v>29242</v>
      </c>
      <c r="AG3886" t="s">
        <v>5772</v>
      </c>
      <c r="AI3886" t="s">
        <v>29243</v>
      </c>
      <c r="AM3886" t="s">
        <v>29244</v>
      </c>
      <c r="AN3886" t="s">
        <v>2106</v>
      </c>
      <c r="AO3886" t="s">
        <v>29245</v>
      </c>
      <c r="AP3886" t="s">
        <v>7024</v>
      </c>
      <c r="AQ3886" t="s">
        <v>29246</v>
      </c>
      <c r="AT3886" s="184">
        <v>40176</v>
      </c>
      <c r="AU3886" t="s">
        <v>29247</v>
      </c>
      <c r="AV3886">
        <v>100</v>
      </c>
      <c r="AW3886" s="184">
        <v>45286</v>
      </c>
      <c r="AX3886" t="s">
        <v>29248</v>
      </c>
      <c r="AY3886">
        <v>1050</v>
      </c>
      <c r="AZ3886" s="184">
        <v>45286</v>
      </c>
      <c r="BA3886" t="s">
        <v>29248</v>
      </c>
      <c r="BB3886">
        <v>1050</v>
      </c>
      <c r="BC3886">
        <v>88</v>
      </c>
      <c r="BD3886">
        <v>4275</v>
      </c>
      <c r="BE3886">
        <v>2010</v>
      </c>
      <c r="BF3886">
        <v>17</v>
      </c>
      <c r="BG3886">
        <v>2</v>
      </c>
      <c r="BH3886">
        <v>2050</v>
      </c>
      <c r="BI3886">
        <v>14</v>
      </c>
      <c r="BJ3886">
        <v>16</v>
      </c>
      <c r="BK3886">
        <v>9</v>
      </c>
    </row>
    <row r="3887" spans="1:68">
      <c r="A3887">
        <v>57683369</v>
      </c>
      <c r="B3887">
        <v>57683369</v>
      </c>
      <c r="C3887" t="s">
        <v>7018</v>
      </c>
      <c r="D3887" t="s">
        <v>595</v>
      </c>
      <c r="E3887" s="184">
        <v>44438</v>
      </c>
      <c r="G3887" s="184"/>
      <c r="I3887" s="184"/>
      <c r="K3887" s="184"/>
      <c r="M3887" s="184"/>
      <c r="O3887" s="184"/>
      <c r="P3887" t="s">
        <v>7045</v>
      </c>
      <c r="Q3887" t="s">
        <v>7160</v>
      </c>
      <c r="R3887" s="184">
        <v>12385</v>
      </c>
      <c r="S3887">
        <v>90</v>
      </c>
      <c r="V3887" t="s">
        <v>2660</v>
      </c>
      <c r="W3887" t="s">
        <v>7407</v>
      </c>
      <c r="X3887" t="s">
        <v>3873</v>
      </c>
      <c r="AF3887" t="s">
        <v>29249</v>
      </c>
      <c r="AG3887" t="s">
        <v>2660</v>
      </c>
      <c r="AI3887" t="s">
        <v>29250</v>
      </c>
      <c r="AM3887" t="s">
        <v>3408</v>
      </c>
      <c r="AN3887" t="s">
        <v>2176</v>
      </c>
      <c r="AO3887" t="s">
        <v>29251</v>
      </c>
      <c r="AP3887" t="s">
        <v>7024</v>
      </c>
      <c r="AT3887" s="184">
        <v>40178</v>
      </c>
      <c r="AU3887" t="s">
        <v>29252</v>
      </c>
      <c r="AV3887">
        <v>25</v>
      </c>
      <c r="AW3887" s="184">
        <v>43262</v>
      </c>
      <c r="AX3887" t="s">
        <v>29253</v>
      </c>
      <c r="AY3887">
        <v>50</v>
      </c>
      <c r="AZ3887" s="184">
        <v>41719</v>
      </c>
      <c r="BA3887" t="s">
        <v>29254</v>
      </c>
      <c r="BB3887">
        <v>100</v>
      </c>
      <c r="BC3887">
        <v>44</v>
      </c>
      <c r="BD3887">
        <v>430</v>
      </c>
      <c r="BE3887">
        <v>2010</v>
      </c>
      <c r="BF3887">
        <v>9</v>
      </c>
      <c r="BI3887">
        <v>7</v>
      </c>
      <c r="BJ3887">
        <v>16</v>
      </c>
      <c r="BK3887">
        <v>4</v>
      </c>
    </row>
    <row r="3888" spans="1:68">
      <c r="A3888">
        <v>57775876</v>
      </c>
      <c r="B3888">
        <v>57775876</v>
      </c>
      <c r="C3888" t="s">
        <v>7018</v>
      </c>
      <c r="D3888" t="s">
        <v>595</v>
      </c>
      <c r="E3888" s="184">
        <v>45154</v>
      </c>
      <c r="G3888" s="184"/>
      <c r="I3888" s="184"/>
      <c r="K3888" s="184"/>
      <c r="M3888" s="184"/>
      <c r="O3888" s="184"/>
      <c r="P3888" t="s">
        <v>7045</v>
      </c>
      <c r="Q3888" t="s">
        <v>7494</v>
      </c>
      <c r="R3888" s="184">
        <v>16438</v>
      </c>
      <c r="S3888">
        <v>79</v>
      </c>
      <c r="V3888" t="s">
        <v>3011</v>
      </c>
      <c r="X3888" t="s">
        <v>21647</v>
      </c>
      <c r="AF3888" t="s">
        <v>29255</v>
      </c>
      <c r="AG3888" t="s">
        <v>3011</v>
      </c>
      <c r="AI3888" t="s">
        <v>29256</v>
      </c>
      <c r="AM3888" t="s">
        <v>4771</v>
      </c>
      <c r="AN3888" t="s">
        <v>2174</v>
      </c>
      <c r="AO3888" t="s">
        <v>29257</v>
      </c>
      <c r="AP3888" t="s">
        <v>7024</v>
      </c>
      <c r="AQ3888" t="s">
        <v>29258</v>
      </c>
      <c r="AT3888" s="184">
        <v>40182</v>
      </c>
      <c r="AU3888" t="s">
        <v>29259</v>
      </c>
      <c r="AV3888">
        <v>15</v>
      </c>
      <c r="AW3888" s="184">
        <v>45376</v>
      </c>
      <c r="AX3888" t="s">
        <v>29260</v>
      </c>
      <c r="AY3888">
        <v>15</v>
      </c>
      <c r="AZ3888" s="184">
        <v>44383</v>
      </c>
      <c r="BA3888" t="s">
        <v>29261</v>
      </c>
      <c r="BB3888">
        <v>25</v>
      </c>
      <c r="BC3888">
        <v>74</v>
      </c>
      <c r="BD3888">
        <v>430</v>
      </c>
      <c r="BE3888">
        <v>2010</v>
      </c>
      <c r="BF3888">
        <v>24</v>
      </c>
      <c r="BG3888">
        <v>3</v>
      </c>
      <c r="BH3888">
        <v>45</v>
      </c>
      <c r="BI3888">
        <v>11</v>
      </c>
      <c r="BJ3888">
        <v>15</v>
      </c>
      <c r="BK3888">
        <v>5</v>
      </c>
      <c r="BP3888" s="184"/>
    </row>
    <row r="3889" spans="1:68">
      <c r="A3889">
        <v>57776510</v>
      </c>
      <c r="B3889">
        <v>57776510</v>
      </c>
      <c r="C3889" t="s">
        <v>7018</v>
      </c>
      <c r="D3889" t="s">
        <v>595</v>
      </c>
      <c r="E3889" s="184">
        <v>44104</v>
      </c>
      <c r="G3889" s="184"/>
      <c r="I3889" s="184"/>
      <c r="K3889" s="184"/>
      <c r="M3889" s="184"/>
      <c r="O3889" s="184"/>
      <c r="P3889" t="s">
        <v>7045</v>
      </c>
      <c r="Q3889" t="s">
        <v>7383</v>
      </c>
      <c r="R3889" s="184">
        <v>15593</v>
      </c>
      <c r="S3889">
        <v>81</v>
      </c>
      <c r="U3889" t="s">
        <v>7130</v>
      </c>
      <c r="V3889" t="s">
        <v>2903</v>
      </c>
      <c r="X3889" t="s">
        <v>13833</v>
      </c>
      <c r="AF3889" t="s">
        <v>29262</v>
      </c>
      <c r="AG3889" t="s">
        <v>2903</v>
      </c>
      <c r="AI3889" t="s">
        <v>29263</v>
      </c>
      <c r="AM3889" t="s">
        <v>29264</v>
      </c>
      <c r="AN3889" t="s">
        <v>2059</v>
      </c>
      <c r="AO3889" t="s">
        <v>29265</v>
      </c>
      <c r="AP3889" t="s">
        <v>7024</v>
      </c>
      <c r="AQ3889" t="s">
        <v>29266</v>
      </c>
      <c r="AT3889" s="184">
        <v>40182</v>
      </c>
      <c r="AU3889" t="s">
        <v>29267</v>
      </c>
      <c r="AV3889">
        <v>50</v>
      </c>
      <c r="AW3889" s="184">
        <v>45261</v>
      </c>
      <c r="AX3889" t="s">
        <v>28971</v>
      </c>
      <c r="AY3889">
        <v>262.5</v>
      </c>
      <c r="AZ3889" s="184">
        <v>44854</v>
      </c>
      <c r="BA3889" t="s">
        <v>15628</v>
      </c>
      <c r="BB3889">
        <v>300</v>
      </c>
      <c r="BC3889">
        <v>87</v>
      </c>
      <c r="BD3889">
        <v>3952.5</v>
      </c>
      <c r="BE3889">
        <v>2010</v>
      </c>
      <c r="BF3889">
        <v>24</v>
      </c>
      <c r="BG3889">
        <v>3</v>
      </c>
      <c r="BH3889">
        <v>662.5</v>
      </c>
      <c r="BI3889">
        <v>13</v>
      </c>
      <c r="BJ3889">
        <v>15</v>
      </c>
      <c r="BK3889">
        <v>9</v>
      </c>
    </row>
    <row r="3890" spans="1:68">
      <c r="A3890">
        <v>57865974</v>
      </c>
      <c r="B3890">
        <v>57865974</v>
      </c>
      <c r="C3890" t="s">
        <v>7018</v>
      </c>
      <c r="D3890" t="s">
        <v>595</v>
      </c>
      <c r="E3890" s="184">
        <v>44073</v>
      </c>
      <c r="G3890" s="184"/>
      <c r="I3890" s="184"/>
      <c r="K3890" s="184"/>
      <c r="M3890" s="184"/>
      <c r="O3890" s="184"/>
      <c r="P3890" t="s">
        <v>7045</v>
      </c>
      <c r="Q3890" t="s">
        <v>7383</v>
      </c>
      <c r="R3890" s="184">
        <v>18629</v>
      </c>
      <c r="S3890">
        <v>73</v>
      </c>
      <c r="U3890" t="s">
        <v>7130</v>
      </c>
      <c r="V3890" t="s">
        <v>10122</v>
      </c>
      <c r="X3890" t="s">
        <v>7434</v>
      </c>
      <c r="AF3890" t="s">
        <v>29268</v>
      </c>
      <c r="AG3890" t="s">
        <v>10122</v>
      </c>
      <c r="AI3890" t="s">
        <v>29269</v>
      </c>
      <c r="AM3890" t="s">
        <v>3815</v>
      </c>
      <c r="AN3890" t="s">
        <v>2059</v>
      </c>
      <c r="AO3890" t="s">
        <v>29270</v>
      </c>
      <c r="AP3890" t="s">
        <v>7024</v>
      </c>
      <c r="AQ3890" t="s">
        <v>29271</v>
      </c>
      <c r="AR3890" t="s">
        <v>29272</v>
      </c>
      <c r="AT3890" s="184">
        <v>40183</v>
      </c>
      <c r="AU3890" t="s">
        <v>29273</v>
      </c>
      <c r="AV3890">
        <v>100</v>
      </c>
      <c r="AW3890" s="184">
        <v>45358</v>
      </c>
      <c r="AX3890" t="s">
        <v>29274</v>
      </c>
      <c r="AY3890">
        <v>100</v>
      </c>
      <c r="AZ3890" s="184">
        <v>44978</v>
      </c>
      <c r="BA3890" t="s">
        <v>29275</v>
      </c>
      <c r="BB3890">
        <v>250</v>
      </c>
      <c r="BC3890">
        <v>100</v>
      </c>
      <c r="BD3890">
        <v>2800</v>
      </c>
      <c r="BE3890">
        <v>2010</v>
      </c>
      <c r="BF3890">
        <v>21</v>
      </c>
      <c r="BG3890">
        <v>2</v>
      </c>
      <c r="BH3890">
        <v>350</v>
      </c>
      <c r="BI3890">
        <v>15</v>
      </c>
      <c r="BJ3890">
        <v>15</v>
      </c>
      <c r="BK3890">
        <v>15</v>
      </c>
      <c r="BP3890" s="184"/>
    </row>
    <row r="3891" spans="1:68">
      <c r="A3891">
        <v>57924573</v>
      </c>
      <c r="B3891">
        <v>57924573</v>
      </c>
      <c r="C3891" t="s">
        <v>7018</v>
      </c>
      <c r="D3891" t="s">
        <v>595</v>
      </c>
      <c r="E3891" s="184">
        <v>44167</v>
      </c>
      <c r="G3891" s="184"/>
      <c r="I3891" s="184"/>
      <c r="K3891" s="184"/>
      <c r="M3891" s="184"/>
      <c r="O3891" s="184"/>
      <c r="P3891" t="s">
        <v>7045</v>
      </c>
      <c r="Q3891" t="s">
        <v>7262</v>
      </c>
      <c r="R3891" s="184">
        <v>21033</v>
      </c>
      <c r="S3891">
        <v>66</v>
      </c>
      <c r="U3891" t="s">
        <v>7031</v>
      </c>
      <c r="V3891" t="s">
        <v>2597</v>
      </c>
      <c r="X3891" t="s">
        <v>7319</v>
      </c>
      <c r="AF3891" t="s">
        <v>29276</v>
      </c>
      <c r="AG3891" t="s">
        <v>2597</v>
      </c>
      <c r="AI3891" t="s">
        <v>29277</v>
      </c>
      <c r="AM3891" t="s">
        <v>2679</v>
      </c>
      <c r="AN3891" t="s">
        <v>2318</v>
      </c>
      <c r="AO3891" t="s">
        <v>29278</v>
      </c>
      <c r="AP3891" t="s">
        <v>7024</v>
      </c>
      <c r="AQ3891" t="s">
        <v>29279</v>
      </c>
      <c r="AT3891" s="184">
        <v>40184</v>
      </c>
      <c r="AU3891" t="s">
        <v>29252</v>
      </c>
      <c r="AV3891">
        <v>25</v>
      </c>
      <c r="AW3891" s="184">
        <v>45383</v>
      </c>
      <c r="AX3891" t="s">
        <v>7832</v>
      </c>
      <c r="AY3891">
        <v>35</v>
      </c>
      <c r="AZ3891" s="184">
        <v>41486</v>
      </c>
      <c r="BA3891" t="s">
        <v>29280</v>
      </c>
      <c r="BB3891">
        <v>60</v>
      </c>
      <c r="BC3891">
        <v>67</v>
      </c>
      <c r="BD3891">
        <v>495</v>
      </c>
      <c r="BE3891">
        <v>2010</v>
      </c>
      <c r="BF3891">
        <v>14</v>
      </c>
      <c r="BG3891">
        <v>3</v>
      </c>
      <c r="BH3891">
        <v>135</v>
      </c>
      <c r="BI3891">
        <v>10</v>
      </c>
      <c r="BJ3891">
        <v>15</v>
      </c>
      <c r="BK3891">
        <v>7</v>
      </c>
      <c r="BP3891" s="184"/>
    </row>
    <row r="3892" spans="1:68">
      <c r="A3892">
        <v>58002577</v>
      </c>
      <c r="B3892">
        <v>58002577</v>
      </c>
      <c r="C3892" t="s">
        <v>7018</v>
      </c>
      <c r="D3892" t="s">
        <v>595</v>
      </c>
      <c r="E3892" s="184">
        <v>44104</v>
      </c>
      <c r="G3892" s="184"/>
      <c r="I3892" s="184"/>
      <c r="K3892" s="184"/>
      <c r="M3892" s="184"/>
      <c r="O3892" s="184"/>
      <c r="P3892" t="s">
        <v>7029</v>
      </c>
      <c r="Q3892" t="s">
        <v>7383</v>
      </c>
      <c r="R3892" s="184">
        <v>16921</v>
      </c>
      <c r="S3892">
        <v>78</v>
      </c>
      <c r="V3892" t="s">
        <v>2903</v>
      </c>
      <c r="X3892" t="s">
        <v>28788</v>
      </c>
      <c r="Z3892">
        <v>100603429</v>
      </c>
      <c r="AB3892" t="s">
        <v>2541</v>
      </c>
      <c r="AD3892" t="s">
        <v>28788</v>
      </c>
      <c r="AF3892" t="s">
        <v>29281</v>
      </c>
      <c r="AG3892" t="s">
        <v>29282</v>
      </c>
      <c r="AI3892" t="s">
        <v>29283</v>
      </c>
      <c r="AM3892" t="s">
        <v>28762</v>
      </c>
      <c r="AN3892" t="s">
        <v>2059</v>
      </c>
      <c r="AO3892" t="s">
        <v>29284</v>
      </c>
      <c r="AP3892" t="s">
        <v>7024</v>
      </c>
      <c r="AT3892" s="184">
        <v>40186</v>
      </c>
      <c r="AU3892" t="s">
        <v>29285</v>
      </c>
      <c r="AV3892">
        <v>50</v>
      </c>
      <c r="AW3892" s="184">
        <v>43760</v>
      </c>
      <c r="AX3892" t="s">
        <v>29286</v>
      </c>
      <c r="AY3892">
        <v>750</v>
      </c>
      <c r="AZ3892" s="184">
        <v>43760</v>
      </c>
      <c r="BA3892" t="s">
        <v>29286</v>
      </c>
      <c r="BB3892">
        <v>750</v>
      </c>
      <c r="BC3892">
        <v>60</v>
      </c>
      <c r="BD3892">
        <v>2800</v>
      </c>
      <c r="BE3892">
        <v>2010</v>
      </c>
      <c r="BF3892">
        <v>12</v>
      </c>
      <c r="BI3892">
        <v>9</v>
      </c>
      <c r="BJ3892">
        <v>15</v>
      </c>
      <c r="BK3892">
        <v>6</v>
      </c>
      <c r="BP3892" s="184"/>
    </row>
    <row r="3893" spans="1:68">
      <c r="A3893">
        <v>100603429</v>
      </c>
      <c r="B3893">
        <v>58002577</v>
      </c>
      <c r="C3893" t="s">
        <v>7018</v>
      </c>
      <c r="D3893" t="s">
        <v>595</v>
      </c>
      <c r="E3893" s="184">
        <v>44284</v>
      </c>
      <c r="G3893" s="184"/>
      <c r="I3893" s="184"/>
      <c r="K3893" s="184"/>
      <c r="M3893" s="184"/>
      <c r="O3893" s="184"/>
      <c r="P3893" t="s">
        <v>7029</v>
      </c>
      <c r="Q3893" t="s">
        <v>7383</v>
      </c>
      <c r="R3893" s="184">
        <v>17095</v>
      </c>
      <c r="S3893">
        <v>77</v>
      </c>
      <c r="V3893" t="s">
        <v>2541</v>
      </c>
      <c r="X3893" t="s">
        <v>28788</v>
      </c>
      <c r="Z3893">
        <v>58002577</v>
      </c>
      <c r="AB3893" t="s">
        <v>2903</v>
      </c>
      <c r="AD3893" t="s">
        <v>28788</v>
      </c>
      <c r="AF3893" t="s">
        <v>29281</v>
      </c>
      <c r="AG3893" t="s">
        <v>29282</v>
      </c>
      <c r="AI3893" t="s">
        <v>29283</v>
      </c>
      <c r="AM3893" t="s">
        <v>28762</v>
      </c>
      <c r="AN3893" t="s">
        <v>2059</v>
      </c>
      <c r="AO3893" t="s">
        <v>29284</v>
      </c>
      <c r="AP3893" t="s">
        <v>7024</v>
      </c>
      <c r="AQ3893" t="s">
        <v>29287</v>
      </c>
      <c r="AT3893" s="184"/>
      <c r="AW3893" s="184"/>
      <c r="AZ3893" s="184"/>
    </row>
    <row r="3894" spans="1:68">
      <c r="A3894">
        <v>58010612</v>
      </c>
      <c r="B3894">
        <v>58010612</v>
      </c>
      <c r="C3894" t="s">
        <v>7018</v>
      </c>
      <c r="D3894" t="s">
        <v>595</v>
      </c>
      <c r="E3894" s="184">
        <v>44073</v>
      </c>
      <c r="G3894" s="184"/>
      <c r="I3894" s="184"/>
      <c r="K3894" s="184"/>
      <c r="M3894" s="184"/>
      <c r="O3894" s="184"/>
      <c r="P3894" t="s">
        <v>7045</v>
      </c>
      <c r="Q3894" t="s">
        <v>7454</v>
      </c>
      <c r="R3894" s="184">
        <v>20880</v>
      </c>
      <c r="S3894">
        <v>67</v>
      </c>
      <c r="U3894" t="s">
        <v>7032</v>
      </c>
      <c r="V3894" t="s">
        <v>3317</v>
      </c>
      <c r="X3894" t="s">
        <v>3353</v>
      </c>
      <c r="AF3894" t="s">
        <v>29288</v>
      </c>
      <c r="AG3894" t="s">
        <v>3317</v>
      </c>
      <c r="AI3894" t="s">
        <v>29289</v>
      </c>
      <c r="AM3894" t="s">
        <v>2608</v>
      </c>
      <c r="AN3894" t="s">
        <v>2299</v>
      </c>
      <c r="AO3894" t="s">
        <v>29290</v>
      </c>
      <c r="AP3894" t="s">
        <v>7024</v>
      </c>
      <c r="AQ3894" t="s">
        <v>29291</v>
      </c>
      <c r="AT3894" s="184">
        <v>40186</v>
      </c>
      <c r="AU3894" t="s">
        <v>29232</v>
      </c>
      <c r="AV3894">
        <v>25</v>
      </c>
      <c r="AW3894" s="184">
        <v>45426</v>
      </c>
      <c r="AX3894" t="s">
        <v>7422</v>
      </c>
      <c r="AY3894">
        <v>10</v>
      </c>
      <c r="AZ3894" s="184">
        <v>40895</v>
      </c>
      <c r="BA3894" t="s">
        <v>24119</v>
      </c>
      <c r="BB3894">
        <v>60</v>
      </c>
      <c r="BC3894">
        <v>80</v>
      </c>
      <c r="BD3894">
        <v>1235</v>
      </c>
      <c r="BE3894">
        <v>2010</v>
      </c>
      <c r="BF3894">
        <v>110</v>
      </c>
      <c r="BG3894">
        <v>24</v>
      </c>
      <c r="BH3894">
        <v>240</v>
      </c>
      <c r="BI3894">
        <v>12</v>
      </c>
      <c r="BJ3894">
        <v>15</v>
      </c>
      <c r="BK3894">
        <v>10</v>
      </c>
      <c r="BP3894" s="184"/>
    </row>
    <row r="3895" spans="1:68">
      <c r="A3895">
        <v>58011487</v>
      </c>
      <c r="B3895">
        <v>58011487</v>
      </c>
      <c r="C3895" t="s">
        <v>7018</v>
      </c>
      <c r="D3895" t="s">
        <v>595</v>
      </c>
      <c r="E3895" s="184">
        <v>44438</v>
      </c>
      <c r="G3895" s="184"/>
      <c r="I3895" s="184"/>
      <c r="K3895" s="184"/>
      <c r="M3895" s="184"/>
      <c r="O3895" s="184"/>
      <c r="P3895" t="s">
        <v>7045</v>
      </c>
      <c r="Q3895" t="s">
        <v>7774</v>
      </c>
      <c r="R3895" s="184">
        <v>17101</v>
      </c>
      <c r="S3895">
        <v>77</v>
      </c>
      <c r="U3895" t="s">
        <v>7031</v>
      </c>
      <c r="V3895" t="s">
        <v>3247</v>
      </c>
      <c r="X3895" t="s">
        <v>29292</v>
      </c>
      <c r="AF3895" t="s">
        <v>29293</v>
      </c>
      <c r="AG3895" t="s">
        <v>3247</v>
      </c>
      <c r="AI3895" t="s">
        <v>29294</v>
      </c>
      <c r="AM3895" t="s">
        <v>2971</v>
      </c>
      <c r="AN3895" t="s">
        <v>2972</v>
      </c>
      <c r="AO3895" t="s">
        <v>29295</v>
      </c>
      <c r="AP3895" t="s">
        <v>7024</v>
      </c>
      <c r="AQ3895" t="s">
        <v>29296</v>
      </c>
      <c r="AT3895" s="184">
        <v>40186</v>
      </c>
      <c r="AU3895" t="s">
        <v>29297</v>
      </c>
      <c r="AV3895">
        <v>20</v>
      </c>
      <c r="AW3895" s="184">
        <v>44833</v>
      </c>
      <c r="AX3895" t="s">
        <v>29298</v>
      </c>
      <c r="AY3895">
        <v>100</v>
      </c>
      <c r="AZ3895" s="184">
        <v>44833</v>
      </c>
      <c r="BA3895" t="s">
        <v>29298</v>
      </c>
      <c r="BB3895">
        <v>100</v>
      </c>
      <c r="BC3895">
        <v>74</v>
      </c>
      <c r="BD3895">
        <v>1005</v>
      </c>
      <c r="BE3895">
        <v>2010</v>
      </c>
      <c r="BF3895">
        <v>15</v>
      </c>
      <c r="BG3895">
        <v>1</v>
      </c>
      <c r="BH3895">
        <v>100</v>
      </c>
      <c r="BI3895">
        <v>11</v>
      </c>
      <c r="BJ3895">
        <v>15</v>
      </c>
      <c r="BK3895">
        <v>9</v>
      </c>
    </row>
    <row r="3896" spans="1:68">
      <c r="A3896">
        <v>58073586</v>
      </c>
      <c r="B3896">
        <v>58073586</v>
      </c>
      <c r="C3896" t="s">
        <v>7018</v>
      </c>
      <c r="E3896" s="184"/>
      <c r="F3896" t="s">
        <v>595</v>
      </c>
      <c r="G3896" s="184">
        <v>44073</v>
      </c>
      <c r="I3896" s="184"/>
      <c r="K3896" s="184"/>
      <c r="M3896" s="184"/>
      <c r="O3896" s="184"/>
      <c r="P3896" t="s">
        <v>7019</v>
      </c>
      <c r="Q3896" t="s">
        <v>7383</v>
      </c>
      <c r="R3896" s="184">
        <v>19845</v>
      </c>
      <c r="S3896">
        <v>70</v>
      </c>
      <c r="V3896" t="s">
        <v>29299</v>
      </c>
      <c r="X3896" t="s">
        <v>29300</v>
      </c>
      <c r="AF3896" t="s">
        <v>29301</v>
      </c>
      <c r="AG3896" t="s">
        <v>29299</v>
      </c>
      <c r="AI3896" t="s">
        <v>29302</v>
      </c>
      <c r="AM3896" t="s">
        <v>3060</v>
      </c>
      <c r="AN3896" t="s">
        <v>2185</v>
      </c>
      <c r="AO3896" t="s">
        <v>29303</v>
      </c>
      <c r="AP3896" t="s">
        <v>7024</v>
      </c>
      <c r="AT3896" s="184">
        <v>40190</v>
      </c>
      <c r="AU3896" t="s">
        <v>29304</v>
      </c>
      <c r="AV3896">
        <v>20</v>
      </c>
      <c r="AW3896" s="184">
        <v>45182</v>
      </c>
      <c r="AX3896" t="s">
        <v>29305</v>
      </c>
      <c r="AY3896">
        <v>30</v>
      </c>
      <c r="AZ3896" s="184">
        <v>44985</v>
      </c>
      <c r="BA3896" t="s">
        <v>10777</v>
      </c>
      <c r="BB3896">
        <v>87</v>
      </c>
      <c r="BC3896">
        <v>74</v>
      </c>
      <c r="BD3896">
        <v>572</v>
      </c>
      <c r="BE3896">
        <v>2010</v>
      </c>
      <c r="BF3896">
        <v>16</v>
      </c>
      <c r="BG3896">
        <v>2</v>
      </c>
      <c r="BH3896">
        <v>117</v>
      </c>
      <c r="BI3896">
        <v>11</v>
      </c>
      <c r="BJ3896">
        <v>15</v>
      </c>
      <c r="BK3896">
        <v>6</v>
      </c>
    </row>
    <row r="3897" spans="1:68">
      <c r="A3897">
        <v>58082371</v>
      </c>
      <c r="B3897">
        <v>58082371</v>
      </c>
      <c r="C3897" t="s">
        <v>7018</v>
      </c>
      <c r="D3897" t="s">
        <v>595</v>
      </c>
      <c r="E3897" s="184">
        <v>44104</v>
      </c>
      <c r="G3897" s="184"/>
      <c r="I3897" s="184"/>
      <c r="K3897" s="184"/>
      <c r="M3897" s="184"/>
      <c r="P3897" t="s">
        <v>7045</v>
      </c>
      <c r="Q3897" t="s">
        <v>7383</v>
      </c>
      <c r="R3897" s="184">
        <v>20363</v>
      </c>
      <c r="S3897">
        <v>68</v>
      </c>
      <c r="U3897" t="s">
        <v>7031</v>
      </c>
      <c r="V3897" t="s">
        <v>2871</v>
      </c>
      <c r="W3897" t="s">
        <v>4013</v>
      </c>
      <c r="X3897" t="s">
        <v>29306</v>
      </c>
      <c r="AF3897" t="s">
        <v>29307</v>
      </c>
      <c r="AG3897" t="s">
        <v>2871</v>
      </c>
      <c r="AI3897" t="s">
        <v>29308</v>
      </c>
      <c r="AM3897" t="s">
        <v>3627</v>
      </c>
      <c r="AN3897" t="s">
        <v>2059</v>
      </c>
      <c r="AO3897" t="s">
        <v>29309</v>
      </c>
      <c r="AP3897" t="s">
        <v>7024</v>
      </c>
      <c r="AQ3897" t="s">
        <v>29310</v>
      </c>
      <c r="AR3897" t="s">
        <v>29311</v>
      </c>
      <c r="AT3897" s="184">
        <v>40190</v>
      </c>
      <c r="AU3897" t="s">
        <v>29312</v>
      </c>
      <c r="AV3897">
        <v>50</v>
      </c>
      <c r="AW3897" s="184">
        <v>44945</v>
      </c>
      <c r="AX3897" t="s">
        <v>29313</v>
      </c>
      <c r="AY3897">
        <v>60</v>
      </c>
      <c r="AZ3897" s="184">
        <v>44945</v>
      </c>
      <c r="BA3897" t="s">
        <v>29313</v>
      </c>
      <c r="BB3897">
        <v>60</v>
      </c>
      <c r="BC3897">
        <v>80</v>
      </c>
      <c r="BD3897">
        <v>960</v>
      </c>
      <c r="BE3897">
        <v>2010</v>
      </c>
      <c r="BF3897">
        <v>19</v>
      </c>
      <c r="BG3897">
        <v>2</v>
      </c>
      <c r="BH3897">
        <v>110</v>
      </c>
      <c r="BI3897">
        <v>12</v>
      </c>
      <c r="BJ3897">
        <v>15</v>
      </c>
      <c r="BK3897">
        <v>7</v>
      </c>
    </row>
    <row r="3898" spans="1:68">
      <c r="A3898">
        <v>58114174</v>
      </c>
      <c r="B3898">
        <v>58114174</v>
      </c>
      <c r="C3898" t="s">
        <v>7018</v>
      </c>
      <c r="D3898" t="s">
        <v>595</v>
      </c>
      <c r="E3898" s="184">
        <v>45124</v>
      </c>
      <c r="G3898" s="184"/>
      <c r="I3898" s="184"/>
      <c r="K3898" s="184"/>
      <c r="M3898" s="184"/>
      <c r="O3898" s="184"/>
      <c r="P3898" t="s">
        <v>7045</v>
      </c>
      <c r="Q3898" t="s">
        <v>7020</v>
      </c>
      <c r="R3898" s="184">
        <v>23094</v>
      </c>
      <c r="S3898">
        <v>61</v>
      </c>
      <c r="V3898" t="s">
        <v>3317</v>
      </c>
      <c r="X3898" t="s">
        <v>29314</v>
      </c>
      <c r="AF3898" t="s">
        <v>29315</v>
      </c>
      <c r="AG3898" t="s">
        <v>3317</v>
      </c>
      <c r="AI3898" t="s">
        <v>29316</v>
      </c>
      <c r="AM3898" t="s">
        <v>29317</v>
      </c>
      <c r="AN3898" t="s">
        <v>2129</v>
      </c>
      <c r="AO3898" t="s">
        <v>29318</v>
      </c>
      <c r="AP3898" t="s">
        <v>7024</v>
      </c>
      <c r="AQ3898" t="s">
        <v>29319</v>
      </c>
      <c r="AR3898" t="s">
        <v>29320</v>
      </c>
      <c r="AT3898" s="184">
        <v>40192</v>
      </c>
      <c r="AU3898" t="s">
        <v>29321</v>
      </c>
      <c r="AV3898">
        <v>25</v>
      </c>
      <c r="AW3898" s="184">
        <v>45281</v>
      </c>
      <c r="AX3898" t="s">
        <v>7515</v>
      </c>
      <c r="AY3898">
        <v>50</v>
      </c>
      <c r="AZ3898" s="184">
        <v>45281</v>
      </c>
      <c r="BA3898" t="s">
        <v>7515</v>
      </c>
      <c r="BB3898">
        <v>50</v>
      </c>
      <c r="BC3898">
        <v>94</v>
      </c>
      <c r="BD3898">
        <v>605</v>
      </c>
      <c r="BE3898">
        <v>2010</v>
      </c>
      <c r="BF3898">
        <v>17</v>
      </c>
      <c r="BG3898">
        <v>2</v>
      </c>
      <c r="BH3898">
        <v>100</v>
      </c>
      <c r="BI3898">
        <v>14</v>
      </c>
      <c r="BJ3898">
        <v>15</v>
      </c>
      <c r="BK3898">
        <v>14</v>
      </c>
      <c r="BP3898" s="184"/>
    </row>
    <row r="3899" spans="1:68">
      <c r="A3899">
        <v>58145772</v>
      </c>
      <c r="B3899">
        <v>58145772</v>
      </c>
      <c r="C3899" t="s">
        <v>7018</v>
      </c>
      <c r="D3899" t="s">
        <v>595</v>
      </c>
      <c r="E3899" s="184">
        <v>44438</v>
      </c>
      <c r="G3899" s="184"/>
      <c r="I3899" s="184"/>
      <c r="K3899" s="184"/>
      <c r="M3899" s="184"/>
      <c r="P3899" t="s">
        <v>7045</v>
      </c>
      <c r="Q3899" t="s">
        <v>7262</v>
      </c>
      <c r="R3899" s="184">
        <v>18994</v>
      </c>
      <c r="S3899">
        <v>72</v>
      </c>
      <c r="U3899" t="s">
        <v>7031</v>
      </c>
      <c r="V3899" t="s">
        <v>29322</v>
      </c>
      <c r="W3899" t="s">
        <v>4382</v>
      </c>
      <c r="X3899" t="s">
        <v>29323</v>
      </c>
      <c r="AF3899" t="s">
        <v>29324</v>
      </c>
      <c r="AG3899" t="s">
        <v>29322</v>
      </c>
      <c r="AI3899" t="s">
        <v>29325</v>
      </c>
      <c r="AM3899" t="s">
        <v>2987</v>
      </c>
      <c r="AN3899" t="s">
        <v>2106</v>
      </c>
      <c r="AO3899" t="s">
        <v>29326</v>
      </c>
      <c r="AP3899" t="s">
        <v>7024</v>
      </c>
      <c r="AT3899" s="184">
        <v>32883</v>
      </c>
      <c r="AU3899" t="s">
        <v>29327</v>
      </c>
      <c r="AV3899">
        <v>15</v>
      </c>
      <c r="AW3899" s="184">
        <v>45408</v>
      </c>
      <c r="AX3899" t="s">
        <v>23272</v>
      </c>
      <c r="AY3899">
        <v>25</v>
      </c>
      <c r="AZ3899" s="184">
        <v>44132</v>
      </c>
      <c r="BA3899" t="s">
        <v>7106</v>
      </c>
      <c r="BB3899">
        <v>60</v>
      </c>
      <c r="BC3899">
        <v>38</v>
      </c>
      <c r="BD3899">
        <v>585</v>
      </c>
      <c r="BE3899">
        <v>1990</v>
      </c>
      <c r="BF3899">
        <v>20</v>
      </c>
      <c r="BG3899">
        <v>2</v>
      </c>
      <c r="BH3899">
        <v>50</v>
      </c>
      <c r="BI3899">
        <v>13</v>
      </c>
      <c r="BJ3899">
        <v>35</v>
      </c>
      <c r="BK3899">
        <v>4</v>
      </c>
    </row>
    <row r="3900" spans="1:68">
      <c r="A3900">
        <v>58184375</v>
      </c>
      <c r="B3900">
        <v>58184375</v>
      </c>
      <c r="C3900" t="s">
        <v>7018</v>
      </c>
      <c r="D3900" t="s">
        <v>595</v>
      </c>
      <c r="E3900" s="184">
        <v>45180</v>
      </c>
      <c r="G3900" s="184"/>
      <c r="I3900" s="184"/>
      <c r="K3900" s="184"/>
      <c r="M3900" s="184"/>
      <c r="P3900" t="s">
        <v>7045</v>
      </c>
      <c r="Q3900" t="s">
        <v>7374</v>
      </c>
      <c r="R3900" s="184">
        <v>23590</v>
      </c>
      <c r="S3900">
        <v>59</v>
      </c>
      <c r="V3900" t="s">
        <v>2851</v>
      </c>
      <c r="W3900" t="s">
        <v>4139</v>
      </c>
      <c r="X3900" t="s">
        <v>29328</v>
      </c>
      <c r="AF3900" t="s">
        <v>29329</v>
      </c>
      <c r="AG3900" t="s">
        <v>2851</v>
      </c>
      <c r="AI3900" t="s">
        <v>29330</v>
      </c>
      <c r="AM3900" t="s">
        <v>23404</v>
      </c>
      <c r="AN3900" t="s">
        <v>2081</v>
      </c>
      <c r="AO3900" t="s">
        <v>29331</v>
      </c>
      <c r="AP3900" t="s">
        <v>7024</v>
      </c>
      <c r="AQ3900" t="s">
        <v>29332</v>
      </c>
      <c r="AT3900" s="184">
        <v>40193</v>
      </c>
      <c r="AU3900" t="s">
        <v>29333</v>
      </c>
      <c r="AV3900">
        <v>25</v>
      </c>
      <c r="AW3900" s="184">
        <v>45313</v>
      </c>
      <c r="AX3900" t="s">
        <v>8133</v>
      </c>
      <c r="AY3900">
        <v>25</v>
      </c>
      <c r="AZ3900" s="184">
        <v>44229</v>
      </c>
      <c r="BA3900" t="s">
        <v>29334</v>
      </c>
      <c r="BB3900">
        <v>35</v>
      </c>
      <c r="BC3900">
        <v>94</v>
      </c>
      <c r="BD3900">
        <v>435</v>
      </c>
      <c r="BE3900">
        <v>2010</v>
      </c>
      <c r="BF3900">
        <v>17</v>
      </c>
      <c r="BG3900">
        <v>2</v>
      </c>
      <c r="BH3900">
        <v>50</v>
      </c>
      <c r="BI3900">
        <v>14</v>
      </c>
      <c r="BJ3900">
        <v>15</v>
      </c>
      <c r="BK3900">
        <v>13</v>
      </c>
    </row>
    <row r="3901" spans="1:68">
      <c r="A3901">
        <v>58207994</v>
      </c>
      <c r="B3901">
        <v>58207994</v>
      </c>
      <c r="C3901" t="s">
        <v>7018</v>
      </c>
      <c r="D3901" t="s">
        <v>595</v>
      </c>
      <c r="E3901" s="184">
        <v>44455</v>
      </c>
      <c r="G3901" s="184"/>
      <c r="I3901" s="184"/>
      <c r="K3901" s="184"/>
      <c r="M3901" s="184"/>
      <c r="P3901" t="s">
        <v>7045</v>
      </c>
      <c r="Q3901" t="s">
        <v>7383</v>
      </c>
      <c r="R3901" s="184">
        <v>12234</v>
      </c>
      <c r="S3901">
        <v>90</v>
      </c>
      <c r="U3901" t="s">
        <v>7031</v>
      </c>
      <c r="V3901" t="s">
        <v>3603</v>
      </c>
      <c r="W3901" t="s">
        <v>7407</v>
      </c>
      <c r="X3901" t="s">
        <v>29335</v>
      </c>
      <c r="AF3901" t="s">
        <v>29336</v>
      </c>
      <c r="AG3901" t="s">
        <v>3603</v>
      </c>
      <c r="AI3901" t="s">
        <v>29337</v>
      </c>
      <c r="AM3901" t="s">
        <v>3121</v>
      </c>
      <c r="AN3901" t="s">
        <v>2144</v>
      </c>
      <c r="AO3901" t="s">
        <v>29338</v>
      </c>
      <c r="AP3901" t="s">
        <v>7024</v>
      </c>
      <c r="AQ3901" t="s">
        <v>29339</v>
      </c>
      <c r="AT3901" s="184">
        <v>40193</v>
      </c>
      <c r="AU3901" t="s">
        <v>29340</v>
      </c>
      <c r="AV3901">
        <v>50</v>
      </c>
      <c r="AW3901" s="184">
        <v>44777</v>
      </c>
      <c r="AX3901" t="s">
        <v>10468</v>
      </c>
      <c r="AY3901">
        <v>50</v>
      </c>
      <c r="AZ3901" s="184">
        <v>44777</v>
      </c>
      <c r="BA3901" t="s">
        <v>10468</v>
      </c>
      <c r="BB3901">
        <v>50</v>
      </c>
      <c r="BC3901">
        <v>87</v>
      </c>
      <c r="BD3901">
        <v>675</v>
      </c>
      <c r="BE3901">
        <v>2010</v>
      </c>
      <c r="BF3901">
        <v>14</v>
      </c>
      <c r="BG3901">
        <v>1</v>
      </c>
      <c r="BH3901">
        <v>50</v>
      </c>
      <c r="BI3901">
        <v>13</v>
      </c>
      <c r="BJ3901">
        <v>15</v>
      </c>
      <c r="BK3901">
        <v>13</v>
      </c>
      <c r="BP3901" s="184"/>
    </row>
    <row r="3902" spans="1:68">
      <c r="A3902">
        <v>58379975</v>
      </c>
      <c r="B3902">
        <v>58379975</v>
      </c>
      <c r="C3902" t="s">
        <v>7018</v>
      </c>
      <c r="D3902" t="s">
        <v>595</v>
      </c>
      <c r="E3902" s="184">
        <v>44104</v>
      </c>
      <c r="G3902" s="184"/>
      <c r="I3902" s="184"/>
      <c r="K3902" s="184"/>
      <c r="M3902" s="184"/>
      <c r="P3902" t="s">
        <v>7045</v>
      </c>
      <c r="Q3902" t="s">
        <v>7020</v>
      </c>
      <c r="R3902" s="184">
        <v>13088</v>
      </c>
      <c r="S3902">
        <v>88</v>
      </c>
      <c r="U3902" t="s">
        <v>7032</v>
      </c>
      <c r="V3902" t="s">
        <v>9268</v>
      </c>
      <c r="W3902" t="s">
        <v>7963</v>
      </c>
      <c r="X3902" t="s">
        <v>29341</v>
      </c>
      <c r="AF3902" t="s">
        <v>29342</v>
      </c>
      <c r="AG3902" t="s">
        <v>9268</v>
      </c>
      <c r="AI3902" t="s">
        <v>29343</v>
      </c>
      <c r="AM3902" t="s">
        <v>2917</v>
      </c>
      <c r="AN3902" t="s">
        <v>2052</v>
      </c>
      <c r="AO3902" t="s">
        <v>29344</v>
      </c>
      <c r="AP3902" t="s">
        <v>7024</v>
      </c>
      <c r="AQ3902" t="s">
        <v>29345</v>
      </c>
      <c r="AT3902" s="184">
        <v>40197</v>
      </c>
      <c r="AU3902" t="s">
        <v>29346</v>
      </c>
      <c r="AV3902">
        <v>25</v>
      </c>
      <c r="AW3902" s="184">
        <v>45397</v>
      </c>
      <c r="AX3902" t="s">
        <v>14823</v>
      </c>
      <c r="AY3902">
        <v>50</v>
      </c>
      <c r="AZ3902" s="184">
        <v>45397</v>
      </c>
      <c r="BA3902" t="s">
        <v>14823</v>
      </c>
      <c r="BB3902">
        <v>50</v>
      </c>
      <c r="BC3902">
        <v>94</v>
      </c>
      <c r="BD3902">
        <v>625</v>
      </c>
      <c r="BE3902">
        <v>2010</v>
      </c>
      <c r="BF3902">
        <v>20</v>
      </c>
      <c r="BG3902">
        <v>2</v>
      </c>
      <c r="BH3902">
        <v>85</v>
      </c>
      <c r="BI3902">
        <v>14</v>
      </c>
      <c r="BJ3902">
        <v>15</v>
      </c>
      <c r="BK3902">
        <v>13</v>
      </c>
    </row>
    <row r="3903" spans="1:68">
      <c r="A3903">
        <v>58382771</v>
      </c>
      <c r="B3903">
        <v>58382771</v>
      </c>
      <c r="C3903" t="s">
        <v>7018</v>
      </c>
      <c r="D3903" t="s">
        <v>595</v>
      </c>
      <c r="E3903" s="184">
        <v>44104</v>
      </c>
      <c r="G3903" s="184"/>
      <c r="I3903" s="184"/>
      <c r="K3903" s="184"/>
      <c r="M3903" s="184"/>
      <c r="O3903" s="184"/>
      <c r="P3903" t="s">
        <v>7045</v>
      </c>
      <c r="Q3903" t="s">
        <v>7383</v>
      </c>
      <c r="R3903" s="184">
        <v>12958</v>
      </c>
      <c r="S3903">
        <v>88</v>
      </c>
      <c r="U3903" t="s">
        <v>7031</v>
      </c>
      <c r="V3903" t="s">
        <v>4330</v>
      </c>
      <c r="X3903" t="s">
        <v>29347</v>
      </c>
      <c r="AF3903" t="s">
        <v>29348</v>
      </c>
      <c r="AG3903" t="s">
        <v>4330</v>
      </c>
      <c r="AI3903" t="s">
        <v>29349</v>
      </c>
      <c r="AM3903" t="s">
        <v>29350</v>
      </c>
      <c r="AN3903" t="s">
        <v>2059</v>
      </c>
      <c r="AO3903" t="s">
        <v>29351</v>
      </c>
      <c r="AP3903" t="s">
        <v>7024</v>
      </c>
      <c r="AT3903" s="184">
        <v>40197</v>
      </c>
      <c r="AU3903" t="s">
        <v>29352</v>
      </c>
      <c r="AV3903">
        <v>25</v>
      </c>
      <c r="AW3903" s="184">
        <v>43978</v>
      </c>
      <c r="AX3903" t="s">
        <v>29353</v>
      </c>
      <c r="AY3903">
        <v>25</v>
      </c>
      <c r="AZ3903" s="184">
        <v>43978</v>
      </c>
      <c r="BA3903" t="s">
        <v>29353</v>
      </c>
      <c r="BB3903">
        <v>25</v>
      </c>
      <c r="BC3903">
        <v>60</v>
      </c>
      <c r="BD3903">
        <v>305</v>
      </c>
      <c r="BE3903">
        <v>2010</v>
      </c>
      <c r="BF3903">
        <v>16</v>
      </c>
      <c r="BI3903">
        <v>9</v>
      </c>
      <c r="BJ3903">
        <v>15</v>
      </c>
      <c r="BK3903">
        <v>7</v>
      </c>
      <c r="BO3903" t="s">
        <v>595</v>
      </c>
    </row>
    <row r="3904" spans="1:68">
      <c r="A3904">
        <v>58389586</v>
      </c>
      <c r="B3904">
        <v>58389586</v>
      </c>
      <c r="C3904" t="s">
        <v>7018</v>
      </c>
      <c r="D3904" t="s">
        <v>595</v>
      </c>
      <c r="E3904" s="184">
        <v>44073</v>
      </c>
      <c r="G3904" s="184"/>
      <c r="I3904" s="184"/>
      <c r="K3904" s="184"/>
      <c r="M3904" s="184"/>
      <c r="P3904" t="s">
        <v>7045</v>
      </c>
      <c r="Q3904" t="s">
        <v>7383</v>
      </c>
      <c r="R3904" s="184">
        <v>17320</v>
      </c>
      <c r="S3904">
        <v>76</v>
      </c>
      <c r="U3904" t="s">
        <v>7031</v>
      </c>
      <c r="V3904" t="s">
        <v>2551</v>
      </c>
      <c r="W3904" t="s">
        <v>4089</v>
      </c>
      <c r="X3904" t="s">
        <v>29354</v>
      </c>
      <c r="AF3904" t="s">
        <v>29355</v>
      </c>
      <c r="AG3904" t="s">
        <v>2551</v>
      </c>
      <c r="AI3904" t="s">
        <v>29356</v>
      </c>
      <c r="AM3904" t="s">
        <v>3118</v>
      </c>
      <c r="AN3904" t="s">
        <v>2274</v>
      </c>
      <c r="AO3904" t="s">
        <v>29357</v>
      </c>
      <c r="AP3904" t="s">
        <v>7024</v>
      </c>
      <c r="AQ3904" t="s">
        <v>29358</v>
      </c>
      <c r="AT3904" s="184">
        <v>40197</v>
      </c>
      <c r="AU3904" t="s">
        <v>29359</v>
      </c>
      <c r="AV3904">
        <v>15</v>
      </c>
      <c r="AW3904" s="184">
        <v>45188</v>
      </c>
      <c r="AX3904" t="s">
        <v>7596</v>
      </c>
      <c r="AY3904">
        <v>25</v>
      </c>
      <c r="AZ3904" s="184">
        <v>44775</v>
      </c>
      <c r="BA3904" t="s">
        <v>29360</v>
      </c>
      <c r="BB3904">
        <v>35</v>
      </c>
      <c r="BC3904">
        <v>87</v>
      </c>
      <c r="BD3904">
        <v>395</v>
      </c>
      <c r="BE3904">
        <v>2010</v>
      </c>
      <c r="BF3904">
        <v>16</v>
      </c>
      <c r="BG3904">
        <v>2</v>
      </c>
      <c r="BH3904">
        <v>60</v>
      </c>
      <c r="BI3904">
        <v>13</v>
      </c>
      <c r="BJ3904">
        <v>15</v>
      </c>
      <c r="BK3904">
        <v>11</v>
      </c>
    </row>
    <row r="3905" spans="1:68">
      <c r="A3905">
        <v>58622978</v>
      </c>
      <c r="B3905">
        <v>58622978</v>
      </c>
      <c r="C3905" t="s">
        <v>7018</v>
      </c>
      <c r="E3905" s="184"/>
      <c r="G3905" s="184"/>
      <c r="H3905" t="s">
        <v>595</v>
      </c>
      <c r="I3905" s="184">
        <v>44328</v>
      </c>
      <c r="K3905" s="184"/>
      <c r="M3905" s="184"/>
      <c r="P3905" t="s">
        <v>7045</v>
      </c>
      <c r="Q3905" t="s">
        <v>7262</v>
      </c>
      <c r="R3905" s="184">
        <v>9253</v>
      </c>
      <c r="S3905">
        <v>99</v>
      </c>
      <c r="V3905" t="s">
        <v>4894</v>
      </c>
      <c r="X3905" t="s">
        <v>4895</v>
      </c>
      <c r="AF3905" t="s">
        <v>29361</v>
      </c>
      <c r="AG3905" t="s">
        <v>4894</v>
      </c>
      <c r="AI3905" t="s">
        <v>29362</v>
      </c>
      <c r="AM3905" t="s">
        <v>4896</v>
      </c>
      <c r="AN3905" t="s">
        <v>2106</v>
      </c>
      <c r="AO3905" t="s">
        <v>29363</v>
      </c>
      <c r="AP3905" t="s">
        <v>7024</v>
      </c>
      <c r="AT3905" s="184">
        <v>40206</v>
      </c>
      <c r="AU3905" t="s">
        <v>29364</v>
      </c>
      <c r="AV3905">
        <v>25</v>
      </c>
      <c r="AW3905" s="184">
        <v>44179</v>
      </c>
      <c r="AX3905" t="s">
        <v>29365</v>
      </c>
      <c r="AY3905">
        <v>25</v>
      </c>
      <c r="AZ3905" s="184">
        <v>44000</v>
      </c>
      <c r="BA3905" t="s">
        <v>29366</v>
      </c>
      <c r="BB3905">
        <v>50</v>
      </c>
      <c r="BC3905">
        <v>74</v>
      </c>
      <c r="BD3905">
        <v>1190</v>
      </c>
      <c r="BE3905">
        <v>2010</v>
      </c>
      <c r="BF3905">
        <v>34</v>
      </c>
      <c r="BI3905">
        <v>11</v>
      </c>
      <c r="BJ3905">
        <v>15</v>
      </c>
      <c r="BK3905">
        <v>11</v>
      </c>
      <c r="BO3905" t="s">
        <v>595</v>
      </c>
      <c r="BP3905" s="184"/>
    </row>
    <row r="3906" spans="1:68">
      <c r="A3906">
        <v>58624172</v>
      </c>
      <c r="B3906">
        <v>58624172</v>
      </c>
      <c r="C3906" t="s">
        <v>7018</v>
      </c>
      <c r="D3906" t="s">
        <v>595</v>
      </c>
      <c r="E3906" s="184">
        <v>44073</v>
      </c>
      <c r="G3906" s="184"/>
      <c r="I3906" s="184"/>
      <c r="K3906" s="184"/>
      <c r="M3906" s="184"/>
      <c r="O3906" s="184"/>
      <c r="P3906" t="s">
        <v>7045</v>
      </c>
      <c r="Q3906" t="s">
        <v>7020</v>
      </c>
      <c r="R3906" s="184">
        <v>15304</v>
      </c>
      <c r="S3906">
        <v>82</v>
      </c>
      <c r="U3906" t="s">
        <v>7076</v>
      </c>
      <c r="V3906" t="s">
        <v>4210</v>
      </c>
      <c r="W3906" t="s">
        <v>3830</v>
      </c>
      <c r="X3906" t="s">
        <v>2706</v>
      </c>
      <c r="AF3906" t="s">
        <v>29367</v>
      </c>
      <c r="AG3906" t="s">
        <v>4210</v>
      </c>
      <c r="AI3906" t="s">
        <v>29368</v>
      </c>
      <c r="AM3906" t="s">
        <v>29369</v>
      </c>
      <c r="AN3906" t="s">
        <v>2129</v>
      </c>
      <c r="AO3906" t="s">
        <v>29370</v>
      </c>
      <c r="AP3906" t="s">
        <v>7024</v>
      </c>
      <c r="AQ3906" t="s">
        <v>29371</v>
      </c>
      <c r="AR3906" t="s">
        <v>29372</v>
      </c>
      <c r="AT3906" s="184">
        <v>40206</v>
      </c>
      <c r="AU3906" t="s">
        <v>29373</v>
      </c>
      <c r="AV3906">
        <v>20</v>
      </c>
      <c r="AW3906" s="184">
        <v>45300</v>
      </c>
      <c r="AX3906" t="s">
        <v>11841</v>
      </c>
      <c r="AY3906">
        <v>25</v>
      </c>
      <c r="AZ3906" s="184">
        <v>44585</v>
      </c>
      <c r="BA3906" t="s">
        <v>29374</v>
      </c>
      <c r="BB3906">
        <v>50</v>
      </c>
      <c r="BC3906">
        <v>87</v>
      </c>
      <c r="BD3906">
        <v>925</v>
      </c>
      <c r="BE3906">
        <v>2010</v>
      </c>
      <c r="BF3906">
        <v>46</v>
      </c>
      <c r="BG3906">
        <v>2</v>
      </c>
      <c r="BH3906">
        <v>50</v>
      </c>
      <c r="BI3906">
        <v>13</v>
      </c>
      <c r="BJ3906">
        <v>15</v>
      </c>
      <c r="BK3906">
        <v>6</v>
      </c>
      <c r="BN3906" t="s">
        <v>595</v>
      </c>
      <c r="BP3906" s="184"/>
    </row>
    <row r="3907" spans="1:68">
      <c r="A3907">
        <v>58629775</v>
      </c>
      <c r="B3907">
        <v>58629775</v>
      </c>
      <c r="C3907" t="s">
        <v>7018</v>
      </c>
      <c r="E3907" s="184"/>
      <c r="G3907" s="184"/>
      <c r="H3907" t="s">
        <v>595</v>
      </c>
      <c r="I3907" s="184">
        <v>44167</v>
      </c>
      <c r="K3907" s="184"/>
      <c r="M3907" s="184"/>
      <c r="O3907" s="184"/>
      <c r="P3907" t="s">
        <v>7045</v>
      </c>
      <c r="Q3907" t="s">
        <v>7030</v>
      </c>
      <c r="R3907" s="184">
        <v>21296</v>
      </c>
      <c r="S3907">
        <v>66</v>
      </c>
      <c r="V3907" t="s">
        <v>9446</v>
      </c>
      <c r="W3907" t="s">
        <v>3134</v>
      </c>
      <c r="X3907" t="s">
        <v>3740</v>
      </c>
      <c r="AF3907" t="s">
        <v>29375</v>
      </c>
      <c r="AG3907" t="s">
        <v>9446</v>
      </c>
      <c r="AI3907" t="s">
        <v>29376</v>
      </c>
      <c r="AM3907" t="s">
        <v>28628</v>
      </c>
      <c r="AN3907" t="s">
        <v>2089</v>
      </c>
      <c r="AO3907" t="s">
        <v>29377</v>
      </c>
      <c r="AP3907" t="s">
        <v>7024</v>
      </c>
      <c r="AQ3907" t="s">
        <v>29378</v>
      </c>
      <c r="AT3907" s="184">
        <v>40207</v>
      </c>
      <c r="AU3907" t="s">
        <v>29379</v>
      </c>
      <c r="AV3907">
        <v>25</v>
      </c>
      <c r="AW3907" s="184">
        <v>45415</v>
      </c>
      <c r="AX3907" t="s">
        <v>29380</v>
      </c>
      <c r="AY3907">
        <v>60</v>
      </c>
      <c r="AZ3907" s="184">
        <v>45415</v>
      </c>
      <c r="BA3907" t="s">
        <v>29380</v>
      </c>
      <c r="BB3907">
        <v>60</v>
      </c>
      <c r="BC3907">
        <v>74</v>
      </c>
      <c r="BD3907">
        <v>400</v>
      </c>
      <c r="BE3907">
        <v>2010</v>
      </c>
      <c r="BF3907">
        <v>13</v>
      </c>
      <c r="BG3907">
        <v>2</v>
      </c>
      <c r="BH3907">
        <v>85</v>
      </c>
      <c r="BI3907">
        <v>11</v>
      </c>
      <c r="BJ3907">
        <v>15</v>
      </c>
      <c r="BK3907">
        <v>4</v>
      </c>
      <c r="BP3907" s="184"/>
    </row>
    <row r="3908" spans="1:68">
      <c r="A3908">
        <v>58657370</v>
      </c>
      <c r="B3908">
        <v>58657370</v>
      </c>
      <c r="C3908" t="s">
        <v>7018</v>
      </c>
      <c r="D3908" t="s">
        <v>595</v>
      </c>
      <c r="E3908" s="184">
        <v>44104</v>
      </c>
      <c r="G3908" s="184"/>
      <c r="I3908" s="184"/>
      <c r="K3908" s="184"/>
      <c r="M3908" s="184"/>
      <c r="O3908" s="184"/>
      <c r="P3908" t="s">
        <v>7045</v>
      </c>
      <c r="Q3908" t="s">
        <v>7383</v>
      </c>
      <c r="R3908" s="184">
        <v>12962</v>
      </c>
      <c r="S3908">
        <v>88</v>
      </c>
      <c r="U3908" t="s">
        <v>7076</v>
      </c>
      <c r="V3908" t="s">
        <v>3095</v>
      </c>
      <c r="X3908" t="s">
        <v>29381</v>
      </c>
      <c r="AF3908" t="s">
        <v>29382</v>
      </c>
      <c r="AG3908" t="s">
        <v>3095</v>
      </c>
      <c r="AI3908" t="s">
        <v>29383</v>
      </c>
      <c r="AM3908" t="s">
        <v>4968</v>
      </c>
      <c r="AN3908" t="s">
        <v>2059</v>
      </c>
      <c r="AO3908" t="s">
        <v>29384</v>
      </c>
      <c r="AP3908" t="s">
        <v>7024</v>
      </c>
      <c r="AQ3908" t="s">
        <v>29385</v>
      </c>
      <c r="AR3908" t="s">
        <v>29386</v>
      </c>
      <c r="AT3908" s="184">
        <v>40210</v>
      </c>
      <c r="AU3908" t="s">
        <v>29364</v>
      </c>
      <c r="AV3908">
        <v>25</v>
      </c>
      <c r="AW3908" s="184">
        <v>44805</v>
      </c>
      <c r="AX3908" t="s">
        <v>29387</v>
      </c>
      <c r="AY3908">
        <v>225</v>
      </c>
      <c r="AZ3908" s="184">
        <v>44805</v>
      </c>
      <c r="BA3908" t="s">
        <v>29387</v>
      </c>
      <c r="BB3908">
        <v>225</v>
      </c>
      <c r="BC3908">
        <v>87</v>
      </c>
      <c r="BD3908">
        <v>2815</v>
      </c>
      <c r="BE3908">
        <v>2010</v>
      </c>
      <c r="BF3908">
        <v>24</v>
      </c>
      <c r="BG3908">
        <v>1</v>
      </c>
      <c r="BH3908">
        <v>225</v>
      </c>
      <c r="BI3908">
        <v>13</v>
      </c>
      <c r="BJ3908">
        <v>15</v>
      </c>
      <c r="BK3908">
        <v>13</v>
      </c>
    </row>
    <row r="3909" spans="1:68">
      <c r="A3909">
        <v>58758376</v>
      </c>
      <c r="B3909">
        <v>58758376</v>
      </c>
      <c r="C3909" t="s">
        <v>7018</v>
      </c>
      <c r="E3909" s="184"/>
      <c r="G3909" s="184"/>
      <c r="I3909" s="184"/>
      <c r="J3909" t="s">
        <v>595</v>
      </c>
      <c r="K3909" s="184">
        <v>43607</v>
      </c>
      <c r="M3909" s="184"/>
      <c r="O3909" s="184"/>
      <c r="P3909" t="s">
        <v>7045</v>
      </c>
      <c r="Q3909" t="s">
        <v>7383</v>
      </c>
      <c r="R3909" s="184">
        <v>17930</v>
      </c>
      <c r="S3909">
        <v>75</v>
      </c>
      <c r="U3909" t="s">
        <v>7076</v>
      </c>
      <c r="V3909" t="s">
        <v>2848</v>
      </c>
      <c r="W3909" t="s">
        <v>4210</v>
      </c>
      <c r="X3909" t="s">
        <v>2849</v>
      </c>
      <c r="AF3909" t="s">
        <v>6190</v>
      </c>
      <c r="AG3909" t="s">
        <v>2848</v>
      </c>
      <c r="AI3909" t="s">
        <v>29388</v>
      </c>
      <c r="AM3909" t="s">
        <v>2850</v>
      </c>
      <c r="AN3909" t="s">
        <v>2144</v>
      </c>
      <c r="AO3909" t="s">
        <v>29389</v>
      </c>
      <c r="AP3909" t="s">
        <v>7024</v>
      </c>
      <c r="AQ3909" t="s">
        <v>29390</v>
      </c>
      <c r="AT3909" s="184">
        <v>40214</v>
      </c>
      <c r="AU3909" t="s">
        <v>29391</v>
      </c>
      <c r="AV3909">
        <v>25</v>
      </c>
      <c r="AW3909" s="184">
        <v>45411</v>
      </c>
      <c r="AX3909" t="s">
        <v>7414</v>
      </c>
      <c r="AY3909">
        <v>50</v>
      </c>
      <c r="AZ3909" s="184">
        <v>42625</v>
      </c>
      <c r="BA3909" t="s">
        <v>29392</v>
      </c>
      <c r="BB3909">
        <v>60</v>
      </c>
      <c r="BC3909">
        <v>100</v>
      </c>
      <c r="BD3909">
        <v>5425</v>
      </c>
      <c r="BE3909">
        <v>2010</v>
      </c>
      <c r="BF3909">
        <v>119</v>
      </c>
      <c r="BG3909">
        <v>24</v>
      </c>
      <c r="BH3909">
        <v>1200</v>
      </c>
      <c r="BI3909">
        <v>15</v>
      </c>
      <c r="BJ3909">
        <v>15</v>
      </c>
      <c r="BK3909">
        <v>15</v>
      </c>
      <c r="BP3909" s="184"/>
    </row>
    <row r="3910" spans="1:68">
      <c r="A3910">
        <v>58853375</v>
      </c>
      <c r="B3910">
        <v>58853375</v>
      </c>
      <c r="C3910" t="s">
        <v>7018</v>
      </c>
      <c r="D3910" t="s">
        <v>595</v>
      </c>
      <c r="E3910" s="184">
        <v>44073</v>
      </c>
      <c r="G3910" s="184"/>
      <c r="I3910" s="184"/>
      <c r="K3910" s="184"/>
      <c r="M3910" s="184"/>
      <c r="O3910" s="184"/>
      <c r="P3910" t="s">
        <v>7045</v>
      </c>
      <c r="Q3910" t="s">
        <v>7454</v>
      </c>
      <c r="R3910" s="184">
        <v>19906</v>
      </c>
      <c r="S3910">
        <v>69</v>
      </c>
      <c r="V3910" t="s">
        <v>3181</v>
      </c>
      <c r="W3910" t="s">
        <v>2316</v>
      </c>
      <c r="X3910" t="s">
        <v>29393</v>
      </c>
      <c r="Z3910">
        <v>100133014</v>
      </c>
      <c r="AB3910" t="s">
        <v>2593</v>
      </c>
      <c r="AD3910" t="s">
        <v>29393</v>
      </c>
      <c r="AF3910" t="s">
        <v>29394</v>
      </c>
      <c r="AG3910" t="s">
        <v>29395</v>
      </c>
      <c r="AI3910" t="s">
        <v>29396</v>
      </c>
      <c r="AM3910" t="s">
        <v>29397</v>
      </c>
      <c r="AN3910" t="s">
        <v>2299</v>
      </c>
      <c r="AO3910" t="s">
        <v>29398</v>
      </c>
      <c r="AP3910" t="s">
        <v>7024</v>
      </c>
      <c r="AQ3910" t="s">
        <v>29399</v>
      </c>
      <c r="AT3910" s="184">
        <v>40225</v>
      </c>
      <c r="AU3910" t="s">
        <v>29400</v>
      </c>
      <c r="AV3910">
        <v>20</v>
      </c>
      <c r="AW3910" s="184">
        <v>45330</v>
      </c>
      <c r="AX3910" t="s">
        <v>25518</v>
      </c>
      <c r="AY3910">
        <v>20</v>
      </c>
      <c r="AZ3910" s="184">
        <v>42059</v>
      </c>
      <c r="BA3910" t="s">
        <v>29401</v>
      </c>
      <c r="BB3910">
        <v>100</v>
      </c>
      <c r="BC3910">
        <v>87</v>
      </c>
      <c r="BD3910">
        <v>1225</v>
      </c>
      <c r="BE3910">
        <v>2010</v>
      </c>
      <c r="BF3910">
        <v>37</v>
      </c>
      <c r="BG3910">
        <v>5</v>
      </c>
      <c r="BH3910">
        <v>175</v>
      </c>
      <c r="BI3910">
        <v>13</v>
      </c>
      <c r="BJ3910">
        <v>15</v>
      </c>
      <c r="BK3910">
        <v>11</v>
      </c>
    </row>
    <row r="3911" spans="1:68">
      <c r="A3911">
        <v>100133014</v>
      </c>
      <c r="B3911">
        <v>58853375</v>
      </c>
      <c r="C3911" t="s">
        <v>7018</v>
      </c>
      <c r="D3911" t="s">
        <v>595</v>
      </c>
      <c r="E3911" s="184">
        <v>44073</v>
      </c>
      <c r="G3911" s="184"/>
      <c r="I3911" s="184"/>
      <c r="K3911" s="184"/>
      <c r="M3911" s="184"/>
      <c r="P3911" t="s">
        <v>7045</v>
      </c>
      <c r="Q3911" t="s">
        <v>7454</v>
      </c>
      <c r="R3911" s="184">
        <v>35370</v>
      </c>
      <c r="S3911">
        <v>27</v>
      </c>
      <c r="V3911" t="s">
        <v>2593</v>
      </c>
      <c r="X3911" t="s">
        <v>29393</v>
      </c>
      <c r="Z3911">
        <v>58853375</v>
      </c>
      <c r="AB3911" t="s">
        <v>3181</v>
      </c>
      <c r="AC3911" t="s">
        <v>2316</v>
      </c>
      <c r="AD3911" t="s">
        <v>29393</v>
      </c>
      <c r="AF3911" t="s">
        <v>29394</v>
      </c>
      <c r="AG3911" t="s">
        <v>29395</v>
      </c>
      <c r="AI3911" t="s">
        <v>29396</v>
      </c>
      <c r="AM3911" t="s">
        <v>29397</v>
      </c>
      <c r="AN3911" t="s">
        <v>2299</v>
      </c>
      <c r="AO3911" t="s">
        <v>29398</v>
      </c>
      <c r="AP3911" t="s">
        <v>7024</v>
      </c>
      <c r="AQ3911" t="s">
        <v>29402</v>
      </c>
      <c r="AT3911" s="184"/>
      <c r="AW3911" s="184"/>
      <c r="AZ3911" s="184"/>
    </row>
    <row r="3912" spans="1:68">
      <c r="A3912">
        <v>58901588</v>
      </c>
      <c r="B3912">
        <v>58901588</v>
      </c>
      <c r="C3912" t="s">
        <v>7018</v>
      </c>
      <c r="D3912" t="s">
        <v>595</v>
      </c>
      <c r="E3912" s="184">
        <v>44168</v>
      </c>
      <c r="G3912" s="184"/>
      <c r="I3912" s="184"/>
      <c r="K3912" s="184"/>
      <c r="M3912" s="184"/>
      <c r="O3912" s="184"/>
      <c r="P3912" t="s">
        <v>7045</v>
      </c>
      <c r="Q3912" t="s">
        <v>7160</v>
      </c>
      <c r="R3912" s="184">
        <v>20699</v>
      </c>
      <c r="S3912">
        <v>67</v>
      </c>
      <c r="V3912" t="s">
        <v>3868</v>
      </c>
      <c r="X3912" t="s">
        <v>5544</v>
      </c>
      <c r="AF3912" t="s">
        <v>29403</v>
      </c>
      <c r="AG3912" t="s">
        <v>3868</v>
      </c>
      <c r="AI3912" t="s">
        <v>29404</v>
      </c>
      <c r="AM3912" t="s">
        <v>10056</v>
      </c>
      <c r="AN3912" t="s">
        <v>2176</v>
      </c>
      <c r="AO3912" t="s">
        <v>29405</v>
      </c>
      <c r="AP3912" t="s">
        <v>7024</v>
      </c>
      <c r="AQ3912" t="s">
        <v>29406</v>
      </c>
      <c r="AT3912" s="184">
        <v>40225</v>
      </c>
      <c r="AU3912" t="s">
        <v>29199</v>
      </c>
      <c r="AV3912">
        <v>15</v>
      </c>
      <c r="AW3912" s="184">
        <v>45348</v>
      </c>
      <c r="AX3912" t="s">
        <v>7856</v>
      </c>
      <c r="AY3912">
        <v>35</v>
      </c>
      <c r="AZ3912" s="184">
        <v>45348</v>
      </c>
      <c r="BA3912" t="s">
        <v>7856</v>
      </c>
      <c r="BB3912">
        <v>35</v>
      </c>
      <c r="BC3912">
        <v>100</v>
      </c>
      <c r="BD3912">
        <v>750</v>
      </c>
      <c r="BE3912">
        <v>2010</v>
      </c>
      <c r="BF3912">
        <v>27</v>
      </c>
      <c r="BG3912">
        <v>2</v>
      </c>
      <c r="BH3912">
        <v>70</v>
      </c>
      <c r="BI3912">
        <v>15</v>
      </c>
      <c r="BJ3912">
        <v>15</v>
      </c>
      <c r="BK3912">
        <v>15</v>
      </c>
    </row>
    <row r="3913" spans="1:68">
      <c r="A3913">
        <v>58956376</v>
      </c>
      <c r="B3913">
        <v>58956376</v>
      </c>
      <c r="C3913" t="s">
        <v>7018</v>
      </c>
      <c r="D3913" t="s">
        <v>595</v>
      </c>
      <c r="E3913" s="184">
        <v>44168</v>
      </c>
      <c r="G3913" s="184"/>
      <c r="I3913" s="184"/>
      <c r="K3913" s="184"/>
      <c r="O3913" s="184"/>
      <c r="P3913" t="s">
        <v>7045</v>
      </c>
      <c r="Q3913" t="s">
        <v>7374</v>
      </c>
      <c r="R3913" s="184">
        <v>16285</v>
      </c>
      <c r="S3913">
        <v>79</v>
      </c>
      <c r="V3913" t="s">
        <v>2541</v>
      </c>
      <c r="X3913" t="s">
        <v>3277</v>
      </c>
      <c r="AF3913" t="s">
        <v>29407</v>
      </c>
      <c r="AG3913" t="s">
        <v>2541</v>
      </c>
      <c r="AI3913" t="s">
        <v>29408</v>
      </c>
      <c r="AM3913" t="s">
        <v>4551</v>
      </c>
      <c r="AN3913" t="s">
        <v>2081</v>
      </c>
      <c r="AO3913" t="s">
        <v>29409</v>
      </c>
      <c r="AP3913" t="s">
        <v>7024</v>
      </c>
      <c r="AQ3913" t="s">
        <v>29410</v>
      </c>
      <c r="AR3913" t="s">
        <v>29411</v>
      </c>
      <c r="AT3913" s="184">
        <v>40225</v>
      </c>
      <c r="AU3913" t="s">
        <v>29412</v>
      </c>
      <c r="AV3913">
        <v>25</v>
      </c>
      <c r="AW3913" s="184">
        <v>45029</v>
      </c>
      <c r="AX3913" t="s">
        <v>29413</v>
      </c>
      <c r="AY3913">
        <v>60</v>
      </c>
      <c r="AZ3913" s="184">
        <v>45029</v>
      </c>
      <c r="BA3913" t="s">
        <v>29413</v>
      </c>
      <c r="BB3913">
        <v>60</v>
      </c>
      <c r="BC3913">
        <v>60</v>
      </c>
      <c r="BD3913">
        <v>510</v>
      </c>
      <c r="BE3913">
        <v>2010</v>
      </c>
      <c r="BF3913">
        <v>14</v>
      </c>
      <c r="BG3913">
        <v>1</v>
      </c>
      <c r="BH3913">
        <v>60</v>
      </c>
      <c r="BI3913">
        <v>9</v>
      </c>
      <c r="BJ3913">
        <v>15</v>
      </c>
      <c r="BK3913">
        <v>5</v>
      </c>
      <c r="BN3913" t="s">
        <v>595</v>
      </c>
    </row>
    <row r="3914" spans="1:68">
      <c r="A3914">
        <v>59108076</v>
      </c>
      <c r="B3914">
        <v>59108076</v>
      </c>
      <c r="C3914" t="s">
        <v>7018</v>
      </c>
      <c r="D3914" t="s">
        <v>595</v>
      </c>
      <c r="E3914" s="184">
        <v>44104</v>
      </c>
      <c r="G3914" s="184"/>
      <c r="H3914" t="s">
        <v>595</v>
      </c>
      <c r="I3914" s="184">
        <v>44109</v>
      </c>
      <c r="K3914" s="184"/>
      <c r="O3914" s="184"/>
      <c r="P3914" t="s">
        <v>7045</v>
      </c>
      <c r="Q3914" t="s">
        <v>7262</v>
      </c>
      <c r="R3914" s="184">
        <v>19176</v>
      </c>
      <c r="S3914">
        <v>71</v>
      </c>
      <c r="V3914" t="s">
        <v>2511</v>
      </c>
      <c r="W3914" t="s">
        <v>2049</v>
      </c>
      <c r="X3914" t="s">
        <v>5002</v>
      </c>
      <c r="AF3914" t="s">
        <v>29414</v>
      </c>
      <c r="AG3914" t="s">
        <v>2511</v>
      </c>
      <c r="AI3914" t="s">
        <v>29415</v>
      </c>
      <c r="AM3914" t="s">
        <v>2815</v>
      </c>
      <c r="AN3914" t="s">
        <v>2266</v>
      </c>
      <c r="AO3914" t="s">
        <v>29416</v>
      </c>
      <c r="AP3914" t="s">
        <v>7024</v>
      </c>
      <c r="AQ3914" t="s">
        <v>29417</v>
      </c>
      <c r="AR3914" t="s">
        <v>29418</v>
      </c>
      <c r="AT3914" s="184">
        <v>40231</v>
      </c>
      <c r="AU3914" t="s">
        <v>29419</v>
      </c>
      <c r="AV3914">
        <v>15</v>
      </c>
      <c r="AW3914" s="184">
        <v>45408</v>
      </c>
      <c r="AX3914" t="s">
        <v>8483</v>
      </c>
      <c r="AY3914">
        <v>10</v>
      </c>
      <c r="AZ3914" s="184">
        <v>40889</v>
      </c>
      <c r="BA3914" t="s">
        <v>29420</v>
      </c>
      <c r="BB3914">
        <v>25</v>
      </c>
      <c r="BC3914">
        <v>100</v>
      </c>
      <c r="BD3914">
        <v>1690</v>
      </c>
      <c r="BE3914">
        <v>2010</v>
      </c>
      <c r="BF3914">
        <v>160</v>
      </c>
      <c r="BG3914">
        <v>27</v>
      </c>
      <c r="BH3914">
        <v>295</v>
      </c>
      <c r="BI3914">
        <v>15</v>
      </c>
      <c r="BJ3914">
        <v>15</v>
      </c>
      <c r="BK3914">
        <v>15</v>
      </c>
    </row>
    <row r="3915" spans="1:68">
      <c r="A3915">
        <v>59110601</v>
      </c>
      <c r="B3915">
        <v>59110601</v>
      </c>
      <c r="C3915" t="s">
        <v>7018</v>
      </c>
      <c r="D3915" t="s">
        <v>595</v>
      </c>
      <c r="E3915" s="184">
        <v>44167</v>
      </c>
      <c r="G3915" s="184"/>
      <c r="I3915" s="184"/>
      <c r="K3915" s="184"/>
      <c r="M3915" s="184"/>
      <c r="O3915" s="184"/>
      <c r="P3915" t="s">
        <v>7045</v>
      </c>
      <c r="Q3915" t="s">
        <v>7262</v>
      </c>
      <c r="R3915" s="184">
        <v>19083</v>
      </c>
      <c r="S3915">
        <v>72</v>
      </c>
      <c r="V3915" t="s">
        <v>3317</v>
      </c>
      <c r="X3915" t="s">
        <v>4478</v>
      </c>
      <c r="AF3915" t="s">
        <v>29421</v>
      </c>
      <c r="AG3915" t="s">
        <v>3317</v>
      </c>
      <c r="AI3915" t="s">
        <v>29422</v>
      </c>
      <c r="AM3915" t="s">
        <v>26897</v>
      </c>
      <c r="AN3915" t="s">
        <v>2069</v>
      </c>
      <c r="AO3915" t="s">
        <v>29423</v>
      </c>
      <c r="AP3915" t="s">
        <v>7024</v>
      </c>
      <c r="AQ3915" t="s">
        <v>29424</v>
      </c>
      <c r="AT3915" s="184">
        <v>40231</v>
      </c>
      <c r="AU3915" t="s">
        <v>29425</v>
      </c>
      <c r="AV3915">
        <v>20</v>
      </c>
      <c r="AW3915" s="184">
        <v>45272</v>
      </c>
      <c r="AX3915" t="s">
        <v>7821</v>
      </c>
      <c r="AY3915">
        <v>25</v>
      </c>
      <c r="AZ3915" s="184">
        <v>45272</v>
      </c>
      <c r="BA3915" t="s">
        <v>7821</v>
      </c>
      <c r="BB3915">
        <v>25</v>
      </c>
      <c r="BC3915">
        <v>74</v>
      </c>
      <c r="BD3915">
        <v>320</v>
      </c>
      <c r="BE3915">
        <v>2010</v>
      </c>
      <c r="BF3915">
        <v>13</v>
      </c>
      <c r="BG3915">
        <v>2</v>
      </c>
      <c r="BH3915">
        <v>50</v>
      </c>
      <c r="BI3915">
        <v>11</v>
      </c>
      <c r="BJ3915">
        <v>15</v>
      </c>
      <c r="BK3915">
        <v>3</v>
      </c>
      <c r="BP3915" s="184"/>
    </row>
    <row r="3916" spans="1:68">
      <c r="A3916">
        <v>59112649</v>
      </c>
      <c r="B3916">
        <v>59112649</v>
      </c>
      <c r="C3916" t="s">
        <v>7018</v>
      </c>
      <c r="D3916" t="s">
        <v>595</v>
      </c>
      <c r="E3916" s="184">
        <v>44441</v>
      </c>
      <c r="G3916" s="184"/>
      <c r="I3916" s="184"/>
      <c r="K3916" s="184"/>
      <c r="M3916" s="184"/>
      <c r="O3916" s="184"/>
      <c r="P3916" t="s">
        <v>7045</v>
      </c>
      <c r="Q3916" t="s">
        <v>7374</v>
      </c>
      <c r="R3916" s="184">
        <v>21763</v>
      </c>
      <c r="S3916">
        <v>64</v>
      </c>
      <c r="U3916" t="s">
        <v>7031</v>
      </c>
      <c r="V3916" t="s">
        <v>2541</v>
      </c>
      <c r="X3916" t="s">
        <v>29426</v>
      </c>
      <c r="AF3916" t="s">
        <v>29427</v>
      </c>
      <c r="AG3916" t="s">
        <v>2541</v>
      </c>
      <c r="AI3916" t="s">
        <v>29428</v>
      </c>
      <c r="AM3916" t="s">
        <v>29429</v>
      </c>
      <c r="AN3916" t="s">
        <v>2081</v>
      </c>
      <c r="AO3916" t="s">
        <v>29430</v>
      </c>
      <c r="AP3916" t="s">
        <v>7024</v>
      </c>
      <c r="AT3916" s="184">
        <v>40231</v>
      </c>
      <c r="AU3916" t="s">
        <v>29431</v>
      </c>
      <c r="AV3916">
        <v>10</v>
      </c>
      <c r="AW3916" s="184">
        <v>44832</v>
      </c>
      <c r="AX3916" t="s">
        <v>12347</v>
      </c>
      <c r="AY3916">
        <v>25</v>
      </c>
      <c r="AZ3916" s="184">
        <v>44832</v>
      </c>
      <c r="BA3916" t="s">
        <v>12347</v>
      </c>
      <c r="BB3916">
        <v>25</v>
      </c>
      <c r="BC3916">
        <v>67</v>
      </c>
      <c r="BD3916">
        <v>560</v>
      </c>
      <c r="BE3916">
        <v>2010</v>
      </c>
      <c r="BF3916">
        <v>48</v>
      </c>
      <c r="BG3916">
        <v>1</v>
      </c>
      <c r="BH3916">
        <v>25</v>
      </c>
      <c r="BI3916">
        <v>10</v>
      </c>
      <c r="BJ3916">
        <v>15</v>
      </c>
      <c r="BK3916">
        <v>9</v>
      </c>
    </row>
    <row r="3917" spans="1:68">
      <c r="A3917">
        <v>59163576</v>
      </c>
      <c r="B3917">
        <v>59163576</v>
      </c>
      <c r="C3917" t="s">
        <v>7018</v>
      </c>
      <c r="D3917" t="s">
        <v>595</v>
      </c>
      <c r="E3917" s="184">
        <v>45145</v>
      </c>
      <c r="G3917" s="184"/>
      <c r="I3917" s="184"/>
      <c r="K3917" s="184"/>
      <c r="M3917" s="184"/>
      <c r="O3917" s="184"/>
      <c r="P3917" t="s">
        <v>7045</v>
      </c>
      <c r="Q3917" t="s">
        <v>7383</v>
      </c>
      <c r="R3917" s="184">
        <v>16011</v>
      </c>
      <c r="S3917">
        <v>80</v>
      </c>
      <c r="U3917" t="s">
        <v>7031</v>
      </c>
      <c r="V3917" t="s">
        <v>4151</v>
      </c>
      <c r="X3917" t="s">
        <v>5944</v>
      </c>
      <c r="AF3917" t="s">
        <v>29432</v>
      </c>
      <c r="AG3917" t="s">
        <v>4151</v>
      </c>
      <c r="AI3917" t="s">
        <v>29433</v>
      </c>
      <c r="AM3917" t="s">
        <v>3121</v>
      </c>
      <c r="AN3917" t="s">
        <v>2144</v>
      </c>
      <c r="AO3917" t="s">
        <v>29434</v>
      </c>
      <c r="AP3917" t="s">
        <v>7024</v>
      </c>
      <c r="AQ3917" t="s">
        <v>29435</v>
      </c>
      <c r="AT3917" s="184">
        <v>40231</v>
      </c>
      <c r="AU3917" t="s">
        <v>29436</v>
      </c>
      <c r="AV3917">
        <v>10</v>
      </c>
      <c r="AW3917" s="184">
        <v>44425</v>
      </c>
      <c r="AX3917" t="s">
        <v>29437</v>
      </c>
      <c r="AY3917">
        <v>60</v>
      </c>
      <c r="AZ3917" s="184">
        <v>44425</v>
      </c>
      <c r="BA3917" t="s">
        <v>29437</v>
      </c>
      <c r="BB3917">
        <v>60</v>
      </c>
      <c r="BC3917">
        <v>54</v>
      </c>
      <c r="BD3917">
        <v>364.97</v>
      </c>
      <c r="BE3917">
        <v>2010</v>
      </c>
      <c r="BF3917">
        <v>11</v>
      </c>
      <c r="BI3917">
        <v>8</v>
      </c>
      <c r="BJ3917">
        <v>15</v>
      </c>
      <c r="BK3917">
        <v>3</v>
      </c>
      <c r="BP3917" s="184"/>
    </row>
    <row r="3918" spans="1:68">
      <c r="A3918">
        <v>59165571</v>
      </c>
      <c r="B3918">
        <v>59165571</v>
      </c>
      <c r="C3918" t="s">
        <v>7018</v>
      </c>
      <c r="D3918" t="s">
        <v>595</v>
      </c>
      <c r="E3918" s="184">
        <v>45148</v>
      </c>
      <c r="G3918" s="184"/>
      <c r="I3918" s="184"/>
      <c r="K3918" s="184"/>
      <c r="M3918" s="184"/>
      <c r="O3918" s="184"/>
      <c r="P3918" t="s">
        <v>7045</v>
      </c>
      <c r="Q3918" t="s">
        <v>7020</v>
      </c>
      <c r="R3918" s="184">
        <v>19207</v>
      </c>
      <c r="S3918">
        <v>71</v>
      </c>
      <c r="U3918" t="s">
        <v>7130</v>
      </c>
      <c r="V3918" t="s">
        <v>3868</v>
      </c>
      <c r="X3918" t="s">
        <v>29438</v>
      </c>
      <c r="AF3918" t="s">
        <v>29439</v>
      </c>
      <c r="AG3918" t="s">
        <v>3868</v>
      </c>
      <c r="AI3918" t="s">
        <v>29440</v>
      </c>
      <c r="AM3918" t="s">
        <v>29441</v>
      </c>
      <c r="AN3918" t="s">
        <v>2363</v>
      </c>
      <c r="AO3918" t="s">
        <v>29442</v>
      </c>
      <c r="AP3918" t="s">
        <v>7024</v>
      </c>
      <c r="AQ3918" t="s">
        <v>29443</v>
      </c>
      <c r="AT3918" s="184">
        <v>40234</v>
      </c>
      <c r="AU3918" t="s">
        <v>29444</v>
      </c>
      <c r="AV3918">
        <v>19.95</v>
      </c>
      <c r="AW3918" s="184">
        <v>44767</v>
      </c>
      <c r="AX3918" t="s">
        <v>29445</v>
      </c>
      <c r="AY3918">
        <v>40</v>
      </c>
      <c r="AZ3918" s="184">
        <v>41666</v>
      </c>
      <c r="BA3918" t="s">
        <v>29446</v>
      </c>
      <c r="BB3918">
        <v>65</v>
      </c>
      <c r="BC3918">
        <v>47</v>
      </c>
      <c r="BD3918">
        <v>319.95</v>
      </c>
      <c r="BE3918">
        <v>2010</v>
      </c>
      <c r="BF3918">
        <v>8</v>
      </c>
      <c r="BG3918">
        <v>1</v>
      </c>
      <c r="BH3918">
        <v>40</v>
      </c>
      <c r="BI3918">
        <v>7</v>
      </c>
      <c r="BJ3918">
        <v>15</v>
      </c>
      <c r="BK3918">
        <v>3</v>
      </c>
      <c r="BP3918" s="184"/>
    </row>
    <row r="3919" spans="1:68">
      <c r="A3919">
        <v>59205377</v>
      </c>
      <c r="B3919">
        <v>59205377</v>
      </c>
      <c r="C3919" t="s">
        <v>7018</v>
      </c>
      <c r="E3919" s="184"/>
      <c r="G3919" s="184"/>
      <c r="I3919" s="184"/>
      <c r="J3919" t="s">
        <v>595</v>
      </c>
      <c r="K3919" s="184">
        <v>41918</v>
      </c>
      <c r="M3919" s="184"/>
      <c r="P3919" t="s">
        <v>7045</v>
      </c>
      <c r="Q3919" t="s">
        <v>7020</v>
      </c>
      <c r="R3919" s="184">
        <v>22463</v>
      </c>
      <c r="S3919">
        <v>62</v>
      </c>
      <c r="U3919" t="s">
        <v>7031</v>
      </c>
      <c r="V3919" t="s">
        <v>3981</v>
      </c>
      <c r="W3919" t="s">
        <v>3536</v>
      </c>
      <c r="X3919" t="s">
        <v>2661</v>
      </c>
      <c r="AF3919" t="s">
        <v>29447</v>
      </c>
      <c r="AG3919" t="s">
        <v>3981</v>
      </c>
      <c r="AI3919" t="s">
        <v>29448</v>
      </c>
      <c r="AM3919" t="s">
        <v>29449</v>
      </c>
      <c r="AN3919" t="s">
        <v>2129</v>
      </c>
      <c r="AO3919" t="s">
        <v>29450</v>
      </c>
      <c r="AP3919" t="s">
        <v>7024</v>
      </c>
      <c r="AQ3919" t="s">
        <v>29451</v>
      </c>
      <c r="AR3919" t="s">
        <v>29452</v>
      </c>
      <c r="AT3919" s="184">
        <v>40234</v>
      </c>
      <c r="AU3919" t="s">
        <v>29453</v>
      </c>
      <c r="AV3919">
        <v>50</v>
      </c>
      <c r="AW3919" s="184">
        <v>45372</v>
      </c>
      <c r="AX3919" t="s">
        <v>23569</v>
      </c>
      <c r="AY3919">
        <v>100</v>
      </c>
      <c r="AZ3919" s="184">
        <v>45372</v>
      </c>
      <c r="BA3919" t="s">
        <v>23569</v>
      </c>
      <c r="BB3919">
        <v>100</v>
      </c>
      <c r="BC3919">
        <v>100</v>
      </c>
      <c r="BD3919">
        <v>4335</v>
      </c>
      <c r="BE3919">
        <v>2010</v>
      </c>
      <c r="BF3919">
        <v>55</v>
      </c>
      <c r="BG3919">
        <v>10</v>
      </c>
      <c r="BH3919">
        <v>750</v>
      </c>
      <c r="BI3919">
        <v>15</v>
      </c>
      <c r="BJ3919">
        <v>15</v>
      </c>
      <c r="BK3919">
        <v>15</v>
      </c>
    </row>
    <row r="3920" spans="1:68">
      <c r="A3920">
        <v>59223156</v>
      </c>
      <c r="B3920">
        <v>59223156</v>
      </c>
      <c r="C3920" t="s">
        <v>7018</v>
      </c>
      <c r="E3920" s="184"/>
      <c r="G3920" s="184"/>
      <c r="I3920" s="184"/>
      <c r="J3920" t="s">
        <v>595</v>
      </c>
      <c r="K3920" s="184">
        <v>43248</v>
      </c>
      <c r="M3920" s="184"/>
      <c r="P3920" t="s">
        <v>7045</v>
      </c>
      <c r="Q3920" t="s">
        <v>7020</v>
      </c>
      <c r="R3920" s="184">
        <v>28611</v>
      </c>
      <c r="S3920">
        <v>46</v>
      </c>
      <c r="V3920" t="s">
        <v>18610</v>
      </c>
      <c r="X3920" t="s">
        <v>4625</v>
      </c>
      <c r="AF3920" t="s">
        <v>6656</v>
      </c>
      <c r="AG3920" t="s">
        <v>18610</v>
      </c>
      <c r="AI3920" t="s">
        <v>29454</v>
      </c>
      <c r="AM3920" t="s">
        <v>5381</v>
      </c>
      <c r="AN3920" t="s">
        <v>2129</v>
      </c>
      <c r="AO3920" t="s">
        <v>29455</v>
      </c>
      <c r="AP3920" t="s">
        <v>7024</v>
      </c>
      <c r="AQ3920" t="s">
        <v>29456</v>
      </c>
      <c r="AT3920" s="184">
        <v>40235</v>
      </c>
      <c r="AU3920" t="s">
        <v>29457</v>
      </c>
      <c r="AV3920">
        <v>50</v>
      </c>
      <c r="AW3920" s="184">
        <v>44797</v>
      </c>
      <c r="AX3920" t="s">
        <v>29458</v>
      </c>
      <c r="AY3920">
        <v>50</v>
      </c>
      <c r="AZ3920" s="184">
        <v>44797</v>
      </c>
      <c r="BA3920" t="s">
        <v>29458</v>
      </c>
      <c r="BB3920">
        <v>50</v>
      </c>
      <c r="BC3920">
        <v>40</v>
      </c>
      <c r="BD3920">
        <v>325</v>
      </c>
      <c r="BE3920">
        <v>2010</v>
      </c>
      <c r="BF3920">
        <v>7</v>
      </c>
      <c r="BG3920">
        <v>1</v>
      </c>
      <c r="BH3920">
        <v>50</v>
      </c>
      <c r="BI3920">
        <v>6</v>
      </c>
      <c r="BJ3920">
        <v>15</v>
      </c>
      <c r="BK3920">
        <v>3</v>
      </c>
    </row>
    <row r="3921" spans="1:68">
      <c r="A3921">
        <v>59271379</v>
      </c>
      <c r="B3921">
        <v>59271379</v>
      </c>
      <c r="C3921" t="s">
        <v>7018</v>
      </c>
      <c r="E3921" s="184"/>
      <c r="G3921" s="184"/>
      <c r="I3921" s="184"/>
      <c r="J3921" t="s">
        <v>595</v>
      </c>
      <c r="K3921" s="184">
        <v>43248</v>
      </c>
      <c r="M3921" s="184"/>
      <c r="P3921" t="s">
        <v>7019</v>
      </c>
      <c r="Q3921" t="s">
        <v>7383</v>
      </c>
      <c r="R3921" s="184">
        <v>18933</v>
      </c>
      <c r="S3921">
        <v>72</v>
      </c>
      <c r="U3921" t="s">
        <v>7076</v>
      </c>
      <c r="V3921" t="s">
        <v>3101</v>
      </c>
      <c r="X3921" t="s">
        <v>2962</v>
      </c>
      <c r="AF3921" t="s">
        <v>6563</v>
      </c>
      <c r="AG3921" t="s">
        <v>3101</v>
      </c>
      <c r="AI3921" t="s">
        <v>29459</v>
      </c>
      <c r="AM3921" t="s">
        <v>29460</v>
      </c>
      <c r="AN3921" t="s">
        <v>2185</v>
      </c>
      <c r="AO3921" t="s">
        <v>29461</v>
      </c>
      <c r="AP3921" t="s">
        <v>7024</v>
      </c>
      <c r="AQ3921" t="s">
        <v>29462</v>
      </c>
      <c r="AT3921" s="184">
        <v>40238</v>
      </c>
      <c r="AU3921" t="s">
        <v>29463</v>
      </c>
      <c r="AV3921">
        <v>20</v>
      </c>
      <c r="AW3921" s="184">
        <v>45349</v>
      </c>
      <c r="AX3921" t="s">
        <v>18157</v>
      </c>
      <c r="AY3921">
        <v>25</v>
      </c>
      <c r="AZ3921" s="184">
        <v>44419</v>
      </c>
      <c r="BA3921" t="s">
        <v>29130</v>
      </c>
      <c r="BB3921">
        <v>60</v>
      </c>
      <c r="BC3921">
        <v>100</v>
      </c>
      <c r="BD3921">
        <v>890</v>
      </c>
      <c r="BE3921">
        <v>2010</v>
      </c>
      <c r="BF3921">
        <v>35</v>
      </c>
      <c r="BG3921">
        <v>4</v>
      </c>
      <c r="BH3921">
        <v>100</v>
      </c>
      <c r="BI3921">
        <v>15</v>
      </c>
      <c r="BJ3921">
        <v>15</v>
      </c>
      <c r="BK3921">
        <v>15</v>
      </c>
    </row>
    <row r="3922" spans="1:68">
      <c r="A3922">
        <v>59334680</v>
      </c>
      <c r="B3922">
        <v>59334680</v>
      </c>
      <c r="C3922" t="s">
        <v>7018</v>
      </c>
      <c r="E3922" s="184"/>
      <c r="F3922" t="s">
        <v>595</v>
      </c>
      <c r="G3922" s="184">
        <v>44438</v>
      </c>
      <c r="I3922" s="184"/>
      <c r="K3922" s="184"/>
      <c r="M3922" s="184"/>
      <c r="P3922" t="s">
        <v>7019</v>
      </c>
      <c r="Q3922" t="s">
        <v>7020</v>
      </c>
      <c r="R3922" s="184">
        <v>19176</v>
      </c>
      <c r="S3922">
        <v>71</v>
      </c>
      <c r="V3922" t="s">
        <v>2733</v>
      </c>
      <c r="X3922" t="s">
        <v>29464</v>
      </c>
      <c r="AF3922" t="s">
        <v>29465</v>
      </c>
      <c r="AG3922" t="s">
        <v>2733</v>
      </c>
      <c r="AI3922" t="s">
        <v>29466</v>
      </c>
      <c r="AM3922" t="s">
        <v>2869</v>
      </c>
      <c r="AN3922" t="s">
        <v>2052</v>
      </c>
      <c r="AO3922" t="s">
        <v>29467</v>
      </c>
      <c r="AP3922" t="s">
        <v>7024</v>
      </c>
      <c r="AQ3922" t="s">
        <v>29468</v>
      </c>
      <c r="AR3922" t="s">
        <v>29469</v>
      </c>
      <c r="AT3922" s="184">
        <v>40241</v>
      </c>
      <c r="AU3922" t="s">
        <v>29470</v>
      </c>
      <c r="AV3922">
        <v>50</v>
      </c>
      <c r="AW3922" s="184">
        <v>45404</v>
      </c>
      <c r="AX3922" t="s">
        <v>7429</v>
      </c>
      <c r="AY3922">
        <v>10</v>
      </c>
      <c r="AZ3922" s="184">
        <v>41787</v>
      </c>
      <c r="BA3922" t="s">
        <v>11540</v>
      </c>
      <c r="BB3922">
        <v>200</v>
      </c>
      <c r="BC3922">
        <v>80</v>
      </c>
      <c r="BD3922">
        <v>1402</v>
      </c>
      <c r="BE3922">
        <v>2010</v>
      </c>
      <c r="BF3922">
        <v>25</v>
      </c>
      <c r="BG3922">
        <v>13</v>
      </c>
      <c r="BH3922">
        <v>130</v>
      </c>
      <c r="BI3922">
        <v>12</v>
      </c>
      <c r="BJ3922">
        <v>15</v>
      </c>
      <c r="BK3922">
        <v>7</v>
      </c>
    </row>
    <row r="3923" spans="1:68">
      <c r="A3923">
        <v>59399188</v>
      </c>
      <c r="B3923">
        <v>59399188</v>
      </c>
      <c r="C3923" t="s">
        <v>7018</v>
      </c>
      <c r="E3923" s="184"/>
      <c r="G3923" s="184"/>
      <c r="I3923" s="184"/>
      <c r="J3923" t="s">
        <v>595</v>
      </c>
      <c r="K3923" s="184">
        <v>42904</v>
      </c>
      <c r="M3923" s="184"/>
      <c r="O3923" s="184"/>
      <c r="P3923" t="s">
        <v>7045</v>
      </c>
      <c r="Q3923" t="s">
        <v>7383</v>
      </c>
      <c r="R3923" s="184">
        <v>16774</v>
      </c>
      <c r="S3923">
        <v>78</v>
      </c>
      <c r="U3923" t="s">
        <v>7031</v>
      </c>
      <c r="V3923" t="s">
        <v>3283</v>
      </c>
      <c r="X3923" t="s">
        <v>29471</v>
      </c>
      <c r="AF3923" t="s">
        <v>6496</v>
      </c>
      <c r="AG3923" t="s">
        <v>3283</v>
      </c>
      <c r="AI3923" t="s">
        <v>29472</v>
      </c>
      <c r="AM3923" t="s">
        <v>4541</v>
      </c>
      <c r="AN3923" t="s">
        <v>2313</v>
      </c>
      <c r="AO3923" t="s">
        <v>29473</v>
      </c>
      <c r="AP3923" t="s">
        <v>7024</v>
      </c>
      <c r="AQ3923" t="s">
        <v>29474</v>
      </c>
      <c r="AT3923" s="184">
        <v>40245</v>
      </c>
      <c r="AU3923" t="s">
        <v>29475</v>
      </c>
      <c r="AV3923">
        <v>25</v>
      </c>
      <c r="AW3923" s="184">
        <v>45238</v>
      </c>
      <c r="AX3923" t="s">
        <v>29476</v>
      </c>
      <c r="AY3923">
        <v>100</v>
      </c>
      <c r="AZ3923" s="184">
        <v>45238</v>
      </c>
      <c r="BA3923" t="s">
        <v>29476</v>
      </c>
      <c r="BB3923">
        <v>100</v>
      </c>
      <c r="BC3923">
        <v>80</v>
      </c>
      <c r="BD3923">
        <v>1197</v>
      </c>
      <c r="BE3923">
        <v>2010</v>
      </c>
      <c r="BF3923">
        <v>23</v>
      </c>
      <c r="BG3923">
        <v>1</v>
      </c>
      <c r="BH3923">
        <v>100</v>
      </c>
      <c r="BI3923">
        <v>12</v>
      </c>
      <c r="BJ3923">
        <v>15</v>
      </c>
      <c r="BK3923">
        <v>7</v>
      </c>
      <c r="BP3923" s="184"/>
    </row>
    <row r="3924" spans="1:68">
      <c r="A3924">
        <v>59479378</v>
      </c>
      <c r="B3924">
        <v>59479378</v>
      </c>
      <c r="C3924" t="s">
        <v>7018</v>
      </c>
      <c r="D3924" t="s">
        <v>595</v>
      </c>
      <c r="E3924" s="184">
        <v>45195</v>
      </c>
      <c r="G3924" s="184"/>
      <c r="I3924" s="184"/>
      <c r="K3924" s="184"/>
      <c r="M3924" s="184"/>
      <c r="O3924" s="184"/>
      <c r="P3924" t="s">
        <v>7045</v>
      </c>
      <c r="Q3924" t="s">
        <v>7160</v>
      </c>
      <c r="R3924" s="184">
        <v>13952</v>
      </c>
      <c r="S3924">
        <v>86</v>
      </c>
      <c r="V3924" t="s">
        <v>3101</v>
      </c>
      <c r="X3924" t="s">
        <v>29477</v>
      </c>
      <c r="AF3924" t="s">
        <v>29478</v>
      </c>
      <c r="AG3924" t="s">
        <v>3101</v>
      </c>
      <c r="AI3924" t="s">
        <v>29479</v>
      </c>
      <c r="AM3924" t="s">
        <v>28424</v>
      </c>
      <c r="AN3924" t="s">
        <v>4637</v>
      </c>
      <c r="AO3924" t="s">
        <v>29480</v>
      </c>
      <c r="AP3924" t="s">
        <v>7024</v>
      </c>
      <c r="AQ3924" t="s">
        <v>29481</v>
      </c>
      <c r="AR3924" t="s">
        <v>29482</v>
      </c>
      <c r="AT3924" s="184">
        <v>40247</v>
      </c>
      <c r="AU3924" t="s">
        <v>29483</v>
      </c>
      <c r="AV3924">
        <v>20.16</v>
      </c>
      <c r="AW3924" s="184">
        <v>42270</v>
      </c>
      <c r="AX3924" t="s">
        <v>29484</v>
      </c>
      <c r="AY3924">
        <v>25</v>
      </c>
      <c r="AZ3924" s="184">
        <v>42270</v>
      </c>
      <c r="BA3924" t="s">
        <v>29484</v>
      </c>
      <c r="BB3924">
        <v>25</v>
      </c>
      <c r="BC3924">
        <v>34</v>
      </c>
      <c r="BD3924">
        <v>145.16</v>
      </c>
      <c r="BE3924">
        <v>2010</v>
      </c>
      <c r="BF3924">
        <v>6</v>
      </c>
      <c r="BI3924">
        <v>5</v>
      </c>
      <c r="BJ3924">
        <v>15</v>
      </c>
      <c r="BK3924">
        <v>3</v>
      </c>
    </row>
    <row r="3925" spans="1:68">
      <c r="A3925">
        <v>59521971</v>
      </c>
      <c r="B3925">
        <v>59521971</v>
      </c>
      <c r="C3925" t="s">
        <v>7018</v>
      </c>
      <c r="D3925" t="s">
        <v>595</v>
      </c>
      <c r="E3925" s="184">
        <v>45125</v>
      </c>
      <c r="G3925" s="184"/>
      <c r="I3925" s="184"/>
      <c r="K3925" s="184"/>
      <c r="M3925" s="184"/>
      <c r="O3925" s="184"/>
      <c r="P3925" t="s">
        <v>7045</v>
      </c>
      <c r="Q3925" t="s">
        <v>7020</v>
      </c>
      <c r="R3925" s="184">
        <v>14550</v>
      </c>
      <c r="S3925">
        <v>84</v>
      </c>
      <c r="V3925" t="s">
        <v>5144</v>
      </c>
      <c r="X3925" t="s">
        <v>5675</v>
      </c>
      <c r="AF3925" t="s">
        <v>29485</v>
      </c>
      <c r="AG3925" t="s">
        <v>5144</v>
      </c>
      <c r="AI3925" t="s">
        <v>29486</v>
      </c>
      <c r="AM3925" t="s">
        <v>29487</v>
      </c>
      <c r="AN3925" t="s">
        <v>2129</v>
      </c>
      <c r="AO3925" t="s">
        <v>29488</v>
      </c>
      <c r="AP3925" t="s">
        <v>7024</v>
      </c>
      <c r="AT3925" s="184">
        <v>40249</v>
      </c>
      <c r="AU3925" t="s">
        <v>29489</v>
      </c>
      <c r="AV3925">
        <v>20.16</v>
      </c>
      <c r="AW3925" s="184">
        <v>44497</v>
      </c>
      <c r="AX3925" t="s">
        <v>29490</v>
      </c>
      <c r="AY3925">
        <v>25</v>
      </c>
      <c r="AZ3925" s="184">
        <v>44497</v>
      </c>
      <c r="BA3925" t="s">
        <v>29490</v>
      </c>
      <c r="BB3925">
        <v>25</v>
      </c>
      <c r="BC3925">
        <v>47</v>
      </c>
      <c r="BD3925">
        <v>245.16</v>
      </c>
      <c r="BE3925">
        <v>2010</v>
      </c>
      <c r="BF3925">
        <v>10</v>
      </c>
      <c r="BI3925">
        <v>7</v>
      </c>
      <c r="BJ3925">
        <v>15</v>
      </c>
      <c r="BK3925">
        <v>5</v>
      </c>
    </row>
    <row r="3926" spans="1:68">
      <c r="A3926">
        <v>59623975</v>
      </c>
      <c r="B3926">
        <v>59623975</v>
      </c>
      <c r="C3926" t="s">
        <v>7018</v>
      </c>
      <c r="E3926" s="184"/>
      <c r="G3926" s="184"/>
      <c r="I3926" s="184"/>
      <c r="J3926" t="s">
        <v>595</v>
      </c>
      <c r="K3926" s="184">
        <v>41486</v>
      </c>
      <c r="M3926" s="184"/>
      <c r="P3926" t="s">
        <v>7045</v>
      </c>
      <c r="Q3926" t="s">
        <v>7374</v>
      </c>
      <c r="R3926" s="184">
        <v>17930</v>
      </c>
      <c r="S3926">
        <v>75</v>
      </c>
      <c r="V3926" t="s">
        <v>29491</v>
      </c>
      <c r="W3926" t="s">
        <v>7396</v>
      </c>
      <c r="X3926" t="s">
        <v>29492</v>
      </c>
      <c r="Z3926">
        <v>100133481</v>
      </c>
      <c r="AA3926" t="s">
        <v>7130</v>
      </c>
      <c r="AB3926" t="s">
        <v>9117</v>
      </c>
      <c r="AC3926" t="s">
        <v>4139</v>
      </c>
      <c r="AD3926" t="s">
        <v>29492</v>
      </c>
      <c r="AF3926" t="s">
        <v>6711</v>
      </c>
      <c r="AG3926" t="s">
        <v>29493</v>
      </c>
      <c r="AI3926" t="s">
        <v>29494</v>
      </c>
      <c r="AM3926" t="s">
        <v>12574</v>
      </c>
      <c r="AN3926" t="s">
        <v>2081</v>
      </c>
      <c r="AO3926" t="s">
        <v>29495</v>
      </c>
      <c r="AP3926" t="s">
        <v>7024</v>
      </c>
      <c r="AT3926" s="184">
        <v>40255</v>
      </c>
      <c r="AU3926" t="s">
        <v>29496</v>
      </c>
      <c r="AV3926">
        <v>20</v>
      </c>
      <c r="AW3926" s="184">
        <v>41782</v>
      </c>
      <c r="AX3926" t="s">
        <v>29497</v>
      </c>
      <c r="AY3926">
        <v>25</v>
      </c>
      <c r="AZ3926" s="184">
        <v>41782</v>
      </c>
      <c r="BA3926" t="s">
        <v>29497</v>
      </c>
      <c r="BB3926">
        <v>25</v>
      </c>
      <c r="BC3926">
        <v>20</v>
      </c>
      <c r="BD3926">
        <v>70</v>
      </c>
      <c r="BE3926">
        <v>2010</v>
      </c>
      <c r="BF3926">
        <v>3</v>
      </c>
      <c r="BI3926">
        <v>3</v>
      </c>
      <c r="BJ3926">
        <v>15</v>
      </c>
      <c r="BK3926">
        <v>2</v>
      </c>
      <c r="BP3926" s="184"/>
    </row>
    <row r="3927" spans="1:68">
      <c r="A3927">
        <v>100133481</v>
      </c>
      <c r="B3927">
        <v>59623975</v>
      </c>
      <c r="C3927" t="s">
        <v>7018</v>
      </c>
      <c r="E3927" s="184"/>
      <c r="I3927" s="184"/>
      <c r="J3927" t="s">
        <v>595</v>
      </c>
      <c r="K3927" s="184">
        <v>41486</v>
      </c>
      <c r="M3927" s="184"/>
      <c r="O3927" s="184"/>
      <c r="P3927" t="s">
        <v>7045</v>
      </c>
      <c r="Q3927" t="s">
        <v>7374</v>
      </c>
      <c r="R3927" s="184">
        <v>21245</v>
      </c>
      <c r="S3927">
        <v>66</v>
      </c>
      <c r="U3927" t="s">
        <v>7130</v>
      </c>
      <c r="V3927" t="s">
        <v>9117</v>
      </c>
      <c r="W3927" t="s">
        <v>4139</v>
      </c>
      <c r="X3927" t="s">
        <v>29492</v>
      </c>
      <c r="Z3927">
        <v>59623975</v>
      </c>
      <c r="AB3927" t="s">
        <v>29491</v>
      </c>
      <c r="AC3927" t="s">
        <v>7396</v>
      </c>
      <c r="AD3927" t="s">
        <v>29492</v>
      </c>
      <c r="AF3927" t="s">
        <v>6711</v>
      </c>
      <c r="AG3927" t="s">
        <v>29493</v>
      </c>
      <c r="AI3927" t="s">
        <v>29494</v>
      </c>
      <c r="AM3927" t="s">
        <v>12574</v>
      </c>
      <c r="AN3927" t="s">
        <v>2081</v>
      </c>
      <c r="AO3927" t="s">
        <v>29495</v>
      </c>
      <c r="AP3927" t="s">
        <v>7024</v>
      </c>
      <c r="AQ3927" t="s">
        <v>29498</v>
      </c>
      <c r="AT3927" s="184"/>
      <c r="AW3927" s="184"/>
      <c r="AZ3927" s="184"/>
      <c r="BP3927" s="184"/>
    </row>
    <row r="3928" spans="1:68">
      <c r="A3928">
        <v>59651612</v>
      </c>
      <c r="B3928">
        <v>59651612</v>
      </c>
      <c r="C3928" t="s">
        <v>7018</v>
      </c>
      <c r="D3928" t="s">
        <v>595</v>
      </c>
      <c r="E3928" s="184">
        <v>43861</v>
      </c>
      <c r="G3928" s="184"/>
      <c r="I3928" s="184"/>
      <c r="K3928" s="184"/>
      <c r="M3928" s="184"/>
      <c r="O3928" s="184"/>
      <c r="P3928" t="s">
        <v>7045</v>
      </c>
      <c r="Q3928" t="s">
        <v>7020</v>
      </c>
      <c r="R3928" s="184">
        <v>14766</v>
      </c>
      <c r="S3928">
        <v>83</v>
      </c>
      <c r="V3928" t="s">
        <v>2541</v>
      </c>
      <c r="X3928" t="s">
        <v>4618</v>
      </c>
      <c r="Z3928">
        <v>100133506</v>
      </c>
      <c r="AA3928" t="s">
        <v>7130</v>
      </c>
      <c r="AB3928" t="s">
        <v>4916</v>
      </c>
      <c r="AC3928" t="s">
        <v>7248</v>
      </c>
      <c r="AD3928" t="s">
        <v>4618</v>
      </c>
      <c r="AF3928" t="s">
        <v>29499</v>
      </c>
      <c r="AG3928" t="s">
        <v>29500</v>
      </c>
      <c r="AI3928" t="s">
        <v>29501</v>
      </c>
      <c r="AM3928" t="s">
        <v>4619</v>
      </c>
      <c r="AN3928" t="s">
        <v>2363</v>
      </c>
      <c r="AO3928" t="s">
        <v>29502</v>
      </c>
      <c r="AP3928" t="s">
        <v>7024</v>
      </c>
      <c r="AQ3928" t="s">
        <v>29503</v>
      </c>
      <c r="AT3928" s="184">
        <v>40259</v>
      </c>
      <c r="AU3928" t="s">
        <v>29504</v>
      </c>
      <c r="AV3928">
        <v>15</v>
      </c>
      <c r="AW3928" s="184">
        <v>43615</v>
      </c>
      <c r="AX3928" t="s">
        <v>29505</v>
      </c>
      <c r="AY3928">
        <v>50</v>
      </c>
      <c r="AZ3928" s="184">
        <v>40651</v>
      </c>
      <c r="BA3928" t="s">
        <v>24119</v>
      </c>
      <c r="BB3928">
        <v>60</v>
      </c>
      <c r="BC3928">
        <v>54</v>
      </c>
      <c r="BD3928">
        <v>970</v>
      </c>
      <c r="BE3928">
        <v>2010</v>
      </c>
      <c r="BF3928">
        <v>73</v>
      </c>
      <c r="BI3928">
        <v>8</v>
      </c>
      <c r="BJ3928">
        <v>15</v>
      </c>
      <c r="BK3928">
        <v>6</v>
      </c>
      <c r="BP3928" s="184"/>
    </row>
    <row r="3929" spans="1:68">
      <c r="A3929">
        <v>100133506</v>
      </c>
      <c r="B3929">
        <v>59651612</v>
      </c>
      <c r="C3929" t="s">
        <v>7018</v>
      </c>
      <c r="D3929" t="s">
        <v>595</v>
      </c>
      <c r="E3929" s="184">
        <v>43861</v>
      </c>
      <c r="I3929" s="184"/>
      <c r="K3929" s="184"/>
      <c r="M3929" s="184"/>
      <c r="O3929" s="184"/>
      <c r="P3929" t="s">
        <v>7045</v>
      </c>
      <c r="Q3929" t="s">
        <v>7020</v>
      </c>
      <c r="R3929" s="184">
        <v>17076</v>
      </c>
      <c r="S3929">
        <v>77</v>
      </c>
      <c r="U3929" t="s">
        <v>7130</v>
      </c>
      <c r="V3929" t="s">
        <v>4916</v>
      </c>
      <c r="W3929" t="s">
        <v>7248</v>
      </c>
      <c r="X3929" t="s">
        <v>4618</v>
      </c>
      <c r="Z3929">
        <v>59651612</v>
      </c>
      <c r="AB3929" t="s">
        <v>2541</v>
      </c>
      <c r="AD3929" t="s">
        <v>4618</v>
      </c>
      <c r="AF3929" t="s">
        <v>29499</v>
      </c>
      <c r="AG3929" t="s">
        <v>29500</v>
      </c>
      <c r="AI3929" t="s">
        <v>29501</v>
      </c>
      <c r="AM3929" t="s">
        <v>4619</v>
      </c>
      <c r="AN3929" t="s">
        <v>2363</v>
      </c>
      <c r="AO3929" t="s">
        <v>29502</v>
      </c>
      <c r="AP3929" t="s">
        <v>7024</v>
      </c>
      <c r="AQ3929" t="s">
        <v>29506</v>
      </c>
      <c r="AT3929" s="184">
        <v>43593</v>
      </c>
      <c r="AU3929" t="s">
        <v>11866</v>
      </c>
      <c r="AV3929">
        <v>10</v>
      </c>
      <c r="AW3929" s="184">
        <v>45207</v>
      </c>
      <c r="AX3929" t="s">
        <v>29507</v>
      </c>
      <c r="AY3929">
        <v>10</v>
      </c>
      <c r="AZ3929" s="184">
        <v>44561</v>
      </c>
      <c r="BA3929" t="s">
        <v>9028</v>
      </c>
      <c r="BB3929">
        <v>50</v>
      </c>
      <c r="BC3929">
        <v>84</v>
      </c>
      <c r="BD3929">
        <v>625</v>
      </c>
      <c r="BE3929">
        <v>2019</v>
      </c>
      <c r="BF3929">
        <v>56</v>
      </c>
      <c r="BG3929">
        <v>18</v>
      </c>
      <c r="BH3929">
        <v>180</v>
      </c>
      <c r="BI3929">
        <v>5</v>
      </c>
      <c r="BJ3929">
        <v>6</v>
      </c>
      <c r="BK3929">
        <v>5</v>
      </c>
    </row>
    <row r="3930" spans="1:68">
      <c r="A3930">
        <v>59681577</v>
      </c>
      <c r="B3930">
        <v>59681577</v>
      </c>
      <c r="C3930" t="s">
        <v>7018</v>
      </c>
      <c r="D3930" t="s">
        <v>595</v>
      </c>
      <c r="E3930" s="184">
        <v>44167</v>
      </c>
      <c r="G3930" s="184"/>
      <c r="I3930" s="184"/>
      <c r="K3930" s="184"/>
      <c r="M3930" s="184"/>
      <c r="O3930" s="184"/>
      <c r="P3930" t="s">
        <v>7045</v>
      </c>
      <c r="Q3930" t="s">
        <v>7262</v>
      </c>
      <c r="R3930" s="184">
        <v>17989</v>
      </c>
      <c r="S3930">
        <v>75</v>
      </c>
      <c r="U3930" t="s">
        <v>7130</v>
      </c>
      <c r="V3930" t="s">
        <v>2718</v>
      </c>
      <c r="W3930" t="s">
        <v>7963</v>
      </c>
      <c r="X3930" t="s">
        <v>29508</v>
      </c>
      <c r="AF3930" t="s">
        <v>29509</v>
      </c>
      <c r="AG3930" t="s">
        <v>2718</v>
      </c>
      <c r="AI3930" t="s">
        <v>29510</v>
      </c>
      <c r="AM3930" t="s">
        <v>4797</v>
      </c>
      <c r="AN3930" t="s">
        <v>65</v>
      </c>
      <c r="AO3930" t="s">
        <v>29511</v>
      </c>
      <c r="AP3930" t="s">
        <v>7024</v>
      </c>
      <c r="AQ3930" t="s">
        <v>29512</v>
      </c>
      <c r="AT3930" s="184">
        <v>40262</v>
      </c>
      <c r="AU3930" t="s">
        <v>29513</v>
      </c>
      <c r="AV3930">
        <v>15</v>
      </c>
      <c r="AW3930" s="184">
        <v>45378</v>
      </c>
      <c r="AX3930" t="s">
        <v>29514</v>
      </c>
      <c r="AY3930">
        <v>15</v>
      </c>
      <c r="AZ3930" s="184">
        <v>43249</v>
      </c>
      <c r="BA3930" t="s">
        <v>29515</v>
      </c>
      <c r="BB3930">
        <v>25</v>
      </c>
      <c r="BC3930">
        <v>60</v>
      </c>
      <c r="BD3930">
        <v>164</v>
      </c>
      <c r="BE3930">
        <v>2010</v>
      </c>
      <c r="BF3930">
        <v>13</v>
      </c>
      <c r="BG3930">
        <v>3</v>
      </c>
      <c r="BH3930">
        <v>40</v>
      </c>
      <c r="BI3930">
        <v>9</v>
      </c>
      <c r="BJ3930">
        <v>15</v>
      </c>
      <c r="BK3930">
        <v>5</v>
      </c>
      <c r="BP3930" s="184"/>
    </row>
    <row r="3931" spans="1:68">
      <c r="A3931">
        <v>59715771</v>
      </c>
      <c r="B3931">
        <v>59715771</v>
      </c>
      <c r="C3931" t="s">
        <v>7018</v>
      </c>
      <c r="E3931" s="184"/>
      <c r="G3931" s="184"/>
      <c r="I3931" s="184"/>
      <c r="J3931" t="s">
        <v>595</v>
      </c>
      <c r="K3931" s="184">
        <v>43864</v>
      </c>
      <c r="M3931" s="184"/>
      <c r="O3931" s="184"/>
      <c r="P3931" t="s">
        <v>7045</v>
      </c>
      <c r="Q3931" t="s">
        <v>7374</v>
      </c>
      <c r="R3931" s="184">
        <v>15408</v>
      </c>
      <c r="S3931">
        <v>82</v>
      </c>
      <c r="U3931" t="s">
        <v>7076</v>
      </c>
      <c r="V3931" t="s">
        <v>4707</v>
      </c>
      <c r="W3931" t="s">
        <v>7560</v>
      </c>
      <c r="X3931" t="s">
        <v>4708</v>
      </c>
      <c r="AF3931" t="s">
        <v>6591</v>
      </c>
      <c r="AG3931" t="s">
        <v>4707</v>
      </c>
      <c r="AI3931" t="s">
        <v>29516</v>
      </c>
      <c r="AM3931" t="s">
        <v>4709</v>
      </c>
      <c r="AN3931" t="s">
        <v>2081</v>
      </c>
      <c r="AO3931" t="s">
        <v>29517</v>
      </c>
      <c r="AP3931" t="s">
        <v>7024</v>
      </c>
      <c r="AQ3931" t="s">
        <v>29518</v>
      </c>
      <c r="AT3931" s="184">
        <v>40263</v>
      </c>
      <c r="AU3931" t="s">
        <v>29519</v>
      </c>
      <c r="AV3931">
        <v>50</v>
      </c>
      <c r="AW3931" s="184">
        <v>43845</v>
      </c>
      <c r="AX3931" t="s">
        <v>29520</v>
      </c>
      <c r="AY3931">
        <v>25</v>
      </c>
      <c r="AZ3931" s="184">
        <v>40822</v>
      </c>
      <c r="BA3931" t="s">
        <v>29521</v>
      </c>
      <c r="BB3931">
        <v>75</v>
      </c>
      <c r="BC3931">
        <v>60</v>
      </c>
      <c r="BD3931">
        <v>510</v>
      </c>
      <c r="BE3931">
        <v>2010</v>
      </c>
      <c r="BF3931">
        <v>12</v>
      </c>
      <c r="BI3931">
        <v>9</v>
      </c>
      <c r="BJ3931">
        <v>15</v>
      </c>
      <c r="BK3931">
        <v>7</v>
      </c>
      <c r="BP3931" s="184"/>
    </row>
    <row r="3932" spans="1:68">
      <c r="A3932">
        <v>59892372</v>
      </c>
      <c r="B3932">
        <v>59892372</v>
      </c>
      <c r="C3932" t="s">
        <v>7018</v>
      </c>
      <c r="D3932" t="s">
        <v>595</v>
      </c>
      <c r="E3932" s="184">
        <v>44168</v>
      </c>
      <c r="G3932" s="184"/>
      <c r="I3932" s="184"/>
      <c r="K3932" s="184"/>
      <c r="M3932" s="184"/>
      <c r="O3932" s="184"/>
      <c r="P3932" t="s">
        <v>7045</v>
      </c>
      <c r="Q3932" t="s">
        <v>7194</v>
      </c>
      <c r="R3932" s="184">
        <v>13465</v>
      </c>
      <c r="S3932">
        <v>87</v>
      </c>
      <c r="V3932" t="s">
        <v>3400</v>
      </c>
      <c r="X3932" t="s">
        <v>29522</v>
      </c>
      <c r="AF3932" t="s">
        <v>29523</v>
      </c>
      <c r="AG3932" t="s">
        <v>3400</v>
      </c>
      <c r="AI3932" t="s">
        <v>29524</v>
      </c>
      <c r="AM3932" t="s">
        <v>29525</v>
      </c>
      <c r="AN3932" t="s">
        <v>2046</v>
      </c>
      <c r="AO3932" t="s">
        <v>29526</v>
      </c>
      <c r="AP3932" t="s">
        <v>7024</v>
      </c>
      <c r="AT3932" s="184">
        <v>40267</v>
      </c>
      <c r="AU3932" t="s">
        <v>29527</v>
      </c>
      <c r="AV3932">
        <v>15</v>
      </c>
      <c r="AW3932" s="184">
        <v>44740</v>
      </c>
      <c r="AX3932" t="s">
        <v>29528</v>
      </c>
      <c r="AY3932">
        <v>20</v>
      </c>
      <c r="AZ3932" s="184">
        <v>43705</v>
      </c>
      <c r="BA3932" t="s">
        <v>29529</v>
      </c>
      <c r="BB3932">
        <v>25</v>
      </c>
      <c r="BC3932">
        <v>60</v>
      </c>
      <c r="BD3932">
        <v>155</v>
      </c>
      <c r="BE3932">
        <v>2010</v>
      </c>
      <c r="BF3932">
        <v>10</v>
      </c>
      <c r="BG3932">
        <v>1</v>
      </c>
      <c r="BH3932">
        <v>20</v>
      </c>
      <c r="BI3932">
        <v>9</v>
      </c>
      <c r="BJ3932">
        <v>15</v>
      </c>
      <c r="BK3932">
        <v>3</v>
      </c>
    </row>
    <row r="3933" spans="1:68">
      <c r="A3933">
        <v>60116977</v>
      </c>
      <c r="B3933">
        <v>60116977</v>
      </c>
      <c r="C3933" t="s">
        <v>7018</v>
      </c>
      <c r="D3933" t="s">
        <v>595</v>
      </c>
      <c r="E3933" s="184">
        <v>43864</v>
      </c>
      <c r="G3933" s="184"/>
      <c r="I3933" s="184"/>
      <c r="K3933" s="184"/>
      <c r="M3933" s="184"/>
      <c r="O3933" s="184"/>
      <c r="P3933" t="s">
        <v>7045</v>
      </c>
      <c r="Q3933" t="s">
        <v>7030</v>
      </c>
      <c r="R3933" s="184">
        <v>23058</v>
      </c>
      <c r="S3933">
        <v>61</v>
      </c>
      <c r="U3933" t="s">
        <v>7076</v>
      </c>
      <c r="V3933" t="s">
        <v>4727</v>
      </c>
      <c r="X3933" t="s">
        <v>4728</v>
      </c>
      <c r="AF3933" t="s">
        <v>29530</v>
      </c>
      <c r="AG3933" t="s">
        <v>4727</v>
      </c>
      <c r="AI3933" t="s">
        <v>29531</v>
      </c>
      <c r="AM3933" t="s">
        <v>12381</v>
      </c>
      <c r="AN3933" t="s">
        <v>2638</v>
      </c>
      <c r="AO3933" t="s">
        <v>29532</v>
      </c>
      <c r="AP3933" t="s">
        <v>7024</v>
      </c>
      <c r="AQ3933" t="s">
        <v>29533</v>
      </c>
      <c r="AR3933" t="s">
        <v>29534</v>
      </c>
      <c r="AT3933" s="184">
        <v>40270</v>
      </c>
      <c r="AU3933" t="s">
        <v>29535</v>
      </c>
      <c r="AV3933">
        <v>20.16</v>
      </c>
      <c r="AW3933" s="184">
        <v>42821</v>
      </c>
      <c r="AX3933" t="s">
        <v>29536</v>
      </c>
      <c r="AY3933">
        <v>50</v>
      </c>
      <c r="AZ3933" s="184">
        <v>41274</v>
      </c>
      <c r="BA3933" t="s">
        <v>29537</v>
      </c>
      <c r="BB3933">
        <v>55</v>
      </c>
      <c r="BC3933">
        <v>47</v>
      </c>
      <c r="BD3933">
        <v>360.16</v>
      </c>
      <c r="BE3933">
        <v>2010</v>
      </c>
      <c r="BF3933">
        <v>8</v>
      </c>
      <c r="BI3933">
        <v>7</v>
      </c>
      <c r="BJ3933">
        <v>15</v>
      </c>
      <c r="BK3933">
        <v>6</v>
      </c>
      <c r="BP3933" s="184"/>
    </row>
    <row r="3934" spans="1:68">
      <c r="A3934">
        <v>60365574</v>
      </c>
      <c r="B3934">
        <v>60365574</v>
      </c>
      <c r="C3934" t="s">
        <v>7018</v>
      </c>
      <c r="D3934" t="s">
        <v>595</v>
      </c>
      <c r="E3934" s="184">
        <v>45147</v>
      </c>
      <c r="G3934" s="184"/>
      <c r="I3934" s="184"/>
      <c r="K3934" s="184"/>
      <c r="M3934" s="184"/>
      <c r="O3934" s="184"/>
      <c r="P3934" t="s">
        <v>7045</v>
      </c>
      <c r="Q3934" t="s">
        <v>7383</v>
      </c>
      <c r="R3934" s="184">
        <v>12540</v>
      </c>
      <c r="S3934">
        <v>90</v>
      </c>
      <c r="V3934" t="s">
        <v>28867</v>
      </c>
      <c r="X3934" t="s">
        <v>4647</v>
      </c>
      <c r="Z3934">
        <v>100133849</v>
      </c>
      <c r="AB3934" t="s">
        <v>25032</v>
      </c>
      <c r="AD3934" t="s">
        <v>4647</v>
      </c>
      <c r="AF3934" t="s">
        <v>29538</v>
      </c>
      <c r="AG3934" t="s">
        <v>29539</v>
      </c>
      <c r="AI3934" t="s">
        <v>29540</v>
      </c>
      <c r="AM3934" t="s">
        <v>13651</v>
      </c>
      <c r="AN3934" t="s">
        <v>2313</v>
      </c>
      <c r="AO3934" t="s">
        <v>29541</v>
      </c>
      <c r="AP3934" t="s">
        <v>7024</v>
      </c>
      <c r="AT3934" s="184">
        <v>40274</v>
      </c>
      <c r="AU3934" t="s">
        <v>29542</v>
      </c>
      <c r="AV3934">
        <v>25</v>
      </c>
      <c r="AW3934" s="184">
        <v>45392</v>
      </c>
      <c r="AX3934" t="s">
        <v>9445</v>
      </c>
      <c r="AY3934">
        <v>50</v>
      </c>
      <c r="AZ3934" s="184">
        <v>41880</v>
      </c>
      <c r="BA3934" t="s">
        <v>29543</v>
      </c>
      <c r="BB3934">
        <v>125</v>
      </c>
      <c r="BC3934">
        <v>100</v>
      </c>
      <c r="BD3934">
        <v>1575</v>
      </c>
      <c r="BE3934">
        <v>2010</v>
      </c>
      <c r="BF3934">
        <v>24</v>
      </c>
      <c r="BG3934">
        <v>4</v>
      </c>
      <c r="BH3934">
        <v>200</v>
      </c>
      <c r="BI3934">
        <v>15</v>
      </c>
      <c r="BJ3934">
        <v>15</v>
      </c>
      <c r="BK3934">
        <v>15</v>
      </c>
      <c r="BP3934" s="184"/>
    </row>
    <row r="3935" spans="1:68">
      <c r="A3935">
        <v>100133849</v>
      </c>
      <c r="B3935">
        <v>60365574</v>
      </c>
      <c r="C3935" t="s">
        <v>7018</v>
      </c>
      <c r="D3935" t="s">
        <v>595</v>
      </c>
      <c r="E3935" s="184">
        <v>45147</v>
      </c>
      <c r="G3935" s="184"/>
      <c r="I3935" s="184"/>
      <c r="K3935" s="184"/>
      <c r="M3935" s="184"/>
      <c r="O3935" s="184"/>
      <c r="P3935" t="s">
        <v>7045</v>
      </c>
      <c r="Q3935" t="s">
        <v>7383</v>
      </c>
      <c r="R3935" s="184">
        <v>14920</v>
      </c>
      <c r="S3935">
        <v>83</v>
      </c>
      <c r="V3935" t="s">
        <v>25032</v>
      </c>
      <c r="X3935" t="s">
        <v>4647</v>
      </c>
      <c r="Z3935">
        <v>60365574</v>
      </c>
      <c r="AB3935" t="s">
        <v>28867</v>
      </c>
      <c r="AD3935" t="s">
        <v>4647</v>
      </c>
      <c r="AF3935" t="s">
        <v>29538</v>
      </c>
      <c r="AG3935" t="s">
        <v>29539</v>
      </c>
      <c r="AI3935" t="s">
        <v>29540</v>
      </c>
      <c r="AM3935" t="s">
        <v>13651</v>
      </c>
      <c r="AN3935" t="s">
        <v>2313</v>
      </c>
      <c r="AO3935" t="s">
        <v>29541</v>
      </c>
      <c r="AP3935" t="s">
        <v>7024</v>
      </c>
      <c r="AT3935" s="184"/>
      <c r="AW3935" s="184"/>
      <c r="AZ3935" s="184"/>
      <c r="BP3935" s="184"/>
    </row>
    <row r="3936" spans="1:68">
      <c r="A3936">
        <v>60486776</v>
      </c>
      <c r="B3936">
        <v>60486776</v>
      </c>
      <c r="C3936" t="s">
        <v>7018</v>
      </c>
      <c r="E3936" s="184"/>
      <c r="G3936" s="184"/>
      <c r="I3936" s="184"/>
      <c r="J3936" t="s">
        <v>595</v>
      </c>
      <c r="K3936" s="184">
        <v>40269</v>
      </c>
      <c r="M3936" s="184"/>
      <c r="O3936" s="184"/>
      <c r="P3936" t="s">
        <v>7019</v>
      </c>
      <c r="Q3936" t="s">
        <v>7160</v>
      </c>
      <c r="R3936" s="184">
        <v>21398</v>
      </c>
      <c r="S3936">
        <v>65</v>
      </c>
      <c r="U3936" t="s">
        <v>7031</v>
      </c>
      <c r="V3936" t="s">
        <v>2665</v>
      </c>
      <c r="X3936" t="s">
        <v>29544</v>
      </c>
      <c r="Z3936">
        <v>100133899</v>
      </c>
      <c r="AA3936" t="s">
        <v>7130</v>
      </c>
      <c r="AB3936" t="s">
        <v>2733</v>
      </c>
      <c r="AD3936" t="s">
        <v>29544</v>
      </c>
      <c r="AF3936" t="s">
        <v>29545</v>
      </c>
      <c r="AG3936" t="s">
        <v>29546</v>
      </c>
      <c r="AI3936" t="s">
        <v>29547</v>
      </c>
      <c r="AM3936" t="s">
        <v>29548</v>
      </c>
      <c r="AN3936" t="s">
        <v>2176</v>
      </c>
      <c r="AO3936">
        <v>27012</v>
      </c>
      <c r="AP3936" t="s">
        <v>7024</v>
      </c>
      <c r="AQ3936" t="s">
        <v>29549</v>
      </c>
      <c r="AR3936" t="s">
        <v>29550</v>
      </c>
      <c r="AT3936" s="184">
        <v>40365</v>
      </c>
      <c r="AU3936" t="s">
        <v>29551</v>
      </c>
      <c r="AV3936">
        <v>25</v>
      </c>
      <c r="AW3936" s="184">
        <v>44564</v>
      </c>
      <c r="AX3936" t="s">
        <v>29552</v>
      </c>
      <c r="AY3936">
        <v>100</v>
      </c>
      <c r="AZ3936" s="184">
        <v>44564</v>
      </c>
      <c r="BA3936" t="s">
        <v>29552</v>
      </c>
      <c r="BB3936">
        <v>100</v>
      </c>
      <c r="BC3936">
        <v>67</v>
      </c>
      <c r="BD3936">
        <v>782</v>
      </c>
      <c r="BE3936">
        <v>2011</v>
      </c>
      <c r="BF3936">
        <v>12</v>
      </c>
      <c r="BI3936">
        <v>10</v>
      </c>
      <c r="BJ3936">
        <v>15</v>
      </c>
      <c r="BK3936">
        <v>5</v>
      </c>
    </row>
    <row r="3937" spans="1:68">
      <c r="A3937">
        <v>100133899</v>
      </c>
      <c r="B3937">
        <v>60486776</v>
      </c>
      <c r="C3937" t="s">
        <v>7018</v>
      </c>
      <c r="E3937" s="184"/>
      <c r="G3937" s="184"/>
      <c r="I3937" s="184"/>
      <c r="J3937" t="s">
        <v>595</v>
      </c>
      <c r="K3937" s="184">
        <v>43649</v>
      </c>
      <c r="M3937" s="184"/>
      <c r="O3937" s="184"/>
      <c r="P3937" t="s">
        <v>7019</v>
      </c>
      <c r="Q3937" t="s">
        <v>7160</v>
      </c>
      <c r="R3937" s="184">
        <v>21398</v>
      </c>
      <c r="S3937">
        <v>65</v>
      </c>
      <c r="U3937" t="s">
        <v>7130</v>
      </c>
      <c r="V3937" t="s">
        <v>2733</v>
      </c>
      <c r="X3937" t="s">
        <v>29544</v>
      </c>
      <c r="Z3937">
        <v>60486776</v>
      </c>
      <c r="AA3937" t="s">
        <v>7031</v>
      </c>
      <c r="AB3937" t="s">
        <v>2665</v>
      </c>
      <c r="AD3937" t="s">
        <v>29544</v>
      </c>
      <c r="AF3937" t="s">
        <v>29545</v>
      </c>
      <c r="AG3937" t="s">
        <v>29546</v>
      </c>
      <c r="AI3937" t="s">
        <v>29547</v>
      </c>
      <c r="AM3937" t="s">
        <v>29548</v>
      </c>
      <c r="AN3937" t="s">
        <v>2176</v>
      </c>
      <c r="AO3937">
        <v>27012</v>
      </c>
      <c r="AP3937" t="s">
        <v>7024</v>
      </c>
      <c r="AT3937" s="184"/>
      <c r="AW3937" s="184"/>
      <c r="AZ3937" s="184"/>
    </row>
    <row r="3938" spans="1:68">
      <c r="A3938">
        <v>60551173</v>
      </c>
      <c r="B3938">
        <v>60551173</v>
      </c>
      <c r="C3938" t="s">
        <v>7018</v>
      </c>
      <c r="E3938" s="184"/>
      <c r="G3938" s="184"/>
      <c r="I3938" s="184"/>
      <c r="K3938" s="184"/>
      <c r="L3938" t="s">
        <v>595</v>
      </c>
      <c r="M3938" s="184">
        <v>44184</v>
      </c>
      <c r="O3938" s="184"/>
      <c r="P3938" t="s">
        <v>7045</v>
      </c>
      <c r="Q3938" t="s">
        <v>7374</v>
      </c>
      <c r="R3938" s="184">
        <v>17685</v>
      </c>
      <c r="S3938">
        <v>75</v>
      </c>
      <c r="U3938" t="s">
        <v>7130</v>
      </c>
      <c r="V3938" t="s">
        <v>2609</v>
      </c>
      <c r="W3938" t="s">
        <v>7407</v>
      </c>
      <c r="X3938" t="s">
        <v>2607</v>
      </c>
      <c r="Z3938">
        <v>100133946</v>
      </c>
      <c r="AA3938" t="s">
        <v>7031</v>
      </c>
      <c r="AB3938" t="s">
        <v>10870</v>
      </c>
      <c r="AC3938" t="s">
        <v>7248</v>
      </c>
      <c r="AD3938" t="s">
        <v>2607</v>
      </c>
      <c r="AF3938" t="s">
        <v>29553</v>
      </c>
      <c r="AG3938" t="s">
        <v>29554</v>
      </c>
      <c r="AI3938" t="s">
        <v>29555</v>
      </c>
      <c r="AM3938" t="s">
        <v>4312</v>
      </c>
      <c r="AN3938" t="s">
        <v>2081</v>
      </c>
      <c r="AO3938" t="s">
        <v>29556</v>
      </c>
      <c r="AP3938" t="s">
        <v>7024</v>
      </c>
      <c r="AQ3938" t="s">
        <v>29557</v>
      </c>
      <c r="AR3938" t="s">
        <v>29558</v>
      </c>
      <c r="AT3938" s="184">
        <v>40282</v>
      </c>
      <c r="AU3938" t="s">
        <v>29559</v>
      </c>
      <c r="AV3938">
        <v>50</v>
      </c>
      <c r="AW3938" s="184">
        <v>43451</v>
      </c>
      <c r="AX3938" t="s">
        <v>8000</v>
      </c>
      <c r="AY3938">
        <v>5000</v>
      </c>
      <c r="AZ3938" s="184">
        <v>43451</v>
      </c>
      <c r="BA3938" t="s">
        <v>8000</v>
      </c>
      <c r="BB3938">
        <v>5000</v>
      </c>
      <c r="BC3938">
        <v>54</v>
      </c>
      <c r="BD3938">
        <v>6200</v>
      </c>
      <c r="BE3938">
        <v>2010</v>
      </c>
      <c r="BF3938">
        <v>10</v>
      </c>
      <c r="BI3938">
        <v>8</v>
      </c>
      <c r="BJ3938">
        <v>15</v>
      </c>
      <c r="BK3938">
        <v>6</v>
      </c>
      <c r="BP3938" s="184"/>
    </row>
    <row r="3939" spans="1:68">
      <c r="A3939">
        <v>100133946</v>
      </c>
      <c r="B3939">
        <v>60551173</v>
      </c>
      <c r="C3939" t="s">
        <v>7018</v>
      </c>
      <c r="E3939" s="184"/>
      <c r="G3939" s="184"/>
      <c r="I3939" s="184"/>
      <c r="K3939" s="184"/>
      <c r="L3939" t="s">
        <v>595</v>
      </c>
      <c r="M3939" s="184">
        <v>44184</v>
      </c>
      <c r="O3939" s="184"/>
      <c r="P3939" t="s">
        <v>7045</v>
      </c>
      <c r="Q3939" t="s">
        <v>7374</v>
      </c>
      <c r="R3939" s="184">
        <v>17685</v>
      </c>
      <c r="S3939">
        <v>75</v>
      </c>
      <c r="U3939" t="s">
        <v>7031</v>
      </c>
      <c r="V3939" t="s">
        <v>10870</v>
      </c>
      <c r="W3939" t="s">
        <v>7248</v>
      </c>
      <c r="X3939" t="s">
        <v>2607</v>
      </c>
      <c r="Z3939">
        <v>60551173</v>
      </c>
      <c r="AA3939" t="s">
        <v>7130</v>
      </c>
      <c r="AB3939" t="s">
        <v>2609</v>
      </c>
      <c r="AC3939" t="s">
        <v>7407</v>
      </c>
      <c r="AD3939" t="s">
        <v>2607</v>
      </c>
      <c r="AF3939" t="s">
        <v>29553</v>
      </c>
      <c r="AG3939" t="s">
        <v>29554</v>
      </c>
      <c r="AI3939" t="s">
        <v>29555</v>
      </c>
      <c r="AM3939" t="s">
        <v>4312</v>
      </c>
      <c r="AN3939" t="s">
        <v>2081</v>
      </c>
      <c r="AO3939" t="s">
        <v>29556</v>
      </c>
      <c r="AP3939" t="s">
        <v>7024</v>
      </c>
      <c r="AQ3939" t="s">
        <v>29560</v>
      </c>
      <c r="AT3939" s="184">
        <v>44543</v>
      </c>
      <c r="AU3939" t="s">
        <v>29561</v>
      </c>
      <c r="AV3939">
        <v>5000</v>
      </c>
      <c r="AW3939" s="184">
        <v>44543</v>
      </c>
      <c r="AX3939" t="s">
        <v>29561</v>
      </c>
      <c r="AY3939">
        <v>5000</v>
      </c>
      <c r="AZ3939" s="184">
        <v>44543</v>
      </c>
      <c r="BA3939" t="s">
        <v>29561</v>
      </c>
      <c r="BB3939">
        <v>5000</v>
      </c>
      <c r="BC3939">
        <v>25</v>
      </c>
      <c r="BD3939">
        <v>5000</v>
      </c>
      <c r="BE3939">
        <v>2022</v>
      </c>
      <c r="BF3939">
        <v>1</v>
      </c>
      <c r="BI3939">
        <v>1</v>
      </c>
      <c r="BJ3939">
        <v>4</v>
      </c>
      <c r="BK3939">
        <v>1</v>
      </c>
      <c r="BP3939" s="184"/>
    </row>
    <row r="3940" spans="1:68">
      <c r="A3940">
        <v>60557576</v>
      </c>
      <c r="B3940">
        <v>60557576</v>
      </c>
      <c r="C3940" t="s">
        <v>7018</v>
      </c>
      <c r="D3940" t="s">
        <v>595</v>
      </c>
      <c r="E3940" s="184">
        <v>44167</v>
      </c>
      <c r="G3940" s="184"/>
      <c r="H3940" t="s">
        <v>595</v>
      </c>
      <c r="I3940" s="184">
        <v>44167</v>
      </c>
      <c r="K3940" s="184"/>
      <c r="M3940" s="184"/>
      <c r="O3940" s="184"/>
      <c r="P3940" t="s">
        <v>7045</v>
      </c>
      <c r="Q3940" t="s">
        <v>7374</v>
      </c>
      <c r="R3940" s="184">
        <v>20424</v>
      </c>
      <c r="S3940">
        <v>68</v>
      </c>
      <c r="U3940" t="s">
        <v>7076</v>
      </c>
      <c r="V3940" t="s">
        <v>2938</v>
      </c>
      <c r="W3940" t="s">
        <v>7407</v>
      </c>
      <c r="X3940" t="s">
        <v>29562</v>
      </c>
      <c r="Z3940">
        <v>100133958</v>
      </c>
      <c r="AB3940" t="s">
        <v>3148</v>
      </c>
      <c r="AC3940" t="s">
        <v>7246</v>
      </c>
      <c r="AD3940" t="s">
        <v>20439</v>
      </c>
      <c r="AF3940" t="s">
        <v>29563</v>
      </c>
      <c r="AG3940" t="s">
        <v>29564</v>
      </c>
      <c r="AI3940" t="s">
        <v>29565</v>
      </c>
      <c r="AM3940" t="s">
        <v>4258</v>
      </c>
      <c r="AN3940" t="s">
        <v>2081</v>
      </c>
      <c r="AO3940" t="s">
        <v>29566</v>
      </c>
      <c r="AP3940" t="s">
        <v>7024</v>
      </c>
      <c r="AQ3940" t="s">
        <v>29567</v>
      </c>
      <c r="AT3940" s="184">
        <v>40283</v>
      </c>
      <c r="AU3940" t="s">
        <v>29568</v>
      </c>
      <c r="AV3940">
        <v>15</v>
      </c>
      <c r="AW3940" s="184">
        <v>45412</v>
      </c>
      <c r="AX3940" t="s">
        <v>7429</v>
      </c>
      <c r="AY3940">
        <v>5</v>
      </c>
      <c r="AZ3940" s="184">
        <v>42426</v>
      </c>
      <c r="BA3940" t="s">
        <v>7601</v>
      </c>
      <c r="BB3940">
        <v>60</v>
      </c>
      <c r="BC3940">
        <v>67</v>
      </c>
      <c r="BD3940">
        <v>450</v>
      </c>
      <c r="BE3940">
        <v>2010</v>
      </c>
      <c r="BF3940">
        <v>58</v>
      </c>
      <c r="BG3940">
        <v>24</v>
      </c>
      <c r="BH3940">
        <v>120</v>
      </c>
      <c r="BI3940">
        <v>10</v>
      </c>
      <c r="BJ3940">
        <v>15</v>
      </c>
      <c r="BK3940">
        <v>6</v>
      </c>
      <c r="BP3940" s="184"/>
    </row>
    <row r="3941" spans="1:68">
      <c r="A3941">
        <v>100133958</v>
      </c>
      <c r="B3941">
        <v>60557576</v>
      </c>
      <c r="C3941" t="s">
        <v>7018</v>
      </c>
      <c r="D3941" t="s">
        <v>595</v>
      </c>
      <c r="E3941" s="184">
        <v>44167</v>
      </c>
      <c r="G3941" s="184"/>
      <c r="H3941" t="s">
        <v>595</v>
      </c>
      <c r="I3941" s="184">
        <v>44167</v>
      </c>
      <c r="K3941" s="184"/>
      <c r="M3941" s="184"/>
      <c r="O3941" s="184"/>
      <c r="P3941" t="s">
        <v>7045</v>
      </c>
      <c r="Q3941" t="s">
        <v>7374</v>
      </c>
      <c r="R3941" s="184">
        <v>16338</v>
      </c>
      <c r="S3941">
        <v>79</v>
      </c>
      <c r="V3941" t="s">
        <v>3148</v>
      </c>
      <c r="W3941" t="s">
        <v>7246</v>
      </c>
      <c r="X3941" t="s">
        <v>20439</v>
      </c>
      <c r="Z3941">
        <v>60557576</v>
      </c>
      <c r="AA3941" t="s">
        <v>7076</v>
      </c>
      <c r="AB3941" t="s">
        <v>2938</v>
      </c>
      <c r="AC3941" t="s">
        <v>7407</v>
      </c>
      <c r="AD3941" t="s">
        <v>29562</v>
      </c>
      <c r="AF3941" t="s">
        <v>29563</v>
      </c>
      <c r="AG3941" t="s">
        <v>29564</v>
      </c>
      <c r="AI3941" t="s">
        <v>29565</v>
      </c>
      <c r="AM3941" t="s">
        <v>4258</v>
      </c>
      <c r="AN3941" t="s">
        <v>2081</v>
      </c>
      <c r="AO3941" t="s">
        <v>29566</v>
      </c>
      <c r="AP3941" t="s">
        <v>7024</v>
      </c>
      <c r="AQ3941" t="s">
        <v>29569</v>
      </c>
      <c r="AT3941" s="184"/>
      <c r="AW3941" s="184"/>
      <c r="AZ3941" s="184"/>
      <c r="BP3941" s="184"/>
    </row>
    <row r="3942" spans="1:68">
      <c r="A3942">
        <v>60558400</v>
      </c>
      <c r="B3942">
        <v>60558400</v>
      </c>
      <c r="C3942" t="s">
        <v>7018</v>
      </c>
      <c r="D3942" t="s">
        <v>595</v>
      </c>
      <c r="E3942" s="184">
        <v>45138</v>
      </c>
      <c r="G3942" s="184"/>
      <c r="I3942" s="184"/>
      <c r="K3942" s="184"/>
      <c r="M3942" s="184"/>
      <c r="O3942" s="184"/>
      <c r="P3942" t="s">
        <v>7045</v>
      </c>
      <c r="Q3942" t="s">
        <v>7383</v>
      </c>
      <c r="R3942" s="184">
        <v>21551</v>
      </c>
      <c r="S3942">
        <v>65</v>
      </c>
      <c r="U3942" t="s">
        <v>7130</v>
      </c>
      <c r="V3942" t="s">
        <v>3400</v>
      </c>
      <c r="X3942" t="s">
        <v>4841</v>
      </c>
      <c r="AF3942" t="s">
        <v>29570</v>
      </c>
      <c r="AG3942" t="s">
        <v>3400</v>
      </c>
      <c r="AI3942" t="s">
        <v>29571</v>
      </c>
      <c r="AM3942" t="s">
        <v>3418</v>
      </c>
      <c r="AN3942" t="s">
        <v>2144</v>
      </c>
      <c r="AO3942" t="s">
        <v>29572</v>
      </c>
      <c r="AP3942" t="s">
        <v>7024</v>
      </c>
      <c r="AQ3942" t="s">
        <v>29573</v>
      </c>
      <c r="AT3942" s="184">
        <v>40283</v>
      </c>
      <c r="AU3942" t="s">
        <v>29574</v>
      </c>
      <c r="AV3942">
        <v>20</v>
      </c>
      <c r="AW3942" s="184">
        <v>45069</v>
      </c>
      <c r="AX3942" t="s">
        <v>29575</v>
      </c>
      <c r="AY3942">
        <v>20</v>
      </c>
      <c r="AZ3942" s="184">
        <v>40743</v>
      </c>
      <c r="BA3942" t="s">
        <v>29576</v>
      </c>
      <c r="BB3942">
        <v>60</v>
      </c>
      <c r="BC3942">
        <v>40</v>
      </c>
      <c r="BD3942">
        <v>180</v>
      </c>
      <c r="BE3942">
        <v>2010</v>
      </c>
      <c r="BF3942">
        <v>7</v>
      </c>
      <c r="BG3942">
        <v>2</v>
      </c>
      <c r="BH3942">
        <v>40</v>
      </c>
      <c r="BI3942">
        <v>6</v>
      </c>
      <c r="BJ3942">
        <v>15</v>
      </c>
      <c r="BK3942">
        <v>2</v>
      </c>
      <c r="BP3942" s="184"/>
    </row>
    <row r="3943" spans="1:68">
      <c r="A3943">
        <v>60572179</v>
      </c>
      <c r="B3943">
        <v>60572179</v>
      </c>
      <c r="C3943" t="s">
        <v>7018</v>
      </c>
      <c r="D3943" t="s">
        <v>595</v>
      </c>
      <c r="E3943" s="184">
        <v>44170</v>
      </c>
      <c r="G3943" s="184"/>
      <c r="I3943" s="184"/>
      <c r="K3943" s="184"/>
      <c r="M3943" s="184"/>
      <c r="O3943" s="184"/>
      <c r="P3943" t="s">
        <v>7045</v>
      </c>
      <c r="Q3943" t="s">
        <v>7374</v>
      </c>
      <c r="R3943" s="184">
        <v>13930</v>
      </c>
      <c r="S3943">
        <v>86</v>
      </c>
      <c r="V3943" t="s">
        <v>4692</v>
      </c>
      <c r="W3943" t="s">
        <v>3830</v>
      </c>
      <c r="X3943" t="s">
        <v>4154</v>
      </c>
      <c r="AF3943" t="s">
        <v>29577</v>
      </c>
      <c r="AG3943" t="s">
        <v>4692</v>
      </c>
      <c r="AI3943" t="s">
        <v>29578</v>
      </c>
      <c r="AM3943" t="s">
        <v>3109</v>
      </c>
      <c r="AN3943" t="s">
        <v>2081</v>
      </c>
      <c r="AO3943" t="s">
        <v>29579</v>
      </c>
      <c r="AP3943" t="s">
        <v>7024</v>
      </c>
      <c r="AQ3943" t="s">
        <v>29580</v>
      </c>
      <c r="AT3943" s="184">
        <v>40284</v>
      </c>
      <c r="AU3943" t="s">
        <v>29519</v>
      </c>
      <c r="AV3943">
        <v>25</v>
      </c>
      <c r="AW3943" s="184">
        <v>44545</v>
      </c>
      <c r="AX3943" t="s">
        <v>7423</v>
      </c>
      <c r="AY3943">
        <v>50</v>
      </c>
      <c r="AZ3943" s="184">
        <v>44545</v>
      </c>
      <c r="BA3943" t="s">
        <v>7423</v>
      </c>
      <c r="BB3943">
        <v>50</v>
      </c>
      <c r="BC3943">
        <v>54</v>
      </c>
      <c r="BD3943">
        <v>380</v>
      </c>
      <c r="BE3943">
        <v>2010</v>
      </c>
      <c r="BF3943">
        <v>9</v>
      </c>
      <c r="BI3943">
        <v>8</v>
      </c>
      <c r="BJ3943">
        <v>15</v>
      </c>
      <c r="BK3943">
        <v>7</v>
      </c>
      <c r="BP3943" s="184"/>
    </row>
    <row r="3944" spans="1:68">
      <c r="A3944">
        <v>60572203</v>
      </c>
      <c r="B3944">
        <v>60572203</v>
      </c>
      <c r="C3944" t="s">
        <v>7018</v>
      </c>
      <c r="D3944" t="s">
        <v>595</v>
      </c>
      <c r="E3944" s="184">
        <v>44484</v>
      </c>
      <c r="G3944" s="184"/>
      <c r="I3944" s="184"/>
      <c r="K3944" s="184"/>
      <c r="M3944" s="184"/>
      <c r="O3944" s="184"/>
      <c r="P3944" t="s">
        <v>7045</v>
      </c>
      <c r="Q3944" t="s">
        <v>7160</v>
      </c>
      <c r="R3944" s="184">
        <v>16027</v>
      </c>
      <c r="S3944">
        <v>80</v>
      </c>
      <c r="V3944" t="s">
        <v>2518</v>
      </c>
      <c r="X3944" t="s">
        <v>4616</v>
      </c>
      <c r="AF3944" t="s">
        <v>29581</v>
      </c>
      <c r="AG3944" t="s">
        <v>2518</v>
      </c>
      <c r="AI3944" t="s">
        <v>29582</v>
      </c>
      <c r="AM3944" t="s">
        <v>29583</v>
      </c>
      <c r="AN3944" t="s">
        <v>2203</v>
      </c>
      <c r="AO3944" t="s">
        <v>29584</v>
      </c>
      <c r="AP3944" t="s">
        <v>7024</v>
      </c>
      <c r="AT3944" s="184">
        <v>40284</v>
      </c>
      <c r="AU3944" t="s">
        <v>29513</v>
      </c>
      <c r="AV3944">
        <v>25</v>
      </c>
      <c r="AW3944" s="184">
        <v>44223</v>
      </c>
      <c r="AX3944" t="s">
        <v>25885</v>
      </c>
      <c r="AY3944">
        <v>60</v>
      </c>
      <c r="AZ3944" s="184">
        <v>44223</v>
      </c>
      <c r="BA3944" t="s">
        <v>25885</v>
      </c>
      <c r="BB3944">
        <v>60</v>
      </c>
      <c r="BC3944">
        <v>67</v>
      </c>
      <c r="BD3944">
        <v>539</v>
      </c>
      <c r="BE3944">
        <v>2010</v>
      </c>
      <c r="BF3944">
        <v>12</v>
      </c>
      <c r="BI3944">
        <v>10</v>
      </c>
      <c r="BJ3944">
        <v>15</v>
      </c>
      <c r="BK3944">
        <v>5</v>
      </c>
      <c r="BP3944" s="184"/>
    </row>
    <row r="3945" spans="1:68">
      <c r="A3945">
        <v>60579448</v>
      </c>
      <c r="B3945">
        <v>60579448</v>
      </c>
      <c r="C3945" t="s">
        <v>7018</v>
      </c>
      <c r="D3945" t="s">
        <v>595</v>
      </c>
      <c r="E3945" s="184">
        <v>44073</v>
      </c>
      <c r="F3945" t="s">
        <v>595</v>
      </c>
      <c r="G3945" s="184">
        <v>45378</v>
      </c>
      <c r="I3945" s="184"/>
      <c r="K3945" s="184"/>
      <c r="M3945" s="184"/>
      <c r="O3945" s="184"/>
      <c r="P3945" t="s">
        <v>7045</v>
      </c>
      <c r="Q3945" t="s">
        <v>7383</v>
      </c>
      <c r="R3945" s="184">
        <v>17369</v>
      </c>
      <c r="S3945">
        <v>76</v>
      </c>
      <c r="V3945" t="s">
        <v>22822</v>
      </c>
      <c r="W3945" t="s">
        <v>7407</v>
      </c>
      <c r="X3945" t="s">
        <v>3422</v>
      </c>
      <c r="AF3945" t="s">
        <v>29585</v>
      </c>
      <c r="AG3945" t="s">
        <v>22822</v>
      </c>
      <c r="AI3945" t="s">
        <v>29586</v>
      </c>
      <c r="AM3945" t="s">
        <v>4041</v>
      </c>
      <c r="AN3945" t="s">
        <v>2274</v>
      </c>
      <c r="AO3945" t="s">
        <v>29587</v>
      </c>
      <c r="AP3945" t="s">
        <v>7024</v>
      </c>
      <c r="AQ3945" t="s">
        <v>29588</v>
      </c>
      <c r="AR3945" t="s">
        <v>29589</v>
      </c>
      <c r="AT3945" s="184">
        <v>40287</v>
      </c>
      <c r="AU3945" t="s">
        <v>29590</v>
      </c>
      <c r="AV3945">
        <v>20.16</v>
      </c>
      <c r="AW3945" s="184">
        <v>45028</v>
      </c>
      <c r="AX3945" t="s">
        <v>12898</v>
      </c>
      <c r="AY3945">
        <v>175</v>
      </c>
      <c r="AZ3945" s="184">
        <v>45028</v>
      </c>
      <c r="BA3945" t="s">
        <v>12898</v>
      </c>
      <c r="BB3945">
        <v>175</v>
      </c>
      <c r="BC3945">
        <v>94</v>
      </c>
      <c r="BD3945">
        <v>3040</v>
      </c>
      <c r="BE3945">
        <v>2010</v>
      </c>
      <c r="BF3945">
        <v>35</v>
      </c>
      <c r="BG3945">
        <v>3</v>
      </c>
      <c r="BH3945">
        <v>450</v>
      </c>
      <c r="BI3945">
        <v>14</v>
      </c>
      <c r="BJ3945">
        <v>15</v>
      </c>
      <c r="BK3945">
        <v>14</v>
      </c>
      <c r="BP3945" s="184"/>
    </row>
    <row r="3946" spans="1:68">
      <c r="A3946">
        <v>60581626</v>
      </c>
      <c r="B3946">
        <v>60581626</v>
      </c>
      <c r="C3946" t="s">
        <v>7018</v>
      </c>
      <c r="E3946" s="184"/>
      <c r="G3946" s="184"/>
      <c r="I3946" s="184"/>
      <c r="K3946" s="184"/>
      <c r="M3946" s="184"/>
      <c r="N3946" t="s">
        <v>595</v>
      </c>
      <c r="O3946" s="184">
        <v>43378</v>
      </c>
      <c r="P3946" t="s">
        <v>7045</v>
      </c>
      <c r="Q3946" t="s">
        <v>7374</v>
      </c>
      <c r="R3946" s="184">
        <v>9285</v>
      </c>
      <c r="S3946">
        <v>98</v>
      </c>
      <c r="V3946" t="s">
        <v>2547</v>
      </c>
      <c r="X3946" t="s">
        <v>2548</v>
      </c>
      <c r="AF3946" t="s">
        <v>29591</v>
      </c>
      <c r="AG3946" t="s">
        <v>2547</v>
      </c>
      <c r="AI3946" t="s">
        <v>29592</v>
      </c>
      <c r="AM3946" t="s">
        <v>2549</v>
      </c>
      <c r="AN3946" t="s">
        <v>2081</v>
      </c>
      <c r="AO3946" t="s">
        <v>29593</v>
      </c>
      <c r="AP3946" t="s">
        <v>7024</v>
      </c>
      <c r="AT3946" s="184">
        <v>40287</v>
      </c>
      <c r="AU3946" t="s">
        <v>29594</v>
      </c>
      <c r="AV3946">
        <v>20</v>
      </c>
      <c r="AW3946" s="184">
        <v>44587</v>
      </c>
      <c r="AX3946" t="s">
        <v>29595</v>
      </c>
      <c r="AY3946">
        <v>40</v>
      </c>
      <c r="AZ3946" s="184">
        <v>43384</v>
      </c>
      <c r="BA3946" t="s">
        <v>9427</v>
      </c>
      <c r="BB3946">
        <v>20000</v>
      </c>
      <c r="BC3946">
        <v>87</v>
      </c>
      <c r="BD3946">
        <v>20495</v>
      </c>
      <c r="BE3946">
        <v>2010</v>
      </c>
      <c r="BF3946">
        <v>20</v>
      </c>
      <c r="BI3946">
        <v>13</v>
      </c>
      <c r="BJ3946">
        <v>15</v>
      </c>
      <c r="BK3946">
        <v>13</v>
      </c>
      <c r="BO3946" t="s">
        <v>595</v>
      </c>
      <c r="BP3946" s="184"/>
    </row>
    <row r="3947" spans="1:68">
      <c r="A3947">
        <v>60587516</v>
      </c>
      <c r="B3947">
        <v>60587516</v>
      </c>
      <c r="C3947" t="s">
        <v>7018</v>
      </c>
      <c r="E3947" s="184"/>
      <c r="G3947" s="184"/>
      <c r="I3947" s="184"/>
      <c r="J3947" t="s">
        <v>595</v>
      </c>
      <c r="K3947" s="184">
        <v>45246</v>
      </c>
      <c r="M3947" s="184"/>
      <c r="O3947" s="184"/>
      <c r="P3947" t="s">
        <v>7084</v>
      </c>
      <c r="Q3947" t="s">
        <v>7383</v>
      </c>
      <c r="R3947" s="184">
        <v>19432</v>
      </c>
      <c r="S3947">
        <v>71</v>
      </c>
      <c r="U3947" t="s">
        <v>7031</v>
      </c>
      <c r="V3947" t="s">
        <v>3768</v>
      </c>
      <c r="X3947" t="s">
        <v>3520</v>
      </c>
      <c r="AF3947" t="s">
        <v>29596</v>
      </c>
      <c r="AG3947" t="s">
        <v>3768</v>
      </c>
      <c r="AI3947" t="s">
        <v>29597</v>
      </c>
      <c r="AM3947" t="s">
        <v>3118</v>
      </c>
      <c r="AN3947" t="s">
        <v>2274</v>
      </c>
      <c r="AO3947" t="s">
        <v>29598</v>
      </c>
      <c r="AP3947" t="s">
        <v>7024</v>
      </c>
      <c r="AQ3947" t="s">
        <v>29599</v>
      </c>
      <c r="AR3947" t="s">
        <v>29600</v>
      </c>
      <c r="AT3947" s="184">
        <v>33032</v>
      </c>
      <c r="AU3947" t="s">
        <v>29601</v>
      </c>
      <c r="AV3947">
        <v>15</v>
      </c>
      <c r="AW3947" s="184">
        <v>45243</v>
      </c>
      <c r="AX3947" t="s">
        <v>7296</v>
      </c>
      <c r="AY3947">
        <v>10000</v>
      </c>
      <c r="AZ3947" s="184">
        <v>45243</v>
      </c>
      <c r="BA3947" t="s">
        <v>7296</v>
      </c>
      <c r="BB3947">
        <v>10000</v>
      </c>
      <c r="BC3947">
        <v>52</v>
      </c>
      <c r="BD3947">
        <v>10990</v>
      </c>
      <c r="BE3947">
        <v>1990</v>
      </c>
      <c r="BF3947">
        <v>24</v>
      </c>
      <c r="BG3947">
        <v>2</v>
      </c>
      <c r="BH3947">
        <v>10100</v>
      </c>
      <c r="BI3947">
        <v>18</v>
      </c>
      <c r="BJ3947">
        <v>35</v>
      </c>
      <c r="BK3947">
        <v>9</v>
      </c>
      <c r="BN3947" t="s">
        <v>595</v>
      </c>
      <c r="BO3947" t="s">
        <v>595</v>
      </c>
      <c r="BP3947" s="184">
        <v>45156</v>
      </c>
    </row>
    <row r="3948" spans="1:68">
      <c r="A3948">
        <v>60665171</v>
      </c>
      <c r="B3948">
        <v>60665171</v>
      </c>
      <c r="C3948" t="s">
        <v>7018</v>
      </c>
      <c r="E3948" s="184"/>
      <c r="G3948" s="184"/>
      <c r="I3948" s="184"/>
      <c r="J3948" t="s">
        <v>595</v>
      </c>
      <c r="K3948" s="184">
        <v>40297</v>
      </c>
      <c r="O3948" s="184"/>
      <c r="P3948" t="s">
        <v>8550</v>
      </c>
      <c r="Q3948" t="s">
        <v>7374</v>
      </c>
      <c r="R3948" s="184"/>
      <c r="U3948" t="s">
        <v>7076</v>
      </c>
      <c r="V3948" t="s">
        <v>3147</v>
      </c>
      <c r="X3948" t="s">
        <v>29602</v>
      </c>
      <c r="AF3948" t="s">
        <v>6757</v>
      </c>
      <c r="AG3948" t="s">
        <v>3147</v>
      </c>
      <c r="AI3948" t="s">
        <v>29603</v>
      </c>
      <c r="AM3948" t="s">
        <v>25556</v>
      </c>
      <c r="AN3948" t="s">
        <v>2081</v>
      </c>
      <c r="AO3948">
        <v>92211</v>
      </c>
      <c r="AP3948" t="s">
        <v>7024</v>
      </c>
      <c r="AT3948" s="184"/>
      <c r="AW3948" s="184"/>
      <c r="AZ3948" s="184"/>
      <c r="BP3948" s="184"/>
    </row>
    <row r="3949" spans="1:68">
      <c r="A3949">
        <v>60665577</v>
      </c>
      <c r="B3949">
        <v>60665577</v>
      </c>
      <c r="C3949" t="s">
        <v>7018</v>
      </c>
      <c r="E3949" s="184"/>
      <c r="G3949" s="184"/>
      <c r="I3949" s="184"/>
      <c r="J3949" t="s">
        <v>595</v>
      </c>
      <c r="K3949" s="184">
        <v>40297</v>
      </c>
      <c r="M3949" s="184"/>
      <c r="O3949" s="184"/>
      <c r="P3949" t="s">
        <v>8550</v>
      </c>
      <c r="Q3949" t="s">
        <v>7262</v>
      </c>
      <c r="R3949" s="184"/>
      <c r="U3949" t="s">
        <v>7076</v>
      </c>
      <c r="V3949" t="s">
        <v>7355</v>
      </c>
      <c r="X3949" t="s">
        <v>24212</v>
      </c>
      <c r="AF3949" t="s">
        <v>6747</v>
      </c>
      <c r="AG3949" t="s">
        <v>29604</v>
      </c>
      <c r="AI3949" t="s">
        <v>29605</v>
      </c>
      <c r="AM3949" t="s">
        <v>2679</v>
      </c>
      <c r="AN3949" t="s">
        <v>2318</v>
      </c>
      <c r="AO3949" t="s">
        <v>29606</v>
      </c>
      <c r="AP3949" t="s">
        <v>7024</v>
      </c>
      <c r="AQ3949" t="s">
        <v>29607</v>
      </c>
      <c r="AT3949" s="184"/>
      <c r="AW3949" s="184"/>
      <c r="AZ3949" s="184"/>
      <c r="BL3949" t="s">
        <v>595</v>
      </c>
      <c r="BN3949" t="s">
        <v>595</v>
      </c>
      <c r="BP3949" s="184"/>
    </row>
    <row r="3950" spans="1:68">
      <c r="A3950">
        <v>60667532</v>
      </c>
      <c r="B3950">
        <v>60667532</v>
      </c>
      <c r="C3950" t="s">
        <v>7018</v>
      </c>
      <c r="E3950" s="184"/>
      <c r="G3950" s="184"/>
      <c r="I3950" s="184"/>
      <c r="J3950" t="s">
        <v>595</v>
      </c>
      <c r="K3950" s="184">
        <v>44403</v>
      </c>
      <c r="M3950" s="184"/>
      <c r="P3950" t="s">
        <v>7045</v>
      </c>
      <c r="Q3950" t="s">
        <v>7374</v>
      </c>
      <c r="R3950" s="184">
        <v>16650</v>
      </c>
      <c r="S3950">
        <v>78</v>
      </c>
      <c r="U3950" t="s">
        <v>7031</v>
      </c>
      <c r="V3950" t="s">
        <v>2687</v>
      </c>
      <c r="W3950" t="s">
        <v>7246</v>
      </c>
      <c r="X3950" t="s">
        <v>29608</v>
      </c>
      <c r="AF3950" t="s">
        <v>29609</v>
      </c>
      <c r="AG3950" t="s">
        <v>2687</v>
      </c>
      <c r="AI3950" t="s">
        <v>29610</v>
      </c>
      <c r="AM3950" t="s">
        <v>3109</v>
      </c>
      <c r="AN3950" t="s">
        <v>2081</v>
      </c>
      <c r="AO3950" t="s">
        <v>29611</v>
      </c>
      <c r="AP3950" t="s">
        <v>7024</v>
      </c>
      <c r="AQ3950" t="s">
        <v>29612</v>
      </c>
      <c r="AT3950" s="184">
        <v>40294</v>
      </c>
      <c r="AU3950" t="s">
        <v>29613</v>
      </c>
      <c r="AV3950">
        <v>40.32</v>
      </c>
      <c r="AW3950" s="184">
        <v>45371</v>
      </c>
      <c r="AX3950" t="s">
        <v>17352</v>
      </c>
      <c r="AY3950">
        <v>63</v>
      </c>
      <c r="AZ3950" s="184">
        <v>45371</v>
      </c>
      <c r="BA3950" t="s">
        <v>17352</v>
      </c>
      <c r="BB3950">
        <v>63</v>
      </c>
      <c r="BC3950">
        <v>94</v>
      </c>
      <c r="BD3950">
        <v>660.82</v>
      </c>
      <c r="BE3950">
        <v>2010</v>
      </c>
      <c r="BF3950">
        <v>15</v>
      </c>
      <c r="BG3950">
        <v>3</v>
      </c>
      <c r="BH3950">
        <v>165.5</v>
      </c>
      <c r="BI3950">
        <v>14</v>
      </c>
      <c r="BJ3950">
        <v>15</v>
      </c>
      <c r="BK3950">
        <v>11</v>
      </c>
      <c r="BP3950" s="184"/>
    </row>
    <row r="3951" spans="1:68">
      <c r="A3951">
        <v>60668175</v>
      </c>
      <c r="B3951">
        <v>60668175</v>
      </c>
      <c r="C3951" t="s">
        <v>7018</v>
      </c>
      <c r="D3951" t="s">
        <v>595</v>
      </c>
      <c r="E3951" s="184">
        <v>44073</v>
      </c>
      <c r="G3951" s="184"/>
      <c r="I3951" s="184"/>
      <c r="K3951" s="184"/>
      <c r="M3951" s="184"/>
      <c r="P3951" t="s">
        <v>7029</v>
      </c>
      <c r="Q3951" t="s">
        <v>7383</v>
      </c>
      <c r="R3951" s="184">
        <v>21337</v>
      </c>
      <c r="S3951">
        <v>65</v>
      </c>
      <c r="V3951" t="s">
        <v>4587</v>
      </c>
      <c r="W3951" t="s">
        <v>4013</v>
      </c>
      <c r="X3951" t="s">
        <v>29614</v>
      </c>
      <c r="AF3951" t="s">
        <v>29615</v>
      </c>
      <c r="AG3951" t="s">
        <v>4587</v>
      </c>
      <c r="AI3951" t="s">
        <v>29616</v>
      </c>
      <c r="AM3951" t="s">
        <v>14819</v>
      </c>
      <c r="AN3951" t="s">
        <v>2072</v>
      </c>
      <c r="AO3951" t="s">
        <v>29617</v>
      </c>
      <c r="AP3951" t="s">
        <v>7024</v>
      </c>
      <c r="AQ3951" t="s">
        <v>29618</v>
      </c>
      <c r="AT3951" s="184">
        <v>40294</v>
      </c>
      <c r="AU3951" t="s">
        <v>29412</v>
      </c>
      <c r="AV3951">
        <v>50</v>
      </c>
      <c r="AW3951" s="184">
        <v>45412</v>
      </c>
      <c r="AX3951" t="s">
        <v>21384</v>
      </c>
      <c r="AY3951">
        <v>200</v>
      </c>
      <c r="AZ3951" s="184">
        <v>45412</v>
      </c>
      <c r="BA3951" t="s">
        <v>21384</v>
      </c>
      <c r="BB3951">
        <v>200</v>
      </c>
      <c r="BC3951">
        <v>100</v>
      </c>
      <c r="BD3951">
        <v>3765</v>
      </c>
      <c r="BE3951">
        <v>2010</v>
      </c>
      <c r="BF3951">
        <v>35</v>
      </c>
      <c r="BG3951">
        <v>5</v>
      </c>
      <c r="BH3951">
        <v>1000</v>
      </c>
      <c r="BI3951">
        <v>15</v>
      </c>
      <c r="BJ3951">
        <v>15</v>
      </c>
      <c r="BK3951">
        <v>15</v>
      </c>
      <c r="BP3951" s="184"/>
    </row>
    <row r="3952" spans="1:68">
      <c r="A3952">
        <v>60696796</v>
      </c>
      <c r="B3952">
        <v>60696796</v>
      </c>
      <c r="C3952" t="s">
        <v>7018</v>
      </c>
      <c r="D3952" t="s">
        <v>595</v>
      </c>
      <c r="E3952" s="184">
        <v>44167</v>
      </c>
      <c r="G3952" s="184"/>
      <c r="I3952" s="184"/>
      <c r="K3952" s="184"/>
      <c r="M3952" s="184"/>
      <c r="O3952" s="184"/>
      <c r="P3952" t="s">
        <v>7045</v>
      </c>
      <c r="Q3952" t="s">
        <v>7262</v>
      </c>
      <c r="R3952" s="184">
        <v>21173</v>
      </c>
      <c r="S3952">
        <v>66</v>
      </c>
      <c r="V3952" t="s">
        <v>2821</v>
      </c>
      <c r="W3952" t="s">
        <v>3522</v>
      </c>
      <c r="X3952" t="s">
        <v>12572</v>
      </c>
      <c r="Z3952">
        <v>100572137</v>
      </c>
      <c r="AB3952" t="s">
        <v>21118</v>
      </c>
      <c r="AC3952" t="s">
        <v>3522</v>
      </c>
      <c r="AD3952" t="s">
        <v>12572</v>
      </c>
      <c r="AF3952" t="s">
        <v>29619</v>
      </c>
      <c r="AG3952" t="s">
        <v>29620</v>
      </c>
      <c r="AI3952" t="s">
        <v>29621</v>
      </c>
      <c r="AM3952" t="s">
        <v>29622</v>
      </c>
      <c r="AN3952" t="s">
        <v>65</v>
      </c>
      <c r="AO3952" t="s">
        <v>29623</v>
      </c>
      <c r="AP3952" t="s">
        <v>7024</v>
      </c>
      <c r="AQ3952" t="s">
        <v>29624</v>
      </c>
      <c r="AT3952" s="184">
        <v>40294</v>
      </c>
      <c r="AU3952" t="s">
        <v>29625</v>
      </c>
      <c r="AV3952">
        <v>25</v>
      </c>
      <c r="AW3952" s="184">
        <v>44859</v>
      </c>
      <c r="AX3952" t="s">
        <v>29626</v>
      </c>
      <c r="AY3952">
        <v>50</v>
      </c>
      <c r="AZ3952" s="184">
        <v>44561</v>
      </c>
      <c r="BA3952" t="s">
        <v>29627</v>
      </c>
      <c r="BB3952">
        <v>100</v>
      </c>
      <c r="BC3952">
        <v>67</v>
      </c>
      <c r="BD3952">
        <v>565</v>
      </c>
      <c r="BE3952">
        <v>2010</v>
      </c>
      <c r="BF3952">
        <v>11</v>
      </c>
      <c r="BG3952">
        <v>1</v>
      </c>
      <c r="BH3952">
        <v>50</v>
      </c>
      <c r="BI3952">
        <v>10</v>
      </c>
      <c r="BJ3952">
        <v>15</v>
      </c>
      <c r="BK3952">
        <v>6</v>
      </c>
    </row>
    <row r="3953" spans="1:68">
      <c r="A3953">
        <v>100572137</v>
      </c>
      <c r="B3953">
        <v>60696796</v>
      </c>
      <c r="C3953" t="s">
        <v>7018</v>
      </c>
      <c r="D3953" t="s">
        <v>595</v>
      </c>
      <c r="E3953" s="184">
        <v>44167</v>
      </c>
      <c r="G3953" s="184"/>
      <c r="I3953" s="184"/>
      <c r="K3953" s="184"/>
      <c r="O3953" s="184"/>
      <c r="P3953" t="s">
        <v>7045</v>
      </c>
      <c r="Q3953" t="s">
        <v>7262</v>
      </c>
      <c r="R3953" s="184">
        <v>21306</v>
      </c>
      <c r="S3953">
        <v>66</v>
      </c>
      <c r="V3953" t="s">
        <v>21118</v>
      </c>
      <c r="W3953" t="s">
        <v>3522</v>
      </c>
      <c r="X3953" t="s">
        <v>12572</v>
      </c>
      <c r="Z3953">
        <v>60696796</v>
      </c>
      <c r="AB3953" t="s">
        <v>2821</v>
      </c>
      <c r="AC3953" t="s">
        <v>3522</v>
      </c>
      <c r="AD3953" t="s">
        <v>12572</v>
      </c>
      <c r="AF3953" t="s">
        <v>29619</v>
      </c>
      <c r="AG3953" t="s">
        <v>29620</v>
      </c>
      <c r="AI3953" t="s">
        <v>29621</v>
      </c>
      <c r="AM3953" t="s">
        <v>29622</v>
      </c>
      <c r="AN3953" t="s">
        <v>65</v>
      </c>
      <c r="AO3953" t="s">
        <v>29623</v>
      </c>
      <c r="AP3953" t="s">
        <v>7024</v>
      </c>
      <c r="AQ3953" t="s">
        <v>29624</v>
      </c>
      <c r="AT3953" s="184">
        <v>44926</v>
      </c>
      <c r="AU3953" t="s">
        <v>27218</v>
      </c>
      <c r="AV3953">
        <v>50</v>
      </c>
      <c r="AW3953" s="184">
        <v>44926</v>
      </c>
      <c r="AX3953" t="s">
        <v>27218</v>
      </c>
      <c r="AY3953">
        <v>50</v>
      </c>
      <c r="AZ3953" s="184">
        <v>44926</v>
      </c>
      <c r="BA3953" t="s">
        <v>27218</v>
      </c>
      <c r="BB3953">
        <v>50</v>
      </c>
      <c r="BC3953">
        <v>34</v>
      </c>
      <c r="BD3953">
        <v>50</v>
      </c>
      <c r="BE3953">
        <v>2023</v>
      </c>
      <c r="BF3953">
        <v>1</v>
      </c>
      <c r="BG3953">
        <v>1</v>
      </c>
      <c r="BH3953">
        <v>50</v>
      </c>
      <c r="BI3953">
        <v>1</v>
      </c>
      <c r="BJ3953">
        <v>3</v>
      </c>
      <c r="BK3953">
        <v>1</v>
      </c>
    </row>
    <row r="3954" spans="1:68">
      <c r="A3954">
        <v>60724176</v>
      </c>
      <c r="B3954">
        <v>60724176</v>
      </c>
      <c r="C3954" t="s">
        <v>7018</v>
      </c>
      <c r="E3954" s="184"/>
      <c r="G3954" s="184"/>
      <c r="I3954" s="184"/>
      <c r="J3954" t="s">
        <v>595</v>
      </c>
      <c r="K3954" s="184">
        <v>42320</v>
      </c>
      <c r="M3954" s="184"/>
      <c r="O3954" s="184"/>
      <c r="P3954" t="s">
        <v>7045</v>
      </c>
      <c r="Q3954" t="s">
        <v>7020</v>
      </c>
      <c r="R3954" s="184">
        <v>17101</v>
      </c>
      <c r="S3954">
        <v>77</v>
      </c>
      <c r="U3954" t="s">
        <v>7031</v>
      </c>
      <c r="V3954" t="s">
        <v>3908</v>
      </c>
      <c r="X3954" t="s">
        <v>29628</v>
      </c>
      <c r="Z3954">
        <v>100134121</v>
      </c>
      <c r="AA3954" t="s">
        <v>7130</v>
      </c>
      <c r="AB3954" t="s">
        <v>29629</v>
      </c>
      <c r="AC3954" t="s">
        <v>4152</v>
      </c>
      <c r="AD3954" t="s">
        <v>29628</v>
      </c>
      <c r="AF3954" t="s">
        <v>6606</v>
      </c>
      <c r="AG3954" t="s">
        <v>29630</v>
      </c>
      <c r="AI3954" t="s">
        <v>29631</v>
      </c>
      <c r="AM3954" t="s">
        <v>2788</v>
      </c>
      <c r="AN3954" t="s">
        <v>2052</v>
      </c>
      <c r="AO3954" t="s">
        <v>29632</v>
      </c>
      <c r="AP3954" t="s">
        <v>7024</v>
      </c>
      <c r="AQ3954" t="s">
        <v>29633</v>
      </c>
      <c r="AT3954" s="184">
        <v>40232</v>
      </c>
      <c r="AU3954" t="s">
        <v>29634</v>
      </c>
      <c r="AV3954">
        <v>25</v>
      </c>
      <c r="AW3954" s="184">
        <v>45209</v>
      </c>
      <c r="AX3954" t="s">
        <v>15021</v>
      </c>
      <c r="AY3954">
        <v>50</v>
      </c>
      <c r="AZ3954" s="184">
        <v>40792</v>
      </c>
      <c r="BA3954" t="s">
        <v>29635</v>
      </c>
      <c r="BB3954">
        <v>60</v>
      </c>
      <c r="BC3954">
        <v>80</v>
      </c>
      <c r="BD3954">
        <v>635</v>
      </c>
      <c r="BE3954">
        <v>2010</v>
      </c>
      <c r="BF3954">
        <v>13</v>
      </c>
      <c r="BG3954">
        <v>2</v>
      </c>
      <c r="BH3954">
        <v>100</v>
      </c>
      <c r="BI3954">
        <v>12</v>
      </c>
      <c r="BJ3954">
        <v>15</v>
      </c>
      <c r="BK3954">
        <v>10</v>
      </c>
    </row>
    <row r="3955" spans="1:68">
      <c r="A3955">
        <v>100134121</v>
      </c>
      <c r="B3955">
        <v>60724176</v>
      </c>
      <c r="C3955" t="s">
        <v>7018</v>
      </c>
      <c r="E3955" s="184"/>
      <c r="G3955" s="184"/>
      <c r="I3955" s="184"/>
      <c r="J3955" t="s">
        <v>595</v>
      </c>
      <c r="K3955" s="184">
        <v>42320</v>
      </c>
      <c r="M3955" s="184"/>
      <c r="O3955" s="184"/>
      <c r="P3955" t="s">
        <v>7045</v>
      </c>
      <c r="Q3955" t="s">
        <v>7020</v>
      </c>
      <c r="R3955" s="184">
        <v>17076</v>
      </c>
      <c r="S3955">
        <v>77</v>
      </c>
      <c r="U3955" t="s">
        <v>7130</v>
      </c>
      <c r="V3955" t="s">
        <v>29629</v>
      </c>
      <c r="W3955" t="s">
        <v>4152</v>
      </c>
      <c r="X3955" t="s">
        <v>29628</v>
      </c>
      <c r="Z3955">
        <v>60724176</v>
      </c>
      <c r="AA3955" t="s">
        <v>7031</v>
      </c>
      <c r="AB3955" t="s">
        <v>3908</v>
      </c>
      <c r="AD3955" t="s">
        <v>29628</v>
      </c>
      <c r="AF3955" t="s">
        <v>6606</v>
      </c>
      <c r="AG3955" t="s">
        <v>29630</v>
      </c>
      <c r="AI3955" t="s">
        <v>29631</v>
      </c>
      <c r="AM3955" t="s">
        <v>2788</v>
      </c>
      <c r="AN3955" t="s">
        <v>2052</v>
      </c>
      <c r="AO3955" t="s">
        <v>29632</v>
      </c>
      <c r="AP3955" t="s">
        <v>7024</v>
      </c>
      <c r="AT3955" s="184"/>
      <c r="AW3955" s="184"/>
      <c r="AZ3955" s="184"/>
      <c r="BP3955" s="184"/>
    </row>
    <row r="3956" spans="1:68">
      <c r="A3956">
        <v>60733979</v>
      </c>
      <c r="B3956">
        <v>60733979</v>
      </c>
      <c r="C3956" t="s">
        <v>7018</v>
      </c>
      <c r="D3956" t="s">
        <v>595</v>
      </c>
      <c r="E3956" s="184">
        <v>44167</v>
      </c>
      <c r="G3956" s="184"/>
      <c r="I3956" s="184"/>
      <c r="K3956" s="184"/>
      <c r="M3956" s="184"/>
      <c r="O3956" s="184"/>
      <c r="P3956" t="s">
        <v>7045</v>
      </c>
      <c r="Q3956" t="s">
        <v>7383</v>
      </c>
      <c r="R3956" s="184">
        <v>18507</v>
      </c>
      <c r="S3956">
        <v>73</v>
      </c>
      <c r="V3956" t="s">
        <v>3131</v>
      </c>
      <c r="X3956" t="s">
        <v>29636</v>
      </c>
      <c r="AF3956" t="s">
        <v>29637</v>
      </c>
      <c r="AG3956" t="s">
        <v>3131</v>
      </c>
      <c r="AI3956" t="s">
        <v>29638</v>
      </c>
      <c r="AM3956" t="s">
        <v>4994</v>
      </c>
      <c r="AN3956" t="s">
        <v>2139</v>
      </c>
      <c r="AO3956" t="s">
        <v>29639</v>
      </c>
      <c r="AP3956" t="s">
        <v>7024</v>
      </c>
      <c r="AQ3956" t="s">
        <v>29640</v>
      </c>
      <c r="AT3956" s="184">
        <v>40296</v>
      </c>
      <c r="AU3956" t="s">
        <v>29641</v>
      </c>
      <c r="AV3956">
        <v>25</v>
      </c>
      <c r="AW3956" s="184">
        <v>44406</v>
      </c>
      <c r="AX3956" t="s">
        <v>18683</v>
      </c>
      <c r="AY3956">
        <v>25</v>
      </c>
      <c r="AZ3956" s="184">
        <v>41390</v>
      </c>
      <c r="BA3956" t="s">
        <v>29642</v>
      </c>
      <c r="BB3956">
        <v>60</v>
      </c>
      <c r="BC3956">
        <v>67</v>
      </c>
      <c r="BD3956">
        <v>445</v>
      </c>
      <c r="BE3956">
        <v>2010</v>
      </c>
      <c r="BF3956">
        <v>12</v>
      </c>
      <c r="BI3956">
        <v>10</v>
      </c>
      <c r="BJ3956">
        <v>15</v>
      </c>
      <c r="BK3956">
        <v>7</v>
      </c>
      <c r="BN3956" t="s">
        <v>595</v>
      </c>
    </row>
    <row r="3957" spans="1:68">
      <c r="A3957">
        <v>60757580</v>
      </c>
      <c r="B3957">
        <v>60757580</v>
      </c>
      <c r="C3957" t="s">
        <v>7018</v>
      </c>
      <c r="D3957" t="s">
        <v>595</v>
      </c>
      <c r="E3957" s="184">
        <v>45125</v>
      </c>
      <c r="G3957" s="184"/>
      <c r="I3957" s="184"/>
      <c r="K3957" s="184"/>
      <c r="O3957" s="184"/>
      <c r="P3957" t="s">
        <v>7045</v>
      </c>
      <c r="Q3957" t="s">
        <v>7383</v>
      </c>
      <c r="R3957" s="184">
        <v>13260</v>
      </c>
      <c r="S3957">
        <v>88</v>
      </c>
      <c r="V3957" t="s">
        <v>2541</v>
      </c>
      <c r="X3957" t="s">
        <v>29643</v>
      </c>
      <c r="AF3957" t="s">
        <v>29644</v>
      </c>
      <c r="AG3957" t="s">
        <v>2541</v>
      </c>
      <c r="AI3957" t="s">
        <v>29645</v>
      </c>
      <c r="AM3957" t="s">
        <v>3030</v>
      </c>
      <c r="AN3957" t="s">
        <v>2072</v>
      </c>
      <c r="AO3957" t="s">
        <v>29646</v>
      </c>
      <c r="AP3957" t="s">
        <v>7024</v>
      </c>
      <c r="AQ3957" t="s">
        <v>29647</v>
      </c>
      <c r="AT3957" s="184">
        <v>40297</v>
      </c>
      <c r="AU3957" t="s">
        <v>29648</v>
      </c>
      <c r="AV3957">
        <v>25</v>
      </c>
      <c r="AW3957" s="184">
        <v>44337</v>
      </c>
      <c r="AX3957" t="s">
        <v>29649</v>
      </c>
      <c r="AY3957">
        <v>50</v>
      </c>
      <c r="AZ3957" s="184">
        <v>44337</v>
      </c>
      <c r="BA3957" t="s">
        <v>29649</v>
      </c>
      <c r="BB3957">
        <v>50</v>
      </c>
      <c r="BC3957">
        <v>40</v>
      </c>
      <c r="BD3957">
        <v>190</v>
      </c>
      <c r="BE3957">
        <v>2010</v>
      </c>
      <c r="BF3957">
        <v>6</v>
      </c>
      <c r="BI3957">
        <v>6</v>
      </c>
      <c r="BJ3957">
        <v>15</v>
      </c>
      <c r="BK3957">
        <v>3</v>
      </c>
      <c r="BP3957" s="184"/>
    </row>
    <row r="3958" spans="1:68">
      <c r="A3958">
        <v>60893781</v>
      </c>
      <c r="B3958">
        <v>60893781</v>
      </c>
      <c r="C3958" t="s">
        <v>7018</v>
      </c>
      <c r="D3958" t="s">
        <v>595</v>
      </c>
      <c r="E3958" s="184">
        <v>44167</v>
      </c>
      <c r="G3958" s="184"/>
      <c r="I3958" s="184"/>
      <c r="K3958" s="184"/>
      <c r="M3958" s="184"/>
      <c r="O3958" s="184"/>
      <c r="P3958" t="s">
        <v>7045</v>
      </c>
      <c r="Q3958" t="s">
        <v>7160</v>
      </c>
      <c r="R3958" s="184">
        <v>15689</v>
      </c>
      <c r="S3958">
        <v>81</v>
      </c>
      <c r="V3958" t="s">
        <v>29650</v>
      </c>
      <c r="X3958" t="s">
        <v>29651</v>
      </c>
      <c r="AF3958" t="s">
        <v>29652</v>
      </c>
      <c r="AG3958" t="s">
        <v>29650</v>
      </c>
      <c r="AI3958" t="s">
        <v>29653</v>
      </c>
      <c r="AM3958" t="s">
        <v>29654</v>
      </c>
      <c r="AN3958" t="s">
        <v>2395</v>
      </c>
      <c r="AO3958" t="s">
        <v>29655</v>
      </c>
      <c r="AP3958" t="s">
        <v>7024</v>
      </c>
      <c r="AQ3958" t="s">
        <v>29656</v>
      </c>
      <c r="AT3958" s="184">
        <v>40298</v>
      </c>
      <c r="AU3958" t="s">
        <v>29657</v>
      </c>
      <c r="AV3958">
        <v>19.97</v>
      </c>
      <c r="AW3958" s="184">
        <v>45104</v>
      </c>
      <c r="AX3958" t="s">
        <v>8299</v>
      </c>
      <c r="AY3958">
        <v>100</v>
      </c>
      <c r="AZ3958" s="184">
        <v>45104</v>
      </c>
      <c r="BA3958" t="s">
        <v>8299</v>
      </c>
      <c r="BB3958">
        <v>100</v>
      </c>
      <c r="BC3958">
        <v>94</v>
      </c>
      <c r="BD3958">
        <v>1119.97</v>
      </c>
      <c r="BE3958">
        <v>2010</v>
      </c>
      <c r="BF3958">
        <v>14</v>
      </c>
      <c r="BG3958">
        <v>1</v>
      </c>
      <c r="BH3958">
        <v>100</v>
      </c>
      <c r="BI3958">
        <v>14</v>
      </c>
      <c r="BJ3958">
        <v>15</v>
      </c>
      <c r="BK3958">
        <v>14</v>
      </c>
      <c r="BP3958" s="184"/>
    </row>
    <row r="3959" spans="1:68">
      <c r="A3959">
        <v>60897576</v>
      </c>
      <c r="B3959">
        <v>60897576</v>
      </c>
      <c r="C3959" t="s">
        <v>7018</v>
      </c>
      <c r="D3959" t="s">
        <v>595</v>
      </c>
      <c r="E3959" s="184">
        <v>44414</v>
      </c>
      <c r="G3959" s="184"/>
      <c r="I3959" s="184"/>
      <c r="K3959" s="184"/>
      <c r="M3959" s="184"/>
      <c r="P3959" t="s">
        <v>7045</v>
      </c>
      <c r="Q3959" t="s">
        <v>7383</v>
      </c>
      <c r="R3959" s="184">
        <v>16200</v>
      </c>
      <c r="S3959">
        <v>80</v>
      </c>
      <c r="V3959" t="s">
        <v>2979</v>
      </c>
      <c r="X3959" t="s">
        <v>2999</v>
      </c>
      <c r="Z3959">
        <v>100134184</v>
      </c>
      <c r="AA3959" t="s">
        <v>7076</v>
      </c>
      <c r="AB3959" t="s">
        <v>3516</v>
      </c>
      <c r="AD3959" t="s">
        <v>2999</v>
      </c>
      <c r="AF3959" t="s">
        <v>29658</v>
      </c>
      <c r="AG3959" t="s">
        <v>29659</v>
      </c>
      <c r="AI3959" t="s">
        <v>29660</v>
      </c>
      <c r="AM3959" t="s">
        <v>29661</v>
      </c>
      <c r="AN3959" t="s">
        <v>2274</v>
      </c>
      <c r="AO3959" t="s">
        <v>29662</v>
      </c>
      <c r="AP3959" t="s">
        <v>7024</v>
      </c>
      <c r="AT3959" s="184">
        <v>40298</v>
      </c>
      <c r="AU3959" t="s">
        <v>29657</v>
      </c>
      <c r="AV3959">
        <v>19.97</v>
      </c>
      <c r="AW3959" s="184">
        <v>44656</v>
      </c>
      <c r="AX3959" t="s">
        <v>17687</v>
      </c>
      <c r="AY3959">
        <v>50</v>
      </c>
      <c r="AZ3959" s="184">
        <v>44656</v>
      </c>
      <c r="BA3959" t="s">
        <v>17687</v>
      </c>
      <c r="BB3959">
        <v>50</v>
      </c>
      <c r="BC3959">
        <v>60</v>
      </c>
      <c r="BD3959">
        <v>389.97</v>
      </c>
      <c r="BE3959">
        <v>2010</v>
      </c>
      <c r="BF3959">
        <v>13</v>
      </c>
      <c r="BI3959">
        <v>9</v>
      </c>
      <c r="BJ3959">
        <v>15</v>
      </c>
      <c r="BK3959">
        <v>3</v>
      </c>
      <c r="BP3959" s="184"/>
    </row>
    <row r="3960" spans="1:68">
      <c r="A3960">
        <v>100134184</v>
      </c>
      <c r="B3960">
        <v>60897576</v>
      </c>
      <c r="C3960" t="s">
        <v>7018</v>
      </c>
      <c r="D3960" t="s">
        <v>595</v>
      </c>
      <c r="E3960" s="184">
        <v>44414</v>
      </c>
      <c r="G3960" s="184"/>
      <c r="I3960" s="184"/>
      <c r="K3960" s="184"/>
      <c r="M3960" s="184"/>
      <c r="O3960" s="184"/>
      <c r="P3960" t="s">
        <v>7045</v>
      </c>
      <c r="Q3960" t="s">
        <v>7383</v>
      </c>
      <c r="R3960" s="184">
        <v>19207</v>
      </c>
      <c r="S3960">
        <v>71</v>
      </c>
      <c r="U3960" t="s">
        <v>7076</v>
      </c>
      <c r="V3960" t="s">
        <v>3516</v>
      </c>
      <c r="X3960" t="s">
        <v>2999</v>
      </c>
      <c r="Z3960">
        <v>60897576</v>
      </c>
      <c r="AB3960" t="s">
        <v>2979</v>
      </c>
      <c r="AD3960" t="s">
        <v>2999</v>
      </c>
      <c r="AF3960" t="s">
        <v>29658</v>
      </c>
      <c r="AG3960" t="s">
        <v>29659</v>
      </c>
      <c r="AI3960" t="s">
        <v>29660</v>
      </c>
      <c r="AM3960" t="s">
        <v>29661</v>
      </c>
      <c r="AN3960" t="s">
        <v>2274</v>
      </c>
      <c r="AO3960" t="s">
        <v>29662</v>
      </c>
      <c r="AP3960" t="s">
        <v>7024</v>
      </c>
      <c r="AQ3960" t="s">
        <v>29663</v>
      </c>
      <c r="AR3960" t="s">
        <v>29664</v>
      </c>
      <c r="AT3960" s="184"/>
      <c r="AW3960" s="184"/>
      <c r="AZ3960" s="184"/>
      <c r="BP3960" s="184"/>
    </row>
    <row r="3961" spans="1:68">
      <c r="A3961">
        <v>60901378</v>
      </c>
      <c r="B3961">
        <v>60901378</v>
      </c>
      <c r="C3961" t="s">
        <v>7018</v>
      </c>
      <c r="E3961" s="184"/>
      <c r="F3961" t="s">
        <v>595</v>
      </c>
      <c r="G3961" s="184">
        <v>44441</v>
      </c>
      <c r="I3961" s="184"/>
      <c r="K3961" s="184"/>
      <c r="M3961" s="184"/>
      <c r="O3961" s="184"/>
      <c r="P3961" t="s">
        <v>7045</v>
      </c>
      <c r="Q3961" t="s">
        <v>7262</v>
      </c>
      <c r="R3961" s="184">
        <v>18102</v>
      </c>
      <c r="S3961">
        <v>74</v>
      </c>
      <c r="V3961" t="s">
        <v>3470</v>
      </c>
      <c r="X3961" t="s">
        <v>29665</v>
      </c>
      <c r="AF3961" t="s">
        <v>29666</v>
      </c>
      <c r="AG3961" t="s">
        <v>3470</v>
      </c>
      <c r="AI3961" t="s">
        <v>29667</v>
      </c>
      <c r="AM3961" t="s">
        <v>29668</v>
      </c>
      <c r="AN3961" t="s">
        <v>2106</v>
      </c>
      <c r="AO3961" t="s">
        <v>29669</v>
      </c>
      <c r="AP3961" t="s">
        <v>7024</v>
      </c>
      <c r="AQ3961" t="s">
        <v>29670</v>
      </c>
      <c r="AR3961" t="s">
        <v>29671</v>
      </c>
      <c r="AT3961" s="184">
        <v>40298</v>
      </c>
      <c r="AU3961" t="s">
        <v>29657</v>
      </c>
      <c r="AV3961">
        <v>19.97</v>
      </c>
      <c r="AW3961" s="184">
        <v>44651</v>
      </c>
      <c r="AX3961" t="s">
        <v>8543</v>
      </c>
      <c r="AY3961">
        <v>25</v>
      </c>
      <c r="AZ3961" s="184">
        <v>44215</v>
      </c>
      <c r="BA3961" t="s">
        <v>29672</v>
      </c>
      <c r="BB3961">
        <v>50</v>
      </c>
      <c r="BC3961">
        <v>67</v>
      </c>
      <c r="BD3961">
        <v>339.94</v>
      </c>
      <c r="BE3961">
        <v>2010</v>
      </c>
      <c r="BF3961">
        <v>12</v>
      </c>
      <c r="BI3961">
        <v>10</v>
      </c>
      <c r="BJ3961">
        <v>15</v>
      </c>
      <c r="BK3961">
        <v>4</v>
      </c>
    </row>
    <row r="3962" spans="1:68">
      <c r="A3962">
        <v>60990173</v>
      </c>
      <c r="B3962">
        <v>60990173</v>
      </c>
      <c r="C3962" t="s">
        <v>7018</v>
      </c>
      <c r="D3962" t="s">
        <v>595</v>
      </c>
      <c r="E3962" s="184">
        <v>44167</v>
      </c>
      <c r="G3962" s="184"/>
      <c r="I3962" s="184"/>
      <c r="K3962" s="184"/>
      <c r="M3962" s="184"/>
      <c r="O3962" s="184"/>
      <c r="P3962" t="s">
        <v>7045</v>
      </c>
      <c r="Q3962" t="s">
        <v>7262</v>
      </c>
      <c r="R3962" s="184">
        <v>11398</v>
      </c>
      <c r="S3962">
        <v>93</v>
      </c>
      <c r="U3962" t="s">
        <v>7076</v>
      </c>
      <c r="V3962" t="s">
        <v>3444</v>
      </c>
      <c r="X3962" t="s">
        <v>29673</v>
      </c>
      <c r="AF3962" t="s">
        <v>29674</v>
      </c>
      <c r="AG3962" t="s">
        <v>3444</v>
      </c>
      <c r="AI3962" t="s">
        <v>29675</v>
      </c>
      <c r="AM3962" t="s">
        <v>19352</v>
      </c>
      <c r="AN3962" t="s">
        <v>65</v>
      </c>
      <c r="AO3962" t="s">
        <v>29676</v>
      </c>
      <c r="AP3962" t="s">
        <v>7024</v>
      </c>
      <c r="AQ3962" t="s">
        <v>29677</v>
      </c>
      <c r="AR3962" t="s">
        <v>29678</v>
      </c>
      <c r="AT3962" s="184">
        <v>40302</v>
      </c>
      <c r="AU3962" t="s">
        <v>29679</v>
      </c>
      <c r="AV3962">
        <v>25.16</v>
      </c>
      <c r="AW3962" s="184">
        <v>43930</v>
      </c>
      <c r="AX3962" t="s">
        <v>29680</v>
      </c>
      <c r="AY3962">
        <v>50</v>
      </c>
      <c r="AZ3962" s="184">
        <v>43587</v>
      </c>
      <c r="BA3962" t="s">
        <v>29681</v>
      </c>
      <c r="BB3962">
        <v>100</v>
      </c>
      <c r="BC3962">
        <v>67</v>
      </c>
      <c r="BD3962">
        <v>1115.1600000000001</v>
      </c>
      <c r="BE3962">
        <v>2010</v>
      </c>
      <c r="BF3962">
        <v>26</v>
      </c>
      <c r="BI3962">
        <v>10</v>
      </c>
      <c r="BJ3962">
        <v>15</v>
      </c>
      <c r="BK3962">
        <v>7</v>
      </c>
    </row>
    <row r="3963" spans="1:68">
      <c r="A3963">
        <v>61070975</v>
      </c>
      <c r="B3963">
        <v>61070975</v>
      </c>
      <c r="C3963" t="s">
        <v>7018</v>
      </c>
      <c r="D3963" t="s">
        <v>595</v>
      </c>
      <c r="E3963" s="184">
        <v>45117</v>
      </c>
      <c r="G3963" s="184"/>
      <c r="I3963" s="184"/>
      <c r="K3963" s="184"/>
      <c r="M3963" s="184"/>
      <c r="O3963" s="184"/>
      <c r="P3963" t="s">
        <v>7045</v>
      </c>
      <c r="Q3963" t="s">
        <v>7383</v>
      </c>
      <c r="R3963" s="184">
        <v>22859</v>
      </c>
      <c r="S3963">
        <v>61</v>
      </c>
      <c r="V3963" t="s">
        <v>2523</v>
      </c>
      <c r="X3963" t="s">
        <v>4786</v>
      </c>
      <c r="AF3963" t="s">
        <v>29682</v>
      </c>
      <c r="AG3963" t="s">
        <v>2523</v>
      </c>
      <c r="AI3963" t="s">
        <v>29683</v>
      </c>
      <c r="AM3963" t="s">
        <v>4104</v>
      </c>
      <c r="AN3963" t="s">
        <v>2144</v>
      </c>
      <c r="AO3963" t="s">
        <v>29684</v>
      </c>
      <c r="AP3963" t="s">
        <v>7024</v>
      </c>
      <c r="AQ3963" t="s">
        <v>29685</v>
      </c>
      <c r="AT3963" s="184">
        <v>40304</v>
      </c>
      <c r="AU3963" t="s">
        <v>29686</v>
      </c>
      <c r="AV3963">
        <v>15</v>
      </c>
      <c r="AW3963" s="184">
        <v>44998</v>
      </c>
      <c r="AX3963" t="s">
        <v>15941</v>
      </c>
      <c r="AY3963">
        <v>25</v>
      </c>
      <c r="AZ3963" s="184">
        <v>44998</v>
      </c>
      <c r="BA3963" t="s">
        <v>15941</v>
      </c>
      <c r="BB3963">
        <v>25</v>
      </c>
      <c r="BC3963">
        <v>87</v>
      </c>
      <c r="BD3963">
        <v>323</v>
      </c>
      <c r="BE3963">
        <v>2010</v>
      </c>
      <c r="BF3963">
        <v>15</v>
      </c>
      <c r="BG3963">
        <v>1</v>
      </c>
      <c r="BH3963">
        <v>25</v>
      </c>
      <c r="BI3963">
        <v>13</v>
      </c>
      <c r="BJ3963">
        <v>15</v>
      </c>
      <c r="BK3963">
        <v>7</v>
      </c>
    </row>
    <row r="3964" spans="1:68">
      <c r="A3964">
        <v>61112876</v>
      </c>
      <c r="B3964">
        <v>61112876</v>
      </c>
      <c r="C3964" t="s">
        <v>7018</v>
      </c>
      <c r="E3964" s="184"/>
      <c r="G3964" s="184"/>
      <c r="I3964" s="184"/>
      <c r="J3964" t="s">
        <v>595</v>
      </c>
      <c r="K3964" s="184">
        <v>43388</v>
      </c>
      <c r="M3964" s="184"/>
      <c r="P3964" t="s">
        <v>7029</v>
      </c>
      <c r="Q3964" t="s">
        <v>7030</v>
      </c>
      <c r="R3964" s="184">
        <v>17497</v>
      </c>
      <c r="S3964">
        <v>76</v>
      </c>
      <c r="V3964" t="s">
        <v>3095</v>
      </c>
      <c r="X3964" t="s">
        <v>29687</v>
      </c>
      <c r="Z3964">
        <v>100218289</v>
      </c>
      <c r="AB3964" t="s">
        <v>2551</v>
      </c>
      <c r="AC3964" t="s">
        <v>7246</v>
      </c>
      <c r="AD3964" t="s">
        <v>29687</v>
      </c>
      <c r="AF3964" t="s">
        <v>6098</v>
      </c>
      <c r="AG3964" t="s">
        <v>3095</v>
      </c>
      <c r="AI3964" t="s">
        <v>29688</v>
      </c>
      <c r="AM3964" t="s">
        <v>3113</v>
      </c>
      <c r="AN3964" t="s">
        <v>2094</v>
      </c>
      <c r="AO3964" t="s">
        <v>29689</v>
      </c>
      <c r="AP3964" t="s">
        <v>7024</v>
      </c>
      <c r="AQ3964" t="s">
        <v>29690</v>
      </c>
      <c r="AR3964" t="s">
        <v>29691</v>
      </c>
      <c r="AT3964" s="184">
        <v>40305</v>
      </c>
      <c r="AU3964" t="s">
        <v>29590</v>
      </c>
      <c r="AV3964">
        <v>100</v>
      </c>
      <c r="AW3964" s="184">
        <v>45183</v>
      </c>
      <c r="AX3964" t="s">
        <v>29692</v>
      </c>
      <c r="AY3964">
        <v>2500</v>
      </c>
      <c r="AZ3964" s="184">
        <v>45183</v>
      </c>
      <c r="BA3964" t="s">
        <v>29692</v>
      </c>
      <c r="BB3964">
        <v>2500</v>
      </c>
      <c r="BC3964">
        <v>87</v>
      </c>
      <c r="BD3964">
        <v>14850</v>
      </c>
      <c r="BE3964">
        <v>2010</v>
      </c>
      <c r="BF3964">
        <v>14</v>
      </c>
      <c r="BG3964">
        <v>2</v>
      </c>
      <c r="BH3964">
        <v>5000</v>
      </c>
      <c r="BI3964">
        <v>13</v>
      </c>
      <c r="BJ3964">
        <v>15</v>
      </c>
      <c r="BK3964">
        <v>12</v>
      </c>
      <c r="BN3964" t="s">
        <v>595</v>
      </c>
      <c r="BP3964" s="184"/>
    </row>
    <row r="3965" spans="1:68">
      <c r="A3965">
        <v>61113072</v>
      </c>
      <c r="B3965">
        <v>61113072</v>
      </c>
      <c r="C3965" t="s">
        <v>7018</v>
      </c>
      <c r="E3965" s="184"/>
      <c r="G3965" s="184"/>
      <c r="I3965" s="184"/>
      <c r="J3965" t="s">
        <v>595</v>
      </c>
      <c r="K3965" s="184">
        <v>44073</v>
      </c>
      <c r="M3965" s="184"/>
      <c r="O3965" s="184"/>
      <c r="P3965" t="s">
        <v>7029</v>
      </c>
      <c r="Q3965" t="s">
        <v>7374</v>
      </c>
      <c r="R3965" s="184">
        <v>17427</v>
      </c>
      <c r="S3965">
        <v>76</v>
      </c>
      <c r="U3965" t="s">
        <v>7076</v>
      </c>
      <c r="V3965" t="s">
        <v>3098</v>
      </c>
      <c r="X3965" t="s">
        <v>4913</v>
      </c>
      <c r="Z3965">
        <v>79750410</v>
      </c>
      <c r="AA3965" t="s">
        <v>7031</v>
      </c>
      <c r="AB3965" t="s">
        <v>2687</v>
      </c>
      <c r="AC3965" t="s">
        <v>2308</v>
      </c>
      <c r="AD3965" t="s">
        <v>29693</v>
      </c>
      <c r="AF3965" t="s">
        <v>29694</v>
      </c>
      <c r="AG3965" t="s">
        <v>29695</v>
      </c>
      <c r="AI3965" t="s">
        <v>29696</v>
      </c>
      <c r="AM3965" t="s">
        <v>4544</v>
      </c>
      <c r="AN3965" t="s">
        <v>2526</v>
      </c>
      <c r="AO3965" t="s">
        <v>29697</v>
      </c>
      <c r="AP3965" t="s">
        <v>7024</v>
      </c>
      <c r="AQ3965" t="s">
        <v>29698</v>
      </c>
      <c r="AR3965" t="s">
        <v>29699</v>
      </c>
      <c r="AT3965" s="184">
        <v>40305</v>
      </c>
      <c r="AU3965" t="s">
        <v>29641</v>
      </c>
      <c r="AV3965">
        <v>25</v>
      </c>
      <c r="AW3965" s="184">
        <v>45043</v>
      </c>
      <c r="AX3965" t="s">
        <v>9262</v>
      </c>
      <c r="AY3965">
        <v>2000</v>
      </c>
      <c r="AZ3965" s="184">
        <v>45043</v>
      </c>
      <c r="BA3965" t="s">
        <v>9262</v>
      </c>
      <c r="BB3965">
        <v>2000</v>
      </c>
      <c r="BC3965">
        <v>74</v>
      </c>
      <c r="BD3965">
        <v>4560</v>
      </c>
      <c r="BE3965">
        <v>2010</v>
      </c>
      <c r="BF3965">
        <v>14</v>
      </c>
      <c r="BG3965">
        <v>1</v>
      </c>
      <c r="BH3965">
        <v>2000</v>
      </c>
      <c r="BI3965">
        <v>11</v>
      </c>
      <c r="BJ3965">
        <v>15</v>
      </c>
      <c r="BK3965">
        <v>5</v>
      </c>
    </row>
    <row r="3966" spans="1:68">
      <c r="A3966">
        <v>61318176</v>
      </c>
      <c r="B3966">
        <v>61318176</v>
      </c>
      <c r="C3966" t="s">
        <v>7018</v>
      </c>
      <c r="D3966" t="s">
        <v>595</v>
      </c>
      <c r="E3966" s="184">
        <v>44236</v>
      </c>
      <c r="G3966" s="184"/>
      <c r="I3966" s="184"/>
      <c r="K3966" s="184"/>
      <c r="O3966" s="184"/>
      <c r="P3966" t="s">
        <v>7045</v>
      </c>
      <c r="Q3966" t="s">
        <v>7383</v>
      </c>
      <c r="R3966" s="184">
        <v>15200</v>
      </c>
      <c r="S3966">
        <v>82</v>
      </c>
      <c r="V3966" t="s">
        <v>3692</v>
      </c>
      <c r="X3966" t="s">
        <v>29700</v>
      </c>
      <c r="Z3966">
        <v>100134337</v>
      </c>
      <c r="AB3966" t="s">
        <v>3435</v>
      </c>
      <c r="AD3966" t="s">
        <v>29700</v>
      </c>
      <c r="AF3966" t="s">
        <v>29701</v>
      </c>
      <c r="AG3966" t="s">
        <v>29702</v>
      </c>
      <c r="AI3966" t="s">
        <v>29703</v>
      </c>
      <c r="AM3966" t="s">
        <v>5106</v>
      </c>
      <c r="AN3966" t="s">
        <v>2072</v>
      </c>
      <c r="AO3966" t="s">
        <v>29704</v>
      </c>
      <c r="AP3966" t="s">
        <v>7024</v>
      </c>
      <c r="AQ3966" t="s">
        <v>29705</v>
      </c>
      <c r="AR3966" t="s">
        <v>29706</v>
      </c>
      <c r="AT3966" s="184">
        <v>40311</v>
      </c>
      <c r="AU3966" t="s">
        <v>29707</v>
      </c>
      <c r="AV3966">
        <v>50</v>
      </c>
      <c r="AW3966" s="184">
        <v>45350</v>
      </c>
      <c r="AX3966" t="s">
        <v>26283</v>
      </c>
      <c r="AY3966">
        <v>100</v>
      </c>
      <c r="AZ3966" s="184">
        <v>42475</v>
      </c>
      <c r="BA3966" t="s">
        <v>29708</v>
      </c>
      <c r="BB3966">
        <v>115</v>
      </c>
      <c r="BC3966">
        <v>74</v>
      </c>
      <c r="BD3966">
        <v>1105</v>
      </c>
      <c r="BE3966">
        <v>2010</v>
      </c>
      <c r="BF3966">
        <v>13</v>
      </c>
      <c r="BG3966">
        <v>2</v>
      </c>
      <c r="BH3966">
        <v>200</v>
      </c>
      <c r="BI3966">
        <v>11</v>
      </c>
      <c r="BJ3966">
        <v>15</v>
      </c>
      <c r="BK3966">
        <v>6</v>
      </c>
      <c r="BN3966" t="s">
        <v>595</v>
      </c>
    </row>
    <row r="3967" spans="1:68">
      <c r="A3967">
        <v>100134337</v>
      </c>
      <c r="B3967">
        <v>61318176</v>
      </c>
      <c r="C3967" t="s">
        <v>7018</v>
      </c>
      <c r="D3967" t="s">
        <v>595</v>
      </c>
      <c r="E3967" s="184">
        <v>44236</v>
      </c>
      <c r="G3967" s="184"/>
      <c r="I3967" s="184"/>
      <c r="K3967" s="184"/>
      <c r="M3967" s="184"/>
      <c r="O3967" s="184"/>
      <c r="P3967" t="s">
        <v>7045</v>
      </c>
      <c r="Q3967" t="s">
        <v>7383</v>
      </c>
      <c r="R3967" s="184">
        <v>16826</v>
      </c>
      <c r="S3967">
        <v>78</v>
      </c>
      <c r="V3967" t="s">
        <v>3435</v>
      </c>
      <c r="X3967" t="s">
        <v>29700</v>
      </c>
      <c r="Z3967">
        <v>61318176</v>
      </c>
      <c r="AB3967" t="s">
        <v>3692</v>
      </c>
      <c r="AD3967" t="s">
        <v>29700</v>
      </c>
      <c r="AF3967" t="s">
        <v>29701</v>
      </c>
      <c r="AG3967" t="s">
        <v>29702</v>
      </c>
      <c r="AI3967" t="s">
        <v>29703</v>
      </c>
      <c r="AM3967" t="s">
        <v>5106</v>
      </c>
      <c r="AN3967" t="s">
        <v>2072</v>
      </c>
      <c r="AO3967" t="s">
        <v>29704</v>
      </c>
      <c r="AP3967" t="s">
        <v>7024</v>
      </c>
      <c r="AT3967" s="184"/>
      <c r="AW3967" s="184"/>
      <c r="AZ3967" s="184"/>
      <c r="BP3967" s="184"/>
    </row>
    <row r="3968" spans="1:68">
      <c r="A3968">
        <v>61368387</v>
      </c>
      <c r="B3968">
        <v>61368387</v>
      </c>
      <c r="C3968" t="s">
        <v>7018</v>
      </c>
      <c r="D3968" t="s">
        <v>595</v>
      </c>
      <c r="E3968" s="184">
        <v>44167</v>
      </c>
      <c r="G3968" s="184"/>
      <c r="I3968" s="184"/>
      <c r="K3968" s="184"/>
      <c r="M3968" s="184"/>
      <c r="O3968" s="184"/>
      <c r="P3968" t="s">
        <v>7045</v>
      </c>
      <c r="Q3968" t="s">
        <v>7262</v>
      </c>
      <c r="R3968" s="184">
        <v>16240</v>
      </c>
      <c r="S3968">
        <v>79</v>
      </c>
      <c r="U3968" t="s">
        <v>7130</v>
      </c>
      <c r="V3968" t="s">
        <v>18610</v>
      </c>
      <c r="W3968" t="s">
        <v>4210</v>
      </c>
      <c r="X3968" t="s">
        <v>2814</v>
      </c>
      <c r="AF3968" t="s">
        <v>29709</v>
      </c>
      <c r="AG3968" t="s">
        <v>18610</v>
      </c>
      <c r="AI3968" t="s">
        <v>29710</v>
      </c>
      <c r="AM3968" t="s">
        <v>29711</v>
      </c>
      <c r="AN3968" t="s">
        <v>2219</v>
      </c>
      <c r="AO3968" t="s">
        <v>29712</v>
      </c>
      <c r="AP3968" t="s">
        <v>7024</v>
      </c>
      <c r="AQ3968" t="s">
        <v>29713</v>
      </c>
      <c r="AR3968" t="s">
        <v>29714</v>
      </c>
      <c r="AT3968" s="184">
        <v>40312</v>
      </c>
      <c r="AU3968" t="s">
        <v>29715</v>
      </c>
      <c r="AV3968">
        <v>25</v>
      </c>
      <c r="AW3968" s="184">
        <v>45423</v>
      </c>
      <c r="AX3968" t="s">
        <v>8462</v>
      </c>
      <c r="AY3968">
        <v>100</v>
      </c>
      <c r="AZ3968" s="184">
        <v>45423</v>
      </c>
      <c r="BA3968" t="s">
        <v>8462</v>
      </c>
      <c r="BB3968">
        <v>100</v>
      </c>
      <c r="BC3968">
        <v>100</v>
      </c>
      <c r="BD3968">
        <v>1465</v>
      </c>
      <c r="BE3968">
        <v>2010</v>
      </c>
      <c r="BF3968">
        <v>33</v>
      </c>
      <c r="BG3968">
        <v>4</v>
      </c>
      <c r="BH3968">
        <v>225</v>
      </c>
      <c r="BI3968">
        <v>15</v>
      </c>
      <c r="BJ3968">
        <v>15</v>
      </c>
      <c r="BK3968">
        <v>15</v>
      </c>
      <c r="BP3968" s="184"/>
    </row>
    <row r="3969" spans="1:68">
      <c r="A3969">
        <v>61397774</v>
      </c>
      <c r="B3969">
        <v>61397774</v>
      </c>
      <c r="C3969" t="s">
        <v>7018</v>
      </c>
      <c r="D3969" t="s">
        <v>595</v>
      </c>
      <c r="E3969" s="184">
        <v>45154</v>
      </c>
      <c r="G3969" s="184"/>
      <c r="I3969" s="184"/>
      <c r="K3969" s="184"/>
      <c r="M3969" s="184"/>
      <c r="P3969" t="s">
        <v>7045</v>
      </c>
      <c r="Q3969" t="s">
        <v>7383</v>
      </c>
      <c r="R3969" s="184">
        <v>12601</v>
      </c>
      <c r="S3969">
        <v>89</v>
      </c>
      <c r="V3969" t="s">
        <v>3468</v>
      </c>
      <c r="X3969" t="s">
        <v>29716</v>
      </c>
      <c r="Z3969">
        <v>100183789</v>
      </c>
      <c r="AB3969" t="s">
        <v>4764</v>
      </c>
      <c r="AD3969" t="s">
        <v>29716</v>
      </c>
      <c r="AF3969" t="s">
        <v>29717</v>
      </c>
      <c r="AG3969" t="s">
        <v>3468</v>
      </c>
      <c r="AI3969" t="s">
        <v>29718</v>
      </c>
      <c r="AM3969" t="s">
        <v>29719</v>
      </c>
      <c r="AN3969" t="s">
        <v>2313</v>
      </c>
      <c r="AO3969">
        <v>62568</v>
      </c>
      <c r="AP3969" t="s">
        <v>7024</v>
      </c>
      <c r="AT3969" s="184">
        <v>40315</v>
      </c>
      <c r="AU3969" t="s">
        <v>29720</v>
      </c>
      <c r="AV3969">
        <v>20</v>
      </c>
      <c r="AW3969" s="184">
        <v>44981</v>
      </c>
      <c r="AX3969" t="s">
        <v>29721</v>
      </c>
      <c r="AY3969">
        <v>50</v>
      </c>
      <c r="AZ3969" s="184">
        <v>44943</v>
      </c>
      <c r="BA3969" t="s">
        <v>29722</v>
      </c>
      <c r="BB3969">
        <v>100</v>
      </c>
      <c r="BC3969">
        <v>87</v>
      </c>
      <c r="BD3969">
        <v>1930</v>
      </c>
      <c r="BE3969">
        <v>2010</v>
      </c>
      <c r="BF3969">
        <v>41</v>
      </c>
      <c r="BG3969">
        <v>2</v>
      </c>
      <c r="BH3969">
        <v>150</v>
      </c>
      <c r="BI3969">
        <v>13</v>
      </c>
      <c r="BJ3969">
        <v>15</v>
      </c>
      <c r="BK3969">
        <v>12</v>
      </c>
    </row>
    <row r="3970" spans="1:68">
      <c r="A3970">
        <v>100183789</v>
      </c>
      <c r="B3970">
        <v>61397774</v>
      </c>
      <c r="C3970" t="s">
        <v>7018</v>
      </c>
      <c r="D3970" t="s">
        <v>595</v>
      </c>
      <c r="E3970" s="184">
        <v>45154</v>
      </c>
      <c r="G3970" s="184"/>
      <c r="I3970" s="184"/>
      <c r="K3970" s="184"/>
      <c r="M3970" s="184"/>
      <c r="O3970" s="184"/>
      <c r="P3970" t="s">
        <v>7045</v>
      </c>
      <c r="Q3970" t="s">
        <v>7383</v>
      </c>
      <c r="R3970" s="184"/>
      <c r="V3970" t="s">
        <v>4764</v>
      </c>
      <c r="X3970" t="s">
        <v>29716</v>
      </c>
      <c r="Z3970">
        <v>61397774</v>
      </c>
      <c r="AB3970" t="s">
        <v>3468</v>
      </c>
      <c r="AD3970" t="s">
        <v>29716</v>
      </c>
      <c r="AF3970" t="s">
        <v>29717</v>
      </c>
      <c r="AG3970" t="s">
        <v>3468</v>
      </c>
      <c r="AI3970" t="s">
        <v>29718</v>
      </c>
      <c r="AM3970" t="s">
        <v>29719</v>
      </c>
      <c r="AN3970" t="s">
        <v>2313</v>
      </c>
      <c r="AO3970">
        <v>62568</v>
      </c>
      <c r="AP3970" t="s">
        <v>7024</v>
      </c>
      <c r="AQ3970" t="s">
        <v>29723</v>
      </c>
      <c r="AT3970" s="184"/>
      <c r="AW3970" s="184"/>
      <c r="AZ3970" s="184"/>
      <c r="BO3970" t="s">
        <v>595</v>
      </c>
    </row>
    <row r="3971" spans="1:68">
      <c r="A3971">
        <v>61420790</v>
      </c>
      <c r="B3971">
        <v>61420790</v>
      </c>
      <c r="C3971" t="s">
        <v>7018</v>
      </c>
      <c r="D3971" t="s">
        <v>595</v>
      </c>
      <c r="E3971" s="184">
        <v>44455</v>
      </c>
      <c r="G3971" s="184"/>
      <c r="I3971" s="184"/>
      <c r="K3971" s="184"/>
      <c r="M3971" s="184"/>
      <c r="O3971" s="184"/>
      <c r="P3971" t="s">
        <v>7045</v>
      </c>
      <c r="Q3971" t="s">
        <v>7160</v>
      </c>
      <c r="R3971" s="184">
        <v>15734</v>
      </c>
      <c r="S3971">
        <v>81</v>
      </c>
      <c r="V3971" t="s">
        <v>3350</v>
      </c>
      <c r="X3971" t="s">
        <v>2962</v>
      </c>
      <c r="Z3971">
        <v>100134373</v>
      </c>
      <c r="AB3971" t="s">
        <v>17278</v>
      </c>
      <c r="AD3971" t="s">
        <v>2962</v>
      </c>
      <c r="AF3971" t="s">
        <v>29724</v>
      </c>
      <c r="AG3971" t="s">
        <v>29725</v>
      </c>
      <c r="AI3971" t="s">
        <v>29726</v>
      </c>
      <c r="AM3971" t="s">
        <v>3829</v>
      </c>
      <c r="AN3971" t="s">
        <v>2446</v>
      </c>
      <c r="AO3971" t="s">
        <v>29727</v>
      </c>
      <c r="AP3971" t="s">
        <v>7024</v>
      </c>
      <c r="AQ3971" t="s">
        <v>29728</v>
      </c>
      <c r="AT3971" s="184">
        <v>40316</v>
      </c>
      <c r="AU3971" t="s">
        <v>29729</v>
      </c>
      <c r="AV3971">
        <v>25</v>
      </c>
      <c r="AW3971" s="184">
        <v>45408</v>
      </c>
      <c r="AX3971" t="s">
        <v>7429</v>
      </c>
      <c r="AY3971">
        <v>10</v>
      </c>
      <c r="AZ3971" s="184">
        <v>43186</v>
      </c>
      <c r="BA3971" t="s">
        <v>22568</v>
      </c>
      <c r="BB3971">
        <v>35</v>
      </c>
      <c r="BC3971">
        <v>67</v>
      </c>
      <c r="BD3971">
        <v>495</v>
      </c>
      <c r="BE3971">
        <v>2010</v>
      </c>
      <c r="BF3971">
        <v>38</v>
      </c>
      <c r="BG3971">
        <v>24</v>
      </c>
      <c r="BH3971">
        <v>240</v>
      </c>
      <c r="BI3971">
        <v>10</v>
      </c>
      <c r="BJ3971">
        <v>15</v>
      </c>
      <c r="BK3971">
        <v>5</v>
      </c>
    </row>
    <row r="3972" spans="1:68">
      <c r="A3972">
        <v>100134373</v>
      </c>
      <c r="B3972">
        <v>61420790</v>
      </c>
      <c r="C3972" t="s">
        <v>7018</v>
      </c>
      <c r="D3972" t="s">
        <v>595</v>
      </c>
      <c r="E3972" s="184">
        <v>44455</v>
      </c>
      <c r="G3972" s="184"/>
      <c r="I3972" s="184"/>
      <c r="K3972" s="184"/>
      <c r="O3972" s="184"/>
      <c r="P3972" t="s">
        <v>7045</v>
      </c>
      <c r="Q3972" t="s">
        <v>7160</v>
      </c>
      <c r="R3972" s="184">
        <v>15219</v>
      </c>
      <c r="S3972">
        <v>82</v>
      </c>
      <c r="V3972" t="s">
        <v>17278</v>
      </c>
      <c r="X3972" t="s">
        <v>2962</v>
      </c>
      <c r="Z3972">
        <v>61420790</v>
      </c>
      <c r="AB3972" t="s">
        <v>3350</v>
      </c>
      <c r="AD3972" t="s">
        <v>2962</v>
      </c>
      <c r="AF3972" t="s">
        <v>29724</v>
      </c>
      <c r="AG3972" t="s">
        <v>29725</v>
      </c>
      <c r="AI3972" t="s">
        <v>29726</v>
      </c>
      <c r="AM3972" t="s">
        <v>3829</v>
      </c>
      <c r="AN3972" t="s">
        <v>2446</v>
      </c>
      <c r="AO3972" t="s">
        <v>29727</v>
      </c>
      <c r="AP3972" t="s">
        <v>7024</v>
      </c>
      <c r="AT3972" s="184"/>
      <c r="AW3972" s="184"/>
      <c r="AZ3972" s="184"/>
      <c r="BP3972" s="184"/>
    </row>
    <row r="3973" spans="1:68">
      <c r="A3973">
        <v>61460176</v>
      </c>
      <c r="B3973">
        <v>61460176</v>
      </c>
      <c r="C3973" t="s">
        <v>7018</v>
      </c>
      <c r="E3973" s="184"/>
      <c r="G3973" s="184"/>
      <c r="I3973" s="184"/>
      <c r="J3973" t="s">
        <v>595</v>
      </c>
      <c r="K3973" s="184">
        <v>42135</v>
      </c>
      <c r="M3973" s="184"/>
      <c r="O3973" s="184"/>
      <c r="P3973" t="s">
        <v>7084</v>
      </c>
      <c r="Q3973" t="s">
        <v>7262</v>
      </c>
      <c r="R3973" s="184">
        <v>11079</v>
      </c>
      <c r="S3973">
        <v>94</v>
      </c>
      <c r="U3973" t="s">
        <v>7031</v>
      </c>
      <c r="V3973" t="s">
        <v>2697</v>
      </c>
      <c r="W3973" t="s">
        <v>7836</v>
      </c>
      <c r="X3973" t="s">
        <v>5404</v>
      </c>
      <c r="Z3973">
        <v>100134394</v>
      </c>
      <c r="AA3973" t="s">
        <v>7130</v>
      </c>
      <c r="AB3973" t="s">
        <v>3468</v>
      </c>
      <c r="AC3973" t="s">
        <v>7085</v>
      </c>
      <c r="AD3973" t="s">
        <v>5404</v>
      </c>
      <c r="AF3973" t="s">
        <v>29730</v>
      </c>
      <c r="AG3973" t="s">
        <v>11960</v>
      </c>
      <c r="AI3973" t="s">
        <v>29731</v>
      </c>
      <c r="AM3973" t="s">
        <v>2679</v>
      </c>
      <c r="AN3973" t="s">
        <v>2318</v>
      </c>
      <c r="AO3973" t="s">
        <v>29732</v>
      </c>
      <c r="AP3973" t="s">
        <v>7024</v>
      </c>
      <c r="AQ3973" t="s">
        <v>29733</v>
      </c>
      <c r="AR3973" t="s">
        <v>29734</v>
      </c>
      <c r="AT3973" s="184">
        <v>40330</v>
      </c>
      <c r="AU3973" t="s">
        <v>29735</v>
      </c>
      <c r="AV3973">
        <v>1000</v>
      </c>
      <c r="AW3973" s="184">
        <v>44895</v>
      </c>
      <c r="AX3973" t="s">
        <v>7506</v>
      </c>
      <c r="AY3973">
        <v>10000</v>
      </c>
      <c r="AZ3973" s="184">
        <v>43490</v>
      </c>
      <c r="BA3973" t="s">
        <v>22624</v>
      </c>
      <c r="BB3973">
        <v>75000</v>
      </c>
      <c r="BC3973">
        <v>67</v>
      </c>
      <c r="BD3973">
        <v>170500</v>
      </c>
      <c r="BE3973">
        <v>2010</v>
      </c>
      <c r="BF3973">
        <v>15</v>
      </c>
      <c r="BG3973">
        <v>1</v>
      </c>
      <c r="BH3973">
        <v>10000</v>
      </c>
      <c r="BI3973">
        <v>10</v>
      </c>
      <c r="BJ3973">
        <v>15</v>
      </c>
      <c r="BK3973">
        <v>4</v>
      </c>
      <c r="BN3973" t="s">
        <v>595</v>
      </c>
      <c r="BP3973" s="184"/>
    </row>
    <row r="3974" spans="1:68">
      <c r="A3974">
        <v>100134394</v>
      </c>
      <c r="B3974">
        <v>61460176</v>
      </c>
      <c r="C3974" t="s">
        <v>7018</v>
      </c>
      <c r="E3974" s="184"/>
      <c r="G3974" s="184"/>
      <c r="I3974" s="184"/>
      <c r="J3974" t="s">
        <v>595</v>
      </c>
      <c r="K3974" s="184">
        <v>43649</v>
      </c>
      <c r="M3974" s="184"/>
      <c r="O3974" s="184"/>
      <c r="P3974" t="s">
        <v>7084</v>
      </c>
      <c r="Q3974" t="s">
        <v>7262</v>
      </c>
      <c r="R3974" s="184">
        <v>15307</v>
      </c>
      <c r="S3974">
        <v>82</v>
      </c>
      <c r="U3974" t="s">
        <v>7130</v>
      </c>
      <c r="V3974" t="s">
        <v>3468</v>
      </c>
      <c r="W3974" t="s">
        <v>7085</v>
      </c>
      <c r="X3974" t="s">
        <v>5404</v>
      </c>
      <c r="Z3974">
        <v>61460176</v>
      </c>
      <c r="AA3974" t="s">
        <v>7031</v>
      </c>
      <c r="AB3974" t="s">
        <v>2697</v>
      </c>
      <c r="AC3974" t="s">
        <v>7836</v>
      </c>
      <c r="AD3974" t="s">
        <v>5404</v>
      </c>
      <c r="AF3974" t="s">
        <v>29730</v>
      </c>
      <c r="AG3974" t="s">
        <v>11960</v>
      </c>
      <c r="AI3974" t="s">
        <v>29731</v>
      </c>
      <c r="AM3974" t="s">
        <v>2679</v>
      </c>
      <c r="AN3974" t="s">
        <v>2318</v>
      </c>
      <c r="AO3974" t="s">
        <v>29732</v>
      </c>
      <c r="AP3974" t="s">
        <v>7024</v>
      </c>
      <c r="AT3974" s="184"/>
      <c r="AW3974" s="184"/>
      <c r="AZ3974" s="184"/>
    </row>
    <row r="3975" spans="1:68">
      <c r="A3975">
        <v>61472536</v>
      </c>
      <c r="B3975">
        <v>61472536</v>
      </c>
      <c r="C3975" t="s">
        <v>7018</v>
      </c>
      <c r="D3975" t="s">
        <v>595</v>
      </c>
      <c r="E3975" s="184">
        <v>45120</v>
      </c>
      <c r="G3975" s="184"/>
      <c r="I3975" s="184"/>
      <c r="K3975" s="184"/>
      <c r="M3975" s="184"/>
      <c r="P3975" t="s">
        <v>7045</v>
      </c>
      <c r="Q3975" t="s">
        <v>7383</v>
      </c>
      <c r="R3975" s="184">
        <v>23033</v>
      </c>
      <c r="S3975">
        <v>61</v>
      </c>
      <c r="V3975" t="s">
        <v>3043</v>
      </c>
      <c r="W3975" t="s">
        <v>7407</v>
      </c>
      <c r="X3975" t="s">
        <v>29736</v>
      </c>
      <c r="AF3975" t="s">
        <v>29737</v>
      </c>
      <c r="AG3975" t="s">
        <v>3043</v>
      </c>
      <c r="AI3975" t="s">
        <v>29738</v>
      </c>
      <c r="AM3975" t="s">
        <v>3345</v>
      </c>
      <c r="AN3975" t="s">
        <v>2274</v>
      </c>
      <c r="AO3975" t="s">
        <v>29739</v>
      </c>
      <c r="AP3975" t="s">
        <v>7024</v>
      </c>
      <c r="AQ3975" t="s">
        <v>29740</v>
      </c>
      <c r="AT3975" s="184">
        <v>40317</v>
      </c>
      <c r="AU3975" t="s">
        <v>29741</v>
      </c>
      <c r="AV3975">
        <v>25</v>
      </c>
      <c r="AW3975" s="184">
        <v>45371</v>
      </c>
      <c r="AX3975" t="s">
        <v>10707</v>
      </c>
      <c r="AY3975">
        <v>50</v>
      </c>
      <c r="AZ3975" s="184">
        <v>45371</v>
      </c>
      <c r="BA3975" t="s">
        <v>10707</v>
      </c>
      <c r="BB3975">
        <v>50</v>
      </c>
      <c r="BC3975">
        <v>34</v>
      </c>
      <c r="BD3975">
        <v>250</v>
      </c>
      <c r="BE3975">
        <v>2010</v>
      </c>
      <c r="BF3975">
        <v>6</v>
      </c>
      <c r="BG3975">
        <v>3</v>
      </c>
      <c r="BH3975">
        <v>150</v>
      </c>
      <c r="BI3975">
        <v>5</v>
      </c>
      <c r="BJ3975">
        <v>15</v>
      </c>
      <c r="BK3975">
        <v>4</v>
      </c>
    </row>
    <row r="3976" spans="1:68">
      <c r="A3976">
        <v>61496063</v>
      </c>
      <c r="B3976">
        <v>61496063</v>
      </c>
      <c r="C3976" t="s">
        <v>7018</v>
      </c>
      <c r="D3976" t="s">
        <v>595</v>
      </c>
      <c r="E3976" s="184">
        <v>45105</v>
      </c>
      <c r="G3976" s="184"/>
      <c r="I3976" s="184"/>
      <c r="K3976" s="184"/>
      <c r="M3976" s="184"/>
      <c r="O3976" s="184"/>
      <c r="P3976" t="s">
        <v>7045</v>
      </c>
      <c r="Q3976" t="s">
        <v>7194</v>
      </c>
      <c r="R3976" s="184">
        <v>13820</v>
      </c>
      <c r="S3976">
        <v>86</v>
      </c>
      <c r="U3976" t="s">
        <v>7130</v>
      </c>
      <c r="V3976" t="s">
        <v>2985</v>
      </c>
      <c r="W3976" t="s">
        <v>4139</v>
      </c>
      <c r="X3976" t="s">
        <v>3092</v>
      </c>
      <c r="AF3976" t="s">
        <v>29742</v>
      </c>
      <c r="AG3976" t="s">
        <v>2985</v>
      </c>
      <c r="AI3976" t="s">
        <v>29743</v>
      </c>
      <c r="AM3976" t="s">
        <v>29744</v>
      </c>
      <c r="AN3976" t="s">
        <v>4512</v>
      </c>
      <c r="AO3976" t="s">
        <v>29745</v>
      </c>
      <c r="AP3976" t="s">
        <v>7024</v>
      </c>
      <c r="AQ3976" t="s">
        <v>29746</v>
      </c>
      <c r="AR3976" t="s">
        <v>29747</v>
      </c>
      <c r="AT3976" s="184">
        <v>40319</v>
      </c>
      <c r="AU3976" t="s">
        <v>29748</v>
      </c>
      <c r="AV3976">
        <v>50</v>
      </c>
      <c r="AW3976" s="184">
        <v>45330</v>
      </c>
      <c r="AX3976" t="s">
        <v>9510</v>
      </c>
      <c r="AY3976">
        <v>50</v>
      </c>
      <c r="AZ3976" s="184">
        <v>45048</v>
      </c>
      <c r="BA3976" t="s">
        <v>29749</v>
      </c>
      <c r="BB3976">
        <v>100</v>
      </c>
      <c r="BC3976">
        <v>67</v>
      </c>
      <c r="BD3976">
        <v>685</v>
      </c>
      <c r="BE3976">
        <v>2010</v>
      </c>
      <c r="BF3976">
        <v>13</v>
      </c>
      <c r="BG3976">
        <v>4</v>
      </c>
      <c r="BH3976">
        <v>250</v>
      </c>
      <c r="BI3976">
        <v>10</v>
      </c>
      <c r="BJ3976">
        <v>15</v>
      </c>
      <c r="BK3976">
        <v>4</v>
      </c>
      <c r="BN3976" t="s">
        <v>595</v>
      </c>
      <c r="BP3976" s="184"/>
    </row>
    <row r="3977" spans="1:68">
      <c r="A3977">
        <v>61506713</v>
      </c>
      <c r="B3977">
        <v>61506713</v>
      </c>
      <c r="C3977" t="s">
        <v>7018</v>
      </c>
      <c r="E3977" s="184"/>
      <c r="F3977" t="s">
        <v>595</v>
      </c>
      <c r="G3977" s="184">
        <v>44073</v>
      </c>
      <c r="I3977" s="184"/>
      <c r="K3977" s="184"/>
      <c r="M3977" s="184"/>
      <c r="O3977" s="184"/>
      <c r="P3977" t="s">
        <v>7045</v>
      </c>
      <c r="Q3977" t="s">
        <v>7383</v>
      </c>
      <c r="R3977" s="184">
        <v>21610</v>
      </c>
      <c r="S3977">
        <v>65</v>
      </c>
      <c r="U3977" t="s">
        <v>7130</v>
      </c>
      <c r="V3977" t="s">
        <v>3516</v>
      </c>
      <c r="X3977" t="s">
        <v>2833</v>
      </c>
      <c r="AF3977" t="s">
        <v>29750</v>
      </c>
      <c r="AG3977" t="s">
        <v>3516</v>
      </c>
      <c r="AI3977" t="s">
        <v>29751</v>
      </c>
      <c r="AM3977" t="s">
        <v>2850</v>
      </c>
      <c r="AN3977" t="s">
        <v>2144</v>
      </c>
      <c r="AO3977" t="s">
        <v>29752</v>
      </c>
      <c r="AP3977" t="s">
        <v>7024</v>
      </c>
      <c r="AQ3977" t="s">
        <v>29753</v>
      </c>
      <c r="AT3977" s="184">
        <v>40322</v>
      </c>
      <c r="AU3977" t="s">
        <v>29754</v>
      </c>
      <c r="AV3977">
        <v>20.16</v>
      </c>
      <c r="AW3977" s="184">
        <v>45397</v>
      </c>
      <c r="AX3977" t="s">
        <v>7429</v>
      </c>
      <c r="AY3977">
        <v>10</v>
      </c>
      <c r="AZ3977" s="184">
        <v>40931</v>
      </c>
      <c r="BA3977" t="s">
        <v>29755</v>
      </c>
      <c r="BB3977">
        <v>55</v>
      </c>
      <c r="BC3977">
        <v>100</v>
      </c>
      <c r="BD3977">
        <v>1355.16</v>
      </c>
      <c r="BE3977">
        <v>2010</v>
      </c>
      <c r="BF3977">
        <v>118</v>
      </c>
      <c r="BG3977">
        <v>24</v>
      </c>
      <c r="BH3977">
        <v>240</v>
      </c>
      <c r="BI3977">
        <v>15</v>
      </c>
      <c r="BJ3977">
        <v>15</v>
      </c>
      <c r="BK3977">
        <v>15</v>
      </c>
      <c r="BN3977" t="s">
        <v>595</v>
      </c>
    </row>
    <row r="3978" spans="1:68">
      <c r="A3978">
        <v>61564183</v>
      </c>
      <c r="B3978">
        <v>61564183</v>
      </c>
      <c r="C3978" t="s">
        <v>7018</v>
      </c>
      <c r="D3978" t="s">
        <v>595</v>
      </c>
      <c r="E3978" s="184">
        <v>44073</v>
      </c>
      <c r="G3978" s="184"/>
      <c r="I3978" s="184"/>
      <c r="K3978" s="184"/>
      <c r="M3978" s="184"/>
      <c r="P3978" t="s">
        <v>7029</v>
      </c>
      <c r="Q3978" t="s">
        <v>7030</v>
      </c>
      <c r="R3978" s="184">
        <v>16317</v>
      </c>
      <c r="S3978">
        <v>79</v>
      </c>
      <c r="V3978" t="s">
        <v>2718</v>
      </c>
      <c r="W3978" t="s">
        <v>4139</v>
      </c>
      <c r="X3978" t="s">
        <v>22237</v>
      </c>
      <c r="Z3978">
        <v>100606161</v>
      </c>
      <c r="AB3978" t="s">
        <v>2828</v>
      </c>
      <c r="AD3978" t="s">
        <v>29756</v>
      </c>
      <c r="AF3978" t="s">
        <v>29757</v>
      </c>
      <c r="AG3978" t="s">
        <v>29758</v>
      </c>
      <c r="AI3978" t="s">
        <v>29759</v>
      </c>
      <c r="AM3978" t="s">
        <v>2637</v>
      </c>
      <c r="AN3978" t="s">
        <v>2638</v>
      </c>
      <c r="AO3978" t="s">
        <v>29760</v>
      </c>
      <c r="AP3978" t="s">
        <v>7024</v>
      </c>
      <c r="AQ3978" t="s">
        <v>29761</v>
      </c>
      <c r="AT3978" s="184">
        <v>40330</v>
      </c>
      <c r="AU3978" t="s">
        <v>29762</v>
      </c>
      <c r="AV3978">
        <v>100</v>
      </c>
      <c r="AW3978" s="184">
        <v>44761</v>
      </c>
      <c r="AX3978" t="s">
        <v>12294</v>
      </c>
      <c r="AY3978">
        <v>1000</v>
      </c>
      <c r="AZ3978" s="184">
        <v>44761</v>
      </c>
      <c r="BA3978" t="s">
        <v>12294</v>
      </c>
      <c r="BB3978">
        <v>1000</v>
      </c>
      <c r="BC3978">
        <v>87</v>
      </c>
      <c r="BD3978">
        <v>5350</v>
      </c>
      <c r="BE3978">
        <v>2010</v>
      </c>
      <c r="BF3978">
        <v>19</v>
      </c>
      <c r="BG3978">
        <v>1</v>
      </c>
      <c r="BH3978">
        <v>1000</v>
      </c>
      <c r="BI3978">
        <v>13</v>
      </c>
      <c r="BJ3978">
        <v>15</v>
      </c>
      <c r="BK3978">
        <v>13</v>
      </c>
    </row>
    <row r="3979" spans="1:68">
      <c r="A3979">
        <v>61608204</v>
      </c>
      <c r="B3979">
        <v>61608204</v>
      </c>
      <c r="C3979" t="s">
        <v>7018</v>
      </c>
      <c r="E3979" s="184"/>
      <c r="G3979" s="184"/>
      <c r="I3979" s="184"/>
      <c r="J3979" t="s">
        <v>595</v>
      </c>
      <c r="K3979" s="184">
        <v>42033</v>
      </c>
      <c r="M3979" s="184"/>
      <c r="P3979" t="s">
        <v>7029</v>
      </c>
      <c r="Q3979" t="s">
        <v>7774</v>
      </c>
      <c r="R3979" s="184">
        <v>12201</v>
      </c>
      <c r="S3979">
        <v>90</v>
      </c>
      <c r="U3979" t="s">
        <v>7130</v>
      </c>
      <c r="V3979" t="s">
        <v>5928</v>
      </c>
      <c r="W3979" t="s">
        <v>2058</v>
      </c>
      <c r="X3979" t="s">
        <v>5929</v>
      </c>
      <c r="Z3979">
        <v>100134653</v>
      </c>
      <c r="AA3979" t="s">
        <v>7031</v>
      </c>
      <c r="AB3979" t="s">
        <v>2697</v>
      </c>
      <c r="AD3979" t="s">
        <v>5929</v>
      </c>
      <c r="AF3979" t="s">
        <v>29763</v>
      </c>
      <c r="AG3979" t="s">
        <v>29764</v>
      </c>
      <c r="AI3979" t="s">
        <v>29765</v>
      </c>
      <c r="AM3979" t="s">
        <v>3682</v>
      </c>
      <c r="AN3979" t="s">
        <v>2290</v>
      </c>
      <c r="AO3979" t="s">
        <v>29766</v>
      </c>
      <c r="AP3979" t="s">
        <v>7024</v>
      </c>
      <c r="AQ3979" t="s">
        <v>29767</v>
      </c>
      <c r="AR3979" t="s">
        <v>29768</v>
      </c>
      <c r="AT3979" s="184">
        <v>40347</v>
      </c>
      <c r="AU3979" t="s">
        <v>29769</v>
      </c>
      <c r="AV3979">
        <v>50</v>
      </c>
      <c r="AW3979" s="184">
        <v>44693</v>
      </c>
      <c r="AX3979" t="s">
        <v>29770</v>
      </c>
      <c r="AY3979">
        <v>1200</v>
      </c>
      <c r="AZ3979" s="184">
        <v>41992</v>
      </c>
      <c r="BA3979" t="s">
        <v>29771</v>
      </c>
      <c r="BB3979">
        <v>5000</v>
      </c>
      <c r="BC3979">
        <v>80</v>
      </c>
      <c r="BD3979">
        <v>17135</v>
      </c>
      <c r="BE3979">
        <v>2010</v>
      </c>
      <c r="BF3979">
        <v>23</v>
      </c>
      <c r="BG3979">
        <v>1</v>
      </c>
      <c r="BH3979">
        <v>1200</v>
      </c>
      <c r="BI3979">
        <v>12</v>
      </c>
      <c r="BJ3979">
        <v>15</v>
      </c>
      <c r="BK3979">
        <v>7</v>
      </c>
    </row>
    <row r="3980" spans="1:68">
      <c r="A3980">
        <v>100134653</v>
      </c>
      <c r="B3980">
        <v>61608204</v>
      </c>
      <c r="C3980" t="s">
        <v>7018</v>
      </c>
      <c r="E3980" s="184"/>
      <c r="G3980" s="184"/>
      <c r="I3980" s="184"/>
      <c r="J3980" t="s">
        <v>595</v>
      </c>
      <c r="K3980" s="184">
        <v>43649</v>
      </c>
      <c r="M3980" s="184"/>
      <c r="O3980" s="184"/>
      <c r="P3980" t="s">
        <v>7029</v>
      </c>
      <c r="Q3980" t="s">
        <v>7774</v>
      </c>
      <c r="R3980" s="184">
        <v>9843</v>
      </c>
      <c r="S3980">
        <v>97</v>
      </c>
      <c r="U3980" t="s">
        <v>7031</v>
      </c>
      <c r="V3980" t="s">
        <v>2697</v>
      </c>
      <c r="X3980" t="s">
        <v>5929</v>
      </c>
      <c r="Z3980">
        <v>61608204</v>
      </c>
      <c r="AA3980" t="s">
        <v>7130</v>
      </c>
      <c r="AB3980" t="s">
        <v>5928</v>
      </c>
      <c r="AC3980" t="s">
        <v>2058</v>
      </c>
      <c r="AD3980" t="s">
        <v>5929</v>
      </c>
      <c r="AF3980" t="s">
        <v>29763</v>
      </c>
      <c r="AG3980" t="s">
        <v>29764</v>
      </c>
      <c r="AI3980" t="s">
        <v>29765</v>
      </c>
      <c r="AM3980" t="s">
        <v>3682</v>
      </c>
      <c r="AN3980" t="s">
        <v>2290</v>
      </c>
      <c r="AO3980" t="s">
        <v>29766</v>
      </c>
      <c r="AP3980" t="s">
        <v>7024</v>
      </c>
      <c r="AT3980" s="184"/>
      <c r="AW3980" s="184"/>
      <c r="AZ3980" s="184"/>
      <c r="BP3980" s="184"/>
    </row>
    <row r="3981" spans="1:68">
      <c r="A3981">
        <v>61615977</v>
      </c>
      <c r="B3981">
        <v>61615977</v>
      </c>
      <c r="C3981" t="s">
        <v>7018</v>
      </c>
      <c r="E3981" s="184"/>
      <c r="G3981" s="184"/>
      <c r="I3981" s="184"/>
      <c r="J3981" t="s">
        <v>595</v>
      </c>
      <c r="K3981" s="184">
        <v>40350</v>
      </c>
      <c r="M3981" s="184"/>
      <c r="O3981" s="184"/>
      <c r="P3981" t="s">
        <v>8550</v>
      </c>
      <c r="Q3981" t="s">
        <v>7383</v>
      </c>
      <c r="R3981" s="184"/>
      <c r="V3981" t="s">
        <v>7355</v>
      </c>
      <c r="X3981" t="s">
        <v>24212</v>
      </c>
      <c r="AF3981" t="s">
        <v>6772</v>
      </c>
      <c r="AG3981" t="s">
        <v>5990</v>
      </c>
      <c r="AI3981" t="s">
        <v>29772</v>
      </c>
      <c r="AM3981" t="s">
        <v>11782</v>
      </c>
      <c r="AN3981" t="s">
        <v>2072</v>
      </c>
      <c r="AO3981">
        <v>48301</v>
      </c>
      <c r="AP3981" t="s">
        <v>7024</v>
      </c>
      <c r="AT3981" s="184"/>
      <c r="AW3981" s="184"/>
      <c r="AZ3981" s="184"/>
      <c r="BP3981" s="184"/>
    </row>
    <row r="3982" spans="1:68">
      <c r="A3982">
        <v>61623211</v>
      </c>
      <c r="B3982">
        <v>61623211</v>
      </c>
      <c r="C3982" t="s">
        <v>7018</v>
      </c>
      <c r="E3982" s="184"/>
      <c r="G3982" s="184"/>
      <c r="I3982" s="184"/>
      <c r="J3982" t="s">
        <v>595</v>
      </c>
      <c r="K3982" s="184">
        <v>41921</v>
      </c>
      <c r="M3982" s="184"/>
      <c r="O3982" s="184"/>
      <c r="P3982" t="s">
        <v>7045</v>
      </c>
      <c r="Q3982" t="s">
        <v>7383</v>
      </c>
      <c r="R3982" s="184">
        <v>23180</v>
      </c>
      <c r="S3982">
        <v>60</v>
      </c>
      <c r="U3982" t="s">
        <v>7031</v>
      </c>
      <c r="V3982" t="s">
        <v>4676</v>
      </c>
      <c r="W3982" t="s">
        <v>205</v>
      </c>
      <c r="X3982" t="s">
        <v>29773</v>
      </c>
      <c r="Z3982">
        <v>100134711</v>
      </c>
      <c r="AA3982" t="s">
        <v>7130</v>
      </c>
      <c r="AB3982" t="s">
        <v>29774</v>
      </c>
      <c r="AC3982" t="s">
        <v>7407</v>
      </c>
      <c r="AD3982" t="s">
        <v>29773</v>
      </c>
      <c r="AF3982" t="s">
        <v>29775</v>
      </c>
      <c r="AG3982" t="s">
        <v>29776</v>
      </c>
      <c r="AI3982" t="s">
        <v>29777</v>
      </c>
      <c r="AM3982" t="s">
        <v>3055</v>
      </c>
      <c r="AN3982" t="s">
        <v>2144</v>
      </c>
      <c r="AO3982" t="s">
        <v>29778</v>
      </c>
      <c r="AP3982" t="s">
        <v>7024</v>
      </c>
      <c r="AQ3982" t="s">
        <v>29779</v>
      </c>
      <c r="AT3982" s="184">
        <v>40350</v>
      </c>
      <c r="AU3982" t="s">
        <v>29780</v>
      </c>
      <c r="AV3982">
        <v>25</v>
      </c>
      <c r="AW3982" s="184">
        <v>43942</v>
      </c>
      <c r="AX3982" t="s">
        <v>29781</v>
      </c>
      <c r="AY3982">
        <v>100</v>
      </c>
      <c r="AZ3982" s="184">
        <v>43942</v>
      </c>
      <c r="BA3982" t="s">
        <v>29781</v>
      </c>
      <c r="BB3982">
        <v>100</v>
      </c>
      <c r="BC3982">
        <v>74</v>
      </c>
      <c r="BD3982">
        <v>1095</v>
      </c>
      <c r="BE3982">
        <v>2010</v>
      </c>
      <c r="BF3982">
        <v>16</v>
      </c>
      <c r="BI3982">
        <v>11</v>
      </c>
      <c r="BJ3982">
        <v>15</v>
      </c>
      <c r="BK3982">
        <v>11</v>
      </c>
    </row>
    <row r="3983" spans="1:68">
      <c r="A3983">
        <v>100134711</v>
      </c>
      <c r="B3983">
        <v>61623211</v>
      </c>
      <c r="C3983" t="s">
        <v>7018</v>
      </c>
      <c r="E3983" s="184"/>
      <c r="G3983" s="184"/>
      <c r="I3983" s="184"/>
      <c r="J3983" t="s">
        <v>595</v>
      </c>
      <c r="K3983" s="184">
        <v>43654</v>
      </c>
      <c r="M3983" s="184"/>
      <c r="O3983" s="184"/>
      <c r="P3983" t="s">
        <v>7045</v>
      </c>
      <c r="Q3983" t="s">
        <v>7383</v>
      </c>
      <c r="R3983" s="184">
        <v>20059</v>
      </c>
      <c r="S3983">
        <v>69</v>
      </c>
      <c r="U3983" t="s">
        <v>7130</v>
      </c>
      <c r="V3983" t="s">
        <v>29774</v>
      </c>
      <c r="W3983" t="s">
        <v>7407</v>
      </c>
      <c r="X3983" t="s">
        <v>29773</v>
      </c>
      <c r="Z3983">
        <v>61623211</v>
      </c>
      <c r="AA3983" t="s">
        <v>7031</v>
      </c>
      <c r="AB3983" t="s">
        <v>4676</v>
      </c>
      <c r="AC3983" t="s">
        <v>205</v>
      </c>
      <c r="AD3983" t="s">
        <v>29773</v>
      </c>
      <c r="AF3983" t="s">
        <v>29775</v>
      </c>
      <c r="AG3983" t="s">
        <v>29776</v>
      </c>
      <c r="AI3983" t="s">
        <v>29777</v>
      </c>
      <c r="AM3983" t="s">
        <v>3055</v>
      </c>
      <c r="AN3983" t="s">
        <v>2144</v>
      </c>
      <c r="AO3983" t="s">
        <v>29778</v>
      </c>
      <c r="AP3983" t="s">
        <v>7024</v>
      </c>
      <c r="AQ3983" t="s">
        <v>29782</v>
      </c>
      <c r="AT3983" s="184">
        <v>44000</v>
      </c>
      <c r="AU3983" t="s">
        <v>9633</v>
      </c>
      <c r="AV3983">
        <v>100</v>
      </c>
      <c r="AW3983" s="184">
        <v>44000</v>
      </c>
      <c r="AX3983" t="s">
        <v>9633</v>
      </c>
      <c r="AY3983">
        <v>100</v>
      </c>
      <c r="AZ3983" s="184">
        <v>44000</v>
      </c>
      <c r="BA3983" t="s">
        <v>9633</v>
      </c>
      <c r="BB3983">
        <v>100</v>
      </c>
      <c r="BC3983">
        <v>20</v>
      </c>
      <c r="BD3983">
        <v>100</v>
      </c>
      <c r="BE3983">
        <v>2020</v>
      </c>
      <c r="BF3983">
        <v>1</v>
      </c>
      <c r="BI3983">
        <v>1</v>
      </c>
      <c r="BJ3983">
        <v>5</v>
      </c>
      <c r="BK3983">
        <v>1</v>
      </c>
    </row>
    <row r="3984" spans="1:68">
      <c r="A3984">
        <v>61628202</v>
      </c>
      <c r="B3984">
        <v>61628202</v>
      </c>
      <c r="C3984" t="s">
        <v>7018</v>
      </c>
      <c r="D3984" t="s">
        <v>595</v>
      </c>
      <c r="E3984" s="184">
        <v>44167</v>
      </c>
      <c r="G3984" s="184"/>
      <c r="I3984" s="184"/>
      <c r="K3984" s="184"/>
      <c r="M3984" s="184"/>
      <c r="O3984" s="184"/>
      <c r="P3984" t="s">
        <v>7045</v>
      </c>
      <c r="Q3984" t="s">
        <v>7160</v>
      </c>
      <c r="R3984" s="184">
        <v>16626</v>
      </c>
      <c r="S3984">
        <v>78</v>
      </c>
      <c r="U3984" t="s">
        <v>7031</v>
      </c>
      <c r="V3984" t="s">
        <v>2898</v>
      </c>
      <c r="W3984" t="s">
        <v>4152</v>
      </c>
      <c r="X3984" t="s">
        <v>3257</v>
      </c>
      <c r="AF3984" t="s">
        <v>29783</v>
      </c>
      <c r="AG3984" t="s">
        <v>2898</v>
      </c>
      <c r="AI3984" t="s">
        <v>29784</v>
      </c>
      <c r="AM3984" t="s">
        <v>3770</v>
      </c>
      <c r="AN3984" t="s">
        <v>2395</v>
      </c>
      <c r="AO3984" t="s">
        <v>29785</v>
      </c>
      <c r="AP3984" t="s">
        <v>7024</v>
      </c>
      <c r="AQ3984" t="s">
        <v>29786</v>
      </c>
      <c r="AR3984" t="s">
        <v>29787</v>
      </c>
      <c r="AT3984" s="184">
        <v>40351</v>
      </c>
      <c r="AU3984" t="s">
        <v>25893</v>
      </c>
      <c r="AV3984">
        <v>35</v>
      </c>
      <c r="AW3984" s="184">
        <v>45402</v>
      </c>
      <c r="AX3984" t="s">
        <v>7429</v>
      </c>
      <c r="AY3984">
        <v>15</v>
      </c>
      <c r="AZ3984" s="184">
        <v>40681</v>
      </c>
      <c r="BA3984" t="s">
        <v>29788</v>
      </c>
      <c r="BB3984">
        <v>35</v>
      </c>
      <c r="BC3984">
        <v>100</v>
      </c>
      <c r="BD3984">
        <v>2250</v>
      </c>
      <c r="BE3984">
        <v>2010</v>
      </c>
      <c r="BF3984">
        <v>158</v>
      </c>
      <c r="BG3984">
        <v>24</v>
      </c>
      <c r="BH3984">
        <v>370</v>
      </c>
      <c r="BI3984">
        <v>15</v>
      </c>
      <c r="BJ3984">
        <v>15</v>
      </c>
      <c r="BK3984">
        <v>15</v>
      </c>
    </row>
    <row r="3985" spans="1:68">
      <c r="A3985">
        <v>61631610</v>
      </c>
      <c r="B3985">
        <v>61631610</v>
      </c>
      <c r="C3985" t="s">
        <v>7018</v>
      </c>
      <c r="E3985" s="184"/>
      <c r="G3985" s="184"/>
      <c r="I3985" s="184"/>
      <c r="J3985" t="s">
        <v>595</v>
      </c>
      <c r="K3985" s="184">
        <v>44110</v>
      </c>
      <c r="M3985" s="184"/>
      <c r="P3985" t="s">
        <v>7045</v>
      </c>
      <c r="Q3985" t="s">
        <v>7374</v>
      </c>
      <c r="R3985" s="184"/>
      <c r="U3985" t="s">
        <v>7032</v>
      </c>
      <c r="V3985" t="s">
        <v>3692</v>
      </c>
      <c r="X3985" t="s">
        <v>29789</v>
      </c>
      <c r="Z3985">
        <v>100134733</v>
      </c>
      <c r="AA3985" t="s">
        <v>7032</v>
      </c>
      <c r="AB3985" t="s">
        <v>3381</v>
      </c>
      <c r="AD3985" t="s">
        <v>29789</v>
      </c>
      <c r="AF3985" t="s">
        <v>29790</v>
      </c>
      <c r="AG3985" t="s">
        <v>29791</v>
      </c>
      <c r="AI3985" t="s">
        <v>29792</v>
      </c>
      <c r="AM3985" t="s">
        <v>9411</v>
      </c>
      <c r="AN3985" t="s">
        <v>2081</v>
      </c>
      <c r="AO3985" t="s">
        <v>29793</v>
      </c>
      <c r="AP3985" t="s">
        <v>7024</v>
      </c>
      <c r="AQ3985" t="s">
        <v>29794</v>
      </c>
      <c r="AT3985" s="184">
        <v>40353</v>
      </c>
      <c r="AU3985" t="s">
        <v>29444</v>
      </c>
      <c r="AV3985">
        <v>19.95</v>
      </c>
      <c r="AW3985" s="184">
        <v>40353</v>
      </c>
      <c r="AX3985" t="s">
        <v>29444</v>
      </c>
      <c r="AY3985">
        <v>19.95</v>
      </c>
      <c r="AZ3985" s="184">
        <v>40353</v>
      </c>
      <c r="BA3985" t="s">
        <v>29444</v>
      </c>
      <c r="BB3985">
        <v>19.95</v>
      </c>
      <c r="BC3985">
        <v>7</v>
      </c>
      <c r="BD3985">
        <v>19.95</v>
      </c>
      <c r="BE3985">
        <v>2010</v>
      </c>
      <c r="BF3985">
        <v>1</v>
      </c>
      <c r="BI3985">
        <v>1</v>
      </c>
      <c r="BJ3985">
        <v>15</v>
      </c>
      <c r="BK3985">
        <v>1</v>
      </c>
      <c r="BP3985" s="184"/>
    </row>
    <row r="3986" spans="1:68">
      <c r="A3986">
        <v>100134733</v>
      </c>
      <c r="B3986">
        <v>61631610</v>
      </c>
      <c r="C3986" t="s">
        <v>7018</v>
      </c>
      <c r="E3986" s="184"/>
      <c r="G3986" s="184"/>
      <c r="I3986" s="184"/>
      <c r="J3986" t="s">
        <v>595</v>
      </c>
      <c r="K3986" s="184">
        <v>44110</v>
      </c>
      <c r="M3986" s="184"/>
      <c r="O3986" s="184"/>
      <c r="P3986" t="s">
        <v>7045</v>
      </c>
      <c r="Q3986" t="s">
        <v>7374</v>
      </c>
      <c r="R3986" s="184"/>
      <c r="U3986" t="s">
        <v>7032</v>
      </c>
      <c r="V3986" t="s">
        <v>3381</v>
      </c>
      <c r="X3986" t="s">
        <v>29789</v>
      </c>
      <c r="Z3986">
        <v>61631610</v>
      </c>
      <c r="AA3986" t="s">
        <v>7032</v>
      </c>
      <c r="AB3986" t="s">
        <v>3692</v>
      </c>
      <c r="AD3986" t="s">
        <v>29789</v>
      </c>
      <c r="AF3986" t="s">
        <v>29790</v>
      </c>
      <c r="AG3986" t="s">
        <v>29791</v>
      </c>
      <c r="AI3986" t="s">
        <v>29792</v>
      </c>
      <c r="AM3986" t="s">
        <v>9411</v>
      </c>
      <c r="AN3986" t="s">
        <v>2081</v>
      </c>
      <c r="AO3986" t="s">
        <v>29793</v>
      </c>
      <c r="AP3986" t="s">
        <v>7024</v>
      </c>
      <c r="AT3986" s="184"/>
      <c r="AW3986" s="184"/>
      <c r="AZ3986" s="184"/>
    </row>
    <row r="3987" spans="1:68">
      <c r="A3987">
        <v>61662763</v>
      </c>
      <c r="B3987">
        <v>61662763</v>
      </c>
      <c r="C3987" t="s">
        <v>7018</v>
      </c>
      <c r="D3987" t="s">
        <v>595</v>
      </c>
      <c r="E3987" s="184">
        <v>45113</v>
      </c>
      <c r="G3987" s="184"/>
      <c r="I3987" s="184"/>
      <c r="K3987" s="184"/>
      <c r="M3987" s="184"/>
      <c r="O3987" s="184"/>
      <c r="P3987" t="s">
        <v>7084</v>
      </c>
      <c r="Q3987" t="s">
        <v>7494</v>
      </c>
      <c r="R3987" s="184">
        <v>23651</v>
      </c>
      <c r="S3987">
        <v>59</v>
      </c>
      <c r="V3987" t="s">
        <v>2871</v>
      </c>
      <c r="X3987" t="s">
        <v>16569</v>
      </c>
      <c r="Z3987">
        <v>100134831</v>
      </c>
      <c r="AB3987" t="s">
        <v>3223</v>
      </c>
      <c r="AD3987" t="s">
        <v>16569</v>
      </c>
      <c r="AF3987" t="s">
        <v>29795</v>
      </c>
      <c r="AG3987" t="s">
        <v>29796</v>
      </c>
      <c r="AI3987" t="s">
        <v>29797</v>
      </c>
      <c r="AM3987" t="s">
        <v>4006</v>
      </c>
      <c r="AN3987" t="s">
        <v>2174</v>
      </c>
      <c r="AO3987" t="s">
        <v>29798</v>
      </c>
      <c r="AP3987" t="s">
        <v>7024</v>
      </c>
      <c r="AQ3987" t="s">
        <v>29799</v>
      </c>
      <c r="AR3987" t="s">
        <v>29800</v>
      </c>
      <c r="AT3987" s="184">
        <v>40374</v>
      </c>
      <c r="AU3987" t="s">
        <v>29801</v>
      </c>
      <c r="AV3987">
        <v>25</v>
      </c>
      <c r="AW3987" s="184">
        <v>45313</v>
      </c>
      <c r="AX3987" t="s">
        <v>9245</v>
      </c>
      <c r="AY3987">
        <v>38759</v>
      </c>
      <c r="AZ3987" s="184">
        <v>45313</v>
      </c>
      <c r="BA3987" t="s">
        <v>9245</v>
      </c>
      <c r="BB3987">
        <v>38759</v>
      </c>
      <c r="BC3987">
        <v>40</v>
      </c>
      <c r="BD3987">
        <v>151508</v>
      </c>
      <c r="BE3987">
        <v>2011</v>
      </c>
      <c r="BF3987">
        <v>9</v>
      </c>
      <c r="BG3987">
        <v>3</v>
      </c>
      <c r="BH3987">
        <v>99179</v>
      </c>
      <c r="BI3987">
        <v>6</v>
      </c>
      <c r="BJ3987">
        <v>15</v>
      </c>
      <c r="BK3987">
        <v>4</v>
      </c>
      <c r="BN3987" t="s">
        <v>595</v>
      </c>
    </row>
    <row r="3988" spans="1:68">
      <c r="A3988">
        <v>100134831</v>
      </c>
      <c r="B3988">
        <v>61662763</v>
      </c>
      <c r="C3988" t="s">
        <v>7018</v>
      </c>
      <c r="D3988" t="s">
        <v>595</v>
      </c>
      <c r="E3988" s="184">
        <v>45113</v>
      </c>
      <c r="G3988" s="184"/>
      <c r="I3988" s="184"/>
      <c r="K3988" s="184"/>
      <c r="M3988" s="184"/>
      <c r="O3988" s="184"/>
      <c r="P3988" t="s">
        <v>7084</v>
      </c>
      <c r="Q3988" t="s">
        <v>7494</v>
      </c>
      <c r="R3988" s="184">
        <v>23651</v>
      </c>
      <c r="S3988">
        <v>59</v>
      </c>
      <c r="V3988" t="s">
        <v>3223</v>
      </c>
      <c r="X3988" t="s">
        <v>16569</v>
      </c>
      <c r="Z3988">
        <v>61662763</v>
      </c>
      <c r="AB3988" t="s">
        <v>2871</v>
      </c>
      <c r="AD3988" t="s">
        <v>16569</v>
      </c>
      <c r="AF3988" t="s">
        <v>29795</v>
      </c>
      <c r="AG3988" t="s">
        <v>29796</v>
      </c>
      <c r="AI3988" t="s">
        <v>29797</v>
      </c>
      <c r="AM3988" t="s">
        <v>4006</v>
      </c>
      <c r="AN3988" t="s">
        <v>2174</v>
      </c>
      <c r="AO3988" t="s">
        <v>29798</v>
      </c>
      <c r="AP3988" t="s">
        <v>7024</v>
      </c>
      <c r="AT3988" s="184"/>
      <c r="AW3988" s="184"/>
      <c r="AZ3988" s="184"/>
      <c r="BP3988" s="184"/>
    </row>
    <row r="3989" spans="1:68">
      <c r="A3989">
        <v>61673182</v>
      </c>
      <c r="B3989">
        <v>61673182</v>
      </c>
      <c r="C3989" t="s">
        <v>7018</v>
      </c>
      <c r="E3989" s="184"/>
      <c r="I3989" s="184"/>
      <c r="J3989" t="s">
        <v>595</v>
      </c>
      <c r="K3989" s="184">
        <v>40381</v>
      </c>
      <c r="M3989" s="184"/>
      <c r="O3989" s="184"/>
      <c r="P3989" t="s">
        <v>8550</v>
      </c>
      <c r="Q3989" t="s">
        <v>7262</v>
      </c>
      <c r="R3989" s="184">
        <v>16839</v>
      </c>
      <c r="S3989">
        <v>78</v>
      </c>
      <c r="U3989" t="s">
        <v>7130</v>
      </c>
      <c r="V3989" t="s">
        <v>3223</v>
      </c>
      <c r="X3989" t="s">
        <v>27409</v>
      </c>
      <c r="Z3989">
        <v>100134848</v>
      </c>
      <c r="AA3989" t="s">
        <v>7031</v>
      </c>
      <c r="AB3989" t="s">
        <v>29802</v>
      </c>
      <c r="AD3989" t="s">
        <v>27409</v>
      </c>
      <c r="AF3989" t="s">
        <v>6758</v>
      </c>
      <c r="AG3989" t="s">
        <v>29803</v>
      </c>
      <c r="AI3989" t="s">
        <v>29804</v>
      </c>
      <c r="AM3989" t="s">
        <v>4804</v>
      </c>
      <c r="AN3989" t="s">
        <v>2069</v>
      </c>
      <c r="AO3989">
        <v>20191</v>
      </c>
      <c r="AP3989" t="s">
        <v>7024</v>
      </c>
      <c r="AQ3989" t="s">
        <v>29805</v>
      </c>
      <c r="AT3989" s="184"/>
      <c r="AW3989" s="184"/>
      <c r="AZ3989" s="184"/>
      <c r="BP3989" s="184"/>
    </row>
    <row r="3990" spans="1:68">
      <c r="A3990">
        <v>100134848</v>
      </c>
      <c r="B3990">
        <v>61673182</v>
      </c>
      <c r="C3990" t="s">
        <v>7018</v>
      </c>
      <c r="E3990" s="184"/>
      <c r="G3990" s="184"/>
      <c r="I3990" s="184"/>
      <c r="J3990" t="s">
        <v>595</v>
      </c>
      <c r="K3990" s="184">
        <v>43654</v>
      </c>
      <c r="M3990" s="184"/>
      <c r="O3990" s="184"/>
      <c r="P3990" t="s">
        <v>8550</v>
      </c>
      <c r="Q3990" t="s">
        <v>7262</v>
      </c>
      <c r="R3990" s="184">
        <v>17300</v>
      </c>
      <c r="S3990">
        <v>77</v>
      </c>
      <c r="U3990" t="s">
        <v>7031</v>
      </c>
      <c r="V3990" t="s">
        <v>29802</v>
      </c>
      <c r="X3990" t="s">
        <v>27409</v>
      </c>
      <c r="Z3990">
        <v>61673182</v>
      </c>
      <c r="AA3990" t="s">
        <v>7130</v>
      </c>
      <c r="AB3990" t="s">
        <v>3223</v>
      </c>
      <c r="AD3990" t="s">
        <v>27409</v>
      </c>
      <c r="AF3990" t="s">
        <v>6758</v>
      </c>
      <c r="AG3990" t="s">
        <v>29803</v>
      </c>
      <c r="AI3990" t="s">
        <v>29804</v>
      </c>
      <c r="AM3990" t="s">
        <v>4804</v>
      </c>
      <c r="AN3990" t="s">
        <v>2069</v>
      </c>
      <c r="AO3990">
        <v>20191</v>
      </c>
      <c r="AP3990" t="s">
        <v>7024</v>
      </c>
      <c r="AT3990" s="184"/>
      <c r="AW3990" s="184"/>
      <c r="AZ3990" s="184"/>
    </row>
    <row r="3991" spans="1:68">
      <c r="A3991">
        <v>61720108</v>
      </c>
      <c r="B3991">
        <v>61720108</v>
      </c>
      <c r="C3991" t="s">
        <v>7018</v>
      </c>
      <c r="E3991" s="184"/>
      <c r="G3991" s="184"/>
      <c r="I3991" s="184"/>
      <c r="J3991" t="s">
        <v>595</v>
      </c>
      <c r="K3991" s="184">
        <v>43171</v>
      </c>
      <c r="M3991" s="184"/>
      <c r="P3991" t="s">
        <v>7045</v>
      </c>
      <c r="Q3991" t="s">
        <v>7383</v>
      </c>
      <c r="R3991" s="184">
        <v>17244</v>
      </c>
      <c r="S3991">
        <v>77</v>
      </c>
      <c r="V3991" t="s">
        <v>2733</v>
      </c>
      <c r="W3991" t="s">
        <v>2049</v>
      </c>
      <c r="X3991" t="s">
        <v>29806</v>
      </c>
      <c r="AF3991" t="s">
        <v>6522</v>
      </c>
      <c r="AG3991" t="s">
        <v>2733</v>
      </c>
      <c r="AI3991" t="s">
        <v>29807</v>
      </c>
      <c r="AM3991" t="s">
        <v>3815</v>
      </c>
      <c r="AN3991" t="s">
        <v>2059</v>
      </c>
      <c r="AO3991" t="s">
        <v>29808</v>
      </c>
      <c r="AP3991" t="s">
        <v>7024</v>
      </c>
      <c r="AQ3991" t="s">
        <v>29809</v>
      </c>
      <c r="AT3991" s="184">
        <v>40392</v>
      </c>
      <c r="AU3991" t="s">
        <v>29810</v>
      </c>
      <c r="AV3991">
        <v>20</v>
      </c>
      <c r="AW3991" s="184">
        <v>45377</v>
      </c>
      <c r="AX3991" t="s">
        <v>9748</v>
      </c>
      <c r="AY3991">
        <v>60</v>
      </c>
      <c r="AZ3991" s="184">
        <v>42811</v>
      </c>
      <c r="BA3991" t="s">
        <v>29811</v>
      </c>
      <c r="BB3991">
        <v>75</v>
      </c>
      <c r="BC3991">
        <v>87</v>
      </c>
      <c r="BD3991">
        <v>890</v>
      </c>
      <c r="BE3991">
        <v>2011</v>
      </c>
      <c r="BF3991">
        <v>19</v>
      </c>
      <c r="BG3991">
        <v>2</v>
      </c>
      <c r="BH3991">
        <v>120</v>
      </c>
      <c r="BI3991">
        <v>13</v>
      </c>
      <c r="BJ3991">
        <v>15</v>
      </c>
      <c r="BK3991">
        <v>10</v>
      </c>
    </row>
    <row r="3992" spans="1:68">
      <c r="A3992">
        <v>61746848</v>
      </c>
      <c r="B3992">
        <v>61746848</v>
      </c>
      <c r="C3992" t="s">
        <v>7018</v>
      </c>
      <c r="D3992" t="s">
        <v>595</v>
      </c>
      <c r="E3992" s="184">
        <v>45195</v>
      </c>
      <c r="G3992" s="184"/>
      <c r="I3992" s="184"/>
      <c r="K3992" s="184"/>
      <c r="M3992" s="184"/>
      <c r="O3992" s="184"/>
      <c r="P3992" t="s">
        <v>7045</v>
      </c>
      <c r="Q3992" t="s">
        <v>7383</v>
      </c>
      <c r="R3992" s="184">
        <v>17057</v>
      </c>
      <c r="S3992">
        <v>77</v>
      </c>
      <c r="V3992" t="s">
        <v>2511</v>
      </c>
      <c r="X3992" t="s">
        <v>29812</v>
      </c>
      <c r="Z3992">
        <v>100135058</v>
      </c>
      <c r="AB3992" t="s">
        <v>4086</v>
      </c>
      <c r="AD3992" t="s">
        <v>29812</v>
      </c>
      <c r="AF3992" t="s">
        <v>29813</v>
      </c>
      <c r="AG3992" t="s">
        <v>29814</v>
      </c>
      <c r="AI3992" t="s">
        <v>29815</v>
      </c>
      <c r="AM3992" t="s">
        <v>3345</v>
      </c>
      <c r="AN3992" t="s">
        <v>2274</v>
      </c>
      <c r="AO3992" t="s">
        <v>29816</v>
      </c>
      <c r="AP3992" t="s">
        <v>7024</v>
      </c>
      <c r="AQ3992" t="s">
        <v>29817</v>
      </c>
      <c r="AT3992" s="184">
        <v>40395</v>
      </c>
      <c r="AU3992" t="s">
        <v>29810</v>
      </c>
      <c r="AV3992">
        <v>15</v>
      </c>
      <c r="AW3992" s="184">
        <v>44747</v>
      </c>
      <c r="AX3992" t="s">
        <v>29818</v>
      </c>
      <c r="AY3992">
        <v>25</v>
      </c>
      <c r="AZ3992" s="184">
        <v>44747</v>
      </c>
      <c r="BA3992" t="s">
        <v>29818</v>
      </c>
      <c r="BB3992">
        <v>25</v>
      </c>
      <c r="BC3992">
        <v>40</v>
      </c>
      <c r="BD3992">
        <v>140</v>
      </c>
      <c r="BE3992">
        <v>2011</v>
      </c>
      <c r="BF3992">
        <v>6</v>
      </c>
      <c r="BG3992">
        <v>1</v>
      </c>
      <c r="BH3992">
        <v>25</v>
      </c>
      <c r="BI3992">
        <v>6</v>
      </c>
      <c r="BJ3992">
        <v>15</v>
      </c>
      <c r="BK3992">
        <v>2</v>
      </c>
      <c r="BP3992" s="184"/>
    </row>
    <row r="3993" spans="1:68">
      <c r="A3993">
        <v>100135058</v>
      </c>
      <c r="B3993">
        <v>61746848</v>
      </c>
      <c r="C3993" t="s">
        <v>7018</v>
      </c>
      <c r="D3993" t="s">
        <v>595</v>
      </c>
      <c r="E3993" s="184">
        <v>45195</v>
      </c>
      <c r="G3993" s="184"/>
      <c r="I3993" s="184"/>
      <c r="K3993" s="184"/>
      <c r="M3993" s="184"/>
      <c r="O3993" s="184"/>
      <c r="P3993" t="s">
        <v>7045</v>
      </c>
      <c r="Q3993" t="s">
        <v>7383</v>
      </c>
      <c r="R3993" s="184">
        <v>17372</v>
      </c>
      <c r="S3993">
        <v>76</v>
      </c>
      <c r="V3993" t="s">
        <v>4086</v>
      </c>
      <c r="X3993" t="s">
        <v>29812</v>
      </c>
      <c r="Z3993">
        <v>61746848</v>
      </c>
      <c r="AB3993" t="s">
        <v>2511</v>
      </c>
      <c r="AD3993" t="s">
        <v>29812</v>
      </c>
      <c r="AF3993" t="s">
        <v>29813</v>
      </c>
      <c r="AG3993" t="s">
        <v>29814</v>
      </c>
      <c r="AI3993" t="s">
        <v>29815</v>
      </c>
      <c r="AM3993" t="s">
        <v>3345</v>
      </c>
      <c r="AN3993" t="s">
        <v>2274</v>
      </c>
      <c r="AO3993" t="s">
        <v>29816</v>
      </c>
      <c r="AP3993" t="s">
        <v>7024</v>
      </c>
      <c r="AT3993" s="184"/>
      <c r="AW3993" s="184"/>
      <c r="AZ3993" s="184"/>
      <c r="BP3993" s="184"/>
    </row>
    <row r="3994" spans="1:68">
      <c r="A3994">
        <v>61759171</v>
      </c>
      <c r="B3994">
        <v>61759171</v>
      </c>
      <c r="C3994" t="s">
        <v>7018</v>
      </c>
      <c r="E3994" s="184"/>
      <c r="G3994" s="184"/>
      <c r="I3994" s="184"/>
      <c r="J3994" t="s">
        <v>595</v>
      </c>
      <c r="K3994" s="184">
        <v>40364</v>
      </c>
      <c r="M3994" s="184"/>
      <c r="O3994" s="184"/>
      <c r="P3994" t="s">
        <v>7029</v>
      </c>
      <c r="Q3994" t="s">
        <v>7262</v>
      </c>
      <c r="R3994" s="184">
        <v>25102</v>
      </c>
      <c r="S3994">
        <v>55</v>
      </c>
      <c r="U3994" t="s">
        <v>7031</v>
      </c>
      <c r="V3994" t="s">
        <v>2665</v>
      </c>
      <c r="W3994" t="s">
        <v>7085</v>
      </c>
      <c r="X3994" t="s">
        <v>29819</v>
      </c>
      <c r="Z3994">
        <v>100135082</v>
      </c>
      <c r="AA3994" t="s">
        <v>7031</v>
      </c>
      <c r="AB3994" t="s">
        <v>3035</v>
      </c>
      <c r="AC3994" t="s">
        <v>7407</v>
      </c>
      <c r="AD3994" t="s">
        <v>4273</v>
      </c>
      <c r="AF3994" t="s">
        <v>6408</v>
      </c>
      <c r="AG3994" t="s">
        <v>29820</v>
      </c>
      <c r="AI3994" t="s">
        <v>29821</v>
      </c>
      <c r="AM3994" t="s">
        <v>4814</v>
      </c>
      <c r="AN3994" t="s">
        <v>65</v>
      </c>
      <c r="AO3994" t="s">
        <v>29822</v>
      </c>
      <c r="AP3994" t="s">
        <v>7024</v>
      </c>
      <c r="AQ3994" t="s">
        <v>29823</v>
      </c>
      <c r="AT3994" s="184">
        <v>41743</v>
      </c>
      <c r="AU3994" t="s">
        <v>29824</v>
      </c>
      <c r="AV3994">
        <v>20</v>
      </c>
      <c r="AW3994" s="184">
        <v>44542</v>
      </c>
      <c r="AX3994" t="s">
        <v>11445</v>
      </c>
      <c r="AY3994">
        <v>1000</v>
      </c>
      <c r="AZ3994" s="184">
        <v>44542</v>
      </c>
      <c r="BA3994" t="s">
        <v>11445</v>
      </c>
      <c r="BB3994">
        <v>1000</v>
      </c>
      <c r="BC3994">
        <v>46</v>
      </c>
      <c r="BD3994">
        <v>3145</v>
      </c>
      <c r="BE3994">
        <v>2014</v>
      </c>
      <c r="BF3994">
        <v>12</v>
      </c>
      <c r="BI3994">
        <v>5</v>
      </c>
      <c r="BJ3994">
        <v>11</v>
      </c>
      <c r="BK3994">
        <v>2</v>
      </c>
      <c r="BP3994" s="184"/>
    </row>
    <row r="3995" spans="1:68">
      <c r="A3995">
        <v>100135082</v>
      </c>
      <c r="B3995">
        <v>61759171</v>
      </c>
      <c r="C3995" t="s">
        <v>7018</v>
      </c>
      <c r="E3995" s="184"/>
      <c r="G3995" s="184"/>
      <c r="I3995" s="184"/>
      <c r="J3995" t="s">
        <v>595</v>
      </c>
      <c r="K3995" s="184">
        <v>40364</v>
      </c>
      <c r="M3995" s="184"/>
      <c r="O3995" s="184"/>
      <c r="P3995" t="s">
        <v>7029</v>
      </c>
      <c r="Q3995" t="s">
        <v>7262</v>
      </c>
      <c r="R3995" s="184">
        <v>26024</v>
      </c>
      <c r="S3995">
        <v>53</v>
      </c>
      <c r="U3995" t="s">
        <v>7031</v>
      </c>
      <c r="V3995" t="s">
        <v>3035</v>
      </c>
      <c r="W3995" t="s">
        <v>7407</v>
      </c>
      <c r="X3995" t="s">
        <v>4273</v>
      </c>
      <c r="Z3995">
        <v>61759171</v>
      </c>
      <c r="AA3995" t="s">
        <v>7031</v>
      </c>
      <c r="AB3995" t="s">
        <v>2665</v>
      </c>
      <c r="AC3995" t="s">
        <v>7085</v>
      </c>
      <c r="AD3995" t="s">
        <v>29819</v>
      </c>
      <c r="AF3995" t="s">
        <v>6408</v>
      </c>
      <c r="AG3995" t="s">
        <v>29820</v>
      </c>
      <c r="AI3995" t="s">
        <v>29821</v>
      </c>
      <c r="AM3995" t="s">
        <v>4814</v>
      </c>
      <c r="AN3995" t="s">
        <v>65</v>
      </c>
      <c r="AO3995" t="s">
        <v>29822</v>
      </c>
      <c r="AP3995" t="s">
        <v>7024</v>
      </c>
      <c r="AT3995" s="184"/>
      <c r="AW3995" s="184"/>
      <c r="AZ3995" s="184"/>
    </row>
    <row r="3996" spans="1:68">
      <c r="A3996">
        <v>61769386</v>
      </c>
      <c r="B3996">
        <v>61769386</v>
      </c>
      <c r="C3996" t="s">
        <v>7018</v>
      </c>
      <c r="E3996" s="184"/>
      <c r="G3996" s="184"/>
      <c r="I3996" s="184"/>
      <c r="J3996" t="s">
        <v>595</v>
      </c>
      <c r="K3996" s="184">
        <v>41250</v>
      </c>
      <c r="M3996" s="184"/>
      <c r="O3996" s="184"/>
      <c r="P3996" t="s">
        <v>7019</v>
      </c>
      <c r="Q3996" t="s">
        <v>7494</v>
      </c>
      <c r="R3996" s="184">
        <v>17654</v>
      </c>
      <c r="S3996">
        <v>76</v>
      </c>
      <c r="U3996" t="s">
        <v>7031</v>
      </c>
      <c r="V3996" t="s">
        <v>3080</v>
      </c>
      <c r="W3996" t="s">
        <v>7046</v>
      </c>
      <c r="X3996" t="s">
        <v>29825</v>
      </c>
      <c r="Y3996" t="s">
        <v>29826</v>
      </c>
      <c r="AF3996" t="s">
        <v>29827</v>
      </c>
      <c r="AG3996" t="s">
        <v>3080</v>
      </c>
      <c r="AI3996" t="s">
        <v>29828</v>
      </c>
      <c r="AM3996" t="s">
        <v>3371</v>
      </c>
      <c r="AN3996" t="s">
        <v>2174</v>
      </c>
      <c r="AO3996" t="s">
        <v>29829</v>
      </c>
      <c r="AP3996" t="s">
        <v>7024</v>
      </c>
      <c r="AQ3996" t="s">
        <v>29830</v>
      </c>
      <c r="AT3996" s="184">
        <v>40399</v>
      </c>
      <c r="AU3996" t="s">
        <v>29831</v>
      </c>
      <c r="AV3996">
        <v>25</v>
      </c>
      <c r="AW3996" s="184">
        <v>45364</v>
      </c>
      <c r="AX3996" t="s">
        <v>10666</v>
      </c>
      <c r="AY3996">
        <v>87</v>
      </c>
      <c r="AZ3996" s="184">
        <v>43553</v>
      </c>
      <c r="BA3996" t="s">
        <v>9009</v>
      </c>
      <c r="BB3996">
        <v>100</v>
      </c>
      <c r="BC3996">
        <v>100</v>
      </c>
      <c r="BD3996">
        <v>1103.75</v>
      </c>
      <c r="BE3996">
        <v>2011</v>
      </c>
      <c r="BF3996">
        <v>31</v>
      </c>
      <c r="BG3996">
        <v>8</v>
      </c>
      <c r="BH3996">
        <v>261.75</v>
      </c>
      <c r="BI3996">
        <v>15</v>
      </c>
      <c r="BJ3996">
        <v>15</v>
      </c>
      <c r="BK3996">
        <v>15</v>
      </c>
      <c r="BP3996" s="184"/>
    </row>
    <row r="3997" spans="1:68">
      <c r="A3997">
        <v>61776480</v>
      </c>
      <c r="B3997">
        <v>61776480</v>
      </c>
      <c r="C3997" t="s">
        <v>7018</v>
      </c>
      <c r="D3997" t="s">
        <v>595</v>
      </c>
      <c r="E3997" s="184">
        <v>45195</v>
      </c>
      <c r="G3997" s="184"/>
      <c r="I3997" s="184"/>
      <c r="K3997" s="184"/>
      <c r="M3997" s="184"/>
      <c r="O3997" s="184"/>
      <c r="P3997" t="s">
        <v>7045</v>
      </c>
      <c r="Q3997" t="s">
        <v>7383</v>
      </c>
      <c r="R3997" s="184">
        <v>17624</v>
      </c>
      <c r="S3997">
        <v>76</v>
      </c>
      <c r="V3997" t="s">
        <v>2733</v>
      </c>
      <c r="X3997" t="s">
        <v>29832</v>
      </c>
      <c r="AF3997" t="s">
        <v>29833</v>
      </c>
      <c r="AG3997" t="s">
        <v>2733</v>
      </c>
      <c r="AI3997" t="s">
        <v>29834</v>
      </c>
      <c r="AM3997" t="s">
        <v>29835</v>
      </c>
      <c r="AN3997" t="s">
        <v>2064</v>
      </c>
      <c r="AO3997" t="s">
        <v>29836</v>
      </c>
      <c r="AP3997" t="s">
        <v>7024</v>
      </c>
      <c r="AT3997" s="184">
        <v>40400</v>
      </c>
      <c r="AU3997" t="s">
        <v>29837</v>
      </c>
      <c r="AV3997">
        <v>15</v>
      </c>
      <c r="AW3997" s="184">
        <v>45127</v>
      </c>
      <c r="AX3997" t="s">
        <v>8431</v>
      </c>
      <c r="AY3997">
        <v>10</v>
      </c>
      <c r="AZ3997" s="184">
        <v>43213</v>
      </c>
      <c r="BA3997" t="s">
        <v>29838</v>
      </c>
      <c r="BB3997">
        <v>25</v>
      </c>
      <c r="BC3997">
        <v>54</v>
      </c>
      <c r="BD3997">
        <v>125</v>
      </c>
      <c r="BE3997">
        <v>2011</v>
      </c>
      <c r="BF3997">
        <v>8</v>
      </c>
      <c r="BG3997">
        <v>2</v>
      </c>
      <c r="BH3997">
        <v>20</v>
      </c>
      <c r="BI3997">
        <v>8</v>
      </c>
      <c r="BJ3997">
        <v>15</v>
      </c>
      <c r="BK3997">
        <v>2</v>
      </c>
    </row>
    <row r="3998" spans="1:68">
      <c r="A3998">
        <v>61785598</v>
      </c>
      <c r="B3998">
        <v>61785598</v>
      </c>
      <c r="C3998" t="s">
        <v>7018</v>
      </c>
      <c r="D3998" t="s">
        <v>595</v>
      </c>
      <c r="E3998" s="184">
        <v>44484</v>
      </c>
      <c r="G3998" s="184"/>
      <c r="I3998" s="184"/>
      <c r="K3998" s="184"/>
      <c r="M3998" s="184"/>
      <c r="P3998" t="s">
        <v>7045</v>
      </c>
      <c r="Q3998" t="s">
        <v>7160</v>
      </c>
      <c r="R3998" s="184">
        <v>21855</v>
      </c>
      <c r="S3998">
        <v>64</v>
      </c>
      <c r="V3998" t="s">
        <v>2758</v>
      </c>
      <c r="X3998" t="s">
        <v>2749</v>
      </c>
      <c r="Z3998">
        <v>100135145</v>
      </c>
      <c r="AB3998" t="s">
        <v>3184</v>
      </c>
      <c r="AD3998" t="s">
        <v>2749</v>
      </c>
      <c r="AF3998" t="s">
        <v>29839</v>
      </c>
      <c r="AG3998" t="s">
        <v>29840</v>
      </c>
      <c r="AI3998" t="s">
        <v>29841</v>
      </c>
      <c r="AM3998" t="s">
        <v>4515</v>
      </c>
      <c r="AN3998" t="s">
        <v>2395</v>
      </c>
      <c r="AO3998" t="s">
        <v>29842</v>
      </c>
      <c r="AP3998" t="s">
        <v>7024</v>
      </c>
      <c r="AQ3998" t="s">
        <v>29843</v>
      </c>
      <c r="AT3998" s="184">
        <v>40401</v>
      </c>
      <c r="AU3998" t="s">
        <v>29844</v>
      </c>
      <c r="AV3998">
        <v>25</v>
      </c>
      <c r="AW3998" s="184">
        <v>44427</v>
      </c>
      <c r="AX3998" t="s">
        <v>29845</v>
      </c>
      <c r="AY3998">
        <v>515</v>
      </c>
      <c r="AZ3998" s="184">
        <v>44427</v>
      </c>
      <c r="BA3998" t="s">
        <v>29845</v>
      </c>
      <c r="BB3998">
        <v>515</v>
      </c>
      <c r="BC3998">
        <v>67</v>
      </c>
      <c r="BD3998">
        <v>1442</v>
      </c>
      <c r="BE3998">
        <v>2011</v>
      </c>
      <c r="BF3998">
        <v>10</v>
      </c>
      <c r="BI3998">
        <v>10</v>
      </c>
      <c r="BJ3998">
        <v>15</v>
      </c>
      <c r="BK3998">
        <v>7</v>
      </c>
    </row>
    <row r="3999" spans="1:68">
      <c r="A3999">
        <v>100135145</v>
      </c>
      <c r="B3999">
        <v>61785598</v>
      </c>
      <c r="C3999" t="s">
        <v>7018</v>
      </c>
      <c r="D3999" t="s">
        <v>595</v>
      </c>
      <c r="E3999" s="184">
        <v>44484</v>
      </c>
      <c r="G3999" s="184"/>
      <c r="I3999" s="184"/>
      <c r="K3999" s="184"/>
      <c r="M3999" s="184"/>
      <c r="P3999" t="s">
        <v>7045</v>
      </c>
      <c r="Q3999" t="s">
        <v>7160</v>
      </c>
      <c r="R3999" s="184">
        <v>19815</v>
      </c>
      <c r="S3999">
        <v>70</v>
      </c>
      <c r="V3999" t="s">
        <v>3184</v>
      </c>
      <c r="X3999" t="s">
        <v>2749</v>
      </c>
      <c r="Z3999">
        <v>61785598</v>
      </c>
      <c r="AB3999" t="s">
        <v>2758</v>
      </c>
      <c r="AD3999" t="s">
        <v>2749</v>
      </c>
      <c r="AF3999" t="s">
        <v>29839</v>
      </c>
      <c r="AG3999" t="s">
        <v>29840</v>
      </c>
      <c r="AI3999" t="s">
        <v>29841</v>
      </c>
      <c r="AM3999" t="s">
        <v>4515</v>
      </c>
      <c r="AN3999" t="s">
        <v>2395</v>
      </c>
      <c r="AO3999" t="s">
        <v>29842</v>
      </c>
      <c r="AP3999" t="s">
        <v>7024</v>
      </c>
      <c r="AT3999" s="184"/>
      <c r="AW3999" s="184"/>
      <c r="AZ3999" s="184"/>
    </row>
    <row r="4000" spans="1:68">
      <c r="A4000">
        <v>61785630</v>
      </c>
      <c r="B4000">
        <v>61785630</v>
      </c>
      <c r="C4000" t="s">
        <v>7018</v>
      </c>
      <c r="E4000" s="184"/>
      <c r="G4000" s="184"/>
      <c r="I4000" s="184"/>
      <c r="K4000" s="184"/>
      <c r="L4000" t="s">
        <v>595</v>
      </c>
      <c r="M4000" s="184">
        <v>43746</v>
      </c>
      <c r="O4000" s="184"/>
      <c r="P4000" t="s">
        <v>7045</v>
      </c>
      <c r="Q4000" t="s">
        <v>7383</v>
      </c>
      <c r="R4000" s="184">
        <v>15669</v>
      </c>
      <c r="S4000">
        <v>81</v>
      </c>
      <c r="U4000" t="s">
        <v>7032</v>
      </c>
      <c r="V4000" t="s">
        <v>4169</v>
      </c>
      <c r="X4000" t="s">
        <v>2771</v>
      </c>
      <c r="Z4000">
        <v>100309604</v>
      </c>
      <c r="AB4000" t="s">
        <v>2742</v>
      </c>
      <c r="AD4000" t="s">
        <v>2771</v>
      </c>
      <c r="AF4000" t="s">
        <v>29846</v>
      </c>
      <c r="AG4000" t="s">
        <v>29847</v>
      </c>
      <c r="AI4000" t="s">
        <v>29848</v>
      </c>
      <c r="AM4000" t="s">
        <v>3488</v>
      </c>
      <c r="AN4000" t="s">
        <v>2072</v>
      </c>
      <c r="AO4000" t="s">
        <v>29849</v>
      </c>
      <c r="AP4000" t="s">
        <v>7024</v>
      </c>
      <c r="AQ4000" t="s">
        <v>29850</v>
      </c>
      <c r="AT4000" s="184">
        <v>40401</v>
      </c>
      <c r="AU4000" t="s">
        <v>29851</v>
      </c>
      <c r="AV4000">
        <v>50</v>
      </c>
      <c r="AW4000" s="184">
        <v>45271</v>
      </c>
      <c r="AX4000" t="s">
        <v>7742</v>
      </c>
      <c r="AY4000">
        <v>360</v>
      </c>
      <c r="AZ4000" s="184">
        <v>45271</v>
      </c>
      <c r="BA4000" t="s">
        <v>7742</v>
      </c>
      <c r="BB4000">
        <v>360</v>
      </c>
      <c r="BC4000">
        <v>94</v>
      </c>
      <c r="BD4000">
        <v>5375</v>
      </c>
      <c r="BE4000">
        <v>2011</v>
      </c>
      <c r="BF4000">
        <v>115</v>
      </c>
      <c r="BG4000">
        <v>12</v>
      </c>
      <c r="BH4000">
        <v>1020</v>
      </c>
      <c r="BI4000">
        <v>14</v>
      </c>
      <c r="BJ4000">
        <v>15</v>
      </c>
      <c r="BK4000">
        <v>14</v>
      </c>
      <c r="BP4000" s="184"/>
    </row>
    <row r="4001" spans="1:68">
      <c r="A4001">
        <v>100309604</v>
      </c>
      <c r="B4001">
        <v>61785630</v>
      </c>
      <c r="C4001" t="s">
        <v>7018</v>
      </c>
      <c r="E4001" s="184"/>
      <c r="G4001" s="184"/>
      <c r="I4001" s="184"/>
      <c r="K4001" s="184"/>
      <c r="L4001" t="s">
        <v>595</v>
      </c>
      <c r="M4001" s="184">
        <v>43746</v>
      </c>
      <c r="O4001" s="184"/>
      <c r="P4001" t="s">
        <v>7045</v>
      </c>
      <c r="Q4001" t="s">
        <v>7383</v>
      </c>
      <c r="R4001" s="184">
        <v>16094</v>
      </c>
      <c r="S4001">
        <v>80</v>
      </c>
      <c r="V4001" t="s">
        <v>2742</v>
      </c>
      <c r="X4001" t="s">
        <v>2771</v>
      </c>
      <c r="Z4001">
        <v>61785630</v>
      </c>
      <c r="AA4001" t="s">
        <v>7032</v>
      </c>
      <c r="AB4001" t="s">
        <v>4169</v>
      </c>
      <c r="AD4001" t="s">
        <v>2771</v>
      </c>
      <c r="AF4001" t="s">
        <v>29846</v>
      </c>
      <c r="AG4001" t="s">
        <v>29847</v>
      </c>
      <c r="AI4001" t="s">
        <v>29848</v>
      </c>
      <c r="AM4001" t="s">
        <v>3488</v>
      </c>
      <c r="AN4001" t="s">
        <v>2072</v>
      </c>
      <c r="AO4001" t="s">
        <v>29849</v>
      </c>
      <c r="AP4001" t="s">
        <v>7024</v>
      </c>
      <c r="AQ4001" t="s">
        <v>29852</v>
      </c>
      <c r="AT4001" s="184"/>
      <c r="AW4001" s="184"/>
      <c r="AZ4001" s="184"/>
    </row>
    <row r="4002" spans="1:68">
      <c r="A4002">
        <v>61789830</v>
      </c>
      <c r="B4002">
        <v>61789830</v>
      </c>
      <c r="C4002" t="s">
        <v>7018</v>
      </c>
      <c r="D4002" t="s">
        <v>595</v>
      </c>
      <c r="E4002" s="184">
        <v>44438</v>
      </c>
      <c r="G4002" s="184"/>
      <c r="I4002" s="184"/>
      <c r="K4002" s="184"/>
      <c r="M4002" s="184"/>
      <c r="O4002" s="184"/>
      <c r="P4002" t="s">
        <v>7045</v>
      </c>
      <c r="Q4002" t="s">
        <v>7262</v>
      </c>
      <c r="R4002" s="184">
        <v>20821</v>
      </c>
      <c r="S4002">
        <v>67</v>
      </c>
      <c r="U4002" t="s">
        <v>7031</v>
      </c>
      <c r="V4002" t="s">
        <v>2863</v>
      </c>
      <c r="W4002" t="s">
        <v>3951</v>
      </c>
      <c r="X4002" t="s">
        <v>29853</v>
      </c>
      <c r="Y4002" t="s">
        <v>7941</v>
      </c>
      <c r="AF4002" t="s">
        <v>29854</v>
      </c>
      <c r="AG4002" t="s">
        <v>2863</v>
      </c>
      <c r="AI4002" t="s">
        <v>29855</v>
      </c>
      <c r="AM4002" t="s">
        <v>21591</v>
      </c>
      <c r="AN4002" t="s">
        <v>2106</v>
      </c>
      <c r="AO4002" t="s">
        <v>29856</v>
      </c>
      <c r="AP4002" t="s">
        <v>7024</v>
      </c>
      <c r="AQ4002" t="s">
        <v>29857</v>
      </c>
      <c r="AR4002" t="s">
        <v>29858</v>
      </c>
      <c r="AT4002" s="184">
        <v>40402</v>
      </c>
      <c r="AU4002" t="s">
        <v>29859</v>
      </c>
      <c r="AV4002">
        <v>100</v>
      </c>
      <c r="AW4002" s="184">
        <v>45358</v>
      </c>
      <c r="AX4002" t="s">
        <v>14116</v>
      </c>
      <c r="AY4002">
        <v>30</v>
      </c>
      <c r="AZ4002" s="184">
        <v>40402</v>
      </c>
      <c r="BA4002" t="s">
        <v>29859</v>
      </c>
      <c r="BB4002">
        <v>100</v>
      </c>
      <c r="BC4002">
        <v>67</v>
      </c>
      <c r="BD4002">
        <v>865</v>
      </c>
      <c r="BE4002">
        <v>2011</v>
      </c>
      <c r="BF4002">
        <v>19</v>
      </c>
      <c r="BG4002">
        <v>2</v>
      </c>
      <c r="BH4002">
        <v>80</v>
      </c>
      <c r="BI4002">
        <v>10</v>
      </c>
      <c r="BJ4002">
        <v>15</v>
      </c>
      <c r="BK4002">
        <v>6</v>
      </c>
      <c r="BP4002" s="184"/>
    </row>
    <row r="4003" spans="1:68">
      <c r="A4003">
        <v>61814158</v>
      </c>
      <c r="B4003">
        <v>61814158</v>
      </c>
      <c r="C4003" t="s">
        <v>7018</v>
      </c>
      <c r="D4003" t="s">
        <v>595</v>
      </c>
      <c r="E4003" s="184">
        <v>44167</v>
      </c>
      <c r="G4003" s="184"/>
      <c r="I4003" s="184"/>
      <c r="K4003" s="184"/>
      <c r="M4003" s="184"/>
      <c r="P4003" t="s">
        <v>7045</v>
      </c>
      <c r="Q4003" t="s">
        <v>7160</v>
      </c>
      <c r="R4003" s="184">
        <v>18537</v>
      </c>
      <c r="S4003">
        <v>73</v>
      </c>
      <c r="V4003" t="s">
        <v>2602</v>
      </c>
      <c r="X4003" t="s">
        <v>29860</v>
      </c>
      <c r="AF4003" t="s">
        <v>29861</v>
      </c>
      <c r="AG4003" t="s">
        <v>2602</v>
      </c>
      <c r="AI4003" t="s">
        <v>29862</v>
      </c>
      <c r="AM4003" t="s">
        <v>2844</v>
      </c>
      <c r="AN4003" t="s">
        <v>2176</v>
      </c>
      <c r="AO4003" t="s">
        <v>29863</v>
      </c>
      <c r="AP4003" t="s">
        <v>7024</v>
      </c>
      <c r="AT4003" s="184">
        <v>40406</v>
      </c>
      <c r="AU4003" t="s">
        <v>29864</v>
      </c>
      <c r="AV4003">
        <v>25</v>
      </c>
      <c r="AW4003" s="184">
        <v>45135</v>
      </c>
      <c r="AX4003" t="s">
        <v>21355</v>
      </c>
      <c r="AY4003">
        <v>200</v>
      </c>
      <c r="AZ4003" s="184">
        <v>45135</v>
      </c>
      <c r="BA4003" t="s">
        <v>21355</v>
      </c>
      <c r="BB4003">
        <v>200</v>
      </c>
      <c r="BC4003">
        <v>94</v>
      </c>
      <c r="BD4003">
        <v>1825</v>
      </c>
      <c r="BE4003">
        <v>2011</v>
      </c>
      <c r="BF4003">
        <v>14</v>
      </c>
      <c r="BG4003">
        <v>2</v>
      </c>
      <c r="BH4003">
        <v>400</v>
      </c>
      <c r="BI4003">
        <v>14</v>
      </c>
      <c r="BJ4003">
        <v>15</v>
      </c>
      <c r="BK4003">
        <v>14</v>
      </c>
      <c r="BP4003" s="184"/>
    </row>
    <row r="4004" spans="1:68">
      <c r="A4004">
        <v>61831988</v>
      </c>
      <c r="B4004">
        <v>61831988</v>
      </c>
      <c r="C4004" t="s">
        <v>7018</v>
      </c>
      <c r="D4004" t="s">
        <v>595</v>
      </c>
      <c r="E4004" s="184">
        <v>44167</v>
      </c>
      <c r="F4004" t="s">
        <v>595</v>
      </c>
      <c r="G4004" s="184">
        <v>44649</v>
      </c>
      <c r="I4004" s="184"/>
      <c r="J4004" t="s">
        <v>595</v>
      </c>
      <c r="K4004" s="184">
        <v>45370</v>
      </c>
      <c r="M4004" s="184"/>
      <c r="O4004" s="184"/>
      <c r="P4004" t="s">
        <v>7045</v>
      </c>
      <c r="Q4004" t="s">
        <v>7383</v>
      </c>
      <c r="R4004" s="184">
        <v>17137</v>
      </c>
      <c r="S4004">
        <v>77</v>
      </c>
      <c r="V4004" t="s">
        <v>2779</v>
      </c>
      <c r="X4004" t="s">
        <v>29865</v>
      </c>
      <c r="AF4004" t="s">
        <v>29866</v>
      </c>
      <c r="AG4004" t="s">
        <v>2779</v>
      </c>
      <c r="AI4004" t="s">
        <v>29867</v>
      </c>
      <c r="AM4004" t="s">
        <v>4912</v>
      </c>
      <c r="AN4004" t="s">
        <v>2139</v>
      </c>
      <c r="AO4004" t="s">
        <v>29868</v>
      </c>
      <c r="AP4004" t="s">
        <v>7024</v>
      </c>
      <c r="AQ4004" t="s">
        <v>29869</v>
      </c>
      <c r="AT4004" s="184">
        <v>40409</v>
      </c>
      <c r="AU4004" t="s">
        <v>29870</v>
      </c>
      <c r="AV4004">
        <v>15</v>
      </c>
      <c r="AW4004" s="184">
        <v>45342</v>
      </c>
      <c r="AX4004" t="s">
        <v>9748</v>
      </c>
      <c r="AY4004">
        <v>100</v>
      </c>
      <c r="AZ4004" s="184">
        <v>45342</v>
      </c>
      <c r="BA4004" t="s">
        <v>9748</v>
      </c>
      <c r="BB4004">
        <v>100</v>
      </c>
      <c r="BC4004">
        <v>100</v>
      </c>
      <c r="BD4004">
        <v>2020</v>
      </c>
      <c r="BE4004">
        <v>2011</v>
      </c>
      <c r="BF4004">
        <v>38</v>
      </c>
      <c r="BG4004">
        <v>2</v>
      </c>
      <c r="BH4004">
        <v>200</v>
      </c>
      <c r="BI4004">
        <v>15</v>
      </c>
      <c r="BJ4004">
        <v>15</v>
      </c>
      <c r="BK4004">
        <v>15</v>
      </c>
      <c r="BP4004" s="184"/>
    </row>
    <row r="4005" spans="1:68">
      <c r="A4005">
        <v>61840542</v>
      </c>
      <c r="B4005">
        <v>61840542</v>
      </c>
      <c r="C4005" t="s">
        <v>7018</v>
      </c>
      <c r="D4005" t="s">
        <v>595</v>
      </c>
      <c r="E4005" s="184">
        <v>44167</v>
      </c>
      <c r="G4005" s="184"/>
      <c r="H4005" t="s">
        <v>595</v>
      </c>
      <c r="I4005" s="184">
        <v>44167</v>
      </c>
      <c r="K4005" s="184"/>
      <c r="M4005" s="184"/>
      <c r="O4005" s="184"/>
      <c r="P4005" t="s">
        <v>7045</v>
      </c>
      <c r="Q4005" t="s">
        <v>7194</v>
      </c>
      <c r="R4005" s="184">
        <v>18050</v>
      </c>
      <c r="S4005">
        <v>74</v>
      </c>
      <c r="U4005" t="s">
        <v>7031</v>
      </c>
      <c r="V4005" t="s">
        <v>2908</v>
      </c>
      <c r="X4005" t="s">
        <v>29871</v>
      </c>
      <c r="AF4005" t="s">
        <v>29872</v>
      </c>
      <c r="AG4005" t="s">
        <v>2908</v>
      </c>
      <c r="AI4005" t="s">
        <v>29873</v>
      </c>
      <c r="AM4005" t="s">
        <v>29874</v>
      </c>
      <c r="AN4005" t="s">
        <v>2046</v>
      </c>
      <c r="AO4005" t="s">
        <v>29875</v>
      </c>
      <c r="AP4005" t="s">
        <v>7024</v>
      </c>
      <c r="AQ4005" t="s">
        <v>29876</v>
      </c>
      <c r="AR4005" t="s">
        <v>29877</v>
      </c>
      <c r="AT4005" s="184">
        <v>40410</v>
      </c>
      <c r="AU4005" t="s">
        <v>29878</v>
      </c>
      <c r="AV4005">
        <v>25</v>
      </c>
      <c r="AW4005" s="184">
        <v>45397</v>
      </c>
      <c r="AX4005" t="s">
        <v>7429</v>
      </c>
      <c r="AY4005">
        <v>7</v>
      </c>
      <c r="AZ4005" s="184">
        <v>43544</v>
      </c>
      <c r="BA4005" t="s">
        <v>29879</v>
      </c>
      <c r="BB4005">
        <v>60</v>
      </c>
      <c r="BC4005">
        <v>87</v>
      </c>
      <c r="BD4005">
        <v>632</v>
      </c>
      <c r="BE4005">
        <v>2011</v>
      </c>
      <c r="BF4005">
        <v>44</v>
      </c>
      <c r="BG4005">
        <v>24</v>
      </c>
      <c r="BH4005">
        <v>168</v>
      </c>
      <c r="BI4005">
        <v>13</v>
      </c>
      <c r="BJ4005">
        <v>15</v>
      </c>
      <c r="BK4005">
        <v>8</v>
      </c>
    </row>
    <row r="4006" spans="1:68">
      <c r="A4006">
        <v>61900973</v>
      </c>
      <c r="B4006">
        <v>61900973</v>
      </c>
      <c r="C4006" t="s">
        <v>7018</v>
      </c>
      <c r="D4006" t="s">
        <v>595</v>
      </c>
      <c r="E4006" s="184">
        <v>45390</v>
      </c>
      <c r="G4006" s="184"/>
      <c r="H4006" t="s">
        <v>595</v>
      </c>
      <c r="I4006" s="184">
        <v>45390</v>
      </c>
      <c r="K4006" s="184"/>
      <c r="M4006" s="184"/>
      <c r="P4006" t="s">
        <v>7045</v>
      </c>
      <c r="Q4006" t="s">
        <v>7374</v>
      </c>
      <c r="R4006" s="184">
        <v>21916</v>
      </c>
      <c r="S4006">
        <v>64</v>
      </c>
      <c r="V4006" t="s">
        <v>15225</v>
      </c>
      <c r="X4006" t="s">
        <v>29880</v>
      </c>
      <c r="AF4006" t="s">
        <v>29881</v>
      </c>
      <c r="AG4006" t="s">
        <v>15225</v>
      </c>
      <c r="AI4006" t="s">
        <v>29882</v>
      </c>
      <c r="AM4006" t="s">
        <v>4384</v>
      </c>
      <c r="AN4006" t="s">
        <v>2081</v>
      </c>
      <c r="AO4006" t="s">
        <v>29883</v>
      </c>
      <c r="AP4006" t="s">
        <v>7024</v>
      </c>
      <c r="AQ4006" t="s">
        <v>29884</v>
      </c>
      <c r="AT4006" s="184">
        <v>40416</v>
      </c>
      <c r="AU4006" t="s">
        <v>29885</v>
      </c>
      <c r="AV4006">
        <v>25</v>
      </c>
      <c r="AW4006" s="184">
        <v>45145</v>
      </c>
      <c r="AX4006" t="s">
        <v>29886</v>
      </c>
      <c r="AY4006">
        <v>40</v>
      </c>
      <c r="AZ4006" s="184">
        <v>45145</v>
      </c>
      <c r="BA4006" t="s">
        <v>29886</v>
      </c>
      <c r="BB4006">
        <v>40</v>
      </c>
      <c r="BC4006">
        <v>47</v>
      </c>
      <c r="BD4006">
        <v>445</v>
      </c>
      <c r="BE4006">
        <v>2011</v>
      </c>
      <c r="BF4006">
        <v>14</v>
      </c>
      <c r="BG4006">
        <v>1</v>
      </c>
      <c r="BH4006">
        <v>40</v>
      </c>
      <c r="BI4006">
        <v>7</v>
      </c>
      <c r="BJ4006">
        <v>15</v>
      </c>
      <c r="BK4006">
        <v>2</v>
      </c>
      <c r="BP4006" s="184"/>
    </row>
    <row r="4007" spans="1:68">
      <c r="A4007">
        <v>61944773</v>
      </c>
      <c r="B4007">
        <v>61944773</v>
      </c>
      <c r="C4007" t="s">
        <v>7018</v>
      </c>
      <c r="D4007" t="s">
        <v>595</v>
      </c>
      <c r="E4007" s="184">
        <v>45160</v>
      </c>
      <c r="G4007" s="184"/>
      <c r="I4007" s="184"/>
      <c r="K4007" s="184"/>
      <c r="M4007" s="184"/>
      <c r="P4007" t="s">
        <v>7045</v>
      </c>
      <c r="Q4007" t="s">
        <v>7383</v>
      </c>
      <c r="R4007" s="184">
        <v>25494</v>
      </c>
      <c r="S4007">
        <v>54</v>
      </c>
      <c r="V4007" t="s">
        <v>2541</v>
      </c>
      <c r="X4007" t="s">
        <v>29887</v>
      </c>
      <c r="AF4007" t="s">
        <v>29888</v>
      </c>
      <c r="AG4007" t="s">
        <v>2541</v>
      </c>
      <c r="AI4007" t="s">
        <v>29889</v>
      </c>
      <c r="AM4007" t="s">
        <v>4041</v>
      </c>
      <c r="AN4007" t="s">
        <v>2185</v>
      </c>
      <c r="AO4007" t="s">
        <v>29890</v>
      </c>
      <c r="AP4007" t="s">
        <v>7024</v>
      </c>
      <c r="AQ4007" t="s">
        <v>29891</v>
      </c>
      <c r="AT4007" s="184">
        <v>40420</v>
      </c>
      <c r="AU4007" t="s">
        <v>29837</v>
      </c>
      <c r="AV4007">
        <v>20</v>
      </c>
      <c r="AW4007" s="184">
        <v>45296</v>
      </c>
      <c r="AX4007" t="s">
        <v>20283</v>
      </c>
      <c r="AY4007">
        <v>25</v>
      </c>
      <c r="AZ4007" s="184">
        <v>45296</v>
      </c>
      <c r="BA4007" t="s">
        <v>20283</v>
      </c>
      <c r="BB4007">
        <v>25</v>
      </c>
      <c r="BC4007">
        <v>60</v>
      </c>
      <c r="BD4007">
        <v>285</v>
      </c>
      <c r="BE4007">
        <v>2011</v>
      </c>
      <c r="BF4007">
        <v>12</v>
      </c>
      <c r="BG4007">
        <v>2</v>
      </c>
      <c r="BH4007">
        <v>50</v>
      </c>
      <c r="BI4007">
        <v>9</v>
      </c>
      <c r="BJ4007">
        <v>15</v>
      </c>
      <c r="BK4007">
        <v>3</v>
      </c>
    </row>
    <row r="4008" spans="1:68">
      <c r="A4008">
        <v>62039573</v>
      </c>
      <c r="B4008">
        <v>62039573</v>
      </c>
      <c r="C4008" t="s">
        <v>7018</v>
      </c>
      <c r="D4008" t="s">
        <v>595</v>
      </c>
      <c r="E4008" s="184">
        <v>44070</v>
      </c>
      <c r="G4008" s="184"/>
      <c r="I4008" s="184"/>
      <c r="K4008" s="184"/>
      <c r="M4008" s="184"/>
      <c r="O4008" s="184"/>
      <c r="P4008" t="s">
        <v>7045</v>
      </c>
      <c r="Q4008" t="s">
        <v>7020</v>
      </c>
      <c r="R4008" s="184">
        <v>18537</v>
      </c>
      <c r="S4008">
        <v>73</v>
      </c>
      <c r="U4008" t="s">
        <v>7130</v>
      </c>
      <c r="V4008" t="s">
        <v>3580</v>
      </c>
      <c r="X4008" t="s">
        <v>19454</v>
      </c>
      <c r="AF4008" t="s">
        <v>29892</v>
      </c>
      <c r="AG4008" t="s">
        <v>3580</v>
      </c>
      <c r="AI4008" t="s">
        <v>29893</v>
      </c>
      <c r="AM4008" t="s">
        <v>29894</v>
      </c>
      <c r="AN4008" t="s">
        <v>2112</v>
      </c>
      <c r="AO4008" t="s">
        <v>29895</v>
      </c>
      <c r="AP4008" t="s">
        <v>7024</v>
      </c>
      <c r="AQ4008" t="s">
        <v>29896</v>
      </c>
      <c r="AT4008" s="184">
        <v>40423</v>
      </c>
      <c r="AU4008" t="s">
        <v>29878</v>
      </c>
      <c r="AV4008">
        <v>25</v>
      </c>
      <c r="AW4008" s="184">
        <v>45291</v>
      </c>
      <c r="AX4008" t="s">
        <v>26293</v>
      </c>
      <c r="AY4008">
        <v>50</v>
      </c>
      <c r="AZ4008" s="184">
        <v>43924</v>
      </c>
      <c r="BA4008" t="s">
        <v>12275</v>
      </c>
      <c r="BB4008">
        <v>87</v>
      </c>
      <c r="BC4008">
        <v>74</v>
      </c>
      <c r="BD4008">
        <v>712</v>
      </c>
      <c r="BE4008">
        <v>2011</v>
      </c>
      <c r="BF4008">
        <v>42</v>
      </c>
      <c r="BG4008">
        <v>1</v>
      </c>
      <c r="BH4008">
        <v>50</v>
      </c>
      <c r="BI4008">
        <v>11</v>
      </c>
      <c r="BJ4008">
        <v>15</v>
      </c>
      <c r="BK4008">
        <v>8</v>
      </c>
    </row>
    <row r="4009" spans="1:68">
      <c r="A4009">
        <v>62530175</v>
      </c>
      <c r="B4009">
        <v>62530175</v>
      </c>
      <c r="C4009" t="s">
        <v>7018</v>
      </c>
      <c r="D4009" t="s">
        <v>595</v>
      </c>
      <c r="E4009" s="184">
        <v>44455</v>
      </c>
      <c r="G4009" s="184"/>
      <c r="I4009" s="184"/>
      <c r="K4009" s="184"/>
      <c r="M4009" s="184"/>
      <c r="O4009" s="184"/>
      <c r="P4009" t="s">
        <v>7045</v>
      </c>
      <c r="Q4009" t="s">
        <v>7030</v>
      </c>
      <c r="R4009" s="184">
        <v>19341</v>
      </c>
      <c r="S4009">
        <v>71</v>
      </c>
      <c r="U4009" t="s">
        <v>7076</v>
      </c>
      <c r="V4009" t="s">
        <v>3101</v>
      </c>
      <c r="X4009" t="s">
        <v>29897</v>
      </c>
      <c r="AF4009" t="s">
        <v>29898</v>
      </c>
      <c r="AG4009" t="s">
        <v>3101</v>
      </c>
      <c r="AI4009" t="s">
        <v>29899</v>
      </c>
      <c r="AM4009" t="s">
        <v>4369</v>
      </c>
      <c r="AN4009" t="s">
        <v>2089</v>
      </c>
      <c r="AO4009" t="s">
        <v>29900</v>
      </c>
      <c r="AP4009" t="s">
        <v>7024</v>
      </c>
      <c r="AQ4009" t="s">
        <v>29901</v>
      </c>
      <c r="AT4009" s="184">
        <v>40437</v>
      </c>
      <c r="AU4009" t="s">
        <v>29902</v>
      </c>
      <c r="AV4009">
        <v>50</v>
      </c>
      <c r="AW4009" s="184">
        <v>44167</v>
      </c>
      <c r="AX4009" t="s">
        <v>29903</v>
      </c>
      <c r="AY4009">
        <v>60</v>
      </c>
      <c r="AZ4009" s="184">
        <v>44167</v>
      </c>
      <c r="BA4009" t="s">
        <v>29903</v>
      </c>
      <c r="BB4009">
        <v>60</v>
      </c>
      <c r="BC4009">
        <v>34</v>
      </c>
      <c r="BD4009">
        <v>580</v>
      </c>
      <c r="BE4009">
        <v>2011</v>
      </c>
      <c r="BF4009">
        <v>17</v>
      </c>
      <c r="BI4009">
        <v>5</v>
      </c>
      <c r="BJ4009">
        <v>15</v>
      </c>
      <c r="BK4009">
        <v>4</v>
      </c>
      <c r="BP4009" s="184"/>
    </row>
    <row r="4010" spans="1:68">
      <c r="A4010">
        <v>62794375</v>
      </c>
      <c r="B4010">
        <v>62794375</v>
      </c>
      <c r="C4010" t="s">
        <v>7018</v>
      </c>
      <c r="E4010" s="184"/>
      <c r="G4010" s="184"/>
      <c r="I4010" s="184"/>
      <c r="J4010" t="s">
        <v>595</v>
      </c>
      <c r="K4010" s="184">
        <v>44452</v>
      </c>
      <c r="M4010" s="184"/>
      <c r="O4010" s="184"/>
      <c r="P4010" t="s">
        <v>7045</v>
      </c>
      <c r="Q4010" t="s">
        <v>7454</v>
      </c>
      <c r="R4010" s="184">
        <v>15187</v>
      </c>
      <c r="S4010">
        <v>82</v>
      </c>
      <c r="V4010" t="s">
        <v>2828</v>
      </c>
      <c r="W4010" t="s">
        <v>4013</v>
      </c>
      <c r="X4010" t="s">
        <v>29904</v>
      </c>
      <c r="Z4010">
        <v>100135657</v>
      </c>
      <c r="AB4010" t="s">
        <v>3317</v>
      </c>
      <c r="AD4010" t="s">
        <v>29904</v>
      </c>
      <c r="AF4010" t="s">
        <v>29905</v>
      </c>
      <c r="AG4010" t="s">
        <v>29906</v>
      </c>
      <c r="AI4010" t="s">
        <v>29907</v>
      </c>
      <c r="AM4010" t="s">
        <v>13311</v>
      </c>
      <c r="AN4010" t="s">
        <v>2055</v>
      </c>
      <c r="AO4010" t="s">
        <v>29908</v>
      </c>
      <c r="AP4010" t="s">
        <v>7024</v>
      </c>
      <c r="AQ4010" t="s">
        <v>29909</v>
      </c>
      <c r="AT4010" s="184">
        <v>40442</v>
      </c>
      <c r="AU4010" t="s">
        <v>29910</v>
      </c>
      <c r="AV4010">
        <v>25</v>
      </c>
      <c r="AW4010" s="184">
        <v>44614</v>
      </c>
      <c r="AX4010" t="s">
        <v>29911</v>
      </c>
      <c r="AY4010">
        <v>300</v>
      </c>
      <c r="AZ4010" s="184">
        <v>44614</v>
      </c>
      <c r="BA4010" t="s">
        <v>29911</v>
      </c>
      <c r="BB4010">
        <v>300</v>
      </c>
      <c r="BC4010">
        <v>54</v>
      </c>
      <c r="BD4010">
        <v>825</v>
      </c>
      <c r="BE4010">
        <v>2011</v>
      </c>
      <c r="BF4010">
        <v>13</v>
      </c>
      <c r="BI4010">
        <v>8</v>
      </c>
      <c r="BJ4010">
        <v>15</v>
      </c>
      <c r="BK4010">
        <v>5</v>
      </c>
      <c r="BP4010" s="184"/>
    </row>
    <row r="4011" spans="1:68">
      <c r="A4011">
        <v>100135657</v>
      </c>
      <c r="B4011">
        <v>62794375</v>
      </c>
      <c r="C4011" t="s">
        <v>7018</v>
      </c>
      <c r="E4011" s="184"/>
      <c r="G4011" s="184"/>
      <c r="I4011" s="184"/>
      <c r="J4011" t="s">
        <v>595</v>
      </c>
      <c r="K4011" s="184">
        <v>44452</v>
      </c>
      <c r="M4011" s="184"/>
      <c r="O4011" s="184"/>
      <c r="P4011" t="s">
        <v>7045</v>
      </c>
      <c r="Q4011" t="s">
        <v>7454</v>
      </c>
      <c r="R4011" s="184">
        <v>15756</v>
      </c>
      <c r="S4011">
        <v>81</v>
      </c>
      <c r="V4011" t="s">
        <v>3317</v>
      </c>
      <c r="X4011" t="s">
        <v>29904</v>
      </c>
      <c r="Z4011">
        <v>62794375</v>
      </c>
      <c r="AB4011" t="s">
        <v>2828</v>
      </c>
      <c r="AC4011" t="s">
        <v>4013</v>
      </c>
      <c r="AD4011" t="s">
        <v>29904</v>
      </c>
      <c r="AF4011" t="s">
        <v>29905</v>
      </c>
      <c r="AG4011" t="s">
        <v>29906</v>
      </c>
      <c r="AI4011" t="s">
        <v>29907</v>
      </c>
      <c r="AM4011" t="s">
        <v>13311</v>
      </c>
      <c r="AN4011" t="s">
        <v>2055</v>
      </c>
      <c r="AO4011" t="s">
        <v>29908</v>
      </c>
      <c r="AP4011" t="s">
        <v>7024</v>
      </c>
      <c r="AT4011" s="184"/>
      <c r="AW4011" s="184"/>
      <c r="AZ4011" s="184"/>
    </row>
    <row r="4012" spans="1:68">
      <c r="A4012">
        <v>62811187</v>
      </c>
      <c r="B4012">
        <v>62811187</v>
      </c>
      <c r="C4012" t="s">
        <v>7018</v>
      </c>
      <c r="E4012" s="184"/>
      <c r="G4012" s="184"/>
      <c r="I4012" s="184"/>
      <c r="J4012" t="s">
        <v>595</v>
      </c>
      <c r="K4012" s="184">
        <v>41921</v>
      </c>
      <c r="M4012" s="184"/>
      <c r="O4012" s="184"/>
      <c r="P4012" t="s">
        <v>7045</v>
      </c>
      <c r="Q4012" t="s">
        <v>7774</v>
      </c>
      <c r="R4012" s="184">
        <v>21490</v>
      </c>
      <c r="S4012">
        <v>65</v>
      </c>
      <c r="U4012" t="s">
        <v>7076</v>
      </c>
      <c r="V4012" t="s">
        <v>17954</v>
      </c>
      <c r="X4012" t="s">
        <v>3597</v>
      </c>
      <c r="AF4012" t="s">
        <v>6423</v>
      </c>
      <c r="AG4012" t="s">
        <v>17954</v>
      </c>
      <c r="AI4012" t="s">
        <v>29912</v>
      </c>
      <c r="AM4012" t="s">
        <v>2853</v>
      </c>
      <c r="AN4012" t="s">
        <v>2077</v>
      </c>
      <c r="AO4012" t="s">
        <v>29913</v>
      </c>
      <c r="AP4012" t="s">
        <v>7024</v>
      </c>
      <c r="AQ4012" t="s">
        <v>29914</v>
      </c>
      <c r="AT4012" s="184">
        <v>40443</v>
      </c>
      <c r="AU4012" t="s">
        <v>29436</v>
      </c>
      <c r="AV4012">
        <v>50</v>
      </c>
      <c r="AW4012" s="184">
        <v>45388</v>
      </c>
      <c r="AX4012" t="s">
        <v>29915</v>
      </c>
      <c r="AY4012">
        <v>50</v>
      </c>
      <c r="AZ4012" s="184">
        <v>44680</v>
      </c>
      <c r="BA4012" t="s">
        <v>29916</v>
      </c>
      <c r="BB4012">
        <v>100</v>
      </c>
      <c r="BC4012">
        <v>100</v>
      </c>
      <c r="BD4012">
        <v>1385</v>
      </c>
      <c r="BE4012">
        <v>2011</v>
      </c>
      <c r="BF4012">
        <v>20</v>
      </c>
      <c r="BG4012">
        <v>2</v>
      </c>
      <c r="BH4012">
        <v>100</v>
      </c>
      <c r="BI4012">
        <v>15</v>
      </c>
      <c r="BJ4012">
        <v>15</v>
      </c>
      <c r="BK4012">
        <v>15</v>
      </c>
      <c r="BP4012" s="184"/>
    </row>
    <row r="4013" spans="1:68">
      <c r="A4013">
        <v>62811377</v>
      </c>
      <c r="B4013">
        <v>62811377</v>
      </c>
      <c r="C4013" t="s">
        <v>7018</v>
      </c>
      <c r="D4013" t="s">
        <v>595</v>
      </c>
      <c r="E4013" s="184">
        <v>44167</v>
      </c>
      <c r="I4013" s="184"/>
      <c r="K4013" s="184"/>
      <c r="M4013" s="184"/>
      <c r="O4013" s="184"/>
      <c r="P4013" t="s">
        <v>7045</v>
      </c>
      <c r="Q4013" t="s">
        <v>7374</v>
      </c>
      <c r="R4013" s="184">
        <v>18405</v>
      </c>
      <c r="S4013">
        <v>73</v>
      </c>
      <c r="U4013" t="s">
        <v>7130</v>
      </c>
      <c r="V4013" t="s">
        <v>3279</v>
      </c>
      <c r="X4013" t="s">
        <v>2912</v>
      </c>
      <c r="AF4013" t="s">
        <v>29917</v>
      </c>
      <c r="AG4013" t="s">
        <v>3279</v>
      </c>
      <c r="AI4013" t="s">
        <v>29918</v>
      </c>
      <c r="AM4013" t="s">
        <v>16197</v>
      </c>
      <c r="AN4013" t="s">
        <v>2526</v>
      </c>
      <c r="AO4013" t="s">
        <v>29919</v>
      </c>
      <c r="AP4013" t="s">
        <v>7024</v>
      </c>
      <c r="AQ4013" t="s">
        <v>29920</v>
      </c>
      <c r="AR4013" t="s">
        <v>29921</v>
      </c>
      <c r="AT4013" s="184">
        <v>40443</v>
      </c>
      <c r="AU4013" t="s">
        <v>29922</v>
      </c>
      <c r="AV4013">
        <v>25</v>
      </c>
      <c r="AW4013" s="184">
        <v>44967</v>
      </c>
      <c r="AX4013" t="s">
        <v>17926</v>
      </c>
      <c r="AY4013">
        <v>35</v>
      </c>
      <c r="AZ4013" s="184">
        <v>40703</v>
      </c>
      <c r="BA4013" t="s">
        <v>29923</v>
      </c>
      <c r="BB4013">
        <v>60</v>
      </c>
      <c r="BC4013">
        <v>94</v>
      </c>
      <c r="BD4013">
        <v>505</v>
      </c>
      <c r="BE4013">
        <v>2011</v>
      </c>
      <c r="BF4013">
        <v>14</v>
      </c>
      <c r="BG4013">
        <v>1</v>
      </c>
      <c r="BH4013">
        <v>35</v>
      </c>
      <c r="BI4013">
        <v>14</v>
      </c>
      <c r="BJ4013">
        <v>15</v>
      </c>
      <c r="BK4013">
        <v>14</v>
      </c>
      <c r="BP4013" s="184"/>
    </row>
    <row r="4014" spans="1:68">
      <c r="A4014">
        <v>62945977</v>
      </c>
      <c r="B4014">
        <v>62945977</v>
      </c>
      <c r="C4014" t="s">
        <v>7018</v>
      </c>
      <c r="D4014" t="s">
        <v>595</v>
      </c>
      <c r="E4014" s="184">
        <v>44438</v>
      </c>
      <c r="G4014" s="184"/>
      <c r="I4014" s="184"/>
      <c r="K4014" s="184"/>
      <c r="M4014" s="184"/>
      <c r="O4014" s="184"/>
      <c r="P4014" t="s">
        <v>7045</v>
      </c>
      <c r="Q4014" t="s">
        <v>7030</v>
      </c>
      <c r="R4014" s="184">
        <v>15585</v>
      </c>
      <c r="S4014">
        <v>81</v>
      </c>
      <c r="U4014" t="s">
        <v>7076</v>
      </c>
      <c r="V4014" t="s">
        <v>3901</v>
      </c>
      <c r="X4014" t="s">
        <v>4649</v>
      </c>
      <c r="AF4014" t="s">
        <v>29924</v>
      </c>
      <c r="AG4014" t="s">
        <v>3901</v>
      </c>
      <c r="AI4014" t="s">
        <v>29925</v>
      </c>
      <c r="AM4014" t="s">
        <v>3010</v>
      </c>
      <c r="AN4014" t="s">
        <v>2094</v>
      </c>
      <c r="AO4014" t="s">
        <v>29926</v>
      </c>
      <c r="AP4014" t="s">
        <v>7024</v>
      </c>
      <c r="AQ4014" t="s">
        <v>29927</v>
      </c>
      <c r="AT4014" s="184">
        <v>40448</v>
      </c>
      <c r="AU4014" t="s">
        <v>29928</v>
      </c>
      <c r="AV4014">
        <v>25</v>
      </c>
      <c r="AW4014" s="184">
        <v>45342</v>
      </c>
      <c r="AX4014" t="s">
        <v>13596</v>
      </c>
      <c r="AY4014">
        <v>50</v>
      </c>
      <c r="AZ4014" s="184">
        <v>44054</v>
      </c>
      <c r="BA4014" t="s">
        <v>10303</v>
      </c>
      <c r="BB4014">
        <v>87</v>
      </c>
      <c r="BC4014">
        <v>74</v>
      </c>
      <c r="BD4014">
        <v>637</v>
      </c>
      <c r="BE4014">
        <v>2011</v>
      </c>
      <c r="BF4014">
        <v>12</v>
      </c>
      <c r="BG4014">
        <v>2</v>
      </c>
      <c r="BH4014">
        <v>100</v>
      </c>
      <c r="BI4014">
        <v>11</v>
      </c>
      <c r="BJ4014">
        <v>15</v>
      </c>
      <c r="BK4014">
        <v>7</v>
      </c>
      <c r="BP4014" s="184"/>
    </row>
    <row r="4015" spans="1:68">
      <c r="A4015">
        <v>62983176</v>
      </c>
      <c r="B4015">
        <v>62983176</v>
      </c>
      <c r="C4015" t="s">
        <v>7018</v>
      </c>
      <c r="D4015" t="s">
        <v>595</v>
      </c>
      <c r="E4015" s="184">
        <v>44143</v>
      </c>
      <c r="G4015" s="184"/>
      <c r="I4015" s="184"/>
      <c r="K4015" s="184"/>
      <c r="M4015" s="184"/>
      <c r="O4015" s="184"/>
      <c r="P4015" t="s">
        <v>7045</v>
      </c>
      <c r="Q4015" t="s">
        <v>7030</v>
      </c>
      <c r="R4015" s="184">
        <v>16695</v>
      </c>
      <c r="S4015">
        <v>78</v>
      </c>
      <c r="U4015" t="s">
        <v>7076</v>
      </c>
      <c r="V4015" t="s">
        <v>2903</v>
      </c>
      <c r="X4015" t="s">
        <v>29929</v>
      </c>
      <c r="AF4015" t="s">
        <v>29930</v>
      </c>
      <c r="AG4015" t="s">
        <v>2903</v>
      </c>
      <c r="AI4015" t="s">
        <v>29931</v>
      </c>
      <c r="AM4015" t="s">
        <v>4209</v>
      </c>
      <c r="AN4015" t="s">
        <v>2201</v>
      </c>
      <c r="AO4015" t="s">
        <v>29932</v>
      </c>
      <c r="AP4015" t="s">
        <v>7024</v>
      </c>
      <c r="AQ4015" t="s">
        <v>29933</v>
      </c>
      <c r="AT4015" s="184">
        <v>40451</v>
      </c>
      <c r="AU4015" t="s">
        <v>29934</v>
      </c>
      <c r="AV4015">
        <v>19.97</v>
      </c>
      <c r="AW4015" s="184">
        <v>45418</v>
      </c>
      <c r="AX4015" t="s">
        <v>7422</v>
      </c>
      <c r="AY4015">
        <v>15</v>
      </c>
      <c r="AZ4015" s="184">
        <v>42970</v>
      </c>
      <c r="BA4015" t="s">
        <v>7959</v>
      </c>
      <c r="BB4015">
        <v>150</v>
      </c>
      <c r="BC4015">
        <v>100</v>
      </c>
      <c r="BD4015">
        <v>2053.9699999999998</v>
      </c>
      <c r="BE4015">
        <v>2011</v>
      </c>
      <c r="BF4015">
        <v>91</v>
      </c>
      <c r="BG4015">
        <v>24</v>
      </c>
      <c r="BH4015">
        <v>360</v>
      </c>
      <c r="BI4015">
        <v>15</v>
      </c>
      <c r="BJ4015">
        <v>15</v>
      </c>
      <c r="BK4015">
        <v>15</v>
      </c>
      <c r="BN4015" t="s">
        <v>595</v>
      </c>
      <c r="BP4015" s="184"/>
    </row>
    <row r="4016" spans="1:68">
      <c r="A4016">
        <v>63015952</v>
      </c>
      <c r="B4016">
        <v>63015952</v>
      </c>
      <c r="C4016" t="s">
        <v>7018</v>
      </c>
      <c r="D4016" t="s">
        <v>595</v>
      </c>
      <c r="E4016" s="184">
        <v>45147</v>
      </c>
      <c r="G4016" s="184"/>
      <c r="I4016" s="184"/>
      <c r="K4016" s="184"/>
      <c r="M4016" s="184"/>
      <c r="O4016" s="184"/>
      <c r="P4016" t="s">
        <v>7045</v>
      </c>
      <c r="Q4016" t="s">
        <v>7494</v>
      </c>
      <c r="R4016" s="184">
        <v>22990</v>
      </c>
      <c r="S4016">
        <v>61</v>
      </c>
      <c r="V4016" t="s">
        <v>3868</v>
      </c>
      <c r="X4016" t="s">
        <v>3539</v>
      </c>
      <c r="AF4016" t="s">
        <v>29935</v>
      </c>
      <c r="AG4016" t="s">
        <v>3868</v>
      </c>
      <c r="AI4016" t="s">
        <v>29936</v>
      </c>
      <c r="AM4016" t="s">
        <v>4987</v>
      </c>
      <c r="AN4016" t="s">
        <v>2174</v>
      </c>
      <c r="AO4016" t="s">
        <v>29937</v>
      </c>
      <c r="AP4016" t="s">
        <v>7024</v>
      </c>
      <c r="AQ4016" t="s">
        <v>29938</v>
      </c>
      <c r="AT4016" s="184">
        <v>40450</v>
      </c>
      <c r="AU4016" t="s">
        <v>29939</v>
      </c>
      <c r="AV4016">
        <v>25</v>
      </c>
      <c r="AW4016" s="184">
        <v>44194</v>
      </c>
      <c r="AX4016" t="s">
        <v>29940</v>
      </c>
      <c r="AY4016">
        <v>25</v>
      </c>
      <c r="AZ4016" s="184">
        <v>40836</v>
      </c>
      <c r="BA4016" t="s">
        <v>29941</v>
      </c>
      <c r="BB4016">
        <v>60</v>
      </c>
      <c r="BC4016">
        <v>40</v>
      </c>
      <c r="BD4016">
        <v>275</v>
      </c>
      <c r="BE4016">
        <v>2011</v>
      </c>
      <c r="BF4016">
        <v>8</v>
      </c>
      <c r="BI4016">
        <v>6</v>
      </c>
      <c r="BJ4016">
        <v>15</v>
      </c>
      <c r="BK4016">
        <v>2</v>
      </c>
      <c r="BN4016" t="s">
        <v>595</v>
      </c>
    </row>
    <row r="4017" spans="1:68">
      <c r="A4017">
        <v>63021174</v>
      </c>
      <c r="B4017">
        <v>63021174</v>
      </c>
      <c r="C4017" t="s">
        <v>7018</v>
      </c>
      <c r="D4017" t="s">
        <v>595</v>
      </c>
      <c r="E4017" s="184">
        <v>45148</v>
      </c>
      <c r="G4017" s="184"/>
      <c r="I4017" s="184"/>
      <c r="K4017" s="184"/>
      <c r="M4017" s="184"/>
      <c r="O4017" s="184"/>
      <c r="P4017" t="s">
        <v>7045</v>
      </c>
      <c r="Q4017" t="s">
        <v>7383</v>
      </c>
      <c r="R4017" s="184">
        <v>23012</v>
      </c>
      <c r="S4017">
        <v>61</v>
      </c>
      <c r="V4017" t="s">
        <v>3825</v>
      </c>
      <c r="X4017" t="s">
        <v>29942</v>
      </c>
      <c r="AF4017" t="s">
        <v>29943</v>
      </c>
      <c r="AG4017" t="s">
        <v>3825</v>
      </c>
      <c r="AI4017" t="s">
        <v>29944</v>
      </c>
      <c r="AM4017" t="s">
        <v>5409</v>
      </c>
      <c r="AN4017" t="s">
        <v>2144</v>
      </c>
      <c r="AO4017" t="s">
        <v>29945</v>
      </c>
      <c r="AP4017" t="s">
        <v>7024</v>
      </c>
      <c r="AT4017" s="184">
        <v>40451</v>
      </c>
      <c r="AU4017" t="s">
        <v>29946</v>
      </c>
      <c r="AV4017">
        <v>100</v>
      </c>
      <c r="AW4017" s="184">
        <v>45180</v>
      </c>
      <c r="AX4017" t="s">
        <v>18022</v>
      </c>
      <c r="AY4017">
        <v>35</v>
      </c>
      <c r="AZ4017" s="184">
        <v>40451</v>
      </c>
      <c r="BA4017" t="s">
        <v>29946</v>
      </c>
      <c r="BB4017">
        <v>100</v>
      </c>
      <c r="BC4017">
        <v>74</v>
      </c>
      <c r="BD4017">
        <v>540</v>
      </c>
      <c r="BE4017">
        <v>2011</v>
      </c>
      <c r="BF4017">
        <v>11</v>
      </c>
      <c r="BG4017">
        <v>2</v>
      </c>
      <c r="BH4017">
        <v>70</v>
      </c>
      <c r="BI4017">
        <v>11</v>
      </c>
      <c r="BJ4017">
        <v>15</v>
      </c>
      <c r="BK4017">
        <v>10</v>
      </c>
      <c r="BP4017" s="184"/>
    </row>
    <row r="4018" spans="1:68">
      <c r="A4018">
        <v>63208979</v>
      </c>
      <c r="B4018">
        <v>63208979</v>
      </c>
      <c r="C4018" t="s">
        <v>7018</v>
      </c>
      <c r="E4018" s="184"/>
      <c r="G4018" s="184"/>
      <c r="I4018" s="184"/>
      <c r="J4018" t="s">
        <v>595</v>
      </c>
      <c r="K4018" s="184">
        <v>44167</v>
      </c>
      <c r="M4018" s="184"/>
      <c r="O4018" s="184"/>
      <c r="P4018" t="s">
        <v>7045</v>
      </c>
      <c r="Q4018" t="s">
        <v>7194</v>
      </c>
      <c r="R4018" s="184">
        <v>18019</v>
      </c>
      <c r="S4018">
        <v>75</v>
      </c>
      <c r="V4018" t="s">
        <v>2733</v>
      </c>
      <c r="X4018" t="s">
        <v>29947</v>
      </c>
      <c r="AF4018" t="s">
        <v>29948</v>
      </c>
      <c r="AG4018" t="s">
        <v>2733</v>
      </c>
      <c r="AI4018" t="s">
        <v>29949</v>
      </c>
      <c r="AM4018" t="s">
        <v>29950</v>
      </c>
      <c r="AN4018" t="s">
        <v>2046</v>
      </c>
      <c r="AO4018" t="s">
        <v>29951</v>
      </c>
      <c r="AP4018" t="s">
        <v>7024</v>
      </c>
      <c r="AQ4018" t="s">
        <v>29952</v>
      </c>
      <c r="AT4018" s="184">
        <v>40456</v>
      </c>
      <c r="AU4018" t="s">
        <v>29953</v>
      </c>
      <c r="AV4018">
        <v>25</v>
      </c>
      <c r="AW4018" s="184">
        <v>44958</v>
      </c>
      <c r="AX4018" t="s">
        <v>16675</v>
      </c>
      <c r="AY4018">
        <v>25</v>
      </c>
      <c r="AZ4018" s="184">
        <v>43728</v>
      </c>
      <c r="BA4018" t="s">
        <v>7229</v>
      </c>
      <c r="BB4018">
        <v>55</v>
      </c>
      <c r="BC4018">
        <v>60</v>
      </c>
      <c r="BD4018">
        <v>510</v>
      </c>
      <c r="BE4018">
        <v>2011</v>
      </c>
      <c r="BF4018">
        <v>13</v>
      </c>
      <c r="BG4018">
        <v>1</v>
      </c>
      <c r="BH4018">
        <v>25</v>
      </c>
      <c r="BI4018">
        <v>9</v>
      </c>
      <c r="BJ4018">
        <v>15</v>
      </c>
      <c r="BK4018">
        <v>7</v>
      </c>
      <c r="BP4018" s="184"/>
    </row>
    <row r="4019" spans="1:68">
      <c r="A4019">
        <v>63220974</v>
      </c>
      <c r="B4019">
        <v>63220974</v>
      </c>
      <c r="C4019" t="s">
        <v>7018</v>
      </c>
      <c r="D4019" t="s">
        <v>595</v>
      </c>
      <c r="E4019" s="184">
        <v>44484</v>
      </c>
      <c r="G4019" s="184"/>
      <c r="I4019" s="184"/>
      <c r="K4019" s="184"/>
      <c r="M4019" s="184"/>
      <c r="O4019" s="184"/>
      <c r="P4019" t="s">
        <v>7045</v>
      </c>
      <c r="Q4019" t="s">
        <v>7494</v>
      </c>
      <c r="R4019" s="184">
        <v>16443</v>
      </c>
      <c r="S4019">
        <v>79</v>
      </c>
      <c r="U4019" t="s">
        <v>7031</v>
      </c>
      <c r="V4019" t="s">
        <v>2511</v>
      </c>
      <c r="W4019" t="s">
        <v>2049</v>
      </c>
      <c r="X4019" t="s">
        <v>3702</v>
      </c>
      <c r="AF4019" t="s">
        <v>29954</v>
      </c>
      <c r="AG4019" t="s">
        <v>2511</v>
      </c>
      <c r="AI4019" t="s">
        <v>29955</v>
      </c>
      <c r="AM4019" t="s">
        <v>3378</v>
      </c>
      <c r="AN4019" t="s">
        <v>2174</v>
      </c>
      <c r="AO4019" t="s">
        <v>29956</v>
      </c>
      <c r="AP4019" t="s">
        <v>7024</v>
      </c>
      <c r="AQ4019" t="s">
        <v>29957</v>
      </c>
      <c r="AR4019" t="s">
        <v>29958</v>
      </c>
      <c r="AT4019" s="184">
        <v>40456</v>
      </c>
      <c r="AU4019" t="s">
        <v>29959</v>
      </c>
      <c r="AV4019">
        <v>50</v>
      </c>
      <c r="AW4019" s="184">
        <v>44936</v>
      </c>
      <c r="AX4019" t="s">
        <v>29960</v>
      </c>
      <c r="AY4019">
        <v>25</v>
      </c>
      <c r="AZ4019" s="184">
        <v>43752</v>
      </c>
      <c r="BA4019" t="s">
        <v>29961</v>
      </c>
      <c r="BB4019">
        <v>150</v>
      </c>
      <c r="BC4019">
        <v>60</v>
      </c>
      <c r="BD4019">
        <v>850</v>
      </c>
      <c r="BE4019">
        <v>2011</v>
      </c>
      <c r="BF4019">
        <v>12</v>
      </c>
      <c r="BG4019">
        <v>1</v>
      </c>
      <c r="BH4019">
        <v>25</v>
      </c>
      <c r="BI4019">
        <v>9</v>
      </c>
      <c r="BJ4019">
        <v>15</v>
      </c>
      <c r="BK4019">
        <v>5</v>
      </c>
      <c r="BN4019" t="s">
        <v>595</v>
      </c>
      <c r="BP4019" s="184"/>
    </row>
    <row r="4020" spans="1:68">
      <c r="A4020">
        <v>63234173</v>
      </c>
      <c r="B4020">
        <v>63234173</v>
      </c>
      <c r="C4020" t="s">
        <v>7018</v>
      </c>
      <c r="D4020" t="s">
        <v>595</v>
      </c>
      <c r="E4020" s="184">
        <v>44167</v>
      </c>
      <c r="G4020" s="184"/>
      <c r="H4020" t="s">
        <v>595</v>
      </c>
      <c r="I4020" s="184">
        <v>44167</v>
      </c>
      <c r="K4020" s="184"/>
      <c r="M4020" s="184"/>
      <c r="O4020" s="184"/>
      <c r="P4020" t="s">
        <v>7045</v>
      </c>
      <c r="Q4020" t="s">
        <v>7374</v>
      </c>
      <c r="R4020" s="184">
        <v>16953</v>
      </c>
      <c r="S4020">
        <v>77</v>
      </c>
      <c r="U4020" t="s">
        <v>7076</v>
      </c>
      <c r="V4020" t="s">
        <v>3444</v>
      </c>
      <c r="X4020" t="s">
        <v>29962</v>
      </c>
      <c r="AF4020" t="s">
        <v>29963</v>
      </c>
      <c r="AG4020" t="s">
        <v>3444</v>
      </c>
      <c r="AI4020" t="s">
        <v>29964</v>
      </c>
      <c r="AM4020" t="s">
        <v>2525</v>
      </c>
      <c r="AN4020" t="s">
        <v>2526</v>
      </c>
      <c r="AO4020" t="s">
        <v>29965</v>
      </c>
      <c r="AP4020" t="s">
        <v>7024</v>
      </c>
      <c r="AQ4020" t="s">
        <v>29966</v>
      </c>
      <c r="AT4020" s="184">
        <v>40458</v>
      </c>
      <c r="AU4020" t="s">
        <v>29444</v>
      </c>
      <c r="AV4020">
        <v>19.95</v>
      </c>
      <c r="AW4020" s="184">
        <v>44914</v>
      </c>
      <c r="AX4020" t="s">
        <v>29967</v>
      </c>
      <c r="AY4020">
        <v>25</v>
      </c>
      <c r="AZ4020" s="184">
        <v>42521</v>
      </c>
      <c r="BA4020" t="s">
        <v>29968</v>
      </c>
      <c r="BB4020">
        <v>50</v>
      </c>
      <c r="BC4020">
        <v>54</v>
      </c>
      <c r="BD4020">
        <v>374.95</v>
      </c>
      <c r="BE4020">
        <v>2011</v>
      </c>
      <c r="BF4020">
        <v>15</v>
      </c>
      <c r="BG4020">
        <v>1</v>
      </c>
      <c r="BH4020">
        <v>25</v>
      </c>
      <c r="BI4020">
        <v>8</v>
      </c>
      <c r="BJ4020">
        <v>15</v>
      </c>
      <c r="BK4020">
        <v>7</v>
      </c>
      <c r="BN4020" t="s">
        <v>595</v>
      </c>
      <c r="BP4020" s="184"/>
    </row>
    <row r="4021" spans="1:68">
      <c r="A4021">
        <v>63244974</v>
      </c>
      <c r="B4021">
        <v>63244974</v>
      </c>
      <c r="C4021" t="s">
        <v>7018</v>
      </c>
      <c r="D4021" t="s">
        <v>595</v>
      </c>
      <c r="E4021" s="184">
        <v>44484</v>
      </c>
      <c r="G4021" s="184"/>
      <c r="I4021" s="184"/>
      <c r="K4021" s="184"/>
      <c r="M4021" s="184"/>
      <c r="O4021" s="184"/>
      <c r="P4021" t="s">
        <v>7019</v>
      </c>
      <c r="Q4021" t="s">
        <v>7262</v>
      </c>
      <c r="R4021" s="184">
        <v>17331</v>
      </c>
      <c r="S4021">
        <v>76</v>
      </c>
      <c r="V4021" t="s">
        <v>2954</v>
      </c>
      <c r="X4021" t="s">
        <v>29969</v>
      </c>
      <c r="AF4021" t="s">
        <v>29970</v>
      </c>
      <c r="AG4021" t="s">
        <v>2954</v>
      </c>
      <c r="AI4021" t="s">
        <v>29971</v>
      </c>
      <c r="AM4021" t="s">
        <v>29972</v>
      </c>
      <c r="AN4021" t="s">
        <v>65</v>
      </c>
      <c r="AO4021" t="s">
        <v>29973</v>
      </c>
      <c r="AP4021" t="s">
        <v>7024</v>
      </c>
      <c r="AQ4021" t="s">
        <v>29974</v>
      </c>
      <c r="AT4021" s="184">
        <v>40457</v>
      </c>
      <c r="AU4021" t="s">
        <v>29975</v>
      </c>
      <c r="AV4021">
        <v>25</v>
      </c>
      <c r="AW4021" s="184">
        <v>44589</v>
      </c>
      <c r="AX4021" t="s">
        <v>29976</v>
      </c>
      <c r="AY4021">
        <v>60</v>
      </c>
      <c r="AZ4021" s="184">
        <v>42472</v>
      </c>
      <c r="BA4021" t="s">
        <v>29977</v>
      </c>
      <c r="BB4021">
        <v>87</v>
      </c>
      <c r="BC4021">
        <v>40</v>
      </c>
      <c r="BD4021">
        <v>262</v>
      </c>
      <c r="BE4021">
        <v>2011</v>
      </c>
      <c r="BF4021">
        <v>6</v>
      </c>
      <c r="BI4021">
        <v>6</v>
      </c>
      <c r="BJ4021">
        <v>15</v>
      </c>
      <c r="BK4021">
        <v>2</v>
      </c>
      <c r="BP4021" s="184"/>
    </row>
    <row r="4022" spans="1:68">
      <c r="A4022">
        <v>63266696</v>
      </c>
      <c r="B4022">
        <v>63266696</v>
      </c>
      <c r="C4022" t="s">
        <v>7018</v>
      </c>
      <c r="D4022" t="s">
        <v>595</v>
      </c>
      <c r="E4022" s="184">
        <v>44455</v>
      </c>
      <c r="G4022" s="184"/>
      <c r="I4022" s="184"/>
      <c r="K4022" s="184"/>
      <c r="M4022" s="184"/>
      <c r="O4022" s="184"/>
      <c r="P4022" t="s">
        <v>7045</v>
      </c>
      <c r="Q4022" t="s">
        <v>7383</v>
      </c>
      <c r="R4022" s="184">
        <v>18080</v>
      </c>
      <c r="S4022">
        <v>74</v>
      </c>
      <c r="U4022" t="s">
        <v>7076</v>
      </c>
      <c r="V4022" t="s">
        <v>5600</v>
      </c>
      <c r="X4022" t="s">
        <v>29978</v>
      </c>
      <c r="AF4022" t="s">
        <v>29979</v>
      </c>
      <c r="AG4022" t="s">
        <v>5600</v>
      </c>
      <c r="AI4022" t="s">
        <v>29980</v>
      </c>
      <c r="AM4022" t="s">
        <v>2830</v>
      </c>
      <c r="AN4022" t="s">
        <v>2185</v>
      </c>
      <c r="AO4022" t="s">
        <v>29981</v>
      </c>
      <c r="AP4022" t="s">
        <v>7024</v>
      </c>
      <c r="AQ4022" t="s">
        <v>29982</v>
      </c>
      <c r="AT4022" s="184">
        <v>40458</v>
      </c>
      <c r="AU4022" t="s">
        <v>29983</v>
      </c>
      <c r="AV4022">
        <v>15</v>
      </c>
      <c r="AW4022" s="184">
        <v>44379</v>
      </c>
      <c r="AX4022" t="s">
        <v>29984</v>
      </c>
      <c r="AY4022">
        <v>50</v>
      </c>
      <c r="AZ4022" s="184">
        <v>43979</v>
      </c>
      <c r="BA4022" t="s">
        <v>29985</v>
      </c>
      <c r="BB4022">
        <v>60</v>
      </c>
      <c r="BC4022">
        <v>54</v>
      </c>
      <c r="BD4022">
        <v>390</v>
      </c>
      <c r="BE4022">
        <v>2011</v>
      </c>
      <c r="BF4022">
        <v>8</v>
      </c>
      <c r="BI4022">
        <v>8</v>
      </c>
      <c r="BJ4022">
        <v>15</v>
      </c>
      <c r="BK4022">
        <v>3</v>
      </c>
      <c r="BN4022" t="s">
        <v>595</v>
      </c>
      <c r="BO4022" t="s">
        <v>595</v>
      </c>
      <c r="BP4022" s="184"/>
    </row>
    <row r="4023" spans="1:68">
      <c r="A4023">
        <v>63269427</v>
      </c>
      <c r="B4023">
        <v>63269427</v>
      </c>
      <c r="C4023" t="s">
        <v>7018</v>
      </c>
      <c r="D4023" t="s">
        <v>595</v>
      </c>
      <c r="E4023" s="184">
        <v>45181</v>
      </c>
      <c r="G4023" s="184"/>
      <c r="I4023" s="184"/>
      <c r="K4023" s="184"/>
      <c r="M4023" s="184"/>
      <c r="O4023" s="184"/>
      <c r="P4023" t="s">
        <v>7045</v>
      </c>
      <c r="Q4023" t="s">
        <v>7030</v>
      </c>
      <c r="R4023" s="184">
        <v>17848</v>
      </c>
      <c r="S4023">
        <v>75</v>
      </c>
      <c r="V4023" t="s">
        <v>4587</v>
      </c>
      <c r="X4023" t="s">
        <v>29986</v>
      </c>
      <c r="AF4023" t="s">
        <v>29987</v>
      </c>
      <c r="AG4023" t="s">
        <v>4587</v>
      </c>
      <c r="AI4023" t="s">
        <v>29988</v>
      </c>
      <c r="AM4023" t="s">
        <v>29989</v>
      </c>
      <c r="AN4023" t="s">
        <v>2201</v>
      </c>
      <c r="AO4023" t="s">
        <v>29990</v>
      </c>
      <c r="AP4023" t="s">
        <v>7024</v>
      </c>
      <c r="AT4023" s="184">
        <v>40458</v>
      </c>
      <c r="AU4023" t="s">
        <v>29991</v>
      </c>
      <c r="AV4023">
        <v>25</v>
      </c>
      <c r="AW4023" s="184">
        <v>45386</v>
      </c>
      <c r="AX4023" t="s">
        <v>9326</v>
      </c>
      <c r="AY4023">
        <v>25</v>
      </c>
      <c r="AZ4023" s="184">
        <v>41774</v>
      </c>
      <c r="BA4023" t="s">
        <v>29992</v>
      </c>
      <c r="BB4023">
        <v>30</v>
      </c>
      <c r="BC4023">
        <v>60</v>
      </c>
      <c r="BD4023">
        <v>225</v>
      </c>
      <c r="BE4023">
        <v>2011</v>
      </c>
      <c r="BF4023">
        <v>9</v>
      </c>
      <c r="BG4023">
        <v>2</v>
      </c>
      <c r="BH4023">
        <v>50</v>
      </c>
      <c r="BI4023">
        <v>9</v>
      </c>
      <c r="BJ4023">
        <v>15</v>
      </c>
      <c r="BK4023">
        <v>5</v>
      </c>
      <c r="BP4023" s="184"/>
    </row>
    <row r="4024" spans="1:68">
      <c r="A4024">
        <v>63340178</v>
      </c>
      <c r="B4024">
        <v>63340178</v>
      </c>
      <c r="C4024" t="s">
        <v>7018</v>
      </c>
      <c r="D4024" t="s">
        <v>595</v>
      </c>
      <c r="E4024" s="184">
        <v>45181</v>
      </c>
      <c r="G4024" s="184"/>
      <c r="I4024" s="184"/>
      <c r="K4024" s="184"/>
      <c r="M4024" s="184"/>
      <c r="O4024" s="184"/>
      <c r="P4024" t="s">
        <v>7045</v>
      </c>
      <c r="Q4024" t="s">
        <v>7774</v>
      </c>
      <c r="R4024" s="184">
        <v>17532</v>
      </c>
      <c r="S4024">
        <v>76</v>
      </c>
      <c r="V4024" t="s">
        <v>2551</v>
      </c>
      <c r="X4024" t="s">
        <v>29993</v>
      </c>
      <c r="AF4024" t="s">
        <v>29994</v>
      </c>
      <c r="AG4024" t="s">
        <v>2551</v>
      </c>
      <c r="AI4024" t="s">
        <v>29995</v>
      </c>
      <c r="AM4024" t="s">
        <v>3388</v>
      </c>
      <c r="AN4024" t="s">
        <v>2290</v>
      </c>
      <c r="AO4024" t="s">
        <v>29996</v>
      </c>
      <c r="AP4024" t="s">
        <v>7024</v>
      </c>
      <c r="AQ4024" t="s">
        <v>29997</v>
      </c>
      <c r="AT4024" s="184">
        <v>40459</v>
      </c>
      <c r="AU4024" t="s">
        <v>29998</v>
      </c>
      <c r="AV4024">
        <v>20</v>
      </c>
      <c r="AW4024" s="184">
        <v>43137</v>
      </c>
      <c r="AX4024" t="s">
        <v>29999</v>
      </c>
      <c r="AY4024">
        <v>25</v>
      </c>
      <c r="AZ4024" s="184">
        <v>41351</v>
      </c>
      <c r="BA4024" t="s">
        <v>30000</v>
      </c>
      <c r="BB4024">
        <v>30</v>
      </c>
      <c r="BC4024">
        <v>34</v>
      </c>
      <c r="BD4024">
        <v>135</v>
      </c>
      <c r="BE4024">
        <v>2011</v>
      </c>
      <c r="BF4024">
        <v>6</v>
      </c>
      <c r="BI4024">
        <v>5</v>
      </c>
      <c r="BJ4024">
        <v>15</v>
      </c>
      <c r="BK4024">
        <v>2</v>
      </c>
      <c r="BP4024" s="184"/>
    </row>
    <row r="4025" spans="1:68">
      <c r="A4025">
        <v>63369193</v>
      </c>
      <c r="B4025">
        <v>63369193</v>
      </c>
      <c r="C4025" t="s">
        <v>7018</v>
      </c>
      <c r="D4025" t="s">
        <v>595</v>
      </c>
      <c r="E4025" s="184">
        <v>45117</v>
      </c>
      <c r="G4025" s="184"/>
      <c r="I4025" s="184"/>
      <c r="K4025" s="184"/>
      <c r="M4025" s="184"/>
      <c r="O4025" s="184"/>
      <c r="P4025" t="s">
        <v>7019</v>
      </c>
      <c r="Q4025" t="s">
        <v>7383</v>
      </c>
      <c r="R4025" s="184">
        <v>22766</v>
      </c>
      <c r="S4025">
        <v>62</v>
      </c>
      <c r="V4025" t="s">
        <v>2687</v>
      </c>
      <c r="W4025" t="s">
        <v>2058</v>
      </c>
      <c r="X4025" t="s">
        <v>30001</v>
      </c>
      <c r="AF4025" t="s">
        <v>30002</v>
      </c>
      <c r="AG4025" t="s">
        <v>2687</v>
      </c>
      <c r="AI4025" t="s">
        <v>30003</v>
      </c>
      <c r="AM4025" t="s">
        <v>5379</v>
      </c>
      <c r="AN4025" t="s">
        <v>2072</v>
      </c>
      <c r="AO4025" t="s">
        <v>30004</v>
      </c>
      <c r="AP4025" t="s">
        <v>7024</v>
      </c>
      <c r="AT4025" s="184">
        <v>40463</v>
      </c>
      <c r="AU4025" t="s">
        <v>30005</v>
      </c>
      <c r="AV4025">
        <v>15</v>
      </c>
      <c r="AW4025" s="184">
        <v>44978</v>
      </c>
      <c r="AX4025" t="s">
        <v>12922</v>
      </c>
      <c r="AY4025">
        <v>87</v>
      </c>
      <c r="AZ4025" s="184">
        <v>44978</v>
      </c>
      <c r="BA4025" t="s">
        <v>12922</v>
      </c>
      <c r="BB4025">
        <v>87</v>
      </c>
      <c r="BC4025">
        <v>94</v>
      </c>
      <c r="BD4025">
        <v>864</v>
      </c>
      <c r="BE4025">
        <v>2011</v>
      </c>
      <c r="BF4025">
        <v>23</v>
      </c>
      <c r="BG4025">
        <v>1</v>
      </c>
      <c r="BH4025">
        <v>87</v>
      </c>
      <c r="BI4025">
        <v>14</v>
      </c>
      <c r="BJ4025">
        <v>15</v>
      </c>
      <c r="BK4025">
        <v>14</v>
      </c>
      <c r="BP4025" s="184"/>
    </row>
    <row r="4026" spans="1:68">
      <c r="A4026">
        <v>63489017</v>
      </c>
      <c r="B4026">
        <v>63489017</v>
      </c>
      <c r="C4026" t="s">
        <v>7018</v>
      </c>
      <c r="D4026" t="s">
        <v>595</v>
      </c>
      <c r="E4026" s="184">
        <v>44166</v>
      </c>
      <c r="F4026" t="s">
        <v>595</v>
      </c>
      <c r="G4026" s="184">
        <v>45378</v>
      </c>
      <c r="I4026" s="184"/>
      <c r="K4026" s="184"/>
      <c r="M4026" s="184"/>
      <c r="O4026" s="184"/>
      <c r="P4026" t="s">
        <v>7045</v>
      </c>
      <c r="Q4026" t="s">
        <v>7374</v>
      </c>
      <c r="R4026" s="184">
        <v>20271</v>
      </c>
      <c r="S4026">
        <v>68</v>
      </c>
      <c r="U4026" t="s">
        <v>7130</v>
      </c>
      <c r="V4026" t="s">
        <v>3317</v>
      </c>
      <c r="W4026" t="s">
        <v>7085</v>
      </c>
      <c r="X4026" t="s">
        <v>8258</v>
      </c>
      <c r="AF4026" t="s">
        <v>30006</v>
      </c>
      <c r="AG4026" t="s">
        <v>3317</v>
      </c>
      <c r="AI4026" t="s">
        <v>30007</v>
      </c>
      <c r="AM4026" t="s">
        <v>5415</v>
      </c>
      <c r="AN4026" t="s">
        <v>2081</v>
      </c>
      <c r="AO4026" t="s">
        <v>30008</v>
      </c>
      <c r="AP4026" t="s">
        <v>7024</v>
      </c>
      <c r="AQ4026" t="s">
        <v>30009</v>
      </c>
      <c r="AR4026" t="s">
        <v>30010</v>
      </c>
      <c r="AT4026" s="184">
        <v>32896</v>
      </c>
      <c r="AU4026" t="s">
        <v>10001</v>
      </c>
      <c r="AV4026">
        <v>15</v>
      </c>
      <c r="AW4026" s="184">
        <v>45411</v>
      </c>
      <c r="AX4026" t="s">
        <v>7414</v>
      </c>
      <c r="AY4026">
        <v>30</v>
      </c>
      <c r="AZ4026" s="184">
        <v>44559</v>
      </c>
      <c r="BA4026" t="s">
        <v>27993</v>
      </c>
      <c r="BB4026">
        <v>100</v>
      </c>
      <c r="BC4026">
        <v>52</v>
      </c>
      <c r="BD4026">
        <v>2265</v>
      </c>
      <c r="BE4026">
        <v>1990</v>
      </c>
      <c r="BF4026">
        <v>90</v>
      </c>
      <c r="BG4026">
        <v>26</v>
      </c>
      <c r="BH4026">
        <v>765</v>
      </c>
      <c r="BI4026">
        <v>18</v>
      </c>
      <c r="BJ4026">
        <v>35</v>
      </c>
      <c r="BK4026">
        <v>8</v>
      </c>
      <c r="BN4026" t="s">
        <v>595</v>
      </c>
      <c r="BP4026" s="184"/>
    </row>
    <row r="4027" spans="1:68">
      <c r="A4027">
        <v>63516405</v>
      </c>
      <c r="B4027">
        <v>63516405</v>
      </c>
      <c r="C4027" t="s">
        <v>7018</v>
      </c>
      <c r="E4027" s="184"/>
      <c r="G4027" s="184"/>
      <c r="I4027" s="184"/>
      <c r="J4027" t="s">
        <v>595</v>
      </c>
      <c r="K4027" s="184">
        <v>45142</v>
      </c>
      <c r="M4027" s="184"/>
      <c r="O4027" s="184"/>
      <c r="P4027" t="s">
        <v>7084</v>
      </c>
      <c r="Q4027" t="s">
        <v>7030</v>
      </c>
      <c r="R4027" s="184">
        <v>12101</v>
      </c>
      <c r="S4027">
        <v>91</v>
      </c>
      <c r="U4027" t="s">
        <v>7031</v>
      </c>
      <c r="V4027" t="s">
        <v>3103</v>
      </c>
      <c r="X4027" t="s">
        <v>30011</v>
      </c>
      <c r="AF4027" t="s">
        <v>30012</v>
      </c>
      <c r="AG4027" t="s">
        <v>3103</v>
      </c>
      <c r="AI4027" t="s">
        <v>30013</v>
      </c>
      <c r="AM4027" t="s">
        <v>2564</v>
      </c>
      <c r="AN4027" t="s">
        <v>2089</v>
      </c>
      <c r="AO4027" t="s">
        <v>30014</v>
      </c>
      <c r="AP4027" t="s">
        <v>7024</v>
      </c>
      <c r="AQ4027" t="s">
        <v>30015</v>
      </c>
      <c r="AR4027" t="s">
        <v>30016</v>
      </c>
      <c r="AT4027" s="184">
        <v>40469</v>
      </c>
      <c r="AU4027" t="s">
        <v>29444</v>
      </c>
      <c r="AV4027">
        <v>19.95</v>
      </c>
      <c r="AW4027" s="184">
        <v>45159</v>
      </c>
      <c r="AX4027" t="s">
        <v>7296</v>
      </c>
      <c r="AY4027">
        <v>51000</v>
      </c>
      <c r="AZ4027" s="184">
        <v>45159</v>
      </c>
      <c r="BA4027" t="s">
        <v>7296</v>
      </c>
      <c r="BB4027">
        <v>51000</v>
      </c>
      <c r="BC4027">
        <v>34</v>
      </c>
      <c r="BD4027">
        <v>51094.95</v>
      </c>
      <c r="BE4027">
        <v>2011</v>
      </c>
      <c r="BF4027">
        <v>5</v>
      </c>
      <c r="BG4027">
        <v>1</v>
      </c>
      <c r="BH4027">
        <v>51000</v>
      </c>
      <c r="BI4027">
        <v>5</v>
      </c>
      <c r="BJ4027">
        <v>15</v>
      </c>
      <c r="BK4027">
        <v>2</v>
      </c>
      <c r="BN4027" t="s">
        <v>595</v>
      </c>
      <c r="BO4027" t="s">
        <v>595</v>
      </c>
      <c r="BP4027" s="184">
        <v>44193</v>
      </c>
    </row>
    <row r="4028" spans="1:68">
      <c r="A4028">
        <v>63601827</v>
      </c>
      <c r="B4028">
        <v>63601827</v>
      </c>
      <c r="C4028" t="s">
        <v>7018</v>
      </c>
      <c r="D4028" t="s">
        <v>595</v>
      </c>
      <c r="E4028" s="184">
        <v>44441</v>
      </c>
      <c r="G4028" s="184"/>
      <c r="I4028" s="184"/>
      <c r="K4028" s="184"/>
      <c r="M4028" s="184"/>
      <c r="O4028" s="184"/>
      <c r="P4028" t="s">
        <v>7019</v>
      </c>
      <c r="Q4028" t="s">
        <v>7030</v>
      </c>
      <c r="R4028" s="184">
        <v>17046</v>
      </c>
      <c r="S4028">
        <v>77</v>
      </c>
      <c r="V4028" t="s">
        <v>3981</v>
      </c>
      <c r="X4028" t="s">
        <v>3709</v>
      </c>
      <c r="AF4028" t="s">
        <v>30017</v>
      </c>
      <c r="AG4028" t="s">
        <v>3981</v>
      </c>
      <c r="AI4028" t="s">
        <v>30018</v>
      </c>
      <c r="AM4028" t="s">
        <v>30019</v>
      </c>
      <c r="AN4028" t="s">
        <v>2201</v>
      </c>
      <c r="AO4028" t="s">
        <v>30020</v>
      </c>
      <c r="AP4028" t="s">
        <v>7024</v>
      </c>
      <c r="AT4028" s="184">
        <v>40476</v>
      </c>
      <c r="AU4028" t="s">
        <v>30021</v>
      </c>
      <c r="AV4028">
        <v>25</v>
      </c>
      <c r="AW4028" s="184">
        <v>44972</v>
      </c>
      <c r="AX4028" t="s">
        <v>30022</v>
      </c>
      <c r="AY4028">
        <v>30</v>
      </c>
      <c r="AZ4028" s="184">
        <v>44637</v>
      </c>
      <c r="BA4028" t="s">
        <v>30023</v>
      </c>
      <c r="BB4028">
        <v>60</v>
      </c>
      <c r="BC4028">
        <v>74</v>
      </c>
      <c r="BD4028">
        <v>465</v>
      </c>
      <c r="BE4028">
        <v>2011</v>
      </c>
      <c r="BF4028">
        <v>13</v>
      </c>
      <c r="BG4028">
        <v>2</v>
      </c>
      <c r="BH4028">
        <v>55</v>
      </c>
      <c r="BI4028">
        <v>11</v>
      </c>
      <c r="BJ4028">
        <v>15</v>
      </c>
      <c r="BK4028">
        <v>6</v>
      </c>
      <c r="BP4028" s="184"/>
    </row>
    <row r="4029" spans="1:68">
      <c r="A4029">
        <v>63630172</v>
      </c>
      <c r="B4029">
        <v>63630172</v>
      </c>
      <c r="C4029" t="s">
        <v>7018</v>
      </c>
      <c r="E4029" s="184"/>
      <c r="G4029" s="184"/>
      <c r="I4029" s="184"/>
      <c r="J4029" t="s">
        <v>595</v>
      </c>
      <c r="K4029" s="184">
        <v>44167</v>
      </c>
      <c r="M4029" s="184"/>
      <c r="O4029" s="184"/>
      <c r="P4029" t="s">
        <v>7045</v>
      </c>
      <c r="Q4029" t="s">
        <v>7262</v>
      </c>
      <c r="R4029" s="184">
        <v>20121</v>
      </c>
      <c r="S4029">
        <v>69</v>
      </c>
      <c r="T4029" t="s">
        <v>3981</v>
      </c>
      <c r="V4029" t="s">
        <v>4044</v>
      </c>
      <c r="W4029" t="s">
        <v>30024</v>
      </c>
      <c r="X4029" t="s">
        <v>12269</v>
      </c>
      <c r="AF4029" t="s">
        <v>30025</v>
      </c>
      <c r="AG4029" t="s">
        <v>4044</v>
      </c>
      <c r="AI4029" t="s">
        <v>30026</v>
      </c>
      <c r="AM4029" t="s">
        <v>30027</v>
      </c>
      <c r="AN4029" t="s">
        <v>2069</v>
      </c>
      <c r="AO4029" t="s">
        <v>30028</v>
      </c>
      <c r="AP4029" t="s">
        <v>7024</v>
      </c>
      <c r="AQ4029" t="s">
        <v>30029</v>
      </c>
      <c r="AT4029" s="184">
        <v>40478</v>
      </c>
      <c r="AU4029" t="s">
        <v>30030</v>
      </c>
      <c r="AV4029">
        <v>50</v>
      </c>
      <c r="AW4029" s="184">
        <v>45397</v>
      </c>
      <c r="AX4029" t="s">
        <v>7524</v>
      </c>
      <c r="AY4029">
        <v>100</v>
      </c>
      <c r="AZ4029" s="184">
        <v>45397</v>
      </c>
      <c r="BA4029" t="s">
        <v>7524</v>
      </c>
      <c r="BB4029">
        <v>100</v>
      </c>
      <c r="BC4029">
        <v>100</v>
      </c>
      <c r="BD4029">
        <v>2850</v>
      </c>
      <c r="BE4029">
        <v>2011</v>
      </c>
      <c r="BF4029">
        <v>38</v>
      </c>
      <c r="BG4029">
        <v>8</v>
      </c>
      <c r="BH4029">
        <v>800</v>
      </c>
      <c r="BI4029">
        <v>15</v>
      </c>
      <c r="BJ4029">
        <v>15</v>
      </c>
      <c r="BK4029">
        <v>15</v>
      </c>
      <c r="BP4029" s="184"/>
    </row>
    <row r="4030" spans="1:68">
      <c r="A4030">
        <v>63716773</v>
      </c>
      <c r="B4030">
        <v>63716773</v>
      </c>
      <c r="C4030" t="s">
        <v>7018</v>
      </c>
      <c r="D4030" t="s">
        <v>595</v>
      </c>
      <c r="E4030" s="184">
        <v>45196</v>
      </c>
      <c r="G4030" s="184"/>
      <c r="I4030" s="184"/>
      <c r="K4030" s="184"/>
      <c r="M4030" s="184"/>
      <c r="O4030" s="184"/>
      <c r="P4030" t="s">
        <v>7045</v>
      </c>
      <c r="Q4030" t="s">
        <v>7030</v>
      </c>
      <c r="R4030" s="184">
        <v>25873</v>
      </c>
      <c r="S4030">
        <v>53</v>
      </c>
      <c r="U4030" t="s">
        <v>7031</v>
      </c>
      <c r="V4030" t="s">
        <v>3981</v>
      </c>
      <c r="X4030" t="s">
        <v>4387</v>
      </c>
      <c r="AF4030" t="s">
        <v>30031</v>
      </c>
      <c r="AG4030" t="s">
        <v>3981</v>
      </c>
      <c r="AI4030" t="s">
        <v>30032</v>
      </c>
      <c r="AM4030" t="s">
        <v>2717</v>
      </c>
      <c r="AN4030" t="s">
        <v>2089</v>
      </c>
      <c r="AO4030" t="s">
        <v>30033</v>
      </c>
      <c r="AP4030" t="s">
        <v>7024</v>
      </c>
      <c r="AQ4030" t="s">
        <v>30034</v>
      </c>
      <c r="AT4030" s="184">
        <v>40487</v>
      </c>
      <c r="AU4030" t="s">
        <v>29780</v>
      </c>
      <c r="AV4030">
        <v>25</v>
      </c>
      <c r="AW4030" s="184">
        <v>43676</v>
      </c>
      <c r="AX4030" t="s">
        <v>21181</v>
      </c>
      <c r="AY4030">
        <v>100</v>
      </c>
      <c r="AZ4030" s="184">
        <v>43676</v>
      </c>
      <c r="BA4030" t="s">
        <v>21181</v>
      </c>
      <c r="BB4030">
        <v>100</v>
      </c>
      <c r="BC4030">
        <v>54</v>
      </c>
      <c r="BD4030">
        <v>670</v>
      </c>
      <c r="BE4030">
        <v>2011</v>
      </c>
      <c r="BF4030">
        <v>9</v>
      </c>
      <c r="BI4030">
        <v>8</v>
      </c>
      <c r="BJ4030">
        <v>15</v>
      </c>
      <c r="BK4030">
        <v>5</v>
      </c>
      <c r="BP4030" s="184"/>
    </row>
    <row r="4031" spans="1:68">
      <c r="A4031">
        <v>63791016</v>
      </c>
      <c r="B4031">
        <v>63791016</v>
      </c>
      <c r="C4031" t="s">
        <v>7018</v>
      </c>
      <c r="D4031" t="s">
        <v>595</v>
      </c>
      <c r="E4031" s="184">
        <v>44167</v>
      </c>
      <c r="G4031" s="184"/>
      <c r="I4031" s="184"/>
      <c r="K4031" s="184"/>
      <c r="M4031" s="184"/>
      <c r="O4031" s="184"/>
      <c r="P4031" t="s">
        <v>7045</v>
      </c>
      <c r="Q4031" t="s">
        <v>7374</v>
      </c>
      <c r="R4031" s="184">
        <v>16045</v>
      </c>
      <c r="S4031">
        <v>80</v>
      </c>
      <c r="V4031" t="s">
        <v>3740</v>
      </c>
      <c r="W4031" t="s">
        <v>7560</v>
      </c>
      <c r="X4031" t="s">
        <v>30035</v>
      </c>
      <c r="AF4031" t="s">
        <v>30036</v>
      </c>
      <c r="AG4031" t="s">
        <v>3740</v>
      </c>
      <c r="AI4031" t="s">
        <v>30037</v>
      </c>
      <c r="AM4031" t="s">
        <v>4312</v>
      </c>
      <c r="AN4031" t="s">
        <v>2081</v>
      </c>
      <c r="AO4031" t="s">
        <v>30038</v>
      </c>
      <c r="AP4031" t="s">
        <v>7024</v>
      </c>
      <c r="AQ4031" t="s">
        <v>30039</v>
      </c>
      <c r="AR4031" t="s">
        <v>30040</v>
      </c>
      <c r="AT4031" s="184">
        <v>40493</v>
      </c>
      <c r="AU4031" t="s">
        <v>30041</v>
      </c>
      <c r="AV4031">
        <v>25</v>
      </c>
      <c r="AW4031" s="184">
        <v>44497</v>
      </c>
      <c r="AX4031" t="s">
        <v>30042</v>
      </c>
      <c r="AY4031">
        <v>72</v>
      </c>
      <c r="AZ4031" s="184">
        <v>43207</v>
      </c>
      <c r="BA4031" t="s">
        <v>30043</v>
      </c>
      <c r="BB4031">
        <v>225</v>
      </c>
      <c r="BC4031">
        <v>74</v>
      </c>
      <c r="BD4031">
        <v>2922</v>
      </c>
      <c r="BE4031">
        <v>2011</v>
      </c>
      <c r="BF4031">
        <v>33</v>
      </c>
      <c r="BI4031">
        <v>11</v>
      </c>
      <c r="BJ4031">
        <v>15</v>
      </c>
      <c r="BK4031">
        <v>9</v>
      </c>
      <c r="BP4031" s="184"/>
    </row>
    <row r="4032" spans="1:68">
      <c r="A4032">
        <v>63823397</v>
      </c>
      <c r="B4032">
        <v>63823397</v>
      </c>
      <c r="C4032" t="s">
        <v>7018</v>
      </c>
      <c r="D4032" t="s">
        <v>595</v>
      </c>
      <c r="E4032" s="184">
        <v>44104</v>
      </c>
      <c r="G4032" s="184"/>
      <c r="I4032" s="184"/>
      <c r="K4032" s="184"/>
      <c r="M4032" s="184"/>
      <c r="O4032" s="184"/>
      <c r="P4032" t="s">
        <v>7045</v>
      </c>
      <c r="Q4032" t="s">
        <v>7020</v>
      </c>
      <c r="R4032" s="184">
        <v>13083</v>
      </c>
      <c r="S4032">
        <v>88</v>
      </c>
      <c r="V4032" t="s">
        <v>2551</v>
      </c>
      <c r="X4032" t="s">
        <v>30044</v>
      </c>
      <c r="AF4032" t="s">
        <v>30045</v>
      </c>
      <c r="AG4032" t="s">
        <v>2551</v>
      </c>
      <c r="AI4032" t="s">
        <v>30046</v>
      </c>
      <c r="AM4032" t="s">
        <v>4905</v>
      </c>
      <c r="AN4032" t="s">
        <v>2052</v>
      </c>
      <c r="AO4032" t="s">
        <v>30047</v>
      </c>
      <c r="AP4032" t="s">
        <v>7024</v>
      </c>
      <c r="AQ4032" t="s">
        <v>30048</v>
      </c>
      <c r="AT4032" s="184">
        <v>40497</v>
      </c>
      <c r="AU4032" t="s">
        <v>30049</v>
      </c>
      <c r="AV4032">
        <v>50</v>
      </c>
      <c r="AW4032" s="184">
        <v>44309</v>
      </c>
      <c r="AX4032" t="s">
        <v>30050</v>
      </c>
      <c r="AY4032">
        <v>25</v>
      </c>
      <c r="AZ4032" s="184">
        <v>41747</v>
      </c>
      <c r="BA4032" t="s">
        <v>30051</v>
      </c>
      <c r="BB4032">
        <v>115</v>
      </c>
      <c r="BC4032">
        <v>80</v>
      </c>
      <c r="BD4032">
        <v>1115</v>
      </c>
      <c r="BE4032">
        <v>2011</v>
      </c>
      <c r="BF4032">
        <v>26</v>
      </c>
      <c r="BI4032">
        <v>12</v>
      </c>
      <c r="BJ4032">
        <v>15</v>
      </c>
      <c r="BK4032">
        <v>12</v>
      </c>
    </row>
    <row r="4033" spans="1:68">
      <c r="A4033">
        <v>63848402</v>
      </c>
      <c r="B4033">
        <v>63848402</v>
      </c>
      <c r="C4033" t="s">
        <v>7018</v>
      </c>
      <c r="E4033" s="184"/>
      <c r="G4033" s="184"/>
      <c r="H4033" t="s">
        <v>595</v>
      </c>
      <c r="I4033" s="184">
        <v>44592</v>
      </c>
      <c r="K4033" s="184"/>
      <c r="M4033" s="184"/>
      <c r="N4033" t="s">
        <v>595</v>
      </c>
      <c r="O4033" s="184">
        <v>41527</v>
      </c>
      <c r="P4033" t="s">
        <v>7045</v>
      </c>
      <c r="Q4033" t="s">
        <v>7194</v>
      </c>
      <c r="R4033" s="184">
        <v>17009</v>
      </c>
      <c r="S4033">
        <v>77</v>
      </c>
      <c r="U4033" t="s">
        <v>7031</v>
      </c>
      <c r="V4033" t="s">
        <v>3103</v>
      </c>
      <c r="X4033" t="s">
        <v>5169</v>
      </c>
      <c r="AF4033" t="s">
        <v>6284</v>
      </c>
      <c r="AG4033" t="s">
        <v>3103</v>
      </c>
      <c r="AI4033" t="s">
        <v>30052</v>
      </c>
      <c r="AM4033" t="s">
        <v>5170</v>
      </c>
      <c r="AN4033" t="s">
        <v>2046</v>
      </c>
      <c r="AO4033" t="s">
        <v>30053</v>
      </c>
      <c r="AP4033" t="s">
        <v>7024</v>
      </c>
      <c r="AQ4033" t="s">
        <v>30054</v>
      </c>
      <c r="AT4033" s="184">
        <v>40498</v>
      </c>
      <c r="AU4033" t="s">
        <v>30055</v>
      </c>
      <c r="AV4033">
        <v>50</v>
      </c>
      <c r="AW4033" s="184">
        <v>45154</v>
      </c>
      <c r="AX4033" t="s">
        <v>20130</v>
      </c>
      <c r="AY4033">
        <v>200</v>
      </c>
      <c r="AZ4033" s="184">
        <v>45154</v>
      </c>
      <c r="BA4033" t="s">
        <v>20130</v>
      </c>
      <c r="BB4033">
        <v>200</v>
      </c>
      <c r="BC4033">
        <v>94</v>
      </c>
      <c r="BD4033">
        <v>2650</v>
      </c>
      <c r="BE4033">
        <v>2011</v>
      </c>
      <c r="BF4033">
        <v>16</v>
      </c>
      <c r="BG4033">
        <v>2</v>
      </c>
      <c r="BH4033">
        <v>400</v>
      </c>
      <c r="BI4033">
        <v>14</v>
      </c>
      <c r="BJ4033">
        <v>15</v>
      </c>
      <c r="BK4033">
        <v>14</v>
      </c>
    </row>
    <row r="4034" spans="1:68">
      <c r="A4034">
        <v>63856181</v>
      </c>
      <c r="B4034">
        <v>63856181</v>
      </c>
      <c r="C4034" t="s">
        <v>7018</v>
      </c>
      <c r="D4034" t="s">
        <v>595</v>
      </c>
      <c r="E4034" s="184">
        <v>44438</v>
      </c>
      <c r="G4034" s="184"/>
      <c r="I4034" s="184"/>
      <c r="K4034" s="184"/>
      <c r="M4034" s="184"/>
      <c r="O4034" s="184"/>
      <c r="P4034" t="s">
        <v>7045</v>
      </c>
      <c r="Q4034" t="s">
        <v>7194</v>
      </c>
      <c r="R4034" s="184">
        <v>17436</v>
      </c>
      <c r="S4034">
        <v>76</v>
      </c>
      <c r="U4034" t="s">
        <v>7031</v>
      </c>
      <c r="V4034" t="s">
        <v>3460</v>
      </c>
      <c r="W4034" t="s">
        <v>7268</v>
      </c>
      <c r="X4034" t="s">
        <v>30056</v>
      </c>
      <c r="AF4034" t="s">
        <v>30057</v>
      </c>
      <c r="AG4034" t="s">
        <v>3460</v>
      </c>
      <c r="AI4034" t="s">
        <v>30058</v>
      </c>
      <c r="AM4034" t="s">
        <v>30059</v>
      </c>
      <c r="AN4034" t="s">
        <v>4512</v>
      </c>
      <c r="AO4034" t="s">
        <v>30060</v>
      </c>
      <c r="AP4034" t="s">
        <v>7024</v>
      </c>
      <c r="AQ4034" t="s">
        <v>30061</v>
      </c>
      <c r="AT4034" s="184">
        <v>40480</v>
      </c>
      <c r="AU4034" t="s">
        <v>29934</v>
      </c>
      <c r="AV4034">
        <v>19.97</v>
      </c>
      <c r="AW4034" s="184">
        <v>45104</v>
      </c>
      <c r="AX4034" t="s">
        <v>30062</v>
      </c>
      <c r="AY4034">
        <v>100</v>
      </c>
      <c r="AZ4034" s="184">
        <v>45104</v>
      </c>
      <c r="BA4034" t="s">
        <v>30062</v>
      </c>
      <c r="BB4034">
        <v>100</v>
      </c>
      <c r="BC4034">
        <v>74</v>
      </c>
      <c r="BD4034">
        <v>836.97</v>
      </c>
      <c r="BE4034">
        <v>2011</v>
      </c>
      <c r="BF4034">
        <v>13</v>
      </c>
      <c r="BG4034">
        <v>2</v>
      </c>
      <c r="BH4034">
        <v>200</v>
      </c>
      <c r="BI4034">
        <v>11</v>
      </c>
      <c r="BJ4034">
        <v>15</v>
      </c>
      <c r="BK4034">
        <v>5</v>
      </c>
    </row>
    <row r="4035" spans="1:68">
      <c r="A4035">
        <v>63885362</v>
      </c>
      <c r="B4035">
        <v>63885362</v>
      </c>
      <c r="C4035" t="s">
        <v>7018</v>
      </c>
      <c r="D4035" t="s">
        <v>595</v>
      </c>
      <c r="E4035" s="184">
        <v>43861</v>
      </c>
      <c r="G4035" s="184"/>
      <c r="I4035" s="184"/>
      <c r="K4035" s="184"/>
      <c r="M4035" s="184"/>
      <c r="O4035" s="184"/>
      <c r="P4035" t="s">
        <v>7045</v>
      </c>
      <c r="Q4035" t="s">
        <v>7030</v>
      </c>
      <c r="R4035" s="184">
        <v>18841</v>
      </c>
      <c r="S4035">
        <v>72</v>
      </c>
      <c r="U4035" t="s">
        <v>7032</v>
      </c>
      <c r="V4035" t="s">
        <v>3384</v>
      </c>
      <c r="X4035" t="s">
        <v>4620</v>
      </c>
      <c r="AF4035" t="s">
        <v>30063</v>
      </c>
      <c r="AG4035" t="s">
        <v>3384</v>
      </c>
      <c r="AI4035" t="s">
        <v>30064</v>
      </c>
      <c r="AM4035" t="s">
        <v>2564</v>
      </c>
      <c r="AN4035" t="s">
        <v>2089</v>
      </c>
      <c r="AO4035" t="s">
        <v>30065</v>
      </c>
      <c r="AP4035" t="s">
        <v>7024</v>
      </c>
      <c r="AQ4035" t="s">
        <v>30066</v>
      </c>
      <c r="AT4035" s="184">
        <v>40500</v>
      </c>
      <c r="AU4035" t="s">
        <v>30067</v>
      </c>
      <c r="AV4035">
        <v>25</v>
      </c>
      <c r="AW4035" s="184">
        <v>45412</v>
      </c>
      <c r="AX4035" t="s">
        <v>7429</v>
      </c>
      <c r="AY4035">
        <v>20</v>
      </c>
      <c r="AZ4035" s="184">
        <v>41067</v>
      </c>
      <c r="BA4035" t="s">
        <v>23294</v>
      </c>
      <c r="BB4035">
        <v>50</v>
      </c>
      <c r="BC4035">
        <v>94</v>
      </c>
      <c r="BD4035">
        <v>2120</v>
      </c>
      <c r="BE4035">
        <v>2011</v>
      </c>
      <c r="BF4035">
        <v>143</v>
      </c>
      <c r="BG4035">
        <v>24</v>
      </c>
      <c r="BH4035">
        <v>480</v>
      </c>
      <c r="BI4035">
        <v>14</v>
      </c>
      <c r="BJ4035">
        <v>15</v>
      </c>
      <c r="BK4035">
        <v>13</v>
      </c>
    </row>
    <row r="4036" spans="1:68">
      <c r="A4036">
        <v>63886220</v>
      </c>
      <c r="B4036">
        <v>63886220</v>
      </c>
      <c r="C4036" t="s">
        <v>7018</v>
      </c>
      <c r="D4036" t="s">
        <v>595</v>
      </c>
      <c r="E4036" s="184">
        <v>44484</v>
      </c>
      <c r="G4036" s="184"/>
      <c r="I4036" s="184"/>
      <c r="K4036" s="184"/>
      <c r="M4036" s="184"/>
      <c r="O4036" s="184"/>
      <c r="P4036" t="s">
        <v>7045</v>
      </c>
      <c r="Q4036" t="s">
        <v>7262</v>
      </c>
      <c r="R4036" s="184">
        <v>17868</v>
      </c>
      <c r="S4036">
        <v>75</v>
      </c>
      <c r="V4036" t="s">
        <v>2614</v>
      </c>
      <c r="X4036" t="s">
        <v>30068</v>
      </c>
      <c r="AF4036" t="s">
        <v>30069</v>
      </c>
      <c r="AG4036" t="s">
        <v>2614</v>
      </c>
      <c r="AI4036" t="s">
        <v>30070</v>
      </c>
      <c r="AM4036" t="s">
        <v>2987</v>
      </c>
      <c r="AN4036" t="s">
        <v>2106</v>
      </c>
      <c r="AO4036" t="s">
        <v>30071</v>
      </c>
      <c r="AP4036" t="s">
        <v>7024</v>
      </c>
      <c r="AQ4036" t="s">
        <v>30072</v>
      </c>
      <c r="AT4036" s="184">
        <v>40500</v>
      </c>
      <c r="AU4036" t="s">
        <v>30073</v>
      </c>
      <c r="AV4036">
        <v>35</v>
      </c>
      <c r="AW4036" s="184">
        <v>45380</v>
      </c>
      <c r="AX4036" t="s">
        <v>13333</v>
      </c>
      <c r="AY4036">
        <v>25</v>
      </c>
      <c r="AZ4036" s="184">
        <v>41739</v>
      </c>
      <c r="BA4036" t="s">
        <v>30074</v>
      </c>
      <c r="BB4036">
        <v>35</v>
      </c>
      <c r="BC4036">
        <v>87</v>
      </c>
      <c r="BD4036">
        <v>545</v>
      </c>
      <c r="BE4036">
        <v>2011</v>
      </c>
      <c r="BF4036">
        <v>19</v>
      </c>
      <c r="BG4036">
        <v>2</v>
      </c>
      <c r="BH4036">
        <v>50</v>
      </c>
      <c r="BI4036">
        <v>13</v>
      </c>
      <c r="BJ4036">
        <v>15</v>
      </c>
      <c r="BK4036">
        <v>9</v>
      </c>
    </row>
    <row r="4037" spans="1:68">
      <c r="A4037">
        <v>63891907</v>
      </c>
      <c r="B4037">
        <v>63891907</v>
      </c>
      <c r="C4037" t="s">
        <v>7018</v>
      </c>
      <c r="E4037" s="184"/>
      <c r="G4037" s="184"/>
      <c r="I4037" s="184"/>
      <c r="J4037" t="s">
        <v>595</v>
      </c>
      <c r="K4037" s="184">
        <v>42971</v>
      </c>
      <c r="M4037" s="184"/>
      <c r="O4037" s="184"/>
      <c r="P4037" t="s">
        <v>7045</v>
      </c>
      <c r="Q4037" t="s">
        <v>7020</v>
      </c>
      <c r="R4037" s="184">
        <v>15842</v>
      </c>
      <c r="S4037">
        <v>80</v>
      </c>
      <c r="U4037" t="s">
        <v>7031</v>
      </c>
      <c r="V4037" t="s">
        <v>2697</v>
      </c>
      <c r="W4037" t="s">
        <v>8146</v>
      </c>
      <c r="X4037" t="s">
        <v>4167</v>
      </c>
      <c r="AF4037" t="s">
        <v>6266</v>
      </c>
      <c r="AG4037" t="s">
        <v>2697</v>
      </c>
      <c r="AI4037" t="s">
        <v>30075</v>
      </c>
      <c r="AM4037" t="s">
        <v>3004</v>
      </c>
      <c r="AN4037" t="s">
        <v>2112</v>
      </c>
      <c r="AO4037" t="s">
        <v>30076</v>
      </c>
      <c r="AP4037" t="s">
        <v>7024</v>
      </c>
      <c r="AQ4037" t="s">
        <v>30077</v>
      </c>
      <c r="AT4037" s="184">
        <v>40501</v>
      </c>
      <c r="AU4037" t="s">
        <v>30078</v>
      </c>
      <c r="AV4037">
        <v>50</v>
      </c>
      <c r="AW4037" s="184">
        <v>45291</v>
      </c>
      <c r="AX4037" t="s">
        <v>11433</v>
      </c>
      <c r="AY4037">
        <v>20</v>
      </c>
      <c r="AZ4037" s="184">
        <v>43802</v>
      </c>
      <c r="BA4037" t="s">
        <v>19654</v>
      </c>
      <c r="BB4037">
        <v>150</v>
      </c>
      <c r="BC4037">
        <v>94</v>
      </c>
      <c r="BD4037">
        <v>2970</v>
      </c>
      <c r="BE4037">
        <v>2011</v>
      </c>
      <c r="BF4037">
        <v>69</v>
      </c>
      <c r="BG4037">
        <v>20</v>
      </c>
      <c r="BH4037">
        <v>480</v>
      </c>
      <c r="BI4037">
        <v>14</v>
      </c>
      <c r="BJ4037">
        <v>15</v>
      </c>
      <c r="BK4037">
        <v>14</v>
      </c>
    </row>
    <row r="4038" spans="1:68">
      <c r="A4038">
        <v>63895973</v>
      </c>
      <c r="B4038">
        <v>63895973</v>
      </c>
      <c r="C4038" t="s">
        <v>7018</v>
      </c>
      <c r="D4038" t="s">
        <v>595</v>
      </c>
      <c r="E4038" s="184">
        <v>43861</v>
      </c>
      <c r="G4038" s="184"/>
      <c r="I4038" s="184"/>
      <c r="K4038" s="184"/>
      <c r="M4038" s="184"/>
      <c r="O4038" s="184"/>
      <c r="P4038" t="s">
        <v>7045</v>
      </c>
      <c r="Q4038" t="s">
        <v>7020</v>
      </c>
      <c r="R4038" s="184">
        <v>20121</v>
      </c>
      <c r="S4038">
        <v>69</v>
      </c>
      <c r="U4038" t="s">
        <v>7031</v>
      </c>
      <c r="V4038" t="s">
        <v>2982</v>
      </c>
      <c r="X4038" t="s">
        <v>4621</v>
      </c>
      <c r="AF4038" t="s">
        <v>30079</v>
      </c>
      <c r="AG4038" t="s">
        <v>2982</v>
      </c>
      <c r="AI4038" t="s">
        <v>30080</v>
      </c>
      <c r="AM4038" t="s">
        <v>4622</v>
      </c>
      <c r="AN4038" t="s">
        <v>2112</v>
      </c>
      <c r="AO4038" t="s">
        <v>30081</v>
      </c>
      <c r="AP4038" t="s">
        <v>7024</v>
      </c>
      <c r="AQ4038" t="s">
        <v>30082</v>
      </c>
      <c r="AT4038" s="184">
        <v>40504</v>
      </c>
      <c r="AU4038" t="s">
        <v>30083</v>
      </c>
      <c r="AV4038">
        <v>25</v>
      </c>
      <c r="AW4038" s="184">
        <v>45421</v>
      </c>
      <c r="AX4038" t="s">
        <v>7422</v>
      </c>
      <c r="AY4038">
        <v>25</v>
      </c>
      <c r="AZ4038" s="184">
        <v>42712</v>
      </c>
      <c r="BA4038" t="s">
        <v>30084</v>
      </c>
      <c r="BB4038">
        <v>75</v>
      </c>
      <c r="BC4038">
        <v>100</v>
      </c>
      <c r="BD4038">
        <v>5670</v>
      </c>
      <c r="BE4038">
        <v>2011</v>
      </c>
      <c r="BF4038">
        <v>175</v>
      </c>
      <c r="BG4038">
        <v>24</v>
      </c>
      <c r="BH4038">
        <v>600</v>
      </c>
      <c r="BI4038">
        <v>15</v>
      </c>
      <c r="BJ4038">
        <v>15</v>
      </c>
      <c r="BK4038">
        <v>15</v>
      </c>
    </row>
    <row r="4039" spans="1:68">
      <c r="A4039">
        <v>63952881</v>
      </c>
      <c r="B4039">
        <v>63952881</v>
      </c>
      <c r="C4039" t="s">
        <v>7018</v>
      </c>
      <c r="D4039" t="s">
        <v>595</v>
      </c>
      <c r="E4039" s="184">
        <v>45181</v>
      </c>
      <c r="G4039" s="184"/>
      <c r="I4039" s="184"/>
      <c r="K4039" s="184"/>
      <c r="M4039" s="184"/>
      <c r="O4039" s="184"/>
      <c r="P4039" t="s">
        <v>7045</v>
      </c>
      <c r="Q4039" t="s">
        <v>7383</v>
      </c>
      <c r="R4039" s="184">
        <v>18964</v>
      </c>
      <c r="S4039">
        <v>72</v>
      </c>
      <c r="V4039" t="s">
        <v>3131</v>
      </c>
      <c r="X4039" t="s">
        <v>3589</v>
      </c>
      <c r="AF4039" t="s">
        <v>30085</v>
      </c>
      <c r="AG4039" t="s">
        <v>3131</v>
      </c>
      <c r="AI4039" t="s">
        <v>30086</v>
      </c>
      <c r="AM4039" t="s">
        <v>5049</v>
      </c>
      <c r="AN4039" t="s">
        <v>2064</v>
      </c>
      <c r="AO4039" t="s">
        <v>30087</v>
      </c>
      <c r="AP4039" t="s">
        <v>7024</v>
      </c>
      <c r="AQ4039" t="s">
        <v>30088</v>
      </c>
      <c r="AR4039" t="s">
        <v>30089</v>
      </c>
      <c r="AT4039" s="184">
        <v>40504</v>
      </c>
      <c r="AU4039" t="s">
        <v>29657</v>
      </c>
      <c r="AV4039">
        <v>19.97</v>
      </c>
      <c r="AW4039" s="184">
        <v>45105</v>
      </c>
      <c r="AX4039" t="s">
        <v>22322</v>
      </c>
      <c r="AY4039">
        <v>50</v>
      </c>
      <c r="AZ4039" s="184">
        <v>45105</v>
      </c>
      <c r="BA4039" t="s">
        <v>22322</v>
      </c>
      <c r="BB4039">
        <v>50</v>
      </c>
      <c r="BC4039">
        <v>54</v>
      </c>
      <c r="BD4039">
        <v>244.97</v>
      </c>
      <c r="BE4039">
        <v>2011</v>
      </c>
      <c r="BF4039">
        <v>8</v>
      </c>
      <c r="BG4039">
        <v>1</v>
      </c>
      <c r="BH4039">
        <v>50</v>
      </c>
      <c r="BI4039">
        <v>8</v>
      </c>
      <c r="BJ4039">
        <v>15</v>
      </c>
      <c r="BK4039">
        <v>5</v>
      </c>
    </row>
    <row r="4040" spans="1:68">
      <c r="A4040">
        <v>63963003</v>
      </c>
      <c r="B4040">
        <v>63963003</v>
      </c>
      <c r="C4040" t="s">
        <v>7018</v>
      </c>
      <c r="D4040" t="s">
        <v>595</v>
      </c>
      <c r="E4040" s="184">
        <v>43864</v>
      </c>
      <c r="G4040" s="184"/>
      <c r="I4040" s="184"/>
      <c r="K4040" s="184"/>
      <c r="M4040" s="184"/>
      <c r="O4040" s="184"/>
      <c r="P4040" t="s">
        <v>7045</v>
      </c>
      <c r="Q4040" t="s">
        <v>7020</v>
      </c>
      <c r="R4040" s="184">
        <v>24240</v>
      </c>
      <c r="S4040">
        <v>58</v>
      </c>
      <c r="U4040" t="s">
        <v>7031</v>
      </c>
      <c r="V4040" t="s">
        <v>2614</v>
      </c>
      <c r="W4040" t="s">
        <v>4152</v>
      </c>
      <c r="X4040" t="s">
        <v>4735</v>
      </c>
      <c r="AF4040" t="s">
        <v>30090</v>
      </c>
      <c r="AG4040" t="s">
        <v>2614</v>
      </c>
      <c r="AI4040" t="s">
        <v>30091</v>
      </c>
      <c r="AM4040" t="s">
        <v>4736</v>
      </c>
      <c r="AN4040" t="s">
        <v>2112</v>
      </c>
      <c r="AO4040" t="s">
        <v>30092</v>
      </c>
      <c r="AP4040" t="s">
        <v>7024</v>
      </c>
      <c r="AQ4040" t="s">
        <v>30093</v>
      </c>
      <c r="AT4040" s="184">
        <v>40505</v>
      </c>
      <c r="AU4040" t="s">
        <v>25893</v>
      </c>
      <c r="AV4040">
        <v>15</v>
      </c>
      <c r="AW4040" s="184">
        <v>45272</v>
      </c>
      <c r="AX4040" t="s">
        <v>30094</v>
      </c>
      <c r="AY4040">
        <v>25</v>
      </c>
      <c r="AZ4040" s="184">
        <v>42692</v>
      </c>
      <c r="BA4040" t="s">
        <v>26039</v>
      </c>
      <c r="BB4040">
        <v>60</v>
      </c>
      <c r="BC4040">
        <v>87</v>
      </c>
      <c r="BD4040">
        <v>326</v>
      </c>
      <c r="BE4040">
        <v>2011</v>
      </c>
      <c r="BF4040">
        <v>16</v>
      </c>
      <c r="BG4040">
        <v>2</v>
      </c>
      <c r="BH4040">
        <v>50</v>
      </c>
      <c r="BI4040">
        <v>13</v>
      </c>
      <c r="BJ4040">
        <v>15</v>
      </c>
      <c r="BK4040">
        <v>7</v>
      </c>
      <c r="BN4040" t="s">
        <v>595</v>
      </c>
    </row>
    <row r="4041" spans="1:68">
      <c r="A4041">
        <v>63980395</v>
      </c>
      <c r="B4041">
        <v>63980395</v>
      </c>
      <c r="C4041" t="s">
        <v>7018</v>
      </c>
      <c r="D4041" t="s">
        <v>595</v>
      </c>
      <c r="E4041" s="184">
        <v>45125</v>
      </c>
      <c r="G4041" s="184"/>
      <c r="I4041" s="184"/>
      <c r="K4041" s="184"/>
      <c r="M4041" s="184"/>
      <c r="P4041" t="s">
        <v>7019</v>
      </c>
      <c r="Q4041" t="s">
        <v>7383</v>
      </c>
      <c r="R4041" s="184">
        <v>24746</v>
      </c>
      <c r="S4041">
        <v>56</v>
      </c>
      <c r="V4041" t="s">
        <v>3230</v>
      </c>
      <c r="X4041" t="s">
        <v>30095</v>
      </c>
      <c r="AF4041" t="s">
        <v>30096</v>
      </c>
      <c r="AG4041" t="s">
        <v>3230</v>
      </c>
      <c r="AI4041" t="s">
        <v>30097</v>
      </c>
      <c r="AM4041" t="s">
        <v>25871</v>
      </c>
      <c r="AN4041" t="s">
        <v>2072</v>
      </c>
      <c r="AO4041" t="s">
        <v>30098</v>
      </c>
      <c r="AP4041" t="s">
        <v>7024</v>
      </c>
      <c r="AQ4041" t="s">
        <v>30099</v>
      </c>
      <c r="AT4041" s="184">
        <v>40504</v>
      </c>
      <c r="AU4041" t="s">
        <v>29657</v>
      </c>
      <c r="AV4041">
        <v>19.97</v>
      </c>
      <c r="AW4041" s="184">
        <v>44517</v>
      </c>
      <c r="AX4041" t="s">
        <v>10309</v>
      </c>
      <c r="AY4041">
        <v>60</v>
      </c>
      <c r="AZ4041" s="184">
        <v>44517</v>
      </c>
      <c r="BA4041" t="s">
        <v>10309</v>
      </c>
      <c r="BB4041">
        <v>60</v>
      </c>
      <c r="BC4041">
        <v>74</v>
      </c>
      <c r="BD4041">
        <v>529.97</v>
      </c>
      <c r="BE4041">
        <v>2011</v>
      </c>
      <c r="BF4041">
        <v>14</v>
      </c>
      <c r="BI4041">
        <v>11</v>
      </c>
      <c r="BJ4041">
        <v>15</v>
      </c>
      <c r="BK4041">
        <v>8</v>
      </c>
      <c r="BN4041" t="s">
        <v>595</v>
      </c>
    </row>
    <row r="4042" spans="1:68">
      <c r="A4042">
        <v>64042815</v>
      </c>
      <c r="B4042">
        <v>64042815</v>
      </c>
      <c r="C4042" t="s">
        <v>7018</v>
      </c>
      <c r="E4042" s="184"/>
      <c r="G4042" s="184"/>
      <c r="I4042" s="184"/>
      <c r="K4042" s="184"/>
      <c r="L4042" t="s">
        <v>595</v>
      </c>
      <c r="M4042" s="184">
        <v>44587</v>
      </c>
      <c r="P4042" t="s">
        <v>7045</v>
      </c>
      <c r="Q4042" t="s">
        <v>7160</v>
      </c>
      <c r="R4042" s="184">
        <v>26388</v>
      </c>
      <c r="S4042">
        <v>52</v>
      </c>
      <c r="V4042" t="s">
        <v>2635</v>
      </c>
      <c r="X4042" t="s">
        <v>4918</v>
      </c>
      <c r="AF4042" t="s">
        <v>30100</v>
      </c>
      <c r="AG4042" t="s">
        <v>2635</v>
      </c>
      <c r="AI4042" t="s">
        <v>30101</v>
      </c>
      <c r="AM4042" t="s">
        <v>24088</v>
      </c>
      <c r="AN4042" t="s">
        <v>2446</v>
      </c>
      <c r="AO4042" t="s">
        <v>30102</v>
      </c>
      <c r="AP4042" t="s">
        <v>7024</v>
      </c>
      <c r="AQ4042" t="s">
        <v>30103</v>
      </c>
      <c r="AT4042" s="184">
        <v>40518</v>
      </c>
      <c r="AU4042" t="s">
        <v>30104</v>
      </c>
      <c r="AV4042">
        <v>15</v>
      </c>
      <c r="AW4042" s="184">
        <v>45363</v>
      </c>
      <c r="AX4042" t="s">
        <v>8034</v>
      </c>
      <c r="AY4042">
        <v>50</v>
      </c>
      <c r="AZ4042" s="184">
        <v>45363</v>
      </c>
      <c r="BA4042" t="s">
        <v>8034</v>
      </c>
      <c r="BB4042">
        <v>50</v>
      </c>
      <c r="BC4042">
        <v>94</v>
      </c>
      <c r="BD4042">
        <v>480</v>
      </c>
      <c r="BE4042">
        <v>2011</v>
      </c>
      <c r="BF4042">
        <v>14</v>
      </c>
      <c r="BG4042">
        <v>2</v>
      </c>
      <c r="BH4042">
        <v>100</v>
      </c>
      <c r="BI4042">
        <v>14</v>
      </c>
      <c r="BJ4042">
        <v>15</v>
      </c>
      <c r="BK4042">
        <v>11</v>
      </c>
      <c r="BP4042" s="184"/>
    </row>
    <row r="4043" spans="1:68">
      <c r="A4043">
        <v>64048572</v>
      </c>
      <c r="B4043">
        <v>64048572</v>
      </c>
      <c r="C4043" t="s">
        <v>7018</v>
      </c>
      <c r="E4043" s="184"/>
      <c r="F4043" t="s">
        <v>595</v>
      </c>
      <c r="G4043" s="184">
        <v>44167</v>
      </c>
      <c r="I4043" s="184"/>
      <c r="K4043" s="184"/>
      <c r="M4043" s="184"/>
      <c r="O4043" s="184"/>
      <c r="P4043" t="s">
        <v>7045</v>
      </c>
      <c r="Q4043" t="s">
        <v>7262</v>
      </c>
      <c r="R4043" s="184">
        <v>15325</v>
      </c>
      <c r="S4043">
        <v>82</v>
      </c>
      <c r="V4043" t="s">
        <v>18610</v>
      </c>
      <c r="W4043" t="s">
        <v>4013</v>
      </c>
      <c r="X4043" t="s">
        <v>30105</v>
      </c>
      <c r="Z4043">
        <v>94468949</v>
      </c>
      <c r="AB4043" t="s">
        <v>3663</v>
      </c>
      <c r="AD4043" t="s">
        <v>30105</v>
      </c>
      <c r="AF4043" t="s">
        <v>30106</v>
      </c>
      <c r="AG4043" t="s">
        <v>30107</v>
      </c>
      <c r="AI4043" t="s">
        <v>30108</v>
      </c>
      <c r="AM4043" t="s">
        <v>2650</v>
      </c>
      <c r="AN4043" t="s">
        <v>65</v>
      </c>
      <c r="AO4043" t="s">
        <v>30109</v>
      </c>
      <c r="AP4043" t="s">
        <v>7024</v>
      </c>
      <c r="AQ4043" t="s">
        <v>30110</v>
      </c>
      <c r="AT4043" s="184">
        <v>40518</v>
      </c>
      <c r="AU4043" t="s">
        <v>30111</v>
      </c>
      <c r="AV4043">
        <v>25</v>
      </c>
      <c r="AW4043" s="184">
        <v>45330</v>
      </c>
      <c r="AX4043" t="s">
        <v>30112</v>
      </c>
      <c r="AY4043">
        <v>100</v>
      </c>
      <c r="AZ4043" s="184">
        <v>43635</v>
      </c>
      <c r="BA4043" t="s">
        <v>30113</v>
      </c>
      <c r="BB4043">
        <v>120</v>
      </c>
      <c r="BC4043">
        <v>67</v>
      </c>
      <c r="BD4043">
        <v>650</v>
      </c>
      <c r="BE4043">
        <v>2011</v>
      </c>
      <c r="BF4043">
        <v>12</v>
      </c>
      <c r="BG4043">
        <v>2</v>
      </c>
      <c r="BH4043">
        <v>200</v>
      </c>
      <c r="BI4043">
        <v>10</v>
      </c>
      <c r="BJ4043">
        <v>15</v>
      </c>
      <c r="BK4043">
        <v>7</v>
      </c>
      <c r="BN4043" t="s">
        <v>595</v>
      </c>
    </row>
    <row r="4044" spans="1:68">
      <c r="A4044">
        <v>64052772</v>
      </c>
      <c r="B4044">
        <v>64052772</v>
      </c>
      <c r="C4044" t="s">
        <v>7018</v>
      </c>
      <c r="D4044" t="s">
        <v>595</v>
      </c>
      <c r="E4044" s="184">
        <v>45182</v>
      </c>
      <c r="G4044" s="184"/>
      <c r="I4044" s="184"/>
      <c r="K4044" s="184"/>
      <c r="M4044" s="184"/>
      <c r="P4044" t="s">
        <v>7045</v>
      </c>
      <c r="Q4044" t="s">
        <v>7383</v>
      </c>
      <c r="R4044" s="184">
        <v>20121</v>
      </c>
      <c r="S4044">
        <v>69</v>
      </c>
      <c r="V4044" t="s">
        <v>2898</v>
      </c>
      <c r="X4044" t="s">
        <v>30114</v>
      </c>
      <c r="AF4044" t="s">
        <v>30115</v>
      </c>
      <c r="AG4044" t="s">
        <v>2898</v>
      </c>
      <c r="AI4044" t="s">
        <v>30116</v>
      </c>
      <c r="AM4044" t="s">
        <v>4965</v>
      </c>
      <c r="AN4044" t="s">
        <v>2313</v>
      </c>
      <c r="AO4044" t="s">
        <v>30117</v>
      </c>
      <c r="AP4044" t="s">
        <v>7024</v>
      </c>
      <c r="AT4044" s="184">
        <v>40519</v>
      </c>
      <c r="AU4044" t="s">
        <v>30118</v>
      </c>
      <c r="AV4044">
        <v>15</v>
      </c>
      <c r="AW4044" s="184">
        <v>45362</v>
      </c>
      <c r="AX4044" t="s">
        <v>9700</v>
      </c>
      <c r="AY4044">
        <v>35</v>
      </c>
      <c r="AZ4044" s="184">
        <v>45362</v>
      </c>
      <c r="BA4044" t="s">
        <v>9700</v>
      </c>
      <c r="BB4044">
        <v>35</v>
      </c>
      <c r="BC4044">
        <v>94</v>
      </c>
      <c r="BD4044">
        <v>632</v>
      </c>
      <c r="BE4044">
        <v>2011</v>
      </c>
      <c r="BF4044">
        <v>31</v>
      </c>
      <c r="BG4044">
        <v>5</v>
      </c>
      <c r="BH4044">
        <v>160</v>
      </c>
      <c r="BI4044">
        <v>14</v>
      </c>
      <c r="BJ4044">
        <v>15</v>
      </c>
      <c r="BK4044">
        <v>9</v>
      </c>
    </row>
    <row r="4045" spans="1:68">
      <c r="A4045">
        <v>64094444</v>
      </c>
      <c r="B4045">
        <v>64094444</v>
      </c>
      <c r="C4045" t="s">
        <v>7018</v>
      </c>
      <c r="E4045" s="184"/>
      <c r="G4045" s="184"/>
      <c r="I4045" s="184"/>
      <c r="J4045" t="s">
        <v>595</v>
      </c>
      <c r="K4045" s="184">
        <v>44073</v>
      </c>
      <c r="M4045" s="184"/>
      <c r="O4045" s="184"/>
      <c r="P4045" t="s">
        <v>7045</v>
      </c>
      <c r="Q4045" t="s">
        <v>7383</v>
      </c>
      <c r="R4045" s="184">
        <v>30880</v>
      </c>
      <c r="S4045">
        <v>39</v>
      </c>
      <c r="U4045" t="s">
        <v>7031</v>
      </c>
      <c r="V4045" t="s">
        <v>4921</v>
      </c>
      <c r="X4045" t="s">
        <v>4922</v>
      </c>
      <c r="AF4045" t="s">
        <v>30119</v>
      </c>
      <c r="AG4045" t="s">
        <v>4921</v>
      </c>
      <c r="AI4045" t="s">
        <v>30120</v>
      </c>
      <c r="AM4045" t="s">
        <v>4923</v>
      </c>
      <c r="AN4045" t="s">
        <v>2274</v>
      </c>
      <c r="AO4045" t="s">
        <v>30121</v>
      </c>
      <c r="AP4045" t="s">
        <v>7024</v>
      </c>
      <c r="AQ4045" t="s">
        <v>30122</v>
      </c>
      <c r="AT4045" s="184">
        <v>40514</v>
      </c>
      <c r="AU4045" t="s">
        <v>25893</v>
      </c>
      <c r="AV4045">
        <v>25</v>
      </c>
      <c r="AW4045" s="184">
        <v>45267</v>
      </c>
      <c r="AX4045" t="s">
        <v>11761</v>
      </c>
      <c r="AY4045">
        <v>150</v>
      </c>
      <c r="AZ4045" s="184">
        <v>45267</v>
      </c>
      <c r="BA4045" t="s">
        <v>11761</v>
      </c>
      <c r="BB4045">
        <v>150</v>
      </c>
      <c r="BC4045">
        <v>94</v>
      </c>
      <c r="BD4045">
        <v>3310</v>
      </c>
      <c r="BE4045">
        <v>2011</v>
      </c>
      <c r="BF4045">
        <v>29</v>
      </c>
      <c r="BG4045">
        <v>3</v>
      </c>
      <c r="BH4045">
        <v>450</v>
      </c>
      <c r="BI4045">
        <v>14</v>
      </c>
      <c r="BJ4045">
        <v>15</v>
      </c>
      <c r="BK4045">
        <v>14</v>
      </c>
    </row>
    <row r="4046" spans="1:68">
      <c r="A4046">
        <v>64095979</v>
      </c>
      <c r="B4046">
        <v>64095979</v>
      </c>
      <c r="C4046" t="s">
        <v>7018</v>
      </c>
      <c r="D4046" t="s">
        <v>595</v>
      </c>
      <c r="E4046" s="184">
        <v>44441</v>
      </c>
      <c r="G4046" s="184"/>
      <c r="I4046" s="184"/>
      <c r="K4046" s="184"/>
      <c r="M4046" s="184"/>
      <c r="O4046" s="184"/>
      <c r="P4046" t="s">
        <v>7029</v>
      </c>
      <c r="Q4046" t="s">
        <v>7383</v>
      </c>
      <c r="R4046" s="184">
        <v>16286</v>
      </c>
      <c r="S4046">
        <v>79</v>
      </c>
      <c r="U4046" t="s">
        <v>7031</v>
      </c>
      <c r="V4046" t="s">
        <v>30123</v>
      </c>
      <c r="X4046" t="s">
        <v>3277</v>
      </c>
      <c r="Z4046">
        <v>100796455</v>
      </c>
      <c r="AB4046" t="s">
        <v>3504</v>
      </c>
      <c r="AD4046" t="s">
        <v>3277</v>
      </c>
      <c r="AF4046" t="s">
        <v>30124</v>
      </c>
      <c r="AG4046" t="s">
        <v>30125</v>
      </c>
      <c r="AI4046" t="s">
        <v>30126</v>
      </c>
      <c r="AM4046" t="s">
        <v>9527</v>
      </c>
      <c r="AN4046" t="s">
        <v>2162</v>
      </c>
      <c r="AO4046" t="s">
        <v>30127</v>
      </c>
      <c r="AP4046" t="s">
        <v>7024</v>
      </c>
      <c r="AQ4046" t="s">
        <v>30128</v>
      </c>
      <c r="AR4046" t="s">
        <v>30129</v>
      </c>
      <c r="AT4046" s="184">
        <v>40521</v>
      </c>
      <c r="AU4046" t="s">
        <v>30130</v>
      </c>
      <c r="AV4046">
        <v>100</v>
      </c>
      <c r="AW4046" s="184">
        <v>44893</v>
      </c>
      <c r="AX4046" t="s">
        <v>30131</v>
      </c>
      <c r="AY4046">
        <v>1000</v>
      </c>
      <c r="AZ4046" s="184">
        <v>44893</v>
      </c>
      <c r="BA4046" t="s">
        <v>30131</v>
      </c>
      <c r="BB4046">
        <v>1000</v>
      </c>
      <c r="BC4046">
        <v>80</v>
      </c>
      <c r="BD4046">
        <v>6550</v>
      </c>
      <c r="BE4046">
        <v>2011</v>
      </c>
      <c r="BF4046">
        <v>29</v>
      </c>
      <c r="BG4046">
        <v>1</v>
      </c>
      <c r="BH4046">
        <v>1000</v>
      </c>
      <c r="BI4046">
        <v>12</v>
      </c>
      <c r="BJ4046">
        <v>15</v>
      </c>
      <c r="BK4046">
        <v>9</v>
      </c>
    </row>
    <row r="4047" spans="1:68">
      <c r="A4047">
        <v>64150576</v>
      </c>
      <c r="B4047">
        <v>64150576</v>
      </c>
      <c r="C4047" t="s">
        <v>7018</v>
      </c>
      <c r="D4047" t="s">
        <v>595</v>
      </c>
      <c r="E4047" s="184">
        <v>44167</v>
      </c>
      <c r="G4047" s="184"/>
      <c r="I4047" s="184"/>
      <c r="K4047" s="184"/>
      <c r="M4047" s="184"/>
      <c r="O4047" s="184"/>
      <c r="P4047" t="s">
        <v>7045</v>
      </c>
      <c r="Q4047" t="s">
        <v>7383</v>
      </c>
      <c r="R4047" s="184">
        <v>20668</v>
      </c>
      <c r="S4047">
        <v>67</v>
      </c>
      <c r="V4047" t="s">
        <v>3732</v>
      </c>
      <c r="X4047" t="s">
        <v>30132</v>
      </c>
      <c r="AF4047" t="s">
        <v>30133</v>
      </c>
      <c r="AG4047" t="s">
        <v>3732</v>
      </c>
      <c r="AI4047" t="s">
        <v>30134</v>
      </c>
      <c r="AM4047" t="s">
        <v>30135</v>
      </c>
      <c r="AN4047" t="s">
        <v>2064</v>
      </c>
      <c r="AO4047" t="s">
        <v>30136</v>
      </c>
      <c r="AP4047" t="s">
        <v>7024</v>
      </c>
      <c r="AQ4047" t="s">
        <v>30137</v>
      </c>
      <c r="AT4047" s="184">
        <v>40522</v>
      </c>
      <c r="AU4047" t="s">
        <v>30138</v>
      </c>
      <c r="AV4047">
        <v>25</v>
      </c>
      <c r="AW4047" s="184">
        <v>45251</v>
      </c>
      <c r="AX4047" t="s">
        <v>30139</v>
      </c>
      <c r="AY4047">
        <v>115</v>
      </c>
      <c r="AZ4047" s="184">
        <v>45251</v>
      </c>
      <c r="BA4047" t="s">
        <v>30139</v>
      </c>
      <c r="BB4047">
        <v>115</v>
      </c>
      <c r="BC4047">
        <v>80</v>
      </c>
      <c r="BD4047">
        <v>882</v>
      </c>
      <c r="BE4047">
        <v>2011</v>
      </c>
      <c r="BF4047">
        <v>16</v>
      </c>
      <c r="BG4047">
        <v>2</v>
      </c>
      <c r="BH4047">
        <v>190</v>
      </c>
      <c r="BI4047">
        <v>12</v>
      </c>
      <c r="BJ4047">
        <v>15</v>
      </c>
      <c r="BK4047">
        <v>8</v>
      </c>
    </row>
    <row r="4048" spans="1:68">
      <c r="A4048">
        <v>64164387</v>
      </c>
      <c r="B4048">
        <v>64164387</v>
      </c>
      <c r="C4048" t="s">
        <v>7018</v>
      </c>
      <c r="E4048" s="184"/>
      <c r="G4048" s="184"/>
      <c r="I4048" s="184"/>
      <c r="J4048" t="s">
        <v>595</v>
      </c>
      <c r="K4048" s="184">
        <v>45289</v>
      </c>
      <c r="M4048" s="184"/>
      <c r="O4048" s="184"/>
      <c r="P4048" t="s">
        <v>7084</v>
      </c>
      <c r="Q4048" t="s">
        <v>7262</v>
      </c>
      <c r="R4048" s="184">
        <v>12657</v>
      </c>
      <c r="S4048">
        <v>89</v>
      </c>
      <c r="V4048" t="s">
        <v>2832</v>
      </c>
      <c r="X4048" t="s">
        <v>30140</v>
      </c>
      <c r="AF4048" t="s">
        <v>30141</v>
      </c>
      <c r="AG4048" t="s">
        <v>2832</v>
      </c>
      <c r="AI4048" t="s">
        <v>30142</v>
      </c>
      <c r="AM4048" t="s">
        <v>4497</v>
      </c>
      <c r="AN4048" t="s">
        <v>2069</v>
      </c>
      <c r="AO4048" t="s">
        <v>30143</v>
      </c>
      <c r="AP4048" t="s">
        <v>7024</v>
      </c>
      <c r="AQ4048" t="s">
        <v>30144</v>
      </c>
      <c r="AT4048" s="184">
        <v>40522</v>
      </c>
      <c r="AU4048" t="s">
        <v>30145</v>
      </c>
      <c r="AV4048">
        <v>50</v>
      </c>
      <c r="AW4048" s="184">
        <v>45288</v>
      </c>
      <c r="AX4048" t="s">
        <v>7296</v>
      </c>
      <c r="AY4048">
        <v>3854899.12</v>
      </c>
      <c r="AZ4048" s="184">
        <v>45288</v>
      </c>
      <c r="BA4048" t="s">
        <v>7296</v>
      </c>
      <c r="BB4048">
        <v>3854899.12</v>
      </c>
      <c r="BC4048">
        <v>20</v>
      </c>
      <c r="BD4048">
        <v>3854989.12</v>
      </c>
      <c r="BE4048">
        <v>2011</v>
      </c>
      <c r="BF4048">
        <v>3</v>
      </c>
      <c r="BG4048">
        <v>1</v>
      </c>
      <c r="BH4048">
        <v>3854899.12</v>
      </c>
      <c r="BI4048">
        <v>3</v>
      </c>
      <c r="BJ4048">
        <v>15</v>
      </c>
      <c r="BK4048">
        <v>1</v>
      </c>
      <c r="BN4048" t="s">
        <v>595</v>
      </c>
      <c r="BP4048" s="184"/>
    </row>
    <row r="4049" spans="1:68">
      <c r="A4049">
        <v>64173388</v>
      </c>
      <c r="B4049">
        <v>64173388</v>
      </c>
      <c r="C4049" t="s">
        <v>7018</v>
      </c>
      <c r="D4049" t="s">
        <v>595</v>
      </c>
      <c r="E4049" s="184">
        <v>44438</v>
      </c>
      <c r="G4049" s="184"/>
      <c r="I4049" s="184"/>
      <c r="K4049" s="184"/>
      <c r="M4049" s="184"/>
      <c r="O4049" s="184"/>
      <c r="P4049" t="s">
        <v>7045</v>
      </c>
      <c r="Q4049" t="s">
        <v>7383</v>
      </c>
      <c r="R4049" s="184">
        <v>21297</v>
      </c>
      <c r="S4049">
        <v>66</v>
      </c>
      <c r="V4049" t="s">
        <v>2863</v>
      </c>
      <c r="X4049" t="s">
        <v>30146</v>
      </c>
      <c r="AF4049" t="s">
        <v>30147</v>
      </c>
      <c r="AG4049" t="s">
        <v>2863</v>
      </c>
      <c r="AI4049" t="s">
        <v>30148</v>
      </c>
      <c r="AM4049" t="s">
        <v>2850</v>
      </c>
      <c r="AN4049" t="s">
        <v>2144</v>
      </c>
      <c r="AO4049" t="s">
        <v>30149</v>
      </c>
      <c r="AP4049" t="s">
        <v>7024</v>
      </c>
      <c r="AQ4049" t="s">
        <v>30150</v>
      </c>
      <c r="AR4049" t="s">
        <v>30151</v>
      </c>
      <c r="AT4049" s="184">
        <v>40522</v>
      </c>
      <c r="AU4049" t="s">
        <v>30152</v>
      </c>
      <c r="AV4049">
        <v>15</v>
      </c>
      <c r="AW4049" s="184">
        <v>44916</v>
      </c>
      <c r="AX4049" t="s">
        <v>12309</v>
      </c>
      <c r="AY4049">
        <v>25</v>
      </c>
      <c r="AZ4049" s="184">
        <v>44916</v>
      </c>
      <c r="BA4049" t="s">
        <v>12309</v>
      </c>
      <c r="BB4049">
        <v>25</v>
      </c>
      <c r="BC4049">
        <v>60</v>
      </c>
      <c r="BD4049">
        <v>215</v>
      </c>
      <c r="BE4049">
        <v>2011</v>
      </c>
      <c r="BF4049">
        <v>9</v>
      </c>
      <c r="BG4049">
        <v>1</v>
      </c>
      <c r="BH4049">
        <v>25</v>
      </c>
      <c r="BI4049">
        <v>9</v>
      </c>
      <c r="BJ4049">
        <v>15</v>
      </c>
      <c r="BK4049">
        <v>4</v>
      </c>
    </row>
    <row r="4050" spans="1:68">
      <c r="A4050">
        <v>64181829</v>
      </c>
      <c r="B4050">
        <v>64181829</v>
      </c>
      <c r="C4050" t="s">
        <v>7018</v>
      </c>
      <c r="E4050" s="184"/>
      <c r="G4050" s="184"/>
      <c r="I4050" s="184"/>
      <c r="J4050" t="s">
        <v>595</v>
      </c>
      <c r="K4050" s="184">
        <v>41955</v>
      </c>
      <c r="M4050" s="184"/>
      <c r="O4050" s="184"/>
      <c r="P4050" t="s">
        <v>7045</v>
      </c>
      <c r="Q4050" t="s">
        <v>7194</v>
      </c>
      <c r="R4050" s="184">
        <v>12761</v>
      </c>
      <c r="S4050">
        <v>89</v>
      </c>
      <c r="V4050" t="s">
        <v>3689</v>
      </c>
      <c r="X4050" t="s">
        <v>30153</v>
      </c>
      <c r="AF4050" t="s">
        <v>6695</v>
      </c>
      <c r="AG4050" t="s">
        <v>6695</v>
      </c>
      <c r="AI4050" t="s">
        <v>30154</v>
      </c>
      <c r="AM4050" t="s">
        <v>30155</v>
      </c>
      <c r="AN4050" t="s">
        <v>2046</v>
      </c>
      <c r="AO4050" t="s">
        <v>30156</v>
      </c>
      <c r="AP4050" t="s">
        <v>7024</v>
      </c>
      <c r="AQ4050" t="s">
        <v>30157</v>
      </c>
      <c r="AT4050" s="184">
        <v>40525</v>
      </c>
      <c r="AU4050" t="s">
        <v>30158</v>
      </c>
      <c r="AV4050">
        <v>20</v>
      </c>
      <c r="AW4050" s="184">
        <v>41625</v>
      </c>
      <c r="AX4050" t="s">
        <v>30159</v>
      </c>
      <c r="AY4050">
        <v>25</v>
      </c>
      <c r="AZ4050" s="184">
        <v>41625</v>
      </c>
      <c r="BA4050" t="s">
        <v>30159</v>
      </c>
      <c r="BB4050">
        <v>25</v>
      </c>
      <c r="BC4050">
        <v>27</v>
      </c>
      <c r="BD4050">
        <v>120</v>
      </c>
      <c r="BE4050">
        <v>2011</v>
      </c>
      <c r="BF4050">
        <v>5</v>
      </c>
      <c r="BI4050">
        <v>4</v>
      </c>
      <c r="BJ4050">
        <v>15</v>
      </c>
      <c r="BK4050">
        <v>4</v>
      </c>
      <c r="BN4050" t="s">
        <v>595</v>
      </c>
      <c r="BO4050" t="s">
        <v>595</v>
      </c>
      <c r="BP4050" s="184"/>
    </row>
    <row r="4051" spans="1:68">
      <c r="A4051">
        <v>64189228</v>
      </c>
      <c r="B4051">
        <v>64189228</v>
      </c>
      <c r="C4051" t="s">
        <v>7018</v>
      </c>
      <c r="D4051" t="s">
        <v>595</v>
      </c>
      <c r="E4051" s="184">
        <v>45195</v>
      </c>
      <c r="G4051" s="184"/>
      <c r="I4051" s="184"/>
      <c r="K4051" s="184"/>
      <c r="M4051" s="184"/>
      <c r="O4051" s="184"/>
      <c r="P4051" t="s">
        <v>7045</v>
      </c>
      <c r="Q4051" t="s">
        <v>7374</v>
      </c>
      <c r="R4051" s="184">
        <v>14763</v>
      </c>
      <c r="S4051">
        <v>83</v>
      </c>
      <c r="U4051" t="s">
        <v>7130</v>
      </c>
      <c r="V4051" t="s">
        <v>2958</v>
      </c>
      <c r="W4051" t="s">
        <v>12037</v>
      </c>
      <c r="X4051" t="s">
        <v>3102</v>
      </c>
      <c r="Z4051">
        <v>100183864</v>
      </c>
      <c r="AB4051" t="s">
        <v>2724</v>
      </c>
      <c r="AD4051" t="s">
        <v>3102</v>
      </c>
      <c r="AF4051" t="s">
        <v>30160</v>
      </c>
      <c r="AG4051" t="s">
        <v>2958</v>
      </c>
      <c r="AI4051" t="s">
        <v>30161</v>
      </c>
      <c r="AM4051" t="s">
        <v>30162</v>
      </c>
      <c r="AN4051" t="s">
        <v>2081</v>
      </c>
      <c r="AO4051" t="s">
        <v>30163</v>
      </c>
      <c r="AP4051" t="s">
        <v>7024</v>
      </c>
      <c r="AQ4051" t="s">
        <v>30164</v>
      </c>
      <c r="AT4051" s="184">
        <v>40525</v>
      </c>
      <c r="AU4051" t="s">
        <v>30165</v>
      </c>
      <c r="AV4051">
        <v>25</v>
      </c>
      <c r="AW4051" s="184">
        <v>44697</v>
      </c>
      <c r="AX4051" t="s">
        <v>30166</v>
      </c>
      <c r="AY4051">
        <v>35</v>
      </c>
      <c r="AZ4051" s="184">
        <v>43104</v>
      </c>
      <c r="BA4051" t="s">
        <v>11988</v>
      </c>
      <c r="BB4051">
        <v>60</v>
      </c>
      <c r="BC4051">
        <v>40</v>
      </c>
      <c r="BD4051">
        <v>230</v>
      </c>
      <c r="BE4051">
        <v>2011</v>
      </c>
      <c r="BF4051">
        <v>7</v>
      </c>
      <c r="BG4051">
        <v>1</v>
      </c>
      <c r="BH4051">
        <v>35</v>
      </c>
      <c r="BI4051">
        <v>6</v>
      </c>
      <c r="BJ4051">
        <v>15</v>
      </c>
      <c r="BK4051">
        <v>3</v>
      </c>
    </row>
    <row r="4052" spans="1:68">
      <c r="A4052">
        <v>100183864</v>
      </c>
      <c r="B4052">
        <v>64189228</v>
      </c>
      <c r="C4052" t="s">
        <v>7018</v>
      </c>
      <c r="D4052" t="s">
        <v>595</v>
      </c>
      <c r="E4052" s="184">
        <v>45195</v>
      </c>
      <c r="G4052" s="184"/>
      <c r="I4052" s="184"/>
      <c r="K4052" s="184"/>
      <c r="P4052" t="s">
        <v>7045</v>
      </c>
      <c r="Q4052" t="s">
        <v>7374</v>
      </c>
      <c r="R4052" s="184"/>
      <c r="V4052" t="s">
        <v>2724</v>
      </c>
      <c r="X4052" t="s">
        <v>3102</v>
      </c>
      <c r="Z4052">
        <v>64189228</v>
      </c>
      <c r="AA4052" t="s">
        <v>7130</v>
      </c>
      <c r="AB4052" t="s">
        <v>2958</v>
      </c>
      <c r="AC4052" t="s">
        <v>12037</v>
      </c>
      <c r="AD4052" t="s">
        <v>3102</v>
      </c>
      <c r="AF4052" t="s">
        <v>30160</v>
      </c>
      <c r="AG4052" t="s">
        <v>2958</v>
      </c>
      <c r="AI4052" t="s">
        <v>30161</v>
      </c>
      <c r="AM4052" t="s">
        <v>30162</v>
      </c>
      <c r="AN4052" t="s">
        <v>2081</v>
      </c>
      <c r="AO4052" t="s">
        <v>30163</v>
      </c>
      <c r="AP4052" t="s">
        <v>7024</v>
      </c>
      <c r="AT4052" s="184"/>
      <c r="AW4052" s="184"/>
      <c r="AZ4052" s="184"/>
      <c r="BO4052" t="s">
        <v>595</v>
      </c>
    </row>
    <row r="4053" spans="1:68">
      <c r="A4053">
        <v>64208796</v>
      </c>
      <c r="B4053">
        <v>64208796</v>
      </c>
      <c r="C4053" t="s">
        <v>7018</v>
      </c>
      <c r="D4053" t="s">
        <v>595</v>
      </c>
      <c r="E4053" s="184">
        <v>44073</v>
      </c>
      <c r="G4053" s="184"/>
      <c r="I4053" s="184"/>
      <c r="K4053" s="184"/>
      <c r="M4053" s="184"/>
      <c r="O4053" s="184"/>
      <c r="P4053" t="s">
        <v>7045</v>
      </c>
      <c r="Q4053" t="s">
        <v>7454</v>
      </c>
      <c r="R4053" s="184">
        <v>19207</v>
      </c>
      <c r="S4053">
        <v>71</v>
      </c>
      <c r="U4053" t="s">
        <v>7031</v>
      </c>
      <c r="V4053" t="s">
        <v>4363</v>
      </c>
      <c r="W4053" t="s">
        <v>30167</v>
      </c>
      <c r="X4053" t="s">
        <v>15625</v>
      </c>
      <c r="AF4053" t="s">
        <v>30168</v>
      </c>
      <c r="AG4053" t="s">
        <v>4363</v>
      </c>
      <c r="AI4053" t="s">
        <v>30169</v>
      </c>
      <c r="AM4053" t="s">
        <v>2608</v>
      </c>
      <c r="AN4053" t="s">
        <v>2299</v>
      </c>
      <c r="AO4053" t="s">
        <v>30170</v>
      </c>
      <c r="AP4053" t="s">
        <v>7024</v>
      </c>
      <c r="AQ4053" t="s">
        <v>30171</v>
      </c>
      <c r="AR4053" t="s">
        <v>30172</v>
      </c>
      <c r="AT4053" s="184">
        <v>40525</v>
      </c>
      <c r="AU4053" t="s">
        <v>30173</v>
      </c>
      <c r="AV4053">
        <v>25</v>
      </c>
      <c r="AW4053" s="184">
        <v>44930</v>
      </c>
      <c r="AX4053" t="s">
        <v>30174</v>
      </c>
      <c r="AY4053">
        <v>10</v>
      </c>
      <c r="AZ4053" s="184">
        <v>43068</v>
      </c>
      <c r="BA4053" t="s">
        <v>25300</v>
      </c>
      <c r="BB4053">
        <v>150</v>
      </c>
      <c r="BC4053">
        <v>94</v>
      </c>
      <c r="BD4053">
        <v>1805</v>
      </c>
      <c r="BE4053">
        <v>2011</v>
      </c>
      <c r="BF4053">
        <v>49</v>
      </c>
      <c r="BG4053">
        <v>8</v>
      </c>
      <c r="BH4053">
        <v>80</v>
      </c>
      <c r="BI4053">
        <v>14</v>
      </c>
      <c r="BJ4053">
        <v>15</v>
      </c>
      <c r="BK4053">
        <v>14</v>
      </c>
      <c r="BO4053" t="s">
        <v>595</v>
      </c>
    </row>
    <row r="4054" spans="1:68">
      <c r="A4054">
        <v>64232382</v>
      </c>
      <c r="B4054">
        <v>64232382</v>
      </c>
      <c r="C4054" t="s">
        <v>7018</v>
      </c>
      <c r="D4054" t="s">
        <v>595</v>
      </c>
      <c r="E4054" s="184">
        <v>45125</v>
      </c>
      <c r="G4054" s="184"/>
      <c r="I4054" s="184"/>
      <c r="K4054" s="184"/>
      <c r="M4054" s="184"/>
      <c r="O4054" s="184"/>
      <c r="P4054" t="s">
        <v>7045</v>
      </c>
      <c r="Q4054" t="s">
        <v>7262</v>
      </c>
      <c r="R4054" s="184">
        <v>26665</v>
      </c>
      <c r="S4054">
        <v>51</v>
      </c>
      <c r="V4054" t="s">
        <v>4210</v>
      </c>
      <c r="X4054" t="s">
        <v>2784</v>
      </c>
      <c r="AF4054" t="s">
        <v>30175</v>
      </c>
      <c r="AG4054" t="s">
        <v>4210</v>
      </c>
      <c r="AI4054" t="s">
        <v>30176</v>
      </c>
      <c r="AM4054" t="s">
        <v>30177</v>
      </c>
      <c r="AN4054" t="s">
        <v>2106</v>
      </c>
      <c r="AO4054" t="s">
        <v>30178</v>
      </c>
      <c r="AP4054" t="s">
        <v>7024</v>
      </c>
      <c r="AQ4054" t="s">
        <v>30179</v>
      </c>
      <c r="AR4054" t="s">
        <v>30180</v>
      </c>
      <c r="AT4054" s="184">
        <v>40526</v>
      </c>
      <c r="AU4054" t="s">
        <v>30181</v>
      </c>
      <c r="AV4054">
        <v>30</v>
      </c>
      <c r="AW4054" s="184">
        <v>44587</v>
      </c>
      <c r="AX4054" t="s">
        <v>30182</v>
      </c>
      <c r="AY4054">
        <v>5</v>
      </c>
      <c r="AZ4054" s="184">
        <v>43123</v>
      </c>
      <c r="BA4054" t="s">
        <v>30183</v>
      </c>
      <c r="BB4054">
        <v>45</v>
      </c>
      <c r="BC4054">
        <v>34</v>
      </c>
      <c r="BD4054">
        <v>200</v>
      </c>
      <c r="BE4054">
        <v>2011</v>
      </c>
      <c r="BF4054">
        <v>27</v>
      </c>
      <c r="BI4054">
        <v>5</v>
      </c>
      <c r="BJ4054">
        <v>15</v>
      </c>
      <c r="BK4054">
        <v>3</v>
      </c>
    </row>
    <row r="4055" spans="1:68">
      <c r="A4055">
        <v>64232507</v>
      </c>
      <c r="B4055">
        <v>64232507</v>
      </c>
      <c r="C4055" t="s">
        <v>7018</v>
      </c>
      <c r="D4055" t="s">
        <v>595</v>
      </c>
      <c r="E4055" s="184">
        <v>44144</v>
      </c>
      <c r="G4055" s="184"/>
      <c r="I4055" s="184"/>
      <c r="K4055" s="184"/>
      <c r="M4055" s="184"/>
      <c r="P4055" t="s">
        <v>7045</v>
      </c>
      <c r="Q4055" t="s">
        <v>7194</v>
      </c>
      <c r="R4055" s="184">
        <v>15848</v>
      </c>
      <c r="S4055">
        <v>80</v>
      </c>
      <c r="U4055" t="s">
        <v>7031</v>
      </c>
      <c r="V4055" t="s">
        <v>2851</v>
      </c>
      <c r="W4055" t="s">
        <v>7248</v>
      </c>
      <c r="X4055" t="s">
        <v>21647</v>
      </c>
      <c r="Z4055">
        <v>100136666</v>
      </c>
      <c r="AB4055" t="s">
        <v>3306</v>
      </c>
      <c r="AD4055" t="s">
        <v>21647</v>
      </c>
      <c r="AF4055" t="s">
        <v>30184</v>
      </c>
      <c r="AG4055" t="s">
        <v>30185</v>
      </c>
      <c r="AI4055" t="s">
        <v>30186</v>
      </c>
      <c r="AM4055" t="s">
        <v>4292</v>
      </c>
      <c r="AN4055" t="s">
        <v>2046</v>
      </c>
      <c r="AO4055" t="s">
        <v>30187</v>
      </c>
      <c r="AP4055" t="s">
        <v>7024</v>
      </c>
      <c r="AQ4055" t="s">
        <v>30188</v>
      </c>
      <c r="AT4055" s="184">
        <v>40526</v>
      </c>
      <c r="AU4055" t="s">
        <v>30189</v>
      </c>
      <c r="AV4055">
        <v>25</v>
      </c>
      <c r="AW4055" s="184">
        <v>45280</v>
      </c>
      <c r="AX4055" t="s">
        <v>7515</v>
      </c>
      <c r="AY4055">
        <v>50</v>
      </c>
      <c r="AZ4055" s="184">
        <v>45280</v>
      </c>
      <c r="BA4055" t="s">
        <v>7515</v>
      </c>
      <c r="BB4055">
        <v>50</v>
      </c>
      <c r="BC4055">
        <v>87</v>
      </c>
      <c r="BD4055">
        <v>630</v>
      </c>
      <c r="BE4055">
        <v>2011</v>
      </c>
      <c r="BF4055">
        <v>14</v>
      </c>
      <c r="BG4055">
        <v>2</v>
      </c>
      <c r="BH4055">
        <v>100</v>
      </c>
      <c r="BI4055">
        <v>13</v>
      </c>
      <c r="BJ4055">
        <v>15</v>
      </c>
      <c r="BK4055">
        <v>12</v>
      </c>
      <c r="BP4055" s="184"/>
    </row>
    <row r="4056" spans="1:68">
      <c r="A4056">
        <v>100136666</v>
      </c>
      <c r="B4056">
        <v>64232507</v>
      </c>
      <c r="C4056" t="s">
        <v>7018</v>
      </c>
      <c r="D4056" t="s">
        <v>595</v>
      </c>
      <c r="E4056" s="184">
        <v>44144</v>
      </c>
      <c r="G4056" s="184"/>
      <c r="I4056" s="184"/>
      <c r="K4056" s="184"/>
      <c r="O4056" s="184"/>
      <c r="P4056" t="s">
        <v>7045</v>
      </c>
      <c r="Q4056" t="s">
        <v>7194</v>
      </c>
      <c r="R4056" s="184">
        <v>16069</v>
      </c>
      <c r="S4056">
        <v>80</v>
      </c>
      <c r="V4056" t="s">
        <v>3306</v>
      </c>
      <c r="X4056" t="s">
        <v>21647</v>
      </c>
      <c r="Z4056">
        <v>64232507</v>
      </c>
      <c r="AA4056" t="s">
        <v>7031</v>
      </c>
      <c r="AB4056" t="s">
        <v>2851</v>
      </c>
      <c r="AC4056" t="s">
        <v>7248</v>
      </c>
      <c r="AD4056" t="s">
        <v>21647</v>
      </c>
      <c r="AF4056" t="s">
        <v>30184</v>
      </c>
      <c r="AG4056" t="s">
        <v>30185</v>
      </c>
      <c r="AI4056" t="s">
        <v>30186</v>
      </c>
      <c r="AM4056" t="s">
        <v>4292</v>
      </c>
      <c r="AN4056" t="s">
        <v>2046</v>
      </c>
      <c r="AO4056" t="s">
        <v>30187</v>
      </c>
      <c r="AP4056" t="s">
        <v>7024</v>
      </c>
      <c r="AT4056" s="184"/>
      <c r="AW4056" s="184"/>
      <c r="AZ4056" s="184"/>
    </row>
    <row r="4057" spans="1:68">
      <c r="A4057">
        <v>64281264</v>
      </c>
      <c r="B4057">
        <v>64281264</v>
      </c>
      <c r="C4057" t="s">
        <v>7018</v>
      </c>
      <c r="D4057" t="s">
        <v>595</v>
      </c>
      <c r="E4057" s="184">
        <v>44438</v>
      </c>
      <c r="G4057" s="184"/>
      <c r="I4057" s="184"/>
      <c r="K4057" s="184"/>
      <c r="M4057" s="184"/>
      <c r="P4057" t="s">
        <v>7045</v>
      </c>
      <c r="Q4057" t="s">
        <v>7020</v>
      </c>
      <c r="R4057" s="184">
        <v>17746</v>
      </c>
      <c r="S4057">
        <v>75</v>
      </c>
      <c r="V4057" t="s">
        <v>17258</v>
      </c>
      <c r="X4057" t="s">
        <v>30190</v>
      </c>
      <c r="AF4057" t="s">
        <v>30191</v>
      </c>
      <c r="AG4057" t="s">
        <v>17258</v>
      </c>
      <c r="AI4057" t="s">
        <v>30192</v>
      </c>
      <c r="AM4057" t="s">
        <v>2741</v>
      </c>
      <c r="AN4057" t="s">
        <v>2255</v>
      </c>
      <c r="AO4057" t="s">
        <v>30193</v>
      </c>
      <c r="AP4057" t="s">
        <v>7024</v>
      </c>
      <c r="AQ4057" t="s">
        <v>30194</v>
      </c>
      <c r="AT4057" s="184">
        <v>40528</v>
      </c>
      <c r="AU4057" t="s">
        <v>30195</v>
      </c>
      <c r="AV4057">
        <v>50</v>
      </c>
      <c r="AW4057" s="184">
        <v>45042</v>
      </c>
      <c r="AX4057" t="s">
        <v>9859</v>
      </c>
      <c r="AY4057">
        <v>75</v>
      </c>
      <c r="AZ4057" s="184">
        <v>43768</v>
      </c>
      <c r="BA4057" t="s">
        <v>30196</v>
      </c>
      <c r="BB4057">
        <v>87</v>
      </c>
      <c r="BC4057">
        <v>74</v>
      </c>
      <c r="BD4057">
        <v>897</v>
      </c>
      <c r="BE4057">
        <v>2011</v>
      </c>
      <c r="BF4057">
        <v>17</v>
      </c>
      <c r="BG4057">
        <v>3</v>
      </c>
      <c r="BH4057">
        <v>225</v>
      </c>
      <c r="BI4057">
        <v>11</v>
      </c>
      <c r="BJ4057">
        <v>15</v>
      </c>
      <c r="BK4057">
        <v>3</v>
      </c>
    </row>
    <row r="4058" spans="1:68">
      <c r="A4058">
        <v>64297799</v>
      </c>
      <c r="B4058">
        <v>64297799</v>
      </c>
      <c r="C4058" t="s">
        <v>7018</v>
      </c>
      <c r="E4058" s="184"/>
      <c r="G4058" s="184"/>
      <c r="I4058" s="184"/>
      <c r="J4058" t="s">
        <v>595</v>
      </c>
      <c r="K4058" s="184">
        <v>42522</v>
      </c>
      <c r="M4058" s="184"/>
      <c r="P4058" t="s">
        <v>7045</v>
      </c>
      <c r="Q4058" t="s">
        <v>7020</v>
      </c>
      <c r="R4058" s="184">
        <v>18872</v>
      </c>
      <c r="S4058">
        <v>72</v>
      </c>
      <c r="U4058" t="s">
        <v>7076</v>
      </c>
      <c r="V4058" t="s">
        <v>30197</v>
      </c>
      <c r="X4058" t="s">
        <v>30198</v>
      </c>
      <c r="Z4058">
        <v>100136736</v>
      </c>
      <c r="AA4058" t="s">
        <v>7031</v>
      </c>
      <c r="AB4058" t="s">
        <v>3393</v>
      </c>
      <c r="AD4058" t="s">
        <v>30199</v>
      </c>
      <c r="AF4058" t="s">
        <v>6275</v>
      </c>
      <c r="AG4058" t="s">
        <v>30200</v>
      </c>
      <c r="AI4058" t="s">
        <v>30201</v>
      </c>
      <c r="AM4058" t="s">
        <v>3004</v>
      </c>
      <c r="AN4058" t="s">
        <v>2112</v>
      </c>
      <c r="AO4058" t="s">
        <v>30202</v>
      </c>
      <c r="AP4058" t="s">
        <v>7024</v>
      </c>
      <c r="AQ4058" t="s">
        <v>30203</v>
      </c>
      <c r="AT4058" s="184">
        <v>40529</v>
      </c>
      <c r="AU4058" t="s">
        <v>30189</v>
      </c>
      <c r="AV4058">
        <v>25</v>
      </c>
      <c r="AW4058" s="184">
        <v>42858</v>
      </c>
      <c r="AX4058" t="s">
        <v>30204</v>
      </c>
      <c r="AY4058">
        <v>1000</v>
      </c>
      <c r="AZ4058" s="184">
        <v>42858</v>
      </c>
      <c r="BA4058" t="s">
        <v>30204</v>
      </c>
      <c r="BB4058">
        <v>1000</v>
      </c>
      <c r="BC4058">
        <v>47</v>
      </c>
      <c r="BD4058">
        <v>1925</v>
      </c>
      <c r="BE4058">
        <v>2011</v>
      </c>
      <c r="BF4058">
        <v>8</v>
      </c>
      <c r="BI4058">
        <v>7</v>
      </c>
      <c r="BJ4058">
        <v>15</v>
      </c>
      <c r="BK4058">
        <v>4</v>
      </c>
    </row>
    <row r="4059" spans="1:68">
      <c r="A4059">
        <v>100136736</v>
      </c>
      <c r="B4059">
        <v>64297799</v>
      </c>
      <c r="C4059" t="s">
        <v>7018</v>
      </c>
      <c r="E4059" s="184"/>
      <c r="G4059" s="184"/>
      <c r="I4059" s="184"/>
      <c r="J4059" t="s">
        <v>595</v>
      </c>
      <c r="K4059" s="184">
        <v>42522</v>
      </c>
      <c r="M4059" s="184"/>
      <c r="O4059" s="184"/>
      <c r="P4059" t="s">
        <v>7045</v>
      </c>
      <c r="Q4059" t="s">
        <v>7020</v>
      </c>
      <c r="R4059" s="184">
        <v>18872</v>
      </c>
      <c r="S4059">
        <v>72</v>
      </c>
      <c r="U4059" t="s">
        <v>7031</v>
      </c>
      <c r="V4059" t="s">
        <v>3393</v>
      </c>
      <c r="X4059" t="s">
        <v>30199</v>
      </c>
      <c r="Z4059">
        <v>64297799</v>
      </c>
      <c r="AA4059" t="s">
        <v>7076</v>
      </c>
      <c r="AB4059" t="s">
        <v>30197</v>
      </c>
      <c r="AD4059" t="s">
        <v>30198</v>
      </c>
      <c r="AF4059" t="s">
        <v>6275</v>
      </c>
      <c r="AG4059" t="s">
        <v>30200</v>
      </c>
      <c r="AI4059" t="s">
        <v>30201</v>
      </c>
      <c r="AM4059" t="s">
        <v>3004</v>
      </c>
      <c r="AN4059" t="s">
        <v>2112</v>
      </c>
      <c r="AO4059" t="s">
        <v>30202</v>
      </c>
      <c r="AP4059" t="s">
        <v>7024</v>
      </c>
      <c r="AT4059" s="184"/>
      <c r="AW4059" s="184"/>
      <c r="AZ4059" s="184"/>
      <c r="BP4059" s="184"/>
    </row>
    <row r="4060" spans="1:68">
      <c r="A4060">
        <v>64337124</v>
      </c>
      <c r="B4060">
        <v>64337124</v>
      </c>
      <c r="C4060" t="s">
        <v>7018</v>
      </c>
      <c r="E4060" s="184"/>
      <c r="G4060" s="184"/>
      <c r="I4060" s="184"/>
      <c r="J4060" t="s">
        <v>595</v>
      </c>
      <c r="K4060" s="184">
        <v>42514</v>
      </c>
      <c r="M4060" s="184"/>
      <c r="P4060" t="s">
        <v>7045</v>
      </c>
      <c r="Q4060" t="s">
        <v>7194</v>
      </c>
      <c r="R4060" s="184">
        <v>22627</v>
      </c>
      <c r="S4060">
        <v>62</v>
      </c>
      <c r="V4060" t="s">
        <v>3545</v>
      </c>
      <c r="X4060" t="s">
        <v>30205</v>
      </c>
      <c r="AF4060" t="s">
        <v>6421</v>
      </c>
      <c r="AG4060" t="s">
        <v>3545</v>
      </c>
      <c r="AI4060" t="s">
        <v>30206</v>
      </c>
      <c r="AM4060" t="s">
        <v>4187</v>
      </c>
      <c r="AN4060" t="s">
        <v>2046</v>
      </c>
      <c r="AO4060" t="s">
        <v>30207</v>
      </c>
      <c r="AP4060" t="s">
        <v>7024</v>
      </c>
      <c r="AQ4060" t="s">
        <v>30208</v>
      </c>
      <c r="AR4060" t="s">
        <v>30209</v>
      </c>
      <c r="AT4060" s="184">
        <v>40532</v>
      </c>
      <c r="AU4060" t="s">
        <v>30210</v>
      </c>
      <c r="AV4060">
        <v>15</v>
      </c>
      <c r="AW4060" s="184">
        <v>45124</v>
      </c>
      <c r="AX4060" t="s">
        <v>7832</v>
      </c>
      <c r="AY4060">
        <v>25</v>
      </c>
      <c r="AZ4060" s="184">
        <v>44561</v>
      </c>
      <c r="BA4060" t="s">
        <v>30211</v>
      </c>
      <c r="BB4060">
        <v>40</v>
      </c>
      <c r="BC4060">
        <v>94</v>
      </c>
      <c r="BD4060">
        <v>1275</v>
      </c>
      <c r="BE4060">
        <v>2011</v>
      </c>
      <c r="BF4060">
        <v>152</v>
      </c>
      <c r="BG4060">
        <v>1</v>
      </c>
      <c r="BH4060">
        <v>25</v>
      </c>
      <c r="BI4060">
        <v>14</v>
      </c>
      <c r="BJ4060">
        <v>15</v>
      </c>
      <c r="BK4060">
        <v>14</v>
      </c>
    </row>
    <row r="4061" spans="1:68">
      <c r="A4061">
        <v>64338577</v>
      </c>
      <c r="B4061">
        <v>64338577</v>
      </c>
      <c r="C4061" t="s">
        <v>7018</v>
      </c>
      <c r="D4061" t="s">
        <v>595</v>
      </c>
      <c r="E4061" s="184">
        <v>44070</v>
      </c>
      <c r="G4061" s="184"/>
      <c r="I4061" s="184"/>
      <c r="K4061" s="184"/>
      <c r="M4061" s="184"/>
      <c r="P4061" t="s">
        <v>7045</v>
      </c>
      <c r="Q4061" t="s">
        <v>7383</v>
      </c>
      <c r="R4061" s="184">
        <v>18172</v>
      </c>
      <c r="S4061">
        <v>74</v>
      </c>
      <c r="V4061" t="s">
        <v>3504</v>
      </c>
      <c r="X4061" t="s">
        <v>30212</v>
      </c>
      <c r="AF4061" t="s">
        <v>30213</v>
      </c>
      <c r="AG4061" t="s">
        <v>3504</v>
      </c>
      <c r="AI4061" t="s">
        <v>30214</v>
      </c>
      <c r="AM4061" t="s">
        <v>5106</v>
      </c>
      <c r="AN4061" t="s">
        <v>2072</v>
      </c>
      <c r="AO4061" t="s">
        <v>30215</v>
      </c>
      <c r="AP4061" t="s">
        <v>7024</v>
      </c>
      <c r="AQ4061" t="s">
        <v>30216</v>
      </c>
      <c r="AT4061" s="184">
        <v>40532</v>
      </c>
      <c r="AU4061" t="s">
        <v>30217</v>
      </c>
      <c r="AV4061">
        <v>15</v>
      </c>
      <c r="AW4061" s="184">
        <v>45369</v>
      </c>
      <c r="AX4061" t="s">
        <v>8797</v>
      </c>
      <c r="AY4061">
        <v>100</v>
      </c>
      <c r="AZ4061" s="184">
        <v>45369</v>
      </c>
      <c r="BA4061" t="s">
        <v>8797</v>
      </c>
      <c r="BB4061">
        <v>100</v>
      </c>
      <c r="BC4061">
        <v>100</v>
      </c>
      <c r="BD4061">
        <v>1430</v>
      </c>
      <c r="BE4061">
        <v>2011</v>
      </c>
      <c r="BF4061">
        <v>22</v>
      </c>
      <c r="BG4061">
        <v>2</v>
      </c>
      <c r="BH4061">
        <v>200</v>
      </c>
      <c r="BI4061">
        <v>15</v>
      </c>
      <c r="BJ4061">
        <v>15</v>
      </c>
      <c r="BK4061">
        <v>15</v>
      </c>
      <c r="BP4061" s="184"/>
    </row>
    <row r="4062" spans="1:68">
      <c r="A4062">
        <v>64361116</v>
      </c>
      <c r="B4062">
        <v>64361116</v>
      </c>
      <c r="C4062" t="s">
        <v>7018</v>
      </c>
      <c r="D4062" t="s">
        <v>595</v>
      </c>
      <c r="E4062" s="184">
        <v>44455</v>
      </c>
      <c r="G4062" s="184"/>
      <c r="I4062" s="184"/>
      <c r="K4062" s="184"/>
      <c r="M4062" s="184"/>
      <c r="P4062" t="s">
        <v>7045</v>
      </c>
      <c r="Q4062" t="s">
        <v>7020</v>
      </c>
      <c r="R4062" s="184">
        <v>15655</v>
      </c>
      <c r="S4062">
        <v>81</v>
      </c>
      <c r="U4062" t="s">
        <v>7031</v>
      </c>
      <c r="V4062" t="s">
        <v>2687</v>
      </c>
      <c r="X4062" t="s">
        <v>30218</v>
      </c>
      <c r="AF4062" t="s">
        <v>30219</v>
      </c>
      <c r="AG4062" t="s">
        <v>2687</v>
      </c>
      <c r="AI4062" t="s">
        <v>30220</v>
      </c>
      <c r="AM4062" t="s">
        <v>4497</v>
      </c>
      <c r="AN4062" t="s">
        <v>2052</v>
      </c>
      <c r="AO4062" t="s">
        <v>30221</v>
      </c>
      <c r="AP4062" t="s">
        <v>7024</v>
      </c>
      <c r="AQ4062" t="s">
        <v>30222</v>
      </c>
      <c r="AR4062" t="s">
        <v>30223</v>
      </c>
      <c r="AT4062" s="184">
        <v>40533</v>
      </c>
      <c r="AU4062" t="s">
        <v>30224</v>
      </c>
      <c r="AV4062">
        <v>15</v>
      </c>
      <c r="AW4062" s="184">
        <v>43131</v>
      </c>
      <c r="AX4062" t="s">
        <v>22228</v>
      </c>
      <c r="AY4062">
        <v>25</v>
      </c>
      <c r="AZ4062" s="184">
        <v>41330</v>
      </c>
      <c r="BA4062" t="s">
        <v>30225</v>
      </c>
      <c r="BB4062">
        <v>60</v>
      </c>
      <c r="BC4062">
        <v>40</v>
      </c>
      <c r="BD4062">
        <v>175</v>
      </c>
      <c r="BE4062">
        <v>2011</v>
      </c>
      <c r="BF4062">
        <v>6</v>
      </c>
      <c r="BI4062">
        <v>6</v>
      </c>
      <c r="BJ4062">
        <v>15</v>
      </c>
      <c r="BK4062">
        <v>3</v>
      </c>
      <c r="BP4062" s="184"/>
    </row>
    <row r="4063" spans="1:68">
      <c r="A4063">
        <v>64371578</v>
      </c>
      <c r="B4063">
        <v>64371578</v>
      </c>
      <c r="C4063" t="s">
        <v>7018</v>
      </c>
      <c r="E4063" s="184"/>
      <c r="G4063" s="184"/>
      <c r="I4063" s="184"/>
      <c r="J4063" t="s">
        <v>595</v>
      </c>
      <c r="K4063" s="184">
        <v>44452</v>
      </c>
      <c r="M4063" s="184"/>
      <c r="P4063" t="s">
        <v>7029</v>
      </c>
      <c r="Q4063" t="s">
        <v>7494</v>
      </c>
      <c r="R4063" s="184">
        <v>17746</v>
      </c>
      <c r="S4063">
        <v>75</v>
      </c>
      <c r="U4063" t="s">
        <v>7076</v>
      </c>
      <c r="V4063" t="s">
        <v>30226</v>
      </c>
      <c r="X4063" t="s">
        <v>30227</v>
      </c>
      <c r="Z4063">
        <v>100136820</v>
      </c>
      <c r="AA4063" t="s">
        <v>7031</v>
      </c>
      <c r="AB4063" t="s">
        <v>2832</v>
      </c>
      <c r="AC4063" t="s">
        <v>7246</v>
      </c>
      <c r="AD4063" t="s">
        <v>30228</v>
      </c>
      <c r="AE4063" t="s">
        <v>28048</v>
      </c>
      <c r="AF4063" t="s">
        <v>30229</v>
      </c>
      <c r="AG4063" t="s">
        <v>30230</v>
      </c>
      <c r="AI4063" t="s">
        <v>30231</v>
      </c>
      <c r="AM4063" t="s">
        <v>3371</v>
      </c>
      <c r="AN4063" t="s">
        <v>2174</v>
      </c>
      <c r="AO4063" t="s">
        <v>30232</v>
      </c>
      <c r="AP4063" t="s">
        <v>7024</v>
      </c>
      <c r="AQ4063" t="s">
        <v>30233</v>
      </c>
      <c r="AT4063" s="184">
        <v>40534</v>
      </c>
      <c r="AU4063" t="s">
        <v>30234</v>
      </c>
      <c r="AV4063">
        <v>50</v>
      </c>
      <c r="AW4063" s="184">
        <v>45289</v>
      </c>
      <c r="AX4063" t="s">
        <v>7749</v>
      </c>
      <c r="AY4063">
        <v>2000</v>
      </c>
      <c r="AZ4063" s="184">
        <v>44561</v>
      </c>
      <c r="BA4063" t="s">
        <v>7867</v>
      </c>
      <c r="BB4063">
        <v>5000</v>
      </c>
      <c r="BC4063">
        <v>87</v>
      </c>
      <c r="BD4063">
        <v>27050</v>
      </c>
      <c r="BE4063">
        <v>2011</v>
      </c>
      <c r="BF4063">
        <v>19</v>
      </c>
      <c r="BG4063">
        <v>2</v>
      </c>
      <c r="BH4063">
        <v>3000</v>
      </c>
      <c r="BI4063">
        <v>13</v>
      </c>
      <c r="BJ4063">
        <v>15</v>
      </c>
      <c r="BK4063">
        <v>7</v>
      </c>
      <c r="BP4063" s="184"/>
    </row>
    <row r="4064" spans="1:68">
      <c r="A4064">
        <v>100136820</v>
      </c>
      <c r="B4064">
        <v>64371578</v>
      </c>
      <c r="C4064" t="s">
        <v>7018</v>
      </c>
      <c r="E4064" s="184"/>
      <c r="G4064" s="184"/>
      <c r="I4064" s="184"/>
      <c r="J4064" t="s">
        <v>595</v>
      </c>
      <c r="K4064" s="184">
        <v>44452</v>
      </c>
      <c r="M4064" s="184"/>
      <c r="O4064" s="184"/>
      <c r="P4064" t="s">
        <v>7029</v>
      </c>
      <c r="Q4064" t="s">
        <v>7494</v>
      </c>
      <c r="R4064" s="184">
        <v>14837</v>
      </c>
      <c r="S4064">
        <v>83</v>
      </c>
      <c r="U4064" t="s">
        <v>7031</v>
      </c>
      <c r="V4064" t="s">
        <v>2832</v>
      </c>
      <c r="W4064" t="s">
        <v>7246</v>
      </c>
      <c r="X4064" t="s">
        <v>30228</v>
      </c>
      <c r="Y4064" t="s">
        <v>28048</v>
      </c>
      <c r="Z4064">
        <v>64371578</v>
      </c>
      <c r="AA4064" t="s">
        <v>7076</v>
      </c>
      <c r="AB4064" t="s">
        <v>30226</v>
      </c>
      <c r="AD4064" t="s">
        <v>30227</v>
      </c>
      <c r="AF4064" t="s">
        <v>30229</v>
      </c>
      <c r="AG4064" t="s">
        <v>30230</v>
      </c>
      <c r="AI4064" t="s">
        <v>30231</v>
      </c>
      <c r="AM4064" t="s">
        <v>3371</v>
      </c>
      <c r="AN4064" t="s">
        <v>2174</v>
      </c>
      <c r="AO4064" t="s">
        <v>30232</v>
      </c>
      <c r="AP4064" t="s">
        <v>7024</v>
      </c>
      <c r="AT4064" s="184"/>
      <c r="AW4064" s="184"/>
      <c r="AZ4064" s="184"/>
    </row>
    <row r="4065" spans="1:68">
      <c r="A4065">
        <v>64457377</v>
      </c>
      <c r="B4065">
        <v>64457377</v>
      </c>
      <c r="C4065" t="s">
        <v>7018</v>
      </c>
      <c r="D4065" t="s">
        <v>595</v>
      </c>
      <c r="E4065" s="184">
        <v>44167</v>
      </c>
      <c r="G4065" s="184"/>
      <c r="I4065" s="184"/>
      <c r="K4065" s="184"/>
      <c r="M4065" s="184"/>
      <c r="P4065" t="s">
        <v>7045</v>
      </c>
      <c r="Q4065" t="s">
        <v>7030</v>
      </c>
      <c r="R4065" s="184">
        <v>16322</v>
      </c>
      <c r="S4065">
        <v>79</v>
      </c>
      <c r="U4065" t="s">
        <v>7031</v>
      </c>
      <c r="V4065" t="s">
        <v>4502</v>
      </c>
      <c r="W4065" t="s">
        <v>2551</v>
      </c>
      <c r="X4065" t="s">
        <v>3318</v>
      </c>
      <c r="AF4065" t="s">
        <v>30235</v>
      </c>
      <c r="AG4065" t="s">
        <v>4502</v>
      </c>
      <c r="AI4065" t="s">
        <v>30236</v>
      </c>
      <c r="AM4065" t="s">
        <v>3601</v>
      </c>
      <c r="AN4065" t="s">
        <v>2201</v>
      </c>
      <c r="AO4065" t="s">
        <v>30237</v>
      </c>
      <c r="AP4065" t="s">
        <v>7024</v>
      </c>
      <c r="AQ4065" t="s">
        <v>30238</v>
      </c>
      <c r="AR4065" t="s">
        <v>30239</v>
      </c>
      <c r="AT4065" s="184">
        <v>40539</v>
      </c>
      <c r="AU4065" t="s">
        <v>22391</v>
      </c>
      <c r="AV4065">
        <v>100</v>
      </c>
      <c r="AW4065" s="184">
        <v>45202</v>
      </c>
      <c r="AX4065" t="s">
        <v>7168</v>
      </c>
      <c r="AY4065">
        <v>100</v>
      </c>
      <c r="AZ4065" s="184">
        <v>45202</v>
      </c>
      <c r="BA4065" t="s">
        <v>7168</v>
      </c>
      <c r="BB4065">
        <v>100</v>
      </c>
      <c r="BC4065">
        <v>54</v>
      </c>
      <c r="BD4065">
        <v>1000</v>
      </c>
      <c r="BE4065">
        <v>2011</v>
      </c>
      <c r="BF4065">
        <v>11</v>
      </c>
      <c r="BG4065">
        <v>2</v>
      </c>
      <c r="BH4065">
        <v>200</v>
      </c>
      <c r="BI4065">
        <v>8</v>
      </c>
      <c r="BJ4065">
        <v>15</v>
      </c>
      <c r="BK4065">
        <v>2</v>
      </c>
      <c r="BP4065" s="184"/>
    </row>
    <row r="4066" spans="1:68">
      <c r="A4066">
        <v>64458573</v>
      </c>
      <c r="B4066">
        <v>64458573</v>
      </c>
      <c r="C4066" t="s">
        <v>7018</v>
      </c>
      <c r="E4066" s="184"/>
      <c r="G4066" s="184"/>
      <c r="I4066" s="184"/>
      <c r="J4066" t="s">
        <v>595</v>
      </c>
      <c r="K4066" s="184">
        <v>43670</v>
      </c>
      <c r="P4066" t="s">
        <v>7045</v>
      </c>
      <c r="Q4066" t="s">
        <v>7374</v>
      </c>
      <c r="R4066" s="184">
        <v>15683</v>
      </c>
      <c r="S4066">
        <v>81</v>
      </c>
      <c r="U4066" t="s">
        <v>7076</v>
      </c>
      <c r="V4066" t="s">
        <v>3672</v>
      </c>
      <c r="W4066" t="s">
        <v>3431</v>
      </c>
      <c r="X4066" t="s">
        <v>3645</v>
      </c>
      <c r="AF4066" t="s">
        <v>6228</v>
      </c>
      <c r="AG4066" t="s">
        <v>3672</v>
      </c>
      <c r="AI4066" t="s">
        <v>30240</v>
      </c>
      <c r="AM4066" t="s">
        <v>3673</v>
      </c>
      <c r="AN4066" t="s">
        <v>2081</v>
      </c>
      <c r="AO4066" t="s">
        <v>30241</v>
      </c>
      <c r="AP4066" t="s">
        <v>7024</v>
      </c>
      <c r="AQ4066" t="s">
        <v>30242</v>
      </c>
      <c r="AT4066" s="184">
        <v>40540</v>
      </c>
      <c r="AU4066" t="s">
        <v>29436</v>
      </c>
      <c r="AV4066">
        <v>100</v>
      </c>
      <c r="AW4066" s="184">
        <v>45269</v>
      </c>
      <c r="AX4066" t="s">
        <v>9159</v>
      </c>
      <c r="AY4066">
        <v>525</v>
      </c>
      <c r="AZ4066" s="184">
        <v>45269</v>
      </c>
      <c r="BA4066" t="s">
        <v>9159</v>
      </c>
      <c r="BB4066">
        <v>525</v>
      </c>
      <c r="BC4066">
        <v>87</v>
      </c>
      <c r="BD4066">
        <v>4475</v>
      </c>
      <c r="BE4066">
        <v>2011</v>
      </c>
      <c r="BF4066">
        <v>18</v>
      </c>
      <c r="BG4066">
        <v>2</v>
      </c>
      <c r="BH4066">
        <v>925</v>
      </c>
      <c r="BI4066">
        <v>13</v>
      </c>
      <c r="BJ4066">
        <v>15</v>
      </c>
      <c r="BK4066">
        <v>10</v>
      </c>
    </row>
    <row r="4067" spans="1:68">
      <c r="A4067">
        <v>64463375</v>
      </c>
      <c r="B4067">
        <v>64463375</v>
      </c>
      <c r="C4067" t="s">
        <v>7018</v>
      </c>
      <c r="E4067" s="184"/>
      <c r="G4067" s="184"/>
      <c r="I4067" s="184"/>
      <c r="J4067" t="s">
        <v>595</v>
      </c>
      <c r="K4067" s="184">
        <v>43879</v>
      </c>
      <c r="M4067" s="184"/>
      <c r="O4067" s="184"/>
      <c r="P4067" t="s">
        <v>7045</v>
      </c>
      <c r="Q4067" t="s">
        <v>7374</v>
      </c>
      <c r="R4067" s="184">
        <v>18203</v>
      </c>
      <c r="S4067">
        <v>74</v>
      </c>
      <c r="U4067" t="s">
        <v>7076</v>
      </c>
      <c r="V4067" t="s">
        <v>2795</v>
      </c>
      <c r="X4067" t="s">
        <v>2796</v>
      </c>
      <c r="AF4067" t="s">
        <v>6242</v>
      </c>
      <c r="AG4067" t="s">
        <v>2795</v>
      </c>
      <c r="AI4067" t="s">
        <v>30243</v>
      </c>
      <c r="AM4067" t="s">
        <v>2797</v>
      </c>
      <c r="AN4067" t="s">
        <v>2081</v>
      </c>
      <c r="AO4067" t="s">
        <v>30244</v>
      </c>
      <c r="AP4067" t="s">
        <v>7024</v>
      </c>
      <c r="AQ4067" t="s">
        <v>30245</v>
      </c>
      <c r="AR4067" t="s">
        <v>30246</v>
      </c>
      <c r="AT4067" s="184">
        <v>40542</v>
      </c>
      <c r="AU4067" t="s">
        <v>21273</v>
      </c>
      <c r="AV4067">
        <v>50</v>
      </c>
      <c r="AW4067" s="184">
        <v>45314</v>
      </c>
      <c r="AX4067" t="s">
        <v>13610</v>
      </c>
      <c r="AY4067">
        <v>400</v>
      </c>
      <c r="AZ4067" s="184">
        <v>45314</v>
      </c>
      <c r="BA4067" t="s">
        <v>13610</v>
      </c>
      <c r="BB4067">
        <v>400</v>
      </c>
      <c r="BC4067">
        <v>94</v>
      </c>
      <c r="BD4067">
        <v>3575</v>
      </c>
      <c r="BE4067">
        <v>2011</v>
      </c>
      <c r="BF4067">
        <v>14</v>
      </c>
      <c r="BG4067">
        <v>2</v>
      </c>
      <c r="BH4067">
        <v>750</v>
      </c>
      <c r="BI4067">
        <v>14</v>
      </c>
      <c r="BJ4067">
        <v>15</v>
      </c>
      <c r="BK4067">
        <v>13</v>
      </c>
      <c r="BN4067" t="s">
        <v>595</v>
      </c>
    </row>
    <row r="4068" spans="1:68">
      <c r="A4068">
        <v>64475379</v>
      </c>
      <c r="B4068">
        <v>64475379</v>
      </c>
      <c r="C4068" t="s">
        <v>7018</v>
      </c>
      <c r="D4068" t="s">
        <v>595</v>
      </c>
      <c r="E4068" s="184">
        <v>44065</v>
      </c>
      <c r="G4068" s="184"/>
      <c r="H4068" t="s">
        <v>595</v>
      </c>
      <c r="I4068" s="184">
        <v>44065</v>
      </c>
      <c r="K4068" s="184"/>
      <c r="M4068" s="184"/>
      <c r="P4068" t="s">
        <v>7045</v>
      </c>
      <c r="Q4068" t="s">
        <v>7383</v>
      </c>
      <c r="R4068" s="184">
        <v>15455</v>
      </c>
      <c r="S4068">
        <v>82</v>
      </c>
      <c r="U4068" t="s">
        <v>7031</v>
      </c>
      <c r="V4068" t="s">
        <v>4845</v>
      </c>
      <c r="W4068" t="s">
        <v>7246</v>
      </c>
      <c r="X4068" t="s">
        <v>2706</v>
      </c>
      <c r="AF4068" t="s">
        <v>30247</v>
      </c>
      <c r="AG4068" t="s">
        <v>4845</v>
      </c>
      <c r="AI4068" t="s">
        <v>30248</v>
      </c>
      <c r="AM4068" t="s">
        <v>3030</v>
      </c>
      <c r="AN4068" t="s">
        <v>2072</v>
      </c>
      <c r="AO4068" t="s">
        <v>30249</v>
      </c>
      <c r="AP4068" t="s">
        <v>7024</v>
      </c>
      <c r="AQ4068" t="s">
        <v>30250</v>
      </c>
      <c r="AR4068" t="s">
        <v>30251</v>
      </c>
      <c r="AT4068" s="184">
        <v>40543</v>
      </c>
      <c r="AU4068" t="s">
        <v>22391</v>
      </c>
      <c r="AV4068">
        <v>25</v>
      </c>
      <c r="AW4068" s="184">
        <v>45372</v>
      </c>
      <c r="AX4068" t="s">
        <v>23747</v>
      </c>
      <c r="AY4068">
        <v>36.75</v>
      </c>
      <c r="AZ4068" s="184">
        <v>45372</v>
      </c>
      <c r="BA4068" t="s">
        <v>23747</v>
      </c>
      <c r="BB4068">
        <v>36.75</v>
      </c>
      <c r="BC4068">
        <v>100</v>
      </c>
      <c r="BD4068">
        <v>688.5</v>
      </c>
      <c r="BE4068">
        <v>2011</v>
      </c>
      <c r="BF4068">
        <v>23</v>
      </c>
      <c r="BG4068">
        <v>5</v>
      </c>
      <c r="BH4068">
        <v>178.5</v>
      </c>
      <c r="BI4068">
        <v>15</v>
      </c>
      <c r="BJ4068">
        <v>15</v>
      </c>
      <c r="BK4068">
        <v>15</v>
      </c>
      <c r="BP4068" s="184"/>
    </row>
    <row r="4069" spans="1:68">
      <c r="A4069">
        <v>64507304</v>
      </c>
      <c r="B4069">
        <v>64507304</v>
      </c>
      <c r="C4069" t="s">
        <v>7018</v>
      </c>
      <c r="E4069" s="184"/>
      <c r="G4069" s="184"/>
      <c r="I4069" s="184"/>
      <c r="J4069" t="s">
        <v>595</v>
      </c>
      <c r="K4069" s="184">
        <v>44167</v>
      </c>
      <c r="M4069" s="184"/>
      <c r="O4069" s="184"/>
      <c r="P4069" t="s">
        <v>7045</v>
      </c>
      <c r="Q4069" t="s">
        <v>7194</v>
      </c>
      <c r="R4069" s="184">
        <v>17838</v>
      </c>
      <c r="S4069">
        <v>75</v>
      </c>
      <c r="U4069" t="s">
        <v>7031</v>
      </c>
      <c r="V4069" t="s">
        <v>30252</v>
      </c>
      <c r="X4069" t="s">
        <v>11324</v>
      </c>
      <c r="AF4069" t="s">
        <v>30253</v>
      </c>
      <c r="AG4069" t="s">
        <v>30252</v>
      </c>
      <c r="AI4069" t="s">
        <v>30254</v>
      </c>
      <c r="AM4069" t="s">
        <v>25121</v>
      </c>
      <c r="AN4069" t="s">
        <v>2046</v>
      </c>
      <c r="AO4069" t="s">
        <v>30255</v>
      </c>
      <c r="AP4069" t="s">
        <v>7024</v>
      </c>
      <c r="AQ4069" t="s">
        <v>30256</v>
      </c>
      <c r="AT4069" s="184">
        <v>40547</v>
      </c>
      <c r="AU4069" t="s">
        <v>30257</v>
      </c>
      <c r="AV4069">
        <v>25</v>
      </c>
      <c r="AW4069" s="184">
        <v>45283</v>
      </c>
      <c r="AX4069" t="s">
        <v>7152</v>
      </c>
      <c r="AY4069">
        <v>50</v>
      </c>
      <c r="AZ4069" s="184">
        <v>45283</v>
      </c>
      <c r="BA4069" t="s">
        <v>7152</v>
      </c>
      <c r="BB4069">
        <v>50</v>
      </c>
      <c r="BC4069">
        <v>79</v>
      </c>
      <c r="BD4069">
        <v>600</v>
      </c>
      <c r="BE4069">
        <v>2011</v>
      </c>
      <c r="BF4069">
        <v>13</v>
      </c>
      <c r="BG4069">
        <v>1</v>
      </c>
      <c r="BH4069">
        <v>50</v>
      </c>
      <c r="BI4069">
        <v>11</v>
      </c>
      <c r="BJ4069">
        <v>14</v>
      </c>
      <c r="BK4069">
        <v>4</v>
      </c>
      <c r="BP4069" s="184"/>
    </row>
    <row r="4070" spans="1:68">
      <c r="A4070">
        <v>64508161</v>
      </c>
      <c r="B4070">
        <v>64508161</v>
      </c>
      <c r="C4070" t="s">
        <v>7018</v>
      </c>
      <c r="E4070" s="184"/>
      <c r="G4070" s="184"/>
      <c r="I4070" s="184"/>
      <c r="J4070" t="s">
        <v>595</v>
      </c>
      <c r="K4070" s="184">
        <v>45132</v>
      </c>
      <c r="M4070" s="184"/>
      <c r="O4070" s="184"/>
      <c r="P4070" t="s">
        <v>7045</v>
      </c>
      <c r="Q4070" t="s">
        <v>7020</v>
      </c>
      <c r="R4070" s="184">
        <v>18354</v>
      </c>
      <c r="S4070">
        <v>74</v>
      </c>
      <c r="V4070" t="s">
        <v>2718</v>
      </c>
      <c r="X4070" t="s">
        <v>30258</v>
      </c>
      <c r="AF4070" t="s">
        <v>30259</v>
      </c>
      <c r="AG4070" t="s">
        <v>2718</v>
      </c>
      <c r="AI4070" t="s">
        <v>30260</v>
      </c>
      <c r="AM4070" t="s">
        <v>12208</v>
      </c>
      <c r="AN4070" t="s">
        <v>2255</v>
      </c>
      <c r="AO4070" t="s">
        <v>30261</v>
      </c>
      <c r="AP4070" t="s">
        <v>7024</v>
      </c>
      <c r="AQ4070" t="s">
        <v>30262</v>
      </c>
      <c r="AT4070" s="184">
        <v>40547</v>
      </c>
      <c r="AU4070" t="s">
        <v>30263</v>
      </c>
      <c r="AV4070">
        <v>15</v>
      </c>
      <c r="AW4070" s="184">
        <v>43817</v>
      </c>
      <c r="AX4070" t="s">
        <v>25789</v>
      </c>
      <c r="AY4070">
        <v>25</v>
      </c>
      <c r="AZ4070" s="184">
        <v>43817</v>
      </c>
      <c r="BA4070" t="s">
        <v>25789</v>
      </c>
      <c r="BB4070">
        <v>25</v>
      </c>
      <c r="BC4070">
        <v>43</v>
      </c>
      <c r="BD4070">
        <v>135</v>
      </c>
      <c r="BE4070">
        <v>2011</v>
      </c>
      <c r="BF4070">
        <v>7</v>
      </c>
      <c r="BI4070">
        <v>6</v>
      </c>
      <c r="BJ4070">
        <v>14</v>
      </c>
      <c r="BK4070">
        <v>3</v>
      </c>
      <c r="BP4070" s="184"/>
    </row>
    <row r="4071" spans="1:68">
      <c r="A4071">
        <v>64509292</v>
      </c>
      <c r="B4071">
        <v>64509292</v>
      </c>
      <c r="C4071" t="s">
        <v>7018</v>
      </c>
      <c r="D4071" t="s">
        <v>595</v>
      </c>
      <c r="E4071" s="184">
        <v>44070</v>
      </c>
      <c r="G4071" s="184"/>
      <c r="I4071" s="184"/>
      <c r="K4071" s="184"/>
      <c r="M4071" s="184"/>
      <c r="O4071" s="184"/>
      <c r="P4071" t="s">
        <v>7045</v>
      </c>
      <c r="Q4071" t="s">
        <v>7383</v>
      </c>
      <c r="R4071" s="184">
        <v>13210</v>
      </c>
      <c r="S4071">
        <v>88</v>
      </c>
      <c r="U4071" t="s">
        <v>7076</v>
      </c>
      <c r="V4071" t="s">
        <v>3400</v>
      </c>
      <c r="X4071" t="s">
        <v>30264</v>
      </c>
      <c r="AF4071" t="s">
        <v>30265</v>
      </c>
      <c r="AG4071" t="s">
        <v>3400</v>
      </c>
      <c r="AI4071" t="s">
        <v>30266</v>
      </c>
      <c r="AM4071" t="s">
        <v>2830</v>
      </c>
      <c r="AN4071" t="s">
        <v>2185</v>
      </c>
      <c r="AO4071" t="s">
        <v>30267</v>
      </c>
      <c r="AP4071" t="s">
        <v>7024</v>
      </c>
      <c r="AQ4071" t="s">
        <v>30268</v>
      </c>
      <c r="AR4071" t="s">
        <v>30269</v>
      </c>
      <c r="AT4071" s="184">
        <v>40547</v>
      </c>
      <c r="AU4071" t="s">
        <v>18048</v>
      </c>
      <c r="AV4071">
        <v>25</v>
      </c>
      <c r="AW4071" s="184">
        <v>45041</v>
      </c>
      <c r="AX4071" t="s">
        <v>9859</v>
      </c>
      <c r="AY4071">
        <v>55</v>
      </c>
      <c r="AZ4071" s="184">
        <v>43237</v>
      </c>
      <c r="BA4071" t="s">
        <v>30270</v>
      </c>
      <c r="BB4071">
        <v>85</v>
      </c>
      <c r="BC4071">
        <v>93</v>
      </c>
      <c r="BD4071">
        <v>1290</v>
      </c>
      <c r="BE4071">
        <v>2011</v>
      </c>
      <c r="BF4071">
        <v>26</v>
      </c>
      <c r="BG4071">
        <v>2</v>
      </c>
      <c r="BH4071">
        <v>110</v>
      </c>
      <c r="BI4071">
        <v>13</v>
      </c>
      <c r="BJ4071">
        <v>14</v>
      </c>
      <c r="BK4071">
        <v>13</v>
      </c>
      <c r="BP4071" s="184"/>
    </row>
    <row r="4072" spans="1:68">
      <c r="A4072">
        <v>64509391</v>
      </c>
      <c r="B4072">
        <v>64509391</v>
      </c>
      <c r="C4072" t="s">
        <v>7018</v>
      </c>
      <c r="D4072" t="s">
        <v>595</v>
      </c>
      <c r="E4072" s="184">
        <v>44073</v>
      </c>
      <c r="I4072" s="184"/>
      <c r="K4072" s="184"/>
      <c r="O4072" s="184"/>
      <c r="P4072" t="s">
        <v>7045</v>
      </c>
      <c r="Q4072" t="s">
        <v>7262</v>
      </c>
      <c r="R4072" s="184">
        <v>15220</v>
      </c>
      <c r="S4072">
        <v>82</v>
      </c>
      <c r="U4072" t="s">
        <v>7130</v>
      </c>
      <c r="V4072" t="s">
        <v>4330</v>
      </c>
      <c r="X4072" t="s">
        <v>30271</v>
      </c>
      <c r="AF4072" t="s">
        <v>30272</v>
      </c>
      <c r="AG4072" t="s">
        <v>4330</v>
      </c>
      <c r="AI4072" t="s">
        <v>30273</v>
      </c>
      <c r="AM4072" t="s">
        <v>2987</v>
      </c>
      <c r="AN4072" t="s">
        <v>2106</v>
      </c>
      <c r="AO4072" t="s">
        <v>30274</v>
      </c>
      <c r="AP4072" t="s">
        <v>7024</v>
      </c>
      <c r="AQ4072" t="s">
        <v>30275</v>
      </c>
      <c r="AT4072" s="184">
        <v>40547</v>
      </c>
      <c r="AU4072" t="s">
        <v>30276</v>
      </c>
      <c r="AV4072">
        <v>25</v>
      </c>
      <c r="AW4072" s="184">
        <v>45408</v>
      </c>
      <c r="AX4072" t="s">
        <v>8483</v>
      </c>
      <c r="AY4072">
        <v>20</v>
      </c>
      <c r="AZ4072" s="184">
        <v>44029</v>
      </c>
      <c r="BA4072" t="s">
        <v>30277</v>
      </c>
      <c r="BB4072">
        <v>35</v>
      </c>
      <c r="BC4072">
        <v>100</v>
      </c>
      <c r="BD4072">
        <v>2070</v>
      </c>
      <c r="BE4072">
        <v>2011</v>
      </c>
      <c r="BF4072">
        <v>157</v>
      </c>
      <c r="BG4072">
        <v>24</v>
      </c>
      <c r="BH4072">
        <v>480</v>
      </c>
      <c r="BI4072">
        <v>14</v>
      </c>
      <c r="BJ4072">
        <v>14</v>
      </c>
      <c r="BK4072">
        <v>14</v>
      </c>
      <c r="BP4072" s="184"/>
    </row>
    <row r="4073" spans="1:68">
      <c r="A4073">
        <v>64592595</v>
      </c>
      <c r="B4073">
        <v>64592595</v>
      </c>
      <c r="C4073" t="s">
        <v>7018</v>
      </c>
      <c r="D4073" t="s">
        <v>595</v>
      </c>
      <c r="E4073" s="184">
        <v>45145</v>
      </c>
      <c r="G4073" s="184"/>
      <c r="I4073" s="184"/>
      <c r="K4073" s="184"/>
      <c r="M4073" s="184"/>
      <c r="O4073" s="184"/>
      <c r="P4073" t="s">
        <v>7045</v>
      </c>
      <c r="Q4073" t="s">
        <v>7262</v>
      </c>
      <c r="R4073" s="184">
        <v>23065</v>
      </c>
      <c r="S4073">
        <v>61</v>
      </c>
      <c r="V4073" t="s">
        <v>3898</v>
      </c>
      <c r="X4073" t="s">
        <v>15625</v>
      </c>
      <c r="AF4073" t="s">
        <v>30278</v>
      </c>
      <c r="AG4073" t="s">
        <v>3898</v>
      </c>
      <c r="AI4073" t="s">
        <v>30279</v>
      </c>
      <c r="AM4073" t="s">
        <v>3425</v>
      </c>
      <c r="AN4073" t="s">
        <v>2069</v>
      </c>
      <c r="AO4073" t="s">
        <v>30280</v>
      </c>
      <c r="AP4073" t="s">
        <v>7024</v>
      </c>
      <c r="AT4073" s="184">
        <v>40553</v>
      </c>
      <c r="AU4073" t="s">
        <v>30281</v>
      </c>
      <c r="AV4073">
        <v>50</v>
      </c>
      <c r="AW4073" s="184">
        <v>45217</v>
      </c>
      <c r="AX4073" t="s">
        <v>28983</v>
      </c>
      <c r="AY4073">
        <v>75</v>
      </c>
      <c r="AZ4073" s="184">
        <v>44760</v>
      </c>
      <c r="BA4073" t="s">
        <v>28087</v>
      </c>
      <c r="BB4073">
        <v>100</v>
      </c>
      <c r="BC4073">
        <v>79</v>
      </c>
      <c r="BD4073">
        <v>1125</v>
      </c>
      <c r="BE4073">
        <v>2011</v>
      </c>
      <c r="BF4073">
        <v>14</v>
      </c>
      <c r="BG4073">
        <v>3</v>
      </c>
      <c r="BH4073">
        <v>225</v>
      </c>
      <c r="BI4073">
        <v>11</v>
      </c>
      <c r="BJ4073">
        <v>14</v>
      </c>
      <c r="BK4073">
        <v>10</v>
      </c>
      <c r="BP4073" s="184"/>
    </row>
    <row r="4074" spans="1:68">
      <c r="A4074">
        <v>64617376</v>
      </c>
      <c r="B4074">
        <v>64617376</v>
      </c>
      <c r="C4074" t="s">
        <v>7018</v>
      </c>
      <c r="D4074" t="s">
        <v>595</v>
      </c>
      <c r="E4074" s="184">
        <v>44070</v>
      </c>
      <c r="G4074" s="184"/>
      <c r="I4074" s="184"/>
      <c r="K4074" s="184"/>
      <c r="M4074" s="184"/>
      <c r="O4074" s="184"/>
      <c r="P4074" t="s">
        <v>7045</v>
      </c>
      <c r="Q4074" t="s">
        <v>7262</v>
      </c>
      <c r="R4074" s="184">
        <v>16945</v>
      </c>
      <c r="S4074">
        <v>77</v>
      </c>
      <c r="V4074" t="s">
        <v>2863</v>
      </c>
      <c r="X4074" t="s">
        <v>30282</v>
      </c>
      <c r="AF4074" t="s">
        <v>30283</v>
      </c>
      <c r="AG4074" t="s">
        <v>2863</v>
      </c>
      <c r="AI4074" t="s">
        <v>30284</v>
      </c>
      <c r="AM4074" t="s">
        <v>9941</v>
      </c>
      <c r="AN4074" t="s">
        <v>2106</v>
      </c>
      <c r="AO4074" t="s">
        <v>30285</v>
      </c>
      <c r="AP4074" t="s">
        <v>7024</v>
      </c>
      <c r="AQ4074" t="s">
        <v>30286</v>
      </c>
      <c r="AT4074" s="184">
        <v>40554</v>
      </c>
      <c r="AU4074" t="s">
        <v>30287</v>
      </c>
      <c r="AV4074">
        <v>25</v>
      </c>
      <c r="AW4074" s="184">
        <v>45142</v>
      </c>
      <c r="AX4074" t="s">
        <v>7245</v>
      </c>
      <c r="AY4074">
        <v>50</v>
      </c>
      <c r="AZ4074" s="184">
        <v>43839</v>
      </c>
      <c r="BA4074" t="s">
        <v>20371</v>
      </c>
      <c r="BB4074">
        <v>87</v>
      </c>
      <c r="BC4074">
        <v>86</v>
      </c>
      <c r="BD4074">
        <v>567</v>
      </c>
      <c r="BE4074">
        <v>2011</v>
      </c>
      <c r="BF4074">
        <v>14</v>
      </c>
      <c r="BG4074">
        <v>2</v>
      </c>
      <c r="BH4074">
        <v>100</v>
      </c>
      <c r="BI4074">
        <v>12</v>
      </c>
      <c r="BJ4074">
        <v>14</v>
      </c>
      <c r="BK4074">
        <v>6</v>
      </c>
      <c r="BP4074" s="184"/>
    </row>
    <row r="4075" spans="1:68">
      <c r="A4075">
        <v>64706781</v>
      </c>
      <c r="B4075">
        <v>64706781</v>
      </c>
      <c r="C4075" t="s">
        <v>7018</v>
      </c>
      <c r="E4075" s="184"/>
      <c r="G4075" s="184"/>
      <c r="H4075" t="s">
        <v>595</v>
      </c>
      <c r="I4075" s="184">
        <v>44350</v>
      </c>
      <c r="K4075" s="184"/>
      <c r="M4075" s="184"/>
      <c r="P4075" t="s">
        <v>7045</v>
      </c>
      <c r="Q4075" t="s">
        <v>7194</v>
      </c>
      <c r="R4075" s="184">
        <v>13996</v>
      </c>
      <c r="S4075">
        <v>86</v>
      </c>
      <c r="V4075" t="s">
        <v>3431</v>
      </c>
      <c r="X4075" t="s">
        <v>4527</v>
      </c>
      <c r="AF4075" t="s">
        <v>30288</v>
      </c>
      <c r="AG4075" t="s">
        <v>3431</v>
      </c>
      <c r="AI4075" t="s">
        <v>30289</v>
      </c>
      <c r="AM4075" t="s">
        <v>5097</v>
      </c>
      <c r="AN4075" t="s">
        <v>2046</v>
      </c>
      <c r="AO4075" t="s">
        <v>30290</v>
      </c>
      <c r="AP4075" t="s">
        <v>7024</v>
      </c>
      <c r="AQ4075" t="s">
        <v>30291</v>
      </c>
      <c r="AT4075" s="184">
        <v>40556</v>
      </c>
      <c r="AU4075" t="s">
        <v>30292</v>
      </c>
      <c r="AV4075">
        <v>25</v>
      </c>
      <c r="AW4075" s="184">
        <v>45223</v>
      </c>
      <c r="AX4075" t="s">
        <v>30293</v>
      </c>
      <c r="AY4075">
        <v>25</v>
      </c>
      <c r="AZ4075" s="184">
        <v>45223</v>
      </c>
      <c r="BA4075" t="s">
        <v>30293</v>
      </c>
      <c r="BB4075">
        <v>25</v>
      </c>
      <c r="BC4075">
        <v>79</v>
      </c>
      <c r="BD4075">
        <v>315</v>
      </c>
      <c r="BE4075">
        <v>2011</v>
      </c>
      <c r="BF4075">
        <v>16</v>
      </c>
      <c r="BG4075">
        <v>1</v>
      </c>
      <c r="BH4075">
        <v>25</v>
      </c>
      <c r="BI4075">
        <v>11</v>
      </c>
      <c r="BJ4075">
        <v>14</v>
      </c>
      <c r="BK4075">
        <v>7</v>
      </c>
      <c r="BP4075" s="184"/>
    </row>
    <row r="4076" spans="1:68">
      <c r="A4076">
        <v>64771652</v>
      </c>
      <c r="B4076">
        <v>64771652</v>
      </c>
      <c r="C4076" t="s">
        <v>7018</v>
      </c>
      <c r="E4076" s="184"/>
      <c r="G4076" s="184"/>
      <c r="I4076" s="184"/>
      <c r="J4076" t="s">
        <v>595</v>
      </c>
      <c r="K4076" s="184">
        <v>41921</v>
      </c>
      <c r="M4076" s="184"/>
      <c r="P4076" t="s">
        <v>7045</v>
      </c>
      <c r="Q4076" t="s">
        <v>7374</v>
      </c>
      <c r="R4076" s="184">
        <v>25072</v>
      </c>
      <c r="S4076">
        <v>55</v>
      </c>
      <c r="U4076" t="s">
        <v>7032</v>
      </c>
      <c r="V4076" t="s">
        <v>10491</v>
      </c>
      <c r="W4076" t="s">
        <v>3332</v>
      </c>
      <c r="X4076" t="s">
        <v>30294</v>
      </c>
      <c r="AF4076" t="s">
        <v>6612</v>
      </c>
      <c r="AG4076" t="s">
        <v>10491</v>
      </c>
      <c r="AI4076" t="s">
        <v>30295</v>
      </c>
      <c r="AM4076" t="s">
        <v>30296</v>
      </c>
      <c r="AN4076" t="s">
        <v>2081</v>
      </c>
      <c r="AO4076" t="s">
        <v>30297</v>
      </c>
      <c r="AP4076" t="s">
        <v>7024</v>
      </c>
      <c r="AQ4076" t="s">
        <v>30298</v>
      </c>
      <c r="AR4076" t="s">
        <v>30299</v>
      </c>
      <c r="AT4076" s="184">
        <v>40561</v>
      </c>
      <c r="AU4076" t="s">
        <v>30300</v>
      </c>
      <c r="AV4076">
        <v>50</v>
      </c>
      <c r="AW4076" s="184">
        <v>45019</v>
      </c>
      <c r="AX4076" t="s">
        <v>30301</v>
      </c>
      <c r="AY4076">
        <v>50</v>
      </c>
      <c r="AZ4076" s="184">
        <v>43947</v>
      </c>
      <c r="BA4076" t="s">
        <v>15776</v>
      </c>
      <c r="BB4076">
        <v>100</v>
      </c>
      <c r="BC4076">
        <v>58</v>
      </c>
      <c r="BD4076">
        <v>460</v>
      </c>
      <c r="BE4076">
        <v>2011</v>
      </c>
      <c r="BF4076">
        <v>11</v>
      </c>
      <c r="BG4076">
        <v>1</v>
      </c>
      <c r="BH4076">
        <v>50</v>
      </c>
      <c r="BI4076">
        <v>8</v>
      </c>
      <c r="BJ4076">
        <v>14</v>
      </c>
      <c r="BK4076">
        <v>4</v>
      </c>
      <c r="BP4076" s="184"/>
    </row>
    <row r="4077" spans="1:68">
      <c r="A4077">
        <v>64772775</v>
      </c>
      <c r="B4077">
        <v>64772775</v>
      </c>
      <c r="C4077" t="s">
        <v>7018</v>
      </c>
      <c r="D4077" t="s">
        <v>595</v>
      </c>
      <c r="E4077" s="184">
        <v>45196</v>
      </c>
      <c r="G4077" s="184"/>
      <c r="I4077" s="184"/>
      <c r="K4077" s="184"/>
      <c r="M4077" s="184"/>
      <c r="P4077" t="s">
        <v>7029</v>
      </c>
      <c r="Q4077" t="s">
        <v>7454</v>
      </c>
      <c r="R4077" s="184">
        <v>25853</v>
      </c>
      <c r="S4077">
        <v>53</v>
      </c>
      <c r="U4077" t="s">
        <v>7031</v>
      </c>
      <c r="V4077" t="s">
        <v>3246</v>
      </c>
      <c r="W4077" t="s">
        <v>4139</v>
      </c>
      <c r="X4077" t="s">
        <v>30302</v>
      </c>
      <c r="AF4077" t="s">
        <v>30303</v>
      </c>
      <c r="AG4077" t="s">
        <v>3246</v>
      </c>
      <c r="AI4077" t="s">
        <v>30304</v>
      </c>
      <c r="AM4077" t="s">
        <v>5780</v>
      </c>
      <c r="AN4077" t="s">
        <v>2055</v>
      </c>
      <c r="AO4077" t="s">
        <v>30305</v>
      </c>
      <c r="AP4077" t="s">
        <v>7024</v>
      </c>
      <c r="AQ4077" t="s">
        <v>30306</v>
      </c>
      <c r="AR4077" t="s">
        <v>30307</v>
      </c>
      <c r="AT4077" s="184">
        <v>40561</v>
      </c>
      <c r="AU4077" t="s">
        <v>30308</v>
      </c>
      <c r="AV4077">
        <v>25</v>
      </c>
      <c r="AW4077" s="184">
        <v>45363</v>
      </c>
      <c r="AX4077" t="s">
        <v>12392</v>
      </c>
      <c r="AY4077">
        <v>100</v>
      </c>
      <c r="AZ4077" s="184">
        <v>45363</v>
      </c>
      <c r="BA4077" t="s">
        <v>12392</v>
      </c>
      <c r="BB4077">
        <v>100</v>
      </c>
      <c r="BC4077">
        <v>93</v>
      </c>
      <c r="BD4077">
        <v>4525</v>
      </c>
      <c r="BE4077">
        <v>2011</v>
      </c>
      <c r="BF4077">
        <v>61</v>
      </c>
      <c r="BG4077">
        <v>15</v>
      </c>
      <c r="BH4077">
        <v>1500</v>
      </c>
      <c r="BI4077">
        <v>13</v>
      </c>
      <c r="BJ4077">
        <v>14</v>
      </c>
      <c r="BK4077">
        <v>12</v>
      </c>
      <c r="BN4077" t="s">
        <v>595</v>
      </c>
      <c r="BP4077" s="184"/>
    </row>
    <row r="4078" spans="1:68">
      <c r="A4078">
        <v>64820939</v>
      </c>
      <c r="B4078">
        <v>64820939</v>
      </c>
      <c r="C4078" t="s">
        <v>7018</v>
      </c>
      <c r="D4078" t="s">
        <v>595</v>
      </c>
      <c r="E4078" s="184">
        <v>44438</v>
      </c>
      <c r="G4078" s="184"/>
      <c r="I4078" s="184"/>
      <c r="K4078" s="184"/>
      <c r="M4078" s="184"/>
      <c r="O4078" s="184"/>
      <c r="P4078" t="s">
        <v>7045</v>
      </c>
      <c r="Q4078" t="s">
        <v>7030</v>
      </c>
      <c r="R4078" s="184">
        <v>14012</v>
      </c>
      <c r="S4078">
        <v>86</v>
      </c>
      <c r="U4078" t="s">
        <v>7031</v>
      </c>
      <c r="V4078" t="s">
        <v>15927</v>
      </c>
      <c r="W4078" t="s">
        <v>4139</v>
      </c>
      <c r="X4078" t="s">
        <v>3348</v>
      </c>
      <c r="AF4078" t="s">
        <v>30309</v>
      </c>
      <c r="AG4078" t="s">
        <v>15927</v>
      </c>
      <c r="AI4078" t="s">
        <v>30310</v>
      </c>
      <c r="AM4078" t="s">
        <v>4424</v>
      </c>
      <c r="AN4078" t="s">
        <v>2089</v>
      </c>
      <c r="AO4078" t="s">
        <v>30311</v>
      </c>
      <c r="AP4078" t="s">
        <v>7024</v>
      </c>
      <c r="AQ4078" t="s">
        <v>30312</v>
      </c>
      <c r="AR4078" t="s">
        <v>30313</v>
      </c>
      <c r="AT4078" s="184">
        <v>40562</v>
      </c>
      <c r="AU4078" t="s">
        <v>30314</v>
      </c>
      <c r="AV4078">
        <v>15</v>
      </c>
      <c r="AW4078" s="184">
        <v>45244</v>
      </c>
      <c r="AX4078" t="s">
        <v>8112</v>
      </c>
      <c r="AY4078">
        <v>25</v>
      </c>
      <c r="AZ4078" s="184">
        <v>45244</v>
      </c>
      <c r="BA4078" t="s">
        <v>8112</v>
      </c>
      <c r="BB4078">
        <v>25</v>
      </c>
      <c r="BC4078">
        <v>65</v>
      </c>
      <c r="BD4078">
        <v>255</v>
      </c>
      <c r="BE4078">
        <v>2011</v>
      </c>
      <c r="BF4078">
        <v>17</v>
      </c>
      <c r="BG4078">
        <v>3</v>
      </c>
      <c r="BH4078">
        <v>75</v>
      </c>
      <c r="BI4078">
        <v>9</v>
      </c>
      <c r="BJ4078">
        <v>14</v>
      </c>
      <c r="BK4078">
        <v>7</v>
      </c>
      <c r="BP4078" s="184"/>
    </row>
    <row r="4079" spans="1:68">
      <c r="A4079">
        <v>64821184</v>
      </c>
      <c r="B4079">
        <v>64821184</v>
      </c>
      <c r="C4079" t="s">
        <v>7018</v>
      </c>
      <c r="D4079" t="s">
        <v>595</v>
      </c>
      <c r="E4079" s="184">
        <v>44484</v>
      </c>
      <c r="G4079" s="184"/>
      <c r="I4079" s="184"/>
      <c r="K4079" s="184"/>
      <c r="M4079" s="184"/>
      <c r="O4079" s="184"/>
      <c r="P4079" t="s">
        <v>7045</v>
      </c>
      <c r="Q4079" t="s">
        <v>7383</v>
      </c>
      <c r="R4079" s="184">
        <v>18111</v>
      </c>
      <c r="S4079">
        <v>74</v>
      </c>
      <c r="V4079" t="s">
        <v>2733</v>
      </c>
      <c r="X4079" t="s">
        <v>30315</v>
      </c>
      <c r="AF4079" t="s">
        <v>30316</v>
      </c>
      <c r="AG4079" t="s">
        <v>2733</v>
      </c>
      <c r="AI4079" t="s">
        <v>30317</v>
      </c>
      <c r="AM4079" t="s">
        <v>9941</v>
      </c>
      <c r="AN4079" t="s">
        <v>2144</v>
      </c>
      <c r="AO4079" t="s">
        <v>30318</v>
      </c>
      <c r="AP4079" t="s">
        <v>7024</v>
      </c>
      <c r="AQ4079" t="s">
        <v>30319</v>
      </c>
      <c r="AR4079" t="s">
        <v>30320</v>
      </c>
      <c r="AT4079" s="184">
        <v>40562</v>
      </c>
      <c r="AU4079" t="s">
        <v>30321</v>
      </c>
      <c r="AV4079">
        <v>25</v>
      </c>
      <c r="AW4079" s="184">
        <v>44533</v>
      </c>
      <c r="AX4079" t="s">
        <v>30322</v>
      </c>
      <c r="AY4079">
        <v>50</v>
      </c>
      <c r="AZ4079" s="184">
        <v>41596</v>
      </c>
      <c r="BA4079" t="s">
        <v>30323</v>
      </c>
      <c r="BB4079">
        <v>60</v>
      </c>
      <c r="BC4079">
        <v>58</v>
      </c>
      <c r="BD4079">
        <v>410</v>
      </c>
      <c r="BE4079">
        <v>2011</v>
      </c>
      <c r="BF4079">
        <v>9</v>
      </c>
      <c r="BI4079">
        <v>8</v>
      </c>
      <c r="BJ4079">
        <v>14</v>
      </c>
      <c r="BK4079">
        <v>4</v>
      </c>
      <c r="BP4079" s="184"/>
    </row>
    <row r="4080" spans="1:68">
      <c r="A4080">
        <v>64839384</v>
      </c>
      <c r="B4080">
        <v>64839384</v>
      </c>
      <c r="C4080" t="s">
        <v>7018</v>
      </c>
      <c r="E4080" s="184"/>
      <c r="G4080" s="184"/>
      <c r="I4080" s="184"/>
      <c r="J4080" t="s">
        <v>595</v>
      </c>
      <c r="K4080" s="184">
        <v>43691</v>
      </c>
      <c r="M4080" s="184"/>
      <c r="O4080" s="184"/>
      <c r="P4080" t="s">
        <v>7045</v>
      </c>
      <c r="Q4080" t="s">
        <v>7020</v>
      </c>
      <c r="R4080" s="184">
        <v>9438</v>
      </c>
      <c r="S4080">
        <v>98</v>
      </c>
      <c r="V4080" t="s">
        <v>3722</v>
      </c>
      <c r="X4080" t="s">
        <v>3723</v>
      </c>
      <c r="Z4080">
        <v>100137198</v>
      </c>
      <c r="AB4080" t="s">
        <v>3554</v>
      </c>
      <c r="AD4080" t="s">
        <v>3723</v>
      </c>
      <c r="AF4080" t="s">
        <v>6456</v>
      </c>
      <c r="AG4080" t="s">
        <v>30324</v>
      </c>
      <c r="AI4080" t="s">
        <v>30325</v>
      </c>
      <c r="AM4080" t="s">
        <v>3724</v>
      </c>
      <c r="AN4080" t="s">
        <v>2112</v>
      </c>
      <c r="AO4080" t="s">
        <v>30326</v>
      </c>
      <c r="AP4080" t="s">
        <v>7024</v>
      </c>
      <c r="AT4080" s="184">
        <v>40563</v>
      </c>
      <c r="AU4080" t="s">
        <v>30327</v>
      </c>
      <c r="AV4080">
        <v>15</v>
      </c>
      <c r="AW4080" s="184">
        <v>45383</v>
      </c>
      <c r="AX4080" t="s">
        <v>20233</v>
      </c>
      <c r="AY4080">
        <v>100</v>
      </c>
      <c r="AZ4080" s="184">
        <v>45383</v>
      </c>
      <c r="BA4080" t="s">
        <v>20233</v>
      </c>
      <c r="BB4080">
        <v>100</v>
      </c>
      <c r="BC4080">
        <v>100</v>
      </c>
      <c r="BD4080">
        <v>1730</v>
      </c>
      <c r="BE4080">
        <v>2011</v>
      </c>
      <c r="BF4080">
        <v>30</v>
      </c>
      <c r="BG4080">
        <v>6</v>
      </c>
      <c r="BH4080">
        <v>600</v>
      </c>
      <c r="BI4080">
        <v>14</v>
      </c>
      <c r="BJ4080">
        <v>14</v>
      </c>
      <c r="BK4080">
        <v>14</v>
      </c>
      <c r="BP4080" s="184"/>
    </row>
    <row r="4081" spans="1:68">
      <c r="A4081">
        <v>100137198</v>
      </c>
      <c r="B4081">
        <v>64839384</v>
      </c>
      <c r="C4081" t="s">
        <v>7018</v>
      </c>
      <c r="E4081" s="184"/>
      <c r="G4081" s="184"/>
      <c r="I4081" s="184"/>
      <c r="J4081" t="s">
        <v>595</v>
      </c>
      <c r="K4081" s="184">
        <v>43691</v>
      </c>
      <c r="O4081" s="184"/>
      <c r="P4081" t="s">
        <v>7045</v>
      </c>
      <c r="Q4081" t="s">
        <v>7020</v>
      </c>
      <c r="R4081" s="184">
        <v>8493</v>
      </c>
      <c r="S4081">
        <v>101</v>
      </c>
      <c r="V4081" t="s">
        <v>3554</v>
      </c>
      <c r="X4081" t="s">
        <v>3723</v>
      </c>
      <c r="Z4081">
        <v>64839384</v>
      </c>
      <c r="AB4081" t="s">
        <v>3722</v>
      </c>
      <c r="AD4081" t="s">
        <v>3723</v>
      </c>
      <c r="AF4081" t="s">
        <v>6456</v>
      </c>
      <c r="AG4081" t="s">
        <v>30324</v>
      </c>
      <c r="AI4081" t="s">
        <v>30325</v>
      </c>
      <c r="AM4081" t="s">
        <v>3724</v>
      </c>
      <c r="AN4081" t="s">
        <v>2112</v>
      </c>
      <c r="AO4081" t="s">
        <v>30326</v>
      </c>
      <c r="AP4081" t="s">
        <v>7024</v>
      </c>
      <c r="AT4081" s="184"/>
      <c r="AW4081" s="184"/>
      <c r="AZ4081" s="184"/>
      <c r="BP4081" s="184"/>
    </row>
    <row r="4082" spans="1:68">
      <c r="A4082">
        <v>64852007</v>
      </c>
      <c r="B4082">
        <v>64852007</v>
      </c>
      <c r="C4082" t="s">
        <v>7018</v>
      </c>
      <c r="D4082" t="s">
        <v>595</v>
      </c>
      <c r="E4082" s="184">
        <v>45120</v>
      </c>
      <c r="G4082" s="184"/>
      <c r="I4082" s="184"/>
      <c r="K4082" s="184"/>
      <c r="M4082" s="184"/>
      <c r="O4082" s="184"/>
      <c r="P4082" t="s">
        <v>7045</v>
      </c>
      <c r="Q4082" t="s">
        <v>7383</v>
      </c>
      <c r="R4082" s="184">
        <v>16970</v>
      </c>
      <c r="S4082">
        <v>77</v>
      </c>
      <c r="V4082" t="s">
        <v>30328</v>
      </c>
      <c r="X4082" t="s">
        <v>5792</v>
      </c>
      <c r="AF4082" t="s">
        <v>30329</v>
      </c>
      <c r="AG4082" t="s">
        <v>30328</v>
      </c>
      <c r="AI4082" t="s">
        <v>30330</v>
      </c>
      <c r="AM4082" t="s">
        <v>30331</v>
      </c>
      <c r="AN4082" t="s">
        <v>2072</v>
      </c>
      <c r="AO4082" t="s">
        <v>30332</v>
      </c>
      <c r="AP4082" t="s">
        <v>7024</v>
      </c>
      <c r="AQ4082" t="s">
        <v>30333</v>
      </c>
      <c r="AR4082" t="s">
        <v>30334</v>
      </c>
      <c r="AT4082" s="184">
        <v>40564</v>
      </c>
      <c r="AU4082" t="s">
        <v>30335</v>
      </c>
      <c r="AV4082">
        <v>15</v>
      </c>
      <c r="AW4082" s="184">
        <v>44418</v>
      </c>
      <c r="AX4082" t="s">
        <v>30336</v>
      </c>
      <c r="AY4082">
        <v>20</v>
      </c>
      <c r="AZ4082" s="184">
        <v>40828</v>
      </c>
      <c r="BA4082" t="s">
        <v>30337</v>
      </c>
      <c r="BB4082">
        <v>60</v>
      </c>
      <c r="BC4082">
        <v>36</v>
      </c>
      <c r="BD4082">
        <v>215</v>
      </c>
      <c r="BE4082">
        <v>2011</v>
      </c>
      <c r="BF4082">
        <v>12</v>
      </c>
      <c r="BI4082">
        <v>5</v>
      </c>
      <c r="BJ4082">
        <v>14</v>
      </c>
      <c r="BK4082">
        <v>2</v>
      </c>
      <c r="BP4082" s="184"/>
    </row>
    <row r="4083" spans="1:68">
      <c r="A4083">
        <v>64881196</v>
      </c>
      <c r="B4083">
        <v>64881196</v>
      </c>
      <c r="C4083" t="s">
        <v>7018</v>
      </c>
      <c r="D4083" t="s">
        <v>595</v>
      </c>
      <c r="E4083" s="184">
        <v>44070</v>
      </c>
      <c r="G4083" s="184"/>
      <c r="I4083" s="184"/>
      <c r="K4083" s="184"/>
      <c r="M4083" s="184"/>
      <c r="P4083" t="s">
        <v>7045</v>
      </c>
      <c r="Q4083" t="s">
        <v>7383</v>
      </c>
      <c r="R4083" s="184">
        <v>20821</v>
      </c>
      <c r="S4083">
        <v>67</v>
      </c>
      <c r="V4083" t="s">
        <v>2602</v>
      </c>
      <c r="X4083" t="s">
        <v>30338</v>
      </c>
      <c r="AF4083" t="s">
        <v>30339</v>
      </c>
      <c r="AG4083" t="s">
        <v>2602</v>
      </c>
      <c r="AI4083" t="s">
        <v>30340</v>
      </c>
      <c r="AM4083" t="s">
        <v>3441</v>
      </c>
      <c r="AN4083" t="s">
        <v>2313</v>
      </c>
      <c r="AO4083" t="s">
        <v>30341</v>
      </c>
      <c r="AP4083" t="s">
        <v>7024</v>
      </c>
      <c r="AQ4083" t="s">
        <v>30342</v>
      </c>
      <c r="AT4083" s="184">
        <v>40567</v>
      </c>
      <c r="AU4083" t="s">
        <v>30343</v>
      </c>
      <c r="AV4083">
        <v>25</v>
      </c>
      <c r="AW4083" s="184">
        <v>45194</v>
      </c>
      <c r="AX4083" t="s">
        <v>28195</v>
      </c>
      <c r="AY4083">
        <v>50</v>
      </c>
      <c r="AZ4083" s="184">
        <v>43736</v>
      </c>
      <c r="BA4083" t="s">
        <v>30344</v>
      </c>
      <c r="BB4083">
        <v>55</v>
      </c>
      <c r="BC4083">
        <v>93</v>
      </c>
      <c r="BD4083">
        <v>750</v>
      </c>
      <c r="BE4083">
        <v>2011</v>
      </c>
      <c r="BF4083">
        <v>20</v>
      </c>
      <c r="BG4083">
        <v>5</v>
      </c>
      <c r="BH4083">
        <v>220</v>
      </c>
      <c r="BI4083">
        <v>13</v>
      </c>
      <c r="BJ4083">
        <v>14</v>
      </c>
      <c r="BK4083">
        <v>13</v>
      </c>
      <c r="BP4083" s="184"/>
    </row>
    <row r="4084" spans="1:68">
      <c r="A4084">
        <v>64889777</v>
      </c>
      <c r="B4084">
        <v>64889777</v>
      </c>
      <c r="C4084" t="s">
        <v>7018</v>
      </c>
      <c r="E4084" s="184"/>
      <c r="G4084" s="184"/>
      <c r="I4084" s="184"/>
      <c r="J4084" t="s">
        <v>595</v>
      </c>
      <c r="K4084" s="184">
        <v>44438</v>
      </c>
      <c r="M4084" s="184"/>
      <c r="O4084" s="184"/>
      <c r="P4084" t="s">
        <v>7084</v>
      </c>
      <c r="Q4084" t="s">
        <v>7160</v>
      </c>
      <c r="R4084" s="184">
        <v>12355</v>
      </c>
      <c r="S4084">
        <v>90</v>
      </c>
      <c r="U4084" t="s">
        <v>7032</v>
      </c>
      <c r="V4084" t="s">
        <v>3266</v>
      </c>
      <c r="X4084" t="s">
        <v>2732</v>
      </c>
      <c r="AF4084" t="s">
        <v>30345</v>
      </c>
      <c r="AG4084" t="s">
        <v>3266</v>
      </c>
      <c r="AI4084" t="s">
        <v>30346</v>
      </c>
      <c r="AJ4084" t="s">
        <v>30347</v>
      </c>
      <c r="AM4084" t="s">
        <v>3975</v>
      </c>
      <c r="AN4084" t="s">
        <v>2413</v>
      </c>
      <c r="AO4084" t="s">
        <v>30348</v>
      </c>
      <c r="AP4084" t="s">
        <v>7024</v>
      </c>
      <c r="AT4084" s="184">
        <v>40543</v>
      </c>
      <c r="AU4084" t="s">
        <v>15159</v>
      </c>
      <c r="AV4084">
        <v>1000</v>
      </c>
      <c r="AW4084" s="184">
        <v>45107</v>
      </c>
      <c r="AX4084" t="s">
        <v>7721</v>
      </c>
      <c r="AY4084">
        <v>78751.759999999995</v>
      </c>
      <c r="AZ4084" s="184">
        <v>45107</v>
      </c>
      <c r="BA4084" t="s">
        <v>7721</v>
      </c>
      <c r="BB4084">
        <v>78751.759999999995</v>
      </c>
      <c r="BC4084">
        <v>80</v>
      </c>
      <c r="BD4084">
        <v>104006.36</v>
      </c>
      <c r="BE4084">
        <v>2011</v>
      </c>
      <c r="BF4084">
        <v>19</v>
      </c>
      <c r="BG4084">
        <v>2</v>
      </c>
      <c r="BH4084">
        <v>83412.009999999995</v>
      </c>
      <c r="BI4084">
        <v>12</v>
      </c>
      <c r="BJ4084">
        <v>15</v>
      </c>
      <c r="BK4084">
        <v>5</v>
      </c>
      <c r="BN4084" t="s">
        <v>595</v>
      </c>
      <c r="BO4084" t="s">
        <v>595</v>
      </c>
      <c r="BP4084" s="184"/>
    </row>
    <row r="4085" spans="1:68">
      <c r="A4085">
        <v>64894942</v>
      </c>
      <c r="B4085">
        <v>64894942</v>
      </c>
      <c r="C4085" t="s">
        <v>7018</v>
      </c>
      <c r="D4085" t="s">
        <v>595</v>
      </c>
      <c r="E4085" s="184">
        <v>45119</v>
      </c>
      <c r="G4085" s="184"/>
      <c r="I4085" s="184"/>
      <c r="K4085" s="184"/>
      <c r="M4085" s="184"/>
      <c r="O4085" s="184"/>
      <c r="P4085" t="s">
        <v>7045</v>
      </c>
      <c r="Q4085" t="s">
        <v>7020</v>
      </c>
      <c r="R4085" s="184">
        <v>19694</v>
      </c>
      <c r="S4085">
        <v>70</v>
      </c>
      <c r="V4085" t="s">
        <v>3912</v>
      </c>
      <c r="X4085" t="s">
        <v>30349</v>
      </c>
      <c r="AF4085" t="s">
        <v>30350</v>
      </c>
      <c r="AG4085" t="s">
        <v>3912</v>
      </c>
      <c r="AI4085" t="s">
        <v>30351</v>
      </c>
      <c r="AM4085" t="s">
        <v>30352</v>
      </c>
      <c r="AN4085" t="s">
        <v>2112</v>
      </c>
      <c r="AO4085" t="s">
        <v>30353</v>
      </c>
      <c r="AP4085" t="s">
        <v>7024</v>
      </c>
      <c r="AQ4085" t="s">
        <v>30354</v>
      </c>
      <c r="AT4085" s="184">
        <v>40568</v>
      </c>
      <c r="AU4085" t="s">
        <v>30355</v>
      </c>
      <c r="AV4085">
        <v>25</v>
      </c>
      <c r="AW4085" s="184">
        <v>45391</v>
      </c>
      <c r="AX4085" t="s">
        <v>24145</v>
      </c>
      <c r="AY4085">
        <v>50</v>
      </c>
      <c r="AZ4085" s="184">
        <v>44790</v>
      </c>
      <c r="BA4085" t="s">
        <v>30356</v>
      </c>
      <c r="BB4085">
        <v>90</v>
      </c>
      <c r="BC4085">
        <v>65</v>
      </c>
      <c r="BD4085">
        <v>609</v>
      </c>
      <c r="BE4085">
        <v>2011</v>
      </c>
      <c r="BF4085">
        <v>11</v>
      </c>
      <c r="BG4085">
        <v>2</v>
      </c>
      <c r="BH4085">
        <v>140</v>
      </c>
      <c r="BI4085">
        <v>9</v>
      </c>
      <c r="BJ4085">
        <v>14</v>
      </c>
      <c r="BK4085">
        <v>5</v>
      </c>
      <c r="BP4085" s="184"/>
    </row>
    <row r="4086" spans="1:68">
      <c r="A4086">
        <v>64926975</v>
      </c>
      <c r="B4086">
        <v>64926975</v>
      </c>
      <c r="C4086" t="s">
        <v>7018</v>
      </c>
      <c r="E4086" s="184"/>
      <c r="I4086" s="184"/>
      <c r="J4086" t="s">
        <v>595</v>
      </c>
      <c r="K4086" s="184">
        <v>42815</v>
      </c>
      <c r="M4086" s="184"/>
      <c r="O4086" s="184"/>
      <c r="P4086" t="s">
        <v>7045</v>
      </c>
      <c r="Q4086" t="s">
        <v>7383</v>
      </c>
      <c r="R4086" s="184">
        <v>20515</v>
      </c>
      <c r="S4086">
        <v>68</v>
      </c>
      <c r="U4086" t="s">
        <v>7031</v>
      </c>
      <c r="V4086" t="s">
        <v>2665</v>
      </c>
      <c r="W4086" t="s">
        <v>4139</v>
      </c>
      <c r="X4086" t="s">
        <v>30357</v>
      </c>
      <c r="Z4086">
        <v>100183890</v>
      </c>
      <c r="AA4086" t="s">
        <v>7076</v>
      </c>
      <c r="AB4086" t="s">
        <v>3504</v>
      </c>
      <c r="AD4086" t="s">
        <v>30357</v>
      </c>
      <c r="AF4086" t="s">
        <v>30358</v>
      </c>
      <c r="AG4086" t="s">
        <v>2665</v>
      </c>
      <c r="AI4086" t="s">
        <v>30359</v>
      </c>
      <c r="AJ4086" t="s">
        <v>30360</v>
      </c>
      <c r="AM4086" t="s">
        <v>30361</v>
      </c>
      <c r="AN4086" t="s">
        <v>2185</v>
      </c>
      <c r="AO4086" t="s">
        <v>30362</v>
      </c>
      <c r="AP4086" t="s">
        <v>7024</v>
      </c>
      <c r="AQ4086" t="s">
        <v>30363</v>
      </c>
      <c r="AR4086" t="s">
        <v>30364</v>
      </c>
      <c r="AT4086" s="184">
        <v>40553</v>
      </c>
      <c r="AU4086" t="s">
        <v>30365</v>
      </c>
      <c r="AV4086">
        <v>19.95</v>
      </c>
      <c r="AW4086" s="184">
        <v>44916</v>
      </c>
      <c r="AX4086" t="s">
        <v>30366</v>
      </c>
      <c r="AY4086">
        <v>25</v>
      </c>
      <c r="AZ4086" s="184">
        <v>42807</v>
      </c>
      <c r="BA4086" t="s">
        <v>30367</v>
      </c>
      <c r="BB4086">
        <v>200</v>
      </c>
      <c r="BC4086">
        <v>36</v>
      </c>
      <c r="BD4086">
        <v>419.95</v>
      </c>
      <c r="BE4086">
        <v>2011</v>
      </c>
      <c r="BF4086">
        <v>6</v>
      </c>
      <c r="BG4086">
        <v>1</v>
      </c>
      <c r="BH4086">
        <v>25</v>
      </c>
      <c r="BI4086">
        <v>5</v>
      </c>
      <c r="BJ4086">
        <v>14</v>
      </c>
      <c r="BK4086">
        <v>2</v>
      </c>
      <c r="BN4086" t="s">
        <v>595</v>
      </c>
      <c r="BP4086" s="184"/>
    </row>
    <row r="4087" spans="1:68">
      <c r="A4087">
        <v>100183890</v>
      </c>
      <c r="B4087">
        <v>64926975</v>
      </c>
      <c r="C4087" t="s">
        <v>7018</v>
      </c>
      <c r="E4087" s="184"/>
      <c r="G4087" s="184"/>
      <c r="I4087" s="184"/>
      <c r="J4087" t="s">
        <v>595</v>
      </c>
      <c r="K4087" s="184">
        <v>42815</v>
      </c>
      <c r="M4087" s="184"/>
      <c r="O4087" s="184"/>
      <c r="P4087" t="s">
        <v>7045</v>
      </c>
      <c r="Q4087" t="s">
        <v>7383</v>
      </c>
      <c r="R4087" s="184">
        <v>20523</v>
      </c>
      <c r="S4087">
        <v>68</v>
      </c>
      <c r="U4087" t="s">
        <v>7076</v>
      </c>
      <c r="V4087" t="s">
        <v>3504</v>
      </c>
      <c r="X4087" t="s">
        <v>30357</v>
      </c>
      <c r="Z4087">
        <v>64926975</v>
      </c>
      <c r="AA4087" t="s">
        <v>7031</v>
      </c>
      <c r="AB4087" t="s">
        <v>2665</v>
      </c>
      <c r="AC4087" t="s">
        <v>4139</v>
      </c>
      <c r="AD4087" t="s">
        <v>30357</v>
      </c>
      <c r="AF4087" t="s">
        <v>30358</v>
      </c>
      <c r="AG4087" t="s">
        <v>2665</v>
      </c>
      <c r="AI4087" t="s">
        <v>30359</v>
      </c>
      <c r="AJ4087" t="s">
        <v>30360</v>
      </c>
      <c r="AM4087" t="s">
        <v>30361</v>
      </c>
      <c r="AN4087" t="s">
        <v>2185</v>
      </c>
      <c r="AO4087" t="s">
        <v>30362</v>
      </c>
      <c r="AP4087" t="s">
        <v>7024</v>
      </c>
      <c r="AT4087" s="184"/>
      <c r="AW4087" s="184"/>
      <c r="AZ4087" s="184"/>
      <c r="BO4087" t="s">
        <v>595</v>
      </c>
      <c r="BP4087" s="184">
        <v>42772</v>
      </c>
    </row>
    <row r="4088" spans="1:68">
      <c r="A4088">
        <v>65214173</v>
      </c>
      <c r="B4088">
        <v>65214173</v>
      </c>
      <c r="C4088" t="s">
        <v>7018</v>
      </c>
      <c r="E4088" s="184"/>
      <c r="G4088" s="184"/>
      <c r="H4088" t="s">
        <v>595</v>
      </c>
      <c r="I4088" s="184">
        <v>44167</v>
      </c>
      <c r="K4088" s="184"/>
      <c r="O4088" s="184"/>
      <c r="P4088" t="s">
        <v>7019</v>
      </c>
      <c r="Q4088" t="s">
        <v>7160</v>
      </c>
      <c r="R4088" s="184">
        <v>21732</v>
      </c>
      <c r="S4088">
        <v>64</v>
      </c>
      <c r="U4088" t="s">
        <v>7032</v>
      </c>
      <c r="V4088" t="s">
        <v>3550</v>
      </c>
      <c r="X4088" t="s">
        <v>15625</v>
      </c>
      <c r="AF4088" t="s">
        <v>30368</v>
      </c>
      <c r="AG4088" t="s">
        <v>3550</v>
      </c>
      <c r="AI4088" t="s">
        <v>30369</v>
      </c>
      <c r="AM4088" t="s">
        <v>30370</v>
      </c>
      <c r="AN4088" t="s">
        <v>2395</v>
      </c>
      <c r="AO4088" t="s">
        <v>30371</v>
      </c>
      <c r="AP4088" t="s">
        <v>7024</v>
      </c>
      <c r="AQ4088" t="s">
        <v>30372</v>
      </c>
      <c r="AR4088" t="s">
        <v>30373</v>
      </c>
      <c r="AT4088" s="184">
        <v>40596</v>
      </c>
      <c r="AU4088" t="s">
        <v>30374</v>
      </c>
      <c r="AV4088">
        <v>25</v>
      </c>
      <c r="AW4088" s="184">
        <v>45230</v>
      </c>
      <c r="AX4088" t="s">
        <v>9774</v>
      </c>
      <c r="AY4088">
        <v>60</v>
      </c>
      <c r="AZ4088" s="184">
        <v>42521</v>
      </c>
      <c r="BA4088" t="s">
        <v>30375</v>
      </c>
      <c r="BB4088">
        <v>135</v>
      </c>
      <c r="BC4088">
        <v>79</v>
      </c>
      <c r="BD4088">
        <v>832</v>
      </c>
      <c r="BE4088">
        <v>2011</v>
      </c>
      <c r="BF4088">
        <v>19</v>
      </c>
      <c r="BG4088">
        <v>1</v>
      </c>
      <c r="BH4088">
        <v>60</v>
      </c>
      <c r="BI4088">
        <v>11</v>
      </c>
      <c r="BJ4088">
        <v>14</v>
      </c>
      <c r="BK4088">
        <v>10</v>
      </c>
      <c r="BN4088" t="s">
        <v>595</v>
      </c>
      <c r="BP4088" s="184"/>
    </row>
    <row r="4089" spans="1:68">
      <c r="A4089">
        <v>65283574</v>
      </c>
      <c r="B4089">
        <v>65283574</v>
      </c>
      <c r="C4089" t="s">
        <v>7018</v>
      </c>
      <c r="D4089" t="s">
        <v>595</v>
      </c>
      <c r="E4089" s="184">
        <v>44073</v>
      </c>
      <c r="G4089" s="184"/>
      <c r="H4089" t="s">
        <v>595</v>
      </c>
      <c r="I4089" s="184">
        <v>44073</v>
      </c>
      <c r="K4089" s="184"/>
      <c r="O4089" s="184"/>
      <c r="P4089" t="s">
        <v>7045</v>
      </c>
      <c r="Q4089" t="s">
        <v>7020</v>
      </c>
      <c r="R4089" s="184">
        <v>15564</v>
      </c>
      <c r="S4089">
        <v>81</v>
      </c>
      <c r="V4089" t="s">
        <v>2982</v>
      </c>
      <c r="W4089" t="s">
        <v>4013</v>
      </c>
      <c r="X4089" t="s">
        <v>4946</v>
      </c>
      <c r="AF4089" t="s">
        <v>30376</v>
      </c>
      <c r="AG4089" t="s">
        <v>2982</v>
      </c>
      <c r="AI4089" t="s">
        <v>30377</v>
      </c>
      <c r="AM4089" t="s">
        <v>30378</v>
      </c>
      <c r="AN4089" t="s">
        <v>2129</v>
      </c>
      <c r="AO4089" t="s">
        <v>30379</v>
      </c>
      <c r="AP4089" t="s">
        <v>7024</v>
      </c>
      <c r="AQ4089" t="s">
        <v>30380</v>
      </c>
      <c r="AT4089" s="184">
        <v>40598</v>
      </c>
      <c r="AU4089" t="s">
        <v>30381</v>
      </c>
      <c r="AV4089">
        <v>50</v>
      </c>
      <c r="AW4089" s="184">
        <v>45323</v>
      </c>
      <c r="AX4089" t="s">
        <v>26283</v>
      </c>
      <c r="AY4089">
        <v>100</v>
      </c>
      <c r="AZ4089" s="184">
        <v>44438</v>
      </c>
      <c r="BA4089" t="s">
        <v>30382</v>
      </c>
      <c r="BB4089">
        <v>200</v>
      </c>
      <c r="BC4089">
        <v>86</v>
      </c>
      <c r="BD4089">
        <v>2175</v>
      </c>
      <c r="BE4089">
        <v>2011</v>
      </c>
      <c r="BF4089">
        <v>23</v>
      </c>
      <c r="BG4089">
        <v>6</v>
      </c>
      <c r="BH4089">
        <v>600</v>
      </c>
      <c r="BI4089">
        <v>12</v>
      </c>
      <c r="BJ4089">
        <v>14</v>
      </c>
      <c r="BK4089">
        <v>8</v>
      </c>
      <c r="BP4089" s="184"/>
    </row>
    <row r="4090" spans="1:68">
      <c r="A4090">
        <v>65323867</v>
      </c>
      <c r="B4090">
        <v>65323867</v>
      </c>
      <c r="C4090" t="s">
        <v>7018</v>
      </c>
      <c r="D4090" t="s">
        <v>595</v>
      </c>
      <c r="E4090" s="184">
        <v>45153</v>
      </c>
      <c r="G4090" s="184"/>
      <c r="I4090" s="184"/>
      <c r="K4090" s="184"/>
      <c r="M4090" s="184"/>
      <c r="O4090" s="184"/>
      <c r="P4090" t="s">
        <v>7045</v>
      </c>
      <c r="Q4090" t="s">
        <v>7494</v>
      </c>
      <c r="R4090" s="184">
        <v>24959</v>
      </c>
      <c r="S4090">
        <v>56</v>
      </c>
      <c r="V4090" t="s">
        <v>30383</v>
      </c>
      <c r="X4090" t="s">
        <v>30384</v>
      </c>
      <c r="AF4090" t="s">
        <v>30385</v>
      </c>
      <c r="AG4090" t="s">
        <v>30383</v>
      </c>
      <c r="AI4090" t="s">
        <v>30386</v>
      </c>
      <c r="AM4090" t="s">
        <v>11939</v>
      </c>
      <c r="AN4090" t="s">
        <v>2484</v>
      </c>
      <c r="AO4090" t="s">
        <v>30387</v>
      </c>
      <c r="AP4090" t="s">
        <v>7024</v>
      </c>
      <c r="AT4090" s="184">
        <v>40599</v>
      </c>
      <c r="AU4090" t="s">
        <v>30388</v>
      </c>
      <c r="AV4090">
        <v>15</v>
      </c>
      <c r="AW4090" s="184">
        <v>45330</v>
      </c>
      <c r="AX4090" t="s">
        <v>16666</v>
      </c>
      <c r="AY4090">
        <v>25</v>
      </c>
      <c r="AZ4090" s="184">
        <v>45330</v>
      </c>
      <c r="BA4090" t="s">
        <v>16666</v>
      </c>
      <c r="BB4090">
        <v>25</v>
      </c>
      <c r="BC4090">
        <v>50</v>
      </c>
      <c r="BD4090">
        <v>215</v>
      </c>
      <c r="BE4090">
        <v>2011</v>
      </c>
      <c r="BF4090">
        <v>9</v>
      </c>
      <c r="BG4090">
        <v>3</v>
      </c>
      <c r="BH4090">
        <v>75</v>
      </c>
      <c r="BI4090">
        <v>7</v>
      </c>
      <c r="BJ4090">
        <v>14</v>
      </c>
      <c r="BK4090">
        <v>3</v>
      </c>
      <c r="BP4090" s="184"/>
    </row>
    <row r="4091" spans="1:68">
      <c r="A4091">
        <v>65357600</v>
      </c>
      <c r="B4091">
        <v>65357600</v>
      </c>
      <c r="C4091" t="s">
        <v>7018</v>
      </c>
      <c r="D4091" t="s">
        <v>595</v>
      </c>
      <c r="E4091" s="184">
        <v>44070</v>
      </c>
      <c r="G4091" s="184"/>
      <c r="I4091" s="184"/>
      <c r="K4091" s="184"/>
      <c r="M4091" s="184"/>
      <c r="O4091" s="184"/>
      <c r="P4091" t="s">
        <v>7045</v>
      </c>
      <c r="Q4091" t="s">
        <v>7030</v>
      </c>
      <c r="R4091" s="184">
        <v>14025</v>
      </c>
      <c r="S4091">
        <v>85</v>
      </c>
      <c r="V4091" t="s">
        <v>3317</v>
      </c>
      <c r="X4091" t="s">
        <v>30389</v>
      </c>
      <c r="AF4091" t="s">
        <v>30390</v>
      </c>
      <c r="AG4091" t="s">
        <v>3317</v>
      </c>
      <c r="AI4091" t="s">
        <v>30391</v>
      </c>
      <c r="AM4091" t="s">
        <v>30392</v>
      </c>
      <c r="AN4091" t="s">
        <v>2094</v>
      </c>
      <c r="AO4091" t="s">
        <v>30393</v>
      </c>
      <c r="AP4091" t="s">
        <v>7024</v>
      </c>
      <c r="AQ4091" t="s">
        <v>30394</v>
      </c>
      <c r="AT4091" s="184">
        <v>40603</v>
      </c>
      <c r="AU4091" t="s">
        <v>30395</v>
      </c>
      <c r="AV4091">
        <v>100</v>
      </c>
      <c r="AW4091" s="184">
        <v>44862</v>
      </c>
      <c r="AX4091" t="s">
        <v>20305</v>
      </c>
      <c r="AY4091">
        <v>40</v>
      </c>
      <c r="AZ4091" s="184">
        <v>42425</v>
      </c>
      <c r="BA4091" t="s">
        <v>30396</v>
      </c>
      <c r="BB4091">
        <v>100</v>
      </c>
      <c r="BC4091">
        <v>86</v>
      </c>
      <c r="BD4091">
        <v>4440</v>
      </c>
      <c r="BE4091">
        <v>2011</v>
      </c>
      <c r="BF4091">
        <v>129</v>
      </c>
      <c r="BG4091">
        <v>7</v>
      </c>
      <c r="BH4091">
        <v>280</v>
      </c>
      <c r="BI4091">
        <v>12</v>
      </c>
      <c r="BJ4091">
        <v>14</v>
      </c>
      <c r="BK4091">
        <v>12</v>
      </c>
      <c r="BP4091" s="184"/>
    </row>
    <row r="4092" spans="1:68">
      <c r="A4092">
        <v>65384646</v>
      </c>
      <c r="B4092">
        <v>65384646</v>
      </c>
      <c r="C4092" t="s">
        <v>7018</v>
      </c>
      <c r="D4092" t="s">
        <v>595</v>
      </c>
      <c r="E4092" s="184">
        <v>45152</v>
      </c>
      <c r="G4092" s="184"/>
      <c r="I4092" s="184"/>
      <c r="K4092" s="184"/>
      <c r="M4092" s="184"/>
      <c r="O4092" s="184"/>
      <c r="P4092" t="s">
        <v>7045</v>
      </c>
      <c r="Q4092" t="s">
        <v>7494</v>
      </c>
      <c r="R4092" s="184">
        <v>14176</v>
      </c>
      <c r="S4092">
        <v>85</v>
      </c>
      <c r="V4092" t="s">
        <v>30397</v>
      </c>
      <c r="X4092" t="s">
        <v>30398</v>
      </c>
      <c r="AF4092" t="s">
        <v>30399</v>
      </c>
      <c r="AG4092" t="s">
        <v>30397</v>
      </c>
      <c r="AI4092" t="s">
        <v>30400</v>
      </c>
      <c r="AM4092" t="s">
        <v>30401</v>
      </c>
      <c r="AN4092" t="s">
        <v>2174</v>
      </c>
      <c r="AO4092" t="s">
        <v>30402</v>
      </c>
      <c r="AP4092" t="s">
        <v>7024</v>
      </c>
      <c r="AQ4092" t="s">
        <v>30403</v>
      </c>
      <c r="AT4092" s="184">
        <v>40605</v>
      </c>
      <c r="AU4092" t="s">
        <v>30404</v>
      </c>
      <c r="AV4092">
        <v>25</v>
      </c>
      <c r="AW4092" s="184">
        <v>44918</v>
      </c>
      <c r="AX4092" t="s">
        <v>30405</v>
      </c>
      <c r="AY4092">
        <v>25</v>
      </c>
      <c r="AZ4092" s="184">
        <v>44918</v>
      </c>
      <c r="BA4092" t="s">
        <v>30405</v>
      </c>
      <c r="BB4092">
        <v>25</v>
      </c>
      <c r="BC4092">
        <v>36</v>
      </c>
      <c r="BD4092">
        <v>125</v>
      </c>
      <c r="BE4092">
        <v>2011</v>
      </c>
      <c r="BF4092">
        <v>5</v>
      </c>
      <c r="BG4092">
        <v>1</v>
      </c>
      <c r="BH4092">
        <v>25</v>
      </c>
      <c r="BI4092">
        <v>5</v>
      </c>
      <c r="BJ4092">
        <v>14</v>
      </c>
      <c r="BK4092">
        <v>2</v>
      </c>
      <c r="BP4092" s="184"/>
    </row>
    <row r="4093" spans="1:68">
      <c r="A4093">
        <v>65449415</v>
      </c>
      <c r="B4093">
        <v>65449415</v>
      </c>
      <c r="C4093" t="s">
        <v>7018</v>
      </c>
      <c r="D4093" t="s">
        <v>595</v>
      </c>
      <c r="E4093" s="184">
        <v>44438</v>
      </c>
      <c r="G4093" s="184"/>
      <c r="I4093" s="184"/>
      <c r="K4093" s="184"/>
      <c r="M4093" s="184"/>
      <c r="O4093" s="184"/>
      <c r="P4093" t="s">
        <v>7045</v>
      </c>
      <c r="Q4093" t="s">
        <v>7030</v>
      </c>
      <c r="R4093" s="184">
        <v>17256</v>
      </c>
      <c r="S4093">
        <v>77</v>
      </c>
      <c r="V4093" t="s">
        <v>5410</v>
      </c>
      <c r="X4093" t="s">
        <v>30406</v>
      </c>
      <c r="AF4093" t="s">
        <v>30407</v>
      </c>
      <c r="AG4093" t="s">
        <v>5410</v>
      </c>
      <c r="AI4093" t="s">
        <v>30408</v>
      </c>
      <c r="AM4093" t="s">
        <v>2897</v>
      </c>
      <c r="AN4093" t="s">
        <v>2089</v>
      </c>
      <c r="AO4093" t="s">
        <v>30409</v>
      </c>
      <c r="AP4093" t="s">
        <v>7024</v>
      </c>
      <c r="AQ4093" t="s">
        <v>30410</v>
      </c>
      <c r="AT4093" s="184">
        <v>40610</v>
      </c>
      <c r="AU4093" t="s">
        <v>30411</v>
      </c>
      <c r="AV4093">
        <v>25</v>
      </c>
      <c r="AW4093" s="184">
        <v>45217</v>
      </c>
      <c r="AX4093" t="s">
        <v>7684</v>
      </c>
      <c r="AY4093">
        <v>60</v>
      </c>
      <c r="AZ4093" s="184">
        <v>42422</v>
      </c>
      <c r="BA4093" t="s">
        <v>30412</v>
      </c>
      <c r="BB4093">
        <v>100</v>
      </c>
      <c r="BC4093">
        <v>72</v>
      </c>
      <c r="BD4093">
        <v>581</v>
      </c>
      <c r="BE4093">
        <v>2011</v>
      </c>
      <c r="BF4093">
        <v>16</v>
      </c>
      <c r="BG4093">
        <v>1</v>
      </c>
      <c r="BH4093">
        <v>60</v>
      </c>
      <c r="BI4093">
        <v>10</v>
      </c>
      <c r="BJ4093">
        <v>14</v>
      </c>
      <c r="BK4093">
        <v>4</v>
      </c>
      <c r="BP4093" s="184"/>
    </row>
    <row r="4094" spans="1:68">
      <c r="A4094">
        <v>65456048</v>
      </c>
      <c r="B4094">
        <v>65456048</v>
      </c>
      <c r="C4094" t="s">
        <v>7018</v>
      </c>
      <c r="D4094" t="s">
        <v>595</v>
      </c>
      <c r="E4094" s="184">
        <v>43861</v>
      </c>
      <c r="G4094" s="184"/>
      <c r="I4094" s="184"/>
      <c r="K4094" s="184"/>
      <c r="O4094" s="184"/>
      <c r="P4094" t="s">
        <v>7045</v>
      </c>
      <c r="Q4094" t="s">
        <v>7494</v>
      </c>
      <c r="R4094" s="184">
        <v>17746</v>
      </c>
      <c r="S4094">
        <v>75</v>
      </c>
      <c r="U4094" t="s">
        <v>7130</v>
      </c>
      <c r="V4094" t="s">
        <v>2523</v>
      </c>
      <c r="X4094" t="s">
        <v>4623</v>
      </c>
      <c r="AF4094" t="s">
        <v>30413</v>
      </c>
      <c r="AG4094" t="s">
        <v>2523</v>
      </c>
      <c r="AI4094" t="s">
        <v>30414</v>
      </c>
      <c r="AM4094" t="s">
        <v>4624</v>
      </c>
      <c r="AN4094" t="s">
        <v>2174</v>
      </c>
      <c r="AO4094" t="s">
        <v>30415</v>
      </c>
      <c r="AP4094" t="s">
        <v>7024</v>
      </c>
      <c r="AQ4094" t="s">
        <v>30416</v>
      </c>
      <c r="AT4094" s="184">
        <v>40611</v>
      </c>
      <c r="AU4094" t="s">
        <v>30417</v>
      </c>
      <c r="AV4094">
        <v>100</v>
      </c>
      <c r="AW4094" s="184">
        <v>44268</v>
      </c>
      <c r="AX4094" t="s">
        <v>30418</v>
      </c>
      <c r="AY4094">
        <v>50</v>
      </c>
      <c r="AZ4094" s="184">
        <v>40954</v>
      </c>
      <c r="BA4094" t="s">
        <v>30419</v>
      </c>
      <c r="BB4094">
        <v>150</v>
      </c>
      <c r="BC4094">
        <v>79</v>
      </c>
      <c r="BD4094">
        <v>3075</v>
      </c>
      <c r="BE4094">
        <v>2011</v>
      </c>
      <c r="BF4094">
        <v>97</v>
      </c>
      <c r="BI4094">
        <v>11</v>
      </c>
      <c r="BJ4094">
        <v>14</v>
      </c>
      <c r="BK4094">
        <v>11</v>
      </c>
      <c r="BN4094" t="s">
        <v>595</v>
      </c>
      <c r="BP4094" s="184"/>
    </row>
    <row r="4095" spans="1:68">
      <c r="A4095">
        <v>65506586</v>
      </c>
      <c r="B4095">
        <v>65506586</v>
      </c>
      <c r="C4095" t="s">
        <v>7018</v>
      </c>
      <c r="D4095" t="s">
        <v>595</v>
      </c>
      <c r="E4095" s="184">
        <v>44484</v>
      </c>
      <c r="G4095" s="184"/>
      <c r="I4095" s="184"/>
      <c r="K4095" s="184"/>
      <c r="M4095" s="184"/>
      <c r="O4095" s="184"/>
      <c r="P4095" t="s">
        <v>7045</v>
      </c>
      <c r="Q4095" t="s">
        <v>7454</v>
      </c>
      <c r="R4095" s="184">
        <v>15974</v>
      </c>
      <c r="S4095">
        <v>80</v>
      </c>
      <c r="U4095" t="s">
        <v>7076</v>
      </c>
      <c r="V4095" t="s">
        <v>2602</v>
      </c>
      <c r="X4095" t="s">
        <v>30420</v>
      </c>
      <c r="AF4095" t="s">
        <v>30421</v>
      </c>
      <c r="AG4095" t="s">
        <v>2602</v>
      </c>
      <c r="AI4095" t="s">
        <v>30422</v>
      </c>
      <c r="AM4095" t="s">
        <v>3780</v>
      </c>
      <c r="AN4095" t="s">
        <v>2055</v>
      </c>
      <c r="AO4095" t="s">
        <v>30423</v>
      </c>
      <c r="AP4095" t="s">
        <v>7024</v>
      </c>
      <c r="AQ4095" t="s">
        <v>30424</v>
      </c>
      <c r="AT4095" s="184">
        <v>40616</v>
      </c>
      <c r="AU4095" t="s">
        <v>30425</v>
      </c>
      <c r="AV4095">
        <v>15</v>
      </c>
      <c r="AW4095" s="184">
        <v>45163</v>
      </c>
      <c r="AX4095" t="s">
        <v>13433</v>
      </c>
      <c r="AY4095">
        <v>35</v>
      </c>
      <c r="AZ4095" s="184">
        <v>44249</v>
      </c>
      <c r="BA4095" t="s">
        <v>24440</v>
      </c>
      <c r="BB4095">
        <v>500</v>
      </c>
      <c r="BC4095">
        <v>79</v>
      </c>
      <c r="BD4095">
        <v>1055</v>
      </c>
      <c r="BE4095">
        <v>2011</v>
      </c>
      <c r="BF4095">
        <v>20</v>
      </c>
      <c r="BG4095">
        <v>2</v>
      </c>
      <c r="BH4095">
        <v>70</v>
      </c>
      <c r="BI4095">
        <v>11</v>
      </c>
      <c r="BJ4095">
        <v>14</v>
      </c>
      <c r="BK4095">
        <v>7</v>
      </c>
      <c r="BN4095" t="s">
        <v>595</v>
      </c>
      <c r="BP4095" s="184"/>
    </row>
    <row r="4096" spans="1:68">
      <c r="A4096">
        <v>65565756</v>
      </c>
      <c r="B4096">
        <v>65565756</v>
      </c>
      <c r="C4096" t="s">
        <v>7018</v>
      </c>
      <c r="D4096" t="s">
        <v>595</v>
      </c>
      <c r="E4096" s="184">
        <v>44167</v>
      </c>
      <c r="G4096" s="184"/>
      <c r="I4096" s="184"/>
      <c r="K4096" s="184"/>
      <c r="M4096" s="184"/>
      <c r="O4096" s="184"/>
      <c r="P4096" t="s">
        <v>7045</v>
      </c>
      <c r="Q4096" t="s">
        <v>7374</v>
      </c>
      <c r="R4096" s="184">
        <v>15652</v>
      </c>
      <c r="S4096">
        <v>81</v>
      </c>
      <c r="V4096" t="s">
        <v>9577</v>
      </c>
      <c r="X4096" t="s">
        <v>2570</v>
      </c>
      <c r="AF4096" t="s">
        <v>30426</v>
      </c>
      <c r="AG4096" t="s">
        <v>9577</v>
      </c>
      <c r="AI4096" t="s">
        <v>30427</v>
      </c>
      <c r="AM4096" t="s">
        <v>4297</v>
      </c>
      <c r="AN4096" t="s">
        <v>2526</v>
      </c>
      <c r="AO4096" t="s">
        <v>30428</v>
      </c>
      <c r="AP4096" t="s">
        <v>7024</v>
      </c>
      <c r="AQ4096" t="s">
        <v>30429</v>
      </c>
      <c r="AR4096" t="s">
        <v>30430</v>
      </c>
      <c r="AT4096" s="184">
        <v>40619</v>
      </c>
      <c r="AU4096" t="s">
        <v>30431</v>
      </c>
      <c r="AV4096">
        <v>50</v>
      </c>
      <c r="AW4096" s="184">
        <v>45064</v>
      </c>
      <c r="AX4096" t="s">
        <v>30432</v>
      </c>
      <c r="AY4096">
        <v>100</v>
      </c>
      <c r="AZ4096" s="184">
        <v>45064</v>
      </c>
      <c r="BA4096" t="s">
        <v>30432</v>
      </c>
      <c r="BB4096">
        <v>100</v>
      </c>
      <c r="BC4096">
        <v>86</v>
      </c>
      <c r="BD4096">
        <v>890</v>
      </c>
      <c r="BE4096">
        <v>2011</v>
      </c>
      <c r="BF4096">
        <v>15</v>
      </c>
      <c r="BG4096">
        <v>3</v>
      </c>
      <c r="BH4096">
        <v>300</v>
      </c>
      <c r="BI4096">
        <v>12</v>
      </c>
      <c r="BJ4096">
        <v>14</v>
      </c>
      <c r="BK4096">
        <v>11</v>
      </c>
      <c r="BP4096" s="184"/>
    </row>
    <row r="4097" spans="1:68">
      <c r="A4097">
        <v>65639841</v>
      </c>
      <c r="B4097">
        <v>65639841</v>
      </c>
      <c r="C4097" t="s">
        <v>7018</v>
      </c>
      <c r="D4097" t="s">
        <v>595</v>
      </c>
      <c r="E4097" s="184">
        <v>45133</v>
      </c>
      <c r="G4097" s="184"/>
      <c r="I4097" s="184"/>
      <c r="K4097" s="184"/>
      <c r="M4097" s="184"/>
      <c r="O4097" s="184"/>
      <c r="P4097" t="s">
        <v>7045</v>
      </c>
      <c r="Q4097" t="s">
        <v>7494</v>
      </c>
      <c r="R4097" s="184">
        <v>19462</v>
      </c>
      <c r="S4097">
        <v>71</v>
      </c>
      <c r="V4097" t="s">
        <v>30433</v>
      </c>
      <c r="W4097" t="s">
        <v>7560</v>
      </c>
      <c r="X4097" t="s">
        <v>30434</v>
      </c>
      <c r="AF4097" t="s">
        <v>30435</v>
      </c>
      <c r="AG4097" t="s">
        <v>30433</v>
      </c>
      <c r="AI4097" t="s">
        <v>30436</v>
      </c>
      <c r="AM4097" t="s">
        <v>30437</v>
      </c>
      <c r="AN4097" t="s">
        <v>2484</v>
      </c>
      <c r="AO4097" t="s">
        <v>30438</v>
      </c>
      <c r="AP4097" t="s">
        <v>7024</v>
      </c>
      <c r="AQ4097" t="s">
        <v>30439</v>
      </c>
      <c r="AT4097" s="184">
        <v>40623</v>
      </c>
      <c r="AU4097" t="s">
        <v>30440</v>
      </c>
      <c r="AV4097">
        <v>20</v>
      </c>
      <c r="AW4097" s="184">
        <v>45163</v>
      </c>
      <c r="AX4097" t="s">
        <v>30441</v>
      </c>
      <c r="AY4097">
        <v>52.5</v>
      </c>
      <c r="AZ4097" s="184">
        <v>45163</v>
      </c>
      <c r="BA4097" t="s">
        <v>30441</v>
      </c>
      <c r="BB4097">
        <v>52.5</v>
      </c>
      <c r="BC4097">
        <v>50</v>
      </c>
      <c r="BD4097">
        <v>264</v>
      </c>
      <c r="BE4097">
        <v>2011</v>
      </c>
      <c r="BF4097">
        <v>8</v>
      </c>
      <c r="BG4097">
        <v>3</v>
      </c>
      <c r="BH4097">
        <v>129</v>
      </c>
      <c r="BI4097">
        <v>7</v>
      </c>
      <c r="BJ4097">
        <v>14</v>
      </c>
      <c r="BK4097">
        <v>4</v>
      </c>
      <c r="BP4097" s="184"/>
    </row>
    <row r="4098" spans="1:68">
      <c r="A4098">
        <v>65656183</v>
      </c>
      <c r="B4098">
        <v>65656183</v>
      </c>
      <c r="C4098" t="s">
        <v>7018</v>
      </c>
      <c r="D4098" t="s">
        <v>595</v>
      </c>
      <c r="E4098" s="184">
        <v>44438</v>
      </c>
      <c r="G4098" s="184"/>
      <c r="I4098" s="184"/>
      <c r="K4098" s="184"/>
      <c r="M4098" s="184"/>
      <c r="O4098" s="184"/>
      <c r="P4098" t="s">
        <v>7045</v>
      </c>
      <c r="Q4098" t="s">
        <v>7494</v>
      </c>
      <c r="R4098" s="184">
        <v>19360</v>
      </c>
      <c r="S4098">
        <v>71</v>
      </c>
      <c r="U4098" t="s">
        <v>7032</v>
      </c>
      <c r="V4098" t="s">
        <v>2979</v>
      </c>
      <c r="W4098" t="s">
        <v>7963</v>
      </c>
      <c r="X4098" t="s">
        <v>30442</v>
      </c>
      <c r="AF4098" t="s">
        <v>30443</v>
      </c>
      <c r="AG4098" t="s">
        <v>2979</v>
      </c>
      <c r="AI4098" t="s">
        <v>30444</v>
      </c>
      <c r="AM4098" t="s">
        <v>3371</v>
      </c>
      <c r="AN4098" t="s">
        <v>2174</v>
      </c>
      <c r="AO4098" t="s">
        <v>30445</v>
      </c>
      <c r="AP4098" t="s">
        <v>7024</v>
      </c>
      <c r="AQ4098" t="s">
        <v>30446</v>
      </c>
      <c r="AR4098" t="s">
        <v>30447</v>
      </c>
      <c r="AT4098" s="184">
        <v>40623</v>
      </c>
      <c r="AU4098" t="s">
        <v>30448</v>
      </c>
      <c r="AV4098">
        <v>25</v>
      </c>
      <c r="AW4098" s="184">
        <v>44278</v>
      </c>
      <c r="AX4098" t="s">
        <v>30449</v>
      </c>
      <c r="AY4098">
        <v>30</v>
      </c>
      <c r="AZ4098" s="184">
        <v>44278</v>
      </c>
      <c r="BA4098" t="s">
        <v>30449</v>
      </c>
      <c r="BB4098">
        <v>30</v>
      </c>
      <c r="BC4098">
        <v>72</v>
      </c>
      <c r="BD4098">
        <v>270</v>
      </c>
      <c r="BE4098">
        <v>2011</v>
      </c>
      <c r="BF4098">
        <v>11</v>
      </c>
      <c r="BI4098">
        <v>10</v>
      </c>
      <c r="BJ4098">
        <v>14</v>
      </c>
      <c r="BK4098">
        <v>5</v>
      </c>
      <c r="BN4098" t="s">
        <v>595</v>
      </c>
      <c r="BP4098" s="184"/>
    </row>
    <row r="4099" spans="1:68">
      <c r="A4099">
        <v>65695579</v>
      </c>
      <c r="B4099">
        <v>65695579</v>
      </c>
      <c r="C4099" t="s">
        <v>7018</v>
      </c>
      <c r="D4099" t="s">
        <v>595</v>
      </c>
      <c r="E4099" s="184">
        <v>44441</v>
      </c>
      <c r="G4099" s="184"/>
      <c r="I4099" s="184"/>
      <c r="K4099" s="184"/>
      <c r="M4099" s="184"/>
      <c r="O4099" s="184"/>
      <c r="P4099" t="s">
        <v>7045</v>
      </c>
      <c r="Q4099" t="s">
        <v>7383</v>
      </c>
      <c r="R4099" s="184">
        <v>17372</v>
      </c>
      <c r="S4099">
        <v>76</v>
      </c>
      <c r="U4099" t="s">
        <v>7031</v>
      </c>
      <c r="V4099" t="s">
        <v>3411</v>
      </c>
      <c r="X4099" t="s">
        <v>3994</v>
      </c>
      <c r="AF4099" t="s">
        <v>30450</v>
      </c>
      <c r="AG4099" t="s">
        <v>3411</v>
      </c>
      <c r="AI4099" t="s">
        <v>30451</v>
      </c>
      <c r="AM4099" t="s">
        <v>8078</v>
      </c>
      <c r="AN4099" t="s">
        <v>2313</v>
      </c>
      <c r="AO4099" t="s">
        <v>30452</v>
      </c>
      <c r="AP4099" t="s">
        <v>7024</v>
      </c>
      <c r="AQ4099" t="s">
        <v>30453</v>
      </c>
      <c r="AT4099" s="184">
        <v>40624</v>
      </c>
      <c r="AU4099" t="s">
        <v>30454</v>
      </c>
      <c r="AV4099">
        <v>15</v>
      </c>
      <c r="AW4099" s="184">
        <v>44200</v>
      </c>
      <c r="AX4099" t="s">
        <v>30455</v>
      </c>
      <c r="AY4099">
        <v>25</v>
      </c>
      <c r="AZ4099" s="184">
        <v>43829</v>
      </c>
      <c r="BA4099" t="s">
        <v>23225</v>
      </c>
      <c r="BB4099">
        <v>100</v>
      </c>
      <c r="BC4099">
        <v>65</v>
      </c>
      <c r="BD4099">
        <v>525</v>
      </c>
      <c r="BE4099">
        <v>2011</v>
      </c>
      <c r="BF4099">
        <v>15</v>
      </c>
      <c r="BI4099">
        <v>9</v>
      </c>
      <c r="BJ4099">
        <v>14</v>
      </c>
      <c r="BK4099">
        <v>5</v>
      </c>
      <c r="BP4099" s="184"/>
    </row>
    <row r="4100" spans="1:68">
      <c r="A4100">
        <v>65847394</v>
      </c>
      <c r="B4100">
        <v>65847394</v>
      </c>
      <c r="C4100" t="s">
        <v>7018</v>
      </c>
      <c r="E4100" s="184"/>
      <c r="G4100" s="184"/>
      <c r="I4100" s="184"/>
      <c r="J4100" t="s">
        <v>595</v>
      </c>
      <c r="K4100" s="184">
        <v>41379</v>
      </c>
      <c r="M4100" s="184"/>
      <c r="O4100" s="184"/>
      <c r="P4100" t="s">
        <v>7045</v>
      </c>
      <c r="Q4100" t="s">
        <v>7494</v>
      </c>
      <c r="R4100" s="184">
        <v>16438</v>
      </c>
      <c r="S4100">
        <v>79</v>
      </c>
      <c r="U4100" t="s">
        <v>7076</v>
      </c>
      <c r="V4100" t="s">
        <v>30456</v>
      </c>
      <c r="W4100" t="s">
        <v>30457</v>
      </c>
      <c r="X4100" t="s">
        <v>3733</v>
      </c>
      <c r="AF4100" t="s">
        <v>5980</v>
      </c>
      <c r="AG4100" t="s">
        <v>30456</v>
      </c>
      <c r="AI4100" t="s">
        <v>30458</v>
      </c>
      <c r="AM4100" t="s">
        <v>30459</v>
      </c>
      <c r="AN4100" t="s">
        <v>2174</v>
      </c>
      <c r="AO4100" t="s">
        <v>30460</v>
      </c>
      <c r="AP4100" t="s">
        <v>7024</v>
      </c>
      <c r="AQ4100" t="s">
        <v>30461</v>
      </c>
      <c r="AT4100" s="184">
        <v>40630</v>
      </c>
      <c r="AU4100" t="s">
        <v>30381</v>
      </c>
      <c r="AV4100">
        <v>35</v>
      </c>
      <c r="AW4100" s="184">
        <v>45412</v>
      </c>
      <c r="AX4100" t="s">
        <v>7429</v>
      </c>
      <c r="AY4100">
        <v>50</v>
      </c>
      <c r="AZ4100" s="184">
        <v>42528</v>
      </c>
      <c r="BA4100" t="s">
        <v>27029</v>
      </c>
      <c r="BB4100">
        <v>2000</v>
      </c>
      <c r="BC4100">
        <v>100</v>
      </c>
      <c r="BD4100">
        <v>13745</v>
      </c>
      <c r="BE4100">
        <v>2011</v>
      </c>
      <c r="BF4100">
        <v>87</v>
      </c>
      <c r="BG4100">
        <v>24</v>
      </c>
      <c r="BH4100">
        <v>1200</v>
      </c>
      <c r="BI4100">
        <v>14</v>
      </c>
      <c r="BJ4100">
        <v>14</v>
      </c>
      <c r="BK4100">
        <v>14</v>
      </c>
      <c r="BP4100" s="184"/>
    </row>
    <row r="4101" spans="1:68">
      <c r="A4101">
        <v>65859613</v>
      </c>
      <c r="B4101">
        <v>65859613</v>
      </c>
      <c r="C4101" t="s">
        <v>7018</v>
      </c>
      <c r="E4101" s="184"/>
      <c r="G4101" s="184"/>
      <c r="H4101" t="s">
        <v>595</v>
      </c>
      <c r="I4101" s="184">
        <v>43966</v>
      </c>
      <c r="K4101" s="184"/>
      <c r="M4101" s="184"/>
      <c r="O4101" s="184"/>
      <c r="P4101" t="s">
        <v>7045</v>
      </c>
      <c r="Q4101" t="s">
        <v>7262</v>
      </c>
      <c r="R4101" s="184">
        <v>21788</v>
      </c>
      <c r="S4101">
        <v>64</v>
      </c>
      <c r="U4101" t="s">
        <v>7130</v>
      </c>
      <c r="V4101" t="s">
        <v>3230</v>
      </c>
      <c r="X4101" t="s">
        <v>30462</v>
      </c>
      <c r="Z4101">
        <v>100384089</v>
      </c>
      <c r="AA4101" t="s">
        <v>7031</v>
      </c>
      <c r="AB4101" t="s">
        <v>4236</v>
      </c>
      <c r="AC4101" t="s">
        <v>7469</v>
      </c>
      <c r="AD4101" t="s">
        <v>30462</v>
      </c>
      <c r="AF4101" t="s">
        <v>30463</v>
      </c>
      <c r="AG4101" t="s">
        <v>30464</v>
      </c>
      <c r="AI4101" t="s">
        <v>30465</v>
      </c>
      <c r="AM4101" t="s">
        <v>30466</v>
      </c>
      <c r="AN4101" t="s">
        <v>2106</v>
      </c>
      <c r="AO4101" t="s">
        <v>30467</v>
      </c>
      <c r="AP4101" t="s">
        <v>7024</v>
      </c>
      <c r="AQ4101" t="s">
        <v>30468</v>
      </c>
      <c r="AT4101" s="184">
        <v>40632</v>
      </c>
      <c r="AU4101" t="s">
        <v>30469</v>
      </c>
      <c r="AV4101">
        <v>19.97</v>
      </c>
      <c r="AW4101" s="184">
        <v>44496</v>
      </c>
      <c r="AX4101" t="s">
        <v>30470</v>
      </c>
      <c r="AY4101">
        <v>30</v>
      </c>
      <c r="AZ4101" s="184">
        <v>44496</v>
      </c>
      <c r="BA4101" t="s">
        <v>30470</v>
      </c>
      <c r="BB4101">
        <v>30</v>
      </c>
      <c r="BC4101">
        <v>29</v>
      </c>
      <c r="BD4101">
        <v>89.97</v>
      </c>
      <c r="BE4101">
        <v>2011</v>
      </c>
      <c r="BF4101">
        <v>4</v>
      </c>
      <c r="BI4101">
        <v>4</v>
      </c>
      <c r="BJ4101">
        <v>14</v>
      </c>
      <c r="BK4101">
        <v>2</v>
      </c>
      <c r="BP4101" s="184"/>
    </row>
    <row r="4102" spans="1:68">
      <c r="A4102">
        <v>100384089</v>
      </c>
      <c r="B4102">
        <v>65859613</v>
      </c>
      <c r="C4102" t="s">
        <v>7018</v>
      </c>
      <c r="E4102" s="184"/>
      <c r="G4102" s="184"/>
      <c r="H4102" t="s">
        <v>595</v>
      </c>
      <c r="I4102" s="184">
        <v>43966</v>
      </c>
      <c r="K4102" s="184"/>
      <c r="M4102" s="184"/>
      <c r="O4102" s="184"/>
      <c r="P4102" t="s">
        <v>7045</v>
      </c>
      <c r="Q4102" t="s">
        <v>7262</v>
      </c>
      <c r="R4102" s="184">
        <v>22461</v>
      </c>
      <c r="S4102">
        <v>62</v>
      </c>
      <c r="U4102" t="s">
        <v>7031</v>
      </c>
      <c r="V4102" t="s">
        <v>4236</v>
      </c>
      <c r="W4102" t="s">
        <v>7469</v>
      </c>
      <c r="X4102" t="s">
        <v>30462</v>
      </c>
      <c r="Z4102">
        <v>65859613</v>
      </c>
      <c r="AA4102" t="s">
        <v>7130</v>
      </c>
      <c r="AB4102" t="s">
        <v>3230</v>
      </c>
      <c r="AD4102" t="s">
        <v>30462</v>
      </c>
      <c r="AF4102" t="s">
        <v>30463</v>
      </c>
      <c r="AG4102" t="s">
        <v>30464</v>
      </c>
      <c r="AI4102" t="s">
        <v>30465</v>
      </c>
      <c r="AM4102" t="s">
        <v>30466</v>
      </c>
      <c r="AN4102" t="s">
        <v>2106</v>
      </c>
      <c r="AO4102" t="s">
        <v>30467</v>
      </c>
      <c r="AP4102" t="s">
        <v>7024</v>
      </c>
      <c r="AQ4102" t="s">
        <v>30471</v>
      </c>
      <c r="AT4102" s="184"/>
      <c r="AW4102" s="184"/>
      <c r="AZ4102" s="184"/>
      <c r="BP4102" s="184"/>
    </row>
    <row r="4103" spans="1:68">
      <c r="A4103">
        <v>65952392</v>
      </c>
      <c r="B4103">
        <v>65952392</v>
      </c>
      <c r="C4103" t="s">
        <v>7018</v>
      </c>
      <c r="D4103" t="s">
        <v>595</v>
      </c>
      <c r="E4103" s="184">
        <v>45125</v>
      </c>
      <c r="G4103" s="184"/>
      <c r="I4103" s="184"/>
      <c r="K4103" s="184"/>
      <c r="M4103" s="184"/>
      <c r="O4103" s="184"/>
      <c r="P4103" t="s">
        <v>7045</v>
      </c>
      <c r="Q4103" t="s">
        <v>7160</v>
      </c>
      <c r="R4103" s="184">
        <v>20007</v>
      </c>
      <c r="S4103">
        <v>69</v>
      </c>
      <c r="V4103" t="s">
        <v>2845</v>
      </c>
      <c r="X4103" t="s">
        <v>30472</v>
      </c>
      <c r="AF4103" t="s">
        <v>30473</v>
      </c>
      <c r="AG4103" t="s">
        <v>2845</v>
      </c>
      <c r="AI4103" t="s">
        <v>30474</v>
      </c>
      <c r="AM4103" t="s">
        <v>3576</v>
      </c>
      <c r="AN4103" t="s">
        <v>2446</v>
      </c>
      <c r="AO4103" t="s">
        <v>30475</v>
      </c>
      <c r="AP4103" t="s">
        <v>7024</v>
      </c>
      <c r="AQ4103" t="s">
        <v>30476</v>
      </c>
      <c r="AR4103" t="s">
        <v>30477</v>
      </c>
      <c r="AT4103" s="184">
        <v>40633</v>
      </c>
      <c r="AU4103" t="s">
        <v>30478</v>
      </c>
      <c r="AV4103">
        <v>25</v>
      </c>
      <c r="AW4103" s="184">
        <v>44165</v>
      </c>
      <c r="AX4103" t="s">
        <v>30479</v>
      </c>
      <c r="AY4103">
        <v>5</v>
      </c>
      <c r="AZ4103" s="184">
        <v>41004</v>
      </c>
      <c r="BA4103" t="s">
        <v>30480</v>
      </c>
      <c r="BB4103">
        <v>25</v>
      </c>
      <c r="BC4103">
        <v>50</v>
      </c>
      <c r="BD4103">
        <v>101</v>
      </c>
      <c r="BE4103">
        <v>2011</v>
      </c>
      <c r="BF4103">
        <v>14</v>
      </c>
      <c r="BI4103">
        <v>7</v>
      </c>
      <c r="BJ4103">
        <v>14</v>
      </c>
      <c r="BK4103">
        <v>3</v>
      </c>
      <c r="BN4103" t="s">
        <v>595</v>
      </c>
      <c r="BP4103" s="184"/>
    </row>
    <row r="4104" spans="1:68">
      <c r="A4104">
        <v>65968778</v>
      </c>
      <c r="B4104">
        <v>65968778</v>
      </c>
      <c r="C4104" t="s">
        <v>7018</v>
      </c>
      <c r="E4104" s="184"/>
      <c r="G4104" s="184"/>
      <c r="I4104" s="184"/>
      <c r="K4104" s="184"/>
      <c r="M4104" s="184"/>
      <c r="N4104" t="s">
        <v>595</v>
      </c>
      <c r="O4104" s="184">
        <v>40922</v>
      </c>
      <c r="P4104" t="s">
        <v>7045</v>
      </c>
      <c r="Q4104" t="s">
        <v>7774</v>
      </c>
      <c r="R4104" s="184">
        <v>7943</v>
      </c>
      <c r="S4104">
        <v>102</v>
      </c>
      <c r="U4104" t="s">
        <v>7130</v>
      </c>
      <c r="V4104" t="s">
        <v>30481</v>
      </c>
      <c r="X4104" t="s">
        <v>3852</v>
      </c>
      <c r="AF4104" t="s">
        <v>6038</v>
      </c>
      <c r="AG4104" t="s">
        <v>30482</v>
      </c>
      <c r="AI4104" t="s">
        <v>30483</v>
      </c>
      <c r="AM4104" t="s">
        <v>29802</v>
      </c>
      <c r="AN4104" t="s">
        <v>2290</v>
      </c>
      <c r="AO4104" t="s">
        <v>30484</v>
      </c>
      <c r="AP4104" t="s">
        <v>7024</v>
      </c>
      <c r="AT4104" s="184">
        <v>40634</v>
      </c>
      <c r="AU4104" t="s">
        <v>30478</v>
      </c>
      <c r="AV4104">
        <v>25</v>
      </c>
      <c r="AW4104" s="184">
        <v>40922</v>
      </c>
      <c r="AX4104" t="s">
        <v>7075</v>
      </c>
      <c r="AY4104">
        <v>10000</v>
      </c>
      <c r="AZ4104" s="184">
        <v>40922</v>
      </c>
      <c r="BA4104" t="s">
        <v>7075</v>
      </c>
      <c r="BB4104">
        <v>10000</v>
      </c>
      <c r="BC4104">
        <v>15</v>
      </c>
      <c r="BD4104">
        <v>10125</v>
      </c>
      <c r="BE4104">
        <v>2011</v>
      </c>
      <c r="BF4104">
        <v>7</v>
      </c>
      <c r="BI4104">
        <v>2</v>
      </c>
      <c r="BJ4104">
        <v>14</v>
      </c>
      <c r="BK4104">
        <v>2</v>
      </c>
      <c r="BO4104" t="s">
        <v>595</v>
      </c>
      <c r="BP4104" s="184">
        <v>42759</v>
      </c>
    </row>
    <row r="4105" spans="1:68">
      <c r="A4105">
        <v>66011370</v>
      </c>
      <c r="B4105">
        <v>66011370</v>
      </c>
      <c r="C4105" t="s">
        <v>7018</v>
      </c>
      <c r="D4105" t="s">
        <v>595</v>
      </c>
      <c r="E4105" s="184">
        <v>44167</v>
      </c>
      <c r="G4105" s="184"/>
      <c r="I4105" s="184"/>
      <c r="K4105" s="184"/>
      <c r="M4105" s="184"/>
      <c r="O4105" s="184"/>
      <c r="P4105" t="s">
        <v>7045</v>
      </c>
      <c r="Q4105" t="s">
        <v>7374</v>
      </c>
      <c r="R4105" s="184">
        <v>17899</v>
      </c>
      <c r="S4105">
        <v>75</v>
      </c>
      <c r="U4105" t="s">
        <v>7031</v>
      </c>
      <c r="V4105" t="s">
        <v>2541</v>
      </c>
      <c r="X4105" t="s">
        <v>30485</v>
      </c>
      <c r="AF4105" t="s">
        <v>30486</v>
      </c>
      <c r="AG4105" t="s">
        <v>2541</v>
      </c>
      <c r="AI4105" t="s">
        <v>30487</v>
      </c>
      <c r="AM4105" t="s">
        <v>4329</v>
      </c>
      <c r="AN4105" t="s">
        <v>2066</v>
      </c>
      <c r="AO4105" t="s">
        <v>30488</v>
      </c>
      <c r="AP4105" t="s">
        <v>7024</v>
      </c>
      <c r="AT4105" s="184">
        <v>40637</v>
      </c>
      <c r="AU4105" t="s">
        <v>30489</v>
      </c>
      <c r="AV4105">
        <v>25</v>
      </c>
      <c r="AW4105" s="184">
        <v>43839</v>
      </c>
      <c r="AX4105" t="s">
        <v>30490</v>
      </c>
      <c r="AY4105">
        <v>50</v>
      </c>
      <c r="AZ4105" s="184">
        <v>43839</v>
      </c>
      <c r="BA4105" t="s">
        <v>30490</v>
      </c>
      <c r="BB4105">
        <v>50</v>
      </c>
      <c r="BC4105">
        <v>50</v>
      </c>
      <c r="BD4105">
        <v>275</v>
      </c>
      <c r="BE4105">
        <v>2011</v>
      </c>
      <c r="BF4105">
        <v>9</v>
      </c>
      <c r="BI4105">
        <v>7</v>
      </c>
      <c r="BJ4105">
        <v>14</v>
      </c>
      <c r="BK4105">
        <v>4</v>
      </c>
      <c r="BP4105" s="184"/>
    </row>
    <row r="4106" spans="1:68">
      <c r="A4106">
        <v>66224395</v>
      </c>
      <c r="B4106">
        <v>66224395</v>
      </c>
      <c r="C4106" t="s">
        <v>7018</v>
      </c>
      <c r="E4106" s="184"/>
      <c r="F4106" t="s">
        <v>595</v>
      </c>
      <c r="G4106" s="184">
        <v>44167</v>
      </c>
      <c r="I4106" s="184"/>
      <c r="K4106" s="184"/>
      <c r="M4106" s="184"/>
      <c r="O4106" s="184"/>
      <c r="P4106" t="s">
        <v>7045</v>
      </c>
      <c r="Q4106" t="s">
        <v>7262</v>
      </c>
      <c r="R4106" s="184">
        <v>19694</v>
      </c>
      <c r="S4106">
        <v>70</v>
      </c>
      <c r="V4106" t="s">
        <v>3147</v>
      </c>
      <c r="W4106" t="s">
        <v>7067</v>
      </c>
      <c r="X4106" t="s">
        <v>30491</v>
      </c>
      <c r="Z4106">
        <v>100138251</v>
      </c>
      <c r="AB4106" t="s">
        <v>4926</v>
      </c>
      <c r="AC4106" t="s">
        <v>4139</v>
      </c>
      <c r="AD4106" t="s">
        <v>30491</v>
      </c>
      <c r="AF4106" t="s">
        <v>30492</v>
      </c>
      <c r="AG4106" t="s">
        <v>30493</v>
      </c>
      <c r="AI4106" t="s">
        <v>30494</v>
      </c>
      <c r="AM4106" t="s">
        <v>30495</v>
      </c>
      <c r="AN4106" t="s">
        <v>2069</v>
      </c>
      <c r="AO4106" t="s">
        <v>30496</v>
      </c>
      <c r="AP4106" t="s">
        <v>7024</v>
      </c>
      <c r="AQ4106" t="s">
        <v>30497</v>
      </c>
      <c r="AR4106" t="s">
        <v>30498</v>
      </c>
      <c r="AT4106" s="184">
        <v>40658</v>
      </c>
      <c r="AU4106" t="s">
        <v>30499</v>
      </c>
      <c r="AV4106">
        <v>15</v>
      </c>
      <c r="AW4106" s="184">
        <v>43669</v>
      </c>
      <c r="AX4106" t="s">
        <v>30500</v>
      </c>
      <c r="AY4106">
        <v>3</v>
      </c>
      <c r="AZ4106" s="184">
        <v>43084</v>
      </c>
      <c r="BA4106" t="s">
        <v>7406</v>
      </c>
      <c r="BB4106">
        <v>60</v>
      </c>
      <c r="BC4106">
        <v>58</v>
      </c>
      <c r="BD4106">
        <v>404</v>
      </c>
      <c r="BE4106">
        <v>2011</v>
      </c>
      <c r="BF4106">
        <v>38</v>
      </c>
      <c r="BI4106">
        <v>8</v>
      </c>
      <c r="BJ4106">
        <v>14</v>
      </c>
      <c r="BK4106">
        <v>5</v>
      </c>
      <c r="BP4106" s="184"/>
    </row>
    <row r="4107" spans="1:68">
      <c r="A4107">
        <v>100138251</v>
      </c>
      <c r="B4107">
        <v>66224395</v>
      </c>
      <c r="C4107" t="s">
        <v>7018</v>
      </c>
      <c r="E4107" s="184"/>
      <c r="F4107" t="s">
        <v>595</v>
      </c>
      <c r="G4107" s="184">
        <v>44167</v>
      </c>
      <c r="I4107" s="184"/>
      <c r="K4107" s="184"/>
      <c r="M4107" s="184"/>
      <c r="O4107" s="184"/>
      <c r="P4107" t="s">
        <v>7045</v>
      </c>
      <c r="Q4107" t="s">
        <v>7262</v>
      </c>
      <c r="R4107" s="184">
        <v>14602</v>
      </c>
      <c r="S4107">
        <v>84</v>
      </c>
      <c r="V4107" t="s">
        <v>4926</v>
      </c>
      <c r="W4107" t="s">
        <v>4139</v>
      </c>
      <c r="X4107" t="s">
        <v>30491</v>
      </c>
      <c r="Z4107">
        <v>66224395</v>
      </c>
      <c r="AB4107" t="s">
        <v>3147</v>
      </c>
      <c r="AC4107" t="s">
        <v>7067</v>
      </c>
      <c r="AD4107" t="s">
        <v>30491</v>
      </c>
      <c r="AF4107" t="s">
        <v>30492</v>
      </c>
      <c r="AG4107" t="s">
        <v>30493</v>
      </c>
      <c r="AI4107" t="s">
        <v>30494</v>
      </c>
      <c r="AM4107" t="s">
        <v>30495</v>
      </c>
      <c r="AN4107" t="s">
        <v>2069</v>
      </c>
      <c r="AO4107" t="s">
        <v>30496</v>
      </c>
      <c r="AP4107" t="s">
        <v>7024</v>
      </c>
      <c r="AT4107" s="184">
        <v>43791</v>
      </c>
      <c r="AU4107" t="s">
        <v>30501</v>
      </c>
      <c r="AV4107">
        <v>5</v>
      </c>
      <c r="AW4107" s="184">
        <v>44123</v>
      </c>
      <c r="AX4107" t="s">
        <v>30502</v>
      </c>
      <c r="AY4107">
        <v>15</v>
      </c>
      <c r="AZ4107" s="184">
        <v>44123</v>
      </c>
      <c r="BA4107" t="s">
        <v>30502</v>
      </c>
      <c r="BB4107">
        <v>15</v>
      </c>
      <c r="BC4107">
        <v>34</v>
      </c>
      <c r="BD4107">
        <v>35</v>
      </c>
      <c r="BE4107">
        <v>2020</v>
      </c>
      <c r="BF4107">
        <v>3</v>
      </c>
      <c r="BI4107">
        <v>2</v>
      </c>
      <c r="BJ4107">
        <v>6</v>
      </c>
      <c r="BK4107">
        <v>2</v>
      </c>
      <c r="BP4107" s="184"/>
    </row>
    <row r="4108" spans="1:68">
      <c r="A4108">
        <v>66246554</v>
      </c>
      <c r="B4108">
        <v>66246554</v>
      </c>
      <c r="C4108" t="s">
        <v>7018</v>
      </c>
      <c r="E4108" s="184"/>
      <c r="G4108" s="184"/>
      <c r="I4108" s="184"/>
      <c r="J4108" t="s">
        <v>595</v>
      </c>
      <c r="K4108" s="184">
        <v>45343</v>
      </c>
      <c r="M4108" s="184"/>
      <c r="O4108" s="184"/>
      <c r="P4108" t="s">
        <v>7045</v>
      </c>
      <c r="Q4108" t="s">
        <v>7160</v>
      </c>
      <c r="R4108" s="184">
        <v>18946</v>
      </c>
      <c r="S4108">
        <v>72</v>
      </c>
      <c r="U4108" t="s">
        <v>7076</v>
      </c>
      <c r="V4108" t="s">
        <v>3468</v>
      </c>
      <c r="X4108" t="s">
        <v>3201</v>
      </c>
      <c r="AF4108" t="s">
        <v>30503</v>
      </c>
      <c r="AG4108" t="s">
        <v>3468</v>
      </c>
      <c r="AI4108" t="s">
        <v>30504</v>
      </c>
      <c r="AM4108" t="s">
        <v>13664</v>
      </c>
      <c r="AN4108" t="s">
        <v>2413</v>
      </c>
      <c r="AO4108" t="s">
        <v>30505</v>
      </c>
      <c r="AP4108" t="s">
        <v>7024</v>
      </c>
      <c r="AQ4108" t="s">
        <v>30506</v>
      </c>
      <c r="AT4108" s="184">
        <v>41271</v>
      </c>
      <c r="AU4108" t="s">
        <v>30507</v>
      </c>
      <c r="AV4108">
        <v>25</v>
      </c>
      <c r="AW4108" s="184">
        <v>45288</v>
      </c>
      <c r="AX4108" t="s">
        <v>30508</v>
      </c>
      <c r="AY4108">
        <v>78.75</v>
      </c>
      <c r="AZ4108" s="184">
        <v>45288</v>
      </c>
      <c r="BA4108" t="s">
        <v>30508</v>
      </c>
      <c r="BB4108">
        <v>78.75</v>
      </c>
      <c r="BC4108">
        <v>24</v>
      </c>
      <c r="BD4108">
        <v>128.75</v>
      </c>
      <c r="BE4108">
        <v>2013</v>
      </c>
      <c r="BF4108">
        <v>3</v>
      </c>
      <c r="BG4108">
        <v>1</v>
      </c>
      <c r="BH4108">
        <v>78.75</v>
      </c>
      <c r="BI4108">
        <v>3</v>
      </c>
      <c r="BJ4108">
        <v>13</v>
      </c>
      <c r="BK4108">
        <v>2</v>
      </c>
      <c r="BL4108" t="s">
        <v>595</v>
      </c>
      <c r="BP4108" s="184"/>
    </row>
    <row r="4109" spans="1:68">
      <c r="A4109">
        <v>66256397</v>
      </c>
      <c r="B4109">
        <v>66256397</v>
      </c>
      <c r="C4109" t="s">
        <v>7018</v>
      </c>
      <c r="E4109" s="184"/>
      <c r="G4109" s="184"/>
      <c r="I4109" s="184"/>
      <c r="J4109" t="s">
        <v>595</v>
      </c>
      <c r="K4109" s="184">
        <v>43248</v>
      </c>
      <c r="M4109" s="184"/>
      <c r="O4109" s="184"/>
      <c r="P4109" t="s">
        <v>7045</v>
      </c>
      <c r="Q4109" t="s">
        <v>7030</v>
      </c>
      <c r="R4109" s="184">
        <v>20424</v>
      </c>
      <c r="S4109">
        <v>68</v>
      </c>
      <c r="V4109" t="s">
        <v>25635</v>
      </c>
      <c r="X4109" t="s">
        <v>3224</v>
      </c>
      <c r="Z4109">
        <v>100446815</v>
      </c>
      <c r="AB4109" t="s">
        <v>8701</v>
      </c>
      <c r="AD4109" t="s">
        <v>3224</v>
      </c>
      <c r="AF4109" t="s">
        <v>30509</v>
      </c>
      <c r="AG4109" t="s">
        <v>30510</v>
      </c>
      <c r="AI4109" t="s">
        <v>30511</v>
      </c>
      <c r="AM4109" t="s">
        <v>3601</v>
      </c>
      <c r="AN4109" t="s">
        <v>2201</v>
      </c>
      <c r="AO4109" t="s">
        <v>30512</v>
      </c>
      <c r="AP4109" t="s">
        <v>7024</v>
      </c>
      <c r="AQ4109" t="s">
        <v>30513</v>
      </c>
      <c r="AR4109" t="s">
        <v>30514</v>
      </c>
      <c r="AT4109" s="184">
        <v>41396</v>
      </c>
      <c r="AU4109" t="s">
        <v>30515</v>
      </c>
      <c r="AV4109">
        <v>25</v>
      </c>
      <c r="AW4109" s="184">
        <v>45407</v>
      </c>
      <c r="AX4109" t="s">
        <v>18288</v>
      </c>
      <c r="AY4109">
        <v>100</v>
      </c>
      <c r="AZ4109" s="184">
        <v>45407</v>
      </c>
      <c r="BA4109" t="s">
        <v>18288</v>
      </c>
      <c r="BB4109">
        <v>100</v>
      </c>
      <c r="BC4109">
        <v>100</v>
      </c>
      <c r="BD4109">
        <v>705</v>
      </c>
      <c r="BE4109">
        <v>2013</v>
      </c>
      <c r="BF4109">
        <v>12</v>
      </c>
      <c r="BG4109">
        <v>3</v>
      </c>
      <c r="BH4109">
        <v>300</v>
      </c>
      <c r="BI4109">
        <v>12</v>
      </c>
      <c r="BJ4109">
        <v>12</v>
      </c>
      <c r="BK4109">
        <v>12</v>
      </c>
      <c r="BP4109" s="184"/>
    </row>
    <row r="4110" spans="1:68">
      <c r="A4110">
        <v>66355736</v>
      </c>
      <c r="B4110">
        <v>66355736</v>
      </c>
      <c r="C4110" t="s">
        <v>7018</v>
      </c>
      <c r="D4110" t="s">
        <v>595</v>
      </c>
      <c r="E4110" s="184">
        <v>44104</v>
      </c>
      <c r="G4110" s="184"/>
      <c r="I4110" s="184"/>
      <c r="K4110" s="184"/>
      <c r="M4110" s="184"/>
      <c r="O4110" s="184"/>
      <c r="P4110" t="s">
        <v>7045</v>
      </c>
      <c r="Q4110" t="s">
        <v>7030</v>
      </c>
      <c r="R4110" s="184">
        <v>19419</v>
      </c>
      <c r="S4110">
        <v>71</v>
      </c>
      <c r="U4110" t="s">
        <v>7076</v>
      </c>
      <c r="V4110" t="s">
        <v>3317</v>
      </c>
      <c r="X4110" t="s">
        <v>30516</v>
      </c>
      <c r="AF4110" t="s">
        <v>30517</v>
      </c>
      <c r="AG4110" t="s">
        <v>3317</v>
      </c>
      <c r="AI4110" t="s">
        <v>30518</v>
      </c>
      <c r="AM4110" t="s">
        <v>2637</v>
      </c>
      <c r="AN4110" t="s">
        <v>2638</v>
      </c>
      <c r="AO4110" t="s">
        <v>30519</v>
      </c>
      <c r="AP4110" t="s">
        <v>7024</v>
      </c>
      <c r="AQ4110" t="s">
        <v>30520</v>
      </c>
      <c r="AR4110" t="s">
        <v>30521</v>
      </c>
      <c r="AT4110" s="184">
        <v>41631</v>
      </c>
      <c r="AU4110" t="s">
        <v>30522</v>
      </c>
      <c r="AV4110">
        <v>20</v>
      </c>
      <c r="AW4110" s="184">
        <v>44561</v>
      </c>
      <c r="AX4110" t="s">
        <v>7423</v>
      </c>
      <c r="AY4110">
        <v>30</v>
      </c>
      <c r="AZ4110" s="184">
        <v>44561</v>
      </c>
      <c r="BA4110" t="s">
        <v>7423</v>
      </c>
      <c r="BB4110">
        <v>30</v>
      </c>
      <c r="BC4110">
        <v>75</v>
      </c>
      <c r="BD4110">
        <v>383</v>
      </c>
      <c r="BE4110">
        <v>2014</v>
      </c>
      <c r="BF4110">
        <v>18</v>
      </c>
      <c r="BI4110">
        <v>9</v>
      </c>
      <c r="BJ4110">
        <v>12</v>
      </c>
      <c r="BK4110">
        <v>9</v>
      </c>
      <c r="BP4110" s="184"/>
    </row>
    <row r="4111" spans="1:68">
      <c r="A4111">
        <v>66425000</v>
      </c>
      <c r="B4111">
        <v>66425000</v>
      </c>
      <c r="C4111" t="s">
        <v>7018</v>
      </c>
      <c r="D4111" t="s">
        <v>595</v>
      </c>
      <c r="E4111" s="184">
        <v>44455</v>
      </c>
      <c r="G4111" s="184"/>
      <c r="I4111" s="184"/>
      <c r="K4111" s="184"/>
      <c r="O4111" s="184"/>
      <c r="P4111" t="s">
        <v>7029</v>
      </c>
      <c r="Q4111" t="s">
        <v>7374</v>
      </c>
      <c r="R4111" s="184">
        <v>10032</v>
      </c>
      <c r="S4111">
        <v>96</v>
      </c>
      <c r="U4111" t="s">
        <v>7032</v>
      </c>
      <c r="V4111" t="s">
        <v>3702</v>
      </c>
      <c r="X4111" t="s">
        <v>30523</v>
      </c>
      <c r="Z4111">
        <v>100138899</v>
      </c>
      <c r="AA4111" t="s">
        <v>7076</v>
      </c>
      <c r="AB4111" t="s">
        <v>3468</v>
      </c>
      <c r="AD4111" t="s">
        <v>30523</v>
      </c>
      <c r="AF4111" t="s">
        <v>30524</v>
      </c>
      <c r="AG4111" t="s">
        <v>30525</v>
      </c>
      <c r="AI4111" t="s">
        <v>30526</v>
      </c>
      <c r="AM4111" t="s">
        <v>3721</v>
      </c>
      <c r="AN4111" t="s">
        <v>2081</v>
      </c>
      <c r="AO4111" t="s">
        <v>30527</v>
      </c>
      <c r="AP4111" t="s">
        <v>7024</v>
      </c>
      <c r="AQ4111" t="s">
        <v>30528</v>
      </c>
      <c r="AT4111" s="184">
        <v>45091</v>
      </c>
      <c r="AU4111" t="s">
        <v>30529</v>
      </c>
      <c r="AV4111">
        <v>1000</v>
      </c>
      <c r="AW4111" s="184">
        <v>45091</v>
      </c>
      <c r="AX4111" t="s">
        <v>30529</v>
      </c>
      <c r="AY4111">
        <v>1000</v>
      </c>
      <c r="AZ4111" s="184">
        <v>45091</v>
      </c>
      <c r="BA4111" t="s">
        <v>30529</v>
      </c>
      <c r="BB4111">
        <v>1000</v>
      </c>
      <c r="BC4111">
        <v>50</v>
      </c>
      <c r="BD4111">
        <v>1000</v>
      </c>
      <c r="BE4111">
        <v>2023</v>
      </c>
      <c r="BF4111">
        <v>1</v>
      </c>
      <c r="BG4111">
        <v>1</v>
      </c>
      <c r="BH4111">
        <v>1000</v>
      </c>
      <c r="BI4111">
        <v>1</v>
      </c>
      <c r="BJ4111">
        <v>2</v>
      </c>
      <c r="BK4111">
        <v>1</v>
      </c>
      <c r="BP4111" s="184"/>
    </row>
    <row r="4112" spans="1:68">
      <c r="A4112">
        <v>100138899</v>
      </c>
      <c r="B4112">
        <v>66425000</v>
      </c>
      <c r="C4112" t="s">
        <v>7018</v>
      </c>
      <c r="D4112" t="s">
        <v>595</v>
      </c>
      <c r="E4112" s="184">
        <v>44455</v>
      </c>
      <c r="G4112" s="184"/>
      <c r="H4112" t="s">
        <v>595</v>
      </c>
      <c r="I4112" s="184">
        <v>44328</v>
      </c>
      <c r="K4112" s="184"/>
      <c r="M4112" s="184"/>
      <c r="O4112" s="184"/>
      <c r="P4112" t="s">
        <v>7029</v>
      </c>
      <c r="Q4112" t="s">
        <v>7374</v>
      </c>
      <c r="R4112" s="184">
        <v>11484</v>
      </c>
      <c r="S4112">
        <v>92</v>
      </c>
      <c r="U4112" t="s">
        <v>7076</v>
      </c>
      <c r="V4112" t="s">
        <v>3468</v>
      </c>
      <c r="X4112" t="s">
        <v>30523</v>
      </c>
      <c r="Z4112">
        <v>66425000</v>
      </c>
      <c r="AA4112" t="s">
        <v>7032</v>
      </c>
      <c r="AB4112" t="s">
        <v>3702</v>
      </c>
      <c r="AD4112" t="s">
        <v>30523</v>
      </c>
      <c r="AF4112" t="s">
        <v>30524</v>
      </c>
      <c r="AG4112" t="s">
        <v>30525</v>
      </c>
      <c r="AI4112" t="s">
        <v>30526</v>
      </c>
      <c r="AM4112" t="s">
        <v>3721</v>
      </c>
      <c r="AN4112" t="s">
        <v>2081</v>
      </c>
      <c r="AO4112" t="s">
        <v>30527</v>
      </c>
      <c r="AP4112" t="s">
        <v>7024</v>
      </c>
      <c r="AQ4112" t="s">
        <v>30530</v>
      </c>
      <c r="AR4112" t="s">
        <v>30531</v>
      </c>
      <c r="AT4112" s="184">
        <v>33113</v>
      </c>
      <c r="AU4112" t="s">
        <v>11141</v>
      </c>
      <c r="AV4112">
        <v>15</v>
      </c>
      <c r="AW4112" s="184">
        <v>43864</v>
      </c>
      <c r="AX4112" t="s">
        <v>30532</v>
      </c>
      <c r="AY4112">
        <v>200</v>
      </c>
      <c r="AZ4112" s="184">
        <v>43864</v>
      </c>
      <c r="BA4112" t="s">
        <v>30532</v>
      </c>
      <c r="BB4112">
        <v>200</v>
      </c>
      <c r="BC4112">
        <v>29</v>
      </c>
      <c r="BD4112">
        <v>640</v>
      </c>
      <c r="BE4112">
        <v>1991</v>
      </c>
      <c r="BF4112">
        <v>12</v>
      </c>
      <c r="BI4112">
        <v>10</v>
      </c>
      <c r="BJ4112">
        <v>35</v>
      </c>
      <c r="BK4112">
        <v>3</v>
      </c>
      <c r="BP4112" s="184"/>
    </row>
    <row r="4113" spans="1:68">
      <c r="A4113">
        <v>66431461</v>
      </c>
      <c r="B4113">
        <v>66431461</v>
      </c>
      <c r="C4113" t="s">
        <v>7018</v>
      </c>
      <c r="E4113" s="184"/>
      <c r="G4113" s="184"/>
      <c r="I4113" s="184"/>
      <c r="J4113" t="s">
        <v>595</v>
      </c>
      <c r="K4113" s="184">
        <v>42475</v>
      </c>
      <c r="M4113" s="184"/>
      <c r="O4113" s="184"/>
      <c r="P4113" t="s">
        <v>7045</v>
      </c>
      <c r="Q4113" t="s">
        <v>7374</v>
      </c>
      <c r="R4113" s="184">
        <v>16041</v>
      </c>
      <c r="S4113">
        <v>80</v>
      </c>
      <c r="U4113" t="s">
        <v>7031</v>
      </c>
      <c r="V4113" t="s">
        <v>12868</v>
      </c>
      <c r="W4113" t="s">
        <v>2963</v>
      </c>
      <c r="X4113" t="s">
        <v>30533</v>
      </c>
      <c r="Z4113">
        <v>100340188</v>
      </c>
      <c r="AB4113" t="s">
        <v>3547</v>
      </c>
      <c r="AD4113" t="s">
        <v>30533</v>
      </c>
      <c r="AF4113" t="s">
        <v>6564</v>
      </c>
      <c r="AG4113" t="s">
        <v>30534</v>
      </c>
      <c r="AI4113" t="s">
        <v>30535</v>
      </c>
      <c r="AM4113" t="s">
        <v>30536</v>
      </c>
      <c r="AN4113" t="s">
        <v>2081</v>
      </c>
      <c r="AO4113" t="s">
        <v>30537</v>
      </c>
      <c r="AP4113" t="s">
        <v>7024</v>
      </c>
      <c r="AQ4113" t="s">
        <v>30538</v>
      </c>
      <c r="AT4113" s="184">
        <v>42359</v>
      </c>
      <c r="AU4113" t="s">
        <v>30539</v>
      </c>
      <c r="AV4113">
        <v>10</v>
      </c>
      <c r="AW4113" s="184">
        <v>45409</v>
      </c>
      <c r="AX4113" t="s">
        <v>7429</v>
      </c>
      <c r="AY4113">
        <v>12</v>
      </c>
      <c r="AZ4113" s="184">
        <v>44810</v>
      </c>
      <c r="BA4113" t="s">
        <v>25031</v>
      </c>
      <c r="BB4113">
        <v>100</v>
      </c>
      <c r="BC4113">
        <v>100</v>
      </c>
      <c r="BD4113">
        <v>1464</v>
      </c>
      <c r="BE4113">
        <v>2016</v>
      </c>
      <c r="BF4113">
        <v>104</v>
      </c>
      <c r="BG4113">
        <v>26</v>
      </c>
      <c r="BH4113">
        <v>476</v>
      </c>
      <c r="BI4113">
        <v>10</v>
      </c>
      <c r="BJ4113">
        <v>10</v>
      </c>
      <c r="BK4113">
        <v>10</v>
      </c>
      <c r="BP4113" s="184"/>
    </row>
    <row r="4114" spans="1:68">
      <c r="A4114">
        <v>66432709</v>
      </c>
      <c r="B4114">
        <v>66432709</v>
      </c>
      <c r="C4114" t="s">
        <v>7018</v>
      </c>
      <c r="D4114" t="s">
        <v>595</v>
      </c>
      <c r="E4114" s="184">
        <v>44441</v>
      </c>
      <c r="G4114" s="184"/>
      <c r="I4114" s="184"/>
      <c r="K4114" s="184"/>
      <c r="M4114" s="184"/>
      <c r="O4114" s="184"/>
      <c r="P4114" t="s">
        <v>7045</v>
      </c>
      <c r="Q4114" t="s">
        <v>7374</v>
      </c>
      <c r="R4114" s="184">
        <v>19845</v>
      </c>
      <c r="S4114">
        <v>70</v>
      </c>
      <c r="U4114" t="s">
        <v>7032</v>
      </c>
      <c r="V4114" t="s">
        <v>21758</v>
      </c>
      <c r="X4114" t="s">
        <v>30540</v>
      </c>
      <c r="AF4114" t="s">
        <v>30541</v>
      </c>
      <c r="AG4114" t="s">
        <v>21758</v>
      </c>
      <c r="AI4114" t="s">
        <v>30542</v>
      </c>
      <c r="AM4114" t="s">
        <v>3852</v>
      </c>
      <c r="AN4114" t="s">
        <v>2081</v>
      </c>
      <c r="AO4114" t="s">
        <v>30543</v>
      </c>
      <c r="AP4114" t="s">
        <v>7024</v>
      </c>
      <c r="AQ4114" t="s">
        <v>30544</v>
      </c>
      <c r="AT4114" s="184">
        <v>40963</v>
      </c>
      <c r="AU4114" t="s">
        <v>30545</v>
      </c>
      <c r="AV4114">
        <v>25</v>
      </c>
      <c r="AW4114" s="184">
        <v>45202</v>
      </c>
      <c r="AX4114" t="s">
        <v>30546</v>
      </c>
      <c r="AY4114">
        <v>50</v>
      </c>
      <c r="AZ4114" s="184">
        <v>44005</v>
      </c>
      <c r="BA4114" t="s">
        <v>13048</v>
      </c>
      <c r="BB4114">
        <v>60</v>
      </c>
      <c r="BC4114">
        <v>85</v>
      </c>
      <c r="BD4114">
        <v>540</v>
      </c>
      <c r="BE4114">
        <v>2012</v>
      </c>
      <c r="BF4114">
        <v>12</v>
      </c>
      <c r="BG4114">
        <v>2</v>
      </c>
      <c r="BH4114">
        <v>100</v>
      </c>
      <c r="BI4114">
        <v>11</v>
      </c>
      <c r="BJ4114">
        <v>13</v>
      </c>
      <c r="BK4114">
        <v>10</v>
      </c>
      <c r="BP4114" s="184"/>
    </row>
    <row r="4115" spans="1:68">
      <c r="A4115">
        <v>66433160</v>
      </c>
      <c r="B4115">
        <v>66433160</v>
      </c>
      <c r="C4115" t="s">
        <v>7018</v>
      </c>
      <c r="D4115" t="s">
        <v>595</v>
      </c>
      <c r="E4115" s="184">
        <v>44073</v>
      </c>
      <c r="G4115" s="184"/>
      <c r="I4115" s="184"/>
      <c r="K4115" s="184"/>
      <c r="M4115" s="184"/>
      <c r="O4115" s="184"/>
      <c r="P4115" t="s">
        <v>7045</v>
      </c>
      <c r="Q4115" t="s">
        <v>7383</v>
      </c>
      <c r="R4115" s="184">
        <v>19176</v>
      </c>
      <c r="S4115">
        <v>71</v>
      </c>
      <c r="U4115" t="s">
        <v>7076</v>
      </c>
      <c r="V4115" t="s">
        <v>3981</v>
      </c>
      <c r="X4115" t="s">
        <v>2772</v>
      </c>
      <c r="AF4115" t="s">
        <v>30547</v>
      </c>
      <c r="AG4115" t="s">
        <v>3981</v>
      </c>
      <c r="AI4115" t="s">
        <v>30548</v>
      </c>
      <c r="AM4115" t="s">
        <v>4197</v>
      </c>
      <c r="AN4115" t="s">
        <v>2185</v>
      </c>
      <c r="AO4115" t="s">
        <v>30549</v>
      </c>
      <c r="AP4115" t="s">
        <v>7024</v>
      </c>
      <c r="AQ4115" t="s">
        <v>30550</v>
      </c>
      <c r="AT4115" s="184">
        <v>40908</v>
      </c>
      <c r="AU4115" t="s">
        <v>30551</v>
      </c>
      <c r="AV4115">
        <v>20</v>
      </c>
      <c r="AW4115" s="184">
        <v>45383</v>
      </c>
      <c r="AX4115" t="s">
        <v>11161</v>
      </c>
      <c r="AY4115">
        <v>26.25</v>
      </c>
      <c r="AZ4115" s="184">
        <v>45383</v>
      </c>
      <c r="BA4115" t="s">
        <v>11161</v>
      </c>
      <c r="BB4115">
        <v>26.25</v>
      </c>
      <c r="BC4115">
        <v>43</v>
      </c>
      <c r="BD4115">
        <v>136.25</v>
      </c>
      <c r="BE4115">
        <v>2012</v>
      </c>
      <c r="BF4115">
        <v>6</v>
      </c>
      <c r="BG4115">
        <v>1</v>
      </c>
      <c r="BH4115">
        <v>26.25</v>
      </c>
      <c r="BI4115">
        <v>6</v>
      </c>
      <c r="BJ4115">
        <v>14</v>
      </c>
      <c r="BK4115">
        <v>2</v>
      </c>
      <c r="BP4115" s="184"/>
    </row>
    <row r="4116" spans="1:68">
      <c r="A4116">
        <v>66610775</v>
      </c>
      <c r="B4116">
        <v>66610775</v>
      </c>
      <c r="C4116" t="s">
        <v>7018</v>
      </c>
      <c r="D4116" t="s">
        <v>595</v>
      </c>
      <c r="E4116" s="184">
        <v>43866</v>
      </c>
      <c r="G4116" s="184"/>
      <c r="I4116" s="184"/>
      <c r="K4116" s="184"/>
      <c r="M4116" s="184"/>
      <c r="O4116" s="184"/>
      <c r="P4116" t="s">
        <v>7045</v>
      </c>
      <c r="Q4116" t="s">
        <v>7194</v>
      </c>
      <c r="R4116" s="184">
        <v>15073</v>
      </c>
      <c r="S4116">
        <v>83</v>
      </c>
      <c r="U4116" t="s">
        <v>7130</v>
      </c>
      <c r="V4116" t="s">
        <v>3095</v>
      </c>
      <c r="W4116" t="s">
        <v>2316</v>
      </c>
      <c r="X4116" t="s">
        <v>4749</v>
      </c>
      <c r="AF4116" t="s">
        <v>30552</v>
      </c>
      <c r="AG4116" t="s">
        <v>3095</v>
      </c>
      <c r="AI4116" t="s">
        <v>30553</v>
      </c>
      <c r="AM4116" t="s">
        <v>4750</v>
      </c>
      <c r="AN4116" t="s">
        <v>2046</v>
      </c>
      <c r="AO4116" t="s">
        <v>30554</v>
      </c>
      <c r="AP4116" t="s">
        <v>7024</v>
      </c>
      <c r="AQ4116" t="s">
        <v>30555</v>
      </c>
      <c r="AR4116" t="s">
        <v>30556</v>
      </c>
      <c r="AT4116" s="184">
        <v>40648</v>
      </c>
      <c r="AU4116" t="s">
        <v>30557</v>
      </c>
      <c r="AV4116">
        <v>25</v>
      </c>
      <c r="AW4116" s="184">
        <v>45412</v>
      </c>
      <c r="AX4116" t="s">
        <v>7429</v>
      </c>
      <c r="AY4116">
        <v>12</v>
      </c>
      <c r="AZ4116" s="184">
        <v>41757</v>
      </c>
      <c r="BA4116" t="s">
        <v>30558</v>
      </c>
      <c r="BB4116">
        <v>50</v>
      </c>
      <c r="BC4116">
        <v>100</v>
      </c>
      <c r="BD4116">
        <v>1687</v>
      </c>
      <c r="BE4116">
        <v>2011</v>
      </c>
      <c r="BF4116">
        <v>129</v>
      </c>
      <c r="BG4116">
        <v>24</v>
      </c>
      <c r="BH4116">
        <v>288</v>
      </c>
      <c r="BI4116">
        <v>14</v>
      </c>
      <c r="BJ4116">
        <v>14</v>
      </c>
      <c r="BK4116">
        <v>14</v>
      </c>
      <c r="BP4116" s="184"/>
    </row>
    <row r="4117" spans="1:68">
      <c r="A4117">
        <v>66620618</v>
      </c>
      <c r="B4117">
        <v>66620618</v>
      </c>
      <c r="C4117" t="s">
        <v>7018</v>
      </c>
      <c r="E4117" s="184"/>
      <c r="G4117" s="184"/>
      <c r="I4117" s="184"/>
      <c r="K4117" s="184"/>
      <c r="M4117" s="184"/>
      <c r="N4117" t="s">
        <v>595</v>
      </c>
      <c r="O4117" s="184">
        <v>41221</v>
      </c>
      <c r="P4117" t="s">
        <v>7045</v>
      </c>
      <c r="Q4117" t="s">
        <v>7262</v>
      </c>
      <c r="R4117" s="184">
        <v>13566</v>
      </c>
      <c r="S4117">
        <v>87</v>
      </c>
      <c r="U4117" t="s">
        <v>7031</v>
      </c>
      <c r="V4117" t="s">
        <v>4193</v>
      </c>
      <c r="W4117" t="s">
        <v>115</v>
      </c>
      <c r="X4117" t="s">
        <v>3250</v>
      </c>
      <c r="AF4117" t="s">
        <v>6012</v>
      </c>
      <c r="AG4117" t="s">
        <v>4193</v>
      </c>
      <c r="AI4117" t="s">
        <v>30559</v>
      </c>
      <c r="AM4117" t="s">
        <v>4148</v>
      </c>
      <c r="AN4117" t="s">
        <v>65</v>
      </c>
      <c r="AO4117" t="s">
        <v>30560</v>
      </c>
      <c r="AP4117" t="s">
        <v>7024</v>
      </c>
      <c r="AT4117" s="184">
        <v>40651</v>
      </c>
      <c r="AU4117" t="s">
        <v>30561</v>
      </c>
      <c r="AV4117">
        <v>100</v>
      </c>
      <c r="AW4117" s="184">
        <v>43265</v>
      </c>
      <c r="AX4117" t="s">
        <v>12488</v>
      </c>
      <c r="AY4117">
        <v>100</v>
      </c>
      <c r="AZ4117" s="184">
        <v>41221</v>
      </c>
      <c r="BA4117" t="s">
        <v>15414</v>
      </c>
      <c r="BB4117">
        <v>10000</v>
      </c>
      <c r="BC4117">
        <v>36</v>
      </c>
      <c r="BD4117">
        <v>10650</v>
      </c>
      <c r="BE4117">
        <v>2011</v>
      </c>
      <c r="BF4117">
        <v>7</v>
      </c>
      <c r="BI4117">
        <v>5</v>
      </c>
      <c r="BJ4117">
        <v>14</v>
      </c>
      <c r="BK4117">
        <v>3</v>
      </c>
      <c r="BO4117" t="s">
        <v>595</v>
      </c>
      <c r="BP4117" s="184">
        <v>44509</v>
      </c>
    </row>
    <row r="4118" spans="1:68">
      <c r="A4118">
        <v>66655176</v>
      </c>
      <c r="B4118">
        <v>66655176</v>
      </c>
      <c r="C4118" t="s">
        <v>7018</v>
      </c>
      <c r="E4118" s="184"/>
      <c r="G4118" s="184"/>
      <c r="I4118" s="184"/>
      <c r="J4118" t="s">
        <v>595</v>
      </c>
      <c r="K4118" s="184">
        <v>43481</v>
      </c>
      <c r="M4118" s="184"/>
      <c r="N4118" t="s">
        <v>595</v>
      </c>
      <c r="O4118" s="184">
        <v>40904</v>
      </c>
      <c r="P4118" t="s">
        <v>7084</v>
      </c>
      <c r="Q4118" t="s">
        <v>7020</v>
      </c>
      <c r="R4118" s="184">
        <v>10293</v>
      </c>
      <c r="S4118">
        <v>96</v>
      </c>
      <c r="U4118" t="s">
        <v>7031</v>
      </c>
      <c r="V4118" t="s">
        <v>5006</v>
      </c>
      <c r="W4118" t="s">
        <v>3753</v>
      </c>
      <c r="X4118" t="s">
        <v>5299</v>
      </c>
      <c r="Y4118" t="s">
        <v>7047</v>
      </c>
      <c r="AF4118" t="s">
        <v>30562</v>
      </c>
      <c r="AG4118" t="s">
        <v>30563</v>
      </c>
      <c r="AI4118" t="s">
        <v>30564</v>
      </c>
      <c r="AJ4118" t="s">
        <v>30565</v>
      </c>
      <c r="AM4118" t="s">
        <v>5300</v>
      </c>
      <c r="AN4118" t="s">
        <v>2052</v>
      </c>
      <c r="AO4118">
        <v>2150</v>
      </c>
      <c r="AP4118" t="s">
        <v>7024</v>
      </c>
      <c r="AT4118" s="184">
        <v>40652</v>
      </c>
      <c r="AU4118" t="s">
        <v>30566</v>
      </c>
      <c r="AV4118">
        <v>100</v>
      </c>
      <c r="AW4118" s="184">
        <v>45355</v>
      </c>
      <c r="AX4118" t="s">
        <v>7296</v>
      </c>
      <c r="AY4118">
        <v>29500</v>
      </c>
      <c r="AZ4118" s="184">
        <v>43538</v>
      </c>
      <c r="BA4118" t="s">
        <v>7348</v>
      </c>
      <c r="BB4118">
        <v>1694225</v>
      </c>
      <c r="BC4118">
        <v>65</v>
      </c>
      <c r="BD4118">
        <v>3870225</v>
      </c>
      <c r="BE4118">
        <v>2011</v>
      </c>
      <c r="BF4118">
        <v>19</v>
      </c>
      <c r="BG4118">
        <v>1</v>
      </c>
      <c r="BH4118">
        <v>29500</v>
      </c>
      <c r="BI4118">
        <v>9</v>
      </c>
      <c r="BJ4118">
        <v>14</v>
      </c>
      <c r="BK4118">
        <v>3</v>
      </c>
      <c r="BO4118" t="s">
        <v>595</v>
      </c>
      <c r="BP4118" s="184">
        <v>43323</v>
      </c>
    </row>
    <row r="4119" spans="1:68">
      <c r="A4119">
        <v>66666173</v>
      </c>
      <c r="B4119">
        <v>66666173</v>
      </c>
      <c r="C4119" t="s">
        <v>7018</v>
      </c>
      <c r="D4119" t="s">
        <v>595</v>
      </c>
      <c r="E4119" s="184">
        <v>44484</v>
      </c>
      <c r="G4119" s="184"/>
      <c r="I4119" s="184"/>
      <c r="K4119" s="184"/>
      <c r="M4119" s="184"/>
      <c r="O4119" s="184"/>
      <c r="P4119" t="s">
        <v>7045</v>
      </c>
      <c r="Q4119" t="s">
        <v>7494</v>
      </c>
      <c r="R4119" s="184">
        <v>22129</v>
      </c>
      <c r="S4119">
        <v>63</v>
      </c>
      <c r="V4119" t="s">
        <v>30567</v>
      </c>
      <c r="X4119" t="s">
        <v>3175</v>
      </c>
      <c r="AF4119" t="s">
        <v>30568</v>
      </c>
      <c r="AG4119" t="s">
        <v>30567</v>
      </c>
      <c r="AI4119" t="s">
        <v>30569</v>
      </c>
      <c r="AM4119" t="s">
        <v>2582</v>
      </c>
      <c r="AN4119" t="s">
        <v>2174</v>
      </c>
      <c r="AO4119" t="s">
        <v>30570</v>
      </c>
      <c r="AP4119" t="s">
        <v>7024</v>
      </c>
      <c r="AQ4119" t="s">
        <v>30571</v>
      </c>
      <c r="AR4119" t="s">
        <v>30572</v>
      </c>
      <c r="AT4119" s="184">
        <v>40652</v>
      </c>
      <c r="AU4119" t="s">
        <v>30573</v>
      </c>
      <c r="AV4119">
        <v>10</v>
      </c>
      <c r="AW4119" s="184">
        <v>44222</v>
      </c>
      <c r="AX4119" t="s">
        <v>7714</v>
      </c>
      <c r="AY4119">
        <v>25</v>
      </c>
      <c r="AZ4119" s="184">
        <v>44222</v>
      </c>
      <c r="BA4119" t="s">
        <v>7714</v>
      </c>
      <c r="BB4119">
        <v>25</v>
      </c>
      <c r="BC4119">
        <v>50</v>
      </c>
      <c r="BD4119">
        <v>160</v>
      </c>
      <c r="BE4119">
        <v>2011</v>
      </c>
      <c r="BF4119">
        <v>7</v>
      </c>
      <c r="BI4119">
        <v>7</v>
      </c>
      <c r="BJ4119">
        <v>14</v>
      </c>
      <c r="BK4119">
        <v>4</v>
      </c>
      <c r="BP4119" s="184"/>
    </row>
    <row r="4120" spans="1:68">
      <c r="A4120">
        <v>66829391</v>
      </c>
      <c r="B4120">
        <v>66829391</v>
      </c>
      <c r="C4120" t="s">
        <v>7018</v>
      </c>
      <c r="D4120" t="s">
        <v>595</v>
      </c>
      <c r="E4120" s="184">
        <v>44167</v>
      </c>
      <c r="G4120" s="184"/>
      <c r="H4120" t="s">
        <v>595</v>
      </c>
      <c r="I4120" s="184">
        <v>44167</v>
      </c>
      <c r="K4120" s="184"/>
      <c r="M4120" s="184"/>
      <c r="O4120" s="184"/>
      <c r="P4120" t="s">
        <v>7045</v>
      </c>
      <c r="Q4120" t="s">
        <v>7262</v>
      </c>
      <c r="R4120" s="184">
        <v>15651</v>
      </c>
      <c r="S4120">
        <v>81</v>
      </c>
      <c r="V4120" t="s">
        <v>3875</v>
      </c>
      <c r="W4120" t="s">
        <v>205</v>
      </c>
      <c r="X4120" t="s">
        <v>30574</v>
      </c>
      <c r="AF4120" t="s">
        <v>30575</v>
      </c>
      <c r="AG4120" t="s">
        <v>3875</v>
      </c>
      <c r="AI4120" t="s">
        <v>30576</v>
      </c>
      <c r="AM4120" t="s">
        <v>4738</v>
      </c>
      <c r="AN4120" t="s">
        <v>2069</v>
      </c>
      <c r="AO4120" t="s">
        <v>30577</v>
      </c>
      <c r="AP4120" t="s">
        <v>7024</v>
      </c>
      <c r="AQ4120" t="s">
        <v>30578</v>
      </c>
      <c r="AT4120" s="184">
        <v>40658</v>
      </c>
      <c r="AU4120" t="s">
        <v>30579</v>
      </c>
      <c r="AV4120">
        <v>100</v>
      </c>
      <c r="AW4120" s="184">
        <v>42831</v>
      </c>
      <c r="AX4120" t="s">
        <v>30580</v>
      </c>
      <c r="AY4120">
        <v>350</v>
      </c>
      <c r="AZ4120" s="184">
        <v>42831</v>
      </c>
      <c r="BA4120" t="s">
        <v>30580</v>
      </c>
      <c r="BB4120">
        <v>350</v>
      </c>
      <c r="BC4120">
        <v>50</v>
      </c>
      <c r="BD4120">
        <v>2000</v>
      </c>
      <c r="BE4120">
        <v>2011</v>
      </c>
      <c r="BF4120">
        <v>9</v>
      </c>
      <c r="BI4120">
        <v>7</v>
      </c>
      <c r="BJ4120">
        <v>14</v>
      </c>
      <c r="BK4120">
        <v>7</v>
      </c>
      <c r="BN4120" t="s">
        <v>595</v>
      </c>
      <c r="BP4120" s="184"/>
    </row>
    <row r="4121" spans="1:68">
      <c r="A4121">
        <v>66850371</v>
      </c>
      <c r="B4121">
        <v>66850371</v>
      </c>
      <c r="C4121" t="s">
        <v>7018</v>
      </c>
      <c r="D4121" t="s">
        <v>595</v>
      </c>
      <c r="E4121" s="184">
        <v>44167</v>
      </c>
      <c r="G4121" s="184"/>
      <c r="I4121" s="184"/>
      <c r="K4121" s="184"/>
      <c r="M4121" s="184"/>
      <c r="O4121" s="184"/>
      <c r="P4121" t="s">
        <v>7045</v>
      </c>
      <c r="Q4121" t="s">
        <v>7383</v>
      </c>
      <c r="R4121" s="184">
        <v>14238</v>
      </c>
      <c r="S4121">
        <v>85</v>
      </c>
      <c r="V4121" t="s">
        <v>3103</v>
      </c>
      <c r="X4121" t="s">
        <v>2833</v>
      </c>
      <c r="AF4121" t="s">
        <v>30581</v>
      </c>
      <c r="AG4121" t="s">
        <v>3103</v>
      </c>
      <c r="AI4121" t="s">
        <v>30582</v>
      </c>
      <c r="AM4121" t="s">
        <v>30583</v>
      </c>
      <c r="AN4121" t="s">
        <v>2064</v>
      </c>
      <c r="AO4121" t="s">
        <v>30584</v>
      </c>
      <c r="AP4121" t="s">
        <v>7024</v>
      </c>
      <c r="AQ4121" t="s">
        <v>30585</v>
      </c>
      <c r="AT4121" s="184">
        <v>40658</v>
      </c>
      <c r="AU4121" t="s">
        <v>30586</v>
      </c>
      <c r="AV4121">
        <v>15</v>
      </c>
      <c r="AW4121" s="184">
        <v>44895</v>
      </c>
      <c r="AX4121" t="s">
        <v>12308</v>
      </c>
      <c r="AY4121">
        <v>25</v>
      </c>
      <c r="AZ4121" s="184">
        <v>42542</v>
      </c>
      <c r="BA4121" t="s">
        <v>30587</v>
      </c>
      <c r="BB4121">
        <v>60</v>
      </c>
      <c r="BC4121">
        <v>72</v>
      </c>
      <c r="BD4121">
        <v>300</v>
      </c>
      <c r="BE4121">
        <v>2011</v>
      </c>
      <c r="BF4121">
        <v>12</v>
      </c>
      <c r="BG4121">
        <v>1</v>
      </c>
      <c r="BH4121">
        <v>25</v>
      </c>
      <c r="BI4121">
        <v>10</v>
      </c>
      <c r="BJ4121">
        <v>14</v>
      </c>
      <c r="BK4121">
        <v>6</v>
      </c>
      <c r="BP4121" s="184"/>
    </row>
    <row r="4122" spans="1:68">
      <c r="A4122">
        <v>67065375</v>
      </c>
      <c r="B4122">
        <v>67065375</v>
      </c>
      <c r="C4122" t="s">
        <v>7018</v>
      </c>
      <c r="E4122" s="184"/>
      <c r="G4122" s="184"/>
      <c r="H4122" t="s">
        <v>595</v>
      </c>
      <c r="I4122" s="184">
        <v>44109</v>
      </c>
      <c r="J4122" t="s">
        <v>595</v>
      </c>
      <c r="K4122" s="184">
        <v>44104</v>
      </c>
      <c r="M4122" s="184"/>
      <c r="O4122" s="184"/>
      <c r="P4122" t="s">
        <v>7029</v>
      </c>
      <c r="Q4122" t="s">
        <v>7454</v>
      </c>
      <c r="R4122" s="184">
        <v>21033</v>
      </c>
      <c r="S4122">
        <v>66</v>
      </c>
      <c r="V4122" t="s">
        <v>4210</v>
      </c>
      <c r="W4122" t="s">
        <v>3830</v>
      </c>
      <c r="X4122" t="s">
        <v>4995</v>
      </c>
      <c r="Z4122">
        <v>100769105</v>
      </c>
      <c r="AB4122" t="s">
        <v>3689</v>
      </c>
      <c r="AC4122" t="s">
        <v>205</v>
      </c>
      <c r="AD4122" t="s">
        <v>4995</v>
      </c>
      <c r="AF4122" t="s">
        <v>30588</v>
      </c>
      <c r="AG4122" t="s">
        <v>30589</v>
      </c>
      <c r="AI4122" t="s">
        <v>30590</v>
      </c>
      <c r="AM4122" t="s">
        <v>3855</v>
      </c>
      <c r="AN4122" t="s">
        <v>2055</v>
      </c>
      <c r="AO4122" t="s">
        <v>30591</v>
      </c>
      <c r="AP4122" t="s">
        <v>7024</v>
      </c>
      <c r="AQ4122" t="s">
        <v>30592</v>
      </c>
      <c r="AT4122" s="184">
        <v>40665</v>
      </c>
      <c r="AU4122" t="s">
        <v>30593</v>
      </c>
      <c r="AV4122">
        <v>25</v>
      </c>
      <c r="AW4122" s="184">
        <v>45426</v>
      </c>
      <c r="AX4122" t="s">
        <v>7422</v>
      </c>
      <c r="AY4122">
        <v>10</v>
      </c>
      <c r="AZ4122" s="184">
        <v>44903</v>
      </c>
      <c r="BA4122" t="s">
        <v>21464</v>
      </c>
      <c r="BB4122">
        <v>1000</v>
      </c>
      <c r="BC4122">
        <v>93</v>
      </c>
      <c r="BD4122">
        <v>3185</v>
      </c>
      <c r="BE4122">
        <v>2011</v>
      </c>
      <c r="BF4122">
        <v>66</v>
      </c>
      <c r="BG4122">
        <v>26</v>
      </c>
      <c r="BH4122">
        <v>1250</v>
      </c>
      <c r="BI4122">
        <v>13</v>
      </c>
      <c r="BJ4122">
        <v>14</v>
      </c>
      <c r="BK4122">
        <v>9</v>
      </c>
    </row>
    <row r="4123" spans="1:68">
      <c r="A4123">
        <v>67085373</v>
      </c>
      <c r="B4123">
        <v>67085373</v>
      </c>
      <c r="C4123" t="s">
        <v>7018</v>
      </c>
      <c r="D4123" t="s">
        <v>595</v>
      </c>
      <c r="E4123" s="184">
        <v>45196</v>
      </c>
      <c r="G4123" s="184"/>
      <c r="I4123" s="184"/>
      <c r="K4123" s="184"/>
      <c r="M4123" s="184"/>
      <c r="O4123" s="184"/>
      <c r="P4123" t="s">
        <v>7019</v>
      </c>
      <c r="Q4123" t="s">
        <v>7374</v>
      </c>
      <c r="R4123" s="184">
        <v>18080</v>
      </c>
      <c r="S4123">
        <v>74</v>
      </c>
      <c r="V4123" t="s">
        <v>3480</v>
      </c>
      <c r="X4123" t="s">
        <v>30594</v>
      </c>
      <c r="AF4123" t="s">
        <v>30595</v>
      </c>
      <c r="AG4123" t="s">
        <v>3480</v>
      </c>
      <c r="AI4123" t="s">
        <v>30596</v>
      </c>
      <c r="AM4123" t="s">
        <v>18910</v>
      </c>
      <c r="AN4123" t="s">
        <v>2081</v>
      </c>
      <c r="AO4123" t="s">
        <v>30597</v>
      </c>
      <c r="AP4123" t="s">
        <v>7024</v>
      </c>
      <c r="AT4123" s="184">
        <v>40665</v>
      </c>
      <c r="AU4123" t="s">
        <v>30598</v>
      </c>
      <c r="AV4123">
        <v>25</v>
      </c>
      <c r="AW4123" s="184">
        <v>44771</v>
      </c>
      <c r="AX4123" t="s">
        <v>30599</v>
      </c>
      <c r="AY4123">
        <v>60</v>
      </c>
      <c r="AZ4123" s="184">
        <v>44771</v>
      </c>
      <c r="BA4123" t="s">
        <v>30599</v>
      </c>
      <c r="BB4123">
        <v>60</v>
      </c>
      <c r="BC4123">
        <v>36</v>
      </c>
      <c r="BD4123">
        <v>325</v>
      </c>
      <c r="BE4123">
        <v>2011</v>
      </c>
      <c r="BF4123">
        <v>6</v>
      </c>
      <c r="BG4123">
        <v>2</v>
      </c>
      <c r="BH4123">
        <v>120</v>
      </c>
      <c r="BI4123">
        <v>5</v>
      </c>
      <c r="BJ4123">
        <v>14</v>
      </c>
      <c r="BK4123">
        <v>2</v>
      </c>
    </row>
    <row r="4124" spans="1:68">
      <c r="A4124">
        <v>67153973</v>
      </c>
      <c r="B4124">
        <v>67153973</v>
      </c>
      <c r="C4124" t="s">
        <v>7018</v>
      </c>
      <c r="E4124" s="184"/>
      <c r="G4124" s="184"/>
      <c r="I4124" s="184"/>
      <c r="K4124" s="184"/>
      <c r="L4124" t="s">
        <v>595</v>
      </c>
      <c r="M4124" s="184">
        <v>43923</v>
      </c>
      <c r="O4124" s="184"/>
      <c r="P4124" t="s">
        <v>7029</v>
      </c>
      <c r="Q4124" t="s">
        <v>7383</v>
      </c>
      <c r="R4124" s="184">
        <v>16864</v>
      </c>
      <c r="S4124">
        <v>78</v>
      </c>
      <c r="U4124" t="s">
        <v>7076</v>
      </c>
      <c r="V4124" t="s">
        <v>11364</v>
      </c>
      <c r="W4124" t="s">
        <v>3951</v>
      </c>
      <c r="X4124" t="s">
        <v>3224</v>
      </c>
      <c r="Z4124">
        <v>100467059</v>
      </c>
      <c r="AB4124" t="s">
        <v>2989</v>
      </c>
      <c r="AD4124" t="s">
        <v>4936</v>
      </c>
      <c r="AF4124" t="s">
        <v>30600</v>
      </c>
      <c r="AG4124" t="s">
        <v>30601</v>
      </c>
      <c r="AI4124" t="s">
        <v>30602</v>
      </c>
      <c r="AM4124" t="s">
        <v>3911</v>
      </c>
      <c r="AN4124" t="s">
        <v>2274</v>
      </c>
      <c r="AO4124" t="s">
        <v>30603</v>
      </c>
      <c r="AP4124" t="s">
        <v>7024</v>
      </c>
      <c r="AQ4124" t="s">
        <v>30604</v>
      </c>
      <c r="AR4124" t="s">
        <v>30605</v>
      </c>
      <c r="AT4124" s="184">
        <v>40666</v>
      </c>
      <c r="AU4124" t="s">
        <v>30606</v>
      </c>
      <c r="AV4124">
        <v>25</v>
      </c>
      <c r="AW4124" s="184">
        <v>45110</v>
      </c>
      <c r="AX4124" t="s">
        <v>9037</v>
      </c>
      <c r="AY4124">
        <v>200</v>
      </c>
      <c r="AZ4124" s="184">
        <v>43896</v>
      </c>
      <c r="BA4124" t="s">
        <v>30607</v>
      </c>
      <c r="BB4124">
        <v>500</v>
      </c>
      <c r="BC4124">
        <v>93</v>
      </c>
      <c r="BD4124">
        <v>3300</v>
      </c>
      <c r="BE4124">
        <v>2011</v>
      </c>
      <c r="BF4124">
        <v>21</v>
      </c>
      <c r="BG4124">
        <v>2</v>
      </c>
      <c r="BH4124">
        <v>500</v>
      </c>
      <c r="BI4124">
        <v>13</v>
      </c>
      <c r="BJ4124">
        <v>14</v>
      </c>
      <c r="BK4124">
        <v>13</v>
      </c>
    </row>
    <row r="4125" spans="1:68">
      <c r="A4125">
        <v>67167981</v>
      </c>
      <c r="B4125">
        <v>67167981</v>
      </c>
      <c r="C4125" t="s">
        <v>7018</v>
      </c>
      <c r="E4125" s="184"/>
      <c r="G4125" s="184"/>
      <c r="I4125" s="184"/>
      <c r="J4125" t="s">
        <v>595</v>
      </c>
      <c r="K4125" s="184">
        <v>42003</v>
      </c>
      <c r="M4125" s="184"/>
      <c r="O4125" s="184"/>
      <c r="P4125" t="s">
        <v>7045</v>
      </c>
      <c r="Q4125" t="s">
        <v>7383</v>
      </c>
      <c r="R4125" s="184">
        <v>17419</v>
      </c>
      <c r="S4125">
        <v>76</v>
      </c>
      <c r="U4125" t="s">
        <v>7076</v>
      </c>
      <c r="V4125" t="s">
        <v>3043</v>
      </c>
      <c r="W4125" t="s">
        <v>7560</v>
      </c>
      <c r="X4125" t="s">
        <v>5544</v>
      </c>
      <c r="Z4125">
        <v>100219646</v>
      </c>
      <c r="AB4125" t="s">
        <v>2697</v>
      </c>
      <c r="AC4125" t="s">
        <v>3226</v>
      </c>
      <c r="AD4125" t="s">
        <v>5544</v>
      </c>
      <c r="AF4125" t="s">
        <v>30608</v>
      </c>
      <c r="AG4125" t="s">
        <v>3043</v>
      </c>
      <c r="AI4125" t="s">
        <v>30609</v>
      </c>
      <c r="AM4125" t="s">
        <v>2978</v>
      </c>
      <c r="AN4125" t="s">
        <v>2162</v>
      </c>
      <c r="AO4125" t="s">
        <v>30610</v>
      </c>
      <c r="AP4125" t="s">
        <v>7024</v>
      </c>
      <c r="AQ4125" t="s">
        <v>30611</v>
      </c>
      <c r="AT4125" s="184">
        <v>40666</v>
      </c>
      <c r="AU4125" t="s">
        <v>30612</v>
      </c>
      <c r="AV4125">
        <v>25</v>
      </c>
      <c r="AW4125" s="184">
        <v>44984</v>
      </c>
      <c r="AX4125" t="s">
        <v>27134</v>
      </c>
      <c r="AY4125">
        <v>30</v>
      </c>
      <c r="AZ4125" s="184">
        <v>41289</v>
      </c>
      <c r="BA4125" t="s">
        <v>30613</v>
      </c>
      <c r="BB4125">
        <v>225</v>
      </c>
      <c r="BC4125">
        <v>93</v>
      </c>
      <c r="BD4125">
        <v>2935</v>
      </c>
      <c r="BE4125">
        <v>2011</v>
      </c>
      <c r="BF4125">
        <v>122</v>
      </c>
      <c r="BG4125">
        <v>11</v>
      </c>
      <c r="BH4125">
        <v>330</v>
      </c>
      <c r="BI4125">
        <v>13</v>
      </c>
      <c r="BJ4125">
        <v>14</v>
      </c>
      <c r="BK4125">
        <v>13</v>
      </c>
    </row>
    <row r="4126" spans="1:68">
      <c r="A4126">
        <v>100219646</v>
      </c>
      <c r="B4126">
        <v>67167981</v>
      </c>
      <c r="C4126" t="s">
        <v>7018</v>
      </c>
      <c r="E4126" s="184"/>
      <c r="G4126" s="184"/>
      <c r="I4126" s="184"/>
      <c r="J4126" t="s">
        <v>595</v>
      </c>
      <c r="K4126" s="184">
        <v>43654</v>
      </c>
      <c r="M4126" s="184"/>
      <c r="O4126" s="184"/>
      <c r="P4126" t="s">
        <v>7045</v>
      </c>
      <c r="Q4126" t="s">
        <v>7383</v>
      </c>
      <c r="R4126" s="184">
        <v>15220</v>
      </c>
      <c r="S4126">
        <v>82</v>
      </c>
      <c r="V4126" t="s">
        <v>2697</v>
      </c>
      <c r="W4126" t="s">
        <v>3226</v>
      </c>
      <c r="X4126" t="s">
        <v>5544</v>
      </c>
      <c r="Z4126">
        <v>67167981</v>
      </c>
      <c r="AA4126" t="s">
        <v>7076</v>
      </c>
      <c r="AB4126" t="s">
        <v>3043</v>
      </c>
      <c r="AC4126" t="s">
        <v>7560</v>
      </c>
      <c r="AD4126" t="s">
        <v>5544</v>
      </c>
      <c r="AF4126" t="s">
        <v>30608</v>
      </c>
      <c r="AG4126" t="s">
        <v>3043</v>
      </c>
      <c r="AI4126" t="s">
        <v>30609</v>
      </c>
      <c r="AM4126" t="s">
        <v>2978</v>
      </c>
      <c r="AN4126" t="s">
        <v>2162</v>
      </c>
      <c r="AO4126" t="s">
        <v>30610</v>
      </c>
      <c r="AP4126" t="s">
        <v>7024</v>
      </c>
      <c r="AT4126" s="184"/>
      <c r="AW4126" s="184"/>
      <c r="AZ4126" s="184"/>
      <c r="BO4126" t="s">
        <v>595</v>
      </c>
      <c r="BP4126" s="184"/>
    </row>
    <row r="4127" spans="1:68">
      <c r="A4127">
        <v>67218677</v>
      </c>
      <c r="B4127">
        <v>67218677</v>
      </c>
      <c r="C4127" t="s">
        <v>7018</v>
      </c>
      <c r="D4127" t="s">
        <v>595</v>
      </c>
      <c r="E4127" s="184">
        <v>44073</v>
      </c>
      <c r="G4127" s="184"/>
      <c r="I4127" s="184"/>
      <c r="K4127" s="184"/>
      <c r="M4127" s="184"/>
      <c r="O4127" s="184"/>
      <c r="P4127" t="s">
        <v>7045</v>
      </c>
      <c r="Q4127" t="s">
        <v>7454</v>
      </c>
      <c r="R4127" s="184">
        <v>15339</v>
      </c>
      <c r="S4127">
        <v>82</v>
      </c>
      <c r="U4127" t="s">
        <v>7031</v>
      </c>
      <c r="V4127" t="s">
        <v>4587</v>
      </c>
      <c r="X4127" t="s">
        <v>30614</v>
      </c>
      <c r="AF4127" t="s">
        <v>30615</v>
      </c>
      <c r="AG4127" t="s">
        <v>4587</v>
      </c>
      <c r="AI4127" t="s">
        <v>30616</v>
      </c>
      <c r="AM4127" t="s">
        <v>2608</v>
      </c>
      <c r="AN4127" t="s">
        <v>2299</v>
      </c>
      <c r="AO4127" t="s">
        <v>30617</v>
      </c>
      <c r="AP4127" t="s">
        <v>7024</v>
      </c>
      <c r="AQ4127" t="s">
        <v>30618</v>
      </c>
      <c r="AR4127" t="s">
        <v>30619</v>
      </c>
      <c r="AT4127" s="184">
        <v>40668</v>
      </c>
      <c r="AU4127" t="s">
        <v>30620</v>
      </c>
      <c r="AV4127">
        <v>20</v>
      </c>
      <c r="AW4127" s="184">
        <v>45411</v>
      </c>
      <c r="AX4127" t="s">
        <v>22078</v>
      </c>
      <c r="AY4127">
        <v>35</v>
      </c>
      <c r="AZ4127" s="184">
        <v>45411</v>
      </c>
      <c r="BA4127" t="s">
        <v>22078</v>
      </c>
      <c r="BB4127">
        <v>35</v>
      </c>
      <c r="BC4127">
        <v>100</v>
      </c>
      <c r="BD4127">
        <v>540</v>
      </c>
      <c r="BE4127">
        <v>2011</v>
      </c>
      <c r="BF4127">
        <v>20</v>
      </c>
      <c r="BG4127">
        <v>2</v>
      </c>
      <c r="BH4127">
        <v>70</v>
      </c>
      <c r="BI4127">
        <v>14</v>
      </c>
      <c r="BJ4127">
        <v>14</v>
      </c>
      <c r="BK4127">
        <v>14</v>
      </c>
      <c r="BN4127" t="s">
        <v>595</v>
      </c>
    </row>
    <row r="4128" spans="1:68">
      <c r="A4128">
        <v>67274027</v>
      </c>
      <c r="B4128">
        <v>67274027</v>
      </c>
      <c r="C4128" t="s">
        <v>7018</v>
      </c>
      <c r="D4128" t="s">
        <v>595</v>
      </c>
      <c r="E4128" s="184">
        <v>45196</v>
      </c>
      <c r="G4128" s="184"/>
      <c r="I4128" s="184"/>
      <c r="K4128" s="184"/>
      <c r="M4128" s="184"/>
      <c r="O4128" s="184"/>
      <c r="P4128" t="s">
        <v>7045</v>
      </c>
      <c r="Q4128" t="s">
        <v>7030</v>
      </c>
      <c r="R4128" s="184">
        <v>15919</v>
      </c>
      <c r="S4128">
        <v>80</v>
      </c>
      <c r="V4128" t="s">
        <v>30621</v>
      </c>
      <c r="W4128" t="s">
        <v>4013</v>
      </c>
      <c r="X4128" t="s">
        <v>30622</v>
      </c>
      <c r="AF4128" t="s">
        <v>30623</v>
      </c>
      <c r="AG4128" t="s">
        <v>30621</v>
      </c>
      <c r="AI4128" t="s">
        <v>30624</v>
      </c>
      <c r="AM4128" t="s">
        <v>8719</v>
      </c>
      <c r="AN4128" t="s">
        <v>2638</v>
      </c>
      <c r="AO4128" t="s">
        <v>30625</v>
      </c>
      <c r="AP4128" t="s">
        <v>7024</v>
      </c>
      <c r="AT4128" s="184">
        <v>40675</v>
      </c>
      <c r="AU4128" t="s">
        <v>30626</v>
      </c>
      <c r="AV4128">
        <v>25</v>
      </c>
      <c r="AW4128" s="184">
        <v>45380</v>
      </c>
      <c r="AX4128" t="s">
        <v>23454</v>
      </c>
      <c r="AY4128">
        <v>25</v>
      </c>
      <c r="AZ4128" s="184">
        <v>45380</v>
      </c>
      <c r="BA4128" t="s">
        <v>23454</v>
      </c>
      <c r="BB4128">
        <v>25</v>
      </c>
      <c r="BC4128">
        <v>58</v>
      </c>
      <c r="BD4128">
        <v>250</v>
      </c>
      <c r="BE4128">
        <v>2011</v>
      </c>
      <c r="BF4128">
        <v>10</v>
      </c>
      <c r="BG4128">
        <v>3</v>
      </c>
      <c r="BH4128">
        <v>75</v>
      </c>
      <c r="BI4128">
        <v>8</v>
      </c>
      <c r="BJ4128">
        <v>14</v>
      </c>
      <c r="BK4128">
        <v>2</v>
      </c>
    </row>
    <row r="4129" spans="1:68">
      <c r="A4129">
        <v>67276295</v>
      </c>
      <c r="B4129">
        <v>67276295</v>
      </c>
      <c r="C4129" t="s">
        <v>7018</v>
      </c>
      <c r="D4129" t="s">
        <v>595</v>
      </c>
      <c r="E4129" s="184">
        <v>44104</v>
      </c>
      <c r="G4129" s="184"/>
      <c r="I4129" s="184"/>
      <c r="K4129" s="184"/>
      <c r="M4129" s="184"/>
      <c r="O4129" s="184"/>
      <c r="P4129" t="s">
        <v>7045</v>
      </c>
      <c r="Q4129" t="s">
        <v>7020</v>
      </c>
      <c r="R4129" s="184">
        <v>14855</v>
      </c>
      <c r="S4129">
        <v>83</v>
      </c>
      <c r="U4129" t="s">
        <v>7076</v>
      </c>
      <c r="V4129" t="s">
        <v>4664</v>
      </c>
      <c r="X4129" t="s">
        <v>30627</v>
      </c>
      <c r="AF4129" t="s">
        <v>30628</v>
      </c>
      <c r="AG4129" t="s">
        <v>4664</v>
      </c>
      <c r="AI4129" t="s">
        <v>30629</v>
      </c>
      <c r="AM4129" t="s">
        <v>30630</v>
      </c>
      <c r="AN4129" t="s">
        <v>2255</v>
      </c>
      <c r="AO4129" t="s">
        <v>30631</v>
      </c>
      <c r="AP4129" t="s">
        <v>7024</v>
      </c>
      <c r="AQ4129" t="s">
        <v>30632</v>
      </c>
      <c r="AT4129" s="184">
        <v>40675</v>
      </c>
      <c r="AU4129" t="s">
        <v>30633</v>
      </c>
      <c r="AV4129">
        <v>25</v>
      </c>
      <c r="AW4129" s="184">
        <v>43850</v>
      </c>
      <c r="AX4129" t="s">
        <v>28308</v>
      </c>
      <c r="AY4129">
        <v>100</v>
      </c>
      <c r="AZ4129" s="184">
        <v>43754</v>
      </c>
      <c r="BA4129" t="s">
        <v>30634</v>
      </c>
      <c r="BB4129">
        <v>150</v>
      </c>
      <c r="BC4129">
        <v>65</v>
      </c>
      <c r="BD4129">
        <v>1195</v>
      </c>
      <c r="BE4129">
        <v>2011</v>
      </c>
      <c r="BF4129">
        <v>15</v>
      </c>
      <c r="BI4129">
        <v>9</v>
      </c>
      <c r="BJ4129">
        <v>14</v>
      </c>
      <c r="BK4129">
        <v>6</v>
      </c>
      <c r="BN4129" t="s">
        <v>595</v>
      </c>
      <c r="BP4129" s="184"/>
    </row>
    <row r="4130" spans="1:68">
      <c r="A4130">
        <v>67298778</v>
      </c>
      <c r="B4130">
        <v>67298778</v>
      </c>
      <c r="C4130" t="s">
        <v>7018</v>
      </c>
      <c r="D4130" t="s">
        <v>595</v>
      </c>
      <c r="E4130" s="184">
        <v>45113</v>
      </c>
      <c r="G4130" s="184"/>
      <c r="I4130" s="184"/>
      <c r="K4130" s="184"/>
      <c r="M4130" s="184"/>
      <c r="O4130" s="184"/>
      <c r="P4130" t="s">
        <v>7045</v>
      </c>
      <c r="Q4130" t="s">
        <v>7160</v>
      </c>
      <c r="R4130" s="184">
        <v>25821</v>
      </c>
      <c r="S4130">
        <v>53</v>
      </c>
      <c r="U4130" t="s">
        <v>7031</v>
      </c>
      <c r="V4130" t="s">
        <v>2867</v>
      </c>
      <c r="X4130" t="s">
        <v>30635</v>
      </c>
      <c r="AF4130" t="s">
        <v>30636</v>
      </c>
      <c r="AG4130" t="s">
        <v>2867</v>
      </c>
      <c r="AI4130" t="s">
        <v>30637</v>
      </c>
      <c r="AM4130" t="s">
        <v>4515</v>
      </c>
      <c r="AN4130" t="s">
        <v>2395</v>
      </c>
      <c r="AO4130" t="s">
        <v>30638</v>
      </c>
      <c r="AP4130" t="s">
        <v>7024</v>
      </c>
      <c r="AQ4130" t="s">
        <v>30639</v>
      </c>
      <c r="AR4130" t="s">
        <v>30640</v>
      </c>
      <c r="AT4130" s="184">
        <v>40676</v>
      </c>
      <c r="AU4130" t="s">
        <v>30641</v>
      </c>
      <c r="AV4130">
        <v>20</v>
      </c>
      <c r="AW4130" s="184">
        <v>44033</v>
      </c>
      <c r="AX4130" t="s">
        <v>16818</v>
      </c>
      <c r="AY4130">
        <v>20</v>
      </c>
      <c r="AZ4130" s="184">
        <v>44033</v>
      </c>
      <c r="BA4130" t="s">
        <v>16818</v>
      </c>
      <c r="BB4130">
        <v>20</v>
      </c>
      <c r="BC4130">
        <v>72</v>
      </c>
      <c r="BD4130">
        <v>188</v>
      </c>
      <c r="BE4130">
        <v>2011</v>
      </c>
      <c r="BF4130">
        <v>10</v>
      </c>
      <c r="BI4130">
        <v>10</v>
      </c>
      <c r="BJ4130">
        <v>14</v>
      </c>
      <c r="BK4130">
        <v>10</v>
      </c>
    </row>
    <row r="4131" spans="1:68">
      <c r="A4131">
        <v>67307785</v>
      </c>
      <c r="B4131">
        <v>67307785</v>
      </c>
      <c r="C4131" t="s">
        <v>7018</v>
      </c>
      <c r="D4131" t="s">
        <v>595</v>
      </c>
      <c r="E4131" s="184">
        <v>44168</v>
      </c>
      <c r="G4131" s="184"/>
      <c r="I4131" s="184"/>
      <c r="K4131" s="184"/>
      <c r="M4131" s="184"/>
      <c r="O4131" s="184"/>
      <c r="P4131" t="s">
        <v>7045</v>
      </c>
      <c r="Q4131" t="s">
        <v>7194</v>
      </c>
      <c r="R4131" s="184">
        <v>16482</v>
      </c>
      <c r="S4131">
        <v>79</v>
      </c>
      <c r="U4131" t="s">
        <v>7076</v>
      </c>
      <c r="V4131" t="s">
        <v>2845</v>
      </c>
      <c r="X4131" t="s">
        <v>30642</v>
      </c>
      <c r="AF4131" t="s">
        <v>30643</v>
      </c>
      <c r="AG4131" t="s">
        <v>2845</v>
      </c>
      <c r="AI4131" t="s">
        <v>30644</v>
      </c>
      <c r="AM4131" t="s">
        <v>3623</v>
      </c>
      <c r="AN4131" t="s">
        <v>2046</v>
      </c>
      <c r="AO4131" t="s">
        <v>30645</v>
      </c>
      <c r="AP4131" t="s">
        <v>7024</v>
      </c>
      <c r="AQ4131" t="s">
        <v>30646</v>
      </c>
      <c r="AT4131" s="184">
        <v>40676</v>
      </c>
      <c r="AU4131" t="s">
        <v>30647</v>
      </c>
      <c r="AV4131">
        <v>50</v>
      </c>
      <c r="AW4131" s="184">
        <v>44438</v>
      </c>
      <c r="AX4131" t="s">
        <v>18022</v>
      </c>
      <c r="AY4131">
        <v>125</v>
      </c>
      <c r="AZ4131" s="184">
        <v>44438</v>
      </c>
      <c r="BA4131" t="s">
        <v>18022</v>
      </c>
      <c r="BB4131">
        <v>125</v>
      </c>
      <c r="BC4131">
        <v>72</v>
      </c>
      <c r="BD4131">
        <v>1400</v>
      </c>
      <c r="BE4131">
        <v>2011</v>
      </c>
      <c r="BF4131">
        <v>29</v>
      </c>
      <c r="BI4131">
        <v>10</v>
      </c>
      <c r="BJ4131">
        <v>14</v>
      </c>
      <c r="BK4131">
        <v>7</v>
      </c>
      <c r="BN4131" t="s">
        <v>595</v>
      </c>
    </row>
    <row r="4132" spans="1:68">
      <c r="A4132">
        <v>67333419</v>
      </c>
      <c r="B4132">
        <v>67333419</v>
      </c>
      <c r="C4132" t="s">
        <v>7018</v>
      </c>
      <c r="E4132" s="184"/>
      <c r="F4132" t="s">
        <v>595</v>
      </c>
      <c r="G4132" s="184">
        <v>44104</v>
      </c>
      <c r="I4132" s="184"/>
      <c r="K4132" s="184"/>
      <c r="M4132" s="184"/>
      <c r="P4132" t="s">
        <v>7029</v>
      </c>
      <c r="Q4132" t="s">
        <v>7030</v>
      </c>
      <c r="R4132" s="184">
        <v>18264</v>
      </c>
      <c r="S4132">
        <v>74</v>
      </c>
      <c r="U4132" t="s">
        <v>7130</v>
      </c>
      <c r="V4132" t="s">
        <v>2995</v>
      </c>
      <c r="W4132" t="s">
        <v>3226</v>
      </c>
      <c r="X4132" t="s">
        <v>30648</v>
      </c>
      <c r="Z4132">
        <v>100139749</v>
      </c>
      <c r="AA4132" t="s">
        <v>7031</v>
      </c>
      <c r="AB4132" t="s">
        <v>2687</v>
      </c>
      <c r="AC4132" t="s">
        <v>4152</v>
      </c>
      <c r="AD4132" t="s">
        <v>30648</v>
      </c>
      <c r="AF4132" t="s">
        <v>30649</v>
      </c>
      <c r="AG4132" t="s">
        <v>30650</v>
      </c>
      <c r="AI4132" t="s">
        <v>30651</v>
      </c>
      <c r="AM4132" t="s">
        <v>2564</v>
      </c>
      <c r="AN4132" t="s">
        <v>2089</v>
      </c>
      <c r="AO4132" t="s">
        <v>30652</v>
      </c>
      <c r="AP4132" t="s">
        <v>7024</v>
      </c>
      <c r="AQ4132" t="s">
        <v>30653</v>
      </c>
      <c r="AT4132" s="184">
        <v>40679</v>
      </c>
      <c r="AU4132" t="s">
        <v>30654</v>
      </c>
      <c r="AV4132">
        <v>50</v>
      </c>
      <c r="AW4132" s="184">
        <v>45357</v>
      </c>
      <c r="AX4132" t="s">
        <v>30655</v>
      </c>
      <c r="AY4132">
        <v>500</v>
      </c>
      <c r="AZ4132" s="184">
        <v>45357</v>
      </c>
      <c r="BA4132" t="s">
        <v>30655</v>
      </c>
      <c r="BB4132">
        <v>500</v>
      </c>
      <c r="BC4132">
        <v>100</v>
      </c>
      <c r="BD4132">
        <v>32950</v>
      </c>
      <c r="BE4132">
        <v>2011</v>
      </c>
      <c r="BF4132">
        <v>120</v>
      </c>
      <c r="BG4132">
        <v>17</v>
      </c>
      <c r="BH4132">
        <v>5650</v>
      </c>
      <c r="BI4132">
        <v>14</v>
      </c>
      <c r="BJ4132">
        <v>14</v>
      </c>
      <c r="BK4132">
        <v>14</v>
      </c>
      <c r="BN4132" t="s">
        <v>595</v>
      </c>
    </row>
    <row r="4133" spans="1:68">
      <c r="A4133">
        <v>100139749</v>
      </c>
      <c r="B4133">
        <v>67333419</v>
      </c>
      <c r="C4133" t="s">
        <v>7018</v>
      </c>
      <c r="E4133" s="184"/>
      <c r="F4133" t="s">
        <v>595</v>
      </c>
      <c r="G4133" s="184">
        <v>44104</v>
      </c>
      <c r="I4133" s="184"/>
      <c r="K4133" s="184"/>
      <c r="M4133" s="184"/>
      <c r="P4133" t="s">
        <v>7029</v>
      </c>
      <c r="Q4133" t="s">
        <v>7030</v>
      </c>
      <c r="R4133" s="184">
        <v>18598</v>
      </c>
      <c r="S4133">
        <v>73</v>
      </c>
      <c r="U4133" t="s">
        <v>7031</v>
      </c>
      <c r="V4133" t="s">
        <v>2687</v>
      </c>
      <c r="W4133" t="s">
        <v>4152</v>
      </c>
      <c r="X4133" t="s">
        <v>30648</v>
      </c>
      <c r="Z4133">
        <v>67333419</v>
      </c>
      <c r="AA4133" t="s">
        <v>7130</v>
      </c>
      <c r="AB4133" t="s">
        <v>2995</v>
      </c>
      <c r="AC4133" t="s">
        <v>3226</v>
      </c>
      <c r="AD4133" t="s">
        <v>30648</v>
      </c>
      <c r="AF4133" t="s">
        <v>30649</v>
      </c>
      <c r="AG4133" t="s">
        <v>30650</v>
      </c>
      <c r="AI4133" t="s">
        <v>30651</v>
      </c>
      <c r="AM4133" t="s">
        <v>2564</v>
      </c>
      <c r="AN4133" t="s">
        <v>2089</v>
      </c>
      <c r="AO4133" t="s">
        <v>30652</v>
      </c>
      <c r="AP4133" t="s">
        <v>7024</v>
      </c>
      <c r="AQ4133" t="s">
        <v>30656</v>
      </c>
      <c r="AT4133" s="184"/>
      <c r="AW4133" s="184"/>
      <c r="AZ4133" s="184"/>
    </row>
    <row r="4134" spans="1:68">
      <c r="A4134">
        <v>67335778</v>
      </c>
      <c r="B4134">
        <v>67335778</v>
      </c>
      <c r="C4134" t="s">
        <v>7018</v>
      </c>
      <c r="D4134" t="s">
        <v>595</v>
      </c>
      <c r="E4134" s="184">
        <v>44438</v>
      </c>
      <c r="G4134" s="184"/>
      <c r="I4134" s="184"/>
      <c r="K4134" s="184"/>
      <c r="M4134" s="184"/>
      <c r="O4134" s="184"/>
      <c r="P4134" t="s">
        <v>7019</v>
      </c>
      <c r="Q4134" t="s">
        <v>7383</v>
      </c>
      <c r="R4134" s="184">
        <v>21064</v>
      </c>
      <c r="S4134">
        <v>66</v>
      </c>
      <c r="V4134" t="s">
        <v>3147</v>
      </c>
      <c r="X4134" t="s">
        <v>30657</v>
      </c>
      <c r="AF4134" t="s">
        <v>30658</v>
      </c>
      <c r="AG4134" t="s">
        <v>3147</v>
      </c>
      <c r="AI4134" t="s">
        <v>30659</v>
      </c>
      <c r="AM4134" t="s">
        <v>30660</v>
      </c>
      <c r="AN4134" t="s">
        <v>2274</v>
      </c>
      <c r="AO4134" t="s">
        <v>30661</v>
      </c>
      <c r="AP4134" t="s">
        <v>7024</v>
      </c>
      <c r="AQ4134" t="s">
        <v>30662</v>
      </c>
      <c r="AR4134" t="s">
        <v>30663</v>
      </c>
      <c r="AT4134" s="184">
        <v>40679</v>
      </c>
      <c r="AU4134" t="s">
        <v>30664</v>
      </c>
      <c r="AV4134">
        <v>25</v>
      </c>
      <c r="AW4134" s="184">
        <v>44893</v>
      </c>
      <c r="AX4134" t="s">
        <v>12718</v>
      </c>
      <c r="AY4134">
        <v>87</v>
      </c>
      <c r="AZ4134" s="184">
        <v>44893</v>
      </c>
      <c r="BA4134" t="s">
        <v>12718</v>
      </c>
      <c r="BB4134">
        <v>87</v>
      </c>
      <c r="BC4134">
        <v>58</v>
      </c>
      <c r="BD4134">
        <v>451.97</v>
      </c>
      <c r="BE4134">
        <v>2011</v>
      </c>
      <c r="BF4134">
        <v>11</v>
      </c>
      <c r="BG4134">
        <v>1</v>
      </c>
      <c r="BH4134">
        <v>87</v>
      </c>
      <c r="BI4134">
        <v>8</v>
      </c>
      <c r="BJ4134">
        <v>14</v>
      </c>
      <c r="BK4134">
        <v>4</v>
      </c>
      <c r="BN4134" t="s">
        <v>595</v>
      </c>
      <c r="BP4134" s="184"/>
    </row>
    <row r="4135" spans="1:68">
      <c r="A4135">
        <v>67346213</v>
      </c>
      <c r="B4135">
        <v>67346213</v>
      </c>
      <c r="C4135" t="s">
        <v>7018</v>
      </c>
      <c r="D4135" t="s">
        <v>595</v>
      </c>
      <c r="E4135" s="184">
        <v>44484</v>
      </c>
      <c r="G4135" s="184"/>
      <c r="I4135" s="184"/>
      <c r="K4135" s="184"/>
      <c r="M4135" s="184"/>
      <c r="O4135" s="184"/>
      <c r="P4135" t="s">
        <v>7045</v>
      </c>
      <c r="Q4135" t="s">
        <v>7383</v>
      </c>
      <c r="R4135" s="184">
        <v>15971</v>
      </c>
      <c r="S4135">
        <v>80</v>
      </c>
      <c r="V4135" t="s">
        <v>2871</v>
      </c>
      <c r="W4135" t="s">
        <v>7560</v>
      </c>
      <c r="X4135" t="s">
        <v>30665</v>
      </c>
      <c r="AF4135" t="s">
        <v>30666</v>
      </c>
      <c r="AG4135" t="s">
        <v>2871</v>
      </c>
      <c r="AI4135" t="s">
        <v>30667</v>
      </c>
      <c r="AM4135" t="s">
        <v>4031</v>
      </c>
      <c r="AN4135" t="s">
        <v>2059</v>
      </c>
      <c r="AO4135" t="s">
        <v>30668</v>
      </c>
      <c r="AP4135" t="s">
        <v>7024</v>
      </c>
      <c r="AQ4135" t="s">
        <v>30669</v>
      </c>
      <c r="AT4135" s="184">
        <v>40680</v>
      </c>
      <c r="AU4135" t="s">
        <v>30670</v>
      </c>
      <c r="AV4135">
        <v>15</v>
      </c>
      <c r="AW4135" s="184">
        <v>44188</v>
      </c>
      <c r="AX4135" t="s">
        <v>30671</v>
      </c>
      <c r="AY4135">
        <v>25</v>
      </c>
      <c r="AZ4135" s="184">
        <v>42373</v>
      </c>
      <c r="BA4135" t="s">
        <v>30672</v>
      </c>
      <c r="BB4135">
        <v>85</v>
      </c>
      <c r="BC4135">
        <v>36</v>
      </c>
      <c r="BD4135">
        <v>180</v>
      </c>
      <c r="BE4135">
        <v>2011</v>
      </c>
      <c r="BF4135">
        <v>5</v>
      </c>
      <c r="BI4135">
        <v>5</v>
      </c>
      <c r="BJ4135">
        <v>14</v>
      </c>
      <c r="BK4135">
        <v>2</v>
      </c>
    </row>
    <row r="4136" spans="1:68">
      <c r="A4136">
        <v>67366997</v>
      </c>
      <c r="B4136">
        <v>67366997</v>
      </c>
      <c r="C4136" t="s">
        <v>7018</v>
      </c>
      <c r="E4136" s="184"/>
      <c r="G4136" s="184"/>
      <c r="H4136" t="s">
        <v>595</v>
      </c>
      <c r="I4136" s="184">
        <v>44630</v>
      </c>
      <c r="K4136" s="184"/>
      <c r="M4136" s="184"/>
      <c r="P4136" t="s">
        <v>7045</v>
      </c>
      <c r="Q4136" t="s">
        <v>7374</v>
      </c>
      <c r="R4136" s="184">
        <v>13612</v>
      </c>
      <c r="S4136">
        <v>87</v>
      </c>
      <c r="V4136" t="s">
        <v>2697</v>
      </c>
      <c r="X4136" t="s">
        <v>3436</v>
      </c>
      <c r="Z4136">
        <v>100139800</v>
      </c>
      <c r="AB4136" t="s">
        <v>3801</v>
      </c>
      <c r="AD4136" t="s">
        <v>3436</v>
      </c>
      <c r="AF4136" t="s">
        <v>30673</v>
      </c>
      <c r="AG4136" t="s">
        <v>30674</v>
      </c>
      <c r="AI4136" t="s">
        <v>30675</v>
      </c>
      <c r="AM4136" t="s">
        <v>3402</v>
      </c>
      <c r="AN4136" t="s">
        <v>2081</v>
      </c>
      <c r="AO4136" t="s">
        <v>30676</v>
      </c>
      <c r="AP4136" t="s">
        <v>7024</v>
      </c>
      <c r="AQ4136" t="s">
        <v>30677</v>
      </c>
      <c r="AT4136" s="184">
        <v>40682</v>
      </c>
      <c r="AU4136" t="s">
        <v>30678</v>
      </c>
      <c r="AV4136">
        <v>15</v>
      </c>
      <c r="AW4136" s="184">
        <v>45394</v>
      </c>
      <c r="AX4136" t="s">
        <v>14823</v>
      </c>
      <c r="AY4136">
        <v>25</v>
      </c>
      <c r="AZ4136" s="184">
        <v>45394</v>
      </c>
      <c r="BA4136" t="s">
        <v>14823</v>
      </c>
      <c r="BB4136">
        <v>25</v>
      </c>
      <c r="BC4136">
        <v>50</v>
      </c>
      <c r="BD4136">
        <v>290</v>
      </c>
      <c r="BE4136">
        <v>2011</v>
      </c>
      <c r="BF4136">
        <v>13</v>
      </c>
      <c r="BG4136">
        <v>2</v>
      </c>
      <c r="BH4136">
        <v>50</v>
      </c>
      <c r="BI4136">
        <v>7</v>
      </c>
      <c r="BJ4136">
        <v>14</v>
      </c>
      <c r="BK4136">
        <v>3</v>
      </c>
    </row>
    <row r="4137" spans="1:68">
      <c r="A4137">
        <v>100139800</v>
      </c>
      <c r="B4137">
        <v>67366997</v>
      </c>
      <c r="C4137" t="s">
        <v>7018</v>
      </c>
      <c r="E4137" s="184"/>
      <c r="G4137" s="184"/>
      <c r="H4137" t="s">
        <v>595</v>
      </c>
      <c r="I4137" s="184">
        <v>44630</v>
      </c>
      <c r="K4137" s="184"/>
      <c r="M4137" s="184"/>
      <c r="O4137" s="184"/>
      <c r="P4137" t="s">
        <v>7045</v>
      </c>
      <c r="Q4137" t="s">
        <v>7374</v>
      </c>
      <c r="R4137" s="184">
        <v>14105</v>
      </c>
      <c r="S4137">
        <v>85</v>
      </c>
      <c r="V4137" t="s">
        <v>3801</v>
      </c>
      <c r="X4137" t="s">
        <v>3436</v>
      </c>
      <c r="Z4137">
        <v>67366997</v>
      </c>
      <c r="AB4137" t="s">
        <v>2697</v>
      </c>
      <c r="AD4137" t="s">
        <v>3436</v>
      </c>
      <c r="AF4137" t="s">
        <v>30673</v>
      </c>
      <c r="AG4137" t="s">
        <v>30674</v>
      </c>
      <c r="AI4137" t="s">
        <v>30675</v>
      </c>
      <c r="AM4137" t="s">
        <v>3402</v>
      </c>
      <c r="AN4137" t="s">
        <v>2081</v>
      </c>
      <c r="AO4137" t="s">
        <v>30676</v>
      </c>
      <c r="AP4137" t="s">
        <v>7024</v>
      </c>
      <c r="AT4137" s="184"/>
      <c r="AW4137" s="184"/>
      <c r="AZ4137" s="184"/>
    </row>
    <row r="4138" spans="1:68">
      <c r="A4138">
        <v>67406611</v>
      </c>
      <c r="B4138">
        <v>67406611</v>
      </c>
      <c r="C4138" t="s">
        <v>7018</v>
      </c>
      <c r="E4138" s="184"/>
      <c r="G4138" s="184"/>
      <c r="I4138" s="184"/>
      <c r="J4138" t="s">
        <v>595</v>
      </c>
      <c r="K4138" s="184">
        <v>44644</v>
      </c>
      <c r="M4138" s="184"/>
      <c r="P4138" t="s">
        <v>7045</v>
      </c>
      <c r="Q4138" t="s">
        <v>8385</v>
      </c>
      <c r="R4138" s="184">
        <v>21702</v>
      </c>
      <c r="S4138">
        <v>64</v>
      </c>
      <c r="V4138" t="s">
        <v>2718</v>
      </c>
      <c r="X4138" t="s">
        <v>30679</v>
      </c>
      <c r="AF4138" t="s">
        <v>30680</v>
      </c>
      <c r="AG4138" t="s">
        <v>2718</v>
      </c>
      <c r="AI4138" t="s">
        <v>30681</v>
      </c>
      <c r="AJ4138" t="s">
        <v>30682</v>
      </c>
      <c r="AM4138" t="s">
        <v>4842</v>
      </c>
      <c r="AN4138" t="s">
        <v>2181</v>
      </c>
      <c r="AO4138" t="s">
        <v>30683</v>
      </c>
      <c r="AP4138" t="s">
        <v>7024</v>
      </c>
      <c r="AQ4138" t="s">
        <v>30684</v>
      </c>
      <c r="AT4138" s="184">
        <v>40686</v>
      </c>
      <c r="AU4138" t="s">
        <v>30685</v>
      </c>
      <c r="AV4138">
        <v>25</v>
      </c>
      <c r="AW4138" s="184">
        <v>45301</v>
      </c>
      <c r="AX4138" t="s">
        <v>7168</v>
      </c>
      <c r="AY4138">
        <v>100</v>
      </c>
      <c r="AZ4138" s="184">
        <v>45301</v>
      </c>
      <c r="BA4138" t="s">
        <v>7168</v>
      </c>
      <c r="BB4138">
        <v>100</v>
      </c>
      <c r="BC4138">
        <v>79</v>
      </c>
      <c r="BD4138">
        <v>1075</v>
      </c>
      <c r="BE4138">
        <v>2011</v>
      </c>
      <c r="BF4138">
        <v>14</v>
      </c>
      <c r="BG4138">
        <v>2</v>
      </c>
      <c r="BH4138">
        <v>200</v>
      </c>
      <c r="BI4138">
        <v>11</v>
      </c>
      <c r="BJ4138">
        <v>14</v>
      </c>
      <c r="BK4138">
        <v>7</v>
      </c>
    </row>
    <row r="4139" spans="1:68">
      <c r="A4139">
        <v>67538785</v>
      </c>
      <c r="B4139">
        <v>67538785</v>
      </c>
      <c r="C4139" t="s">
        <v>7018</v>
      </c>
      <c r="D4139" t="s">
        <v>595</v>
      </c>
      <c r="E4139" s="184">
        <v>45133</v>
      </c>
      <c r="I4139" s="184"/>
      <c r="K4139" s="184"/>
      <c r="M4139" s="184"/>
      <c r="P4139" t="s">
        <v>7045</v>
      </c>
      <c r="Q4139" t="s">
        <v>7194</v>
      </c>
      <c r="R4139" s="184">
        <v>26174</v>
      </c>
      <c r="S4139">
        <v>52</v>
      </c>
      <c r="U4139" t="s">
        <v>7031</v>
      </c>
      <c r="V4139" t="s">
        <v>2511</v>
      </c>
      <c r="X4139" t="s">
        <v>3353</v>
      </c>
      <c r="Y4139" t="s">
        <v>7047</v>
      </c>
      <c r="AF4139" t="s">
        <v>30686</v>
      </c>
      <c r="AG4139" t="s">
        <v>2511</v>
      </c>
      <c r="AI4139" t="s">
        <v>30687</v>
      </c>
      <c r="AM4139" t="s">
        <v>4187</v>
      </c>
      <c r="AN4139" t="s">
        <v>2046</v>
      </c>
      <c r="AO4139" t="s">
        <v>30688</v>
      </c>
      <c r="AP4139" t="s">
        <v>7024</v>
      </c>
      <c r="AQ4139" t="s">
        <v>30689</v>
      </c>
      <c r="AR4139" t="s">
        <v>30690</v>
      </c>
      <c r="AT4139" s="184">
        <v>40694</v>
      </c>
      <c r="AU4139" t="s">
        <v>30691</v>
      </c>
      <c r="AV4139">
        <v>50</v>
      </c>
      <c r="AW4139" s="184">
        <v>45358</v>
      </c>
      <c r="AX4139" t="s">
        <v>30692</v>
      </c>
      <c r="AY4139">
        <v>52.5</v>
      </c>
      <c r="AZ4139" s="184">
        <v>45358</v>
      </c>
      <c r="BA4139" t="s">
        <v>30692</v>
      </c>
      <c r="BB4139">
        <v>52.5</v>
      </c>
      <c r="BC4139">
        <v>43</v>
      </c>
      <c r="BD4139">
        <v>247.5</v>
      </c>
      <c r="BE4139">
        <v>2011</v>
      </c>
      <c r="BF4139">
        <v>6</v>
      </c>
      <c r="BG4139">
        <v>1</v>
      </c>
      <c r="BH4139">
        <v>52.5</v>
      </c>
      <c r="BI4139">
        <v>6</v>
      </c>
      <c r="BJ4139">
        <v>14</v>
      </c>
      <c r="BK4139">
        <v>3</v>
      </c>
      <c r="BP4139" s="184"/>
    </row>
    <row r="4140" spans="1:68">
      <c r="A4140">
        <v>67539387</v>
      </c>
      <c r="B4140">
        <v>67539387</v>
      </c>
      <c r="C4140" t="s">
        <v>7018</v>
      </c>
      <c r="D4140" t="s">
        <v>595</v>
      </c>
      <c r="E4140" s="184">
        <v>44104</v>
      </c>
      <c r="G4140" s="184"/>
      <c r="I4140" s="184"/>
      <c r="K4140" s="184"/>
      <c r="M4140" s="184"/>
      <c r="O4140" s="184"/>
      <c r="P4140" t="s">
        <v>7045</v>
      </c>
      <c r="Q4140" t="s">
        <v>7020</v>
      </c>
      <c r="R4140" s="184">
        <v>21257</v>
      </c>
      <c r="S4140">
        <v>66</v>
      </c>
      <c r="U4140" t="s">
        <v>7031</v>
      </c>
      <c r="V4140" t="s">
        <v>4378</v>
      </c>
      <c r="X4140" t="s">
        <v>13924</v>
      </c>
      <c r="AF4140" t="s">
        <v>30693</v>
      </c>
      <c r="AG4140" t="s">
        <v>4378</v>
      </c>
      <c r="AI4140" t="s">
        <v>30694</v>
      </c>
      <c r="AM4140" t="s">
        <v>30695</v>
      </c>
      <c r="AN4140" t="s">
        <v>2465</v>
      </c>
      <c r="AO4140" t="s">
        <v>30696</v>
      </c>
      <c r="AP4140" t="s">
        <v>7024</v>
      </c>
      <c r="AQ4140" t="s">
        <v>30697</v>
      </c>
      <c r="AR4140" t="s">
        <v>30698</v>
      </c>
      <c r="AT4140" s="184">
        <v>40694</v>
      </c>
      <c r="AU4140" t="s">
        <v>30699</v>
      </c>
      <c r="AV4140">
        <v>25</v>
      </c>
      <c r="AW4140" s="184">
        <v>45400</v>
      </c>
      <c r="AX4140" t="s">
        <v>11966</v>
      </c>
      <c r="AY4140">
        <v>40</v>
      </c>
      <c r="AZ4140" s="184">
        <v>43360</v>
      </c>
      <c r="BA4140" t="s">
        <v>12530</v>
      </c>
      <c r="BB4140">
        <v>87</v>
      </c>
      <c r="BC4140">
        <v>100</v>
      </c>
      <c r="BD4140">
        <v>1437</v>
      </c>
      <c r="BE4140">
        <v>2011</v>
      </c>
      <c r="BF4140">
        <v>54</v>
      </c>
      <c r="BG4140">
        <v>12</v>
      </c>
      <c r="BH4140">
        <v>345</v>
      </c>
      <c r="BI4140">
        <v>14</v>
      </c>
      <c r="BJ4140">
        <v>14</v>
      </c>
      <c r="BK4140">
        <v>14</v>
      </c>
    </row>
    <row r="4141" spans="1:68">
      <c r="A4141">
        <v>67583880</v>
      </c>
      <c r="B4141">
        <v>67583880</v>
      </c>
      <c r="C4141" t="s">
        <v>7018</v>
      </c>
      <c r="D4141" t="s">
        <v>595</v>
      </c>
      <c r="E4141" s="184">
        <v>44167</v>
      </c>
      <c r="G4141" s="184"/>
      <c r="I4141" s="184"/>
      <c r="K4141" s="184"/>
      <c r="M4141" s="184"/>
      <c r="O4141" s="184"/>
      <c r="P4141" t="s">
        <v>7045</v>
      </c>
      <c r="Q4141" t="s">
        <v>7454</v>
      </c>
      <c r="R4141" s="184">
        <v>11263</v>
      </c>
      <c r="S4141">
        <v>93</v>
      </c>
      <c r="V4141" t="s">
        <v>4093</v>
      </c>
      <c r="X4141" t="s">
        <v>30700</v>
      </c>
      <c r="Z4141">
        <v>100572141</v>
      </c>
      <c r="AB4141" t="s">
        <v>3147</v>
      </c>
      <c r="AD4141" t="s">
        <v>30700</v>
      </c>
      <c r="AF4141" t="s">
        <v>30701</v>
      </c>
      <c r="AG4141" t="s">
        <v>30702</v>
      </c>
      <c r="AI4141" t="s">
        <v>30703</v>
      </c>
      <c r="AM4141" t="s">
        <v>4002</v>
      </c>
      <c r="AN4141" t="s">
        <v>2055</v>
      </c>
      <c r="AO4141" t="s">
        <v>30704</v>
      </c>
      <c r="AP4141" t="s">
        <v>7024</v>
      </c>
      <c r="AQ4141" t="s">
        <v>30705</v>
      </c>
      <c r="AT4141" s="184">
        <v>40701</v>
      </c>
      <c r="AU4141" t="s">
        <v>30706</v>
      </c>
      <c r="AV4141">
        <v>15</v>
      </c>
      <c r="AW4141" s="184">
        <v>45409</v>
      </c>
      <c r="AX4141" t="s">
        <v>7429</v>
      </c>
      <c r="AY4141">
        <v>8</v>
      </c>
      <c r="AZ4141" s="184">
        <v>42733</v>
      </c>
      <c r="BA4141" t="s">
        <v>7959</v>
      </c>
      <c r="BB4141">
        <v>35</v>
      </c>
      <c r="BC4141">
        <v>100</v>
      </c>
      <c r="BD4141">
        <v>916</v>
      </c>
      <c r="BE4141">
        <v>2011</v>
      </c>
      <c r="BF4141">
        <v>93</v>
      </c>
      <c r="BG4141">
        <v>24</v>
      </c>
      <c r="BH4141">
        <v>192</v>
      </c>
      <c r="BI4141">
        <v>14</v>
      </c>
      <c r="BJ4141">
        <v>14</v>
      </c>
      <c r="BK4141">
        <v>14</v>
      </c>
    </row>
    <row r="4142" spans="1:68">
      <c r="A4142">
        <v>100572141</v>
      </c>
      <c r="B4142">
        <v>67583880</v>
      </c>
      <c r="C4142" t="s">
        <v>7018</v>
      </c>
      <c r="D4142" t="s">
        <v>595</v>
      </c>
      <c r="E4142" s="184">
        <v>44167</v>
      </c>
      <c r="G4142" s="184"/>
      <c r="I4142" s="184"/>
      <c r="K4142" s="184"/>
      <c r="M4142" s="184"/>
      <c r="O4142" s="184"/>
      <c r="P4142" t="s">
        <v>7045</v>
      </c>
      <c r="Q4142" t="s">
        <v>7454</v>
      </c>
      <c r="R4142" s="184"/>
      <c r="V4142" t="s">
        <v>3147</v>
      </c>
      <c r="X4142" t="s">
        <v>30700</v>
      </c>
      <c r="Z4142">
        <v>67583880</v>
      </c>
      <c r="AB4142" t="s">
        <v>4093</v>
      </c>
      <c r="AD4142" t="s">
        <v>30700</v>
      </c>
      <c r="AF4142" t="s">
        <v>30701</v>
      </c>
      <c r="AG4142" t="s">
        <v>30702</v>
      </c>
      <c r="AI4142" t="s">
        <v>30703</v>
      </c>
      <c r="AM4142" t="s">
        <v>4002</v>
      </c>
      <c r="AN4142" t="s">
        <v>2055</v>
      </c>
      <c r="AO4142" t="s">
        <v>30704</v>
      </c>
      <c r="AP4142" t="s">
        <v>7024</v>
      </c>
      <c r="AQ4142" t="s">
        <v>30705</v>
      </c>
      <c r="AT4142" s="184"/>
      <c r="AW4142" s="184"/>
      <c r="AZ4142" s="184"/>
    </row>
    <row r="4143" spans="1:68">
      <c r="A4143">
        <v>67635052</v>
      </c>
      <c r="B4143">
        <v>67635052</v>
      </c>
      <c r="C4143" t="s">
        <v>7018</v>
      </c>
      <c r="D4143" t="s">
        <v>595</v>
      </c>
      <c r="E4143" s="184">
        <v>44070</v>
      </c>
      <c r="G4143" s="184"/>
      <c r="I4143" s="184"/>
      <c r="K4143" s="184"/>
      <c r="M4143" s="184"/>
      <c r="P4143" t="s">
        <v>7045</v>
      </c>
      <c r="Q4143" t="s">
        <v>7020</v>
      </c>
      <c r="R4143" s="184">
        <v>18537</v>
      </c>
      <c r="S4143">
        <v>73</v>
      </c>
      <c r="U4143" t="s">
        <v>7031</v>
      </c>
      <c r="V4143" t="s">
        <v>3111</v>
      </c>
      <c r="X4143" t="s">
        <v>3555</v>
      </c>
      <c r="AF4143" t="s">
        <v>30707</v>
      </c>
      <c r="AG4143" t="s">
        <v>3111</v>
      </c>
      <c r="AI4143" t="s">
        <v>30708</v>
      </c>
      <c r="AM4143" t="s">
        <v>13836</v>
      </c>
      <c r="AN4143" t="s">
        <v>2112</v>
      </c>
      <c r="AO4143" t="s">
        <v>30709</v>
      </c>
      <c r="AP4143" t="s">
        <v>7024</v>
      </c>
      <c r="AQ4143" t="s">
        <v>30710</v>
      </c>
      <c r="AT4143" s="184">
        <v>40716</v>
      </c>
      <c r="AU4143" t="s">
        <v>30711</v>
      </c>
      <c r="AV4143">
        <v>50</v>
      </c>
      <c r="AW4143" s="184">
        <v>44926</v>
      </c>
      <c r="AX4143" t="s">
        <v>30712</v>
      </c>
      <c r="AY4143">
        <v>100</v>
      </c>
      <c r="AZ4143" s="184">
        <v>44926</v>
      </c>
      <c r="BA4143" t="s">
        <v>30712</v>
      </c>
      <c r="BB4143">
        <v>100</v>
      </c>
      <c r="BC4143">
        <v>86</v>
      </c>
      <c r="BD4143">
        <v>1200</v>
      </c>
      <c r="BE4143">
        <v>2011</v>
      </c>
      <c r="BF4143">
        <v>13</v>
      </c>
      <c r="BG4143">
        <v>1</v>
      </c>
      <c r="BH4143">
        <v>100</v>
      </c>
      <c r="BI4143">
        <v>12</v>
      </c>
      <c r="BJ4143">
        <v>14</v>
      </c>
      <c r="BK4143">
        <v>12</v>
      </c>
      <c r="BM4143" t="s">
        <v>595</v>
      </c>
    </row>
    <row r="4144" spans="1:68">
      <c r="A4144">
        <v>67701474</v>
      </c>
      <c r="B4144">
        <v>67701474</v>
      </c>
      <c r="C4144" t="s">
        <v>7018</v>
      </c>
      <c r="D4144" t="s">
        <v>595</v>
      </c>
      <c r="E4144" s="184">
        <v>44484</v>
      </c>
      <c r="G4144" s="184"/>
      <c r="I4144" s="184"/>
      <c r="K4144" s="184"/>
      <c r="M4144" s="184"/>
      <c r="P4144" t="s">
        <v>7045</v>
      </c>
      <c r="Q4144" t="s">
        <v>7454</v>
      </c>
      <c r="R4144" s="184">
        <v>16133</v>
      </c>
      <c r="S4144">
        <v>80</v>
      </c>
      <c r="U4144" t="s">
        <v>7076</v>
      </c>
      <c r="V4144" t="s">
        <v>3317</v>
      </c>
      <c r="X4144" t="s">
        <v>30713</v>
      </c>
      <c r="AF4144" t="s">
        <v>30714</v>
      </c>
      <c r="AG4144" t="s">
        <v>3317</v>
      </c>
      <c r="AI4144" t="s">
        <v>30715</v>
      </c>
      <c r="AM4144" t="s">
        <v>30716</v>
      </c>
      <c r="AN4144" t="s">
        <v>2055</v>
      </c>
      <c r="AO4144" t="s">
        <v>30717</v>
      </c>
      <c r="AP4144" t="s">
        <v>7024</v>
      </c>
      <c r="AQ4144" t="s">
        <v>30718</v>
      </c>
      <c r="AT4144" s="184">
        <v>40770</v>
      </c>
      <c r="AU4144" t="s">
        <v>30719</v>
      </c>
      <c r="AV4144">
        <v>35</v>
      </c>
      <c r="AW4144" s="184">
        <v>45048</v>
      </c>
      <c r="AX4144" t="s">
        <v>30720</v>
      </c>
      <c r="AY4144">
        <v>85</v>
      </c>
      <c r="AZ4144" s="184">
        <v>44365</v>
      </c>
      <c r="BA4144" t="s">
        <v>23304</v>
      </c>
      <c r="BB4144">
        <v>125</v>
      </c>
      <c r="BC4144">
        <v>86</v>
      </c>
      <c r="BD4144">
        <v>1020</v>
      </c>
      <c r="BE4144">
        <v>2012</v>
      </c>
      <c r="BF4144">
        <v>14</v>
      </c>
      <c r="BG4144">
        <v>1</v>
      </c>
      <c r="BH4144">
        <v>85</v>
      </c>
      <c r="BI4144">
        <v>12</v>
      </c>
      <c r="BJ4144">
        <v>14</v>
      </c>
      <c r="BK4144">
        <v>11</v>
      </c>
      <c r="BN4144" t="s">
        <v>595</v>
      </c>
    </row>
    <row r="4145" spans="1:68">
      <c r="A4145">
        <v>67703652</v>
      </c>
      <c r="B4145">
        <v>67703652</v>
      </c>
      <c r="C4145" t="s">
        <v>7018</v>
      </c>
      <c r="D4145" t="s">
        <v>595</v>
      </c>
      <c r="E4145" s="184">
        <v>43836</v>
      </c>
      <c r="G4145" s="184"/>
      <c r="I4145" s="184"/>
      <c r="K4145" s="184"/>
      <c r="M4145" s="184"/>
      <c r="P4145" t="s">
        <v>7045</v>
      </c>
      <c r="Q4145" t="s">
        <v>7454</v>
      </c>
      <c r="R4145" s="184">
        <v>17689</v>
      </c>
      <c r="S4145">
        <v>75</v>
      </c>
      <c r="U4145" t="s">
        <v>7031</v>
      </c>
      <c r="V4145" t="s">
        <v>2851</v>
      </c>
      <c r="X4145" t="s">
        <v>30721</v>
      </c>
      <c r="AF4145" t="s">
        <v>30722</v>
      </c>
      <c r="AG4145" t="s">
        <v>2851</v>
      </c>
      <c r="AI4145" t="s">
        <v>30723</v>
      </c>
      <c r="AM4145" t="s">
        <v>3810</v>
      </c>
      <c r="AN4145" t="s">
        <v>2055</v>
      </c>
      <c r="AO4145" t="s">
        <v>30724</v>
      </c>
      <c r="AP4145" t="s">
        <v>7024</v>
      </c>
      <c r="AQ4145" t="s">
        <v>30725</v>
      </c>
      <c r="AT4145" s="184">
        <v>43025</v>
      </c>
      <c r="AU4145" t="s">
        <v>30726</v>
      </c>
      <c r="AV4145">
        <v>25</v>
      </c>
      <c r="AW4145" s="184">
        <v>44585</v>
      </c>
      <c r="AX4145" t="s">
        <v>30727</v>
      </c>
      <c r="AY4145">
        <v>25</v>
      </c>
      <c r="AZ4145" s="184">
        <v>44585</v>
      </c>
      <c r="BA4145" t="s">
        <v>30727</v>
      </c>
      <c r="BB4145">
        <v>25</v>
      </c>
      <c r="BC4145">
        <v>75</v>
      </c>
      <c r="BD4145">
        <v>150</v>
      </c>
      <c r="BE4145">
        <v>2018</v>
      </c>
      <c r="BF4145">
        <v>6</v>
      </c>
      <c r="BI4145">
        <v>6</v>
      </c>
      <c r="BJ4145">
        <v>8</v>
      </c>
      <c r="BK4145">
        <v>6</v>
      </c>
    </row>
    <row r="4146" spans="1:68">
      <c r="A4146">
        <v>67722801</v>
      </c>
      <c r="B4146">
        <v>67722801</v>
      </c>
      <c r="C4146" t="s">
        <v>7018</v>
      </c>
      <c r="D4146" t="s">
        <v>595</v>
      </c>
      <c r="E4146" s="184">
        <v>45148</v>
      </c>
      <c r="G4146" s="184"/>
      <c r="I4146" s="184"/>
      <c r="K4146" s="184"/>
      <c r="M4146" s="184"/>
      <c r="O4146" s="184"/>
      <c r="P4146" t="s">
        <v>7045</v>
      </c>
      <c r="Q4146" t="s">
        <v>7383</v>
      </c>
      <c r="R4146" s="184">
        <v>24082</v>
      </c>
      <c r="S4146">
        <v>58</v>
      </c>
      <c r="U4146" t="s">
        <v>7094</v>
      </c>
      <c r="V4146" t="s">
        <v>12301</v>
      </c>
      <c r="X4146" t="s">
        <v>30728</v>
      </c>
      <c r="AF4146" t="s">
        <v>30729</v>
      </c>
      <c r="AG4146" t="s">
        <v>12301</v>
      </c>
      <c r="AI4146" t="s">
        <v>30730</v>
      </c>
      <c r="AM4146" t="s">
        <v>3357</v>
      </c>
      <c r="AN4146" t="s">
        <v>2185</v>
      </c>
      <c r="AO4146" t="s">
        <v>30731</v>
      </c>
      <c r="AP4146" t="s">
        <v>7024</v>
      </c>
      <c r="AQ4146" t="s">
        <v>30732</v>
      </c>
      <c r="AR4146" t="s">
        <v>30733</v>
      </c>
      <c r="AT4146" s="184">
        <v>41090</v>
      </c>
      <c r="AU4146" t="s">
        <v>30734</v>
      </c>
      <c r="AV4146">
        <v>20</v>
      </c>
      <c r="AW4146" s="184">
        <v>45408</v>
      </c>
      <c r="AX4146" t="s">
        <v>8271</v>
      </c>
      <c r="AY4146">
        <v>25</v>
      </c>
      <c r="AZ4146" s="184">
        <v>44980</v>
      </c>
      <c r="BA4146" t="s">
        <v>30735</v>
      </c>
      <c r="BB4146">
        <v>40</v>
      </c>
      <c r="BC4146">
        <v>100</v>
      </c>
      <c r="BD4146">
        <v>566.75</v>
      </c>
      <c r="BE4146">
        <v>2012</v>
      </c>
      <c r="BF4146">
        <v>20</v>
      </c>
      <c r="BG4146">
        <v>5</v>
      </c>
      <c r="BH4146">
        <v>161.75</v>
      </c>
      <c r="BI4146">
        <v>13</v>
      </c>
      <c r="BJ4146">
        <v>13</v>
      </c>
      <c r="BK4146">
        <v>13</v>
      </c>
    </row>
    <row r="4147" spans="1:68">
      <c r="A4147">
        <v>67787986</v>
      </c>
      <c r="B4147">
        <v>67787986</v>
      </c>
      <c r="C4147" t="s">
        <v>7018</v>
      </c>
      <c r="D4147" t="s">
        <v>595</v>
      </c>
      <c r="E4147" s="184">
        <v>45180</v>
      </c>
      <c r="G4147" s="184"/>
      <c r="I4147" s="184"/>
      <c r="K4147" s="184"/>
      <c r="M4147" s="184"/>
      <c r="O4147" s="184"/>
      <c r="P4147" t="s">
        <v>7045</v>
      </c>
      <c r="Q4147" t="s">
        <v>7383</v>
      </c>
      <c r="R4147" s="184">
        <v>23163</v>
      </c>
      <c r="S4147">
        <v>60</v>
      </c>
      <c r="U4147" t="s">
        <v>7094</v>
      </c>
      <c r="V4147" t="s">
        <v>3187</v>
      </c>
      <c r="X4147" t="s">
        <v>5309</v>
      </c>
      <c r="AF4147" t="s">
        <v>30736</v>
      </c>
      <c r="AG4147" t="s">
        <v>3187</v>
      </c>
      <c r="AI4147" t="s">
        <v>30737</v>
      </c>
      <c r="AM4147" t="s">
        <v>30738</v>
      </c>
      <c r="AN4147" t="s">
        <v>2274</v>
      </c>
      <c r="AO4147" t="s">
        <v>30739</v>
      </c>
      <c r="AP4147" t="s">
        <v>7024</v>
      </c>
      <c r="AQ4147" t="s">
        <v>30740</v>
      </c>
      <c r="AR4147" t="s">
        <v>30741</v>
      </c>
      <c r="AT4147" s="184">
        <v>41780</v>
      </c>
      <c r="AU4147" t="s">
        <v>30742</v>
      </c>
      <c r="AV4147">
        <v>15</v>
      </c>
      <c r="AW4147" s="184">
        <v>43949</v>
      </c>
      <c r="AX4147" t="s">
        <v>30743</v>
      </c>
      <c r="AY4147">
        <v>15</v>
      </c>
      <c r="AZ4147" s="184">
        <v>42739</v>
      </c>
      <c r="BA4147" t="s">
        <v>30744</v>
      </c>
      <c r="BB4147">
        <v>25</v>
      </c>
      <c r="BC4147">
        <v>55</v>
      </c>
      <c r="BD4147">
        <v>130</v>
      </c>
      <c r="BE4147">
        <v>2014</v>
      </c>
      <c r="BF4147">
        <v>8</v>
      </c>
      <c r="BI4147">
        <v>6</v>
      </c>
      <c r="BJ4147">
        <v>11</v>
      </c>
      <c r="BK4147">
        <v>4</v>
      </c>
    </row>
    <row r="4148" spans="1:68">
      <c r="A4148">
        <v>67806703</v>
      </c>
      <c r="B4148">
        <v>67806703</v>
      </c>
      <c r="C4148" t="s">
        <v>7018</v>
      </c>
      <c r="E4148" s="184"/>
      <c r="G4148" s="184"/>
      <c r="I4148" s="184"/>
      <c r="J4148" t="s">
        <v>595</v>
      </c>
      <c r="K4148" s="184">
        <v>44659</v>
      </c>
      <c r="M4148" s="184"/>
      <c r="O4148" s="184"/>
      <c r="P4148" t="s">
        <v>7045</v>
      </c>
      <c r="Q4148" t="s">
        <v>7374</v>
      </c>
      <c r="R4148" s="184">
        <v>20643</v>
      </c>
      <c r="S4148">
        <v>67</v>
      </c>
      <c r="U4148" t="s">
        <v>7031</v>
      </c>
      <c r="V4148" t="s">
        <v>2697</v>
      </c>
      <c r="X4148" t="s">
        <v>30745</v>
      </c>
      <c r="AF4148" t="s">
        <v>30746</v>
      </c>
      <c r="AG4148" t="s">
        <v>2697</v>
      </c>
      <c r="AI4148" t="s">
        <v>30747</v>
      </c>
      <c r="AM4148" t="s">
        <v>28648</v>
      </c>
      <c r="AN4148" t="s">
        <v>2066</v>
      </c>
      <c r="AO4148" t="s">
        <v>30748</v>
      </c>
      <c r="AP4148" t="s">
        <v>7024</v>
      </c>
      <c r="AQ4148" t="s">
        <v>30749</v>
      </c>
      <c r="AT4148" s="184">
        <v>41303</v>
      </c>
      <c r="AU4148" t="s">
        <v>30750</v>
      </c>
      <c r="AV4148">
        <v>5</v>
      </c>
      <c r="AW4148" s="184">
        <v>45412</v>
      </c>
      <c r="AX4148" t="s">
        <v>7429</v>
      </c>
      <c r="AY4148">
        <v>10</v>
      </c>
      <c r="AZ4148" s="184">
        <v>45412</v>
      </c>
      <c r="BA4148" t="s">
        <v>7429</v>
      </c>
      <c r="BB4148">
        <v>10</v>
      </c>
      <c r="BC4148">
        <v>100</v>
      </c>
      <c r="BD4148">
        <v>1175</v>
      </c>
      <c r="BE4148">
        <v>2013</v>
      </c>
      <c r="BF4148">
        <v>135</v>
      </c>
      <c r="BG4148">
        <v>24</v>
      </c>
      <c r="BH4148">
        <v>240</v>
      </c>
      <c r="BI4148">
        <v>12</v>
      </c>
      <c r="BJ4148">
        <v>12</v>
      </c>
      <c r="BK4148">
        <v>12</v>
      </c>
    </row>
    <row r="4149" spans="1:68">
      <c r="A4149">
        <v>67851105</v>
      </c>
      <c r="B4149">
        <v>67851105</v>
      </c>
      <c r="C4149" t="s">
        <v>7018</v>
      </c>
      <c r="D4149" t="s">
        <v>595</v>
      </c>
      <c r="E4149" s="184">
        <v>44455</v>
      </c>
      <c r="G4149" s="184"/>
      <c r="I4149" s="184"/>
      <c r="K4149" s="184"/>
      <c r="M4149" s="184"/>
      <c r="P4149" t="s">
        <v>7045</v>
      </c>
      <c r="Q4149" t="s">
        <v>7383</v>
      </c>
      <c r="R4149" s="184">
        <v>21434</v>
      </c>
      <c r="S4149">
        <v>65</v>
      </c>
      <c r="U4149" t="s">
        <v>7031</v>
      </c>
      <c r="V4149" t="s">
        <v>2665</v>
      </c>
      <c r="X4149" t="s">
        <v>9683</v>
      </c>
      <c r="AF4149" t="s">
        <v>30751</v>
      </c>
      <c r="AG4149" t="s">
        <v>2665</v>
      </c>
      <c r="AI4149" t="s">
        <v>30752</v>
      </c>
      <c r="AM4149" t="s">
        <v>30738</v>
      </c>
      <c r="AN4149" t="s">
        <v>2274</v>
      </c>
      <c r="AO4149" t="s">
        <v>30753</v>
      </c>
      <c r="AP4149" t="s">
        <v>7024</v>
      </c>
      <c r="AQ4149" t="s">
        <v>30754</v>
      </c>
      <c r="AT4149" s="184">
        <v>41016</v>
      </c>
      <c r="AU4149" t="s">
        <v>30755</v>
      </c>
      <c r="AV4149">
        <v>25</v>
      </c>
      <c r="AW4149" s="184">
        <v>44894</v>
      </c>
      <c r="AX4149" t="s">
        <v>23605</v>
      </c>
      <c r="AY4149">
        <v>25</v>
      </c>
      <c r="AZ4149" s="184">
        <v>43018</v>
      </c>
      <c r="BA4149" t="s">
        <v>30756</v>
      </c>
      <c r="BB4149">
        <v>50</v>
      </c>
      <c r="BC4149">
        <v>54</v>
      </c>
      <c r="BD4149">
        <v>355</v>
      </c>
      <c r="BE4149">
        <v>2012</v>
      </c>
      <c r="BF4149">
        <v>10</v>
      </c>
      <c r="BG4149">
        <v>1</v>
      </c>
      <c r="BH4149">
        <v>25</v>
      </c>
      <c r="BI4149">
        <v>7</v>
      </c>
      <c r="BJ4149">
        <v>13</v>
      </c>
      <c r="BK4149">
        <v>6</v>
      </c>
    </row>
    <row r="4150" spans="1:68">
      <c r="A4150">
        <v>67884031</v>
      </c>
      <c r="B4150">
        <v>67884031</v>
      </c>
      <c r="C4150" t="s">
        <v>7018</v>
      </c>
      <c r="D4150" t="s">
        <v>595</v>
      </c>
      <c r="E4150" s="184">
        <v>44428</v>
      </c>
      <c r="G4150" s="184"/>
      <c r="I4150" s="184"/>
      <c r="K4150" s="184"/>
      <c r="M4150" s="184"/>
      <c r="P4150" t="s">
        <v>7045</v>
      </c>
      <c r="Q4150" t="s">
        <v>7030</v>
      </c>
      <c r="R4150" s="184">
        <v>17229</v>
      </c>
      <c r="S4150">
        <v>77</v>
      </c>
      <c r="U4150" t="s">
        <v>7032</v>
      </c>
      <c r="V4150" t="s">
        <v>2871</v>
      </c>
      <c r="W4150" t="s">
        <v>7246</v>
      </c>
      <c r="X4150" t="s">
        <v>30757</v>
      </c>
      <c r="AF4150" t="s">
        <v>30758</v>
      </c>
      <c r="AG4150" t="s">
        <v>2871</v>
      </c>
      <c r="AI4150" t="s">
        <v>30759</v>
      </c>
      <c r="AM4150" t="s">
        <v>14255</v>
      </c>
      <c r="AN4150" t="s">
        <v>2094</v>
      </c>
      <c r="AO4150" t="s">
        <v>30760</v>
      </c>
      <c r="AP4150" t="s">
        <v>7024</v>
      </c>
      <c r="AQ4150" t="s">
        <v>30761</v>
      </c>
      <c r="AT4150" s="184">
        <v>41639</v>
      </c>
      <c r="AU4150" t="s">
        <v>30762</v>
      </c>
      <c r="AV4150">
        <v>25</v>
      </c>
      <c r="AW4150" s="184">
        <v>45236</v>
      </c>
      <c r="AX4150" t="s">
        <v>14164</v>
      </c>
      <c r="AY4150">
        <v>25</v>
      </c>
      <c r="AZ4150" s="184">
        <v>44727</v>
      </c>
      <c r="BA4150" t="s">
        <v>25209</v>
      </c>
      <c r="BB4150">
        <v>35</v>
      </c>
      <c r="BC4150">
        <v>75</v>
      </c>
      <c r="BD4150">
        <v>223</v>
      </c>
      <c r="BE4150">
        <v>2014</v>
      </c>
      <c r="BF4150">
        <v>10</v>
      </c>
      <c r="BG4150">
        <v>2</v>
      </c>
      <c r="BH4150">
        <v>60</v>
      </c>
      <c r="BI4150">
        <v>9</v>
      </c>
      <c r="BJ4150">
        <v>12</v>
      </c>
      <c r="BK4150">
        <v>8</v>
      </c>
    </row>
    <row r="4151" spans="1:68">
      <c r="A4151">
        <v>68148089</v>
      </c>
      <c r="B4151">
        <v>68148089</v>
      </c>
      <c r="C4151" t="s">
        <v>7018</v>
      </c>
      <c r="E4151" s="184"/>
      <c r="G4151" s="184"/>
      <c r="I4151" s="184"/>
      <c r="J4151" t="s">
        <v>595</v>
      </c>
      <c r="K4151" s="184">
        <v>44096</v>
      </c>
      <c r="M4151" s="184"/>
      <c r="O4151" s="184"/>
      <c r="P4151" t="s">
        <v>7045</v>
      </c>
      <c r="R4151" s="184"/>
      <c r="U4151" t="s">
        <v>7031</v>
      </c>
      <c r="V4151" t="s">
        <v>3908</v>
      </c>
      <c r="W4151" t="s">
        <v>4013</v>
      </c>
      <c r="X4151" t="s">
        <v>30763</v>
      </c>
      <c r="AF4151" t="s">
        <v>30764</v>
      </c>
      <c r="AG4151" t="s">
        <v>3908</v>
      </c>
      <c r="AI4151" t="s">
        <v>30765</v>
      </c>
      <c r="AM4151" t="s">
        <v>30766</v>
      </c>
      <c r="AN4151" t="s">
        <v>30767</v>
      </c>
      <c r="AO4151" t="s">
        <v>30768</v>
      </c>
      <c r="AP4151" t="s">
        <v>2081</v>
      </c>
      <c r="AQ4151" t="s">
        <v>30769</v>
      </c>
      <c r="AT4151" s="184">
        <v>40908</v>
      </c>
      <c r="AU4151" t="s">
        <v>30770</v>
      </c>
      <c r="AV4151">
        <v>50</v>
      </c>
      <c r="AW4151" s="184">
        <v>45219</v>
      </c>
      <c r="AX4151" t="s">
        <v>29507</v>
      </c>
      <c r="AY4151">
        <v>10</v>
      </c>
      <c r="AZ4151" s="184">
        <v>41765</v>
      </c>
      <c r="BA4151" t="s">
        <v>30771</v>
      </c>
      <c r="BB4151">
        <v>100</v>
      </c>
      <c r="BC4151">
        <v>93</v>
      </c>
      <c r="BD4151">
        <v>1580</v>
      </c>
      <c r="BE4151">
        <v>2012</v>
      </c>
      <c r="BF4151">
        <v>103</v>
      </c>
      <c r="BG4151">
        <v>18</v>
      </c>
      <c r="BH4151">
        <v>180</v>
      </c>
      <c r="BI4151">
        <v>13</v>
      </c>
      <c r="BJ4151">
        <v>14</v>
      </c>
      <c r="BK4151">
        <v>13</v>
      </c>
      <c r="BN4151" t="s">
        <v>595</v>
      </c>
    </row>
    <row r="4152" spans="1:68">
      <c r="A4152">
        <v>68211648</v>
      </c>
      <c r="B4152">
        <v>68211648</v>
      </c>
      <c r="C4152" t="s">
        <v>7018</v>
      </c>
      <c r="D4152" t="s">
        <v>595</v>
      </c>
      <c r="E4152" s="184">
        <v>45195</v>
      </c>
      <c r="I4152" s="184"/>
      <c r="K4152" s="184"/>
      <c r="M4152" s="184"/>
      <c r="O4152" s="184"/>
      <c r="P4152" t="s">
        <v>7045</v>
      </c>
      <c r="Q4152" t="s">
        <v>7374</v>
      </c>
      <c r="R4152" s="184">
        <v>23160</v>
      </c>
      <c r="S4152">
        <v>60</v>
      </c>
      <c r="U4152" t="s">
        <v>7076</v>
      </c>
      <c r="V4152" t="s">
        <v>4210</v>
      </c>
      <c r="W4152" t="s">
        <v>22865</v>
      </c>
      <c r="X4152" t="s">
        <v>30772</v>
      </c>
      <c r="AF4152" t="s">
        <v>30773</v>
      </c>
      <c r="AG4152" t="s">
        <v>4210</v>
      </c>
      <c r="AI4152" t="s">
        <v>30774</v>
      </c>
      <c r="AM4152" t="s">
        <v>2534</v>
      </c>
      <c r="AN4152" t="s">
        <v>2081</v>
      </c>
      <c r="AO4152" t="s">
        <v>30775</v>
      </c>
      <c r="AP4152" t="s">
        <v>7024</v>
      </c>
      <c r="AQ4152" t="s">
        <v>30776</v>
      </c>
      <c r="AR4152" t="s">
        <v>30777</v>
      </c>
      <c r="AT4152" s="184">
        <v>40810</v>
      </c>
      <c r="AU4152" t="s">
        <v>30778</v>
      </c>
      <c r="AV4152">
        <v>50</v>
      </c>
      <c r="AW4152" s="184">
        <v>43527</v>
      </c>
      <c r="AX4152" t="s">
        <v>8586</v>
      </c>
      <c r="AY4152">
        <v>25</v>
      </c>
      <c r="AZ4152" s="184">
        <v>42962</v>
      </c>
      <c r="BA4152" t="s">
        <v>30779</v>
      </c>
      <c r="BB4152">
        <v>50</v>
      </c>
      <c r="BC4152">
        <v>50</v>
      </c>
      <c r="BD4152">
        <v>455</v>
      </c>
      <c r="BE4152">
        <v>2012</v>
      </c>
      <c r="BF4152">
        <v>15</v>
      </c>
      <c r="BI4152">
        <v>7</v>
      </c>
      <c r="BJ4152">
        <v>14</v>
      </c>
      <c r="BK4152">
        <v>5</v>
      </c>
      <c r="BN4152" t="s">
        <v>595</v>
      </c>
    </row>
    <row r="4153" spans="1:68">
      <c r="A4153">
        <v>68229541</v>
      </c>
      <c r="B4153">
        <v>68229541</v>
      </c>
      <c r="C4153" t="s">
        <v>7018</v>
      </c>
      <c r="E4153" s="184"/>
      <c r="G4153" s="184"/>
      <c r="I4153" s="184"/>
      <c r="K4153" s="184"/>
      <c r="L4153" t="s">
        <v>595</v>
      </c>
      <c r="M4153" s="184">
        <v>44530</v>
      </c>
      <c r="O4153" s="184"/>
      <c r="P4153" t="s">
        <v>7045</v>
      </c>
      <c r="Q4153" t="s">
        <v>7374</v>
      </c>
      <c r="R4153" s="184">
        <v>17361</v>
      </c>
      <c r="S4153">
        <v>76</v>
      </c>
      <c r="V4153" t="s">
        <v>4152</v>
      </c>
      <c r="W4153" t="s">
        <v>30780</v>
      </c>
      <c r="X4153" t="s">
        <v>30781</v>
      </c>
      <c r="Z4153">
        <v>100141352</v>
      </c>
      <c r="AA4153" t="s">
        <v>7032</v>
      </c>
      <c r="AB4153" t="s">
        <v>2845</v>
      </c>
      <c r="AC4153" t="s">
        <v>4013</v>
      </c>
      <c r="AD4153" t="s">
        <v>30782</v>
      </c>
      <c r="AF4153" t="s">
        <v>30783</v>
      </c>
      <c r="AG4153" t="s">
        <v>9955</v>
      </c>
      <c r="AI4153" t="s">
        <v>30784</v>
      </c>
      <c r="AM4153" t="s">
        <v>2534</v>
      </c>
      <c r="AN4153" t="s">
        <v>2081</v>
      </c>
      <c r="AO4153" t="s">
        <v>30785</v>
      </c>
      <c r="AP4153" t="s">
        <v>7024</v>
      </c>
      <c r="AQ4153" t="s">
        <v>30786</v>
      </c>
      <c r="AR4153" t="s">
        <v>30787</v>
      </c>
      <c r="AT4153" s="184">
        <v>41639</v>
      </c>
      <c r="AU4153" t="s">
        <v>30788</v>
      </c>
      <c r="AV4153">
        <v>10</v>
      </c>
      <c r="AW4153" s="184">
        <v>45296</v>
      </c>
      <c r="AX4153" t="s">
        <v>30789</v>
      </c>
      <c r="AY4153">
        <v>18</v>
      </c>
      <c r="AZ4153" s="184">
        <v>44532</v>
      </c>
      <c r="BA4153" t="s">
        <v>30790</v>
      </c>
      <c r="BB4153">
        <v>310.89999999999998</v>
      </c>
      <c r="BC4153">
        <v>75</v>
      </c>
      <c r="BD4153">
        <v>413.9</v>
      </c>
      <c r="BE4153">
        <v>2014</v>
      </c>
      <c r="BF4153">
        <v>10</v>
      </c>
      <c r="BG4153">
        <v>1</v>
      </c>
      <c r="BH4153">
        <v>18</v>
      </c>
      <c r="BI4153">
        <v>9</v>
      </c>
      <c r="BJ4153">
        <v>12</v>
      </c>
      <c r="BK4153">
        <v>7</v>
      </c>
    </row>
    <row r="4154" spans="1:68">
      <c r="A4154">
        <v>100141352</v>
      </c>
      <c r="B4154">
        <v>68229541</v>
      </c>
      <c r="C4154" t="s">
        <v>7018</v>
      </c>
      <c r="E4154" s="184"/>
      <c r="G4154" s="184"/>
      <c r="I4154" s="184"/>
      <c r="K4154" s="184"/>
      <c r="L4154" t="s">
        <v>595</v>
      </c>
      <c r="M4154" s="184">
        <v>44530</v>
      </c>
      <c r="O4154" s="184"/>
      <c r="P4154" t="s">
        <v>7045</v>
      </c>
      <c r="Q4154" t="s">
        <v>7374</v>
      </c>
      <c r="R4154" s="184">
        <v>16905</v>
      </c>
      <c r="S4154">
        <v>78</v>
      </c>
      <c r="U4154" t="s">
        <v>7032</v>
      </c>
      <c r="V4154" t="s">
        <v>2845</v>
      </c>
      <c r="W4154" t="s">
        <v>4013</v>
      </c>
      <c r="X4154" t="s">
        <v>30782</v>
      </c>
      <c r="Z4154">
        <v>68229541</v>
      </c>
      <c r="AB4154" t="s">
        <v>4152</v>
      </c>
      <c r="AC4154" t="s">
        <v>30780</v>
      </c>
      <c r="AD4154" t="s">
        <v>30781</v>
      </c>
      <c r="AF4154" t="s">
        <v>30783</v>
      </c>
      <c r="AG4154" t="s">
        <v>9955</v>
      </c>
      <c r="AI4154" t="s">
        <v>30784</v>
      </c>
      <c r="AM4154" t="s">
        <v>2534</v>
      </c>
      <c r="AN4154" t="s">
        <v>2081</v>
      </c>
      <c r="AO4154" t="s">
        <v>30785</v>
      </c>
      <c r="AP4154" t="s">
        <v>7024</v>
      </c>
      <c r="AT4154" s="184"/>
      <c r="AW4154" s="184"/>
      <c r="AZ4154" s="184"/>
    </row>
    <row r="4155" spans="1:68">
      <c r="A4155">
        <v>68277862</v>
      </c>
      <c r="B4155">
        <v>68277862</v>
      </c>
      <c r="C4155" t="s">
        <v>7018</v>
      </c>
      <c r="D4155" t="s">
        <v>595</v>
      </c>
      <c r="E4155" s="184">
        <v>44438</v>
      </c>
      <c r="G4155" s="184"/>
      <c r="I4155" s="184"/>
      <c r="K4155" s="184"/>
      <c r="M4155" s="184"/>
      <c r="O4155" s="184"/>
      <c r="P4155" t="s">
        <v>7045</v>
      </c>
      <c r="Q4155" t="s">
        <v>7020</v>
      </c>
      <c r="R4155" s="184">
        <v>17533</v>
      </c>
      <c r="S4155">
        <v>76</v>
      </c>
      <c r="U4155" t="s">
        <v>7076</v>
      </c>
      <c r="V4155" t="s">
        <v>3147</v>
      </c>
      <c r="W4155" t="s">
        <v>3209</v>
      </c>
      <c r="X4155" t="s">
        <v>30791</v>
      </c>
      <c r="Y4155" t="s">
        <v>17183</v>
      </c>
      <c r="AF4155" t="s">
        <v>30792</v>
      </c>
      <c r="AG4155" t="s">
        <v>3147</v>
      </c>
      <c r="AI4155" t="s">
        <v>30793</v>
      </c>
      <c r="AM4155" t="s">
        <v>12832</v>
      </c>
      <c r="AN4155" t="s">
        <v>2363</v>
      </c>
      <c r="AO4155" t="s">
        <v>30794</v>
      </c>
      <c r="AP4155" t="s">
        <v>7024</v>
      </c>
      <c r="AQ4155" t="s">
        <v>30795</v>
      </c>
      <c r="AR4155" t="s">
        <v>30796</v>
      </c>
      <c r="AT4155" s="184">
        <v>41478</v>
      </c>
      <c r="AU4155" t="s">
        <v>30797</v>
      </c>
      <c r="AV4155">
        <v>250</v>
      </c>
      <c r="AW4155" s="184">
        <v>43474</v>
      </c>
      <c r="AX4155" t="s">
        <v>30798</v>
      </c>
      <c r="AY4155">
        <v>33</v>
      </c>
      <c r="AZ4155" s="184">
        <v>41478</v>
      </c>
      <c r="BA4155" t="s">
        <v>30797</v>
      </c>
      <c r="BB4155">
        <v>250</v>
      </c>
      <c r="BC4155">
        <v>50</v>
      </c>
      <c r="BD4155">
        <v>478</v>
      </c>
      <c r="BE4155">
        <v>2014</v>
      </c>
      <c r="BF4155">
        <v>7</v>
      </c>
      <c r="BI4155">
        <v>6</v>
      </c>
      <c r="BJ4155">
        <v>12</v>
      </c>
      <c r="BK4155">
        <v>5</v>
      </c>
    </row>
    <row r="4156" spans="1:68">
      <c r="A4156">
        <v>68333855</v>
      </c>
      <c r="B4156">
        <v>68333855</v>
      </c>
      <c r="C4156" t="s">
        <v>7018</v>
      </c>
      <c r="D4156" t="s">
        <v>595</v>
      </c>
      <c r="E4156" s="184">
        <v>45124</v>
      </c>
      <c r="G4156" s="184"/>
      <c r="I4156" s="184"/>
      <c r="K4156" s="184"/>
      <c r="M4156" s="184"/>
      <c r="O4156" s="184"/>
      <c r="P4156" t="s">
        <v>7045</v>
      </c>
      <c r="Q4156" t="s">
        <v>7020</v>
      </c>
      <c r="R4156" s="184">
        <v>21464</v>
      </c>
      <c r="S4156">
        <v>65</v>
      </c>
      <c r="U4156" t="s">
        <v>7076</v>
      </c>
      <c r="V4156" t="s">
        <v>2925</v>
      </c>
      <c r="X4156" t="s">
        <v>30799</v>
      </c>
      <c r="AF4156" t="s">
        <v>30800</v>
      </c>
      <c r="AG4156" t="s">
        <v>2925</v>
      </c>
      <c r="AI4156" t="s">
        <v>30801</v>
      </c>
      <c r="AM4156" t="s">
        <v>30802</v>
      </c>
      <c r="AN4156" t="s">
        <v>2112</v>
      </c>
      <c r="AO4156" t="s">
        <v>30803</v>
      </c>
      <c r="AP4156" t="s">
        <v>7024</v>
      </c>
      <c r="AQ4156" t="s">
        <v>30804</v>
      </c>
      <c r="AT4156" s="184">
        <v>41067</v>
      </c>
      <c r="AU4156" t="s">
        <v>30805</v>
      </c>
      <c r="AV4156">
        <v>19.95</v>
      </c>
      <c r="AW4156" s="184">
        <v>45408</v>
      </c>
      <c r="AX4156" t="s">
        <v>17472</v>
      </c>
      <c r="AY4156">
        <v>35</v>
      </c>
      <c r="AZ4156" s="184">
        <v>45408</v>
      </c>
      <c r="BA4156" t="s">
        <v>17472</v>
      </c>
      <c r="BB4156">
        <v>35</v>
      </c>
      <c r="BC4156">
        <v>62</v>
      </c>
      <c r="BD4156">
        <v>236.15</v>
      </c>
      <c r="BE4156">
        <v>2012</v>
      </c>
      <c r="BF4156">
        <v>9</v>
      </c>
      <c r="BG4156">
        <v>3</v>
      </c>
      <c r="BH4156">
        <v>86.25</v>
      </c>
      <c r="BI4156">
        <v>8</v>
      </c>
      <c r="BJ4156">
        <v>13</v>
      </c>
      <c r="BK4156">
        <v>6</v>
      </c>
      <c r="BP4156" s="184"/>
    </row>
    <row r="4157" spans="1:68">
      <c r="A4157">
        <v>68398890</v>
      </c>
      <c r="B4157">
        <v>68398890</v>
      </c>
      <c r="C4157" t="s">
        <v>7018</v>
      </c>
      <c r="E4157" s="184"/>
      <c r="G4157" s="184"/>
      <c r="I4157" s="184"/>
      <c r="J4157" t="s">
        <v>595</v>
      </c>
      <c r="K4157" s="184">
        <v>45377</v>
      </c>
      <c r="M4157" s="184"/>
      <c r="O4157" s="184"/>
      <c r="P4157" t="s">
        <v>7045</v>
      </c>
      <c r="Q4157" t="s">
        <v>7494</v>
      </c>
      <c r="R4157" s="184">
        <v>20455</v>
      </c>
      <c r="S4157">
        <v>68</v>
      </c>
      <c r="U4157" t="s">
        <v>7076</v>
      </c>
      <c r="V4157" t="s">
        <v>2602</v>
      </c>
      <c r="X4157" t="s">
        <v>30806</v>
      </c>
      <c r="AF4157" t="s">
        <v>30807</v>
      </c>
      <c r="AG4157" t="s">
        <v>2602</v>
      </c>
      <c r="AI4157" t="s">
        <v>30808</v>
      </c>
      <c r="AM4157" t="s">
        <v>3770</v>
      </c>
      <c r="AN4157" t="s">
        <v>2174</v>
      </c>
      <c r="AO4157" t="s">
        <v>30809</v>
      </c>
      <c r="AP4157" t="s">
        <v>7024</v>
      </c>
      <c r="AQ4157" t="s">
        <v>30810</v>
      </c>
      <c r="AR4157" t="s">
        <v>30811</v>
      </c>
      <c r="AT4157" s="184">
        <v>41538</v>
      </c>
      <c r="AU4157" t="s">
        <v>25731</v>
      </c>
      <c r="AV4157">
        <v>50</v>
      </c>
      <c r="AW4157" s="184">
        <v>45409</v>
      </c>
      <c r="AX4157" t="s">
        <v>8271</v>
      </c>
      <c r="AY4157">
        <v>262.5</v>
      </c>
      <c r="AZ4157" s="184">
        <v>45409</v>
      </c>
      <c r="BA4157" t="s">
        <v>8271</v>
      </c>
      <c r="BB4157">
        <v>262.5</v>
      </c>
      <c r="BC4157">
        <v>84</v>
      </c>
      <c r="BD4157">
        <v>1375</v>
      </c>
      <c r="BE4157">
        <v>2014</v>
      </c>
      <c r="BF4157">
        <v>10</v>
      </c>
      <c r="BG4157">
        <v>2</v>
      </c>
      <c r="BH4157">
        <v>525</v>
      </c>
      <c r="BI4157">
        <v>10</v>
      </c>
      <c r="BJ4157">
        <v>12</v>
      </c>
      <c r="BK4157">
        <v>4</v>
      </c>
      <c r="BM4157" t="s">
        <v>595</v>
      </c>
      <c r="BP4157" s="184"/>
    </row>
    <row r="4158" spans="1:68">
      <c r="A4158">
        <v>68573195</v>
      </c>
      <c r="B4158">
        <v>68573195</v>
      </c>
      <c r="C4158" t="s">
        <v>7018</v>
      </c>
      <c r="E4158" s="184"/>
      <c r="G4158" s="184"/>
      <c r="I4158" s="184"/>
      <c r="J4158" t="s">
        <v>595</v>
      </c>
      <c r="K4158" s="184">
        <v>44781</v>
      </c>
      <c r="M4158" s="184"/>
      <c r="O4158" s="184"/>
      <c r="P4158" t="s">
        <v>7045</v>
      </c>
      <c r="Q4158" t="s">
        <v>7383</v>
      </c>
      <c r="R4158" s="184">
        <v>20210</v>
      </c>
      <c r="S4158">
        <v>69</v>
      </c>
      <c r="U4158" t="s">
        <v>7031</v>
      </c>
      <c r="V4158" t="s">
        <v>2851</v>
      </c>
      <c r="X4158" t="s">
        <v>4606</v>
      </c>
      <c r="AF4158" t="s">
        <v>30812</v>
      </c>
      <c r="AG4158" t="s">
        <v>2851</v>
      </c>
      <c r="AI4158" t="s">
        <v>30813</v>
      </c>
      <c r="AM4158" t="s">
        <v>3357</v>
      </c>
      <c r="AN4158" t="s">
        <v>2185</v>
      </c>
      <c r="AO4158" t="s">
        <v>30814</v>
      </c>
      <c r="AP4158" t="s">
        <v>7024</v>
      </c>
      <c r="AQ4158" t="s">
        <v>30815</v>
      </c>
      <c r="AR4158" t="s">
        <v>30816</v>
      </c>
      <c r="AT4158" s="184">
        <v>40744</v>
      </c>
      <c r="AU4158" t="s">
        <v>30817</v>
      </c>
      <c r="AV4158">
        <v>50</v>
      </c>
      <c r="AW4158" s="184">
        <v>45393</v>
      </c>
      <c r="AX4158" t="s">
        <v>7168</v>
      </c>
      <c r="AY4158">
        <v>100</v>
      </c>
      <c r="AZ4158" s="184">
        <v>42045</v>
      </c>
      <c r="BA4158" t="s">
        <v>30818</v>
      </c>
      <c r="BB4158">
        <v>150</v>
      </c>
      <c r="BC4158">
        <v>86</v>
      </c>
      <c r="BD4158">
        <v>1600</v>
      </c>
      <c r="BE4158">
        <v>2012</v>
      </c>
      <c r="BF4158">
        <v>16</v>
      </c>
      <c r="BG4158">
        <v>2</v>
      </c>
      <c r="BH4158">
        <v>200</v>
      </c>
      <c r="BI4158">
        <v>12</v>
      </c>
      <c r="BJ4158">
        <v>14</v>
      </c>
      <c r="BK4158">
        <v>6</v>
      </c>
    </row>
    <row r="4159" spans="1:68">
      <c r="A4159">
        <v>68777606</v>
      </c>
      <c r="B4159">
        <v>68777606</v>
      </c>
      <c r="C4159" t="s">
        <v>7018</v>
      </c>
      <c r="D4159" t="s">
        <v>595</v>
      </c>
      <c r="E4159" s="184">
        <v>44484</v>
      </c>
      <c r="G4159" s="184"/>
      <c r="I4159" s="184"/>
      <c r="K4159" s="184"/>
      <c r="M4159" s="184"/>
      <c r="O4159" s="184"/>
      <c r="P4159" t="s">
        <v>7019</v>
      </c>
      <c r="Q4159" t="s">
        <v>7494</v>
      </c>
      <c r="R4159" s="184">
        <v>22077</v>
      </c>
      <c r="S4159">
        <v>63</v>
      </c>
      <c r="U4159" t="s">
        <v>7076</v>
      </c>
      <c r="V4159" t="s">
        <v>9441</v>
      </c>
      <c r="X4159" t="s">
        <v>30819</v>
      </c>
      <c r="AF4159" t="s">
        <v>30820</v>
      </c>
      <c r="AG4159" t="s">
        <v>9441</v>
      </c>
      <c r="AI4159" t="s">
        <v>30821</v>
      </c>
      <c r="AM4159" t="s">
        <v>30822</v>
      </c>
      <c r="AN4159" t="s">
        <v>2174</v>
      </c>
      <c r="AO4159" t="s">
        <v>30823</v>
      </c>
      <c r="AP4159" t="s">
        <v>7024</v>
      </c>
      <c r="AQ4159" t="s">
        <v>30824</v>
      </c>
      <c r="AT4159" s="184">
        <v>41216</v>
      </c>
      <c r="AU4159" t="s">
        <v>30825</v>
      </c>
      <c r="AV4159">
        <v>15</v>
      </c>
      <c r="AW4159" s="184">
        <v>45320</v>
      </c>
      <c r="AX4159" t="s">
        <v>16666</v>
      </c>
      <c r="AY4159">
        <v>60</v>
      </c>
      <c r="AZ4159" s="184">
        <v>45320</v>
      </c>
      <c r="BA4159" t="s">
        <v>16666</v>
      </c>
      <c r="BB4159">
        <v>60</v>
      </c>
      <c r="BC4159">
        <v>77</v>
      </c>
      <c r="BD4159">
        <v>379.97</v>
      </c>
      <c r="BE4159">
        <v>2013</v>
      </c>
      <c r="BF4159">
        <v>13</v>
      </c>
      <c r="BG4159">
        <v>2</v>
      </c>
      <c r="BH4159">
        <v>85</v>
      </c>
      <c r="BI4159">
        <v>10</v>
      </c>
      <c r="BJ4159">
        <v>13</v>
      </c>
      <c r="BK4159">
        <v>3</v>
      </c>
      <c r="BN4159" t="s">
        <v>595</v>
      </c>
      <c r="BP4159" s="184"/>
    </row>
    <row r="4160" spans="1:68">
      <c r="A4160">
        <v>68805159</v>
      </c>
      <c r="B4160">
        <v>68805159</v>
      </c>
      <c r="C4160" t="s">
        <v>7018</v>
      </c>
      <c r="D4160" t="s">
        <v>595</v>
      </c>
      <c r="E4160" s="184">
        <v>44073</v>
      </c>
      <c r="G4160" s="184"/>
      <c r="I4160" s="184"/>
      <c r="K4160" s="184"/>
      <c r="M4160" s="184"/>
      <c r="O4160" s="184"/>
      <c r="P4160" t="s">
        <v>7045</v>
      </c>
      <c r="Q4160" t="s">
        <v>7383</v>
      </c>
      <c r="R4160" s="184">
        <v>15712</v>
      </c>
      <c r="S4160">
        <v>81</v>
      </c>
      <c r="U4160" t="s">
        <v>7031</v>
      </c>
      <c r="V4160" t="s">
        <v>3103</v>
      </c>
      <c r="X4160" t="s">
        <v>30826</v>
      </c>
      <c r="AF4160" t="s">
        <v>30827</v>
      </c>
      <c r="AG4160" t="s">
        <v>3103</v>
      </c>
      <c r="AI4160" t="s">
        <v>30828</v>
      </c>
      <c r="AM4160" t="s">
        <v>3082</v>
      </c>
      <c r="AN4160" t="s">
        <v>2313</v>
      </c>
      <c r="AO4160" t="s">
        <v>30829</v>
      </c>
      <c r="AP4160" t="s">
        <v>7024</v>
      </c>
      <c r="AQ4160" t="s">
        <v>30830</v>
      </c>
      <c r="AR4160" t="s">
        <v>30831</v>
      </c>
      <c r="AT4160" s="184">
        <v>42091</v>
      </c>
      <c r="AU4160" t="s">
        <v>30832</v>
      </c>
      <c r="AV4160">
        <v>50</v>
      </c>
      <c r="AW4160" s="184">
        <v>45279</v>
      </c>
      <c r="AX4160" t="s">
        <v>30833</v>
      </c>
      <c r="AY4160">
        <v>100</v>
      </c>
      <c r="AZ4160" s="184">
        <v>45279</v>
      </c>
      <c r="BA4160" t="s">
        <v>30833</v>
      </c>
      <c r="BB4160">
        <v>100</v>
      </c>
      <c r="BC4160">
        <v>60</v>
      </c>
      <c r="BD4160">
        <v>875</v>
      </c>
      <c r="BE4160">
        <v>2015</v>
      </c>
      <c r="BF4160">
        <v>12</v>
      </c>
      <c r="BG4160">
        <v>1</v>
      </c>
      <c r="BH4160">
        <v>100</v>
      </c>
      <c r="BI4160">
        <v>6</v>
      </c>
      <c r="BJ4160">
        <v>10</v>
      </c>
      <c r="BK4160">
        <v>3</v>
      </c>
    </row>
    <row r="4161" spans="1:68">
      <c r="A4161">
        <v>68935899</v>
      </c>
      <c r="B4161">
        <v>68935899</v>
      </c>
      <c r="C4161" t="s">
        <v>7018</v>
      </c>
      <c r="E4161" s="184"/>
      <c r="G4161" s="184"/>
      <c r="I4161" s="184"/>
      <c r="J4161" t="s">
        <v>595</v>
      </c>
      <c r="K4161" s="184">
        <v>43734</v>
      </c>
      <c r="M4161" s="184"/>
      <c r="O4161" s="184"/>
      <c r="P4161" t="s">
        <v>7045</v>
      </c>
      <c r="Q4161" t="s">
        <v>7383</v>
      </c>
      <c r="R4161" s="184">
        <v>17723</v>
      </c>
      <c r="S4161">
        <v>75</v>
      </c>
      <c r="U4161" t="s">
        <v>7076</v>
      </c>
      <c r="V4161" t="s">
        <v>4210</v>
      </c>
      <c r="W4161" t="s">
        <v>3431</v>
      </c>
      <c r="X4161" t="s">
        <v>4060</v>
      </c>
      <c r="AF4161" t="s">
        <v>30834</v>
      </c>
      <c r="AG4161" t="s">
        <v>4210</v>
      </c>
      <c r="AI4161" t="s">
        <v>30835</v>
      </c>
      <c r="AM4161" t="s">
        <v>3266</v>
      </c>
      <c r="AN4161" t="s">
        <v>2274</v>
      </c>
      <c r="AO4161" t="s">
        <v>30836</v>
      </c>
      <c r="AP4161" t="s">
        <v>7024</v>
      </c>
      <c r="AQ4161" t="s">
        <v>30837</v>
      </c>
      <c r="AT4161" s="184">
        <v>41060</v>
      </c>
      <c r="AU4161" t="s">
        <v>30838</v>
      </c>
      <c r="AV4161">
        <v>15</v>
      </c>
      <c r="AW4161" s="184">
        <v>45161</v>
      </c>
      <c r="AX4161" t="s">
        <v>8299</v>
      </c>
      <c r="AY4161">
        <v>25</v>
      </c>
      <c r="AZ4161" s="184">
        <v>44426</v>
      </c>
      <c r="BA4161" t="s">
        <v>7714</v>
      </c>
      <c r="BB4161">
        <v>60</v>
      </c>
      <c r="BC4161">
        <v>93</v>
      </c>
      <c r="BD4161">
        <v>530</v>
      </c>
      <c r="BE4161">
        <v>2012</v>
      </c>
      <c r="BF4161">
        <v>21</v>
      </c>
      <c r="BG4161">
        <v>3</v>
      </c>
      <c r="BH4161">
        <v>75</v>
      </c>
      <c r="BI4161">
        <v>12</v>
      </c>
      <c r="BJ4161">
        <v>13</v>
      </c>
      <c r="BK4161">
        <v>12</v>
      </c>
    </row>
    <row r="4162" spans="1:68">
      <c r="A4162">
        <v>68947159</v>
      </c>
      <c r="B4162">
        <v>68947159</v>
      </c>
      <c r="C4162" t="s">
        <v>7018</v>
      </c>
      <c r="D4162" t="s">
        <v>595</v>
      </c>
      <c r="E4162" s="184">
        <v>43864</v>
      </c>
      <c r="G4162" s="184"/>
      <c r="I4162" s="184"/>
      <c r="K4162" s="184"/>
      <c r="M4162" s="184"/>
      <c r="O4162" s="184"/>
      <c r="P4162" t="s">
        <v>7045</v>
      </c>
      <c r="Q4162" t="s">
        <v>7454</v>
      </c>
      <c r="R4162" s="184">
        <v>13634</v>
      </c>
      <c r="S4162">
        <v>87</v>
      </c>
      <c r="U4162" t="s">
        <v>7130</v>
      </c>
      <c r="V4162" t="s">
        <v>2523</v>
      </c>
      <c r="W4162" t="s">
        <v>4152</v>
      </c>
      <c r="X4162" t="s">
        <v>4729</v>
      </c>
      <c r="AF4162" t="s">
        <v>30839</v>
      </c>
      <c r="AG4162" t="s">
        <v>2523</v>
      </c>
      <c r="AI4162" t="s">
        <v>30840</v>
      </c>
      <c r="AM4162" t="s">
        <v>2608</v>
      </c>
      <c r="AN4162" t="s">
        <v>2299</v>
      </c>
      <c r="AO4162" t="s">
        <v>30841</v>
      </c>
      <c r="AP4162" t="s">
        <v>7024</v>
      </c>
      <c r="AQ4162" t="s">
        <v>30842</v>
      </c>
      <c r="AT4162" s="184">
        <v>40757</v>
      </c>
      <c r="AU4162" t="s">
        <v>30843</v>
      </c>
      <c r="AV4162">
        <v>25</v>
      </c>
      <c r="AW4162" s="184">
        <v>42779</v>
      </c>
      <c r="AX4162" t="s">
        <v>30844</v>
      </c>
      <c r="AY4162">
        <v>30</v>
      </c>
      <c r="AZ4162" s="184">
        <v>42113</v>
      </c>
      <c r="BA4162" t="s">
        <v>30845</v>
      </c>
      <c r="BB4162">
        <v>35</v>
      </c>
      <c r="BC4162">
        <v>43</v>
      </c>
      <c r="BD4162">
        <v>325</v>
      </c>
      <c r="BE4162">
        <v>2012</v>
      </c>
      <c r="BF4162">
        <v>11</v>
      </c>
      <c r="BI4162">
        <v>6</v>
      </c>
      <c r="BJ4162">
        <v>14</v>
      </c>
      <c r="BK4162">
        <v>5</v>
      </c>
    </row>
    <row r="4163" spans="1:68">
      <c r="A4163">
        <v>69122372</v>
      </c>
      <c r="B4163">
        <v>69122372</v>
      </c>
      <c r="C4163" t="s">
        <v>7018</v>
      </c>
      <c r="D4163" t="s">
        <v>595</v>
      </c>
      <c r="E4163" s="184">
        <v>44484</v>
      </c>
      <c r="G4163" s="184"/>
      <c r="I4163" s="184"/>
      <c r="K4163" s="184"/>
      <c r="M4163" s="184"/>
      <c r="O4163" s="184"/>
      <c r="P4163" t="s">
        <v>7045</v>
      </c>
      <c r="Q4163" t="s">
        <v>7383</v>
      </c>
      <c r="R4163" s="184">
        <v>19419</v>
      </c>
      <c r="S4163">
        <v>71</v>
      </c>
      <c r="U4163" t="s">
        <v>7130</v>
      </c>
      <c r="V4163" t="s">
        <v>2602</v>
      </c>
      <c r="X4163" t="s">
        <v>3794</v>
      </c>
      <c r="AF4163" t="s">
        <v>30846</v>
      </c>
      <c r="AG4163" t="s">
        <v>2602</v>
      </c>
      <c r="AI4163" t="s">
        <v>30847</v>
      </c>
      <c r="AM4163" t="s">
        <v>3200</v>
      </c>
      <c r="AN4163" t="s">
        <v>2059</v>
      </c>
      <c r="AO4163" t="s">
        <v>30848</v>
      </c>
      <c r="AP4163" t="s">
        <v>7024</v>
      </c>
      <c r="AQ4163" t="s">
        <v>30849</v>
      </c>
      <c r="AT4163" s="184">
        <v>40730</v>
      </c>
      <c r="AU4163" t="s">
        <v>30850</v>
      </c>
      <c r="AV4163">
        <v>50</v>
      </c>
      <c r="AW4163" s="184">
        <v>44279</v>
      </c>
      <c r="AX4163" t="s">
        <v>30851</v>
      </c>
      <c r="AY4163">
        <v>100</v>
      </c>
      <c r="AZ4163" s="184">
        <v>44279</v>
      </c>
      <c r="BA4163" t="s">
        <v>30851</v>
      </c>
      <c r="BB4163">
        <v>100</v>
      </c>
      <c r="BC4163">
        <v>65</v>
      </c>
      <c r="BD4163">
        <v>675</v>
      </c>
      <c r="BE4163">
        <v>2012</v>
      </c>
      <c r="BF4163">
        <v>11</v>
      </c>
      <c r="BI4163">
        <v>9</v>
      </c>
      <c r="BJ4163">
        <v>14</v>
      </c>
      <c r="BK4163">
        <v>6</v>
      </c>
      <c r="BN4163" t="s">
        <v>595</v>
      </c>
    </row>
    <row r="4164" spans="1:68">
      <c r="A4164">
        <v>69176378</v>
      </c>
      <c r="B4164">
        <v>69176378</v>
      </c>
      <c r="C4164" t="s">
        <v>7018</v>
      </c>
      <c r="D4164" t="s">
        <v>595</v>
      </c>
      <c r="E4164" s="184">
        <v>43642</v>
      </c>
      <c r="G4164" s="184"/>
      <c r="I4164" s="184"/>
      <c r="K4164" s="184"/>
      <c r="M4164" s="184"/>
      <c r="O4164" s="184"/>
      <c r="P4164" t="s">
        <v>7045</v>
      </c>
      <c r="Q4164" t="s">
        <v>7262</v>
      </c>
      <c r="R4164" s="184">
        <v>19207</v>
      </c>
      <c r="S4164">
        <v>71</v>
      </c>
      <c r="V4164" t="s">
        <v>3373</v>
      </c>
      <c r="W4164" t="s">
        <v>7085</v>
      </c>
      <c r="X4164" t="s">
        <v>3424</v>
      </c>
      <c r="AF4164" t="s">
        <v>30852</v>
      </c>
      <c r="AG4164" t="s">
        <v>3373</v>
      </c>
      <c r="AI4164" t="s">
        <v>30853</v>
      </c>
      <c r="AM4164" t="s">
        <v>3425</v>
      </c>
      <c r="AN4164" t="s">
        <v>2069</v>
      </c>
      <c r="AO4164" t="s">
        <v>30854</v>
      </c>
      <c r="AP4164" t="s">
        <v>7024</v>
      </c>
      <c r="AQ4164" t="s">
        <v>30855</v>
      </c>
      <c r="AR4164" t="s">
        <v>30856</v>
      </c>
      <c r="AT4164" s="184">
        <v>40732</v>
      </c>
      <c r="AU4164" t="s">
        <v>30857</v>
      </c>
      <c r="AV4164">
        <v>25</v>
      </c>
      <c r="AW4164" s="184">
        <v>45299</v>
      </c>
      <c r="AX4164" t="s">
        <v>30858</v>
      </c>
      <c r="AY4164">
        <v>25</v>
      </c>
      <c r="AZ4164" s="184">
        <v>44110</v>
      </c>
      <c r="BA4164" t="s">
        <v>23078</v>
      </c>
      <c r="BB4164">
        <v>60</v>
      </c>
      <c r="BC4164">
        <v>93</v>
      </c>
      <c r="BD4164">
        <v>450</v>
      </c>
      <c r="BE4164">
        <v>2012</v>
      </c>
      <c r="BF4164">
        <v>20</v>
      </c>
      <c r="BG4164">
        <v>2</v>
      </c>
      <c r="BH4164">
        <v>40</v>
      </c>
      <c r="BI4164">
        <v>13</v>
      </c>
      <c r="BJ4164">
        <v>14</v>
      </c>
      <c r="BK4164">
        <v>12</v>
      </c>
      <c r="BP4164" s="184"/>
    </row>
    <row r="4165" spans="1:68">
      <c r="A4165">
        <v>69313377</v>
      </c>
      <c r="B4165">
        <v>69313377</v>
      </c>
      <c r="C4165" t="s">
        <v>7018</v>
      </c>
      <c r="D4165" t="s">
        <v>595</v>
      </c>
      <c r="E4165" s="184">
        <v>43640</v>
      </c>
      <c r="G4165" s="184"/>
      <c r="I4165" s="184"/>
      <c r="K4165" s="184"/>
      <c r="M4165" s="184"/>
      <c r="O4165" s="184"/>
      <c r="P4165" t="s">
        <v>7045</v>
      </c>
      <c r="Q4165" t="s">
        <v>7374</v>
      </c>
      <c r="R4165" s="184">
        <v>13110</v>
      </c>
      <c r="S4165">
        <v>88</v>
      </c>
      <c r="U4165" t="s">
        <v>7032</v>
      </c>
      <c r="V4165" t="s">
        <v>3031</v>
      </c>
      <c r="X4165" t="s">
        <v>3032</v>
      </c>
      <c r="AF4165" t="s">
        <v>30859</v>
      </c>
      <c r="AG4165" t="s">
        <v>3031</v>
      </c>
      <c r="AI4165" t="s">
        <v>30860</v>
      </c>
      <c r="AM4165" t="s">
        <v>3033</v>
      </c>
      <c r="AN4165" t="s">
        <v>2081</v>
      </c>
      <c r="AO4165" t="s">
        <v>30861</v>
      </c>
      <c r="AP4165" t="s">
        <v>7024</v>
      </c>
      <c r="AQ4165" t="s">
        <v>30862</v>
      </c>
      <c r="AR4165" t="s">
        <v>30863</v>
      </c>
      <c r="AT4165" s="184">
        <v>40736</v>
      </c>
      <c r="AU4165" t="s">
        <v>30864</v>
      </c>
      <c r="AV4165">
        <v>25</v>
      </c>
      <c r="AW4165" s="184">
        <v>43639</v>
      </c>
      <c r="AX4165" t="s">
        <v>7959</v>
      </c>
      <c r="AY4165">
        <v>50</v>
      </c>
      <c r="AZ4165" s="184">
        <v>43350</v>
      </c>
      <c r="BA4165" t="s">
        <v>7959</v>
      </c>
      <c r="BB4165">
        <v>100</v>
      </c>
      <c r="BC4165">
        <v>65</v>
      </c>
      <c r="BD4165">
        <v>1165</v>
      </c>
      <c r="BE4165">
        <v>2012</v>
      </c>
      <c r="BF4165">
        <v>30</v>
      </c>
      <c r="BI4165">
        <v>9</v>
      </c>
      <c r="BJ4165">
        <v>14</v>
      </c>
      <c r="BK4165">
        <v>9</v>
      </c>
      <c r="BP4165" s="184"/>
    </row>
    <row r="4166" spans="1:68">
      <c r="A4166">
        <v>69347045</v>
      </c>
      <c r="B4166">
        <v>69347045</v>
      </c>
      <c r="C4166" t="s">
        <v>7018</v>
      </c>
      <c r="D4166" t="s">
        <v>595</v>
      </c>
      <c r="E4166" s="184">
        <v>44104</v>
      </c>
      <c r="G4166" s="184"/>
      <c r="I4166" s="184"/>
      <c r="K4166" s="184"/>
      <c r="M4166" s="184"/>
      <c r="O4166" s="184"/>
      <c r="P4166" t="s">
        <v>7045</v>
      </c>
      <c r="Q4166" t="s">
        <v>7020</v>
      </c>
      <c r="R4166" s="184">
        <v>17624</v>
      </c>
      <c r="S4166">
        <v>76</v>
      </c>
      <c r="V4166" t="s">
        <v>3550</v>
      </c>
      <c r="X4166" t="s">
        <v>30865</v>
      </c>
      <c r="AF4166" t="s">
        <v>30866</v>
      </c>
      <c r="AG4166" t="s">
        <v>3550</v>
      </c>
      <c r="AI4166" t="s">
        <v>30867</v>
      </c>
      <c r="AM4166" t="s">
        <v>4041</v>
      </c>
      <c r="AN4166" t="s">
        <v>2052</v>
      </c>
      <c r="AO4166" t="s">
        <v>30868</v>
      </c>
      <c r="AP4166" t="s">
        <v>7024</v>
      </c>
      <c r="AQ4166" t="s">
        <v>30869</v>
      </c>
      <c r="AT4166" s="184">
        <v>40736</v>
      </c>
      <c r="AU4166" t="s">
        <v>30870</v>
      </c>
      <c r="AV4166">
        <v>20</v>
      </c>
      <c r="AW4166" s="184">
        <v>45261</v>
      </c>
      <c r="AX4166" t="s">
        <v>16739</v>
      </c>
      <c r="AY4166">
        <v>50</v>
      </c>
      <c r="AZ4166" s="184">
        <v>45261</v>
      </c>
      <c r="BA4166" t="s">
        <v>16739</v>
      </c>
      <c r="BB4166">
        <v>50</v>
      </c>
      <c r="BC4166">
        <v>93</v>
      </c>
      <c r="BD4166">
        <v>520</v>
      </c>
      <c r="BE4166">
        <v>2012</v>
      </c>
      <c r="BF4166">
        <v>21</v>
      </c>
      <c r="BG4166">
        <v>2</v>
      </c>
      <c r="BH4166">
        <v>100</v>
      </c>
      <c r="BI4166">
        <v>13</v>
      </c>
      <c r="BJ4166">
        <v>14</v>
      </c>
      <c r="BK4166">
        <v>13</v>
      </c>
    </row>
    <row r="4167" spans="1:68">
      <c r="A4167">
        <v>69414969</v>
      </c>
      <c r="B4167">
        <v>69414969</v>
      </c>
      <c r="C4167" t="s">
        <v>7018</v>
      </c>
      <c r="D4167" t="s">
        <v>595</v>
      </c>
      <c r="E4167" s="184">
        <v>44419</v>
      </c>
      <c r="G4167" s="184"/>
      <c r="I4167" s="184"/>
      <c r="K4167" s="184"/>
      <c r="M4167" s="184"/>
      <c r="O4167" s="184"/>
      <c r="P4167" t="s">
        <v>7045</v>
      </c>
      <c r="Q4167" t="s">
        <v>7262</v>
      </c>
      <c r="R4167" s="184">
        <v>16397</v>
      </c>
      <c r="S4167">
        <v>79</v>
      </c>
      <c r="U4167" t="s">
        <v>7130</v>
      </c>
      <c r="V4167" t="s">
        <v>3101</v>
      </c>
      <c r="X4167" t="s">
        <v>30871</v>
      </c>
      <c r="AF4167" t="s">
        <v>30872</v>
      </c>
      <c r="AG4167" t="s">
        <v>3101</v>
      </c>
      <c r="AI4167" t="s">
        <v>30873</v>
      </c>
      <c r="AM4167" t="s">
        <v>25705</v>
      </c>
      <c r="AN4167" t="s">
        <v>65</v>
      </c>
      <c r="AO4167" t="s">
        <v>30874</v>
      </c>
      <c r="AP4167" t="s">
        <v>7024</v>
      </c>
      <c r="AQ4167" t="s">
        <v>30875</v>
      </c>
      <c r="AR4167" t="s">
        <v>30876</v>
      </c>
      <c r="AT4167" s="184">
        <v>42087</v>
      </c>
      <c r="AU4167" t="s">
        <v>30877</v>
      </c>
      <c r="AV4167">
        <v>25</v>
      </c>
      <c r="AW4167" s="184">
        <v>45291</v>
      </c>
      <c r="AX4167" t="s">
        <v>11433</v>
      </c>
      <c r="AY4167">
        <v>25</v>
      </c>
      <c r="AZ4167" s="184">
        <v>43077</v>
      </c>
      <c r="BA4167" t="s">
        <v>8586</v>
      </c>
      <c r="BB4167">
        <v>35</v>
      </c>
      <c r="BC4167">
        <v>80</v>
      </c>
      <c r="BD4167">
        <v>1430</v>
      </c>
      <c r="BE4167">
        <v>2015</v>
      </c>
      <c r="BF4167">
        <v>68</v>
      </c>
      <c r="BG4167">
        <v>20</v>
      </c>
      <c r="BH4167">
        <v>500</v>
      </c>
      <c r="BI4167">
        <v>8</v>
      </c>
      <c r="BJ4167">
        <v>10</v>
      </c>
      <c r="BK4167">
        <v>7</v>
      </c>
      <c r="BN4167" t="s">
        <v>595</v>
      </c>
    </row>
    <row r="4168" spans="1:68">
      <c r="A4168">
        <v>69430874</v>
      </c>
      <c r="B4168">
        <v>69430874</v>
      </c>
      <c r="C4168" t="s">
        <v>7018</v>
      </c>
      <c r="D4168" t="s">
        <v>595</v>
      </c>
      <c r="E4168" s="184">
        <v>45195</v>
      </c>
      <c r="I4168" s="184"/>
      <c r="K4168" s="184"/>
      <c r="M4168" s="184"/>
      <c r="O4168" s="184"/>
      <c r="P4168" t="s">
        <v>7045</v>
      </c>
      <c r="Q4168" t="s">
        <v>7374</v>
      </c>
      <c r="R4168" s="184">
        <v>15578</v>
      </c>
      <c r="S4168">
        <v>81</v>
      </c>
      <c r="U4168" t="s">
        <v>7076</v>
      </c>
      <c r="V4168" t="s">
        <v>30878</v>
      </c>
      <c r="X4168" t="s">
        <v>30879</v>
      </c>
      <c r="AF4168" t="s">
        <v>30880</v>
      </c>
      <c r="AG4168" t="s">
        <v>30878</v>
      </c>
      <c r="AI4168" t="s">
        <v>30881</v>
      </c>
      <c r="AM4168" t="s">
        <v>3517</v>
      </c>
      <c r="AN4168" t="s">
        <v>2081</v>
      </c>
      <c r="AO4168" t="s">
        <v>30882</v>
      </c>
      <c r="AP4168" t="s">
        <v>7024</v>
      </c>
      <c r="AQ4168" t="s">
        <v>30883</v>
      </c>
      <c r="AR4168" t="s">
        <v>30884</v>
      </c>
      <c r="AT4168" s="184">
        <v>34222</v>
      </c>
      <c r="AU4168" t="s">
        <v>30885</v>
      </c>
      <c r="AV4168">
        <v>15</v>
      </c>
      <c r="AW4168" s="184">
        <v>45147</v>
      </c>
      <c r="AX4168" t="s">
        <v>30886</v>
      </c>
      <c r="AY4168">
        <v>15</v>
      </c>
      <c r="AZ4168" s="184">
        <v>44853</v>
      </c>
      <c r="BA4168" t="s">
        <v>30887</v>
      </c>
      <c r="BB4168">
        <v>25</v>
      </c>
      <c r="BC4168">
        <v>54</v>
      </c>
      <c r="BD4168">
        <v>352</v>
      </c>
      <c r="BE4168">
        <v>1994</v>
      </c>
      <c r="BF4168">
        <v>22</v>
      </c>
      <c r="BG4168">
        <v>2</v>
      </c>
      <c r="BH4168">
        <v>40</v>
      </c>
      <c r="BI4168">
        <v>17</v>
      </c>
      <c r="BJ4168">
        <v>32</v>
      </c>
      <c r="BK4168">
        <v>5</v>
      </c>
    </row>
    <row r="4169" spans="1:68">
      <c r="A4169">
        <v>69633642</v>
      </c>
      <c r="B4169">
        <v>69633642</v>
      </c>
      <c r="C4169" t="s">
        <v>7018</v>
      </c>
      <c r="E4169" s="184"/>
      <c r="G4169" s="184"/>
      <c r="I4169" s="184"/>
      <c r="J4169" t="s">
        <v>595</v>
      </c>
      <c r="K4169" s="184">
        <v>42522</v>
      </c>
      <c r="M4169" s="184"/>
      <c r="O4169" s="184"/>
      <c r="P4169" t="s">
        <v>7045</v>
      </c>
      <c r="Q4169" t="s">
        <v>7374</v>
      </c>
      <c r="R4169" s="184">
        <v>19511</v>
      </c>
      <c r="S4169">
        <v>70</v>
      </c>
      <c r="V4169" t="s">
        <v>9290</v>
      </c>
      <c r="X4169" t="s">
        <v>30888</v>
      </c>
      <c r="AF4169" t="s">
        <v>6239</v>
      </c>
      <c r="AG4169" t="s">
        <v>9290</v>
      </c>
      <c r="AI4169" t="s">
        <v>30889</v>
      </c>
      <c r="AM4169" t="s">
        <v>2797</v>
      </c>
      <c r="AN4169" t="s">
        <v>2081</v>
      </c>
      <c r="AO4169" t="s">
        <v>30890</v>
      </c>
      <c r="AP4169" t="s">
        <v>7024</v>
      </c>
      <c r="AQ4169" t="s">
        <v>30891</v>
      </c>
      <c r="AT4169" s="184">
        <v>40737</v>
      </c>
      <c r="AU4169" t="s">
        <v>30892</v>
      </c>
      <c r="AV4169">
        <v>50</v>
      </c>
      <c r="AW4169" s="184">
        <v>45341</v>
      </c>
      <c r="AX4169" t="s">
        <v>28710</v>
      </c>
      <c r="AY4169">
        <v>100</v>
      </c>
      <c r="AZ4169" s="184">
        <v>41694</v>
      </c>
      <c r="BA4169" t="s">
        <v>23653</v>
      </c>
      <c r="BB4169">
        <v>200</v>
      </c>
      <c r="BC4169">
        <v>100</v>
      </c>
      <c r="BD4169">
        <v>3090</v>
      </c>
      <c r="BE4169">
        <v>2012</v>
      </c>
      <c r="BF4169">
        <v>31</v>
      </c>
      <c r="BG4169">
        <v>4</v>
      </c>
      <c r="BH4169">
        <v>400</v>
      </c>
      <c r="BI4169">
        <v>14</v>
      </c>
      <c r="BJ4169">
        <v>14</v>
      </c>
      <c r="BK4169">
        <v>14</v>
      </c>
      <c r="BP4169" s="184"/>
    </row>
    <row r="4170" spans="1:68">
      <c r="A4170">
        <v>69653988</v>
      </c>
      <c r="B4170">
        <v>69653988</v>
      </c>
      <c r="C4170" t="s">
        <v>7018</v>
      </c>
      <c r="D4170" t="s">
        <v>595</v>
      </c>
      <c r="E4170" s="184">
        <v>45196</v>
      </c>
      <c r="I4170" s="184"/>
      <c r="K4170" s="184"/>
      <c r="M4170" s="184"/>
      <c r="O4170" s="184"/>
      <c r="P4170" t="s">
        <v>7045</v>
      </c>
      <c r="Q4170" t="s">
        <v>7030</v>
      </c>
      <c r="R4170" s="184">
        <v>15888</v>
      </c>
      <c r="S4170">
        <v>80</v>
      </c>
      <c r="U4170" t="s">
        <v>7031</v>
      </c>
      <c r="V4170" t="s">
        <v>10325</v>
      </c>
      <c r="W4170" t="s">
        <v>2316</v>
      </c>
      <c r="X4170" t="s">
        <v>30893</v>
      </c>
      <c r="AF4170" t="s">
        <v>30894</v>
      </c>
      <c r="AG4170" t="s">
        <v>10325</v>
      </c>
      <c r="AI4170" t="s">
        <v>30895</v>
      </c>
      <c r="AM4170" t="s">
        <v>5664</v>
      </c>
      <c r="AN4170" t="s">
        <v>2089</v>
      </c>
      <c r="AO4170" t="s">
        <v>30896</v>
      </c>
      <c r="AP4170" t="s">
        <v>7024</v>
      </c>
      <c r="AQ4170" t="s">
        <v>30897</v>
      </c>
      <c r="AT4170" s="184">
        <v>40738</v>
      </c>
      <c r="AU4170" t="s">
        <v>30898</v>
      </c>
      <c r="AV4170">
        <v>20</v>
      </c>
      <c r="AW4170" s="184">
        <v>45351</v>
      </c>
      <c r="AX4170" t="s">
        <v>7168</v>
      </c>
      <c r="AY4170">
        <v>89.25</v>
      </c>
      <c r="AZ4170" s="184">
        <v>44205</v>
      </c>
      <c r="BA4170" t="s">
        <v>25609</v>
      </c>
      <c r="BB4170">
        <v>90</v>
      </c>
      <c r="BC4170">
        <v>100</v>
      </c>
      <c r="BD4170">
        <v>1229.25</v>
      </c>
      <c r="BE4170">
        <v>2012</v>
      </c>
      <c r="BF4170">
        <v>18</v>
      </c>
      <c r="BG4170">
        <v>2</v>
      </c>
      <c r="BH4170">
        <v>174.25</v>
      </c>
      <c r="BI4170">
        <v>14</v>
      </c>
      <c r="BJ4170">
        <v>14</v>
      </c>
      <c r="BK4170">
        <v>14</v>
      </c>
    </row>
    <row r="4171" spans="1:68">
      <c r="A4171">
        <v>69673606</v>
      </c>
      <c r="B4171">
        <v>69673606</v>
      </c>
      <c r="C4171" t="s">
        <v>7018</v>
      </c>
      <c r="D4171" t="s">
        <v>595</v>
      </c>
      <c r="E4171" s="184">
        <v>44167</v>
      </c>
      <c r="G4171" s="184"/>
      <c r="I4171" s="184"/>
      <c r="K4171" s="184"/>
      <c r="O4171" s="184"/>
      <c r="P4171" t="s">
        <v>7045</v>
      </c>
      <c r="Q4171" t="s">
        <v>7383</v>
      </c>
      <c r="R4171" s="184">
        <v>19572</v>
      </c>
      <c r="S4171">
        <v>70</v>
      </c>
      <c r="V4171" t="s">
        <v>3311</v>
      </c>
      <c r="X4171" t="s">
        <v>30899</v>
      </c>
      <c r="Z4171">
        <v>100143867</v>
      </c>
      <c r="AA4171" t="s">
        <v>7130</v>
      </c>
      <c r="AB4171" t="s">
        <v>2609</v>
      </c>
      <c r="AD4171" t="s">
        <v>30899</v>
      </c>
      <c r="AF4171" t="s">
        <v>30900</v>
      </c>
      <c r="AG4171" t="s">
        <v>30901</v>
      </c>
      <c r="AI4171" t="s">
        <v>30902</v>
      </c>
      <c r="AM4171" t="s">
        <v>3815</v>
      </c>
      <c r="AN4171" t="s">
        <v>2059</v>
      </c>
      <c r="AO4171" t="s">
        <v>30903</v>
      </c>
      <c r="AP4171" t="s">
        <v>7024</v>
      </c>
      <c r="AQ4171" t="s">
        <v>30904</v>
      </c>
      <c r="AT4171" s="184">
        <v>40739</v>
      </c>
      <c r="AU4171" t="s">
        <v>30905</v>
      </c>
      <c r="AV4171">
        <v>25</v>
      </c>
      <c r="AW4171" s="184">
        <v>45412</v>
      </c>
      <c r="AX4171" t="s">
        <v>30906</v>
      </c>
      <c r="AY4171">
        <v>50</v>
      </c>
      <c r="AZ4171" s="184">
        <v>43553</v>
      </c>
      <c r="BA4171" t="s">
        <v>17297</v>
      </c>
      <c r="BB4171">
        <v>100</v>
      </c>
      <c r="BC4171">
        <v>93</v>
      </c>
      <c r="BD4171">
        <v>1070</v>
      </c>
      <c r="BE4171">
        <v>2012</v>
      </c>
      <c r="BF4171">
        <v>17</v>
      </c>
      <c r="BG4171">
        <v>2</v>
      </c>
      <c r="BH4171">
        <v>100</v>
      </c>
      <c r="BI4171">
        <v>13</v>
      </c>
      <c r="BJ4171">
        <v>14</v>
      </c>
      <c r="BK4171">
        <v>10</v>
      </c>
    </row>
    <row r="4172" spans="1:68">
      <c r="A4172">
        <v>100143867</v>
      </c>
      <c r="B4172">
        <v>69673606</v>
      </c>
      <c r="C4172" t="s">
        <v>7018</v>
      </c>
      <c r="D4172" t="s">
        <v>595</v>
      </c>
      <c r="E4172" s="184">
        <v>44167</v>
      </c>
      <c r="G4172" s="184"/>
      <c r="I4172" s="184"/>
      <c r="K4172" s="184"/>
      <c r="M4172" s="184"/>
      <c r="O4172" s="184"/>
      <c r="P4172" t="s">
        <v>7045</v>
      </c>
      <c r="Q4172" t="s">
        <v>7383</v>
      </c>
      <c r="R4172" s="184">
        <v>18111</v>
      </c>
      <c r="S4172">
        <v>74</v>
      </c>
      <c r="U4172" t="s">
        <v>7130</v>
      </c>
      <c r="V4172" t="s">
        <v>2609</v>
      </c>
      <c r="X4172" t="s">
        <v>30899</v>
      </c>
      <c r="Z4172">
        <v>69673606</v>
      </c>
      <c r="AB4172" t="s">
        <v>3311</v>
      </c>
      <c r="AD4172" t="s">
        <v>30899</v>
      </c>
      <c r="AF4172" t="s">
        <v>30900</v>
      </c>
      <c r="AG4172" t="s">
        <v>30901</v>
      </c>
      <c r="AI4172" t="s">
        <v>30902</v>
      </c>
      <c r="AM4172" t="s">
        <v>3815</v>
      </c>
      <c r="AN4172" t="s">
        <v>2059</v>
      </c>
      <c r="AO4172" t="s">
        <v>30903</v>
      </c>
      <c r="AP4172" t="s">
        <v>7024</v>
      </c>
      <c r="AQ4172" t="s">
        <v>30904</v>
      </c>
      <c r="AT4172" s="184"/>
      <c r="AW4172" s="184"/>
      <c r="AZ4172" s="184"/>
    </row>
    <row r="4173" spans="1:68">
      <c r="A4173">
        <v>69685139</v>
      </c>
      <c r="B4173">
        <v>69685139</v>
      </c>
      <c r="C4173" t="s">
        <v>7018</v>
      </c>
      <c r="E4173" s="184"/>
      <c r="G4173" s="184"/>
      <c r="I4173" s="184"/>
      <c r="J4173" t="s">
        <v>595</v>
      </c>
      <c r="K4173" s="184">
        <v>44452</v>
      </c>
      <c r="M4173" s="184"/>
      <c r="O4173" s="184"/>
      <c r="P4173" t="s">
        <v>7019</v>
      </c>
      <c r="Q4173" t="s">
        <v>7454</v>
      </c>
      <c r="R4173" s="184">
        <v>17997</v>
      </c>
      <c r="S4173">
        <v>75</v>
      </c>
      <c r="U4173" t="s">
        <v>7130</v>
      </c>
      <c r="V4173" t="s">
        <v>3230</v>
      </c>
      <c r="W4173" t="s">
        <v>2586</v>
      </c>
      <c r="X4173" t="s">
        <v>30907</v>
      </c>
      <c r="Z4173">
        <v>101061306</v>
      </c>
      <c r="AB4173" t="s">
        <v>2832</v>
      </c>
      <c r="AC4173" t="s">
        <v>4152</v>
      </c>
      <c r="AD4173" t="s">
        <v>30907</v>
      </c>
      <c r="AF4173" t="s">
        <v>30908</v>
      </c>
      <c r="AG4173" t="s">
        <v>30909</v>
      </c>
      <c r="AI4173" t="s">
        <v>30910</v>
      </c>
      <c r="AM4173" t="s">
        <v>3855</v>
      </c>
      <c r="AN4173" t="s">
        <v>2055</v>
      </c>
      <c r="AO4173" t="s">
        <v>30911</v>
      </c>
      <c r="AP4173" t="s">
        <v>7024</v>
      </c>
      <c r="AQ4173" t="s">
        <v>30912</v>
      </c>
      <c r="AT4173" s="184">
        <v>40891</v>
      </c>
      <c r="AU4173" t="s">
        <v>30913</v>
      </c>
      <c r="AV4173">
        <v>25</v>
      </c>
      <c r="AW4173" s="184">
        <v>45414</v>
      </c>
      <c r="AX4173" t="s">
        <v>30914</v>
      </c>
      <c r="AY4173">
        <v>25</v>
      </c>
      <c r="AZ4173" s="184">
        <v>43171</v>
      </c>
      <c r="BA4173" t="s">
        <v>30915</v>
      </c>
      <c r="BB4173">
        <v>100</v>
      </c>
      <c r="BC4173">
        <v>86</v>
      </c>
      <c r="BD4173">
        <v>1030</v>
      </c>
      <c r="BE4173">
        <v>2012</v>
      </c>
      <c r="BF4173">
        <v>21</v>
      </c>
      <c r="BG4173">
        <v>1</v>
      </c>
      <c r="BH4173">
        <v>25</v>
      </c>
      <c r="BI4173">
        <v>12</v>
      </c>
      <c r="BJ4173">
        <v>14</v>
      </c>
      <c r="BK4173">
        <v>11</v>
      </c>
      <c r="BP4173" s="184"/>
    </row>
    <row r="4174" spans="1:68">
      <c r="A4174">
        <v>69775146</v>
      </c>
      <c r="B4174">
        <v>69775146</v>
      </c>
      <c r="C4174" t="s">
        <v>7018</v>
      </c>
      <c r="E4174" s="184"/>
      <c r="G4174" s="184"/>
      <c r="I4174" s="184"/>
      <c r="J4174" t="s">
        <v>595</v>
      </c>
      <c r="K4174" s="184">
        <v>42631</v>
      </c>
      <c r="M4174" s="184"/>
      <c r="O4174" s="184"/>
      <c r="P4174" t="s">
        <v>7045</v>
      </c>
      <c r="Q4174" t="s">
        <v>7383</v>
      </c>
      <c r="R4174" s="184">
        <v>18841</v>
      </c>
      <c r="S4174">
        <v>72</v>
      </c>
      <c r="U4174" t="s">
        <v>7076</v>
      </c>
      <c r="V4174" t="s">
        <v>30916</v>
      </c>
      <c r="X4174" t="s">
        <v>2706</v>
      </c>
      <c r="Z4174">
        <v>100143963</v>
      </c>
      <c r="AA4174" t="s">
        <v>7031</v>
      </c>
      <c r="AB4174" t="s">
        <v>3246</v>
      </c>
      <c r="AD4174" t="s">
        <v>2706</v>
      </c>
      <c r="AF4174" t="s">
        <v>6442</v>
      </c>
      <c r="AG4174" t="s">
        <v>30917</v>
      </c>
      <c r="AI4174" t="s">
        <v>30918</v>
      </c>
      <c r="AM4174" t="s">
        <v>2850</v>
      </c>
      <c r="AN4174" t="s">
        <v>2144</v>
      </c>
      <c r="AO4174" t="s">
        <v>30919</v>
      </c>
      <c r="AP4174" t="s">
        <v>7024</v>
      </c>
      <c r="AT4174" s="184">
        <v>40745</v>
      </c>
      <c r="AU4174" t="s">
        <v>30920</v>
      </c>
      <c r="AV4174">
        <v>20</v>
      </c>
      <c r="AW4174" s="184">
        <v>45408</v>
      </c>
      <c r="AX4174" t="s">
        <v>8483</v>
      </c>
      <c r="AY4174">
        <v>15</v>
      </c>
      <c r="AZ4174" s="184">
        <v>41347</v>
      </c>
      <c r="BA4174" t="s">
        <v>30921</v>
      </c>
      <c r="BB4174">
        <v>40</v>
      </c>
      <c r="BC4174">
        <v>100</v>
      </c>
      <c r="BD4174">
        <v>1720</v>
      </c>
      <c r="BE4174">
        <v>2012</v>
      </c>
      <c r="BF4174">
        <v>133</v>
      </c>
      <c r="BG4174">
        <v>24</v>
      </c>
      <c r="BH4174">
        <v>360</v>
      </c>
      <c r="BI4174">
        <v>14</v>
      </c>
      <c r="BJ4174">
        <v>14</v>
      </c>
      <c r="BK4174">
        <v>14</v>
      </c>
    </row>
    <row r="4175" spans="1:68">
      <c r="A4175">
        <v>100143963</v>
      </c>
      <c r="B4175">
        <v>69775146</v>
      </c>
      <c r="C4175" t="s">
        <v>7018</v>
      </c>
      <c r="E4175" s="184"/>
      <c r="G4175" s="184"/>
      <c r="I4175" s="184"/>
      <c r="J4175" t="s">
        <v>595</v>
      </c>
      <c r="K4175" s="184">
        <v>43654</v>
      </c>
      <c r="M4175" s="184"/>
      <c r="O4175" s="184"/>
      <c r="P4175" t="s">
        <v>7045</v>
      </c>
      <c r="Q4175" t="s">
        <v>7383</v>
      </c>
      <c r="R4175" s="184">
        <v>18080</v>
      </c>
      <c r="S4175">
        <v>74</v>
      </c>
      <c r="U4175" t="s">
        <v>7031</v>
      </c>
      <c r="V4175" t="s">
        <v>3246</v>
      </c>
      <c r="X4175" t="s">
        <v>2706</v>
      </c>
      <c r="Z4175">
        <v>69775146</v>
      </c>
      <c r="AA4175" t="s">
        <v>7076</v>
      </c>
      <c r="AB4175" t="s">
        <v>30916</v>
      </c>
      <c r="AD4175" t="s">
        <v>2706</v>
      </c>
      <c r="AF4175" t="s">
        <v>6442</v>
      </c>
      <c r="AG4175" t="s">
        <v>30917</v>
      </c>
      <c r="AI4175" t="s">
        <v>30918</v>
      </c>
      <c r="AM4175" t="s">
        <v>2850</v>
      </c>
      <c r="AN4175" t="s">
        <v>2144</v>
      </c>
      <c r="AO4175" t="s">
        <v>30919</v>
      </c>
      <c r="AP4175" t="s">
        <v>7024</v>
      </c>
      <c r="AT4175" s="184"/>
      <c r="AW4175" s="184"/>
      <c r="AZ4175" s="184"/>
    </row>
    <row r="4176" spans="1:68">
      <c r="A4176">
        <v>69994309</v>
      </c>
      <c r="B4176">
        <v>69994309</v>
      </c>
      <c r="C4176" t="s">
        <v>7018</v>
      </c>
      <c r="E4176" s="184"/>
      <c r="G4176" s="184"/>
      <c r="I4176" s="184"/>
      <c r="J4176" t="s">
        <v>595</v>
      </c>
      <c r="K4176" s="184">
        <v>43691</v>
      </c>
      <c r="M4176" s="184"/>
      <c r="O4176" s="184"/>
      <c r="P4176" t="s">
        <v>7045</v>
      </c>
      <c r="Q4176" t="s">
        <v>7374</v>
      </c>
      <c r="R4176" s="184">
        <v>16720</v>
      </c>
      <c r="S4176">
        <v>78</v>
      </c>
      <c r="V4176" t="s">
        <v>3719</v>
      </c>
      <c r="X4176" t="s">
        <v>3720</v>
      </c>
      <c r="AF4176" t="s">
        <v>6709</v>
      </c>
      <c r="AG4176" t="s">
        <v>3719</v>
      </c>
      <c r="AI4176" t="s">
        <v>30922</v>
      </c>
      <c r="AM4176" t="s">
        <v>3721</v>
      </c>
      <c r="AN4176" t="s">
        <v>2081</v>
      </c>
      <c r="AO4176" t="s">
        <v>30923</v>
      </c>
      <c r="AP4176" t="s">
        <v>7024</v>
      </c>
      <c r="AQ4176" t="s">
        <v>30924</v>
      </c>
      <c r="AT4176" s="184">
        <v>40746</v>
      </c>
      <c r="AU4176" t="s">
        <v>30925</v>
      </c>
      <c r="AV4176">
        <v>15</v>
      </c>
      <c r="AW4176" s="184">
        <v>43602</v>
      </c>
      <c r="AX4176" t="s">
        <v>30926</v>
      </c>
      <c r="AY4176">
        <v>20</v>
      </c>
      <c r="AZ4176" s="184">
        <v>43602</v>
      </c>
      <c r="BA4176" t="s">
        <v>30926</v>
      </c>
      <c r="BB4176">
        <v>20</v>
      </c>
      <c r="BC4176">
        <v>29</v>
      </c>
      <c r="BD4176">
        <v>75</v>
      </c>
      <c r="BE4176">
        <v>2012</v>
      </c>
      <c r="BF4176">
        <v>5</v>
      </c>
      <c r="BI4176">
        <v>4</v>
      </c>
      <c r="BJ4176">
        <v>14</v>
      </c>
      <c r="BK4176">
        <v>3</v>
      </c>
    </row>
    <row r="4177" spans="1:68">
      <c r="A4177">
        <v>70011218</v>
      </c>
      <c r="B4177">
        <v>70011218</v>
      </c>
      <c r="C4177" t="s">
        <v>7018</v>
      </c>
      <c r="D4177" t="s">
        <v>595</v>
      </c>
      <c r="E4177" s="184">
        <v>44167</v>
      </c>
      <c r="G4177" s="184"/>
      <c r="I4177" s="184"/>
      <c r="K4177" s="184"/>
      <c r="M4177" s="184"/>
      <c r="O4177" s="184"/>
      <c r="P4177" t="s">
        <v>7045</v>
      </c>
      <c r="Q4177" t="s">
        <v>7383</v>
      </c>
      <c r="R4177" s="184">
        <v>19664</v>
      </c>
      <c r="S4177">
        <v>70</v>
      </c>
      <c r="U4177" t="s">
        <v>7031</v>
      </c>
      <c r="V4177" t="s">
        <v>4022</v>
      </c>
      <c r="X4177" t="s">
        <v>28518</v>
      </c>
      <c r="AF4177" t="s">
        <v>30927</v>
      </c>
      <c r="AG4177" t="s">
        <v>4022</v>
      </c>
      <c r="AI4177" t="s">
        <v>30928</v>
      </c>
      <c r="AM4177" t="s">
        <v>3623</v>
      </c>
      <c r="AN4177" t="s">
        <v>2162</v>
      </c>
      <c r="AO4177" t="s">
        <v>30929</v>
      </c>
      <c r="AP4177" t="s">
        <v>7024</v>
      </c>
      <c r="AQ4177" t="s">
        <v>30930</v>
      </c>
      <c r="AT4177" s="184">
        <v>40749</v>
      </c>
      <c r="AU4177" t="s">
        <v>30920</v>
      </c>
      <c r="AV4177">
        <v>15</v>
      </c>
      <c r="AW4177" s="184">
        <v>44186</v>
      </c>
      <c r="AX4177" t="s">
        <v>30931</v>
      </c>
      <c r="AY4177">
        <v>25</v>
      </c>
      <c r="AZ4177" s="184">
        <v>44186</v>
      </c>
      <c r="BA4177" t="s">
        <v>30931</v>
      </c>
      <c r="BB4177">
        <v>25</v>
      </c>
      <c r="BC4177">
        <v>58</v>
      </c>
      <c r="BD4177">
        <v>260</v>
      </c>
      <c r="BE4177">
        <v>2012</v>
      </c>
      <c r="BF4177">
        <v>11</v>
      </c>
      <c r="BI4177">
        <v>8</v>
      </c>
      <c r="BJ4177">
        <v>14</v>
      </c>
      <c r="BK4177">
        <v>3</v>
      </c>
    </row>
    <row r="4178" spans="1:68">
      <c r="A4178">
        <v>70196977</v>
      </c>
      <c r="B4178">
        <v>70196977</v>
      </c>
      <c r="C4178" t="s">
        <v>7018</v>
      </c>
      <c r="D4178" t="s">
        <v>595</v>
      </c>
      <c r="E4178" s="184">
        <v>44167</v>
      </c>
      <c r="G4178" s="184"/>
      <c r="I4178" s="184"/>
      <c r="K4178" s="184"/>
      <c r="O4178" s="184"/>
      <c r="P4178" t="s">
        <v>7045</v>
      </c>
      <c r="Q4178" t="s">
        <v>7374</v>
      </c>
      <c r="R4178" s="184">
        <v>21186</v>
      </c>
      <c r="S4178">
        <v>66</v>
      </c>
      <c r="V4178" t="s">
        <v>22865</v>
      </c>
      <c r="W4178" t="s">
        <v>4139</v>
      </c>
      <c r="X4178" t="s">
        <v>30932</v>
      </c>
      <c r="AF4178" t="s">
        <v>30933</v>
      </c>
      <c r="AG4178" t="s">
        <v>22865</v>
      </c>
      <c r="AI4178" t="s">
        <v>30934</v>
      </c>
      <c r="AM4178" t="s">
        <v>30935</v>
      </c>
      <c r="AN4178" t="s">
        <v>2081</v>
      </c>
      <c r="AO4178" t="s">
        <v>30936</v>
      </c>
      <c r="AP4178" t="s">
        <v>7024</v>
      </c>
      <c r="AQ4178" t="s">
        <v>30937</v>
      </c>
      <c r="AT4178" s="184">
        <v>40749</v>
      </c>
      <c r="AU4178" t="s">
        <v>30938</v>
      </c>
      <c r="AV4178">
        <v>15</v>
      </c>
      <c r="AW4178" s="184">
        <v>44004</v>
      </c>
      <c r="AX4178" t="s">
        <v>30939</v>
      </c>
      <c r="AY4178">
        <v>10</v>
      </c>
      <c r="AZ4178" s="184">
        <v>41009</v>
      </c>
      <c r="BA4178" t="s">
        <v>30940</v>
      </c>
      <c r="BB4178">
        <v>25</v>
      </c>
      <c r="BC4178">
        <v>50</v>
      </c>
      <c r="BD4178">
        <v>105</v>
      </c>
      <c r="BE4178">
        <v>2012</v>
      </c>
      <c r="BF4178">
        <v>8</v>
      </c>
      <c r="BI4178">
        <v>7</v>
      </c>
      <c r="BJ4178">
        <v>14</v>
      </c>
      <c r="BK4178">
        <v>3</v>
      </c>
      <c r="BP4178" s="184"/>
    </row>
    <row r="4179" spans="1:68">
      <c r="A4179">
        <v>70443973</v>
      </c>
      <c r="B4179">
        <v>70443973</v>
      </c>
      <c r="C4179" t="s">
        <v>7018</v>
      </c>
      <c r="D4179" t="s">
        <v>595</v>
      </c>
      <c r="E4179" s="184">
        <v>45125</v>
      </c>
      <c r="G4179" s="184"/>
      <c r="I4179" s="184"/>
      <c r="K4179" s="184"/>
      <c r="M4179" s="184"/>
      <c r="O4179" s="184"/>
      <c r="P4179" t="s">
        <v>7045</v>
      </c>
      <c r="Q4179" t="s">
        <v>7383</v>
      </c>
      <c r="R4179" s="184">
        <v>13332</v>
      </c>
      <c r="S4179">
        <v>87</v>
      </c>
      <c r="V4179" t="s">
        <v>3901</v>
      </c>
      <c r="W4179" t="s">
        <v>7560</v>
      </c>
      <c r="X4179" t="s">
        <v>3740</v>
      </c>
      <c r="AF4179" t="s">
        <v>30941</v>
      </c>
      <c r="AG4179" t="s">
        <v>3901</v>
      </c>
      <c r="AI4179" t="s">
        <v>30942</v>
      </c>
      <c r="AM4179" t="s">
        <v>28219</v>
      </c>
      <c r="AN4179" t="s">
        <v>2072</v>
      </c>
      <c r="AO4179" t="s">
        <v>30943</v>
      </c>
      <c r="AP4179" t="s">
        <v>7024</v>
      </c>
      <c r="AQ4179" t="s">
        <v>30944</v>
      </c>
      <c r="AT4179" s="184">
        <v>40752</v>
      </c>
      <c r="AU4179" t="s">
        <v>30945</v>
      </c>
      <c r="AV4179">
        <v>5</v>
      </c>
      <c r="AW4179" s="184">
        <v>45406</v>
      </c>
      <c r="AX4179" t="s">
        <v>16023</v>
      </c>
      <c r="AY4179">
        <v>10</v>
      </c>
      <c r="AZ4179" s="184">
        <v>43231</v>
      </c>
      <c r="BA4179" t="s">
        <v>30946</v>
      </c>
      <c r="BB4179">
        <v>60</v>
      </c>
      <c r="BC4179">
        <v>79</v>
      </c>
      <c r="BD4179">
        <v>332</v>
      </c>
      <c r="BE4179">
        <v>2012</v>
      </c>
      <c r="BF4179">
        <v>21</v>
      </c>
      <c r="BG4179">
        <v>4</v>
      </c>
      <c r="BH4179">
        <v>70</v>
      </c>
      <c r="BI4179">
        <v>11</v>
      </c>
      <c r="BJ4179">
        <v>14</v>
      </c>
      <c r="BK4179">
        <v>6</v>
      </c>
      <c r="BP4179" s="184"/>
    </row>
    <row r="4180" spans="1:68">
      <c r="A4180">
        <v>70698840</v>
      </c>
      <c r="B4180">
        <v>70698840</v>
      </c>
      <c r="C4180" t="s">
        <v>7018</v>
      </c>
      <c r="E4180" s="184"/>
      <c r="G4180" s="184"/>
      <c r="I4180" s="184"/>
      <c r="K4180" s="184"/>
      <c r="N4180" t="s">
        <v>595</v>
      </c>
      <c r="O4180" s="184">
        <v>41207</v>
      </c>
      <c r="P4180" t="s">
        <v>7045</v>
      </c>
      <c r="Q4180" t="s">
        <v>7374</v>
      </c>
      <c r="R4180" s="184">
        <v>14272</v>
      </c>
      <c r="S4180">
        <v>85</v>
      </c>
      <c r="V4180" t="s">
        <v>3783</v>
      </c>
      <c r="X4180" t="s">
        <v>2999</v>
      </c>
      <c r="Z4180">
        <v>100144262</v>
      </c>
      <c r="AB4180" t="s">
        <v>3230</v>
      </c>
      <c r="AD4180" t="s">
        <v>2999</v>
      </c>
      <c r="AF4180" t="s">
        <v>6022</v>
      </c>
      <c r="AG4180" t="s">
        <v>30947</v>
      </c>
      <c r="AI4180" t="s">
        <v>30948</v>
      </c>
      <c r="AM4180" t="s">
        <v>4822</v>
      </c>
      <c r="AN4180" t="s">
        <v>2081</v>
      </c>
      <c r="AO4180" t="s">
        <v>30949</v>
      </c>
      <c r="AP4180" t="s">
        <v>7024</v>
      </c>
      <c r="AQ4180" t="s">
        <v>30950</v>
      </c>
      <c r="AT4180" s="184">
        <v>40753</v>
      </c>
      <c r="AU4180" t="s">
        <v>30951</v>
      </c>
      <c r="AV4180">
        <v>50</v>
      </c>
      <c r="AW4180" s="184">
        <v>45267</v>
      </c>
      <c r="AX4180" t="s">
        <v>30952</v>
      </c>
      <c r="AY4180">
        <v>200</v>
      </c>
      <c r="AZ4180" s="184">
        <v>41207</v>
      </c>
      <c r="BA4180" t="s">
        <v>15414</v>
      </c>
      <c r="BB4180">
        <v>10000</v>
      </c>
      <c r="BC4180">
        <v>72</v>
      </c>
      <c r="BD4180">
        <v>10825</v>
      </c>
      <c r="BE4180">
        <v>2012</v>
      </c>
      <c r="BF4180">
        <v>13</v>
      </c>
      <c r="BG4180">
        <v>2</v>
      </c>
      <c r="BH4180">
        <v>300</v>
      </c>
      <c r="BI4180">
        <v>10</v>
      </c>
      <c r="BJ4180">
        <v>14</v>
      </c>
      <c r="BK4180">
        <v>5</v>
      </c>
    </row>
    <row r="4181" spans="1:68">
      <c r="A4181">
        <v>100144262</v>
      </c>
      <c r="B4181">
        <v>70698840</v>
      </c>
      <c r="C4181" t="s">
        <v>7018</v>
      </c>
      <c r="E4181" s="184"/>
      <c r="G4181" s="184"/>
      <c r="I4181" s="184"/>
      <c r="K4181" s="184"/>
      <c r="N4181" t="s">
        <v>595</v>
      </c>
      <c r="O4181" s="184">
        <v>41207</v>
      </c>
      <c r="P4181" t="s">
        <v>7045</v>
      </c>
      <c r="Q4181" t="s">
        <v>7374</v>
      </c>
      <c r="R4181" s="184">
        <v>13002</v>
      </c>
      <c r="S4181">
        <v>88</v>
      </c>
      <c r="V4181" t="s">
        <v>3230</v>
      </c>
      <c r="X4181" t="s">
        <v>2999</v>
      </c>
      <c r="Z4181">
        <v>70698840</v>
      </c>
      <c r="AB4181" t="s">
        <v>3783</v>
      </c>
      <c r="AD4181" t="s">
        <v>2999</v>
      </c>
      <c r="AF4181" t="s">
        <v>6022</v>
      </c>
      <c r="AG4181" t="s">
        <v>30947</v>
      </c>
      <c r="AI4181" t="s">
        <v>30948</v>
      </c>
      <c r="AM4181" t="s">
        <v>4822</v>
      </c>
      <c r="AN4181" t="s">
        <v>2081</v>
      </c>
      <c r="AO4181" t="s">
        <v>30949</v>
      </c>
      <c r="AP4181" t="s">
        <v>7024</v>
      </c>
      <c r="AT4181" s="184"/>
      <c r="AW4181" s="184"/>
      <c r="AZ4181" s="184"/>
    </row>
    <row r="4182" spans="1:68">
      <c r="A4182">
        <v>70699780</v>
      </c>
      <c r="B4182">
        <v>70699780</v>
      </c>
      <c r="C4182" t="s">
        <v>7018</v>
      </c>
      <c r="D4182" t="s">
        <v>595</v>
      </c>
      <c r="E4182" s="184">
        <v>45195</v>
      </c>
      <c r="G4182" s="184"/>
      <c r="I4182" s="184"/>
      <c r="K4182" s="184"/>
      <c r="M4182" s="184"/>
      <c r="O4182" s="184"/>
      <c r="P4182" t="s">
        <v>7045</v>
      </c>
      <c r="Q4182" t="s">
        <v>7383</v>
      </c>
      <c r="R4182" s="184">
        <v>22797</v>
      </c>
      <c r="S4182">
        <v>61</v>
      </c>
      <c r="V4182" t="s">
        <v>3825</v>
      </c>
      <c r="X4182" t="s">
        <v>30953</v>
      </c>
      <c r="AF4182" t="s">
        <v>30954</v>
      </c>
      <c r="AG4182" t="s">
        <v>3825</v>
      </c>
      <c r="AI4182" t="s">
        <v>30955</v>
      </c>
      <c r="AM4182" t="s">
        <v>2703</v>
      </c>
      <c r="AN4182" t="s">
        <v>2064</v>
      </c>
      <c r="AO4182" t="s">
        <v>30956</v>
      </c>
      <c r="AP4182" t="s">
        <v>7024</v>
      </c>
      <c r="AT4182" s="184">
        <v>40753</v>
      </c>
      <c r="AU4182" t="s">
        <v>30957</v>
      </c>
      <c r="AV4182">
        <v>50</v>
      </c>
      <c r="AW4182" s="184">
        <v>45365</v>
      </c>
      <c r="AX4182" t="s">
        <v>30958</v>
      </c>
      <c r="AY4182">
        <v>100</v>
      </c>
      <c r="AZ4182" s="184">
        <v>45365</v>
      </c>
      <c r="BA4182" t="s">
        <v>30958</v>
      </c>
      <c r="BB4182">
        <v>100</v>
      </c>
      <c r="BC4182">
        <v>79</v>
      </c>
      <c r="BD4182">
        <v>770</v>
      </c>
      <c r="BE4182">
        <v>2012</v>
      </c>
      <c r="BF4182">
        <v>20</v>
      </c>
      <c r="BG4182">
        <v>2</v>
      </c>
      <c r="BH4182">
        <v>200</v>
      </c>
      <c r="BI4182">
        <v>11</v>
      </c>
      <c r="BJ4182">
        <v>14</v>
      </c>
      <c r="BK4182">
        <v>9</v>
      </c>
      <c r="BP4182" s="184"/>
    </row>
    <row r="4183" spans="1:68">
      <c r="A4183">
        <v>70700190</v>
      </c>
      <c r="B4183">
        <v>70700190</v>
      </c>
      <c r="C4183" t="s">
        <v>7018</v>
      </c>
      <c r="D4183" t="s">
        <v>595</v>
      </c>
      <c r="E4183" s="184">
        <v>44441</v>
      </c>
      <c r="G4183" s="184"/>
      <c r="I4183" s="184"/>
      <c r="K4183" s="184"/>
      <c r="M4183" s="184"/>
      <c r="O4183" s="184"/>
      <c r="P4183" t="s">
        <v>7045</v>
      </c>
      <c r="Q4183" t="s">
        <v>7160</v>
      </c>
      <c r="R4183" s="184">
        <v>16636</v>
      </c>
      <c r="S4183">
        <v>78</v>
      </c>
      <c r="V4183" t="s">
        <v>30959</v>
      </c>
      <c r="X4183" t="s">
        <v>30960</v>
      </c>
      <c r="AF4183" t="s">
        <v>30961</v>
      </c>
      <c r="AG4183" t="s">
        <v>30959</v>
      </c>
      <c r="AI4183" t="s">
        <v>30962</v>
      </c>
      <c r="AM4183" t="s">
        <v>5045</v>
      </c>
      <c r="AN4183" t="s">
        <v>2395</v>
      </c>
      <c r="AO4183" t="s">
        <v>30963</v>
      </c>
      <c r="AP4183" t="s">
        <v>7024</v>
      </c>
      <c r="AQ4183" t="s">
        <v>30964</v>
      </c>
      <c r="AT4183" s="184">
        <v>40753</v>
      </c>
      <c r="AU4183" t="s">
        <v>30965</v>
      </c>
      <c r="AV4183">
        <v>25</v>
      </c>
      <c r="AW4183" s="184">
        <v>45195</v>
      </c>
      <c r="AX4183" t="s">
        <v>30966</v>
      </c>
      <c r="AY4183">
        <v>25</v>
      </c>
      <c r="AZ4183" s="184">
        <v>42989</v>
      </c>
      <c r="BA4183" t="s">
        <v>30967</v>
      </c>
      <c r="BB4183">
        <v>40</v>
      </c>
      <c r="BC4183">
        <v>79</v>
      </c>
      <c r="BD4183">
        <v>600</v>
      </c>
      <c r="BE4183">
        <v>2012</v>
      </c>
      <c r="BF4183">
        <v>20</v>
      </c>
      <c r="BG4183">
        <v>1</v>
      </c>
      <c r="BH4183">
        <v>25</v>
      </c>
      <c r="BI4183">
        <v>11</v>
      </c>
      <c r="BJ4183">
        <v>14</v>
      </c>
      <c r="BK4183">
        <v>10</v>
      </c>
      <c r="BP4183" s="184"/>
    </row>
    <row r="4184" spans="1:68">
      <c r="A4184">
        <v>71023774</v>
      </c>
      <c r="B4184">
        <v>71023774</v>
      </c>
      <c r="C4184" t="s">
        <v>7018</v>
      </c>
      <c r="D4184" t="s">
        <v>595</v>
      </c>
      <c r="E4184" s="184">
        <v>44455</v>
      </c>
      <c r="G4184" s="184"/>
      <c r="I4184" s="184"/>
      <c r="K4184" s="184"/>
      <c r="M4184" s="184"/>
      <c r="O4184" s="184"/>
      <c r="P4184" t="s">
        <v>7045</v>
      </c>
      <c r="Q4184" t="s">
        <v>7374</v>
      </c>
      <c r="R4184" s="184">
        <v>13130</v>
      </c>
      <c r="S4184">
        <v>88</v>
      </c>
      <c r="V4184" t="s">
        <v>3101</v>
      </c>
      <c r="X4184" t="s">
        <v>25663</v>
      </c>
      <c r="Z4184">
        <v>100723986</v>
      </c>
      <c r="AB4184" t="s">
        <v>3246</v>
      </c>
      <c r="AD4184" t="s">
        <v>25663</v>
      </c>
      <c r="AF4184" t="s">
        <v>30968</v>
      </c>
      <c r="AG4184" t="s">
        <v>30969</v>
      </c>
      <c r="AI4184" t="s">
        <v>30970</v>
      </c>
      <c r="AM4184" t="s">
        <v>2525</v>
      </c>
      <c r="AN4184" t="s">
        <v>2526</v>
      </c>
      <c r="AO4184" t="s">
        <v>30971</v>
      </c>
      <c r="AP4184" t="s">
        <v>7024</v>
      </c>
      <c r="AT4184" s="184">
        <v>40759</v>
      </c>
      <c r="AU4184" t="s">
        <v>30972</v>
      </c>
      <c r="AV4184">
        <v>50</v>
      </c>
      <c r="AW4184" s="184">
        <v>45166</v>
      </c>
      <c r="AX4184" t="s">
        <v>24145</v>
      </c>
      <c r="AY4184">
        <v>50</v>
      </c>
      <c r="AZ4184" s="184">
        <v>45166</v>
      </c>
      <c r="BA4184" t="s">
        <v>24145</v>
      </c>
      <c r="BB4184">
        <v>50</v>
      </c>
      <c r="BC4184">
        <v>79</v>
      </c>
      <c r="BD4184">
        <v>550</v>
      </c>
      <c r="BE4184">
        <v>2012</v>
      </c>
      <c r="BF4184">
        <v>11</v>
      </c>
      <c r="BG4184">
        <v>2</v>
      </c>
      <c r="BH4184">
        <v>100</v>
      </c>
      <c r="BI4184">
        <v>11</v>
      </c>
      <c r="BJ4184">
        <v>14</v>
      </c>
      <c r="BK4184">
        <v>6</v>
      </c>
      <c r="BP4184" s="184"/>
    </row>
    <row r="4185" spans="1:68">
      <c r="A4185">
        <v>100723986</v>
      </c>
      <c r="B4185">
        <v>71023774</v>
      </c>
      <c r="C4185" t="s">
        <v>7018</v>
      </c>
      <c r="D4185" t="s">
        <v>595</v>
      </c>
      <c r="E4185" s="184">
        <v>44455</v>
      </c>
      <c r="G4185" s="184"/>
      <c r="I4185" s="184"/>
      <c r="K4185" s="184"/>
      <c r="M4185" s="184"/>
      <c r="O4185" s="184"/>
      <c r="P4185" t="s">
        <v>7045</v>
      </c>
      <c r="Q4185" t="s">
        <v>7374</v>
      </c>
      <c r="R4185" s="184">
        <v>12766</v>
      </c>
      <c r="S4185">
        <v>89</v>
      </c>
      <c r="V4185" t="s">
        <v>3246</v>
      </c>
      <c r="X4185" t="s">
        <v>25663</v>
      </c>
      <c r="Z4185">
        <v>71023774</v>
      </c>
      <c r="AB4185" t="s">
        <v>3101</v>
      </c>
      <c r="AD4185" t="s">
        <v>25663</v>
      </c>
      <c r="AF4185" t="s">
        <v>30968</v>
      </c>
      <c r="AG4185" t="s">
        <v>30969</v>
      </c>
      <c r="AI4185" t="s">
        <v>30970</v>
      </c>
      <c r="AM4185" t="s">
        <v>2525</v>
      </c>
      <c r="AN4185" t="s">
        <v>2526</v>
      </c>
      <c r="AO4185" t="s">
        <v>30971</v>
      </c>
      <c r="AP4185" t="s">
        <v>7024</v>
      </c>
      <c r="AT4185" s="184"/>
      <c r="AW4185" s="184"/>
      <c r="AZ4185" s="184"/>
      <c r="BP4185" s="184"/>
    </row>
    <row r="4186" spans="1:68">
      <c r="A4186">
        <v>71249171</v>
      </c>
      <c r="B4186">
        <v>71249171</v>
      </c>
      <c r="C4186" t="s">
        <v>7018</v>
      </c>
      <c r="D4186" t="s">
        <v>595</v>
      </c>
      <c r="E4186" s="184">
        <v>44104</v>
      </c>
      <c r="G4186" s="184"/>
      <c r="I4186" s="184"/>
      <c r="K4186" s="184"/>
      <c r="M4186" s="184"/>
      <c r="O4186" s="184"/>
      <c r="P4186" t="s">
        <v>7045</v>
      </c>
      <c r="Q4186" t="s">
        <v>7383</v>
      </c>
      <c r="R4186" s="184">
        <v>16316</v>
      </c>
      <c r="S4186">
        <v>79</v>
      </c>
      <c r="V4186" t="s">
        <v>3468</v>
      </c>
      <c r="X4186" t="s">
        <v>5896</v>
      </c>
      <c r="Z4186">
        <v>100144455</v>
      </c>
      <c r="AB4186" t="s">
        <v>2832</v>
      </c>
      <c r="AD4186" t="s">
        <v>5896</v>
      </c>
      <c r="AF4186" t="s">
        <v>30973</v>
      </c>
      <c r="AG4186" t="s">
        <v>30974</v>
      </c>
      <c r="AI4186" t="s">
        <v>30975</v>
      </c>
      <c r="AM4186" t="s">
        <v>3905</v>
      </c>
      <c r="AN4186" t="s">
        <v>2118</v>
      </c>
      <c r="AO4186" t="s">
        <v>30976</v>
      </c>
      <c r="AP4186" t="s">
        <v>7024</v>
      </c>
      <c r="AQ4186" t="s">
        <v>30977</v>
      </c>
      <c r="AR4186" t="s">
        <v>30978</v>
      </c>
      <c r="AT4186" s="184">
        <v>40766</v>
      </c>
      <c r="AU4186" t="s">
        <v>30979</v>
      </c>
      <c r="AV4186">
        <v>25</v>
      </c>
      <c r="AW4186" s="184">
        <v>44251</v>
      </c>
      <c r="AX4186" t="s">
        <v>7099</v>
      </c>
      <c r="AY4186">
        <v>25</v>
      </c>
      <c r="AZ4186" s="184">
        <v>44251</v>
      </c>
      <c r="BA4186" t="s">
        <v>7099</v>
      </c>
      <c r="BB4186">
        <v>25</v>
      </c>
      <c r="BC4186">
        <v>72</v>
      </c>
      <c r="BD4186">
        <v>325</v>
      </c>
      <c r="BE4186">
        <v>2012</v>
      </c>
      <c r="BF4186">
        <v>13</v>
      </c>
      <c r="BI4186">
        <v>10</v>
      </c>
      <c r="BJ4186">
        <v>14</v>
      </c>
      <c r="BK4186">
        <v>7</v>
      </c>
    </row>
    <row r="4187" spans="1:68">
      <c r="A4187">
        <v>100144455</v>
      </c>
      <c r="B4187">
        <v>71249171</v>
      </c>
      <c r="C4187" t="s">
        <v>7018</v>
      </c>
      <c r="D4187" t="s">
        <v>595</v>
      </c>
      <c r="E4187" s="184">
        <v>44104</v>
      </c>
      <c r="G4187" s="184"/>
      <c r="I4187" s="184"/>
      <c r="K4187" s="184"/>
      <c r="M4187" s="184"/>
      <c r="O4187" s="184"/>
      <c r="P4187" t="s">
        <v>7045</v>
      </c>
      <c r="Q4187" t="s">
        <v>7383</v>
      </c>
      <c r="R4187" s="184">
        <v>16316</v>
      </c>
      <c r="S4187">
        <v>79</v>
      </c>
      <c r="V4187" t="s">
        <v>2832</v>
      </c>
      <c r="X4187" t="s">
        <v>5896</v>
      </c>
      <c r="Z4187">
        <v>71249171</v>
      </c>
      <c r="AB4187" t="s">
        <v>3468</v>
      </c>
      <c r="AD4187" t="s">
        <v>5896</v>
      </c>
      <c r="AF4187" t="s">
        <v>30973</v>
      </c>
      <c r="AG4187" t="s">
        <v>30974</v>
      </c>
      <c r="AI4187" t="s">
        <v>30975</v>
      </c>
      <c r="AM4187" t="s">
        <v>3905</v>
      </c>
      <c r="AN4187" t="s">
        <v>2118</v>
      </c>
      <c r="AO4187" t="s">
        <v>30976</v>
      </c>
      <c r="AP4187" t="s">
        <v>7024</v>
      </c>
      <c r="AT4187" s="184"/>
      <c r="AW4187" s="184"/>
      <c r="AZ4187" s="184"/>
    </row>
    <row r="4188" spans="1:68">
      <c r="A4188">
        <v>71277974</v>
      </c>
      <c r="B4188">
        <v>71277974</v>
      </c>
      <c r="C4188" t="s">
        <v>7018</v>
      </c>
      <c r="D4188" t="s">
        <v>595</v>
      </c>
      <c r="E4188" s="184">
        <v>43782</v>
      </c>
      <c r="G4188" s="184"/>
      <c r="I4188" s="184"/>
      <c r="K4188" s="184"/>
      <c r="M4188" s="184"/>
      <c r="O4188" s="184"/>
      <c r="P4188" t="s">
        <v>7045</v>
      </c>
      <c r="Q4188" t="s">
        <v>7160</v>
      </c>
      <c r="R4188" s="184">
        <v>15098</v>
      </c>
      <c r="S4188">
        <v>83</v>
      </c>
      <c r="V4188" t="s">
        <v>30980</v>
      </c>
      <c r="X4188" t="s">
        <v>5896</v>
      </c>
      <c r="AF4188" t="s">
        <v>30981</v>
      </c>
      <c r="AG4188" t="s">
        <v>30980</v>
      </c>
      <c r="AI4188" t="s">
        <v>30982</v>
      </c>
      <c r="AM4188" t="s">
        <v>30983</v>
      </c>
      <c r="AN4188" t="s">
        <v>2176</v>
      </c>
      <c r="AO4188" t="s">
        <v>30984</v>
      </c>
      <c r="AP4188" t="s">
        <v>7024</v>
      </c>
      <c r="AT4188" s="184">
        <v>40766</v>
      </c>
      <c r="AU4188" t="s">
        <v>30972</v>
      </c>
      <c r="AV4188">
        <v>25</v>
      </c>
      <c r="AW4188" s="184">
        <v>45411</v>
      </c>
      <c r="AX4188" t="s">
        <v>24512</v>
      </c>
      <c r="AY4188">
        <v>30</v>
      </c>
      <c r="AZ4188" s="184">
        <v>44970</v>
      </c>
      <c r="BA4188" t="s">
        <v>8370</v>
      </c>
      <c r="BB4188">
        <v>50</v>
      </c>
      <c r="BC4188">
        <v>100</v>
      </c>
      <c r="BD4188">
        <v>1300</v>
      </c>
      <c r="BE4188">
        <v>2012</v>
      </c>
      <c r="BF4188">
        <v>39</v>
      </c>
      <c r="BG4188">
        <v>5</v>
      </c>
      <c r="BH4188">
        <v>190</v>
      </c>
      <c r="BI4188">
        <v>14</v>
      </c>
      <c r="BJ4188">
        <v>14</v>
      </c>
      <c r="BK4188">
        <v>14</v>
      </c>
    </row>
    <row r="4189" spans="1:68">
      <c r="A4189">
        <v>71333371</v>
      </c>
      <c r="B4189">
        <v>71333371</v>
      </c>
      <c r="C4189" t="s">
        <v>7018</v>
      </c>
      <c r="D4189" t="s">
        <v>595</v>
      </c>
      <c r="E4189" s="184">
        <v>43861</v>
      </c>
      <c r="G4189" s="184"/>
      <c r="I4189" s="184"/>
      <c r="K4189" s="184"/>
      <c r="M4189" s="184"/>
      <c r="O4189" s="184"/>
      <c r="P4189" t="s">
        <v>7045</v>
      </c>
      <c r="Q4189" t="s">
        <v>7494</v>
      </c>
      <c r="R4189" s="184"/>
      <c r="U4189" t="s">
        <v>7031</v>
      </c>
      <c r="V4189" t="s">
        <v>3474</v>
      </c>
      <c r="W4189" t="s">
        <v>7836</v>
      </c>
      <c r="X4189" t="s">
        <v>4625</v>
      </c>
      <c r="AF4189" t="s">
        <v>30985</v>
      </c>
      <c r="AG4189" t="s">
        <v>3474</v>
      </c>
      <c r="AI4189" t="s">
        <v>30986</v>
      </c>
      <c r="AJ4189" t="s">
        <v>30987</v>
      </c>
      <c r="AM4189" t="s">
        <v>4177</v>
      </c>
      <c r="AN4189" t="s">
        <v>2174</v>
      </c>
      <c r="AO4189" t="s">
        <v>30988</v>
      </c>
      <c r="AP4189" t="s">
        <v>7024</v>
      </c>
      <c r="AQ4189" t="s">
        <v>30989</v>
      </c>
      <c r="AT4189" s="184">
        <v>41227</v>
      </c>
      <c r="AU4189" t="s">
        <v>30990</v>
      </c>
      <c r="AV4189">
        <v>50</v>
      </c>
      <c r="AW4189" s="184">
        <v>43622</v>
      </c>
      <c r="AX4189" t="s">
        <v>30991</v>
      </c>
      <c r="AY4189">
        <v>120</v>
      </c>
      <c r="AZ4189" s="184">
        <v>42312</v>
      </c>
      <c r="BA4189" t="s">
        <v>30992</v>
      </c>
      <c r="BB4189">
        <v>250</v>
      </c>
      <c r="BC4189">
        <v>54</v>
      </c>
      <c r="BD4189">
        <v>1295</v>
      </c>
      <c r="BE4189">
        <v>2013</v>
      </c>
      <c r="BF4189">
        <v>13</v>
      </c>
      <c r="BI4189">
        <v>7</v>
      </c>
      <c r="BJ4189">
        <v>13</v>
      </c>
      <c r="BK4189">
        <v>5</v>
      </c>
      <c r="BP4189" s="184"/>
    </row>
    <row r="4190" spans="1:68">
      <c r="A4190">
        <v>71333926</v>
      </c>
      <c r="B4190">
        <v>71333926</v>
      </c>
      <c r="C4190" t="s">
        <v>7018</v>
      </c>
      <c r="E4190" s="184"/>
      <c r="G4190" s="184"/>
      <c r="H4190" t="s">
        <v>595</v>
      </c>
      <c r="I4190" s="184">
        <v>44656</v>
      </c>
      <c r="K4190" s="184"/>
      <c r="M4190" s="184"/>
      <c r="N4190" t="s">
        <v>595</v>
      </c>
      <c r="O4190" s="184">
        <v>44708</v>
      </c>
      <c r="P4190" t="s">
        <v>7045</v>
      </c>
      <c r="Q4190" t="s">
        <v>7262</v>
      </c>
      <c r="R4190" s="184">
        <v>17255</v>
      </c>
      <c r="S4190">
        <v>77</v>
      </c>
      <c r="U4190" t="s">
        <v>7031</v>
      </c>
      <c r="V4190" t="s">
        <v>30993</v>
      </c>
      <c r="X4190" t="s">
        <v>4196</v>
      </c>
      <c r="AF4190" t="s">
        <v>30994</v>
      </c>
      <c r="AG4190" t="s">
        <v>30993</v>
      </c>
      <c r="AI4190" t="s">
        <v>30995</v>
      </c>
      <c r="AM4190" t="s">
        <v>2934</v>
      </c>
      <c r="AN4190" t="s">
        <v>65</v>
      </c>
      <c r="AO4190" t="s">
        <v>30996</v>
      </c>
      <c r="AP4190" t="s">
        <v>7024</v>
      </c>
      <c r="AQ4190" t="s">
        <v>30997</v>
      </c>
      <c r="AT4190" s="184">
        <v>41060</v>
      </c>
      <c r="AU4190" t="s">
        <v>30838</v>
      </c>
      <c r="AV4190">
        <v>25</v>
      </c>
      <c r="AW4190" s="184">
        <v>45266</v>
      </c>
      <c r="AX4190" t="s">
        <v>16902</v>
      </c>
      <c r="AY4190">
        <v>26.25</v>
      </c>
      <c r="AZ4190" s="184">
        <v>44727</v>
      </c>
      <c r="BA4190" t="s">
        <v>20234</v>
      </c>
      <c r="BB4190">
        <v>10000</v>
      </c>
      <c r="BC4190">
        <v>62</v>
      </c>
      <c r="BD4190">
        <v>10371.25</v>
      </c>
      <c r="BE4190">
        <v>2012</v>
      </c>
      <c r="BF4190">
        <v>9</v>
      </c>
      <c r="BG4190">
        <v>3</v>
      </c>
      <c r="BH4190">
        <v>10076.25</v>
      </c>
      <c r="BI4190">
        <v>8</v>
      </c>
      <c r="BJ4190">
        <v>13</v>
      </c>
      <c r="BK4190">
        <v>5</v>
      </c>
    </row>
    <row r="4191" spans="1:68">
      <c r="A4191">
        <v>71422570</v>
      </c>
      <c r="B4191">
        <v>71422570</v>
      </c>
      <c r="C4191" t="s">
        <v>7018</v>
      </c>
      <c r="D4191" t="s">
        <v>595</v>
      </c>
      <c r="E4191" s="184">
        <v>45195</v>
      </c>
      <c r="G4191" s="184"/>
      <c r="I4191" s="184"/>
      <c r="K4191" s="184"/>
      <c r="M4191" s="184"/>
      <c r="O4191" s="184"/>
      <c r="P4191" t="s">
        <v>7045</v>
      </c>
      <c r="Q4191" t="s">
        <v>7494</v>
      </c>
      <c r="R4191" s="184">
        <v>15189</v>
      </c>
      <c r="S4191">
        <v>82</v>
      </c>
      <c r="V4191" t="s">
        <v>2851</v>
      </c>
      <c r="X4191" t="s">
        <v>30998</v>
      </c>
      <c r="AF4191" t="s">
        <v>30999</v>
      </c>
      <c r="AG4191" t="s">
        <v>2851</v>
      </c>
      <c r="AI4191" t="s">
        <v>31000</v>
      </c>
      <c r="AM4191" t="s">
        <v>31001</v>
      </c>
      <c r="AN4191" t="s">
        <v>2174</v>
      </c>
      <c r="AO4191" t="s">
        <v>31002</v>
      </c>
      <c r="AP4191" t="s">
        <v>7024</v>
      </c>
      <c r="AQ4191" t="s">
        <v>31003</v>
      </c>
      <c r="AT4191" s="184">
        <v>40770</v>
      </c>
      <c r="AU4191" t="s">
        <v>31004</v>
      </c>
      <c r="AV4191">
        <v>50</v>
      </c>
      <c r="AW4191" s="184">
        <v>44945</v>
      </c>
      <c r="AX4191" t="s">
        <v>12114</v>
      </c>
      <c r="AY4191">
        <v>50</v>
      </c>
      <c r="AZ4191" s="184">
        <v>44945</v>
      </c>
      <c r="BA4191" t="s">
        <v>12114</v>
      </c>
      <c r="BB4191">
        <v>50</v>
      </c>
      <c r="BC4191">
        <v>65</v>
      </c>
      <c r="BD4191">
        <v>700</v>
      </c>
      <c r="BE4191">
        <v>2012</v>
      </c>
      <c r="BF4191">
        <v>15</v>
      </c>
      <c r="BG4191">
        <v>2</v>
      </c>
      <c r="BH4191">
        <v>100</v>
      </c>
      <c r="BI4191">
        <v>9</v>
      </c>
      <c r="BJ4191">
        <v>14</v>
      </c>
      <c r="BK4191">
        <v>6</v>
      </c>
    </row>
    <row r="4192" spans="1:68">
      <c r="A4192">
        <v>71581250</v>
      </c>
      <c r="B4192">
        <v>71581250</v>
      </c>
      <c r="C4192" t="s">
        <v>7018</v>
      </c>
      <c r="D4192" t="s">
        <v>595</v>
      </c>
      <c r="E4192" s="184">
        <v>45124</v>
      </c>
      <c r="G4192" s="184"/>
      <c r="I4192" s="184"/>
      <c r="K4192" s="184"/>
      <c r="M4192" s="184"/>
      <c r="O4192" s="184"/>
      <c r="P4192" t="s">
        <v>7045</v>
      </c>
      <c r="Q4192" t="s">
        <v>7020</v>
      </c>
      <c r="R4192" s="184">
        <v>26207</v>
      </c>
      <c r="S4192">
        <v>52</v>
      </c>
      <c r="U4192" t="s">
        <v>7031</v>
      </c>
      <c r="V4192" t="s">
        <v>3632</v>
      </c>
      <c r="X4192" t="s">
        <v>31005</v>
      </c>
      <c r="AF4192" t="s">
        <v>31006</v>
      </c>
      <c r="AG4192" t="s">
        <v>3632</v>
      </c>
      <c r="AI4192" t="s">
        <v>31007</v>
      </c>
      <c r="AM4192" t="s">
        <v>31008</v>
      </c>
      <c r="AN4192" t="s">
        <v>2112</v>
      </c>
      <c r="AO4192" t="s">
        <v>31009</v>
      </c>
      <c r="AP4192" t="s">
        <v>7024</v>
      </c>
      <c r="AQ4192" t="s">
        <v>31010</v>
      </c>
      <c r="AR4192" t="s">
        <v>31011</v>
      </c>
      <c r="AT4192" s="184">
        <v>40773</v>
      </c>
      <c r="AU4192" t="s">
        <v>30365</v>
      </c>
      <c r="AV4192">
        <v>19.95</v>
      </c>
      <c r="AW4192" s="184">
        <v>45146</v>
      </c>
      <c r="AX4192" t="s">
        <v>7168</v>
      </c>
      <c r="AY4192">
        <v>25</v>
      </c>
      <c r="AZ4192" s="184">
        <v>45146</v>
      </c>
      <c r="BA4192" t="s">
        <v>7168</v>
      </c>
      <c r="BB4192">
        <v>25</v>
      </c>
      <c r="BC4192">
        <v>93</v>
      </c>
      <c r="BD4192">
        <v>319.95</v>
      </c>
      <c r="BE4192">
        <v>2012</v>
      </c>
      <c r="BF4192">
        <v>13</v>
      </c>
      <c r="BG4192">
        <v>2</v>
      </c>
      <c r="BH4192">
        <v>50</v>
      </c>
      <c r="BI4192">
        <v>13</v>
      </c>
      <c r="BJ4192">
        <v>14</v>
      </c>
      <c r="BK4192">
        <v>13</v>
      </c>
    </row>
    <row r="4193" spans="1:68">
      <c r="A4193">
        <v>71613970</v>
      </c>
      <c r="B4193">
        <v>71613970</v>
      </c>
      <c r="C4193" t="s">
        <v>7018</v>
      </c>
      <c r="E4193" s="184"/>
      <c r="F4193" t="s">
        <v>595</v>
      </c>
      <c r="G4193" s="184">
        <v>45104</v>
      </c>
      <c r="I4193" s="184"/>
      <c r="K4193" s="184"/>
      <c r="M4193" s="184"/>
      <c r="O4193" s="184"/>
      <c r="P4193" t="s">
        <v>7045</v>
      </c>
      <c r="Q4193" t="s">
        <v>7194</v>
      </c>
      <c r="R4193" s="184">
        <v>21094</v>
      </c>
      <c r="S4193">
        <v>66</v>
      </c>
      <c r="U4193" t="s">
        <v>7130</v>
      </c>
      <c r="V4193" t="s">
        <v>31012</v>
      </c>
      <c r="X4193" t="s">
        <v>31013</v>
      </c>
      <c r="AF4193" t="s">
        <v>31014</v>
      </c>
      <c r="AG4193" t="s">
        <v>31012</v>
      </c>
      <c r="AI4193" t="s">
        <v>31015</v>
      </c>
      <c r="AM4193" t="s">
        <v>31016</v>
      </c>
      <c r="AN4193" t="s">
        <v>2046</v>
      </c>
      <c r="AO4193" t="s">
        <v>31017</v>
      </c>
      <c r="AP4193" t="s">
        <v>7024</v>
      </c>
      <c r="AQ4193" t="s">
        <v>31018</v>
      </c>
      <c r="AR4193" t="s">
        <v>31019</v>
      </c>
      <c r="AT4193" s="184">
        <v>43313</v>
      </c>
      <c r="AU4193" t="s">
        <v>31020</v>
      </c>
      <c r="AV4193">
        <v>55</v>
      </c>
      <c r="AW4193" s="184">
        <v>44462</v>
      </c>
      <c r="AX4193" t="s">
        <v>31021</v>
      </c>
      <c r="AY4193">
        <v>50</v>
      </c>
      <c r="AZ4193" s="184">
        <v>43733</v>
      </c>
      <c r="BA4193" t="s">
        <v>9219</v>
      </c>
      <c r="BB4193">
        <v>100</v>
      </c>
      <c r="BC4193">
        <v>43</v>
      </c>
      <c r="BD4193">
        <v>205</v>
      </c>
      <c r="BE4193">
        <v>2019</v>
      </c>
      <c r="BF4193">
        <v>3</v>
      </c>
      <c r="BI4193">
        <v>3</v>
      </c>
      <c r="BJ4193">
        <v>7</v>
      </c>
      <c r="BK4193">
        <v>2</v>
      </c>
      <c r="BN4193" t="s">
        <v>595</v>
      </c>
      <c r="BP4193" s="184"/>
    </row>
    <row r="4194" spans="1:68">
      <c r="A4194">
        <v>71625776</v>
      </c>
      <c r="B4194">
        <v>71625776</v>
      </c>
      <c r="C4194" t="s">
        <v>7018</v>
      </c>
      <c r="D4194" t="s">
        <v>595</v>
      </c>
      <c r="E4194" s="184">
        <v>44476</v>
      </c>
      <c r="G4194" s="184"/>
      <c r="I4194" s="184"/>
      <c r="K4194" s="184"/>
      <c r="M4194" s="184"/>
      <c r="P4194" t="s">
        <v>7045</v>
      </c>
      <c r="Q4194" t="s">
        <v>7262</v>
      </c>
      <c r="R4194" s="184">
        <v>28132</v>
      </c>
      <c r="S4194">
        <v>47</v>
      </c>
      <c r="U4194" t="s">
        <v>7076</v>
      </c>
      <c r="V4194" t="s">
        <v>2590</v>
      </c>
      <c r="X4194" t="s">
        <v>31022</v>
      </c>
      <c r="AF4194" t="s">
        <v>31023</v>
      </c>
      <c r="AG4194" t="s">
        <v>2590</v>
      </c>
      <c r="AI4194" t="s">
        <v>31024</v>
      </c>
      <c r="AM4194" t="s">
        <v>31025</v>
      </c>
      <c r="AN4194" t="s">
        <v>2106</v>
      </c>
      <c r="AO4194" t="s">
        <v>31026</v>
      </c>
      <c r="AP4194" t="s">
        <v>7024</v>
      </c>
      <c r="AQ4194" t="s">
        <v>31027</v>
      </c>
      <c r="AR4194" t="s">
        <v>31028</v>
      </c>
      <c r="AT4194" s="184">
        <v>40773</v>
      </c>
      <c r="AU4194" t="s">
        <v>30972</v>
      </c>
      <c r="AV4194">
        <v>15</v>
      </c>
      <c r="AW4194" s="184">
        <v>44470</v>
      </c>
      <c r="AX4194" t="s">
        <v>31029</v>
      </c>
      <c r="AY4194">
        <v>25</v>
      </c>
      <c r="AZ4194" s="184">
        <v>42565</v>
      </c>
      <c r="BA4194" t="s">
        <v>31030</v>
      </c>
      <c r="BB4194">
        <v>30</v>
      </c>
      <c r="BC4194">
        <v>50</v>
      </c>
      <c r="BD4194">
        <v>175</v>
      </c>
      <c r="BE4194">
        <v>2012</v>
      </c>
      <c r="BF4194">
        <v>9</v>
      </c>
      <c r="BI4194">
        <v>7</v>
      </c>
      <c r="BJ4194">
        <v>14</v>
      </c>
      <c r="BK4194">
        <v>6</v>
      </c>
    </row>
    <row r="4195" spans="1:68">
      <c r="A4195">
        <v>71639777</v>
      </c>
      <c r="B4195">
        <v>71639777</v>
      </c>
      <c r="C4195" t="s">
        <v>7018</v>
      </c>
      <c r="E4195" s="184"/>
      <c r="G4195" s="184"/>
      <c r="I4195" s="184"/>
      <c r="J4195" t="s">
        <v>595</v>
      </c>
      <c r="K4195" s="184">
        <v>41723</v>
      </c>
      <c r="M4195" s="184"/>
      <c r="O4195" s="184"/>
      <c r="P4195" t="s">
        <v>7019</v>
      </c>
      <c r="Q4195" t="s">
        <v>7383</v>
      </c>
      <c r="R4195" s="184">
        <v>13328</v>
      </c>
      <c r="S4195">
        <v>87</v>
      </c>
      <c r="U4195" t="s">
        <v>7031</v>
      </c>
      <c r="V4195" t="s">
        <v>3103</v>
      </c>
      <c r="W4195" t="s">
        <v>2049</v>
      </c>
      <c r="X4195" t="s">
        <v>31031</v>
      </c>
      <c r="AF4195" t="s">
        <v>6710</v>
      </c>
      <c r="AG4195" t="s">
        <v>3103</v>
      </c>
      <c r="AI4195" t="s">
        <v>31032</v>
      </c>
      <c r="AM4195" t="s">
        <v>31033</v>
      </c>
      <c r="AN4195" t="s">
        <v>2064</v>
      </c>
      <c r="AO4195" t="s">
        <v>31034</v>
      </c>
      <c r="AP4195" t="s">
        <v>7024</v>
      </c>
      <c r="AQ4195" t="s">
        <v>31035</v>
      </c>
      <c r="AT4195" s="184">
        <v>40773</v>
      </c>
      <c r="AU4195" t="s">
        <v>31036</v>
      </c>
      <c r="AV4195">
        <v>15</v>
      </c>
      <c r="AW4195" s="184">
        <v>41222</v>
      </c>
      <c r="AX4195" t="s">
        <v>31037</v>
      </c>
      <c r="AY4195">
        <v>60</v>
      </c>
      <c r="AZ4195" s="184">
        <v>41222</v>
      </c>
      <c r="BA4195" t="s">
        <v>31037</v>
      </c>
      <c r="BB4195">
        <v>60</v>
      </c>
      <c r="BC4195">
        <v>15</v>
      </c>
      <c r="BD4195">
        <v>75</v>
      </c>
      <c r="BE4195">
        <v>2012</v>
      </c>
      <c r="BF4195">
        <v>2</v>
      </c>
      <c r="BI4195">
        <v>2</v>
      </c>
      <c r="BJ4195">
        <v>14</v>
      </c>
      <c r="BK4195">
        <v>2</v>
      </c>
      <c r="BM4195" t="s">
        <v>595</v>
      </c>
      <c r="BN4195" t="s">
        <v>595</v>
      </c>
    </row>
    <row r="4196" spans="1:68">
      <c r="A4196">
        <v>72030745</v>
      </c>
      <c r="B4196">
        <v>72030745</v>
      </c>
      <c r="C4196" t="s">
        <v>7018</v>
      </c>
      <c r="D4196" t="s">
        <v>595</v>
      </c>
      <c r="E4196" s="184">
        <v>44167</v>
      </c>
      <c r="G4196" s="184"/>
      <c r="I4196" s="184"/>
      <c r="K4196" s="184"/>
      <c r="M4196" s="184"/>
      <c r="O4196" s="184"/>
      <c r="P4196" t="s">
        <v>7045</v>
      </c>
      <c r="Q4196" t="s">
        <v>7374</v>
      </c>
      <c r="R4196" s="184">
        <v>20637</v>
      </c>
      <c r="S4196">
        <v>67</v>
      </c>
      <c r="U4196" t="s">
        <v>7031</v>
      </c>
      <c r="V4196" t="s">
        <v>2665</v>
      </c>
      <c r="W4196" t="s">
        <v>31038</v>
      </c>
      <c r="X4196" t="s">
        <v>31039</v>
      </c>
      <c r="AF4196" t="s">
        <v>31040</v>
      </c>
      <c r="AG4196" t="s">
        <v>2665</v>
      </c>
      <c r="AI4196" t="s">
        <v>31041</v>
      </c>
      <c r="AM4196" t="s">
        <v>30162</v>
      </c>
      <c r="AN4196" t="s">
        <v>2081</v>
      </c>
      <c r="AO4196" t="s">
        <v>31042</v>
      </c>
      <c r="AP4196" t="s">
        <v>7024</v>
      </c>
      <c r="AQ4196" t="s">
        <v>31043</v>
      </c>
      <c r="AR4196" t="s">
        <v>31044</v>
      </c>
      <c r="AT4196" s="184">
        <v>40798</v>
      </c>
      <c r="AU4196" t="s">
        <v>31045</v>
      </c>
      <c r="AV4196">
        <v>50</v>
      </c>
      <c r="AW4196" s="184">
        <v>44249</v>
      </c>
      <c r="AX4196" t="s">
        <v>9415</v>
      </c>
      <c r="AY4196">
        <v>180</v>
      </c>
      <c r="AZ4196" s="184">
        <v>44249</v>
      </c>
      <c r="BA4196" t="s">
        <v>9415</v>
      </c>
      <c r="BB4196">
        <v>180</v>
      </c>
      <c r="BC4196">
        <v>65</v>
      </c>
      <c r="BD4196">
        <v>1268</v>
      </c>
      <c r="BE4196">
        <v>2012</v>
      </c>
      <c r="BF4196">
        <v>10</v>
      </c>
      <c r="BI4196">
        <v>9</v>
      </c>
      <c r="BJ4196">
        <v>14</v>
      </c>
      <c r="BK4196">
        <v>8</v>
      </c>
    </row>
    <row r="4197" spans="1:68">
      <c r="A4197">
        <v>72114176</v>
      </c>
      <c r="B4197">
        <v>72114176</v>
      </c>
      <c r="C4197" t="s">
        <v>7018</v>
      </c>
      <c r="D4197" t="s">
        <v>595</v>
      </c>
      <c r="E4197" s="184">
        <v>44167</v>
      </c>
      <c r="G4197" s="184"/>
      <c r="I4197" s="184"/>
      <c r="K4197" s="184"/>
      <c r="M4197" s="184"/>
      <c r="O4197" s="184"/>
      <c r="P4197" t="s">
        <v>7045</v>
      </c>
      <c r="Q4197" t="s">
        <v>7374</v>
      </c>
      <c r="R4197" s="184">
        <v>18264</v>
      </c>
      <c r="S4197">
        <v>74</v>
      </c>
      <c r="V4197" t="s">
        <v>2511</v>
      </c>
      <c r="X4197" t="s">
        <v>5622</v>
      </c>
      <c r="Z4197">
        <v>100144927</v>
      </c>
      <c r="AB4197" t="s">
        <v>3179</v>
      </c>
      <c r="AD4197" t="s">
        <v>5622</v>
      </c>
      <c r="AF4197" t="s">
        <v>31046</v>
      </c>
      <c r="AG4197" t="s">
        <v>31047</v>
      </c>
      <c r="AI4197" t="s">
        <v>31048</v>
      </c>
      <c r="AM4197" t="s">
        <v>4642</v>
      </c>
      <c r="AN4197" t="s">
        <v>2081</v>
      </c>
      <c r="AO4197" t="s">
        <v>31049</v>
      </c>
      <c r="AP4197" t="s">
        <v>7024</v>
      </c>
      <c r="AQ4197" t="s">
        <v>31050</v>
      </c>
      <c r="AT4197" s="184">
        <v>40799</v>
      </c>
      <c r="AU4197" t="s">
        <v>31051</v>
      </c>
      <c r="AV4197">
        <v>20</v>
      </c>
      <c r="AW4197" s="184">
        <v>45103</v>
      </c>
      <c r="AX4197" t="s">
        <v>10696</v>
      </c>
      <c r="AY4197">
        <v>60</v>
      </c>
      <c r="AZ4197" s="184">
        <v>45103</v>
      </c>
      <c r="BA4197" t="s">
        <v>10696</v>
      </c>
      <c r="BB4197">
        <v>60</v>
      </c>
      <c r="BC4197">
        <v>79</v>
      </c>
      <c r="BD4197">
        <v>570</v>
      </c>
      <c r="BE4197">
        <v>2012</v>
      </c>
      <c r="BF4197">
        <v>16</v>
      </c>
      <c r="BG4197">
        <v>2</v>
      </c>
      <c r="BH4197">
        <v>120</v>
      </c>
      <c r="BI4197">
        <v>11</v>
      </c>
      <c r="BJ4197">
        <v>14</v>
      </c>
      <c r="BK4197">
        <v>6</v>
      </c>
      <c r="BP4197" s="184"/>
    </row>
    <row r="4198" spans="1:68">
      <c r="A4198">
        <v>100144927</v>
      </c>
      <c r="B4198">
        <v>72114176</v>
      </c>
      <c r="C4198" t="s">
        <v>7018</v>
      </c>
      <c r="D4198" t="s">
        <v>595</v>
      </c>
      <c r="E4198" s="184">
        <v>44167</v>
      </c>
      <c r="G4198" s="184"/>
      <c r="I4198" s="184"/>
      <c r="K4198" s="184"/>
      <c r="O4198" s="184"/>
      <c r="P4198" t="s">
        <v>7045</v>
      </c>
      <c r="Q4198" t="s">
        <v>7374</v>
      </c>
      <c r="R4198" s="184">
        <v>18264</v>
      </c>
      <c r="S4198">
        <v>74</v>
      </c>
      <c r="V4198" t="s">
        <v>3179</v>
      </c>
      <c r="X4198" t="s">
        <v>5622</v>
      </c>
      <c r="Z4198">
        <v>72114176</v>
      </c>
      <c r="AB4198" t="s">
        <v>2511</v>
      </c>
      <c r="AD4198" t="s">
        <v>5622</v>
      </c>
      <c r="AF4198" t="s">
        <v>31046</v>
      </c>
      <c r="AG4198" t="s">
        <v>31047</v>
      </c>
      <c r="AI4198" t="s">
        <v>31048</v>
      </c>
      <c r="AM4198" t="s">
        <v>4642</v>
      </c>
      <c r="AN4198" t="s">
        <v>2081</v>
      </c>
      <c r="AO4198" t="s">
        <v>31049</v>
      </c>
      <c r="AP4198" t="s">
        <v>7024</v>
      </c>
      <c r="AT4198" s="184"/>
      <c r="AW4198" s="184"/>
      <c r="AZ4198" s="184"/>
    </row>
    <row r="4199" spans="1:68">
      <c r="A4199">
        <v>72178221</v>
      </c>
      <c r="B4199">
        <v>72178221</v>
      </c>
      <c r="C4199" t="s">
        <v>7018</v>
      </c>
      <c r="D4199" t="s">
        <v>595</v>
      </c>
      <c r="E4199" s="184">
        <v>43861</v>
      </c>
      <c r="I4199" s="184"/>
      <c r="K4199" s="184"/>
      <c r="M4199" s="184"/>
      <c r="O4199" s="184"/>
      <c r="P4199" t="s">
        <v>7045</v>
      </c>
      <c r="Q4199" t="s">
        <v>7020</v>
      </c>
      <c r="R4199" s="184">
        <v>20455</v>
      </c>
      <c r="S4199">
        <v>68</v>
      </c>
      <c r="U4199" t="s">
        <v>7076</v>
      </c>
      <c r="V4199" t="s">
        <v>3043</v>
      </c>
      <c r="X4199" t="s">
        <v>4626</v>
      </c>
      <c r="AF4199" t="s">
        <v>31052</v>
      </c>
      <c r="AG4199" t="s">
        <v>3043</v>
      </c>
      <c r="AI4199" t="s">
        <v>31053</v>
      </c>
      <c r="AM4199" t="s">
        <v>2524</v>
      </c>
      <c r="AN4199" t="s">
        <v>2112</v>
      </c>
      <c r="AO4199" t="s">
        <v>31054</v>
      </c>
      <c r="AP4199" t="s">
        <v>7024</v>
      </c>
      <c r="AT4199" s="184">
        <v>40799</v>
      </c>
      <c r="AU4199" t="s">
        <v>31055</v>
      </c>
      <c r="AV4199">
        <v>15</v>
      </c>
      <c r="AW4199" s="184">
        <v>44564</v>
      </c>
      <c r="AX4199" t="s">
        <v>31056</v>
      </c>
      <c r="AY4199">
        <v>20</v>
      </c>
      <c r="AZ4199" s="184">
        <v>43024</v>
      </c>
      <c r="BA4199" t="s">
        <v>13709</v>
      </c>
      <c r="BB4199">
        <v>25</v>
      </c>
      <c r="BC4199">
        <v>50</v>
      </c>
      <c r="BD4199">
        <v>167.5</v>
      </c>
      <c r="BE4199">
        <v>2012</v>
      </c>
      <c r="BF4199">
        <v>10</v>
      </c>
      <c r="BI4199">
        <v>7</v>
      </c>
      <c r="BJ4199">
        <v>14</v>
      </c>
      <c r="BK4199">
        <v>4</v>
      </c>
    </row>
    <row r="4200" spans="1:68">
      <c r="A4200">
        <v>72237373</v>
      </c>
      <c r="B4200">
        <v>72237373</v>
      </c>
      <c r="C4200" t="s">
        <v>7018</v>
      </c>
      <c r="D4200" t="s">
        <v>595</v>
      </c>
      <c r="E4200" s="184">
        <v>45112</v>
      </c>
      <c r="I4200" s="184"/>
      <c r="K4200" s="184"/>
      <c r="P4200" t="s">
        <v>7045</v>
      </c>
      <c r="Q4200" t="s">
        <v>7383</v>
      </c>
      <c r="R4200" s="184">
        <v>16772</v>
      </c>
      <c r="S4200">
        <v>78</v>
      </c>
      <c r="V4200" t="s">
        <v>3043</v>
      </c>
      <c r="X4200" t="s">
        <v>31057</v>
      </c>
      <c r="AF4200" t="s">
        <v>31058</v>
      </c>
      <c r="AG4200" t="s">
        <v>3043</v>
      </c>
      <c r="AI4200" t="s">
        <v>31059</v>
      </c>
      <c r="AM4200" t="s">
        <v>3357</v>
      </c>
      <c r="AN4200" t="s">
        <v>2185</v>
      </c>
      <c r="AO4200" t="s">
        <v>31060</v>
      </c>
      <c r="AP4200" t="s">
        <v>7024</v>
      </c>
      <c r="AT4200" s="184">
        <v>40800</v>
      </c>
      <c r="AU4200" t="s">
        <v>31061</v>
      </c>
      <c r="AV4200">
        <v>25</v>
      </c>
      <c r="AW4200" s="184">
        <v>45407</v>
      </c>
      <c r="AX4200" t="s">
        <v>7092</v>
      </c>
      <c r="AY4200">
        <v>500</v>
      </c>
      <c r="AZ4200" s="184">
        <v>45407</v>
      </c>
      <c r="BA4200" t="s">
        <v>7092</v>
      </c>
      <c r="BB4200">
        <v>500</v>
      </c>
      <c r="BC4200">
        <v>93</v>
      </c>
      <c r="BD4200">
        <v>1675</v>
      </c>
      <c r="BE4200">
        <v>2012</v>
      </c>
      <c r="BF4200">
        <v>17</v>
      </c>
      <c r="BG4200">
        <v>2</v>
      </c>
      <c r="BH4200">
        <v>800</v>
      </c>
      <c r="BI4200">
        <v>13</v>
      </c>
      <c r="BJ4200">
        <v>14</v>
      </c>
      <c r="BK4200">
        <v>7</v>
      </c>
    </row>
    <row r="4201" spans="1:68">
      <c r="A4201">
        <v>72399108</v>
      </c>
      <c r="B4201">
        <v>72399108</v>
      </c>
      <c r="C4201" t="s">
        <v>7018</v>
      </c>
      <c r="D4201" t="s">
        <v>595</v>
      </c>
      <c r="E4201" s="184">
        <v>44419</v>
      </c>
      <c r="G4201" s="184"/>
      <c r="I4201" s="184"/>
      <c r="K4201" s="184"/>
      <c r="M4201" s="184"/>
      <c r="O4201" s="184"/>
      <c r="P4201" t="s">
        <v>7045</v>
      </c>
      <c r="Q4201" t="s">
        <v>7383</v>
      </c>
      <c r="R4201" s="184">
        <v>13317</v>
      </c>
      <c r="S4201">
        <v>87</v>
      </c>
      <c r="U4201" t="s">
        <v>7031</v>
      </c>
      <c r="V4201" t="s">
        <v>2541</v>
      </c>
      <c r="W4201" t="s">
        <v>2058</v>
      </c>
      <c r="X4201" t="s">
        <v>31062</v>
      </c>
      <c r="AF4201" t="s">
        <v>31063</v>
      </c>
      <c r="AG4201" t="s">
        <v>2541</v>
      </c>
      <c r="AI4201" t="s">
        <v>31064</v>
      </c>
      <c r="AM4201" t="s">
        <v>24766</v>
      </c>
      <c r="AN4201" t="s">
        <v>2059</v>
      </c>
      <c r="AO4201" t="s">
        <v>31065</v>
      </c>
      <c r="AP4201" t="s">
        <v>7024</v>
      </c>
      <c r="AQ4201" t="s">
        <v>31066</v>
      </c>
      <c r="AR4201" t="s">
        <v>31067</v>
      </c>
      <c r="AT4201" s="184">
        <v>40806</v>
      </c>
      <c r="AU4201" t="s">
        <v>31068</v>
      </c>
      <c r="AV4201">
        <v>15</v>
      </c>
      <c r="AW4201" s="184">
        <v>44916</v>
      </c>
      <c r="AX4201" t="s">
        <v>31069</v>
      </c>
      <c r="AY4201">
        <v>50</v>
      </c>
      <c r="AZ4201" s="184">
        <v>44654</v>
      </c>
      <c r="BA4201" t="s">
        <v>11162</v>
      </c>
      <c r="BB4201">
        <v>75</v>
      </c>
      <c r="BC4201">
        <v>65</v>
      </c>
      <c r="BD4201">
        <v>795</v>
      </c>
      <c r="BE4201">
        <v>2012</v>
      </c>
      <c r="BF4201">
        <v>16</v>
      </c>
      <c r="BG4201">
        <v>2</v>
      </c>
      <c r="BH4201">
        <v>90</v>
      </c>
      <c r="BI4201">
        <v>9</v>
      </c>
      <c r="BJ4201">
        <v>14</v>
      </c>
      <c r="BK4201">
        <v>7</v>
      </c>
      <c r="BN4201" t="s">
        <v>595</v>
      </c>
    </row>
    <row r="4202" spans="1:68">
      <c r="A4202">
        <v>72435779</v>
      </c>
      <c r="B4202">
        <v>72435779</v>
      </c>
      <c r="C4202" t="s">
        <v>7018</v>
      </c>
      <c r="D4202" t="s">
        <v>595</v>
      </c>
      <c r="E4202" s="184">
        <v>45140</v>
      </c>
      <c r="G4202" s="184"/>
      <c r="I4202" s="184"/>
      <c r="K4202" s="184"/>
      <c r="O4202" s="184"/>
      <c r="P4202" t="s">
        <v>7045</v>
      </c>
      <c r="Q4202" t="s">
        <v>7160</v>
      </c>
      <c r="R4202" s="184">
        <v>24734</v>
      </c>
      <c r="S4202">
        <v>56</v>
      </c>
      <c r="V4202" t="s">
        <v>30567</v>
      </c>
      <c r="X4202" t="s">
        <v>2893</v>
      </c>
      <c r="AF4202" t="s">
        <v>31070</v>
      </c>
      <c r="AG4202" t="s">
        <v>30567</v>
      </c>
      <c r="AI4202" t="s">
        <v>31071</v>
      </c>
      <c r="AM4202" t="s">
        <v>31072</v>
      </c>
      <c r="AN4202" t="s">
        <v>2203</v>
      </c>
      <c r="AO4202" t="s">
        <v>31073</v>
      </c>
      <c r="AP4202" t="s">
        <v>7024</v>
      </c>
      <c r="AQ4202" t="s">
        <v>31074</v>
      </c>
      <c r="AR4202" t="s">
        <v>31075</v>
      </c>
      <c r="AT4202" s="184">
        <v>40805</v>
      </c>
      <c r="AU4202" t="s">
        <v>31076</v>
      </c>
      <c r="AV4202">
        <v>25</v>
      </c>
      <c r="AW4202" s="184">
        <v>45422</v>
      </c>
      <c r="AX4202" t="s">
        <v>7422</v>
      </c>
      <c r="AY4202">
        <v>20</v>
      </c>
      <c r="AZ4202" s="184">
        <v>42767</v>
      </c>
      <c r="BA4202" t="s">
        <v>10234</v>
      </c>
      <c r="BB4202">
        <v>100</v>
      </c>
      <c r="BC4202">
        <v>79</v>
      </c>
      <c r="BD4202">
        <v>1555</v>
      </c>
      <c r="BE4202">
        <v>2012</v>
      </c>
      <c r="BF4202">
        <v>71</v>
      </c>
      <c r="BG4202">
        <v>18</v>
      </c>
      <c r="BH4202">
        <v>360</v>
      </c>
      <c r="BI4202">
        <v>11</v>
      </c>
      <c r="BJ4202">
        <v>14</v>
      </c>
      <c r="BK4202">
        <v>8</v>
      </c>
    </row>
    <row r="4203" spans="1:68">
      <c r="A4203">
        <v>72482201</v>
      </c>
      <c r="B4203">
        <v>72482201</v>
      </c>
      <c r="C4203" t="s">
        <v>7018</v>
      </c>
      <c r="D4203" t="s">
        <v>595</v>
      </c>
      <c r="E4203" s="184">
        <v>45125</v>
      </c>
      <c r="G4203" s="184"/>
      <c r="I4203" s="184"/>
      <c r="K4203" s="184"/>
      <c r="M4203" s="184"/>
      <c r="O4203" s="184"/>
      <c r="P4203" t="s">
        <v>7045</v>
      </c>
      <c r="Q4203" t="s">
        <v>7383</v>
      </c>
      <c r="R4203" s="184">
        <v>14427</v>
      </c>
      <c r="S4203">
        <v>84</v>
      </c>
      <c r="V4203" t="s">
        <v>5414</v>
      </c>
      <c r="X4203" t="s">
        <v>4196</v>
      </c>
      <c r="AF4203" t="s">
        <v>31077</v>
      </c>
      <c r="AG4203" t="s">
        <v>5414</v>
      </c>
      <c r="AI4203" t="s">
        <v>31078</v>
      </c>
      <c r="AJ4203" t="s">
        <v>31079</v>
      </c>
      <c r="AM4203" t="s">
        <v>3761</v>
      </c>
      <c r="AN4203" t="s">
        <v>2059</v>
      </c>
      <c r="AO4203" t="s">
        <v>31080</v>
      </c>
      <c r="AP4203" t="s">
        <v>7024</v>
      </c>
      <c r="AQ4203" t="s">
        <v>31081</v>
      </c>
      <c r="AT4203" s="184">
        <v>40807</v>
      </c>
      <c r="AU4203" t="s">
        <v>31061</v>
      </c>
      <c r="AV4203">
        <v>20</v>
      </c>
      <c r="AW4203" s="184">
        <v>44130</v>
      </c>
      <c r="AX4203" t="s">
        <v>31082</v>
      </c>
      <c r="AY4203">
        <v>175</v>
      </c>
      <c r="AZ4203" s="184">
        <v>44130</v>
      </c>
      <c r="BA4203" t="s">
        <v>31082</v>
      </c>
      <c r="BB4203">
        <v>175</v>
      </c>
      <c r="BC4203">
        <v>50</v>
      </c>
      <c r="BD4203">
        <v>810</v>
      </c>
      <c r="BE4203">
        <v>2012</v>
      </c>
      <c r="BF4203">
        <v>9</v>
      </c>
      <c r="BI4203">
        <v>7</v>
      </c>
      <c r="BJ4203">
        <v>14</v>
      </c>
      <c r="BK4203">
        <v>5</v>
      </c>
      <c r="BN4203" t="s">
        <v>595</v>
      </c>
    </row>
    <row r="4204" spans="1:68">
      <c r="A4204">
        <v>72668171</v>
      </c>
      <c r="B4204">
        <v>72668171</v>
      </c>
      <c r="C4204" t="s">
        <v>7018</v>
      </c>
      <c r="D4204" t="s">
        <v>595</v>
      </c>
      <c r="E4204" s="184">
        <v>45112</v>
      </c>
      <c r="G4204" s="184"/>
      <c r="I4204" s="184"/>
      <c r="K4204" s="184"/>
      <c r="M4204" s="184"/>
      <c r="P4204" t="s">
        <v>7019</v>
      </c>
      <c r="Q4204" t="s">
        <v>7383</v>
      </c>
      <c r="R4204" s="184">
        <v>23193</v>
      </c>
      <c r="S4204">
        <v>60</v>
      </c>
      <c r="U4204" t="s">
        <v>7031</v>
      </c>
      <c r="V4204" t="s">
        <v>3908</v>
      </c>
      <c r="X4204" t="s">
        <v>31083</v>
      </c>
      <c r="AF4204" t="s">
        <v>31084</v>
      </c>
      <c r="AG4204" t="s">
        <v>3908</v>
      </c>
      <c r="AI4204" t="s">
        <v>31085</v>
      </c>
      <c r="AM4204" t="s">
        <v>19711</v>
      </c>
      <c r="AN4204" t="s">
        <v>2072</v>
      </c>
      <c r="AO4204" t="s">
        <v>31086</v>
      </c>
      <c r="AP4204" t="s">
        <v>7024</v>
      </c>
      <c r="AQ4204" t="s">
        <v>31087</v>
      </c>
      <c r="AT4204" s="184">
        <v>40816</v>
      </c>
      <c r="AU4204" t="s">
        <v>31088</v>
      </c>
      <c r="AV4204">
        <v>20</v>
      </c>
      <c r="AW4204" s="184">
        <v>44865</v>
      </c>
      <c r="AX4204" t="s">
        <v>17508</v>
      </c>
      <c r="AY4204">
        <v>60</v>
      </c>
      <c r="AZ4204" s="184">
        <v>44865</v>
      </c>
      <c r="BA4204" t="s">
        <v>17508</v>
      </c>
      <c r="BB4204">
        <v>60</v>
      </c>
      <c r="BC4204">
        <v>58</v>
      </c>
      <c r="BD4204">
        <v>265</v>
      </c>
      <c r="BE4204">
        <v>2012</v>
      </c>
      <c r="BF4204">
        <v>8</v>
      </c>
      <c r="BG4204">
        <v>1</v>
      </c>
      <c r="BH4204">
        <v>60</v>
      </c>
      <c r="BI4204">
        <v>8</v>
      </c>
      <c r="BJ4204">
        <v>14</v>
      </c>
      <c r="BK4204">
        <v>3</v>
      </c>
    </row>
    <row r="4205" spans="1:68">
      <c r="A4205">
        <v>72689425</v>
      </c>
      <c r="B4205">
        <v>72689425</v>
      </c>
      <c r="C4205" t="s">
        <v>7018</v>
      </c>
      <c r="D4205" t="s">
        <v>595</v>
      </c>
      <c r="E4205" s="184">
        <v>44484</v>
      </c>
      <c r="G4205" s="184"/>
      <c r="I4205" s="184"/>
      <c r="K4205" s="184"/>
      <c r="M4205" s="184"/>
      <c r="O4205" s="184"/>
      <c r="P4205" t="s">
        <v>7045</v>
      </c>
      <c r="Q4205" t="s">
        <v>7160</v>
      </c>
      <c r="R4205" s="184">
        <v>18841</v>
      </c>
      <c r="S4205">
        <v>72</v>
      </c>
      <c r="U4205" t="s">
        <v>7031</v>
      </c>
      <c r="V4205" t="s">
        <v>2551</v>
      </c>
      <c r="W4205" t="s">
        <v>7407</v>
      </c>
      <c r="X4205" t="s">
        <v>31089</v>
      </c>
      <c r="Y4205" t="s">
        <v>7047</v>
      </c>
      <c r="AF4205" t="s">
        <v>31090</v>
      </c>
      <c r="AG4205" t="s">
        <v>2551</v>
      </c>
      <c r="AI4205" t="s">
        <v>31091</v>
      </c>
      <c r="AM4205" t="s">
        <v>4692</v>
      </c>
      <c r="AN4205" t="s">
        <v>2176</v>
      </c>
      <c r="AO4205" t="s">
        <v>31092</v>
      </c>
      <c r="AP4205" t="s">
        <v>7024</v>
      </c>
      <c r="AQ4205" t="s">
        <v>31093</v>
      </c>
      <c r="AR4205" t="s">
        <v>31094</v>
      </c>
      <c r="AT4205" s="184">
        <v>40819</v>
      </c>
      <c r="AU4205" t="s">
        <v>31095</v>
      </c>
      <c r="AV4205">
        <v>25</v>
      </c>
      <c r="AW4205" s="184">
        <v>45409</v>
      </c>
      <c r="AX4205" t="s">
        <v>8271</v>
      </c>
      <c r="AY4205">
        <v>50</v>
      </c>
      <c r="AZ4205" s="184">
        <v>45120</v>
      </c>
      <c r="BA4205" t="s">
        <v>7832</v>
      </c>
      <c r="BB4205">
        <v>100</v>
      </c>
      <c r="BC4205">
        <v>100</v>
      </c>
      <c r="BD4205">
        <v>1945</v>
      </c>
      <c r="BE4205">
        <v>2012</v>
      </c>
      <c r="BF4205">
        <v>40</v>
      </c>
      <c r="BG4205">
        <v>7</v>
      </c>
      <c r="BH4205">
        <v>400</v>
      </c>
      <c r="BI4205">
        <v>14</v>
      </c>
      <c r="BJ4205">
        <v>14</v>
      </c>
      <c r="BK4205">
        <v>14</v>
      </c>
    </row>
    <row r="4206" spans="1:68">
      <c r="A4206">
        <v>72766371</v>
      </c>
      <c r="B4206">
        <v>72766371</v>
      </c>
      <c r="C4206" t="s">
        <v>7018</v>
      </c>
      <c r="D4206" t="s">
        <v>595</v>
      </c>
      <c r="E4206" s="184">
        <v>45118</v>
      </c>
      <c r="G4206" s="184"/>
      <c r="I4206" s="184"/>
      <c r="K4206" s="184"/>
      <c r="M4206" s="184"/>
      <c r="O4206" s="184"/>
      <c r="P4206" t="s">
        <v>7045</v>
      </c>
      <c r="Q4206" t="s">
        <v>7262</v>
      </c>
      <c r="R4206" s="184">
        <v>26438</v>
      </c>
      <c r="S4206">
        <v>51</v>
      </c>
      <c r="U4206" t="s">
        <v>7130</v>
      </c>
      <c r="V4206" t="s">
        <v>8701</v>
      </c>
      <c r="X4206" t="s">
        <v>5896</v>
      </c>
      <c r="Z4206">
        <v>100799921</v>
      </c>
      <c r="AA4206" t="s">
        <v>7031</v>
      </c>
      <c r="AB4206" t="s">
        <v>4499</v>
      </c>
      <c r="AD4206" t="s">
        <v>5896</v>
      </c>
      <c r="AF4206" t="s">
        <v>31096</v>
      </c>
      <c r="AG4206" t="s">
        <v>31097</v>
      </c>
      <c r="AI4206" t="s">
        <v>31098</v>
      </c>
      <c r="AM4206" t="s">
        <v>31099</v>
      </c>
      <c r="AN4206" t="s">
        <v>2069</v>
      </c>
      <c r="AO4206" t="s">
        <v>31100</v>
      </c>
      <c r="AP4206" t="s">
        <v>7024</v>
      </c>
      <c r="AQ4206" t="s">
        <v>31101</v>
      </c>
      <c r="AT4206" s="184">
        <v>40816</v>
      </c>
      <c r="AU4206" t="s">
        <v>30469</v>
      </c>
      <c r="AV4206">
        <v>19.97</v>
      </c>
      <c r="AW4206" s="184">
        <v>45401</v>
      </c>
      <c r="AX4206" t="s">
        <v>7429</v>
      </c>
      <c r="AY4206">
        <v>20</v>
      </c>
      <c r="AZ4206" s="184">
        <v>45401</v>
      </c>
      <c r="BA4206" t="s">
        <v>7429</v>
      </c>
      <c r="BB4206">
        <v>20</v>
      </c>
      <c r="BC4206">
        <v>43</v>
      </c>
      <c r="BD4206">
        <v>884.97</v>
      </c>
      <c r="BE4206">
        <v>2012</v>
      </c>
      <c r="BF4206">
        <v>55</v>
      </c>
      <c r="BG4206">
        <v>24</v>
      </c>
      <c r="BH4206">
        <v>480</v>
      </c>
      <c r="BI4206">
        <v>6</v>
      </c>
      <c r="BJ4206">
        <v>14</v>
      </c>
      <c r="BK4206">
        <v>5</v>
      </c>
      <c r="BP4206" s="184"/>
    </row>
    <row r="4207" spans="1:68">
      <c r="A4207">
        <v>100799921</v>
      </c>
      <c r="B4207">
        <v>72766371</v>
      </c>
      <c r="C4207" t="s">
        <v>7018</v>
      </c>
      <c r="D4207" t="s">
        <v>595</v>
      </c>
      <c r="E4207" s="184">
        <v>45118</v>
      </c>
      <c r="G4207" s="184"/>
      <c r="I4207" s="184"/>
      <c r="K4207" s="184"/>
      <c r="M4207" s="184"/>
      <c r="O4207" s="184"/>
      <c r="P4207" t="s">
        <v>7045</v>
      </c>
      <c r="Q4207" t="s">
        <v>7262</v>
      </c>
      <c r="R4207" s="184">
        <v>25163</v>
      </c>
      <c r="S4207">
        <v>55</v>
      </c>
      <c r="U4207" t="s">
        <v>7031</v>
      </c>
      <c r="V4207" t="s">
        <v>4499</v>
      </c>
      <c r="X4207" t="s">
        <v>5896</v>
      </c>
      <c r="Z4207">
        <v>72766371</v>
      </c>
      <c r="AA4207" t="s">
        <v>7130</v>
      </c>
      <c r="AB4207" t="s">
        <v>8701</v>
      </c>
      <c r="AD4207" t="s">
        <v>5896</v>
      </c>
      <c r="AF4207" t="s">
        <v>31096</v>
      </c>
      <c r="AG4207" t="s">
        <v>31097</v>
      </c>
      <c r="AI4207" t="s">
        <v>31098</v>
      </c>
      <c r="AM4207" t="s">
        <v>31099</v>
      </c>
      <c r="AN4207" t="s">
        <v>2069</v>
      </c>
      <c r="AO4207" t="s">
        <v>31100</v>
      </c>
      <c r="AP4207" t="s">
        <v>7024</v>
      </c>
      <c r="AQ4207" t="s">
        <v>31102</v>
      </c>
      <c r="AT4207" s="184"/>
      <c r="AW4207" s="184"/>
      <c r="AZ4207" s="184"/>
    </row>
    <row r="4208" spans="1:68">
      <c r="A4208">
        <v>72834179</v>
      </c>
      <c r="B4208">
        <v>72834179</v>
      </c>
      <c r="C4208" t="s">
        <v>7018</v>
      </c>
      <c r="E4208" s="184"/>
      <c r="G4208" s="184"/>
      <c r="H4208" t="s">
        <v>595</v>
      </c>
      <c r="I4208" s="184">
        <v>44328</v>
      </c>
      <c r="K4208" s="184"/>
      <c r="M4208" s="184"/>
      <c r="P4208" t="s">
        <v>7045</v>
      </c>
      <c r="Q4208" t="s">
        <v>7194</v>
      </c>
      <c r="R4208" s="184">
        <v>15884</v>
      </c>
      <c r="S4208">
        <v>80</v>
      </c>
      <c r="U4208" t="s">
        <v>7130</v>
      </c>
      <c r="V4208" t="s">
        <v>2523</v>
      </c>
      <c r="W4208" t="s">
        <v>2308</v>
      </c>
      <c r="X4208" t="s">
        <v>2530</v>
      </c>
      <c r="AF4208" t="s">
        <v>31103</v>
      </c>
      <c r="AG4208" t="s">
        <v>2523</v>
      </c>
      <c r="AI4208" t="s">
        <v>31104</v>
      </c>
      <c r="AM4208" t="s">
        <v>5097</v>
      </c>
      <c r="AN4208" t="s">
        <v>2046</v>
      </c>
      <c r="AO4208" t="s">
        <v>31105</v>
      </c>
      <c r="AP4208" t="s">
        <v>7024</v>
      </c>
      <c r="AQ4208" t="s">
        <v>31106</v>
      </c>
      <c r="AR4208" t="s">
        <v>31107</v>
      </c>
      <c r="AT4208" s="184">
        <v>40830</v>
      </c>
      <c r="AU4208" t="s">
        <v>31108</v>
      </c>
      <c r="AV4208">
        <v>15</v>
      </c>
      <c r="AW4208" s="184">
        <v>45275</v>
      </c>
      <c r="AX4208" t="s">
        <v>31109</v>
      </c>
      <c r="AY4208">
        <v>75</v>
      </c>
      <c r="AZ4208" s="184">
        <v>44193</v>
      </c>
      <c r="BA4208" t="s">
        <v>14007</v>
      </c>
      <c r="BB4208">
        <v>87</v>
      </c>
      <c r="BC4208">
        <v>93</v>
      </c>
      <c r="BD4208">
        <v>1437</v>
      </c>
      <c r="BE4208">
        <v>2012</v>
      </c>
      <c r="BF4208">
        <v>42</v>
      </c>
      <c r="BG4208">
        <v>3</v>
      </c>
      <c r="BH4208">
        <v>185</v>
      </c>
      <c r="BI4208">
        <v>13</v>
      </c>
      <c r="BJ4208">
        <v>14</v>
      </c>
      <c r="BK4208">
        <v>13</v>
      </c>
    </row>
    <row r="4209" spans="1:68">
      <c r="A4209">
        <v>72845571</v>
      </c>
      <c r="B4209">
        <v>72845571</v>
      </c>
      <c r="C4209" t="s">
        <v>7018</v>
      </c>
      <c r="D4209" t="s">
        <v>595</v>
      </c>
      <c r="E4209" s="184">
        <v>44167</v>
      </c>
      <c r="G4209" s="184"/>
      <c r="I4209" s="184"/>
      <c r="K4209" s="184"/>
      <c r="M4209" s="184"/>
      <c r="O4209" s="184"/>
      <c r="P4209" t="s">
        <v>7045</v>
      </c>
      <c r="Q4209" t="s">
        <v>7262</v>
      </c>
      <c r="R4209" s="184">
        <v>18598</v>
      </c>
      <c r="S4209">
        <v>73</v>
      </c>
      <c r="V4209" t="s">
        <v>31110</v>
      </c>
      <c r="X4209" t="s">
        <v>31111</v>
      </c>
      <c r="AF4209" t="s">
        <v>31112</v>
      </c>
      <c r="AG4209" t="s">
        <v>31110</v>
      </c>
      <c r="AI4209" t="s">
        <v>31113</v>
      </c>
      <c r="AM4209" t="s">
        <v>31114</v>
      </c>
      <c r="AN4209" t="s">
        <v>2069</v>
      </c>
      <c r="AO4209" t="s">
        <v>31115</v>
      </c>
      <c r="AP4209" t="s">
        <v>7024</v>
      </c>
      <c r="AQ4209" t="s">
        <v>31116</v>
      </c>
      <c r="AT4209" s="184">
        <v>40829</v>
      </c>
      <c r="AU4209" t="s">
        <v>31117</v>
      </c>
      <c r="AV4209">
        <v>25</v>
      </c>
      <c r="AW4209" s="184">
        <v>44008</v>
      </c>
      <c r="AX4209" t="s">
        <v>29366</v>
      </c>
      <c r="AY4209">
        <v>50</v>
      </c>
      <c r="AZ4209" s="184">
        <v>44008</v>
      </c>
      <c r="BA4209" t="s">
        <v>29366</v>
      </c>
      <c r="BB4209">
        <v>50</v>
      </c>
      <c r="BC4209">
        <v>72</v>
      </c>
      <c r="BD4209">
        <v>730</v>
      </c>
      <c r="BE4209">
        <v>2012</v>
      </c>
      <c r="BF4209">
        <v>18</v>
      </c>
      <c r="BI4209">
        <v>10</v>
      </c>
      <c r="BJ4209">
        <v>14</v>
      </c>
      <c r="BK4209">
        <v>10</v>
      </c>
    </row>
    <row r="4210" spans="1:68">
      <c r="A4210">
        <v>72947666</v>
      </c>
      <c r="B4210">
        <v>72947666</v>
      </c>
      <c r="C4210" t="s">
        <v>7018</v>
      </c>
      <c r="E4210" s="184"/>
      <c r="G4210" s="184"/>
      <c r="I4210" s="184"/>
      <c r="J4210" t="s">
        <v>595</v>
      </c>
      <c r="K4210" s="184">
        <v>44040</v>
      </c>
      <c r="M4210" s="184"/>
      <c r="O4210" s="184"/>
      <c r="P4210" t="s">
        <v>7045</v>
      </c>
      <c r="Q4210" t="s">
        <v>7383</v>
      </c>
      <c r="R4210" s="184">
        <v>19238</v>
      </c>
      <c r="S4210">
        <v>71</v>
      </c>
      <c r="V4210" t="s">
        <v>2665</v>
      </c>
      <c r="X4210" t="s">
        <v>3618</v>
      </c>
      <c r="Z4210">
        <v>100380670</v>
      </c>
      <c r="AB4210" t="s">
        <v>12204</v>
      </c>
      <c r="AD4210" t="s">
        <v>3618</v>
      </c>
      <c r="AF4210" t="s">
        <v>31118</v>
      </c>
      <c r="AG4210" t="s">
        <v>31119</v>
      </c>
      <c r="AI4210" t="s">
        <v>31120</v>
      </c>
      <c r="AM4210" t="s">
        <v>28097</v>
      </c>
      <c r="AN4210" t="s">
        <v>2185</v>
      </c>
      <c r="AO4210" t="s">
        <v>31121</v>
      </c>
      <c r="AP4210" t="s">
        <v>7024</v>
      </c>
      <c r="AQ4210" t="s">
        <v>31122</v>
      </c>
      <c r="AT4210" s="184">
        <v>40833</v>
      </c>
      <c r="AU4210" t="s">
        <v>31123</v>
      </c>
      <c r="AV4210">
        <v>20</v>
      </c>
      <c r="AW4210" s="184">
        <v>45048</v>
      </c>
      <c r="AX4210" t="s">
        <v>10223</v>
      </c>
      <c r="AY4210">
        <v>250</v>
      </c>
      <c r="AZ4210" s="184">
        <v>45048</v>
      </c>
      <c r="BA4210" t="s">
        <v>10223</v>
      </c>
      <c r="BB4210">
        <v>250</v>
      </c>
      <c r="BC4210">
        <v>93</v>
      </c>
      <c r="BD4210">
        <v>1610</v>
      </c>
      <c r="BE4210">
        <v>2012</v>
      </c>
      <c r="BF4210">
        <v>19</v>
      </c>
      <c r="BG4210">
        <v>2</v>
      </c>
      <c r="BH4210">
        <v>500</v>
      </c>
      <c r="BI4210">
        <v>13</v>
      </c>
      <c r="BJ4210">
        <v>14</v>
      </c>
      <c r="BK4210">
        <v>13</v>
      </c>
    </row>
    <row r="4211" spans="1:68">
      <c r="A4211">
        <v>100380670</v>
      </c>
      <c r="B4211">
        <v>72947666</v>
      </c>
      <c r="C4211" t="s">
        <v>7018</v>
      </c>
      <c r="E4211" s="184"/>
      <c r="G4211" s="184"/>
      <c r="I4211" s="184"/>
      <c r="J4211" t="s">
        <v>595</v>
      </c>
      <c r="K4211" s="184">
        <v>44040</v>
      </c>
      <c r="M4211" s="184"/>
      <c r="O4211" s="184"/>
      <c r="P4211" t="s">
        <v>7045</v>
      </c>
      <c r="Q4211" t="s">
        <v>7383</v>
      </c>
      <c r="R4211" s="184">
        <v>18984</v>
      </c>
      <c r="S4211">
        <v>72</v>
      </c>
      <c r="V4211" t="s">
        <v>12204</v>
      </c>
      <c r="X4211" t="s">
        <v>3618</v>
      </c>
      <c r="Z4211">
        <v>72947666</v>
      </c>
      <c r="AB4211" t="s">
        <v>2665</v>
      </c>
      <c r="AD4211" t="s">
        <v>3618</v>
      </c>
      <c r="AF4211" t="s">
        <v>31118</v>
      </c>
      <c r="AG4211" t="s">
        <v>31119</v>
      </c>
      <c r="AI4211" t="s">
        <v>31120</v>
      </c>
      <c r="AM4211" t="s">
        <v>28097</v>
      </c>
      <c r="AN4211" t="s">
        <v>2185</v>
      </c>
      <c r="AO4211" t="s">
        <v>31121</v>
      </c>
      <c r="AP4211" t="s">
        <v>7024</v>
      </c>
      <c r="AT4211" s="184"/>
      <c r="AW4211" s="184"/>
      <c r="AZ4211" s="184"/>
    </row>
    <row r="4212" spans="1:68">
      <c r="A4212">
        <v>72952377</v>
      </c>
      <c r="B4212">
        <v>72952377</v>
      </c>
      <c r="C4212" t="s">
        <v>7018</v>
      </c>
      <c r="D4212" t="s">
        <v>595</v>
      </c>
      <c r="E4212" s="184">
        <v>44414</v>
      </c>
      <c r="G4212" s="184"/>
      <c r="I4212" s="184"/>
      <c r="K4212" s="184"/>
      <c r="M4212" s="184"/>
      <c r="O4212" s="184"/>
      <c r="P4212" t="s">
        <v>7045</v>
      </c>
      <c r="Q4212" t="s">
        <v>7383</v>
      </c>
      <c r="R4212" s="184">
        <v>17010</v>
      </c>
      <c r="S4212">
        <v>77</v>
      </c>
      <c r="V4212" t="s">
        <v>3293</v>
      </c>
      <c r="X4212" t="s">
        <v>24780</v>
      </c>
      <c r="AF4212" t="s">
        <v>31124</v>
      </c>
      <c r="AG4212" t="s">
        <v>3293</v>
      </c>
      <c r="AI4212" t="s">
        <v>31125</v>
      </c>
      <c r="AM4212" t="s">
        <v>3815</v>
      </c>
      <c r="AN4212" t="s">
        <v>2059</v>
      </c>
      <c r="AO4212" t="s">
        <v>31126</v>
      </c>
      <c r="AP4212" t="s">
        <v>7024</v>
      </c>
      <c r="AQ4212" t="s">
        <v>31127</v>
      </c>
      <c r="AT4212" s="184">
        <v>40833</v>
      </c>
      <c r="AU4212" t="s">
        <v>31128</v>
      </c>
      <c r="AV4212">
        <v>15</v>
      </c>
      <c r="AW4212" s="184">
        <v>44860</v>
      </c>
      <c r="AX4212" t="s">
        <v>31129</v>
      </c>
      <c r="AY4212">
        <v>25</v>
      </c>
      <c r="AZ4212" s="184">
        <v>44860</v>
      </c>
      <c r="BA4212" t="s">
        <v>31129</v>
      </c>
      <c r="BB4212">
        <v>25</v>
      </c>
      <c r="BC4212">
        <v>79</v>
      </c>
      <c r="BD4212">
        <v>295</v>
      </c>
      <c r="BE4212">
        <v>2012</v>
      </c>
      <c r="BF4212">
        <v>13</v>
      </c>
      <c r="BG4212">
        <v>1</v>
      </c>
      <c r="BH4212">
        <v>25</v>
      </c>
      <c r="BI4212">
        <v>11</v>
      </c>
      <c r="BJ4212">
        <v>14</v>
      </c>
      <c r="BK4212">
        <v>9</v>
      </c>
    </row>
    <row r="4213" spans="1:68">
      <c r="A4213">
        <v>73052599</v>
      </c>
      <c r="B4213">
        <v>73052599</v>
      </c>
      <c r="C4213" t="s">
        <v>7018</v>
      </c>
      <c r="D4213" t="s">
        <v>595</v>
      </c>
      <c r="E4213" s="184">
        <v>44419</v>
      </c>
      <c r="G4213" s="184"/>
      <c r="I4213" s="184"/>
      <c r="K4213" s="184"/>
      <c r="M4213" s="184"/>
      <c r="O4213" s="184"/>
      <c r="P4213" t="s">
        <v>7019</v>
      </c>
      <c r="Q4213" t="s">
        <v>7383</v>
      </c>
      <c r="R4213" s="184">
        <v>14001</v>
      </c>
      <c r="S4213">
        <v>86</v>
      </c>
      <c r="V4213" t="s">
        <v>31130</v>
      </c>
      <c r="X4213" t="s">
        <v>31131</v>
      </c>
      <c r="AF4213" t="s">
        <v>31132</v>
      </c>
      <c r="AG4213" t="s">
        <v>31130</v>
      </c>
      <c r="AI4213" t="s">
        <v>31133</v>
      </c>
      <c r="AM4213" t="s">
        <v>31134</v>
      </c>
      <c r="AN4213" t="s">
        <v>2313</v>
      </c>
      <c r="AO4213" t="s">
        <v>31135</v>
      </c>
      <c r="AP4213" t="s">
        <v>7024</v>
      </c>
      <c r="AQ4213" t="s">
        <v>31136</v>
      </c>
      <c r="AT4213" s="184">
        <v>40834</v>
      </c>
      <c r="AU4213" t="s">
        <v>31137</v>
      </c>
      <c r="AV4213">
        <v>5</v>
      </c>
      <c r="AW4213" s="184">
        <v>44825</v>
      </c>
      <c r="AX4213" t="s">
        <v>14705</v>
      </c>
      <c r="AY4213">
        <v>60</v>
      </c>
      <c r="AZ4213" s="184">
        <v>44825</v>
      </c>
      <c r="BA4213" t="s">
        <v>14705</v>
      </c>
      <c r="BB4213">
        <v>60</v>
      </c>
      <c r="BC4213">
        <v>79</v>
      </c>
      <c r="BD4213">
        <v>300</v>
      </c>
      <c r="BE4213">
        <v>2012</v>
      </c>
      <c r="BF4213">
        <v>13</v>
      </c>
      <c r="BG4213">
        <v>1</v>
      </c>
      <c r="BH4213">
        <v>60</v>
      </c>
      <c r="BI4213">
        <v>11</v>
      </c>
      <c r="BJ4213">
        <v>14</v>
      </c>
      <c r="BK4213">
        <v>9</v>
      </c>
    </row>
    <row r="4214" spans="1:68">
      <c r="A4214">
        <v>73068371</v>
      </c>
      <c r="B4214">
        <v>73068371</v>
      </c>
      <c r="C4214" t="s">
        <v>7018</v>
      </c>
      <c r="E4214" s="184"/>
      <c r="G4214" s="184"/>
      <c r="I4214" s="184"/>
      <c r="J4214" t="s">
        <v>595</v>
      </c>
      <c r="K4214" s="184">
        <v>42522</v>
      </c>
      <c r="M4214" s="184"/>
      <c r="P4214" t="s">
        <v>7045</v>
      </c>
      <c r="Q4214" t="s">
        <v>7383</v>
      </c>
      <c r="R4214" s="184">
        <v>18250</v>
      </c>
      <c r="S4214">
        <v>74</v>
      </c>
      <c r="U4214" t="s">
        <v>7076</v>
      </c>
      <c r="V4214" t="s">
        <v>3304</v>
      </c>
      <c r="X4214" t="s">
        <v>2999</v>
      </c>
      <c r="AF4214" t="s">
        <v>6694</v>
      </c>
      <c r="AG4214" t="s">
        <v>3304</v>
      </c>
      <c r="AI4214" t="s">
        <v>31138</v>
      </c>
      <c r="AM4214" t="s">
        <v>31139</v>
      </c>
      <c r="AN4214" t="s">
        <v>2313</v>
      </c>
      <c r="AO4214" t="s">
        <v>31140</v>
      </c>
      <c r="AP4214" t="s">
        <v>7024</v>
      </c>
      <c r="AQ4214" t="s">
        <v>31141</v>
      </c>
      <c r="AT4214" s="184">
        <v>40835</v>
      </c>
      <c r="AU4214" t="s">
        <v>31142</v>
      </c>
      <c r="AV4214">
        <v>50</v>
      </c>
      <c r="AW4214" s="184">
        <v>44631</v>
      </c>
      <c r="AX4214" t="s">
        <v>31143</v>
      </c>
      <c r="AY4214">
        <v>35</v>
      </c>
      <c r="AZ4214" s="184">
        <v>40835</v>
      </c>
      <c r="BA4214" t="s">
        <v>31142</v>
      </c>
      <c r="BB4214">
        <v>50</v>
      </c>
      <c r="BC4214">
        <v>43</v>
      </c>
      <c r="BD4214">
        <v>185</v>
      </c>
      <c r="BE4214">
        <v>2012</v>
      </c>
      <c r="BF4214">
        <v>6</v>
      </c>
      <c r="BI4214">
        <v>6</v>
      </c>
      <c r="BJ4214">
        <v>14</v>
      </c>
      <c r="BK4214">
        <v>2</v>
      </c>
    </row>
    <row r="4215" spans="1:68">
      <c r="A4215">
        <v>73132573</v>
      </c>
      <c r="B4215">
        <v>73132573</v>
      </c>
      <c r="C4215" t="s">
        <v>7018</v>
      </c>
      <c r="E4215" s="184"/>
      <c r="G4215" s="184"/>
      <c r="I4215" s="184"/>
      <c r="J4215" t="s">
        <v>595</v>
      </c>
      <c r="K4215" s="184">
        <v>43720</v>
      </c>
      <c r="M4215" s="184"/>
      <c r="O4215" s="184"/>
      <c r="P4215" t="s">
        <v>7045</v>
      </c>
      <c r="Q4215" t="s">
        <v>7454</v>
      </c>
      <c r="R4215" s="184">
        <v>26877</v>
      </c>
      <c r="S4215">
        <v>50</v>
      </c>
      <c r="U4215" t="s">
        <v>7076</v>
      </c>
      <c r="V4215" t="s">
        <v>3778</v>
      </c>
      <c r="W4215" t="s">
        <v>7355</v>
      </c>
      <c r="X4215" t="s">
        <v>3779</v>
      </c>
      <c r="AF4215" t="s">
        <v>31144</v>
      </c>
      <c r="AG4215" t="s">
        <v>3778</v>
      </c>
      <c r="AI4215" t="s">
        <v>31145</v>
      </c>
      <c r="AM4215" t="s">
        <v>3780</v>
      </c>
      <c r="AN4215" t="s">
        <v>2055</v>
      </c>
      <c r="AO4215" t="s">
        <v>31146</v>
      </c>
      <c r="AP4215" t="s">
        <v>7024</v>
      </c>
      <c r="AQ4215" t="s">
        <v>31147</v>
      </c>
      <c r="AR4215" t="s">
        <v>31148</v>
      </c>
      <c r="AT4215" s="184">
        <v>40836</v>
      </c>
      <c r="AU4215" t="s">
        <v>31149</v>
      </c>
      <c r="AV4215">
        <v>20</v>
      </c>
      <c r="AW4215" s="184">
        <v>45422</v>
      </c>
      <c r="AX4215" t="s">
        <v>7422</v>
      </c>
      <c r="AY4215">
        <v>50</v>
      </c>
      <c r="AZ4215" s="184">
        <v>45422</v>
      </c>
      <c r="BA4215" t="s">
        <v>7422</v>
      </c>
      <c r="BB4215">
        <v>50</v>
      </c>
      <c r="BC4215">
        <v>100</v>
      </c>
      <c r="BD4215">
        <v>4405</v>
      </c>
      <c r="BE4215">
        <v>2012</v>
      </c>
      <c r="BF4215">
        <v>134</v>
      </c>
      <c r="BG4215">
        <v>24</v>
      </c>
      <c r="BH4215">
        <v>1200</v>
      </c>
      <c r="BI4215">
        <v>14</v>
      </c>
      <c r="BJ4215">
        <v>14</v>
      </c>
      <c r="BK4215">
        <v>14</v>
      </c>
      <c r="BP4215" s="184"/>
    </row>
    <row r="4216" spans="1:68">
      <c r="A4216">
        <v>73158776</v>
      </c>
      <c r="B4216">
        <v>73158776</v>
      </c>
      <c r="C4216" t="s">
        <v>7018</v>
      </c>
      <c r="D4216" t="s">
        <v>595</v>
      </c>
      <c r="E4216" s="184">
        <v>45153</v>
      </c>
      <c r="G4216" s="184"/>
      <c r="I4216" s="184"/>
      <c r="K4216" s="184"/>
      <c r="M4216" s="184"/>
      <c r="P4216" t="s">
        <v>7045</v>
      </c>
      <c r="Q4216" t="s">
        <v>7160</v>
      </c>
      <c r="R4216" s="184">
        <v>13328</v>
      </c>
      <c r="S4216">
        <v>87</v>
      </c>
      <c r="V4216" t="s">
        <v>2635</v>
      </c>
      <c r="X4216" t="s">
        <v>31150</v>
      </c>
      <c r="AF4216" t="s">
        <v>31151</v>
      </c>
      <c r="AG4216" t="s">
        <v>2635</v>
      </c>
      <c r="AI4216" t="s">
        <v>31152</v>
      </c>
      <c r="AM4216" t="s">
        <v>3980</v>
      </c>
      <c r="AN4216" t="s">
        <v>4637</v>
      </c>
      <c r="AO4216" t="s">
        <v>31153</v>
      </c>
      <c r="AP4216" t="s">
        <v>7024</v>
      </c>
      <c r="AT4216" s="184">
        <v>40837</v>
      </c>
      <c r="AU4216" t="s">
        <v>31154</v>
      </c>
      <c r="AV4216">
        <v>20</v>
      </c>
      <c r="AW4216" s="184">
        <v>44531</v>
      </c>
      <c r="AX4216" t="s">
        <v>10002</v>
      </c>
      <c r="AY4216">
        <v>25</v>
      </c>
      <c r="AZ4216" s="184">
        <v>42186</v>
      </c>
      <c r="BA4216" t="s">
        <v>31155</v>
      </c>
      <c r="BB4216">
        <v>35</v>
      </c>
      <c r="BC4216">
        <v>50</v>
      </c>
      <c r="BD4216">
        <v>160</v>
      </c>
      <c r="BE4216">
        <v>2012</v>
      </c>
      <c r="BF4216">
        <v>7</v>
      </c>
      <c r="BI4216">
        <v>7</v>
      </c>
      <c r="BJ4216">
        <v>14</v>
      </c>
      <c r="BK4216">
        <v>5</v>
      </c>
    </row>
    <row r="4217" spans="1:68">
      <c r="A4217">
        <v>73189177</v>
      </c>
      <c r="B4217">
        <v>73189177</v>
      </c>
      <c r="C4217" t="s">
        <v>7018</v>
      </c>
      <c r="D4217" t="s">
        <v>595</v>
      </c>
      <c r="E4217" s="184">
        <v>44438</v>
      </c>
      <c r="G4217" s="184"/>
      <c r="I4217" s="184"/>
      <c r="K4217" s="184"/>
      <c r="M4217" s="184"/>
      <c r="P4217" t="s">
        <v>7045</v>
      </c>
      <c r="Q4217" t="s">
        <v>7030</v>
      </c>
      <c r="R4217" s="184">
        <v>15999</v>
      </c>
      <c r="S4217">
        <v>80</v>
      </c>
      <c r="V4217" t="s">
        <v>2863</v>
      </c>
      <c r="X4217" t="s">
        <v>3539</v>
      </c>
      <c r="AF4217" t="s">
        <v>31156</v>
      </c>
      <c r="AG4217" t="s">
        <v>2863</v>
      </c>
      <c r="AI4217" t="s">
        <v>31157</v>
      </c>
      <c r="AM4217" t="s">
        <v>16548</v>
      </c>
      <c r="AN4217" t="s">
        <v>2201</v>
      </c>
      <c r="AO4217" t="s">
        <v>31158</v>
      </c>
      <c r="AP4217" t="s">
        <v>7024</v>
      </c>
      <c r="AQ4217" t="s">
        <v>31159</v>
      </c>
      <c r="AR4217" t="s">
        <v>31160</v>
      </c>
      <c r="AT4217" s="184">
        <v>40837</v>
      </c>
      <c r="AU4217" t="s">
        <v>31161</v>
      </c>
      <c r="AV4217">
        <v>25</v>
      </c>
      <c r="AW4217" s="184">
        <v>45314</v>
      </c>
      <c r="AX4217" t="s">
        <v>15969</v>
      </c>
      <c r="AY4217">
        <v>25</v>
      </c>
      <c r="AZ4217" s="184">
        <v>43024</v>
      </c>
      <c r="BA4217" t="s">
        <v>31162</v>
      </c>
      <c r="BB4217">
        <v>60</v>
      </c>
      <c r="BC4217">
        <v>50</v>
      </c>
      <c r="BD4217">
        <v>320</v>
      </c>
      <c r="BE4217">
        <v>2012</v>
      </c>
      <c r="BF4217">
        <v>8</v>
      </c>
      <c r="BG4217">
        <v>1</v>
      </c>
      <c r="BH4217">
        <v>25</v>
      </c>
      <c r="BI4217">
        <v>7</v>
      </c>
      <c r="BJ4217">
        <v>14</v>
      </c>
      <c r="BK4217">
        <v>2</v>
      </c>
    </row>
    <row r="4218" spans="1:68">
      <c r="A4218">
        <v>73190977</v>
      </c>
      <c r="B4218">
        <v>73190977</v>
      </c>
      <c r="C4218" t="s">
        <v>7018</v>
      </c>
      <c r="D4218" t="s">
        <v>595</v>
      </c>
      <c r="E4218" s="184">
        <v>44313</v>
      </c>
      <c r="G4218" s="184"/>
      <c r="I4218" s="184"/>
      <c r="K4218" s="184"/>
      <c r="M4218" s="184"/>
      <c r="O4218" s="184"/>
      <c r="P4218" t="s">
        <v>7045</v>
      </c>
      <c r="Q4218" t="s">
        <v>7374</v>
      </c>
      <c r="R4218" s="184">
        <v>14032</v>
      </c>
      <c r="S4218">
        <v>85</v>
      </c>
      <c r="U4218" t="s">
        <v>7032</v>
      </c>
      <c r="V4218" t="s">
        <v>3801</v>
      </c>
      <c r="X4218" t="s">
        <v>31163</v>
      </c>
      <c r="AF4218" t="s">
        <v>31164</v>
      </c>
      <c r="AG4218" t="s">
        <v>3801</v>
      </c>
      <c r="AI4218" t="s">
        <v>31165</v>
      </c>
      <c r="AM4218" t="s">
        <v>4354</v>
      </c>
      <c r="AN4218" t="s">
        <v>2081</v>
      </c>
      <c r="AO4218" t="s">
        <v>31166</v>
      </c>
      <c r="AP4218" t="s">
        <v>7024</v>
      </c>
      <c r="AQ4218" t="s">
        <v>31167</v>
      </c>
      <c r="AR4218" t="s">
        <v>31168</v>
      </c>
      <c r="AT4218" s="184">
        <v>40840</v>
      </c>
      <c r="AU4218" t="s">
        <v>30381</v>
      </c>
      <c r="AV4218">
        <v>100</v>
      </c>
      <c r="AW4218" s="184">
        <v>45369</v>
      </c>
      <c r="AX4218" t="s">
        <v>7092</v>
      </c>
      <c r="AY4218">
        <v>200</v>
      </c>
      <c r="AZ4218" s="184">
        <v>41801</v>
      </c>
      <c r="BA4218" t="s">
        <v>31169</v>
      </c>
      <c r="BB4218">
        <v>1000</v>
      </c>
      <c r="BC4218">
        <v>100</v>
      </c>
      <c r="BD4218">
        <v>6850</v>
      </c>
      <c r="BE4218">
        <v>2012</v>
      </c>
      <c r="BF4218">
        <v>18</v>
      </c>
      <c r="BG4218">
        <v>2</v>
      </c>
      <c r="BH4218">
        <v>400</v>
      </c>
      <c r="BI4218">
        <v>14</v>
      </c>
      <c r="BJ4218">
        <v>14</v>
      </c>
      <c r="BK4218">
        <v>14</v>
      </c>
    </row>
    <row r="4219" spans="1:68">
      <c r="A4219">
        <v>73398372</v>
      </c>
      <c r="B4219">
        <v>73398372</v>
      </c>
      <c r="C4219" t="s">
        <v>7018</v>
      </c>
      <c r="D4219" t="s">
        <v>595</v>
      </c>
      <c r="E4219" s="184">
        <v>44438</v>
      </c>
      <c r="G4219" s="184"/>
      <c r="I4219" s="184"/>
      <c r="K4219" s="184"/>
      <c r="M4219" s="184"/>
      <c r="O4219" s="184"/>
      <c r="P4219" t="s">
        <v>7045</v>
      </c>
      <c r="Q4219" t="s">
        <v>7194</v>
      </c>
      <c r="R4219" s="184">
        <v>13843</v>
      </c>
      <c r="S4219">
        <v>86</v>
      </c>
      <c r="V4219" t="s">
        <v>3095</v>
      </c>
      <c r="X4219" t="s">
        <v>31170</v>
      </c>
      <c r="AF4219" t="s">
        <v>31171</v>
      </c>
      <c r="AG4219" t="s">
        <v>3095</v>
      </c>
      <c r="AI4219" t="s">
        <v>31172</v>
      </c>
      <c r="AM4219" t="s">
        <v>31173</v>
      </c>
      <c r="AN4219" t="s">
        <v>2046</v>
      </c>
      <c r="AO4219" t="s">
        <v>31174</v>
      </c>
      <c r="AP4219" t="s">
        <v>7024</v>
      </c>
      <c r="AT4219" s="184">
        <v>40844</v>
      </c>
      <c r="AU4219" t="s">
        <v>31175</v>
      </c>
      <c r="AV4219">
        <v>15</v>
      </c>
      <c r="AW4219" s="184">
        <v>44951</v>
      </c>
      <c r="AX4219" t="s">
        <v>31176</v>
      </c>
      <c r="AY4219">
        <v>25</v>
      </c>
      <c r="AZ4219" s="184">
        <v>44951</v>
      </c>
      <c r="BA4219" t="s">
        <v>31176</v>
      </c>
      <c r="BB4219">
        <v>25</v>
      </c>
      <c r="BC4219">
        <v>86</v>
      </c>
      <c r="BD4219">
        <v>410</v>
      </c>
      <c r="BE4219">
        <v>2012</v>
      </c>
      <c r="BF4219">
        <v>19</v>
      </c>
      <c r="BG4219">
        <v>3</v>
      </c>
      <c r="BH4219">
        <v>70</v>
      </c>
      <c r="BI4219">
        <v>12</v>
      </c>
      <c r="BJ4219">
        <v>14</v>
      </c>
      <c r="BK4219">
        <v>7</v>
      </c>
    </row>
    <row r="4220" spans="1:68">
      <c r="A4220">
        <v>73432171</v>
      </c>
      <c r="B4220">
        <v>73432171</v>
      </c>
      <c r="C4220" t="s">
        <v>7018</v>
      </c>
      <c r="D4220" t="s">
        <v>595</v>
      </c>
      <c r="E4220" s="184">
        <v>44167</v>
      </c>
      <c r="G4220" s="184"/>
      <c r="I4220" s="184"/>
      <c r="K4220" s="184"/>
      <c r="M4220" s="184"/>
      <c r="O4220" s="184"/>
      <c r="P4220" t="s">
        <v>7045</v>
      </c>
      <c r="Q4220" t="s">
        <v>7374</v>
      </c>
      <c r="R4220" s="184">
        <v>16869</v>
      </c>
      <c r="S4220">
        <v>78</v>
      </c>
      <c r="V4220" t="s">
        <v>4210</v>
      </c>
      <c r="X4220" t="s">
        <v>2962</v>
      </c>
      <c r="Z4220">
        <v>100145596</v>
      </c>
      <c r="AB4220" t="s">
        <v>2697</v>
      </c>
      <c r="AD4220" t="s">
        <v>2962</v>
      </c>
      <c r="AF4220" t="s">
        <v>31177</v>
      </c>
      <c r="AG4220" t="s">
        <v>31178</v>
      </c>
      <c r="AI4220" t="s">
        <v>31179</v>
      </c>
      <c r="AM4220" t="s">
        <v>4387</v>
      </c>
      <c r="AN4220" t="s">
        <v>2526</v>
      </c>
      <c r="AO4220">
        <v>89044</v>
      </c>
      <c r="AP4220" t="s">
        <v>7024</v>
      </c>
      <c r="AQ4220" t="s">
        <v>31180</v>
      </c>
      <c r="AR4220" t="s">
        <v>31181</v>
      </c>
      <c r="AT4220" s="184">
        <v>40847</v>
      </c>
      <c r="AU4220" t="s">
        <v>30381</v>
      </c>
      <c r="AV4220">
        <v>15</v>
      </c>
      <c r="AW4220" s="184">
        <v>44762</v>
      </c>
      <c r="AX4220" t="s">
        <v>31182</v>
      </c>
      <c r="AY4220">
        <v>75</v>
      </c>
      <c r="AZ4220" s="184">
        <v>44762</v>
      </c>
      <c r="BA4220" t="s">
        <v>31182</v>
      </c>
      <c r="BB4220">
        <v>75</v>
      </c>
      <c r="BC4220">
        <v>86</v>
      </c>
      <c r="BD4220">
        <v>775</v>
      </c>
      <c r="BE4220">
        <v>2012</v>
      </c>
      <c r="BF4220">
        <v>18</v>
      </c>
      <c r="BG4220">
        <v>1</v>
      </c>
      <c r="BH4220">
        <v>75</v>
      </c>
      <c r="BI4220">
        <v>12</v>
      </c>
      <c r="BJ4220">
        <v>14</v>
      </c>
      <c r="BK4220">
        <v>12</v>
      </c>
    </row>
    <row r="4221" spans="1:68">
      <c r="A4221">
        <v>100145596</v>
      </c>
      <c r="B4221">
        <v>73432171</v>
      </c>
      <c r="C4221" t="s">
        <v>7018</v>
      </c>
      <c r="D4221" t="s">
        <v>595</v>
      </c>
      <c r="E4221" s="184">
        <v>44167</v>
      </c>
      <c r="G4221" s="184"/>
      <c r="I4221" s="184"/>
      <c r="K4221" s="184"/>
      <c r="M4221" s="184"/>
      <c r="P4221" t="s">
        <v>7045</v>
      </c>
      <c r="Q4221" t="s">
        <v>7374</v>
      </c>
      <c r="R4221" s="184">
        <v>16253</v>
      </c>
      <c r="S4221">
        <v>79</v>
      </c>
      <c r="V4221" t="s">
        <v>2697</v>
      </c>
      <c r="X4221" t="s">
        <v>2962</v>
      </c>
      <c r="Z4221">
        <v>73432171</v>
      </c>
      <c r="AB4221" t="s">
        <v>4210</v>
      </c>
      <c r="AD4221" t="s">
        <v>2962</v>
      </c>
      <c r="AF4221" t="s">
        <v>31177</v>
      </c>
      <c r="AG4221" t="s">
        <v>31178</v>
      </c>
      <c r="AI4221" t="s">
        <v>31179</v>
      </c>
      <c r="AM4221" t="s">
        <v>4387</v>
      </c>
      <c r="AN4221" t="s">
        <v>2526</v>
      </c>
      <c r="AO4221">
        <v>89044</v>
      </c>
      <c r="AP4221" t="s">
        <v>7024</v>
      </c>
      <c r="AT4221" s="184"/>
      <c r="AW4221" s="184"/>
      <c r="AZ4221" s="184"/>
    </row>
    <row r="4222" spans="1:68">
      <c r="A4222">
        <v>73533374</v>
      </c>
      <c r="B4222">
        <v>73533374</v>
      </c>
      <c r="C4222" t="s">
        <v>7018</v>
      </c>
      <c r="D4222" t="s">
        <v>595</v>
      </c>
      <c r="E4222" s="184">
        <v>44154</v>
      </c>
      <c r="G4222" s="184"/>
      <c r="I4222" s="184"/>
      <c r="K4222" s="184"/>
      <c r="M4222" s="184"/>
      <c r="P4222" t="s">
        <v>7045</v>
      </c>
      <c r="Q4222" t="s">
        <v>7020</v>
      </c>
      <c r="R4222" s="184">
        <v>15196</v>
      </c>
      <c r="S4222">
        <v>82</v>
      </c>
      <c r="V4222" t="s">
        <v>4330</v>
      </c>
      <c r="W4222" t="s">
        <v>4013</v>
      </c>
      <c r="X4222" t="s">
        <v>31183</v>
      </c>
      <c r="AF4222" t="s">
        <v>31184</v>
      </c>
      <c r="AG4222" t="s">
        <v>4330</v>
      </c>
      <c r="AI4222" t="s">
        <v>31185</v>
      </c>
      <c r="AM4222" t="s">
        <v>5618</v>
      </c>
      <c r="AN4222" t="s">
        <v>2112</v>
      </c>
      <c r="AO4222" t="s">
        <v>31186</v>
      </c>
      <c r="AP4222" t="s">
        <v>7024</v>
      </c>
      <c r="AQ4222" t="s">
        <v>31187</v>
      </c>
      <c r="AR4222" t="s">
        <v>31188</v>
      </c>
      <c r="AT4222" s="184">
        <v>40850</v>
      </c>
      <c r="AU4222" t="s">
        <v>31189</v>
      </c>
      <c r="AV4222">
        <v>25</v>
      </c>
      <c r="AW4222" s="184">
        <v>45127</v>
      </c>
      <c r="AX4222" t="s">
        <v>31190</v>
      </c>
      <c r="AY4222">
        <v>50</v>
      </c>
      <c r="AZ4222" s="184">
        <v>45127</v>
      </c>
      <c r="BA4222" t="s">
        <v>31190</v>
      </c>
      <c r="BB4222">
        <v>50</v>
      </c>
      <c r="BC4222">
        <v>43</v>
      </c>
      <c r="BD4222">
        <v>220</v>
      </c>
      <c r="BE4222">
        <v>2012</v>
      </c>
      <c r="BF4222">
        <v>6</v>
      </c>
      <c r="BG4222">
        <v>1</v>
      </c>
      <c r="BH4222">
        <v>50</v>
      </c>
      <c r="BI4222">
        <v>6</v>
      </c>
      <c r="BJ4222">
        <v>14</v>
      </c>
      <c r="BK4222">
        <v>4</v>
      </c>
      <c r="BP4222" s="184"/>
    </row>
    <row r="4223" spans="1:68">
      <c r="A4223">
        <v>73540783</v>
      </c>
      <c r="B4223">
        <v>73540783</v>
      </c>
      <c r="C4223" t="s">
        <v>7018</v>
      </c>
      <c r="D4223" t="s">
        <v>595</v>
      </c>
      <c r="E4223" s="184">
        <v>45113</v>
      </c>
      <c r="G4223" s="184"/>
      <c r="I4223" s="184"/>
      <c r="K4223" s="184"/>
      <c r="M4223" s="184"/>
      <c r="O4223" s="184"/>
      <c r="P4223" t="s">
        <v>7045</v>
      </c>
      <c r="Q4223" t="s">
        <v>7383</v>
      </c>
      <c r="R4223" s="184">
        <v>13394</v>
      </c>
      <c r="S4223">
        <v>87</v>
      </c>
      <c r="V4223" t="s">
        <v>3011</v>
      </c>
      <c r="X4223" t="s">
        <v>31191</v>
      </c>
      <c r="AF4223" t="s">
        <v>31192</v>
      </c>
      <c r="AG4223" t="s">
        <v>3011</v>
      </c>
      <c r="AI4223" t="s">
        <v>31193</v>
      </c>
      <c r="AM4223" t="s">
        <v>31194</v>
      </c>
      <c r="AN4223" t="s">
        <v>2162</v>
      </c>
      <c r="AO4223" t="s">
        <v>31195</v>
      </c>
      <c r="AP4223" t="s">
        <v>7024</v>
      </c>
      <c r="AQ4223" t="s">
        <v>31196</v>
      </c>
      <c r="AT4223" s="184">
        <v>40851</v>
      </c>
      <c r="AU4223" t="s">
        <v>31117</v>
      </c>
      <c r="AV4223">
        <v>20</v>
      </c>
      <c r="AW4223" s="184">
        <v>44978</v>
      </c>
      <c r="AX4223" t="s">
        <v>31197</v>
      </c>
      <c r="AY4223">
        <v>30</v>
      </c>
      <c r="AZ4223" s="184">
        <v>43515</v>
      </c>
      <c r="BA4223" t="s">
        <v>31198</v>
      </c>
      <c r="BB4223">
        <v>60</v>
      </c>
      <c r="BC4223">
        <v>43</v>
      </c>
      <c r="BD4223">
        <v>170</v>
      </c>
      <c r="BE4223">
        <v>2012</v>
      </c>
      <c r="BF4223">
        <v>6</v>
      </c>
      <c r="BG4223">
        <v>1</v>
      </c>
      <c r="BH4223">
        <v>30</v>
      </c>
      <c r="BI4223">
        <v>6</v>
      </c>
      <c r="BJ4223">
        <v>14</v>
      </c>
      <c r="BK4223">
        <v>3</v>
      </c>
      <c r="BN4223" t="s">
        <v>595</v>
      </c>
    </row>
    <row r="4224" spans="1:68">
      <c r="A4224">
        <v>73651374</v>
      </c>
      <c r="B4224">
        <v>73651374</v>
      </c>
      <c r="C4224" t="s">
        <v>7018</v>
      </c>
      <c r="D4224" t="s">
        <v>595</v>
      </c>
      <c r="E4224" s="184">
        <v>44168</v>
      </c>
      <c r="G4224" s="184"/>
      <c r="I4224" s="184"/>
      <c r="K4224" s="184"/>
      <c r="M4224" s="184"/>
      <c r="O4224" s="184"/>
      <c r="P4224" t="s">
        <v>7045</v>
      </c>
      <c r="Q4224" t="s">
        <v>7374</v>
      </c>
      <c r="R4224" s="184">
        <v>12816</v>
      </c>
      <c r="S4224">
        <v>89</v>
      </c>
      <c r="V4224" t="s">
        <v>2511</v>
      </c>
      <c r="W4224" t="s">
        <v>4013</v>
      </c>
      <c r="X4224" t="s">
        <v>31199</v>
      </c>
      <c r="AF4224" t="s">
        <v>31200</v>
      </c>
      <c r="AG4224" t="s">
        <v>2511</v>
      </c>
      <c r="AI4224" t="s">
        <v>31201</v>
      </c>
      <c r="AM4224" t="s">
        <v>31202</v>
      </c>
      <c r="AN4224" t="s">
        <v>2081</v>
      </c>
      <c r="AO4224" t="s">
        <v>31203</v>
      </c>
      <c r="AP4224" t="s">
        <v>7024</v>
      </c>
      <c r="AQ4224" t="s">
        <v>31204</v>
      </c>
      <c r="AT4224" s="184">
        <v>40861</v>
      </c>
      <c r="AU4224" t="s">
        <v>31205</v>
      </c>
      <c r="AV4224">
        <v>25</v>
      </c>
      <c r="AW4224" s="184">
        <v>43781</v>
      </c>
      <c r="AX4224" t="s">
        <v>31206</v>
      </c>
      <c r="AY4224">
        <v>100</v>
      </c>
      <c r="AZ4224" s="184">
        <v>43781</v>
      </c>
      <c r="BA4224" t="s">
        <v>31206</v>
      </c>
      <c r="BB4224">
        <v>100</v>
      </c>
      <c r="BC4224">
        <v>22</v>
      </c>
      <c r="BD4224">
        <v>250</v>
      </c>
      <c r="BE4224">
        <v>2012</v>
      </c>
      <c r="BF4224">
        <v>5</v>
      </c>
      <c r="BI4224">
        <v>3</v>
      </c>
      <c r="BJ4224">
        <v>14</v>
      </c>
      <c r="BK4224">
        <v>2</v>
      </c>
      <c r="BP4224" s="184"/>
    </row>
    <row r="4225" spans="1:68">
      <c r="A4225">
        <v>73662777</v>
      </c>
      <c r="B4225">
        <v>73662777</v>
      </c>
      <c r="C4225" t="s">
        <v>7018</v>
      </c>
      <c r="E4225" s="184"/>
      <c r="G4225" s="184"/>
      <c r="I4225" s="184"/>
      <c r="J4225" t="s">
        <v>595</v>
      </c>
      <c r="K4225" s="184">
        <v>44104</v>
      </c>
      <c r="M4225" s="184"/>
      <c r="O4225" s="184"/>
      <c r="P4225" t="s">
        <v>7045</v>
      </c>
      <c r="Q4225" t="s">
        <v>7383</v>
      </c>
      <c r="R4225" s="184">
        <v>12713</v>
      </c>
      <c r="S4225">
        <v>89</v>
      </c>
      <c r="V4225" t="s">
        <v>3689</v>
      </c>
      <c r="W4225" t="s">
        <v>7067</v>
      </c>
      <c r="X4225" t="s">
        <v>31207</v>
      </c>
      <c r="Z4225">
        <v>100145701</v>
      </c>
      <c r="AB4225" t="s">
        <v>22865</v>
      </c>
      <c r="AD4225" t="s">
        <v>31207</v>
      </c>
      <c r="AF4225" t="s">
        <v>31208</v>
      </c>
      <c r="AG4225" t="s">
        <v>31209</v>
      </c>
      <c r="AI4225" t="s">
        <v>31210</v>
      </c>
      <c r="AM4225" t="s">
        <v>31211</v>
      </c>
      <c r="AN4225" t="s">
        <v>2059</v>
      </c>
      <c r="AO4225" t="s">
        <v>31212</v>
      </c>
      <c r="AP4225" t="s">
        <v>7024</v>
      </c>
      <c r="AQ4225" t="s">
        <v>31213</v>
      </c>
      <c r="AT4225" s="184">
        <v>40861</v>
      </c>
      <c r="AU4225" t="s">
        <v>31214</v>
      </c>
      <c r="AV4225">
        <v>30</v>
      </c>
      <c r="AW4225" s="184">
        <v>45225</v>
      </c>
      <c r="AX4225" t="s">
        <v>11451</v>
      </c>
      <c r="AY4225">
        <v>50</v>
      </c>
      <c r="AZ4225" s="184">
        <v>44953</v>
      </c>
      <c r="BA4225" t="s">
        <v>31215</v>
      </c>
      <c r="BB4225">
        <v>100</v>
      </c>
      <c r="BC4225">
        <v>79</v>
      </c>
      <c r="BD4225">
        <v>1150</v>
      </c>
      <c r="BE4225">
        <v>2012</v>
      </c>
      <c r="BF4225">
        <v>22</v>
      </c>
      <c r="BG4225">
        <v>4</v>
      </c>
      <c r="BH4225">
        <v>225</v>
      </c>
      <c r="BI4225">
        <v>11</v>
      </c>
      <c r="BJ4225">
        <v>14</v>
      </c>
      <c r="BK4225">
        <v>10</v>
      </c>
      <c r="BP4225" s="184"/>
    </row>
    <row r="4226" spans="1:68">
      <c r="A4226">
        <v>100145701</v>
      </c>
      <c r="B4226">
        <v>73662777</v>
      </c>
      <c r="C4226" t="s">
        <v>7018</v>
      </c>
      <c r="E4226" s="184"/>
      <c r="G4226" s="184"/>
      <c r="I4226" s="184"/>
      <c r="J4226" t="s">
        <v>595</v>
      </c>
      <c r="K4226" s="184">
        <v>44104</v>
      </c>
      <c r="M4226" s="184"/>
      <c r="P4226" t="s">
        <v>7045</v>
      </c>
      <c r="Q4226" t="s">
        <v>7383</v>
      </c>
      <c r="R4226" s="184">
        <v>11459</v>
      </c>
      <c r="S4226">
        <v>92</v>
      </c>
      <c r="V4226" t="s">
        <v>22865</v>
      </c>
      <c r="X4226" t="s">
        <v>31207</v>
      </c>
      <c r="Z4226">
        <v>73662777</v>
      </c>
      <c r="AB4226" t="s">
        <v>3689</v>
      </c>
      <c r="AC4226" t="s">
        <v>7067</v>
      </c>
      <c r="AD4226" t="s">
        <v>31207</v>
      </c>
      <c r="AF4226" t="s">
        <v>31208</v>
      </c>
      <c r="AG4226" t="s">
        <v>31209</v>
      </c>
      <c r="AI4226" t="s">
        <v>31210</v>
      </c>
      <c r="AM4226" t="s">
        <v>31211</v>
      </c>
      <c r="AN4226" t="s">
        <v>2059</v>
      </c>
      <c r="AO4226" t="s">
        <v>31212</v>
      </c>
      <c r="AP4226" t="s">
        <v>7024</v>
      </c>
      <c r="AT4226" s="184"/>
      <c r="AW4226" s="184"/>
      <c r="AZ4226" s="184"/>
    </row>
    <row r="4227" spans="1:68">
      <c r="A4227">
        <v>73737777</v>
      </c>
      <c r="B4227">
        <v>73737777</v>
      </c>
      <c r="C4227" t="s">
        <v>7018</v>
      </c>
      <c r="E4227" s="184"/>
      <c r="G4227" s="184"/>
      <c r="I4227" s="184"/>
      <c r="J4227" t="s">
        <v>595</v>
      </c>
      <c r="K4227" s="184">
        <v>42528</v>
      </c>
      <c r="M4227" s="184"/>
      <c r="P4227" t="s">
        <v>7045</v>
      </c>
      <c r="Q4227" t="s">
        <v>7030</v>
      </c>
      <c r="R4227" s="184">
        <v>16259</v>
      </c>
      <c r="S4227">
        <v>79</v>
      </c>
      <c r="U4227" t="s">
        <v>7031</v>
      </c>
      <c r="V4227" t="s">
        <v>2697</v>
      </c>
      <c r="X4227" t="s">
        <v>17649</v>
      </c>
      <c r="Z4227">
        <v>100220722</v>
      </c>
      <c r="AA4227" t="s">
        <v>7130</v>
      </c>
      <c r="AB4227" t="s">
        <v>3510</v>
      </c>
      <c r="AD4227" t="s">
        <v>17649</v>
      </c>
      <c r="AF4227" t="s">
        <v>31216</v>
      </c>
      <c r="AG4227" t="s">
        <v>31217</v>
      </c>
      <c r="AI4227" t="s">
        <v>31218</v>
      </c>
      <c r="AM4227" t="s">
        <v>4455</v>
      </c>
      <c r="AN4227" t="s">
        <v>2201</v>
      </c>
      <c r="AO4227" t="s">
        <v>31219</v>
      </c>
      <c r="AP4227" t="s">
        <v>7024</v>
      </c>
      <c r="AQ4227" t="s">
        <v>31220</v>
      </c>
      <c r="AT4227" s="184">
        <v>40861</v>
      </c>
      <c r="AU4227" t="s">
        <v>31214</v>
      </c>
      <c r="AV4227">
        <v>50</v>
      </c>
      <c r="AW4227" s="184">
        <v>44342</v>
      </c>
      <c r="AX4227" t="s">
        <v>31221</v>
      </c>
      <c r="AY4227">
        <v>250</v>
      </c>
      <c r="AZ4227" s="184">
        <v>44342</v>
      </c>
      <c r="BA4227" t="s">
        <v>31221</v>
      </c>
      <c r="BB4227">
        <v>250</v>
      </c>
      <c r="BC4227">
        <v>72</v>
      </c>
      <c r="BD4227">
        <v>1633</v>
      </c>
      <c r="BE4227">
        <v>2012</v>
      </c>
      <c r="BF4227">
        <v>52</v>
      </c>
      <c r="BI4227">
        <v>10</v>
      </c>
      <c r="BJ4227">
        <v>14</v>
      </c>
      <c r="BK4227">
        <v>8</v>
      </c>
    </row>
    <row r="4228" spans="1:68">
      <c r="A4228">
        <v>100220722</v>
      </c>
      <c r="B4228">
        <v>73737777</v>
      </c>
      <c r="C4228" t="s">
        <v>7018</v>
      </c>
      <c r="E4228" s="184"/>
      <c r="G4228" s="184"/>
      <c r="I4228" s="184"/>
      <c r="J4228" t="s">
        <v>595</v>
      </c>
      <c r="K4228" s="184">
        <v>42528</v>
      </c>
      <c r="M4228" s="184"/>
      <c r="O4228" s="184"/>
      <c r="P4228" t="s">
        <v>7045</v>
      </c>
      <c r="Q4228" t="s">
        <v>7030</v>
      </c>
      <c r="R4228" s="184">
        <v>19710</v>
      </c>
      <c r="S4228">
        <v>70</v>
      </c>
      <c r="T4228" t="s">
        <v>31222</v>
      </c>
      <c r="U4228" t="s">
        <v>7130</v>
      </c>
      <c r="V4228" t="s">
        <v>3510</v>
      </c>
      <c r="X4228" t="s">
        <v>17649</v>
      </c>
      <c r="Z4228">
        <v>73737777</v>
      </c>
      <c r="AA4228" t="s">
        <v>7031</v>
      </c>
      <c r="AB4228" t="s">
        <v>2697</v>
      </c>
      <c r="AD4228" t="s">
        <v>17649</v>
      </c>
      <c r="AF4228" t="s">
        <v>31216</v>
      </c>
      <c r="AG4228" t="s">
        <v>31217</v>
      </c>
      <c r="AI4228" t="s">
        <v>31218</v>
      </c>
      <c r="AM4228" t="s">
        <v>4455</v>
      </c>
      <c r="AN4228" t="s">
        <v>2201</v>
      </c>
      <c r="AO4228" t="s">
        <v>31219</v>
      </c>
      <c r="AP4228" t="s">
        <v>7024</v>
      </c>
      <c r="AQ4228" t="s">
        <v>31223</v>
      </c>
      <c r="AT4228" s="184"/>
      <c r="AW4228" s="184"/>
      <c r="AZ4228" s="184"/>
    </row>
    <row r="4229" spans="1:68">
      <c r="A4229">
        <v>73920977</v>
      </c>
      <c r="B4229">
        <v>73920977</v>
      </c>
      <c r="C4229" t="s">
        <v>7018</v>
      </c>
      <c r="D4229" t="s">
        <v>595</v>
      </c>
      <c r="E4229" s="184">
        <v>44168</v>
      </c>
      <c r="G4229" s="184"/>
      <c r="I4229" s="184"/>
      <c r="K4229" s="184"/>
      <c r="M4229" s="184"/>
      <c r="O4229" s="184"/>
      <c r="P4229" t="s">
        <v>7045</v>
      </c>
      <c r="Q4229" t="s">
        <v>7262</v>
      </c>
      <c r="R4229" s="184">
        <v>20394</v>
      </c>
      <c r="S4229">
        <v>68</v>
      </c>
      <c r="V4229" t="s">
        <v>2938</v>
      </c>
      <c r="W4229" t="s">
        <v>8224</v>
      </c>
      <c r="X4229" t="s">
        <v>27678</v>
      </c>
      <c r="Z4229">
        <v>101265766</v>
      </c>
      <c r="AB4229" t="s">
        <v>2511</v>
      </c>
      <c r="AC4229" t="s">
        <v>2058</v>
      </c>
      <c r="AD4229" t="s">
        <v>27678</v>
      </c>
      <c r="AF4229" t="s">
        <v>31224</v>
      </c>
      <c r="AG4229" t="s">
        <v>11084</v>
      </c>
      <c r="AI4229" t="s">
        <v>31225</v>
      </c>
      <c r="AM4229" t="s">
        <v>5586</v>
      </c>
      <c r="AN4229" t="s">
        <v>2069</v>
      </c>
      <c r="AO4229" t="s">
        <v>31226</v>
      </c>
      <c r="AP4229" t="s">
        <v>7024</v>
      </c>
      <c r="AQ4229" t="s">
        <v>31227</v>
      </c>
      <c r="AR4229" t="s">
        <v>31228</v>
      </c>
      <c r="AT4229" s="184">
        <v>40862</v>
      </c>
      <c r="AU4229" t="s">
        <v>31229</v>
      </c>
      <c r="AV4229">
        <v>25</v>
      </c>
      <c r="AW4229" s="184">
        <v>44790</v>
      </c>
      <c r="AX4229" t="s">
        <v>31230</v>
      </c>
      <c r="AY4229">
        <v>25</v>
      </c>
      <c r="AZ4229" s="184">
        <v>42325</v>
      </c>
      <c r="BA4229" t="s">
        <v>31231</v>
      </c>
      <c r="BB4229">
        <v>60</v>
      </c>
      <c r="BC4229">
        <v>86</v>
      </c>
      <c r="BD4229">
        <v>745</v>
      </c>
      <c r="BE4229">
        <v>2012</v>
      </c>
      <c r="BF4229">
        <v>24</v>
      </c>
      <c r="BG4229">
        <v>3</v>
      </c>
      <c r="BH4229">
        <v>75</v>
      </c>
      <c r="BI4229">
        <v>12</v>
      </c>
      <c r="BJ4229">
        <v>14</v>
      </c>
      <c r="BK4229">
        <v>12</v>
      </c>
      <c r="BP4229" s="184"/>
    </row>
    <row r="4230" spans="1:68">
      <c r="A4230">
        <v>73932576</v>
      </c>
      <c r="B4230">
        <v>73932576</v>
      </c>
      <c r="C4230" t="s">
        <v>7018</v>
      </c>
      <c r="E4230" s="184"/>
      <c r="F4230" t="s">
        <v>595</v>
      </c>
      <c r="G4230" s="184">
        <v>44438</v>
      </c>
      <c r="I4230" s="184"/>
      <c r="K4230" s="184"/>
      <c r="M4230" s="184"/>
      <c r="O4230" s="184"/>
      <c r="P4230" t="s">
        <v>7045</v>
      </c>
      <c r="Q4230" t="s">
        <v>7383</v>
      </c>
      <c r="R4230" s="184">
        <v>17538</v>
      </c>
      <c r="S4230">
        <v>76</v>
      </c>
      <c r="U4230" t="s">
        <v>7031</v>
      </c>
      <c r="V4230" t="s">
        <v>3403</v>
      </c>
      <c r="X4230" t="s">
        <v>5169</v>
      </c>
      <c r="AF4230" t="s">
        <v>31232</v>
      </c>
      <c r="AG4230" t="s">
        <v>3403</v>
      </c>
      <c r="AI4230" t="s">
        <v>31233</v>
      </c>
      <c r="AM4230" t="s">
        <v>3960</v>
      </c>
      <c r="AN4230" t="s">
        <v>2144</v>
      </c>
      <c r="AO4230" t="s">
        <v>31234</v>
      </c>
      <c r="AP4230" t="s">
        <v>7024</v>
      </c>
      <c r="AQ4230" t="s">
        <v>31235</v>
      </c>
      <c r="AT4230" s="184">
        <v>40863</v>
      </c>
      <c r="AU4230" t="s">
        <v>31236</v>
      </c>
      <c r="AV4230">
        <v>25</v>
      </c>
      <c r="AW4230" s="184">
        <v>45315</v>
      </c>
      <c r="AX4230" t="s">
        <v>8797</v>
      </c>
      <c r="AY4230">
        <v>200</v>
      </c>
      <c r="AZ4230" s="184">
        <v>45315</v>
      </c>
      <c r="BA4230" t="s">
        <v>8797</v>
      </c>
      <c r="BB4230">
        <v>200</v>
      </c>
      <c r="BC4230">
        <v>93</v>
      </c>
      <c r="BD4230">
        <v>1195</v>
      </c>
      <c r="BE4230">
        <v>2012</v>
      </c>
      <c r="BF4230">
        <v>16</v>
      </c>
      <c r="BG4230">
        <v>2</v>
      </c>
      <c r="BH4230">
        <v>400</v>
      </c>
      <c r="BI4230">
        <v>13</v>
      </c>
      <c r="BJ4230">
        <v>14</v>
      </c>
      <c r="BK4230">
        <v>8</v>
      </c>
      <c r="BN4230" t="s">
        <v>595</v>
      </c>
    </row>
    <row r="4231" spans="1:68">
      <c r="A4231">
        <v>73969974</v>
      </c>
      <c r="B4231">
        <v>73969974</v>
      </c>
      <c r="C4231" t="s">
        <v>7018</v>
      </c>
      <c r="D4231" t="s">
        <v>595</v>
      </c>
      <c r="E4231" s="184">
        <v>43861</v>
      </c>
      <c r="G4231" s="184"/>
      <c r="I4231" s="184"/>
      <c r="K4231" s="184"/>
      <c r="M4231" s="184"/>
      <c r="P4231" t="s">
        <v>7045</v>
      </c>
      <c r="Q4231" t="s">
        <v>7262</v>
      </c>
      <c r="R4231" s="184">
        <v>29091</v>
      </c>
      <c r="S4231">
        <v>44</v>
      </c>
      <c r="U4231" t="s">
        <v>7031</v>
      </c>
      <c r="V4231" t="s">
        <v>4627</v>
      </c>
      <c r="W4231" t="s">
        <v>4139</v>
      </c>
      <c r="X4231" t="s">
        <v>4628</v>
      </c>
      <c r="AF4231" t="s">
        <v>31237</v>
      </c>
      <c r="AG4231" t="s">
        <v>4627</v>
      </c>
      <c r="AI4231" t="s">
        <v>31238</v>
      </c>
      <c r="AM4231" t="s">
        <v>2650</v>
      </c>
      <c r="AN4231" t="s">
        <v>65</v>
      </c>
      <c r="AO4231" t="s">
        <v>31239</v>
      </c>
      <c r="AP4231" t="s">
        <v>7024</v>
      </c>
      <c r="AQ4231" t="s">
        <v>31240</v>
      </c>
      <c r="AT4231" s="184">
        <v>40864</v>
      </c>
      <c r="AU4231" t="s">
        <v>31241</v>
      </c>
      <c r="AV4231">
        <v>15</v>
      </c>
      <c r="AW4231" s="184">
        <v>41992</v>
      </c>
      <c r="AX4231" t="s">
        <v>31242</v>
      </c>
      <c r="AY4231">
        <v>250</v>
      </c>
      <c r="AZ4231" s="184">
        <v>41992</v>
      </c>
      <c r="BA4231" t="s">
        <v>31242</v>
      </c>
      <c r="BB4231">
        <v>250</v>
      </c>
      <c r="BC4231">
        <v>29</v>
      </c>
      <c r="BD4231">
        <v>1115</v>
      </c>
      <c r="BE4231">
        <v>2012</v>
      </c>
      <c r="BF4231">
        <v>6</v>
      </c>
      <c r="BI4231">
        <v>4</v>
      </c>
      <c r="BJ4231">
        <v>14</v>
      </c>
      <c r="BK4231">
        <v>4</v>
      </c>
      <c r="BN4231" t="s">
        <v>595</v>
      </c>
    </row>
    <row r="4232" spans="1:68">
      <c r="A4232">
        <v>74139387</v>
      </c>
      <c r="B4232">
        <v>74139387</v>
      </c>
      <c r="C4232" t="s">
        <v>7018</v>
      </c>
      <c r="E4232" s="184"/>
      <c r="G4232" s="184"/>
      <c r="I4232" s="184"/>
      <c r="J4232" t="s">
        <v>595</v>
      </c>
      <c r="K4232" s="184">
        <v>44875</v>
      </c>
      <c r="M4232" s="184"/>
      <c r="P4232" t="s">
        <v>7029</v>
      </c>
      <c r="Q4232" t="s">
        <v>7160</v>
      </c>
      <c r="R4232" s="184">
        <v>21702</v>
      </c>
      <c r="S4232">
        <v>64</v>
      </c>
      <c r="U4232" t="s">
        <v>7076</v>
      </c>
      <c r="V4232" t="s">
        <v>25032</v>
      </c>
      <c r="X4232" t="s">
        <v>5464</v>
      </c>
      <c r="AF4232" t="s">
        <v>31243</v>
      </c>
      <c r="AG4232" t="s">
        <v>25032</v>
      </c>
      <c r="AI4232" t="s">
        <v>31244</v>
      </c>
      <c r="AM4232" t="s">
        <v>31245</v>
      </c>
      <c r="AN4232" t="s">
        <v>2176</v>
      </c>
      <c r="AO4232" t="s">
        <v>31246</v>
      </c>
      <c r="AP4232" t="s">
        <v>7024</v>
      </c>
      <c r="AQ4232" t="s">
        <v>31247</v>
      </c>
      <c r="AT4232" s="184">
        <v>40869</v>
      </c>
      <c r="AU4232" t="s">
        <v>31248</v>
      </c>
      <c r="AV4232">
        <v>250</v>
      </c>
      <c r="AW4232" s="184">
        <v>45275</v>
      </c>
      <c r="AX4232" t="s">
        <v>7749</v>
      </c>
      <c r="AY4232">
        <v>2500</v>
      </c>
      <c r="AZ4232" s="184">
        <v>45275</v>
      </c>
      <c r="BA4232" t="s">
        <v>7749</v>
      </c>
      <c r="BB4232">
        <v>2500</v>
      </c>
      <c r="BC4232">
        <v>79</v>
      </c>
      <c r="BD4232">
        <v>16250</v>
      </c>
      <c r="BE4232">
        <v>2012</v>
      </c>
      <c r="BF4232">
        <v>12</v>
      </c>
      <c r="BG4232">
        <v>2</v>
      </c>
      <c r="BH4232">
        <v>5000</v>
      </c>
      <c r="BI4232">
        <v>11</v>
      </c>
      <c r="BJ4232">
        <v>14</v>
      </c>
      <c r="BK4232">
        <v>6</v>
      </c>
    </row>
    <row r="4233" spans="1:68">
      <c r="A4233">
        <v>74197989</v>
      </c>
      <c r="B4233">
        <v>74197989</v>
      </c>
      <c r="C4233" t="s">
        <v>7018</v>
      </c>
      <c r="D4233" t="s">
        <v>595</v>
      </c>
      <c r="E4233" s="184">
        <v>45175</v>
      </c>
      <c r="G4233" s="184"/>
      <c r="I4233" s="184"/>
      <c r="K4233" s="184"/>
      <c r="M4233" s="184"/>
      <c r="O4233" s="184"/>
      <c r="P4233" t="s">
        <v>7045</v>
      </c>
      <c r="Q4233" t="s">
        <v>7383</v>
      </c>
      <c r="R4233" s="184">
        <v>24264</v>
      </c>
      <c r="S4233">
        <v>57</v>
      </c>
      <c r="U4233" t="s">
        <v>7076</v>
      </c>
      <c r="V4233" t="s">
        <v>4330</v>
      </c>
      <c r="X4233" t="s">
        <v>8654</v>
      </c>
      <c r="AF4233" t="s">
        <v>31249</v>
      </c>
      <c r="AG4233" t="s">
        <v>4330</v>
      </c>
      <c r="AI4233" t="s">
        <v>31250</v>
      </c>
      <c r="AM4233" t="s">
        <v>3645</v>
      </c>
      <c r="AN4233" t="s">
        <v>2059</v>
      </c>
      <c r="AO4233" t="s">
        <v>31251</v>
      </c>
      <c r="AP4233" t="s">
        <v>7024</v>
      </c>
      <c r="AQ4233" t="s">
        <v>31252</v>
      </c>
      <c r="AR4233" t="s">
        <v>31253</v>
      </c>
      <c r="AT4233" s="184">
        <v>40872</v>
      </c>
      <c r="AU4233" t="s">
        <v>31254</v>
      </c>
      <c r="AV4233">
        <v>50</v>
      </c>
      <c r="AW4233" s="184">
        <v>44514</v>
      </c>
      <c r="AX4233" t="s">
        <v>19985</v>
      </c>
      <c r="AY4233">
        <v>50</v>
      </c>
      <c r="AZ4233" s="184">
        <v>44514</v>
      </c>
      <c r="BA4233" t="s">
        <v>19985</v>
      </c>
      <c r="BB4233">
        <v>50</v>
      </c>
      <c r="BC4233">
        <v>65</v>
      </c>
      <c r="BD4233">
        <v>775</v>
      </c>
      <c r="BE4233">
        <v>2012</v>
      </c>
      <c r="BF4233">
        <v>17</v>
      </c>
      <c r="BI4233">
        <v>9</v>
      </c>
      <c r="BJ4233">
        <v>14</v>
      </c>
      <c r="BK4233">
        <v>6</v>
      </c>
      <c r="BN4233" t="s">
        <v>595</v>
      </c>
    </row>
    <row r="4234" spans="1:68">
      <c r="A4234">
        <v>74234774</v>
      </c>
      <c r="B4234">
        <v>74234774</v>
      </c>
      <c r="C4234" t="s">
        <v>7018</v>
      </c>
      <c r="E4234" s="184"/>
      <c r="G4234" s="184"/>
      <c r="H4234" t="s">
        <v>595</v>
      </c>
      <c r="I4234" s="184">
        <v>44105</v>
      </c>
      <c r="K4234" s="184"/>
      <c r="M4234" s="184"/>
      <c r="O4234" s="184"/>
      <c r="P4234" t="s">
        <v>7045</v>
      </c>
      <c r="Q4234" t="s">
        <v>7020</v>
      </c>
      <c r="R4234" s="184">
        <v>15359</v>
      </c>
      <c r="S4234">
        <v>82</v>
      </c>
      <c r="V4234" t="s">
        <v>3373</v>
      </c>
      <c r="X4234" t="s">
        <v>5022</v>
      </c>
      <c r="AF4234" t="s">
        <v>31255</v>
      </c>
      <c r="AG4234" t="s">
        <v>3373</v>
      </c>
      <c r="AI4234" t="s">
        <v>31256</v>
      </c>
      <c r="AM4234" t="s">
        <v>4128</v>
      </c>
      <c r="AN4234" t="s">
        <v>2052</v>
      </c>
      <c r="AO4234" t="s">
        <v>31257</v>
      </c>
      <c r="AP4234" t="s">
        <v>7024</v>
      </c>
      <c r="AT4234" s="184">
        <v>40876</v>
      </c>
      <c r="AU4234" t="s">
        <v>31258</v>
      </c>
      <c r="AV4234">
        <v>25</v>
      </c>
      <c r="AW4234" s="184">
        <v>43766</v>
      </c>
      <c r="AX4234" t="s">
        <v>31259</v>
      </c>
      <c r="AY4234">
        <v>25</v>
      </c>
      <c r="AZ4234" s="184">
        <v>43766</v>
      </c>
      <c r="BA4234" t="s">
        <v>31259</v>
      </c>
      <c r="BB4234">
        <v>25</v>
      </c>
      <c r="BC4234">
        <v>15</v>
      </c>
      <c r="BD4234">
        <v>50</v>
      </c>
      <c r="BE4234">
        <v>2012</v>
      </c>
      <c r="BF4234">
        <v>2</v>
      </c>
      <c r="BI4234">
        <v>2</v>
      </c>
      <c r="BJ4234">
        <v>14</v>
      </c>
      <c r="BK4234">
        <v>1</v>
      </c>
    </row>
    <row r="4235" spans="1:68">
      <c r="A4235">
        <v>74235979</v>
      </c>
      <c r="B4235">
        <v>74235979</v>
      </c>
      <c r="C4235" t="s">
        <v>7018</v>
      </c>
      <c r="E4235" s="184"/>
      <c r="F4235" t="s">
        <v>595</v>
      </c>
      <c r="G4235" s="184">
        <v>44414</v>
      </c>
      <c r="I4235" s="184"/>
      <c r="K4235" s="184"/>
      <c r="M4235" s="184"/>
      <c r="O4235" s="184"/>
      <c r="P4235" t="s">
        <v>7045</v>
      </c>
      <c r="Q4235" t="s">
        <v>7383</v>
      </c>
      <c r="R4235" s="184">
        <v>19480</v>
      </c>
      <c r="S4235">
        <v>71</v>
      </c>
      <c r="V4235" t="s">
        <v>3652</v>
      </c>
      <c r="W4235" t="s">
        <v>7067</v>
      </c>
      <c r="X4235" t="s">
        <v>31260</v>
      </c>
      <c r="AF4235" t="s">
        <v>31261</v>
      </c>
      <c r="AG4235" t="s">
        <v>3652</v>
      </c>
      <c r="AI4235" t="s">
        <v>31262</v>
      </c>
      <c r="AM4235" t="s">
        <v>9527</v>
      </c>
      <c r="AN4235" t="s">
        <v>2162</v>
      </c>
      <c r="AO4235" t="s">
        <v>31263</v>
      </c>
      <c r="AP4235" t="s">
        <v>7024</v>
      </c>
      <c r="AQ4235" t="s">
        <v>31264</v>
      </c>
      <c r="AR4235" t="s">
        <v>31265</v>
      </c>
      <c r="AT4235" s="184">
        <v>40876</v>
      </c>
      <c r="AU4235" t="s">
        <v>31266</v>
      </c>
      <c r="AV4235">
        <v>15</v>
      </c>
      <c r="AW4235" s="184">
        <v>44083</v>
      </c>
      <c r="AX4235" t="s">
        <v>28027</v>
      </c>
      <c r="AY4235">
        <v>5</v>
      </c>
      <c r="AZ4235" s="184">
        <v>42100</v>
      </c>
      <c r="BA4235" t="s">
        <v>31267</v>
      </c>
      <c r="BB4235">
        <v>15</v>
      </c>
      <c r="BC4235">
        <v>36</v>
      </c>
      <c r="BD4235">
        <v>175</v>
      </c>
      <c r="BE4235">
        <v>2012</v>
      </c>
      <c r="BF4235">
        <v>31</v>
      </c>
      <c r="BI4235">
        <v>5</v>
      </c>
      <c r="BJ4235">
        <v>14</v>
      </c>
      <c r="BK4235">
        <v>3</v>
      </c>
      <c r="BN4235" t="s">
        <v>595</v>
      </c>
      <c r="BP4235" s="184"/>
    </row>
    <row r="4236" spans="1:68">
      <c r="A4236">
        <v>74302787</v>
      </c>
      <c r="B4236">
        <v>74302787</v>
      </c>
      <c r="C4236" t="s">
        <v>7018</v>
      </c>
      <c r="E4236" s="184"/>
      <c r="G4236" s="184"/>
      <c r="I4236" s="184"/>
      <c r="K4236" s="184"/>
      <c r="L4236" t="s">
        <v>595</v>
      </c>
      <c r="M4236" s="184">
        <v>45356</v>
      </c>
      <c r="O4236" s="184"/>
      <c r="P4236" t="s">
        <v>7084</v>
      </c>
      <c r="Q4236" t="s">
        <v>7383</v>
      </c>
      <c r="R4236" s="184">
        <v>18902</v>
      </c>
      <c r="S4236">
        <v>72</v>
      </c>
      <c r="V4236" t="s">
        <v>3250</v>
      </c>
      <c r="X4236" t="s">
        <v>31268</v>
      </c>
      <c r="Z4236">
        <v>100219661</v>
      </c>
      <c r="AB4236" t="s">
        <v>2958</v>
      </c>
      <c r="AD4236" t="s">
        <v>31268</v>
      </c>
      <c r="AF4236" t="s">
        <v>31269</v>
      </c>
      <c r="AG4236" t="s">
        <v>31270</v>
      </c>
      <c r="AI4236" t="s">
        <v>31271</v>
      </c>
      <c r="AM4236" t="s">
        <v>9515</v>
      </c>
      <c r="AN4236" t="s">
        <v>2313</v>
      </c>
      <c r="AO4236" t="s">
        <v>31272</v>
      </c>
      <c r="AP4236" t="s">
        <v>7024</v>
      </c>
      <c r="AQ4236" t="s">
        <v>31273</v>
      </c>
      <c r="AT4236" s="184">
        <v>40884</v>
      </c>
      <c r="AU4236" t="s">
        <v>31274</v>
      </c>
      <c r="AV4236">
        <v>50</v>
      </c>
      <c r="AW4236" s="184">
        <v>45418</v>
      </c>
      <c r="AX4236" t="s">
        <v>9245</v>
      </c>
      <c r="AY4236">
        <v>10000</v>
      </c>
      <c r="AZ4236" s="184">
        <v>45418</v>
      </c>
      <c r="BA4236" t="s">
        <v>9245</v>
      </c>
      <c r="BB4236">
        <v>10000</v>
      </c>
      <c r="BC4236">
        <v>100</v>
      </c>
      <c r="BD4236">
        <v>20160</v>
      </c>
      <c r="BE4236">
        <v>2012</v>
      </c>
      <c r="BF4236">
        <v>17</v>
      </c>
      <c r="BG4236">
        <v>3</v>
      </c>
      <c r="BH4236">
        <v>14000</v>
      </c>
      <c r="BI4236">
        <v>14</v>
      </c>
      <c r="BJ4236">
        <v>14</v>
      </c>
      <c r="BK4236">
        <v>14</v>
      </c>
    </row>
    <row r="4237" spans="1:68">
      <c r="A4237">
        <v>100219661</v>
      </c>
      <c r="B4237">
        <v>74302787</v>
      </c>
      <c r="C4237" t="s">
        <v>7018</v>
      </c>
      <c r="E4237" s="184"/>
      <c r="G4237" s="184"/>
      <c r="I4237" s="184"/>
      <c r="K4237" s="184"/>
      <c r="L4237" t="s">
        <v>595</v>
      </c>
      <c r="M4237" s="184">
        <v>45356</v>
      </c>
      <c r="O4237" s="184"/>
      <c r="P4237" t="s">
        <v>7084</v>
      </c>
      <c r="Q4237" t="s">
        <v>7383</v>
      </c>
      <c r="R4237" s="184">
        <v>18780</v>
      </c>
      <c r="S4237">
        <v>72</v>
      </c>
      <c r="V4237" t="s">
        <v>2958</v>
      </c>
      <c r="X4237" t="s">
        <v>31268</v>
      </c>
      <c r="Z4237">
        <v>74302787</v>
      </c>
      <c r="AB4237" t="s">
        <v>3250</v>
      </c>
      <c r="AD4237" t="s">
        <v>31268</v>
      </c>
      <c r="AF4237" t="s">
        <v>31269</v>
      </c>
      <c r="AG4237" t="s">
        <v>31270</v>
      </c>
      <c r="AI4237" t="s">
        <v>31271</v>
      </c>
      <c r="AM4237" t="s">
        <v>9515</v>
      </c>
      <c r="AN4237" t="s">
        <v>2313</v>
      </c>
      <c r="AO4237" t="s">
        <v>31272</v>
      </c>
      <c r="AP4237" t="s">
        <v>7024</v>
      </c>
      <c r="AT4237" s="184"/>
      <c r="AW4237" s="184"/>
      <c r="AZ4237" s="184"/>
    </row>
    <row r="4238" spans="1:68">
      <c r="A4238">
        <v>74318379</v>
      </c>
      <c r="B4238">
        <v>74318379</v>
      </c>
      <c r="C4238" t="s">
        <v>7018</v>
      </c>
      <c r="E4238" s="184"/>
      <c r="G4238" s="184"/>
      <c r="H4238" t="s">
        <v>595</v>
      </c>
      <c r="I4238" s="184">
        <v>44109</v>
      </c>
      <c r="K4238" s="184"/>
      <c r="M4238" s="184"/>
      <c r="O4238" s="184"/>
      <c r="P4238" t="s">
        <v>7045</v>
      </c>
      <c r="Q4238" t="s">
        <v>7383</v>
      </c>
      <c r="R4238" s="184"/>
      <c r="V4238" t="s">
        <v>4966</v>
      </c>
      <c r="X4238" t="s">
        <v>3870</v>
      </c>
      <c r="AF4238" t="s">
        <v>31275</v>
      </c>
      <c r="AG4238" t="s">
        <v>4966</v>
      </c>
      <c r="AI4238" t="s">
        <v>31276</v>
      </c>
      <c r="AM4238" t="s">
        <v>3239</v>
      </c>
      <c r="AN4238" t="s">
        <v>2313</v>
      </c>
      <c r="AO4238" t="s">
        <v>31277</v>
      </c>
      <c r="AP4238" t="s">
        <v>7024</v>
      </c>
      <c r="AT4238" s="184">
        <v>40888</v>
      </c>
      <c r="AU4238" t="s">
        <v>31278</v>
      </c>
      <c r="AV4238">
        <v>25</v>
      </c>
      <c r="AW4238" s="184">
        <v>44224</v>
      </c>
      <c r="AX4238" t="s">
        <v>7099</v>
      </c>
      <c r="AY4238">
        <v>300</v>
      </c>
      <c r="AZ4238" s="184">
        <v>44224</v>
      </c>
      <c r="BA4238" t="s">
        <v>7099</v>
      </c>
      <c r="BB4238">
        <v>300</v>
      </c>
      <c r="BC4238">
        <v>29</v>
      </c>
      <c r="BD4238">
        <v>925</v>
      </c>
      <c r="BE4238">
        <v>2012</v>
      </c>
      <c r="BF4238">
        <v>4</v>
      </c>
      <c r="BI4238">
        <v>4</v>
      </c>
      <c r="BJ4238">
        <v>14</v>
      </c>
      <c r="BK4238">
        <v>3</v>
      </c>
      <c r="BL4238" t="s">
        <v>595</v>
      </c>
      <c r="BM4238" t="s">
        <v>595</v>
      </c>
      <c r="BO4238" t="s">
        <v>595</v>
      </c>
    </row>
    <row r="4239" spans="1:68">
      <c r="A4239">
        <v>74393786</v>
      </c>
      <c r="B4239">
        <v>74393786</v>
      </c>
      <c r="C4239" t="s">
        <v>7018</v>
      </c>
      <c r="D4239" t="s">
        <v>595</v>
      </c>
      <c r="E4239" s="184">
        <v>44484</v>
      </c>
      <c r="G4239" s="184"/>
      <c r="I4239" s="184"/>
      <c r="K4239" s="184"/>
      <c r="M4239" s="184"/>
      <c r="O4239" s="184"/>
      <c r="P4239" t="s">
        <v>7045</v>
      </c>
      <c r="Q4239" t="s">
        <v>7194</v>
      </c>
      <c r="R4239" s="184">
        <v>16488</v>
      </c>
      <c r="S4239">
        <v>79</v>
      </c>
      <c r="V4239" t="s">
        <v>2832</v>
      </c>
      <c r="X4239" t="s">
        <v>2910</v>
      </c>
      <c r="AF4239" t="s">
        <v>31279</v>
      </c>
      <c r="AG4239" t="s">
        <v>2832</v>
      </c>
      <c r="AI4239" t="s">
        <v>31280</v>
      </c>
      <c r="AJ4239" t="s">
        <v>31281</v>
      </c>
      <c r="AM4239" t="s">
        <v>31282</v>
      </c>
      <c r="AN4239" t="s">
        <v>2046</v>
      </c>
      <c r="AO4239" t="s">
        <v>31283</v>
      </c>
      <c r="AP4239" t="s">
        <v>7024</v>
      </c>
      <c r="AQ4239" t="s">
        <v>31284</v>
      </c>
      <c r="AT4239" s="184">
        <v>40891</v>
      </c>
      <c r="AU4239" t="s">
        <v>31285</v>
      </c>
      <c r="AV4239">
        <v>25</v>
      </c>
      <c r="AW4239" s="184">
        <v>45265</v>
      </c>
      <c r="AX4239" t="s">
        <v>31286</v>
      </c>
      <c r="AY4239">
        <v>100</v>
      </c>
      <c r="AZ4239" s="184">
        <v>44992</v>
      </c>
      <c r="BA4239" t="s">
        <v>14769</v>
      </c>
      <c r="BB4239">
        <v>200</v>
      </c>
      <c r="BC4239">
        <v>79</v>
      </c>
      <c r="BD4239">
        <v>2705</v>
      </c>
      <c r="BE4239">
        <v>2012</v>
      </c>
      <c r="BF4239">
        <v>20</v>
      </c>
      <c r="BG4239">
        <v>3</v>
      </c>
      <c r="BH4239">
        <v>450</v>
      </c>
      <c r="BI4239">
        <v>11</v>
      </c>
      <c r="BJ4239">
        <v>14</v>
      </c>
      <c r="BK4239">
        <v>7</v>
      </c>
      <c r="BP4239" s="184"/>
    </row>
    <row r="4240" spans="1:68">
      <c r="A4240">
        <v>74408683</v>
      </c>
      <c r="B4240">
        <v>74408683</v>
      </c>
      <c r="C4240" t="s">
        <v>7018</v>
      </c>
      <c r="E4240" s="184"/>
      <c r="G4240" s="184"/>
      <c r="I4240" s="184"/>
      <c r="J4240" t="s">
        <v>595</v>
      </c>
      <c r="K4240" s="184">
        <v>44441</v>
      </c>
      <c r="M4240" s="184"/>
      <c r="P4240" t="s">
        <v>7045</v>
      </c>
      <c r="Q4240" t="s">
        <v>7774</v>
      </c>
      <c r="R4240" s="184">
        <v>17564</v>
      </c>
      <c r="S4240">
        <v>76</v>
      </c>
      <c r="U4240" t="s">
        <v>7076</v>
      </c>
      <c r="V4240" t="s">
        <v>31287</v>
      </c>
      <c r="X4240" t="s">
        <v>31288</v>
      </c>
      <c r="AF4240" t="s">
        <v>31289</v>
      </c>
      <c r="AG4240" t="s">
        <v>31287</v>
      </c>
      <c r="AI4240" t="s">
        <v>31290</v>
      </c>
      <c r="AM4240" t="s">
        <v>31291</v>
      </c>
      <c r="AN4240" t="s">
        <v>2290</v>
      </c>
      <c r="AO4240" t="s">
        <v>31292</v>
      </c>
      <c r="AP4240" t="s">
        <v>7024</v>
      </c>
      <c r="AQ4240" t="s">
        <v>31293</v>
      </c>
      <c r="AT4240" s="184">
        <v>40891</v>
      </c>
      <c r="AU4240" t="s">
        <v>31294</v>
      </c>
      <c r="AV4240">
        <v>25</v>
      </c>
      <c r="AW4240" s="184">
        <v>42675</v>
      </c>
      <c r="AX4240" t="s">
        <v>31295</v>
      </c>
      <c r="AY4240">
        <v>8</v>
      </c>
      <c r="AZ4240" s="184">
        <v>41262</v>
      </c>
      <c r="BA4240" t="s">
        <v>10993</v>
      </c>
      <c r="BB4240">
        <v>50</v>
      </c>
      <c r="BC4240">
        <v>43</v>
      </c>
      <c r="BD4240">
        <v>427</v>
      </c>
      <c r="BE4240">
        <v>2012</v>
      </c>
      <c r="BF4240">
        <v>42</v>
      </c>
      <c r="BI4240">
        <v>6</v>
      </c>
      <c r="BJ4240">
        <v>14</v>
      </c>
      <c r="BK4240">
        <v>6</v>
      </c>
      <c r="BN4240" t="s">
        <v>595</v>
      </c>
      <c r="BP4240" s="184"/>
    </row>
    <row r="4241" spans="1:68">
      <c r="A4241">
        <v>74408840</v>
      </c>
      <c r="B4241">
        <v>74408840</v>
      </c>
      <c r="C4241" t="s">
        <v>7018</v>
      </c>
      <c r="D4241" t="s">
        <v>595</v>
      </c>
      <c r="E4241" s="184">
        <v>44073</v>
      </c>
      <c r="G4241" s="184"/>
      <c r="H4241" t="s">
        <v>595</v>
      </c>
      <c r="I4241" s="184">
        <v>44073</v>
      </c>
      <c r="K4241" s="184"/>
      <c r="M4241" s="184"/>
      <c r="O4241" s="184"/>
      <c r="P4241" t="s">
        <v>7045</v>
      </c>
      <c r="Q4241" t="s">
        <v>7383</v>
      </c>
      <c r="R4241" s="184">
        <v>15358</v>
      </c>
      <c r="S4241">
        <v>82</v>
      </c>
      <c r="V4241" t="s">
        <v>3043</v>
      </c>
      <c r="X4241" t="s">
        <v>4948</v>
      </c>
      <c r="Z4241">
        <v>100146179</v>
      </c>
      <c r="AB4241" t="s">
        <v>2551</v>
      </c>
      <c r="AD4241" t="s">
        <v>4948</v>
      </c>
      <c r="AF4241" t="s">
        <v>31296</v>
      </c>
      <c r="AG4241" t="s">
        <v>31297</v>
      </c>
      <c r="AI4241" t="s">
        <v>31298</v>
      </c>
      <c r="AM4241" t="s">
        <v>3082</v>
      </c>
      <c r="AN4241" t="s">
        <v>2313</v>
      </c>
      <c r="AO4241" t="s">
        <v>31299</v>
      </c>
      <c r="AP4241" t="s">
        <v>7024</v>
      </c>
      <c r="AQ4241" t="s">
        <v>31300</v>
      </c>
      <c r="AT4241" s="184">
        <v>40891</v>
      </c>
      <c r="AU4241" t="s">
        <v>31301</v>
      </c>
      <c r="AV4241">
        <v>25</v>
      </c>
      <c r="AW4241" s="184">
        <v>44229</v>
      </c>
      <c r="AX4241" t="s">
        <v>31302</v>
      </c>
      <c r="AY4241">
        <v>55</v>
      </c>
      <c r="AZ4241" s="184">
        <v>44229</v>
      </c>
      <c r="BA4241" t="s">
        <v>31302</v>
      </c>
      <c r="BB4241">
        <v>55</v>
      </c>
      <c r="BC4241">
        <v>43</v>
      </c>
      <c r="BD4241">
        <v>240</v>
      </c>
      <c r="BE4241">
        <v>2012</v>
      </c>
      <c r="BF4241">
        <v>7</v>
      </c>
      <c r="BI4241">
        <v>6</v>
      </c>
      <c r="BJ4241">
        <v>14</v>
      </c>
      <c r="BK4241">
        <v>3</v>
      </c>
      <c r="BP4241" s="184"/>
    </row>
    <row r="4242" spans="1:68">
      <c r="A4242">
        <v>100146179</v>
      </c>
      <c r="B4242">
        <v>74408840</v>
      </c>
      <c r="C4242" t="s">
        <v>7018</v>
      </c>
      <c r="D4242" t="s">
        <v>595</v>
      </c>
      <c r="E4242" s="184">
        <v>44073</v>
      </c>
      <c r="G4242" s="184"/>
      <c r="H4242" t="s">
        <v>595</v>
      </c>
      <c r="I4242" s="184">
        <v>44073</v>
      </c>
      <c r="K4242" s="184"/>
      <c r="M4242" s="184"/>
      <c r="O4242" s="184"/>
      <c r="P4242" t="s">
        <v>7045</v>
      </c>
      <c r="Q4242" t="s">
        <v>7383</v>
      </c>
      <c r="R4242" s="184">
        <v>15067</v>
      </c>
      <c r="S4242">
        <v>83</v>
      </c>
      <c r="V4242" t="s">
        <v>2551</v>
      </c>
      <c r="X4242" t="s">
        <v>4948</v>
      </c>
      <c r="Z4242">
        <v>74408840</v>
      </c>
      <c r="AB4242" t="s">
        <v>3043</v>
      </c>
      <c r="AD4242" t="s">
        <v>4948</v>
      </c>
      <c r="AF4242" t="s">
        <v>31296</v>
      </c>
      <c r="AG4242" t="s">
        <v>31297</v>
      </c>
      <c r="AI4242" t="s">
        <v>31298</v>
      </c>
      <c r="AM4242" t="s">
        <v>3082</v>
      </c>
      <c r="AN4242" t="s">
        <v>2313</v>
      </c>
      <c r="AO4242" t="s">
        <v>31299</v>
      </c>
      <c r="AP4242" t="s">
        <v>7024</v>
      </c>
      <c r="AQ4242" t="s">
        <v>31303</v>
      </c>
      <c r="AT4242" s="184">
        <v>43683</v>
      </c>
      <c r="AU4242" t="s">
        <v>31304</v>
      </c>
      <c r="AV4242">
        <v>15</v>
      </c>
      <c r="AW4242" s="184">
        <v>45288</v>
      </c>
      <c r="AX4242" t="s">
        <v>18065</v>
      </c>
      <c r="AY4242">
        <v>52.5</v>
      </c>
      <c r="AZ4242" s="184">
        <v>45288</v>
      </c>
      <c r="BA4242" t="s">
        <v>18065</v>
      </c>
      <c r="BB4242">
        <v>52.5</v>
      </c>
      <c r="BC4242">
        <v>34</v>
      </c>
      <c r="BD4242">
        <v>67.5</v>
      </c>
      <c r="BE4242">
        <v>2020</v>
      </c>
      <c r="BF4242">
        <v>2</v>
      </c>
      <c r="BG4242">
        <v>1</v>
      </c>
      <c r="BH4242">
        <v>52.5</v>
      </c>
      <c r="BI4242">
        <v>2</v>
      </c>
      <c r="BJ4242">
        <v>6</v>
      </c>
      <c r="BK4242">
        <v>1</v>
      </c>
      <c r="BP4242" s="184"/>
    </row>
    <row r="4243" spans="1:68">
      <c r="A4243">
        <v>74418187</v>
      </c>
      <c r="B4243">
        <v>74418187</v>
      </c>
      <c r="C4243" t="s">
        <v>7018</v>
      </c>
      <c r="D4243" t="s">
        <v>595</v>
      </c>
      <c r="E4243" s="184">
        <v>44419</v>
      </c>
      <c r="G4243" s="184"/>
      <c r="I4243" s="184"/>
      <c r="K4243" s="184"/>
      <c r="M4243" s="184"/>
      <c r="O4243" s="184"/>
      <c r="P4243" t="s">
        <v>7045</v>
      </c>
      <c r="Q4243" t="s">
        <v>7383</v>
      </c>
      <c r="R4243" s="184">
        <v>19299</v>
      </c>
      <c r="S4243">
        <v>71</v>
      </c>
      <c r="U4243" t="s">
        <v>7130</v>
      </c>
      <c r="V4243" t="s">
        <v>2733</v>
      </c>
      <c r="X4243" t="s">
        <v>31305</v>
      </c>
      <c r="AF4243" t="s">
        <v>31306</v>
      </c>
      <c r="AG4243" t="s">
        <v>2733</v>
      </c>
      <c r="AI4243" t="s">
        <v>31307</v>
      </c>
      <c r="AM4243" t="s">
        <v>31308</v>
      </c>
      <c r="AN4243" t="s">
        <v>2072</v>
      </c>
      <c r="AO4243" t="s">
        <v>31309</v>
      </c>
      <c r="AP4243" t="s">
        <v>7024</v>
      </c>
      <c r="AQ4243" t="s">
        <v>31310</v>
      </c>
      <c r="AR4243" t="s">
        <v>31311</v>
      </c>
      <c r="AT4243" s="184">
        <v>40894</v>
      </c>
      <c r="AU4243" t="s">
        <v>24119</v>
      </c>
      <c r="AV4243">
        <v>50</v>
      </c>
      <c r="AW4243" s="184">
        <v>45286</v>
      </c>
      <c r="AX4243" t="s">
        <v>16902</v>
      </c>
      <c r="AY4243">
        <v>52.5</v>
      </c>
      <c r="AZ4243" s="184">
        <v>41987</v>
      </c>
      <c r="BA4243" t="s">
        <v>22684</v>
      </c>
      <c r="BB4243">
        <v>100</v>
      </c>
      <c r="BC4243">
        <v>93</v>
      </c>
      <c r="BD4243">
        <v>802.5</v>
      </c>
      <c r="BE4243">
        <v>2012</v>
      </c>
      <c r="BF4243">
        <v>13</v>
      </c>
      <c r="BG4243">
        <v>2</v>
      </c>
      <c r="BH4243">
        <v>102.5</v>
      </c>
      <c r="BI4243">
        <v>13</v>
      </c>
      <c r="BJ4243">
        <v>14</v>
      </c>
      <c r="BK4243">
        <v>13</v>
      </c>
      <c r="BP4243" s="184"/>
    </row>
    <row r="4244" spans="1:68">
      <c r="A4244">
        <v>74538067</v>
      </c>
      <c r="B4244">
        <v>74538067</v>
      </c>
      <c r="C4244" t="s">
        <v>7018</v>
      </c>
      <c r="D4244" t="s">
        <v>595</v>
      </c>
      <c r="E4244" s="184">
        <v>45204</v>
      </c>
      <c r="G4244" s="184"/>
      <c r="I4244" s="184"/>
      <c r="K4244" s="184"/>
      <c r="M4244" s="184"/>
      <c r="O4244" s="184"/>
      <c r="P4244" t="s">
        <v>7045</v>
      </c>
      <c r="Q4244" t="s">
        <v>7494</v>
      </c>
      <c r="R4244" s="184">
        <v>12997</v>
      </c>
      <c r="S4244">
        <v>88</v>
      </c>
      <c r="U4244" t="s">
        <v>7031</v>
      </c>
      <c r="V4244" t="s">
        <v>28867</v>
      </c>
      <c r="X4244" t="s">
        <v>31312</v>
      </c>
      <c r="Y4244" t="s">
        <v>31313</v>
      </c>
      <c r="AF4244" t="s">
        <v>31314</v>
      </c>
      <c r="AG4244" t="s">
        <v>28867</v>
      </c>
      <c r="AI4244" t="s">
        <v>31315</v>
      </c>
      <c r="AM4244" t="s">
        <v>18737</v>
      </c>
      <c r="AN4244" t="s">
        <v>2174</v>
      </c>
      <c r="AO4244" t="s">
        <v>31316</v>
      </c>
      <c r="AP4244" t="s">
        <v>7024</v>
      </c>
      <c r="AQ4244" t="s">
        <v>31317</v>
      </c>
      <c r="AR4244" t="s">
        <v>31318</v>
      </c>
      <c r="AT4244" s="184">
        <v>40899</v>
      </c>
      <c r="AU4244" t="s">
        <v>18184</v>
      </c>
      <c r="AV4244">
        <v>50</v>
      </c>
      <c r="AW4244" s="184">
        <v>45258</v>
      </c>
      <c r="AX4244" t="s">
        <v>18440</v>
      </c>
      <c r="AY4244">
        <v>150</v>
      </c>
      <c r="AZ4244" s="184">
        <v>45258</v>
      </c>
      <c r="BA4244" t="s">
        <v>18440</v>
      </c>
      <c r="BB4244">
        <v>150</v>
      </c>
      <c r="BC4244">
        <v>93</v>
      </c>
      <c r="BD4244">
        <v>1160</v>
      </c>
      <c r="BE4244">
        <v>2012</v>
      </c>
      <c r="BF4244">
        <v>14</v>
      </c>
      <c r="BG4244">
        <v>2</v>
      </c>
      <c r="BH4244">
        <v>300</v>
      </c>
      <c r="BI4244">
        <v>13</v>
      </c>
      <c r="BJ4244">
        <v>14</v>
      </c>
      <c r="BK4244">
        <v>13</v>
      </c>
    </row>
    <row r="4245" spans="1:68">
      <c r="A4245">
        <v>74543794</v>
      </c>
      <c r="B4245">
        <v>74543794</v>
      </c>
      <c r="C4245" t="s">
        <v>7018</v>
      </c>
      <c r="D4245" t="s">
        <v>595</v>
      </c>
      <c r="E4245" s="184">
        <v>45141</v>
      </c>
      <c r="G4245" s="184"/>
      <c r="I4245" s="184"/>
      <c r="K4245" s="184"/>
      <c r="M4245" s="184"/>
      <c r="P4245" t="s">
        <v>7045</v>
      </c>
      <c r="Q4245" t="s">
        <v>7383</v>
      </c>
      <c r="R4245" s="184">
        <v>19430</v>
      </c>
      <c r="S4245">
        <v>71</v>
      </c>
      <c r="V4245" t="s">
        <v>2593</v>
      </c>
      <c r="X4245" t="s">
        <v>31319</v>
      </c>
      <c r="AF4245" t="s">
        <v>31320</v>
      </c>
      <c r="AG4245" t="s">
        <v>2593</v>
      </c>
      <c r="AI4245" t="s">
        <v>31321</v>
      </c>
      <c r="AM4245" t="s">
        <v>31322</v>
      </c>
      <c r="AN4245" t="s">
        <v>2064</v>
      </c>
      <c r="AO4245" t="s">
        <v>31323</v>
      </c>
      <c r="AP4245" t="s">
        <v>7024</v>
      </c>
      <c r="AQ4245" t="s">
        <v>31324</v>
      </c>
      <c r="AT4245" s="184">
        <v>40898</v>
      </c>
      <c r="AU4245" t="s">
        <v>31325</v>
      </c>
      <c r="AV4245">
        <v>15</v>
      </c>
      <c r="AW4245" s="184">
        <v>45369</v>
      </c>
      <c r="AX4245" t="s">
        <v>23766</v>
      </c>
      <c r="AY4245">
        <v>15</v>
      </c>
      <c r="AZ4245" s="184">
        <v>43885</v>
      </c>
      <c r="BA4245" t="s">
        <v>31326</v>
      </c>
      <c r="BB4245">
        <v>25</v>
      </c>
      <c r="BC4245">
        <v>50</v>
      </c>
      <c r="BD4245">
        <v>345</v>
      </c>
      <c r="BE4245">
        <v>2012</v>
      </c>
      <c r="BF4245">
        <v>30</v>
      </c>
      <c r="BG4245">
        <v>15</v>
      </c>
      <c r="BH4245">
        <v>160</v>
      </c>
      <c r="BI4245">
        <v>7</v>
      </c>
      <c r="BJ4245">
        <v>14</v>
      </c>
      <c r="BK4245">
        <v>5</v>
      </c>
    </row>
    <row r="4246" spans="1:68">
      <c r="A4246">
        <v>74559378</v>
      </c>
      <c r="B4246">
        <v>74559378</v>
      </c>
      <c r="C4246" t="s">
        <v>7018</v>
      </c>
      <c r="D4246" t="s">
        <v>595</v>
      </c>
      <c r="E4246" s="184">
        <v>44328</v>
      </c>
      <c r="G4246" s="184"/>
      <c r="I4246" s="184"/>
      <c r="K4246" s="184"/>
      <c r="M4246" s="184"/>
      <c r="O4246" s="184"/>
      <c r="P4246" t="s">
        <v>7045</v>
      </c>
      <c r="Q4246" t="s">
        <v>7374</v>
      </c>
      <c r="R4246" s="184">
        <v>15054</v>
      </c>
      <c r="S4246">
        <v>83</v>
      </c>
      <c r="V4246" t="s">
        <v>3080</v>
      </c>
      <c r="X4246" t="s">
        <v>31327</v>
      </c>
      <c r="AF4246" t="s">
        <v>31328</v>
      </c>
      <c r="AG4246" t="s">
        <v>3080</v>
      </c>
      <c r="AI4246" t="s">
        <v>31329</v>
      </c>
      <c r="AM4246" t="s">
        <v>3109</v>
      </c>
      <c r="AN4246" t="s">
        <v>2081</v>
      </c>
      <c r="AO4246" t="s">
        <v>31330</v>
      </c>
      <c r="AP4246" t="s">
        <v>7024</v>
      </c>
      <c r="AQ4246" t="s">
        <v>31331</v>
      </c>
      <c r="AR4246" t="s">
        <v>31332</v>
      </c>
      <c r="AT4246" s="184">
        <v>40899</v>
      </c>
      <c r="AU4246" t="s">
        <v>31149</v>
      </c>
      <c r="AV4246">
        <v>75</v>
      </c>
      <c r="AW4246" s="184">
        <v>44744</v>
      </c>
      <c r="AX4246" t="s">
        <v>25209</v>
      </c>
      <c r="AY4246">
        <v>75</v>
      </c>
      <c r="AZ4246" s="184">
        <v>44744</v>
      </c>
      <c r="BA4246" t="s">
        <v>25209</v>
      </c>
      <c r="BB4246">
        <v>75</v>
      </c>
      <c r="BC4246">
        <v>86</v>
      </c>
      <c r="BD4246">
        <v>900</v>
      </c>
      <c r="BE4246">
        <v>2012</v>
      </c>
      <c r="BF4246">
        <v>12</v>
      </c>
      <c r="BG4246">
        <v>1</v>
      </c>
      <c r="BH4246">
        <v>75</v>
      </c>
      <c r="BI4246">
        <v>12</v>
      </c>
      <c r="BJ4246">
        <v>14</v>
      </c>
      <c r="BK4246">
        <v>12</v>
      </c>
      <c r="BL4246" t="s">
        <v>595</v>
      </c>
    </row>
    <row r="4247" spans="1:68">
      <c r="A4247">
        <v>74564832</v>
      </c>
      <c r="B4247">
        <v>74564832</v>
      </c>
      <c r="C4247" t="s">
        <v>7018</v>
      </c>
      <c r="D4247" t="s">
        <v>595</v>
      </c>
      <c r="E4247" s="184">
        <v>44438</v>
      </c>
      <c r="G4247" s="184"/>
      <c r="I4247" s="184"/>
      <c r="K4247" s="184"/>
      <c r="L4247" t="s">
        <v>595</v>
      </c>
      <c r="M4247" s="184">
        <v>43816</v>
      </c>
      <c r="O4247" s="184"/>
      <c r="P4247" t="s">
        <v>7686</v>
      </c>
      <c r="Q4247" t="s">
        <v>7383</v>
      </c>
      <c r="R4247" s="184">
        <v>17174</v>
      </c>
      <c r="S4247">
        <v>77</v>
      </c>
      <c r="V4247" t="s">
        <v>3165</v>
      </c>
      <c r="X4247" t="s">
        <v>31333</v>
      </c>
      <c r="Z4247">
        <v>100146368</v>
      </c>
      <c r="AB4247" t="s">
        <v>3419</v>
      </c>
      <c r="AD4247" t="s">
        <v>31333</v>
      </c>
      <c r="AF4247" t="s">
        <v>31334</v>
      </c>
      <c r="AG4247" t="s">
        <v>31335</v>
      </c>
      <c r="AI4247" t="s">
        <v>31336</v>
      </c>
      <c r="AM4247" t="s">
        <v>3953</v>
      </c>
      <c r="AN4247" t="s">
        <v>2059</v>
      </c>
      <c r="AO4247" t="s">
        <v>31337</v>
      </c>
      <c r="AP4247" t="s">
        <v>7024</v>
      </c>
      <c r="AQ4247" t="s">
        <v>31338</v>
      </c>
      <c r="AT4247" s="184">
        <v>40899</v>
      </c>
      <c r="AU4247" t="s">
        <v>31339</v>
      </c>
      <c r="AV4247">
        <v>200</v>
      </c>
      <c r="AW4247" s="184">
        <v>45257</v>
      </c>
      <c r="AX4247" t="s">
        <v>7749</v>
      </c>
      <c r="AY4247">
        <v>5000</v>
      </c>
      <c r="AZ4247" s="184">
        <v>44529</v>
      </c>
      <c r="BA4247" t="s">
        <v>7867</v>
      </c>
      <c r="BB4247">
        <v>6000</v>
      </c>
      <c r="BC4247">
        <v>86</v>
      </c>
      <c r="BD4247">
        <v>24540.52</v>
      </c>
      <c r="BE4247">
        <v>2012</v>
      </c>
      <c r="BF4247">
        <v>15</v>
      </c>
      <c r="BG4247">
        <v>2</v>
      </c>
      <c r="BH4247">
        <v>9000</v>
      </c>
      <c r="BI4247">
        <v>12</v>
      </c>
      <c r="BJ4247">
        <v>14</v>
      </c>
      <c r="BK4247">
        <v>7</v>
      </c>
    </row>
    <row r="4248" spans="1:68">
      <c r="A4248">
        <v>100146368</v>
      </c>
      <c r="B4248">
        <v>74564832</v>
      </c>
      <c r="C4248" t="s">
        <v>7018</v>
      </c>
      <c r="D4248" t="s">
        <v>595</v>
      </c>
      <c r="E4248" s="184">
        <v>44438</v>
      </c>
      <c r="G4248" s="184"/>
      <c r="I4248" s="184"/>
      <c r="K4248" s="184"/>
      <c r="L4248" t="s">
        <v>595</v>
      </c>
      <c r="M4248" s="184">
        <v>43816</v>
      </c>
      <c r="O4248" s="184"/>
      <c r="P4248" t="s">
        <v>7686</v>
      </c>
      <c r="Q4248" t="s">
        <v>7383</v>
      </c>
      <c r="R4248" s="184">
        <v>20180</v>
      </c>
      <c r="S4248">
        <v>69</v>
      </c>
      <c r="V4248" t="s">
        <v>3419</v>
      </c>
      <c r="X4248" t="s">
        <v>31333</v>
      </c>
      <c r="Z4248">
        <v>74564832</v>
      </c>
      <c r="AB4248" t="s">
        <v>3165</v>
      </c>
      <c r="AD4248" t="s">
        <v>31333</v>
      </c>
      <c r="AF4248" t="s">
        <v>31334</v>
      </c>
      <c r="AG4248" t="s">
        <v>31335</v>
      </c>
      <c r="AI4248" t="s">
        <v>31336</v>
      </c>
      <c r="AM4248" t="s">
        <v>3953</v>
      </c>
      <c r="AN4248" t="s">
        <v>2059</v>
      </c>
      <c r="AO4248" t="s">
        <v>31337</v>
      </c>
      <c r="AP4248" t="s">
        <v>7024</v>
      </c>
      <c r="AT4248" s="184"/>
      <c r="AW4248" s="184"/>
      <c r="AZ4248" s="184"/>
      <c r="BP4248" s="184"/>
    </row>
    <row r="4249" spans="1:68">
      <c r="A4249">
        <v>74567579</v>
      </c>
      <c r="B4249">
        <v>74567579</v>
      </c>
      <c r="C4249" t="s">
        <v>7018</v>
      </c>
      <c r="E4249" s="184"/>
      <c r="G4249" s="184"/>
      <c r="I4249" s="184"/>
      <c r="K4249" s="184"/>
      <c r="L4249" t="s">
        <v>595</v>
      </c>
      <c r="M4249" s="184">
        <v>44226</v>
      </c>
      <c r="O4249" s="184"/>
      <c r="P4249" t="s">
        <v>7045</v>
      </c>
      <c r="Q4249" t="s">
        <v>7262</v>
      </c>
      <c r="R4249" s="184">
        <v>18323</v>
      </c>
      <c r="S4249">
        <v>74</v>
      </c>
      <c r="V4249" t="s">
        <v>4330</v>
      </c>
      <c r="X4249" t="s">
        <v>29241</v>
      </c>
      <c r="Z4249">
        <v>100146372</v>
      </c>
      <c r="AB4249" t="s">
        <v>5414</v>
      </c>
      <c r="AD4249" t="s">
        <v>31340</v>
      </c>
      <c r="AF4249" t="s">
        <v>31341</v>
      </c>
      <c r="AG4249" t="s">
        <v>31342</v>
      </c>
      <c r="AI4249" t="s">
        <v>31343</v>
      </c>
      <c r="AM4249" t="s">
        <v>5810</v>
      </c>
      <c r="AN4249" t="s">
        <v>65</v>
      </c>
      <c r="AO4249" t="s">
        <v>31344</v>
      </c>
      <c r="AP4249" t="s">
        <v>7024</v>
      </c>
      <c r="AQ4249" t="s">
        <v>31345</v>
      </c>
      <c r="AR4249" t="s">
        <v>31346</v>
      </c>
      <c r="AT4249" s="184">
        <v>40904</v>
      </c>
      <c r="AU4249" t="s">
        <v>31347</v>
      </c>
      <c r="AV4249">
        <v>100</v>
      </c>
      <c r="AW4249" s="184">
        <v>45230</v>
      </c>
      <c r="AX4249" t="s">
        <v>19273</v>
      </c>
      <c r="AY4249">
        <v>100</v>
      </c>
      <c r="AZ4249" s="184">
        <v>44466</v>
      </c>
      <c r="BA4249" t="s">
        <v>31348</v>
      </c>
      <c r="BB4249">
        <v>200</v>
      </c>
      <c r="BC4249">
        <v>72</v>
      </c>
      <c r="BD4249">
        <v>1100</v>
      </c>
      <c r="BE4249">
        <v>2012</v>
      </c>
      <c r="BF4249">
        <v>10</v>
      </c>
      <c r="BG4249">
        <v>2</v>
      </c>
      <c r="BH4249">
        <v>200</v>
      </c>
      <c r="BI4249">
        <v>10</v>
      </c>
      <c r="BJ4249">
        <v>14</v>
      </c>
      <c r="BK4249">
        <v>7</v>
      </c>
      <c r="BN4249" t="s">
        <v>595</v>
      </c>
      <c r="BP4249" s="184"/>
    </row>
    <row r="4250" spans="1:68">
      <c r="A4250">
        <v>100146372</v>
      </c>
      <c r="B4250">
        <v>74567579</v>
      </c>
      <c r="C4250" t="s">
        <v>7018</v>
      </c>
      <c r="E4250" s="184"/>
      <c r="G4250" s="184"/>
      <c r="I4250" s="184"/>
      <c r="K4250" s="184"/>
      <c r="L4250" t="s">
        <v>595</v>
      </c>
      <c r="M4250" s="184">
        <v>44226</v>
      </c>
      <c r="O4250" s="184"/>
      <c r="P4250" t="s">
        <v>7045</v>
      </c>
      <c r="Q4250" t="s">
        <v>7262</v>
      </c>
      <c r="R4250" s="184">
        <v>18080</v>
      </c>
      <c r="S4250">
        <v>74</v>
      </c>
      <c r="V4250" t="s">
        <v>5414</v>
      </c>
      <c r="X4250" t="s">
        <v>31340</v>
      </c>
      <c r="Z4250">
        <v>74567579</v>
      </c>
      <c r="AB4250" t="s">
        <v>4330</v>
      </c>
      <c r="AD4250" t="s">
        <v>29241</v>
      </c>
      <c r="AF4250" t="s">
        <v>31341</v>
      </c>
      <c r="AG4250" t="s">
        <v>31342</v>
      </c>
      <c r="AI4250" t="s">
        <v>31343</v>
      </c>
      <c r="AM4250" t="s">
        <v>5810</v>
      </c>
      <c r="AN4250" t="s">
        <v>65</v>
      </c>
      <c r="AO4250" t="s">
        <v>31344</v>
      </c>
      <c r="AP4250" t="s">
        <v>7024</v>
      </c>
      <c r="AT4250" s="184"/>
      <c r="AW4250" s="184"/>
      <c r="AZ4250" s="184"/>
      <c r="BP4250" s="184"/>
    </row>
    <row r="4251" spans="1:68">
      <c r="A4251">
        <v>74579186</v>
      </c>
      <c r="B4251">
        <v>74579186</v>
      </c>
      <c r="C4251" t="s">
        <v>7018</v>
      </c>
      <c r="D4251" t="s">
        <v>595</v>
      </c>
      <c r="E4251" s="184">
        <v>44419</v>
      </c>
      <c r="G4251" s="184"/>
      <c r="I4251" s="184"/>
      <c r="K4251" s="184"/>
      <c r="M4251" s="184"/>
      <c r="O4251" s="184"/>
      <c r="P4251" t="s">
        <v>7019</v>
      </c>
      <c r="Q4251" t="s">
        <v>7383</v>
      </c>
      <c r="R4251" s="184">
        <v>20821</v>
      </c>
      <c r="S4251">
        <v>67</v>
      </c>
      <c r="V4251" t="s">
        <v>3480</v>
      </c>
      <c r="X4251" t="s">
        <v>31349</v>
      </c>
      <c r="AF4251" t="s">
        <v>31350</v>
      </c>
      <c r="AG4251" t="s">
        <v>3480</v>
      </c>
      <c r="AI4251" t="s">
        <v>31351</v>
      </c>
      <c r="AM4251" t="s">
        <v>27385</v>
      </c>
      <c r="AN4251" t="s">
        <v>2072</v>
      </c>
      <c r="AO4251" t="s">
        <v>31352</v>
      </c>
      <c r="AP4251" t="s">
        <v>7024</v>
      </c>
      <c r="AQ4251" t="s">
        <v>31353</v>
      </c>
      <c r="AT4251" s="184">
        <v>40900</v>
      </c>
      <c r="AU4251" t="s">
        <v>31354</v>
      </c>
      <c r="AV4251">
        <v>20</v>
      </c>
      <c r="AW4251" s="184">
        <v>45315</v>
      </c>
      <c r="AX4251" t="s">
        <v>10525</v>
      </c>
      <c r="AY4251">
        <v>60</v>
      </c>
      <c r="AZ4251" s="184">
        <v>45315</v>
      </c>
      <c r="BA4251" t="s">
        <v>10525</v>
      </c>
      <c r="BB4251">
        <v>60</v>
      </c>
      <c r="BC4251">
        <v>72</v>
      </c>
      <c r="BD4251">
        <v>455</v>
      </c>
      <c r="BE4251">
        <v>2012</v>
      </c>
      <c r="BF4251">
        <v>10</v>
      </c>
      <c r="BG4251">
        <v>2</v>
      </c>
      <c r="BH4251">
        <v>120</v>
      </c>
      <c r="BI4251">
        <v>10</v>
      </c>
      <c r="BJ4251">
        <v>14</v>
      </c>
      <c r="BK4251">
        <v>5</v>
      </c>
    </row>
    <row r="4252" spans="1:68">
      <c r="A4252">
        <v>74579640</v>
      </c>
      <c r="B4252">
        <v>74579640</v>
      </c>
      <c r="C4252" t="s">
        <v>7018</v>
      </c>
      <c r="D4252" t="s">
        <v>595</v>
      </c>
      <c r="E4252" s="184">
        <v>44441</v>
      </c>
      <c r="G4252" s="184"/>
      <c r="I4252" s="184"/>
      <c r="K4252" s="184"/>
      <c r="M4252" s="184"/>
      <c r="P4252" t="s">
        <v>7045</v>
      </c>
      <c r="Q4252" t="s">
        <v>7454</v>
      </c>
      <c r="R4252" s="184">
        <v>19025</v>
      </c>
      <c r="S4252">
        <v>72</v>
      </c>
      <c r="U4252" t="s">
        <v>7076</v>
      </c>
      <c r="V4252" t="s">
        <v>3147</v>
      </c>
      <c r="W4252" t="s">
        <v>7963</v>
      </c>
      <c r="X4252" t="s">
        <v>31355</v>
      </c>
      <c r="AF4252" t="s">
        <v>31356</v>
      </c>
      <c r="AG4252" t="s">
        <v>3147</v>
      </c>
      <c r="AI4252" t="s">
        <v>31357</v>
      </c>
      <c r="AM4252" t="s">
        <v>3855</v>
      </c>
      <c r="AN4252" t="s">
        <v>2055</v>
      </c>
      <c r="AO4252" t="s">
        <v>31358</v>
      </c>
      <c r="AP4252" t="s">
        <v>7024</v>
      </c>
      <c r="AQ4252" t="s">
        <v>31359</v>
      </c>
      <c r="AT4252" s="184">
        <v>40900</v>
      </c>
      <c r="AU4252" t="s">
        <v>31360</v>
      </c>
      <c r="AV4252">
        <v>15</v>
      </c>
      <c r="AW4252" s="184">
        <v>45204</v>
      </c>
      <c r="AX4252" t="s">
        <v>7821</v>
      </c>
      <c r="AY4252">
        <v>50</v>
      </c>
      <c r="AZ4252" s="184">
        <v>45204</v>
      </c>
      <c r="BA4252" t="s">
        <v>7821</v>
      </c>
      <c r="BB4252">
        <v>50</v>
      </c>
      <c r="BC4252">
        <v>93</v>
      </c>
      <c r="BD4252">
        <v>915</v>
      </c>
      <c r="BE4252">
        <v>2012</v>
      </c>
      <c r="BF4252">
        <v>37</v>
      </c>
      <c r="BG4252">
        <v>6</v>
      </c>
      <c r="BH4252">
        <v>185</v>
      </c>
      <c r="BI4252">
        <v>13</v>
      </c>
      <c r="BJ4252">
        <v>14</v>
      </c>
      <c r="BK4252">
        <v>13</v>
      </c>
      <c r="BN4252" t="s">
        <v>595</v>
      </c>
      <c r="BP4252" s="184"/>
    </row>
    <row r="4253" spans="1:68">
      <c r="A4253">
        <v>74579764</v>
      </c>
      <c r="B4253">
        <v>74579764</v>
      </c>
      <c r="C4253" t="s">
        <v>7018</v>
      </c>
      <c r="E4253" s="184"/>
      <c r="G4253" s="184"/>
      <c r="I4253" s="184"/>
      <c r="J4253" t="s">
        <v>595</v>
      </c>
      <c r="K4253" s="184">
        <v>42450</v>
      </c>
      <c r="M4253" s="184"/>
      <c r="O4253" s="184"/>
      <c r="P4253" t="s">
        <v>7045</v>
      </c>
      <c r="Q4253" t="s">
        <v>7383</v>
      </c>
      <c r="R4253" s="184"/>
      <c r="U4253" t="s">
        <v>7076</v>
      </c>
      <c r="V4253" t="s">
        <v>3101</v>
      </c>
      <c r="W4253" t="s">
        <v>3830</v>
      </c>
      <c r="X4253" t="s">
        <v>31361</v>
      </c>
      <c r="AF4253" t="s">
        <v>6463</v>
      </c>
      <c r="AG4253" t="s">
        <v>3101</v>
      </c>
      <c r="AI4253" t="s">
        <v>31362</v>
      </c>
      <c r="AM4253" t="s">
        <v>4615</v>
      </c>
      <c r="AN4253" t="s">
        <v>2419</v>
      </c>
      <c r="AO4253" t="s">
        <v>31363</v>
      </c>
      <c r="AP4253" t="s">
        <v>7024</v>
      </c>
      <c r="AQ4253" t="s">
        <v>31364</v>
      </c>
      <c r="AR4253" t="s">
        <v>31365</v>
      </c>
      <c r="AT4253" s="184">
        <v>40900</v>
      </c>
      <c r="AU4253" t="s">
        <v>31366</v>
      </c>
      <c r="AV4253">
        <v>20</v>
      </c>
      <c r="AW4253" s="184">
        <v>45146</v>
      </c>
      <c r="AX4253" t="s">
        <v>16568</v>
      </c>
      <c r="AY4253">
        <v>50</v>
      </c>
      <c r="AZ4253" s="184">
        <v>41483</v>
      </c>
      <c r="BA4253" t="s">
        <v>31367</v>
      </c>
      <c r="BB4253">
        <v>250</v>
      </c>
      <c r="BC4253">
        <v>93</v>
      </c>
      <c r="BD4253">
        <v>1115</v>
      </c>
      <c r="BE4253">
        <v>2012</v>
      </c>
      <c r="BF4253">
        <v>20</v>
      </c>
      <c r="BG4253">
        <v>3</v>
      </c>
      <c r="BH4253">
        <v>150</v>
      </c>
      <c r="BI4253">
        <v>13</v>
      </c>
      <c r="BJ4253">
        <v>14</v>
      </c>
      <c r="BK4253">
        <v>13</v>
      </c>
      <c r="BN4253" t="s">
        <v>595</v>
      </c>
    </row>
    <row r="4254" spans="1:68">
      <c r="A4254">
        <v>74580481</v>
      </c>
      <c r="B4254">
        <v>74580481</v>
      </c>
      <c r="C4254" t="s">
        <v>7018</v>
      </c>
      <c r="D4254" t="s">
        <v>595</v>
      </c>
      <c r="E4254" s="184">
        <v>45195</v>
      </c>
      <c r="G4254" s="184"/>
      <c r="I4254" s="184"/>
      <c r="K4254" s="184"/>
      <c r="P4254" t="s">
        <v>7045</v>
      </c>
      <c r="Q4254" t="s">
        <v>7030</v>
      </c>
      <c r="R4254" s="184">
        <v>17168</v>
      </c>
      <c r="S4254">
        <v>77</v>
      </c>
      <c r="V4254" t="s">
        <v>2832</v>
      </c>
      <c r="X4254" t="s">
        <v>15625</v>
      </c>
      <c r="AF4254" t="s">
        <v>31368</v>
      </c>
      <c r="AG4254" t="s">
        <v>2832</v>
      </c>
      <c r="AI4254" t="s">
        <v>31369</v>
      </c>
      <c r="AM4254" t="s">
        <v>31370</v>
      </c>
      <c r="AN4254" t="s">
        <v>2201</v>
      </c>
      <c r="AO4254" t="s">
        <v>31371</v>
      </c>
      <c r="AP4254" t="s">
        <v>7024</v>
      </c>
      <c r="AQ4254" t="s">
        <v>31372</v>
      </c>
      <c r="AT4254" s="184">
        <v>40900</v>
      </c>
      <c r="AU4254" t="s">
        <v>31373</v>
      </c>
      <c r="AV4254">
        <v>15</v>
      </c>
      <c r="AW4254" s="184">
        <v>45394</v>
      </c>
      <c r="AX4254" t="s">
        <v>23766</v>
      </c>
      <c r="AY4254">
        <v>20</v>
      </c>
      <c r="AZ4254" s="184">
        <v>42249</v>
      </c>
      <c r="BA4254" t="s">
        <v>31374</v>
      </c>
      <c r="BB4254">
        <v>25</v>
      </c>
      <c r="BC4254">
        <v>100</v>
      </c>
      <c r="BD4254">
        <v>855</v>
      </c>
      <c r="BE4254">
        <v>2012</v>
      </c>
      <c r="BF4254">
        <v>80</v>
      </c>
      <c r="BG4254">
        <v>13</v>
      </c>
      <c r="BH4254">
        <v>150</v>
      </c>
      <c r="BI4254">
        <v>14</v>
      </c>
      <c r="BJ4254">
        <v>14</v>
      </c>
      <c r="BK4254">
        <v>14</v>
      </c>
    </row>
    <row r="4255" spans="1:68">
      <c r="A4255">
        <v>74653189</v>
      </c>
      <c r="B4255">
        <v>74653189</v>
      </c>
      <c r="C4255" t="s">
        <v>7018</v>
      </c>
      <c r="D4255" t="s">
        <v>595</v>
      </c>
      <c r="E4255" s="184">
        <v>45201</v>
      </c>
      <c r="I4255" s="184"/>
      <c r="K4255" s="184"/>
      <c r="M4255" s="184"/>
      <c r="O4255" s="184"/>
      <c r="P4255" t="s">
        <v>7045</v>
      </c>
      <c r="Q4255" t="s">
        <v>7454</v>
      </c>
      <c r="R4255" s="184">
        <v>17899</v>
      </c>
      <c r="S4255">
        <v>75</v>
      </c>
      <c r="V4255" t="s">
        <v>2541</v>
      </c>
      <c r="X4255" t="s">
        <v>31375</v>
      </c>
      <c r="AF4255" t="s">
        <v>31376</v>
      </c>
      <c r="AG4255" t="s">
        <v>2541</v>
      </c>
      <c r="AI4255" t="s">
        <v>31377</v>
      </c>
      <c r="AM4255" t="s">
        <v>31378</v>
      </c>
      <c r="AN4255" t="s">
        <v>2055</v>
      </c>
      <c r="AO4255" t="s">
        <v>31379</v>
      </c>
      <c r="AP4255" t="s">
        <v>7024</v>
      </c>
      <c r="AQ4255" t="s">
        <v>31380</v>
      </c>
      <c r="AT4255" s="184">
        <v>40907</v>
      </c>
      <c r="AU4255" t="s">
        <v>31381</v>
      </c>
      <c r="AV4255">
        <v>100</v>
      </c>
      <c r="AW4255" s="184">
        <v>44929</v>
      </c>
      <c r="AX4255" t="s">
        <v>31382</v>
      </c>
      <c r="AY4255">
        <v>300</v>
      </c>
      <c r="AZ4255" s="184">
        <v>44929</v>
      </c>
      <c r="BA4255" t="s">
        <v>31382</v>
      </c>
      <c r="BB4255">
        <v>300</v>
      </c>
      <c r="BC4255">
        <v>50</v>
      </c>
      <c r="BD4255">
        <v>1525</v>
      </c>
      <c r="BE4255">
        <v>2012</v>
      </c>
      <c r="BF4255">
        <v>8</v>
      </c>
      <c r="BG4255">
        <v>1</v>
      </c>
      <c r="BH4255">
        <v>300</v>
      </c>
      <c r="BI4255">
        <v>7</v>
      </c>
      <c r="BJ4255">
        <v>14</v>
      </c>
      <c r="BK4255">
        <v>3</v>
      </c>
      <c r="BP4255" s="184"/>
    </row>
    <row r="4256" spans="1:68">
      <c r="A4256">
        <v>74664582</v>
      </c>
      <c r="B4256">
        <v>74664582</v>
      </c>
      <c r="C4256" t="s">
        <v>7018</v>
      </c>
      <c r="D4256" t="s">
        <v>595</v>
      </c>
      <c r="E4256" s="184">
        <v>45166</v>
      </c>
      <c r="G4256" s="184"/>
      <c r="I4256" s="184"/>
      <c r="K4256" s="184"/>
      <c r="M4256" s="184"/>
      <c r="O4256" s="184"/>
      <c r="P4256" t="s">
        <v>7045</v>
      </c>
      <c r="Q4256" t="s">
        <v>7160</v>
      </c>
      <c r="R4256" s="184">
        <v>23377</v>
      </c>
      <c r="S4256">
        <v>60</v>
      </c>
      <c r="V4256" t="s">
        <v>31383</v>
      </c>
      <c r="X4256" t="s">
        <v>31384</v>
      </c>
      <c r="AF4256" t="s">
        <v>31385</v>
      </c>
      <c r="AG4256" t="s">
        <v>31383</v>
      </c>
      <c r="AI4256" t="s">
        <v>31386</v>
      </c>
      <c r="AM4256" t="s">
        <v>31387</v>
      </c>
      <c r="AN4256" t="s">
        <v>2203</v>
      </c>
      <c r="AO4256" t="s">
        <v>31388</v>
      </c>
      <c r="AP4256" t="s">
        <v>7024</v>
      </c>
      <c r="AQ4256" t="s">
        <v>31389</v>
      </c>
      <c r="AT4256" s="184">
        <v>40910</v>
      </c>
      <c r="AU4256" t="s">
        <v>31390</v>
      </c>
      <c r="AV4256">
        <v>25</v>
      </c>
      <c r="AW4256" s="184">
        <v>45082</v>
      </c>
      <c r="AX4256" t="s">
        <v>15782</v>
      </c>
      <c r="AY4256">
        <v>25</v>
      </c>
      <c r="AZ4256" s="184">
        <v>43700</v>
      </c>
      <c r="BA4256" t="s">
        <v>31391</v>
      </c>
      <c r="BB4256">
        <v>50</v>
      </c>
      <c r="BC4256">
        <v>47</v>
      </c>
      <c r="BD4256">
        <v>300</v>
      </c>
      <c r="BE4256">
        <v>2012</v>
      </c>
      <c r="BF4256">
        <v>7</v>
      </c>
      <c r="BG4256">
        <v>1</v>
      </c>
      <c r="BH4256">
        <v>25</v>
      </c>
      <c r="BI4256">
        <v>6</v>
      </c>
      <c r="BJ4256">
        <v>13</v>
      </c>
      <c r="BK4256">
        <v>2</v>
      </c>
      <c r="BN4256" t="s">
        <v>595</v>
      </c>
      <c r="BP4256" s="184"/>
    </row>
    <row r="4257" spans="1:68">
      <c r="A4257">
        <v>74697178</v>
      </c>
      <c r="B4257">
        <v>74697178</v>
      </c>
      <c r="C4257" t="s">
        <v>7018</v>
      </c>
      <c r="D4257" t="s">
        <v>595</v>
      </c>
      <c r="E4257" s="184">
        <v>43861</v>
      </c>
      <c r="G4257" s="184"/>
      <c r="I4257" s="184"/>
      <c r="K4257" s="184"/>
      <c r="M4257" s="184"/>
      <c r="O4257" s="184"/>
      <c r="P4257" t="s">
        <v>7045</v>
      </c>
      <c r="Q4257" t="s">
        <v>7030</v>
      </c>
      <c r="R4257" s="184">
        <v>16078</v>
      </c>
      <c r="S4257">
        <v>80</v>
      </c>
      <c r="U4257" t="s">
        <v>7076</v>
      </c>
      <c r="V4257" t="s">
        <v>2903</v>
      </c>
      <c r="X4257" t="s">
        <v>4629</v>
      </c>
      <c r="AF4257" t="s">
        <v>31392</v>
      </c>
      <c r="AG4257" t="s">
        <v>2903</v>
      </c>
      <c r="AI4257" t="s">
        <v>31393</v>
      </c>
      <c r="AM4257" t="s">
        <v>4630</v>
      </c>
      <c r="AN4257" t="s">
        <v>2094</v>
      </c>
      <c r="AO4257" t="s">
        <v>31394</v>
      </c>
      <c r="AP4257" t="s">
        <v>7024</v>
      </c>
      <c r="AQ4257" t="s">
        <v>31395</v>
      </c>
      <c r="AT4257" s="184">
        <v>40911</v>
      </c>
      <c r="AU4257" t="s">
        <v>31390</v>
      </c>
      <c r="AV4257">
        <v>25</v>
      </c>
      <c r="AW4257" s="184">
        <v>43067</v>
      </c>
      <c r="AX4257" t="s">
        <v>31396</v>
      </c>
      <c r="AY4257">
        <v>50</v>
      </c>
      <c r="AZ4257" s="184">
        <v>41808</v>
      </c>
      <c r="BA4257" t="s">
        <v>31397</v>
      </c>
      <c r="BB4257">
        <v>200</v>
      </c>
      <c r="BC4257">
        <v>47</v>
      </c>
      <c r="BD4257">
        <v>935</v>
      </c>
      <c r="BE4257">
        <v>2012</v>
      </c>
      <c r="BF4257">
        <v>12</v>
      </c>
      <c r="BI4257">
        <v>6</v>
      </c>
      <c r="BJ4257">
        <v>13</v>
      </c>
      <c r="BK4257">
        <v>6</v>
      </c>
      <c r="BN4257" t="s">
        <v>595</v>
      </c>
    </row>
    <row r="4258" spans="1:68">
      <c r="A4258">
        <v>74715988</v>
      </c>
      <c r="B4258">
        <v>74715988</v>
      </c>
      <c r="C4258" t="s">
        <v>7018</v>
      </c>
      <c r="D4258" t="s">
        <v>595</v>
      </c>
      <c r="E4258" s="184">
        <v>44168</v>
      </c>
      <c r="G4258" s="184"/>
      <c r="I4258" s="184"/>
      <c r="K4258" s="184"/>
      <c r="M4258" s="184"/>
      <c r="P4258" t="s">
        <v>7045</v>
      </c>
      <c r="Q4258" t="s">
        <v>7374</v>
      </c>
      <c r="R4258" s="184">
        <v>19115</v>
      </c>
      <c r="S4258">
        <v>72</v>
      </c>
      <c r="U4258" t="s">
        <v>7130</v>
      </c>
      <c r="V4258" t="s">
        <v>18354</v>
      </c>
      <c r="W4258" t="s">
        <v>7067</v>
      </c>
      <c r="X4258" t="s">
        <v>27439</v>
      </c>
      <c r="AF4258" t="s">
        <v>31398</v>
      </c>
      <c r="AG4258" t="s">
        <v>18354</v>
      </c>
      <c r="AI4258" t="s">
        <v>31399</v>
      </c>
      <c r="AM4258" t="s">
        <v>31400</v>
      </c>
      <c r="AN4258" t="s">
        <v>2081</v>
      </c>
      <c r="AO4258" t="s">
        <v>31401</v>
      </c>
      <c r="AP4258" t="s">
        <v>7024</v>
      </c>
      <c r="AQ4258" t="s">
        <v>31402</v>
      </c>
      <c r="AT4258" s="184">
        <v>40907</v>
      </c>
      <c r="AU4258" t="s">
        <v>31403</v>
      </c>
      <c r="AV4258">
        <v>19.97</v>
      </c>
      <c r="AW4258" s="184">
        <v>45399</v>
      </c>
      <c r="AX4258" t="s">
        <v>10451</v>
      </c>
      <c r="AY4258">
        <v>10.5</v>
      </c>
      <c r="AZ4258" s="184">
        <v>44679</v>
      </c>
      <c r="BA4258" t="s">
        <v>31404</v>
      </c>
      <c r="BB4258">
        <v>30</v>
      </c>
      <c r="BC4258">
        <v>93</v>
      </c>
      <c r="BD4258">
        <v>462.47</v>
      </c>
      <c r="BE4258">
        <v>2012</v>
      </c>
      <c r="BF4258">
        <v>19</v>
      </c>
      <c r="BG4258">
        <v>6</v>
      </c>
      <c r="BH4258">
        <v>137.5</v>
      </c>
      <c r="BI4258">
        <v>13</v>
      </c>
      <c r="BJ4258">
        <v>14</v>
      </c>
      <c r="BK4258">
        <v>12</v>
      </c>
      <c r="BP4258" s="184"/>
    </row>
    <row r="4259" spans="1:68">
      <c r="A4259">
        <v>74762998</v>
      </c>
      <c r="B4259">
        <v>74762998</v>
      </c>
      <c r="C4259" t="s">
        <v>7018</v>
      </c>
      <c r="D4259" t="s">
        <v>595</v>
      </c>
      <c r="E4259" s="184">
        <v>45196</v>
      </c>
      <c r="G4259" s="184"/>
      <c r="I4259" s="184"/>
      <c r="K4259" s="184"/>
      <c r="O4259" s="184"/>
      <c r="P4259" t="s">
        <v>7045</v>
      </c>
      <c r="Q4259" t="s">
        <v>7374</v>
      </c>
      <c r="R4259" s="184">
        <v>12844</v>
      </c>
      <c r="S4259">
        <v>89</v>
      </c>
      <c r="V4259" t="s">
        <v>3283</v>
      </c>
      <c r="X4259" t="s">
        <v>3024</v>
      </c>
      <c r="Z4259">
        <v>100146570</v>
      </c>
      <c r="AB4259" t="s">
        <v>2718</v>
      </c>
      <c r="AD4259" t="s">
        <v>3024</v>
      </c>
      <c r="AF4259" t="s">
        <v>31405</v>
      </c>
      <c r="AG4259" t="s">
        <v>31406</v>
      </c>
      <c r="AI4259" t="s">
        <v>31407</v>
      </c>
      <c r="AM4259" t="s">
        <v>31408</v>
      </c>
      <c r="AN4259" t="s">
        <v>2081</v>
      </c>
      <c r="AO4259" t="s">
        <v>31409</v>
      </c>
      <c r="AP4259" t="s">
        <v>7024</v>
      </c>
      <c r="AQ4259" t="s">
        <v>31410</v>
      </c>
      <c r="AT4259" s="184">
        <v>40914</v>
      </c>
      <c r="AU4259" t="s">
        <v>31390</v>
      </c>
      <c r="AV4259">
        <v>25</v>
      </c>
      <c r="AW4259" s="184">
        <v>43311</v>
      </c>
      <c r="AX4259" t="s">
        <v>31411</v>
      </c>
      <c r="AY4259">
        <v>25</v>
      </c>
      <c r="AZ4259" s="184">
        <v>43311</v>
      </c>
      <c r="BA4259" t="s">
        <v>31411</v>
      </c>
      <c r="BB4259">
        <v>25</v>
      </c>
      <c r="BC4259">
        <v>47</v>
      </c>
      <c r="BD4259">
        <v>175</v>
      </c>
      <c r="BE4259">
        <v>2012</v>
      </c>
      <c r="BF4259">
        <v>7</v>
      </c>
      <c r="BI4259">
        <v>6</v>
      </c>
      <c r="BJ4259">
        <v>13</v>
      </c>
      <c r="BK4259">
        <v>5</v>
      </c>
      <c r="BP4259" s="184"/>
    </row>
    <row r="4260" spans="1:68">
      <c r="A4260">
        <v>100146570</v>
      </c>
      <c r="B4260">
        <v>74762998</v>
      </c>
      <c r="C4260" t="s">
        <v>7018</v>
      </c>
      <c r="D4260" t="s">
        <v>595</v>
      </c>
      <c r="E4260" s="184">
        <v>45196</v>
      </c>
      <c r="G4260" s="184"/>
      <c r="I4260" s="184"/>
      <c r="K4260" s="184"/>
      <c r="O4260" s="184"/>
      <c r="P4260" t="s">
        <v>7045</v>
      </c>
      <c r="Q4260" t="s">
        <v>7374</v>
      </c>
      <c r="R4260" s="184">
        <v>12844</v>
      </c>
      <c r="S4260">
        <v>89</v>
      </c>
      <c r="V4260" t="s">
        <v>2718</v>
      </c>
      <c r="X4260" t="s">
        <v>3024</v>
      </c>
      <c r="Z4260">
        <v>74762998</v>
      </c>
      <c r="AB4260" t="s">
        <v>3283</v>
      </c>
      <c r="AD4260" t="s">
        <v>3024</v>
      </c>
      <c r="AF4260" t="s">
        <v>31405</v>
      </c>
      <c r="AG4260" t="s">
        <v>31406</v>
      </c>
      <c r="AI4260" t="s">
        <v>31407</v>
      </c>
      <c r="AM4260" t="s">
        <v>31408</v>
      </c>
      <c r="AN4260" t="s">
        <v>2081</v>
      </c>
      <c r="AO4260" t="s">
        <v>31409</v>
      </c>
      <c r="AP4260" t="s">
        <v>7024</v>
      </c>
      <c r="AT4260" s="184"/>
      <c r="AW4260" s="184"/>
      <c r="AZ4260" s="184"/>
      <c r="BP4260" s="184"/>
    </row>
    <row r="4261" spans="1:68">
      <c r="A4261">
        <v>74768185</v>
      </c>
      <c r="B4261">
        <v>74768185</v>
      </c>
      <c r="C4261" t="s">
        <v>7018</v>
      </c>
      <c r="D4261" t="s">
        <v>595</v>
      </c>
      <c r="E4261" s="184">
        <v>43861</v>
      </c>
      <c r="G4261" s="184"/>
      <c r="I4261" s="184"/>
      <c r="K4261" s="184"/>
      <c r="O4261" s="184"/>
      <c r="P4261" t="s">
        <v>7045</v>
      </c>
      <c r="Q4261" t="s">
        <v>7030</v>
      </c>
      <c r="R4261" s="184">
        <v>14977</v>
      </c>
      <c r="S4261">
        <v>83</v>
      </c>
      <c r="U4261" t="s">
        <v>7031</v>
      </c>
      <c r="V4261" t="s">
        <v>2851</v>
      </c>
      <c r="W4261" t="s">
        <v>3825</v>
      </c>
      <c r="X4261" t="s">
        <v>4631</v>
      </c>
      <c r="AF4261" t="s">
        <v>31412</v>
      </c>
      <c r="AG4261" t="s">
        <v>2851</v>
      </c>
      <c r="AI4261" t="s">
        <v>31413</v>
      </c>
      <c r="AM4261" t="s">
        <v>4632</v>
      </c>
      <c r="AN4261" t="s">
        <v>2094</v>
      </c>
      <c r="AO4261" t="s">
        <v>31414</v>
      </c>
      <c r="AP4261" t="s">
        <v>7024</v>
      </c>
      <c r="AQ4261" t="s">
        <v>31415</v>
      </c>
      <c r="AT4261" s="184">
        <v>40933</v>
      </c>
      <c r="AU4261" t="s">
        <v>31416</v>
      </c>
      <c r="AV4261">
        <v>15</v>
      </c>
      <c r="AW4261" s="184">
        <v>43787</v>
      </c>
      <c r="AX4261" t="s">
        <v>20076</v>
      </c>
      <c r="AY4261">
        <v>25</v>
      </c>
      <c r="AZ4261" s="184">
        <v>43787</v>
      </c>
      <c r="BA4261" t="s">
        <v>20076</v>
      </c>
      <c r="BB4261">
        <v>25</v>
      </c>
      <c r="BC4261">
        <v>62</v>
      </c>
      <c r="BD4261">
        <v>225</v>
      </c>
      <c r="BE4261">
        <v>2012</v>
      </c>
      <c r="BF4261">
        <v>11</v>
      </c>
      <c r="BI4261">
        <v>8</v>
      </c>
      <c r="BJ4261">
        <v>13</v>
      </c>
      <c r="BK4261">
        <v>8</v>
      </c>
    </row>
    <row r="4262" spans="1:68">
      <c r="A4262">
        <v>74839176</v>
      </c>
      <c r="B4262">
        <v>74839176</v>
      </c>
      <c r="C4262" t="s">
        <v>7018</v>
      </c>
      <c r="E4262" s="184"/>
      <c r="G4262" s="184"/>
      <c r="I4262" s="184"/>
      <c r="J4262" t="s">
        <v>595</v>
      </c>
      <c r="K4262" s="184">
        <v>40921</v>
      </c>
      <c r="M4262" s="184"/>
      <c r="O4262" s="184"/>
      <c r="P4262" t="s">
        <v>7045</v>
      </c>
      <c r="Q4262" t="s">
        <v>7454</v>
      </c>
      <c r="R4262" s="184">
        <v>18295</v>
      </c>
      <c r="S4262">
        <v>74</v>
      </c>
      <c r="U4262" t="s">
        <v>7031</v>
      </c>
      <c r="V4262" t="s">
        <v>2758</v>
      </c>
      <c r="W4262" t="s">
        <v>3522</v>
      </c>
      <c r="X4262" t="s">
        <v>5385</v>
      </c>
      <c r="Z4262">
        <v>100146649</v>
      </c>
      <c r="AA4262" t="s">
        <v>7130</v>
      </c>
      <c r="AB4262" t="s">
        <v>3868</v>
      </c>
      <c r="AD4262" t="s">
        <v>5385</v>
      </c>
      <c r="AF4262" t="s">
        <v>6662</v>
      </c>
      <c r="AG4262" t="s">
        <v>31417</v>
      </c>
      <c r="AI4262" t="s">
        <v>31418</v>
      </c>
      <c r="AM4262" t="s">
        <v>3958</v>
      </c>
      <c r="AN4262" t="s">
        <v>2055</v>
      </c>
      <c r="AO4262" t="s">
        <v>31419</v>
      </c>
      <c r="AP4262" t="s">
        <v>7024</v>
      </c>
      <c r="AQ4262" t="s">
        <v>31420</v>
      </c>
      <c r="AR4262" t="s">
        <v>31421</v>
      </c>
      <c r="AT4262" s="184">
        <v>42312</v>
      </c>
      <c r="AU4262" t="s">
        <v>20929</v>
      </c>
      <c r="AV4262">
        <v>15</v>
      </c>
      <c r="AW4262" s="184">
        <v>45325</v>
      </c>
      <c r="AX4262" t="s">
        <v>9576</v>
      </c>
      <c r="AY4262">
        <v>30</v>
      </c>
      <c r="AZ4262" s="184">
        <v>42355</v>
      </c>
      <c r="BA4262" t="s">
        <v>31422</v>
      </c>
      <c r="BB4262">
        <v>100</v>
      </c>
      <c r="BC4262">
        <v>80</v>
      </c>
      <c r="BD4262">
        <v>325</v>
      </c>
      <c r="BE4262">
        <v>2016</v>
      </c>
      <c r="BF4262">
        <v>9</v>
      </c>
      <c r="BG4262">
        <v>2</v>
      </c>
      <c r="BH4262">
        <v>60</v>
      </c>
      <c r="BI4262">
        <v>8</v>
      </c>
      <c r="BJ4262">
        <v>10</v>
      </c>
      <c r="BK4262">
        <v>5</v>
      </c>
    </row>
    <row r="4263" spans="1:68">
      <c r="A4263">
        <v>100146649</v>
      </c>
      <c r="B4263">
        <v>74839176</v>
      </c>
      <c r="C4263" t="s">
        <v>7018</v>
      </c>
      <c r="E4263" s="184"/>
      <c r="G4263" s="184"/>
      <c r="I4263" s="184"/>
      <c r="J4263" t="s">
        <v>595</v>
      </c>
      <c r="K4263" s="184">
        <v>40921</v>
      </c>
      <c r="M4263" s="184"/>
      <c r="O4263" s="184"/>
      <c r="P4263" t="s">
        <v>7045</v>
      </c>
      <c r="Q4263" t="s">
        <v>7454</v>
      </c>
      <c r="R4263" s="184">
        <v>18295</v>
      </c>
      <c r="S4263">
        <v>74</v>
      </c>
      <c r="U4263" t="s">
        <v>7130</v>
      </c>
      <c r="V4263" t="s">
        <v>3868</v>
      </c>
      <c r="X4263" t="s">
        <v>5385</v>
      </c>
      <c r="Z4263">
        <v>74839176</v>
      </c>
      <c r="AA4263" t="s">
        <v>7031</v>
      </c>
      <c r="AB4263" t="s">
        <v>2758</v>
      </c>
      <c r="AC4263" t="s">
        <v>3522</v>
      </c>
      <c r="AD4263" t="s">
        <v>5385</v>
      </c>
      <c r="AF4263" t="s">
        <v>6662</v>
      </c>
      <c r="AG4263" t="s">
        <v>31417</v>
      </c>
      <c r="AI4263" t="s">
        <v>31418</v>
      </c>
      <c r="AM4263" t="s">
        <v>3958</v>
      </c>
      <c r="AN4263" t="s">
        <v>2055</v>
      </c>
      <c r="AO4263" t="s">
        <v>31419</v>
      </c>
      <c r="AP4263" t="s">
        <v>7024</v>
      </c>
      <c r="AT4263" s="184"/>
      <c r="AW4263" s="184"/>
      <c r="AZ4263" s="184"/>
      <c r="BP4263" s="184"/>
    </row>
    <row r="4264" spans="1:68">
      <c r="A4264">
        <v>74919812</v>
      </c>
      <c r="B4264">
        <v>74919812</v>
      </c>
      <c r="C4264" t="s">
        <v>7018</v>
      </c>
      <c r="E4264" s="184"/>
      <c r="G4264" s="184"/>
      <c r="I4264" s="184"/>
      <c r="J4264" t="s">
        <v>595</v>
      </c>
      <c r="K4264" s="184">
        <v>42496</v>
      </c>
      <c r="M4264" s="184"/>
      <c r="O4264" s="184"/>
      <c r="P4264" t="s">
        <v>7045</v>
      </c>
      <c r="Q4264" t="s">
        <v>7454</v>
      </c>
      <c r="R4264" s="184">
        <v>9856</v>
      </c>
      <c r="S4264">
        <v>97</v>
      </c>
      <c r="U4264" t="s">
        <v>7076</v>
      </c>
      <c r="V4264" t="s">
        <v>3179</v>
      </c>
      <c r="X4264" t="s">
        <v>31423</v>
      </c>
      <c r="AF4264" t="s">
        <v>6688</v>
      </c>
      <c r="AG4264" t="s">
        <v>3179</v>
      </c>
      <c r="AI4264" t="s">
        <v>31424</v>
      </c>
      <c r="AM4264" t="s">
        <v>3465</v>
      </c>
      <c r="AN4264" t="s">
        <v>2055</v>
      </c>
      <c r="AO4264" t="s">
        <v>20806</v>
      </c>
      <c r="AP4264" t="s">
        <v>7024</v>
      </c>
      <c r="AQ4264" t="s">
        <v>31425</v>
      </c>
      <c r="AT4264" s="184">
        <v>40925</v>
      </c>
      <c r="AU4264" t="s">
        <v>31426</v>
      </c>
      <c r="AV4264">
        <v>15</v>
      </c>
      <c r="AW4264" s="184">
        <v>42101</v>
      </c>
      <c r="AX4264" t="s">
        <v>31427</v>
      </c>
      <c r="AY4264">
        <v>25</v>
      </c>
      <c r="AZ4264" s="184">
        <v>42054</v>
      </c>
      <c r="BA4264" t="s">
        <v>31428</v>
      </c>
      <c r="BB4264">
        <v>35</v>
      </c>
      <c r="BC4264">
        <v>31</v>
      </c>
      <c r="BD4264">
        <v>135</v>
      </c>
      <c r="BE4264">
        <v>2012</v>
      </c>
      <c r="BF4264">
        <v>5</v>
      </c>
      <c r="BI4264">
        <v>4</v>
      </c>
      <c r="BJ4264">
        <v>13</v>
      </c>
      <c r="BK4264">
        <v>4</v>
      </c>
      <c r="BL4264" t="s">
        <v>595</v>
      </c>
      <c r="BM4264" t="s">
        <v>595</v>
      </c>
      <c r="BN4264" t="s">
        <v>595</v>
      </c>
      <c r="BP4264" s="184"/>
    </row>
    <row r="4265" spans="1:68">
      <c r="A4265">
        <v>74967613</v>
      </c>
      <c r="B4265">
        <v>74967613</v>
      </c>
      <c r="C4265" t="s">
        <v>7018</v>
      </c>
      <c r="D4265" t="s">
        <v>595</v>
      </c>
      <c r="E4265" s="184">
        <v>45153</v>
      </c>
      <c r="G4265" s="184"/>
      <c r="I4265" s="184"/>
      <c r="K4265" s="184"/>
      <c r="M4265" s="184"/>
      <c r="O4265" s="184"/>
      <c r="P4265" t="s">
        <v>7045</v>
      </c>
      <c r="Q4265" t="s">
        <v>7383</v>
      </c>
      <c r="R4265" s="184">
        <v>16182</v>
      </c>
      <c r="S4265">
        <v>80</v>
      </c>
      <c r="U4265" t="s">
        <v>7130</v>
      </c>
      <c r="V4265" t="s">
        <v>4646</v>
      </c>
      <c r="X4265" t="s">
        <v>5464</v>
      </c>
      <c r="AF4265" t="s">
        <v>31429</v>
      </c>
      <c r="AG4265" t="s">
        <v>4646</v>
      </c>
      <c r="AI4265" t="s">
        <v>31430</v>
      </c>
      <c r="AM4265" t="s">
        <v>31431</v>
      </c>
      <c r="AN4265" t="s">
        <v>2313</v>
      </c>
      <c r="AO4265" t="s">
        <v>31432</v>
      </c>
      <c r="AP4265" t="s">
        <v>7024</v>
      </c>
      <c r="AQ4265" t="s">
        <v>31433</v>
      </c>
      <c r="AT4265" s="184">
        <v>42723</v>
      </c>
      <c r="AU4265" t="s">
        <v>31434</v>
      </c>
      <c r="AV4265">
        <v>15</v>
      </c>
      <c r="AW4265" s="184">
        <v>45408</v>
      </c>
      <c r="AX4265" t="s">
        <v>8483</v>
      </c>
      <c r="AY4265">
        <v>10</v>
      </c>
      <c r="AZ4265" s="184">
        <v>43951</v>
      </c>
      <c r="BA4265" t="s">
        <v>24364</v>
      </c>
      <c r="BB4265">
        <v>25</v>
      </c>
      <c r="BC4265">
        <v>78</v>
      </c>
      <c r="BD4265">
        <v>400</v>
      </c>
      <c r="BE4265">
        <v>2017</v>
      </c>
      <c r="BF4265">
        <v>35</v>
      </c>
      <c r="BG4265">
        <v>18</v>
      </c>
      <c r="BH4265">
        <v>180</v>
      </c>
      <c r="BI4265">
        <v>7</v>
      </c>
      <c r="BJ4265">
        <v>9</v>
      </c>
      <c r="BK4265">
        <v>5</v>
      </c>
      <c r="BP4265" s="184"/>
    </row>
    <row r="4266" spans="1:68">
      <c r="A4266">
        <v>75063586</v>
      </c>
      <c r="B4266">
        <v>75063586</v>
      </c>
      <c r="C4266" t="s">
        <v>7018</v>
      </c>
      <c r="D4266" t="s">
        <v>595</v>
      </c>
      <c r="E4266" s="184">
        <v>45154</v>
      </c>
      <c r="G4266" s="184"/>
      <c r="I4266" s="184"/>
      <c r="K4266" s="184"/>
      <c r="M4266" s="184"/>
      <c r="O4266" s="184"/>
      <c r="P4266" t="s">
        <v>7045</v>
      </c>
      <c r="Q4266" t="s">
        <v>7383</v>
      </c>
      <c r="R4266" s="184">
        <v>21847</v>
      </c>
      <c r="S4266">
        <v>64</v>
      </c>
      <c r="U4266" t="s">
        <v>7076</v>
      </c>
      <c r="V4266" t="s">
        <v>5623</v>
      </c>
      <c r="X4266" t="s">
        <v>31435</v>
      </c>
      <c r="AF4266" t="s">
        <v>31436</v>
      </c>
      <c r="AG4266" t="s">
        <v>5623</v>
      </c>
      <c r="AI4266" t="s">
        <v>31437</v>
      </c>
      <c r="AM4266" t="s">
        <v>2974</v>
      </c>
      <c r="AN4266" t="s">
        <v>2185</v>
      </c>
      <c r="AO4266" t="s">
        <v>31438</v>
      </c>
      <c r="AP4266" t="s">
        <v>7024</v>
      </c>
      <c r="AQ4266" t="s">
        <v>31439</v>
      </c>
      <c r="AR4266" t="s">
        <v>31440</v>
      </c>
      <c r="AT4266" s="184">
        <v>43409</v>
      </c>
      <c r="AU4266" t="s">
        <v>31441</v>
      </c>
      <c r="AV4266">
        <v>15</v>
      </c>
      <c r="AW4266" s="184">
        <v>45426</v>
      </c>
      <c r="AX4266" t="s">
        <v>7422</v>
      </c>
      <c r="AY4266">
        <v>15</v>
      </c>
      <c r="AZ4266" s="184">
        <v>44175</v>
      </c>
      <c r="BA4266" t="s">
        <v>31442</v>
      </c>
      <c r="BB4266">
        <v>25</v>
      </c>
      <c r="BC4266">
        <v>100</v>
      </c>
      <c r="BD4266">
        <v>505</v>
      </c>
      <c r="BE4266">
        <v>2019</v>
      </c>
      <c r="BF4266">
        <v>35</v>
      </c>
      <c r="BG4266">
        <v>20</v>
      </c>
      <c r="BH4266">
        <v>300</v>
      </c>
      <c r="BI4266">
        <v>7</v>
      </c>
      <c r="BJ4266">
        <v>7</v>
      </c>
      <c r="BK4266">
        <v>7</v>
      </c>
      <c r="BP4266" s="184"/>
    </row>
    <row r="4267" spans="1:68">
      <c r="A4267">
        <v>75121814</v>
      </c>
      <c r="B4267">
        <v>75121814</v>
      </c>
      <c r="C4267" t="s">
        <v>7018</v>
      </c>
      <c r="D4267" t="s">
        <v>595</v>
      </c>
      <c r="E4267" s="184">
        <v>44441</v>
      </c>
      <c r="G4267" s="184"/>
      <c r="I4267" s="184"/>
      <c r="K4267" s="184"/>
      <c r="M4267" s="184"/>
      <c r="O4267" s="184"/>
      <c r="P4267" t="s">
        <v>7045</v>
      </c>
      <c r="Q4267" t="s">
        <v>7383</v>
      </c>
      <c r="R4267" s="184">
        <v>19480</v>
      </c>
      <c r="S4267">
        <v>71</v>
      </c>
      <c r="V4267" t="s">
        <v>4847</v>
      </c>
      <c r="X4267" t="s">
        <v>31443</v>
      </c>
      <c r="Z4267">
        <v>100146881</v>
      </c>
      <c r="AB4267" t="s">
        <v>3358</v>
      </c>
      <c r="AD4267" t="s">
        <v>31443</v>
      </c>
      <c r="AF4267" t="s">
        <v>31444</v>
      </c>
      <c r="AG4267" t="s">
        <v>31445</v>
      </c>
      <c r="AI4267" t="s">
        <v>31446</v>
      </c>
      <c r="AM4267" t="s">
        <v>31447</v>
      </c>
      <c r="AN4267" t="s">
        <v>2072</v>
      </c>
      <c r="AO4267" t="s">
        <v>31448</v>
      </c>
      <c r="AP4267" t="s">
        <v>7024</v>
      </c>
      <c r="AQ4267" t="s">
        <v>31449</v>
      </c>
      <c r="AR4267" t="s">
        <v>31450</v>
      </c>
      <c r="AT4267" s="184">
        <v>40933</v>
      </c>
      <c r="AU4267" t="s">
        <v>31451</v>
      </c>
      <c r="AV4267">
        <v>25</v>
      </c>
      <c r="AW4267" s="184">
        <v>45320</v>
      </c>
      <c r="AX4267" t="s">
        <v>9192</v>
      </c>
      <c r="AY4267">
        <v>100</v>
      </c>
      <c r="AZ4267" s="184">
        <v>45320</v>
      </c>
      <c r="BA4267" t="s">
        <v>9192</v>
      </c>
      <c r="BB4267">
        <v>100</v>
      </c>
      <c r="BC4267">
        <v>77</v>
      </c>
      <c r="BD4267">
        <v>525</v>
      </c>
      <c r="BE4267">
        <v>2012</v>
      </c>
      <c r="BF4267">
        <v>11</v>
      </c>
      <c r="BG4267">
        <v>2</v>
      </c>
      <c r="BH4267">
        <v>200</v>
      </c>
      <c r="BI4267">
        <v>10</v>
      </c>
      <c r="BJ4267">
        <v>13</v>
      </c>
      <c r="BK4267">
        <v>7</v>
      </c>
      <c r="BP4267" s="184"/>
    </row>
    <row r="4268" spans="1:68">
      <c r="A4268">
        <v>100146881</v>
      </c>
      <c r="B4268">
        <v>75121814</v>
      </c>
      <c r="C4268" t="s">
        <v>7018</v>
      </c>
      <c r="D4268" t="s">
        <v>595</v>
      </c>
      <c r="E4268" s="184">
        <v>44441</v>
      </c>
      <c r="G4268" s="184"/>
      <c r="I4268" s="184"/>
      <c r="K4268" s="184"/>
      <c r="M4268" s="184"/>
      <c r="O4268" s="184"/>
      <c r="P4268" t="s">
        <v>7045</v>
      </c>
      <c r="Q4268" t="s">
        <v>7383</v>
      </c>
      <c r="R4268" s="184">
        <v>19085</v>
      </c>
      <c r="S4268">
        <v>72</v>
      </c>
      <c r="V4268" t="s">
        <v>3358</v>
      </c>
      <c r="X4268" t="s">
        <v>31443</v>
      </c>
      <c r="Z4268">
        <v>75121814</v>
      </c>
      <c r="AB4268" t="s">
        <v>4847</v>
      </c>
      <c r="AD4268" t="s">
        <v>31443</v>
      </c>
      <c r="AF4268" t="s">
        <v>31444</v>
      </c>
      <c r="AG4268" t="s">
        <v>31445</v>
      </c>
      <c r="AI4268" t="s">
        <v>31446</v>
      </c>
      <c r="AM4268" t="s">
        <v>31447</v>
      </c>
      <c r="AN4268" t="s">
        <v>2072</v>
      </c>
      <c r="AO4268" t="s">
        <v>31448</v>
      </c>
      <c r="AP4268" t="s">
        <v>7024</v>
      </c>
      <c r="AT4268" s="184"/>
      <c r="AW4268" s="184"/>
      <c r="AZ4268" s="184"/>
      <c r="BP4268" s="184"/>
    </row>
    <row r="4269" spans="1:68">
      <c r="A4269">
        <v>75153981</v>
      </c>
      <c r="B4269">
        <v>75153981</v>
      </c>
      <c r="C4269" t="s">
        <v>7018</v>
      </c>
      <c r="D4269" t="s">
        <v>595</v>
      </c>
      <c r="E4269" s="184">
        <v>44073</v>
      </c>
      <c r="G4269" s="184"/>
      <c r="I4269" s="184"/>
      <c r="K4269" s="184"/>
      <c r="O4269" s="184"/>
      <c r="P4269" t="s">
        <v>7045</v>
      </c>
      <c r="Q4269" t="s">
        <v>7383</v>
      </c>
      <c r="R4269" s="184">
        <v>14246</v>
      </c>
      <c r="S4269">
        <v>85</v>
      </c>
      <c r="V4269" t="s">
        <v>3002</v>
      </c>
      <c r="X4269" t="s">
        <v>31452</v>
      </c>
      <c r="AF4269" t="s">
        <v>31453</v>
      </c>
      <c r="AG4269" t="s">
        <v>3002</v>
      </c>
      <c r="AI4269" t="s">
        <v>31454</v>
      </c>
      <c r="AM4269" t="s">
        <v>3357</v>
      </c>
      <c r="AN4269" t="s">
        <v>2185</v>
      </c>
      <c r="AO4269" t="s">
        <v>31455</v>
      </c>
      <c r="AP4269" t="s">
        <v>7024</v>
      </c>
      <c r="AT4269" s="184">
        <v>40934</v>
      </c>
      <c r="AU4269" t="s">
        <v>31456</v>
      </c>
      <c r="AV4269">
        <v>20</v>
      </c>
      <c r="AW4269" s="184">
        <v>44285</v>
      </c>
      <c r="AX4269" t="s">
        <v>31457</v>
      </c>
      <c r="AY4269">
        <v>25</v>
      </c>
      <c r="AZ4269" s="184">
        <v>44285</v>
      </c>
      <c r="BA4269" t="s">
        <v>31457</v>
      </c>
      <c r="BB4269">
        <v>25</v>
      </c>
      <c r="BC4269">
        <v>77</v>
      </c>
      <c r="BD4269">
        <v>535</v>
      </c>
      <c r="BE4269">
        <v>2012</v>
      </c>
      <c r="BF4269">
        <v>25</v>
      </c>
      <c r="BI4269">
        <v>10</v>
      </c>
      <c r="BJ4269">
        <v>13</v>
      </c>
      <c r="BK4269">
        <v>10</v>
      </c>
      <c r="BO4269" t="s">
        <v>595</v>
      </c>
      <c r="BP4269" s="184"/>
    </row>
    <row r="4270" spans="1:68">
      <c r="A4270">
        <v>75156117</v>
      </c>
      <c r="B4270">
        <v>75156117</v>
      </c>
      <c r="C4270" t="s">
        <v>7018</v>
      </c>
      <c r="E4270" s="184"/>
      <c r="G4270" s="184"/>
      <c r="I4270" s="184"/>
      <c r="J4270" t="s">
        <v>595</v>
      </c>
      <c r="K4270" s="184">
        <v>44167</v>
      </c>
      <c r="M4270" s="184"/>
      <c r="O4270" s="184"/>
      <c r="P4270" t="s">
        <v>7045</v>
      </c>
      <c r="Q4270" t="s">
        <v>7374</v>
      </c>
      <c r="R4270" s="184">
        <v>20363</v>
      </c>
      <c r="S4270">
        <v>68</v>
      </c>
      <c r="V4270" t="s">
        <v>3008</v>
      </c>
      <c r="X4270" t="s">
        <v>27391</v>
      </c>
      <c r="AF4270" t="s">
        <v>31458</v>
      </c>
      <c r="AG4270" t="s">
        <v>3008</v>
      </c>
      <c r="AI4270" t="s">
        <v>31459</v>
      </c>
      <c r="AM4270" t="s">
        <v>4297</v>
      </c>
      <c r="AN4270" t="s">
        <v>2526</v>
      </c>
      <c r="AO4270" t="s">
        <v>31460</v>
      </c>
      <c r="AP4270" t="s">
        <v>7024</v>
      </c>
      <c r="AQ4270" t="s">
        <v>31461</v>
      </c>
      <c r="AT4270" s="184">
        <v>40934</v>
      </c>
      <c r="AU4270" t="s">
        <v>31462</v>
      </c>
      <c r="AV4270">
        <v>50</v>
      </c>
      <c r="AW4270" s="184">
        <v>45408</v>
      </c>
      <c r="AX4270" t="s">
        <v>8483</v>
      </c>
      <c r="AY4270">
        <v>10</v>
      </c>
      <c r="AZ4270" s="184">
        <v>41393</v>
      </c>
      <c r="BA4270" t="s">
        <v>31463</v>
      </c>
      <c r="BB4270">
        <v>50</v>
      </c>
      <c r="BC4270">
        <v>100</v>
      </c>
      <c r="BD4270">
        <v>1445</v>
      </c>
      <c r="BE4270">
        <v>2012</v>
      </c>
      <c r="BF4270">
        <v>129</v>
      </c>
      <c r="BG4270">
        <v>24</v>
      </c>
      <c r="BH4270">
        <v>250</v>
      </c>
      <c r="BI4270">
        <v>13</v>
      </c>
      <c r="BJ4270">
        <v>13</v>
      </c>
      <c r="BK4270">
        <v>13</v>
      </c>
      <c r="BN4270" t="s">
        <v>595</v>
      </c>
      <c r="BP4270" s="184"/>
    </row>
    <row r="4271" spans="1:68">
      <c r="A4271">
        <v>75167775</v>
      </c>
      <c r="B4271">
        <v>75167775</v>
      </c>
      <c r="C4271" t="s">
        <v>7018</v>
      </c>
      <c r="D4271" t="s">
        <v>595</v>
      </c>
      <c r="E4271" s="184">
        <v>44455</v>
      </c>
      <c r="G4271" s="184"/>
      <c r="I4271" s="184"/>
      <c r="K4271" s="184"/>
      <c r="M4271" s="184"/>
      <c r="O4271" s="184"/>
      <c r="P4271" t="s">
        <v>7045</v>
      </c>
      <c r="Q4271" t="s">
        <v>7030</v>
      </c>
      <c r="R4271" s="184">
        <v>22100</v>
      </c>
      <c r="S4271">
        <v>63</v>
      </c>
      <c r="V4271" t="s">
        <v>3288</v>
      </c>
      <c r="X4271" t="s">
        <v>31464</v>
      </c>
      <c r="AF4271" t="s">
        <v>31465</v>
      </c>
      <c r="AG4271" t="s">
        <v>3288</v>
      </c>
      <c r="AI4271" t="s">
        <v>31466</v>
      </c>
      <c r="AM4271" t="s">
        <v>4455</v>
      </c>
      <c r="AN4271" t="s">
        <v>2201</v>
      </c>
      <c r="AO4271" t="s">
        <v>31467</v>
      </c>
      <c r="AP4271" t="s">
        <v>7024</v>
      </c>
      <c r="AQ4271" t="s">
        <v>31468</v>
      </c>
      <c r="AT4271" s="184">
        <v>40935</v>
      </c>
      <c r="AU4271" t="s">
        <v>31469</v>
      </c>
      <c r="AV4271">
        <v>25</v>
      </c>
      <c r="AW4271" s="184">
        <v>45120</v>
      </c>
      <c r="AX4271" t="s">
        <v>31470</v>
      </c>
      <c r="AY4271">
        <v>25</v>
      </c>
      <c r="AZ4271" s="184">
        <v>44301</v>
      </c>
      <c r="BA4271" t="s">
        <v>8638</v>
      </c>
      <c r="BB4271">
        <v>50</v>
      </c>
      <c r="BC4271">
        <v>77</v>
      </c>
      <c r="BD4271">
        <v>425</v>
      </c>
      <c r="BE4271">
        <v>2012</v>
      </c>
      <c r="BF4271">
        <v>15</v>
      </c>
      <c r="BG4271">
        <v>3</v>
      </c>
      <c r="BH4271">
        <v>75</v>
      </c>
      <c r="BI4271">
        <v>10</v>
      </c>
      <c r="BJ4271">
        <v>13</v>
      </c>
      <c r="BK4271">
        <v>4</v>
      </c>
      <c r="BP4271" s="184"/>
    </row>
    <row r="4272" spans="1:68">
      <c r="A4272">
        <v>75261180</v>
      </c>
      <c r="B4272">
        <v>75261180</v>
      </c>
      <c r="C4272" t="s">
        <v>7018</v>
      </c>
      <c r="D4272" t="s">
        <v>595</v>
      </c>
      <c r="E4272" s="184">
        <v>44073</v>
      </c>
      <c r="G4272" s="184"/>
      <c r="I4272" s="184"/>
      <c r="K4272" s="184"/>
      <c r="M4272" s="184"/>
      <c r="O4272" s="184"/>
      <c r="P4272" t="s">
        <v>7045</v>
      </c>
      <c r="Q4272" t="s">
        <v>7454</v>
      </c>
      <c r="R4272" s="184">
        <v>17479</v>
      </c>
      <c r="S4272">
        <v>76</v>
      </c>
      <c r="U4272" t="s">
        <v>7031</v>
      </c>
      <c r="V4272" t="s">
        <v>17960</v>
      </c>
      <c r="W4272" t="s">
        <v>5690</v>
      </c>
      <c r="X4272" t="s">
        <v>31471</v>
      </c>
      <c r="AF4272" t="s">
        <v>31472</v>
      </c>
      <c r="AG4272" t="s">
        <v>17960</v>
      </c>
      <c r="AI4272" t="s">
        <v>31473</v>
      </c>
      <c r="AM4272" t="s">
        <v>29025</v>
      </c>
      <c r="AN4272" t="s">
        <v>2055</v>
      </c>
      <c r="AO4272" t="s">
        <v>31474</v>
      </c>
      <c r="AP4272" t="s">
        <v>7024</v>
      </c>
      <c r="AQ4272" t="s">
        <v>31475</v>
      </c>
      <c r="AT4272" s="184">
        <v>30733</v>
      </c>
      <c r="AU4272" t="s">
        <v>31476</v>
      </c>
      <c r="AV4272">
        <v>18</v>
      </c>
      <c r="AW4272" s="184">
        <v>45316</v>
      </c>
      <c r="AX4272" t="s">
        <v>31477</v>
      </c>
      <c r="AY4272">
        <v>12</v>
      </c>
      <c r="AZ4272" s="184">
        <v>41333</v>
      </c>
      <c r="BA4272" t="s">
        <v>31478</v>
      </c>
      <c r="BB4272">
        <v>40</v>
      </c>
      <c r="BC4272">
        <v>49</v>
      </c>
      <c r="BD4272">
        <v>2534</v>
      </c>
      <c r="BE4272">
        <v>1984</v>
      </c>
      <c r="BF4272">
        <v>160</v>
      </c>
      <c r="BG4272">
        <v>23</v>
      </c>
      <c r="BH4272">
        <v>322</v>
      </c>
      <c r="BI4272">
        <v>20</v>
      </c>
      <c r="BJ4272">
        <v>41</v>
      </c>
      <c r="BK4272">
        <v>13</v>
      </c>
      <c r="BP4272" s="184"/>
    </row>
    <row r="4273" spans="1:68">
      <c r="A4273">
        <v>75279208</v>
      </c>
      <c r="B4273">
        <v>75279208</v>
      </c>
      <c r="C4273" t="s">
        <v>7018</v>
      </c>
      <c r="D4273" t="s">
        <v>595</v>
      </c>
      <c r="E4273" s="184">
        <v>44168</v>
      </c>
      <c r="G4273" s="184"/>
      <c r="I4273" s="184"/>
      <c r="K4273" s="184"/>
      <c r="M4273" s="184"/>
      <c r="O4273" s="184"/>
      <c r="P4273" t="s">
        <v>7045</v>
      </c>
      <c r="Q4273" t="s">
        <v>7374</v>
      </c>
      <c r="R4273" s="184">
        <v>18142</v>
      </c>
      <c r="S4273">
        <v>74</v>
      </c>
      <c r="U4273" t="s">
        <v>7076</v>
      </c>
      <c r="V4273" t="s">
        <v>3230</v>
      </c>
      <c r="X4273" t="s">
        <v>31479</v>
      </c>
      <c r="Z4273">
        <v>100301341</v>
      </c>
      <c r="AA4273" t="s">
        <v>7076</v>
      </c>
      <c r="AB4273" t="s">
        <v>5185</v>
      </c>
      <c r="AD4273" t="s">
        <v>25119</v>
      </c>
      <c r="AF4273" t="s">
        <v>31480</v>
      </c>
      <c r="AG4273" t="s">
        <v>31481</v>
      </c>
      <c r="AI4273" t="s">
        <v>31482</v>
      </c>
      <c r="AM4273" t="s">
        <v>21437</v>
      </c>
      <c r="AN4273" t="s">
        <v>2081</v>
      </c>
      <c r="AO4273" t="s">
        <v>31483</v>
      </c>
      <c r="AP4273" t="s">
        <v>7024</v>
      </c>
      <c r="AQ4273" t="s">
        <v>31484</v>
      </c>
      <c r="AR4273" t="s">
        <v>31485</v>
      </c>
      <c r="AT4273" s="184">
        <v>40946</v>
      </c>
      <c r="AU4273" t="s">
        <v>31416</v>
      </c>
      <c r="AV4273">
        <v>25</v>
      </c>
      <c r="AW4273" s="184">
        <v>45341</v>
      </c>
      <c r="AX4273" t="s">
        <v>31486</v>
      </c>
      <c r="AY4273">
        <v>20</v>
      </c>
      <c r="AZ4273" s="184">
        <v>42104</v>
      </c>
      <c r="BA4273" t="s">
        <v>31487</v>
      </c>
      <c r="BB4273">
        <v>35</v>
      </c>
      <c r="BC4273">
        <v>62</v>
      </c>
      <c r="BD4273">
        <v>275</v>
      </c>
      <c r="BE4273">
        <v>2012</v>
      </c>
      <c r="BF4273">
        <v>14</v>
      </c>
      <c r="BG4273">
        <v>3</v>
      </c>
      <c r="BH4273">
        <v>55</v>
      </c>
      <c r="BI4273">
        <v>8</v>
      </c>
      <c r="BJ4273">
        <v>13</v>
      </c>
      <c r="BK4273">
        <v>4</v>
      </c>
      <c r="BP4273" s="184"/>
    </row>
    <row r="4274" spans="1:68">
      <c r="A4274">
        <v>100301341</v>
      </c>
      <c r="B4274">
        <v>75279208</v>
      </c>
      <c r="C4274" t="s">
        <v>7018</v>
      </c>
      <c r="D4274" t="s">
        <v>595</v>
      </c>
      <c r="E4274" s="184">
        <v>44168</v>
      </c>
      <c r="G4274" s="184"/>
      <c r="I4274" s="184"/>
      <c r="K4274" s="184"/>
      <c r="M4274" s="184"/>
      <c r="O4274" s="184"/>
      <c r="P4274" t="s">
        <v>7045</v>
      </c>
      <c r="Q4274" t="s">
        <v>7374</v>
      </c>
      <c r="R4274" s="184">
        <v>15797</v>
      </c>
      <c r="S4274">
        <v>81</v>
      </c>
      <c r="U4274" t="s">
        <v>7076</v>
      </c>
      <c r="V4274" t="s">
        <v>5185</v>
      </c>
      <c r="X4274" t="s">
        <v>25119</v>
      </c>
      <c r="Z4274">
        <v>75279208</v>
      </c>
      <c r="AA4274" t="s">
        <v>7076</v>
      </c>
      <c r="AB4274" t="s">
        <v>3230</v>
      </c>
      <c r="AD4274" t="s">
        <v>31479</v>
      </c>
      <c r="AF4274" t="s">
        <v>31480</v>
      </c>
      <c r="AG4274" t="s">
        <v>31481</v>
      </c>
      <c r="AI4274" t="s">
        <v>31482</v>
      </c>
      <c r="AM4274" t="s">
        <v>21437</v>
      </c>
      <c r="AN4274" t="s">
        <v>2081</v>
      </c>
      <c r="AO4274" t="s">
        <v>31483</v>
      </c>
      <c r="AP4274" t="s">
        <v>7024</v>
      </c>
      <c r="AQ4274" t="s">
        <v>31488</v>
      </c>
      <c r="AT4274" s="184">
        <v>32531</v>
      </c>
      <c r="AU4274" t="s">
        <v>9484</v>
      </c>
      <c r="AV4274">
        <v>25</v>
      </c>
      <c r="AW4274" s="184">
        <v>43720</v>
      </c>
      <c r="AX4274" t="s">
        <v>31489</v>
      </c>
      <c r="AY4274">
        <v>25</v>
      </c>
      <c r="AZ4274" s="184">
        <v>43703</v>
      </c>
      <c r="BA4274" t="s">
        <v>31490</v>
      </c>
      <c r="BB4274">
        <v>35</v>
      </c>
      <c r="BC4274">
        <v>53</v>
      </c>
      <c r="BD4274">
        <v>715</v>
      </c>
      <c r="BE4274">
        <v>1989</v>
      </c>
      <c r="BF4274">
        <v>30</v>
      </c>
      <c r="BI4274">
        <v>19</v>
      </c>
      <c r="BJ4274">
        <v>36</v>
      </c>
      <c r="BK4274">
        <v>8</v>
      </c>
      <c r="BP4274" s="184"/>
    </row>
    <row r="4275" spans="1:68">
      <c r="A4275">
        <v>75285981</v>
      </c>
      <c r="B4275">
        <v>75285981</v>
      </c>
      <c r="C4275" t="s">
        <v>7018</v>
      </c>
      <c r="D4275" t="s">
        <v>595</v>
      </c>
      <c r="E4275" s="184">
        <v>44104</v>
      </c>
      <c r="G4275" s="184"/>
      <c r="I4275" s="184"/>
      <c r="K4275" s="184"/>
      <c r="M4275" s="184"/>
      <c r="O4275" s="184"/>
      <c r="P4275" t="s">
        <v>7045</v>
      </c>
      <c r="Q4275" t="s">
        <v>7020</v>
      </c>
      <c r="R4275" s="184">
        <v>19268</v>
      </c>
      <c r="S4275">
        <v>71</v>
      </c>
      <c r="V4275" t="s">
        <v>2958</v>
      </c>
      <c r="X4275" t="s">
        <v>31491</v>
      </c>
      <c r="AF4275" t="s">
        <v>31492</v>
      </c>
      <c r="AG4275" t="s">
        <v>2958</v>
      </c>
      <c r="AI4275" t="s">
        <v>31493</v>
      </c>
      <c r="AM4275" t="s">
        <v>2730</v>
      </c>
      <c r="AN4275" t="s">
        <v>2052</v>
      </c>
      <c r="AO4275" t="s">
        <v>31494</v>
      </c>
      <c r="AP4275" t="s">
        <v>7024</v>
      </c>
      <c r="AQ4275" t="s">
        <v>31495</v>
      </c>
      <c r="AT4275" s="184">
        <v>40946</v>
      </c>
      <c r="AU4275" t="s">
        <v>31496</v>
      </c>
      <c r="AV4275">
        <v>15</v>
      </c>
      <c r="AW4275" s="184">
        <v>45279</v>
      </c>
      <c r="AX4275" t="s">
        <v>7578</v>
      </c>
      <c r="AY4275">
        <v>25</v>
      </c>
      <c r="AZ4275" s="184">
        <v>45279</v>
      </c>
      <c r="BA4275" t="s">
        <v>7578</v>
      </c>
      <c r="BB4275">
        <v>25</v>
      </c>
      <c r="BC4275">
        <v>85</v>
      </c>
      <c r="BD4275">
        <v>380</v>
      </c>
      <c r="BE4275">
        <v>2012</v>
      </c>
      <c r="BF4275">
        <v>16</v>
      </c>
      <c r="BG4275">
        <v>3</v>
      </c>
      <c r="BH4275">
        <v>75</v>
      </c>
      <c r="BI4275">
        <v>11</v>
      </c>
      <c r="BJ4275">
        <v>13</v>
      </c>
      <c r="BK4275">
        <v>6</v>
      </c>
      <c r="BP4275" s="184"/>
    </row>
    <row r="4276" spans="1:68">
      <c r="A4276">
        <v>75305318</v>
      </c>
      <c r="B4276">
        <v>75305318</v>
      </c>
      <c r="C4276" t="s">
        <v>7018</v>
      </c>
      <c r="D4276" t="s">
        <v>595</v>
      </c>
      <c r="E4276" s="184">
        <v>44484</v>
      </c>
      <c r="G4276" s="184"/>
      <c r="I4276" s="184"/>
      <c r="K4276" s="184"/>
      <c r="M4276" s="184"/>
      <c r="O4276" s="184"/>
      <c r="P4276" t="s">
        <v>7045</v>
      </c>
      <c r="Q4276" t="s">
        <v>7030</v>
      </c>
      <c r="R4276" s="184">
        <v>19502</v>
      </c>
      <c r="S4276">
        <v>70</v>
      </c>
      <c r="U4276" t="s">
        <v>7076</v>
      </c>
      <c r="V4276" t="s">
        <v>2660</v>
      </c>
      <c r="X4276" t="s">
        <v>31497</v>
      </c>
      <c r="AF4276" t="s">
        <v>31498</v>
      </c>
      <c r="AG4276" t="s">
        <v>2660</v>
      </c>
      <c r="AI4276" t="s">
        <v>31499</v>
      </c>
      <c r="AM4276" t="s">
        <v>2658</v>
      </c>
      <c r="AN4276" t="s">
        <v>2089</v>
      </c>
      <c r="AO4276" t="s">
        <v>31500</v>
      </c>
      <c r="AP4276" t="s">
        <v>7024</v>
      </c>
      <c r="AQ4276" t="s">
        <v>31501</v>
      </c>
      <c r="AT4276" s="184">
        <v>40947</v>
      </c>
      <c r="AU4276" t="s">
        <v>31426</v>
      </c>
      <c r="AV4276">
        <v>25</v>
      </c>
      <c r="AW4276" s="184">
        <v>45127</v>
      </c>
      <c r="AX4276" t="s">
        <v>8299</v>
      </c>
      <c r="AY4276">
        <v>150</v>
      </c>
      <c r="AZ4276" s="184">
        <v>45127</v>
      </c>
      <c r="BA4276" t="s">
        <v>8299</v>
      </c>
      <c r="BB4276">
        <v>150</v>
      </c>
      <c r="BC4276">
        <v>85</v>
      </c>
      <c r="BD4276">
        <v>1190</v>
      </c>
      <c r="BE4276">
        <v>2012</v>
      </c>
      <c r="BF4276">
        <v>13</v>
      </c>
      <c r="BG4276">
        <v>2</v>
      </c>
      <c r="BH4276">
        <v>300</v>
      </c>
      <c r="BI4276">
        <v>11</v>
      </c>
      <c r="BJ4276">
        <v>13</v>
      </c>
      <c r="BK4276">
        <v>8</v>
      </c>
      <c r="BN4276" t="s">
        <v>595</v>
      </c>
      <c r="BP4276" s="184"/>
    </row>
    <row r="4277" spans="1:68">
      <c r="A4277">
        <v>75389775</v>
      </c>
      <c r="B4277">
        <v>75389775</v>
      </c>
      <c r="C4277" t="s">
        <v>7018</v>
      </c>
      <c r="E4277" s="184"/>
      <c r="G4277" s="184"/>
      <c r="I4277" s="184"/>
      <c r="J4277" t="s">
        <v>595</v>
      </c>
      <c r="K4277" s="184">
        <v>44294</v>
      </c>
      <c r="M4277" s="184"/>
      <c r="O4277" s="184"/>
      <c r="P4277" t="s">
        <v>7084</v>
      </c>
      <c r="Q4277" t="s">
        <v>7160</v>
      </c>
      <c r="R4277" s="184">
        <v>18080</v>
      </c>
      <c r="S4277">
        <v>74</v>
      </c>
      <c r="V4277" t="s">
        <v>5692</v>
      </c>
      <c r="W4277" t="s">
        <v>3830</v>
      </c>
      <c r="X4277" t="s">
        <v>31502</v>
      </c>
      <c r="AF4277" t="s">
        <v>31503</v>
      </c>
      <c r="AG4277" t="s">
        <v>5692</v>
      </c>
      <c r="AI4277" t="s">
        <v>31504</v>
      </c>
      <c r="AM4277" t="s">
        <v>31505</v>
      </c>
      <c r="AN4277" t="s">
        <v>2176</v>
      </c>
      <c r="AO4277" t="s">
        <v>31506</v>
      </c>
      <c r="AP4277" t="s">
        <v>7024</v>
      </c>
      <c r="AQ4277" t="s">
        <v>31507</v>
      </c>
      <c r="AR4277" t="s">
        <v>31508</v>
      </c>
      <c r="AT4277" s="184">
        <v>40949</v>
      </c>
      <c r="AU4277" t="s">
        <v>31509</v>
      </c>
      <c r="AV4277">
        <v>25</v>
      </c>
      <c r="AW4277" s="184">
        <v>44438</v>
      </c>
      <c r="AX4277" t="s">
        <v>7093</v>
      </c>
      <c r="AY4277">
        <v>0.08</v>
      </c>
      <c r="AZ4277" s="184">
        <v>44424</v>
      </c>
      <c r="BA4277" t="s">
        <v>7093</v>
      </c>
      <c r="BB4277">
        <v>97203.79</v>
      </c>
      <c r="BC4277">
        <v>70</v>
      </c>
      <c r="BD4277">
        <v>98253.87</v>
      </c>
      <c r="BE4277">
        <v>2012</v>
      </c>
      <c r="BF4277">
        <v>14</v>
      </c>
      <c r="BI4277">
        <v>9</v>
      </c>
      <c r="BJ4277">
        <v>13</v>
      </c>
      <c r="BK4277">
        <v>8</v>
      </c>
      <c r="BO4277" t="s">
        <v>595</v>
      </c>
      <c r="BP4277" s="184">
        <v>44256</v>
      </c>
    </row>
    <row r="4278" spans="1:68">
      <c r="A4278">
        <v>75473306</v>
      </c>
      <c r="B4278">
        <v>75473306</v>
      </c>
      <c r="C4278" t="s">
        <v>7018</v>
      </c>
      <c r="E4278" s="184"/>
      <c r="G4278" s="184"/>
      <c r="H4278" t="s">
        <v>595</v>
      </c>
      <c r="I4278" s="184">
        <v>44117</v>
      </c>
      <c r="K4278" s="184"/>
      <c r="M4278" s="184"/>
      <c r="N4278" t="s">
        <v>595</v>
      </c>
      <c r="O4278" s="184">
        <v>44181</v>
      </c>
      <c r="P4278" t="s">
        <v>7045</v>
      </c>
      <c r="Q4278" t="s">
        <v>7160</v>
      </c>
      <c r="R4278" s="184">
        <v>15750</v>
      </c>
      <c r="S4278">
        <v>81</v>
      </c>
      <c r="U4278" t="s">
        <v>7031</v>
      </c>
      <c r="V4278" t="s">
        <v>5035</v>
      </c>
      <c r="X4278" t="s">
        <v>5036</v>
      </c>
      <c r="AF4278" t="s">
        <v>31510</v>
      </c>
      <c r="AG4278" t="s">
        <v>5035</v>
      </c>
      <c r="AI4278" t="s">
        <v>31511</v>
      </c>
      <c r="AM4278" t="s">
        <v>5037</v>
      </c>
      <c r="AN4278" t="s">
        <v>2446</v>
      </c>
      <c r="AO4278" t="s">
        <v>31512</v>
      </c>
      <c r="AP4278" t="s">
        <v>7024</v>
      </c>
      <c r="AQ4278" t="s">
        <v>31513</v>
      </c>
      <c r="AR4278" t="s">
        <v>31514</v>
      </c>
      <c r="AT4278" s="184">
        <v>40953</v>
      </c>
      <c r="AU4278" t="s">
        <v>31515</v>
      </c>
      <c r="AV4278">
        <v>20</v>
      </c>
      <c r="AW4278" s="184">
        <v>44628</v>
      </c>
      <c r="AX4278" t="s">
        <v>31516</v>
      </c>
      <c r="AY4278">
        <v>30</v>
      </c>
      <c r="AZ4278" s="184">
        <v>42780</v>
      </c>
      <c r="BA4278" t="s">
        <v>10234</v>
      </c>
      <c r="BB4278">
        <v>75</v>
      </c>
      <c r="BC4278">
        <v>77</v>
      </c>
      <c r="BD4278">
        <v>605</v>
      </c>
      <c r="BE4278">
        <v>2012</v>
      </c>
      <c r="BF4278">
        <v>14</v>
      </c>
      <c r="BI4278">
        <v>10</v>
      </c>
      <c r="BJ4278">
        <v>13</v>
      </c>
      <c r="BK4278">
        <v>7</v>
      </c>
      <c r="BP4278" s="184"/>
    </row>
    <row r="4279" spans="1:68">
      <c r="A4279">
        <v>75490185</v>
      </c>
      <c r="B4279">
        <v>75490185</v>
      </c>
      <c r="C4279" t="s">
        <v>7018</v>
      </c>
      <c r="E4279" s="184"/>
      <c r="G4279" s="184"/>
      <c r="H4279" t="s">
        <v>595</v>
      </c>
      <c r="I4279" s="184">
        <v>43915</v>
      </c>
      <c r="K4279" s="184"/>
      <c r="M4279" s="184"/>
      <c r="O4279" s="184"/>
      <c r="P4279" t="s">
        <v>7045</v>
      </c>
      <c r="Q4279" t="s">
        <v>7774</v>
      </c>
      <c r="R4279" s="184">
        <v>17968</v>
      </c>
      <c r="S4279">
        <v>75</v>
      </c>
      <c r="V4279" t="s">
        <v>4791</v>
      </c>
      <c r="X4279" t="s">
        <v>2910</v>
      </c>
      <c r="AF4279" t="s">
        <v>31517</v>
      </c>
      <c r="AG4279" t="s">
        <v>4791</v>
      </c>
      <c r="AI4279" t="s">
        <v>31518</v>
      </c>
      <c r="AM4279" t="s">
        <v>4469</v>
      </c>
      <c r="AN4279" t="s">
        <v>2077</v>
      </c>
      <c r="AO4279">
        <v>59917</v>
      </c>
      <c r="AP4279" t="s">
        <v>7024</v>
      </c>
      <c r="AQ4279" t="s">
        <v>31519</v>
      </c>
      <c r="AT4279" s="184">
        <v>40953</v>
      </c>
      <c r="AU4279" t="s">
        <v>31456</v>
      </c>
      <c r="AV4279">
        <v>15</v>
      </c>
      <c r="AW4279" s="184">
        <v>43937</v>
      </c>
      <c r="AX4279" t="s">
        <v>31520</v>
      </c>
      <c r="AY4279">
        <v>15</v>
      </c>
      <c r="AZ4279" s="184">
        <v>43899</v>
      </c>
      <c r="BA4279" t="s">
        <v>31521</v>
      </c>
      <c r="BB4279">
        <v>25</v>
      </c>
      <c r="BC4279">
        <v>16</v>
      </c>
      <c r="BD4279">
        <v>70</v>
      </c>
      <c r="BE4279">
        <v>2012</v>
      </c>
      <c r="BF4279">
        <v>4</v>
      </c>
      <c r="BI4279">
        <v>2</v>
      </c>
      <c r="BJ4279">
        <v>13</v>
      </c>
      <c r="BK4279">
        <v>1</v>
      </c>
      <c r="BP4279" s="184"/>
    </row>
    <row r="4280" spans="1:68">
      <c r="A4280">
        <v>75526822</v>
      </c>
      <c r="B4280">
        <v>75526822</v>
      </c>
      <c r="C4280" t="s">
        <v>7018</v>
      </c>
      <c r="D4280" t="s">
        <v>595</v>
      </c>
      <c r="E4280" s="184">
        <v>43864</v>
      </c>
      <c r="G4280" s="184"/>
      <c r="I4280" s="184"/>
      <c r="K4280" s="184"/>
      <c r="M4280" s="184"/>
      <c r="O4280" s="184"/>
      <c r="P4280" t="s">
        <v>7045</v>
      </c>
      <c r="Q4280" t="s">
        <v>7374</v>
      </c>
      <c r="R4280" s="184">
        <v>13106</v>
      </c>
      <c r="S4280">
        <v>88</v>
      </c>
      <c r="U4280" t="s">
        <v>7076</v>
      </c>
      <c r="V4280" t="s">
        <v>4664</v>
      </c>
      <c r="X4280" t="s">
        <v>4730</v>
      </c>
      <c r="AF4280" t="s">
        <v>31522</v>
      </c>
      <c r="AG4280" t="s">
        <v>4664</v>
      </c>
      <c r="AI4280" t="s">
        <v>31523</v>
      </c>
      <c r="AM4280" t="s">
        <v>3677</v>
      </c>
      <c r="AN4280" t="s">
        <v>2081</v>
      </c>
      <c r="AO4280" t="s">
        <v>31524</v>
      </c>
      <c r="AP4280" t="s">
        <v>7024</v>
      </c>
      <c r="AQ4280" t="s">
        <v>31525</v>
      </c>
      <c r="AT4280" s="184">
        <v>41645</v>
      </c>
      <c r="AU4280" t="s">
        <v>31526</v>
      </c>
      <c r="AV4280">
        <v>25</v>
      </c>
      <c r="AW4280" s="184">
        <v>45267</v>
      </c>
      <c r="AX4280" t="s">
        <v>31527</v>
      </c>
      <c r="AY4280">
        <v>40</v>
      </c>
      <c r="AZ4280" s="184">
        <v>45267</v>
      </c>
      <c r="BA4280" t="s">
        <v>31527</v>
      </c>
      <c r="BB4280">
        <v>40</v>
      </c>
      <c r="BC4280">
        <v>73</v>
      </c>
      <c r="BD4280">
        <v>295</v>
      </c>
      <c r="BE4280">
        <v>2014</v>
      </c>
      <c r="BF4280">
        <v>9</v>
      </c>
      <c r="BG4280">
        <v>1</v>
      </c>
      <c r="BH4280">
        <v>40</v>
      </c>
      <c r="BI4280">
        <v>8</v>
      </c>
      <c r="BJ4280">
        <v>11</v>
      </c>
      <c r="BK4280">
        <v>3</v>
      </c>
      <c r="BP4280" s="184"/>
    </row>
    <row r="4281" spans="1:68">
      <c r="A4281">
        <v>75536979</v>
      </c>
      <c r="B4281">
        <v>75536979</v>
      </c>
      <c r="C4281" t="s">
        <v>7018</v>
      </c>
      <c r="D4281" t="s">
        <v>595</v>
      </c>
      <c r="E4281" s="184">
        <v>44046</v>
      </c>
      <c r="G4281" s="184"/>
      <c r="I4281" s="184"/>
      <c r="K4281" s="184"/>
      <c r="M4281" s="184"/>
      <c r="O4281" s="184"/>
      <c r="P4281" t="s">
        <v>7045</v>
      </c>
      <c r="Q4281" t="s">
        <v>7383</v>
      </c>
      <c r="R4281" s="184">
        <v>21094</v>
      </c>
      <c r="S4281">
        <v>66</v>
      </c>
      <c r="V4281" t="s">
        <v>2586</v>
      </c>
      <c r="W4281" t="s">
        <v>3542</v>
      </c>
      <c r="X4281" t="s">
        <v>31528</v>
      </c>
      <c r="AF4281" t="s">
        <v>31529</v>
      </c>
      <c r="AG4281" t="s">
        <v>2586</v>
      </c>
      <c r="AI4281" t="s">
        <v>31530</v>
      </c>
      <c r="AM4281" t="s">
        <v>13382</v>
      </c>
      <c r="AN4281" t="s">
        <v>2313</v>
      </c>
      <c r="AO4281" t="s">
        <v>31531</v>
      </c>
      <c r="AP4281" t="s">
        <v>7024</v>
      </c>
      <c r="AQ4281" t="s">
        <v>31532</v>
      </c>
      <c r="AT4281" s="184">
        <v>40959</v>
      </c>
      <c r="AU4281" t="s">
        <v>8168</v>
      </c>
      <c r="AV4281">
        <v>25</v>
      </c>
      <c r="AW4281" s="184">
        <v>45281</v>
      </c>
      <c r="AX4281" t="s">
        <v>9159</v>
      </c>
      <c r="AY4281">
        <v>100</v>
      </c>
      <c r="AZ4281" s="184">
        <v>45281</v>
      </c>
      <c r="BA4281" t="s">
        <v>9159</v>
      </c>
      <c r="BB4281">
        <v>100</v>
      </c>
      <c r="BC4281">
        <v>93</v>
      </c>
      <c r="BD4281">
        <v>800</v>
      </c>
      <c r="BE4281">
        <v>2012</v>
      </c>
      <c r="BF4281">
        <v>13</v>
      </c>
      <c r="BG4281">
        <v>2</v>
      </c>
      <c r="BH4281">
        <v>200</v>
      </c>
      <c r="BI4281">
        <v>12</v>
      </c>
      <c r="BJ4281">
        <v>13</v>
      </c>
      <c r="BK4281">
        <v>12</v>
      </c>
    </row>
    <row r="4282" spans="1:68">
      <c r="A4282">
        <v>75542837</v>
      </c>
      <c r="B4282">
        <v>75542837</v>
      </c>
      <c r="C4282" t="s">
        <v>7018</v>
      </c>
      <c r="D4282" t="s">
        <v>595</v>
      </c>
      <c r="E4282" s="184">
        <v>45147</v>
      </c>
      <c r="G4282" s="184"/>
      <c r="I4282" s="184"/>
      <c r="K4282" s="184"/>
      <c r="M4282" s="184"/>
      <c r="O4282" s="184"/>
      <c r="P4282" t="s">
        <v>7019</v>
      </c>
      <c r="Q4282" t="s">
        <v>7383</v>
      </c>
      <c r="R4282" s="184">
        <v>20729</v>
      </c>
      <c r="S4282">
        <v>67</v>
      </c>
      <c r="V4282" t="s">
        <v>2577</v>
      </c>
      <c r="W4282" t="s">
        <v>31533</v>
      </c>
      <c r="X4282" t="s">
        <v>3610</v>
      </c>
      <c r="AF4282" t="s">
        <v>31534</v>
      </c>
      <c r="AG4282" t="s">
        <v>2577</v>
      </c>
      <c r="AI4282" t="s">
        <v>31535</v>
      </c>
      <c r="AM4282" t="s">
        <v>4574</v>
      </c>
      <c r="AN4282" t="s">
        <v>2064</v>
      </c>
      <c r="AO4282" t="s">
        <v>31536</v>
      </c>
      <c r="AP4282" t="s">
        <v>7024</v>
      </c>
      <c r="AQ4282" t="s">
        <v>31537</v>
      </c>
      <c r="AT4282" s="184">
        <v>40960</v>
      </c>
      <c r="AU4282" t="s">
        <v>31108</v>
      </c>
      <c r="AV4282">
        <v>15</v>
      </c>
      <c r="AW4282" s="184">
        <v>43868</v>
      </c>
      <c r="AX4282" t="s">
        <v>31538</v>
      </c>
      <c r="AY4282">
        <v>60</v>
      </c>
      <c r="AZ4282" s="184">
        <v>43868</v>
      </c>
      <c r="BA4282" t="s">
        <v>31538</v>
      </c>
      <c r="BB4282">
        <v>60</v>
      </c>
      <c r="BC4282">
        <v>47</v>
      </c>
      <c r="BD4282">
        <v>145</v>
      </c>
      <c r="BE4282">
        <v>2012</v>
      </c>
      <c r="BF4282">
        <v>6</v>
      </c>
      <c r="BI4282">
        <v>6</v>
      </c>
      <c r="BJ4282">
        <v>13</v>
      </c>
      <c r="BK4282">
        <v>3</v>
      </c>
    </row>
    <row r="4283" spans="1:68">
      <c r="A4283">
        <v>75551176</v>
      </c>
      <c r="B4283">
        <v>75551176</v>
      </c>
      <c r="C4283" t="s">
        <v>7018</v>
      </c>
      <c r="D4283" t="s">
        <v>595</v>
      </c>
      <c r="E4283" s="184">
        <v>44438</v>
      </c>
      <c r="G4283" s="184"/>
      <c r="I4283" s="184"/>
      <c r="K4283" s="184"/>
      <c r="M4283" s="184"/>
      <c r="O4283" s="184"/>
      <c r="P4283" t="s">
        <v>7019</v>
      </c>
      <c r="Q4283" t="s">
        <v>7494</v>
      </c>
      <c r="R4283" s="184">
        <v>17247</v>
      </c>
      <c r="S4283">
        <v>77</v>
      </c>
      <c r="U4283" t="s">
        <v>7076</v>
      </c>
      <c r="V4283" t="s">
        <v>7290</v>
      </c>
      <c r="X4283" t="s">
        <v>31539</v>
      </c>
      <c r="AF4283" t="s">
        <v>31540</v>
      </c>
      <c r="AG4283" t="s">
        <v>7290</v>
      </c>
      <c r="AI4283" t="s">
        <v>31541</v>
      </c>
      <c r="AM4283" t="s">
        <v>4006</v>
      </c>
      <c r="AN4283" t="s">
        <v>2174</v>
      </c>
      <c r="AO4283" t="s">
        <v>31542</v>
      </c>
      <c r="AP4283" t="s">
        <v>7024</v>
      </c>
      <c r="AQ4283" t="s">
        <v>31543</v>
      </c>
      <c r="AT4283" s="184">
        <v>40954</v>
      </c>
      <c r="AU4283" t="s">
        <v>31544</v>
      </c>
      <c r="AV4283">
        <v>15</v>
      </c>
      <c r="AW4283" s="184">
        <v>44757</v>
      </c>
      <c r="AX4283" t="s">
        <v>17561</v>
      </c>
      <c r="AY4283">
        <v>87</v>
      </c>
      <c r="AZ4283" s="184">
        <v>44757</v>
      </c>
      <c r="BA4283" t="s">
        <v>17561</v>
      </c>
      <c r="BB4283">
        <v>87</v>
      </c>
      <c r="BC4283">
        <v>62</v>
      </c>
      <c r="BD4283">
        <v>307</v>
      </c>
      <c r="BE4283">
        <v>2012</v>
      </c>
      <c r="BF4283">
        <v>9</v>
      </c>
      <c r="BG4283">
        <v>1</v>
      </c>
      <c r="BH4283">
        <v>87</v>
      </c>
      <c r="BI4283">
        <v>8</v>
      </c>
      <c r="BJ4283">
        <v>13</v>
      </c>
      <c r="BK4283">
        <v>6</v>
      </c>
    </row>
    <row r="4284" spans="1:68">
      <c r="A4284">
        <v>75574988</v>
      </c>
      <c r="B4284">
        <v>75574988</v>
      </c>
      <c r="C4284" t="s">
        <v>7018</v>
      </c>
      <c r="D4284" t="s">
        <v>595</v>
      </c>
      <c r="E4284" s="184">
        <v>44167</v>
      </c>
      <c r="G4284" s="184"/>
      <c r="I4284" s="184"/>
      <c r="K4284" s="184"/>
      <c r="M4284" s="184"/>
      <c r="P4284" t="s">
        <v>7045</v>
      </c>
      <c r="Q4284" t="s">
        <v>7194</v>
      </c>
      <c r="R4284" s="184">
        <v>14066</v>
      </c>
      <c r="S4284">
        <v>85</v>
      </c>
      <c r="V4284" t="s">
        <v>2511</v>
      </c>
      <c r="W4284" t="s">
        <v>4139</v>
      </c>
      <c r="X4284" t="s">
        <v>3828</v>
      </c>
      <c r="AF4284" t="s">
        <v>31545</v>
      </c>
      <c r="AG4284" t="s">
        <v>2511</v>
      </c>
      <c r="AI4284" t="s">
        <v>31546</v>
      </c>
      <c r="AM4284" t="s">
        <v>10179</v>
      </c>
      <c r="AN4284" t="s">
        <v>2046</v>
      </c>
      <c r="AO4284" t="s">
        <v>31547</v>
      </c>
      <c r="AP4284" t="s">
        <v>7024</v>
      </c>
      <c r="AQ4284" t="s">
        <v>31548</v>
      </c>
      <c r="AT4284" s="184">
        <v>40955</v>
      </c>
      <c r="AU4284" t="s">
        <v>31549</v>
      </c>
      <c r="AV4284">
        <v>15</v>
      </c>
      <c r="AW4284" s="184">
        <v>44708</v>
      </c>
      <c r="AX4284" t="s">
        <v>31550</v>
      </c>
      <c r="AY4284">
        <v>25</v>
      </c>
      <c r="AZ4284" s="184">
        <v>43622</v>
      </c>
      <c r="BA4284" t="s">
        <v>31551</v>
      </c>
      <c r="BB4284">
        <v>60</v>
      </c>
      <c r="BC4284">
        <v>39</v>
      </c>
      <c r="BD4284">
        <v>300</v>
      </c>
      <c r="BE4284">
        <v>2012</v>
      </c>
      <c r="BF4284">
        <v>9</v>
      </c>
      <c r="BG4284">
        <v>1</v>
      </c>
      <c r="BH4284">
        <v>25</v>
      </c>
      <c r="BI4284">
        <v>5</v>
      </c>
      <c r="BJ4284">
        <v>13</v>
      </c>
      <c r="BK4284">
        <v>2</v>
      </c>
      <c r="BN4284" t="s">
        <v>595</v>
      </c>
    </row>
    <row r="4285" spans="1:68">
      <c r="A4285">
        <v>75734194</v>
      </c>
      <c r="B4285">
        <v>75734194</v>
      </c>
      <c r="C4285" t="s">
        <v>7018</v>
      </c>
      <c r="E4285" s="184"/>
      <c r="F4285" t="s">
        <v>595</v>
      </c>
      <c r="G4285" s="184">
        <v>44167</v>
      </c>
      <c r="I4285" s="184"/>
      <c r="K4285" s="184"/>
      <c r="M4285" s="184"/>
      <c r="O4285" s="184"/>
      <c r="P4285" t="s">
        <v>7045</v>
      </c>
      <c r="Q4285" t="s">
        <v>7160</v>
      </c>
      <c r="R4285" s="184">
        <v>18841</v>
      </c>
      <c r="S4285">
        <v>72</v>
      </c>
      <c r="U4285" t="s">
        <v>7130</v>
      </c>
      <c r="V4285" t="s">
        <v>3400</v>
      </c>
      <c r="W4285" t="s">
        <v>4139</v>
      </c>
      <c r="X4285" t="s">
        <v>31552</v>
      </c>
      <c r="Z4285">
        <v>100147224</v>
      </c>
      <c r="AA4285" t="s">
        <v>7032</v>
      </c>
      <c r="AB4285" t="s">
        <v>3080</v>
      </c>
      <c r="AC4285" t="s">
        <v>4013</v>
      </c>
      <c r="AD4285" t="s">
        <v>31552</v>
      </c>
      <c r="AF4285" t="s">
        <v>31553</v>
      </c>
      <c r="AG4285" t="s">
        <v>31554</v>
      </c>
      <c r="AI4285" t="s">
        <v>31555</v>
      </c>
      <c r="AM4285" t="s">
        <v>31556</v>
      </c>
      <c r="AN4285" t="s">
        <v>2176</v>
      </c>
      <c r="AO4285" t="s">
        <v>31557</v>
      </c>
      <c r="AP4285" t="s">
        <v>7024</v>
      </c>
      <c r="AQ4285" t="s">
        <v>31558</v>
      </c>
      <c r="AT4285" s="184">
        <v>40961</v>
      </c>
      <c r="AU4285" t="s">
        <v>31559</v>
      </c>
      <c r="AV4285">
        <v>25</v>
      </c>
      <c r="AW4285" s="184">
        <v>44985</v>
      </c>
      <c r="AX4285" t="s">
        <v>31560</v>
      </c>
      <c r="AY4285">
        <v>35</v>
      </c>
      <c r="AZ4285" s="184">
        <v>42738</v>
      </c>
      <c r="BA4285" t="s">
        <v>31561</v>
      </c>
      <c r="BB4285">
        <v>60</v>
      </c>
      <c r="BC4285">
        <v>62</v>
      </c>
      <c r="BD4285">
        <v>470</v>
      </c>
      <c r="BE4285">
        <v>2012</v>
      </c>
      <c r="BF4285">
        <v>12</v>
      </c>
      <c r="BG4285">
        <v>1</v>
      </c>
      <c r="BH4285">
        <v>35</v>
      </c>
      <c r="BI4285">
        <v>8</v>
      </c>
      <c r="BJ4285">
        <v>13</v>
      </c>
      <c r="BK4285">
        <v>4</v>
      </c>
    </row>
    <row r="4286" spans="1:68">
      <c r="A4286">
        <v>100147224</v>
      </c>
      <c r="B4286">
        <v>75734194</v>
      </c>
      <c r="C4286" t="s">
        <v>7018</v>
      </c>
      <c r="E4286" s="184"/>
      <c r="F4286" t="s">
        <v>595</v>
      </c>
      <c r="G4286" s="184">
        <v>44167</v>
      </c>
      <c r="I4286" s="184"/>
      <c r="K4286" s="184"/>
      <c r="M4286" s="184"/>
      <c r="O4286" s="184"/>
      <c r="P4286" t="s">
        <v>7045</v>
      </c>
      <c r="Q4286" t="s">
        <v>7160</v>
      </c>
      <c r="R4286" s="184">
        <v>18080</v>
      </c>
      <c r="S4286">
        <v>74</v>
      </c>
      <c r="U4286" t="s">
        <v>7032</v>
      </c>
      <c r="V4286" t="s">
        <v>3080</v>
      </c>
      <c r="W4286" t="s">
        <v>4013</v>
      </c>
      <c r="X4286" t="s">
        <v>31552</v>
      </c>
      <c r="Z4286">
        <v>75734194</v>
      </c>
      <c r="AA4286" t="s">
        <v>7130</v>
      </c>
      <c r="AB4286" t="s">
        <v>3400</v>
      </c>
      <c r="AC4286" t="s">
        <v>4139</v>
      </c>
      <c r="AD4286" t="s">
        <v>31552</v>
      </c>
      <c r="AF4286" t="s">
        <v>31553</v>
      </c>
      <c r="AG4286" t="s">
        <v>31554</v>
      </c>
      <c r="AI4286" t="s">
        <v>31555</v>
      </c>
      <c r="AM4286" t="s">
        <v>31556</v>
      </c>
      <c r="AN4286" t="s">
        <v>2176</v>
      </c>
      <c r="AO4286" t="s">
        <v>31557</v>
      </c>
      <c r="AP4286" t="s">
        <v>7024</v>
      </c>
      <c r="AQ4286" t="s">
        <v>31562</v>
      </c>
      <c r="AT4286" s="184"/>
      <c r="AW4286" s="184"/>
      <c r="AZ4286" s="184"/>
    </row>
    <row r="4287" spans="1:68">
      <c r="A4287">
        <v>75790832</v>
      </c>
      <c r="B4287">
        <v>75790832</v>
      </c>
      <c r="C4287" t="s">
        <v>7018</v>
      </c>
      <c r="D4287" t="s">
        <v>595</v>
      </c>
      <c r="E4287" s="184">
        <v>43866</v>
      </c>
      <c r="G4287" s="184"/>
      <c r="I4287" s="184"/>
      <c r="K4287" s="184"/>
      <c r="M4287" s="184"/>
      <c r="O4287" s="184"/>
      <c r="P4287" t="s">
        <v>7045</v>
      </c>
      <c r="Q4287" t="s">
        <v>7454</v>
      </c>
      <c r="R4287" s="184">
        <v>19060</v>
      </c>
      <c r="S4287">
        <v>72</v>
      </c>
      <c r="U4287" t="s">
        <v>7130</v>
      </c>
      <c r="V4287" t="s">
        <v>4751</v>
      </c>
      <c r="X4287" t="s">
        <v>4752</v>
      </c>
      <c r="AF4287" t="s">
        <v>31563</v>
      </c>
      <c r="AG4287" t="s">
        <v>4751</v>
      </c>
      <c r="AI4287" t="s">
        <v>31564</v>
      </c>
      <c r="AM4287" t="s">
        <v>4753</v>
      </c>
      <c r="AN4287" t="s">
        <v>2055</v>
      </c>
      <c r="AO4287" t="s">
        <v>31565</v>
      </c>
      <c r="AP4287" t="s">
        <v>7024</v>
      </c>
      <c r="AQ4287" t="s">
        <v>31566</v>
      </c>
      <c r="AT4287" s="184">
        <v>40967</v>
      </c>
      <c r="AU4287" t="s">
        <v>31567</v>
      </c>
      <c r="AV4287">
        <v>15</v>
      </c>
      <c r="AW4287" s="184">
        <v>45418</v>
      </c>
      <c r="AX4287" t="s">
        <v>7422</v>
      </c>
      <c r="AY4287">
        <v>20</v>
      </c>
      <c r="AZ4287" s="184">
        <v>45418</v>
      </c>
      <c r="BA4287" t="s">
        <v>7422</v>
      </c>
      <c r="BB4287">
        <v>20</v>
      </c>
      <c r="BC4287">
        <v>100</v>
      </c>
      <c r="BD4287">
        <v>2810</v>
      </c>
      <c r="BE4287">
        <v>2012</v>
      </c>
      <c r="BF4287">
        <v>146</v>
      </c>
      <c r="BG4287">
        <v>24</v>
      </c>
      <c r="BH4287">
        <v>480</v>
      </c>
      <c r="BI4287">
        <v>13</v>
      </c>
      <c r="BJ4287">
        <v>13</v>
      </c>
      <c r="BK4287">
        <v>13</v>
      </c>
      <c r="BP4287" s="184"/>
    </row>
    <row r="4288" spans="1:68">
      <c r="A4288">
        <v>75842898</v>
      </c>
      <c r="B4288">
        <v>75842898</v>
      </c>
      <c r="C4288" t="s">
        <v>7018</v>
      </c>
      <c r="D4288" t="s">
        <v>595</v>
      </c>
      <c r="E4288" s="184">
        <v>45148</v>
      </c>
      <c r="G4288" s="184"/>
      <c r="I4288" s="184"/>
      <c r="K4288" s="184"/>
      <c r="M4288" s="184"/>
      <c r="O4288" s="184"/>
      <c r="P4288" t="s">
        <v>7045</v>
      </c>
      <c r="Q4288" t="s">
        <v>7383</v>
      </c>
      <c r="R4288" s="184">
        <v>25113</v>
      </c>
      <c r="S4288">
        <v>55</v>
      </c>
      <c r="V4288" t="s">
        <v>2908</v>
      </c>
      <c r="X4288" t="s">
        <v>31568</v>
      </c>
      <c r="AF4288" t="s">
        <v>31569</v>
      </c>
      <c r="AG4288" t="s">
        <v>2908</v>
      </c>
      <c r="AI4288" t="s">
        <v>31570</v>
      </c>
      <c r="AM4288" t="s">
        <v>24106</v>
      </c>
      <c r="AN4288" t="s">
        <v>2185</v>
      </c>
      <c r="AO4288" t="s">
        <v>31571</v>
      </c>
      <c r="AP4288" t="s">
        <v>7024</v>
      </c>
      <c r="AQ4288" t="s">
        <v>31572</v>
      </c>
      <c r="AT4288" s="184">
        <v>40968</v>
      </c>
      <c r="AU4288" t="s">
        <v>31573</v>
      </c>
      <c r="AV4288">
        <v>19.97</v>
      </c>
      <c r="AW4288" s="184">
        <v>45068</v>
      </c>
      <c r="AX4288" t="s">
        <v>31574</v>
      </c>
      <c r="AY4288">
        <v>205</v>
      </c>
      <c r="AZ4288" s="184">
        <v>45068</v>
      </c>
      <c r="BA4288" t="s">
        <v>31574</v>
      </c>
      <c r="BB4288">
        <v>205</v>
      </c>
      <c r="BC4288">
        <v>85</v>
      </c>
      <c r="BD4288">
        <v>1224.97</v>
      </c>
      <c r="BE4288">
        <v>2012</v>
      </c>
      <c r="BF4288">
        <v>12</v>
      </c>
      <c r="BG4288">
        <v>2</v>
      </c>
      <c r="BH4288">
        <v>410</v>
      </c>
      <c r="BI4288">
        <v>11</v>
      </c>
      <c r="BJ4288">
        <v>13</v>
      </c>
      <c r="BK4288">
        <v>9</v>
      </c>
    </row>
    <row r="4289" spans="1:68">
      <c r="A4289">
        <v>75989202</v>
      </c>
      <c r="B4289">
        <v>75989202</v>
      </c>
      <c r="C4289" t="s">
        <v>7018</v>
      </c>
      <c r="D4289" t="s">
        <v>595</v>
      </c>
      <c r="E4289" s="184">
        <v>44167</v>
      </c>
      <c r="G4289" s="184"/>
      <c r="I4289" s="184"/>
      <c r="K4289" s="184"/>
      <c r="M4289" s="184"/>
      <c r="O4289" s="184"/>
      <c r="P4289" t="s">
        <v>7045</v>
      </c>
      <c r="Q4289" t="s">
        <v>8385</v>
      </c>
      <c r="R4289" s="184">
        <v>13397</v>
      </c>
      <c r="S4289">
        <v>87</v>
      </c>
      <c r="U4289" t="s">
        <v>7076</v>
      </c>
      <c r="V4289" t="s">
        <v>2586</v>
      </c>
      <c r="X4289" t="s">
        <v>31575</v>
      </c>
      <c r="Z4289">
        <v>100147381</v>
      </c>
      <c r="AA4289" t="s">
        <v>7031</v>
      </c>
      <c r="AB4289" t="s">
        <v>3689</v>
      </c>
      <c r="AD4289" t="s">
        <v>31575</v>
      </c>
      <c r="AF4289" t="s">
        <v>31576</v>
      </c>
      <c r="AG4289" t="s">
        <v>31577</v>
      </c>
      <c r="AI4289" t="s">
        <v>31578</v>
      </c>
      <c r="AM4289" t="s">
        <v>31579</v>
      </c>
      <c r="AN4289" t="s">
        <v>2181</v>
      </c>
      <c r="AO4289">
        <v>99567</v>
      </c>
      <c r="AP4289" t="s">
        <v>7024</v>
      </c>
      <c r="AQ4289" t="s">
        <v>31580</v>
      </c>
      <c r="AT4289" s="184">
        <v>40968</v>
      </c>
      <c r="AU4289" t="s">
        <v>31581</v>
      </c>
      <c r="AV4289">
        <v>15</v>
      </c>
      <c r="AW4289" s="184">
        <v>44546</v>
      </c>
      <c r="AX4289" t="s">
        <v>31582</v>
      </c>
      <c r="AY4289">
        <v>10</v>
      </c>
      <c r="AZ4289" s="184">
        <v>44410</v>
      </c>
      <c r="BA4289" t="s">
        <v>29130</v>
      </c>
      <c r="BB4289">
        <v>35</v>
      </c>
      <c r="BC4289">
        <v>54</v>
      </c>
      <c r="BD4289">
        <v>375</v>
      </c>
      <c r="BE4289">
        <v>2012</v>
      </c>
      <c r="BF4289">
        <v>15</v>
      </c>
      <c r="BI4289">
        <v>7</v>
      </c>
      <c r="BJ4289">
        <v>13</v>
      </c>
      <c r="BK4289">
        <v>6</v>
      </c>
    </row>
    <row r="4290" spans="1:68">
      <c r="A4290">
        <v>100147381</v>
      </c>
      <c r="B4290">
        <v>75989202</v>
      </c>
      <c r="C4290" t="s">
        <v>7018</v>
      </c>
      <c r="D4290" t="s">
        <v>595</v>
      </c>
      <c r="E4290" s="184">
        <v>44167</v>
      </c>
      <c r="G4290" s="184"/>
      <c r="I4290" s="184"/>
      <c r="K4290" s="184"/>
      <c r="M4290" s="184"/>
      <c r="O4290" s="184"/>
      <c r="P4290" t="s">
        <v>7045</v>
      </c>
      <c r="Q4290" t="s">
        <v>8385</v>
      </c>
      <c r="R4290" s="184">
        <v>11243</v>
      </c>
      <c r="S4290">
        <v>93</v>
      </c>
      <c r="U4290" t="s">
        <v>7031</v>
      </c>
      <c r="V4290" t="s">
        <v>3689</v>
      </c>
      <c r="X4290" t="s">
        <v>31575</v>
      </c>
      <c r="Z4290">
        <v>75989202</v>
      </c>
      <c r="AA4290" t="s">
        <v>7076</v>
      </c>
      <c r="AB4290" t="s">
        <v>2586</v>
      </c>
      <c r="AD4290" t="s">
        <v>31575</v>
      </c>
      <c r="AF4290" t="s">
        <v>31576</v>
      </c>
      <c r="AG4290" t="s">
        <v>31577</v>
      </c>
      <c r="AI4290" t="s">
        <v>31578</v>
      </c>
      <c r="AM4290" t="s">
        <v>31579</v>
      </c>
      <c r="AN4290" t="s">
        <v>2181</v>
      </c>
      <c r="AO4290">
        <v>99567</v>
      </c>
      <c r="AP4290" t="s">
        <v>7024</v>
      </c>
      <c r="AT4290" s="184"/>
      <c r="AW4290" s="184"/>
      <c r="AZ4290" s="184"/>
    </row>
    <row r="4291" spans="1:68">
      <c r="A4291">
        <v>76045178</v>
      </c>
      <c r="B4291">
        <v>76045178</v>
      </c>
      <c r="C4291" t="s">
        <v>7018</v>
      </c>
      <c r="D4291" t="s">
        <v>595</v>
      </c>
      <c r="E4291" s="184">
        <v>44167</v>
      </c>
      <c r="G4291" s="184"/>
      <c r="I4291" s="184"/>
      <c r="K4291" s="184"/>
      <c r="M4291" s="184"/>
      <c r="O4291" s="184"/>
      <c r="P4291" t="s">
        <v>7045</v>
      </c>
      <c r="Q4291" t="s">
        <v>7262</v>
      </c>
      <c r="R4291" s="184">
        <v>19497</v>
      </c>
      <c r="S4291">
        <v>70</v>
      </c>
      <c r="U4291" t="s">
        <v>7031</v>
      </c>
      <c r="V4291" t="s">
        <v>4022</v>
      </c>
      <c r="X4291" t="s">
        <v>21647</v>
      </c>
      <c r="AF4291" t="s">
        <v>31583</v>
      </c>
      <c r="AG4291" t="s">
        <v>4022</v>
      </c>
      <c r="AI4291" t="s">
        <v>31584</v>
      </c>
      <c r="AM4291" t="s">
        <v>31585</v>
      </c>
      <c r="AN4291" t="s">
        <v>2069</v>
      </c>
      <c r="AO4291" t="s">
        <v>31586</v>
      </c>
      <c r="AP4291" t="s">
        <v>7024</v>
      </c>
      <c r="AQ4291" t="s">
        <v>31587</v>
      </c>
      <c r="AR4291" t="s">
        <v>31588</v>
      </c>
      <c r="AT4291" s="184">
        <v>40970</v>
      </c>
      <c r="AU4291" t="s">
        <v>31589</v>
      </c>
      <c r="AV4291">
        <v>25</v>
      </c>
      <c r="AW4291" s="184">
        <v>45405</v>
      </c>
      <c r="AX4291" t="s">
        <v>7429</v>
      </c>
      <c r="AY4291">
        <v>15</v>
      </c>
      <c r="AZ4291" s="184">
        <v>44398</v>
      </c>
      <c r="BA4291" t="s">
        <v>31590</v>
      </c>
      <c r="BB4291">
        <v>40</v>
      </c>
      <c r="BC4291">
        <v>100</v>
      </c>
      <c r="BD4291">
        <v>1985</v>
      </c>
      <c r="BE4291">
        <v>2012</v>
      </c>
      <c r="BF4291">
        <v>143</v>
      </c>
      <c r="BG4291">
        <v>24</v>
      </c>
      <c r="BH4291">
        <v>360</v>
      </c>
      <c r="BI4291">
        <v>13</v>
      </c>
      <c r="BJ4291">
        <v>13</v>
      </c>
      <c r="BK4291">
        <v>13</v>
      </c>
    </row>
    <row r="4292" spans="1:68">
      <c r="A4292">
        <v>76078724</v>
      </c>
      <c r="B4292">
        <v>76078724</v>
      </c>
      <c r="C4292" t="s">
        <v>7018</v>
      </c>
      <c r="E4292" s="184"/>
      <c r="G4292" s="184"/>
      <c r="H4292" t="s">
        <v>595</v>
      </c>
      <c r="I4292" s="184">
        <v>44053</v>
      </c>
      <c r="K4292" s="184"/>
      <c r="M4292" s="184"/>
      <c r="O4292" s="184"/>
      <c r="P4292" t="s">
        <v>7045</v>
      </c>
      <c r="Q4292" t="s">
        <v>8385</v>
      </c>
      <c r="R4292" s="184">
        <v>22525</v>
      </c>
      <c r="S4292">
        <v>62</v>
      </c>
      <c r="V4292" t="s">
        <v>4840</v>
      </c>
      <c r="X4292" t="s">
        <v>4841</v>
      </c>
      <c r="Z4292">
        <v>100147459</v>
      </c>
      <c r="AB4292" t="s">
        <v>2995</v>
      </c>
      <c r="AD4292" t="s">
        <v>4841</v>
      </c>
      <c r="AF4292" t="s">
        <v>31591</v>
      </c>
      <c r="AG4292" t="s">
        <v>31592</v>
      </c>
      <c r="AI4292" t="s">
        <v>31593</v>
      </c>
      <c r="AM4292" t="s">
        <v>4842</v>
      </c>
      <c r="AN4292" t="s">
        <v>2181</v>
      </c>
      <c r="AO4292" t="s">
        <v>31594</v>
      </c>
      <c r="AP4292" t="s">
        <v>7024</v>
      </c>
      <c r="AQ4292" t="s">
        <v>31595</v>
      </c>
      <c r="AR4292" t="s">
        <v>31596</v>
      </c>
      <c r="AT4292" s="184">
        <v>40973</v>
      </c>
      <c r="AU4292" t="s">
        <v>31597</v>
      </c>
      <c r="AV4292">
        <v>20</v>
      </c>
      <c r="AW4292" s="184">
        <v>44284</v>
      </c>
      <c r="AX4292" t="s">
        <v>17656</v>
      </c>
      <c r="AY4292">
        <v>25</v>
      </c>
      <c r="AZ4292" s="184">
        <v>43826</v>
      </c>
      <c r="BA4292" t="s">
        <v>31598</v>
      </c>
      <c r="BB4292">
        <v>30</v>
      </c>
      <c r="BC4292">
        <v>31</v>
      </c>
      <c r="BD4292">
        <v>130</v>
      </c>
      <c r="BE4292">
        <v>2012</v>
      </c>
      <c r="BF4292">
        <v>5</v>
      </c>
      <c r="BI4292">
        <v>4</v>
      </c>
      <c r="BJ4292">
        <v>13</v>
      </c>
      <c r="BK4292">
        <v>3</v>
      </c>
      <c r="BP4292" s="184"/>
    </row>
    <row r="4293" spans="1:68">
      <c r="A4293">
        <v>100147459</v>
      </c>
      <c r="B4293">
        <v>76078724</v>
      </c>
      <c r="C4293" t="s">
        <v>7018</v>
      </c>
      <c r="E4293" s="184"/>
      <c r="G4293" s="184"/>
      <c r="H4293" t="s">
        <v>595</v>
      </c>
      <c r="I4293" s="184">
        <v>44053</v>
      </c>
      <c r="K4293" s="184"/>
      <c r="M4293" s="184"/>
      <c r="O4293" s="184"/>
      <c r="P4293" t="s">
        <v>7045</v>
      </c>
      <c r="Q4293" t="s">
        <v>8385</v>
      </c>
      <c r="R4293" s="184">
        <v>22525</v>
      </c>
      <c r="S4293">
        <v>62</v>
      </c>
      <c r="V4293" t="s">
        <v>2995</v>
      </c>
      <c r="X4293" t="s">
        <v>4841</v>
      </c>
      <c r="Z4293">
        <v>76078724</v>
      </c>
      <c r="AB4293" t="s">
        <v>4840</v>
      </c>
      <c r="AD4293" t="s">
        <v>4841</v>
      </c>
      <c r="AF4293" t="s">
        <v>31591</v>
      </c>
      <c r="AG4293" t="s">
        <v>31592</v>
      </c>
      <c r="AI4293" t="s">
        <v>31593</v>
      </c>
      <c r="AM4293" t="s">
        <v>4842</v>
      </c>
      <c r="AN4293" t="s">
        <v>2181</v>
      </c>
      <c r="AO4293" t="s">
        <v>31594</v>
      </c>
      <c r="AP4293" t="s">
        <v>7024</v>
      </c>
      <c r="AT4293" s="184"/>
      <c r="AW4293" s="184"/>
      <c r="AZ4293" s="184"/>
    </row>
    <row r="4294" spans="1:68">
      <c r="A4294">
        <v>76102979</v>
      </c>
      <c r="B4294">
        <v>76102979</v>
      </c>
      <c r="C4294" t="s">
        <v>7018</v>
      </c>
      <c r="D4294" t="s">
        <v>595</v>
      </c>
      <c r="E4294" s="184">
        <v>44419</v>
      </c>
      <c r="G4294" s="184"/>
      <c r="I4294" s="184"/>
      <c r="K4294" s="184"/>
      <c r="M4294" s="184"/>
      <c r="O4294" s="184"/>
      <c r="P4294" t="s">
        <v>7045</v>
      </c>
      <c r="Q4294" t="s">
        <v>7194</v>
      </c>
      <c r="R4294" s="184">
        <v>13047</v>
      </c>
      <c r="S4294">
        <v>88</v>
      </c>
      <c r="U4294" t="s">
        <v>7031</v>
      </c>
      <c r="V4294" t="s">
        <v>23399</v>
      </c>
      <c r="W4294" t="s">
        <v>2898</v>
      </c>
      <c r="X4294" t="s">
        <v>3677</v>
      </c>
      <c r="AF4294" t="s">
        <v>31599</v>
      </c>
      <c r="AG4294" t="s">
        <v>23399</v>
      </c>
      <c r="AI4294" t="s">
        <v>31600</v>
      </c>
      <c r="AM4294" t="s">
        <v>30155</v>
      </c>
      <c r="AN4294" t="s">
        <v>2046</v>
      </c>
      <c r="AO4294" t="s">
        <v>31601</v>
      </c>
      <c r="AP4294" t="s">
        <v>7024</v>
      </c>
      <c r="AQ4294" t="s">
        <v>31602</v>
      </c>
      <c r="AT4294" s="184">
        <v>40976</v>
      </c>
      <c r="AU4294" t="s">
        <v>31603</v>
      </c>
      <c r="AV4294">
        <v>50</v>
      </c>
      <c r="AW4294" s="184">
        <v>45145</v>
      </c>
      <c r="AX4294" t="s">
        <v>31604</v>
      </c>
      <c r="AY4294">
        <v>50</v>
      </c>
      <c r="AZ4294" s="184">
        <v>44701</v>
      </c>
      <c r="BA4294" t="s">
        <v>31605</v>
      </c>
      <c r="BB4294">
        <v>300</v>
      </c>
      <c r="BC4294">
        <v>62</v>
      </c>
      <c r="BD4294">
        <v>3230</v>
      </c>
      <c r="BE4294">
        <v>2012</v>
      </c>
      <c r="BF4294">
        <v>17</v>
      </c>
      <c r="BG4294">
        <v>5</v>
      </c>
      <c r="BH4294">
        <v>730</v>
      </c>
      <c r="BI4294">
        <v>8</v>
      </c>
      <c r="BJ4294">
        <v>13</v>
      </c>
      <c r="BK4294">
        <v>7</v>
      </c>
      <c r="BN4294" t="s">
        <v>595</v>
      </c>
      <c r="BP4294" s="184"/>
    </row>
    <row r="4295" spans="1:68">
      <c r="A4295">
        <v>76161397</v>
      </c>
      <c r="B4295">
        <v>76161397</v>
      </c>
      <c r="C4295" t="s">
        <v>7018</v>
      </c>
      <c r="D4295" t="s">
        <v>595</v>
      </c>
      <c r="E4295" s="184">
        <v>44167</v>
      </c>
      <c r="G4295" s="184"/>
      <c r="I4295" s="184"/>
      <c r="K4295" s="184"/>
      <c r="M4295" s="184"/>
      <c r="O4295" s="184"/>
      <c r="P4295" t="s">
        <v>7045</v>
      </c>
      <c r="Q4295" t="s">
        <v>7262</v>
      </c>
      <c r="R4295" s="184">
        <v>17441</v>
      </c>
      <c r="S4295">
        <v>76</v>
      </c>
      <c r="U4295" t="s">
        <v>7076</v>
      </c>
      <c r="V4295" t="s">
        <v>11602</v>
      </c>
      <c r="X4295" t="s">
        <v>31606</v>
      </c>
      <c r="AF4295" t="s">
        <v>31607</v>
      </c>
      <c r="AG4295" t="s">
        <v>11602</v>
      </c>
      <c r="AI4295" t="s">
        <v>31608</v>
      </c>
      <c r="AM4295" t="s">
        <v>5959</v>
      </c>
      <c r="AN4295" t="s">
        <v>2069</v>
      </c>
      <c r="AO4295" t="s">
        <v>31609</v>
      </c>
      <c r="AP4295" t="s">
        <v>7024</v>
      </c>
      <c r="AQ4295" t="s">
        <v>31610</v>
      </c>
      <c r="AR4295" t="s">
        <v>31611</v>
      </c>
      <c r="AT4295" s="184">
        <v>42395</v>
      </c>
      <c r="AU4295" t="s">
        <v>31612</v>
      </c>
      <c r="AV4295">
        <v>35</v>
      </c>
      <c r="AW4295" s="184">
        <v>45366</v>
      </c>
      <c r="AX4295" t="s">
        <v>12049</v>
      </c>
      <c r="AY4295">
        <v>150</v>
      </c>
      <c r="AZ4295" s="184">
        <v>44970</v>
      </c>
      <c r="BA4295" t="s">
        <v>18938</v>
      </c>
      <c r="BB4295">
        <v>225</v>
      </c>
      <c r="BC4295">
        <v>100</v>
      </c>
      <c r="BD4295">
        <v>1580</v>
      </c>
      <c r="BE4295">
        <v>2016</v>
      </c>
      <c r="BF4295">
        <v>21</v>
      </c>
      <c r="BG4295">
        <v>4</v>
      </c>
      <c r="BH4295">
        <v>575</v>
      </c>
      <c r="BI4295">
        <v>9</v>
      </c>
      <c r="BJ4295">
        <v>9</v>
      </c>
      <c r="BK4295">
        <v>9</v>
      </c>
    </row>
    <row r="4296" spans="1:68">
      <c r="A4296">
        <v>76229988</v>
      </c>
      <c r="B4296">
        <v>76229988</v>
      </c>
      <c r="C4296" t="s">
        <v>7018</v>
      </c>
      <c r="E4296" s="184"/>
      <c r="F4296" t="s">
        <v>595</v>
      </c>
      <c r="G4296" s="184">
        <v>44104</v>
      </c>
      <c r="I4296" s="184"/>
      <c r="K4296" s="184"/>
      <c r="M4296" s="184"/>
      <c r="P4296" t="s">
        <v>7045</v>
      </c>
      <c r="Q4296" t="s">
        <v>7020</v>
      </c>
      <c r="R4296" s="184">
        <v>13609</v>
      </c>
      <c r="S4296">
        <v>87</v>
      </c>
      <c r="V4296" t="s">
        <v>3360</v>
      </c>
      <c r="X4296" t="s">
        <v>31613</v>
      </c>
      <c r="Z4296">
        <v>100147642</v>
      </c>
      <c r="AB4296" t="s">
        <v>3249</v>
      </c>
      <c r="AD4296" t="s">
        <v>31613</v>
      </c>
      <c r="AF4296" t="s">
        <v>31614</v>
      </c>
      <c r="AG4296" t="s">
        <v>31615</v>
      </c>
      <c r="AI4296" t="s">
        <v>31616</v>
      </c>
      <c r="AM4296" t="s">
        <v>3999</v>
      </c>
      <c r="AN4296" t="s">
        <v>2052</v>
      </c>
      <c r="AO4296" t="s">
        <v>31617</v>
      </c>
      <c r="AP4296" t="s">
        <v>7024</v>
      </c>
      <c r="AQ4296" t="s">
        <v>31618</v>
      </c>
      <c r="AR4296" t="s">
        <v>31619</v>
      </c>
      <c r="AT4296" s="184">
        <v>40980</v>
      </c>
      <c r="AU4296" t="s">
        <v>31620</v>
      </c>
      <c r="AV4296">
        <v>20</v>
      </c>
      <c r="AW4296" s="184">
        <v>45320</v>
      </c>
      <c r="AX4296" t="s">
        <v>10041</v>
      </c>
      <c r="AY4296">
        <v>25</v>
      </c>
      <c r="AZ4296" s="184">
        <v>43088</v>
      </c>
      <c r="BA4296" t="s">
        <v>10277</v>
      </c>
      <c r="BB4296">
        <v>50</v>
      </c>
      <c r="BC4296">
        <v>100</v>
      </c>
      <c r="BD4296">
        <v>720</v>
      </c>
      <c r="BE4296">
        <v>2012</v>
      </c>
      <c r="BF4296">
        <v>25</v>
      </c>
      <c r="BG4296">
        <v>5</v>
      </c>
      <c r="BH4296">
        <v>125</v>
      </c>
      <c r="BI4296">
        <v>13</v>
      </c>
      <c r="BJ4296">
        <v>13</v>
      </c>
      <c r="BK4296">
        <v>13</v>
      </c>
    </row>
    <row r="4297" spans="1:68">
      <c r="A4297">
        <v>100147642</v>
      </c>
      <c r="B4297">
        <v>76229988</v>
      </c>
      <c r="C4297" t="s">
        <v>7018</v>
      </c>
      <c r="E4297" s="184"/>
      <c r="F4297" t="s">
        <v>595</v>
      </c>
      <c r="G4297" s="184">
        <v>44104</v>
      </c>
      <c r="I4297" s="184"/>
      <c r="K4297" s="184"/>
      <c r="M4297" s="184"/>
      <c r="O4297" s="184"/>
      <c r="P4297" t="s">
        <v>7045</v>
      </c>
      <c r="Q4297" t="s">
        <v>7020</v>
      </c>
      <c r="R4297" s="184">
        <v>19531</v>
      </c>
      <c r="S4297">
        <v>70</v>
      </c>
      <c r="V4297" t="s">
        <v>3249</v>
      </c>
      <c r="X4297" t="s">
        <v>31613</v>
      </c>
      <c r="Z4297">
        <v>76229988</v>
      </c>
      <c r="AB4297" t="s">
        <v>3360</v>
      </c>
      <c r="AD4297" t="s">
        <v>31613</v>
      </c>
      <c r="AF4297" t="s">
        <v>31614</v>
      </c>
      <c r="AG4297" t="s">
        <v>31615</v>
      </c>
      <c r="AI4297" t="s">
        <v>31616</v>
      </c>
      <c r="AM4297" t="s">
        <v>3999</v>
      </c>
      <c r="AN4297" t="s">
        <v>2052</v>
      </c>
      <c r="AO4297" t="s">
        <v>31617</v>
      </c>
      <c r="AP4297" t="s">
        <v>7024</v>
      </c>
      <c r="AT4297" s="184"/>
      <c r="AW4297" s="184"/>
      <c r="AZ4297" s="184"/>
    </row>
    <row r="4298" spans="1:68">
      <c r="A4298">
        <v>76233592</v>
      </c>
      <c r="B4298">
        <v>76233592</v>
      </c>
      <c r="C4298" t="s">
        <v>7018</v>
      </c>
      <c r="D4298" t="s">
        <v>595</v>
      </c>
      <c r="E4298" s="184">
        <v>45117</v>
      </c>
      <c r="G4298" s="184"/>
      <c r="I4298" s="184"/>
      <c r="K4298" s="184"/>
      <c r="M4298" s="184"/>
      <c r="O4298" s="184"/>
      <c r="P4298" t="s">
        <v>7045</v>
      </c>
      <c r="Q4298" t="s">
        <v>7494</v>
      </c>
      <c r="R4298" s="184">
        <v>22511</v>
      </c>
      <c r="S4298">
        <v>62</v>
      </c>
      <c r="V4298" t="s">
        <v>4236</v>
      </c>
      <c r="X4298" t="s">
        <v>2934</v>
      </c>
      <c r="AF4298" t="s">
        <v>31621</v>
      </c>
      <c r="AG4298" t="s">
        <v>4236</v>
      </c>
      <c r="AI4298" t="s">
        <v>31622</v>
      </c>
      <c r="AM4298" t="s">
        <v>31623</v>
      </c>
      <c r="AN4298" t="s">
        <v>2174</v>
      </c>
      <c r="AO4298" t="s">
        <v>31624</v>
      </c>
      <c r="AP4298" t="s">
        <v>7024</v>
      </c>
      <c r="AQ4298" t="s">
        <v>31625</v>
      </c>
      <c r="AT4298" s="184">
        <v>40980</v>
      </c>
      <c r="AU4298" t="s">
        <v>31626</v>
      </c>
      <c r="AV4298">
        <v>25</v>
      </c>
      <c r="AW4298" s="184">
        <v>45072</v>
      </c>
      <c r="AX4298" t="s">
        <v>7665</v>
      </c>
      <c r="AY4298">
        <v>25</v>
      </c>
      <c r="AZ4298" s="184">
        <v>45072</v>
      </c>
      <c r="BA4298" t="s">
        <v>7665</v>
      </c>
      <c r="BB4298">
        <v>25</v>
      </c>
      <c r="BC4298">
        <v>77</v>
      </c>
      <c r="BD4298">
        <v>330</v>
      </c>
      <c r="BE4298">
        <v>2012</v>
      </c>
      <c r="BF4298">
        <v>14</v>
      </c>
      <c r="BG4298">
        <v>2</v>
      </c>
      <c r="BH4298">
        <v>50</v>
      </c>
      <c r="BI4298">
        <v>10</v>
      </c>
      <c r="BJ4298">
        <v>13</v>
      </c>
      <c r="BK4298">
        <v>4</v>
      </c>
    </row>
    <row r="4299" spans="1:68">
      <c r="A4299">
        <v>76343987</v>
      </c>
      <c r="B4299">
        <v>76343987</v>
      </c>
      <c r="C4299" t="s">
        <v>7018</v>
      </c>
      <c r="E4299" s="184"/>
      <c r="G4299" s="184"/>
      <c r="I4299" s="184"/>
      <c r="J4299" t="s">
        <v>595</v>
      </c>
      <c r="K4299" s="184">
        <v>44013</v>
      </c>
      <c r="L4299" t="s">
        <v>595</v>
      </c>
      <c r="M4299" s="184">
        <v>43965</v>
      </c>
      <c r="O4299" s="184"/>
      <c r="P4299" t="s">
        <v>7029</v>
      </c>
      <c r="Q4299" t="s">
        <v>7454</v>
      </c>
      <c r="R4299" s="184">
        <v>17418</v>
      </c>
      <c r="S4299">
        <v>76</v>
      </c>
      <c r="V4299" t="s">
        <v>2821</v>
      </c>
      <c r="X4299" t="s">
        <v>31627</v>
      </c>
      <c r="Z4299">
        <v>100147698</v>
      </c>
      <c r="AB4299" t="s">
        <v>3468</v>
      </c>
      <c r="AD4299" t="s">
        <v>31627</v>
      </c>
      <c r="AF4299" t="s">
        <v>31628</v>
      </c>
      <c r="AG4299" t="s">
        <v>31629</v>
      </c>
      <c r="AI4299" t="s">
        <v>31630</v>
      </c>
      <c r="AM4299" t="s">
        <v>3855</v>
      </c>
      <c r="AN4299" t="s">
        <v>2055</v>
      </c>
      <c r="AO4299" t="s">
        <v>31631</v>
      </c>
      <c r="AP4299" t="s">
        <v>7024</v>
      </c>
      <c r="AQ4299" t="s">
        <v>31632</v>
      </c>
      <c r="AT4299" s="184">
        <v>40983</v>
      </c>
      <c r="AU4299" t="s">
        <v>31633</v>
      </c>
      <c r="AV4299">
        <v>25</v>
      </c>
      <c r="AW4299" s="184">
        <v>45092</v>
      </c>
      <c r="AX4299" t="s">
        <v>8299</v>
      </c>
      <c r="AY4299">
        <v>500</v>
      </c>
      <c r="AZ4299" s="184">
        <v>44792</v>
      </c>
      <c r="BA4299" t="s">
        <v>8977</v>
      </c>
      <c r="BB4299">
        <v>600</v>
      </c>
      <c r="BC4299">
        <v>93</v>
      </c>
      <c r="BD4299">
        <v>4540</v>
      </c>
      <c r="BE4299">
        <v>2012</v>
      </c>
      <c r="BF4299">
        <v>25</v>
      </c>
      <c r="BG4299">
        <v>2</v>
      </c>
      <c r="BH4299">
        <v>1100</v>
      </c>
      <c r="BI4299">
        <v>12</v>
      </c>
      <c r="BJ4299">
        <v>13</v>
      </c>
      <c r="BK4299">
        <v>12</v>
      </c>
    </row>
    <row r="4300" spans="1:68">
      <c r="A4300">
        <v>100147698</v>
      </c>
      <c r="B4300">
        <v>76343987</v>
      </c>
      <c r="C4300" t="s">
        <v>7018</v>
      </c>
      <c r="E4300" s="184"/>
      <c r="G4300" s="184"/>
      <c r="I4300" s="184"/>
      <c r="J4300" t="s">
        <v>595</v>
      </c>
      <c r="K4300" s="184">
        <v>44013</v>
      </c>
      <c r="L4300" t="s">
        <v>595</v>
      </c>
      <c r="M4300" s="184">
        <v>43965</v>
      </c>
      <c r="O4300" s="184"/>
      <c r="P4300" t="s">
        <v>7029</v>
      </c>
      <c r="Q4300" t="s">
        <v>7454</v>
      </c>
      <c r="R4300" s="184">
        <v>19277</v>
      </c>
      <c r="S4300">
        <v>71</v>
      </c>
      <c r="V4300" t="s">
        <v>3468</v>
      </c>
      <c r="X4300" t="s">
        <v>31627</v>
      </c>
      <c r="Z4300">
        <v>76343987</v>
      </c>
      <c r="AB4300" t="s">
        <v>2821</v>
      </c>
      <c r="AD4300" t="s">
        <v>31627</v>
      </c>
      <c r="AF4300" t="s">
        <v>31628</v>
      </c>
      <c r="AG4300" t="s">
        <v>31629</v>
      </c>
      <c r="AI4300" t="s">
        <v>31630</v>
      </c>
      <c r="AM4300" t="s">
        <v>3855</v>
      </c>
      <c r="AN4300" t="s">
        <v>2055</v>
      </c>
      <c r="AO4300" t="s">
        <v>31631</v>
      </c>
      <c r="AP4300" t="s">
        <v>7024</v>
      </c>
      <c r="AT4300" s="184"/>
      <c r="AW4300" s="184"/>
      <c r="AZ4300" s="184"/>
    </row>
    <row r="4301" spans="1:68">
      <c r="A4301">
        <v>76377779</v>
      </c>
      <c r="B4301">
        <v>76377779</v>
      </c>
      <c r="C4301" t="s">
        <v>7018</v>
      </c>
      <c r="E4301" s="184"/>
      <c r="G4301" s="184"/>
      <c r="H4301" t="s">
        <v>595</v>
      </c>
      <c r="I4301" s="184">
        <v>44488</v>
      </c>
      <c r="K4301" s="184"/>
      <c r="M4301" s="184"/>
      <c r="O4301" s="184"/>
      <c r="P4301" t="s">
        <v>7045</v>
      </c>
      <c r="Q4301" t="s">
        <v>7383</v>
      </c>
      <c r="R4301" s="184">
        <v>15657</v>
      </c>
      <c r="S4301">
        <v>81</v>
      </c>
      <c r="V4301" t="s">
        <v>2551</v>
      </c>
      <c r="X4301" t="s">
        <v>5139</v>
      </c>
      <c r="AF4301" t="s">
        <v>31634</v>
      </c>
      <c r="AG4301" t="s">
        <v>2551</v>
      </c>
      <c r="AI4301" t="s">
        <v>31635</v>
      </c>
      <c r="AM4301" t="s">
        <v>5140</v>
      </c>
      <c r="AN4301" t="s">
        <v>2139</v>
      </c>
      <c r="AO4301" t="s">
        <v>31636</v>
      </c>
      <c r="AP4301" t="s">
        <v>7024</v>
      </c>
      <c r="AT4301" s="184">
        <v>40984</v>
      </c>
      <c r="AU4301" t="s">
        <v>31637</v>
      </c>
      <c r="AV4301">
        <v>25</v>
      </c>
      <c r="AW4301" s="184">
        <v>45377</v>
      </c>
      <c r="AX4301" t="s">
        <v>31638</v>
      </c>
      <c r="AY4301">
        <v>25</v>
      </c>
      <c r="AZ4301" s="184">
        <v>44306</v>
      </c>
      <c r="BA4301" t="s">
        <v>31639</v>
      </c>
      <c r="BB4301">
        <v>78</v>
      </c>
      <c r="BC4301">
        <v>54</v>
      </c>
      <c r="BD4301">
        <v>337</v>
      </c>
      <c r="BE4301">
        <v>2012</v>
      </c>
      <c r="BF4301">
        <v>8</v>
      </c>
      <c r="BG4301">
        <v>2</v>
      </c>
      <c r="BH4301">
        <v>50</v>
      </c>
      <c r="BI4301">
        <v>7</v>
      </c>
      <c r="BJ4301">
        <v>13</v>
      </c>
      <c r="BK4301">
        <v>2</v>
      </c>
    </row>
    <row r="4302" spans="1:68">
      <c r="A4302">
        <v>76512375</v>
      </c>
      <c r="B4302">
        <v>76512375</v>
      </c>
      <c r="C4302" t="s">
        <v>7018</v>
      </c>
      <c r="D4302" t="s">
        <v>595</v>
      </c>
      <c r="E4302" s="184">
        <v>44419</v>
      </c>
      <c r="G4302" s="184"/>
      <c r="I4302" s="184"/>
      <c r="K4302" s="184"/>
      <c r="M4302" s="184"/>
      <c r="O4302" s="184"/>
      <c r="P4302" t="s">
        <v>7045</v>
      </c>
      <c r="Q4302" t="s">
        <v>7383</v>
      </c>
      <c r="R4302" s="184">
        <v>17231</v>
      </c>
      <c r="S4302">
        <v>77</v>
      </c>
      <c r="V4302" t="s">
        <v>2523</v>
      </c>
      <c r="X4302" t="s">
        <v>31640</v>
      </c>
      <c r="AF4302" t="s">
        <v>31641</v>
      </c>
      <c r="AG4302" t="s">
        <v>2523</v>
      </c>
      <c r="AI4302" t="s">
        <v>31642</v>
      </c>
      <c r="AM4302" t="s">
        <v>31643</v>
      </c>
      <c r="AN4302" t="s">
        <v>2274</v>
      </c>
      <c r="AO4302" t="s">
        <v>31644</v>
      </c>
      <c r="AP4302" t="s">
        <v>7024</v>
      </c>
      <c r="AQ4302" t="s">
        <v>31645</v>
      </c>
      <c r="AR4302" t="s">
        <v>31646</v>
      </c>
      <c r="AT4302" s="184">
        <v>40988</v>
      </c>
      <c r="AU4302" t="s">
        <v>31647</v>
      </c>
      <c r="AV4302">
        <v>25</v>
      </c>
      <c r="AW4302" s="184">
        <v>45160</v>
      </c>
      <c r="AX4302" t="s">
        <v>31648</v>
      </c>
      <c r="AY4302">
        <v>10</v>
      </c>
      <c r="AZ4302" s="184">
        <v>44300</v>
      </c>
      <c r="BA4302" t="s">
        <v>31649</v>
      </c>
      <c r="BB4302">
        <v>25</v>
      </c>
      <c r="BC4302">
        <v>70</v>
      </c>
      <c r="BD4302">
        <v>230</v>
      </c>
      <c r="BE4302">
        <v>2012</v>
      </c>
      <c r="BF4302">
        <v>13</v>
      </c>
      <c r="BG4302">
        <v>1</v>
      </c>
      <c r="BH4302">
        <v>10</v>
      </c>
      <c r="BI4302">
        <v>9</v>
      </c>
      <c r="BJ4302">
        <v>13</v>
      </c>
      <c r="BK4302">
        <v>8</v>
      </c>
    </row>
    <row r="4303" spans="1:68">
      <c r="A4303">
        <v>76583582</v>
      </c>
      <c r="B4303">
        <v>76583582</v>
      </c>
      <c r="C4303" t="s">
        <v>7018</v>
      </c>
      <c r="E4303" s="184"/>
      <c r="G4303" s="184"/>
      <c r="I4303" s="184"/>
      <c r="K4303" s="184"/>
      <c r="L4303" t="s">
        <v>595</v>
      </c>
      <c r="M4303" s="184">
        <v>44452</v>
      </c>
      <c r="O4303" s="184"/>
      <c r="P4303" t="s">
        <v>7029</v>
      </c>
      <c r="Q4303" t="s">
        <v>7383</v>
      </c>
      <c r="R4303" s="184">
        <v>14775</v>
      </c>
      <c r="S4303">
        <v>83</v>
      </c>
      <c r="U4303" t="s">
        <v>7076</v>
      </c>
      <c r="V4303" t="s">
        <v>2586</v>
      </c>
      <c r="X4303" t="s">
        <v>31650</v>
      </c>
      <c r="AF4303" t="s">
        <v>31651</v>
      </c>
      <c r="AG4303" t="s">
        <v>2586</v>
      </c>
      <c r="AI4303" t="s">
        <v>31652</v>
      </c>
      <c r="AM4303" t="s">
        <v>31653</v>
      </c>
      <c r="AN4303" t="s">
        <v>2313</v>
      </c>
      <c r="AO4303" t="s">
        <v>31654</v>
      </c>
      <c r="AP4303" t="s">
        <v>7024</v>
      </c>
      <c r="AQ4303" t="s">
        <v>31655</v>
      </c>
      <c r="AT4303" s="184">
        <v>40988</v>
      </c>
      <c r="AU4303" t="s">
        <v>31656</v>
      </c>
      <c r="AV4303">
        <v>25</v>
      </c>
      <c r="AW4303" s="184">
        <v>45092</v>
      </c>
      <c r="AX4303" t="s">
        <v>31657</v>
      </c>
      <c r="AY4303">
        <v>1000</v>
      </c>
      <c r="AZ4303" s="184">
        <v>45092</v>
      </c>
      <c r="BA4303" t="s">
        <v>31657</v>
      </c>
      <c r="BB4303">
        <v>1000</v>
      </c>
      <c r="BC4303">
        <v>93</v>
      </c>
      <c r="BD4303">
        <v>3250</v>
      </c>
      <c r="BE4303">
        <v>2012</v>
      </c>
      <c r="BF4303">
        <v>13</v>
      </c>
      <c r="BG4303">
        <v>2</v>
      </c>
      <c r="BH4303">
        <v>2000</v>
      </c>
      <c r="BI4303">
        <v>12</v>
      </c>
      <c r="BJ4303">
        <v>13</v>
      </c>
      <c r="BK4303">
        <v>12</v>
      </c>
    </row>
    <row r="4304" spans="1:68">
      <c r="A4304">
        <v>76941194</v>
      </c>
      <c r="B4304">
        <v>76941194</v>
      </c>
      <c r="C4304" t="s">
        <v>7018</v>
      </c>
      <c r="D4304" t="s">
        <v>595</v>
      </c>
      <c r="E4304" s="184">
        <v>45196</v>
      </c>
      <c r="G4304" s="184"/>
      <c r="I4304" s="184"/>
      <c r="K4304" s="184"/>
      <c r="M4304" s="184"/>
      <c r="O4304" s="184"/>
      <c r="P4304" t="s">
        <v>7045</v>
      </c>
      <c r="Q4304" t="s">
        <v>7374</v>
      </c>
      <c r="R4304" s="184">
        <v>15808</v>
      </c>
      <c r="S4304">
        <v>81</v>
      </c>
      <c r="V4304" t="s">
        <v>4847</v>
      </c>
      <c r="X4304" t="s">
        <v>31658</v>
      </c>
      <c r="AF4304" t="s">
        <v>31659</v>
      </c>
      <c r="AG4304" t="s">
        <v>4847</v>
      </c>
      <c r="AI4304" t="s">
        <v>31660</v>
      </c>
      <c r="AM4304" t="s">
        <v>4393</v>
      </c>
      <c r="AN4304" t="s">
        <v>2081</v>
      </c>
      <c r="AO4304" t="s">
        <v>31661</v>
      </c>
      <c r="AP4304" t="s">
        <v>7024</v>
      </c>
      <c r="AQ4304" t="s">
        <v>31662</v>
      </c>
      <c r="AT4304" s="184">
        <v>40995</v>
      </c>
      <c r="AU4304" t="s">
        <v>31663</v>
      </c>
      <c r="AV4304">
        <v>15</v>
      </c>
      <c r="AW4304" s="184">
        <v>44158</v>
      </c>
      <c r="AX4304" t="s">
        <v>31664</v>
      </c>
      <c r="AY4304">
        <v>25</v>
      </c>
      <c r="AZ4304" s="184">
        <v>44158</v>
      </c>
      <c r="BA4304" t="s">
        <v>31664</v>
      </c>
      <c r="BB4304">
        <v>25</v>
      </c>
      <c r="BC4304">
        <v>47</v>
      </c>
      <c r="BD4304">
        <v>155</v>
      </c>
      <c r="BE4304">
        <v>2012</v>
      </c>
      <c r="BF4304">
        <v>8</v>
      </c>
      <c r="BI4304">
        <v>6</v>
      </c>
      <c r="BJ4304">
        <v>13</v>
      </c>
      <c r="BK4304">
        <v>2</v>
      </c>
    </row>
    <row r="4305" spans="1:68">
      <c r="A4305">
        <v>76941376</v>
      </c>
      <c r="B4305">
        <v>76941376</v>
      </c>
      <c r="C4305" t="s">
        <v>7018</v>
      </c>
      <c r="D4305" t="s">
        <v>595</v>
      </c>
      <c r="E4305" s="184">
        <v>44168</v>
      </c>
      <c r="G4305" s="184"/>
      <c r="I4305" s="184"/>
      <c r="K4305" s="184"/>
      <c r="M4305" s="184"/>
      <c r="O4305" s="184"/>
      <c r="P4305" t="s">
        <v>7045</v>
      </c>
      <c r="Q4305" t="s">
        <v>7374</v>
      </c>
      <c r="R4305" s="184">
        <v>12844</v>
      </c>
      <c r="S4305">
        <v>89</v>
      </c>
      <c r="V4305" t="s">
        <v>31665</v>
      </c>
      <c r="X4305" t="s">
        <v>31666</v>
      </c>
      <c r="AF4305" t="s">
        <v>31667</v>
      </c>
      <c r="AG4305" t="s">
        <v>31665</v>
      </c>
      <c r="AI4305" t="s">
        <v>31668</v>
      </c>
      <c r="AM4305" t="s">
        <v>31669</v>
      </c>
      <c r="AN4305" t="s">
        <v>2081</v>
      </c>
      <c r="AO4305" t="s">
        <v>31670</v>
      </c>
      <c r="AP4305" t="s">
        <v>7024</v>
      </c>
      <c r="AQ4305" t="s">
        <v>31671</v>
      </c>
      <c r="AT4305" s="184">
        <v>40995</v>
      </c>
      <c r="AU4305" t="s">
        <v>31672</v>
      </c>
      <c r="AV4305">
        <v>50</v>
      </c>
      <c r="AW4305" s="184">
        <v>45383</v>
      </c>
      <c r="AX4305" t="s">
        <v>31673</v>
      </c>
      <c r="AY4305">
        <v>100</v>
      </c>
      <c r="AZ4305" s="184">
        <v>45383</v>
      </c>
      <c r="BA4305" t="s">
        <v>31673</v>
      </c>
      <c r="BB4305">
        <v>100</v>
      </c>
      <c r="BC4305">
        <v>93</v>
      </c>
      <c r="BD4305">
        <v>2125</v>
      </c>
      <c r="BE4305">
        <v>2012</v>
      </c>
      <c r="BF4305">
        <v>32</v>
      </c>
      <c r="BG4305">
        <v>5</v>
      </c>
      <c r="BH4305">
        <v>450</v>
      </c>
      <c r="BI4305">
        <v>12</v>
      </c>
      <c r="BJ4305">
        <v>13</v>
      </c>
      <c r="BK4305">
        <v>6</v>
      </c>
    </row>
    <row r="4306" spans="1:68">
      <c r="A4306">
        <v>76949213</v>
      </c>
      <c r="B4306">
        <v>76949213</v>
      </c>
      <c r="C4306" t="s">
        <v>7018</v>
      </c>
      <c r="D4306" t="s">
        <v>595</v>
      </c>
      <c r="E4306" s="184">
        <v>44441</v>
      </c>
      <c r="G4306" s="184"/>
      <c r="I4306" s="184"/>
      <c r="K4306" s="184"/>
      <c r="M4306" s="184"/>
      <c r="O4306" s="184"/>
      <c r="P4306" t="s">
        <v>7045</v>
      </c>
      <c r="Q4306" t="s">
        <v>7030</v>
      </c>
      <c r="R4306" s="184">
        <v>14273</v>
      </c>
      <c r="S4306">
        <v>85</v>
      </c>
      <c r="V4306" t="s">
        <v>4684</v>
      </c>
      <c r="W4306" t="s">
        <v>7246</v>
      </c>
      <c r="X4306" t="s">
        <v>31674</v>
      </c>
      <c r="Z4306">
        <v>100147849</v>
      </c>
      <c r="AB4306" t="s">
        <v>3745</v>
      </c>
      <c r="AD4306" t="s">
        <v>31674</v>
      </c>
      <c r="AF4306" t="s">
        <v>31675</v>
      </c>
      <c r="AG4306" t="s">
        <v>31676</v>
      </c>
      <c r="AI4306" t="s">
        <v>31677</v>
      </c>
      <c r="AM4306" t="s">
        <v>31678</v>
      </c>
      <c r="AN4306" t="s">
        <v>2638</v>
      </c>
      <c r="AO4306" t="s">
        <v>31679</v>
      </c>
      <c r="AP4306" t="s">
        <v>7024</v>
      </c>
      <c r="AQ4306" t="s">
        <v>31680</v>
      </c>
      <c r="AT4306" s="184">
        <v>40995</v>
      </c>
      <c r="AU4306" t="s">
        <v>31681</v>
      </c>
      <c r="AV4306">
        <v>25</v>
      </c>
      <c r="AW4306" s="184">
        <v>45412</v>
      </c>
      <c r="AX4306" t="s">
        <v>11966</v>
      </c>
      <c r="AY4306">
        <v>40</v>
      </c>
      <c r="AZ4306" s="184">
        <v>44669</v>
      </c>
      <c r="BA4306" t="s">
        <v>31682</v>
      </c>
      <c r="BB4306">
        <v>150</v>
      </c>
      <c r="BC4306">
        <v>62</v>
      </c>
      <c r="BD4306">
        <v>1080</v>
      </c>
      <c r="BE4306">
        <v>2012</v>
      </c>
      <c r="BF4306">
        <v>13</v>
      </c>
      <c r="BG4306">
        <v>3</v>
      </c>
      <c r="BH4306">
        <v>165</v>
      </c>
      <c r="BI4306">
        <v>8</v>
      </c>
      <c r="BJ4306">
        <v>13</v>
      </c>
      <c r="BK4306">
        <v>7</v>
      </c>
      <c r="BP4306" s="184"/>
    </row>
    <row r="4307" spans="1:68">
      <c r="A4307">
        <v>100147849</v>
      </c>
      <c r="B4307">
        <v>76949213</v>
      </c>
      <c r="C4307" t="s">
        <v>7018</v>
      </c>
      <c r="D4307" t="s">
        <v>595</v>
      </c>
      <c r="E4307" s="184">
        <v>44441</v>
      </c>
      <c r="G4307" s="184"/>
      <c r="I4307" s="184"/>
      <c r="K4307" s="184"/>
      <c r="O4307" s="184"/>
      <c r="P4307" t="s">
        <v>7045</v>
      </c>
      <c r="Q4307" t="s">
        <v>7030</v>
      </c>
      <c r="R4307" s="184">
        <v>15401</v>
      </c>
      <c r="S4307">
        <v>82</v>
      </c>
      <c r="V4307" t="s">
        <v>3745</v>
      </c>
      <c r="X4307" t="s">
        <v>31674</v>
      </c>
      <c r="Z4307">
        <v>76949213</v>
      </c>
      <c r="AB4307" t="s">
        <v>4684</v>
      </c>
      <c r="AC4307" t="s">
        <v>7246</v>
      </c>
      <c r="AD4307" t="s">
        <v>31674</v>
      </c>
      <c r="AF4307" t="s">
        <v>31675</v>
      </c>
      <c r="AG4307" t="s">
        <v>31676</v>
      </c>
      <c r="AI4307" t="s">
        <v>31677</v>
      </c>
      <c r="AM4307" t="s">
        <v>31678</v>
      </c>
      <c r="AN4307" t="s">
        <v>2638</v>
      </c>
      <c r="AO4307" t="s">
        <v>31679</v>
      </c>
      <c r="AP4307" t="s">
        <v>7024</v>
      </c>
      <c r="AT4307" s="184"/>
      <c r="AW4307" s="184"/>
      <c r="AZ4307" s="184"/>
    </row>
    <row r="4308" spans="1:68">
      <c r="A4308">
        <v>77151314</v>
      </c>
      <c r="B4308">
        <v>77151314</v>
      </c>
      <c r="C4308" t="s">
        <v>7018</v>
      </c>
      <c r="D4308" t="s">
        <v>595</v>
      </c>
      <c r="E4308" s="184">
        <v>43861</v>
      </c>
      <c r="G4308" s="184"/>
      <c r="I4308" s="184"/>
      <c r="K4308" s="184"/>
      <c r="M4308" s="184"/>
      <c r="O4308" s="184"/>
      <c r="P4308" t="s">
        <v>7045</v>
      </c>
      <c r="Q4308" t="s">
        <v>7160</v>
      </c>
      <c r="R4308" s="184">
        <v>17592</v>
      </c>
      <c r="S4308">
        <v>76</v>
      </c>
      <c r="U4308" t="s">
        <v>7130</v>
      </c>
      <c r="V4308" t="s">
        <v>2882</v>
      </c>
      <c r="W4308" t="s">
        <v>7107</v>
      </c>
      <c r="X4308" t="s">
        <v>4633</v>
      </c>
      <c r="AF4308" t="s">
        <v>31683</v>
      </c>
      <c r="AG4308" t="s">
        <v>2882</v>
      </c>
      <c r="AI4308" t="s">
        <v>31684</v>
      </c>
      <c r="AM4308" t="s">
        <v>4634</v>
      </c>
      <c r="AN4308" t="s">
        <v>2176</v>
      </c>
      <c r="AO4308" t="s">
        <v>31685</v>
      </c>
      <c r="AP4308" t="s">
        <v>7024</v>
      </c>
      <c r="AQ4308" t="s">
        <v>31686</v>
      </c>
      <c r="AT4308" s="184">
        <v>41515</v>
      </c>
      <c r="AU4308" t="s">
        <v>31687</v>
      </c>
      <c r="AV4308">
        <v>25</v>
      </c>
      <c r="AW4308" s="184">
        <v>45267</v>
      </c>
      <c r="AX4308" t="s">
        <v>24601</v>
      </c>
      <c r="AY4308">
        <v>125</v>
      </c>
      <c r="AZ4308" s="184">
        <v>45267</v>
      </c>
      <c r="BA4308" t="s">
        <v>24601</v>
      </c>
      <c r="BB4308">
        <v>125</v>
      </c>
      <c r="BC4308">
        <v>92</v>
      </c>
      <c r="BD4308">
        <v>2235</v>
      </c>
      <c r="BE4308">
        <v>2014</v>
      </c>
      <c r="BF4308">
        <v>31</v>
      </c>
      <c r="BG4308">
        <v>4</v>
      </c>
      <c r="BH4308">
        <v>335</v>
      </c>
      <c r="BI4308">
        <v>11</v>
      </c>
      <c r="BJ4308">
        <v>12</v>
      </c>
      <c r="BK4308">
        <v>11</v>
      </c>
    </row>
    <row r="4309" spans="1:68">
      <c r="A4309">
        <v>77230399</v>
      </c>
      <c r="B4309">
        <v>77230399</v>
      </c>
      <c r="C4309" t="s">
        <v>7018</v>
      </c>
      <c r="D4309" t="s">
        <v>595</v>
      </c>
      <c r="E4309" s="184">
        <v>44147</v>
      </c>
      <c r="G4309" s="184"/>
      <c r="I4309" s="184"/>
      <c r="K4309" s="184"/>
      <c r="M4309" s="184"/>
      <c r="O4309" s="184"/>
      <c r="P4309" t="s">
        <v>7045</v>
      </c>
      <c r="Q4309" t="s">
        <v>7383</v>
      </c>
      <c r="R4309" s="184">
        <v>29434</v>
      </c>
      <c r="S4309">
        <v>43</v>
      </c>
      <c r="U4309" t="s">
        <v>7031</v>
      </c>
      <c r="V4309" t="s">
        <v>21444</v>
      </c>
      <c r="X4309" t="s">
        <v>7589</v>
      </c>
      <c r="AF4309" t="s">
        <v>31688</v>
      </c>
      <c r="AG4309" t="s">
        <v>21444</v>
      </c>
      <c r="AI4309" t="s">
        <v>31689</v>
      </c>
      <c r="AM4309" t="s">
        <v>31690</v>
      </c>
      <c r="AN4309" t="s">
        <v>2064</v>
      </c>
      <c r="AO4309" t="s">
        <v>31691</v>
      </c>
      <c r="AP4309" t="s">
        <v>7024</v>
      </c>
      <c r="AQ4309" t="s">
        <v>31692</v>
      </c>
      <c r="AT4309" s="184">
        <v>41063</v>
      </c>
      <c r="AU4309" t="s">
        <v>30838</v>
      </c>
      <c r="AV4309">
        <v>25</v>
      </c>
      <c r="AW4309" s="184">
        <v>44126</v>
      </c>
      <c r="AX4309" t="s">
        <v>9633</v>
      </c>
      <c r="AY4309">
        <v>25</v>
      </c>
      <c r="AZ4309" s="184">
        <v>41401</v>
      </c>
      <c r="BA4309" t="s">
        <v>31693</v>
      </c>
      <c r="BB4309">
        <v>55</v>
      </c>
      <c r="BC4309">
        <v>62</v>
      </c>
      <c r="BD4309">
        <v>330</v>
      </c>
      <c r="BE4309">
        <v>2012</v>
      </c>
      <c r="BF4309">
        <v>11</v>
      </c>
      <c r="BI4309">
        <v>8</v>
      </c>
      <c r="BJ4309">
        <v>13</v>
      </c>
      <c r="BK4309">
        <v>6</v>
      </c>
      <c r="BL4309" t="s">
        <v>595</v>
      </c>
      <c r="BN4309" t="s">
        <v>595</v>
      </c>
    </row>
    <row r="4310" spans="1:68">
      <c r="A4310">
        <v>77339398</v>
      </c>
      <c r="B4310">
        <v>77339398</v>
      </c>
      <c r="C4310" t="s">
        <v>7018</v>
      </c>
      <c r="D4310" t="s">
        <v>595</v>
      </c>
      <c r="E4310" s="184">
        <v>44167</v>
      </c>
      <c r="G4310" s="184"/>
      <c r="I4310" s="184"/>
      <c r="K4310" s="184"/>
      <c r="M4310" s="184"/>
      <c r="O4310" s="184"/>
      <c r="P4310" t="s">
        <v>7045</v>
      </c>
      <c r="Q4310" t="s">
        <v>7262</v>
      </c>
      <c r="R4310" s="184">
        <v>22251</v>
      </c>
      <c r="S4310">
        <v>63</v>
      </c>
      <c r="V4310" t="s">
        <v>4602</v>
      </c>
      <c r="X4310" t="s">
        <v>3040</v>
      </c>
      <c r="AF4310" t="s">
        <v>31694</v>
      </c>
      <c r="AG4310" t="s">
        <v>4602</v>
      </c>
      <c r="AI4310" t="s">
        <v>31695</v>
      </c>
      <c r="AM4310" t="s">
        <v>31696</v>
      </c>
      <c r="AN4310" t="s">
        <v>2069</v>
      </c>
      <c r="AO4310" t="s">
        <v>31697</v>
      </c>
      <c r="AP4310" t="s">
        <v>7024</v>
      </c>
      <c r="AQ4310" t="s">
        <v>31698</v>
      </c>
      <c r="AT4310" s="184">
        <v>41015</v>
      </c>
      <c r="AU4310" t="s">
        <v>31699</v>
      </c>
      <c r="AV4310">
        <v>50</v>
      </c>
      <c r="AW4310" s="184">
        <v>45392</v>
      </c>
      <c r="AX4310" t="s">
        <v>7168</v>
      </c>
      <c r="AY4310">
        <v>52.5</v>
      </c>
      <c r="AZ4310" s="184">
        <v>42177</v>
      </c>
      <c r="BA4310" t="s">
        <v>31700</v>
      </c>
      <c r="BB4310">
        <v>100</v>
      </c>
      <c r="BC4310">
        <v>100</v>
      </c>
      <c r="BD4310">
        <v>1202.5</v>
      </c>
      <c r="BE4310">
        <v>2012</v>
      </c>
      <c r="BF4310">
        <v>19</v>
      </c>
      <c r="BG4310">
        <v>2</v>
      </c>
      <c r="BH4310">
        <v>102.5</v>
      </c>
      <c r="BI4310">
        <v>13</v>
      </c>
      <c r="BJ4310">
        <v>13</v>
      </c>
      <c r="BK4310">
        <v>13</v>
      </c>
      <c r="BP4310" s="184"/>
    </row>
    <row r="4311" spans="1:68">
      <c r="A4311">
        <v>77355774</v>
      </c>
      <c r="B4311">
        <v>77355774</v>
      </c>
      <c r="C4311" t="s">
        <v>7018</v>
      </c>
      <c r="D4311" t="s">
        <v>595</v>
      </c>
      <c r="E4311" s="184">
        <v>45167</v>
      </c>
      <c r="G4311" s="184"/>
      <c r="I4311" s="184"/>
      <c r="K4311" s="184"/>
      <c r="M4311" s="184"/>
      <c r="O4311" s="184"/>
      <c r="P4311" t="s">
        <v>7045</v>
      </c>
      <c r="Q4311" t="s">
        <v>7494</v>
      </c>
      <c r="R4311" s="184">
        <v>14277</v>
      </c>
      <c r="S4311">
        <v>85</v>
      </c>
      <c r="U4311" t="s">
        <v>7031</v>
      </c>
      <c r="V4311" t="s">
        <v>4303</v>
      </c>
      <c r="W4311" t="s">
        <v>7085</v>
      </c>
      <c r="X4311" t="s">
        <v>31701</v>
      </c>
      <c r="AF4311" t="s">
        <v>31702</v>
      </c>
      <c r="AG4311" t="s">
        <v>4303</v>
      </c>
      <c r="AI4311" t="s">
        <v>31703</v>
      </c>
      <c r="AM4311" t="s">
        <v>10875</v>
      </c>
      <c r="AN4311" t="s">
        <v>2174</v>
      </c>
      <c r="AO4311" t="s">
        <v>31704</v>
      </c>
      <c r="AP4311" t="s">
        <v>7024</v>
      </c>
      <c r="AQ4311" t="s">
        <v>31705</v>
      </c>
      <c r="AT4311" s="184">
        <v>41015</v>
      </c>
      <c r="AU4311" t="s">
        <v>31706</v>
      </c>
      <c r="AV4311">
        <v>25</v>
      </c>
      <c r="AW4311" s="184">
        <v>45126</v>
      </c>
      <c r="AX4311" t="s">
        <v>10413</v>
      </c>
      <c r="AY4311">
        <v>25</v>
      </c>
      <c r="AZ4311" s="184">
        <v>43298</v>
      </c>
      <c r="BA4311" t="s">
        <v>31707</v>
      </c>
      <c r="BB4311">
        <v>60</v>
      </c>
      <c r="BC4311">
        <v>62</v>
      </c>
      <c r="BD4311">
        <v>370</v>
      </c>
      <c r="BE4311">
        <v>2012</v>
      </c>
      <c r="BF4311">
        <v>10</v>
      </c>
      <c r="BG4311">
        <v>1</v>
      </c>
      <c r="BH4311">
        <v>25</v>
      </c>
      <c r="BI4311">
        <v>8</v>
      </c>
      <c r="BJ4311">
        <v>13</v>
      </c>
      <c r="BK4311">
        <v>6</v>
      </c>
    </row>
    <row r="4312" spans="1:68">
      <c r="A4312">
        <v>77392413</v>
      </c>
      <c r="B4312">
        <v>77392413</v>
      </c>
      <c r="C4312" t="s">
        <v>7018</v>
      </c>
      <c r="D4312" t="s">
        <v>595</v>
      </c>
      <c r="E4312" s="184">
        <v>44070</v>
      </c>
      <c r="G4312" s="184"/>
      <c r="H4312" t="s">
        <v>595</v>
      </c>
      <c r="I4312" s="184">
        <v>44070</v>
      </c>
      <c r="K4312" s="184"/>
      <c r="M4312" s="184"/>
      <c r="O4312" s="184"/>
      <c r="P4312" t="s">
        <v>7045</v>
      </c>
      <c r="Q4312" t="s">
        <v>7262</v>
      </c>
      <c r="R4312" s="184">
        <v>18080</v>
      </c>
      <c r="S4312">
        <v>74</v>
      </c>
      <c r="U4312" t="s">
        <v>7031</v>
      </c>
      <c r="V4312" t="s">
        <v>4879</v>
      </c>
      <c r="X4312" t="s">
        <v>4880</v>
      </c>
      <c r="AF4312" t="s">
        <v>31708</v>
      </c>
      <c r="AG4312" t="s">
        <v>4879</v>
      </c>
      <c r="AI4312" t="s">
        <v>31709</v>
      </c>
      <c r="AM4312" t="s">
        <v>4881</v>
      </c>
      <c r="AN4312" t="s">
        <v>2106</v>
      </c>
      <c r="AO4312" t="s">
        <v>31710</v>
      </c>
      <c r="AP4312" t="s">
        <v>7024</v>
      </c>
      <c r="AQ4312" t="s">
        <v>31711</v>
      </c>
      <c r="AT4312" s="184">
        <v>42176</v>
      </c>
      <c r="AU4312" t="s">
        <v>31712</v>
      </c>
      <c r="AV4312">
        <v>25</v>
      </c>
      <c r="AW4312" s="184">
        <v>45083</v>
      </c>
      <c r="AX4312" t="s">
        <v>31713</v>
      </c>
      <c r="AY4312">
        <v>52.5</v>
      </c>
      <c r="AZ4312" s="184">
        <v>44725</v>
      </c>
      <c r="BA4312" t="s">
        <v>31714</v>
      </c>
      <c r="BB4312">
        <v>100</v>
      </c>
      <c r="BC4312">
        <v>90</v>
      </c>
      <c r="BD4312">
        <v>1177.5</v>
      </c>
      <c r="BE4312">
        <v>2015</v>
      </c>
      <c r="BF4312">
        <v>23</v>
      </c>
      <c r="BG4312">
        <v>2</v>
      </c>
      <c r="BH4312">
        <v>152.5</v>
      </c>
      <c r="BI4312">
        <v>9</v>
      </c>
      <c r="BJ4312">
        <v>10</v>
      </c>
      <c r="BK4312">
        <v>9</v>
      </c>
    </row>
    <row r="4313" spans="1:68">
      <c r="A4313">
        <v>77392819</v>
      </c>
      <c r="B4313">
        <v>77392819</v>
      </c>
      <c r="C4313" t="s">
        <v>7018</v>
      </c>
      <c r="D4313" t="s">
        <v>595</v>
      </c>
      <c r="E4313" s="184">
        <v>43936</v>
      </c>
      <c r="G4313" s="184"/>
      <c r="H4313" t="s">
        <v>595</v>
      </c>
      <c r="I4313" s="184">
        <v>43936</v>
      </c>
      <c r="K4313" s="184"/>
      <c r="M4313" s="184"/>
      <c r="O4313" s="184"/>
      <c r="P4313" t="s">
        <v>7029</v>
      </c>
      <c r="Q4313" t="s">
        <v>7383</v>
      </c>
      <c r="R4313" s="184">
        <v>22890</v>
      </c>
      <c r="S4313">
        <v>61</v>
      </c>
      <c r="U4313" t="s">
        <v>7031</v>
      </c>
      <c r="V4313" t="s">
        <v>4587</v>
      </c>
      <c r="X4313" t="s">
        <v>31715</v>
      </c>
      <c r="AF4313" t="s">
        <v>31716</v>
      </c>
      <c r="AG4313" t="s">
        <v>4587</v>
      </c>
      <c r="AI4313" t="s">
        <v>31717</v>
      </c>
      <c r="AM4313" t="s">
        <v>21461</v>
      </c>
      <c r="AN4313" t="s">
        <v>2072</v>
      </c>
      <c r="AO4313" t="s">
        <v>31718</v>
      </c>
      <c r="AP4313" t="s">
        <v>7024</v>
      </c>
      <c r="AQ4313" t="s">
        <v>31719</v>
      </c>
      <c r="AT4313" s="184">
        <v>41019</v>
      </c>
      <c r="AU4313" t="s">
        <v>31720</v>
      </c>
      <c r="AV4313">
        <v>1000</v>
      </c>
      <c r="AW4313" s="184">
        <v>44879</v>
      </c>
      <c r="AX4313" t="s">
        <v>31721</v>
      </c>
      <c r="AY4313">
        <v>1030</v>
      </c>
      <c r="AZ4313" s="184">
        <v>44879</v>
      </c>
      <c r="BA4313" t="s">
        <v>31721</v>
      </c>
      <c r="BB4313">
        <v>1030</v>
      </c>
      <c r="BC4313">
        <v>47</v>
      </c>
      <c r="BD4313">
        <v>6030</v>
      </c>
      <c r="BE4313">
        <v>2012</v>
      </c>
      <c r="BF4313">
        <v>6</v>
      </c>
      <c r="BG4313">
        <v>1</v>
      </c>
      <c r="BH4313">
        <v>1030</v>
      </c>
      <c r="BI4313">
        <v>6</v>
      </c>
      <c r="BJ4313">
        <v>13</v>
      </c>
      <c r="BK4313">
        <v>3</v>
      </c>
    </row>
    <row r="4314" spans="1:68">
      <c r="A4314">
        <v>77407997</v>
      </c>
      <c r="B4314">
        <v>77407997</v>
      </c>
      <c r="C4314" t="s">
        <v>7018</v>
      </c>
      <c r="D4314" t="s">
        <v>595</v>
      </c>
      <c r="E4314" s="184">
        <v>45140</v>
      </c>
      <c r="G4314" s="184"/>
      <c r="I4314" s="184"/>
      <c r="K4314" s="184"/>
      <c r="M4314" s="184"/>
      <c r="O4314" s="184"/>
      <c r="P4314" t="s">
        <v>7045</v>
      </c>
      <c r="Q4314" t="s">
        <v>7383</v>
      </c>
      <c r="R4314" s="184">
        <v>14916</v>
      </c>
      <c r="S4314">
        <v>83</v>
      </c>
      <c r="U4314" t="s">
        <v>7076</v>
      </c>
      <c r="V4314" t="s">
        <v>2903</v>
      </c>
      <c r="W4314" t="s">
        <v>7560</v>
      </c>
      <c r="X4314" t="s">
        <v>5606</v>
      </c>
      <c r="AF4314" t="s">
        <v>31722</v>
      </c>
      <c r="AG4314" t="s">
        <v>2903</v>
      </c>
      <c r="AI4314" t="s">
        <v>31723</v>
      </c>
      <c r="AM4314" t="s">
        <v>3345</v>
      </c>
      <c r="AN4314" t="s">
        <v>2274</v>
      </c>
      <c r="AO4314" t="s">
        <v>31724</v>
      </c>
      <c r="AP4314" t="s">
        <v>7024</v>
      </c>
      <c r="AQ4314" t="s">
        <v>31725</v>
      </c>
      <c r="AT4314" s="184">
        <v>41017</v>
      </c>
      <c r="AU4314" t="s">
        <v>31726</v>
      </c>
      <c r="AV4314">
        <v>15</v>
      </c>
      <c r="AW4314" s="184">
        <v>44814</v>
      </c>
      <c r="AX4314" t="s">
        <v>14164</v>
      </c>
      <c r="AY4314">
        <v>35</v>
      </c>
      <c r="AZ4314" s="184">
        <v>44180</v>
      </c>
      <c r="BA4314" t="s">
        <v>9633</v>
      </c>
      <c r="BB4314">
        <v>90</v>
      </c>
      <c r="BC4314">
        <v>62</v>
      </c>
      <c r="BD4314">
        <v>387</v>
      </c>
      <c r="BE4314">
        <v>2012</v>
      </c>
      <c r="BF4314">
        <v>8</v>
      </c>
      <c r="BG4314">
        <v>1</v>
      </c>
      <c r="BH4314">
        <v>35</v>
      </c>
      <c r="BI4314">
        <v>8</v>
      </c>
      <c r="BJ4314">
        <v>13</v>
      </c>
      <c r="BK4314">
        <v>3</v>
      </c>
      <c r="BN4314" t="s">
        <v>595</v>
      </c>
      <c r="BP4314" s="184"/>
    </row>
    <row r="4315" spans="1:68">
      <c r="A4315">
        <v>77441798</v>
      </c>
      <c r="B4315">
        <v>77441798</v>
      </c>
      <c r="C4315" t="s">
        <v>7018</v>
      </c>
      <c r="D4315" t="s">
        <v>595</v>
      </c>
      <c r="E4315" s="184">
        <v>45390</v>
      </c>
      <c r="G4315" s="184"/>
      <c r="H4315" t="s">
        <v>595</v>
      </c>
      <c r="I4315" s="184">
        <v>45390</v>
      </c>
      <c r="K4315" s="184"/>
      <c r="M4315" s="184"/>
      <c r="O4315" s="184"/>
      <c r="P4315" t="s">
        <v>8550</v>
      </c>
      <c r="Q4315" t="s">
        <v>7020</v>
      </c>
      <c r="R4315" s="184">
        <v>22962</v>
      </c>
      <c r="S4315">
        <v>61</v>
      </c>
      <c r="U4315" t="s">
        <v>7076</v>
      </c>
      <c r="V4315" t="s">
        <v>2903</v>
      </c>
      <c r="X4315" t="s">
        <v>31727</v>
      </c>
      <c r="AF4315" t="s">
        <v>31728</v>
      </c>
      <c r="AG4315" t="s">
        <v>2903</v>
      </c>
      <c r="AI4315" t="s">
        <v>31729</v>
      </c>
      <c r="AM4315" t="s">
        <v>2629</v>
      </c>
      <c r="AN4315" t="s">
        <v>2052</v>
      </c>
      <c r="AO4315">
        <v>2140</v>
      </c>
      <c r="AP4315" t="s">
        <v>7024</v>
      </c>
      <c r="AQ4315" t="s">
        <v>31730</v>
      </c>
      <c r="AR4315" t="s">
        <v>31731</v>
      </c>
      <c r="AT4315" s="184"/>
      <c r="AW4315" s="184"/>
      <c r="AZ4315" s="184"/>
      <c r="BN4315" t="s">
        <v>595</v>
      </c>
    </row>
    <row r="4316" spans="1:68">
      <c r="A4316">
        <v>77467389</v>
      </c>
      <c r="B4316">
        <v>77467389</v>
      </c>
      <c r="C4316" t="s">
        <v>7018</v>
      </c>
      <c r="E4316" s="184"/>
      <c r="G4316" s="184"/>
      <c r="I4316" s="184"/>
      <c r="J4316" t="s">
        <v>595</v>
      </c>
      <c r="K4316" s="184">
        <v>44104</v>
      </c>
      <c r="M4316" s="184"/>
      <c r="O4316" s="184"/>
      <c r="P4316" t="s">
        <v>7045</v>
      </c>
      <c r="Q4316" t="s">
        <v>7374</v>
      </c>
      <c r="R4316" s="184">
        <v>28983</v>
      </c>
      <c r="S4316">
        <v>45</v>
      </c>
      <c r="V4316" t="s">
        <v>4587</v>
      </c>
      <c r="W4316" t="s">
        <v>8224</v>
      </c>
      <c r="X4316" t="s">
        <v>31732</v>
      </c>
      <c r="AF4316" t="s">
        <v>31733</v>
      </c>
      <c r="AG4316" t="s">
        <v>4587</v>
      </c>
      <c r="AI4316" t="s">
        <v>31734</v>
      </c>
      <c r="AM4316" t="s">
        <v>4349</v>
      </c>
      <c r="AN4316" t="s">
        <v>2081</v>
      </c>
      <c r="AO4316" t="s">
        <v>31735</v>
      </c>
      <c r="AP4316" t="s">
        <v>7024</v>
      </c>
      <c r="AQ4316" t="s">
        <v>31736</v>
      </c>
      <c r="AT4316" s="184">
        <v>41019</v>
      </c>
      <c r="AU4316" t="s">
        <v>31737</v>
      </c>
      <c r="AV4316">
        <v>50</v>
      </c>
      <c r="AW4316" s="184">
        <v>44556</v>
      </c>
      <c r="AX4316" t="s">
        <v>7714</v>
      </c>
      <c r="AY4316">
        <v>100</v>
      </c>
      <c r="AZ4316" s="184">
        <v>44556</v>
      </c>
      <c r="BA4316" t="s">
        <v>7714</v>
      </c>
      <c r="BB4316">
        <v>100</v>
      </c>
      <c r="BC4316">
        <v>70</v>
      </c>
      <c r="BD4316">
        <v>585</v>
      </c>
      <c r="BE4316">
        <v>2012</v>
      </c>
      <c r="BF4316">
        <v>10</v>
      </c>
      <c r="BI4316">
        <v>9</v>
      </c>
      <c r="BJ4316">
        <v>13</v>
      </c>
      <c r="BK4316">
        <v>8</v>
      </c>
      <c r="BP4316" s="184"/>
    </row>
    <row r="4317" spans="1:68">
      <c r="A4317">
        <v>77551265</v>
      </c>
      <c r="B4317">
        <v>77551265</v>
      </c>
      <c r="C4317" t="s">
        <v>7018</v>
      </c>
      <c r="D4317" t="s">
        <v>595</v>
      </c>
      <c r="E4317" s="184">
        <v>44167</v>
      </c>
      <c r="G4317" s="184"/>
      <c r="I4317" s="184"/>
      <c r="K4317" s="184"/>
      <c r="M4317" s="184"/>
      <c r="O4317" s="184"/>
      <c r="P4317" t="s">
        <v>7045</v>
      </c>
      <c r="Q4317" t="s">
        <v>7374</v>
      </c>
      <c r="R4317" s="184">
        <v>19115</v>
      </c>
      <c r="S4317">
        <v>72</v>
      </c>
      <c r="U4317" t="s">
        <v>7031</v>
      </c>
      <c r="V4317" t="s">
        <v>25551</v>
      </c>
      <c r="W4317" t="s">
        <v>7246</v>
      </c>
      <c r="X4317" t="s">
        <v>31738</v>
      </c>
      <c r="AF4317" t="s">
        <v>31739</v>
      </c>
      <c r="AG4317" t="s">
        <v>25551</v>
      </c>
      <c r="AI4317" t="s">
        <v>31740</v>
      </c>
      <c r="AM4317" t="s">
        <v>8693</v>
      </c>
      <c r="AN4317" t="s">
        <v>2081</v>
      </c>
      <c r="AO4317" t="s">
        <v>31741</v>
      </c>
      <c r="AP4317" t="s">
        <v>7024</v>
      </c>
      <c r="AQ4317" t="s">
        <v>31742</v>
      </c>
      <c r="AT4317" s="184">
        <v>41023</v>
      </c>
      <c r="AU4317" t="s">
        <v>31743</v>
      </c>
      <c r="AV4317">
        <v>10</v>
      </c>
      <c r="AW4317" s="184">
        <v>45426</v>
      </c>
      <c r="AX4317" t="s">
        <v>7422</v>
      </c>
      <c r="AY4317">
        <v>5</v>
      </c>
      <c r="AZ4317" s="184">
        <v>43228</v>
      </c>
      <c r="BA4317" t="s">
        <v>31744</v>
      </c>
      <c r="BB4317">
        <v>25</v>
      </c>
      <c r="BC4317">
        <v>77</v>
      </c>
      <c r="BD4317">
        <v>405</v>
      </c>
      <c r="BE4317">
        <v>2012</v>
      </c>
      <c r="BF4317">
        <v>74</v>
      </c>
      <c r="BG4317">
        <v>24</v>
      </c>
      <c r="BH4317">
        <v>120</v>
      </c>
      <c r="BI4317">
        <v>10</v>
      </c>
      <c r="BJ4317">
        <v>13</v>
      </c>
      <c r="BK4317">
        <v>8</v>
      </c>
    </row>
    <row r="4318" spans="1:68">
      <c r="A4318">
        <v>77552172</v>
      </c>
      <c r="B4318">
        <v>77552172</v>
      </c>
      <c r="C4318" t="s">
        <v>7018</v>
      </c>
      <c r="D4318" t="s">
        <v>595</v>
      </c>
      <c r="E4318" s="184">
        <v>44104</v>
      </c>
      <c r="G4318" s="184"/>
      <c r="H4318" t="s">
        <v>595</v>
      </c>
      <c r="I4318" s="184">
        <v>44109</v>
      </c>
      <c r="K4318" s="184"/>
      <c r="M4318" s="184"/>
      <c r="O4318" s="184"/>
      <c r="P4318" t="s">
        <v>7019</v>
      </c>
      <c r="Q4318" t="s">
        <v>7454</v>
      </c>
      <c r="R4318" s="184">
        <v>12191</v>
      </c>
      <c r="S4318">
        <v>90</v>
      </c>
      <c r="V4318" t="s">
        <v>3574</v>
      </c>
      <c r="X4318" t="s">
        <v>5015</v>
      </c>
      <c r="AF4318" t="s">
        <v>31745</v>
      </c>
      <c r="AG4318" t="s">
        <v>3574</v>
      </c>
      <c r="AI4318" t="s">
        <v>31746</v>
      </c>
      <c r="AM4318" t="s">
        <v>31747</v>
      </c>
      <c r="AN4318" t="s">
        <v>2055</v>
      </c>
      <c r="AO4318" t="s">
        <v>31748</v>
      </c>
      <c r="AP4318" t="s">
        <v>7024</v>
      </c>
      <c r="AQ4318" t="s">
        <v>31749</v>
      </c>
      <c r="AT4318" s="184">
        <v>41023</v>
      </c>
      <c r="AU4318" t="s">
        <v>31750</v>
      </c>
      <c r="AV4318">
        <v>10</v>
      </c>
      <c r="AW4318" s="184">
        <v>44819</v>
      </c>
      <c r="AX4318" t="s">
        <v>15531</v>
      </c>
      <c r="AY4318">
        <v>10</v>
      </c>
      <c r="AZ4318" s="184">
        <v>43689</v>
      </c>
      <c r="BA4318" t="s">
        <v>31751</v>
      </c>
      <c r="BB4318">
        <v>60</v>
      </c>
      <c r="BC4318">
        <v>85</v>
      </c>
      <c r="BD4318">
        <v>320</v>
      </c>
      <c r="BE4318">
        <v>2012</v>
      </c>
      <c r="BF4318">
        <v>19</v>
      </c>
      <c r="BG4318">
        <v>1</v>
      </c>
      <c r="BH4318">
        <v>10</v>
      </c>
      <c r="BI4318">
        <v>11</v>
      </c>
      <c r="BJ4318">
        <v>13</v>
      </c>
      <c r="BK4318">
        <v>11</v>
      </c>
    </row>
    <row r="4319" spans="1:68">
      <c r="A4319">
        <v>77589646</v>
      </c>
      <c r="B4319">
        <v>77589646</v>
      </c>
      <c r="C4319" t="s">
        <v>7018</v>
      </c>
      <c r="E4319" s="184"/>
      <c r="F4319" t="s">
        <v>595</v>
      </c>
      <c r="G4319" s="184">
        <v>44104</v>
      </c>
      <c r="I4319" s="184"/>
      <c r="K4319" s="184"/>
      <c r="M4319" s="184"/>
      <c r="O4319" s="184"/>
      <c r="P4319" t="s">
        <v>7045</v>
      </c>
      <c r="Q4319" t="s">
        <v>7160</v>
      </c>
      <c r="R4319" s="184">
        <v>17456</v>
      </c>
      <c r="S4319">
        <v>76</v>
      </c>
      <c r="U4319" t="s">
        <v>7031</v>
      </c>
      <c r="V4319" t="s">
        <v>2697</v>
      </c>
      <c r="X4319" t="s">
        <v>31752</v>
      </c>
      <c r="AF4319" t="s">
        <v>31753</v>
      </c>
      <c r="AG4319" t="s">
        <v>2697</v>
      </c>
      <c r="AI4319" t="s">
        <v>31754</v>
      </c>
      <c r="AM4319" t="s">
        <v>13147</v>
      </c>
      <c r="AN4319" t="s">
        <v>2413</v>
      </c>
      <c r="AO4319" t="s">
        <v>31755</v>
      </c>
      <c r="AP4319" t="s">
        <v>7024</v>
      </c>
      <c r="AQ4319" t="s">
        <v>31756</v>
      </c>
      <c r="AT4319" s="184">
        <v>41374</v>
      </c>
      <c r="AU4319" t="s">
        <v>31757</v>
      </c>
      <c r="AV4319">
        <v>25</v>
      </c>
      <c r="AW4319" s="184">
        <v>44484</v>
      </c>
      <c r="AX4319" t="s">
        <v>31758</v>
      </c>
      <c r="AY4319">
        <v>25</v>
      </c>
      <c r="AZ4319" s="184">
        <v>42711</v>
      </c>
      <c r="BA4319" t="s">
        <v>26740</v>
      </c>
      <c r="BB4319">
        <v>50</v>
      </c>
      <c r="BC4319">
        <v>75</v>
      </c>
      <c r="BD4319">
        <v>1625</v>
      </c>
      <c r="BE4319">
        <v>2013</v>
      </c>
      <c r="BF4319">
        <v>55</v>
      </c>
      <c r="BI4319">
        <v>9</v>
      </c>
      <c r="BJ4319">
        <v>12</v>
      </c>
      <c r="BK4319">
        <v>9</v>
      </c>
      <c r="BN4319" t="s">
        <v>595</v>
      </c>
      <c r="BP4319" s="184"/>
    </row>
    <row r="4320" spans="1:68">
      <c r="A4320">
        <v>77613883</v>
      </c>
      <c r="B4320">
        <v>77613883</v>
      </c>
      <c r="C4320" t="s">
        <v>7018</v>
      </c>
      <c r="E4320" s="184"/>
      <c r="G4320" s="184"/>
      <c r="I4320" s="184"/>
      <c r="K4320" s="184"/>
      <c r="M4320" s="184"/>
      <c r="N4320" t="s">
        <v>595</v>
      </c>
      <c r="O4320" s="184">
        <v>41801</v>
      </c>
      <c r="P4320" t="s">
        <v>7045</v>
      </c>
      <c r="Q4320" t="s">
        <v>7020</v>
      </c>
      <c r="R4320" s="184">
        <v>10872</v>
      </c>
      <c r="S4320">
        <v>94</v>
      </c>
      <c r="V4320" t="s">
        <v>20702</v>
      </c>
      <c r="W4320" t="s">
        <v>2049</v>
      </c>
      <c r="X4320" t="s">
        <v>31759</v>
      </c>
      <c r="AF4320" t="s">
        <v>6689</v>
      </c>
      <c r="AG4320" t="s">
        <v>20702</v>
      </c>
      <c r="AI4320" t="s">
        <v>31760</v>
      </c>
      <c r="AM4320" t="s">
        <v>9970</v>
      </c>
      <c r="AN4320" t="s">
        <v>2112</v>
      </c>
      <c r="AO4320" t="s">
        <v>31761</v>
      </c>
      <c r="AP4320" t="s">
        <v>7024</v>
      </c>
      <c r="AQ4320" t="s">
        <v>31762</v>
      </c>
      <c r="AR4320" t="s">
        <v>31763</v>
      </c>
      <c r="AT4320" s="184">
        <v>41025</v>
      </c>
      <c r="AU4320" t="s">
        <v>31764</v>
      </c>
      <c r="AV4320">
        <v>20</v>
      </c>
      <c r="AW4320" s="184">
        <v>43529</v>
      </c>
      <c r="AX4320" t="s">
        <v>14417</v>
      </c>
      <c r="AY4320">
        <v>25</v>
      </c>
      <c r="AZ4320" s="184">
        <v>41354</v>
      </c>
      <c r="BA4320" t="s">
        <v>31765</v>
      </c>
      <c r="BB4320">
        <v>60</v>
      </c>
      <c r="BC4320">
        <v>31</v>
      </c>
      <c r="BD4320">
        <v>130</v>
      </c>
      <c r="BE4320">
        <v>2012</v>
      </c>
      <c r="BF4320">
        <v>4</v>
      </c>
      <c r="BI4320">
        <v>4</v>
      </c>
      <c r="BJ4320">
        <v>13</v>
      </c>
      <c r="BK4320">
        <v>2</v>
      </c>
      <c r="BP4320" s="184"/>
    </row>
    <row r="4321" spans="1:68">
      <c r="A4321">
        <v>77630044</v>
      </c>
      <c r="B4321">
        <v>77630044</v>
      </c>
      <c r="C4321" t="s">
        <v>7018</v>
      </c>
      <c r="D4321" t="s">
        <v>595</v>
      </c>
      <c r="E4321" s="184">
        <v>44167</v>
      </c>
      <c r="G4321" s="184"/>
      <c r="I4321" s="184"/>
      <c r="K4321" s="184"/>
      <c r="M4321" s="184"/>
      <c r="O4321" s="184"/>
      <c r="P4321" t="s">
        <v>7045</v>
      </c>
      <c r="Q4321" t="s">
        <v>7020</v>
      </c>
      <c r="R4321" s="184">
        <v>18264</v>
      </c>
      <c r="S4321">
        <v>74</v>
      </c>
      <c r="U4321" t="s">
        <v>7076</v>
      </c>
      <c r="V4321" t="s">
        <v>2602</v>
      </c>
      <c r="X4321" t="s">
        <v>17912</v>
      </c>
      <c r="AF4321" t="s">
        <v>31766</v>
      </c>
      <c r="AG4321" t="s">
        <v>2602</v>
      </c>
      <c r="AI4321" t="s">
        <v>31767</v>
      </c>
      <c r="AM4321" t="s">
        <v>31768</v>
      </c>
      <c r="AN4321" t="s">
        <v>2206</v>
      </c>
      <c r="AO4321" t="s">
        <v>31769</v>
      </c>
      <c r="AP4321" t="s">
        <v>7024</v>
      </c>
      <c r="AQ4321" t="s">
        <v>31770</v>
      </c>
      <c r="AR4321" t="s">
        <v>31771</v>
      </c>
      <c r="AT4321" s="184">
        <v>41327</v>
      </c>
      <c r="AU4321" t="s">
        <v>31772</v>
      </c>
      <c r="AV4321">
        <v>10</v>
      </c>
      <c r="AW4321" s="184">
        <v>45342</v>
      </c>
      <c r="AX4321" t="s">
        <v>17518</v>
      </c>
      <c r="AY4321">
        <v>25</v>
      </c>
      <c r="AZ4321" s="184">
        <v>42828</v>
      </c>
      <c r="BA4321" t="s">
        <v>28544</v>
      </c>
      <c r="BB4321">
        <v>35</v>
      </c>
      <c r="BC4321">
        <v>84</v>
      </c>
      <c r="BD4321">
        <v>600</v>
      </c>
      <c r="BE4321">
        <v>2013</v>
      </c>
      <c r="BF4321">
        <v>41</v>
      </c>
      <c r="BG4321">
        <v>5</v>
      </c>
      <c r="BH4321">
        <v>125</v>
      </c>
      <c r="BI4321">
        <v>10</v>
      </c>
      <c r="BJ4321">
        <v>12</v>
      </c>
      <c r="BK4321">
        <v>7</v>
      </c>
    </row>
    <row r="4322" spans="1:68">
      <c r="A4322">
        <v>77633444</v>
      </c>
      <c r="B4322">
        <v>77633444</v>
      </c>
      <c r="C4322" t="s">
        <v>7018</v>
      </c>
      <c r="D4322" t="s">
        <v>595</v>
      </c>
      <c r="E4322" s="184">
        <v>44167</v>
      </c>
      <c r="G4322" s="184"/>
      <c r="I4322" s="184"/>
      <c r="K4322" s="184"/>
      <c r="M4322" s="184"/>
      <c r="O4322" s="184"/>
      <c r="P4322" t="s">
        <v>7029</v>
      </c>
      <c r="Q4322" t="s">
        <v>7160</v>
      </c>
      <c r="R4322" s="184">
        <v>15646</v>
      </c>
      <c r="S4322">
        <v>81</v>
      </c>
      <c r="U4322" t="s">
        <v>7076</v>
      </c>
      <c r="V4322" t="s">
        <v>31773</v>
      </c>
      <c r="X4322" t="s">
        <v>31774</v>
      </c>
      <c r="AF4322" t="s">
        <v>31775</v>
      </c>
      <c r="AG4322" t="s">
        <v>31773</v>
      </c>
      <c r="AI4322" t="s">
        <v>31776</v>
      </c>
      <c r="AM4322" t="s">
        <v>2998</v>
      </c>
      <c r="AN4322" t="s">
        <v>2176</v>
      </c>
      <c r="AO4322" t="s">
        <v>31777</v>
      </c>
      <c r="AP4322" t="s">
        <v>7024</v>
      </c>
      <c r="AQ4322" t="s">
        <v>31778</v>
      </c>
      <c r="AT4322" s="184">
        <v>41976</v>
      </c>
      <c r="AU4322" t="s">
        <v>31779</v>
      </c>
      <c r="AV4322">
        <v>500</v>
      </c>
      <c r="AW4322" s="184">
        <v>43851</v>
      </c>
      <c r="AX4322" t="s">
        <v>21704</v>
      </c>
      <c r="AY4322">
        <v>1000</v>
      </c>
      <c r="AZ4322" s="184">
        <v>43851</v>
      </c>
      <c r="BA4322" t="s">
        <v>21704</v>
      </c>
      <c r="BB4322">
        <v>1000</v>
      </c>
      <c r="BC4322">
        <v>64</v>
      </c>
      <c r="BD4322">
        <v>7500</v>
      </c>
      <c r="BE4322">
        <v>2015</v>
      </c>
      <c r="BF4322">
        <v>9</v>
      </c>
      <c r="BI4322">
        <v>7</v>
      </c>
      <c r="BJ4322">
        <v>11</v>
      </c>
      <c r="BK4322">
        <v>7</v>
      </c>
    </row>
    <row r="4323" spans="1:68">
      <c r="A4323">
        <v>77676799</v>
      </c>
      <c r="B4323">
        <v>77676799</v>
      </c>
      <c r="C4323" t="s">
        <v>7018</v>
      </c>
      <c r="D4323" t="s">
        <v>595</v>
      </c>
      <c r="E4323" s="184">
        <v>45204</v>
      </c>
      <c r="G4323" s="184"/>
      <c r="I4323" s="184"/>
      <c r="K4323" s="184"/>
      <c r="M4323" s="184"/>
      <c r="O4323" s="184"/>
      <c r="P4323" t="s">
        <v>7045</v>
      </c>
      <c r="Q4323" t="s">
        <v>7494</v>
      </c>
      <c r="R4323" s="184">
        <v>23621</v>
      </c>
      <c r="S4323">
        <v>59</v>
      </c>
      <c r="V4323" t="s">
        <v>13557</v>
      </c>
      <c r="W4323" t="s">
        <v>4139</v>
      </c>
      <c r="X4323" t="s">
        <v>31780</v>
      </c>
      <c r="AF4323" t="s">
        <v>31781</v>
      </c>
      <c r="AG4323" t="s">
        <v>13557</v>
      </c>
      <c r="AI4323" t="s">
        <v>31782</v>
      </c>
      <c r="AM4323" t="s">
        <v>31783</v>
      </c>
      <c r="AN4323" t="s">
        <v>2174</v>
      </c>
      <c r="AO4323" t="s">
        <v>31784</v>
      </c>
      <c r="AP4323" t="s">
        <v>7024</v>
      </c>
      <c r="AQ4323" t="s">
        <v>31785</v>
      </c>
      <c r="AT4323" s="184">
        <v>41030</v>
      </c>
      <c r="AU4323" t="s">
        <v>31786</v>
      </c>
      <c r="AV4323">
        <v>25</v>
      </c>
      <c r="AW4323" s="184">
        <v>45419</v>
      </c>
      <c r="AX4323" t="s">
        <v>9437</v>
      </c>
      <c r="AY4323">
        <v>100</v>
      </c>
      <c r="AZ4323" s="184">
        <v>45419</v>
      </c>
      <c r="BA4323" t="s">
        <v>9437</v>
      </c>
      <c r="BB4323">
        <v>100</v>
      </c>
      <c r="BC4323">
        <v>100</v>
      </c>
      <c r="BD4323">
        <v>675</v>
      </c>
      <c r="BE4323">
        <v>2012</v>
      </c>
      <c r="BF4323">
        <v>13</v>
      </c>
      <c r="BG4323">
        <v>3</v>
      </c>
      <c r="BH4323">
        <v>200</v>
      </c>
      <c r="BI4323">
        <v>13</v>
      </c>
      <c r="BJ4323">
        <v>13</v>
      </c>
      <c r="BK4323">
        <v>13</v>
      </c>
    </row>
    <row r="4324" spans="1:68">
      <c r="A4324">
        <v>77679215</v>
      </c>
      <c r="B4324">
        <v>77679215</v>
      </c>
      <c r="C4324" t="s">
        <v>7018</v>
      </c>
      <c r="D4324" t="s">
        <v>595</v>
      </c>
      <c r="E4324" s="184">
        <v>45195</v>
      </c>
      <c r="G4324" s="184"/>
      <c r="I4324" s="184"/>
      <c r="K4324" s="184"/>
      <c r="M4324" s="184"/>
      <c r="O4324" s="184"/>
      <c r="P4324" t="s">
        <v>7019</v>
      </c>
      <c r="Q4324" t="s">
        <v>7383</v>
      </c>
      <c r="R4324" s="184">
        <v>19969</v>
      </c>
      <c r="S4324">
        <v>69</v>
      </c>
      <c r="V4324" t="s">
        <v>2602</v>
      </c>
      <c r="X4324" t="s">
        <v>31787</v>
      </c>
      <c r="AF4324" t="s">
        <v>31788</v>
      </c>
      <c r="AG4324" t="s">
        <v>2602</v>
      </c>
      <c r="AI4324" t="s">
        <v>31789</v>
      </c>
      <c r="AM4324" t="s">
        <v>31790</v>
      </c>
      <c r="AN4324" t="s">
        <v>2059</v>
      </c>
      <c r="AO4324" t="s">
        <v>31791</v>
      </c>
      <c r="AP4324" t="s">
        <v>7024</v>
      </c>
      <c r="AQ4324" t="s">
        <v>31792</v>
      </c>
      <c r="AT4324" s="184">
        <v>41030</v>
      </c>
      <c r="AU4324" t="s">
        <v>31793</v>
      </c>
      <c r="AV4324">
        <v>25</v>
      </c>
      <c r="AW4324" s="184">
        <v>44284</v>
      </c>
      <c r="AX4324" t="s">
        <v>31794</v>
      </c>
      <c r="AY4324">
        <v>60</v>
      </c>
      <c r="AZ4324" s="184">
        <v>44284</v>
      </c>
      <c r="BA4324" t="s">
        <v>31794</v>
      </c>
      <c r="BB4324">
        <v>60</v>
      </c>
      <c r="BC4324">
        <v>39</v>
      </c>
      <c r="BD4324">
        <v>145</v>
      </c>
      <c r="BE4324">
        <v>2012</v>
      </c>
      <c r="BF4324">
        <v>5</v>
      </c>
      <c r="BI4324">
        <v>5</v>
      </c>
      <c r="BJ4324">
        <v>13</v>
      </c>
      <c r="BK4324">
        <v>2</v>
      </c>
    </row>
    <row r="4325" spans="1:68">
      <c r="A4325">
        <v>77682391</v>
      </c>
      <c r="B4325">
        <v>77682391</v>
      </c>
      <c r="C4325" t="s">
        <v>7018</v>
      </c>
      <c r="E4325" s="184"/>
      <c r="G4325" s="184"/>
      <c r="I4325" s="184"/>
      <c r="J4325" t="s">
        <v>595</v>
      </c>
      <c r="K4325" s="184">
        <v>44484</v>
      </c>
      <c r="M4325" s="184"/>
      <c r="O4325" s="184"/>
      <c r="P4325" t="s">
        <v>7045</v>
      </c>
      <c r="Q4325" t="s">
        <v>7494</v>
      </c>
      <c r="R4325" s="184">
        <v>20510</v>
      </c>
      <c r="S4325">
        <v>68</v>
      </c>
      <c r="U4325" t="s">
        <v>7076</v>
      </c>
      <c r="V4325" t="s">
        <v>2718</v>
      </c>
      <c r="X4325" t="s">
        <v>3733</v>
      </c>
      <c r="AF4325" t="s">
        <v>31795</v>
      </c>
      <c r="AG4325" t="s">
        <v>2718</v>
      </c>
      <c r="AI4325" t="s">
        <v>31796</v>
      </c>
      <c r="AM4325" t="s">
        <v>14225</v>
      </c>
      <c r="AN4325" t="s">
        <v>2174</v>
      </c>
      <c r="AO4325" t="s">
        <v>31797</v>
      </c>
      <c r="AP4325" t="s">
        <v>7024</v>
      </c>
      <c r="AQ4325" t="s">
        <v>31798</v>
      </c>
      <c r="AT4325" s="184">
        <v>41030</v>
      </c>
      <c r="AU4325" t="s">
        <v>31799</v>
      </c>
      <c r="AV4325">
        <v>50</v>
      </c>
      <c r="AW4325" s="184">
        <v>45163</v>
      </c>
      <c r="AX4325" t="s">
        <v>31800</v>
      </c>
      <c r="AY4325">
        <v>50</v>
      </c>
      <c r="AZ4325" s="184">
        <v>45163</v>
      </c>
      <c r="BA4325" t="s">
        <v>31800</v>
      </c>
      <c r="BB4325">
        <v>50</v>
      </c>
      <c r="BC4325">
        <v>77</v>
      </c>
      <c r="BD4325">
        <v>500</v>
      </c>
      <c r="BE4325">
        <v>2012</v>
      </c>
      <c r="BF4325">
        <v>10</v>
      </c>
      <c r="BG4325">
        <v>1</v>
      </c>
      <c r="BH4325">
        <v>50</v>
      </c>
      <c r="BI4325">
        <v>10</v>
      </c>
      <c r="BJ4325">
        <v>13</v>
      </c>
      <c r="BK4325">
        <v>6</v>
      </c>
      <c r="BN4325" t="s">
        <v>595</v>
      </c>
    </row>
    <row r="4326" spans="1:68">
      <c r="A4326">
        <v>77693174</v>
      </c>
      <c r="B4326">
        <v>77693174</v>
      </c>
      <c r="C4326" t="s">
        <v>7018</v>
      </c>
      <c r="D4326" t="s">
        <v>595</v>
      </c>
      <c r="E4326" s="184">
        <v>44167</v>
      </c>
      <c r="G4326" s="184"/>
      <c r="I4326" s="184"/>
      <c r="K4326" s="184"/>
      <c r="M4326" s="184"/>
      <c r="O4326" s="184"/>
      <c r="P4326" t="s">
        <v>7045</v>
      </c>
      <c r="Q4326" t="s">
        <v>7383</v>
      </c>
      <c r="R4326" s="184">
        <v>14512</v>
      </c>
      <c r="S4326">
        <v>84</v>
      </c>
      <c r="V4326" t="s">
        <v>3536</v>
      </c>
      <c r="X4326" t="s">
        <v>3318</v>
      </c>
      <c r="Z4326">
        <v>100148467</v>
      </c>
      <c r="AB4326" t="s">
        <v>2602</v>
      </c>
      <c r="AD4326" t="s">
        <v>3318</v>
      </c>
      <c r="AF4326" t="s">
        <v>31801</v>
      </c>
      <c r="AG4326" t="s">
        <v>31802</v>
      </c>
      <c r="AI4326" t="s">
        <v>31803</v>
      </c>
      <c r="AM4326" t="s">
        <v>5118</v>
      </c>
      <c r="AN4326" t="s">
        <v>2064</v>
      </c>
      <c r="AO4326" t="s">
        <v>31804</v>
      </c>
      <c r="AP4326" t="s">
        <v>7024</v>
      </c>
      <c r="AQ4326" t="s">
        <v>31805</v>
      </c>
      <c r="AT4326" s="184">
        <v>41030</v>
      </c>
      <c r="AU4326" t="s">
        <v>31806</v>
      </c>
      <c r="AV4326">
        <v>15</v>
      </c>
      <c r="AW4326" s="184">
        <v>44846</v>
      </c>
      <c r="AX4326" t="s">
        <v>31807</v>
      </c>
      <c r="AY4326">
        <v>25</v>
      </c>
      <c r="AZ4326" s="184">
        <v>42719</v>
      </c>
      <c r="BA4326" t="s">
        <v>31808</v>
      </c>
      <c r="BB4326">
        <v>35</v>
      </c>
      <c r="BC4326">
        <v>85</v>
      </c>
      <c r="BD4326">
        <v>300</v>
      </c>
      <c r="BE4326">
        <v>2012</v>
      </c>
      <c r="BF4326">
        <v>12</v>
      </c>
      <c r="BG4326">
        <v>1</v>
      </c>
      <c r="BH4326">
        <v>25</v>
      </c>
      <c r="BI4326">
        <v>11</v>
      </c>
      <c r="BJ4326">
        <v>13</v>
      </c>
      <c r="BK4326">
        <v>11</v>
      </c>
    </row>
    <row r="4327" spans="1:68">
      <c r="A4327">
        <v>100148467</v>
      </c>
      <c r="B4327">
        <v>77693174</v>
      </c>
      <c r="C4327" t="s">
        <v>7018</v>
      </c>
      <c r="D4327" t="s">
        <v>595</v>
      </c>
      <c r="E4327" s="184">
        <v>44167</v>
      </c>
      <c r="G4327" s="184"/>
      <c r="I4327" s="184"/>
      <c r="K4327" s="184"/>
      <c r="M4327" s="184"/>
      <c r="O4327" s="184"/>
      <c r="P4327" t="s">
        <v>7045</v>
      </c>
      <c r="Q4327" t="s">
        <v>7383</v>
      </c>
      <c r="R4327" s="184">
        <v>14459</v>
      </c>
      <c r="S4327">
        <v>84</v>
      </c>
      <c r="V4327" t="s">
        <v>2602</v>
      </c>
      <c r="X4327" t="s">
        <v>3318</v>
      </c>
      <c r="Z4327">
        <v>77693174</v>
      </c>
      <c r="AB4327" t="s">
        <v>3536</v>
      </c>
      <c r="AD4327" t="s">
        <v>3318</v>
      </c>
      <c r="AF4327" t="s">
        <v>31801</v>
      </c>
      <c r="AG4327" t="s">
        <v>31802</v>
      </c>
      <c r="AI4327" t="s">
        <v>31803</v>
      </c>
      <c r="AM4327" t="s">
        <v>5118</v>
      </c>
      <c r="AN4327" t="s">
        <v>2064</v>
      </c>
      <c r="AO4327" t="s">
        <v>31804</v>
      </c>
      <c r="AP4327" t="s">
        <v>7024</v>
      </c>
      <c r="AT4327" s="184"/>
      <c r="AW4327" s="184"/>
      <c r="AZ4327" s="184"/>
    </row>
    <row r="4328" spans="1:68">
      <c r="A4328">
        <v>77699387</v>
      </c>
      <c r="B4328">
        <v>77699387</v>
      </c>
      <c r="C4328" t="s">
        <v>7018</v>
      </c>
      <c r="E4328" s="184"/>
      <c r="F4328" t="s">
        <v>595</v>
      </c>
      <c r="G4328" s="184">
        <v>44167</v>
      </c>
      <c r="I4328" s="184"/>
      <c r="K4328" s="184"/>
      <c r="M4328" s="184"/>
      <c r="O4328" s="184"/>
      <c r="P4328" t="s">
        <v>7045</v>
      </c>
      <c r="Q4328" t="s">
        <v>7160</v>
      </c>
      <c r="R4328" s="184">
        <v>13700</v>
      </c>
      <c r="S4328">
        <v>86</v>
      </c>
      <c r="V4328" t="s">
        <v>2724</v>
      </c>
      <c r="X4328" t="s">
        <v>31809</v>
      </c>
      <c r="AF4328" t="s">
        <v>31810</v>
      </c>
      <c r="AG4328" t="s">
        <v>2724</v>
      </c>
      <c r="AI4328" t="s">
        <v>31811</v>
      </c>
      <c r="AM4328" t="s">
        <v>4984</v>
      </c>
      <c r="AN4328" t="s">
        <v>2675</v>
      </c>
      <c r="AO4328" t="s">
        <v>31812</v>
      </c>
      <c r="AP4328" t="s">
        <v>7024</v>
      </c>
      <c r="AT4328" s="184">
        <v>41029</v>
      </c>
      <c r="AU4328" t="s">
        <v>31573</v>
      </c>
      <c r="AV4328">
        <v>19.97</v>
      </c>
      <c r="AW4328" s="184">
        <v>43840</v>
      </c>
      <c r="AX4328" t="s">
        <v>31813</v>
      </c>
      <c r="AY4328">
        <v>40</v>
      </c>
      <c r="AZ4328" s="184">
        <v>43840</v>
      </c>
      <c r="BA4328" t="s">
        <v>31813</v>
      </c>
      <c r="BB4328">
        <v>40</v>
      </c>
      <c r="BC4328">
        <v>54</v>
      </c>
      <c r="BD4328">
        <v>209.97</v>
      </c>
      <c r="BE4328">
        <v>2012</v>
      </c>
      <c r="BF4328">
        <v>8</v>
      </c>
      <c r="BI4328">
        <v>7</v>
      </c>
      <c r="BJ4328">
        <v>13</v>
      </c>
      <c r="BK4328">
        <v>4</v>
      </c>
    </row>
    <row r="4329" spans="1:68">
      <c r="A4329">
        <v>77719649</v>
      </c>
      <c r="B4329">
        <v>77719649</v>
      </c>
      <c r="C4329" t="s">
        <v>7018</v>
      </c>
      <c r="D4329" t="s">
        <v>595</v>
      </c>
      <c r="E4329" s="184">
        <v>43613</v>
      </c>
      <c r="G4329" s="184"/>
      <c r="I4329" s="184"/>
      <c r="K4329" s="184"/>
      <c r="M4329" s="184"/>
      <c r="O4329" s="184"/>
      <c r="P4329" t="s">
        <v>7045</v>
      </c>
      <c r="Q4329" t="s">
        <v>7383</v>
      </c>
      <c r="R4329" s="184">
        <v>18810</v>
      </c>
      <c r="S4329">
        <v>72</v>
      </c>
      <c r="U4329" t="s">
        <v>7076</v>
      </c>
      <c r="V4329" t="s">
        <v>2651</v>
      </c>
      <c r="W4329" t="s">
        <v>7067</v>
      </c>
      <c r="X4329" t="s">
        <v>2652</v>
      </c>
      <c r="AF4329" t="s">
        <v>31814</v>
      </c>
      <c r="AG4329" t="s">
        <v>2651</v>
      </c>
      <c r="AI4329" t="s">
        <v>31815</v>
      </c>
      <c r="AM4329" t="s">
        <v>2653</v>
      </c>
      <c r="AN4329" t="s">
        <v>2162</v>
      </c>
      <c r="AO4329" t="s">
        <v>31816</v>
      </c>
      <c r="AP4329" t="s">
        <v>7024</v>
      </c>
      <c r="AQ4329" t="s">
        <v>31817</v>
      </c>
      <c r="AT4329" s="184">
        <v>41142</v>
      </c>
      <c r="AU4329" t="s">
        <v>31818</v>
      </c>
      <c r="AV4329">
        <v>25</v>
      </c>
      <c r="AW4329" s="184">
        <v>45411</v>
      </c>
      <c r="AX4329" t="s">
        <v>7414</v>
      </c>
      <c r="AY4329">
        <v>25</v>
      </c>
      <c r="AZ4329" s="184">
        <v>44561</v>
      </c>
      <c r="BA4329" t="s">
        <v>30211</v>
      </c>
      <c r="BB4329">
        <v>35</v>
      </c>
      <c r="BC4329">
        <v>100</v>
      </c>
      <c r="BD4329">
        <v>2052</v>
      </c>
      <c r="BE4329">
        <v>2013</v>
      </c>
      <c r="BF4329">
        <v>140</v>
      </c>
      <c r="BG4329">
        <v>24</v>
      </c>
      <c r="BH4329">
        <v>580</v>
      </c>
      <c r="BI4329">
        <v>13</v>
      </c>
      <c r="BJ4329">
        <v>13</v>
      </c>
      <c r="BK4329">
        <v>13</v>
      </c>
    </row>
    <row r="4330" spans="1:68">
      <c r="A4330">
        <v>77841971</v>
      </c>
      <c r="B4330">
        <v>77841971</v>
      </c>
      <c r="C4330" t="s">
        <v>7018</v>
      </c>
      <c r="D4330" t="s">
        <v>595</v>
      </c>
      <c r="E4330" s="184">
        <v>44438</v>
      </c>
      <c r="G4330" s="184"/>
      <c r="I4330" s="184"/>
      <c r="K4330" s="184"/>
      <c r="M4330" s="184"/>
      <c r="O4330" s="184"/>
      <c r="P4330" t="s">
        <v>7045</v>
      </c>
      <c r="Q4330" t="s">
        <v>7383</v>
      </c>
      <c r="R4330" s="184">
        <v>18780</v>
      </c>
      <c r="S4330">
        <v>72</v>
      </c>
      <c r="V4330" t="s">
        <v>3384</v>
      </c>
      <c r="X4330" t="s">
        <v>31819</v>
      </c>
      <c r="AF4330" t="s">
        <v>31820</v>
      </c>
      <c r="AG4330" t="s">
        <v>3384</v>
      </c>
      <c r="AI4330" t="s">
        <v>31821</v>
      </c>
      <c r="AM4330" t="s">
        <v>3441</v>
      </c>
      <c r="AN4330" t="s">
        <v>2313</v>
      </c>
      <c r="AO4330" t="s">
        <v>31822</v>
      </c>
      <c r="AP4330" t="s">
        <v>7024</v>
      </c>
      <c r="AQ4330" t="s">
        <v>31823</v>
      </c>
      <c r="AT4330" s="184">
        <v>41040</v>
      </c>
      <c r="AU4330" t="s">
        <v>31824</v>
      </c>
      <c r="AV4330">
        <v>15</v>
      </c>
      <c r="AW4330" s="184">
        <v>44552</v>
      </c>
      <c r="AX4330" t="s">
        <v>9183</v>
      </c>
      <c r="AY4330">
        <v>25</v>
      </c>
      <c r="AZ4330" s="184">
        <v>44552</v>
      </c>
      <c r="BA4330" t="s">
        <v>9183</v>
      </c>
      <c r="BB4330">
        <v>25</v>
      </c>
      <c r="BC4330">
        <v>54</v>
      </c>
      <c r="BD4330">
        <v>205</v>
      </c>
      <c r="BE4330">
        <v>2012</v>
      </c>
      <c r="BF4330">
        <v>9</v>
      </c>
      <c r="BI4330">
        <v>7</v>
      </c>
      <c r="BJ4330">
        <v>13</v>
      </c>
      <c r="BK4330">
        <v>3</v>
      </c>
      <c r="BN4330" t="s">
        <v>595</v>
      </c>
      <c r="BP4330" s="184"/>
    </row>
    <row r="4331" spans="1:68">
      <c r="A4331">
        <v>77872414</v>
      </c>
      <c r="B4331">
        <v>77872414</v>
      </c>
      <c r="C4331" t="s">
        <v>7018</v>
      </c>
      <c r="D4331" t="s">
        <v>595</v>
      </c>
      <c r="E4331" s="184">
        <v>44073</v>
      </c>
      <c r="G4331" s="184"/>
      <c r="I4331" s="184"/>
      <c r="K4331" s="184"/>
      <c r="M4331" s="184"/>
      <c r="O4331" s="184"/>
      <c r="P4331" t="s">
        <v>7045</v>
      </c>
      <c r="Q4331" t="s">
        <v>7262</v>
      </c>
      <c r="R4331" s="184">
        <v>14427</v>
      </c>
      <c r="S4331">
        <v>84</v>
      </c>
      <c r="U4331" t="s">
        <v>7031</v>
      </c>
      <c r="V4331" t="s">
        <v>3825</v>
      </c>
      <c r="X4331" t="s">
        <v>31825</v>
      </c>
      <c r="AF4331" t="s">
        <v>31826</v>
      </c>
      <c r="AG4331" t="s">
        <v>3825</v>
      </c>
      <c r="AI4331" t="s">
        <v>31827</v>
      </c>
      <c r="AM4331" t="s">
        <v>13175</v>
      </c>
      <c r="AN4331" t="s">
        <v>2106</v>
      </c>
      <c r="AO4331" t="s">
        <v>31828</v>
      </c>
      <c r="AP4331" t="s">
        <v>7024</v>
      </c>
      <c r="AQ4331" t="s">
        <v>31829</v>
      </c>
      <c r="AT4331" s="184">
        <v>41044</v>
      </c>
      <c r="AU4331" t="s">
        <v>31830</v>
      </c>
      <c r="AV4331">
        <v>15</v>
      </c>
      <c r="AW4331" s="184">
        <v>43935</v>
      </c>
      <c r="AX4331" t="s">
        <v>31831</v>
      </c>
      <c r="AY4331">
        <v>25</v>
      </c>
      <c r="AZ4331" s="184">
        <v>43935</v>
      </c>
      <c r="BA4331" t="s">
        <v>31831</v>
      </c>
      <c r="BB4331">
        <v>25</v>
      </c>
      <c r="BC4331">
        <v>62</v>
      </c>
      <c r="BD4331">
        <v>215</v>
      </c>
      <c r="BE4331">
        <v>2012</v>
      </c>
      <c r="BF4331">
        <v>10</v>
      </c>
      <c r="BI4331">
        <v>8</v>
      </c>
      <c r="BJ4331">
        <v>13</v>
      </c>
      <c r="BK4331">
        <v>7</v>
      </c>
      <c r="BP4331" s="184"/>
    </row>
    <row r="4332" spans="1:68">
      <c r="A4332">
        <v>77877413</v>
      </c>
      <c r="B4332">
        <v>77877413</v>
      </c>
      <c r="C4332" t="s">
        <v>7018</v>
      </c>
      <c r="D4332" t="s">
        <v>595</v>
      </c>
      <c r="E4332" s="184">
        <v>45140</v>
      </c>
      <c r="G4332" s="184"/>
      <c r="I4332" s="184"/>
      <c r="K4332" s="184"/>
      <c r="M4332" s="184"/>
      <c r="O4332" s="184"/>
      <c r="P4332" t="s">
        <v>7045</v>
      </c>
      <c r="Q4332" t="s">
        <v>7383</v>
      </c>
      <c r="R4332" s="184">
        <v>26620</v>
      </c>
      <c r="S4332">
        <v>51</v>
      </c>
      <c r="V4332" t="s">
        <v>31832</v>
      </c>
      <c r="W4332" t="s">
        <v>7246</v>
      </c>
      <c r="X4332" t="s">
        <v>31833</v>
      </c>
      <c r="AF4332" t="s">
        <v>31834</v>
      </c>
      <c r="AG4332" t="s">
        <v>31832</v>
      </c>
      <c r="AI4332" t="s">
        <v>31835</v>
      </c>
      <c r="AM4332" t="s">
        <v>3164</v>
      </c>
      <c r="AN4332" t="s">
        <v>2185</v>
      </c>
      <c r="AO4332" t="s">
        <v>31836</v>
      </c>
      <c r="AP4332" t="s">
        <v>7024</v>
      </c>
      <c r="AQ4332" t="s">
        <v>31837</v>
      </c>
      <c r="AR4332" t="s">
        <v>31838</v>
      </c>
      <c r="AT4332" s="184">
        <v>41044</v>
      </c>
      <c r="AU4332" t="s">
        <v>31839</v>
      </c>
      <c r="AV4332">
        <v>25</v>
      </c>
      <c r="AW4332" s="184">
        <v>45419</v>
      </c>
      <c r="AX4332" t="s">
        <v>7112</v>
      </c>
      <c r="AY4332">
        <v>25</v>
      </c>
      <c r="AZ4332" s="184">
        <v>42774</v>
      </c>
      <c r="BA4332" t="s">
        <v>31840</v>
      </c>
      <c r="BB4332">
        <v>100</v>
      </c>
      <c r="BC4332">
        <v>47</v>
      </c>
      <c r="BD4332">
        <v>1150</v>
      </c>
      <c r="BE4332">
        <v>2012</v>
      </c>
      <c r="BF4332">
        <v>43</v>
      </c>
      <c r="BG4332">
        <v>24</v>
      </c>
      <c r="BH4332">
        <v>600</v>
      </c>
      <c r="BI4332">
        <v>6</v>
      </c>
      <c r="BJ4332">
        <v>13</v>
      </c>
      <c r="BK4332">
        <v>4</v>
      </c>
      <c r="BP4332" s="184"/>
    </row>
    <row r="4333" spans="1:68">
      <c r="A4333">
        <v>77894863</v>
      </c>
      <c r="B4333">
        <v>77894863</v>
      </c>
      <c r="C4333" t="s">
        <v>7018</v>
      </c>
      <c r="E4333" s="184"/>
      <c r="G4333" s="184"/>
      <c r="I4333" s="184"/>
      <c r="J4333" t="s">
        <v>595</v>
      </c>
      <c r="K4333" s="184">
        <v>44070</v>
      </c>
      <c r="M4333" s="184"/>
      <c r="O4333" s="184"/>
      <c r="P4333" t="s">
        <v>7029</v>
      </c>
      <c r="Q4333" t="s">
        <v>7020</v>
      </c>
      <c r="R4333" s="184">
        <v>18111</v>
      </c>
      <c r="S4333">
        <v>74</v>
      </c>
      <c r="U4333" t="s">
        <v>7076</v>
      </c>
      <c r="V4333" t="s">
        <v>4042</v>
      </c>
      <c r="W4333" t="s">
        <v>7963</v>
      </c>
      <c r="X4333" t="s">
        <v>2682</v>
      </c>
      <c r="AF4333" t="s">
        <v>31841</v>
      </c>
      <c r="AG4333" t="s">
        <v>4042</v>
      </c>
      <c r="AI4333" t="s">
        <v>31842</v>
      </c>
      <c r="AM4333" t="s">
        <v>31843</v>
      </c>
      <c r="AN4333" t="s">
        <v>2112</v>
      </c>
      <c r="AO4333" t="s">
        <v>31844</v>
      </c>
      <c r="AP4333" t="s">
        <v>7024</v>
      </c>
      <c r="AQ4333" t="s">
        <v>31845</v>
      </c>
      <c r="AT4333" s="184">
        <v>42110</v>
      </c>
      <c r="AU4333" t="s">
        <v>31846</v>
      </c>
      <c r="AV4333">
        <v>100</v>
      </c>
      <c r="AW4333" s="184">
        <v>44459</v>
      </c>
      <c r="AX4333" t="s">
        <v>31847</v>
      </c>
      <c r="AY4333">
        <v>150</v>
      </c>
      <c r="AZ4333" s="184">
        <v>44355</v>
      </c>
      <c r="BA4333" t="s">
        <v>31848</v>
      </c>
      <c r="BB4333">
        <v>1000</v>
      </c>
      <c r="BC4333">
        <v>70</v>
      </c>
      <c r="BD4333">
        <v>5150</v>
      </c>
      <c r="BE4333">
        <v>2015</v>
      </c>
      <c r="BF4333">
        <v>15</v>
      </c>
      <c r="BI4333">
        <v>7</v>
      </c>
      <c r="BJ4333">
        <v>10</v>
      </c>
      <c r="BK4333">
        <v>7</v>
      </c>
    </row>
    <row r="4334" spans="1:68">
      <c r="A4334">
        <v>77935765</v>
      </c>
      <c r="B4334">
        <v>77935765</v>
      </c>
      <c r="C4334" t="s">
        <v>7018</v>
      </c>
      <c r="E4334" s="184"/>
      <c r="G4334" s="184"/>
      <c r="I4334" s="184"/>
      <c r="K4334" s="184"/>
      <c r="L4334" t="s">
        <v>595</v>
      </c>
      <c r="M4334" s="184">
        <v>43923</v>
      </c>
      <c r="O4334" s="184"/>
      <c r="P4334" t="s">
        <v>7045</v>
      </c>
      <c r="Q4334" t="s">
        <v>7454</v>
      </c>
      <c r="R4334" s="184">
        <v>17746</v>
      </c>
      <c r="S4334">
        <v>75</v>
      </c>
      <c r="U4334" t="s">
        <v>7031</v>
      </c>
      <c r="V4334" t="s">
        <v>10421</v>
      </c>
      <c r="W4334" t="s">
        <v>3145</v>
      </c>
      <c r="X4334" t="s">
        <v>31849</v>
      </c>
      <c r="AF4334" t="s">
        <v>31850</v>
      </c>
      <c r="AG4334" t="s">
        <v>10421</v>
      </c>
      <c r="AI4334" t="s">
        <v>31851</v>
      </c>
      <c r="AM4334" t="s">
        <v>2608</v>
      </c>
      <c r="AN4334" t="s">
        <v>2299</v>
      </c>
      <c r="AO4334" t="s">
        <v>31852</v>
      </c>
      <c r="AP4334" t="s">
        <v>7024</v>
      </c>
      <c r="AQ4334" t="s">
        <v>31853</v>
      </c>
      <c r="AR4334" t="s">
        <v>31854</v>
      </c>
      <c r="AT4334" s="184">
        <v>41101</v>
      </c>
      <c r="AU4334" t="s">
        <v>31855</v>
      </c>
      <c r="AV4334">
        <v>25</v>
      </c>
      <c r="AW4334" s="184">
        <v>45334</v>
      </c>
      <c r="AX4334" t="s">
        <v>7092</v>
      </c>
      <c r="AY4334">
        <v>75</v>
      </c>
      <c r="AZ4334" s="184">
        <v>45334</v>
      </c>
      <c r="BA4334" t="s">
        <v>7092</v>
      </c>
      <c r="BB4334">
        <v>75</v>
      </c>
      <c r="BC4334">
        <v>100</v>
      </c>
      <c r="BD4334">
        <v>535</v>
      </c>
      <c r="BE4334">
        <v>2013</v>
      </c>
      <c r="BF4334">
        <v>14</v>
      </c>
      <c r="BG4334">
        <v>2</v>
      </c>
      <c r="BH4334">
        <v>125</v>
      </c>
      <c r="BI4334">
        <v>13</v>
      </c>
      <c r="BJ4334">
        <v>13</v>
      </c>
      <c r="BK4334">
        <v>13</v>
      </c>
      <c r="BP4334" s="184"/>
    </row>
    <row r="4335" spans="1:68">
      <c r="A4335">
        <v>77941003</v>
      </c>
      <c r="B4335">
        <v>77941003</v>
      </c>
      <c r="C4335" t="s">
        <v>7018</v>
      </c>
      <c r="D4335" t="s">
        <v>595</v>
      </c>
      <c r="E4335" s="184">
        <v>44484</v>
      </c>
      <c r="G4335" s="184"/>
      <c r="I4335" s="184"/>
      <c r="K4335" s="184"/>
      <c r="M4335" s="184"/>
      <c r="O4335" s="184"/>
      <c r="P4335" t="s">
        <v>7045</v>
      </c>
      <c r="Q4335" t="s">
        <v>7383</v>
      </c>
      <c r="R4335" s="184">
        <v>19906</v>
      </c>
      <c r="S4335">
        <v>69</v>
      </c>
      <c r="V4335" t="s">
        <v>3134</v>
      </c>
      <c r="W4335" t="s">
        <v>7396</v>
      </c>
      <c r="X4335" t="s">
        <v>31856</v>
      </c>
      <c r="AF4335" t="s">
        <v>31857</v>
      </c>
      <c r="AG4335" t="s">
        <v>3134</v>
      </c>
      <c r="AI4335" t="s">
        <v>31858</v>
      </c>
      <c r="AM4335" t="s">
        <v>31859</v>
      </c>
      <c r="AN4335" t="s">
        <v>2313</v>
      </c>
      <c r="AO4335" t="s">
        <v>31860</v>
      </c>
      <c r="AP4335" t="s">
        <v>7024</v>
      </c>
      <c r="AQ4335" t="s">
        <v>31861</v>
      </c>
      <c r="AT4335" s="184">
        <v>41050</v>
      </c>
      <c r="AU4335" t="s">
        <v>31862</v>
      </c>
      <c r="AV4335">
        <v>25</v>
      </c>
      <c r="AW4335" s="184">
        <v>45420</v>
      </c>
      <c r="AX4335" t="s">
        <v>7112</v>
      </c>
      <c r="AY4335">
        <v>15.75</v>
      </c>
      <c r="AZ4335" s="184">
        <v>45286</v>
      </c>
      <c r="BA4335" t="s">
        <v>31863</v>
      </c>
      <c r="BB4335">
        <v>50</v>
      </c>
      <c r="BC4335">
        <v>62</v>
      </c>
      <c r="BD4335">
        <v>407.25</v>
      </c>
      <c r="BE4335">
        <v>2012</v>
      </c>
      <c r="BF4335">
        <v>22</v>
      </c>
      <c r="BG4335">
        <v>5</v>
      </c>
      <c r="BH4335">
        <v>122.25</v>
      </c>
      <c r="BI4335">
        <v>8</v>
      </c>
      <c r="BJ4335">
        <v>13</v>
      </c>
      <c r="BK4335">
        <v>6</v>
      </c>
      <c r="BP4335" s="184"/>
    </row>
    <row r="4336" spans="1:68">
      <c r="A4336">
        <v>77953883</v>
      </c>
      <c r="B4336">
        <v>77953883</v>
      </c>
      <c r="C4336" t="s">
        <v>7018</v>
      </c>
      <c r="D4336" t="s">
        <v>595</v>
      </c>
      <c r="E4336" s="184">
        <v>44328</v>
      </c>
      <c r="G4336" s="184"/>
      <c r="I4336" s="184"/>
      <c r="K4336" s="184"/>
      <c r="M4336" s="184"/>
      <c r="O4336" s="184"/>
      <c r="P4336" t="s">
        <v>7045</v>
      </c>
      <c r="Q4336" t="s">
        <v>7383</v>
      </c>
      <c r="R4336" s="184">
        <v>15761</v>
      </c>
      <c r="S4336">
        <v>81</v>
      </c>
      <c r="U4336" t="s">
        <v>7076</v>
      </c>
      <c r="V4336" t="s">
        <v>13505</v>
      </c>
      <c r="X4336" t="s">
        <v>2975</v>
      </c>
      <c r="AF4336" t="s">
        <v>31864</v>
      </c>
      <c r="AG4336" t="s">
        <v>13505</v>
      </c>
      <c r="AI4336" t="s">
        <v>31865</v>
      </c>
      <c r="AM4336" t="s">
        <v>31866</v>
      </c>
      <c r="AN4336" t="s">
        <v>2185</v>
      </c>
      <c r="AO4336" t="s">
        <v>31867</v>
      </c>
      <c r="AP4336" t="s">
        <v>7024</v>
      </c>
      <c r="AQ4336" t="s">
        <v>31868</v>
      </c>
      <c r="AT4336" s="184">
        <v>41068</v>
      </c>
      <c r="AU4336" t="s">
        <v>31869</v>
      </c>
      <c r="AV4336">
        <v>15</v>
      </c>
      <c r="AW4336" s="184">
        <v>45412</v>
      </c>
      <c r="AX4336" t="s">
        <v>23272</v>
      </c>
      <c r="AY4336">
        <v>25</v>
      </c>
      <c r="AZ4336" s="184">
        <v>45412</v>
      </c>
      <c r="BA4336" t="s">
        <v>23272</v>
      </c>
      <c r="BB4336">
        <v>25</v>
      </c>
      <c r="BC4336">
        <v>100</v>
      </c>
      <c r="BD4336">
        <v>340</v>
      </c>
      <c r="BE4336">
        <v>2012</v>
      </c>
      <c r="BF4336">
        <v>14</v>
      </c>
      <c r="BG4336">
        <v>3</v>
      </c>
      <c r="BH4336">
        <v>75</v>
      </c>
      <c r="BI4336">
        <v>13</v>
      </c>
      <c r="BJ4336">
        <v>13</v>
      </c>
      <c r="BK4336">
        <v>13</v>
      </c>
      <c r="BP4336" s="184"/>
    </row>
    <row r="4337" spans="1:68">
      <c r="A4337">
        <v>77974970</v>
      </c>
      <c r="B4337">
        <v>77974970</v>
      </c>
      <c r="C4337" t="s">
        <v>7018</v>
      </c>
      <c r="D4337" t="s">
        <v>595</v>
      </c>
      <c r="E4337" s="184">
        <v>45167</v>
      </c>
      <c r="G4337" s="184"/>
      <c r="I4337" s="184"/>
      <c r="K4337" s="184"/>
      <c r="M4337" s="184"/>
      <c r="O4337" s="184"/>
      <c r="P4337" t="s">
        <v>7045</v>
      </c>
      <c r="Q4337" t="s">
        <v>7383</v>
      </c>
      <c r="R4337" s="184">
        <v>19998</v>
      </c>
      <c r="S4337">
        <v>69</v>
      </c>
      <c r="V4337" t="s">
        <v>3580</v>
      </c>
      <c r="X4337" t="s">
        <v>31870</v>
      </c>
      <c r="AF4337" t="s">
        <v>31871</v>
      </c>
      <c r="AG4337" t="s">
        <v>3580</v>
      </c>
      <c r="AI4337" t="s">
        <v>31872</v>
      </c>
      <c r="AM4337" t="s">
        <v>31873</v>
      </c>
      <c r="AN4337" t="s">
        <v>2274</v>
      </c>
      <c r="AO4337" t="s">
        <v>31874</v>
      </c>
      <c r="AP4337" t="s">
        <v>7024</v>
      </c>
      <c r="AT4337" s="184">
        <v>41046</v>
      </c>
      <c r="AU4337" t="s">
        <v>31875</v>
      </c>
      <c r="AV4337">
        <v>25</v>
      </c>
      <c r="AW4337" s="184">
        <v>45398</v>
      </c>
      <c r="AX4337" t="s">
        <v>23386</v>
      </c>
      <c r="AY4337">
        <v>115</v>
      </c>
      <c r="AZ4337" s="184">
        <v>45398</v>
      </c>
      <c r="BA4337" t="s">
        <v>23386</v>
      </c>
      <c r="BB4337">
        <v>115</v>
      </c>
      <c r="BC4337">
        <v>77</v>
      </c>
      <c r="BD4337">
        <v>720</v>
      </c>
      <c r="BE4337">
        <v>2012</v>
      </c>
      <c r="BF4337">
        <v>12</v>
      </c>
      <c r="BG4337">
        <v>2</v>
      </c>
      <c r="BH4337">
        <v>190</v>
      </c>
      <c r="BI4337">
        <v>10</v>
      </c>
      <c r="BJ4337">
        <v>13</v>
      </c>
      <c r="BK4337">
        <v>7</v>
      </c>
      <c r="BP4337" s="184"/>
    </row>
    <row r="4338" spans="1:68">
      <c r="A4338">
        <v>77983591</v>
      </c>
      <c r="B4338">
        <v>77983591</v>
      </c>
      <c r="C4338" t="s">
        <v>7018</v>
      </c>
      <c r="E4338" s="184"/>
      <c r="G4338" s="184"/>
      <c r="I4338" s="184"/>
      <c r="K4338" s="184"/>
      <c r="M4338" s="184"/>
      <c r="N4338" t="s">
        <v>595</v>
      </c>
      <c r="O4338" s="184">
        <v>43081</v>
      </c>
      <c r="P4338" t="s">
        <v>7019</v>
      </c>
      <c r="Q4338" t="s">
        <v>7160</v>
      </c>
      <c r="R4338" s="184">
        <v>15718</v>
      </c>
      <c r="S4338">
        <v>81</v>
      </c>
      <c r="V4338" t="s">
        <v>3547</v>
      </c>
      <c r="X4338" t="s">
        <v>31876</v>
      </c>
      <c r="AF4338" t="s">
        <v>6623</v>
      </c>
      <c r="AG4338" t="s">
        <v>3547</v>
      </c>
      <c r="AI4338" t="s">
        <v>31877</v>
      </c>
      <c r="AM4338" t="s">
        <v>4515</v>
      </c>
      <c r="AN4338" t="s">
        <v>2395</v>
      </c>
      <c r="AO4338" t="s">
        <v>31878</v>
      </c>
      <c r="AP4338" t="s">
        <v>7024</v>
      </c>
      <c r="AQ4338" t="s">
        <v>31879</v>
      </c>
      <c r="AT4338" s="184">
        <v>41046</v>
      </c>
      <c r="AU4338" t="s">
        <v>31880</v>
      </c>
      <c r="AV4338">
        <v>25</v>
      </c>
      <c r="AW4338" s="184">
        <v>44802</v>
      </c>
      <c r="AX4338" t="s">
        <v>31881</v>
      </c>
      <c r="AY4338">
        <v>60</v>
      </c>
      <c r="AZ4338" s="184">
        <v>44802</v>
      </c>
      <c r="BA4338" t="s">
        <v>31881</v>
      </c>
      <c r="BB4338">
        <v>60</v>
      </c>
      <c r="BC4338">
        <v>62</v>
      </c>
      <c r="BD4338">
        <v>425</v>
      </c>
      <c r="BE4338">
        <v>2012</v>
      </c>
      <c r="BF4338">
        <v>12</v>
      </c>
      <c r="BG4338">
        <v>1</v>
      </c>
      <c r="BH4338">
        <v>60</v>
      </c>
      <c r="BI4338">
        <v>8</v>
      </c>
      <c r="BJ4338">
        <v>13</v>
      </c>
      <c r="BK4338">
        <v>6</v>
      </c>
      <c r="BP4338" s="184"/>
    </row>
    <row r="4339" spans="1:68">
      <c r="A4339">
        <v>77994317</v>
      </c>
      <c r="B4339">
        <v>77994317</v>
      </c>
      <c r="C4339" t="s">
        <v>7018</v>
      </c>
      <c r="E4339" s="184"/>
      <c r="G4339" s="184"/>
      <c r="I4339" s="184"/>
      <c r="K4339" s="184"/>
      <c r="L4339" t="s">
        <v>595</v>
      </c>
      <c r="M4339" s="184">
        <v>44265</v>
      </c>
      <c r="O4339" s="184"/>
      <c r="P4339" t="s">
        <v>7045</v>
      </c>
      <c r="Q4339" t="s">
        <v>7020</v>
      </c>
      <c r="R4339" s="184">
        <v>15062</v>
      </c>
      <c r="S4339">
        <v>83</v>
      </c>
      <c r="U4339" t="s">
        <v>7031</v>
      </c>
      <c r="V4339" t="s">
        <v>3373</v>
      </c>
      <c r="X4339" t="s">
        <v>31882</v>
      </c>
      <c r="AF4339" t="s">
        <v>31883</v>
      </c>
      <c r="AG4339" t="s">
        <v>3373</v>
      </c>
      <c r="AI4339" t="s">
        <v>31884</v>
      </c>
      <c r="AM4339" t="s">
        <v>24304</v>
      </c>
      <c r="AN4339" t="s">
        <v>2240</v>
      </c>
      <c r="AO4339" t="s">
        <v>31885</v>
      </c>
      <c r="AP4339" t="s">
        <v>7024</v>
      </c>
      <c r="AQ4339" t="s">
        <v>31886</v>
      </c>
      <c r="AT4339" s="184">
        <v>42633</v>
      </c>
      <c r="AU4339" t="s">
        <v>31887</v>
      </c>
      <c r="AV4339">
        <v>75</v>
      </c>
      <c r="AW4339" s="184">
        <v>44860</v>
      </c>
      <c r="AX4339" t="s">
        <v>31888</v>
      </c>
      <c r="AY4339">
        <v>50</v>
      </c>
      <c r="AZ4339" s="184">
        <v>42633</v>
      </c>
      <c r="BA4339" t="s">
        <v>31887</v>
      </c>
      <c r="BB4339">
        <v>75</v>
      </c>
      <c r="BC4339">
        <v>67</v>
      </c>
      <c r="BD4339">
        <v>325</v>
      </c>
      <c r="BE4339">
        <v>2017</v>
      </c>
      <c r="BF4339">
        <v>6</v>
      </c>
      <c r="BG4339">
        <v>1</v>
      </c>
      <c r="BH4339">
        <v>50</v>
      </c>
      <c r="BI4339">
        <v>6</v>
      </c>
      <c r="BJ4339">
        <v>9</v>
      </c>
      <c r="BK4339">
        <v>4</v>
      </c>
      <c r="BP4339" s="184"/>
    </row>
    <row r="4340" spans="1:68">
      <c r="A4340">
        <v>78012200</v>
      </c>
      <c r="B4340">
        <v>78012200</v>
      </c>
      <c r="C4340" t="s">
        <v>7018</v>
      </c>
      <c r="E4340" s="184"/>
      <c r="F4340" t="s">
        <v>595</v>
      </c>
      <c r="G4340" s="184">
        <v>45176</v>
      </c>
      <c r="I4340" s="184"/>
      <c r="K4340" s="184"/>
      <c r="M4340" s="184"/>
      <c r="O4340" s="184"/>
      <c r="P4340" t="s">
        <v>7045</v>
      </c>
      <c r="Q4340" t="s">
        <v>7160</v>
      </c>
      <c r="R4340" s="184">
        <v>16954</v>
      </c>
      <c r="S4340">
        <v>77</v>
      </c>
      <c r="V4340" t="s">
        <v>2586</v>
      </c>
      <c r="X4340" t="s">
        <v>31889</v>
      </c>
      <c r="AF4340" t="s">
        <v>31890</v>
      </c>
      <c r="AG4340" t="s">
        <v>2586</v>
      </c>
      <c r="AI4340" t="s">
        <v>31891</v>
      </c>
      <c r="AM4340" t="s">
        <v>31892</v>
      </c>
      <c r="AN4340" t="s">
        <v>2395</v>
      </c>
      <c r="AO4340" t="s">
        <v>31893</v>
      </c>
      <c r="AP4340" t="s">
        <v>7024</v>
      </c>
      <c r="AQ4340" t="s">
        <v>31894</v>
      </c>
      <c r="AT4340" s="184">
        <v>41047</v>
      </c>
      <c r="AU4340" t="s">
        <v>31895</v>
      </c>
      <c r="AV4340">
        <v>50</v>
      </c>
      <c r="AW4340" s="184">
        <v>44201</v>
      </c>
      <c r="AX4340" t="s">
        <v>31896</v>
      </c>
      <c r="AY4340">
        <v>35</v>
      </c>
      <c r="AZ4340" s="184">
        <v>41591</v>
      </c>
      <c r="BA4340" t="s">
        <v>31897</v>
      </c>
      <c r="BB4340">
        <v>75</v>
      </c>
      <c r="BC4340">
        <v>39</v>
      </c>
      <c r="BD4340">
        <v>295</v>
      </c>
      <c r="BE4340">
        <v>2012</v>
      </c>
      <c r="BF4340">
        <v>6</v>
      </c>
      <c r="BI4340">
        <v>5</v>
      </c>
      <c r="BJ4340">
        <v>13</v>
      </c>
      <c r="BK4340">
        <v>2</v>
      </c>
      <c r="BP4340" s="184"/>
    </row>
    <row r="4341" spans="1:68">
      <c r="A4341">
        <v>78128782</v>
      </c>
      <c r="B4341">
        <v>78128782</v>
      </c>
      <c r="C4341" t="s">
        <v>7018</v>
      </c>
      <c r="D4341" t="s">
        <v>595</v>
      </c>
      <c r="E4341" s="184">
        <v>44428</v>
      </c>
      <c r="G4341" s="184"/>
      <c r="I4341" s="184"/>
      <c r="K4341" s="184"/>
      <c r="M4341" s="184"/>
      <c r="O4341" s="184"/>
      <c r="P4341" t="s">
        <v>7045</v>
      </c>
      <c r="Q4341" t="s">
        <v>7454</v>
      </c>
      <c r="R4341" s="184">
        <v>20880</v>
      </c>
      <c r="S4341">
        <v>67</v>
      </c>
      <c r="V4341" t="s">
        <v>2863</v>
      </c>
      <c r="W4341" t="s">
        <v>4013</v>
      </c>
      <c r="X4341" t="s">
        <v>31898</v>
      </c>
      <c r="AF4341" t="s">
        <v>31899</v>
      </c>
      <c r="AG4341" t="s">
        <v>2863</v>
      </c>
      <c r="AI4341" t="s">
        <v>31900</v>
      </c>
      <c r="AM4341" t="s">
        <v>3855</v>
      </c>
      <c r="AN4341" t="s">
        <v>2055</v>
      </c>
      <c r="AO4341" t="s">
        <v>31901</v>
      </c>
      <c r="AP4341" t="s">
        <v>7024</v>
      </c>
      <c r="AQ4341" t="s">
        <v>31902</v>
      </c>
      <c r="AT4341" s="184">
        <v>41051</v>
      </c>
      <c r="AU4341" t="s">
        <v>31903</v>
      </c>
      <c r="AV4341">
        <v>150</v>
      </c>
      <c r="AW4341" s="184">
        <v>44988</v>
      </c>
      <c r="AX4341" t="s">
        <v>14769</v>
      </c>
      <c r="AY4341">
        <v>150</v>
      </c>
      <c r="AZ4341" s="184">
        <v>44988</v>
      </c>
      <c r="BA4341" t="s">
        <v>14769</v>
      </c>
      <c r="BB4341">
        <v>150</v>
      </c>
      <c r="BC4341">
        <v>93</v>
      </c>
      <c r="BD4341">
        <v>1550</v>
      </c>
      <c r="BE4341">
        <v>2012</v>
      </c>
      <c r="BF4341">
        <v>12</v>
      </c>
      <c r="BG4341">
        <v>2</v>
      </c>
      <c r="BH4341">
        <v>250</v>
      </c>
      <c r="BI4341">
        <v>12</v>
      </c>
      <c r="BJ4341">
        <v>13</v>
      </c>
      <c r="BK4341">
        <v>12</v>
      </c>
      <c r="BP4341" s="184"/>
    </row>
    <row r="4342" spans="1:68">
      <c r="A4342">
        <v>78201597</v>
      </c>
      <c r="B4342">
        <v>78201597</v>
      </c>
      <c r="C4342" t="s">
        <v>7018</v>
      </c>
      <c r="D4342" t="s">
        <v>595</v>
      </c>
      <c r="E4342" s="184">
        <v>44104</v>
      </c>
      <c r="G4342" s="184"/>
      <c r="I4342" s="184"/>
      <c r="K4342" s="184"/>
      <c r="M4342" s="184"/>
      <c r="O4342" s="184"/>
      <c r="P4342" t="s">
        <v>7045</v>
      </c>
      <c r="Q4342" t="s">
        <v>7383</v>
      </c>
      <c r="R4342" s="184">
        <v>13126</v>
      </c>
      <c r="S4342">
        <v>88</v>
      </c>
      <c r="U4342" t="s">
        <v>7130</v>
      </c>
      <c r="V4342" t="s">
        <v>4523</v>
      </c>
      <c r="X4342" t="s">
        <v>3250</v>
      </c>
      <c r="AF4342" t="s">
        <v>31904</v>
      </c>
      <c r="AG4342" t="s">
        <v>4523</v>
      </c>
      <c r="AI4342" t="s">
        <v>31905</v>
      </c>
      <c r="AM4342" t="s">
        <v>31906</v>
      </c>
      <c r="AN4342" t="s">
        <v>2059</v>
      </c>
      <c r="AO4342" t="s">
        <v>31907</v>
      </c>
      <c r="AP4342" t="s">
        <v>7024</v>
      </c>
      <c r="AQ4342" t="s">
        <v>31908</v>
      </c>
      <c r="AT4342" s="184">
        <v>41053</v>
      </c>
      <c r="AU4342" t="s">
        <v>31909</v>
      </c>
      <c r="AV4342">
        <v>25</v>
      </c>
      <c r="AW4342" s="184">
        <v>45376</v>
      </c>
      <c r="AX4342" t="s">
        <v>11903</v>
      </c>
      <c r="AY4342">
        <v>75</v>
      </c>
      <c r="AZ4342" s="184">
        <v>45376</v>
      </c>
      <c r="BA4342" t="s">
        <v>11903</v>
      </c>
      <c r="BB4342">
        <v>75</v>
      </c>
      <c r="BC4342">
        <v>100</v>
      </c>
      <c r="BD4342">
        <v>1690</v>
      </c>
      <c r="BE4342">
        <v>2012</v>
      </c>
      <c r="BF4342">
        <v>36</v>
      </c>
      <c r="BG4342">
        <v>10</v>
      </c>
      <c r="BH4342">
        <v>575</v>
      </c>
      <c r="BI4342">
        <v>13</v>
      </c>
      <c r="BJ4342">
        <v>13</v>
      </c>
      <c r="BK4342">
        <v>13</v>
      </c>
    </row>
    <row r="4343" spans="1:68">
      <c r="A4343">
        <v>78227196</v>
      </c>
      <c r="B4343">
        <v>78227196</v>
      </c>
      <c r="C4343" t="s">
        <v>7018</v>
      </c>
      <c r="E4343" s="184"/>
      <c r="G4343" s="184"/>
      <c r="I4343" s="184"/>
      <c r="J4343" t="s">
        <v>595</v>
      </c>
      <c r="K4343" s="184">
        <v>44073</v>
      </c>
      <c r="M4343" s="184"/>
      <c r="O4343" s="184"/>
      <c r="P4343" t="s">
        <v>7045</v>
      </c>
      <c r="Q4343" t="s">
        <v>7030</v>
      </c>
      <c r="R4343" s="184">
        <v>17472</v>
      </c>
      <c r="S4343">
        <v>76</v>
      </c>
      <c r="U4343" t="s">
        <v>7031</v>
      </c>
      <c r="V4343" t="s">
        <v>3080</v>
      </c>
      <c r="W4343" t="s">
        <v>4382</v>
      </c>
      <c r="X4343" t="s">
        <v>4915</v>
      </c>
      <c r="AF4343" t="s">
        <v>31910</v>
      </c>
      <c r="AG4343" t="s">
        <v>3080</v>
      </c>
      <c r="AI4343" t="s">
        <v>31911</v>
      </c>
      <c r="AM4343" t="s">
        <v>3615</v>
      </c>
      <c r="AN4343" t="s">
        <v>2094</v>
      </c>
      <c r="AO4343" t="s">
        <v>31912</v>
      </c>
      <c r="AP4343" t="s">
        <v>7024</v>
      </c>
      <c r="AQ4343" t="s">
        <v>31913</v>
      </c>
      <c r="AT4343" s="184">
        <v>41054</v>
      </c>
      <c r="AU4343" t="s">
        <v>31914</v>
      </c>
      <c r="AV4343">
        <v>25</v>
      </c>
      <c r="AW4343" s="184">
        <v>45331</v>
      </c>
      <c r="AX4343" t="s">
        <v>9213</v>
      </c>
      <c r="AY4343">
        <v>75</v>
      </c>
      <c r="AZ4343" s="184">
        <v>42793</v>
      </c>
      <c r="BA4343" t="s">
        <v>31915</v>
      </c>
      <c r="BB4343">
        <v>100</v>
      </c>
      <c r="BC4343">
        <v>100</v>
      </c>
      <c r="BD4343">
        <v>1850</v>
      </c>
      <c r="BE4343">
        <v>2012</v>
      </c>
      <c r="BF4343">
        <v>31</v>
      </c>
      <c r="BG4343">
        <v>5</v>
      </c>
      <c r="BH4343">
        <v>275</v>
      </c>
      <c r="BI4343">
        <v>13</v>
      </c>
      <c r="BJ4343">
        <v>13</v>
      </c>
      <c r="BK4343">
        <v>13</v>
      </c>
    </row>
    <row r="4344" spans="1:68">
      <c r="A4344">
        <v>78386570</v>
      </c>
      <c r="B4344">
        <v>78386570</v>
      </c>
      <c r="C4344" t="s">
        <v>7018</v>
      </c>
      <c r="E4344" s="184"/>
      <c r="G4344" s="184"/>
      <c r="I4344" s="184"/>
      <c r="J4344" t="s">
        <v>595</v>
      </c>
      <c r="K4344" s="184">
        <v>43781</v>
      </c>
      <c r="M4344" s="184"/>
      <c r="O4344" s="184"/>
      <c r="P4344" t="s">
        <v>7045</v>
      </c>
      <c r="Q4344" t="s">
        <v>7383</v>
      </c>
      <c r="R4344" s="184">
        <v>18507</v>
      </c>
      <c r="S4344">
        <v>73</v>
      </c>
      <c r="U4344" t="s">
        <v>7031</v>
      </c>
      <c r="V4344" t="s">
        <v>4282</v>
      </c>
      <c r="W4344" t="s">
        <v>7246</v>
      </c>
      <c r="X4344" t="s">
        <v>3514</v>
      </c>
      <c r="AF4344" t="s">
        <v>6639</v>
      </c>
      <c r="AG4344" t="s">
        <v>4282</v>
      </c>
      <c r="AI4344" t="s">
        <v>31916</v>
      </c>
      <c r="AM4344" t="s">
        <v>4283</v>
      </c>
      <c r="AN4344" t="s">
        <v>2162</v>
      </c>
      <c r="AO4344" t="s">
        <v>31917</v>
      </c>
      <c r="AP4344" t="s">
        <v>7024</v>
      </c>
      <c r="AQ4344" t="s">
        <v>31918</v>
      </c>
      <c r="AT4344" s="184">
        <v>41066</v>
      </c>
      <c r="AU4344" t="s">
        <v>31919</v>
      </c>
      <c r="AV4344">
        <v>25</v>
      </c>
      <c r="AW4344" s="184">
        <v>44999</v>
      </c>
      <c r="AX4344" t="s">
        <v>10687</v>
      </c>
      <c r="AY4344">
        <v>25</v>
      </c>
      <c r="AZ4344" s="184">
        <v>44999</v>
      </c>
      <c r="BA4344" t="s">
        <v>10687</v>
      </c>
      <c r="BB4344">
        <v>25</v>
      </c>
      <c r="BC4344">
        <v>93</v>
      </c>
      <c r="BD4344">
        <v>425</v>
      </c>
      <c r="BE4344">
        <v>2012</v>
      </c>
      <c r="BF4344">
        <v>17</v>
      </c>
      <c r="BG4344">
        <v>2</v>
      </c>
      <c r="BH4344">
        <v>50</v>
      </c>
      <c r="BI4344">
        <v>12</v>
      </c>
      <c r="BJ4344">
        <v>13</v>
      </c>
      <c r="BK4344">
        <v>12</v>
      </c>
    </row>
    <row r="4345" spans="1:68">
      <c r="A4345">
        <v>78395811</v>
      </c>
      <c r="B4345">
        <v>78395811</v>
      </c>
      <c r="C4345" t="s">
        <v>7018</v>
      </c>
      <c r="E4345" s="184"/>
      <c r="F4345" t="s">
        <v>595</v>
      </c>
      <c r="G4345" s="184">
        <v>44484</v>
      </c>
      <c r="I4345" s="184"/>
      <c r="J4345" t="s">
        <v>595</v>
      </c>
      <c r="K4345" s="184">
        <v>44484</v>
      </c>
      <c r="M4345" s="184"/>
      <c r="O4345" s="184"/>
      <c r="P4345" t="s">
        <v>7084</v>
      </c>
      <c r="Q4345" t="s">
        <v>7194</v>
      </c>
      <c r="R4345" s="184">
        <v>21276</v>
      </c>
      <c r="S4345">
        <v>66</v>
      </c>
      <c r="V4345" t="s">
        <v>2839</v>
      </c>
      <c r="W4345" t="s">
        <v>5120</v>
      </c>
      <c r="X4345" t="s">
        <v>31920</v>
      </c>
      <c r="Z4345">
        <v>101142368</v>
      </c>
      <c r="AB4345" t="s">
        <v>3223</v>
      </c>
      <c r="AD4345" t="s">
        <v>31920</v>
      </c>
      <c r="AF4345" t="s">
        <v>31921</v>
      </c>
      <c r="AG4345" t="s">
        <v>31922</v>
      </c>
      <c r="AI4345" t="s">
        <v>31923</v>
      </c>
      <c r="AM4345" t="s">
        <v>4213</v>
      </c>
      <c r="AN4345" t="s">
        <v>2046</v>
      </c>
      <c r="AO4345" t="s">
        <v>31924</v>
      </c>
      <c r="AP4345" t="s">
        <v>7024</v>
      </c>
      <c r="AQ4345" t="s">
        <v>31925</v>
      </c>
      <c r="AR4345" t="s">
        <v>31926</v>
      </c>
      <c r="AT4345" s="184">
        <v>41067</v>
      </c>
      <c r="AU4345" t="s">
        <v>31903</v>
      </c>
      <c r="AV4345">
        <v>100</v>
      </c>
      <c r="AW4345" s="184">
        <v>45131</v>
      </c>
      <c r="AX4345" t="s">
        <v>31927</v>
      </c>
      <c r="AY4345">
        <v>25000</v>
      </c>
      <c r="AZ4345" s="184">
        <v>45131</v>
      </c>
      <c r="BA4345" t="s">
        <v>31927</v>
      </c>
      <c r="BB4345">
        <v>25000</v>
      </c>
      <c r="BC4345">
        <v>70</v>
      </c>
      <c r="BD4345">
        <v>31250</v>
      </c>
      <c r="BE4345">
        <v>2012</v>
      </c>
      <c r="BF4345">
        <v>11</v>
      </c>
      <c r="BG4345">
        <v>2</v>
      </c>
      <c r="BH4345">
        <v>27500</v>
      </c>
      <c r="BI4345">
        <v>9</v>
      </c>
      <c r="BJ4345">
        <v>13</v>
      </c>
      <c r="BK4345">
        <v>4</v>
      </c>
    </row>
    <row r="4346" spans="1:68">
      <c r="A4346">
        <v>78432374</v>
      </c>
      <c r="B4346">
        <v>78432374</v>
      </c>
      <c r="C4346" t="s">
        <v>7018</v>
      </c>
      <c r="E4346" s="184"/>
      <c r="G4346" s="184"/>
      <c r="I4346" s="184"/>
      <c r="J4346" t="s">
        <v>595</v>
      </c>
      <c r="K4346" s="184">
        <v>43992</v>
      </c>
      <c r="M4346" s="184"/>
      <c r="O4346" s="184"/>
      <c r="P4346" t="s">
        <v>7084</v>
      </c>
      <c r="Q4346" t="s">
        <v>7494</v>
      </c>
      <c r="R4346" s="184">
        <v>24793</v>
      </c>
      <c r="S4346">
        <v>56</v>
      </c>
      <c r="U4346" t="s">
        <v>7130</v>
      </c>
      <c r="V4346" t="s">
        <v>3400</v>
      </c>
      <c r="X4346" t="s">
        <v>31928</v>
      </c>
      <c r="Z4346">
        <v>100149144</v>
      </c>
      <c r="AA4346" t="s">
        <v>7031</v>
      </c>
      <c r="AB4346" t="s">
        <v>31929</v>
      </c>
      <c r="AC4346" t="s">
        <v>4139</v>
      </c>
      <c r="AD4346" t="s">
        <v>31928</v>
      </c>
      <c r="AF4346" t="s">
        <v>31930</v>
      </c>
      <c r="AG4346" t="s">
        <v>31931</v>
      </c>
      <c r="AI4346" t="s">
        <v>31932</v>
      </c>
      <c r="AM4346" t="s">
        <v>3996</v>
      </c>
      <c r="AN4346" t="s">
        <v>2174</v>
      </c>
      <c r="AO4346" t="s">
        <v>31933</v>
      </c>
      <c r="AP4346" t="s">
        <v>7024</v>
      </c>
      <c r="AQ4346" t="s">
        <v>31934</v>
      </c>
      <c r="AT4346" s="184">
        <v>41184</v>
      </c>
      <c r="AU4346" t="s">
        <v>31935</v>
      </c>
      <c r="AV4346">
        <v>25</v>
      </c>
      <c r="AW4346" s="184">
        <v>45390</v>
      </c>
      <c r="AX4346" t="s">
        <v>12907</v>
      </c>
      <c r="AY4346">
        <v>1000</v>
      </c>
      <c r="AZ4346" s="184">
        <v>42800</v>
      </c>
      <c r="BA4346" t="s">
        <v>31936</v>
      </c>
      <c r="BB4346">
        <v>100000</v>
      </c>
      <c r="BC4346">
        <v>100</v>
      </c>
      <c r="BD4346">
        <v>1332508.08</v>
      </c>
      <c r="BE4346">
        <v>2013</v>
      </c>
      <c r="BF4346">
        <v>130</v>
      </c>
      <c r="BG4346">
        <v>15</v>
      </c>
      <c r="BH4346">
        <v>267095.69</v>
      </c>
      <c r="BI4346">
        <v>13</v>
      </c>
      <c r="BJ4346">
        <v>13</v>
      </c>
      <c r="BK4346">
        <v>13</v>
      </c>
    </row>
    <row r="4347" spans="1:68">
      <c r="A4347">
        <v>100149144</v>
      </c>
      <c r="B4347">
        <v>78432374</v>
      </c>
      <c r="C4347" t="s">
        <v>7018</v>
      </c>
      <c r="E4347" s="184"/>
      <c r="G4347" s="184"/>
      <c r="I4347" s="184"/>
      <c r="J4347" t="s">
        <v>595</v>
      </c>
      <c r="K4347" s="184">
        <v>43992</v>
      </c>
      <c r="M4347" s="184"/>
      <c r="O4347" s="184"/>
      <c r="P4347" t="s">
        <v>7084</v>
      </c>
      <c r="Q4347" t="s">
        <v>7494</v>
      </c>
      <c r="R4347" s="184">
        <v>24739</v>
      </c>
      <c r="S4347">
        <v>56</v>
      </c>
      <c r="U4347" t="s">
        <v>7031</v>
      </c>
      <c r="V4347" t="s">
        <v>31929</v>
      </c>
      <c r="W4347" t="s">
        <v>4139</v>
      </c>
      <c r="X4347" t="s">
        <v>31928</v>
      </c>
      <c r="Z4347">
        <v>78432374</v>
      </c>
      <c r="AA4347" t="s">
        <v>7130</v>
      </c>
      <c r="AB4347" t="s">
        <v>3400</v>
      </c>
      <c r="AD4347" t="s">
        <v>31928</v>
      </c>
      <c r="AF4347" t="s">
        <v>31930</v>
      </c>
      <c r="AG4347" t="s">
        <v>31931</v>
      </c>
      <c r="AI4347" t="s">
        <v>31932</v>
      </c>
      <c r="AM4347" t="s">
        <v>3996</v>
      </c>
      <c r="AN4347" t="s">
        <v>2174</v>
      </c>
      <c r="AO4347" t="s">
        <v>31933</v>
      </c>
      <c r="AP4347" t="s">
        <v>7024</v>
      </c>
      <c r="AQ4347" t="s">
        <v>31937</v>
      </c>
      <c r="AR4347" t="s">
        <v>31938</v>
      </c>
      <c r="AT4347" s="184"/>
      <c r="AW4347" s="184"/>
      <c r="AZ4347" s="184"/>
    </row>
    <row r="4348" spans="1:68">
      <c r="A4348">
        <v>78785573</v>
      </c>
      <c r="B4348">
        <v>78785573</v>
      </c>
      <c r="C4348" t="s">
        <v>7018</v>
      </c>
      <c r="D4348" t="s">
        <v>595</v>
      </c>
      <c r="E4348" s="184">
        <v>44438</v>
      </c>
      <c r="G4348" s="184"/>
      <c r="I4348" s="184"/>
      <c r="K4348" s="184"/>
      <c r="M4348" s="184"/>
      <c r="O4348" s="184"/>
      <c r="P4348" t="s">
        <v>7045</v>
      </c>
      <c r="Q4348" t="s">
        <v>7383</v>
      </c>
      <c r="R4348" s="184">
        <v>20911</v>
      </c>
      <c r="S4348">
        <v>67</v>
      </c>
      <c r="V4348" t="s">
        <v>2687</v>
      </c>
      <c r="W4348" t="s">
        <v>4013</v>
      </c>
      <c r="X4348" t="s">
        <v>31939</v>
      </c>
      <c r="Z4348">
        <v>100149348</v>
      </c>
      <c r="AB4348" t="s">
        <v>3293</v>
      </c>
      <c r="AC4348" t="s">
        <v>4139</v>
      </c>
      <c r="AD4348" t="s">
        <v>31939</v>
      </c>
      <c r="AF4348" t="s">
        <v>31940</v>
      </c>
      <c r="AG4348" t="s">
        <v>31941</v>
      </c>
      <c r="AI4348" t="s">
        <v>31942</v>
      </c>
      <c r="AM4348" t="s">
        <v>31943</v>
      </c>
      <c r="AN4348" t="s">
        <v>2144</v>
      </c>
      <c r="AO4348" t="s">
        <v>31944</v>
      </c>
      <c r="AP4348" t="s">
        <v>7024</v>
      </c>
      <c r="AQ4348" t="s">
        <v>31945</v>
      </c>
      <c r="AR4348" t="s">
        <v>31946</v>
      </c>
      <c r="AT4348" s="184">
        <v>41092</v>
      </c>
      <c r="AU4348" t="s">
        <v>31947</v>
      </c>
      <c r="AV4348">
        <v>20</v>
      </c>
      <c r="AW4348" s="184">
        <v>44571</v>
      </c>
      <c r="AX4348" t="s">
        <v>8543</v>
      </c>
      <c r="AY4348">
        <v>50</v>
      </c>
      <c r="AZ4348" s="184">
        <v>43421</v>
      </c>
      <c r="BA4348" t="s">
        <v>8586</v>
      </c>
      <c r="BB4348">
        <v>87</v>
      </c>
      <c r="BC4348">
        <v>47</v>
      </c>
      <c r="BD4348">
        <v>352</v>
      </c>
      <c r="BE4348">
        <v>2013</v>
      </c>
      <c r="BF4348">
        <v>7</v>
      </c>
      <c r="BI4348">
        <v>6</v>
      </c>
      <c r="BJ4348">
        <v>13</v>
      </c>
      <c r="BK4348">
        <v>2</v>
      </c>
      <c r="BP4348" s="184"/>
    </row>
    <row r="4349" spans="1:68">
      <c r="A4349">
        <v>100149348</v>
      </c>
      <c r="B4349">
        <v>78785573</v>
      </c>
      <c r="C4349" t="s">
        <v>7018</v>
      </c>
      <c r="D4349" t="s">
        <v>595</v>
      </c>
      <c r="E4349" s="184">
        <v>44438</v>
      </c>
      <c r="G4349" s="184"/>
      <c r="I4349" s="184"/>
      <c r="K4349" s="184"/>
      <c r="M4349" s="184"/>
      <c r="O4349" s="184"/>
      <c r="P4349" t="s">
        <v>7045</v>
      </c>
      <c r="Q4349" t="s">
        <v>7383</v>
      </c>
      <c r="R4349" s="184">
        <v>21671</v>
      </c>
      <c r="S4349">
        <v>65</v>
      </c>
      <c r="V4349" t="s">
        <v>3293</v>
      </c>
      <c r="W4349" t="s">
        <v>4139</v>
      </c>
      <c r="X4349" t="s">
        <v>31939</v>
      </c>
      <c r="Z4349">
        <v>78785573</v>
      </c>
      <c r="AB4349" t="s">
        <v>2687</v>
      </c>
      <c r="AC4349" t="s">
        <v>4013</v>
      </c>
      <c r="AD4349" t="s">
        <v>31939</v>
      </c>
      <c r="AF4349" t="s">
        <v>31940</v>
      </c>
      <c r="AG4349" t="s">
        <v>31941</v>
      </c>
      <c r="AI4349" t="s">
        <v>31942</v>
      </c>
      <c r="AM4349" t="s">
        <v>31943</v>
      </c>
      <c r="AN4349" t="s">
        <v>2144</v>
      </c>
      <c r="AO4349" t="s">
        <v>31944</v>
      </c>
      <c r="AP4349" t="s">
        <v>7024</v>
      </c>
      <c r="AQ4349" t="s">
        <v>31945</v>
      </c>
      <c r="AR4349" t="s">
        <v>31948</v>
      </c>
      <c r="AT4349" s="184">
        <v>44949</v>
      </c>
      <c r="AU4349" t="s">
        <v>7832</v>
      </c>
      <c r="AV4349">
        <v>50</v>
      </c>
      <c r="AW4349" s="184">
        <v>45308</v>
      </c>
      <c r="AX4349" t="s">
        <v>7168</v>
      </c>
      <c r="AY4349">
        <v>50</v>
      </c>
      <c r="AZ4349" s="184">
        <v>45308</v>
      </c>
      <c r="BA4349" t="s">
        <v>7168</v>
      </c>
      <c r="BB4349">
        <v>50</v>
      </c>
      <c r="BC4349">
        <v>100</v>
      </c>
      <c r="BD4349">
        <v>100</v>
      </c>
      <c r="BE4349">
        <v>2023</v>
      </c>
      <c r="BF4349">
        <v>2</v>
      </c>
      <c r="BG4349">
        <v>2</v>
      </c>
      <c r="BH4349">
        <v>100</v>
      </c>
      <c r="BI4349">
        <v>2</v>
      </c>
      <c r="BJ4349">
        <v>2</v>
      </c>
      <c r="BK4349">
        <v>2</v>
      </c>
      <c r="BP4349" s="184"/>
    </row>
    <row r="4350" spans="1:68">
      <c r="A4350">
        <v>78877578</v>
      </c>
      <c r="B4350">
        <v>78877578</v>
      </c>
      <c r="C4350" t="s">
        <v>7018</v>
      </c>
      <c r="D4350" t="s">
        <v>595</v>
      </c>
      <c r="E4350" s="184">
        <v>45117</v>
      </c>
      <c r="G4350" s="184"/>
      <c r="I4350" s="184"/>
      <c r="K4350" s="184"/>
      <c r="M4350" s="184"/>
      <c r="O4350" s="184"/>
      <c r="P4350" t="s">
        <v>7045</v>
      </c>
      <c r="Q4350" t="s">
        <v>7383</v>
      </c>
      <c r="R4350" s="184">
        <v>17656</v>
      </c>
      <c r="S4350">
        <v>76</v>
      </c>
      <c r="V4350" t="s">
        <v>2903</v>
      </c>
      <c r="X4350" t="s">
        <v>31949</v>
      </c>
      <c r="AF4350" t="s">
        <v>31950</v>
      </c>
      <c r="AG4350" t="s">
        <v>2903</v>
      </c>
      <c r="AI4350" t="s">
        <v>31951</v>
      </c>
      <c r="AM4350" t="s">
        <v>31952</v>
      </c>
      <c r="AN4350" t="s">
        <v>2072</v>
      </c>
      <c r="AO4350" t="s">
        <v>31953</v>
      </c>
      <c r="AP4350" t="s">
        <v>7024</v>
      </c>
      <c r="AQ4350" t="s">
        <v>31954</v>
      </c>
      <c r="AR4350" t="s">
        <v>31955</v>
      </c>
      <c r="AT4350" s="184">
        <v>41099</v>
      </c>
      <c r="AU4350" t="s">
        <v>31956</v>
      </c>
      <c r="AV4350">
        <v>20</v>
      </c>
      <c r="AW4350" s="184">
        <v>45397</v>
      </c>
      <c r="AX4350" t="s">
        <v>7832</v>
      </c>
      <c r="AY4350">
        <v>87</v>
      </c>
      <c r="AZ4350" s="184">
        <v>45397</v>
      </c>
      <c r="BA4350" t="s">
        <v>7832</v>
      </c>
      <c r="BB4350">
        <v>87</v>
      </c>
      <c r="BC4350">
        <v>54</v>
      </c>
      <c r="BD4350">
        <v>272</v>
      </c>
      <c r="BE4350">
        <v>2013</v>
      </c>
      <c r="BF4350">
        <v>8</v>
      </c>
      <c r="BG4350">
        <v>3</v>
      </c>
      <c r="BH4350">
        <v>152</v>
      </c>
      <c r="BI4350">
        <v>7</v>
      </c>
      <c r="BJ4350">
        <v>13</v>
      </c>
      <c r="BK4350">
        <v>2</v>
      </c>
    </row>
    <row r="4351" spans="1:68">
      <c r="A4351">
        <v>78921178</v>
      </c>
      <c r="B4351">
        <v>78921178</v>
      </c>
      <c r="C4351" t="s">
        <v>7018</v>
      </c>
      <c r="D4351" t="s">
        <v>595</v>
      </c>
      <c r="E4351" s="184">
        <v>43936</v>
      </c>
      <c r="G4351" s="184"/>
      <c r="I4351" s="184"/>
      <c r="K4351" s="184"/>
      <c r="M4351" s="184"/>
      <c r="O4351" s="184"/>
      <c r="P4351" t="s">
        <v>7045</v>
      </c>
      <c r="Q4351" t="s">
        <v>7383</v>
      </c>
      <c r="R4351" s="184">
        <v>21125</v>
      </c>
      <c r="S4351">
        <v>66</v>
      </c>
      <c r="V4351" t="s">
        <v>2586</v>
      </c>
      <c r="X4351" t="s">
        <v>31957</v>
      </c>
      <c r="AF4351" t="s">
        <v>31958</v>
      </c>
      <c r="AG4351" t="s">
        <v>2586</v>
      </c>
      <c r="AI4351" t="s">
        <v>31959</v>
      </c>
      <c r="AM4351" t="s">
        <v>2905</v>
      </c>
      <c r="AN4351" t="s">
        <v>2072</v>
      </c>
      <c r="AO4351" t="s">
        <v>31960</v>
      </c>
      <c r="AP4351" t="s">
        <v>7024</v>
      </c>
      <c r="AQ4351" t="s">
        <v>31961</v>
      </c>
      <c r="AT4351" s="184">
        <v>41101</v>
      </c>
      <c r="AU4351" t="s">
        <v>31962</v>
      </c>
      <c r="AV4351">
        <v>15</v>
      </c>
      <c r="AW4351" s="184">
        <v>43864</v>
      </c>
      <c r="AX4351" t="s">
        <v>31963</v>
      </c>
      <c r="AY4351">
        <v>15</v>
      </c>
      <c r="AZ4351" s="184">
        <v>43864</v>
      </c>
      <c r="BA4351" t="s">
        <v>31963</v>
      </c>
      <c r="BB4351">
        <v>15</v>
      </c>
      <c r="BC4351">
        <v>24</v>
      </c>
      <c r="BD4351">
        <v>60</v>
      </c>
      <c r="BE4351">
        <v>2013</v>
      </c>
      <c r="BF4351">
        <v>4</v>
      </c>
      <c r="BI4351">
        <v>3</v>
      </c>
      <c r="BJ4351">
        <v>13</v>
      </c>
      <c r="BK4351">
        <v>2</v>
      </c>
    </row>
    <row r="4352" spans="1:68">
      <c r="A4352">
        <v>78921970</v>
      </c>
      <c r="B4352">
        <v>78921970</v>
      </c>
      <c r="C4352" t="s">
        <v>7018</v>
      </c>
      <c r="E4352" s="184"/>
      <c r="F4352" t="s">
        <v>595</v>
      </c>
      <c r="G4352" s="184">
        <v>44438</v>
      </c>
      <c r="I4352" s="184"/>
      <c r="K4352" s="184"/>
      <c r="M4352" s="184"/>
      <c r="O4352" s="184"/>
      <c r="P4352" t="s">
        <v>7019</v>
      </c>
      <c r="Q4352" t="s">
        <v>7454</v>
      </c>
      <c r="R4352" s="184">
        <v>19869</v>
      </c>
      <c r="S4352">
        <v>69</v>
      </c>
      <c r="V4352" t="s">
        <v>2851</v>
      </c>
      <c r="W4352" t="s">
        <v>7246</v>
      </c>
      <c r="X4352" t="s">
        <v>2706</v>
      </c>
      <c r="AF4352" t="s">
        <v>31964</v>
      </c>
      <c r="AG4352" t="s">
        <v>2851</v>
      </c>
      <c r="AI4352" t="s">
        <v>31965</v>
      </c>
      <c r="AM4352" t="s">
        <v>3891</v>
      </c>
      <c r="AN4352" t="s">
        <v>2055</v>
      </c>
      <c r="AO4352" t="s">
        <v>31966</v>
      </c>
      <c r="AP4352" t="s">
        <v>7024</v>
      </c>
      <c r="AQ4352" t="s">
        <v>31967</v>
      </c>
      <c r="AT4352" s="184">
        <v>41101</v>
      </c>
      <c r="AU4352" t="s">
        <v>31968</v>
      </c>
      <c r="AV4352">
        <v>25</v>
      </c>
      <c r="AW4352" s="184">
        <v>44200</v>
      </c>
      <c r="AX4352" t="s">
        <v>31969</v>
      </c>
      <c r="AY4352">
        <v>35</v>
      </c>
      <c r="AZ4352" s="184">
        <v>44172</v>
      </c>
      <c r="BA4352" t="s">
        <v>12859</v>
      </c>
      <c r="BB4352">
        <v>87</v>
      </c>
      <c r="BC4352">
        <v>39</v>
      </c>
      <c r="BD4352">
        <v>267</v>
      </c>
      <c r="BE4352">
        <v>2013</v>
      </c>
      <c r="BF4352">
        <v>6</v>
      </c>
      <c r="BI4352">
        <v>5</v>
      </c>
      <c r="BJ4352">
        <v>13</v>
      </c>
      <c r="BK4352">
        <v>3</v>
      </c>
      <c r="BP4352" s="184"/>
    </row>
    <row r="4353" spans="1:68">
      <c r="A4353">
        <v>78950052</v>
      </c>
      <c r="B4353">
        <v>78950052</v>
      </c>
      <c r="C4353" t="s">
        <v>7018</v>
      </c>
      <c r="E4353" s="184"/>
      <c r="G4353" s="184"/>
      <c r="I4353" s="184"/>
      <c r="J4353" t="s">
        <v>595</v>
      </c>
      <c r="K4353" s="184">
        <v>41967</v>
      </c>
      <c r="M4353" s="184"/>
      <c r="O4353" s="184"/>
      <c r="P4353" t="s">
        <v>7045</v>
      </c>
      <c r="Q4353" t="s">
        <v>7454</v>
      </c>
      <c r="R4353" s="184"/>
      <c r="U4353" t="s">
        <v>7031</v>
      </c>
      <c r="V4353" t="s">
        <v>4725</v>
      </c>
      <c r="X4353" t="s">
        <v>31970</v>
      </c>
      <c r="AF4353" t="s">
        <v>6653</v>
      </c>
      <c r="AG4353" t="s">
        <v>4725</v>
      </c>
      <c r="AI4353" t="s">
        <v>31971</v>
      </c>
      <c r="AM4353" t="s">
        <v>31972</v>
      </c>
      <c r="AN4353" t="s">
        <v>2055</v>
      </c>
      <c r="AO4353" t="s">
        <v>31973</v>
      </c>
      <c r="AP4353" t="s">
        <v>7024</v>
      </c>
      <c r="AQ4353" t="s">
        <v>31974</v>
      </c>
      <c r="AT4353" s="184">
        <v>41792</v>
      </c>
      <c r="AU4353" t="s">
        <v>31975</v>
      </c>
      <c r="AV4353">
        <v>6</v>
      </c>
      <c r="AW4353" s="184">
        <v>43071</v>
      </c>
      <c r="AX4353" t="s">
        <v>15332</v>
      </c>
      <c r="AY4353">
        <v>6</v>
      </c>
      <c r="AZ4353" s="184">
        <v>43071</v>
      </c>
      <c r="BA4353" t="s">
        <v>15332</v>
      </c>
      <c r="BB4353">
        <v>6</v>
      </c>
      <c r="BC4353">
        <v>37</v>
      </c>
      <c r="BD4353">
        <v>258</v>
      </c>
      <c r="BE4353">
        <v>2014</v>
      </c>
      <c r="BF4353">
        <v>43</v>
      </c>
      <c r="BI4353">
        <v>4</v>
      </c>
      <c r="BJ4353">
        <v>11</v>
      </c>
      <c r="BK4353">
        <v>4</v>
      </c>
    </row>
    <row r="4354" spans="1:68">
      <c r="A4354">
        <v>78987195</v>
      </c>
      <c r="B4354">
        <v>78987195</v>
      </c>
      <c r="C4354" t="s">
        <v>7018</v>
      </c>
      <c r="D4354" t="s">
        <v>595</v>
      </c>
      <c r="E4354" s="184">
        <v>45133</v>
      </c>
      <c r="G4354" s="184"/>
      <c r="I4354" s="184"/>
      <c r="K4354" s="184"/>
      <c r="M4354" s="184"/>
      <c r="O4354" s="184"/>
      <c r="P4354" t="s">
        <v>7045</v>
      </c>
      <c r="Q4354" t="s">
        <v>7383</v>
      </c>
      <c r="R4354" s="184">
        <v>21671</v>
      </c>
      <c r="S4354">
        <v>65</v>
      </c>
      <c r="U4354" t="s">
        <v>7031</v>
      </c>
      <c r="V4354" t="s">
        <v>4727</v>
      </c>
      <c r="W4354" t="s">
        <v>2049</v>
      </c>
      <c r="X4354" t="s">
        <v>31976</v>
      </c>
      <c r="AF4354" t="s">
        <v>31977</v>
      </c>
      <c r="AG4354" t="s">
        <v>4727</v>
      </c>
      <c r="AI4354" t="s">
        <v>31978</v>
      </c>
      <c r="AM4354" t="s">
        <v>8078</v>
      </c>
      <c r="AN4354" t="s">
        <v>2313</v>
      </c>
      <c r="AO4354" t="s">
        <v>31979</v>
      </c>
      <c r="AP4354" t="s">
        <v>7024</v>
      </c>
      <c r="AQ4354" t="s">
        <v>31980</v>
      </c>
      <c r="AR4354" t="s">
        <v>31981</v>
      </c>
      <c r="AT4354" s="184">
        <v>41107</v>
      </c>
      <c r="AU4354" t="s">
        <v>31982</v>
      </c>
      <c r="AV4354">
        <v>25</v>
      </c>
      <c r="AW4354" s="184">
        <v>45258</v>
      </c>
      <c r="AX4354" t="s">
        <v>31983</v>
      </c>
      <c r="AY4354">
        <v>50</v>
      </c>
      <c r="AZ4354" s="184">
        <v>43739</v>
      </c>
      <c r="BA4354" t="s">
        <v>31984</v>
      </c>
      <c r="BB4354">
        <v>60</v>
      </c>
      <c r="BC4354">
        <v>47</v>
      </c>
      <c r="BD4354">
        <v>340</v>
      </c>
      <c r="BE4354">
        <v>2013</v>
      </c>
      <c r="BF4354">
        <v>8</v>
      </c>
      <c r="BG4354">
        <v>3</v>
      </c>
      <c r="BH4354">
        <v>150</v>
      </c>
      <c r="BI4354">
        <v>6</v>
      </c>
      <c r="BJ4354">
        <v>13</v>
      </c>
      <c r="BK4354">
        <v>3</v>
      </c>
      <c r="BN4354" t="s">
        <v>595</v>
      </c>
    </row>
    <row r="4355" spans="1:68">
      <c r="A4355">
        <v>79031779</v>
      </c>
      <c r="B4355">
        <v>79031779</v>
      </c>
      <c r="C4355" t="s">
        <v>7018</v>
      </c>
      <c r="D4355" t="s">
        <v>595</v>
      </c>
      <c r="E4355" s="184">
        <v>44070</v>
      </c>
      <c r="G4355" s="184"/>
      <c r="I4355" s="184"/>
      <c r="K4355" s="184"/>
      <c r="M4355" s="184"/>
      <c r="O4355" s="184"/>
      <c r="P4355" t="s">
        <v>7045</v>
      </c>
      <c r="Q4355" t="s">
        <v>7383</v>
      </c>
      <c r="R4355" s="184">
        <v>17319</v>
      </c>
      <c r="S4355">
        <v>76</v>
      </c>
      <c r="U4355" t="s">
        <v>7130</v>
      </c>
      <c r="V4355" t="s">
        <v>2903</v>
      </c>
      <c r="X4355" t="s">
        <v>2772</v>
      </c>
      <c r="AF4355" t="s">
        <v>31985</v>
      </c>
      <c r="AG4355" t="s">
        <v>2903</v>
      </c>
      <c r="AI4355" t="s">
        <v>31986</v>
      </c>
      <c r="AM4355" t="s">
        <v>3211</v>
      </c>
      <c r="AN4355" t="s">
        <v>2144</v>
      </c>
      <c r="AO4355" t="s">
        <v>31987</v>
      </c>
      <c r="AP4355" t="s">
        <v>7024</v>
      </c>
      <c r="AQ4355" t="s">
        <v>31988</v>
      </c>
      <c r="AT4355" s="184">
        <v>41239</v>
      </c>
      <c r="AU4355" t="s">
        <v>31989</v>
      </c>
      <c r="AV4355">
        <v>20</v>
      </c>
      <c r="AW4355" s="184">
        <v>44412</v>
      </c>
      <c r="AX4355" t="s">
        <v>18683</v>
      </c>
      <c r="AY4355">
        <v>25</v>
      </c>
      <c r="AZ4355" s="184">
        <v>44412</v>
      </c>
      <c r="BA4355" t="s">
        <v>18683</v>
      </c>
      <c r="BB4355">
        <v>25</v>
      </c>
      <c r="BC4355">
        <v>70</v>
      </c>
      <c r="BD4355">
        <v>195</v>
      </c>
      <c r="BE4355">
        <v>2013</v>
      </c>
      <c r="BF4355">
        <v>9</v>
      </c>
      <c r="BI4355">
        <v>9</v>
      </c>
      <c r="BJ4355">
        <v>13</v>
      </c>
      <c r="BK4355">
        <v>8</v>
      </c>
    </row>
    <row r="4356" spans="1:68">
      <c r="A4356">
        <v>79051983</v>
      </c>
      <c r="B4356">
        <v>79051983</v>
      </c>
      <c r="C4356" t="s">
        <v>7018</v>
      </c>
      <c r="E4356" s="184"/>
      <c r="G4356" s="184"/>
      <c r="I4356" s="184"/>
      <c r="K4356" s="184"/>
      <c r="L4356" t="s">
        <v>595</v>
      </c>
      <c r="M4356" s="184">
        <v>43923</v>
      </c>
      <c r="O4356" s="184"/>
      <c r="P4356" t="s">
        <v>7045</v>
      </c>
      <c r="Q4356" t="s">
        <v>7160</v>
      </c>
      <c r="R4356" s="184">
        <v>17100</v>
      </c>
      <c r="S4356">
        <v>77</v>
      </c>
      <c r="U4356" t="s">
        <v>7031</v>
      </c>
      <c r="V4356" t="s">
        <v>3689</v>
      </c>
      <c r="X4356" t="s">
        <v>23750</v>
      </c>
      <c r="AF4356" t="s">
        <v>31990</v>
      </c>
      <c r="AG4356" t="s">
        <v>3689</v>
      </c>
      <c r="AI4356" t="s">
        <v>31991</v>
      </c>
      <c r="AM4356" t="s">
        <v>4984</v>
      </c>
      <c r="AN4356" t="s">
        <v>2675</v>
      </c>
      <c r="AO4356" t="s">
        <v>31992</v>
      </c>
      <c r="AP4356" t="s">
        <v>7024</v>
      </c>
      <c r="AQ4356" t="s">
        <v>31993</v>
      </c>
      <c r="AT4356" s="184">
        <v>41113</v>
      </c>
      <c r="AU4356" t="s">
        <v>31994</v>
      </c>
      <c r="AV4356">
        <v>25</v>
      </c>
      <c r="AW4356" s="184">
        <v>45135</v>
      </c>
      <c r="AX4356" t="s">
        <v>11151</v>
      </c>
      <c r="AY4356">
        <v>125</v>
      </c>
      <c r="AZ4356" s="184">
        <v>45135</v>
      </c>
      <c r="BA4356" t="s">
        <v>11151</v>
      </c>
      <c r="BB4356">
        <v>125</v>
      </c>
      <c r="BC4356">
        <v>70</v>
      </c>
      <c r="BD4356">
        <v>710</v>
      </c>
      <c r="BE4356">
        <v>2013</v>
      </c>
      <c r="BF4356">
        <v>9</v>
      </c>
      <c r="BG4356">
        <v>2</v>
      </c>
      <c r="BH4356">
        <v>225</v>
      </c>
      <c r="BI4356">
        <v>9</v>
      </c>
      <c r="BJ4356">
        <v>13</v>
      </c>
      <c r="BK4356">
        <v>3</v>
      </c>
      <c r="BP4356" s="184"/>
    </row>
    <row r="4357" spans="1:68">
      <c r="A4357">
        <v>79137576</v>
      </c>
      <c r="B4357">
        <v>79137576</v>
      </c>
      <c r="C4357" t="s">
        <v>7018</v>
      </c>
      <c r="E4357" s="184"/>
      <c r="F4357" t="s">
        <v>595</v>
      </c>
      <c r="G4357" s="184">
        <v>44167</v>
      </c>
      <c r="I4357" s="184"/>
      <c r="K4357" s="184"/>
      <c r="M4357" s="184"/>
      <c r="O4357" s="184"/>
      <c r="P4357" t="s">
        <v>7045</v>
      </c>
      <c r="Q4357" t="s">
        <v>7262</v>
      </c>
      <c r="R4357" s="184">
        <v>14328</v>
      </c>
      <c r="S4357">
        <v>85</v>
      </c>
      <c r="U4357" t="s">
        <v>7031</v>
      </c>
      <c r="V4357" t="s">
        <v>3061</v>
      </c>
      <c r="X4357" t="s">
        <v>5369</v>
      </c>
      <c r="AF4357" t="s">
        <v>31995</v>
      </c>
      <c r="AG4357" t="s">
        <v>3061</v>
      </c>
      <c r="AI4357" t="s">
        <v>31996</v>
      </c>
      <c r="AM4357" t="s">
        <v>4657</v>
      </c>
      <c r="AN4357" t="s">
        <v>2069</v>
      </c>
      <c r="AO4357" t="s">
        <v>31997</v>
      </c>
      <c r="AP4357" t="s">
        <v>7024</v>
      </c>
      <c r="AQ4357" t="s">
        <v>31998</v>
      </c>
      <c r="AT4357" s="184">
        <v>41113</v>
      </c>
      <c r="AU4357" t="s">
        <v>31999</v>
      </c>
      <c r="AV4357">
        <v>25</v>
      </c>
      <c r="AW4357" s="184">
        <v>43844</v>
      </c>
      <c r="AX4357" t="s">
        <v>32000</v>
      </c>
      <c r="AY4357">
        <v>8</v>
      </c>
      <c r="AZ4357" s="184">
        <v>41612</v>
      </c>
      <c r="BA4357" t="s">
        <v>32001</v>
      </c>
      <c r="BB4357">
        <v>25</v>
      </c>
      <c r="BC4357">
        <v>54</v>
      </c>
      <c r="BD4357">
        <v>162</v>
      </c>
      <c r="BE4357">
        <v>2013</v>
      </c>
      <c r="BF4357">
        <v>12</v>
      </c>
      <c r="BI4357">
        <v>7</v>
      </c>
      <c r="BJ4357">
        <v>13</v>
      </c>
      <c r="BK4357">
        <v>4</v>
      </c>
    </row>
    <row r="4358" spans="1:68">
      <c r="A4358">
        <v>79223988</v>
      </c>
      <c r="B4358">
        <v>79223988</v>
      </c>
      <c r="C4358" t="s">
        <v>7018</v>
      </c>
      <c r="E4358" s="184"/>
      <c r="F4358" t="s">
        <v>595</v>
      </c>
      <c r="G4358" s="184">
        <v>44232</v>
      </c>
      <c r="I4358" s="184"/>
      <c r="K4358" s="184"/>
      <c r="M4358" s="184"/>
      <c r="O4358" s="184"/>
      <c r="P4358" t="s">
        <v>7045</v>
      </c>
      <c r="Q4358" t="s">
        <v>7160</v>
      </c>
      <c r="R4358" s="184">
        <v>19238</v>
      </c>
      <c r="S4358">
        <v>71</v>
      </c>
      <c r="V4358" t="s">
        <v>2511</v>
      </c>
      <c r="X4358" t="s">
        <v>32002</v>
      </c>
      <c r="AF4358" t="s">
        <v>32003</v>
      </c>
      <c r="AG4358" t="s">
        <v>2511</v>
      </c>
      <c r="AI4358" t="s">
        <v>32004</v>
      </c>
      <c r="AM4358" t="s">
        <v>32005</v>
      </c>
      <c r="AN4358" t="s">
        <v>2176</v>
      </c>
      <c r="AO4358" t="s">
        <v>32006</v>
      </c>
      <c r="AP4358" t="s">
        <v>7024</v>
      </c>
      <c r="AQ4358" t="s">
        <v>32007</v>
      </c>
      <c r="AT4358" s="184">
        <v>41116</v>
      </c>
      <c r="AU4358" t="s">
        <v>32008</v>
      </c>
      <c r="AV4358">
        <v>15</v>
      </c>
      <c r="AW4358" s="184">
        <v>45036</v>
      </c>
      <c r="AX4358" t="s">
        <v>9859</v>
      </c>
      <c r="AY4358">
        <v>75</v>
      </c>
      <c r="AZ4358" s="184">
        <v>45036</v>
      </c>
      <c r="BA4358" t="s">
        <v>9859</v>
      </c>
      <c r="BB4358">
        <v>75</v>
      </c>
      <c r="BC4358">
        <v>93</v>
      </c>
      <c r="BD4358">
        <v>740</v>
      </c>
      <c r="BE4358">
        <v>2013</v>
      </c>
      <c r="BF4358">
        <v>14</v>
      </c>
      <c r="BG4358">
        <v>1</v>
      </c>
      <c r="BH4358">
        <v>75</v>
      </c>
      <c r="BI4358">
        <v>12</v>
      </c>
      <c r="BJ4358">
        <v>13</v>
      </c>
      <c r="BK4358">
        <v>12</v>
      </c>
      <c r="BP4358" s="184"/>
    </row>
    <row r="4359" spans="1:68">
      <c r="A4359">
        <v>79289377</v>
      </c>
      <c r="B4359">
        <v>79289377</v>
      </c>
      <c r="C4359" t="s">
        <v>7018</v>
      </c>
      <c r="D4359" t="s">
        <v>595</v>
      </c>
      <c r="E4359" s="184">
        <v>44414</v>
      </c>
      <c r="G4359" s="184"/>
      <c r="I4359" s="184"/>
      <c r="K4359" s="184"/>
      <c r="M4359" s="184"/>
      <c r="O4359" s="184"/>
      <c r="P4359" t="s">
        <v>7045</v>
      </c>
      <c r="Q4359" t="s">
        <v>7020</v>
      </c>
      <c r="R4359" s="184">
        <v>20790</v>
      </c>
      <c r="S4359">
        <v>67</v>
      </c>
      <c r="U4359" t="s">
        <v>7031</v>
      </c>
      <c r="V4359" t="s">
        <v>3632</v>
      </c>
      <c r="X4359" t="s">
        <v>32009</v>
      </c>
      <c r="AF4359" t="s">
        <v>32010</v>
      </c>
      <c r="AG4359" t="s">
        <v>3632</v>
      </c>
      <c r="AI4359" t="s">
        <v>32011</v>
      </c>
      <c r="AM4359" t="s">
        <v>32012</v>
      </c>
      <c r="AN4359" t="s">
        <v>2129</v>
      </c>
      <c r="AO4359" t="s">
        <v>32013</v>
      </c>
      <c r="AP4359" t="s">
        <v>7024</v>
      </c>
      <c r="AQ4359" t="s">
        <v>32014</v>
      </c>
      <c r="AT4359" s="184">
        <v>41120</v>
      </c>
      <c r="AU4359" t="s">
        <v>32015</v>
      </c>
      <c r="AV4359">
        <v>20</v>
      </c>
      <c r="AW4359" s="184">
        <v>45197</v>
      </c>
      <c r="AX4359" t="s">
        <v>11451</v>
      </c>
      <c r="AY4359">
        <v>125</v>
      </c>
      <c r="AZ4359" s="184">
        <v>45105</v>
      </c>
      <c r="BA4359" t="s">
        <v>7064</v>
      </c>
      <c r="BB4359">
        <v>225</v>
      </c>
      <c r="BC4359">
        <v>62</v>
      </c>
      <c r="BD4359">
        <v>1362</v>
      </c>
      <c r="BE4359">
        <v>2013</v>
      </c>
      <c r="BF4359">
        <v>13</v>
      </c>
      <c r="BG4359">
        <v>4</v>
      </c>
      <c r="BH4359">
        <v>650</v>
      </c>
      <c r="BI4359">
        <v>8</v>
      </c>
      <c r="BJ4359">
        <v>13</v>
      </c>
      <c r="BK4359">
        <v>4</v>
      </c>
    </row>
    <row r="4360" spans="1:68">
      <c r="A4360">
        <v>79327383</v>
      </c>
      <c r="B4360">
        <v>79327383</v>
      </c>
      <c r="C4360" t="s">
        <v>7018</v>
      </c>
      <c r="D4360" t="s">
        <v>595</v>
      </c>
      <c r="E4360" s="184">
        <v>44414</v>
      </c>
      <c r="G4360" s="184"/>
      <c r="I4360" s="184"/>
      <c r="K4360" s="184"/>
      <c r="M4360" s="184"/>
      <c r="O4360" s="184"/>
      <c r="P4360" t="s">
        <v>7045</v>
      </c>
      <c r="Q4360" t="s">
        <v>7020</v>
      </c>
      <c r="R4360" s="184">
        <v>15850</v>
      </c>
      <c r="S4360">
        <v>80</v>
      </c>
      <c r="V4360" t="s">
        <v>3317</v>
      </c>
      <c r="X4360" t="s">
        <v>24448</v>
      </c>
      <c r="Z4360">
        <v>100149668</v>
      </c>
      <c r="AB4360" t="s">
        <v>3411</v>
      </c>
      <c r="AD4360" t="s">
        <v>3175</v>
      </c>
      <c r="AF4360" t="s">
        <v>32016</v>
      </c>
      <c r="AG4360" t="s">
        <v>32017</v>
      </c>
      <c r="AI4360" t="s">
        <v>32018</v>
      </c>
      <c r="AM4360" t="s">
        <v>32019</v>
      </c>
      <c r="AN4360" t="s">
        <v>2112</v>
      </c>
      <c r="AO4360" t="s">
        <v>32020</v>
      </c>
      <c r="AP4360" t="s">
        <v>7024</v>
      </c>
      <c r="AQ4360" t="s">
        <v>32021</v>
      </c>
      <c r="AT4360" s="184">
        <v>41120</v>
      </c>
      <c r="AU4360" t="s">
        <v>32022</v>
      </c>
      <c r="AV4360">
        <v>25</v>
      </c>
      <c r="AW4360" s="184">
        <v>45091</v>
      </c>
      <c r="AX4360" t="s">
        <v>22658</v>
      </c>
      <c r="AY4360">
        <v>50</v>
      </c>
      <c r="AZ4360" s="184">
        <v>45044</v>
      </c>
      <c r="BA4360" t="s">
        <v>22771</v>
      </c>
      <c r="BB4360">
        <v>100</v>
      </c>
      <c r="BC4360">
        <v>85</v>
      </c>
      <c r="BD4360">
        <v>1107</v>
      </c>
      <c r="BE4360">
        <v>2013</v>
      </c>
      <c r="BF4360">
        <v>15</v>
      </c>
      <c r="BG4360">
        <v>4</v>
      </c>
      <c r="BH4360">
        <v>350</v>
      </c>
      <c r="BI4360">
        <v>11</v>
      </c>
      <c r="BJ4360">
        <v>13</v>
      </c>
      <c r="BK4360">
        <v>6</v>
      </c>
      <c r="BN4360" t="s">
        <v>595</v>
      </c>
    </row>
    <row r="4361" spans="1:68">
      <c r="A4361">
        <v>100149668</v>
      </c>
      <c r="B4361">
        <v>79327383</v>
      </c>
      <c r="C4361" t="s">
        <v>7018</v>
      </c>
      <c r="D4361" t="s">
        <v>595</v>
      </c>
      <c r="E4361" s="184">
        <v>44414</v>
      </c>
      <c r="G4361" s="184"/>
      <c r="I4361" s="184"/>
      <c r="K4361" s="184"/>
      <c r="M4361" s="184"/>
      <c r="O4361" s="184"/>
      <c r="P4361" t="s">
        <v>7045</v>
      </c>
      <c r="Q4361" t="s">
        <v>7020</v>
      </c>
      <c r="R4361" s="184">
        <v>17930</v>
      </c>
      <c r="S4361">
        <v>75</v>
      </c>
      <c r="V4361" t="s">
        <v>3411</v>
      </c>
      <c r="X4361" t="s">
        <v>3175</v>
      </c>
      <c r="Z4361">
        <v>79327383</v>
      </c>
      <c r="AB4361" t="s">
        <v>3317</v>
      </c>
      <c r="AD4361" t="s">
        <v>24448</v>
      </c>
      <c r="AF4361" t="s">
        <v>32016</v>
      </c>
      <c r="AG4361" t="s">
        <v>32017</v>
      </c>
      <c r="AI4361" t="s">
        <v>32018</v>
      </c>
      <c r="AM4361" t="s">
        <v>32019</v>
      </c>
      <c r="AN4361" t="s">
        <v>2112</v>
      </c>
      <c r="AO4361" t="s">
        <v>32020</v>
      </c>
      <c r="AP4361" t="s">
        <v>7024</v>
      </c>
      <c r="AT4361" s="184"/>
      <c r="AW4361" s="184"/>
      <c r="AZ4361" s="184"/>
    </row>
    <row r="4362" spans="1:68">
      <c r="A4362">
        <v>79329173</v>
      </c>
      <c r="B4362">
        <v>79329173</v>
      </c>
      <c r="C4362" t="s">
        <v>7018</v>
      </c>
      <c r="E4362" s="184"/>
      <c r="G4362" s="184"/>
      <c r="I4362" s="184"/>
      <c r="K4362" s="184"/>
      <c r="M4362" s="184"/>
      <c r="N4362" t="s">
        <v>595</v>
      </c>
      <c r="O4362" s="184">
        <v>40351</v>
      </c>
      <c r="P4362" t="s">
        <v>7045</v>
      </c>
      <c r="Q4362" t="s">
        <v>7030</v>
      </c>
      <c r="R4362" s="184">
        <v>18719</v>
      </c>
      <c r="S4362">
        <v>73</v>
      </c>
      <c r="U4362" t="s">
        <v>7076</v>
      </c>
      <c r="V4362" t="s">
        <v>3235</v>
      </c>
      <c r="W4362" t="s">
        <v>2316</v>
      </c>
      <c r="X4362" t="s">
        <v>21399</v>
      </c>
      <c r="AF4362" t="s">
        <v>32023</v>
      </c>
      <c r="AG4362" t="s">
        <v>3235</v>
      </c>
      <c r="AI4362" t="s">
        <v>11681</v>
      </c>
      <c r="AM4362" t="s">
        <v>11682</v>
      </c>
      <c r="AN4362" t="s">
        <v>2094</v>
      </c>
      <c r="AO4362" t="s">
        <v>11683</v>
      </c>
      <c r="AP4362" t="s">
        <v>7024</v>
      </c>
      <c r="AQ4362" t="s">
        <v>270</v>
      </c>
      <c r="AR4362" t="s">
        <v>32024</v>
      </c>
      <c r="AT4362" s="184">
        <v>41120</v>
      </c>
      <c r="AU4362" t="s">
        <v>32025</v>
      </c>
      <c r="AV4362">
        <v>25</v>
      </c>
      <c r="AW4362" s="184">
        <v>45026</v>
      </c>
      <c r="AX4362" t="s">
        <v>15637</v>
      </c>
      <c r="AY4362">
        <v>250</v>
      </c>
      <c r="AZ4362" s="184">
        <v>45026</v>
      </c>
      <c r="BA4362" t="s">
        <v>15637</v>
      </c>
      <c r="BB4362">
        <v>250</v>
      </c>
      <c r="BC4362">
        <v>77</v>
      </c>
      <c r="BD4362">
        <v>1525</v>
      </c>
      <c r="BE4362">
        <v>2013</v>
      </c>
      <c r="BF4362">
        <v>11</v>
      </c>
      <c r="BG4362">
        <v>1</v>
      </c>
      <c r="BH4362">
        <v>250</v>
      </c>
      <c r="BI4362">
        <v>10</v>
      </c>
      <c r="BJ4362">
        <v>13</v>
      </c>
      <c r="BK4362">
        <v>7</v>
      </c>
      <c r="BP4362" s="184"/>
    </row>
    <row r="4363" spans="1:68">
      <c r="A4363">
        <v>79395182</v>
      </c>
      <c r="B4363">
        <v>79395182</v>
      </c>
      <c r="C4363" t="s">
        <v>7018</v>
      </c>
      <c r="D4363" t="s">
        <v>595</v>
      </c>
      <c r="E4363" s="184">
        <v>44073</v>
      </c>
      <c r="G4363" s="184"/>
      <c r="H4363" t="s">
        <v>595</v>
      </c>
      <c r="I4363" s="184">
        <v>44073</v>
      </c>
      <c r="K4363" s="184"/>
      <c r="M4363" s="184"/>
      <c r="O4363" s="184"/>
      <c r="P4363" t="s">
        <v>7045</v>
      </c>
      <c r="Q4363" t="s">
        <v>7030</v>
      </c>
      <c r="R4363" s="184">
        <v>20659</v>
      </c>
      <c r="S4363">
        <v>67</v>
      </c>
      <c r="V4363" t="s">
        <v>3254</v>
      </c>
      <c r="W4363" t="s">
        <v>205</v>
      </c>
      <c r="X4363" t="s">
        <v>2657</v>
      </c>
      <c r="AF4363" t="s">
        <v>32026</v>
      </c>
      <c r="AG4363" t="s">
        <v>3254</v>
      </c>
      <c r="AI4363" t="s">
        <v>32027</v>
      </c>
      <c r="AM4363" t="s">
        <v>4949</v>
      </c>
      <c r="AN4363" t="s">
        <v>2094</v>
      </c>
      <c r="AO4363" t="s">
        <v>32028</v>
      </c>
      <c r="AP4363" t="s">
        <v>7024</v>
      </c>
      <c r="AQ4363" t="s">
        <v>32029</v>
      </c>
      <c r="AR4363" t="s">
        <v>32030</v>
      </c>
      <c r="AT4363" s="184">
        <v>41121</v>
      </c>
      <c r="AU4363" t="s">
        <v>32031</v>
      </c>
      <c r="AV4363">
        <v>15</v>
      </c>
      <c r="AW4363" s="184">
        <v>44253</v>
      </c>
      <c r="AX4363" t="s">
        <v>8519</v>
      </c>
      <c r="AY4363">
        <v>12</v>
      </c>
      <c r="AZ4363" s="184">
        <v>41547</v>
      </c>
      <c r="BA4363" t="s">
        <v>32032</v>
      </c>
      <c r="BB4363">
        <v>25</v>
      </c>
      <c r="BC4363">
        <v>77</v>
      </c>
      <c r="BD4363">
        <v>948</v>
      </c>
      <c r="BE4363">
        <v>2013</v>
      </c>
      <c r="BF4363">
        <v>84</v>
      </c>
      <c r="BI4363">
        <v>10</v>
      </c>
      <c r="BJ4363">
        <v>13</v>
      </c>
      <c r="BK4363">
        <v>10</v>
      </c>
    </row>
    <row r="4364" spans="1:68">
      <c r="A4364">
        <v>79506572</v>
      </c>
      <c r="B4364">
        <v>79506572</v>
      </c>
      <c r="C4364" t="s">
        <v>7018</v>
      </c>
      <c r="D4364" t="s">
        <v>595</v>
      </c>
      <c r="E4364" s="184">
        <v>43613</v>
      </c>
      <c r="G4364" s="184"/>
      <c r="I4364" s="184"/>
      <c r="K4364" s="184"/>
      <c r="M4364" s="184"/>
      <c r="O4364" s="184"/>
      <c r="P4364" t="s">
        <v>7045</v>
      </c>
      <c r="Q4364" t="s">
        <v>7383</v>
      </c>
      <c r="R4364" s="184">
        <v>17950</v>
      </c>
      <c r="S4364">
        <v>75</v>
      </c>
      <c r="U4364" t="s">
        <v>7031</v>
      </c>
      <c r="V4364" t="s">
        <v>2889</v>
      </c>
      <c r="W4364" t="s">
        <v>3830</v>
      </c>
      <c r="X4364" t="s">
        <v>2655</v>
      </c>
      <c r="AF4364" t="s">
        <v>32033</v>
      </c>
      <c r="AG4364" t="s">
        <v>2889</v>
      </c>
      <c r="AI4364" t="s">
        <v>32034</v>
      </c>
      <c r="AM4364" t="s">
        <v>2656</v>
      </c>
      <c r="AN4364" t="s">
        <v>2274</v>
      </c>
      <c r="AO4364">
        <v>53022</v>
      </c>
      <c r="AP4364" t="s">
        <v>7024</v>
      </c>
      <c r="AQ4364" t="s">
        <v>32035</v>
      </c>
      <c r="AR4364" t="s">
        <v>32036</v>
      </c>
      <c r="AT4364" s="184">
        <v>41215</v>
      </c>
      <c r="AU4364" t="s">
        <v>32037</v>
      </c>
      <c r="AV4364">
        <v>50</v>
      </c>
      <c r="AW4364" s="184">
        <v>44873</v>
      </c>
      <c r="AX4364" t="s">
        <v>10880</v>
      </c>
      <c r="AY4364">
        <v>21</v>
      </c>
      <c r="AZ4364" s="184">
        <v>41617</v>
      </c>
      <c r="BA4364" t="s">
        <v>32038</v>
      </c>
      <c r="BB4364">
        <v>75</v>
      </c>
      <c r="BC4364">
        <v>85</v>
      </c>
      <c r="BD4364">
        <v>1970</v>
      </c>
      <c r="BE4364">
        <v>2013</v>
      </c>
      <c r="BF4364">
        <v>96</v>
      </c>
      <c r="BG4364">
        <v>7</v>
      </c>
      <c r="BH4364">
        <v>147</v>
      </c>
      <c r="BI4364">
        <v>11</v>
      </c>
      <c r="BJ4364">
        <v>13</v>
      </c>
      <c r="BK4364">
        <v>11</v>
      </c>
    </row>
    <row r="4365" spans="1:68">
      <c r="A4365">
        <v>79507778</v>
      </c>
      <c r="B4365">
        <v>79507778</v>
      </c>
      <c r="C4365" t="s">
        <v>13031</v>
      </c>
      <c r="E4365" s="184"/>
      <c r="G4365" s="184"/>
      <c r="I4365" s="184"/>
      <c r="J4365" t="s">
        <v>595</v>
      </c>
      <c r="K4365" s="184">
        <v>41128</v>
      </c>
      <c r="M4365" s="184"/>
      <c r="O4365" s="184"/>
      <c r="Q4365" t="s">
        <v>7374</v>
      </c>
      <c r="R4365" s="184"/>
      <c r="Z4365">
        <v>100005478</v>
      </c>
      <c r="AB4365" t="s">
        <v>4210</v>
      </c>
      <c r="AC4365" t="s">
        <v>32039</v>
      </c>
      <c r="AD4365" t="s">
        <v>2758</v>
      </c>
      <c r="AH4365" t="s">
        <v>6773</v>
      </c>
      <c r="AI4365" t="s">
        <v>32040</v>
      </c>
      <c r="AM4365" t="s">
        <v>4460</v>
      </c>
      <c r="AN4365" t="s">
        <v>2081</v>
      </c>
      <c r="AO4365" t="s">
        <v>32041</v>
      </c>
      <c r="AP4365" t="s">
        <v>7024</v>
      </c>
      <c r="AQ4365" t="s">
        <v>32042</v>
      </c>
      <c r="AT4365" s="184"/>
      <c r="AW4365" s="184"/>
      <c r="AZ4365" s="184"/>
      <c r="BN4365" t="s">
        <v>595</v>
      </c>
    </row>
    <row r="4366" spans="1:68">
      <c r="A4366">
        <v>79514378</v>
      </c>
      <c r="B4366">
        <v>79514378</v>
      </c>
      <c r="C4366" t="s">
        <v>7018</v>
      </c>
      <c r="E4366" s="184"/>
      <c r="G4366" s="184"/>
      <c r="H4366" t="s">
        <v>595</v>
      </c>
      <c r="I4366" s="184">
        <v>44488</v>
      </c>
      <c r="K4366" s="184"/>
      <c r="M4366" s="184"/>
      <c r="N4366" t="s">
        <v>595</v>
      </c>
      <c r="O4366" s="184">
        <v>44607</v>
      </c>
      <c r="P4366" t="s">
        <v>7045</v>
      </c>
      <c r="Q4366" t="s">
        <v>7374</v>
      </c>
      <c r="R4366" s="184">
        <v>9229</v>
      </c>
      <c r="S4366">
        <v>99</v>
      </c>
      <c r="V4366" t="s">
        <v>3411</v>
      </c>
      <c r="X4366" t="s">
        <v>5147</v>
      </c>
      <c r="Z4366">
        <v>100800606</v>
      </c>
      <c r="AB4366" t="s">
        <v>24610</v>
      </c>
      <c r="AD4366" t="s">
        <v>5147</v>
      </c>
      <c r="AF4366" t="s">
        <v>32043</v>
      </c>
      <c r="AG4366" t="s">
        <v>32044</v>
      </c>
      <c r="AI4366" t="s">
        <v>32045</v>
      </c>
      <c r="AM4366" t="s">
        <v>5148</v>
      </c>
      <c r="AN4366" t="s">
        <v>2081</v>
      </c>
      <c r="AO4366" t="s">
        <v>32046</v>
      </c>
      <c r="AP4366" t="s">
        <v>7024</v>
      </c>
      <c r="AT4366" s="184">
        <v>41123</v>
      </c>
      <c r="AU4366" t="s">
        <v>31544</v>
      </c>
      <c r="AV4366">
        <v>15</v>
      </c>
      <c r="AW4366" s="184">
        <v>44854</v>
      </c>
      <c r="AX4366" t="s">
        <v>32047</v>
      </c>
      <c r="AY4366">
        <v>50</v>
      </c>
      <c r="AZ4366" s="184">
        <v>44854</v>
      </c>
      <c r="BA4366" t="s">
        <v>32047</v>
      </c>
      <c r="BB4366">
        <v>50</v>
      </c>
      <c r="BC4366">
        <v>24</v>
      </c>
      <c r="BD4366">
        <v>140</v>
      </c>
      <c r="BE4366">
        <v>2013</v>
      </c>
      <c r="BF4366">
        <v>4</v>
      </c>
      <c r="BG4366">
        <v>1</v>
      </c>
      <c r="BH4366">
        <v>50</v>
      </c>
      <c r="BI4366">
        <v>3</v>
      </c>
      <c r="BJ4366">
        <v>13</v>
      </c>
      <c r="BK4366">
        <v>2</v>
      </c>
    </row>
    <row r="4367" spans="1:68">
      <c r="A4367">
        <v>100800606</v>
      </c>
      <c r="B4367">
        <v>79514378</v>
      </c>
      <c r="C4367" t="s">
        <v>7018</v>
      </c>
      <c r="E4367" s="184"/>
      <c r="G4367" s="184"/>
      <c r="I4367" s="184"/>
      <c r="K4367" s="184"/>
      <c r="M4367" s="184"/>
      <c r="N4367" t="s">
        <v>595</v>
      </c>
      <c r="O4367" s="184">
        <v>44607</v>
      </c>
      <c r="P4367" t="s">
        <v>7045</v>
      </c>
      <c r="Q4367" t="s">
        <v>7374</v>
      </c>
      <c r="R4367" s="184">
        <v>19052</v>
      </c>
      <c r="S4367">
        <v>72</v>
      </c>
      <c r="V4367" t="s">
        <v>24610</v>
      </c>
      <c r="X4367" t="s">
        <v>5147</v>
      </c>
      <c r="Z4367">
        <v>79514378</v>
      </c>
      <c r="AB4367" t="s">
        <v>3411</v>
      </c>
      <c r="AD4367" t="s">
        <v>5147</v>
      </c>
      <c r="AF4367" t="s">
        <v>32043</v>
      </c>
      <c r="AG4367" t="s">
        <v>32044</v>
      </c>
      <c r="AI4367" t="s">
        <v>32045</v>
      </c>
      <c r="AM4367" t="s">
        <v>5148</v>
      </c>
      <c r="AN4367" t="s">
        <v>2081</v>
      </c>
      <c r="AO4367" t="s">
        <v>32046</v>
      </c>
      <c r="AP4367" t="s">
        <v>7024</v>
      </c>
      <c r="AT4367" s="184"/>
      <c r="AW4367" s="184"/>
      <c r="AZ4367" s="184"/>
      <c r="BP4367" s="184"/>
    </row>
    <row r="4368" spans="1:68">
      <c r="A4368">
        <v>79540779</v>
      </c>
      <c r="B4368">
        <v>79540779</v>
      </c>
      <c r="C4368" t="s">
        <v>7018</v>
      </c>
      <c r="E4368" s="184"/>
      <c r="G4368" s="184"/>
      <c r="I4368" s="184"/>
      <c r="K4368" s="184"/>
      <c r="L4368" t="s">
        <v>595</v>
      </c>
      <c r="M4368" s="184">
        <v>43969</v>
      </c>
      <c r="O4368" s="184"/>
      <c r="P4368" t="s">
        <v>7029</v>
      </c>
      <c r="Q4368" t="s">
        <v>7383</v>
      </c>
      <c r="R4368" s="184">
        <v>14921</v>
      </c>
      <c r="S4368">
        <v>83</v>
      </c>
      <c r="V4368" t="s">
        <v>2979</v>
      </c>
      <c r="W4368" t="s">
        <v>2612</v>
      </c>
      <c r="X4368" t="s">
        <v>5169</v>
      </c>
      <c r="AF4368" t="s">
        <v>32048</v>
      </c>
      <c r="AG4368" t="s">
        <v>2979</v>
      </c>
      <c r="AI4368" t="s">
        <v>32049</v>
      </c>
      <c r="AM4368" t="s">
        <v>32050</v>
      </c>
      <c r="AN4368" t="s">
        <v>2059</v>
      </c>
      <c r="AO4368" t="s">
        <v>32051</v>
      </c>
      <c r="AP4368" t="s">
        <v>7024</v>
      </c>
      <c r="AQ4368" t="s">
        <v>32052</v>
      </c>
      <c r="AR4368" t="s">
        <v>32053</v>
      </c>
      <c r="AT4368" s="184">
        <v>34495</v>
      </c>
      <c r="AU4368" t="s">
        <v>32054</v>
      </c>
      <c r="AV4368">
        <v>20</v>
      </c>
      <c r="AW4368" s="184">
        <v>45041</v>
      </c>
      <c r="AX4368" t="s">
        <v>9057</v>
      </c>
      <c r="AY4368">
        <v>4000</v>
      </c>
      <c r="AZ4368" s="184">
        <v>44683</v>
      </c>
      <c r="BA4368" t="s">
        <v>7867</v>
      </c>
      <c r="BB4368">
        <v>5000</v>
      </c>
      <c r="BC4368">
        <v>42</v>
      </c>
      <c r="BD4368">
        <v>26705</v>
      </c>
      <c r="BE4368">
        <v>1994</v>
      </c>
      <c r="BF4368">
        <v>25</v>
      </c>
      <c r="BG4368">
        <v>2</v>
      </c>
      <c r="BH4368">
        <v>9000</v>
      </c>
      <c r="BI4368">
        <v>13</v>
      </c>
      <c r="BJ4368">
        <v>31</v>
      </c>
      <c r="BK4368">
        <v>12</v>
      </c>
      <c r="BP4368" s="184"/>
    </row>
    <row r="4369" spans="1:68">
      <c r="A4369">
        <v>79623385</v>
      </c>
      <c r="B4369">
        <v>79623385</v>
      </c>
      <c r="C4369" t="s">
        <v>7018</v>
      </c>
      <c r="D4369" t="s">
        <v>595</v>
      </c>
      <c r="E4369" s="184">
        <v>44328</v>
      </c>
      <c r="G4369" s="184"/>
      <c r="I4369" s="184"/>
      <c r="K4369" s="184"/>
      <c r="M4369" s="184"/>
      <c r="O4369" s="184"/>
      <c r="P4369" t="s">
        <v>7045</v>
      </c>
      <c r="Q4369" t="s">
        <v>7160</v>
      </c>
      <c r="R4369" s="184">
        <v>16172</v>
      </c>
      <c r="S4369">
        <v>80</v>
      </c>
      <c r="U4369" t="s">
        <v>7076</v>
      </c>
      <c r="V4369" t="s">
        <v>31533</v>
      </c>
      <c r="X4369" t="s">
        <v>3427</v>
      </c>
      <c r="AF4369" t="s">
        <v>32055</v>
      </c>
      <c r="AG4369" t="s">
        <v>31533</v>
      </c>
      <c r="AI4369" t="s">
        <v>32056</v>
      </c>
      <c r="AM4369" t="s">
        <v>26222</v>
      </c>
      <c r="AN4369" t="s">
        <v>2176</v>
      </c>
      <c r="AO4369" t="s">
        <v>32057</v>
      </c>
      <c r="AP4369" t="s">
        <v>7024</v>
      </c>
      <c r="AQ4369" t="s">
        <v>32058</v>
      </c>
      <c r="AT4369" s="184">
        <v>41128</v>
      </c>
      <c r="AU4369" t="s">
        <v>32059</v>
      </c>
      <c r="AV4369">
        <v>15</v>
      </c>
      <c r="AW4369" s="184">
        <v>44659</v>
      </c>
      <c r="AX4369" t="s">
        <v>17687</v>
      </c>
      <c r="AY4369">
        <v>25</v>
      </c>
      <c r="AZ4369" s="184">
        <v>44659</v>
      </c>
      <c r="BA4369" t="s">
        <v>17687</v>
      </c>
      <c r="BB4369">
        <v>25</v>
      </c>
      <c r="BC4369">
        <v>70</v>
      </c>
      <c r="BD4369">
        <v>210</v>
      </c>
      <c r="BE4369">
        <v>2013</v>
      </c>
      <c r="BF4369">
        <v>10</v>
      </c>
      <c r="BI4369">
        <v>9</v>
      </c>
      <c r="BJ4369">
        <v>13</v>
      </c>
      <c r="BK4369">
        <v>5</v>
      </c>
    </row>
    <row r="4370" spans="1:68">
      <c r="A4370">
        <v>79677175</v>
      </c>
      <c r="B4370">
        <v>79677175</v>
      </c>
      <c r="C4370" t="s">
        <v>7018</v>
      </c>
      <c r="D4370" t="s">
        <v>595</v>
      </c>
      <c r="E4370" s="184">
        <v>44073</v>
      </c>
      <c r="G4370" s="184"/>
      <c r="I4370" s="184"/>
      <c r="K4370" s="184"/>
      <c r="M4370" s="184"/>
      <c r="O4370" s="184"/>
      <c r="P4370" t="s">
        <v>7045</v>
      </c>
      <c r="Q4370" t="s">
        <v>7262</v>
      </c>
      <c r="R4370" s="184">
        <v>15365</v>
      </c>
      <c r="S4370">
        <v>82</v>
      </c>
      <c r="V4370" t="s">
        <v>2697</v>
      </c>
      <c r="X4370" t="s">
        <v>32060</v>
      </c>
      <c r="AF4370" t="s">
        <v>32061</v>
      </c>
      <c r="AG4370" t="s">
        <v>2697</v>
      </c>
      <c r="AI4370" t="s">
        <v>32062</v>
      </c>
      <c r="AM4370" t="s">
        <v>3313</v>
      </c>
      <c r="AN4370" t="s">
        <v>2106</v>
      </c>
      <c r="AO4370" t="s">
        <v>32063</v>
      </c>
      <c r="AP4370" t="s">
        <v>7024</v>
      </c>
      <c r="AQ4370" t="s">
        <v>32064</v>
      </c>
      <c r="AT4370" s="184">
        <v>41129</v>
      </c>
      <c r="AU4370" t="s">
        <v>32065</v>
      </c>
      <c r="AV4370">
        <v>25</v>
      </c>
      <c r="AW4370" s="184">
        <v>44592</v>
      </c>
      <c r="AX4370" t="s">
        <v>32066</v>
      </c>
      <c r="AY4370">
        <v>130</v>
      </c>
      <c r="AZ4370" s="184">
        <v>44592</v>
      </c>
      <c r="BA4370" t="s">
        <v>32066</v>
      </c>
      <c r="BB4370">
        <v>130</v>
      </c>
      <c r="BC4370">
        <v>85</v>
      </c>
      <c r="BD4370">
        <v>1515</v>
      </c>
      <c r="BE4370">
        <v>2013</v>
      </c>
      <c r="BF4370">
        <v>22</v>
      </c>
      <c r="BI4370">
        <v>11</v>
      </c>
      <c r="BJ4370">
        <v>13</v>
      </c>
      <c r="BK4370">
        <v>11</v>
      </c>
    </row>
    <row r="4371" spans="1:68">
      <c r="A4371">
        <v>79756599</v>
      </c>
      <c r="B4371">
        <v>79756599</v>
      </c>
      <c r="C4371" t="s">
        <v>7018</v>
      </c>
      <c r="E4371" s="184"/>
      <c r="G4371" s="184"/>
      <c r="I4371" s="184"/>
      <c r="J4371" t="s">
        <v>595</v>
      </c>
      <c r="K4371" s="184">
        <v>43782</v>
      </c>
      <c r="M4371" s="184"/>
      <c r="O4371" s="184"/>
      <c r="P4371" t="s">
        <v>7045</v>
      </c>
      <c r="Q4371" t="s">
        <v>7374</v>
      </c>
      <c r="R4371" s="184">
        <v>10594</v>
      </c>
      <c r="S4371">
        <v>95</v>
      </c>
      <c r="V4371" t="s">
        <v>32067</v>
      </c>
      <c r="W4371" t="s">
        <v>4013</v>
      </c>
      <c r="X4371" t="s">
        <v>32068</v>
      </c>
      <c r="AF4371" t="s">
        <v>6406</v>
      </c>
      <c r="AG4371" t="s">
        <v>32067</v>
      </c>
      <c r="AI4371" t="s">
        <v>32069</v>
      </c>
      <c r="AM4371" t="s">
        <v>32070</v>
      </c>
      <c r="AN4371" t="s">
        <v>2081</v>
      </c>
      <c r="AO4371" t="s">
        <v>32071</v>
      </c>
      <c r="AP4371" t="s">
        <v>7024</v>
      </c>
      <c r="AQ4371" t="s">
        <v>32072</v>
      </c>
      <c r="AT4371" s="184">
        <v>41131</v>
      </c>
      <c r="AU4371" t="s">
        <v>32073</v>
      </c>
      <c r="AV4371">
        <v>50</v>
      </c>
      <c r="AW4371" s="184">
        <v>44956</v>
      </c>
      <c r="AX4371" t="s">
        <v>7721</v>
      </c>
      <c r="AY4371">
        <v>287.69</v>
      </c>
      <c r="AZ4371" s="184">
        <v>43598</v>
      </c>
      <c r="BA4371" t="s">
        <v>32074</v>
      </c>
      <c r="BB4371">
        <v>600</v>
      </c>
      <c r="BC4371">
        <v>54</v>
      </c>
      <c r="BD4371">
        <v>1437.69</v>
      </c>
      <c r="BE4371">
        <v>2013</v>
      </c>
      <c r="BF4371">
        <v>13</v>
      </c>
      <c r="BG4371">
        <v>1</v>
      </c>
      <c r="BH4371">
        <v>287.69</v>
      </c>
      <c r="BI4371">
        <v>7</v>
      </c>
      <c r="BJ4371">
        <v>13</v>
      </c>
      <c r="BK4371">
        <v>3</v>
      </c>
      <c r="BO4371" t="s">
        <v>595</v>
      </c>
    </row>
    <row r="4372" spans="1:68">
      <c r="A4372">
        <v>79757787</v>
      </c>
      <c r="B4372">
        <v>79757787</v>
      </c>
      <c r="C4372" t="s">
        <v>7018</v>
      </c>
      <c r="D4372" t="s">
        <v>595</v>
      </c>
      <c r="E4372" s="184">
        <v>44313</v>
      </c>
      <c r="G4372" s="184"/>
      <c r="I4372" s="184"/>
      <c r="K4372" s="184"/>
      <c r="M4372" s="184"/>
      <c r="O4372" s="184"/>
      <c r="P4372" t="s">
        <v>7045</v>
      </c>
      <c r="Q4372" t="s">
        <v>7020</v>
      </c>
      <c r="R4372" s="184">
        <v>16650</v>
      </c>
      <c r="S4372">
        <v>78</v>
      </c>
      <c r="U4372" t="s">
        <v>7076</v>
      </c>
      <c r="V4372" t="s">
        <v>3043</v>
      </c>
      <c r="W4372" t="s">
        <v>7396</v>
      </c>
      <c r="X4372" t="s">
        <v>32075</v>
      </c>
      <c r="AF4372" t="s">
        <v>32076</v>
      </c>
      <c r="AG4372" t="s">
        <v>3043</v>
      </c>
      <c r="AI4372" t="s">
        <v>32077</v>
      </c>
      <c r="AM4372" t="s">
        <v>32078</v>
      </c>
      <c r="AN4372" t="s">
        <v>2255</v>
      </c>
      <c r="AO4372" t="s">
        <v>32079</v>
      </c>
      <c r="AP4372" t="s">
        <v>7024</v>
      </c>
      <c r="AQ4372" t="s">
        <v>32080</v>
      </c>
      <c r="AT4372" s="184">
        <v>41131</v>
      </c>
      <c r="AU4372" t="s">
        <v>32081</v>
      </c>
      <c r="AV4372">
        <v>40</v>
      </c>
      <c r="AW4372" s="184">
        <v>45412</v>
      </c>
      <c r="AX4372" t="s">
        <v>7429</v>
      </c>
      <c r="AY4372">
        <v>15</v>
      </c>
      <c r="AZ4372" s="184">
        <v>42206</v>
      </c>
      <c r="BA4372" t="s">
        <v>32082</v>
      </c>
      <c r="BB4372">
        <v>200</v>
      </c>
      <c r="BC4372">
        <v>100</v>
      </c>
      <c r="BD4372">
        <v>2130</v>
      </c>
      <c r="BE4372">
        <v>2013</v>
      </c>
      <c r="BF4372">
        <v>103</v>
      </c>
      <c r="BG4372">
        <v>24</v>
      </c>
      <c r="BH4372">
        <v>360</v>
      </c>
      <c r="BI4372">
        <v>13</v>
      </c>
      <c r="BJ4372">
        <v>13</v>
      </c>
      <c r="BK4372">
        <v>13</v>
      </c>
    </row>
    <row r="4373" spans="1:68">
      <c r="A4373">
        <v>79776167</v>
      </c>
      <c r="B4373">
        <v>79776167</v>
      </c>
      <c r="C4373" t="s">
        <v>7018</v>
      </c>
      <c r="E4373" s="184"/>
      <c r="G4373" s="184"/>
      <c r="H4373" t="s">
        <v>595</v>
      </c>
      <c r="I4373" s="184">
        <v>44600</v>
      </c>
      <c r="K4373" s="184"/>
      <c r="M4373" s="184"/>
      <c r="O4373" s="184"/>
      <c r="P4373" t="s">
        <v>7045</v>
      </c>
      <c r="Q4373" t="s">
        <v>7494</v>
      </c>
      <c r="R4373" s="184">
        <v>16558</v>
      </c>
      <c r="S4373">
        <v>79</v>
      </c>
      <c r="U4373" t="s">
        <v>7076</v>
      </c>
      <c r="V4373" t="s">
        <v>32083</v>
      </c>
      <c r="X4373" t="s">
        <v>32084</v>
      </c>
      <c r="AF4373" t="s">
        <v>32085</v>
      </c>
      <c r="AG4373" t="s">
        <v>32083</v>
      </c>
      <c r="AI4373" t="s">
        <v>32086</v>
      </c>
      <c r="AM4373" t="s">
        <v>3763</v>
      </c>
      <c r="AN4373" t="s">
        <v>2484</v>
      </c>
      <c r="AO4373" t="s">
        <v>32087</v>
      </c>
      <c r="AP4373" t="s">
        <v>7024</v>
      </c>
      <c r="AQ4373" t="s">
        <v>32088</v>
      </c>
      <c r="AR4373" t="s">
        <v>32089</v>
      </c>
      <c r="AT4373" s="184">
        <v>41134</v>
      </c>
      <c r="AU4373" t="s">
        <v>32090</v>
      </c>
      <c r="AV4373">
        <v>15</v>
      </c>
      <c r="AW4373" s="184">
        <v>45236</v>
      </c>
      <c r="AX4373" t="s">
        <v>24865</v>
      </c>
      <c r="AY4373">
        <v>150</v>
      </c>
      <c r="AZ4373" s="184">
        <v>44544</v>
      </c>
      <c r="BA4373" t="s">
        <v>32091</v>
      </c>
      <c r="BB4373">
        <v>200</v>
      </c>
      <c r="BC4373">
        <v>85</v>
      </c>
      <c r="BD4373">
        <v>1240</v>
      </c>
      <c r="BE4373">
        <v>2013</v>
      </c>
      <c r="BF4373">
        <v>14</v>
      </c>
      <c r="BG4373">
        <v>2</v>
      </c>
      <c r="BH4373">
        <v>250</v>
      </c>
      <c r="BI4373">
        <v>11</v>
      </c>
      <c r="BJ4373">
        <v>13</v>
      </c>
      <c r="BK4373">
        <v>7</v>
      </c>
    </row>
    <row r="4374" spans="1:68">
      <c r="A4374">
        <v>79836425</v>
      </c>
      <c r="B4374">
        <v>79836425</v>
      </c>
      <c r="C4374" t="s">
        <v>7018</v>
      </c>
      <c r="E4374" s="184"/>
      <c r="F4374" t="s">
        <v>595</v>
      </c>
      <c r="G4374" s="184">
        <v>44438</v>
      </c>
      <c r="I4374" s="184"/>
      <c r="K4374" s="184"/>
      <c r="M4374" s="184"/>
      <c r="O4374" s="184"/>
      <c r="P4374" t="s">
        <v>7029</v>
      </c>
      <c r="Q4374" t="s">
        <v>7383</v>
      </c>
      <c r="R4374" s="184">
        <v>26877</v>
      </c>
      <c r="S4374">
        <v>50</v>
      </c>
      <c r="V4374" t="s">
        <v>2961</v>
      </c>
      <c r="X4374" t="s">
        <v>3610</v>
      </c>
      <c r="AF4374" t="s">
        <v>32092</v>
      </c>
      <c r="AG4374" t="s">
        <v>2961</v>
      </c>
      <c r="AI4374" t="s">
        <v>32093</v>
      </c>
      <c r="AM4374" t="s">
        <v>2703</v>
      </c>
      <c r="AN4374" t="s">
        <v>2064</v>
      </c>
      <c r="AO4374" t="s">
        <v>32094</v>
      </c>
      <c r="AP4374" t="s">
        <v>7024</v>
      </c>
      <c r="AQ4374" t="s">
        <v>32095</v>
      </c>
      <c r="AT4374" s="184">
        <v>41135</v>
      </c>
      <c r="AU4374" t="s">
        <v>32096</v>
      </c>
      <c r="AV4374">
        <v>25</v>
      </c>
      <c r="AW4374" s="184">
        <v>44939</v>
      </c>
      <c r="AX4374" t="s">
        <v>15543</v>
      </c>
      <c r="AY4374">
        <v>2000</v>
      </c>
      <c r="AZ4374" s="184">
        <v>44939</v>
      </c>
      <c r="BA4374" t="s">
        <v>15543</v>
      </c>
      <c r="BB4374">
        <v>2000</v>
      </c>
      <c r="BC4374">
        <v>77</v>
      </c>
      <c r="BD4374">
        <v>5310</v>
      </c>
      <c r="BE4374">
        <v>2013</v>
      </c>
      <c r="BF4374">
        <v>14</v>
      </c>
      <c r="BG4374">
        <v>2</v>
      </c>
      <c r="BH4374">
        <v>4000</v>
      </c>
      <c r="BI4374">
        <v>10</v>
      </c>
      <c r="BJ4374">
        <v>13</v>
      </c>
      <c r="BK4374">
        <v>7</v>
      </c>
    </row>
    <row r="4375" spans="1:68">
      <c r="A4375">
        <v>79907978</v>
      </c>
      <c r="B4375">
        <v>79907978</v>
      </c>
      <c r="C4375" t="s">
        <v>7018</v>
      </c>
      <c r="D4375" t="s">
        <v>595</v>
      </c>
      <c r="E4375" s="184">
        <v>44167</v>
      </c>
      <c r="G4375" s="184"/>
      <c r="H4375" t="s">
        <v>595</v>
      </c>
      <c r="I4375" s="184">
        <v>44167</v>
      </c>
      <c r="K4375" s="184"/>
      <c r="M4375" s="184"/>
      <c r="O4375" s="184"/>
      <c r="P4375" t="s">
        <v>7029</v>
      </c>
      <c r="Q4375" t="s">
        <v>7194</v>
      </c>
      <c r="R4375" s="184">
        <v>18415</v>
      </c>
      <c r="S4375">
        <v>73</v>
      </c>
      <c r="U4375" t="s">
        <v>7076</v>
      </c>
      <c r="V4375" t="s">
        <v>2985</v>
      </c>
      <c r="X4375" t="s">
        <v>32097</v>
      </c>
      <c r="AF4375" t="s">
        <v>32098</v>
      </c>
      <c r="AG4375" t="s">
        <v>2985</v>
      </c>
      <c r="AI4375" t="s">
        <v>32099</v>
      </c>
      <c r="AM4375" t="s">
        <v>32100</v>
      </c>
      <c r="AN4375" t="s">
        <v>4512</v>
      </c>
      <c r="AO4375" t="s">
        <v>32101</v>
      </c>
      <c r="AP4375" t="s">
        <v>7024</v>
      </c>
      <c r="AQ4375" t="s">
        <v>32102</v>
      </c>
      <c r="AR4375" t="s">
        <v>32103</v>
      </c>
      <c r="AT4375" s="184">
        <v>41136</v>
      </c>
      <c r="AU4375" t="s">
        <v>32065</v>
      </c>
      <c r="AV4375">
        <v>25</v>
      </c>
      <c r="AW4375" s="184">
        <v>44551</v>
      </c>
      <c r="AX4375" t="s">
        <v>32104</v>
      </c>
      <c r="AY4375">
        <v>1000</v>
      </c>
      <c r="AZ4375" s="184">
        <v>43559</v>
      </c>
      <c r="BA4375" t="s">
        <v>32105</v>
      </c>
      <c r="BB4375">
        <v>2019</v>
      </c>
      <c r="BC4375">
        <v>70</v>
      </c>
      <c r="BD4375">
        <v>8769</v>
      </c>
      <c r="BE4375">
        <v>2013</v>
      </c>
      <c r="BF4375">
        <v>19</v>
      </c>
      <c r="BI4375">
        <v>9</v>
      </c>
      <c r="BJ4375">
        <v>13</v>
      </c>
      <c r="BK4375">
        <v>8</v>
      </c>
    </row>
    <row r="4376" spans="1:68">
      <c r="A4376">
        <v>79914776</v>
      </c>
      <c r="B4376">
        <v>79914776</v>
      </c>
      <c r="C4376" t="s">
        <v>7018</v>
      </c>
      <c r="D4376" t="s">
        <v>595</v>
      </c>
      <c r="E4376" s="184">
        <v>44441</v>
      </c>
      <c r="G4376" s="184"/>
      <c r="I4376" s="184"/>
      <c r="K4376" s="184"/>
      <c r="M4376" s="184"/>
      <c r="O4376" s="184"/>
      <c r="P4376" t="s">
        <v>7045</v>
      </c>
      <c r="Q4376" t="s">
        <v>7030</v>
      </c>
      <c r="R4376" s="184">
        <v>19480</v>
      </c>
      <c r="S4376">
        <v>71</v>
      </c>
      <c r="V4376" t="s">
        <v>2665</v>
      </c>
      <c r="X4376" t="s">
        <v>32106</v>
      </c>
      <c r="AF4376" t="s">
        <v>32107</v>
      </c>
      <c r="AG4376" t="s">
        <v>2665</v>
      </c>
      <c r="AI4376" t="s">
        <v>32108</v>
      </c>
      <c r="AM4376" t="s">
        <v>2873</v>
      </c>
      <c r="AN4376" t="s">
        <v>2094</v>
      </c>
      <c r="AO4376" t="s">
        <v>32109</v>
      </c>
      <c r="AP4376" t="s">
        <v>7024</v>
      </c>
      <c r="AQ4376" t="s">
        <v>32110</v>
      </c>
      <c r="AT4376" s="184">
        <v>41136</v>
      </c>
      <c r="AU4376" t="s">
        <v>32111</v>
      </c>
      <c r="AV4376">
        <v>50</v>
      </c>
      <c r="AW4376" s="184">
        <v>45362</v>
      </c>
      <c r="AX4376" t="s">
        <v>15296</v>
      </c>
      <c r="AY4376">
        <v>50</v>
      </c>
      <c r="AZ4376" s="184">
        <v>45362</v>
      </c>
      <c r="BA4376" t="s">
        <v>15296</v>
      </c>
      <c r="BB4376">
        <v>50</v>
      </c>
      <c r="BC4376">
        <v>93</v>
      </c>
      <c r="BD4376">
        <v>700</v>
      </c>
      <c r="BE4376">
        <v>2013</v>
      </c>
      <c r="BF4376">
        <v>14</v>
      </c>
      <c r="BG4376">
        <v>3</v>
      </c>
      <c r="BH4376">
        <v>150</v>
      </c>
      <c r="BI4376">
        <v>12</v>
      </c>
      <c r="BJ4376">
        <v>13</v>
      </c>
      <c r="BK4376">
        <v>6</v>
      </c>
    </row>
    <row r="4377" spans="1:68">
      <c r="A4377">
        <v>79919411</v>
      </c>
      <c r="B4377">
        <v>79919411</v>
      </c>
      <c r="C4377" t="s">
        <v>7018</v>
      </c>
      <c r="E4377" s="184"/>
      <c r="G4377" s="184"/>
      <c r="I4377" s="184"/>
      <c r="K4377" s="184"/>
      <c r="L4377" t="s">
        <v>595</v>
      </c>
      <c r="M4377" s="184">
        <v>44265</v>
      </c>
      <c r="O4377" s="184"/>
      <c r="P4377" t="s">
        <v>7045</v>
      </c>
      <c r="Q4377" t="s">
        <v>7020</v>
      </c>
      <c r="R4377" s="184">
        <v>15234</v>
      </c>
      <c r="S4377">
        <v>82</v>
      </c>
      <c r="V4377" t="s">
        <v>2739</v>
      </c>
      <c r="W4377" t="s">
        <v>8224</v>
      </c>
      <c r="X4377" t="s">
        <v>32112</v>
      </c>
      <c r="Z4377">
        <v>100149981</v>
      </c>
      <c r="AB4377" t="s">
        <v>32113</v>
      </c>
      <c r="AC4377" t="s">
        <v>7246</v>
      </c>
      <c r="AD4377" t="s">
        <v>32112</v>
      </c>
      <c r="AF4377" t="s">
        <v>32114</v>
      </c>
      <c r="AG4377" t="s">
        <v>32115</v>
      </c>
      <c r="AI4377" t="s">
        <v>32116</v>
      </c>
      <c r="AM4377" t="s">
        <v>32117</v>
      </c>
      <c r="AN4377" t="s">
        <v>2112</v>
      </c>
      <c r="AO4377" t="s">
        <v>32118</v>
      </c>
      <c r="AP4377" t="s">
        <v>7024</v>
      </c>
      <c r="AQ4377" t="s">
        <v>32119</v>
      </c>
      <c r="AT4377" s="184">
        <v>41136</v>
      </c>
      <c r="AU4377" t="s">
        <v>32120</v>
      </c>
      <c r="AV4377">
        <v>25</v>
      </c>
      <c r="AW4377" s="184">
        <v>45210</v>
      </c>
      <c r="AX4377" t="s">
        <v>7596</v>
      </c>
      <c r="AY4377">
        <v>200</v>
      </c>
      <c r="AZ4377" s="184">
        <v>45210</v>
      </c>
      <c r="BA4377" t="s">
        <v>7596</v>
      </c>
      <c r="BB4377">
        <v>200</v>
      </c>
      <c r="BC4377">
        <v>85</v>
      </c>
      <c r="BD4377">
        <v>1185</v>
      </c>
      <c r="BE4377">
        <v>2013</v>
      </c>
      <c r="BF4377">
        <v>13</v>
      </c>
      <c r="BG4377">
        <v>2</v>
      </c>
      <c r="BH4377">
        <v>400</v>
      </c>
      <c r="BI4377">
        <v>11</v>
      </c>
      <c r="BJ4377">
        <v>13</v>
      </c>
      <c r="BK4377">
        <v>8</v>
      </c>
    </row>
    <row r="4378" spans="1:68">
      <c r="A4378">
        <v>100149981</v>
      </c>
      <c r="B4378">
        <v>79919411</v>
      </c>
      <c r="C4378" t="s">
        <v>7018</v>
      </c>
      <c r="E4378" s="184"/>
      <c r="G4378" s="184"/>
      <c r="I4378" s="184"/>
      <c r="K4378" s="184"/>
      <c r="L4378" t="s">
        <v>595</v>
      </c>
      <c r="M4378" s="184">
        <v>44265</v>
      </c>
      <c r="O4378" s="184"/>
      <c r="P4378" t="s">
        <v>7045</v>
      </c>
      <c r="Q4378" t="s">
        <v>7020</v>
      </c>
      <c r="R4378" s="184">
        <v>17349</v>
      </c>
      <c r="S4378">
        <v>76</v>
      </c>
      <c r="V4378" t="s">
        <v>32113</v>
      </c>
      <c r="W4378" t="s">
        <v>7246</v>
      </c>
      <c r="X4378" t="s">
        <v>32112</v>
      </c>
      <c r="Z4378">
        <v>79919411</v>
      </c>
      <c r="AB4378" t="s">
        <v>2739</v>
      </c>
      <c r="AC4378" t="s">
        <v>8224</v>
      </c>
      <c r="AD4378" t="s">
        <v>32112</v>
      </c>
      <c r="AF4378" t="s">
        <v>32114</v>
      </c>
      <c r="AG4378" t="s">
        <v>32115</v>
      </c>
      <c r="AI4378" t="s">
        <v>32116</v>
      </c>
      <c r="AM4378" t="s">
        <v>32117</v>
      </c>
      <c r="AN4378" t="s">
        <v>2112</v>
      </c>
      <c r="AO4378" t="s">
        <v>32118</v>
      </c>
      <c r="AP4378" t="s">
        <v>7024</v>
      </c>
      <c r="AT4378" s="184"/>
      <c r="AW4378" s="184"/>
      <c r="AZ4378" s="184"/>
    </row>
    <row r="4379" spans="1:68">
      <c r="A4379">
        <v>80019375</v>
      </c>
      <c r="B4379">
        <v>80019375</v>
      </c>
      <c r="C4379" t="s">
        <v>7018</v>
      </c>
      <c r="D4379" t="s">
        <v>595</v>
      </c>
      <c r="E4379" s="184">
        <v>45153</v>
      </c>
      <c r="G4379" s="184"/>
      <c r="I4379" s="184"/>
      <c r="K4379" s="184"/>
      <c r="M4379" s="184"/>
      <c r="O4379" s="184"/>
      <c r="P4379" t="s">
        <v>7045</v>
      </c>
      <c r="Q4379" t="s">
        <v>7383</v>
      </c>
      <c r="R4379" s="184">
        <v>24139</v>
      </c>
      <c r="S4379">
        <v>58</v>
      </c>
      <c r="U4379" t="s">
        <v>7130</v>
      </c>
      <c r="V4379" t="s">
        <v>10108</v>
      </c>
      <c r="W4379" t="s">
        <v>7246</v>
      </c>
      <c r="X4379" t="s">
        <v>32121</v>
      </c>
      <c r="AF4379" t="s">
        <v>32122</v>
      </c>
      <c r="AG4379" t="s">
        <v>10108</v>
      </c>
      <c r="AI4379" t="s">
        <v>32123</v>
      </c>
      <c r="AM4379" t="s">
        <v>5908</v>
      </c>
      <c r="AN4379" t="s">
        <v>2313</v>
      </c>
      <c r="AO4379" t="s">
        <v>32124</v>
      </c>
      <c r="AP4379" t="s">
        <v>7024</v>
      </c>
      <c r="AQ4379" t="s">
        <v>32125</v>
      </c>
      <c r="AT4379" s="184">
        <v>41138</v>
      </c>
      <c r="AU4379" t="s">
        <v>32126</v>
      </c>
      <c r="AV4379">
        <v>25</v>
      </c>
      <c r="AW4379" s="184">
        <v>45405</v>
      </c>
      <c r="AX4379" t="s">
        <v>17771</v>
      </c>
      <c r="AY4379">
        <v>100</v>
      </c>
      <c r="AZ4379" s="184">
        <v>45405</v>
      </c>
      <c r="BA4379" t="s">
        <v>17771</v>
      </c>
      <c r="BB4379">
        <v>100</v>
      </c>
      <c r="BC4379">
        <v>93</v>
      </c>
      <c r="BD4379">
        <v>570</v>
      </c>
      <c r="BE4379">
        <v>2013</v>
      </c>
      <c r="BF4379">
        <v>14</v>
      </c>
      <c r="BG4379">
        <v>4</v>
      </c>
      <c r="BH4379">
        <v>250</v>
      </c>
      <c r="BI4379">
        <v>12</v>
      </c>
      <c r="BJ4379">
        <v>13</v>
      </c>
      <c r="BK4379">
        <v>7</v>
      </c>
      <c r="BP4379" s="184"/>
    </row>
    <row r="4380" spans="1:68">
      <c r="A4380">
        <v>80046188</v>
      </c>
      <c r="B4380">
        <v>80046188</v>
      </c>
      <c r="C4380" t="s">
        <v>7018</v>
      </c>
      <c r="E4380" s="184"/>
      <c r="G4380" s="184"/>
      <c r="I4380" s="184"/>
      <c r="J4380" t="s">
        <v>595</v>
      </c>
      <c r="K4380" s="184">
        <v>44438</v>
      </c>
      <c r="M4380" s="184"/>
      <c r="O4380" s="184"/>
      <c r="P4380" t="s">
        <v>7045</v>
      </c>
      <c r="Q4380" t="s">
        <v>7383</v>
      </c>
      <c r="R4380" s="184">
        <v>12966</v>
      </c>
      <c r="S4380">
        <v>88</v>
      </c>
      <c r="V4380" t="s">
        <v>2898</v>
      </c>
      <c r="X4380" t="s">
        <v>3427</v>
      </c>
      <c r="Z4380">
        <v>100150041</v>
      </c>
      <c r="AB4380" t="s">
        <v>2804</v>
      </c>
      <c r="AD4380" t="s">
        <v>3427</v>
      </c>
      <c r="AF4380" t="s">
        <v>32127</v>
      </c>
      <c r="AG4380" t="s">
        <v>32128</v>
      </c>
      <c r="AI4380" t="s">
        <v>32129</v>
      </c>
      <c r="AM4380" t="s">
        <v>4088</v>
      </c>
      <c r="AN4380" t="s">
        <v>2313</v>
      </c>
      <c r="AO4380" t="s">
        <v>32130</v>
      </c>
      <c r="AP4380" t="s">
        <v>7024</v>
      </c>
      <c r="AQ4380" t="s">
        <v>32131</v>
      </c>
      <c r="AT4380" s="184">
        <v>41138</v>
      </c>
      <c r="AU4380" t="s">
        <v>32132</v>
      </c>
      <c r="AV4380">
        <v>25</v>
      </c>
      <c r="AW4380" s="184">
        <v>45201</v>
      </c>
      <c r="AX4380" t="s">
        <v>32133</v>
      </c>
      <c r="AY4380">
        <v>100</v>
      </c>
      <c r="AZ4380" s="184">
        <v>45201</v>
      </c>
      <c r="BA4380" t="s">
        <v>32133</v>
      </c>
      <c r="BB4380">
        <v>100</v>
      </c>
      <c r="BC4380">
        <v>62</v>
      </c>
      <c r="BD4380">
        <v>1325</v>
      </c>
      <c r="BE4380">
        <v>2013</v>
      </c>
      <c r="BF4380">
        <v>16</v>
      </c>
      <c r="BG4380">
        <v>5</v>
      </c>
      <c r="BH4380">
        <v>450</v>
      </c>
      <c r="BI4380">
        <v>8</v>
      </c>
      <c r="BJ4380">
        <v>13</v>
      </c>
      <c r="BK4380">
        <v>6</v>
      </c>
      <c r="BN4380" t="s">
        <v>595</v>
      </c>
    </row>
    <row r="4381" spans="1:68">
      <c r="A4381">
        <v>100150041</v>
      </c>
      <c r="B4381">
        <v>80046188</v>
      </c>
      <c r="C4381" t="s">
        <v>7018</v>
      </c>
      <c r="E4381" s="184"/>
      <c r="G4381" s="184"/>
      <c r="I4381" s="184"/>
      <c r="J4381" t="s">
        <v>595</v>
      </c>
      <c r="K4381" s="184">
        <v>44438</v>
      </c>
      <c r="M4381" s="184"/>
      <c r="O4381" s="184"/>
      <c r="P4381" t="s">
        <v>7045</v>
      </c>
      <c r="Q4381" t="s">
        <v>7383</v>
      </c>
      <c r="R4381" s="184">
        <v>12901</v>
      </c>
      <c r="S4381">
        <v>89</v>
      </c>
      <c r="V4381" t="s">
        <v>2804</v>
      </c>
      <c r="X4381" t="s">
        <v>3427</v>
      </c>
      <c r="Z4381">
        <v>80046188</v>
      </c>
      <c r="AB4381" t="s">
        <v>2898</v>
      </c>
      <c r="AD4381" t="s">
        <v>3427</v>
      </c>
      <c r="AF4381" t="s">
        <v>32127</v>
      </c>
      <c r="AG4381" t="s">
        <v>32128</v>
      </c>
      <c r="AI4381" t="s">
        <v>32129</v>
      </c>
      <c r="AM4381" t="s">
        <v>4088</v>
      </c>
      <c r="AN4381" t="s">
        <v>2313</v>
      </c>
      <c r="AO4381" t="s">
        <v>32130</v>
      </c>
      <c r="AP4381" t="s">
        <v>7024</v>
      </c>
      <c r="AT4381" s="184"/>
      <c r="AW4381" s="184"/>
      <c r="AZ4381" s="184"/>
    </row>
    <row r="4382" spans="1:68">
      <c r="A4382">
        <v>80054133</v>
      </c>
      <c r="B4382">
        <v>80054133</v>
      </c>
      <c r="C4382" t="s">
        <v>7018</v>
      </c>
      <c r="D4382" t="s">
        <v>595</v>
      </c>
      <c r="E4382" s="184">
        <v>44167</v>
      </c>
      <c r="G4382" s="184"/>
      <c r="I4382" s="184"/>
      <c r="K4382" s="184"/>
      <c r="M4382" s="184"/>
      <c r="O4382" s="184"/>
      <c r="P4382" t="s">
        <v>7029</v>
      </c>
      <c r="Q4382" t="s">
        <v>7494</v>
      </c>
      <c r="R4382" s="184">
        <v>21582</v>
      </c>
      <c r="S4382">
        <v>65</v>
      </c>
      <c r="U4382" t="s">
        <v>7076</v>
      </c>
      <c r="V4382" t="s">
        <v>3043</v>
      </c>
      <c r="X4382" t="s">
        <v>2530</v>
      </c>
      <c r="AF4382" t="s">
        <v>32134</v>
      </c>
      <c r="AG4382" t="s">
        <v>3043</v>
      </c>
      <c r="AI4382" t="s">
        <v>32135</v>
      </c>
      <c r="AM4382" t="s">
        <v>9753</v>
      </c>
      <c r="AN4382" t="s">
        <v>2174</v>
      </c>
      <c r="AO4382" t="s">
        <v>32136</v>
      </c>
      <c r="AP4382" t="s">
        <v>7024</v>
      </c>
      <c r="AQ4382" t="s">
        <v>32137</v>
      </c>
      <c r="AT4382" s="184">
        <v>41141</v>
      </c>
      <c r="AU4382" t="s">
        <v>32138</v>
      </c>
      <c r="AV4382">
        <v>50</v>
      </c>
      <c r="AW4382" s="184">
        <v>45007</v>
      </c>
      <c r="AX4382" t="s">
        <v>32139</v>
      </c>
      <c r="AY4382">
        <v>500</v>
      </c>
      <c r="AZ4382" s="184">
        <v>45007</v>
      </c>
      <c r="BA4382" t="s">
        <v>32139</v>
      </c>
      <c r="BB4382">
        <v>500</v>
      </c>
      <c r="BC4382">
        <v>93</v>
      </c>
      <c r="BD4382">
        <v>5950</v>
      </c>
      <c r="BE4382">
        <v>2013</v>
      </c>
      <c r="BF4382">
        <v>19</v>
      </c>
      <c r="BG4382">
        <v>2</v>
      </c>
      <c r="BH4382">
        <v>1000</v>
      </c>
      <c r="BI4382">
        <v>12</v>
      </c>
      <c r="BJ4382">
        <v>13</v>
      </c>
      <c r="BK4382">
        <v>12</v>
      </c>
      <c r="BP4382" s="184"/>
    </row>
    <row r="4383" spans="1:68">
      <c r="A4383">
        <v>80054653</v>
      </c>
      <c r="B4383">
        <v>80054653</v>
      </c>
      <c r="C4383" t="s">
        <v>7018</v>
      </c>
      <c r="D4383" t="s">
        <v>595</v>
      </c>
      <c r="E4383" s="184">
        <v>43691</v>
      </c>
      <c r="G4383" s="184"/>
      <c r="I4383" s="184"/>
      <c r="K4383" s="184"/>
      <c r="M4383" s="184"/>
      <c r="O4383" s="184"/>
      <c r="P4383" t="s">
        <v>7045</v>
      </c>
      <c r="Q4383" t="s">
        <v>7383</v>
      </c>
      <c r="R4383" s="184">
        <v>21125</v>
      </c>
      <c r="S4383">
        <v>66</v>
      </c>
      <c r="V4383" t="s">
        <v>2586</v>
      </c>
      <c r="W4383" t="s">
        <v>4139</v>
      </c>
      <c r="X4383" t="s">
        <v>32140</v>
      </c>
      <c r="AF4383" t="s">
        <v>32141</v>
      </c>
      <c r="AG4383" t="s">
        <v>2586</v>
      </c>
      <c r="AI4383" t="s">
        <v>32142</v>
      </c>
      <c r="AM4383" t="s">
        <v>32143</v>
      </c>
      <c r="AN4383" t="s">
        <v>2072</v>
      </c>
      <c r="AO4383" t="s">
        <v>32144</v>
      </c>
      <c r="AP4383" t="s">
        <v>7024</v>
      </c>
      <c r="AQ4383" t="s">
        <v>32145</v>
      </c>
      <c r="AT4383" s="184">
        <v>41141</v>
      </c>
      <c r="AU4383" t="s">
        <v>32146</v>
      </c>
      <c r="AV4383">
        <v>25</v>
      </c>
      <c r="AW4383" s="184">
        <v>45412</v>
      </c>
      <c r="AX4383" t="s">
        <v>7429</v>
      </c>
      <c r="AY4383">
        <v>15</v>
      </c>
      <c r="AZ4383" s="184">
        <v>43629</v>
      </c>
      <c r="BA4383" t="s">
        <v>32147</v>
      </c>
      <c r="BB4383">
        <v>35</v>
      </c>
      <c r="BC4383">
        <v>100</v>
      </c>
      <c r="BD4383">
        <v>1149.57</v>
      </c>
      <c r="BE4383">
        <v>2013</v>
      </c>
      <c r="BF4383">
        <v>71</v>
      </c>
      <c r="BG4383">
        <v>24</v>
      </c>
      <c r="BH4383">
        <v>360</v>
      </c>
      <c r="BI4383">
        <v>13</v>
      </c>
      <c r="BJ4383">
        <v>13</v>
      </c>
      <c r="BK4383">
        <v>13</v>
      </c>
    </row>
    <row r="4384" spans="1:68">
      <c r="A4384">
        <v>80056807</v>
      </c>
      <c r="B4384">
        <v>80056807</v>
      </c>
      <c r="C4384" t="s">
        <v>13031</v>
      </c>
      <c r="E4384" s="184"/>
      <c r="G4384" s="184"/>
      <c r="I4384" s="184"/>
      <c r="K4384" s="184"/>
      <c r="M4384" s="184"/>
      <c r="N4384" t="s">
        <v>595</v>
      </c>
      <c r="O4384" s="184">
        <v>41351</v>
      </c>
      <c r="Q4384" t="s">
        <v>7374</v>
      </c>
      <c r="R4384" s="184"/>
      <c r="Z4384">
        <v>100177124</v>
      </c>
      <c r="AA4384" t="s">
        <v>7076</v>
      </c>
      <c r="AB4384" t="s">
        <v>32148</v>
      </c>
      <c r="AD4384" t="s">
        <v>32149</v>
      </c>
      <c r="AH4384" t="s">
        <v>6027</v>
      </c>
      <c r="AI4384" t="s">
        <v>32150</v>
      </c>
      <c r="AM4384" t="s">
        <v>5817</v>
      </c>
      <c r="AN4384" t="s">
        <v>2081</v>
      </c>
      <c r="AO4384" t="s">
        <v>32151</v>
      </c>
      <c r="AP4384" t="s">
        <v>7024</v>
      </c>
      <c r="AQ4384" t="s">
        <v>32152</v>
      </c>
      <c r="AT4384" s="184">
        <v>41141</v>
      </c>
      <c r="AU4384" t="s">
        <v>32153</v>
      </c>
      <c r="AV4384">
        <v>25</v>
      </c>
      <c r="AW4384" s="184">
        <v>41937</v>
      </c>
      <c r="AX4384" t="s">
        <v>32154</v>
      </c>
      <c r="AY4384">
        <v>150</v>
      </c>
      <c r="AZ4384" s="184">
        <v>41351</v>
      </c>
      <c r="BA4384" t="s">
        <v>15414</v>
      </c>
      <c r="BB4384">
        <v>10000</v>
      </c>
      <c r="BC4384">
        <v>24</v>
      </c>
      <c r="BD4384">
        <v>10335</v>
      </c>
      <c r="BE4384">
        <v>2013</v>
      </c>
      <c r="BF4384">
        <v>5</v>
      </c>
      <c r="BI4384">
        <v>3</v>
      </c>
      <c r="BJ4384">
        <v>13</v>
      </c>
      <c r="BK4384">
        <v>3</v>
      </c>
      <c r="BN4384" t="s">
        <v>595</v>
      </c>
    </row>
    <row r="4385" spans="1:68">
      <c r="A4385">
        <v>80096134</v>
      </c>
      <c r="B4385">
        <v>80096134</v>
      </c>
      <c r="C4385" t="s">
        <v>7018</v>
      </c>
      <c r="D4385" t="s">
        <v>595</v>
      </c>
      <c r="E4385" s="184">
        <v>44441</v>
      </c>
      <c r="G4385" s="184"/>
      <c r="I4385" s="184"/>
      <c r="K4385" s="184"/>
      <c r="M4385" s="184"/>
      <c r="O4385" s="184"/>
      <c r="P4385" t="s">
        <v>7045</v>
      </c>
      <c r="Q4385" t="s">
        <v>7020</v>
      </c>
      <c r="R4385" s="184">
        <v>12197</v>
      </c>
      <c r="S4385">
        <v>90</v>
      </c>
      <c r="V4385" t="s">
        <v>2609</v>
      </c>
      <c r="X4385" t="s">
        <v>32155</v>
      </c>
      <c r="AF4385" t="s">
        <v>32156</v>
      </c>
      <c r="AG4385" t="s">
        <v>2609</v>
      </c>
      <c r="AI4385" t="s">
        <v>32157</v>
      </c>
      <c r="AM4385" t="s">
        <v>3525</v>
      </c>
      <c r="AN4385" t="s">
        <v>2240</v>
      </c>
      <c r="AO4385" t="s">
        <v>32158</v>
      </c>
      <c r="AP4385" t="s">
        <v>7024</v>
      </c>
      <c r="AQ4385" t="s">
        <v>32159</v>
      </c>
      <c r="AT4385" s="184">
        <v>41142</v>
      </c>
      <c r="AU4385" t="s">
        <v>32160</v>
      </c>
      <c r="AV4385">
        <v>25</v>
      </c>
      <c r="AW4385" s="184">
        <v>45119</v>
      </c>
      <c r="AX4385" t="s">
        <v>11363</v>
      </c>
      <c r="AY4385">
        <v>35</v>
      </c>
      <c r="AZ4385" s="184">
        <v>45119</v>
      </c>
      <c r="BA4385" t="s">
        <v>11363</v>
      </c>
      <c r="BB4385">
        <v>35</v>
      </c>
      <c r="BC4385">
        <v>62</v>
      </c>
      <c r="BD4385">
        <v>230</v>
      </c>
      <c r="BE4385">
        <v>2013</v>
      </c>
      <c r="BF4385">
        <v>8</v>
      </c>
      <c r="BG4385">
        <v>1</v>
      </c>
      <c r="BH4385">
        <v>35</v>
      </c>
      <c r="BI4385">
        <v>8</v>
      </c>
      <c r="BJ4385">
        <v>13</v>
      </c>
      <c r="BK4385">
        <v>3</v>
      </c>
      <c r="BP4385" s="184"/>
    </row>
    <row r="4386" spans="1:68">
      <c r="A4386">
        <v>80238579</v>
      </c>
      <c r="B4386">
        <v>80238579</v>
      </c>
      <c r="C4386" t="s">
        <v>7018</v>
      </c>
      <c r="D4386" t="s">
        <v>595</v>
      </c>
      <c r="E4386" s="184">
        <v>44073</v>
      </c>
      <c r="G4386" s="184"/>
      <c r="I4386" s="184"/>
      <c r="K4386" s="184"/>
      <c r="M4386" s="184"/>
      <c r="O4386" s="184"/>
      <c r="P4386" t="s">
        <v>7029</v>
      </c>
      <c r="Q4386" t="s">
        <v>7383</v>
      </c>
      <c r="R4386" s="184">
        <v>15983</v>
      </c>
      <c r="S4386">
        <v>80</v>
      </c>
      <c r="U4386" t="s">
        <v>7076</v>
      </c>
      <c r="V4386" t="s">
        <v>32161</v>
      </c>
      <c r="X4386" t="s">
        <v>32162</v>
      </c>
      <c r="AF4386" t="s">
        <v>32163</v>
      </c>
      <c r="AG4386" t="s">
        <v>32161</v>
      </c>
      <c r="AI4386" t="s">
        <v>32164</v>
      </c>
      <c r="AM4386" t="s">
        <v>4026</v>
      </c>
      <c r="AN4386" t="s">
        <v>2144</v>
      </c>
      <c r="AO4386" t="s">
        <v>32165</v>
      </c>
      <c r="AP4386" t="s">
        <v>7024</v>
      </c>
      <c r="AQ4386" t="s">
        <v>32166</v>
      </c>
      <c r="AT4386" s="184">
        <v>42081</v>
      </c>
      <c r="AU4386" t="s">
        <v>32167</v>
      </c>
      <c r="AV4386">
        <v>25</v>
      </c>
      <c r="AW4386" s="184">
        <v>44949</v>
      </c>
      <c r="AX4386" t="s">
        <v>32168</v>
      </c>
      <c r="AY4386">
        <v>1000</v>
      </c>
      <c r="AZ4386" s="184">
        <v>44949</v>
      </c>
      <c r="BA4386" t="s">
        <v>32168</v>
      </c>
      <c r="BB4386">
        <v>1000</v>
      </c>
      <c r="BC4386">
        <v>90</v>
      </c>
      <c r="BD4386">
        <v>2550</v>
      </c>
      <c r="BE4386">
        <v>2015</v>
      </c>
      <c r="BF4386">
        <v>15</v>
      </c>
      <c r="BG4386">
        <v>1</v>
      </c>
      <c r="BH4386">
        <v>1000</v>
      </c>
      <c r="BI4386">
        <v>9</v>
      </c>
      <c r="BJ4386">
        <v>10</v>
      </c>
      <c r="BK4386">
        <v>9</v>
      </c>
      <c r="BP4386" s="184"/>
    </row>
    <row r="4387" spans="1:68">
      <c r="A4387">
        <v>80292006</v>
      </c>
      <c r="B4387">
        <v>80292006</v>
      </c>
      <c r="C4387" t="s">
        <v>7018</v>
      </c>
      <c r="D4387" t="s">
        <v>595</v>
      </c>
      <c r="E4387" s="184">
        <v>45160</v>
      </c>
      <c r="G4387" s="184"/>
      <c r="I4387" s="184"/>
      <c r="K4387" s="184"/>
      <c r="M4387" s="184"/>
      <c r="O4387" s="184"/>
      <c r="P4387" t="s">
        <v>7045</v>
      </c>
      <c r="Q4387" t="s">
        <v>7494</v>
      </c>
      <c r="R4387" s="184">
        <v>23222</v>
      </c>
      <c r="S4387">
        <v>60</v>
      </c>
      <c r="U4387" t="s">
        <v>7031</v>
      </c>
      <c r="V4387" t="s">
        <v>32169</v>
      </c>
      <c r="X4387" t="s">
        <v>3994</v>
      </c>
      <c r="AF4387" t="s">
        <v>32170</v>
      </c>
      <c r="AG4387" t="s">
        <v>32169</v>
      </c>
      <c r="AI4387" t="s">
        <v>32171</v>
      </c>
      <c r="AM4387" t="s">
        <v>2582</v>
      </c>
      <c r="AN4387" t="s">
        <v>2174</v>
      </c>
      <c r="AO4387" t="s">
        <v>32172</v>
      </c>
      <c r="AP4387" t="s">
        <v>7024</v>
      </c>
      <c r="AQ4387" t="s">
        <v>32173</v>
      </c>
      <c r="AT4387" s="184">
        <v>41992</v>
      </c>
      <c r="AU4387" t="s">
        <v>32174</v>
      </c>
      <c r="AV4387">
        <v>20</v>
      </c>
      <c r="AW4387" s="184">
        <v>45003</v>
      </c>
      <c r="AX4387" t="s">
        <v>7832</v>
      </c>
      <c r="AY4387">
        <v>50</v>
      </c>
      <c r="AZ4387" s="184">
        <v>45003</v>
      </c>
      <c r="BA4387" t="s">
        <v>7832</v>
      </c>
      <c r="BB4387">
        <v>50</v>
      </c>
      <c r="BC4387">
        <v>73</v>
      </c>
      <c r="BD4387">
        <v>335</v>
      </c>
      <c r="BE4387">
        <v>2015</v>
      </c>
      <c r="BF4387">
        <v>9</v>
      </c>
      <c r="BG4387">
        <v>2</v>
      </c>
      <c r="BH4387">
        <v>85</v>
      </c>
      <c r="BI4387">
        <v>8</v>
      </c>
      <c r="BJ4387">
        <v>11</v>
      </c>
      <c r="BK4387">
        <v>7</v>
      </c>
      <c r="BN4387" t="s">
        <v>595</v>
      </c>
      <c r="BP4387" s="184"/>
    </row>
    <row r="4388" spans="1:68">
      <c r="A4388">
        <v>80427172</v>
      </c>
      <c r="B4388">
        <v>80427172</v>
      </c>
      <c r="C4388" t="s">
        <v>7018</v>
      </c>
      <c r="D4388" t="s">
        <v>595</v>
      </c>
      <c r="E4388" s="184">
        <v>44167</v>
      </c>
      <c r="G4388" s="184"/>
      <c r="I4388" s="184"/>
      <c r="K4388" s="184"/>
      <c r="M4388" s="184"/>
      <c r="P4388" t="s">
        <v>7045</v>
      </c>
      <c r="Q4388" t="s">
        <v>7020</v>
      </c>
      <c r="R4388" s="184">
        <v>33147</v>
      </c>
      <c r="S4388">
        <v>33</v>
      </c>
      <c r="U4388" t="s">
        <v>7130</v>
      </c>
      <c r="V4388" t="s">
        <v>8798</v>
      </c>
      <c r="X4388" t="s">
        <v>3563</v>
      </c>
      <c r="Z4388">
        <v>100150321</v>
      </c>
      <c r="AA4388" t="s">
        <v>7031</v>
      </c>
      <c r="AB4388" t="s">
        <v>2697</v>
      </c>
      <c r="AD4388" t="s">
        <v>3563</v>
      </c>
      <c r="AF4388" t="s">
        <v>32175</v>
      </c>
      <c r="AG4388" t="s">
        <v>32176</v>
      </c>
      <c r="AI4388" t="s">
        <v>32177</v>
      </c>
      <c r="AM4388" t="s">
        <v>32178</v>
      </c>
      <c r="AN4388" t="s">
        <v>2465</v>
      </c>
      <c r="AO4388" t="s">
        <v>32179</v>
      </c>
      <c r="AP4388" t="s">
        <v>7024</v>
      </c>
      <c r="AQ4388" t="s">
        <v>32180</v>
      </c>
      <c r="AT4388" s="184">
        <v>41158</v>
      </c>
      <c r="AU4388" t="s">
        <v>32132</v>
      </c>
      <c r="AV4388">
        <v>25</v>
      </c>
      <c r="AW4388" s="184">
        <v>45291</v>
      </c>
      <c r="AX4388" t="s">
        <v>32181</v>
      </c>
      <c r="AY4388">
        <v>1050</v>
      </c>
      <c r="AZ4388" s="184">
        <v>43052</v>
      </c>
      <c r="BA4388" t="s">
        <v>32182</v>
      </c>
      <c r="BB4388">
        <v>6000</v>
      </c>
      <c r="BC4388">
        <v>70</v>
      </c>
      <c r="BD4388">
        <v>9090</v>
      </c>
      <c r="BE4388">
        <v>2013</v>
      </c>
      <c r="BF4388">
        <v>13</v>
      </c>
      <c r="BG4388">
        <v>4</v>
      </c>
      <c r="BH4388">
        <v>1425</v>
      </c>
      <c r="BI4388">
        <v>9</v>
      </c>
      <c r="BJ4388">
        <v>13</v>
      </c>
      <c r="BK4388">
        <v>4</v>
      </c>
    </row>
    <row r="4389" spans="1:68">
      <c r="A4389">
        <v>100150321</v>
      </c>
      <c r="B4389">
        <v>80427172</v>
      </c>
      <c r="C4389" t="s">
        <v>7018</v>
      </c>
      <c r="D4389" t="s">
        <v>595</v>
      </c>
      <c r="E4389" s="184">
        <v>44167</v>
      </c>
      <c r="G4389" s="184"/>
      <c r="I4389" s="184"/>
      <c r="K4389" s="184"/>
      <c r="M4389" s="184"/>
      <c r="P4389" t="s">
        <v>7045</v>
      </c>
      <c r="Q4389" t="s">
        <v>7020</v>
      </c>
      <c r="R4389" s="184">
        <v>21459</v>
      </c>
      <c r="S4389">
        <v>65</v>
      </c>
      <c r="U4389" t="s">
        <v>7031</v>
      </c>
      <c r="V4389" t="s">
        <v>2697</v>
      </c>
      <c r="X4389" t="s">
        <v>3563</v>
      </c>
      <c r="Z4389">
        <v>80427172</v>
      </c>
      <c r="AA4389" t="s">
        <v>7130</v>
      </c>
      <c r="AB4389" t="s">
        <v>8798</v>
      </c>
      <c r="AD4389" t="s">
        <v>3563</v>
      </c>
      <c r="AF4389" t="s">
        <v>32175</v>
      </c>
      <c r="AG4389" t="s">
        <v>32176</v>
      </c>
      <c r="AI4389" t="s">
        <v>32177</v>
      </c>
      <c r="AM4389" t="s">
        <v>32178</v>
      </c>
      <c r="AN4389" t="s">
        <v>2465</v>
      </c>
      <c r="AO4389" t="s">
        <v>32179</v>
      </c>
      <c r="AP4389" t="s">
        <v>7024</v>
      </c>
      <c r="AT4389" s="184"/>
      <c r="AW4389" s="184"/>
      <c r="AZ4389" s="184"/>
    </row>
    <row r="4390" spans="1:68">
      <c r="A4390">
        <v>80453178</v>
      </c>
      <c r="B4390">
        <v>80453178</v>
      </c>
      <c r="C4390" t="s">
        <v>7018</v>
      </c>
      <c r="D4390" t="s">
        <v>595</v>
      </c>
      <c r="E4390" s="184">
        <v>44455</v>
      </c>
      <c r="G4390" s="184"/>
      <c r="I4390" s="184"/>
      <c r="K4390" s="184"/>
      <c r="M4390" s="184"/>
      <c r="P4390" t="s">
        <v>7029</v>
      </c>
      <c r="Q4390" t="s">
        <v>7030</v>
      </c>
      <c r="R4390" s="184">
        <v>15083</v>
      </c>
      <c r="S4390">
        <v>83</v>
      </c>
      <c r="V4390" t="s">
        <v>5905</v>
      </c>
      <c r="X4390" t="s">
        <v>32183</v>
      </c>
      <c r="AF4390" t="s">
        <v>32184</v>
      </c>
      <c r="AG4390" t="s">
        <v>5905</v>
      </c>
      <c r="AI4390" t="s">
        <v>32185</v>
      </c>
      <c r="AM4390" t="s">
        <v>4295</v>
      </c>
      <c r="AN4390" t="s">
        <v>2089</v>
      </c>
      <c r="AO4390" t="s">
        <v>32186</v>
      </c>
      <c r="AP4390" t="s">
        <v>7024</v>
      </c>
      <c r="AQ4390" t="s">
        <v>32187</v>
      </c>
      <c r="AT4390" s="184">
        <v>41159</v>
      </c>
      <c r="AU4390" t="s">
        <v>32188</v>
      </c>
      <c r="AV4390">
        <v>50</v>
      </c>
      <c r="AW4390" s="184">
        <v>44530</v>
      </c>
      <c r="AX4390" t="s">
        <v>32189</v>
      </c>
      <c r="AY4390">
        <v>100</v>
      </c>
      <c r="AZ4390" s="184">
        <v>44530</v>
      </c>
      <c r="BA4390" t="s">
        <v>32189</v>
      </c>
      <c r="BB4390">
        <v>100</v>
      </c>
      <c r="BC4390">
        <v>54</v>
      </c>
      <c r="BD4390">
        <v>725</v>
      </c>
      <c r="BE4390">
        <v>2013</v>
      </c>
      <c r="BF4390">
        <v>13</v>
      </c>
      <c r="BI4390">
        <v>7</v>
      </c>
      <c r="BJ4390">
        <v>13</v>
      </c>
      <c r="BK4390">
        <v>4</v>
      </c>
      <c r="BP4390" s="184"/>
    </row>
    <row r="4391" spans="1:68">
      <c r="A4391">
        <v>80473887</v>
      </c>
      <c r="B4391">
        <v>80473887</v>
      </c>
      <c r="C4391" t="s">
        <v>7018</v>
      </c>
      <c r="D4391" t="s">
        <v>595</v>
      </c>
      <c r="E4391" s="184">
        <v>44073</v>
      </c>
      <c r="G4391" s="184"/>
      <c r="I4391" s="184"/>
      <c r="K4391" s="184"/>
      <c r="M4391" s="184"/>
      <c r="P4391" t="s">
        <v>7045</v>
      </c>
      <c r="Q4391" t="s">
        <v>7020</v>
      </c>
      <c r="R4391" s="184">
        <v>15578</v>
      </c>
      <c r="S4391">
        <v>81</v>
      </c>
      <c r="U4391" t="s">
        <v>7031</v>
      </c>
      <c r="V4391" t="s">
        <v>2871</v>
      </c>
      <c r="X4391" t="s">
        <v>3866</v>
      </c>
      <c r="AF4391" t="s">
        <v>32190</v>
      </c>
      <c r="AG4391" t="s">
        <v>2871</v>
      </c>
      <c r="AI4391" t="s">
        <v>32191</v>
      </c>
      <c r="AM4391" t="s">
        <v>32192</v>
      </c>
      <c r="AN4391" t="s">
        <v>2363</v>
      </c>
      <c r="AO4391" t="s">
        <v>32193</v>
      </c>
      <c r="AP4391" t="s">
        <v>7024</v>
      </c>
      <c r="AT4391" s="184">
        <v>41162</v>
      </c>
      <c r="AU4391" t="s">
        <v>32194</v>
      </c>
      <c r="AV4391">
        <v>25</v>
      </c>
      <c r="AW4391" s="184">
        <v>44004</v>
      </c>
      <c r="AX4391" t="s">
        <v>10303</v>
      </c>
      <c r="AY4391">
        <v>35</v>
      </c>
      <c r="AZ4391" s="184">
        <v>44004</v>
      </c>
      <c r="BA4391" t="s">
        <v>10303</v>
      </c>
      <c r="BB4391">
        <v>35</v>
      </c>
      <c r="BC4391">
        <v>70</v>
      </c>
      <c r="BD4391">
        <v>260</v>
      </c>
      <c r="BE4391">
        <v>2013</v>
      </c>
      <c r="BF4391">
        <v>10</v>
      </c>
      <c r="BI4391">
        <v>9</v>
      </c>
      <c r="BJ4391">
        <v>13</v>
      </c>
      <c r="BK4391">
        <v>9</v>
      </c>
    </row>
    <row r="4392" spans="1:68">
      <c r="A4392">
        <v>80477656</v>
      </c>
      <c r="B4392">
        <v>80477656</v>
      </c>
      <c r="C4392" t="s">
        <v>7018</v>
      </c>
      <c r="D4392" t="s">
        <v>595</v>
      </c>
      <c r="E4392" s="184">
        <v>44167</v>
      </c>
      <c r="G4392" s="184"/>
      <c r="I4392" s="184"/>
      <c r="K4392" s="184"/>
      <c r="M4392" s="184"/>
      <c r="O4392" s="184"/>
      <c r="P4392" t="s">
        <v>7045</v>
      </c>
      <c r="Q4392" t="s">
        <v>7374</v>
      </c>
      <c r="R4392" s="184">
        <v>18629</v>
      </c>
      <c r="S4392">
        <v>73</v>
      </c>
      <c r="U4392" t="s">
        <v>7076</v>
      </c>
      <c r="V4392" t="s">
        <v>11393</v>
      </c>
      <c r="X4392" t="s">
        <v>3458</v>
      </c>
      <c r="AF4392" t="s">
        <v>32195</v>
      </c>
      <c r="AG4392" t="s">
        <v>11393</v>
      </c>
      <c r="AI4392" t="s">
        <v>32196</v>
      </c>
      <c r="AM4392" t="s">
        <v>16197</v>
      </c>
      <c r="AN4392" t="s">
        <v>2526</v>
      </c>
      <c r="AO4392" t="s">
        <v>32197</v>
      </c>
      <c r="AP4392" t="s">
        <v>7024</v>
      </c>
      <c r="AT4392" s="184">
        <v>41162</v>
      </c>
      <c r="AU4392" t="s">
        <v>32111</v>
      </c>
      <c r="AV4392">
        <v>25</v>
      </c>
      <c r="AW4392" s="184">
        <v>45302</v>
      </c>
      <c r="AX4392" t="s">
        <v>7092</v>
      </c>
      <c r="AY4392">
        <v>50</v>
      </c>
      <c r="AZ4392" s="184">
        <v>45302</v>
      </c>
      <c r="BA4392" t="s">
        <v>7092</v>
      </c>
      <c r="BB4392">
        <v>50</v>
      </c>
      <c r="BC4392">
        <v>93</v>
      </c>
      <c r="BD4392">
        <v>355</v>
      </c>
      <c r="BE4392">
        <v>2013</v>
      </c>
      <c r="BF4392">
        <v>12</v>
      </c>
      <c r="BG4392">
        <v>2</v>
      </c>
      <c r="BH4392">
        <v>85</v>
      </c>
      <c r="BI4392">
        <v>12</v>
      </c>
      <c r="BJ4392">
        <v>13</v>
      </c>
      <c r="BK4392">
        <v>11</v>
      </c>
      <c r="BP4392" s="184"/>
    </row>
    <row r="4393" spans="1:68">
      <c r="A4393">
        <v>80479272</v>
      </c>
      <c r="B4393">
        <v>80479272</v>
      </c>
      <c r="C4393" t="s">
        <v>7018</v>
      </c>
      <c r="D4393" t="s">
        <v>595</v>
      </c>
      <c r="E4393" s="184">
        <v>45120</v>
      </c>
      <c r="G4393" s="184"/>
      <c r="I4393" s="184"/>
      <c r="K4393" s="184"/>
      <c r="M4393" s="184"/>
      <c r="O4393" s="184"/>
      <c r="P4393" t="s">
        <v>7045</v>
      </c>
      <c r="Q4393" t="s">
        <v>7160</v>
      </c>
      <c r="R4393" s="184">
        <v>22427</v>
      </c>
      <c r="S4393">
        <v>62</v>
      </c>
      <c r="V4393" t="s">
        <v>13505</v>
      </c>
      <c r="W4393" t="s">
        <v>7963</v>
      </c>
      <c r="X4393" t="s">
        <v>3024</v>
      </c>
      <c r="AF4393" t="s">
        <v>32198</v>
      </c>
      <c r="AG4393" t="s">
        <v>13505</v>
      </c>
      <c r="AI4393" t="s">
        <v>32199</v>
      </c>
      <c r="AM4393" t="s">
        <v>32200</v>
      </c>
      <c r="AN4393" t="s">
        <v>2413</v>
      </c>
      <c r="AO4393" t="s">
        <v>32201</v>
      </c>
      <c r="AP4393" t="s">
        <v>7024</v>
      </c>
      <c r="AT4393" s="184">
        <v>41162</v>
      </c>
      <c r="AU4393" t="s">
        <v>32202</v>
      </c>
      <c r="AV4393">
        <v>25</v>
      </c>
      <c r="AW4393" s="184">
        <v>44524</v>
      </c>
      <c r="AX4393" t="s">
        <v>10002</v>
      </c>
      <c r="AY4393">
        <v>35</v>
      </c>
      <c r="AZ4393" s="184">
        <v>42178</v>
      </c>
      <c r="BA4393" t="s">
        <v>32203</v>
      </c>
      <c r="BB4393">
        <v>60</v>
      </c>
      <c r="BC4393">
        <v>54</v>
      </c>
      <c r="BD4393">
        <v>330</v>
      </c>
      <c r="BE4393">
        <v>2013</v>
      </c>
      <c r="BF4393">
        <v>11</v>
      </c>
      <c r="BI4393">
        <v>7</v>
      </c>
      <c r="BJ4393">
        <v>13</v>
      </c>
      <c r="BK4393">
        <v>4</v>
      </c>
      <c r="BP4393" s="184"/>
    </row>
    <row r="4394" spans="1:68">
      <c r="A4394">
        <v>80572779</v>
      </c>
      <c r="B4394">
        <v>80572779</v>
      </c>
      <c r="C4394" t="s">
        <v>7018</v>
      </c>
      <c r="D4394" t="s">
        <v>595</v>
      </c>
      <c r="E4394" s="184">
        <v>44040</v>
      </c>
      <c r="G4394" s="184"/>
      <c r="I4394" s="184"/>
      <c r="K4394" s="184"/>
      <c r="M4394" s="184"/>
      <c r="P4394" t="s">
        <v>7045</v>
      </c>
      <c r="Q4394" t="s">
        <v>7030</v>
      </c>
      <c r="R4394" s="184">
        <v>18719</v>
      </c>
      <c r="S4394">
        <v>73</v>
      </c>
      <c r="U4394" t="s">
        <v>7032</v>
      </c>
      <c r="V4394" t="s">
        <v>5351</v>
      </c>
      <c r="X4394" t="s">
        <v>32204</v>
      </c>
      <c r="Z4394">
        <v>100150454</v>
      </c>
      <c r="AA4394" t="s">
        <v>7031</v>
      </c>
      <c r="AB4394" t="s">
        <v>2511</v>
      </c>
      <c r="AD4394" t="s">
        <v>32205</v>
      </c>
      <c r="AF4394" t="s">
        <v>32206</v>
      </c>
      <c r="AG4394" t="s">
        <v>32207</v>
      </c>
      <c r="AI4394" t="s">
        <v>32208</v>
      </c>
      <c r="AM4394" t="s">
        <v>3181</v>
      </c>
      <c r="AN4394" t="s">
        <v>2094</v>
      </c>
      <c r="AO4394" t="s">
        <v>32209</v>
      </c>
      <c r="AP4394" t="s">
        <v>7024</v>
      </c>
      <c r="AQ4394" t="s">
        <v>32210</v>
      </c>
      <c r="AT4394" s="184">
        <v>41163</v>
      </c>
      <c r="AU4394" t="s">
        <v>32211</v>
      </c>
      <c r="AV4394">
        <v>25</v>
      </c>
      <c r="AW4394" s="184">
        <v>44560</v>
      </c>
      <c r="AX4394" t="s">
        <v>32212</v>
      </c>
      <c r="AY4394">
        <v>35</v>
      </c>
      <c r="AZ4394" s="184">
        <v>43592</v>
      </c>
      <c r="BA4394" t="s">
        <v>32213</v>
      </c>
      <c r="BB4394">
        <v>50</v>
      </c>
      <c r="BC4394">
        <v>77</v>
      </c>
      <c r="BD4394">
        <v>620</v>
      </c>
      <c r="BE4394">
        <v>2013</v>
      </c>
      <c r="BF4394">
        <v>19</v>
      </c>
      <c r="BI4394">
        <v>10</v>
      </c>
      <c r="BJ4394">
        <v>13</v>
      </c>
      <c r="BK4394">
        <v>10</v>
      </c>
      <c r="BP4394" s="184"/>
    </row>
    <row r="4395" spans="1:68">
      <c r="A4395">
        <v>100150454</v>
      </c>
      <c r="B4395">
        <v>80572779</v>
      </c>
      <c r="C4395" t="s">
        <v>7018</v>
      </c>
      <c r="D4395" t="s">
        <v>595</v>
      </c>
      <c r="E4395" s="184">
        <v>44040</v>
      </c>
      <c r="G4395" s="184"/>
      <c r="I4395" s="184"/>
      <c r="K4395" s="184"/>
      <c r="M4395" s="184"/>
      <c r="O4395" s="184"/>
      <c r="P4395" t="s">
        <v>7045</v>
      </c>
      <c r="Q4395" t="s">
        <v>7030</v>
      </c>
      <c r="R4395" s="184">
        <v>18719</v>
      </c>
      <c r="S4395">
        <v>73</v>
      </c>
      <c r="U4395" t="s">
        <v>7031</v>
      </c>
      <c r="V4395" t="s">
        <v>2511</v>
      </c>
      <c r="X4395" t="s">
        <v>32205</v>
      </c>
      <c r="Z4395">
        <v>80572779</v>
      </c>
      <c r="AA4395" t="s">
        <v>7032</v>
      </c>
      <c r="AB4395" t="s">
        <v>5351</v>
      </c>
      <c r="AD4395" t="s">
        <v>32204</v>
      </c>
      <c r="AF4395" t="s">
        <v>32206</v>
      </c>
      <c r="AG4395" t="s">
        <v>32207</v>
      </c>
      <c r="AI4395" t="s">
        <v>32208</v>
      </c>
      <c r="AM4395" t="s">
        <v>3181</v>
      </c>
      <c r="AN4395" t="s">
        <v>2094</v>
      </c>
      <c r="AO4395" t="s">
        <v>32209</v>
      </c>
      <c r="AP4395" t="s">
        <v>7024</v>
      </c>
      <c r="AT4395" s="184"/>
      <c r="AW4395" s="184"/>
      <c r="AZ4395" s="184"/>
    </row>
    <row r="4396" spans="1:68">
      <c r="A4396">
        <v>80617970</v>
      </c>
      <c r="B4396">
        <v>80617970</v>
      </c>
      <c r="C4396" t="s">
        <v>7018</v>
      </c>
      <c r="D4396" t="s">
        <v>595</v>
      </c>
      <c r="E4396" s="184">
        <v>45146</v>
      </c>
      <c r="G4396" s="184"/>
      <c r="I4396" s="184"/>
      <c r="K4396" s="184"/>
      <c r="M4396" s="184"/>
      <c r="P4396" t="s">
        <v>7045</v>
      </c>
      <c r="Q4396" t="s">
        <v>7383</v>
      </c>
      <c r="R4396" s="184">
        <v>15554</v>
      </c>
      <c r="S4396">
        <v>81</v>
      </c>
      <c r="V4396" t="s">
        <v>2580</v>
      </c>
      <c r="X4396" t="s">
        <v>3031</v>
      </c>
      <c r="AF4396" t="s">
        <v>32214</v>
      </c>
      <c r="AG4396" t="s">
        <v>2580</v>
      </c>
      <c r="AI4396" t="s">
        <v>32215</v>
      </c>
      <c r="AM4396" t="s">
        <v>2979</v>
      </c>
      <c r="AN4396" t="s">
        <v>2144</v>
      </c>
      <c r="AO4396" t="s">
        <v>32216</v>
      </c>
      <c r="AP4396" t="s">
        <v>7024</v>
      </c>
      <c r="AT4396" s="184">
        <v>41164</v>
      </c>
      <c r="AU4396" t="s">
        <v>32217</v>
      </c>
      <c r="AV4396">
        <v>25</v>
      </c>
      <c r="AW4396" s="184">
        <v>45302</v>
      </c>
      <c r="AX4396" t="s">
        <v>7092</v>
      </c>
      <c r="AY4396">
        <v>25</v>
      </c>
      <c r="AZ4396" s="184">
        <v>44119</v>
      </c>
      <c r="BA4396" t="s">
        <v>10827</v>
      </c>
      <c r="BB4396">
        <v>100</v>
      </c>
      <c r="BC4396">
        <v>85</v>
      </c>
      <c r="BD4396">
        <v>620</v>
      </c>
      <c r="BE4396">
        <v>2013</v>
      </c>
      <c r="BF4396">
        <v>13</v>
      </c>
      <c r="BG4396">
        <v>3</v>
      </c>
      <c r="BH4396">
        <v>110</v>
      </c>
      <c r="BI4396">
        <v>11</v>
      </c>
      <c r="BJ4396">
        <v>13</v>
      </c>
      <c r="BK4396">
        <v>7</v>
      </c>
      <c r="BP4396" s="184"/>
    </row>
    <row r="4397" spans="1:68">
      <c r="A4397">
        <v>80622780</v>
      </c>
      <c r="B4397">
        <v>80622780</v>
      </c>
      <c r="C4397" t="s">
        <v>7018</v>
      </c>
      <c r="E4397" s="184"/>
      <c r="G4397" s="184"/>
      <c r="I4397" s="184"/>
      <c r="K4397" s="184"/>
      <c r="L4397" t="s">
        <v>595</v>
      </c>
      <c r="M4397" s="184">
        <v>43923</v>
      </c>
      <c r="P4397" t="s">
        <v>7045</v>
      </c>
      <c r="Q4397" t="s">
        <v>7383</v>
      </c>
      <c r="R4397" s="184">
        <v>12882</v>
      </c>
      <c r="S4397">
        <v>89</v>
      </c>
      <c r="U4397" t="s">
        <v>7031</v>
      </c>
      <c r="V4397" t="s">
        <v>17278</v>
      </c>
      <c r="W4397" t="s">
        <v>2058</v>
      </c>
      <c r="X4397" t="s">
        <v>32218</v>
      </c>
      <c r="AF4397" t="s">
        <v>32219</v>
      </c>
      <c r="AG4397" t="s">
        <v>17278</v>
      </c>
      <c r="AI4397" t="s">
        <v>32220</v>
      </c>
      <c r="AM4397" t="s">
        <v>19705</v>
      </c>
      <c r="AN4397" t="s">
        <v>2313</v>
      </c>
      <c r="AO4397" t="s">
        <v>32221</v>
      </c>
      <c r="AP4397" t="s">
        <v>7024</v>
      </c>
      <c r="AQ4397" t="s">
        <v>32222</v>
      </c>
      <c r="AT4397" s="184">
        <v>41164</v>
      </c>
      <c r="AU4397" t="s">
        <v>32223</v>
      </c>
      <c r="AV4397">
        <v>50</v>
      </c>
      <c r="AW4397" s="184">
        <v>45412</v>
      </c>
      <c r="AX4397" t="s">
        <v>32224</v>
      </c>
      <c r="AY4397">
        <v>50</v>
      </c>
      <c r="AZ4397" s="184">
        <v>45412</v>
      </c>
      <c r="BA4397" t="s">
        <v>32224</v>
      </c>
      <c r="BB4397">
        <v>50</v>
      </c>
      <c r="BC4397">
        <v>100</v>
      </c>
      <c r="BD4397">
        <v>750</v>
      </c>
      <c r="BE4397">
        <v>2013</v>
      </c>
      <c r="BF4397">
        <v>15</v>
      </c>
      <c r="BG4397">
        <v>3</v>
      </c>
      <c r="BH4397">
        <v>150</v>
      </c>
      <c r="BI4397">
        <v>13</v>
      </c>
      <c r="BJ4397">
        <v>13</v>
      </c>
      <c r="BK4397">
        <v>13</v>
      </c>
      <c r="BP4397" s="184"/>
    </row>
    <row r="4398" spans="1:68">
      <c r="A4398">
        <v>80637978</v>
      </c>
      <c r="B4398">
        <v>80637978</v>
      </c>
      <c r="C4398" t="s">
        <v>7018</v>
      </c>
      <c r="E4398" s="184"/>
      <c r="G4398" s="184"/>
      <c r="I4398" s="184"/>
      <c r="K4398" s="184"/>
      <c r="L4398" t="s">
        <v>595</v>
      </c>
      <c r="M4398" s="184">
        <v>45327</v>
      </c>
      <c r="P4398" t="s">
        <v>7686</v>
      </c>
      <c r="Q4398" t="s">
        <v>7020</v>
      </c>
      <c r="R4398" s="184">
        <v>18775</v>
      </c>
      <c r="S4398">
        <v>72</v>
      </c>
      <c r="T4398" t="s">
        <v>4303</v>
      </c>
      <c r="U4398" t="s">
        <v>7031</v>
      </c>
      <c r="V4398" t="s">
        <v>3922</v>
      </c>
      <c r="W4398" t="s">
        <v>7085</v>
      </c>
      <c r="X4398" t="s">
        <v>32225</v>
      </c>
      <c r="Z4398">
        <v>100150490</v>
      </c>
      <c r="AA4398" t="s">
        <v>7076</v>
      </c>
      <c r="AB4398" t="s">
        <v>3510</v>
      </c>
      <c r="AD4398" t="s">
        <v>32226</v>
      </c>
      <c r="AF4398" t="s">
        <v>32227</v>
      </c>
      <c r="AG4398" t="s">
        <v>32228</v>
      </c>
      <c r="AI4398" t="s">
        <v>32229</v>
      </c>
      <c r="AM4398" t="s">
        <v>32230</v>
      </c>
      <c r="AN4398" t="s">
        <v>2465</v>
      </c>
      <c r="AO4398" t="s">
        <v>32231</v>
      </c>
      <c r="AP4398" t="s">
        <v>7024</v>
      </c>
      <c r="AQ4398" t="s">
        <v>32232</v>
      </c>
      <c r="AR4398" t="s">
        <v>32233</v>
      </c>
      <c r="AT4398" s="184">
        <v>41165</v>
      </c>
      <c r="AU4398" t="s">
        <v>32234</v>
      </c>
      <c r="AV4398">
        <v>200</v>
      </c>
      <c r="AW4398" s="184">
        <v>45348</v>
      </c>
      <c r="AX4398" t="s">
        <v>7749</v>
      </c>
      <c r="AY4398">
        <v>5000</v>
      </c>
      <c r="AZ4398" s="184">
        <v>45348</v>
      </c>
      <c r="BA4398" t="s">
        <v>7749</v>
      </c>
      <c r="BB4398">
        <v>5000</v>
      </c>
      <c r="BC4398">
        <v>70</v>
      </c>
      <c r="BD4398">
        <v>35357.5</v>
      </c>
      <c r="BE4398">
        <v>2013</v>
      </c>
      <c r="BF4398">
        <v>11</v>
      </c>
      <c r="BG4398">
        <v>2</v>
      </c>
      <c r="BH4398">
        <v>6000</v>
      </c>
      <c r="BI4398">
        <v>9</v>
      </c>
      <c r="BJ4398">
        <v>13</v>
      </c>
      <c r="BK4398">
        <v>6</v>
      </c>
      <c r="BP4398" s="184"/>
    </row>
    <row r="4399" spans="1:68">
      <c r="A4399">
        <v>80669179</v>
      </c>
      <c r="B4399">
        <v>80669179</v>
      </c>
      <c r="C4399" t="s">
        <v>7018</v>
      </c>
      <c r="D4399" t="s">
        <v>595</v>
      </c>
      <c r="E4399" s="184">
        <v>44168</v>
      </c>
      <c r="G4399" s="184"/>
      <c r="I4399" s="184"/>
      <c r="K4399" s="184"/>
      <c r="M4399" s="184"/>
      <c r="O4399" s="184"/>
      <c r="P4399" t="s">
        <v>7045</v>
      </c>
      <c r="Q4399" t="s">
        <v>7194</v>
      </c>
      <c r="R4399" s="184">
        <v>19268</v>
      </c>
      <c r="S4399">
        <v>71</v>
      </c>
      <c r="U4399" t="s">
        <v>7032</v>
      </c>
      <c r="V4399" t="s">
        <v>32235</v>
      </c>
      <c r="W4399" t="s">
        <v>8224</v>
      </c>
      <c r="X4399" t="s">
        <v>32236</v>
      </c>
      <c r="AF4399" t="s">
        <v>32237</v>
      </c>
      <c r="AG4399" t="s">
        <v>32235</v>
      </c>
      <c r="AI4399" t="s">
        <v>32238</v>
      </c>
      <c r="AM4399" t="s">
        <v>32239</v>
      </c>
      <c r="AN4399" t="s">
        <v>2046</v>
      </c>
      <c r="AO4399" t="s">
        <v>32240</v>
      </c>
      <c r="AP4399" t="s">
        <v>7024</v>
      </c>
      <c r="AQ4399" t="s">
        <v>32241</v>
      </c>
      <c r="AR4399" t="s">
        <v>32242</v>
      </c>
      <c r="AT4399" s="184">
        <v>41166</v>
      </c>
      <c r="AU4399" t="s">
        <v>32243</v>
      </c>
      <c r="AV4399">
        <v>25</v>
      </c>
      <c r="AW4399" s="184">
        <v>45138</v>
      </c>
      <c r="AX4399" t="s">
        <v>15006</v>
      </c>
      <c r="AY4399">
        <v>120</v>
      </c>
      <c r="AZ4399" s="184">
        <v>45138</v>
      </c>
      <c r="BA4399" t="s">
        <v>15006</v>
      </c>
      <c r="BB4399">
        <v>120</v>
      </c>
      <c r="BC4399">
        <v>70</v>
      </c>
      <c r="BD4399">
        <v>885</v>
      </c>
      <c r="BE4399">
        <v>2013</v>
      </c>
      <c r="BF4399">
        <v>11</v>
      </c>
      <c r="BG4399">
        <v>2</v>
      </c>
      <c r="BH4399">
        <v>240</v>
      </c>
      <c r="BI4399">
        <v>9</v>
      </c>
      <c r="BJ4399">
        <v>13</v>
      </c>
      <c r="BK4399">
        <v>6</v>
      </c>
      <c r="BP4399" s="184"/>
    </row>
    <row r="4400" spans="1:68">
      <c r="A4400">
        <v>80681216</v>
      </c>
      <c r="B4400">
        <v>80681216</v>
      </c>
      <c r="C4400" t="s">
        <v>7018</v>
      </c>
      <c r="E4400" s="184"/>
      <c r="G4400" s="184"/>
      <c r="I4400" s="184"/>
      <c r="K4400" s="184"/>
      <c r="L4400" t="s">
        <v>595</v>
      </c>
      <c r="M4400" s="184">
        <v>44501</v>
      </c>
      <c r="O4400" s="184"/>
      <c r="P4400" t="s">
        <v>7045</v>
      </c>
      <c r="Q4400" t="s">
        <v>7454</v>
      </c>
      <c r="R4400" s="184">
        <v>17168</v>
      </c>
      <c r="S4400">
        <v>77</v>
      </c>
      <c r="U4400" t="s">
        <v>7076</v>
      </c>
      <c r="V4400" t="s">
        <v>26065</v>
      </c>
      <c r="X4400" t="s">
        <v>32244</v>
      </c>
      <c r="AF4400" t="s">
        <v>32245</v>
      </c>
      <c r="AG4400" t="s">
        <v>26065</v>
      </c>
      <c r="AI4400" t="s">
        <v>32246</v>
      </c>
      <c r="AM4400" t="s">
        <v>3958</v>
      </c>
      <c r="AN4400" t="s">
        <v>2055</v>
      </c>
      <c r="AO4400" t="s">
        <v>32247</v>
      </c>
      <c r="AP4400" t="s">
        <v>7024</v>
      </c>
      <c r="AQ4400" t="s">
        <v>32248</v>
      </c>
      <c r="AT4400" s="184">
        <v>41166</v>
      </c>
      <c r="AU4400" t="s">
        <v>32249</v>
      </c>
      <c r="AV4400">
        <v>50</v>
      </c>
      <c r="AW4400" s="184">
        <v>44903</v>
      </c>
      <c r="AX4400" t="s">
        <v>7851</v>
      </c>
      <c r="AY4400">
        <v>200</v>
      </c>
      <c r="AZ4400" s="184">
        <v>44903</v>
      </c>
      <c r="BA4400" t="s">
        <v>7851</v>
      </c>
      <c r="BB4400">
        <v>200</v>
      </c>
      <c r="BC4400">
        <v>85</v>
      </c>
      <c r="BD4400">
        <v>1475</v>
      </c>
      <c r="BE4400">
        <v>2013</v>
      </c>
      <c r="BF4400">
        <v>13</v>
      </c>
      <c r="BG4400">
        <v>1</v>
      </c>
      <c r="BH4400">
        <v>200</v>
      </c>
      <c r="BI4400">
        <v>11</v>
      </c>
      <c r="BJ4400">
        <v>13</v>
      </c>
      <c r="BK4400">
        <v>11</v>
      </c>
      <c r="BN4400" t="s">
        <v>595</v>
      </c>
      <c r="BP4400" s="184"/>
    </row>
    <row r="4401" spans="1:68">
      <c r="A4401">
        <v>80682578</v>
      </c>
      <c r="B4401">
        <v>80682578</v>
      </c>
      <c r="C4401" t="s">
        <v>7018</v>
      </c>
      <c r="E4401" s="184"/>
      <c r="G4401" s="184"/>
      <c r="I4401" s="184"/>
      <c r="K4401" s="184"/>
      <c r="L4401" t="s">
        <v>595</v>
      </c>
      <c r="M4401" s="184">
        <v>44265</v>
      </c>
      <c r="O4401" s="184"/>
      <c r="P4401" t="s">
        <v>7045</v>
      </c>
      <c r="Q4401" t="s">
        <v>7020</v>
      </c>
      <c r="R4401" s="184">
        <v>15676</v>
      </c>
      <c r="S4401">
        <v>81</v>
      </c>
      <c r="U4401" t="s">
        <v>7076</v>
      </c>
      <c r="V4401" t="s">
        <v>3510</v>
      </c>
      <c r="W4401" t="s">
        <v>2049</v>
      </c>
      <c r="X4401" t="s">
        <v>27338</v>
      </c>
      <c r="AF4401" t="s">
        <v>32250</v>
      </c>
      <c r="AG4401" t="s">
        <v>3510</v>
      </c>
      <c r="AI4401" t="s">
        <v>32251</v>
      </c>
      <c r="AM4401" t="s">
        <v>32252</v>
      </c>
      <c r="AN4401" t="s">
        <v>2465</v>
      </c>
      <c r="AO4401" t="s">
        <v>32253</v>
      </c>
      <c r="AP4401" t="s">
        <v>7024</v>
      </c>
      <c r="AQ4401" t="s">
        <v>32254</v>
      </c>
      <c r="AT4401" s="184">
        <v>41166</v>
      </c>
      <c r="AU4401" t="s">
        <v>32211</v>
      </c>
      <c r="AV4401">
        <v>25</v>
      </c>
      <c r="AW4401" s="184">
        <v>45316</v>
      </c>
      <c r="AX4401" t="s">
        <v>7742</v>
      </c>
      <c r="AY4401">
        <v>300</v>
      </c>
      <c r="AZ4401" s="184">
        <v>45316</v>
      </c>
      <c r="BA4401" t="s">
        <v>7742</v>
      </c>
      <c r="BB4401">
        <v>300</v>
      </c>
      <c r="BC4401">
        <v>100</v>
      </c>
      <c r="BD4401">
        <v>1815</v>
      </c>
      <c r="BE4401">
        <v>2013</v>
      </c>
      <c r="BF4401">
        <v>19</v>
      </c>
      <c r="BG4401">
        <v>2</v>
      </c>
      <c r="BH4401">
        <v>600</v>
      </c>
      <c r="BI4401">
        <v>13</v>
      </c>
      <c r="BJ4401">
        <v>13</v>
      </c>
      <c r="BK4401">
        <v>13</v>
      </c>
    </row>
    <row r="4402" spans="1:68">
      <c r="A4402">
        <v>80685977</v>
      </c>
      <c r="B4402">
        <v>80685977</v>
      </c>
      <c r="C4402" t="s">
        <v>7018</v>
      </c>
      <c r="D4402" t="s">
        <v>595</v>
      </c>
      <c r="E4402" s="184">
        <v>44414</v>
      </c>
      <c r="G4402" s="184"/>
      <c r="H4402" t="s">
        <v>595</v>
      </c>
      <c r="I4402" s="184">
        <v>44419</v>
      </c>
      <c r="K4402" s="184"/>
      <c r="M4402" s="184"/>
      <c r="O4402" s="184"/>
      <c r="P4402" t="s">
        <v>7029</v>
      </c>
      <c r="Q4402" t="s">
        <v>7383</v>
      </c>
      <c r="R4402" s="184">
        <v>21064</v>
      </c>
      <c r="S4402">
        <v>66</v>
      </c>
      <c r="V4402" t="s">
        <v>2511</v>
      </c>
      <c r="X4402" t="s">
        <v>5114</v>
      </c>
      <c r="AF4402" t="s">
        <v>32255</v>
      </c>
      <c r="AG4402" t="s">
        <v>2511</v>
      </c>
      <c r="AI4402" t="s">
        <v>32256</v>
      </c>
      <c r="AM4402" t="s">
        <v>5115</v>
      </c>
      <c r="AN4402" t="s">
        <v>2274</v>
      </c>
      <c r="AO4402" t="s">
        <v>32257</v>
      </c>
      <c r="AP4402" t="s">
        <v>7024</v>
      </c>
      <c r="AQ4402" t="s">
        <v>32258</v>
      </c>
      <c r="AR4402" t="s">
        <v>32259</v>
      </c>
      <c r="AT4402" s="184">
        <v>41166</v>
      </c>
      <c r="AU4402" t="s">
        <v>32260</v>
      </c>
      <c r="AV4402">
        <v>50</v>
      </c>
      <c r="AW4402" s="184">
        <v>45225</v>
      </c>
      <c r="AX4402" t="s">
        <v>26606</v>
      </c>
      <c r="AY4402">
        <v>25</v>
      </c>
      <c r="AZ4402" s="184">
        <v>44658</v>
      </c>
      <c r="BA4402" t="s">
        <v>8890</v>
      </c>
      <c r="BB4402">
        <v>500</v>
      </c>
      <c r="BC4402">
        <v>93</v>
      </c>
      <c r="BD4402">
        <v>4745</v>
      </c>
      <c r="BE4402">
        <v>2013</v>
      </c>
      <c r="BF4402">
        <v>45</v>
      </c>
      <c r="BG4402">
        <v>3</v>
      </c>
      <c r="BH4402">
        <v>125</v>
      </c>
      <c r="BI4402">
        <v>12</v>
      </c>
      <c r="BJ4402">
        <v>13</v>
      </c>
      <c r="BK4402">
        <v>12</v>
      </c>
      <c r="BP4402" s="184"/>
    </row>
    <row r="4403" spans="1:68">
      <c r="A4403">
        <v>80715386</v>
      </c>
      <c r="B4403">
        <v>80715386</v>
      </c>
      <c r="C4403" t="s">
        <v>7018</v>
      </c>
      <c r="D4403" t="s">
        <v>595</v>
      </c>
      <c r="E4403" s="184">
        <v>44167</v>
      </c>
      <c r="G4403" s="184"/>
      <c r="I4403" s="184"/>
      <c r="K4403" s="184"/>
      <c r="M4403" s="184"/>
      <c r="O4403" s="184"/>
      <c r="P4403" t="s">
        <v>7045</v>
      </c>
      <c r="Q4403" t="s">
        <v>7374</v>
      </c>
      <c r="R4403" s="184">
        <v>17654</v>
      </c>
      <c r="S4403">
        <v>76</v>
      </c>
      <c r="U4403" t="s">
        <v>7076</v>
      </c>
      <c r="V4403" t="s">
        <v>2903</v>
      </c>
      <c r="X4403" t="s">
        <v>32261</v>
      </c>
      <c r="AF4403" t="s">
        <v>32262</v>
      </c>
      <c r="AG4403" t="s">
        <v>2903</v>
      </c>
      <c r="AI4403" t="s">
        <v>32263</v>
      </c>
      <c r="AM4403" t="s">
        <v>3956</v>
      </c>
      <c r="AN4403" t="s">
        <v>2081</v>
      </c>
      <c r="AO4403" t="s">
        <v>32264</v>
      </c>
      <c r="AP4403" t="s">
        <v>7024</v>
      </c>
      <c r="AQ4403" t="s">
        <v>32265</v>
      </c>
      <c r="AR4403" t="s">
        <v>32266</v>
      </c>
      <c r="AT4403" s="184">
        <v>41169</v>
      </c>
      <c r="AU4403" t="s">
        <v>32267</v>
      </c>
      <c r="AV4403">
        <v>25</v>
      </c>
      <c r="AW4403" s="184">
        <v>45345</v>
      </c>
      <c r="AX4403" t="s">
        <v>13674</v>
      </c>
      <c r="AY4403">
        <v>20</v>
      </c>
      <c r="AZ4403" s="184">
        <v>42535</v>
      </c>
      <c r="BA4403" t="s">
        <v>32268</v>
      </c>
      <c r="BB4403">
        <v>35</v>
      </c>
      <c r="BC4403">
        <v>77</v>
      </c>
      <c r="BD4403">
        <v>415</v>
      </c>
      <c r="BE4403">
        <v>2013</v>
      </c>
      <c r="BF4403">
        <v>15</v>
      </c>
      <c r="BG4403">
        <v>4</v>
      </c>
      <c r="BH4403">
        <v>90</v>
      </c>
      <c r="BI4403">
        <v>10</v>
      </c>
      <c r="BJ4403">
        <v>13</v>
      </c>
      <c r="BK4403">
        <v>5</v>
      </c>
      <c r="BP4403" s="184"/>
    </row>
    <row r="4404" spans="1:68">
      <c r="A4404">
        <v>80722580</v>
      </c>
      <c r="B4404">
        <v>80722580</v>
      </c>
      <c r="C4404" t="s">
        <v>7018</v>
      </c>
      <c r="E4404" s="184"/>
      <c r="F4404" t="s">
        <v>595</v>
      </c>
      <c r="G4404" s="184">
        <v>44073</v>
      </c>
      <c r="I4404" s="184"/>
      <c r="K4404" s="184"/>
      <c r="M4404" s="184"/>
      <c r="O4404" s="184"/>
      <c r="P4404" t="s">
        <v>7045</v>
      </c>
      <c r="Q4404" t="s">
        <v>7030</v>
      </c>
      <c r="R4404" s="184">
        <v>16224</v>
      </c>
      <c r="S4404">
        <v>79</v>
      </c>
      <c r="U4404" t="s">
        <v>7130</v>
      </c>
      <c r="V4404" t="s">
        <v>32269</v>
      </c>
      <c r="X4404" t="s">
        <v>32270</v>
      </c>
      <c r="AF4404" t="s">
        <v>32271</v>
      </c>
      <c r="AG4404" t="s">
        <v>32269</v>
      </c>
      <c r="AI4404" t="s">
        <v>32272</v>
      </c>
      <c r="AM4404" t="s">
        <v>4630</v>
      </c>
      <c r="AN4404" t="s">
        <v>2094</v>
      </c>
      <c r="AO4404" t="s">
        <v>32273</v>
      </c>
      <c r="AP4404" t="s">
        <v>7024</v>
      </c>
      <c r="AT4404" s="184">
        <v>41169</v>
      </c>
      <c r="AU4404" t="s">
        <v>32274</v>
      </c>
      <c r="AV4404">
        <v>20</v>
      </c>
      <c r="AW4404" s="184">
        <v>45378</v>
      </c>
      <c r="AX4404" t="s">
        <v>7648</v>
      </c>
      <c r="AY4404">
        <v>10</v>
      </c>
      <c r="AZ4404" s="184">
        <v>41619</v>
      </c>
      <c r="BA4404" t="s">
        <v>32275</v>
      </c>
      <c r="BB4404">
        <v>60</v>
      </c>
      <c r="BC4404">
        <v>100</v>
      </c>
      <c r="BD4404">
        <v>1155</v>
      </c>
      <c r="BE4404">
        <v>2013</v>
      </c>
      <c r="BF4404">
        <v>75</v>
      </c>
      <c r="BG4404">
        <v>24</v>
      </c>
      <c r="BH4404">
        <v>240</v>
      </c>
      <c r="BI4404">
        <v>13</v>
      </c>
      <c r="BJ4404">
        <v>13</v>
      </c>
      <c r="BK4404">
        <v>13</v>
      </c>
      <c r="BP4404" s="184"/>
    </row>
    <row r="4405" spans="1:68">
      <c r="A4405">
        <v>80776537</v>
      </c>
      <c r="B4405">
        <v>80776537</v>
      </c>
      <c r="C4405" t="s">
        <v>7018</v>
      </c>
      <c r="D4405" t="s">
        <v>595</v>
      </c>
      <c r="E4405" s="184">
        <v>44167</v>
      </c>
      <c r="G4405" s="184"/>
      <c r="I4405" s="184"/>
      <c r="K4405" s="184"/>
      <c r="M4405" s="184"/>
      <c r="O4405" s="184"/>
      <c r="P4405" t="s">
        <v>7045</v>
      </c>
      <c r="Q4405" t="s">
        <v>7030</v>
      </c>
      <c r="R4405" s="184">
        <v>15036</v>
      </c>
      <c r="S4405">
        <v>83</v>
      </c>
      <c r="U4405" t="s">
        <v>7032</v>
      </c>
      <c r="V4405" t="s">
        <v>32276</v>
      </c>
      <c r="W4405" t="s">
        <v>7246</v>
      </c>
      <c r="X4405" t="s">
        <v>4860</v>
      </c>
      <c r="AF4405" t="s">
        <v>32277</v>
      </c>
      <c r="AG4405" t="s">
        <v>32276</v>
      </c>
      <c r="AI4405" t="s">
        <v>32278</v>
      </c>
      <c r="AM4405" t="s">
        <v>4455</v>
      </c>
      <c r="AN4405" t="s">
        <v>2201</v>
      </c>
      <c r="AO4405" t="s">
        <v>32279</v>
      </c>
      <c r="AP4405" t="s">
        <v>7024</v>
      </c>
      <c r="AQ4405" t="s">
        <v>32280</v>
      </c>
      <c r="AT4405" s="184">
        <v>41274</v>
      </c>
      <c r="AU4405" t="s">
        <v>32281</v>
      </c>
      <c r="AV4405">
        <v>35</v>
      </c>
      <c r="AW4405" s="184">
        <v>45408</v>
      </c>
      <c r="AX4405" t="s">
        <v>8271</v>
      </c>
      <c r="AY4405">
        <v>36.75</v>
      </c>
      <c r="AZ4405" s="184">
        <v>45021</v>
      </c>
      <c r="BA4405" t="s">
        <v>32282</v>
      </c>
      <c r="BB4405">
        <v>100</v>
      </c>
      <c r="BC4405">
        <v>100</v>
      </c>
      <c r="BD4405">
        <v>978.5</v>
      </c>
      <c r="BE4405">
        <v>2013</v>
      </c>
      <c r="BF4405">
        <v>26</v>
      </c>
      <c r="BG4405">
        <v>4</v>
      </c>
      <c r="BH4405">
        <v>198.5</v>
      </c>
      <c r="BI4405">
        <v>13</v>
      </c>
      <c r="BJ4405">
        <v>13</v>
      </c>
      <c r="BK4405">
        <v>13</v>
      </c>
      <c r="BP4405" s="184"/>
    </row>
    <row r="4406" spans="1:68">
      <c r="A4406">
        <v>80898943</v>
      </c>
      <c r="B4406">
        <v>80898943</v>
      </c>
      <c r="C4406" t="s">
        <v>7018</v>
      </c>
      <c r="D4406" t="s">
        <v>595</v>
      </c>
      <c r="E4406" s="184">
        <v>44414</v>
      </c>
      <c r="G4406" s="184"/>
      <c r="I4406" s="184"/>
      <c r="K4406" s="184"/>
      <c r="M4406" s="184"/>
      <c r="N4406" t="s">
        <v>595</v>
      </c>
      <c r="O4406" s="184">
        <v>45357</v>
      </c>
      <c r="P4406" t="s">
        <v>7045</v>
      </c>
      <c r="Q4406" t="s">
        <v>7262</v>
      </c>
      <c r="R4406" s="184">
        <v>15271</v>
      </c>
      <c r="S4406">
        <v>82</v>
      </c>
      <c r="U4406" t="s">
        <v>7076</v>
      </c>
      <c r="V4406" t="s">
        <v>2871</v>
      </c>
      <c r="X4406" t="s">
        <v>32283</v>
      </c>
      <c r="Z4406">
        <v>100150698</v>
      </c>
      <c r="AA4406" t="s">
        <v>7076</v>
      </c>
      <c r="AB4406" t="s">
        <v>4210</v>
      </c>
      <c r="AD4406" t="s">
        <v>32284</v>
      </c>
      <c r="AF4406" t="s">
        <v>32285</v>
      </c>
      <c r="AG4406" t="s">
        <v>32286</v>
      </c>
      <c r="AI4406" t="s">
        <v>32287</v>
      </c>
      <c r="AM4406" t="s">
        <v>7283</v>
      </c>
      <c r="AN4406" t="s">
        <v>2106</v>
      </c>
      <c r="AO4406" t="s">
        <v>32288</v>
      </c>
      <c r="AP4406" t="s">
        <v>7024</v>
      </c>
      <c r="AQ4406" t="s">
        <v>32289</v>
      </c>
      <c r="AT4406" s="184">
        <v>41200</v>
      </c>
      <c r="AU4406" t="s">
        <v>32290</v>
      </c>
      <c r="AV4406">
        <v>100</v>
      </c>
      <c r="AW4406" s="184">
        <v>45411</v>
      </c>
      <c r="AX4406" t="s">
        <v>32291</v>
      </c>
      <c r="AY4406">
        <v>250</v>
      </c>
      <c r="AZ4406" s="184">
        <v>45411</v>
      </c>
      <c r="BA4406" t="s">
        <v>32291</v>
      </c>
      <c r="BB4406">
        <v>250</v>
      </c>
      <c r="BC4406">
        <v>100</v>
      </c>
      <c r="BD4406">
        <v>2051</v>
      </c>
      <c r="BE4406">
        <v>2013</v>
      </c>
      <c r="BF4406">
        <v>13</v>
      </c>
      <c r="BG4406">
        <v>2</v>
      </c>
      <c r="BH4406">
        <v>500</v>
      </c>
      <c r="BI4406">
        <v>13</v>
      </c>
      <c r="BJ4406">
        <v>13</v>
      </c>
      <c r="BK4406">
        <v>13</v>
      </c>
    </row>
    <row r="4407" spans="1:68">
      <c r="A4407">
        <v>100150698</v>
      </c>
      <c r="B4407">
        <v>80898943</v>
      </c>
      <c r="C4407" t="s">
        <v>7018</v>
      </c>
      <c r="D4407" t="s">
        <v>595</v>
      </c>
      <c r="E4407" s="184">
        <v>44414</v>
      </c>
      <c r="G4407" s="184"/>
      <c r="I4407" s="184"/>
      <c r="K4407" s="184"/>
      <c r="M4407" s="184"/>
      <c r="N4407" t="s">
        <v>595</v>
      </c>
      <c r="O4407" s="184">
        <v>45357</v>
      </c>
      <c r="P4407" t="s">
        <v>7045</v>
      </c>
      <c r="Q4407" t="s">
        <v>7262</v>
      </c>
      <c r="R4407" s="184">
        <v>14763</v>
      </c>
      <c r="S4407">
        <v>83</v>
      </c>
      <c r="U4407" t="s">
        <v>7076</v>
      </c>
      <c r="V4407" t="s">
        <v>4210</v>
      </c>
      <c r="X4407" t="s">
        <v>32284</v>
      </c>
      <c r="Z4407">
        <v>80898943</v>
      </c>
      <c r="AA4407" t="s">
        <v>7076</v>
      </c>
      <c r="AB4407" t="s">
        <v>2871</v>
      </c>
      <c r="AD4407" t="s">
        <v>32283</v>
      </c>
      <c r="AF4407" t="s">
        <v>32285</v>
      </c>
      <c r="AG4407" t="s">
        <v>32286</v>
      </c>
      <c r="AI4407" t="s">
        <v>32287</v>
      </c>
      <c r="AM4407" t="s">
        <v>7283</v>
      </c>
      <c r="AN4407" t="s">
        <v>2106</v>
      </c>
      <c r="AO4407" t="s">
        <v>32288</v>
      </c>
      <c r="AP4407" t="s">
        <v>7024</v>
      </c>
      <c r="AQ4407" t="s">
        <v>32289</v>
      </c>
      <c r="AT4407" s="184"/>
      <c r="AW4407" s="184"/>
      <c r="AZ4407" s="184"/>
      <c r="BP4407" s="184"/>
    </row>
    <row r="4408" spans="1:68">
      <c r="A4408">
        <v>81086589</v>
      </c>
      <c r="B4408">
        <v>81086589</v>
      </c>
      <c r="C4408" t="s">
        <v>7018</v>
      </c>
      <c r="D4408" t="s">
        <v>595</v>
      </c>
      <c r="E4408" s="184">
        <v>44167</v>
      </c>
      <c r="G4408" s="184"/>
      <c r="I4408" s="184"/>
      <c r="K4408" s="184"/>
      <c r="M4408" s="184"/>
      <c r="O4408" s="184"/>
      <c r="P4408" t="s">
        <v>7045</v>
      </c>
      <c r="Q4408" t="s">
        <v>7374</v>
      </c>
      <c r="R4408" s="184">
        <v>17685</v>
      </c>
      <c r="S4408">
        <v>75</v>
      </c>
      <c r="U4408" t="s">
        <v>7076</v>
      </c>
      <c r="V4408" t="s">
        <v>32292</v>
      </c>
      <c r="W4408" t="s">
        <v>2049</v>
      </c>
      <c r="X4408" t="s">
        <v>2904</v>
      </c>
      <c r="AF4408" t="s">
        <v>32293</v>
      </c>
      <c r="AG4408" t="s">
        <v>32292</v>
      </c>
      <c r="AI4408" t="s">
        <v>32294</v>
      </c>
      <c r="AM4408" t="s">
        <v>5148</v>
      </c>
      <c r="AN4408" t="s">
        <v>2081</v>
      </c>
      <c r="AO4408" t="s">
        <v>32295</v>
      </c>
      <c r="AP4408" t="s">
        <v>7024</v>
      </c>
      <c r="AQ4408" t="s">
        <v>32296</v>
      </c>
      <c r="AT4408" s="184">
        <v>41184</v>
      </c>
      <c r="AU4408" t="s">
        <v>32297</v>
      </c>
      <c r="AV4408">
        <v>25</v>
      </c>
      <c r="AW4408" s="184">
        <v>45337</v>
      </c>
      <c r="AX4408" t="s">
        <v>18397</v>
      </c>
      <c r="AY4408">
        <v>50</v>
      </c>
      <c r="AZ4408" s="184">
        <v>44833</v>
      </c>
      <c r="BA4408" t="s">
        <v>18326</v>
      </c>
      <c r="BB4408">
        <v>60</v>
      </c>
      <c r="BC4408">
        <v>85</v>
      </c>
      <c r="BD4408">
        <v>575</v>
      </c>
      <c r="BE4408">
        <v>2013</v>
      </c>
      <c r="BF4408">
        <v>16</v>
      </c>
      <c r="BG4408">
        <v>4</v>
      </c>
      <c r="BH4408">
        <v>205</v>
      </c>
      <c r="BI4408">
        <v>11</v>
      </c>
      <c r="BJ4408">
        <v>13</v>
      </c>
      <c r="BK4408">
        <v>5</v>
      </c>
      <c r="BP4408" s="184"/>
    </row>
    <row r="4409" spans="1:68">
      <c r="A4409">
        <v>81090615</v>
      </c>
      <c r="B4409">
        <v>81090615</v>
      </c>
      <c r="C4409" t="s">
        <v>7018</v>
      </c>
      <c r="E4409" s="184"/>
      <c r="G4409" s="184"/>
      <c r="I4409" s="184"/>
      <c r="J4409" t="s">
        <v>595</v>
      </c>
      <c r="K4409" s="184">
        <v>41969</v>
      </c>
      <c r="M4409" s="184"/>
      <c r="O4409" s="184"/>
      <c r="P4409" t="s">
        <v>7045</v>
      </c>
      <c r="Q4409" t="s">
        <v>7030</v>
      </c>
      <c r="R4409" s="184">
        <v>24108</v>
      </c>
      <c r="S4409">
        <v>58</v>
      </c>
      <c r="V4409" t="s">
        <v>2832</v>
      </c>
      <c r="X4409" t="s">
        <v>2612</v>
      </c>
      <c r="AF4409" t="s">
        <v>32298</v>
      </c>
      <c r="AG4409" t="s">
        <v>2832</v>
      </c>
      <c r="AI4409" t="s">
        <v>32299</v>
      </c>
      <c r="AM4409" t="s">
        <v>5452</v>
      </c>
      <c r="AN4409" t="s">
        <v>2094</v>
      </c>
      <c r="AO4409" t="s">
        <v>32300</v>
      </c>
      <c r="AP4409" t="s">
        <v>7024</v>
      </c>
      <c r="AQ4409" t="s">
        <v>32301</v>
      </c>
      <c r="AT4409" s="184">
        <v>41184</v>
      </c>
      <c r="AU4409" t="s">
        <v>32302</v>
      </c>
      <c r="AV4409">
        <v>200</v>
      </c>
      <c r="AW4409" s="184">
        <v>43404</v>
      </c>
      <c r="AX4409" t="s">
        <v>32303</v>
      </c>
      <c r="AY4409">
        <v>25</v>
      </c>
      <c r="AZ4409" s="184">
        <v>41184</v>
      </c>
      <c r="BA4409" t="s">
        <v>32302</v>
      </c>
      <c r="BB4409">
        <v>200</v>
      </c>
      <c r="BC4409">
        <v>54</v>
      </c>
      <c r="BD4409">
        <v>1800</v>
      </c>
      <c r="BE4409">
        <v>2013</v>
      </c>
      <c r="BF4409">
        <v>65</v>
      </c>
      <c r="BI4409">
        <v>7</v>
      </c>
      <c r="BJ4409">
        <v>13</v>
      </c>
      <c r="BK4409">
        <v>7</v>
      </c>
      <c r="BP4409" s="184"/>
    </row>
    <row r="4410" spans="1:68">
      <c r="A4410">
        <v>81190779</v>
      </c>
      <c r="B4410">
        <v>81190779</v>
      </c>
      <c r="C4410" t="s">
        <v>7018</v>
      </c>
      <c r="D4410" t="s">
        <v>595</v>
      </c>
      <c r="E4410" s="184">
        <v>43864</v>
      </c>
      <c r="G4410" s="184"/>
      <c r="I4410" s="184"/>
      <c r="K4410" s="184"/>
      <c r="M4410" s="184"/>
      <c r="O4410" s="184"/>
      <c r="P4410" t="s">
        <v>7045</v>
      </c>
      <c r="Q4410" t="s">
        <v>7262</v>
      </c>
      <c r="R4410" s="184">
        <v>21186</v>
      </c>
      <c r="S4410">
        <v>66</v>
      </c>
      <c r="U4410" t="s">
        <v>7130</v>
      </c>
      <c r="V4410" t="s">
        <v>2903</v>
      </c>
      <c r="W4410" t="s">
        <v>8224</v>
      </c>
      <c r="X4410" t="s">
        <v>4184</v>
      </c>
      <c r="AF4410" t="s">
        <v>32304</v>
      </c>
      <c r="AG4410" t="s">
        <v>2903</v>
      </c>
      <c r="AI4410" t="s">
        <v>32305</v>
      </c>
      <c r="AM4410" t="s">
        <v>4706</v>
      </c>
      <c r="AN4410" t="s">
        <v>2069</v>
      </c>
      <c r="AO4410" t="s">
        <v>32306</v>
      </c>
      <c r="AP4410" t="s">
        <v>7024</v>
      </c>
      <c r="AQ4410" t="s">
        <v>32307</v>
      </c>
      <c r="AR4410" t="s">
        <v>32308</v>
      </c>
      <c r="AT4410" s="184">
        <v>41191</v>
      </c>
      <c r="AU4410" t="s">
        <v>32309</v>
      </c>
      <c r="AV4410">
        <v>25</v>
      </c>
      <c r="AW4410" s="184">
        <v>43744</v>
      </c>
      <c r="AX4410" t="s">
        <v>7959</v>
      </c>
      <c r="AY4410">
        <v>35</v>
      </c>
      <c r="AZ4410" s="184">
        <v>43744</v>
      </c>
      <c r="BA4410" t="s">
        <v>7959</v>
      </c>
      <c r="BB4410">
        <v>35</v>
      </c>
      <c r="BC4410">
        <v>54</v>
      </c>
      <c r="BD4410">
        <v>285</v>
      </c>
      <c r="BE4410">
        <v>2013</v>
      </c>
      <c r="BF4410">
        <v>9</v>
      </c>
      <c r="BI4410">
        <v>7</v>
      </c>
      <c r="BJ4410">
        <v>13</v>
      </c>
      <c r="BK4410">
        <v>6</v>
      </c>
      <c r="BP4410" s="184"/>
    </row>
    <row r="4411" spans="1:68">
      <c r="A4411">
        <v>81192981</v>
      </c>
      <c r="B4411">
        <v>81192981</v>
      </c>
      <c r="C4411" t="s">
        <v>7018</v>
      </c>
      <c r="D4411" t="s">
        <v>595</v>
      </c>
      <c r="E4411" s="184">
        <v>45343</v>
      </c>
      <c r="G4411" s="184"/>
      <c r="I4411" s="184"/>
      <c r="K4411" s="184"/>
      <c r="M4411" s="184"/>
      <c r="O4411" s="184"/>
      <c r="P4411" t="s">
        <v>7045</v>
      </c>
      <c r="Q4411" t="s">
        <v>7030</v>
      </c>
      <c r="R4411" s="184">
        <v>20455</v>
      </c>
      <c r="S4411">
        <v>68</v>
      </c>
      <c r="V4411" t="s">
        <v>4602</v>
      </c>
      <c r="W4411" t="s">
        <v>7407</v>
      </c>
      <c r="X4411" t="s">
        <v>32310</v>
      </c>
      <c r="Z4411">
        <v>92220821</v>
      </c>
      <c r="AB4411" t="s">
        <v>3889</v>
      </c>
      <c r="AC4411" t="s">
        <v>2832</v>
      </c>
      <c r="AD4411" t="s">
        <v>32311</v>
      </c>
      <c r="AF4411" t="s">
        <v>32312</v>
      </c>
      <c r="AG4411" t="s">
        <v>32313</v>
      </c>
      <c r="AI4411" t="s">
        <v>32314</v>
      </c>
      <c r="AM4411" t="s">
        <v>16363</v>
      </c>
      <c r="AN4411" t="s">
        <v>2638</v>
      </c>
      <c r="AO4411" t="s">
        <v>32315</v>
      </c>
      <c r="AP4411" t="s">
        <v>7024</v>
      </c>
      <c r="AQ4411" t="s">
        <v>32316</v>
      </c>
      <c r="AT4411" s="184">
        <v>41191</v>
      </c>
      <c r="AU4411" t="s">
        <v>32138</v>
      </c>
      <c r="AV4411">
        <v>25</v>
      </c>
      <c r="AW4411" s="184">
        <v>45313</v>
      </c>
      <c r="AX4411" t="s">
        <v>10848</v>
      </c>
      <c r="AY4411">
        <v>50</v>
      </c>
      <c r="AZ4411" s="184">
        <v>45264</v>
      </c>
      <c r="BA4411" t="s">
        <v>32317</v>
      </c>
      <c r="BB4411">
        <v>150</v>
      </c>
      <c r="BC4411">
        <v>85</v>
      </c>
      <c r="BD4411">
        <v>1410</v>
      </c>
      <c r="BE4411">
        <v>2013</v>
      </c>
      <c r="BF4411">
        <v>15</v>
      </c>
      <c r="BG4411">
        <v>3</v>
      </c>
      <c r="BH4411">
        <v>350</v>
      </c>
      <c r="BI4411">
        <v>11</v>
      </c>
      <c r="BJ4411">
        <v>13</v>
      </c>
      <c r="BK4411">
        <v>8</v>
      </c>
    </row>
    <row r="4412" spans="1:68">
      <c r="A4412">
        <v>92220821</v>
      </c>
      <c r="B4412">
        <v>81192981</v>
      </c>
      <c r="C4412" t="s">
        <v>7018</v>
      </c>
      <c r="D4412" t="s">
        <v>595</v>
      </c>
      <c r="E4412" s="184">
        <v>45343</v>
      </c>
      <c r="G4412" s="184"/>
      <c r="I4412" s="184"/>
      <c r="K4412" s="184"/>
      <c r="M4412" s="184"/>
      <c r="P4412" t="s">
        <v>7045</v>
      </c>
      <c r="Q4412" t="s">
        <v>7030</v>
      </c>
      <c r="R4412" s="184">
        <v>18476</v>
      </c>
      <c r="S4412">
        <v>73</v>
      </c>
      <c r="V4412" t="s">
        <v>3889</v>
      </c>
      <c r="W4412" t="s">
        <v>2832</v>
      </c>
      <c r="X4412" t="s">
        <v>32311</v>
      </c>
      <c r="Z4412">
        <v>81192981</v>
      </c>
      <c r="AB4412" t="s">
        <v>4602</v>
      </c>
      <c r="AC4412" t="s">
        <v>7407</v>
      </c>
      <c r="AD4412" t="s">
        <v>32310</v>
      </c>
      <c r="AF4412" t="s">
        <v>32312</v>
      </c>
      <c r="AG4412" t="s">
        <v>32313</v>
      </c>
      <c r="AI4412" t="s">
        <v>32314</v>
      </c>
      <c r="AM4412" t="s">
        <v>16363</v>
      </c>
      <c r="AN4412" t="s">
        <v>2638</v>
      </c>
      <c r="AO4412" t="s">
        <v>32315</v>
      </c>
      <c r="AP4412" t="s">
        <v>7024</v>
      </c>
      <c r="AQ4412" t="s">
        <v>32318</v>
      </c>
      <c r="AR4412" t="s">
        <v>32319</v>
      </c>
      <c r="AT4412" s="184">
        <v>43519</v>
      </c>
      <c r="AU4412" t="s">
        <v>32320</v>
      </c>
      <c r="AV4412">
        <v>50</v>
      </c>
      <c r="AW4412" s="184">
        <v>44944</v>
      </c>
      <c r="AX4412" t="s">
        <v>32321</v>
      </c>
      <c r="AY4412">
        <v>150</v>
      </c>
      <c r="AZ4412" s="184">
        <v>44944</v>
      </c>
      <c r="BA4412" t="s">
        <v>32321</v>
      </c>
      <c r="BB4412">
        <v>150</v>
      </c>
      <c r="BC4412">
        <v>84</v>
      </c>
      <c r="BD4412">
        <v>750</v>
      </c>
      <c r="BE4412">
        <v>2019</v>
      </c>
      <c r="BF4412">
        <v>11</v>
      </c>
      <c r="BG4412">
        <v>2</v>
      </c>
      <c r="BH4412">
        <v>200</v>
      </c>
      <c r="BI4412">
        <v>5</v>
      </c>
      <c r="BJ4412">
        <v>6</v>
      </c>
      <c r="BK4412">
        <v>5</v>
      </c>
      <c r="BP4412" s="184"/>
    </row>
    <row r="4413" spans="1:68">
      <c r="A4413">
        <v>81226870</v>
      </c>
      <c r="B4413">
        <v>81226870</v>
      </c>
      <c r="C4413" t="s">
        <v>7018</v>
      </c>
      <c r="D4413" t="s">
        <v>595</v>
      </c>
      <c r="E4413" s="184">
        <v>45148</v>
      </c>
      <c r="G4413" s="184"/>
      <c r="I4413" s="184"/>
      <c r="K4413" s="184"/>
      <c r="M4413" s="184"/>
      <c r="O4413" s="184"/>
      <c r="P4413" t="s">
        <v>7045</v>
      </c>
      <c r="Q4413" t="s">
        <v>7383</v>
      </c>
      <c r="R4413" s="184">
        <v>23846</v>
      </c>
      <c r="S4413">
        <v>59</v>
      </c>
      <c r="U4413" t="s">
        <v>7076</v>
      </c>
      <c r="V4413" t="s">
        <v>3565</v>
      </c>
      <c r="X4413" t="s">
        <v>32322</v>
      </c>
      <c r="AF4413" t="s">
        <v>32323</v>
      </c>
      <c r="AG4413" t="s">
        <v>3565</v>
      </c>
      <c r="AI4413" t="s">
        <v>32324</v>
      </c>
      <c r="AM4413" t="s">
        <v>32325</v>
      </c>
      <c r="AN4413" t="s">
        <v>2185</v>
      </c>
      <c r="AO4413" t="s">
        <v>32326</v>
      </c>
      <c r="AP4413" t="s">
        <v>7024</v>
      </c>
      <c r="AQ4413" t="s">
        <v>32327</v>
      </c>
      <c r="AT4413" s="184">
        <v>41380</v>
      </c>
      <c r="AU4413" t="s">
        <v>32328</v>
      </c>
      <c r="AV4413">
        <v>25</v>
      </c>
      <c r="AW4413" s="184">
        <v>45408</v>
      </c>
      <c r="AX4413" t="s">
        <v>8483</v>
      </c>
      <c r="AY4413">
        <v>8</v>
      </c>
      <c r="AZ4413" s="184">
        <v>44187</v>
      </c>
      <c r="BA4413" t="s">
        <v>32329</v>
      </c>
      <c r="BB4413">
        <v>50</v>
      </c>
      <c r="BC4413">
        <v>100</v>
      </c>
      <c r="BD4413">
        <v>796</v>
      </c>
      <c r="BE4413">
        <v>2013</v>
      </c>
      <c r="BF4413">
        <v>64</v>
      </c>
      <c r="BG4413">
        <v>24</v>
      </c>
      <c r="BH4413">
        <v>192</v>
      </c>
      <c r="BI4413">
        <v>12</v>
      </c>
      <c r="BJ4413">
        <v>12</v>
      </c>
      <c r="BK4413">
        <v>12</v>
      </c>
      <c r="BP4413" s="184"/>
    </row>
    <row r="4414" spans="1:68">
      <c r="A4414">
        <v>81226946</v>
      </c>
      <c r="B4414">
        <v>81226946</v>
      </c>
      <c r="C4414" t="s">
        <v>7018</v>
      </c>
      <c r="D4414" t="s">
        <v>595</v>
      </c>
      <c r="E4414" s="184">
        <v>45141</v>
      </c>
      <c r="G4414" s="184"/>
      <c r="I4414" s="184"/>
      <c r="K4414" s="184"/>
      <c r="M4414" s="184"/>
      <c r="P4414" t="s">
        <v>7045</v>
      </c>
      <c r="Q4414" t="s">
        <v>7383</v>
      </c>
      <c r="R4414" s="184">
        <v>21824</v>
      </c>
      <c r="S4414">
        <v>64</v>
      </c>
      <c r="U4414" t="s">
        <v>7130</v>
      </c>
      <c r="V4414" t="s">
        <v>3002</v>
      </c>
      <c r="W4414" t="s">
        <v>7407</v>
      </c>
      <c r="X4414" t="s">
        <v>2977</v>
      </c>
      <c r="AF4414" t="s">
        <v>32330</v>
      </c>
      <c r="AG4414" t="s">
        <v>3002</v>
      </c>
      <c r="AI4414" t="s">
        <v>32331</v>
      </c>
      <c r="AM4414" t="s">
        <v>2703</v>
      </c>
      <c r="AN4414" t="s">
        <v>2064</v>
      </c>
      <c r="AO4414" t="s">
        <v>32332</v>
      </c>
      <c r="AP4414" t="s">
        <v>7024</v>
      </c>
      <c r="AQ4414" t="s">
        <v>32333</v>
      </c>
      <c r="AT4414" s="184">
        <v>41508</v>
      </c>
      <c r="AU4414" t="s">
        <v>32334</v>
      </c>
      <c r="AV4414">
        <v>25</v>
      </c>
      <c r="AW4414" s="184">
        <v>45336</v>
      </c>
      <c r="AX4414" t="s">
        <v>7856</v>
      </c>
      <c r="AY4414">
        <v>35</v>
      </c>
      <c r="AZ4414" s="184">
        <v>43782</v>
      </c>
      <c r="BA4414" t="s">
        <v>32335</v>
      </c>
      <c r="BB4414">
        <v>40</v>
      </c>
      <c r="BC4414">
        <v>50</v>
      </c>
      <c r="BD4414">
        <v>220</v>
      </c>
      <c r="BE4414">
        <v>2014</v>
      </c>
      <c r="BF4414">
        <v>7</v>
      </c>
      <c r="BG4414">
        <v>2</v>
      </c>
      <c r="BH4414">
        <v>70</v>
      </c>
      <c r="BI4414">
        <v>6</v>
      </c>
      <c r="BJ4414">
        <v>12</v>
      </c>
      <c r="BK4414">
        <v>3</v>
      </c>
      <c r="BP4414" s="184"/>
    </row>
    <row r="4415" spans="1:68">
      <c r="A4415">
        <v>81279374</v>
      </c>
      <c r="B4415">
        <v>81279374</v>
      </c>
      <c r="C4415" t="s">
        <v>7018</v>
      </c>
      <c r="D4415" t="s">
        <v>595</v>
      </c>
      <c r="E4415" s="184">
        <v>44328</v>
      </c>
      <c r="G4415" s="184"/>
      <c r="I4415" s="184"/>
      <c r="K4415" s="184"/>
      <c r="O4415" s="184"/>
      <c r="P4415" t="s">
        <v>7084</v>
      </c>
      <c r="Q4415" t="s">
        <v>7383</v>
      </c>
      <c r="R4415" s="184">
        <v>19694</v>
      </c>
      <c r="S4415">
        <v>70</v>
      </c>
      <c r="U4415" t="s">
        <v>7031</v>
      </c>
      <c r="V4415" t="s">
        <v>2697</v>
      </c>
      <c r="W4415" t="s">
        <v>7085</v>
      </c>
      <c r="X4415" t="s">
        <v>4228</v>
      </c>
      <c r="Z4415">
        <v>100151004</v>
      </c>
      <c r="AA4415" t="s">
        <v>7130</v>
      </c>
      <c r="AB4415" t="s">
        <v>21647</v>
      </c>
      <c r="AD4415" t="s">
        <v>4228</v>
      </c>
      <c r="AF4415" t="s">
        <v>32336</v>
      </c>
      <c r="AG4415" t="s">
        <v>32337</v>
      </c>
      <c r="AI4415" t="s">
        <v>32338</v>
      </c>
      <c r="AM4415" t="s">
        <v>9515</v>
      </c>
      <c r="AN4415" t="s">
        <v>2313</v>
      </c>
      <c r="AO4415" t="s">
        <v>32339</v>
      </c>
      <c r="AP4415" t="s">
        <v>7024</v>
      </c>
      <c r="AQ4415" t="s">
        <v>32340</v>
      </c>
      <c r="AT4415" s="184">
        <v>41193</v>
      </c>
      <c r="AU4415" t="s">
        <v>32341</v>
      </c>
      <c r="AV4415">
        <v>1000</v>
      </c>
      <c r="AW4415" s="184">
        <v>45275</v>
      </c>
      <c r="AX4415" t="s">
        <v>7749</v>
      </c>
      <c r="AY4415">
        <v>5000</v>
      </c>
      <c r="AZ4415" s="184">
        <v>43808</v>
      </c>
      <c r="BA4415" t="s">
        <v>32342</v>
      </c>
      <c r="BB4415">
        <v>10000</v>
      </c>
      <c r="BC4415">
        <v>93</v>
      </c>
      <c r="BD4415">
        <v>72250</v>
      </c>
      <c r="BE4415">
        <v>2013</v>
      </c>
      <c r="BF4415">
        <v>20</v>
      </c>
      <c r="BG4415">
        <v>4</v>
      </c>
      <c r="BH4415">
        <v>15000</v>
      </c>
      <c r="BI4415">
        <v>12</v>
      </c>
      <c r="BJ4415">
        <v>13</v>
      </c>
      <c r="BK4415">
        <v>12</v>
      </c>
      <c r="BP4415" s="184"/>
    </row>
    <row r="4416" spans="1:68">
      <c r="A4416">
        <v>100151004</v>
      </c>
      <c r="B4416">
        <v>81279374</v>
      </c>
      <c r="C4416" t="s">
        <v>7018</v>
      </c>
      <c r="D4416" t="s">
        <v>595</v>
      </c>
      <c r="E4416" s="184">
        <v>44328</v>
      </c>
      <c r="G4416" s="184"/>
      <c r="I4416" s="184"/>
      <c r="K4416" s="184"/>
      <c r="M4416" s="184"/>
      <c r="P4416" t="s">
        <v>7084</v>
      </c>
      <c r="Q4416" t="s">
        <v>7383</v>
      </c>
      <c r="R4416" s="184">
        <v>22599</v>
      </c>
      <c r="S4416">
        <v>62</v>
      </c>
      <c r="U4416" t="s">
        <v>7130</v>
      </c>
      <c r="V4416" t="s">
        <v>21647</v>
      </c>
      <c r="X4416" t="s">
        <v>4228</v>
      </c>
      <c r="Z4416">
        <v>81279374</v>
      </c>
      <c r="AA4416" t="s">
        <v>7031</v>
      </c>
      <c r="AB4416" t="s">
        <v>2697</v>
      </c>
      <c r="AC4416" t="s">
        <v>7085</v>
      </c>
      <c r="AD4416" t="s">
        <v>4228</v>
      </c>
      <c r="AF4416" t="s">
        <v>32336</v>
      </c>
      <c r="AG4416" t="s">
        <v>32337</v>
      </c>
      <c r="AI4416" t="s">
        <v>32338</v>
      </c>
      <c r="AM4416" t="s">
        <v>9515</v>
      </c>
      <c r="AN4416" t="s">
        <v>2313</v>
      </c>
      <c r="AO4416" t="s">
        <v>32339</v>
      </c>
      <c r="AP4416" t="s">
        <v>7024</v>
      </c>
      <c r="AT4416" s="184"/>
      <c r="AW4416" s="184"/>
      <c r="AZ4416" s="184"/>
      <c r="BP4416" s="184"/>
    </row>
    <row r="4417" spans="1:68">
      <c r="A4417">
        <v>81313389</v>
      </c>
      <c r="B4417">
        <v>81313389</v>
      </c>
      <c r="C4417" t="s">
        <v>7018</v>
      </c>
      <c r="D4417" t="s">
        <v>595</v>
      </c>
      <c r="E4417" s="184">
        <v>45196</v>
      </c>
      <c r="G4417" s="184"/>
      <c r="I4417" s="184"/>
      <c r="K4417" s="184"/>
      <c r="M4417" s="184"/>
      <c r="P4417" t="s">
        <v>7045</v>
      </c>
      <c r="Q4417" t="s">
        <v>7374</v>
      </c>
      <c r="R4417" s="184">
        <v>15220</v>
      </c>
      <c r="S4417">
        <v>82</v>
      </c>
      <c r="V4417" t="s">
        <v>2832</v>
      </c>
      <c r="X4417" t="s">
        <v>16771</v>
      </c>
      <c r="AF4417" t="s">
        <v>32343</v>
      </c>
      <c r="AG4417" t="s">
        <v>2832</v>
      </c>
      <c r="AI4417" t="s">
        <v>32344</v>
      </c>
      <c r="AM4417" t="s">
        <v>32345</v>
      </c>
      <c r="AN4417" t="s">
        <v>2081</v>
      </c>
      <c r="AO4417" t="s">
        <v>32346</v>
      </c>
      <c r="AP4417" t="s">
        <v>7024</v>
      </c>
      <c r="AQ4417" t="s">
        <v>32347</v>
      </c>
      <c r="AT4417" s="184">
        <v>41197</v>
      </c>
      <c r="AU4417" t="s">
        <v>32348</v>
      </c>
      <c r="AV4417">
        <v>100</v>
      </c>
      <c r="AW4417" s="184">
        <v>45183</v>
      </c>
      <c r="AX4417" t="s">
        <v>32349</v>
      </c>
      <c r="AY4417">
        <v>50</v>
      </c>
      <c r="AZ4417" s="184">
        <v>41709</v>
      </c>
      <c r="BA4417" t="s">
        <v>32350</v>
      </c>
      <c r="BB4417">
        <v>100</v>
      </c>
      <c r="BC4417">
        <v>54</v>
      </c>
      <c r="BD4417">
        <v>645</v>
      </c>
      <c r="BE4417">
        <v>2013</v>
      </c>
      <c r="BF4417">
        <v>12</v>
      </c>
      <c r="BG4417">
        <v>2</v>
      </c>
      <c r="BH4417">
        <v>85</v>
      </c>
      <c r="BI4417">
        <v>7</v>
      </c>
      <c r="BJ4417">
        <v>13</v>
      </c>
      <c r="BK4417">
        <v>4</v>
      </c>
      <c r="BN4417" t="s">
        <v>595</v>
      </c>
    </row>
    <row r="4418" spans="1:68">
      <c r="A4418">
        <v>81329864</v>
      </c>
      <c r="B4418">
        <v>81329864</v>
      </c>
      <c r="C4418" t="s">
        <v>7018</v>
      </c>
      <c r="D4418" t="s">
        <v>595</v>
      </c>
      <c r="E4418" s="184">
        <v>44167</v>
      </c>
      <c r="G4418" s="184"/>
      <c r="I4418" s="184"/>
      <c r="K4418" s="184"/>
      <c r="M4418" s="184"/>
      <c r="O4418" s="184"/>
      <c r="P4418" t="s">
        <v>7045</v>
      </c>
      <c r="Q4418" t="s">
        <v>7160</v>
      </c>
      <c r="R4418" s="184">
        <v>17277</v>
      </c>
      <c r="S4418">
        <v>77</v>
      </c>
      <c r="U4418" t="s">
        <v>7031</v>
      </c>
      <c r="V4418" t="s">
        <v>2821</v>
      </c>
      <c r="X4418" t="s">
        <v>32351</v>
      </c>
      <c r="AF4418" t="s">
        <v>32352</v>
      </c>
      <c r="AG4418" t="s">
        <v>2821</v>
      </c>
      <c r="AI4418" t="s">
        <v>32353</v>
      </c>
      <c r="AM4418" t="s">
        <v>32354</v>
      </c>
      <c r="AN4418" t="s">
        <v>2176</v>
      </c>
      <c r="AO4418" t="s">
        <v>32355</v>
      </c>
      <c r="AP4418" t="s">
        <v>7024</v>
      </c>
      <c r="AQ4418" t="s">
        <v>32356</v>
      </c>
      <c r="AR4418" t="s">
        <v>32357</v>
      </c>
      <c r="AT4418" s="184">
        <v>41198</v>
      </c>
      <c r="AU4418" t="s">
        <v>32223</v>
      </c>
      <c r="AV4418">
        <v>25</v>
      </c>
      <c r="AW4418" s="184">
        <v>45413</v>
      </c>
      <c r="AX4418" t="s">
        <v>9437</v>
      </c>
      <c r="AY4418">
        <v>75</v>
      </c>
      <c r="AZ4418" s="184">
        <v>42570</v>
      </c>
      <c r="BA4418" t="s">
        <v>32358</v>
      </c>
      <c r="BB4418">
        <v>90</v>
      </c>
      <c r="BC4418">
        <v>93</v>
      </c>
      <c r="BD4418">
        <v>1190</v>
      </c>
      <c r="BE4418">
        <v>2013</v>
      </c>
      <c r="BF4418">
        <v>21</v>
      </c>
      <c r="BG4418">
        <v>3</v>
      </c>
      <c r="BH4418">
        <v>225</v>
      </c>
      <c r="BI4418">
        <v>12</v>
      </c>
      <c r="BJ4418">
        <v>13</v>
      </c>
      <c r="BK4418">
        <v>7</v>
      </c>
    </row>
    <row r="4419" spans="1:68">
      <c r="A4419">
        <v>81415259</v>
      </c>
      <c r="B4419">
        <v>81415259</v>
      </c>
      <c r="C4419" t="s">
        <v>7018</v>
      </c>
      <c r="D4419" t="s">
        <v>595</v>
      </c>
      <c r="E4419" s="184">
        <v>45148</v>
      </c>
      <c r="G4419" s="184"/>
      <c r="I4419" s="184"/>
      <c r="K4419" s="184"/>
      <c r="M4419" s="184"/>
      <c r="O4419" s="184"/>
      <c r="P4419" t="s">
        <v>7045</v>
      </c>
      <c r="Q4419" t="s">
        <v>7262</v>
      </c>
      <c r="R4419" s="184">
        <v>15797</v>
      </c>
      <c r="S4419">
        <v>81</v>
      </c>
      <c r="U4419" t="s">
        <v>7032</v>
      </c>
      <c r="V4419" t="s">
        <v>16193</v>
      </c>
      <c r="X4419" t="s">
        <v>3828</v>
      </c>
      <c r="Z4419">
        <v>100151092</v>
      </c>
      <c r="AA4419" t="s">
        <v>7031</v>
      </c>
      <c r="AB4419" t="s">
        <v>4676</v>
      </c>
      <c r="AC4419" t="s">
        <v>2058</v>
      </c>
      <c r="AD4419" t="s">
        <v>32359</v>
      </c>
      <c r="AF4419" t="s">
        <v>32360</v>
      </c>
      <c r="AG4419" t="s">
        <v>32361</v>
      </c>
      <c r="AI4419" t="s">
        <v>32362</v>
      </c>
      <c r="AM4419" t="s">
        <v>2730</v>
      </c>
      <c r="AN4419" t="s">
        <v>2069</v>
      </c>
      <c r="AO4419" t="s">
        <v>32363</v>
      </c>
      <c r="AP4419" t="s">
        <v>7024</v>
      </c>
      <c r="AQ4419" t="s">
        <v>32364</v>
      </c>
      <c r="AT4419" s="184">
        <v>41200</v>
      </c>
      <c r="AU4419" t="s">
        <v>32365</v>
      </c>
      <c r="AV4419">
        <v>25</v>
      </c>
      <c r="AW4419" s="184">
        <v>44908</v>
      </c>
      <c r="AX4419" t="s">
        <v>32366</v>
      </c>
      <c r="AY4419">
        <v>100</v>
      </c>
      <c r="AZ4419" s="184">
        <v>44908</v>
      </c>
      <c r="BA4419" t="s">
        <v>32366</v>
      </c>
      <c r="BB4419">
        <v>100</v>
      </c>
      <c r="BC4419">
        <v>62</v>
      </c>
      <c r="BD4419">
        <v>700</v>
      </c>
      <c r="BE4419">
        <v>2013</v>
      </c>
      <c r="BF4419">
        <v>19</v>
      </c>
      <c r="BG4419">
        <v>1</v>
      </c>
      <c r="BH4419">
        <v>100</v>
      </c>
      <c r="BI4419">
        <v>8</v>
      </c>
      <c r="BJ4419">
        <v>13</v>
      </c>
      <c r="BK4419">
        <v>7</v>
      </c>
      <c r="BP4419" s="184"/>
    </row>
    <row r="4420" spans="1:68">
      <c r="A4420">
        <v>100151092</v>
      </c>
      <c r="B4420">
        <v>81415259</v>
      </c>
      <c r="C4420" t="s">
        <v>7018</v>
      </c>
      <c r="D4420" t="s">
        <v>595</v>
      </c>
      <c r="E4420" s="184">
        <v>45148</v>
      </c>
      <c r="G4420" s="184"/>
      <c r="I4420" s="184"/>
      <c r="K4420" s="184"/>
      <c r="M4420" s="184"/>
      <c r="O4420" s="184"/>
      <c r="P4420" t="s">
        <v>7045</v>
      </c>
      <c r="Q4420" t="s">
        <v>7262</v>
      </c>
      <c r="R4420" s="184">
        <v>17349</v>
      </c>
      <c r="S4420">
        <v>76</v>
      </c>
      <c r="U4420" t="s">
        <v>7031</v>
      </c>
      <c r="V4420" t="s">
        <v>4676</v>
      </c>
      <c r="W4420" t="s">
        <v>2058</v>
      </c>
      <c r="X4420" t="s">
        <v>32359</v>
      </c>
      <c r="Z4420">
        <v>81415259</v>
      </c>
      <c r="AA4420" t="s">
        <v>7032</v>
      </c>
      <c r="AB4420" t="s">
        <v>16193</v>
      </c>
      <c r="AD4420" t="s">
        <v>3828</v>
      </c>
      <c r="AF4420" t="s">
        <v>32360</v>
      </c>
      <c r="AG4420" t="s">
        <v>32361</v>
      </c>
      <c r="AI4420" t="s">
        <v>32362</v>
      </c>
      <c r="AM4420" t="s">
        <v>2730</v>
      </c>
      <c r="AN4420" t="s">
        <v>2069</v>
      </c>
      <c r="AO4420" t="s">
        <v>32363</v>
      </c>
      <c r="AP4420" t="s">
        <v>7024</v>
      </c>
      <c r="AT4420" s="184">
        <v>43864</v>
      </c>
      <c r="AU4420" t="s">
        <v>32367</v>
      </c>
      <c r="AV4420">
        <v>25</v>
      </c>
      <c r="AW4420" s="184">
        <v>44036</v>
      </c>
      <c r="AX4420" t="s">
        <v>32368</v>
      </c>
      <c r="AY4420">
        <v>50</v>
      </c>
      <c r="AZ4420" s="184">
        <v>44036</v>
      </c>
      <c r="BA4420" t="s">
        <v>32368</v>
      </c>
      <c r="BB4420">
        <v>50</v>
      </c>
      <c r="BC4420">
        <v>20</v>
      </c>
      <c r="BD4420">
        <v>75</v>
      </c>
      <c r="BE4420">
        <v>2020</v>
      </c>
      <c r="BF4420">
        <v>2</v>
      </c>
      <c r="BI4420">
        <v>1</v>
      </c>
      <c r="BJ4420">
        <v>5</v>
      </c>
      <c r="BK4420">
        <v>1</v>
      </c>
      <c r="BP4420" s="184"/>
    </row>
    <row r="4421" spans="1:68">
      <c r="A4421">
        <v>81524571</v>
      </c>
      <c r="B4421">
        <v>81524571</v>
      </c>
      <c r="C4421" t="s">
        <v>7018</v>
      </c>
      <c r="E4421" s="184"/>
      <c r="F4421" t="s">
        <v>595</v>
      </c>
      <c r="G4421" s="184">
        <v>44167</v>
      </c>
      <c r="I4421" s="184"/>
      <c r="K4421" s="184"/>
      <c r="M4421" s="184"/>
      <c r="O4421" s="184"/>
      <c r="P4421" t="s">
        <v>7045</v>
      </c>
      <c r="Q4421" t="s">
        <v>7030</v>
      </c>
      <c r="R4421" s="184">
        <v>20972</v>
      </c>
      <c r="S4421">
        <v>66</v>
      </c>
      <c r="U4421" t="s">
        <v>7076</v>
      </c>
      <c r="V4421" t="s">
        <v>3101</v>
      </c>
      <c r="X4421" t="s">
        <v>32369</v>
      </c>
      <c r="AF4421" t="s">
        <v>32370</v>
      </c>
      <c r="AG4421" t="s">
        <v>3101</v>
      </c>
      <c r="AI4421" t="s">
        <v>32371</v>
      </c>
      <c r="AM4421" t="s">
        <v>32372</v>
      </c>
      <c r="AN4421" t="s">
        <v>2094</v>
      </c>
      <c r="AO4421" t="s">
        <v>32373</v>
      </c>
      <c r="AP4421" t="s">
        <v>7024</v>
      </c>
      <c r="AQ4421" t="s">
        <v>32374</v>
      </c>
      <c r="AT4421" s="184">
        <v>41205</v>
      </c>
      <c r="AU4421" t="s">
        <v>32375</v>
      </c>
      <c r="AV4421">
        <v>15</v>
      </c>
      <c r="AW4421" s="184">
        <v>44742</v>
      </c>
      <c r="AX4421" t="s">
        <v>32376</v>
      </c>
      <c r="AY4421">
        <v>10</v>
      </c>
      <c r="AZ4421" s="184">
        <v>43042</v>
      </c>
      <c r="BA4421" t="s">
        <v>8586</v>
      </c>
      <c r="BB4421">
        <v>90</v>
      </c>
      <c r="BC4421">
        <v>62</v>
      </c>
      <c r="BD4421">
        <v>672</v>
      </c>
      <c r="BE4421">
        <v>2013</v>
      </c>
      <c r="BF4421">
        <v>47</v>
      </c>
      <c r="BG4421">
        <v>3</v>
      </c>
      <c r="BH4421">
        <v>30</v>
      </c>
      <c r="BI4421">
        <v>8</v>
      </c>
      <c r="BJ4421">
        <v>13</v>
      </c>
      <c r="BK4421">
        <v>6</v>
      </c>
    </row>
    <row r="4422" spans="1:68">
      <c r="A4422">
        <v>81533903</v>
      </c>
      <c r="B4422">
        <v>81533903</v>
      </c>
      <c r="C4422" t="s">
        <v>7018</v>
      </c>
      <c r="D4422" t="s">
        <v>595</v>
      </c>
      <c r="E4422" s="184">
        <v>45113</v>
      </c>
      <c r="G4422" s="184"/>
      <c r="I4422" s="184"/>
      <c r="K4422" s="184"/>
      <c r="M4422" s="184"/>
      <c r="P4422" t="s">
        <v>7045</v>
      </c>
      <c r="Q4422" t="s">
        <v>7383</v>
      </c>
      <c r="R4422" s="184">
        <v>18233</v>
      </c>
      <c r="S4422">
        <v>74</v>
      </c>
      <c r="V4422" t="s">
        <v>3444</v>
      </c>
      <c r="X4422" t="s">
        <v>32377</v>
      </c>
      <c r="AF4422" t="s">
        <v>32378</v>
      </c>
      <c r="AG4422" t="s">
        <v>3444</v>
      </c>
      <c r="AI4422" t="s">
        <v>32379</v>
      </c>
      <c r="AJ4422" t="s">
        <v>32380</v>
      </c>
      <c r="AM4422" t="s">
        <v>32381</v>
      </c>
      <c r="AN4422" t="s">
        <v>2274</v>
      </c>
      <c r="AO4422" t="s">
        <v>32382</v>
      </c>
      <c r="AP4422" t="s">
        <v>7024</v>
      </c>
      <c r="AQ4422" t="s">
        <v>32383</v>
      </c>
      <c r="AT4422" s="184">
        <v>41206</v>
      </c>
      <c r="AU4422" t="s">
        <v>32384</v>
      </c>
      <c r="AV4422">
        <v>15</v>
      </c>
      <c r="AW4422" s="184">
        <v>43923</v>
      </c>
      <c r="AX4422" t="s">
        <v>11552</v>
      </c>
      <c r="AY4422">
        <v>20</v>
      </c>
      <c r="AZ4422" s="184">
        <v>43480</v>
      </c>
      <c r="BA4422" t="s">
        <v>10445</v>
      </c>
      <c r="BB4422">
        <v>25</v>
      </c>
      <c r="BC4422">
        <v>54</v>
      </c>
      <c r="BD4422">
        <v>130</v>
      </c>
      <c r="BE4422">
        <v>2013</v>
      </c>
      <c r="BF4422">
        <v>7</v>
      </c>
      <c r="BI4422">
        <v>7</v>
      </c>
      <c r="BJ4422">
        <v>13</v>
      </c>
      <c r="BK4422">
        <v>3</v>
      </c>
      <c r="BP4422" s="184"/>
    </row>
    <row r="4423" spans="1:68">
      <c r="A4423">
        <v>81534711</v>
      </c>
      <c r="B4423">
        <v>81534711</v>
      </c>
      <c r="C4423" t="s">
        <v>7018</v>
      </c>
      <c r="D4423" t="s">
        <v>595</v>
      </c>
      <c r="E4423" s="184">
        <v>44167</v>
      </c>
      <c r="G4423" s="184"/>
      <c r="I4423" s="184"/>
      <c r="K4423" s="184"/>
      <c r="M4423" s="184"/>
      <c r="O4423" s="184"/>
      <c r="P4423" t="s">
        <v>7045</v>
      </c>
      <c r="Q4423" t="s">
        <v>7194</v>
      </c>
      <c r="R4423" s="184">
        <v>14483</v>
      </c>
      <c r="S4423">
        <v>84</v>
      </c>
      <c r="U4423" t="s">
        <v>7076</v>
      </c>
      <c r="V4423" t="s">
        <v>2903</v>
      </c>
      <c r="X4423" t="s">
        <v>3414</v>
      </c>
      <c r="AF4423" t="s">
        <v>32385</v>
      </c>
      <c r="AG4423" t="s">
        <v>2903</v>
      </c>
      <c r="AI4423" t="s">
        <v>32386</v>
      </c>
      <c r="AM4423" t="s">
        <v>32387</v>
      </c>
      <c r="AN4423" t="s">
        <v>2046</v>
      </c>
      <c r="AO4423" t="s">
        <v>32388</v>
      </c>
      <c r="AP4423" t="s">
        <v>7024</v>
      </c>
      <c r="AQ4423" t="s">
        <v>32389</v>
      </c>
      <c r="AT4423" s="184">
        <v>41206</v>
      </c>
      <c r="AU4423" t="s">
        <v>32390</v>
      </c>
      <c r="AV4423">
        <v>50</v>
      </c>
      <c r="AW4423" s="184">
        <v>44407</v>
      </c>
      <c r="AX4423" t="s">
        <v>32391</v>
      </c>
      <c r="AY4423">
        <v>50</v>
      </c>
      <c r="AZ4423" s="184">
        <v>43558</v>
      </c>
      <c r="BA4423" t="s">
        <v>23011</v>
      </c>
      <c r="BB4423">
        <v>100</v>
      </c>
      <c r="BC4423">
        <v>62</v>
      </c>
      <c r="BD4423">
        <v>700</v>
      </c>
      <c r="BE4423">
        <v>2013</v>
      </c>
      <c r="BF4423">
        <v>11</v>
      </c>
      <c r="BI4423">
        <v>8</v>
      </c>
      <c r="BJ4423">
        <v>13</v>
      </c>
      <c r="BK4423">
        <v>6</v>
      </c>
    </row>
    <row r="4424" spans="1:68">
      <c r="A4424">
        <v>81541385</v>
      </c>
      <c r="B4424">
        <v>81541385</v>
      </c>
      <c r="C4424" t="s">
        <v>7018</v>
      </c>
      <c r="D4424" t="s">
        <v>595</v>
      </c>
      <c r="E4424" s="184">
        <v>45195</v>
      </c>
      <c r="G4424" s="184"/>
      <c r="I4424" s="184"/>
      <c r="K4424" s="184"/>
      <c r="M4424" s="184"/>
      <c r="O4424" s="184"/>
      <c r="P4424" t="s">
        <v>7045</v>
      </c>
      <c r="Q4424" t="s">
        <v>7383</v>
      </c>
      <c r="R4424" s="184">
        <v>17807</v>
      </c>
      <c r="S4424">
        <v>75</v>
      </c>
      <c r="V4424" t="s">
        <v>2838</v>
      </c>
      <c r="X4424" t="s">
        <v>32392</v>
      </c>
      <c r="AF4424" t="s">
        <v>32393</v>
      </c>
      <c r="AG4424" t="s">
        <v>2838</v>
      </c>
      <c r="AI4424" t="s">
        <v>32394</v>
      </c>
      <c r="AM4424" t="s">
        <v>32395</v>
      </c>
      <c r="AN4424" t="s">
        <v>2185</v>
      </c>
      <c r="AO4424" t="s">
        <v>32396</v>
      </c>
      <c r="AP4424" t="s">
        <v>7024</v>
      </c>
      <c r="AT4424" s="184">
        <v>41206</v>
      </c>
      <c r="AU4424" t="s">
        <v>32397</v>
      </c>
      <c r="AV4424">
        <v>20</v>
      </c>
      <c r="AW4424" s="184">
        <v>44762</v>
      </c>
      <c r="AX4424" t="s">
        <v>32398</v>
      </c>
      <c r="AY4424">
        <v>25</v>
      </c>
      <c r="AZ4424" s="184">
        <v>44762</v>
      </c>
      <c r="BA4424" t="s">
        <v>32398</v>
      </c>
      <c r="BB4424">
        <v>25</v>
      </c>
      <c r="BC4424">
        <v>77</v>
      </c>
      <c r="BD4424">
        <v>390</v>
      </c>
      <c r="BE4424">
        <v>2013</v>
      </c>
      <c r="BF4424">
        <v>25</v>
      </c>
      <c r="BG4424">
        <v>1</v>
      </c>
      <c r="BH4424">
        <v>25</v>
      </c>
      <c r="BI4424">
        <v>10</v>
      </c>
      <c r="BJ4424">
        <v>13</v>
      </c>
      <c r="BK4424">
        <v>8</v>
      </c>
      <c r="BP4424" s="184"/>
    </row>
    <row r="4425" spans="1:68">
      <c r="A4425">
        <v>81576506</v>
      </c>
      <c r="B4425">
        <v>81576506</v>
      </c>
      <c r="C4425" t="s">
        <v>7018</v>
      </c>
      <c r="D4425" t="s">
        <v>595</v>
      </c>
      <c r="E4425" s="184">
        <v>44438</v>
      </c>
      <c r="G4425" s="184"/>
      <c r="I4425" s="184"/>
      <c r="K4425" s="184"/>
      <c r="M4425" s="184"/>
      <c r="O4425" s="184"/>
      <c r="P4425" t="s">
        <v>7045</v>
      </c>
      <c r="Q4425" t="s">
        <v>7160</v>
      </c>
      <c r="R4425" s="184">
        <v>21732</v>
      </c>
      <c r="S4425">
        <v>64</v>
      </c>
      <c r="U4425" t="s">
        <v>7076</v>
      </c>
      <c r="V4425" t="s">
        <v>2903</v>
      </c>
      <c r="X4425" t="s">
        <v>32399</v>
      </c>
      <c r="AF4425" t="s">
        <v>32400</v>
      </c>
      <c r="AG4425" t="s">
        <v>2903</v>
      </c>
      <c r="AI4425" t="s">
        <v>32401</v>
      </c>
      <c r="AM4425" t="s">
        <v>32402</v>
      </c>
      <c r="AN4425" t="s">
        <v>2413</v>
      </c>
      <c r="AO4425" t="s">
        <v>32403</v>
      </c>
      <c r="AP4425" t="s">
        <v>7024</v>
      </c>
      <c r="AQ4425" t="s">
        <v>32404</v>
      </c>
      <c r="AT4425" s="184">
        <v>42665</v>
      </c>
      <c r="AU4425" t="s">
        <v>32405</v>
      </c>
      <c r="AV4425">
        <v>25</v>
      </c>
      <c r="AW4425" s="184">
        <v>45410</v>
      </c>
      <c r="AX4425" t="s">
        <v>10451</v>
      </c>
      <c r="AY4425">
        <v>5</v>
      </c>
      <c r="AZ4425" s="184">
        <v>43571</v>
      </c>
      <c r="BA4425" t="s">
        <v>7959</v>
      </c>
      <c r="BB4425">
        <v>35</v>
      </c>
      <c r="BC4425">
        <v>89</v>
      </c>
      <c r="BD4425">
        <v>385</v>
      </c>
      <c r="BE4425">
        <v>2017</v>
      </c>
      <c r="BF4425">
        <v>61</v>
      </c>
      <c r="BG4425">
        <v>24</v>
      </c>
      <c r="BH4425">
        <v>120</v>
      </c>
      <c r="BI4425">
        <v>8</v>
      </c>
      <c r="BJ4425">
        <v>9</v>
      </c>
      <c r="BK4425">
        <v>7</v>
      </c>
      <c r="BP4425" s="184"/>
    </row>
    <row r="4426" spans="1:68">
      <c r="A4426">
        <v>81585655</v>
      </c>
      <c r="B4426">
        <v>81585655</v>
      </c>
      <c r="C4426" t="s">
        <v>7018</v>
      </c>
      <c r="D4426" t="s">
        <v>595</v>
      </c>
      <c r="E4426" s="184">
        <v>43861</v>
      </c>
      <c r="G4426" s="184"/>
      <c r="I4426" s="184"/>
      <c r="K4426" s="184"/>
      <c r="M4426" s="184"/>
      <c r="O4426" s="184"/>
      <c r="P4426" t="s">
        <v>7045</v>
      </c>
      <c r="Q4426" t="s">
        <v>7160</v>
      </c>
      <c r="R4426" s="184">
        <v>9771</v>
      </c>
      <c r="S4426">
        <v>97</v>
      </c>
      <c r="U4426" t="s">
        <v>7031</v>
      </c>
      <c r="V4426" t="s">
        <v>2635</v>
      </c>
      <c r="X4426" t="s">
        <v>4635</v>
      </c>
      <c r="AF4426" t="s">
        <v>32406</v>
      </c>
      <c r="AG4426" t="s">
        <v>2635</v>
      </c>
      <c r="AI4426" t="s">
        <v>32407</v>
      </c>
      <c r="AM4426" t="s">
        <v>4636</v>
      </c>
      <c r="AN4426" t="s">
        <v>4637</v>
      </c>
      <c r="AO4426" t="s">
        <v>32408</v>
      </c>
      <c r="AP4426" t="s">
        <v>7024</v>
      </c>
      <c r="AQ4426" t="s">
        <v>32409</v>
      </c>
      <c r="AR4426" t="s">
        <v>32410</v>
      </c>
      <c r="AT4426" s="184">
        <v>41270</v>
      </c>
      <c r="AU4426" t="s">
        <v>30507</v>
      </c>
      <c r="AV4426">
        <v>50</v>
      </c>
      <c r="AW4426" s="184">
        <v>44165</v>
      </c>
      <c r="AX4426" t="s">
        <v>16357</v>
      </c>
      <c r="AY4426">
        <v>20</v>
      </c>
      <c r="AZ4426" s="184">
        <v>42699</v>
      </c>
      <c r="BA4426" t="s">
        <v>32411</v>
      </c>
      <c r="BB4426">
        <v>150</v>
      </c>
      <c r="BC4426">
        <v>70</v>
      </c>
      <c r="BD4426">
        <v>4275</v>
      </c>
      <c r="BE4426">
        <v>2013</v>
      </c>
      <c r="BF4426">
        <v>55</v>
      </c>
      <c r="BI4426">
        <v>9</v>
      </c>
      <c r="BJ4426">
        <v>13</v>
      </c>
      <c r="BK4426">
        <v>9</v>
      </c>
    </row>
    <row r="4427" spans="1:68">
      <c r="A4427">
        <v>81624579</v>
      </c>
      <c r="B4427">
        <v>81624579</v>
      </c>
      <c r="C4427" t="s">
        <v>7018</v>
      </c>
      <c r="D4427" t="s">
        <v>595</v>
      </c>
      <c r="E4427" s="184">
        <v>44070</v>
      </c>
      <c r="G4427" s="184"/>
      <c r="I4427" s="184"/>
      <c r="K4427" s="184"/>
      <c r="M4427" s="184"/>
      <c r="O4427" s="184"/>
      <c r="P4427" t="s">
        <v>7045</v>
      </c>
      <c r="Q4427" t="s">
        <v>7383</v>
      </c>
      <c r="R4427" s="184">
        <v>18902</v>
      </c>
      <c r="S4427">
        <v>72</v>
      </c>
      <c r="U4427" t="s">
        <v>7076</v>
      </c>
      <c r="V4427" t="s">
        <v>7290</v>
      </c>
      <c r="X4427" t="s">
        <v>32412</v>
      </c>
      <c r="AF4427" t="s">
        <v>32413</v>
      </c>
      <c r="AG4427" t="s">
        <v>7290</v>
      </c>
      <c r="AI4427" t="s">
        <v>32414</v>
      </c>
      <c r="AM4427" t="s">
        <v>5158</v>
      </c>
      <c r="AN4427" t="s">
        <v>2313</v>
      </c>
      <c r="AO4427" t="s">
        <v>32415</v>
      </c>
      <c r="AP4427" t="s">
        <v>7024</v>
      </c>
      <c r="AQ4427" t="s">
        <v>32416</v>
      </c>
      <c r="AR4427" t="s">
        <v>32417</v>
      </c>
      <c r="AT4427" s="184">
        <v>41208</v>
      </c>
      <c r="AU4427" t="s">
        <v>32397</v>
      </c>
      <c r="AV4427">
        <v>25</v>
      </c>
      <c r="AW4427" s="184">
        <v>45403</v>
      </c>
      <c r="AX4427" t="s">
        <v>7429</v>
      </c>
      <c r="AY4427">
        <v>25</v>
      </c>
      <c r="AZ4427" s="184">
        <v>41554</v>
      </c>
      <c r="BA4427" t="s">
        <v>32418</v>
      </c>
      <c r="BB4427">
        <v>40</v>
      </c>
      <c r="BC4427">
        <v>100</v>
      </c>
      <c r="BD4427">
        <v>2290</v>
      </c>
      <c r="BE4427">
        <v>2013</v>
      </c>
      <c r="BF4427">
        <v>119</v>
      </c>
      <c r="BG4427">
        <v>24</v>
      </c>
      <c r="BH4427">
        <v>600</v>
      </c>
      <c r="BI4427">
        <v>13</v>
      </c>
      <c r="BJ4427">
        <v>13</v>
      </c>
      <c r="BK4427">
        <v>13</v>
      </c>
      <c r="BP4427" s="184"/>
    </row>
    <row r="4428" spans="1:68">
      <c r="A4428">
        <v>81822827</v>
      </c>
      <c r="B4428">
        <v>81822827</v>
      </c>
      <c r="C4428" t="s">
        <v>7018</v>
      </c>
      <c r="D4428" t="s">
        <v>595</v>
      </c>
      <c r="E4428" s="184">
        <v>44065</v>
      </c>
      <c r="G4428" s="184"/>
      <c r="I4428" s="184"/>
      <c r="K4428" s="184"/>
      <c r="M4428" s="184"/>
      <c r="O4428" s="184"/>
      <c r="P4428" t="s">
        <v>7045</v>
      </c>
      <c r="Q4428" t="s">
        <v>7383</v>
      </c>
      <c r="R4428" s="184">
        <v>17622</v>
      </c>
      <c r="S4428">
        <v>76</v>
      </c>
      <c r="U4428" t="s">
        <v>7031</v>
      </c>
      <c r="V4428" t="s">
        <v>2541</v>
      </c>
      <c r="W4428" t="s">
        <v>3332</v>
      </c>
      <c r="X4428" t="s">
        <v>32419</v>
      </c>
      <c r="Y4428" t="s">
        <v>7047</v>
      </c>
      <c r="AF4428" t="s">
        <v>32420</v>
      </c>
      <c r="AG4428" t="s">
        <v>2541</v>
      </c>
      <c r="AI4428" t="s">
        <v>32421</v>
      </c>
      <c r="AM4428" t="s">
        <v>4472</v>
      </c>
      <c r="AN4428" t="s">
        <v>2059</v>
      </c>
      <c r="AO4428" t="s">
        <v>32422</v>
      </c>
      <c r="AP4428" t="s">
        <v>7024</v>
      </c>
      <c r="AQ4428" t="s">
        <v>32423</v>
      </c>
      <c r="AR4428" t="s">
        <v>32424</v>
      </c>
      <c r="AT4428" s="184">
        <v>41222</v>
      </c>
      <c r="AU4428" t="s">
        <v>31573</v>
      </c>
      <c r="AV4428">
        <v>19.97</v>
      </c>
      <c r="AW4428" s="184">
        <v>45426</v>
      </c>
      <c r="AX4428" t="s">
        <v>7422</v>
      </c>
      <c r="AY4428">
        <v>15</v>
      </c>
      <c r="AZ4428" s="184">
        <v>43973</v>
      </c>
      <c r="BA4428" t="s">
        <v>32425</v>
      </c>
      <c r="BB4428">
        <v>105.55</v>
      </c>
      <c r="BC4428">
        <v>100</v>
      </c>
      <c r="BD4428">
        <v>1401.62</v>
      </c>
      <c r="BE4428">
        <v>2013</v>
      </c>
      <c r="BF4428">
        <v>53</v>
      </c>
      <c r="BG4428">
        <v>24</v>
      </c>
      <c r="BH4428">
        <v>360</v>
      </c>
      <c r="BI4428">
        <v>13</v>
      </c>
      <c r="BJ4428">
        <v>13</v>
      </c>
      <c r="BK4428">
        <v>13</v>
      </c>
    </row>
    <row r="4429" spans="1:68">
      <c r="A4429">
        <v>81839987</v>
      </c>
      <c r="B4429">
        <v>81839987</v>
      </c>
      <c r="C4429" t="s">
        <v>7018</v>
      </c>
      <c r="D4429" t="s">
        <v>595</v>
      </c>
      <c r="E4429" s="184">
        <v>45152</v>
      </c>
      <c r="G4429" s="184"/>
      <c r="I4429" s="184"/>
      <c r="K4429" s="184"/>
      <c r="M4429" s="184"/>
      <c r="O4429" s="184"/>
      <c r="P4429" t="s">
        <v>7045</v>
      </c>
      <c r="Q4429" t="s">
        <v>7383</v>
      </c>
      <c r="R4429" s="184">
        <v>18541</v>
      </c>
      <c r="S4429">
        <v>73</v>
      </c>
      <c r="V4429" t="s">
        <v>2871</v>
      </c>
      <c r="X4429" t="s">
        <v>28752</v>
      </c>
      <c r="AF4429" t="s">
        <v>32426</v>
      </c>
      <c r="AG4429" t="s">
        <v>2871</v>
      </c>
      <c r="AI4429" t="s">
        <v>32427</v>
      </c>
      <c r="AM4429" t="s">
        <v>16774</v>
      </c>
      <c r="AN4429" t="s">
        <v>2064</v>
      </c>
      <c r="AO4429" t="s">
        <v>32428</v>
      </c>
      <c r="AP4429" t="s">
        <v>7024</v>
      </c>
      <c r="AT4429" s="184">
        <v>41222</v>
      </c>
      <c r="AU4429" t="s">
        <v>31573</v>
      </c>
      <c r="AV4429">
        <v>19.97</v>
      </c>
      <c r="AW4429" s="184">
        <v>45134</v>
      </c>
      <c r="AX4429" t="s">
        <v>13433</v>
      </c>
      <c r="AY4429">
        <v>25</v>
      </c>
      <c r="AZ4429" s="184">
        <v>45134</v>
      </c>
      <c r="BA4429" t="s">
        <v>13433</v>
      </c>
      <c r="BB4429">
        <v>25</v>
      </c>
      <c r="BC4429">
        <v>31</v>
      </c>
      <c r="BD4429">
        <v>94.97</v>
      </c>
      <c r="BE4429">
        <v>2013</v>
      </c>
      <c r="BF4429">
        <v>4</v>
      </c>
      <c r="BG4429">
        <v>2</v>
      </c>
      <c r="BH4429">
        <v>50</v>
      </c>
      <c r="BI4429">
        <v>4</v>
      </c>
      <c r="BJ4429">
        <v>13</v>
      </c>
      <c r="BK4429">
        <v>2</v>
      </c>
      <c r="BP4429" s="184"/>
    </row>
    <row r="4430" spans="1:68">
      <c r="A4430">
        <v>81889172</v>
      </c>
      <c r="B4430">
        <v>81889172</v>
      </c>
      <c r="C4430" t="s">
        <v>7018</v>
      </c>
      <c r="E4430" s="184"/>
      <c r="G4430" s="184"/>
      <c r="I4430" s="184"/>
      <c r="J4430" t="s">
        <v>595</v>
      </c>
      <c r="K4430" s="184">
        <v>41222</v>
      </c>
      <c r="M4430" s="184"/>
      <c r="O4430" s="184"/>
      <c r="P4430" t="s">
        <v>7084</v>
      </c>
      <c r="Q4430" t="s">
        <v>7383</v>
      </c>
      <c r="R4430" s="184">
        <v>24613</v>
      </c>
      <c r="S4430">
        <v>56</v>
      </c>
      <c r="U4430" t="s">
        <v>7031</v>
      </c>
      <c r="V4430" t="s">
        <v>2832</v>
      </c>
      <c r="W4430" t="s">
        <v>7268</v>
      </c>
      <c r="X4430" t="s">
        <v>32429</v>
      </c>
      <c r="Z4430">
        <v>100177154</v>
      </c>
      <c r="AA4430" t="s">
        <v>7130</v>
      </c>
      <c r="AB4430" t="s">
        <v>3302</v>
      </c>
      <c r="AC4430" t="s">
        <v>2570</v>
      </c>
      <c r="AD4430" t="s">
        <v>32429</v>
      </c>
      <c r="AF4430" t="s">
        <v>32430</v>
      </c>
      <c r="AG4430" t="s">
        <v>32431</v>
      </c>
      <c r="AI4430" t="s">
        <v>32432</v>
      </c>
      <c r="AM4430" t="s">
        <v>3383</v>
      </c>
      <c r="AN4430" t="s">
        <v>2313</v>
      </c>
      <c r="AO4430" t="s">
        <v>32433</v>
      </c>
      <c r="AP4430" t="s">
        <v>7024</v>
      </c>
      <c r="AQ4430" t="s">
        <v>32434</v>
      </c>
      <c r="AT4430" s="184">
        <v>41222</v>
      </c>
      <c r="AU4430" t="s">
        <v>13035</v>
      </c>
      <c r="AV4430">
        <v>2000</v>
      </c>
      <c r="AW4430" s="184">
        <v>45289</v>
      </c>
      <c r="AX4430" t="s">
        <v>32435</v>
      </c>
      <c r="AY4430">
        <v>10000</v>
      </c>
      <c r="AZ4430" s="184">
        <v>43039</v>
      </c>
      <c r="BA4430" t="s">
        <v>32436</v>
      </c>
      <c r="BB4430">
        <v>25000</v>
      </c>
      <c r="BC4430">
        <v>93</v>
      </c>
      <c r="BD4430">
        <v>189100</v>
      </c>
      <c r="BE4430">
        <v>2013</v>
      </c>
      <c r="BF4430">
        <v>19</v>
      </c>
      <c r="BG4430">
        <v>5</v>
      </c>
      <c r="BH4430">
        <v>50100</v>
      </c>
      <c r="BI4430">
        <v>12</v>
      </c>
      <c r="BJ4430">
        <v>13</v>
      </c>
      <c r="BK4430">
        <v>12</v>
      </c>
      <c r="BN4430" t="s">
        <v>595</v>
      </c>
    </row>
    <row r="4431" spans="1:68">
      <c r="A4431">
        <v>82335993</v>
      </c>
      <c r="B4431">
        <v>82335993</v>
      </c>
      <c r="C4431" t="s">
        <v>7018</v>
      </c>
      <c r="D4431" t="s">
        <v>595</v>
      </c>
      <c r="E4431" s="184">
        <v>44167</v>
      </c>
      <c r="G4431" s="184"/>
      <c r="I4431" s="184"/>
      <c r="K4431" s="184"/>
      <c r="O4431" s="184"/>
      <c r="P4431" t="s">
        <v>7045</v>
      </c>
      <c r="Q4431" t="s">
        <v>7194</v>
      </c>
      <c r="R4431" s="184">
        <v>17268</v>
      </c>
      <c r="S4431">
        <v>77</v>
      </c>
      <c r="U4431" t="s">
        <v>7031</v>
      </c>
      <c r="V4431" t="s">
        <v>2635</v>
      </c>
      <c r="X4431" t="s">
        <v>32437</v>
      </c>
      <c r="AF4431" t="s">
        <v>32438</v>
      </c>
      <c r="AG4431" t="s">
        <v>2635</v>
      </c>
      <c r="AI4431" t="s">
        <v>32439</v>
      </c>
      <c r="AM4431" t="s">
        <v>22364</v>
      </c>
      <c r="AN4431" t="s">
        <v>2046</v>
      </c>
      <c r="AO4431" t="s">
        <v>32440</v>
      </c>
      <c r="AP4431" t="s">
        <v>7024</v>
      </c>
      <c r="AQ4431" t="s">
        <v>32441</v>
      </c>
      <c r="AR4431" t="s">
        <v>32442</v>
      </c>
      <c r="AT4431" s="184">
        <v>41222</v>
      </c>
      <c r="AU4431" t="s">
        <v>32443</v>
      </c>
      <c r="AV4431">
        <v>20</v>
      </c>
      <c r="AW4431" s="184">
        <v>45308</v>
      </c>
      <c r="AX4431" t="s">
        <v>25586</v>
      </c>
      <c r="AY4431">
        <v>25</v>
      </c>
      <c r="AZ4431" s="184">
        <v>43494</v>
      </c>
      <c r="BA4431" t="s">
        <v>32444</v>
      </c>
      <c r="BB4431">
        <v>30</v>
      </c>
      <c r="BC4431">
        <v>93</v>
      </c>
      <c r="BD4431">
        <v>350</v>
      </c>
      <c r="BE4431">
        <v>2013</v>
      </c>
      <c r="BF4431">
        <v>14</v>
      </c>
      <c r="BG4431">
        <v>2</v>
      </c>
      <c r="BH4431">
        <v>50</v>
      </c>
      <c r="BI4431">
        <v>12</v>
      </c>
      <c r="BJ4431">
        <v>13</v>
      </c>
      <c r="BK4431">
        <v>10</v>
      </c>
    </row>
    <row r="4432" spans="1:68">
      <c r="A4432">
        <v>82368986</v>
      </c>
      <c r="B4432">
        <v>82368986</v>
      </c>
      <c r="C4432" t="s">
        <v>7018</v>
      </c>
      <c r="E4432" s="184"/>
      <c r="G4432" s="184"/>
      <c r="H4432" t="s">
        <v>595</v>
      </c>
      <c r="I4432" s="184">
        <v>43728</v>
      </c>
      <c r="K4432" s="184"/>
      <c r="M4432" s="184"/>
      <c r="O4432" s="184"/>
      <c r="P4432" t="s">
        <v>7019</v>
      </c>
      <c r="Q4432" t="s">
        <v>7374</v>
      </c>
      <c r="R4432" s="184">
        <v>16650</v>
      </c>
      <c r="S4432">
        <v>78</v>
      </c>
      <c r="V4432" t="s">
        <v>2602</v>
      </c>
      <c r="X4432" t="s">
        <v>3847</v>
      </c>
      <c r="Z4432">
        <v>100298725</v>
      </c>
      <c r="AB4432" t="s">
        <v>2697</v>
      </c>
      <c r="AD4432" t="s">
        <v>5464</v>
      </c>
      <c r="AF4432" t="s">
        <v>32445</v>
      </c>
      <c r="AG4432" t="s">
        <v>32446</v>
      </c>
      <c r="AI4432" t="s">
        <v>32447</v>
      </c>
      <c r="AM4432" t="s">
        <v>32448</v>
      </c>
      <c r="AN4432" t="s">
        <v>2081</v>
      </c>
      <c r="AO4432" t="s">
        <v>32449</v>
      </c>
      <c r="AP4432" t="s">
        <v>7024</v>
      </c>
      <c r="AQ4432" t="s">
        <v>32450</v>
      </c>
      <c r="AT4432" s="184">
        <v>41226</v>
      </c>
      <c r="AU4432" t="s">
        <v>32451</v>
      </c>
      <c r="AV4432">
        <v>50</v>
      </c>
      <c r="AW4432" s="184">
        <v>45315</v>
      </c>
      <c r="AX4432" t="s">
        <v>16416</v>
      </c>
      <c r="AY4432">
        <v>25</v>
      </c>
      <c r="AZ4432" s="184">
        <v>44936</v>
      </c>
      <c r="BA4432" t="s">
        <v>23605</v>
      </c>
      <c r="BB4432">
        <v>60</v>
      </c>
      <c r="BC4432">
        <v>77</v>
      </c>
      <c r="BD4432">
        <v>385</v>
      </c>
      <c r="BE4432">
        <v>2013</v>
      </c>
      <c r="BF4432">
        <v>12</v>
      </c>
      <c r="BG4432">
        <v>2</v>
      </c>
      <c r="BH4432">
        <v>85</v>
      </c>
      <c r="BI4432">
        <v>10</v>
      </c>
      <c r="BJ4432">
        <v>13</v>
      </c>
      <c r="BK4432">
        <v>3</v>
      </c>
    </row>
    <row r="4433" spans="1:68">
      <c r="A4433">
        <v>100298725</v>
      </c>
      <c r="B4433">
        <v>82368986</v>
      </c>
      <c r="C4433" t="s">
        <v>7018</v>
      </c>
      <c r="E4433" s="184"/>
      <c r="G4433" s="184"/>
      <c r="H4433" t="s">
        <v>595</v>
      </c>
      <c r="I4433" s="184">
        <v>43728</v>
      </c>
      <c r="K4433" s="184"/>
      <c r="M4433" s="184"/>
      <c r="O4433" s="184"/>
      <c r="P4433" t="s">
        <v>7019</v>
      </c>
      <c r="Q4433" t="s">
        <v>7374</v>
      </c>
      <c r="R4433" s="184">
        <v>17438</v>
      </c>
      <c r="S4433">
        <v>76</v>
      </c>
      <c r="V4433" t="s">
        <v>2697</v>
      </c>
      <c r="X4433" t="s">
        <v>5464</v>
      </c>
      <c r="Z4433">
        <v>82368986</v>
      </c>
      <c r="AB4433" t="s">
        <v>2602</v>
      </c>
      <c r="AD4433" t="s">
        <v>3847</v>
      </c>
      <c r="AF4433" t="s">
        <v>32445</v>
      </c>
      <c r="AG4433" t="s">
        <v>32446</v>
      </c>
      <c r="AI4433" t="s">
        <v>32447</v>
      </c>
      <c r="AM4433" t="s">
        <v>32448</v>
      </c>
      <c r="AN4433" t="s">
        <v>2081</v>
      </c>
      <c r="AO4433" t="s">
        <v>32449</v>
      </c>
      <c r="AP4433" t="s">
        <v>7024</v>
      </c>
      <c r="AQ4433" t="s">
        <v>32452</v>
      </c>
      <c r="AT4433" s="184"/>
      <c r="AW4433" s="184"/>
      <c r="AZ4433" s="184"/>
    </row>
    <row r="4434" spans="1:68">
      <c r="A4434">
        <v>82497173</v>
      </c>
      <c r="B4434">
        <v>82497173</v>
      </c>
      <c r="C4434" t="s">
        <v>7018</v>
      </c>
      <c r="D4434" t="s">
        <v>595</v>
      </c>
      <c r="E4434" s="184">
        <v>45120</v>
      </c>
      <c r="G4434" s="184"/>
      <c r="I4434" s="184"/>
      <c r="K4434" s="184"/>
      <c r="M4434" s="184"/>
      <c r="O4434" s="184"/>
      <c r="P4434" t="s">
        <v>7045</v>
      </c>
      <c r="Q4434" t="s">
        <v>7494</v>
      </c>
      <c r="R4434" s="184">
        <v>22798</v>
      </c>
      <c r="S4434">
        <v>61</v>
      </c>
      <c r="U4434" t="s">
        <v>7031</v>
      </c>
      <c r="V4434" t="s">
        <v>3283</v>
      </c>
      <c r="X4434" t="s">
        <v>32453</v>
      </c>
      <c r="AF4434" t="s">
        <v>32454</v>
      </c>
      <c r="AG4434" t="s">
        <v>3283</v>
      </c>
      <c r="AI4434" t="s">
        <v>32455</v>
      </c>
      <c r="AM4434" t="s">
        <v>27130</v>
      </c>
      <c r="AN4434" t="s">
        <v>2174</v>
      </c>
      <c r="AO4434" t="s">
        <v>32456</v>
      </c>
      <c r="AP4434" t="s">
        <v>7024</v>
      </c>
      <c r="AQ4434" t="s">
        <v>32457</v>
      </c>
      <c r="AT4434" s="184">
        <v>41227</v>
      </c>
      <c r="AU4434" t="s">
        <v>32458</v>
      </c>
      <c r="AV4434">
        <v>15</v>
      </c>
      <c r="AW4434" s="184">
        <v>44978</v>
      </c>
      <c r="AX4434" t="s">
        <v>32459</v>
      </c>
      <c r="AY4434">
        <v>15</v>
      </c>
      <c r="AZ4434" s="184">
        <v>43810</v>
      </c>
      <c r="BA4434" t="s">
        <v>26944</v>
      </c>
      <c r="BB4434">
        <v>87</v>
      </c>
      <c r="BC4434">
        <v>77</v>
      </c>
      <c r="BD4434">
        <v>872</v>
      </c>
      <c r="BE4434">
        <v>2013</v>
      </c>
      <c r="BF4434">
        <v>36</v>
      </c>
      <c r="BG4434">
        <v>5</v>
      </c>
      <c r="BH4434">
        <v>80</v>
      </c>
      <c r="BI4434">
        <v>10</v>
      </c>
      <c r="BJ4434">
        <v>13</v>
      </c>
      <c r="BK4434">
        <v>9</v>
      </c>
    </row>
    <row r="4435" spans="1:68">
      <c r="A4435">
        <v>82501206</v>
      </c>
      <c r="B4435">
        <v>82501206</v>
      </c>
      <c r="C4435" t="s">
        <v>7018</v>
      </c>
      <c r="E4435" s="184"/>
      <c r="G4435" s="184"/>
      <c r="H4435" t="s">
        <v>595</v>
      </c>
      <c r="I4435" s="184">
        <v>45022</v>
      </c>
      <c r="K4435" s="184"/>
      <c r="M4435" s="184"/>
      <c r="P4435" t="s">
        <v>7045</v>
      </c>
      <c r="Q4435" t="s">
        <v>7030</v>
      </c>
      <c r="R4435" s="184">
        <v>17499</v>
      </c>
      <c r="S4435">
        <v>76</v>
      </c>
      <c r="U4435" t="s">
        <v>7076</v>
      </c>
      <c r="V4435" t="s">
        <v>4330</v>
      </c>
      <c r="X4435" t="s">
        <v>4184</v>
      </c>
      <c r="Z4435">
        <v>100151607</v>
      </c>
      <c r="AB4435" t="s">
        <v>2739</v>
      </c>
      <c r="AD4435" t="s">
        <v>4184</v>
      </c>
      <c r="AF4435" t="s">
        <v>32460</v>
      </c>
      <c r="AG4435" t="s">
        <v>32461</v>
      </c>
      <c r="AI4435" t="s">
        <v>32462</v>
      </c>
      <c r="AM4435" t="s">
        <v>3376</v>
      </c>
      <c r="AN4435" t="s">
        <v>2094</v>
      </c>
      <c r="AO4435" t="s">
        <v>32463</v>
      </c>
      <c r="AP4435" t="s">
        <v>7024</v>
      </c>
      <c r="AQ4435" t="s">
        <v>32464</v>
      </c>
      <c r="AT4435" s="184">
        <v>41227</v>
      </c>
      <c r="AU4435" t="s">
        <v>32465</v>
      </c>
      <c r="AV4435">
        <v>25</v>
      </c>
      <c r="AW4435" s="184">
        <v>45167</v>
      </c>
      <c r="AX4435" t="s">
        <v>29036</v>
      </c>
      <c r="AY4435">
        <v>35</v>
      </c>
      <c r="AZ4435" s="184">
        <v>43067</v>
      </c>
      <c r="BA4435" t="s">
        <v>32466</v>
      </c>
      <c r="BB4435">
        <v>60</v>
      </c>
      <c r="BC4435">
        <v>85</v>
      </c>
      <c r="BD4435">
        <v>530</v>
      </c>
      <c r="BE4435">
        <v>2013</v>
      </c>
      <c r="BF4435">
        <v>17</v>
      </c>
      <c r="BG4435">
        <v>2</v>
      </c>
      <c r="BH4435">
        <v>70</v>
      </c>
      <c r="BI4435">
        <v>11</v>
      </c>
      <c r="BJ4435">
        <v>13</v>
      </c>
      <c r="BK4435">
        <v>7</v>
      </c>
    </row>
    <row r="4436" spans="1:68">
      <c r="A4436">
        <v>100151607</v>
      </c>
      <c r="B4436">
        <v>82501206</v>
      </c>
      <c r="C4436" t="s">
        <v>7018</v>
      </c>
      <c r="E4436" s="184"/>
      <c r="G4436" s="184"/>
      <c r="H4436" t="s">
        <v>595</v>
      </c>
      <c r="I4436" s="184">
        <v>45022</v>
      </c>
      <c r="K4436" s="184"/>
      <c r="M4436" s="184"/>
      <c r="O4436" s="184"/>
      <c r="P4436" t="s">
        <v>7045</v>
      </c>
      <c r="Q4436" t="s">
        <v>7030</v>
      </c>
      <c r="R4436" s="184">
        <v>17458</v>
      </c>
      <c r="S4436">
        <v>76</v>
      </c>
      <c r="V4436" t="s">
        <v>2739</v>
      </c>
      <c r="X4436" t="s">
        <v>4184</v>
      </c>
      <c r="Z4436">
        <v>82501206</v>
      </c>
      <c r="AA4436" t="s">
        <v>7076</v>
      </c>
      <c r="AB4436" t="s">
        <v>4330</v>
      </c>
      <c r="AD4436" t="s">
        <v>4184</v>
      </c>
      <c r="AF4436" t="s">
        <v>32460</v>
      </c>
      <c r="AG4436" t="s">
        <v>32461</v>
      </c>
      <c r="AI4436" t="s">
        <v>32462</v>
      </c>
      <c r="AM4436" t="s">
        <v>3376</v>
      </c>
      <c r="AN4436" t="s">
        <v>2094</v>
      </c>
      <c r="AO4436" t="s">
        <v>32463</v>
      </c>
      <c r="AP4436" t="s">
        <v>7024</v>
      </c>
      <c r="AT4436" s="184"/>
      <c r="AW4436" s="184"/>
      <c r="AZ4436" s="184"/>
    </row>
    <row r="4437" spans="1:68">
      <c r="A4437">
        <v>82661596</v>
      </c>
      <c r="B4437">
        <v>82661596</v>
      </c>
      <c r="C4437" t="s">
        <v>7018</v>
      </c>
      <c r="D4437" t="s">
        <v>595</v>
      </c>
      <c r="E4437" s="184">
        <v>45148</v>
      </c>
      <c r="G4437" s="184"/>
      <c r="I4437" s="184"/>
      <c r="K4437" s="184"/>
      <c r="M4437" s="184"/>
      <c r="O4437" s="184"/>
      <c r="P4437" t="s">
        <v>7045</v>
      </c>
      <c r="Q4437" t="s">
        <v>7383</v>
      </c>
      <c r="R4437" s="184">
        <v>18323</v>
      </c>
      <c r="S4437">
        <v>74</v>
      </c>
      <c r="V4437" t="s">
        <v>8798</v>
      </c>
      <c r="X4437" t="s">
        <v>32467</v>
      </c>
      <c r="AF4437" t="s">
        <v>32468</v>
      </c>
      <c r="AG4437" t="s">
        <v>8798</v>
      </c>
      <c r="AI4437" t="s">
        <v>32469</v>
      </c>
      <c r="AM4437" t="s">
        <v>3292</v>
      </c>
      <c r="AN4437" t="s">
        <v>2144</v>
      </c>
      <c r="AO4437" t="s">
        <v>32470</v>
      </c>
      <c r="AP4437" t="s">
        <v>7024</v>
      </c>
      <c r="AT4437" s="184">
        <v>41229</v>
      </c>
      <c r="AU4437" t="s">
        <v>31573</v>
      </c>
      <c r="AV4437">
        <v>19.97</v>
      </c>
      <c r="AW4437" s="184">
        <v>43724</v>
      </c>
      <c r="AX4437" t="s">
        <v>32471</v>
      </c>
      <c r="AY4437">
        <v>25</v>
      </c>
      <c r="AZ4437" s="184">
        <v>43724</v>
      </c>
      <c r="BA4437" t="s">
        <v>32471</v>
      </c>
      <c r="BB4437">
        <v>25</v>
      </c>
      <c r="BC4437">
        <v>47</v>
      </c>
      <c r="BD4437">
        <v>129.94</v>
      </c>
      <c r="BE4437">
        <v>2013</v>
      </c>
      <c r="BF4437">
        <v>6</v>
      </c>
      <c r="BI4437">
        <v>6</v>
      </c>
      <c r="BJ4437">
        <v>13</v>
      </c>
      <c r="BK4437">
        <v>4</v>
      </c>
      <c r="BP4437" s="184"/>
    </row>
    <row r="4438" spans="1:68">
      <c r="A4438">
        <v>82685678</v>
      </c>
      <c r="B4438">
        <v>82685678</v>
      </c>
      <c r="C4438" t="s">
        <v>7018</v>
      </c>
      <c r="E4438" s="184"/>
      <c r="F4438" t="s">
        <v>595</v>
      </c>
      <c r="G4438" s="184">
        <v>44073</v>
      </c>
      <c r="I4438" s="184"/>
      <c r="K4438" s="184"/>
      <c r="M4438" s="184"/>
      <c r="O4438" s="184"/>
      <c r="P4438" t="s">
        <v>7045</v>
      </c>
      <c r="Q4438" t="s">
        <v>7262</v>
      </c>
      <c r="R4438" s="184">
        <v>16154</v>
      </c>
      <c r="S4438">
        <v>80</v>
      </c>
      <c r="V4438" t="s">
        <v>32472</v>
      </c>
      <c r="X4438" t="s">
        <v>32473</v>
      </c>
      <c r="AF4438" t="s">
        <v>32474</v>
      </c>
      <c r="AG4438" t="s">
        <v>32472</v>
      </c>
      <c r="AI4438" t="s">
        <v>32475</v>
      </c>
      <c r="AM4438" t="s">
        <v>32476</v>
      </c>
      <c r="AN4438" t="s">
        <v>2106</v>
      </c>
      <c r="AO4438" t="s">
        <v>32477</v>
      </c>
      <c r="AP4438" t="s">
        <v>7024</v>
      </c>
      <c r="AQ4438" t="s">
        <v>32478</v>
      </c>
      <c r="AR4438" t="s">
        <v>32479</v>
      </c>
      <c r="AT4438" s="184">
        <v>41229</v>
      </c>
      <c r="AU4438" t="s">
        <v>31573</v>
      </c>
      <c r="AV4438">
        <v>19.97</v>
      </c>
      <c r="AW4438" s="184">
        <v>45020</v>
      </c>
      <c r="AX4438" t="s">
        <v>32480</v>
      </c>
      <c r="AY4438">
        <v>15</v>
      </c>
      <c r="AZ4438" s="184">
        <v>41438</v>
      </c>
      <c r="BA4438" t="s">
        <v>32481</v>
      </c>
      <c r="BB4438">
        <v>30</v>
      </c>
      <c r="BC4438">
        <v>77</v>
      </c>
      <c r="BD4438">
        <v>419.97</v>
      </c>
      <c r="BE4438">
        <v>2013</v>
      </c>
      <c r="BF4438">
        <v>18</v>
      </c>
      <c r="BG4438">
        <v>2</v>
      </c>
      <c r="BH4438">
        <v>30</v>
      </c>
      <c r="BI4438">
        <v>10</v>
      </c>
      <c r="BJ4438">
        <v>13</v>
      </c>
      <c r="BK4438">
        <v>8</v>
      </c>
      <c r="BP4438" s="184"/>
    </row>
    <row r="4439" spans="1:68">
      <c r="A4439">
        <v>82721176</v>
      </c>
      <c r="B4439">
        <v>82721176</v>
      </c>
      <c r="C4439" t="s">
        <v>7018</v>
      </c>
      <c r="D4439" t="s">
        <v>595</v>
      </c>
      <c r="E4439" s="184">
        <v>44167</v>
      </c>
      <c r="G4439" s="184"/>
      <c r="I4439" s="184"/>
      <c r="K4439" s="184"/>
      <c r="M4439" s="184"/>
      <c r="O4439" s="184"/>
      <c r="P4439" t="s">
        <v>7045</v>
      </c>
      <c r="Q4439" t="s">
        <v>7160</v>
      </c>
      <c r="R4439" s="184">
        <v>15125</v>
      </c>
      <c r="S4439">
        <v>82</v>
      </c>
      <c r="V4439" t="s">
        <v>2898</v>
      </c>
      <c r="W4439" t="s">
        <v>2049</v>
      </c>
      <c r="X4439" t="s">
        <v>3706</v>
      </c>
      <c r="AF4439" t="s">
        <v>32482</v>
      </c>
      <c r="AG4439" t="s">
        <v>2898</v>
      </c>
      <c r="AI4439" t="s">
        <v>32483</v>
      </c>
      <c r="AM4439" t="s">
        <v>30983</v>
      </c>
      <c r="AN4439" t="s">
        <v>2176</v>
      </c>
      <c r="AO4439" t="s">
        <v>32484</v>
      </c>
      <c r="AP4439" t="s">
        <v>7024</v>
      </c>
      <c r="AQ4439" t="s">
        <v>32485</v>
      </c>
      <c r="AT4439" s="184">
        <v>41229</v>
      </c>
      <c r="AU4439" t="s">
        <v>32486</v>
      </c>
      <c r="AV4439">
        <v>25</v>
      </c>
      <c r="AW4439" s="184">
        <v>45058</v>
      </c>
      <c r="AX4439" t="s">
        <v>32487</v>
      </c>
      <c r="AY4439">
        <v>75</v>
      </c>
      <c r="AZ4439" s="184">
        <v>42681</v>
      </c>
      <c r="BA4439" t="s">
        <v>32488</v>
      </c>
      <c r="BB4439">
        <v>90</v>
      </c>
      <c r="BC4439">
        <v>93</v>
      </c>
      <c r="BD4439">
        <v>827</v>
      </c>
      <c r="BE4439">
        <v>2013</v>
      </c>
      <c r="BF4439">
        <v>15</v>
      </c>
      <c r="BG4439">
        <v>2</v>
      </c>
      <c r="BH4439">
        <v>125</v>
      </c>
      <c r="BI4439">
        <v>12</v>
      </c>
      <c r="BJ4439">
        <v>13</v>
      </c>
      <c r="BK4439">
        <v>12</v>
      </c>
      <c r="BP4439" s="184"/>
    </row>
    <row r="4440" spans="1:68">
      <c r="A4440">
        <v>82937400</v>
      </c>
      <c r="B4440">
        <v>82937400</v>
      </c>
      <c r="C4440" t="s">
        <v>7018</v>
      </c>
      <c r="D4440" t="s">
        <v>595</v>
      </c>
      <c r="E4440" s="184">
        <v>45125</v>
      </c>
      <c r="G4440" s="184"/>
      <c r="I4440" s="184"/>
      <c r="K4440" s="184"/>
      <c r="M4440" s="184"/>
      <c r="O4440" s="184"/>
      <c r="P4440" t="s">
        <v>7045</v>
      </c>
      <c r="Q4440" t="s">
        <v>7194</v>
      </c>
      <c r="R4440" s="184">
        <v>15158</v>
      </c>
      <c r="S4440">
        <v>82</v>
      </c>
      <c r="U4440" t="s">
        <v>7032</v>
      </c>
      <c r="V4440" t="s">
        <v>17278</v>
      </c>
      <c r="X4440" t="s">
        <v>32489</v>
      </c>
      <c r="AF4440" t="s">
        <v>32490</v>
      </c>
      <c r="AG4440" t="s">
        <v>17278</v>
      </c>
      <c r="AI4440" t="s">
        <v>32491</v>
      </c>
      <c r="AM4440" t="s">
        <v>11015</v>
      </c>
      <c r="AN4440" t="s">
        <v>2046</v>
      </c>
      <c r="AO4440" t="s">
        <v>32492</v>
      </c>
      <c r="AP4440" t="s">
        <v>7024</v>
      </c>
      <c r="AQ4440" t="s">
        <v>32493</v>
      </c>
      <c r="AR4440" t="s">
        <v>32494</v>
      </c>
      <c r="AT4440" s="184">
        <v>42921</v>
      </c>
      <c r="AU4440" t="s">
        <v>32495</v>
      </c>
      <c r="AV4440">
        <v>15</v>
      </c>
      <c r="AW4440" s="184">
        <v>45201</v>
      </c>
      <c r="AX4440" t="s">
        <v>32496</v>
      </c>
      <c r="AY4440">
        <v>25</v>
      </c>
      <c r="AZ4440" s="184">
        <v>45201</v>
      </c>
      <c r="BA4440" t="s">
        <v>32496</v>
      </c>
      <c r="BB4440">
        <v>25</v>
      </c>
      <c r="BC4440">
        <v>75</v>
      </c>
      <c r="BD4440">
        <v>155</v>
      </c>
      <c r="BE4440">
        <v>2018</v>
      </c>
      <c r="BF4440">
        <v>7</v>
      </c>
      <c r="BG4440">
        <v>2</v>
      </c>
      <c r="BH4440">
        <v>50</v>
      </c>
      <c r="BI4440">
        <v>6</v>
      </c>
      <c r="BJ4440">
        <v>8</v>
      </c>
      <c r="BK4440">
        <v>3</v>
      </c>
      <c r="BP4440" s="184"/>
    </row>
    <row r="4441" spans="1:68">
      <c r="A4441">
        <v>83105270</v>
      </c>
      <c r="B4441">
        <v>83105270</v>
      </c>
      <c r="C4441" t="s">
        <v>7018</v>
      </c>
      <c r="D4441" t="s">
        <v>595</v>
      </c>
      <c r="E4441" s="184">
        <v>44414</v>
      </c>
      <c r="G4441" s="184"/>
      <c r="I4441" s="184"/>
      <c r="K4441" s="184"/>
      <c r="M4441" s="184"/>
      <c r="O4441" s="184"/>
      <c r="P4441" t="s">
        <v>7045</v>
      </c>
      <c r="Q4441" t="s">
        <v>7020</v>
      </c>
      <c r="R4441" s="184">
        <v>17715</v>
      </c>
      <c r="S4441">
        <v>75</v>
      </c>
      <c r="U4441" t="s">
        <v>7032</v>
      </c>
      <c r="V4441" t="s">
        <v>11364</v>
      </c>
      <c r="X4441" t="s">
        <v>32497</v>
      </c>
      <c r="Z4441">
        <v>100151757</v>
      </c>
      <c r="AB4441" t="s">
        <v>3689</v>
      </c>
      <c r="AD4441" t="s">
        <v>32497</v>
      </c>
      <c r="AF4441" t="s">
        <v>32498</v>
      </c>
      <c r="AG4441" t="s">
        <v>32499</v>
      </c>
      <c r="AI4441" t="s">
        <v>32500</v>
      </c>
      <c r="AM4441" t="s">
        <v>3146</v>
      </c>
      <c r="AN4441" t="s">
        <v>2112</v>
      </c>
      <c r="AO4441" t="s">
        <v>32501</v>
      </c>
      <c r="AP4441" t="s">
        <v>7024</v>
      </c>
      <c r="AQ4441" t="s">
        <v>32502</v>
      </c>
      <c r="AR4441" t="s">
        <v>32503</v>
      </c>
      <c r="AT4441" s="184">
        <v>42223</v>
      </c>
      <c r="AU4441" t="s">
        <v>32504</v>
      </c>
      <c r="AV4441">
        <v>20</v>
      </c>
      <c r="AW4441" s="184">
        <v>45291</v>
      </c>
      <c r="AX4441" t="s">
        <v>13134</v>
      </c>
      <c r="AY4441">
        <v>50</v>
      </c>
      <c r="AZ4441" s="184">
        <v>45291</v>
      </c>
      <c r="BA4441" t="s">
        <v>13134</v>
      </c>
      <c r="BB4441">
        <v>50</v>
      </c>
      <c r="BC4441">
        <v>70</v>
      </c>
      <c r="BD4441">
        <v>320</v>
      </c>
      <c r="BE4441">
        <v>2016</v>
      </c>
      <c r="BF4441">
        <v>9</v>
      </c>
      <c r="BG4441">
        <v>2</v>
      </c>
      <c r="BH4441">
        <v>100</v>
      </c>
      <c r="BI4441">
        <v>7</v>
      </c>
      <c r="BJ4441">
        <v>10</v>
      </c>
      <c r="BK4441">
        <v>3</v>
      </c>
      <c r="BN4441" t="s">
        <v>595</v>
      </c>
      <c r="BP4441" s="184"/>
    </row>
    <row r="4442" spans="1:68">
      <c r="A4442">
        <v>100151757</v>
      </c>
      <c r="B4442">
        <v>83105270</v>
      </c>
      <c r="C4442" t="s">
        <v>7018</v>
      </c>
      <c r="D4442" t="s">
        <v>595</v>
      </c>
      <c r="E4442" s="184">
        <v>44414</v>
      </c>
      <c r="G4442" s="184"/>
      <c r="I4442" s="184"/>
      <c r="K4442" s="184"/>
      <c r="M4442" s="184"/>
      <c r="P4442" t="s">
        <v>7045</v>
      </c>
      <c r="Q4442" t="s">
        <v>7020</v>
      </c>
      <c r="R4442" s="184">
        <v>17715</v>
      </c>
      <c r="S4442">
        <v>75</v>
      </c>
      <c r="V4442" t="s">
        <v>3689</v>
      </c>
      <c r="X4442" t="s">
        <v>32497</v>
      </c>
      <c r="Z4442">
        <v>83105270</v>
      </c>
      <c r="AA4442" t="s">
        <v>7032</v>
      </c>
      <c r="AB4442" t="s">
        <v>11364</v>
      </c>
      <c r="AD4442" t="s">
        <v>32497</v>
      </c>
      <c r="AF4442" t="s">
        <v>32498</v>
      </c>
      <c r="AG4442" t="s">
        <v>32499</v>
      </c>
      <c r="AI4442" t="s">
        <v>32500</v>
      </c>
      <c r="AM4442" t="s">
        <v>3146</v>
      </c>
      <c r="AN4442" t="s">
        <v>2112</v>
      </c>
      <c r="AO4442" t="s">
        <v>32501</v>
      </c>
      <c r="AP4442" t="s">
        <v>7024</v>
      </c>
      <c r="AT4442" s="184"/>
      <c r="AW4442" s="184"/>
      <c r="AZ4442" s="184"/>
      <c r="BP4442" s="184"/>
    </row>
    <row r="4443" spans="1:68">
      <c r="A4443">
        <v>83349571</v>
      </c>
      <c r="B4443">
        <v>83349571</v>
      </c>
      <c r="C4443" t="s">
        <v>7018</v>
      </c>
      <c r="D4443" t="s">
        <v>595</v>
      </c>
      <c r="E4443" s="184">
        <v>44441</v>
      </c>
      <c r="G4443" s="184"/>
      <c r="I4443" s="184"/>
      <c r="K4443" s="184"/>
      <c r="M4443" s="184"/>
      <c r="O4443" s="184"/>
      <c r="P4443" t="s">
        <v>7045</v>
      </c>
      <c r="Q4443" t="s">
        <v>7383</v>
      </c>
      <c r="R4443" s="184">
        <v>17211</v>
      </c>
      <c r="S4443">
        <v>77</v>
      </c>
      <c r="V4443" t="s">
        <v>2871</v>
      </c>
      <c r="X4443" t="s">
        <v>32505</v>
      </c>
      <c r="AF4443" t="s">
        <v>32506</v>
      </c>
      <c r="AG4443" t="s">
        <v>2871</v>
      </c>
      <c r="AI4443" t="s">
        <v>32507</v>
      </c>
      <c r="AM4443" t="s">
        <v>32508</v>
      </c>
      <c r="AN4443" t="s">
        <v>2064</v>
      </c>
      <c r="AO4443" t="s">
        <v>32509</v>
      </c>
      <c r="AP4443" t="s">
        <v>7024</v>
      </c>
      <c r="AQ4443" t="s">
        <v>32510</v>
      </c>
      <c r="AT4443" s="184">
        <v>41229</v>
      </c>
      <c r="AU4443" t="s">
        <v>31573</v>
      </c>
      <c r="AV4443">
        <v>19.97</v>
      </c>
      <c r="AW4443" s="184">
        <v>45206</v>
      </c>
      <c r="AX4443" t="s">
        <v>22836</v>
      </c>
      <c r="AY4443">
        <v>65</v>
      </c>
      <c r="AZ4443" s="184">
        <v>45206</v>
      </c>
      <c r="BA4443" t="s">
        <v>22836</v>
      </c>
      <c r="BB4443">
        <v>65</v>
      </c>
      <c r="BC4443">
        <v>77</v>
      </c>
      <c r="BD4443">
        <v>599.97</v>
      </c>
      <c r="BE4443">
        <v>2013</v>
      </c>
      <c r="BF4443">
        <v>10</v>
      </c>
      <c r="BG4443">
        <v>2</v>
      </c>
      <c r="BH4443">
        <v>130</v>
      </c>
      <c r="BI4443">
        <v>10</v>
      </c>
      <c r="BJ4443">
        <v>13</v>
      </c>
      <c r="BK4443">
        <v>8</v>
      </c>
      <c r="BP4443" s="184"/>
    </row>
    <row r="4444" spans="1:68">
      <c r="A4444">
        <v>83457051</v>
      </c>
      <c r="B4444">
        <v>83457051</v>
      </c>
      <c r="C4444" t="s">
        <v>7018</v>
      </c>
      <c r="E4444" s="184"/>
      <c r="G4444" s="184"/>
      <c r="I4444" s="184"/>
      <c r="J4444" t="s">
        <v>595</v>
      </c>
      <c r="K4444" s="184">
        <v>44170</v>
      </c>
      <c r="M4444" s="184"/>
      <c r="P4444" t="s">
        <v>7045</v>
      </c>
      <c r="Q4444" t="s">
        <v>7454</v>
      </c>
      <c r="R4444" s="184"/>
      <c r="U4444" t="s">
        <v>7076</v>
      </c>
      <c r="V4444" t="s">
        <v>3400</v>
      </c>
      <c r="X4444" t="s">
        <v>32511</v>
      </c>
      <c r="AF4444" t="s">
        <v>32512</v>
      </c>
      <c r="AG4444" t="s">
        <v>3400</v>
      </c>
      <c r="AI4444" t="s">
        <v>32513</v>
      </c>
      <c r="AM4444" t="s">
        <v>32514</v>
      </c>
      <c r="AN4444" t="s">
        <v>2055</v>
      </c>
      <c r="AO4444" t="s">
        <v>32515</v>
      </c>
      <c r="AP4444" t="s">
        <v>7024</v>
      </c>
      <c r="AQ4444" t="s">
        <v>32516</v>
      </c>
      <c r="AR4444" t="s">
        <v>32517</v>
      </c>
      <c r="AT4444" s="184">
        <v>41422</v>
      </c>
      <c r="AU4444" t="s">
        <v>32518</v>
      </c>
      <c r="AV4444">
        <v>25</v>
      </c>
      <c r="AW4444" s="184">
        <v>45147</v>
      </c>
      <c r="AX4444" t="s">
        <v>32519</v>
      </c>
      <c r="AY4444">
        <v>15</v>
      </c>
      <c r="AZ4444" s="184">
        <v>45049</v>
      </c>
      <c r="BA4444" t="s">
        <v>14769</v>
      </c>
      <c r="BB4444">
        <v>150</v>
      </c>
      <c r="BC4444">
        <v>92</v>
      </c>
      <c r="BD4444">
        <v>1465</v>
      </c>
      <c r="BE4444">
        <v>2013</v>
      </c>
      <c r="BF4444">
        <v>19</v>
      </c>
      <c r="BG4444">
        <v>3</v>
      </c>
      <c r="BH4444">
        <v>315</v>
      </c>
      <c r="BI4444">
        <v>11</v>
      </c>
      <c r="BJ4444">
        <v>12</v>
      </c>
      <c r="BK4444">
        <v>11</v>
      </c>
      <c r="BN4444" t="s">
        <v>595</v>
      </c>
      <c r="BP4444" s="184"/>
    </row>
    <row r="4445" spans="1:68">
      <c r="A4445">
        <v>83490458</v>
      </c>
      <c r="B4445">
        <v>83490458</v>
      </c>
      <c r="C4445" t="s">
        <v>7018</v>
      </c>
      <c r="D4445" t="s">
        <v>595</v>
      </c>
      <c r="E4445" s="184">
        <v>44152</v>
      </c>
      <c r="G4445" s="184"/>
      <c r="I4445" s="184"/>
      <c r="K4445" s="184"/>
      <c r="M4445" s="184"/>
      <c r="P4445" t="s">
        <v>7045</v>
      </c>
      <c r="Q4445" t="s">
        <v>7020</v>
      </c>
      <c r="R4445" s="184">
        <v>28199</v>
      </c>
      <c r="S4445">
        <v>47</v>
      </c>
      <c r="V4445" t="s">
        <v>2958</v>
      </c>
      <c r="X4445" t="s">
        <v>32520</v>
      </c>
      <c r="AF4445" t="s">
        <v>32521</v>
      </c>
      <c r="AG4445" t="s">
        <v>2958</v>
      </c>
      <c r="AI4445" t="s">
        <v>32522</v>
      </c>
      <c r="AM4445" t="s">
        <v>5618</v>
      </c>
      <c r="AN4445" t="s">
        <v>2112</v>
      </c>
      <c r="AO4445" t="s">
        <v>32523</v>
      </c>
      <c r="AP4445" t="s">
        <v>7024</v>
      </c>
      <c r="AT4445" s="184">
        <v>41241</v>
      </c>
      <c r="AU4445" t="s">
        <v>31573</v>
      </c>
      <c r="AV4445">
        <v>19.97</v>
      </c>
      <c r="AW4445" s="184">
        <v>45226</v>
      </c>
      <c r="AX4445" t="s">
        <v>32524</v>
      </c>
      <c r="AY4445">
        <v>35</v>
      </c>
      <c r="AZ4445" s="184">
        <v>43558</v>
      </c>
      <c r="BA4445" t="s">
        <v>23865</v>
      </c>
      <c r="BB4445">
        <v>40</v>
      </c>
      <c r="BC4445">
        <v>93</v>
      </c>
      <c r="BD4445">
        <v>369.97</v>
      </c>
      <c r="BE4445">
        <v>2013</v>
      </c>
      <c r="BF4445">
        <v>14</v>
      </c>
      <c r="BG4445">
        <v>3</v>
      </c>
      <c r="BH4445">
        <v>85</v>
      </c>
      <c r="BI4445">
        <v>12</v>
      </c>
      <c r="BJ4445">
        <v>13</v>
      </c>
      <c r="BK4445">
        <v>12</v>
      </c>
      <c r="BP4445" s="184"/>
    </row>
    <row r="4446" spans="1:68">
      <c r="A4446">
        <v>83491837</v>
      </c>
      <c r="B4446">
        <v>83491837</v>
      </c>
      <c r="C4446" t="s">
        <v>7018</v>
      </c>
      <c r="D4446" t="s">
        <v>595</v>
      </c>
      <c r="E4446" s="184">
        <v>44313</v>
      </c>
      <c r="G4446" s="184"/>
      <c r="I4446" s="184"/>
      <c r="K4446" s="184"/>
      <c r="M4446" s="184"/>
      <c r="O4446" s="184"/>
      <c r="P4446" t="s">
        <v>7045</v>
      </c>
      <c r="Q4446" t="s">
        <v>7194</v>
      </c>
      <c r="R4446" s="184">
        <v>18629</v>
      </c>
      <c r="S4446">
        <v>73</v>
      </c>
      <c r="U4446" t="s">
        <v>7031</v>
      </c>
      <c r="V4446" t="s">
        <v>32525</v>
      </c>
      <c r="W4446" t="s">
        <v>4139</v>
      </c>
      <c r="X4446" t="s">
        <v>32526</v>
      </c>
      <c r="AF4446" t="s">
        <v>32527</v>
      </c>
      <c r="AG4446" t="s">
        <v>32525</v>
      </c>
      <c r="AI4446" t="s">
        <v>32528</v>
      </c>
      <c r="AM4446" t="s">
        <v>32529</v>
      </c>
      <c r="AN4446" t="s">
        <v>6951</v>
      </c>
      <c r="AO4446" t="s">
        <v>32530</v>
      </c>
      <c r="AP4446" t="s">
        <v>7024</v>
      </c>
      <c r="AQ4446" t="s">
        <v>32531</v>
      </c>
      <c r="AT4446" s="184">
        <v>41241</v>
      </c>
      <c r="AU4446" t="s">
        <v>31573</v>
      </c>
      <c r="AV4446">
        <v>19.97</v>
      </c>
      <c r="AW4446" s="184">
        <v>44700</v>
      </c>
      <c r="AX4446" t="s">
        <v>11867</v>
      </c>
      <c r="AY4446">
        <v>15</v>
      </c>
      <c r="AZ4446" s="184">
        <v>41241</v>
      </c>
      <c r="BA4446" t="s">
        <v>31573</v>
      </c>
      <c r="BB4446">
        <v>19.97</v>
      </c>
      <c r="BC4446">
        <v>85</v>
      </c>
      <c r="BD4446">
        <v>1229.97</v>
      </c>
      <c r="BE4446">
        <v>2013</v>
      </c>
      <c r="BF4446">
        <v>107</v>
      </c>
      <c r="BG4446">
        <v>2</v>
      </c>
      <c r="BH4446">
        <v>30</v>
      </c>
      <c r="BI4446">
        <v>11</v>
      </c>
      <c r="BJ4446">
        <v>13</v>
      </c>
      <c r="BK4446">
        <v>11</v>
      </c>
      <c r="BP4446" s="184"/>
    </row>
    <row r="4447" spans="1:68">
      <c r="A4447">
        <v>83600007</v>
      </c>
      <c r="B4447">
        <v>83600007</v>
      </c>
      <c r="C4447" t="s">
        <v>7018</v>
      </c>
      <c r="D4447" t="s">
        <v>595</v>
      </c>
      <c r="E4447" s="184">
        <v>45112</v>
      </c>
      <c r="G4447" s="184"/>
      <c r="I4447" s="184"/>
      <c r="K4447" s="184"/>
      <c r="M4447" s="184"/>
      <c r="O4447" s="184"/>
      <c r="P4447" t="s">
        <v>7045</v>
      </c>
      <c r="Q4447" t="s">
        <v>7383</v>
      </c>
      <c r="R4447" s="184">
        <v>22770</v>
      </c>
      <c r="S4447">
        <v>62</v>
      </c>
      <c r="U4447" t="s">
        <v>7076</v>
      </c>
      <c r="V4447" t="s">
        <v>22569</v>
      </c>
      <c r="W4447" t="s">
        <v>4013</v>
      </c>
      <c r="X4447" t="s">
        <v>32532</v>
      </c>
      <c r="AF4447" t="s">
        <v>32533</v>
      </c>
      <c r="AG4447" t="s">
        <v>22569</v>
      </c>
      <c r="AI4447" t="s">
        <v>32534</v>
      </c>
      <c r="AM4447" t="s">
        <v>32535</v>
      </c>
      <c r="AN4447" t="s">
        <v>2144</v>
      </c>
      <c r="AO4447" t="s">
        <v>32536</v>
      </c>
      <c r="AP4447" t="s">
        <v>7024</v>
      </c>
      <c r="AQ4447" t="s">
        <v>32537</v>
      </c>
      <c r="AR4447" t="s">
        <v>32538</v>
      </c>
      <c r="AT4447" s="184">
        <v>41251</v>
      </c>
      <c r="AU4447" t="s">
        <v>32539</v>
      </c>
      <c r="AV4447">
        <v>50</v>
      </c>
      <c r="AW4447" s="184">
        <v>45215</v>
      </c>
      <c r="AX4447" t="s">
        <v>12373</v>
      </c>
      <c r="AY4447">
        <v>50</v>
      </c>
      <c r="AZ4447" s="184">
        <v>42703</v>
      </c>
      <c r="BA4447" t="s">
        <v>32540</v>
      </c>
      <c r="BB4447">
        <v>100</v>
      </c>
      <c r="BC4447">
        <v>85</v>
      </c>
      <c r="BD4447">
        <v>710</v>
      </c>
      <c r="BE4447">
        <v>2013</v>
      </c>
      <c r="BF4447">
        <v>14</v>
      </c>
      <c r="BG4447">
        <v>2</v>
      </c>
      <c r="BH4447">
        <v>100</v>
      </c>
      <c r="BI4447">
        <v>11</v>
      </c>
      <c r="BJ4447">
        <v>13</v>
      </c>
      <c r="BK4447">
        <v>9</v>
      </c>
      <c r="BP4447" s="184"/>
    </row>
    <row r="4448" spans="1:68">
      <c r="A4448">
        <v>83667808</v>
      </c>
      <c r="B4448">
        <v>83667808</v>
      </c>
      <c r="C4448" t="s">
        <v>7018</v>
      </c>
      <c r="D4448" t="s">
        <v>595</v>
      </c>
      <c r="E4448" s="184">
        <v>44103</v>
      </c>
      <c r="G4448" s="184"/>
      <c r="H4448" t="s">
        <v>595</v>
      </c>
      <c r="I4448" s="184">
        <v>44103</v>
      </c>
      <c r="K4448" s="184"/>
      <c r="M4448" s="184"/>
      <c r="O4448" s="184"/>
      <c r="P4448" t="s">
        <v>7045</v>
      </c>
      <c r="Q4448" t="s">
        <v>7383</v>
      </c>
      <c r="R4448" s="184">
        <v>23439</v>
      </c>
      <c r="S4448">
        <v>60</v>
      </c>
      <c r="U4448" t="s">
        <v>7130</v>
      </c>
      <c r="V4448" t="s">
        <v>3480</v>
      </c>
      <c r="X4448" t="s">
        <v>4967</v>
      </c>
      <c r="Z4448">
        <v>100152000</v>
      </c>
      <c r="AA4448" t="s">
        <v>7031</v>
      </c>
      <c r="AB4448" t="s">
        <v>2889</v>
      </c>
      <c r="AD4448" t="s">
        <v>4967</v>
      </c>
      <c r="AF4448" t="s">
        <v>32541</v>
      </c>
      <c r="AG4448" t="s">
        <v>32542</v>
      </c>
      <c r="AI4448" t="s">
        <v>32543</v>
      </c>
      <c r="AM4448" t="s">
        <v>4968</v>
      </c>
      <c r="AN4448" t="s">
        <v>2059</v>
      </c>
      <c r="AO4448" t="s">
        <v>32544</v>
      </c>
      <c r="AP4448" t="s">
        <v>7024</v>
      </c>
      <c r="AQ4448" t="s">
        <v>32545</v>
      </c>
      <c r="AR4448" t="s">
        <v>32546</v>
      </c>
      <c r="AT4448" s="184">
        <v>41252</v>
      </c>
      <c r="AU4448" t="s">
        <v>15039</v>
      </c>
      <c r="AV4448">
        <v>50</v>
      </c>
      <c r="AW4448" s="184">
        <v>44561</v>
      </c>
      <c r="AX4448" t="s">
        <v>9028</v>
      </c>
      <c r="AY4448">
        <v>50</v>
      </c>
      <c r="AZ4448" s="184">
        <v>43918</v>
      </c>
      <c r="BA4448" t="s">
        <v>9633</v>
      </c>
      <c r="BB4448">
        <v>100</v>
      </c>
      <c r="BC4448">
        <v>47</v>
      </c>
      <c r="BD4448">
        <v>400</v>
      </c>
      <c r="BE4448">
        <v>2013</v>
      </c>
      <c r="BF4448">
        <v>7</v>
      </c>
      <c r="BI4448">
        <v>6</v>
      </c>
      <c r="BJ4448">
        <v>13</v>
      </c>
      <c r="BK4448">
        <v>5</v>
      </c>
      <c r="BN4448" t="s">
        <v>595</v>
      </c>
      <c r="BP4448" s="184"/>
    </row>
    <row r="4449" spans="1:68">
      <c r="A4449">
        <v>100152000</v>
      </c>
      <c r="B4449">
        <v>83667808</v>
      </c>
      <c r="C4449" t="s">
        <v>7018</v>
      </c>
      <c r="D4449" t="s">
        <v>595</v>
      </c>
      <c r="E4449" s="184">
        <v>44103</v>
      </c>
      <c r="G4449" s="184"/>
      <c r="H4449" t="s">
        <v>595</v>
      </c>
      <c r="I4449" s="184">
        <v>44103</v>
      </c>
      <c r="K4449" s="184"/>
      <c r="M4449" s="184"/>
      <c r="P4449" t="s">
        <v>7045</v>
      </c>
      <c r="Q4449" t="s">
        <v>7383</v>
      </c>
      <c r="R4449" s="184">
        <v>24198</v>
      </c>
      <c r="S4449">
        <v>58</v>
      </c>
      <c r="U4449" t="s">
        <v>7031</v>
      </c>
      <c r="V4449" t="s">
        <v>2889</v>
      </c>
      <c r="X4449" t="s">
        <v>4967</v>
      </c>
      <c r="Z4449">
        <v>83667808</v>
      </c>
      <c r="AA4449" t="s">
        <v>7130</v>
      </c>
      <c r="AB4449" t="s">
        <v>3480</v>
      </c>
      <c r="AD4449" t="s">
        <v>4967</v>
      </c>
      <c r="AF4449" t="s">
        <v>32541</v>
      </c>
      <c r="AG4449" t="s">
        <v>32542</v>
      </c>
      <c r="AI4449" t="s">
        <v>32543</v>
      </c>
      <c r="AM4449" t="s">
        <v>4968</v>
      </c>
      <c r="AN4449" t="s">
        <v>2059</v>
      </c>
      <c r="AO4449" t="s">
        <v>32544</v>
      </c>
      <c r="AP4449" t="s">
        <v>7024</v>
      </c>
      <c r="AQ4449" t="s">
        <v>32547</v>
      </c>
      <c r="AR4449" t="s">
        <v>32548</v>
      </c>
      <c r="AT4449" s="184"/>
      <c r="AW4449" s="184"/>
      <c r="AZ4449" s="184"/>
      <c r="BP4449" s="184"/>
    </row>
    <row r="4450" spans="1:68">
      <c r="A4450">
        <v>83670992</v>
      </c>
      <c r="B4450">
        <v>83670992</v>
      </c>
      <c r="C4450" t="s">
        <v>7018</v>
      </c>
      <c r="E4450" s="184"/>
      <c r="G4450" s="184"/>
      <c r="I4450" s="184"/>
      <c r="K4450" s="184"/>
      <c r="L4450" t="s">
        <v>595</v>
      </c>
      <c r="M4450" s="184">
        <v>44265</v>
      </c>
      <c r="P4450" t="s">
        <v>7045</v>
      </c>
      <c r="Q4450" t="s">
        <v>7383</v>
      </c>
      <c r="R4450" s="184">
        <v>15345</v>
      </c>
      <c r="S4450">
        <v>82</v>
      </c>
      <c r="V4450" t="s">
        <v>2705</v>
      </c>
      <c r="X4450" t="s">
        <v>32549</v>
      </c>
      <c r="Z4450">
        <v>100152010</v>
      </c>
      <c r="AB4450" t="s">
        <v>2635</v>
      </c>
      <c r="AD4450" t="s">
        <v>32549</v>
      </c>
      <c r="AF4450" t="s">
        <v>32550</v>
      </c>
      <c r="AG4450" t="s">
        <v>32551</v>
      </c>
      <c r="AI4450" t="s">
        <v>32552</v>
      </c>
      <c r="AM4450" t="s">
        <v>32553</v>
      </c>
      <c r="AN4450" t="s">
        <v>2185</v>
      </c>
      <c r="AO4450">
        <v>55804</v>
      </c>
      <c r="AP4450" t="s">
        <v>7024</v>
      </c>
      <c r="AQ4450" t="s">
        <v>32554</v>
      </c>
      <c r="AT4450" s="184">
        <v>41252</v>
      </c>
      <c r="AU4450" t="s">
        <v>32539</v>
      </c>
      <c r="AV4450">
        <v>25</v>
      </c>
      <c r="AW4450" s="184">
        <v>44151</v>
      </c>
      <c r="AX4450" t="s">
        <v>11119</v>
      </c>
      <c r="AY4450">
        <v>100</v>
      </c>
      <c r="AZ4450" s="184">
        <v>44151</v>
      </c>
      <c r="BA4450" t="s">
        <v>11119</v>
      </c>
      <c r="BB4450">
        <v>100</v>
      </c>
      <c r="BC4450">
        <v>39</v>
      </c>
      <c r="BD4450">
        <v>375</v>
      </c>
      <c r="BE4450">
        <v>2013</v>
      </c>
      <c r="BF4450">
        <v>6</v>
      </c>
      <c r="BI4450">
        <v>5</v>
      </c>
      <c r="BJ4450">
        <v>13</v>
      </c>
      <c r="BK4450">
        <v>3</v>
      </c>
      <c r="BP4450" s="184"/>
    </row>
    <row r="4451" spans="1:68">
      <c r="A4451">
        <v>100152010</v>
      </c>
      <c r="B4451">
        <v>83670992</v>
      </c>
      <c r="C4451" t="s">
        <v>7018</v>
      </c>
      <c r="E4451" s="184"/>
      <c r="G4451" s="184"/>
      <c r="I4451" s="184"/>
      <c r="K4451" s="184"/>
      <c r="L4451" t="s">
        <v>595</v>
      </c>
      <c r="M4451" s="184">
        <v>44265</v>
      </c>
      <c r="P4451" t="s">
        <v>7045</v>
      </c>
      <c r="Q4451" t="s">
        <v>7383</v>
      </c>
      <c r="R4451" s="184">
        <v>14989</v>
      </c>
      <c r="S4451">
        <v>83</v>
      </c>
      <c r="V4451" t="s">
        <v>2635</v>
      </c>
      <c r="X4451" t="s">
        <v>32549</v>
      </c>
      <c r="Z4451">
        <v>83670992</v>
      </c>
      <c r="AB4451" t="s">
        <v>2705</v>
      </c>
      <c r="AD4451" t="s">
        <v>32549</v>
      </c>
      <c r="AF4451" t="s">
        <v>32550</v>
      </c>
      <c r="AG4451" t="s">
        <v>32551</v>
      </c>
      <c r="AI4451" t="s">
        <v>32552</v>
      </c>
      <c r="AM4451" t="s">
        <v>32553</v>
      </c>
      <c r="AN4451" t="s">
        <v>2185</v>
      </c>
      <c r="AO4451">
        <v>55804</v>
      </c>
      <c r="AP4451" t="s">
        <v>7024</v>
      </c>
      <c r="AT4451" s="184"/>
      <c r="AW4451" s="184"/>
      <c r="AZ4451" s="184"/>
      <c r="BP4451" s="184"/>
    </row>
    <row r="4452" spans="1:68">
      <c r="A4452">
        <v>83682989</v>
      </c>
      <c r="B4452">
        <v>83682989</v>
      </c>
      <c r="C4452" t="s">
        <v>7018</v>
      </c>
      <c r="E4452" s="184"/>
      <c r="F4452" t="s">
        <v>595</v>
      </c>
      <c r="G4452" s="184">
        <v>44781</v>
      </c>
      <c r="I4452" s="184"/>
      <c r="K4452" s="184"/>
      <c r="M4452" s="184"/>
      <c r="O4452" s="184"/>
      <c r="P4452" t="s">
        <v>7045</v>
      </c>
      <c r="Q4452" t="s">
        <v>7383</v>
      </c>
      <c r="R4452" s="184">
        <v>18507</v>
      </c>
      <c r="S4452">
        <v>73</v>
      </c>
      <c r="U4452" t="s">
        <v>7076</v>
      </c>
      <c r="V4452" t="s">
        <v>3101</v>
      </c>
      <c r="W4452" t="s">
        <v>4013</v>
      </c>
      <c r="X4452" t="s">
        <v>3054</v>
      </c>
      <c r="AF4452" t="s">
        <v>32555</v>
      </c>
      <c r="AG4452" t="s">
        <v>3101</v>
      </c>
      <c r="AI4452" t="s">
        <v>32556</v>
      </c>
      <c r="AM4452" t="s">
        <v>2888</v>
      </c>
      <c r="AN4452" t="s">
        <v>2274</v>
      </c>
      <c r="AO4452" t="s">
        <v>32557</v>
      </c>
      <c r="AP4452" t="s">
        <v>7024</v>
      </c>
      <c r="AQ4452" t="s">
        <v>32558</v>
      </c>
      <c r="AR4452" t="s">
        <v>32559</v>
      </c>
      <c r="AT4452" s="184">
        <v>41249</v>
      </c>
      <c r="AU4452" t="s">
        <v>32560</v>
      </c>
      <c r="AV4452">
        <v>25</v>
      </c>
      <c r="AW4452" s="184">
        <v>45377</v>
      </c>
      <c r="AX4452" t="s">
        <v>20457</v>
      </c>
      <c r="AY4452">
        <v>50</v>
      </c>
      <c r="AZ4452" s="184">
        <v>45105</v>
      </c>
      <c r="BA4452" t="s">
        <v>8299</v>
      </c>
      <c r="BB4452">
        <v>200</v>
      </c>
      <c r="BC4452">
        <v>100</v>
      </c>
      <c r="BD4452">
        <v>2104.5</v>
      </c>
      <c r="BE4452">
        <v>2013</v>
      </c>
      <c r="BF4452">
        <v>25</v>
      </c>
      <c r="BG4452">
        <v>7</v>
      </c>
      <c r="BH4452">
        <v>502.5</v>
      </c>
      <c r="BI4452">
        <v>13</v>
      </c>
      <c r="BJ4452">
        <v>13</v>
      </c>
      <c r="BK4452">
        <v>13</v>
      </c>
      <c r="BP4452" s="184"/>
    </row>
    <row r="4453" spans="1:68">
      <c r="A4453">
        <v>83692970</v>
      </c>
      <c r="B4453">
        <v>83692970</v>
      </c>
      <c r="C4453" t="s">
        <v>7018</v>
      </c>
      <c r="D4453" t="s">
        <v>595</v>
      </c>
      <c r="E4453" s="184">
        <v>45181</v>
      </c>
      <c r="G4453" s="184"/>
      <c r="I4453" s="184"/>
      <c r="K4453" s="184"/>
      <c r="M4453" s="184"/>
      <c r="O4453" s="184"/>
      <c r="P4453" t="s">
        <v>7045</v>
      </c>
      <c r="Q4453" t="s">
        <v>7160</v>
      </c>
      <c r="R4453" s="184">
        <v>22402</v>
      </c>
      <c r="S4453">
        <v>63</v>
      </c>
      <c r="U4453" t="s">
        <v>7031</v>
      </c>
      <c r="V4453" t="s">
        <v>14847</v>
      </c>
      <c r="X4453" t="s">
        <v>32561</v>
      </c>
      <c r="AF4453" t="s">
        <v>32562</v>
      </c>
      <c r="AG4453" t="s">
        <v>14847</v>
      </c>
      <c r="AI4453" t="s">
        <v>32563</v>
      </c>
      <c r="AM4453" t="s">
        <v>5146</v>
      </c>
      <c r="AN4453" t="s">
        <v>2395</v>
      </c>
      <c r="AO4453" t="s">
        <v>32564</v>
      </c>
      <c r="AP4453" t="s">
        <v>7024</v>
      </c>
      <c r="AQ4453" t="s">
        <v>32565</v>
      </c>
      <c r="AT4453" s="184">
        <v>41250</v>
      </c>
      <c r="AU4453" t="s">
        <v>32566</v>
      </c>
      <c r="AV4453">
        <v>10</v>
      </c>
      <c r="AW4453" s="184">
        <v>45365</v>
      </c>
      <c r="AX4453" t="s">
        <v>10915</v>
      </c>
      <c r="AY4453">
        <v>35</v>
      </c>
      <c r="AZ4453" s="184">
        <v>45365</v>
      </c>
      <c r="BA4453" t="s">
        <v>10915</v>
      </c>
      <c r="BB4453">
        <v>35</v>
      </c>
      <c r="BC4453">
        <v>93</v>
      </c>
      <c r="BD4453">
        <v>735</v>
      </c>
      <c r="BE4453">
        <v>2013</v>
      </c>
      <c r="BF4453">
        <v>33</v>
      </c>
      <c r="BG4453">
        <v>7</v>
      </c>
      <c r="BH4453">
        <v>225</v>
      </c>
      <c r="BI4453">
        <v>12</v>
      </c>
      <c r="BJ4453">
        <v>13</v>
      </c>
      <c r="BK4453">
        <v>11</v>
      </c>
    </row>
    <row r="4454" spans="1:68">
      <c r="A4454">
        <v>83729574</v>
      </c>
      <c r="B4454">
        <v>83729574</v>
      </c>
      <c r="C4454" t="s">
        <v>7018</v>
      </c>
      <c r="E4454" s="184"/>
      <c r="G4454" s="184"/>
      <c r="H4454" t="s">
        <v>595</v>
      </c>
      <c r="I4454" s="184">
        <v>44167</v>
      </c>
      <c r="K4454" s="184"/>
      <c r="M4454" s="184"/>
      <c r="P4454" t="s">
        <v>7045</v>
      </c>
      <c r="Q4454" t="s">
        <v>7160</v>
      </c>
      <c r="R4454" s="184">
        <v>14977</v>
      </c>
      <c r="S4454">
        <v>83</v>
      </c>
      <c r="U4454" t="s">
        <v>7031</v>
      </c>
      <c r="V4454" t="s">
        <v>2511</v>
      </c>
      <c r="X4454" t="s">
        <v>3539</v>
      </c>
      <c r="AF4454" t="s">
        <v>32567</v>
      </c>
      <c r="AG4454" t="s">
        <v>2511</v>
      </c>
      <c r="AI4454" t="s">
        <v>32568</v>
      </c>
      <c r="AM4454" t="s">
        <v>3470</v>
      </c>
      <c r="AN4454" t="s">
        <v>2176</v>
      </c>
      <c r="AO4454" t="s">
        <v>32569</v>
      </c>
      <c r="AP4454" t="s">
        <v>7024</v>
      </c>
      <c r="AQ4454" t="s">
        <v>32570</v>
      </c>
      <c r="AT4454" s="184">
        <v>41254</v>
      </c>
      <c r="AU4454" t="s">
        <v>32571</v>
      </c>
      <c r="AV4454">
        <v>25</v>
      </c>
      <c r="AW4454" s="184">
        <v>45093</v>
      </c>
      <c r="AX4454" t="s">
        <v>12641</v>
      </c>
      <c r="AY4454">
        <v>25</v>
      </c>
      <c r="AZ4454" s="184">
        <v>43550</v>
      </c>
      <c r="BA4454" t="s">
        <v>29879</v>
      </c>
      <c r="BB4454">
        <v>60</v>
      </c>
      <c r="BC4454">
        <v>85</v>
      </c>
      <c r="BD4454">
        <v>610</v>
      </c>
      <c r="BE4454">
        <v>2013</v>
      </c>
      <c r="BF4454">
        <v>15</v>
      </c>
      <c r="BG4454">
        <v>2</v>
      </c>
      <c r="BH4454">
        <v>50</v>
      </c>
      <c r="BI4454">
        <v>11</v>
      </c>
      <c r="BJ4454">
        <v>13</v>
      </c>
      <c r="BK4454">
        <v>9</v>
      </c>
    </row>
    <row r="4455" spans="1:68">
      <c r="A4455">
        <v>83771600</v>
      </c>
      <c r="B4455">
        <v>83771600</v>
      </c>
      <c r="C4455" t="s">
        <v>7018</v>
      </c>
      <c r="D4455" t="s">
        <v>595</v>
      </c>
      <c r="E4455" s="184">
        <v>44414</v>
      </c>
      <c r="G4455" s="184"/>
      <c r="I4455" s="184"/>
      <c r="K4455" s="184"/>
      <c r="M4455" s="184"/>
      <c r="P4455" t="s">
        <v>7045</v>
      </c>
      <c r="Q4455" t="s">
        <v>7262</v>
      </c>
      <c r="R4455" s="184">
        <v>14858</v>
      </c>
      <c r="S4455">
        <v>83</v>
      </c>
      <c r="U4455" t="s">
        <v>7031</v>
      </c>
      <c r="V4455" t="s">
        <v>2511</v>
      </c>
      <c r="X4455" t="s">
        <v>32572</v>
      </c>
      <c r="AF4455" t="s">
        <v>32573</v>
      </c>
      <c r="AG4455" t="s">
        <v>2511</v>
      </c>
      <c r="AI4455" t="s">
        <v>32574</v>
      </c>
      <c r="AM4455" t="s">
        <v>32575</v>
      </c>
      <c r="AN4455" t="s">
        <v>2106</v>
      </c>
      <c r="AO4455" t="s">
        <v>32576</v>
      </c>
      <c r="AP4455" t="s">
        <v>7024</v>
      </c>
      <c r="AQ4455" t="s">
        <v>32577</v>
      </c>
      <c r="AT4455" s="184">
        <v>41255</v>
      </c>
      <c r="AU4455" t="s">
        <v>32571</v>
      </c>
      <c r="AV4455">
        <v>25</v>
      </c>
      <c r="AW4455" s="184">
        <v>44775</v>
      </c>
      <c r="AX4455" t="s">
        <v>26084</v>
      </c>
      <c r="AY4455">
        <v>25</v>
      </c>
      <c r="AZ4455" s="184">
        <v>44775</v>
      </c>
      <c r="BA4455" t="s">
        <v>26084</v>
      </c>
      <c r="BB4455">
        <v>25</v>
      </c>
      <c r="BC4455">
        <v>70</v>
      </c>
      <c r="BD4455">
        <v>325</v>
      </c>
      <c r="BE4455">
        <v>2013</v>
      </c>
      <c r="BF4455">
        <v>15</v>
      </c>
      <c r="BG4455">
        <v>1</v>
      </c>
      <c r="BH4455">
        <v>25</v>
      </c>
      <c r="BI4455">
        <v>9</v>
      </c>
      <c r="BJ4455">
        <v>13</v>
      </c>
      <c r="BK4455">
        <v>7</v>
      </c>
      <c r="BN4455" t="s">
        <v>595</v>
      </c>
      <c r="BP4455" s="184"/>
    </row>
    <row r="4456" spans="1:68">
      <c r="A4456">
        <v>83884585</v>
      </c>
      <c r="B4456">
        <v>83884585</v>
      </c>
      <c r="C4456" t="s">
        <v>7018</v>
      </c>
      <c r="D4456" t="s">
        <v>595</v>
      </c>
      <c r="E4456" s="184">
        <v>44147</v>
      </c>
      <c r="G4456" s="184"/>
      <c r="I4456" s="184"/>
      <c r="K4456" s="184"/>
      <c r="M4456" s="184"/>
      <c r="O4456" s="184"/>
      <c r="P4456" t="s">
        <v>7045</v>
      </c>
      <c r="Q4456" t="s">
        <v>7194</v>
      </c>
      <c r="R4456" s="184">
        <v>21136</v>
      </c>
      <c r="S4456">
        <v>66</v>
      </c>
      <c r="U4456" t="s">
        <v>7032</v>
      </c>
      <c r="V4456" t="s">
        <v>32578</v>
      </c>
      <c r="W4456" t="s">
        <v>7407</v>
      </c>
      <c r="X4456" t="s">
        <v>3094</v>
      </c>
      <c r="AF4456" t="s">
        <v>32579</v>
      </c>
      <c r="AG4456" t="s">
        <v>32578</v>
      </c>
      <c r="AI4456" t="s">
        <v>32580</v>
      </c>
      <c r="AM4456" t="s">
        <v>32581</v>
      </c>
      <c r="AN4456" t="s">
        <v>2046</v>
      </c>
      <c r="AO4456" t="s">
        <v>32582</v>
      </c>
      <c r="AP4456" t="s">
        <v>7024</v>
      </c>
      <c r="AQ4456" t="s">
        <v>32583</v>
      </c>
      <c r="AR4456" t="s">
        <v>32584</v>
      </c>
      <c r="AT4456" s="184">
        <v>41260</v>
      </c>
      <c r="AU4456" t="s">
        <v>32585</v>
      </c>
      <c r="AV4456">
        <v>25</v>
      </c>
      <c r="AW4456" s="184">
        <v>44658</v>
      </c>
      <c r="AX4456" t="s">
        <v>32586</v>
      </c>
      <c r="AY4456">
        <v>100</v>
      </c>
      <c r="AZ4456" s="184">
        <v>44658</v>
      </c>
      <c r="BA4456" t="s">
        <v>32586</v>
      </c>
      <c r="BB4456">
        <v>100</v>
      </c>
      <c r="BC4456">
        <v>54</v>
      </c>
      <c r="BD4456">
        <v>525</v>
      </c>
      <c r="BE4456">
        <v>2013</v>
      </c>
      <c r="BF4456">
        <v>8</v>
      </c>
      <c r="BI4456">
        <v>7</v>
      </c>
      <c r="BJ4456">
        <v>13</v>
      </c>
      <c r="BK4456">
        <v>3</v>
      </c>
      <c r="BP4456" s="184"/>
    </row>
    <row r="4457" spans="1:68">
      <c r="A4457">
        <v>83898007</v>
      </c>
      <c r="B4457">
        <v>83898007</v>
      </c>
      <c r="C4457" t="s">
        <v>7018</v>
      </c>
      <c r="D4457" t="s">
        <v>595</v>
      </c>
      <c r="E4457" s="184">
        <v>45405</v>
      </c>
      <c r="G4457" s="184"/>
      <c r="H4457" t="s">
        <v>595</v>
      </c>
      <c r="I4457" s="184">
        <v>45405</v>
      </c>
      <c r="K4457" s="184"/>
      <c r="M4457" s="184"/>
      <c r="O4457" s="184"/>
      <c r="P4457" t="s">
        <v>7045</v>
      </c>
      <c r="Q4457" t="s">
        <v>7374</v>
      </c>
      <c r="R4457" s="184">
        <v>17063</v>
      </c>
      <c r="S4457">
        <v>77</v>
      </c>
      <c r="U4457" t="s">
        <v>7031</v>
      </c>
      <c r="V4457" t="s">
        <v>2511</v>
      </c>
      <c r="X4457" t="s">
        <v>32587</v>
      </c>
      <c r="AF4457" t="s">
        <v>32588</v>
      </c>
      <c r="AG4457" t="s">
        <v>2511</v>
      </c>
      <c r="AI4457" t="s">
        <v>32589</v>
      </c>
      <c r="AM4457" t="s">
        <v>4799</v>
      </c>
      <c r="AN4457" t="s">
        <v>2081</v>
      </c>
      <c r="AO4457" t="s">
        <v>32590</v>
      </c>
      <c r="AP4457" t="s">
        <v>7024</v>
      </c>
      <c r="AQ4457" t="s">
        <v>32591</v>
      </c>
      <c r="AT4457" s="184">
        <v>41260</v>
      </c>
      <c r="AU4457" t="s">
        <v>32592</v>
      </c>
      <c r="AV4457">
        <v>25</v>
      </c>
      <c r="AW4457" s="184">
        <v>44183</v>
      </c>
      <c r="AX4457" t="s">
        <v>32593</v>
      </c>
      <c r="AY4457">
        <v>50</v>
      </c>
      <c r="AZ4457" s="184">
        <v>43103</v>
      </c>
      <c r="BA4457" t="s">
        <v>32594</v>
      </c>
      <c r="BB4457">
        <v>75</v>
      </c>
      <c r="BC4457">
        <v>47</v>
      </c>
      <c r="BD4457">
        <v>350</v>
      </c>
      <c r="BE4457">
        <v>2013</v>
      </c>
      <c r="BF4457">
        <v>7</v>
      </c>
      <c r="BI4457">
        <v>6</v>
      </c>
      <c r="BJ4457">
        <v>13</v>
      </c>
      <c r="BK4457">
        <v>2</v>
      </c>
      <c r="BN4457" t="s">
        <v>595</v>
      </c>
      <c r="BP4457" s="184"/>
    </row>
    <row r="4458" spans="1:68">
      <c r="A4458">
        <v>83904177</v>
      </c>
      <c r="B4458">
        <v>83904177</v>
      </c>
      <c r="C4458" t="s">
        <v>7018</v>
      </c>
      <c r="D4458" t="s">
        <v>595</v>
      </c>
      <c r="E4458" s="184">
        <v>43861</v>
      </c>
      <c r="G4458" s="184"/>
      <c r="I4458" s="184"/>
      <c r="K4458" s="184"/>
      <c r="O4458" s="184"/>
      <c r="P4458" t="s">
        <v>7045</v>
      </c>
      <c r="Q4458" t="s">
        <v>7383</v>
      </c>
      <c r="R4458" s="184">
        <v>17838</v>
      </c>
      <c r="S4458">
        <v>75</v>
      </c>
      <c r="V4458" t="s">
        <v>2863</v>
      </c>
      <c r="W4458" t="s">
        <v>205</v>
      </c>
      <c r="X4458" t="s">
        <v>2818</v>
      </c>
      <c r="AF4458" t="s">
        <v>32595</v>
      </c>
      <c r="AG4458" t="s">
        <v>2863</v>
      </c>
      <c r="AI4458" t="s">
        <v>32596</v>
      </c>
      <c r="AM4458" t="s">
        <v>2819</v>
      </c>
      <c r="AN4458" t="s">
        <v>2144</v>
      </c>
      <c r="AO4458" t="s">
        <v>32597</v>
      </c>
      <c r="AP4458" t="s">
        <v>7024</v>
      </c>
      <c r="AQ4458" t="s">
        <v>32598</v>
      </c>
      <c r="AT4458" s="184">
        <v>41261</v>
      </c>
      <c r="AU4458" t="s">
        <v>32599</v>
      </c>
      <c r="AV4458">
        <v>50</v>
      </c>
      <c r="AW4458" s="184">
        <v>45043</v>
      </c>
      <c r="AX4458" t="s">
        <v>20857</v>
      </c>
      <c r="AY4458">
        <v>100</v>
      </c>
      <c r="AZ4458" s="184">
        <v>42282</v>
      </c>
      <c r="BA4458" t="s">
        <v>32600</v>
      </c>
      <c r="BB4458">
        <v>115</v>
      </c>
      <c r="BC4458">
        <v>70</v>
      </c>
      <c r="BD4458">
        <v>1295</v>
      </c>
      <c r="BE4458">
        <v>2013</v>
      </c>
      <c r="BF4458">
        <v>15</v>
      </c>
      <c r="BG4458">
        <v>2</v>
      </c>
      <c r="BH4458">
        <v>150</v>
      </c>
      <c r="BI4458">
        <v>9</v>
      </c>
      <c r="BJ4458">
        <v>13</v>
      </c>
      <c r="BK4458">
        <v>5</v>
      </c>
      <c r="BN4458" t="s">
        <v>595</v>
      </c>
      <c r="BP4458" s="184"/>
    </row>
    <row r="4459" spans="1:68">
      <c r="A4459">
        <v>83947176</v>
      </c>
      <c r="B4459">
        <v>83947176</v>
      </c>
      <c r="C4459" t="s">
        <v>7018</v>
      </c>
      <c r="E4459" s="184"/>
      <c r="G4459" s="184"/>
      <c r="I4459" s="184"/>
      <c r="K4459" s="184"/>
      <c r="L4459" t="s">
        <v>595</v>
      </c>
      <c r="M4459" s="184">
        <v>44265</v>
      </c>
      <c r="O4459" s="184"/>
      <c r="P4459" t="s">
        <v>7045</v>
      </c>
      <c r="Q4459" t="s">
        <v>7454</v>
      </c>
      <c r="R4459" s="184">
        <v>17634</v>
      </c>
      <c r="S4459">
        <v>76</v>
      </c>
      <c r="U4459" t="s">
        <v>7076</v>
      </c>
      <c r="V4459" t="s">
        <v>32601</v>
      </c>
      <c r="X4459" t="s">
        <v>32602</v>
      </c>
      <c r="AF4459" t="s">
        <v>32603</v>
      </c>
      <c r="AG4459" t="s">
        <v>32601</v>
      </c>
      <c r="AI4459" t="s">
        <v>32604</v>
      </c>
      <c r="AM4459" t="s">
        <v>2608</v>
      </c>
      <c r="AN4459" t="s">
        <v>2299</v>
      </c>
      <c r="AO4459" t="s">
        <v>32605</v>
      </c>
      <c r="AP4459" t="s">
        <v>7024</v>
      </c>
      <c r="AQ4459" t="s">
        <v>32606</v>
      </c>
      <c r="AR4459" t="s">
        <v>32607</v>
      </c>
      <c r="AT4459" s="184">
        <v>41261</v>
      </c>
      <c r="AU4459" t="s">
        <v>32571</v>
      </c>
      <c r="AV4459">
        <v>25</v>
      </c>
      <c r="AW4459" s="184">
        <v>45309</v>
      </c>
      <c r="AX4459" t="s">
        <v>32608</v>
      </c>
      <c r="AY4459">
        <v>250</v>
      </c>
      <c r="AZ4459" s="184">
        <v>45309</v>
      </c>
      <c r="BA4459" t="s">
        <v>32608</v>
      </c>
      <c r="BB4459">
        <v>250</v>
      </c>
      <c r="BC4459">
        <v>77</v>
      </c>
      <c r="BD4459">
        <v>1272</v>
      </c>
      <c r="BE4459">
        <v>2013</v>
      </c>
      <c r="BF4459">
        <v>15</v>
      </c>
      <c r="BG4459">
        <v>2</v>
      </c>
      <c r="BH4459">
        <v>500</v>
      </c>
      <c r="BI4459">
        <v>10</v>
      </c>
      <c r="BJ4459">
        <v>13</v>
      </c>
      <c r="BK4459">
        <v>4</v>
      </c>
      <c r="BP4459" s="184"/>
    </row>
    <row r="4460" spans="1:68">
      <c r="A4460">
        <v>83950774</v>
      </c>
      <c r="B4460">
        <v>83950774</v>
      </c>
      <c r="C4460" t="s">
        <v>7018</v>
      </c>
      <c r="D4460" t="s">
        <v>595</v>
      </c>
      <c r="E4460" s="184">
        <v>44167</v>
      </c>
      <c r="G4460" s="184"/>
      <c r="I4460" s="184"/>
      <c r="K4460" s="184"/>
      <c r="M4460" s="184"/>
      <c r="O4460" s="184"/>
      <c r="P4460" t="s">
        <v>7019</v>
      </c>
      <c r="Q4460" t="s">
        <v>7160</v>
      </c>
      <c r="R4460" s="184">
        <v>21033</v>
      </c>
      <c r="S4460">
        <v>66</v>
      </c>
      <c r="U4460" t="s">
        <v>7031</v>
      </c>
      <c r="V4460" t="s">
        <v>3103</v>
      </c>
      <c r="W4460" t="s">
        <v>3332</v>
      </c>
      <c r="X4460" t="s">
        <v>3639</v>
      </c>
      <c r="AF4460" t="s">
        <v>32609</v>
      </c>
      <c r="AG4460" t="s">
        <v>3103</v>
      </c>
      <c r="AI4460" t="s">
        <v>32610</v>
      </c>
      <c r="AM4460" t="s">
        <v>32611</v>
      </c>
      <c r="AN4460" t="s">
        <v>2446</v>
      </c>
      <c r="AO4460" t="s">
        <v>32612</v>
      </c>
      <c r="AP4460" t="s">
        <v>7024</v>
      </c>
      <c r="AQ4460" t="s">
        <v>32613</v>
      </c>
      <c r="AR4460" t="s">
        <v>32614</v>
      </c>
      <c r="AT4460" s="184">
        <v>41261</v>
      </c>
      <c r="AU4460" t="s">
        <v>32615</v>
      </c>
      <c r="AV4460">
        <v>20</v>
      </c>
      <c r="AW4460" s="184">
        <v>44588</v>
      </c>
      <c r="AX4460" t="s">
        <v>32616</v>
      </c>
      <c r="AY4460">
        <v>60</v>
      </c>
      <c r="AZ4460" s="184">
        <v>44588</v>
      </c>
      <c r="BA4460" t="s">
        <v>32616</v>
      </c>
      <c r="BB4460">
        <v>60</v>
      </c>
      <c r="BC4460">
        <v>70</v>
      </c>
      <c r="BD4460">
        <v>385</v>
      </c>
      <c r="BE4460">
        <v>2013</v>
      </c>
      <c r="BF4460">
        <v>13</v>
      </c>
      <c r="BI4460">
        <v>9</v>
      </c>
      <c r="BJ4460">
        <v>13</v>
      </c>
      <c r="BK4460">
        <v>5</v>
      </c>
      <c r="BP4460" s="184"/>
    </row>
    <row r="4461" spans="1:68">
      <c r="A4461">
        <v>84020379</v>
      </c>
      <c r="B4461">
        <v>84020379</v>
      </c>
      <c r="C4461" t="s">
        <v>7018</v>
      </c>
      <c r="D4461" t="s">
        <v>595</v>
      </c>
      <c r="E4461" s="184">
        <v>44328</v>
      </c>
      <c r="G4461" s="184"/>
      <c r="I4461" s="184"/>
      <c r="K4461" s="184"/>
      <c r="M4461" s="184"/>
      <c r="P4461" t="s">
        <v>7045</v>
      </c>
      <c r="Q4461" t="s">
        <v>7383</v>
      </c>
      <c r="R4461" s="184">
        <v>18688</v>
      </c>
      <c r="S4461">
        <v>73</v>
      </c>
      <c r="V4461" t="s">
        <v>7407</v>
      </c>
      <c r="X4461" t="s">
        <v>32617</v>
      </c>
      <c r="AF4461" t="s">
        <v>32618</v>
      </c>
      <c r="AG4461" t="s">
        <v>5990</v>
      </c>
      <c r="AI4461" t="s">
        <v>32619</v>
      </c>
      <c r="AM4461" t="s">
        <v>32620</v>
      </c>
      <c r="AN4461" t="s">
        <v>2144</v>
      </c>
      <c r="AO4461" t="s">
        <v>32621</v>
      </c>
      <c r="AP4461" t="s">
        <v>7024</v>
      </c>
      <c r="AQ4461" t="s">
        <v>32622</v>
      </c>
      <c r="AT4461" s="184">
        <v>41262</v>
      </c>
      <c r="AU4461" t="s">
        <v>32623</v>
      </c>
      <c r="AV4461">
        <v>15</v>
      </c>
      <c r="AW4461" s="184">
        <v>45356</v>
      </c>
      <c r="AX4461" t="s">
        <v>9312</v>
      </c>
      <c r="AY4461">
        <v>100</v>
      </c>
      <c r="AZ4461" s="184">
        <v>45356</v>
      </c>
      <c r="BA4461" t="s">
        <v>9312</v>
      </c>
      <c r="BB4461">
        <v>100</v>
      </c>
      <c r="BC4461">
        <v>100</v>
      </c>
      <c r="BD4461">
        <v>3225</v>
      </c>
      <c r="BE4461">
        <v>2013</v>
      </c>
      <c r="BF4461">
        <v>35</v>
      </c>
      <c r="BG4461">
        <v>10</v>
      </c>
      <c r="BH4461">
        <v>1000</v>
      </c>
      <c r="BI4461">
        <v>13</v>
      </c>
      <c r="BJ4461">
        <v>13</v>
      </c>
      <c r="BK4461">
        <v>13</v>
      </c>
      <c r="BN4461" t="s">
        <v>595</v>
      </c>
      <c r="BP4461" s="184"/>
    </row>
    <row r="4462" spans="1:68">
      <c r="A4462">
        <v>84038785</v>
      </c>
      <c r="B4462">
        <v>84038785</v>
      </c>
      <c r="C4462" t="s">
        <v>7018</v>
      </c>
      <c r="D4462" t="s">
        <v>595</v>
      </c>
      <c r="E4462" s="184">
        <v>44168</v>
      </c>
      <c r="G4462" s="184"/>
      <c r="I4462" s="184"/>
      <c r="K4462" s="184"/>
      <c r="M4462" s="184"/>
      <c r="O4462" s="184"/>
      <c r="P4462" t="s">
        <v>7045</v>
      </c>
      <c r="Q4462" t="s">
        <v>7160</v>
      </c>
      <c r="R4462" s="184">
        <v>22228</v>
      </c>
      <c r="S4462">
        <v>63</v>
      </c>
      <c r="V4462" t="s">
        <v>17960</v>
      </c>
      <c r="W4462" t="s">
        <v>7407</v>
      </c>
      <c r="X4462" t="s">
        <v>32624</v>
      </c>
      <c r="Z4462">
        <v>100152222</v>
      </c>
      <c r="AB4462" t="s">
        <v>2733</v>
      </c>
      <c r="AC4462" t="s">
        <v>7407</v>
      </c>
      <c r="AD4462" t="s">
        <v>32624</v>
      </c>
      <c r="AF4462" t="s">
        <v>32625</v>
      </c>
      <c r="AG4462" t="s">
        <v>32626</v>
      </c>
      <c r="AI4462" t="s">
        <v>32627</v>
      </c>
      <c r="AM4462" t="s">
        <v>32628</v>
      </c>
      <c r="AN4462" t="s">
        <v>2176</v>
      </c>
      <c r="AO4462" t="s">
        <v>32629</v>
      </c>
      <c r="AP4462" t="s">
        <v>7024</v>
      </c>
      <c r="AQ4462" t="s">
        <v>32630</v>
      </c>
      <c r="AT4462" s="184">
        <v>34487</v>
      </c>
      <c r="AU4462" t="s">
        <v>15245</v>
      </c>
      <c r="AV4462">
        <v>25</v>
      </c>
      <c r="AW4462" s="184">
        <v>45383</v>
      </c>
      <c r="AX4462" t="s">
        <v>18490</v>
      </c>
      <c r="AY4462">
        <v>30</v>
      </c>
      <c r="AZ4462" s="184">
        <v>45258</v>
      </c>
      <c r="BA4462" t="s">
        <v>32631</v>
      </c>
      <c r="BB4462">
        <v>78.75</v>
      </c>
      <c r="BC4462">
        <v>42</v>
      </c>
      <c r="BD4462">
        <v>1513.75</v>
      </c>
      <c r="BE4462">
        <v>1994</v>
      </c>
      <c r="BF4462">
        <v>36</v>
      </c>
      <c r="BG4462">
        <v>8</v>
      </c>
      <c r="BH4462">
        <v>323.75</v>
      </c>
      <c r="BI4462">
        <v>13</v>
      </c>
      <c r="BJ4462">
        <v>31</v>
      </c>
      <c r="BK4462">
        <v>10</v>
      </c>
      <c r="BP4462" s="184"/>
    </row>
    <row r="4463" spans="1:68">
      <c r="A4463">
        <v>100152222</v>
      </c>
      <c r="B4463">
        <v>84038785</v>
      </c>
      <c r="C4463" t="s">
        <v>7018</v>
      </c>
      <c r="D4463" t="s">
        <v>595</v>
      </c>
      <c r="E4463" s="184">
        <v>44168</v>
      </c>
      <c r="G4463" s="184"/>
      <c r="I4463" s="184"/>
      <c r="K4463" s="184"/>
      <c r="M4463" s="184"/>
      <c r="P4463" t="s">
        <v>7045</v>
      </c>
      <c r="Q4463" t="s">
        <v>7160</v>
      </c>
      <c r="R4463" s="184">
        <v>22221</v>
      </c>
      <c r="S4463">
        <v>63</v>
      </c>
      <c r="V4463" t="s">
        <v>2733</v>
      </c>
      <c r="W4463" t="s">
        <v>7407</v>
      </c>
      <c r="X4463" t="s">
        <v>32624</v>
      </c>
      <c r="Z4463">
        <v>84038785</v>
      </c>
      <c r="AB4463" t="s">
        <v>17960</v>
      </c>
      <c r="AC4463" t="s">
        <v>7407</v>
      </c>
      <c r="AD4463" t="s">
        <v>32624</v>
      </c>
      <c r="AF4463" t="s">
        <v>32625</v>
      </c>
      <c r="AG4463" t="s">
        <v>32626</v>
      </c>
      <c r="AI4463" t="s">
        <v>32627</v>
      </c>
      <c r="AM4463" t="s">
        <v>32628</v>
      </c>
      <c r="AN4463" t="s">
        <v>2176</v>
      </c>
      <c r="AO4463" t="s">
        <v>32629</v>
      </c>
      <c r="AP4463" t="s">
        <v>7024</v>
      </c>
      <c r="AQ4463" t="s">
        <v>32630</v>
      </c>
      <c r="AT4463" s="184">
        <v>44894</v>
      </c>
      <c r="AU4463" t="s">
        <v>16166</v>
      </c>
      <c r="AV4463">
        <v>36.049999999999997</v>
      </c>
      <c r="AW4463" s="184">
        <v>45107</v>
      </c>
      <c r="AX4463" t="s">
        <v>32632</v>
      </c>
      <c r="AY4463">
        <v>50</v>
      </c>
      <c r="AZ4463" s="184">
        <v>45107</v>
      </c>
      <c r="BA4463" t="s">
        <v>32632</v>
      </c>
      <c r="BB4463">
        <v>50</v>
      </c>
      <c r="BC4463">
        <v>67</v>
      </c>
      <c r="BD4463">
        <v>86.05</v>
      </c>
      <c r="BE4463">
        <v>2023</v>
      </c>
      <c r="BF4463">
        <v>2</v>
      </c>
      <c r="BG4463">
        <v>2</v>
      </c>
      <c r="BH4463">
        <v>86.05</v>
      </c>
      <c r="BI4463">
        <v>2</v>
      </c>
      <c r="BJ4463">
        <v>3</v>
      </c>
      <c r="BK4463">
        <v>2</v>
      </c>
      <c r="BP4463" s="184"/>
    </row>
    <row r="4464" spans="1:68">
      <c r="A4464">
        <v>84055177</v>
      </c>
      <c r="B4464">
        <v>84055177</v>
      </c>
      <c r="C4464" t="s">
        <v>7018</v>
      </c>
      <c r="D4464" t="s">
        <v>595</v>
      </c>
      <c r="E4464" s="184">
        <v>44484</v>
      </c>
      <c r="G4464" s="184"/>
      <c r="I4464" s="184"/>
      <c r="K4464" s="184"/>
      <c r="P4464" t="s">
        <v>7045</v>
      </c>
      <c r="Q4464" t="s">
        <v>7030</v>
      </c>
      <c r="R4464" s="184">
        <v>17076</v>
      </c>
      <c r="S4464">
        <v>77</v>
      </c>
      <c r="V4464" t="s">
        <v>9708</v>
      </c>
      <c r="W4464" t="s">
        <v>7963</v>
      </c>
      <c r="X4464" t="s">
        <v>32633</v>
      </c>
      <c r="AF4464" t="s">
        <v>32634</v>
      </c>
      <c r="AG4464" t="s">
        <v>9708</v>
      </c>
      <c r="AI4464" t="s">
        <v>32635</v>
      </c>
      <c r="AM4464" t="s">
        <v>5659</v>
      </c>
      <c r="AN4464" t="s">
        <v>2089</v>
      </c>
      <c r="AO4464" t="s">
        <v>32636</v>
      </c>
      <c r="AP4464" t="s">
        <v>7024</v>
      </c>
      <c r="AQ4464" t="s">
        <v>32637</v>
      </c>
      <c r="AT4464" s="184">
        <v>41267</v>
      </c>
      <c r="AU4464" t="s">
        <v>32615</v>
      </c>
      <c r="AV4464">
        <v>15</v>
      </c>
      <c r="AW4464" s="184">
        <v>45124</v>
      </c>
      <c r="AX4464" t="s">
        <v>32638</v>
      </c>
      <c r="AY4464">
        <v>25</v>
      </c>
      <c r="AZ4464" s="184">
        <v>45124</v>
      </c>
      <c r="BA4464" t="s">
        <v>32638</v>
      </c>
      <c r="BB4464">
        <v>25</v>
      </c>
      <c r="BC4464">
        <v>93</v>
      </c>
      <c r="BD4464">
        <v>330</v>
      </c>
      <c r="BE4464">
        <v>2013</v>
      </c>
      <c r="BF4464">
        <v>16</v>
      </c>
      <c r="BG4464">
        <v>2</v>
      </c>
      <c r="BH4464">
        <v>50</v>
      </c>
      <c r="BI4464">
        <v>12</v>
      </c>
      <c r="BJ4464">
        <v>13</v>
      </c>
      <c r="BK4464">
        <v>12</v>
      </c>
      <c r="BP4464" s="184"/>
    </row>
    <row r="4465" spans="1:68">
      <c r="A4465">
        <v>100333121</v>
      </c>
      <c r="B4465">
        <v>84057413</v>
      </c>
      <c r="C4465" t="s">
        <v>7018</v>
      </c>
      <c r="E4465" s="184"/>
      <c r="G4465" s="184"/>
      <c r="H4465" t="s">
        <v>595</v>
      </c>
      <c r="I4465" s="184">
        <v>43829</v>
      </c>
      <c r="K4465" s="184"/>
      <c r="M4465" s="184"/>
      <c r="O4465" s="184"/>
      <c r="P4465" t="s">
        <v>7045</v>
      </c>
      <c r="Q4465" t="s">
        <v>7194</v>
      </c>
      <c r="R4465" s="184">
        <v>18372</v>
      </c>
      <c r="S4465">
        <v>74</v>
      </c>
      <c r="V4465" t="s">
        <v>2979</v>
      </c>
      <c r="X4465" t="s">
        <v>4475</v>
      </c>
      <c r="Z4465">
        <v>84057413</v>
      </c>
      <c r="AA4465" t="s">
        <v>7076</v>
      </c>
      <c r="AB4465" t="s">
        <v>32639</v>
      </c>
      <c r="AD4465" t="s">
        <v>4475</v>
      </c>
      <c r="AF4465" t="s">
        <v>32640</v>
      </c>
      <c r="AG4465" t="s">
        <v>32641</v>
      </c>
      <c r="AI4465" t="s">
        <v>32642</v>
      </c>
      <c r="AM4465" t="s">
        <v>4476</v>
      </c>
      <c r="AN4465" t="s">
        <v>2046</v>
      </c>
      <c r="AO4465" t="s">
        <v>32643</v>
      </c>
      <c r="AP4465" t="s">
        <v>7024</v>
      </c>
      <c r="AQ4465" t="s">
        <v>32644</v>
      </c>
      <c r="AT4465" s="184"/>
      <c r="AW4465" s="184"/>
      <c r="AZ4465" s="184"/>
      <c r="BP4465" s="184"/>
    </row>
    <row r="4466" spans="1:68">
      <c r="A4466">
        <v>84071174</v>
      </c>
      <c r="B4466">
        <v>84071174</v>
      </c>
      <c r="C4466" t="s">
        <v>7018</v>
      </c>
      <c r="E4466" s="184"/>
      <c r="G4466" s="184"/>
      <c r="I4466" s="184"/>
      <c r="J4466" t="s">
        <v>595</v>
      </c>
      <c r="K4466" s="184">
        <v>41271</v>
      </c>
      <c r="M4466" s="184"/>
      <c r="P4466" t="s">
        <v>8550</v>
      </c>
      <c r="Q4466" t="s">
        <v>7194</v>
      </c>
      <c r="R4466" s="184">
        <v>24645</v>
      </c>
      <c r="S4466">
        <v>56</v>
      </c>
      <c r="U4466" t="s">
        <v>7076</v>
      </c>
      <c r="V4466" t="s">
        <v>2882</v>
      </c>
      <c r="X4466" t="s">
        <v>32645</v>
      </c>
      <c r="AF4466" t="s">
        <v>6774</v>
      </c>
      <c r="AG4466" t="s">
        <v>2882</v>
      </c>
      <c r="AI4466" t="s">
        <v>32646</v>
      </c>
      <c r="AM4466" t="s">
        <v>5378</v>
      </c>
      <c r="AN4466" t="s">
        <v>2046</v>
      </c>
      <c r="AO4466">
        <v>32958</v>
      </c>
      <c r="AP4466" t="s">
        <v>7024</v>
      </c>
      <c r="AQ4466" t="s">
        <v>32647</v>
      </c>
      <c r="AT4466" s="184"/>
      <c r="AW4466" s="184"/>
      <c r="AZ4466" s="184"/>
      <c r="BP4466" s="184"/>
    </row>
    <row r="4467" spans="1:68">
      <c r="A4467">
        <v>84092980</v>
      </c>
      <c r="B4467">
        <v>84092980</v>
      </c>
      <c r="C4467" t="s">
        <v>7018</v>
      </c>
      <c r="E4467" s="184"/>
      <c r="G4467" s="184"/>
      <c r="I4467" s="184"/>
      <c r="J4467" t="s">
        <v>595</v>
      </c>
      <c r="K4467" s="184">
        <v>42522</v>
      </c>
      <c r="M4467" s="184"/>
      <c r="O4467" s="184"/>
      <c r="P4467" t="s">
        <v>7045</v>
      </c>
      <c r="Q4467" t="s">
        <v>7262</v>
      </c>
      <c r="R4467" s="184">
        <v>16589</v>
      </c>
      <c r="S4467">
        <v>78</v>
      </c>
      <c r="U4467" t="s">
        <v>7031</v>
      </c>
      <c r="V4467" t="s">
        <v>3054</v>
      </c>
      <c r="W4467" t="s">
        <v>4327</v>
      </c>
      <c r="X4467" t="s">
        <v>32648</v>
      </c>
      <c r="AF4467" t="s">
        <v>6641</v>
      </c>
      <c r="AG4467" t="s">
        <v>3054</v>
      </c>
      <c r="AI4467" t="s">
        <v>32649</v>
      </c>
      <c r="AM4467" t="s">
        <v>5810</v>
      </c>
      <c r="AN4467" t="s">
        <v>65</v>
      </c>
      <c r="AO4467" t="s">
        <v>32650</v>
      </c>
      <c r="AP4467" t="s">
        <v>7024</v>
      </c>
      <c r="AQ4467" t="s">
        <v>32651</v>
      </c>
      <c r="AT4467" s="184">
        <v>41271</v>
      </c>
      <c r="AU4467" t="s">
        <v>32652</v>
      </c>
      <c r="AV4467">
        <v>25</v>
      </c>
      <c r="AW4467" s="184">
        <v>45280</v>
      </c>
      <c r="AX4467" t="s">
        <v>32653</v>
      </c>
      <c r="AY4467">
        <v>35</v>
      </c>
      <c r="AZ4467" s="184">
        <v>41613</v>
      </c>
      <c r="BA4467" t="s">
        <v>32654</v>
      </c>
      <c r="BB4467">
        <v>50</v>
      </c>
      <c r="BC4467">
        <v>93</v>
      </c>
      <c r="BD4467">
        <v>440</v>
      </c>
      <c r="BE4467">
        <v>2013</v>
      </c>
      <c r="BF4467">
        <v>13</v>
      </c>
      <c r="BG4467">
        <v>2</v>
      </c>
      <c r="BH4467">
        <v>70</v>
      </c>
      <c r="BI4467">
        <v>12</v>
      </c>
      <c r="BJ4467">
        <v>13</v>
      </c>
      <c r="BK4467">
        <v>12</v>
      </c>
      <c r="BP4467" s="184"/>
    </row>
    <row r="4468" spans="1:68">
      <c r="A4468">
        <v>84096775</v>
      </c>
      <c r="B4468">
        <v>84096775</v>
      </c>
      <c r="C4468" t="s">
        <v>7018</v>
      </c>
      <c r="D4468" t="s">
        <v>595</v>
      </c>
      <c r="E4468" s="184">
        <v>43861</v>
      </c>
      <c r="G4468" s="184"/>
      <c r="I4468" s="184"/>
      <c r="K4468" s="184"/>
      <c r="M4468" s="184"/>
      <c r="O4468" s="184"/>
      <c r="P4468" t="s">
        <v>7045</v>
      </c>
      <c r="Q4468" t="s">
        <v>7383</v>
      </c>
      <c r="R4468" s="184">
        <v>18264</v>
      </c>
      <c r="S4468">
        <v>74</v>
      </c>
      <c r="V4468" t="s">
        <v>3358</v>
      </c>
      <c r="W4468" t="s">
        <v>32655</v>
      </c>
      <c r="X4468" t="s">
        <v>3339</v>
      </c>
      <c r="AF4468" t="s">
        <v>32656</v>
      </c>
      <c r="AG4468" t="s">
        <v>3358</v>
      </c>
      <c r="AI4468" t="s">
        <v>32657</v>
      </c>
      <c r="AM4468" t="s">
        <v>28227</v>
      </c>
      <c r="AN4468" t="s">
        <v>2274</v>
      </c>
      <c r="AO4468" t="s">
        <v>32658</v>
      </c>
      <c r="AP4468" t="s">
        <v>7024</v>
      </c>
      <c r="AQ4468" t="s">
        <v>32659</v>
      </c>
      <c r="AR4468" t="s">
        <v>32660</v>
      </c>
      <c r="AT4468" s="184">
        <v>41272</v>
      </c>
      <c r="AU4468" t="s">
        <v>32661</v>
      </c>
      <c r="AV4468">
        <v>100</v>
      </c>
      <c r="AW4468" s="184">
        <v>45376</v>
      </c>
      <c r="AX4468" t="s">
        <v>8714</v>
      </c>
      <c r="AY4468">
        <v>25</v>
      </c>
      <c r="AZ4468" s="184">
        <v>41995</v>
      </c>
      <c r="BA4468" t="s">
        <v>32662</v>
      </c>
      <c r="BB4468">
        <v>150</v>
      </c>
      <c r="BC4468">
        <v>100</v>
      </c>
      <c r="BD4468">
        <v>2124</v>
      </c>
      <c r="BE4468">
        <v>2013</v>
      </c>
      <c r="BF4468">
        <v>98</v>
      </c>
      <c r="BG4468">
        <v>21</v>
      </c>
      <c r="BH4468">
        <v>465</v>
      </c>
      <c r="BI4468">
        <v>13</v>
      </c>
      <c r="BJ4468">
        <v>13</v>
      </c>
      <c r="BK4468">
        <v>13</v>
      </c>
    </row>
    <row r="4469" spans="1:68">
      <c r="A4469">
        <v>84186170</v>
      </c>
      <c r="B4469">
        <v>84186170</v>
      </c>
      <c r="C4469" t="s">
        <v>7018</v>
      </c>
      <c r="E4469" s="184"/>
      <c r="G4469" s="184"/>
      <c r="H4469" t="s">
        <v>595</v>
      </c>
      <c r="I4469" s="184">
        <v>43922</v>
      </c>
      <c r="K4469" s="184"/>
      <c r="M4469" s="184"/>
      <c r="O4469" s="184"/>
      <c r="P4469" t="s">
        <v>7045</v>
      </c>
      <c r="Q4469" t="s">
        <v>7030</v>
      </c>
      <c r="R4469" s="184">
        <v>18994</v>
      </c>
      <c r="S4469">
        <v>72</v>
      </c>
      <c r="U4469" t="s">
        <v>7130</v>
      </c>
      <c r="V4469" t="s">
        <v>4807</v>
      </c>
      <c r="X4469" t="s">
        <v>4808</v>
      </c>
      <c r="AF4469" t="s">
        <v>32663</v>
      </c>
      <c r="AG4469" t="s">
        <v>4807</v>
      </c>
      <c r="AI4469" t="s">
        <v>32664</v>
      </c>
      <c r="AM4469" t="s">
        <v>3601</v>
      </c>
      <c r="AN4469" t="s">
        <v>2201</v>
      </c>
      <c r="AO4469" t="s">
        <v>32665</v>
      </c>
      <c r="AP4469" t="s">
        <v>7024</v>
      </c>
      <c r="AT4469" s="184">
        <v>41276</v>
      </c>
      <c r="AU4469" t="s">
        <v>32666</v>
      </c>
      <c r="AV4469">
        <v>25</v>
      </c>
      <c r="AW4469" s="184">
        <v>45345</v>
      </c>
      <c r="AX4469" t="s">
        <v>32667</v>
      </c>
      <c r="AY4469">
        <v>50</v>
      </c>
      <c r="AZ4469" s="184">
        <v>44890</v>
      </c>
      <c r="BA4469" t="s">
        <v>24132</v>
      </c>
      <c r="BB4469">
        <v>75</v>
      </c>
      <c r="BC4469">
        <v>84</v>
      </c>
      <c r="BD4469">
        <v>545</v>
      </c>
      <c r="BE4469">
        <v>2013</v>
      </c>
      <c r="BF4469">
        <v>12</v>
      </c>
      <c r="BG4469">
        <v>4</v>
      </c>
      <c r="BH4469">
        <v>225</v>
      </c>
      <c r="BI4469">
        <v>10</v>
      </c>
      <c r="BJ4469">
        <v>12</v>
      </c>
      <c r="BK4469">
        <v>6</v>
      </c>
      <c r="BP4469" s="184"/>
    </row>
    <row r="4470" spans="1:68">
      <c r="A4470">
        <v>84305697</v>
      </c>
      <c r="B4470">
        <v>84305697</v>
      </c>
      <c r="C4470" t="s">
        <v>7018</v>
      </c>
      <c r="E4470" s="184"/>
      <c r="G4470" s="184"/>
      <c r="I4470" s="184"/>
      <c r="J4470" t="s">
        <v>595</v>
      </c>
      <c r="K4470" s="184">
        <v>44322</v>
      </c>
      <c r="M4470" s="184"/>
      <c r="O4470" s="184"/>
      <c r="P4470" t="s">
        <v>7084</v>
      </c>
      <c r="Q4470" t="s">
        <v>7262</v>
      </c>
      <c r="R4470" s="184">
        <v>15462</v>
      </c>
      <c r="S4470">
        <v>82</v>
      </c>
      <c r="T4470" t="s">
        <v>2685</v>
      </c>
      <c r="U4470" t="s">
        <v>7031</v>
      </c>
      <c r="V4470" t="s">
        <v>22782</v>
      </c>
      <c r="W4470" t="s">
        <v>32668</v>
      </c>
      <c r="X4470" t="s">
        <v>2686</v>
      </c>
      <c r="Y4470" t="s">
        <v>7941</v>
      </c>
      <c r="Z4470">
        <v>100152421</v>
      </c>
      <c r="AA4470" t="s">
        <v>7130</v>
      </c>
      <c r="AB4470" t="s">
        <v>2903</v>
      </c>
      <c r="AC4470" t="s">
        <v>4139</v>
      </c>
      <c r="AD4470" t="s">
        <v>2686</v>
      </c>
      <c r="AF4470" t="s">
        <v>32669</v>
      </c>
      <c r="AG4470" t="s">
        <v>32670</v>
      </c>
      <c r="AI4470" t="s">
        <v>13291</v>
      </c>
      <c r="AM4470" t="s">
        <v>32671</v>
      </c>
      <c r="AN4470" t="s">
        <v>2106</v>
      </c>
      <c r="AO4470" t="s">
        <v>32672</v>
      </c>
      <c r="AP4470" t="s">
        <v>7024</v>
      </c>
      <c r="AQ4470" t="s">
        <v>32673</v>
      </c>
      <c r="AR4470" t="s">
        <v>32674</v>
      </c>
      <c r="AT4470" s="184">
        <v>41283</v>
      </c>
      <c r="AU4470" t="s">
        <v>32675</v>
      </c>
      <c r="AV4470">
        <v>500</v>
      </c>
      <c r="AW4470" s="184">
        <v>45390</v>
      </c>
      <c r="AX4470" t="s">
        <v>13016</v>
      </c>
      <c r="AY4470">
        <v>2500</v>
      </c>
      <c r="AZ4470" s="184">
        <v>44022</v>
      </c>
      <c r="BA4470" t="s">
        <v>32676</v>
      </c>
      <c r="BB4470">
        <v>270000</v>
      </c>
      <c r="BC4470">
        <v>100</v>
      </c>
      <c r="BD4470">
        <v>1031725</v>
      </c>
      <c r="BE4470">
        <v>2013</v>
      </c>
      <c r="BF4470">
        <v>57</v>
      </c>
      <c r="BG4470">
        <v>9</v>
      </c>
      <c r="BH4470">
        <v>132500</v>
      </c>
      <c r="BI4470">
        <v>12</v>
      </c>
      <c r="BJ4470">
        <v>12</v>
      </c>
      <c r="BK4470">
        <v>12</v>
      </c>
      <c r="BP4470" s="184"/>
    </row>
    <row r="4471" spans="1:68">
      <c r="A4471">
        <v>100152421</v>
      </c>
      <c r="B4471">
        <v>84305697</v>
      </c>
      <c r="C4471" t="s">
        <v>7018</v>
      </c>
      <c r="E4471" s="184"/>
      <c r="G4471" s="184"/>
      <c r="I4471" s="184"/>
      <c r="J4471" t="s">
        <v>595</v>
      </c>
      <c r="K4471" s="184">
        <v>44322</v>
      </c>
      <c r="M4471" s="184"/>
      <c r="O4471" s="184"/>
      <c r="P4471" t="s">
        <v>7084</v>
      </c>
      <c r="Q4471" t="s">
        <v>7262</v>
      </c>
      <c r="R4471" s="184">
        <v>18019</v>
      </c>
      <c r="S4471">
        <v>75</v>
      </c>
      <c r="U4471" t="s">
        <v>7130</v>
      </c>
      <c r="V4471" t="s">
        <v>2903</v>
      </c>
      <c r="W4471" t="s">
        <v>4139</v>
      </c>
      <c r="X4471" t="s">
        <v>2686</v>
      </c>
      <c r="Z4471">
        <v>84305697</v>
      </c>
      <c r="AA4471" t="s">
        <v>7031</v>
      </c>
      <c r="AB4471" t="s">
        <v>22782</v>
      </c>
      <c r="AC4471" t="s">
        <v>32668</v>
      </c>
      <c r="AD4471" t="s">
        <v>2686</v>
      </c>
      <c r="AE4471" t="s">
        <v>7941</v>
      </c>
      <c r="AF4471" t="s">
        <v>32669</v>
      </c>
      <c r="AG4471" t="s">
        <v>32670</v>
      </c>
      <c r="AI4471" t="s">
        <v>13291</v>
      </c>
      <c r="AM4471" t="s">
        <v>32671</v>
      </c>
      <c r="AN4471" t="s">
        <v>2106</v>
      </c>
      <c r="AO4471" t="s">
        <v>32672</v>
      </c>
      <c r="AP4471" t="s">
        <v>7024</v>
      </c>
      <c r="AQ4471" t="s">
        <v>32674</v>
      </c>
      <c r="AT4471" s="184"/>
      <c r="AW4471" s="184"/>
      <c r="AZ4471" s="184"/>
    </row>
    <row r="4472" spans="1:68">
      <c r="A4472">
        <v>84432046</v>
      </c>
      <c r="B4472">
        <v>84432046</v>
      </c>
      <c r="C4472" t="s">
        <v>7018</v>
      </c>
      <c r="D4472" t="s">
        <v>595</v>
      </c>
      <c r="E4472" s="184">
        <v>45175</v>
      </c>
      <c r="G4472" s="184"/>
      <c r="I4472" s="184"/>
      <c r="K4472" s="184"/>
      <c r="M4472" s="184"/>
      <c r="O4472" s="184"/>
      <c r="P4472" t="s">
        <v>7045</v>
      </c>
      <c r="Q4472" t="s">
        <v>7383</v>
      </c>
      <c r="R4472" s="184">
        <v>23798</v>
      </c>
      <c r="S4472">
        <v>59</v>
      </c>
      <c r="U4472" t="s">
        <v>7076</v>
      </c>
      <c r="V4472" t="s">
        <v>21647</v>
      </c>
      <c r="X4472" t="s">
        <v>32677</v>
      </c>
      <c r="AF4472" t="s">
        <v>32678</v>
      </c>
      <c r="AG4472" t="s">
        <v>21647</v>
      </c>
      <c r="AI4472" t="s">
        <v>32679</v>
      </c>
      <c r="AM4472" t="s">
        <v>32680</v>
      </c>
      <c r="AN4472" t="s">
        <v>2313</v>
      </c>
      <c r="AO4472" t="s">
        <v>32681</v>
      </c>
      <c r="AP4472" t="s">
        <v>7024</v>
      </c>
      <c r="AQ4472" t="s">
        <v>32682</v>
      </c>
      <c r="AR4472" t="s">
        <v>32683</v>
      </c>
      <c r="AT4472" s="184">
        <v>41285</v>
      </c>
      <c r="AU4472" t="s">
        <v>32684</v>
      </c>
      <c r="AV4472">
        <v>25</v>
      </c>
      <c r="AW4472" s="184">
        <v>45400</v>
      </c>
      <c r="AX4472" t="s">
        <v>7429</v>
      </c>
      <c r="AY4472">
        <v>15</v>
      </c>
      <c r="AZ4472" s="184">
        <v>45076</v>
      </c>
      <c r="BA4472" t="s">
        <v>32685</v>
      </c>
      <c r="BB4472">
        <v>100</v>
      </c>
      <c r="BC4472">
        <v>92</v>
      </c>
      <c r="BD4472">
        <v>835</v>
      </c>
      <c r="BE4472">
        <v>2013</v>
      </c>
      <c r="BF4472">
        <v>15</v>
      </c>
      <c r="BG4472">
        <v>4</v>
      </c>
      <c r="BH4472">
        <v>145</v>
      </c>
      <c r="BI4472">
        <v>11</v>
      </c>
      <c r="BJ4472">
        <v>12</v>
      </c>
      <c r="BK4472">
        <v>8</v>
      </c>
      <c r="BP4472" s="184"/>
    </row>
    <row r="4473" spans="1:68">
      <c r="A4473">
        <v>84435973</v>
      </c>
      <c r="B4473">
        <v>84435973</v>
      </c>
      <c r="C4473" t="s">
        <v>7018</v>
      </c>
      <c r="D4473" t="s">
        <v>595</v>
      </c>
      <c r="E4473" s="184">
        <v>45152</v>
      </c>
      <c r="G4473" s="184"/>
      <c r="I4473" s="184"/>
      <c r="K4473" s="184"/>
      <c r="O4473" s="184"/>
      <c r="P4473" t="s">
        <v>7045</v>
      </c>
      <c r="Q4473" t="s">
        <v>7020</v>
      </c>
      <c r="R4473" s="184">
        <v>18354</v>
      </c>
      <c r="S4473">
        <v>74</v>
      </c>
      <c r="U4473" t="s">
        <v>7130</v>
      </c>
      <c r="V4473" t="s">
        <v>2958</v>
      </c>
      <c r="W4473" t="s">
        <v>7560</v>
      </c>
      <c r="X4473" t="s">
        <v>32686</v>
      </c>
      <c r="AF4473" t="s">
        <v>32687</v>
      </c>
      <c r="AG4473" t="s">
        <v>2958</v>
      </c>
      <c r="AI4473" t="s">
        <v>22982</v>
      </c>
      <c r="AM4473" t="s">
        <v>32688</v>
      </c>
      <c r="AN4473" t="s">
        <v>2465</v>
      </c>
      <c r="AO4473" t="s">
        <v>32689</v>
      </c>
      <c r="AP4473" t="s">
        <v>7024</v>
      </c>
      <c r="AQ4473" t="s">
        <v>32690</v>
      </c>
      <c r="AT4473" s="184">
        <v>41285</v>
      </c>
      <c r="AU4473" t="s">
        <v>32691</v>
      </c>
      <c r="AV4473">
        <v>25</v>
      </c>
      <c r="AW4473" s="184">
        <v>45408</v>
      </c>
      <c r="AX4473" t="s">
        <v>8483</v>
      </c>
      <c r="AY4473">
        <v>12</v>
      </c>
      <c r="AZ4473" s="184">
        <v>43075</v>
      </c>
      <c r="BA4473" t="s">
        <v>32692</v>
      </c>
      <c r="BB4473">
        <v>40</v>
      </c>
      <c r="BC4473">
        <v>75</v>
      </c>
      <c r="BD4473">
        <v>772</v>
      </c>
      <c r="BE4473">
        <v>2013</v>
      </c>
      <c r="BF4473">
        <v>66</v>
      </c>
      <c r="BG4473">
        <v>22</v>
      </c>
      <c r="BH4473">
        <v>258</v>
      </c>
      <c r="BI4473">
        <v>9</v>
      </c>
      <c r="BJ4473">
        <v>12</v>
      </c>
      <c r="BK4473">
        <v>8</v>
      </c>
      <c r="BP4473" s="184"/>
    </row>
    <row r="4474" spans="1:68">
      <c r="A4474">
        <v>84454370</v>
      </c>
      <c r="B4474">
        <v>84454370</v>
      </c>
      <c r="C4474" t="s">
        <v>7018</v>
      </c>
      <c r="D4474" t="s">
        <v>595</v>
      </c>
      <c r="E4474" s="184">
        <v>45195</v>
      </c>
      <c r="G4474" s="184"/>
      <c r="I4474" s="184"/>
      <c r="K4474" s="184"/>
      <c r="M4474" s="184"/>
      <c r="O4474" s="184"/>
      <c r="P4474" t="s">
        <v>7045</v>
      </c>
      <c r="Q4474" t="s">
        <v>7374</v>
      </c>
      <c r="R4474" s="184">
        <v>20210</v>
      </c>
      <c r="S4474">
        <v>69</v>
      </c>
      <c r="V4474" t="s">
        <v>32693</v>
      </c>
      <c r="X4474" t="s">
        <v>32694</v>
      </c>
      <c r="AF4474" t="s">
        <v>32695</v>
      </c>
      <c r="AG4474" t="s">
        <v>32693</v>
      </c>
      <c r="AI4474" t="s">
        <v>32696</v>
      </c>
      <c r="AM4474" t="s">
        <v>8228</v>
      </c>
      <c r="AN4474" t="s">
        <v>2081</v>
      </c>
      <c r="AO4474" t="s">
        <v>32697</v>
      </c>
      <c r="AP4474" t="s">
        <v>7024</v>
      </c>
      <c r="AQ4474" t="s">
        <v>32698</v>
      </c>
      <c r="AT4474" s="184">
        <v>41285</v>
      </c>
      <c r="AU4474" t="s">
        <v>32699</v>
      </c>
      <c r="AV4474">
        <v>100</v>
      </c>
      <c r="AW4474" s="184">
        <v>45314</v>
      </c>
      <c r="AX4474" t="s">
        <v>7168</v>
      </c>
      <c r="AY4474">
        <v>100</v>
      </c>
      <c r="AZ4474" s="184">
        <v>45314</v>
      </c>
      <c r="BA4474" t="s">
        <v>7168</v>
      </c>
      <c r="BB4474">
        <v>100</v>
      </c>
      <c r="BC4474">
        <v>92</v>
      </c>
      <c r="BD4474">
        <v>1200</v>
      </c>
      <c r="BE4474">
        <v>2013</v>
      </c>
      <c r="BF4474">
        <v>12</v>
      </c>
      <c r="BG4474">
        <v>2</v>
      </c>
      <c r="BH4474">
        <v>200</v>
      </c>
      <c r="BI4474">
        <v>11</v>
      </c>
      <c r="BJ4474">
        <v>12</v>
      </c>
      <c r="BK4474">
        <v>10</v>
      </c>
      <c r="BP4474" s="184"/>
    </row>
    <row r="4475" spans="1:68">
      <c r="A4475">
        <v>84702018</v>
      </c>
      <c r="B4475">
        <v>84702018</v>
      </c>
      <c r="C4475" t="s">
        <v>7018</v>
      </c>
      <c r="D4475" t="s">
        <v>595</v>
      </c>
      <c r="E4475" s="184">
        <v>44154</v>
      </c>
      <c r="G4475" s="184"/>
      <c r="I4475" s="184"/>
      <c r="K4475" s="184"/>
      <c r="M4475" s="184"/>
      <c r="O4475" s="184"/>
      <c r="P4475" t="s">
        <v>7045</v>
      </c>
      <c r="Q4475" t="s">
        <v>7383</v>
      </c>
      <c r="R4475" s="184">
        <v>14873</v>
      </c>
      <c r="S4475">
        <v>83</v>
      </c>
      <c r="V4475" t="s">
        <v>5701</v>
      </c>
      <c r="X4475" t="s">
        <v>32700</v>
      </c>
      <c r="AF4475" t="s">
        <v>32701</v>
      </c>
      <c r="AG4475" t="s">
        <v>5701</v>
      </c>
      <c r="AI4475" t="s">
        <v>32702</v>
      </c>
      <c r="AM4475" t="s">
        <v>4031</v>
      </c>
      <c r="AN4475" t="s">
        <v>2059</v>
      </c>
      <c r="AO4475" t="s">
        <v>32703</v>
      </c>
      <c r="AP4475" t="s">
        <v>7024</v>
      </c>
      <c r="AQ4475" t="s">
        <v>32704</v>
      </c>
      <c r="AT4475" s="184">
        <v>41289</v>
      </c>
      <c r="AU4475" t="s">
        <v>32705</v>
      </c>
      <c r="AV4475">
        <v>25</v>
      </c>
      <c r="AW4475" s="184">
        <v>44336</v>
      </c>
      <c r="AX4475" t="s">
        <v>32706</v>
      </c>
      <c r="AY4475">
        <v>25</v>
      </c>
      <c r="AZ4475" s="184">
        <v>44336</v>
      </c>
      <c r="BA4475" t="s">
        <v>32706</v>
      </c>
      <c r="BB4475">
        <v>25</v>
      </c>
      <c r="BC4475">
        <v>50</v>
      </c>
      <c r="BD4475">
        <v>225</v>
      </c>
      <c r="BE4475">
        <v>2013</v>
      </c>
      <c r="BF4475">
        <v>9</v>
      </c>
      <c r="BI4475">
        <v>6</v>
      </c>
      <c r="BJ4475">
        <v>12</v>
      </c>
      <c r="BK4475">
        <v>5</v>
      </c>
      <c r="BP4475" s="184"/>
    </row>
    <row r="4476" spans="1:68">
      <c r="A4476">
        <v>84784370</v>
      </c>
      <c r="B4476">
        <v>84784370</v>
      </c>
      <c r="C4476" t="s">
        <v>7018</v>
      </c>
      <c r="D4476" t="s">
        <v>595</v>
      </c>
      <c r="E4476" s="184">
        <v>44438</v>
      </c>
      <c r="G4476" s="184"/>
      <c r="I4476" s="184"/>
      <c r="K4476" s="184"/>
      <c r="M4476" s="184"/>
      <c r="O4476" s="184"/>
      <c r="P4476" t="s">
        <v>7045</v>
      </c>
      <c r="Q4476" t="s">
        <v>7383</v>
      </c>
      <c r="R4476" s="184">
        <v>20760</v>
      </c>
      <c r="S4476">
        <v>67</v>
      </c>
      <c r="V4476" t="s">
        <v>9708</v>
      </c>
      <c r="W4476" t="s">
        <v>3522</v>
      </c>
      <c r="X4476" t="s">
        <v>2578</v>
      </c>
      <c r="AF4476" t="s">
        <v>32707</v>
      </c>
      <c r="AG4476" t="s">
        <v>9708</v>
      </c>
      <c r="AI4476" t="s">
        <v>32708</v>
      </c>
      <c r="AM4476" t="s">
        <v>32709</v>
      </c>
      <c r="AN4476" t="s">
        <v>2144</v>
      </c>
      <c r="AO4476" t="s">
        <v>32710</v>
      </c>
      <c r="AP4476" t="s">
        <v>7024</v>
      </c>
      <c r="AQ4476" t="s">
        <v>32711</v>
      </c>
      <c r="AT4476" s="184">
        <v>41292</v>
      </c>
      <c r="AU4476" t="s">
        <v>32712</v>
      </c>
      <c r="AV4476">
        <v>15</v>
      </c>
      <c r="AW4476" s="184">
        <v>44978</v>
      </c>
      <c r="AX4476" t="s">
        <v>28263</v>
      </c>
      <c r="AY4476">
        <v>25</v>
      </c>
      <c r="AZ4476" s="184">
        <v>44978</v>
      </c>
      <c r="BA4476" t="s">
        <v>28263</v>
      </c>
      <c r="BB4476">
        <v>25</v>
      </c>
      <c r="BC4476">
        <v>67</v>
      </c>
      <c r="BD4476">
        <v>240</v>
      </c>
      <c r="BE4476">
        <v>2013</v>
      </c>
      <c r="BF4476">
        <v>10</v>
      </c>
      <c r="BG4476">
        <v>2</v>
      </c>
      <c r="BH4476">
        <v>50</v>
      </c>
      <c r="BI4476">
        <v>8</v>
      </c>
      <c r="BJ4476">
        <v>12</v>
      </c>
      <c r="BK4476">
        <v>6</v>
      </c>
    </row>
    <row r="4477" spans="1:68">
      <c r="A4477">
        <v>84930577</v>
      </c>
      <c r="B4477">
        <v>84930577</v>
      </c>
      <c r="C4477" t="s">
        <v>7018</v>
      </c>
      <c r="D4477" t="s">
        <v>595</v>
      </c>
      <c r="E4477" s="184">
        <v>45104</v>
      </c>
      <c r="G4477" s="184"/>
      <c r="I4477" s="184"/>
      <c r="K4477" s="184"/>
      <c r="M4477" s="184"/>
      <c r="O4477" s="184"/>
      <c r="P4477" t="s">
        <v>7045</v>
      </c>
      <c r="Q4477" t="s">
        <v>7383</v>
      </c>
      <c r="R4477" s="184">
        <v>17877</v>
      </c>
      <c r="S4477">
        <v>75</v>
      </c>
      <c r="V4477" t="s">
        <v>3981</v>
      </c>
      <c r="W4477" t="s">
        <v>2316</v>
      </c>
      <c r="X4477" t="s">
        <v>3786</v>
      </c>
      <c r="AF4477" t="s">
        <v>32713</v>
      </c>
      <c r="AG4477" t="s">
        <v>3981</v>
      </c>
      <c r="AI4477" t="s">
        <v>32714</v>
      </c>
      <c r="AM4477" t="s">
        <v>2881</v>
      </c>
      <c r="AN4477" t="s">
        <v>2162</v>
      </c>
      <c r="AO4477" t="s">
        <v>32715</v>
      </c>
      <c r="AP4477" t="s">
        <v>7024</v>
      </c>
      <c r="AQ4477" t="s">
        <v>32716</v>
      </c>
      <c r="AT4477" s="184">
        <v>41302</v>
      </c>
      <c r="AU4477" t="s">
        <v>32717</v>
      </c>
      <c r="AV4477">
        <v>25</v>
      </c>
      <c r="AW4477" s="184">
        <v>45376</v>
      </c>
      <c r="AX4477" t="s">
        <v>16666</v>
      </c>
      <c r="AY4477">
        <v>25</v>
      </c>
      <c r="AZ4477" s="184">
        <v>43102</v>
      </c>
      <c r="BA4477" t="s">
        <v>32718</v>
      </c>
      <c r="BB4477">
        <v>50</v>
      </c>
      <c r="BC4477">
        <v>50</v>
      </c>
      <c r="BD4477">
        <v>175</v>
      </c>
      <c r="BE4477">
        <v>2013</v>
      </c>
      <c r="BF4477">
        <v>6</v>
      </c>
      <c r="BG4477">
        <v>2</v>
      </c>
      <c r="BH4477">
        <v>50</v>
      </c>
      <c r="BI4477">
        <v>6</v>
      </c>
      <c r="BJ4477">
        <v>12</v>
      </c>
      <c r="BK4477">
        <v>4</v>
      </c>
      <c r="BP4477" s="184"/>
    </row>
    <row r="4478" spans="1:68">
      <c r="A4478">
        <v>84968171</v>
      </c>
      <c r="B4478">
        <v>84968171</v>
      </c>
      <c r="C4478" t="s">
        <v>7018</v>
      </c>
      <c r="D4478" t="s">
        <v>595</v>
      </c>
      <c r="E4478" s="184">
        <v>44104</v>
      </c>
      <c r="G4478" s="184"/>
      <c r="I4478" s="184"/>
      <c r="K4478" s="184"/>
      <c r="M4478" s="184"/>
      <c r="O4478" s="184"/>
      <c r="P4478" t="s">
        <v>7019</v>
      </c>
      <c r="Q4478" t="s">
        <v>7383</v>
      </c>
      <c r="R4478" s="184">
        <v>18629</v>
      </c>
      <c r="S4478">
        <v>73</v>
      </c>
      <c r="V4478" t="s">
        <v>2985</v>
      </c>
      <c r="W4478" t="s">
        <v>3226</v>
      </c>
      <c r="X4478" t="s">
        <v>4685</v>
      </c>
      <c r="AF4478" t="s">
        <v>32719</v>
      </c>
      <c r="AG4478" t="s">
        <v>2985</v>
      </c>
      <c r="AI4478" t="s">
        <v>32720</v>
      </c>
      <c r="AM4478" t="s">
        <v>3292</v>
      </c>
      <c r="AN4478" t="s">
        <v>2059</v>
      </c>
      <c r="AO4478" t="s">
        <v>32721</v>
      </c>
      <c r="AP4478" t="s">
        <v>7024</v>
      </c>
      <c r="AQ4478" t="s">
        <v>32722</v>
      </c>
      <c r="AT4478" s="184">
        <v>41303</v>
      </c>
      <c r="AU4478" t="s">
        <v>32723</v>
      </c>
      <c r="AV4478">
        <v>25</v>
      </c>
      <c r="AW4478" s="184">
        <v>45399</v>
      </c>
      <c r="AX4478" t="s">
        <v>11966</v>
      </c>
      <c r="AY4478">
        <v>30</v>
      </c>
      <c r="AZ4478" s="184">
        <v>44559</v>
      </c>
      <c r="BA4478" t="s">
        <v>7851</v>
      </c>
      <c r="BB4478">
        <v>87</v>
      </c>
      <c r="BC4478">
        <v>100</v>
      </c>
      <c r="BD4478">
        <v>1044</v>
      </c>
      <c r="BE4478">
        <v>2013</v>
      </c>
      <c r="BF4478">
        <v>34</v>
      </c>
      <c r="BG4478">
        <v>6</v>
      </c>
      <c r="BH4478">
        <v>160</v>
      </c>
      <c r="BI4478">
        <v>12</v>
      </c>
      <c r="BJ4478">
        <v>12</v>
      </c>
      <c r="BK4478">
        <v>12</v>
      </c>
      <c r="BN4478" t="s">
        <v>595</v>
      </c>
      <c r="BP4478" s="184"/>
    </row>
    <row r="4479" spans="1:68">
      <c r="A4479">
        <v>84974377</v>
      </c>
      <c r="B4479">
        <v>84974377</v>
      </c>
      <c r="C4479" t="s">
        <v>7018</v>
      </c>
      <c r="D4479" t="s">
        <v>595</v>
      </c>
      <c r="E4479" s="184">
        <v>45196</v>
      </c>
      <c r="G4479" s="184"/>
      <c r="I4479" s="184"/>
      <c r="K4479" s="184"/>
      <c r="O4479" s="184"/>
      <c r="P4479" t="s">
        <v>7045</v>
      </c>
      <c r="Q4479" t="s">
        <v>7374</v>
      </c>
      <c r="R4479" s="184">
        <v>24799</v>
      </c>
      <c r="S4479">
        <v>56</v>
      </c>
      <c r="U4479" t="s">
        <v>7031</v>
      </c>
      <c r="V4479" t="s">
        <v>8224</v>
      </c>
      <c r="X4479" t="s">
        <v>32724</v>
      </c>
      <c r="AF4479" t="s">
        <v>32725</v>
      </c>
      <c r="AG4479" t="s">
        <v>32726</v>
      </c>
      <c r="AI4479" t="s">
        <v>32727</v>
      </c>
      <c r="AM4479" t="s">
        <v>5949</v>
      </c>
      <c r="AN4479" t="s">
        <v>2081</v>
      </c>
      <c r="AO4479" t="s">
        <v>32728</v>
      </c>
      <c r="AP4479" t="s">
        <v>7024</v>
      </c>
      <c r="AQ4479" t="s">
        <v>32729</v>
      </c>
      <c r="AT4479" s="184">
        <v>41303</v>
      </c>
      <c r="AU4479" t="s">
        <v>32730</v>
      </c>
      <c r="AV4479">
        <v>15</v>
      </c>
      <c r="AW4479" s="184">
        <v>45352</v>
      </c>
      <c r="AX4479" t="s">
        <v>7438</v>
      </c>
      <c r="AY4479">
        <v>25</v>
      </c>
      <c r="AZ4479" s="184">
        <v>45352</v>
      </c>
      <c r="BA4479" t="s">
        <v>7438</v>
      </c>
      <c r="BB4479">
        <v>25</v>
      </c>
      <c r="BC4479">
        <v>100</v>
      </c>
      <c r="BD4479">
        <v>435</v>
      </c>
      <c r="BE4479">
        <v>2013</v>
      </c>
      <c r="BF4479">
        <v>28</v>
      </c>
      <c r="BG4479">
        <v>5</v>
      </c>
      <c r="BH4479">
        <v>85</v>
      </c>
      <c r="BI4479">
        <v>12</v>
      </c>
      <c r="BJ4479">
        <v>12</v>
      </c>
      <c r="BK4479">
        <v>12</v>
      </c>
      <c r="BP4479" s="184"/>
    </row>
    <row r="4480" spans="1:68">
      <c r="A4480">
        <v>84974591</v>
      </c>
      <c r="B4480">
        <v>84974591</v>
      </c>
      <c r="C4480" t="s">
        <v>7018</v>
      </c>
      <c r="D4480" t="s">
        <v>595</v>
      </c>
      <c r="E4480" s="184">
        <v>44328</v>
      </c>
      <c r="G4480" s="184"/>
      <c r="I4480" s="184"/>
      <c r="K4480" s="184"/>
      <c r="M4480" s="184"/>
      <c r="O4480" s="184"/>
      <c r="P4480" t="s">
        <v>7045</v>
      </c>
      <c r="Q4480" t="s">
        <v>7374</v>
      </c>
      <c r="R4480" s="184">
        <v>19480</v>
      </c>
      <c r="S4480">
        <v>71</v>
      </c>
      <c r="U4480" t="s">
        <v>7130</v>
      </c>
      <c r="V4480" t="s">
        <v>7290</v>
      </c>
      <c r="X4480" t="s">
        <v>2657</v>
      </c>
      <c r="AF4480" t="s">
        <v>32731</v>
      </c>
      <c r="AG4480" t="s">
        <v>7290</v>
      </c>
      <c r="AI4480" t="s">
        <v>32732</v>
      </c>
      <c r="AM4480" t="s">
        <v>3109</v>
      </c>
      <c r="AN4480" t="s">
        <v>2081</v>
      </c>
      <c r="AO4480" t="s">
        <v>32733</v>
      </c>
      <c r="AP4480" t="s">
        <v>7024</v>
      </c>
      <c r="AQ4480" t="s">
        <v>32734</v>
      </c>
      <c r="AT4480" s="184">
        <v>41305</v>
      </c>
      <c r="AU4480" t="s">
        <v>32735</v>
      </c>
      <c r="AV4480">
        <v>19.95</v>
      </c>
      <c r="AW4480" s="184">
        <v>45103</v>
      </c>
      <c r="AX4480" t="s">
        <v>32736</v>
      </c>
      <c r="AY4480">
        <v>20</v>
      </c>
      <c r="AZ4480" s="184">
        <v>44446</v>
      </c>
      <c r="BA4480" t="s">
        <v>32737</v>
      </c>
      <c r="BB4480">
        <v>250</v>
      </c>
      <c r="BC4480">
        <v>75</v>
      </c>
      <c r="BD4480">
        <v>1319.95</v>
      </c>
      <c r="BE4480">
        <v>2013</v>
      </c>
      <c r="BF4480">
        <v>17</v>
      </c>
      <c r="BG4480">
        <v>2</v>
      </c>
      <c r="BH4480">
        <v>65</v>
      </c>
      <c r="BI4480">
        <v>9</v>
      </c>
      <c r="BJ4480">
        <v>12</v>
      </c>
      <c r="BK4480">
        <v>5</v>
      </c>
      <c r="BP4480" s="184"/>
    </row>
    <row r="4481" spans="1:68">
      <c r="A4481">
        <v>85013571</v>
      </c>
      <c r="B4481">
        <v>85013571</v>
      </c>
      <c r="C4481" t="s">
        <v>7018</v>
      </c>
      <c r="D4481" t="s">
        <v>595</v>
      </c>
      <c r="E4481" s="184">
        <v>45195</v>
      </c>
      <c r="G4481" s="184"/>
      <c r="I4481" s="184"/>
      <c r="K4481" s="184"/>
      <c r="O4481" s="184"/>
      <c r="P4481" t="s">
        <v>7045</v>
      </c>
      <c r="Q4481" t="s">
        <v>7020</v>
      </c>
      <c r="R4481" s="184">
        <v>18264</v>
      </c>
      <c r="S4481">
        <v>74</v>
      </c>
      <c r="V4481" t="s">
        <v>2586</v>
      </c>
      <c r="X4481" t="s">
        <v>32738</v>
      </c>
      <c r="AF4481" t="s">
        <v>32739</v>
      </c>
      <c r="AG4481" t="s">
        <v>2586</v>
      </c>
      <c r="AI4481" t="s">
        <v>32740</v>
      </c>
      <c r="AM4481" t="s">
        <v>3347</v>
      </c>
      <c r="AN4481" t="s">
        <v>2112</v>
      </c>
      <c r="AO4481" t="s">
        <v>32741</v>
      </c>
      <c r="AP4481" t="s">
        <v>7024</v>
      </c>
      <c r="AT4481" s="184">
        <v>41309</v>
      </c>
      <c r="AU4481" t="s">
        <v>32742</v>
      </c>
      <c r="AV4481">
        <v>10</v>
      </c>
      <c r="AW4481" s="184">
        <v>45110</v>
      </c>
      <c r="AX4481" t="s">
        <v>32743</v>
      </c>
      <c r="AY4481">
        <v>15</v>
      </c>
      <c r="AZ4481" s="184">
        <v>42964</v>
      </c>
      <c r="BA4481" t="s">
        <v>22941</v>
      </c>
      <c r="BB4481">
        <v>60</v>
      </c>
      <c r="BC4481">
        <v>50</v>
      </c>
      <c r="BD4481">
        <v>160</v>
      </c>
      <c r="BE4481">
        <v>2013</v>
      </c>
      <c r="BF4481">
        <v>7</v>
      </c>
      <c r="BG4481">
        <v>1</v>
      </c>
      <c r="BH4481">
        <v>15</v>
      </c>
      <c r="BI4481">
        <v>6</v>
      </c>
      <c r="BJ4481">
        <v>12</v>
      </c>
      <c r="BK4481">
        <v>5</v>
      </c>
      <c r="BP4481" s="184"/>
    </row>
    <row r="4482" spans="1:68">
      <c r="A4482">
        <v>85018174</v>
      </c>
      <c r="B4482">
        <v>85018174</v>
      </c>
      <c r="C4482" t="s">
        <v>7018</v>
      </c>
      <c r="D4482" t="s">
        <v>595</v>
      </c>
      <c r="E4482" s="184">
        <v>44484</v>
      </c>
      <c r="G4482" s="184"/>
      <c r="I4482" s="184"/>
      <c r="K4482" s="184"/>
      <c r="M4482" s="184"/>
      <c r="O4482" s="184"/>
      <c r="P4482" t="s">
        <v>7045</v>
      </c>
      <c r="Q4482" t="s">
        <v>7030</v>
      </c>
      <c r="R4482" s="184">
        <v>15464</v>
      </c>
      <c r="S4482">
        <v>82</v>
      </c>
      <c r="V4482" t="s">
        <v>3246</v>
      </c>
      <c r="W4482" t="s">
        <v>4139</v>
      </c>
      <c r="X4482" t="s">
        <v>22723</v>
      </c>
      <c r="AF4482" t="s">
        <v>32744</v>
      </c>
      <c r="AG4482" t="s">
        <v>3246</v>
      </c>
      <c r="AI4482" t="s">
        <v>32745</v>
      </c>
      <c r="AM4482" t="s">
        <v>2777</v>
      </c>
      <c r="AN4482" t="s">
        <v>2094</v>
      </c>
      <c r="AO4482" t="s">
        <v>32746</v>
      </c>
      <c r="AP4482" t="s">
        <v>7024</v>
      </c>
      <c r="AQ4482" t="s">
        <v>32747</v>
      </c>
      <c r="AR4482" t="s">
        <v>32748</v>
      </c>
      <c r="AT4482" s="184">
        <v>41310</v>
      </c>
      <c r="AU4482" t="s">
        <v>32749</v>
      </c>
      <c r="AV4482">
        <v>25</v>
      </c>
      <c r="AW4482" s="184">
        <v>44298</v>
      </c>
      <c r="AX4482" t="s">
        <v>32750</v>
      </c>
      <c r="AY4482">
        <v>35</v>
      </c>
      <c r="AZ4482" s="184">
        <v>42704</v>
      </c>
      <c r="BA4482" t="s">
        <v>8586</v>
      </c>
      <c r="BB4482">
        <v>50</v>
      </c>
      <c r="BC4482">
        <v>67</v>
      </c>
      <c r="BD4482">
        <v>390</v>
      </c>
      <c r="BE4482">
        <v>2013</v>
      </c>
      <c r="BF4482">
        <v>11</v>
      </c>
      <c r="BI4482">
        <v>8</v>
      </c>
      <c r="BJ4482">
        <v>12</v>
      </c>
      <c r="BK4482">
        <v>4</v>
      </c>
      <c r="BP4482" s="184"/>
    </row>
    <row r="4483" spans="1:68">
      <c r="A4483">
        <v>85028777</v>
      </c>
      <c r="B4483">
        <v>85028777</v>
      </c>
      <c r="C4483" t="s">
        <v>7018</v>
      </c>
      <c r="D4483" t="s">
        <v>595</v>
      </c>
      <c r="E4483" s="184">
        <v>44484</v>
      </c>
      <c r="G4483" s="184"/>
      <c r="I4483" s="184"/>
      <c r="K4483" s="184"/>
      <c r="M4483" s="184"/>
      <c r="P4483" t="s">
        <v>7045</v>
      </c>
      <c r="Q4483" t="s">
        <v>7160</v>
      </c>
      <c r="R4483" s="184">
        <v>17685</v>
      </c>
      <c r="S4483">
        <v>75</v>
      </c>
      <c r="V4483" t="s">
        <v>2851</v>
      </c>
      <c r="W4483" t="s">
        <v>7963</v>
      </c>
      <c r="X4483" t="s">
        <v>5816</v>
      </c>
      <c r="AF4483" t="s">
        <v>32751</v>
      </c>
      <c r="AG4483" t="s">
        <v>2851</v>
      </c>
      <c r="AI4483" t="s">
        <v>32752</v>
      </c>
      <c r="AM4483" t="s">
        <v>2960</v>
      </c>
      <c r="AN4483" t="s">
        <v>2446</v>
      </c>
      <c r="AO4483" t="s">
        <v>32753</v>
      </c>
      <c r="AP4483" t="s">
        <v>7024</v>
      </c>
      <c r="AQ4483" t="s">
        <v>32754</v>
      </c>
      <c r="AT4483" s="184">
        <v>41310</v>
      </c>
      <c r="AU4483" t="s">
        <v>32755</v>
      </c>
      <c r="AV4483">
        <v>25</v>
      </c>
      <c r="AW4483" s="184">
        <v>45274</v>
      </c>
      <c r="AX4483" t="s">
        <v>7515</v>
      </c>
      <c r="AY4483">
        <v>100</v>
      </c>
      <c r="AZ4483" s="184">
        <v>45274</v>
      </c>
      <c r="BA4483" t="s">
        <v>7515</v>
      </c>
      <c r="BB4483">
        <v>100</v>
      </c>
      <c r="BC4483">
        <v>59</v>
      </c>
      <c r="BD4483">
        <v>667</v>
      </c>
      <c r="BE4483">
        <v>2013</v>
      </c>
      <c r="BF4483">
        <v>9</v>
      </c>
      <c r="BG4483">
        <v>2</v>
      </c>
      <c r="BH4483">
        <v>200</v>
      </c>
      <c r="BI4483">
        <v>7</v>
      </c>
      <c r="BJ4483">
        <v>12</v>
      </c>
      <c r="BK4483">
        <v>3</v>
      </c>
    </row>
    <row r="4484" spans="1:68">
      <c r="A4484">
        <v>85038776</v>
      </c>
      <c r="B4484">
        <v>85038776</v>
      </c>
      <c r="C4484" t="s">
        <v>7018</v>
      </c>
      <c r="D4484" t="s">
        <v>595</v>
      </c>
      <c r="E4484" s="184">
        <v>44073</v>
      </c>
      <c r="G4484" s="184"/>
      <c r="I4484" s="184"/>
      <c r="K4484" s="184"/>
      <c r="M4484" s="184"/>
      <c r="O4484" s="184"/>
      <c r="P4484" t="s">
        <v>7045</v>
      </c>
      <c r="Q4484" t="s">
        <v>7160</v>
      </c>
      <c r="R4484" s="184">
        <v>21367</v>
      </c>
      <c r="S4484">
        <v>65</v>
      </c>
      <c r="V4484" t="s">
        <v>2697</v>
      </c>
      <c r="X4484" t="s">
        <v>32756</v>
      </c>
      <c r="AF4484" t="s">
        <v>32757</v>
      </c>
      <c r="AG4484" t="s">
        <v>2697</v>
      </c>
      <c r="AI4484" t="s">
        <v>32758</v>
      </c>
      <c r="AM4484" t="s">
        <v>9318</v>
      </c>
      <c r="AN4484" t="s">
        <v>4637</v>
      </c>
      <c r="AO4484" t="s">
        <v>32759</v>
      </c>
      <c r="AP4484" t="s">
        <v>7024</v>
      </c>
      <c r="AQ4484" t="s">
        <v>32760</v>
      </c>
      <c r="AT4484" s="184">
        <v>41311</v>
      </c>
      <c r="AU4484" t="s">
        <v>32761</v>
      </c>
      <c r="AV4484">
        <v>25</v>
      </c>
      <c r="AW4484" s="184">
        <v>45278</v>
      </c>
      <c r="AX4484" t="s">
        <v>11811</v>
      </c>
      <c r="AY4484">
        <v>50</v>
      </c>
      <c r="AZ4484" s="184">
        <v>44606</v>
      </c>
      <c r="BA4484" t="s">
        <v>7897</v>
      </c>
      <c r="BB4484">
        <v>75</v>
      </c>
      <c r="BC4484">
        <v>84</v>
      </c>
      <c r="BD4484">
        <v>645</v>
      </c>
      <c r="BE4484">
        <v>2013</v>
      </c>
      <c r="BF4484">
        <v>17</v>
      </c>
      <c r="BG4484">
        <v>3</v>
      </c>
      <c r="BH4484">
        <v>150</v>
      </c>
      <c r="BI4484">
        <v>10</v>
      </c>
      <c r="BJ4484">
        <v>12</v>
      </c>
      <c r="BK4484">
        <v>6</v>
      </c>
      <c r="BP4484" s="184"/>
    </row>
    <row r="4485" spans="1:68">
      <c r="A4485">
        <v>85094373</v>
      </c>
      <c r="B4485">
        <v>85094373</v>
      </c>
      <c r="C4485" t="s">
        <v>7018</v>
      </c>
      <c r="D4485" t="s">
        <v>595</v>
      </c>
      <c r="E4485" s="184">
        <v>44455</v>
      </c>
      <c r="G4485" s="184"/>
      <c r="I4485" s="184"/>
      <c r="K4485" s="184"/>
      <c r="M4485" s="184"/>
      <c r="P4485" t="s">
        <v>7045</v>
      </c>
      <c r="Q4485" t="s">
        <v>7160</v>
      </c>
      <c r="R4485" s="184">
        <v>18719</v>
      </c>
      <c r="S4485">
        <v>73</v>
      </c>
      <c r="V4485" t="s">
        <v>2541</v>
      </c>
      <c r="X4485" t="s">
        <v>32762</v>
      </c>
      <c r="AF4485" t="s">
        <v>32763</v>
      </c>
      <c r="AG4485" t="s">
        <v>2541</v>
      </c>
      <c r="AI4485" t="s">
        <v>32764</v>
      </c>
      <c r="AM4485" t="s">
        <v>32765</v>
      </c>
      <c r="AN4485" t="s">
        <v>2395</v>
      </c>
      <c r="AO4485" t="s">
        <v>32766</v>
      </c>
      <c r="AP4485" t="s">
        <v>7024</v>
      </c>
      <c r="AQ4485" t="s">
        <v>32767</v>
      </c>
      <c r="AT4485" s="184">
        <v>41317</v>
      </c>
      <c r="AU4485" t="s">
        <v>32768</v>
      </c>
      <c r="AV4485">
        <v>25</v>
      </c>
      <c r="AW4485" s="184">
        <v>45359</v>
      </c>
      <c r="AX4485" t="s">
        <v>17518</v>
      </c>
      <c r="AY4485">
        <v>25</v>
      </c>
      <c r="AZ4485" s="184">
        <v>45359</v>
      </c>
      <c r="BA4485" t="s">
        <v>17518</v>
      </c>
      <c r="BB4485">
        <v>25</v>
      </c>
      <c r="BC4485">
        <v>92</v>
      </c>
      <c r="BD4485">
        <v>275</v>
      </c>
      <c r="BE4485">
        <v>2013</v>
      </c>
      <c r="BF4485">
        <v>11</v>
      </c>
      <c r="BG4485">
        <v>2</v>
      </c>
      <c r="BH4485">
        <v>50</v>
      </c>
      <c r="BI4485">
        <v>11</v>
      </c>
      <c r="BJ4485">
        <v>12</v>
      </c>
      <c r="BK4485">
        <v>8</v>
      </c>
      <c r="BP4485" s="184"/>
    </row>
    <row r="4486" spans="1:68">
      <c r="A4486">
        <v>85122588</v>
      </c>
      <c r="B4486">
        <v>85122588</v>
      </c>
      <c r="C4486" t="s">
        <v>7018</v>
      </c>
      <c r="D4486" t="s">
        <v>595</v>
      </c>
      <c r="E4486" s="184">
        <v>45152</v>
      </c>
      <c r="G4486" s="184"/>
      <c r="K4486" s="184"/>
      <c r="M4486" s="184"/>
      <c r="O4486" s="184"/>
      <c r="P4486" t="s">
        <v>7045</v>
      </c>
      <c r="Q4486" t="s">
        <v>7383</v>
      </c>
      <c r="R4486" s="184">
        <v>22713</v>
      </c>
      <c r="S4486">
        <v>62</v>
      </c>
      <c r="V4486" t="s">
        <v>3768</v>
      </c>
      <c r="X4486" t="s">
        <v>2962</v>
      </c>
      <c r="AF4486" t="s">
        <v>32769</v>
      </c>
      <c r="AG4486" t="s">
        <v>3768</v>
      </c>
      <c r="AI4486" t="s">
        <v>32770</v>
      </c>
      <c r="AM4486" t="s">
        <v>32771</v>
      </c>
      <c r="AN4486" t="s">
        <v>2064</v>
      </c>
      <c r="AO4486" t="s">
        <v>32772</v>
      </c>
      <c r="AP4486" t="s">
        <v>7024</v>
      </c>
      <c r="AQ4486" t="s">
        <v>32773</v>
      </c>
      <c r="AT4486" s="184">
        <v>41319</v>
      </c>
      <c r="AU4486" t="s">
        <v>32774</v>
      </c>
      <c r="AV4486">
        <v>25</v>
      </c>
      <c r="AW4486" s="184">
        <v>45386</v>
      </c>
      <c r="AX4486" t="s">
        <v>9326</v>
      </c>
      <c r="AY4486">
        <v>25</v>
      </c>
      <c r="AZ4486" s="184">
        <v>45386</v>
      </c>
      <c r="BA4486" t="s">
        <v>9326</v>
      </c>
      <c r="BB4486">
        <v>25</v>
      </c>
      <c r="BC4486">
        <v>67</v>
      </c>
      <c r="BD4486">
        <v>250</v>
      </c>
      <c r="BE4486">
        <v>2013</v>
      </c>
      <c r="BF4486">
        <v>10</v>
      </c>
      <c r="BG4486">
        <v>3</v>
      </c>
      <c r="BH4486">
        <v>75</v>
      </c>
      <c r="BI4486">
        <v>8</v>
      </c>
      <c r="BJ4486">
        <v>12</v>
      </c>
      <c r="BK4486">
        <v>3</v>
      </c>
      <c r="BN4486" t="s">
        <v>595</v>
      </c>
      <c r="BP4486" s="184"/>
    </row>
    <row r="4487" spans="1:68">
      <c r="A4487">
        <v>85138584</v>
      </c>
      <c r="B4487">
        <v>85138584</v>
      </c>
      <c r="C4487" t="s">
        <v>7018</v>
      </c>
      <c r="D4487" t="s">
        <v>595</v>
      </c>
      <c r="E4487" s="184">
        <v>44208</v>
      </c>
      <c r="G4487" s="184"/>
      <c r="K4487" s="184"/>
      <c r="M4487" s="184"/>
      <c r="O4487" s="184"/>
      <c r="P4487" t="s">
        <v>7045</v>
      </c>
      <c r="Q4487" t="s">
        <v>7020</v>
      </c>
      <c r="R4487" s="184"/>
      <c r="V4487" t="s">
        <v>3103</v>
      </c>
      <c r="X4487" t="s">
        <v>2706</v>
      </c>
      <c r="AF4487" t="s">
        <v>32775</v>
      </c>
      <c r="AG4487" t="s">
        <v>3103</v>
      </c>
      <c r="AI4487" t="s">
        <v>32776</v>
      </c>
      <c r="AM4487" t="s">
        <v>5618</v>
      </c>
      <c r="AN4487" t="s">
        <v>2112</v>
      </c>
      <c r="AO4487" t="s">
        <v>32777</v>
      </c>
      <c r="AP4487" t="s">
        <v>7024</v>
      </c>
      <c r="AT4487" s="184">
        <v>41320</v>
      </c>
      <c r="AU4487" t="s">
        <v>32778</v>
      </c>
      <c r="AV4487">
        <v>10</v>
      </c>
      <c r="AW4487" s="184">
        <v>45306</v>
      </c>
      <c r="AX4487" t="s">
        <v>32779</v>
      </c>
      <c r="AY4487">
        <v>10</v>
      </c>
      <c r="AZ4487" s="184">
        <v>44749</v>
      </c>
      <c r="BA4487" t="s">
        <v>32780</v>
      </c>
      <c r="BB4487">
        <v>15</v>
      </c>
      <c r="BC4487">
        <v>92</v>
      </c>
      <c r="BD4487">
        <v>140</v>
      </c>
      <c r="BE4487">
        <v>2013</v>
      </c>
      <c r="BF4487">
        <v>11</v>
      </c>
      <c r="BG4487">
        <v>2</v>
      </c>
      <c r="BH4487">
        <v>25</v>
      </c>
      <c r="BI4487">
        <v>11</v>
      </c>
      <c r="BJ4487">
        <v>12</v>
      </c>
      <c r="BK4487">
        <v>10</v>
      </c>
    </row>
    <row r="4488" spans="1:68">
      <c r="A4488">
        <v>85144970</v>
      </c>
      <c r="B4488">
        <v>85144970</v>
      </c>
      <c r="C4488" t="s">
        <v>7018</v>
      </c>
      <c r="D4488" t="s">
        <v>595</v>
      </c>
      <c r="E4488" s="184">
        <v>45112</v>
      </c>
      <c r="G4488" s="184"/>
      <c r="I4488" s="184"/>
      <c r="K4488" s="184"/>
      <c r="O4488" s="184"/>
      <c r="P4488" t="s">
        <v>7045</v>
      </c>
      <c r="Q4488" t="s">
        <v>7383</v>
      </c>
      <c r="R4488" s="184">
        <v>18749</v>
      </c>
      <c r="S4488">
        <v>73</v>
      </c>
      <c r="U4488" t="s">
        <v>7076</v>
      </c>
      <c r="V4488" t="s">
        <v>3565</v>
      </c>
      <c r="X4488" t="s">
        <v>9976</v>
      </c>
      <c r="AF4488" t="s">
        <v>32781</v>
      </c>
      <c r="AG4488" t="s">
        <v>3565</v>
      </c>
      <c r="AI4488" t="s">
        <v>32782</v>
      </c>
      <c r="AM4488" t="s">
        <v>12711</v>
      </c>
      <c r="AN4488" t="s">
        <v>2059</v>
      </c>
      <c r="AO4488" t="s">
        <v>32783</v>
      </c>
      <c r="AP4488" t="s">
        <v>7024</v>
      </c>
      <c r="AQ4488" t="s">
        <v>32784</v>
      </c>
      <c r="AT4488" s="184">
        <v>41320</v>
      </c>
      <c r="AU4488" t="s">
        <v>32785</v>
      </c>
      <c r="AV4488">
        <v>25</v>
      </c>
      <c r="AW4488" s="184">
        <v>45156</v>
      </c>
      <c r="AX4488" t="s">
        <v>8960</v>
      </c>
      <c r="AY4488">
        <v>200</v>
      </c>
      <c r="AZ4488" s="184">
        <v>45156</v>
      </c>
      <c r="BA4488" t="s">
        <v>8960</v>
      </c>
      <c r="BB4488">
        <v>200</v>
      </c>
      <c r="BC4488">
        <v>59</v>
      </c>
      <c r="BD4488">
        <v>770</v>
      </c>
      <c r="BE4488">
        <v>2013</v>
      </c>
      <c r="BF4488">
        <v>7</v>
      </c>
      <c r="BG4488">
        <v>2</v>
      </c>
      <c r="BH4488">
        <v>400</v>
      </c>
      <c r="BI4488">
        <v>7</v>
      </c>
      <c r="BJ4488">
        <v>12</v>
      </c>
      <c r="BK4488">
        <v>3</v>
      </c>
    </row>
    <row r="4489" spans="1:68">
      <c r="A4489">
        <v>85177806</v>
      </c>
      <c r="B4489">
        <v>85177806</v>
      </c>
      <c r="C4489" t="s">
        <v>7018</v>
      </c>
      <c r="E4489" s="184"/>
      <c r="F4489" t="s">
        <v>595</v>
      </c>
      <c r="G4489" s="184">
        <v>44070</v>
      </c>
      <c r="I4489" s="184"/>
      <c r="K4489" s="184"/>
      <c r="M4489" s="184"/>
      <c r="P4489" t="s">
        <v>7045</v>
      </c>
      <c r="Q4489" t="s">
        <v>7262</v>
      </c>
      <c r="R4489" s="184">
        <v>17989</v>
      </c>
      <c r="S4489">
        <v>75</v>
      </c>
      <c r="V4489" t="s">
        <v>3778</v>
      </c>
      <c r="X4489" t="s">
        <v>32786</v>
      </c>
      <c r="AF4489" t="s">
        <v>32787</v>
      </c>
      <c r="AG4489" t="s">
        <v>3778</v>
      </c>
      <c r="AI4489" t="s">
        <v>32788</v>
      </c>
      <c r="AM4489" t="s">
        <v>4896</v>
      </c>
      <c r="AN4489" t="s">
        <v>2106</v>
      </c>
      <c r="AO4489" t="s">
        <v>32789</v>
      </c>
      <c r="AP4489" t="s">
        <v>7024</v>
      </c>
      <c r="AQ4489" t="s">
        <v>32790</v>
      </c>
      <c r="AT4489" s="184">
        <v>41324</v>
      </c>
      <c r="AU4489" t="s">
        <v>32791</v>
      </c>
      <c r="AV4489">
        <v>20</v>
      </c>
      <c r="AW4489" s="184">
        <v>45093</v>
      </c>
      <c r="AX4489" t="s">
        <v>32779</v>
      </c>
      <c r="AY4489">
        <v>25</v>
      </c>
      <c r="AZ4489" s="184">
        <v>42114</v>
      </c>
      <c r="BA4489" t="s">
        <v>32792</v>
      </c>
      <c r="BB4489">
        <v>50</v>
      </c>
      <c r="BC4489">
        <v>92</v>
      </c>
      <c r="BD4489">
        <v>530</v>
      </c>
      <c r="BE4489">
        <v>2013</v>
      </c>
      <c r="BF4489">
        <v>23</v>
      </c>
      <c r="BG4489">
        <v>3</v>
      </c>
      <c r="BH4489">
        <v>65</v>
      </c>
      <c r="BI4489">
        <v>11</v>
      </c>
      <c r="BJ4489">
        <v>12</v>
      </c>
      <c r="BK4489">
        <v>11</v>
      </c>
      <c r="BN4489" t="s">
        <v>595</v>
      </c>
    </row>
    <row r="4490" spans="1:68">
      <c r="A4490">
        <v>85210375</v>
      </c>
      <c r="B4490">
        <v>85210375</v>
      </c>
      <c r="C4490" t="s">
        <v>7018</v>
      </c>
      <c r="E4490" s="184"/>
      <c r="F4490" t="s">
        <v>595</v>
      </c>
      <c r="G4490" s="184">
        <v>44073</v>
      </c>
      <c r="I4490" s="184"/>
      <c r="K4490" s="184"/>
      <c r="M4490" s="184"/>
      <c r="P4490" t="s">
        <v>7029</v>
      </c>
      <c r="Q4490" t="s">
        <v>7383</v>
      </c>
      <c r="R4490" s="184">
        <v>20911</v>
      </c>
      <c r="S4490">
        <v>67</v>
      </c>
      <c r="U4490" t="s">
        <v>7031</v>
      </c>
      <c r="V4490" t="s">
        <v>5057</v>
      </c>
      <c r="W4490" t="s">
        <v>5403</v>
      </c>
      <c r="X4490" t="s">
        <v>32793</v>
      </c>
      <c r="AF4490" t="s">
        <v>32794</v>
      </c>
      <c r="AG4490" t="s">
        <v>5057</v>
      </c>
      <c r="AI4490" t="s">
        <v>32795</v>
      </c>
      <c r="AM4490" t="s">
        <v>11022</v>
      </c>
      <c r="AN4490" t="s">
        <v>2274</v>
      </c>
      <c r="AO4490" t="s">
        <v>32796</v>
      </c>
      <c r="AP4490" t="s">
        <v>7024</v>
      </c>
      <c r="AQ4490" t="s">
        <v>32797</v>
      </c>
      <c r="AT4490" s="184">
        <v>41324</v>
      </c>
      <c r="AU4490" t="s">
        <v>32798</v>
      </c>
      <c r="AV4490">
        <v>50</v>
      </c>
      <c r="AW4490" s="184">
        <v>45264</v>
      </c>
      <c r="AX4490" t="s">
        <v>11930</v>
      </c>
      <c r="AY4490">
        <v>500</v>
      </c>
      <c r="AZ4490" s="184">
        <v>45264</v>
      </c>
      <c r="BA4490" t="s">
        <v>11930</v>
      </c>
      <c r="BB4490">
        <v>500</v>
      </c>
      <c r="BC4490">
        <v>92</v>
      </c>
      <c r="BD4490">
        <v>9017.5</v>
      </c>
      <c r="BE4490">
        <v>2013</v>
      </c>
      <c r="BF4490">
        <v>72</v>
      </c>
      <c r="BG4490">
        <v>5</v>
      </c>
      <c r="BH4490">
        <v>1207.5</v>
      </c>
      <c r="BI4490">
        <v>11</v>
      </c>
      <c r="BJ4490">
        <v>12</v>
      </c>
      <c r="BK4490">
        <v>11</v>
      </c>
      <c r="BP4490" s="184"/>
    </row>
    <row r="4491" spans="1:68">
      <c r="A4491">
        <v>85247815</v>
      </c>
      <c r="B4491">
        <v>85247815</v>
      </c>
      <c r="C4491" t="s">
        <v>7018</v>
      </c>
      <c r="D4491" t="s">
        <v>595</v>
      </c>
      <c r="E4491" s="184">
        <v>45195</v>
      </c>
      <c r="G4491" s="184"/>
      <c r="I4491" s="184"/>
      <c r="K4491" s="184"/>
      <c r="M4491" s="184"/>
      <c r="O4491" s="184"/>
      <c r="P4491" t="s">
        <v>7045</v>
      </c>
      <c r="Q4491" t="s">
        <v>7383</v>
      </c>
      <c r="R4491" s="184">
        <v>18111</v>
      </c>
      <c r="S4491">
        <v>74</v>
      </c>
      <c r="V4491" t="s">
        <v>32799</v>
      </c>
      <c r="X4491" t="s">
        <v>32800</v>
      </c>
      <c r="AF4491" t="s">
        <v>32801</v>
      </c>
      <c r="AG4491" t="s">
        <v>32799</v>
      </c>
      <c r="AI4491" t="s">
        <v>32802</v>
      </c>
      <c r="AM4491" t="s">
        <v>13941</v>
      </c>
      <c r="AN4491" t="s">
        <v>2185</v>
      </c>
      <c r="AO4491" t="s">
        <v>32803</v>
      </c>
      <c r="AP4491" t="s">
        <v>7024</v>
      </c>
      <c r="AQ4491" t="s">
        <v>32804</v>
      </c>
      <c r="AR4491" t="s">
        <v>32805</v>
      </c>
      <c r="AT4491" s="184">
        <v>41325</v>
      </c>
      <c r="AU4491" t="s">
        <v>32791</v>
      </c>
      <c r="AV4491">
        <v>15</v>
      </c>
      <c r="AW4491" s="184">
        <v>45264</v>
      </c>
      <c r="AX4491" t="s">
        <v>30094</v>
      </c>
      <c r="AY4491">
        <v>25</v>
      </c>
      <c r="AZ4491" s="184">
        <v>41771</v>
      </c>
      <c r="BA4491" t="s">
        <v>32806</v>
      </c>
      <c r="BB4491">
        <v>60</v>
      </c>
      <c r="BC4491">
        <v>67</v>
      </c>
      <c r="BD4491">
        <v>200</v>
      </c>
      <c r="BE4491">
        <v>2013</v>
      </c>
      <c r="BF4491">
        <v>8</v>
      </c>
      <c r="BG4491">
        <v>2</v>
      </c>
      <c r="BH4491">
        <v>50</v>
      </c>
      <c r="BI4491">
        <v>8</v>
      </c>
      <c r="BJ4491">
        <v>12</v>
      </c>
      <c r="BK4491">
        <v>5</v>
      </c>
    </row>
    <row r="4492" spans="1:68">
      <c r="A4492">
        <v>85325587</v>
      </c>
      <c r="B4492">
        <v>85325587</v>
      </c>
      <c r="C4492" t="s">
        <v>7018</v>
      </c>
      <c r="D4492" t="s">
        <v>595</v>
      </c>
      <c r="E4492" s="184">
        <v>45195</v>
      </c>
      <c r="G4492" s="184"/>
      <c r="I4492" s="184"/>
      <c r="K4492" s="184"/>
      <c r="O4492" s="184"/>
      <c r="P4492" t="s">
        <v>7045</v>
      </c>
      <c r="Q4492" t="s">
        <v>7383</v>
      </c>
      <c r="R4492" s="184">
        <v>17899</v>
      </c>
      <c r="S4492">
        <v>75</v>
      </c>
      <c r="V4492" t="s">
        <v>4013</v>
      </c>
      <c r="X4492" t="s">
        <v>32807</v>
      </c>
      <c r="AF4492" t="s">
        <v>32808</v>
      </c>
      <c r="AG4492" t="s">
        <v>5990</v>
      </c>
      <c r="AI4492" t="s">
        <v>32809</v>
      </c>
      <c r="AM4492" t="s">
        <v>32810</v>
      </c>
      <c r="AN4492" t="s">
        <v>2072</v>
      </c>
      <c r="AO4492" t="s">
        <v>32811</v>
      </c>
      <c r="AP4492" t="s">
        <v>7024</v>
      </c>
      <c r="AQ4492" t="s">
        <v>32812</v>
      </c>
      <c r="AT4492" s="184">
        <v>41327</v>
      </c>
      <c r="AU4492" t="s">
        <v>32813</v>
      </c>
      <c r="AV4492">
        <v>15</v>
      </c>
      <c r="AW4492" s="184">
        <v>45097</v>
      </c>
      <c r="AX4492" t="s">
        <v>32814</v>
      </c>
      <c r="AY4492">
        <v>25</v>
      </c>
      <c r="AZ4492" s="184">
        <v>45097</v>
      </c>
      <c r="BA4492" t="s">
        <v>32814</v>
      </c>
      <c r="BB4492">
        <v>25</v>
      </c>
      <c r="BC4492">
        <v>59</v>
      </c>
      <c r="BD4492">
        <v>245</v>
      </c>
      <c r="BE4492">
        <v>2013</v>
      </c>
      <c r="BF4492">
        <v>11</v>
      </c>
      <c r="BG4492">
        <v>2</v>
      </c>
      <c r="BH4492">
        <v>50</v>
      </c>
      <c r="BI4492">
        <v>7</v>
      </c>
      <c r="BJ4492">
        <v>12</v>
      </c>
      <c r="BK4492">
        <v>5</v>
      </c>
    </row>
    <row r="4493" spans="1:68">
      <c r="A4493">
        <v>85510386</v>
      </c>
      <c r="B4493">
        <v>85510386</v>
      </c>
      <c r="C4493" t="s">
        <v>7018</v>
      </c>
      <c r="D4493" t="s">
        <v>595</v>
      </c>
      <c r="E4493" s="184">
        <v>44104</v>
      </c>
      <c r="G4493" s="184"/>
      <c r="I4493" s="184"/>
      <c r="K4493" s="184"/>
      <c r="M4493" s="184"/>
      <c r="O4493" s="184"/>
      <c r="P4493" t="s">
        <v>7045</v>
      </c>
      <c r="Q4493" t="s">
        <v>7383</v>
      </c>
      <c r="R4493" s="184">
        <v>18264</v>
      </c>
      <c r="S4493">
        <v>74</v>
      </c>
      <c r="V4493" t="s">
        <v>2995</v>
      </c>
      <c r="X4493" t="s">
        <v>5120</v>
      </c>
      <c r="Z4493">
        <v>100152928</v>
      </c>
      <c r="AA4493" t="s">
        <v>7031</v>
      </c>
      <c r="AB4493" t="s">
        <v>2821</v>
      </c>
      <c r="AC4493" t="s">
        <v>4013</v>
      </c>
      <c r="AD4493" t="s">
        <v>5120</v>
      </c>
      <c r="AF4493" t="s">
        <v>32815</v>
      </c>
      <c r="AG4493" t="s">
        <v>32816</v>
      </c>
      <c r="AI4493" t="s">
        <v>32817</v>
      </c>
      <c r="AM4493" t="s">
        <v>2737</v>
      </c>
      <c r="AN4493" t="s">
        <v>2059</v>
      </c>
      <c r="AO4493" t="s">
        <v>32818</v>
      </c>
      <c r="AP4493" t="s">
        <v>7024</v>
      </c>
      <c r="AQ4493" t="s">
        <v>32819</v>
      </c>
      <c r="AR4493" t="s">
        <v>32820</v>
      </c>
      <c r="AT4493" s="184">
        <v>41333</v>
      </c>
      <c r="AU4493" t="s">
        <v>32821</v>
      </c>
      <c r="AV4493">
        <v>19.97</v>
      </c>
      <c r="AW4493" s="184">
        <v>43569</v>
      </c>
      <c r="AX4493" t="s">
        <v>11863</v>
      </c>
      <c r="AY4493">
        <v>10</v>
      </c>
      <c r="AZ4493" s="184">
        <v>42732</v>
      </c>
      <c r="BA4493" t="s">
        <v>32822</v>
      </c>
      <c r="BB4493">
        <v>100</v>
      </c>
      <c r="BC4493">
        <v>42</v>
      </c>
      <c r="BD4493">
        <v>399.97</v>
      </c>
      <c r="BE4493">
        <v>2013</v>
      </c>
      <c r="BF4493">
        <v>22</v>
      </c>
      <c r="BI4493">
        <v>5</v>
      </c>
      <c r="BJ4493">
        <v>12</v>
      </c>
      <c r="BK4493">
        <v>4</v>
      </c>
      <c r="BP4493" s="184"/>
    </row>
    <row r="4494" spans="1:68">
      <c r="A4494">
        <v>100152928</v>
      </c>
      <c r="B4494">
        <v>85510386</v>
      </c>
      <c r="C4494" t="s">
        <v>7018</v>
      </c>
      <c r="D4494" t="s">
        <v>595</v>
      </c>
      <c r="E4494" s="184">
        <v>44104</v>
      </c>
      <c r="G4494" s="184"/>
      <c r="I4494" s="184"/>
      <c r="K4494" s="184"/>
      <c r="M4494" s="184"/>
      <c r="O4494" s="184"/>
      <c r="P4494" t="s">
        <v>7045</v>
      </c>
      <c r="Q4494" t="s">
        <v>7383</v>
      </c>
      <c r="R4494" s="184">
        <v>18264</v>
      </c>
      <c r="S4494">
        <v>74</v>
      </c>
      <c r="U4494" t="s">
        <v>7031</v>
      </c>
      <c r="V4494" t="s">
        <v>2821</v>
      </c>
      <c r="W4494" t="s">
        <v>4013</v>
      </c>
      <c r="X4494" t="s">
        <v>5120</v>
      </c>
      <c r="Z4494">
        <v>85510386</v>
      </c>
      <c r="AB4494" t="s">
        <v>2995</v>
      </c>
      <c r="AD4494" t="s">
        <v>5120</v>
      </c>
      <c r="AF4494" t="s">
        <v>32815</v>
      </c>
      <c r="AG4494" t="s">
        <v>32816</v>
      </c>
      <c r="AI4494" t="s">
        <v>32817</v>
      </c>
      <c r="AM4494" t="s">
        <v>2737</v>
      </c>
      <c r="AN4494" t="s">
        <v>2059</v>
      </c>
      <c r="AO4494" t="s">
        <v>32818</v>
      </c>
      <c r="AP4494" t="s">
        <v>7024</v>
      </c>
      <c r="AQ4494" t="s">
        <v>32823</v>
      </c>
      <c r="AR4494" t="s">
        <v>32819</v>
      </c>
      <c r="AT4494" s="184">
        <v>43599</v>
      </c>
      <c r="AU4494" t="s">
        <v>11866</v>
      </c>
      <c r="AV4494">
        <v>10</v>
      </c>
      <c r="AW4494" s="184">
        <v>45419</v>
      </c>
      <c r="AX4494" t="s">
        <v>7422</v>
      </c>
      <c r="AY4494">
        <v>10.5</v>
      </c>
      <c r="AZ4494" s="184">
        <v>45419</v>
      </c>
      <c r="BA4494" t="s">
        <v>7422</v>
      </c>
      <c r="BB4494">
        <v>10.5</v>
      </c>
      <c r="BC4494">
        <v>84</v>
      </c>
      <c r="BD4494">
        <v>373.5</v>
      </c>
      <c r="BE4494">
        <v>2019</v>
      </c>
      <c r="BF4494">
        <v>37</v>
      </c>
      <c r="BG4494">
        <v>7</v>
      </c>
      <c r="BH4494">
        <v>73.5</v>
      </c>
      <c r="BI4494">
        <v>5</v>
      </c>
      <c r="BJ4494">
        <v>6</v>
      </c>
      <c r="BK4494">
        <v>3</v>
      </c>
      <c r="BP4494" s="184"/>
    </row>
    <row r="4495" spans="1:68">
      <c r="A4495">
        <v>85523603</v>
      </c>
      <c r="B4495">
        <v>85523603</v>
      </c>
      <c r="C4495" t="s">
        <v>7018</v>
      </c>
      <c r="D4495" t="s">
        <v>595</v>
      </c>
      <c r="E4495" s="184">
        <v>44167</v>
      </c>
      <c r="G4495" s="184"/>
      <c r="I4495" s="184"/>
      <c r="K4495" s="184"/>
      <c r="M4495" s="184"/>
      <c r="P4495" t="s">
        <v>7019</v>
      </c>
      <c r="Q4495" t="s">
        <v>7262</v>
      </c>
      <c r="R4495" s="184">
        <v>20607</v>
      </c>
      <c r="S4495">
        <v>67</v>
      </c>
      <c r="U4495" t="s">
        <v>7130</v>
      </c>
      <c r="V4495" t="s">
        <v>3011</v>
      </c>
      <c r="W4495" t="s">
        <v>2049</v>
      </c>
      <c r="X4495" t="s">
        <v>32824</v>
      </c>
      <c r="AF4495" t="s">
        <v>32825</v>
      </c>
      <c r="AG4495" t="s">
        <v>3011</v>
      </c>
      <c r="AI4495" t="s">
        <v>32826</v>
      </c>
      <c r="AM4495" t="s">
        <v>32827</v>
      </c>
      <c r="AN4495" t="s">
        <v>2069</v>
      </c>
      <c r="AO4495" t="s">
        <v>32828</v>
      </c>
      <c r="AP4495" t="s">
        <v>7024</v>
      </c>
      <c r="AQ4495" t="s">
        <v>32829</v>
      </c>
      <c r="AR4495" t="s">
        <v>32830</v>
      </c>
      <c r="AT4495" s="184">
        <v>41331</v>
      </c>
      <c r="AU4495" t="s">
        <v>32831</v>
      </c>
      <c r="AV4495">
        <v>25</v>
      </c>
      <c r="AW4495" s="184">
        <v>45222</v>
      </c>
      <c r="AX4495" t="s">
        <v>32832</v>
      </c>
      <c r="AY4495">
        <v>20</v>
      </c>
      <c r="AZ4495" s="184">
        <v>44383</v>
      </c>
      <c r="BA4495" t="s">
        <v>32833</v>
      </c>
      <c r="BB4495">
        <v>80</v>
      </c>
      <c r="BC4495">
        <v>59</v>
      </c>
      <c r="BD4495">
        <v>395</v>
      </c>
      <c r="BE4495">
        <v>2013</v>
      </c>
      <c r="BF4495">
        <v>12</v>
      </c>
      <c r="BG4495">
        <v>5</v>
      </c>
      <c r="BH4495">
        <v>155</v>
      </c>
      <c r="BI4495">
        <v>7</v>
      </c>
      <c r="BJ4495">
        <v>12</v>
      </c>
      <c r="BK4495">
        <v>5</v>
      </c>
      <c r="BP4495" s="184"/>
    </row>
    <row r="4496" spans="1:68">
      <c r="A4496">
        <v>85552362</v>
      </c>
      <c r="B4496">
        <v>85552362</v>
      </c>
      <c r="C4496" t="s">
        <v>7018</v>
      </c>
      <c r="E4496" s="184"/>
      <c r="F4496" t="s">
        <v>595</v>
      </c>
      <c r="G4496" s="184">
        <v>44167</v>
      </c>
      <c r="I4496" s="184"/>
      <c r="K4496" s="184"/>
      <c r="P4496" t="s">
        <v>7019</v>
      </c>
      <c r="Q4496" t="s">
        <v>7383</v>
      </c>
      <c r="R4496" s="184">
        <v>19603</v>
      </c>
      <c r="S4496">
        <v>70</v>
      </c>
      <c r="U4496" t="s">
        <v>7076</v>
      </c>
      <c r="V4496" t="s">
        <v>3043</v>
      </c>
      <c r="W4496" t="s">
        <v>7246</v>
      </c>
      <c r="X4496" t="s">
        <v>32834</v>
      </c>
      <c r="AF4496" t="s">
        <v>32835</v>
      </c>
      <c r="AG4496" t="s">
        <v>3043</v>
      </c>
      <c r="AI4496" t="s">
        <v>32836</v>
      </c>
      <c r="AM4496" t="s">
        <v>9147</v>
      </c>
      <c r="AN4496" t="s">
        <v>2064</v>
      </c>
      <c r="AO4496" t="s">
        <v>32837</v>
      </c>
      <c r="AP4496" t="s">
        <v>7024</v>
      </c>
      <c r="AQ4496" t="s">
        <v>32838</v>
      </c>
      <c r="AT4496" s="184">
        <v>41331</v>
      </c>
      <c r="AU4496" t="s">
        <v>32839</v>
      </c>
      <c r="AV4496">
        <v>25</v>
      </c>
      <c r="AW4496" s="184">
        <v>45411</v>
      </c>
      <c r="AX4496" t="s">
        <v>32840</v>
      </c>
      <c r="AY4496">
        <v>20</v>
      </c>
      <c r="AZ4496" s="184">
        <v>43277</v>
      </c>
      <c r="BA4496" t="s">
        <v>32841</v>
      </c>
      <c r="BB4496">
        <v>90</v>
      </c>
      <c r="BC4496">
        <v>84</v>
      </c>
      <c r="BD4496">
        <v>712</v>
      </c>
      <c r="BE4496">
        <v>2013</v>
      </c>
      <c r="BF4496">
        <v>20</v>
      </c>
      <c r="BG4496">
        <v>2</v>
      </c>
      <c r="BH4496">
        <v>80</v>
      </c>
      <c r="BI4496">
        <v>10</v>
      </c>
      <c r="BJ4496">
        <v>12</v>
      </c>
      <c r="BK4496">
        <v>8</v>
      </c>
      <c r="BP4496" s="184"/>
    </row>
    <row r="4497" spans="1:68">
      <c r="A4497">
        <v>85635779</v>
      </c>
      <c r="B4497">
        <v>85635779</v>
      </c>
      <c r="C4497" t="s">
        <v>7018</v>
      </c>
      <c r="D4497" t="s">
        <v>595</v>
      </c>
      <c r="E4497" s="184">
        <v>44328</v>
      </c>
      <c r="G4497" s="184"/>
      <c r="I4497" s="184"/>
      <c r="K4497" s="184"/>
      <c r="M4497" s="184"/>
      <c r="O4497" s="184"/>
      <c r="P4497" t="s">
        <v>7045</v>
      </c>
      <c r="Q4497" t="s">
        <v>7194</v>
      </c>
      <c r="R4497" s="184">
        <v>18537</v>
      </c>
      <c r="S4497">
        <v>73</v>
      </c>
      <c r="V4497" t="s">
        <v>32842</v>
      </c>
      <c r="X4497" t="s">
        <v>4150</v>
      </c>
      <c r="Z4497">
        <v>100153014</v>
      </c>
      <c r="AB4497" t="s">
        <v>5400</v>
      </c>
      <c r="AD4497" t="s">
        <v>4150</v>
      </c>
      <c r="AF4497" t="s">
        <v>32843</v>
      </c>
      <c r="AG4497" t="s">
        <v>32844</v>
      </c>
      <c r="AI4497" t="s">
        <v>32845</v>
      </c>
      <c r="AM4497" t="s">
        <v>14262</v>
      </c>
      <c r="AN4497" t="s">
        <v>2046</v>
      </c>
      <c r="AO4497" t="s">
        <v>32846</v>
      </c>
      <c r="AP4497" t="s">
        <v>7024</v>
      </c>
      <c r="AQ4497" t="s">
        <v>32847</v>
      </c>
      <c r="AR4497" t="s">
        <v>32848</v>
      </c>
      <c r="AT4497" s="184">
        <v>41340</v>
      </c>
      <c r="AU4497" t="s">
        <v>32849</v>
      </c>
      <c r="AV4497">
        <v>25</v>
      </c>
      <c r="AW4497" s="184">
        <v>45335</v>
      </c>
      <c r="AX4497" t="s">
        <v>7168</v>
      </c>
      <c r="AY4497">
        <v>50</v>
      </c>
      <c r="AZ4497" s="184">
        <v>45335</v>
      </c>
      <c r="BA4497" t="s">
        <v>7168</v>
      </c>
      <c r="BB4497">
        <v>50</v>
      </c>
      <c r="BC4497">
        <v>100</v>
      </c>
      <c r="BD4497">
        <v>545</v>
      </c>
      <c r="BE4497">
        <v>2013</v>
      </c>
      <c r="BF4497">
        <v>16</v>
      </c>
      <c r="BG4497">
        <v>2</v>
      </c>
      <c r="BH4497">
        <v>100</v>
      </c>
      <c r="BI4497">
        <v>12</v>
      </c>
      <c r="BJ4497">
        <v>12</v>
      </c>
      <c r="BK4497">
        <v>12</v>
      </c>
      <c r="BP4497" s="184"/>
    </row>
    <row r="4498" spans="1:68">
      <c r="A4498">
        <v>100153014</v>
      </c>
      <c r="B4498">
        <v>85635779</v>
      </c>
      <c r="C4498" t="s">
        <v>7018</v>
      </c>
      <c r="D4498" t="s">
        <v>595</v>
      </c>
      <c r="E4498" s="184">
        <v>44328</v>
      </c>
      <c r="G4498" s="184"/>
      <c r="I4498" s="184"/>
      <c r="K4498" s="184"/>
      <c r="O4498" s="184"/>
      <c r="P4498" t="s">
        <v>7045</v>
      </c>
      <c r="Q4498" t="s">
        <v>7194</v>
      </c>
      <c r="R4498" s="184">
        <v>19360</v>
      </c>
      <c r="S4498">
        <v>71</v>
      </c>
      <c r="V4498" t="s">
        <v>5400</v>
      </c>
      <c r="X4498" t="s">
        <v>4150</v>
      </c>
      <c r="Z4498">
        <v>85635779</v>
      </c>
      <c r="AB4498" t="s">
        <v>32842</v>
      </c>
      <c r="AD4498" t="s">
        <v>4150</v>
      </c>
      <c r="AF4498" t="s">
        <v>32843</v>
      </c>
      <c r="AG4498" t="s">
        <v>32844</v>
      </c>
      <c r="AI4498" t="s">
        <v>32845</v>
      </c>
      <c r="AM4498" t="s">
        <v>14262</v>
      </c>
      <c r="AN4498" t="s">
        <v>2046</v>
      </c>
      <c r="AO4498" t="s">
        <v>32846</v>
      </c>
      <c r="AP4498" t="s">
        <v>7024</v>
      </c>
      <c r="AT4498" s="184"/>
      <c r="AW4498" s="184"/>
      <c r="AZ4498" s="184"/>
      <c r="BP4498" s="184"/>
    </row>
    <row r="4499" spans="1:68">
      <c r="A4499">
        <v>85639037</v>
      </c>
      <c r="B4499">
        <v>85639037</v>
      </c>
      <c r="C4499" t="s">
        <v>7018</v>
      </c>
      <c r="D4499" t="s">
        <v>595</v>
      </c>
      <c r="E4499" s="184">
        <v>45113</v>
      </c>
      <c r="G4499" s="184"/>
      <c r="I4499" s="184"/>
      <c r="K4499" s="184"/>
      <c r="M4499" s="184"/>
      <c r="P4499" t="s">
        <v>7019</v>
      </c>
      <c r="Q4499" t="s">
        <v>7160</v>
      </c>
      <c r="R4499" s="184">
        <v>17075</v>
      </c>
      <c r="S4499">
        <v>77</v>
      </c>
      <c r="V4499" t="s">
        <v>2697</v>
      </c>
      <c r="W4499" t="s">
        <v>3951</v>
      </c>
      <c r="X4499" t="s">
        <v>17912</v>
      </c>
      <c r="AF4499" t="s">
        <v>32850</v>
      </c>
      <c r="AG4499" t="s">
        <v>2697</v>
      </c>
      <c r="AI4499" t="s">
        <v>32851</v>
      </c>
      <c r="AM4499" t="s">
        <v>8562</v>
      </c>
      <c r="AN4499" t="s">
        <v>2446</v>
      </c>
      <c r="AO4499" t="s">
        <v>32852</v>
      </c>
      <c r="AP4499" t="s">
        <v>7024</v>
      </c>
      <c r="AQ4499" t="s">
        <v>32853</v>
      </c>
      <c r="AR4499" t="s">
        <v>32854</v>
      </c>
      <c r="AT4499" s="184">
        <v>41339</v>
      </c>
      <c r="AU4499" t="s">
        <v>32855</v>
      </c>
      <c r="AV4499">
        <v>20</v>
      </c>
      <c r="AW4499" s="184">
        <v>44473</v>
      </c>
      <c r="AX4499" t="s">
        <v>32856</v>
      </c>
      <c r="AY4499">
        <v>60</v>
      </c>
      <c r="AZ4499" s="184">
        <v>44473</v>
      </c>
      <c r="BA4499" t="s">
        <v>32856</v>
      </c>
      <c r="BB4499">
        <v>60</v>
      </c>
      <c r="BC4499">
        <v>42</v>
      </c>
      <c r="BD4499">
        <v>245</v>
      </c>
      <c r="BE4499">
        <v>2013</v>
      </c>
      <c r="BF4499">
        <v>8</v>
      </c>
      <c r="BI4499">
        <v>5</v>
      </c>
      <c r="BJ4499">
        <v>12</v>
      </c>
      <c r="BK4499">
        <v>2</v>
      </c>
      <c r="BN4499" t="s">
        <v>595</v>
      </c>
      <c r="BP4499" s="184"/>
    </row>
    <row r="4500" spans="1:68">
      <c r="A4500">
        <v>85694800</v>
      </c>
      <c r="B4500">
        <v>85694800</v>
      </c>
      <c r="C4500" t="s">
        <v>7018</v>
      </c>
      <c r="E4500" s="184"/>
      <c r="G4500" s="184"/>
      <c r="I4500" s="184"/>
      <c r="J4500" t="s">
        <v>595</v>
      </c>
      <c r="K4500" s="184">
        <v>42321</v>
      </c>
      <c r="M4500" s="184"/>
      <c r="P4500" t="s">
        <v>7045</v>
      </c>
      <c r="Q4500" t="s">
        <v>7030</v>
      </c>
      <c r="R4500" s="184">
        <v>20455</v>
      </c>
      <c r="S4500">
        <v>68</v>
      </c>
      <c r="V4500" t="s">
        <v>3450</v>
      </c>
      <c r="X4500" t="s">
        <v>32857</v>
      </c>
      <c r="Z4500">
        <v>100153050</v>
      </c>
      <c r="AB4500" t="s">
        <v>2871</v>
      </c>
      <c r="AD4500" t="s">
        <v>32857</v>
      </c>
      <c r="AF4500" t="s">
        <v>6663</v>
      </c>
      <c r="AG4500" t="s">
        <v>32858</v>
      </c>
      <c r="AI4500" t="s">
        <v>32859</v>
      </c>
      <c r="AM4500" t="s">
        <v>4209</v>
      </c>
      <c r="AN4500" t="s">
        <v>2201</v>
      </c>
      <c r="AO4500" t="s">
        <v>32860</v>
      </c>
      <c r="AP4500" t="s">
        <v>7024</v>
      </c>
      <c r="AQ4500" t="s">
        <v>32861</v>
      </c>
      <c r="AR4500" t="s">
        <v>32862</v>
      </c>
      <c r="AT4500" s="184">
        <v>41338</v>
      </c>
      <c r="AU4500" t="s">
        <v>32863</v>
      </c>
      <c r="AV4500">
        <v>25</v>
      </c>
      <c r="AW4500" s="184">
        <v>45271</v>
      </c>
      <c r="AX4500" t="s">
        <v>11411</v>
      </c>
      <c r="AY4500">
        <v>30</v>
      </c>
      <c r="AZ4500" s="184">
        <v>44900</v>
      </c>
      <c r="BA4500" t="s">
        <v>32864</v>
      </c>
      <c r="BB4500">
        <v>50</v>
      </c>
      <c r="BC4500">
        <v>59</v>
      </c>
      <c r="BD4500">
        <v>285</v>
      </c>
      <c r="BE4500">
        <v>2013</v>
      </c>
      <c r="BF4500">
        <v>8</v>
      </c>
      <c r="BG4500">
        <v>2</v>
      </c>
      <c r="BH4500">
        <v>80</v>
      </c>
      <c r="BI4500">
        <v>7</v>
      </c>
      <c r="BJ4500">
        <v>12</v>
      </c>
      <c r="BK4500">
        <v>3</v>
      </c>
      <c r="BP4500" s="184"/>
    </row>
    <row r="4501" spans="1:68">
      <c r="A4501">
        <v>100153050</v>
      </c>
      <c r="B4501">
        <v>85694800</v>
      </c>
      <c r="C4501" t="s">
        <v>7018</v>
      </c>
      <c r="E4501" s="184"/>
      <c r="G4501" s="184"/>
      <c r="I4501" s="184"/>
      <c r="J4501" t="s">
        <v>595</v>
      </c>
      <c r="K4501" s="184">
        <v>43649</v>
      </c>
      <c r="M4501" s="184"/>
      <c r="O4501" s="184"/>
      <c r="P4501" t="s">
        <v>7045</v>
      </c>
      <c r="Q4501" t="s">
        <v>7030</v>
      </c>
      <c r="R4501" s="184">
        <v>20090</v>
      </c>
      <c r="S4501">
        <v>69</v>
      </c>
      <c r="V4501" t="s">
        <v>2871</v>
      </c>
      <c r="X4501" t="s">
        <v>32857</v>
      </c>
      <c r="Z4501">
        <v>85694800</v>
      </c>
      <c r="AB4501" t="s">
        <v>3450</v>
      </c>
      <c r="AD4501" t="s">
        <v>32857</v>
      </c>
      <c r="AF4501" t="s">
        <v>6663</v>
      </c>
      <c r="AG4501" t="s">
        <v>32858</v>
      </c>
      <c r="AI4501" t="s">
        <v>32859</v>
      </c>
      <c r="AM4501" t="s">
        <v>4209</v>
      </c>
      <c r="AN4501" t="s">
        <v>2201</v>
      </c>
      <c r="AO4501" t="s">
        <v>32860</v>
      </c>
      <c r="AP4501" t="s">
        <v>7024</v>
      </c>
      <c r="AT4501" s="184"/>
      <c r="AW4501" s="184"/>
      <c r="AZ4501" s="184"/>
      <c r="BP4501" s="184"/>
    </row>
    <row r="4502" spans="1:68">
      <c r="A4502">
        <v>85719789</v>
      </c>
      <c r="B4502">
        <v>85719789</v>
      </c>
      <c r="C4502" t="s">
        <v>7018</v>
      </c>
      <c r="D4502" t="s">
        <v>595</v>
      </c>
      <c r="E4502" s="184">
        <v>45148</v>
      </c>
      <c r="G4502" s="184"/>
      <c r="I4502" s="184"/>
      <c r="K4502" s="184"/>
      <c r="M4502" s="184"/>
      <c r="O4502" s="184"/>
      <c r="P4502" t="s">
        <v>7045</v>
      </c>
      <c r="Q4502" t="s">
        <v>7262</v>
      </c>
      <c r="R4502" s="184">
        <v>16037</v>
      </c>
      <c r="S4502">
        <v>80</v>
      </c>
      <c r="V4502" t="s">
        <v>2903</v>
      </c>
      <c r="W4502" t="s">
        <v>7963</v>
      </c>
      <c r="X4502" t="s">
        <v>5308</v>
      </c>
      <c r="AF4502" t="s">
        <v>32865</v>
      </c>
      <c r="AG4502" t="s">
        <v>2903</v>
      </c>
      <c r="AI4502" t="s">
        <v>32866</v>
      </c>
      <c r="AM4502" t="s">
        <v>32867</v>
      </c>
      <c r="AN4502" t="s">
        <v>2069</v>
      </c>
      <c r="AO4502" t="s">
        <v>32868</v>
      </c>
      <c r="AP4502" t="s">
        <v>7024</v>
      </c>
      <c r="AQ4502" t="s">
        <v>32869</v>
      </c>
      <c r="AT4502" s="184">
        <v>41340</v>
      </c>
      <c r="AU4502" t="s">
        <v>32870</v>
      </c>
      <c r="AV4502">
        <v>15</v>
      </c>
      <c r="AW4502" s="184">
        <v>44270</v>
      </c>
      <c r="AX4502" t="s">
        <v>9982</v>
      </c>
      <c r="AY4502">
        <v>25</v>
      </c>
      <c r="AZ4502" s="184">
        <v>44270</v>
      </c>
      <c r="BA4502" t="s">
        <v>9982</v>
      </c>
      <c r="BB4502">
        <v>25</v>
      </c>
      <c r="BC4502">
        <v>42</v>
      </c>
      <c r="BD4502">
        <v>125</v>
      </c>
      <c r="BE4502">
        <v>2013</v>
      </c>
      <c r="BF4502">
        <v>8</v>
      </c>
      <c r="BI4502">
        <v>5</v>
      </c>
      <c r="BJ4502">
        <v>12</v>
      </c>
      <c r="BK4502">
        <v>2</v>
      </c>
      <c r="BN4502" t="s">
        <v>595</v>
      </c>
      <c r="BP4502" s="184"/>
    </row>
    <row r="4503" spans="1:68">
      <c r="A4503">
        <v>85804771</v>
      </c>
      <c r="B4503">
        <v>85804771</v>
      </c>
      <c r="C4503" t="s">
        <v>7018</v>
      </c>
      <c r="D4503" t="s">
        <v>595</v>
      </c>
      <c r="E4503" s="184">
        <v>45174</v>
      </c>
      <c r="G4503" s="184"/>
      <c r="I4503" s="184"/>
      <c r="K4503" s="184"/>
      <c r="M4503" s="184"/>
      <c r="O4503" s="184"/>
      <c r="P4503" t="s">
        <v>7045</v>
      </c>
      <c r="Q4503" t="s">
        <v>7262</v>
      </c>
      <c r="R4503" s="184">
        <v>20303</v>
      </c>
      <c r="S4503">
        <v>68</v>
      </c>
      <c r="U4503" t="s">
        <v>7130</v>
      </c>
      <c r="V4503" t="s">
        <v>5600</v>
      </c>
      <c r="X4503" t="s">
        <v>2570</v>
      </c>
      <c r="AF4503" t="s">
        <v>32871</v>
      </c>
      <c r="AG4503" t="s">
        <v>5600</v>
      </c>
      <c r="AI4503" t="s">
        <v>32872</v>
      </c>
      <c r="AM4503" t="s">
        <v>32873</v>
      </c>
      <c r="AN4503" t="s">
        <v>2106</v>
      </c>
      <c r="AO4503" t="s">
        <v>32874</v>
      </c>
      <c r="AP4503" t="s">
        <v>7024</v>
      </c>
      <c r="AQ4503" t="s">
        <v>32875</v>
      </c>
      <c r="AT4503" s="184">
        <v>41345</v>
      </c>
      <c r="AU4503" t="s">
        <v>32876</v>
      </c>
      <c r="AV4503">
        <v>25</v>
      </c>
      <c r="AW4503" s="184">
        <v>45281</v>
      </c>
      <c r="AX4503" t="s">
        <v>18380</v>
      </c>
      <c r="AY4503">
        <v>100</v>
      </c>
      <c r="AZ4503" s="184">
        <v>45281</v>
      </c>
      <c r="BA4503" t="s">
        <v>18380</v>
      </c>
      <c r="BB4503">
        <v>100</v>
      </c>
      <c r="BC4503">
        <v>42</v>
      </c>
      <c r="BD4503">
        <v>200</v>
      </c>
      <c r="BE4503">
        <v>2013</v>
      </c>
      <c r="BF4503">
        <v>5</v>
      </c>
      <c r="BG4503">
        <v>2</v>
      </c>
      <c r="BH4503">
        <v>125</v>
      </c>
      <c r="BI4503">
        <v>5</v>
      </c>
      <c r="BJ4503">
        <v>12</v>
      </c>
      <c r="BK4503">
        <v>4</v>
      </c>
      <c r="BP4503" s="184"/>
    </row>
    <row r="4504" spans="1:68">
      <c r="A4504">
        <v>85817781</v>
      </c>
      <c r="B4504">
        <v>85817781</v>
      </c>
      <c r="C4504" t="s">
        <v>7018</v>
      </c>
      <c r="D4504" t="s">
        <v>595</v>
      </c>
      <c r="E4504" s="184">
        <v>45148</v>
      </c>
      <c r="G4504" s="184"/>
      <c r="I4504" s="184"/>
      <c r="K4504" s="184"/>
      <c r="M4504" s="184"/>
      <c r="O4504" s="184"/>
      <c r="P4504" t="s">
        <v>7019</v>
      </c>
      <c r="Q4504" t="s">
        <v>7494</v>
      </c>
      <c r="R4504" s="184">
        <v>16619</v>
      </c>
      <c r="S4504">
        <v>78</v>
      </c>
      <c r="V4504" t="s">
        <v>2558</v>
      </c>
      <c r="X4504" t="s">
        <v>4319</v>
      </c>
      <c r="Z4504">
        <v>100153102</v>
      </c>
      <c r="AB4504" t="s">
        <v>4032</v>
      </c>
      <c r="AD4504" t="s">
        <v>4319</v>
      </c>
      <c r="AF4504" t="s">
        <v>32877</v>
      </c>
      <c r="AG4504" t="s">
        <v>32878</v>
      </c>
      <c r="AI4504" t="s">
        <v>32879</v>
      </c>
      <c r="AM4504" t="s">
        <v>32880</v>
      </c>
      <c r="AN4504" t="s">
        <v>2174</v>
      </c>
      <c r="AO4504" t="s">
        <v>32881</v>
      </c>
      <c r="AP4504" t="s">
        <v>7024</v>
      </c>
      <c r="AQ4504" t="s">
        <v>32882</v>
      </c>
      <c r="AT4504" s="184">
        <v>41345</v>
      </c>
      <c r="AU4504" t="s">
        <v>32883</v>
      </c>
      <c r="AV4504">
        <v>25</v>
      </c>
      <c r="AW4504" s="184">
        <v>44957</v>
      </c>
      <c r="AX4504" t="s">
        <v>22489</v>
      </c>
      <c r="AY4504">
        <v>60</v>
      </c>
      <c r="AZ4504" s="184">
        <v>44957</v>
      </c>
      <c r="BA4504" t="s">
        <v>22489</v>
      </c>
      <c r="BB4504">
        <v>60</v>
      </c>
      <c r="BC4504">
        <v>59</v>
      </c>
      <c r="BD4504">
        <v>350</v>
      </c>
      <c r="BE4504">
        <v>2013</v>
      </c>
      <c r="BF4504">
        <v>10</v>
      </c>
      <c r="BG4504">
        <v>1</v>
      </c>
      <c r="BH4504">
        <v>60</v>
      </c>
      <c r="BI4504">
        <v>7</v>
      </c>
      <c r="BJ4504">
        <v>12</v>
      </c>
      <c r="BK4504">
        <v>3</v>
      </c>
      <c r="BP4504" s="184"/>
    </row>
    <row r="4505" spans="1:68">
      <c r="A4505">
        <v>100153102</v>
      </c>
      <c r="B4505">
        <v>85817781</v>
      </c>
      <c r="C4505" t="s">
        <v>7018</v>
      </c>
      <c r="D4505" t="s">
        <v>595</v>
      </c>
      <c r="E4505" s="184">
        <v>45148</v>
      </c>
      <c r="I4505" s="184"/>
      <c r="K4505" s="184"/>
      <c r="M4505" s="184"/>
      <c r="O4505" s="184"/>
      <c r="P4505" t="s">
        <v>7019</v>
      </c>
      <c r="Q4505" t="s">
        <v>7494</v>
      </c>
      <c r="R4505" s="184">
        <v>16346</v>
      </c>
      <c r="S4505">
        <v>79</v>
      </c>
      <c r="V4505" t="s">
        <v>4032</v>
      </c>
      <c r="X4505" t="s">
        <v>4319</v>
      </c>
      <c r="Z4505">
        <v>85817781</v>
      </c>
      <c r="AB4505" t="s">
        <v>2558</v>
      </c>
      <c r="AD4505" t="s">
        <v>4319</v>
      </c>
      <c r="AF4505" t="s">
        <v>32877</v>
      </c>
      <c r="AG4505" t="s">
        <v>32878</v>
      </c>
      <c r="AI4505" t="s">
        <v>32879</v>
      </c>
      <c r="AM4505" t="s">
        <v>32880</v>
      </c>
      <c r="AN4505" t="s">
        <v>2174</v>
      </c>
      <c r="AO4505" t="s">
        <v>32881</v>
      </c>
      <c r="AP4505" t="s">
        <v>7024</v>
      </c>
      <c r="AT4505" s="184"/>
      <c r="AW4505" s="184"/>
      <c r="AZ4505" s="184"/>
      <c r="BP4505" s="184"/>
    </row>
    <row r="4506" spans="1:68">
      <c r="A4506">
        <v>85845410</v>
      </c>
      <c r="B4506">
        <v>85845410</v>
      </c>
      <c r="C4506" t="s">
        <v>7018</v>
      </c>
      <c r="D4506" t="s">
        <v>595</v>
      </c>
      <c r="E4506" s="184">
        <v>45112</v>
      </c>
      <c r="G4506" s="184"/>
      <c r="I4506" s="184"/>
      <c r="K4506" s="184"/>
      <c r="M4506" s="184"/>
      <c r="O4506" s="184"/>
      <c r="P4506" t="s">
        <v>7045</v>
      </c>
      <c r="Q4506" t="s">
        <v>7020</v>
      </c>
      <c r="R4506" s="184">
        <v>21429</v>
      </c>
      <c r="S4506">
        <v>65</v>
      </c>
      <c r="V4506" t="s">
        <v>2969</v>
      </c>
      <c r="X4506" t="s">
        <v>32884</v>
      </c>
      <c r="AF4506" t="s">
        <v>32885</v>
      </c>
      <c r="AG4506" t="s">
        <v>2969</v>
      </c>
      <c r="AI4506" t="s">
        <v>32886</v>
      </c>
      <c r="AM4506" t="s">
        <v>24321</v>
      </c>
      <c r="AN4506" t="s">
        <v>2112</v>
      </c>
      <c r="AO4506" t="s">
        <v>32887</v>
      </c>
      <c r="AP4506" t="s">
        <v>7024</v>
      </c>
      <c r="AQ4506" t="s">
        <v>32888</v>
      </c>
      <c r="AT4506" s="184">
        <v>41348</v>
      </c>
      <c r="AU4506" t="s">
        <v>32821</v>
      </c>
      <c r="AV4506">
        <v>19.97</v>
      </c>
      <c r="AW4506" s="184">
        <v>45418</v>
      </c>
      <c r="AX4506" t="s">
        <v>32889</v>
      </c>
      <c r="AY4506">
        <v>25</v>
      </c>
      <c r="AZ4506" s="184">
        <v>45418</v>
      </c>
      <c r="BA4506" t="s">
        <v>32889</v>
      </c>
      <c r="BB4506">
        <v>25</v>
      </c>
      <c r="BC4506">
        <v>75</v>
      </c>
      <c r="BD4506">
        <v>269.97000000000003</v>
      </c>
      <c r="BE4506">
        <v>2013</v>
      </c>
      <c r="BF4506">
        <v>11</v>
      </c>
      <c r="BG4506">
        <v>2</v>
      </c>
      <c r="BH4506">
        <v>50</v>
      </c>
      <c r="BI4506">
        <v>9</v>
      </c>
      <c r="BJ4506">
        <v>12</v>
      </c>
      <c r="BK4506">
        <v>6</v>
      </c>
      <c r="BP4506" s="184"/>
    </row>
    <row r="4507" spans="1:68">
      <c r="A4507">
        <v>85856854</v>
      </c>
      <c r="B4507">
        <v>85856854</v>
      </c>
      <c r="C4507" t="s">
        <v>7018</v>
      </c>
      <c r="D4507" t="s">
        <v>595</v>
      </c>
      <c r="E4507" s="184">
        <v>45180</v>
      </c>
      <c r="I4507" s="184"/>
      <c r="K4507" s="184"/>
      <c r="M4507" s="184"/>
      <c r="O4507" s="184"/>
      <c r="P4507" t="s">
        <v>7045</v>
      </c>
      <c r="Q4507" t="s">
        <v>7454</v>
      </c>
      <c r="R4507" s="184">
        <v>24280</v>
      </c>
      <c r="S4507">
        <v>57</v>
      </c>
      <c r="V4507" t="s">
        <v>3450</v>
      </c>
      <c r="X4507" t="s">
        <v>32890</v>
      </c>
      <c r="Z4507">
        <v>100153130</v>
      </c>
      <c r="AB4507" t="s">
        <v>2871</v>
      </c>
      <c r="AD4507" t="s">
        <v>32890</v>
      </c>
      <c r="AF4507" t="s">
        <v>32891</v>
      </c>
      <c r="AG4507" t="s">
        <v>32858</v>
      </c>
      <c r="AI4507" t="s">
        <v>32892</v>
      </c>
      <c r="AM4507" t="s">
        <v>3855</v>
      </c>
      <c r="AN4507" t="s">
        <v>2055</v>
      </c>
      <c r="AO4507" t="s">
        <v>32893</v>
      </c>
      <c r="AP4507" t="s">
        <v>7024</v>
      </c>
      <c r="AT4507" s="184">
        <v>41346</v>
      </c>
      <c r="AU4507" t="s">
        <v>32894</v>
      </c>
      <c r="AV4507">
        <v>100</v>
      </c>
      <c r="AW4507" s="184">
        <v>45219</v>
      </c>
      <c r="AX4507" t="s">
        <v>7742</v>
      </c>
      <c r="AY4507">
        <v>500</v>
      </c>
      <c r="AZ4507" s="184">
        <v>45219</v>
      </c>
      <c r="BA4507" t="s">
        <v>7742</v>
      </c>
      <c r="BB4507">
        <v>500</v>
      </c>
      <c r="BC4507">
        <v>59</v>
      </c>
      <c r="BD4507">
        <v>2250</v>
      </c>
      <c r="BE4507">
        <v>2013</v>
      </c>
      <c r="BF4507">
        <v>8</v>
      </c>
      <c r="BG4507">
        <v>1</v>
      </c>
      <c r="BH4507">
        <v>500</v>
      </c>
      <c r="BI4507">
        <v>7</v>
      </c>
      <c r="BJ4507">
        <v>12</v>
      </c>
      <c r="BK4507">
        <v>3</v>
      </c>
      <c r="BP4507" s="184"/>
    </row>
    <row r="4508" spans="1:68">
      <c r="A4508">
        <v>100153130</v>
      </c>
      <c r="B4508">
        <v>85856854</v>
      </c>
      <c r="C4508" t="s">
        <v>7018</v>
      </c>
      <c r="D4508" t="s">
        <v>595</v>
      </c>
      <c r="E4508" s="184">
        <v>45180</v>
      </c>
      <c r="G4508" s="184"/>
      <c r="I4508" s="184"/>
      <c r="K4508" s="184"/>
      <c r="M4508" s="184"/>
      <c r="O4508" s="184"/>
      <c r="P4508" t="s">
        <v>7045</v>
      </c>
      <c r="Q4508" t="s">
        <v>7454</v>
      </c>
      <c r="R4508" s="184">
        <v>24084</v>
      </c>
      <c r="S4508">
        <v>58</v>
      </c>
      <c r="V4508" t="s">
        <v>2871</v>
      </c>
      <c r="X4508" t="s">
        <v>32890</v>
      </c>
      <c r="Z4508">
        <v>85856854</v>
      </c>
      <c r="AB4508" t="s">
        <v>3450</v>
      </c>
      <c r="AD4508" t="s">
        <v>32890</v>
      </c>
      <c r="AF4508" t="s">
        <v>32891</v>
      </c>
      <c r="AG4508" t="s">
        <v>32858</v>
      </c>
      <c r="AI4508" t="s">
        <v>32892</v>
      </c>
      <c r="AM4508" t="s">
        <v>3855</v>
      </c>
      <c r="AN4508" t="s">
        <v>2055</v>
      </c>
      <c r="AO4508" t="s">
        <v>32893</v>
      </c>
      <c r="AP4508" t="s">
        <v>7024</v>
      </c>
      <c r="AT4508" s="184"/>
      <c r="AW4508" s="184"/>
      <c r="AZ4508" s="184"/>
      <c r="BP4508" s="184"/>
    </row>
    <row r="4509" spans="1:68">
      <c r="A4509">
        <v>85875789</v>
      </c>
      <c r="B4509">
        <v>85875789</v>
      </c>
      <c r="C4509" t="s">
        <v>7018</v>
      </c>
      <c r="D4509" t="s">
        <v>595</v>
      </c>
      <c r="E4509" s="184">
        <v>44070</v>
      </c>
      <c r="I4509" s="184"/>
      <c r="K4509" s="184"/>
      <c r="M4509" s="184"/>
      <c r="O4509" s="184"/>
      <c r="P4509" t="s">
        <v>7045</v>
      </c>
      <c r="Q4509" t="s">
        <v>7020</v>
      </c>
      <c r="R4509" s="184">
        <v>12645</v>
      </c>
      <c r="S4509">
        <v>89</v>
      </c>
      <c r="U4509" t="s">
        <v>7031</v>
      </c>
      <c r="V4509" t="s">
        <v>3889</v>
      </c>
      <c r="X4509" t="s">
        <v>4363</v>
      </c>
      <c r="AF4509" t="s">
        <v>32895</v>
      </c>
      <c r="AG4509" t="s">
        <v>3889</v>
      </c>
      <c r="AI4509" t="s">
        <v>32896</v>
      </c>
      <c r="AM4509" t="s">
        <v>13790</v>
      </c>
      <c r="AN4509" t="s">
        <v>2052</v>
      </c>
      <c r="AO4509" t="s">
        <v>32897</v>
      </c>
      <c r="AP4509" t="s">
        <v>7024</v>
      </c>
      <c r="AQ4509" t="s">
        <v>32898</v>
      </c>
      <c r="AT4509" s="184">
        <v>41346</v>
      </c>
      <c r="AU4509" t="s">
        <v>32899</v>
      </c>
      <c r="AV4509">
        <v>20</v>
      </c>
      <c r="AW4509" s="184">
        <v>45380</v>
      </c>
      <c r="AX4509" t="s">
        <v>32900</v>
      </c>
      <c r="AY4509">
        <v>21</v>
      </c>
      <c r="AZ4509" s="184">
        <v>41621</v>
      </c>
      <c r="BA4509" t="s">
        <v>32901</v>
      </c>
      <c r="BB4509">
        <v>25</v>
      </c>
      <c r="BC4509">
        <v>100</v>
      </c>
      <c r="BD4509">
        <v>1658</v>
      </c>
      <c r="BE4509">
        <v>2013</v>
      </c>
      <c r="BF4509">
        <v>109</v>
      </c>
      <c r="BG4509">
        <v>21</v>
      </c>
      <c r="BH4509">
        <v>441</v>
      </c>
      <c r="BI4509">
        <v>12</v>
      </c>
      <c r="BJ4509">
        <v>12</v>
      </c>
      <c r="BK4509">
        <v>12</v>
      </c>
      <c r="BP4509" s="184"/>
    </row>
    <row r="4510" spans="1:68">
      <c r="A4510">
        <v>85981975</v>
      </c>
      <c r="B4510">
        <v>85981975</v>
      </c>
      <c r="C4510" t="s">
        <v>7018</v>
      </c>
      <c r="D4510" t="s">
        <v>595</v>
      </c>
      <c r="E4510" s="184">
        <v>44168</v>
      </c>
      <c r="G4510" s="184"/>
      <c r="I4510" s="184"/>
      <c r="K4510" s="184"/>
      <c r="M4510" s="184"/>
      <c r="P4510" t="s">
        <v>7045</v>
      </c>
      <c r="Q4510" t="s">
        <v>7374</v>
      </c>
      <c r="R4510" s="184">
        <v>19480</v>
      </c>
      <c r="S4510">
        <v>71</v>
      </c>
      <c r="U4510" t="s">
        <v>7076</v>
      </c>
      <c r="V4510" t="s">
        <v>5715</v>
      </c>
      <c r="X4510" t="s">
        <v>32902</v>
      </c>
      <c r="AF4510" t="s">
        <v>32903</v>
      </c>
      <c r="AG4510" t="s">
        <v>5715</v>
      </c>
      <c r="AI4510" t="s">
        <v>32904</v>
      </c>
      <c r="AM4510" t="s">
        <v>4243</v>
      </c>
      <c r="AN4510" t="s">
        <v>2081</v>
      </c>
      <c r="AO4510" t="s">
        <v>32905</v>
      </c>
      <c r="AP4510" t="s">
        <v>7024</v>
      </c>
      <c r="AT4510" s="184">
        <v>41351</v>
      </c>
      <c r="AU4510" t="s">
        <v>32906</v>
      </c>
      <c r="AV4510">
        <v>25</v>
      </c>
      <c r="AW4510" s="184">
        <v>44109</v>
      </c>
      <c r="AX4510" t="s">
        <v>32907</v>
      </c>
      <c r="AY4510">
        <v>25</v>
      </c>
      <c r="AZ4510" s="184">
        <v>44069</v>
      </c>
      <c r="BA4510" t="s">
        <v>12478</v>
      </c>
      <c r="BB4510">
        <v>50</v>
      </c>
      <c r="BC4510">
        <v>67</v>
      </c>
      <c r="BD4510">
        <v>905</v>
      </c>
      <c r="BE4510">
        <v>2013</v>
      </c>
      <c r="BF4510">
        <v>33</v>
      </c>
      <c r="BI4510">
        <v>8</v>
      </c>
      <c r="BJ4510">
        <v>12</v>
      </c>
      <c r="BK4510">
        <v>8</v>
      </c>
      <c r="BP4510" s="184"/>
    </row>
    <row r="4511" spans="1:68">
      <c r="A4511">
        <v>86001575</v>
      </c>
      <c r="B4511">
        <v>86001575</v>
      </c>
      <c r="C4511" t="s">
        <v>7018</v>
      </c>
      <c r="D4511" t="s">
        <v>595</v>
      </c>
      <c r="E4511" s="184">
        <v>45120</v>
      </c>
      <c r="G4511" s="184"/>
      <c r="I4511" s="184"/>
      <c r="K4511" s="184"/>
      <c r="M4511" s="184"/>
      <c r="O4511" s="184"/>
      <c r="P4511" t="s">
        <v>7045</v>
      </c>
      <c r="Q4511" t="s">
        <v>7383</v>
      </c>
      <c r="R4511" s="184">
        <v>25508</v>
      </c>
      <c r="S4511">
        <v>54</v>
      </c>
      <c r="U4511" t="s">
        <v>7076</v>
      </c>
      <c r="V4511" t="s">
        <v>3230</v>
      </c>
      <c r="X4511" t="s">
        <v>32908</v>
      </c>
      <c r="AF4511" t="s">
        <v>32909</v>
      </c>
      <c r="AG4511" t="s">
        <v>3230</v>
      </c>
      <c r="AI4511" t="s">
        <v>32910</v>
      </c>
      <c r="AM4511" t="s">
        <v>12615</v>
      </c>
      <c r="AN4511" t="s">
        <v>2072</v>
      </c>
      <c r="AO4511" t="s">
        <v>32911</v>
      </c>
      <c r="AP4511" t="s">
        <v>7024</v>
      </c>
      <c r="AQ4511" t="s">
        <v>32912</v>
      </c>
      <c r="AT4511" s="184">
        <v>41351</v>
      </c>
      <c r="AU4511" t="s">
        <v>32913</v>
      </c>
      <c r="AV4511">
        <v>25</v>
      </c>
      <c r="AW4511" s="184">
        <v>45397</v>
      </c>
      <c r="AX4511" t="s">
        <v>7429</v>
      </c>
      <c r="AY4511">
        <v>10</v>
      </c>
      <c r="AZ4511" s="184">
        <v>42935</v>
      </c>
      <c r="BA4511" t="s">
        <v>32914</v>
      </c>
      <c r="BB4511">
        <v>25</v>
      </c>
      <c r="BC4511">
        <v>84</v>
      </c>
      <c r="BD4511">
        <v>795</v>
      </c>
      <c r="BE4511">
        <v>2013</v>
      </c>
      <c r="BF4511">
        <v>69</v>
      </c>
      <c r="BG4511">
        <v>24</v>
      </c>
      <c r="BH4511">
        <v>240</v>
      </c>
      <c r="BI4511">
        <v>10</v>
      </c>
      <c r="BJ4511">
        <v>12</v>
      </c>
      <c r="BK4511">
        <v>6</v>
      </c>
      <c r="BP4511" s="184"/>
    </row>
    <row r="4512" spans="1:68">
      <c r="A4512">
        <v>86017787</v>
      </c>
      <c r="B4512">
        <v>86017787</v>
      </c>
      <c r="C4512" t="s">
        <v>7018</v>
      </c>
      <c r="D4512" t="s">
        <v>595</v>
      </c>
      <c r="E4512" s="184">
        <v>44167</v>
      </c>
      <c r="I4512" s="184"/>
      <c r="K4512" s="184"/>
      <c r="M4512" s="184"/>
      <c r="O4512" s="184"/>
      <c r="P4512" t="s">
        <v>7045</v>
      </c>
      <c r="Q4512" t="s">
        <v>7374</v>
      </c>
      <c r="R4512" s="184">
        <v>14885</v>
      </c>
      <c r="S4512">
        <v>83</v>
      </c>
      <c r="V4512" t="s">
        <v>3341</v>
      </c>
      <c r="X4512" t="s">
        <v>32915</v>
      </c>
      <c r="AF4512" t="s">
        <v>32916</v>
      </c>
      <c r="AG4512" t="s">
        <v>3341</v>
      </c>
      <c r="AI4512" t="s">
        <v>32917</v>
      </c>
      <c r="AM4512" t="s">
        <v>4551</v>
      </c>
      <c r="AN4512" t="s">
        <v>2081</v>
      </c>
      <c r="AO4512" t="s">
        <v>32918</v>
      </c>
      <c r="AP4512" t="s">
        <v>7024</v>
      </c>
      <c r="AQ4512" t="s">
        <v>32919</v>
      </c>
      <c r="AT4512" s="184">
        <v>41352</v>
      </c>
      <c r="AU4512" t="s">
        <v>32920</v>
      </c>
      <c r="AV4512">
        <v>25</v>
      </c>
      <c r="AW4512" s="184">
        <v>44364</v>
      </c>
      <c r="AX4512" t="s">
        <v>29130</v>
      </c>
      <c r="AY4512">
        <v>35</v>
      </c>
      <c r="AZ4512" s="184">
        <v>42191</v>
      </c>
      <c r="BA4512" t="s">
        <v>32921</v>
      </c>
      <c r="BB4512">
        <v>50</v>
      </c>
      <c r="BC4512">
        <v>75</v>
      </c>
      <c r="BD4512">
        <v>425</v>
      </c>
      <c r="BE4512">
        <v>2013</v>
      </c>
      <c r="BF4512">
        <v>12</v>
      </c>
      <c r="BI4512">
        <v>9</v>
      </c>
      <c r="BJ4512">
        <v>12</v>
      </c>
      <c r="BK4512">
        <v>9</v>
      </c>
      <c r="BP4512" s="184"/>
    </row>
    <row r="4513" spans="1:68">
      <c r="A4513">
        <v>86022571</v>
      </c>
      <c r="B4513">
        <v>86022571</v>
      </c>
      <c r="C4513" t="s">
        <v>7018</v>
      </c>
      <c r="D4513" t="s">
        <v>595</v>
      </c>
      <c r="E4513" s="184">
        <v>44168</v>
      </c>
      <c r="G4513" s="184"/>
      <c r="I4513" s="184"/>
      <c r="K4513" s="184"/>
      <c r="M4513" s="184"/>
      <c r="O4513" s="184"/>
      <c r="P4513" t="s">
        <v>7029</v>
      </c>
      <c r="Q4513" t="s">
        <v>7020</v>
      </c>
      <c r="R4513" s="184">
        <v>18111</v>
      </c>
      <c r="S4513">
        <v>74</v>
      </c>
      <c r="U4513" t="s">
        <v>7076</v>
      </c>
      <c r="V4513" t="s">
        <v>3147</v>
      </c>
      <c r="W4513" t="s">
        <v>3332</v>
      </c>
      <c r="X4513" t="s">
        <v>32922</v>
      </c>
      <c r="AF4513" t="s">
        <v>32923</v>
      </c>
      <c r="AG4513" t="s">
        <v>3147</v>
      </c>
      <c r="AI4513" t="s">
        <v>32924</v>
      </c>
      <c r="AM4513" t="s">
        <v>32925</v>
      </c>
      <c r="AN4513" t="s">
        <v>2255</v>
      </c>
      <c r="AO4513" t="s">
        <v>32926</v>
      </c>
      <c r="AP4513" t="s">
        <v>7024</v>
      </c>
      <c r="AQ4513" t="s">
        <v>32927</v>
      </c>
      <c r="AR4513" t="s">
        <v>32928</v>
      </c>
      <c r="AT4513" s="184">
        <v>41352</v>
      </c>
      <c r="AU4513" t="s">
        <v>32929</v>
      </c>
      <c r="AV4513">
        <v>50</v>
      </c>
      <c r="AW4513" s="184">
        <v>45319</v>
      </c>
      <c r="AX4513" t="s">
        <v>32930</v>
      </c>
      <c r="AY4513">
        <v>1050</v>
      </c>
      <c r="AZ4513" s="184">
        <v>45319</v>
      </c>
      <c r="BA4513" t="s">
        <v>32930</v>
      </c>
      <c r="BB4513">
        <v>1050</v>
      </c>
      <c r="BC4513">
        <v>84</v>
      </c>
      <c r="BD4513">
        <v>3375</v>
      </c>
      <c r="BE4513">
        <v>2013</v>
      </c>
      <c r="BF4513">
        <v>21</v>
      </c>
      <c r="BG4513">
        <v>1</v>
      </c>
      <c r="BH4513">
        <v>1050</v>
      </c>
      <c r="BI4513">
        <v>10</v>
      </c>
      <c r="BJ4513">
        <v>12</v>
      </c>
      <c r="BK4513">
        <v>6</v>
      </c>
      <c r="BP4513" s="184"/>
    </row>
    <row r="4514" spans="1:68">
      <c r="A4514">
        <v>86030376</v>
      </c>
      <c r="B4514">
        <v>86030376</v>
      </c>
      <c r="C4514" t="s">
        <v>7018</v>
      </c>
      <c r="D4514" t="s">
        <v>595</v>
      </c>
      <c r="E4514" s="184">
        <v>44104</v>
      </c>
      <c r="G4514" s="184"/>
      <c r="I4514" s="184"/>
      <c r="K4514" s="184"/>
      <c r="M4514" s="184"/>
      <c r="O4514" s="184"/>
      <c r="P4514" t="s">
        <v>7045</v>
      </c>
      <c r="Q4514" t="s">
        <v>7454</v>
      </c>
      <c r="R4514" s="184">
        <v>16526</v>
      </c>
      <c r="S4514">
        <v>79</v>
      </c>
      <c r="V4514" t="s">
        <v>4926</v>
      </c>
      <c r="X4514" t="s">
        <v>32931</v>
      </c>
      <c r="AF4514" t="s">
        <v>32932</v>
      </c>
      <c r="AG4514" t="s">
        <v>4926</v>
      </c>
      <c r="AI4514" t="s">
        <v>32933</v>
      </c>
      <c r="AM4514" t="s">
        <v>3750</v>
      </c>
      <c r="AN4514" t="s">
        <v>2055</v>
      </c>
      <c r="AO4514" t="s">
        <v>32934</v>
      </c>
      <c r="AP4514" t="s">
        <v>7024</v>
      </c>
      <c r="AQ4514" t="s">
        <v>32935</v>
      </c>
      <c r="AT4514" s="184">
        <v>41352</v>
      </c>
      <c r="AU4514" t="s">
        <v>32899</v>
      </c>
      <c r="AV4514">
        <v>25</v>
      </c>
      <c r="AW4514" s="184">
        <v>44179</v>
      </c>
      <c r="AX4514" t="s">
        <v>32936</v>
      </c>
      <c r="AY4514">
        <v>25</v>
      </c>
      <c r="AZ4514" s="184">
        <v>43236</v>
      </c>
      <c r="BA4514" t="s">
        <v>32937</v>
      </c>
      <c r="BB4514">
        <v>45</v>
      </c>
      <c r="BC4514">
        <v>59</v>
      </c>
      <c r="BD4514">
        <v>350</v>
      </c>
      <c r="BE4514">
        <v>2013</v>
      </c>
      <c r="BF4514">
        <v>13</v>
      </c>
      <c r="BI4514">
        <v>7</v>
      </c>
      <c r="BJ4514">
        <v>12</v>
      </c>
      <c r="BK4514">
        <v>5</v>
      </c>
      <c r="BN4514" t="s">
        <v>595</v>
      </c>
      <c r="BP4514" s="184"/>
    </row>
    <row r="4515" spans="1:68">
      <c r="A4515">
        <v>86108594</v>
      </c>
      <c r="B4515">
        <v>86108594</v>
      </c>
      <c r="C4515" t="s">
        <v>7018</v>
      </c>
      <c r="D4515" t="s">
        <v>595</v>
      </c>
      <c r="E4515" s="184">
        <v>45106</v>
      </c>
      <c r="I4515" s="184"/>
      <c r="K4515" s="184"/>
      <c r="M4515" s="184"/>
      <c r="O4515" s="184"/>
      <c r="P4515" t="s">
        <v>7045</v>
      </c>
      <c r="Q4515" t="s">
        <v>7383</v>
      </c>
      <c r="R4515" s="184">
        <v>22790</v>
      </c>
      <c r="S4515">
        <v>61</v>
      </c>
      <c r="V4515" t="s">
        <v>2614</v>
      </c>
      <c r="X4515" t="s">
        <v>32938</v>
      </c>
      <c r="AF4515" t="s">
        <v>32939</v>
      </c>
      <c r="AG4515" t="s">
        <v>2614</v>
      </c>
      <c r="AI4515" t="s">
        <v>32940</v>
      </c>
      <c r="AM4515" t="s">
        <v>4960</v>
      </c>
      <c r="AN4515" t="s">
        <v>2274</v>
      </c>
      <c r="AO4515" t="s">
        <v>32941</v>
      </c>
      <c r="AP4515" t="s">
        <v>7024</v>
      </c>
      <c r="AQ4515" t="s">
        <v>32942</v>
      </c>
      <c r="AR4515" t="s">
        <v>32943</v>
      </c>
      <c r="AT4515" s="184">
        <v>41353</v>
      </c>
      <c r="AU4515" t="s">
        <v>32944</v>
      </c>
      <c r="AV4515">
        <v>15</v>
      </c>
      <c r="AW4515" s="184">
        <v>44281</v>
      </c>
      <c r="AX4515" t="s">
        <v>7714</v>
      </c>
      <c r="AY4515">
        <v>5</v>
      </c>
      <c r="AZ4515" s="184">
        <v>43840</v>
      </c>
      <c r="BA4515" t="s">
        <v>25268</v>
      </c>
      <c r="BB4515">
        <v>60</v>
      </c>
      <c r="BC4515">
        <v>50</v>
      </c>
      <c r="BD4515">
        <v>157</v>
      </c>
      <c r="BE4515">
        <v>2013</v>
      </c>
      <c r="BF4515">
        <v>7</v>
      </c>
      <c r="BI4515">
        <v>6</v>
      </c>
      <c r="BJ4515">
        <v>12</v>
      </c>
      <c r="BK4515">
        <v>3</v>
      </c>
      <c r="BP4515" s="184"/>
    </row>
    <row r="4516" spans="1:68">
      <c r="A4516">
        <v>86112133</v>
      </c>
      <c r="B4516">
        <v>86112133</v>
      </c>
      <c r="C4516" t="s">
        <v>7018</v>
      </c>
      <c r="D4516" t="s">
        <v>595</v>
      </c>
      <c r="E4516" s="184">
        <v>44572</v>
      </c>
      <c r="G4516" s="184"/>
      <c r="I4516" s="184"/>
      <c r="J4516" t="s">
        <v>595</v>
      </c>
      <c r="K4516" s="184">
        <v>44649</v>
      </c>
      <c r="O4516" s="184"/>
      <c r="P4516" t="s">
        <v>7045</v>
      </c>
      <c r="Q4516" t="s">
        <v>7262</v>
      </c>
      <c r="R4516" s="184">
        <v>16711</v>
      </c>
      <c r="S4516">
        <v>78</v>
      </c>
      <c r="U4516" t="s">
        <v>7076</v>
      </c>
      <c r="V4516" t="s">
        <v>32945</v>
      </c>
      <c r="X4516" t="s">
        <v>32946</v>
      </c>
      <c r="AF4516" t="s">
        <v>32947</v>
      </c>
      <c r="AG4516" t="s">
        <v>32945</v>
      </c>
      <c r="AI4516" t="s">
        <v>32948</v>
      </c>
      <c r="AM4516" t="s">
        <v>32949</v>
      </c>
      <c r="AN4516" t="s">
        <v>65</v>
      </c>
      <c r="AO4516" t="s">
        <v>32950</v>
      </c>
      <c r="AP4516" t="s">
        <v>7024</v>
      </c>
      <c r="AQ4516" t="s">
        <v>32951</v>
      </c>
      <c r="AT4516" s="184">
        <v>41353</v>
      </c>
      <c r="AU4516" t="s">
        <v>32699</v>
      </c>
      <c r="AV4516">
        <v>54</v>
      </c>
      <c r="AW4516" s="184">
        <v>45388</v>
      </c>
      <c r="AX4516" t="s">
        <v>29915</v>
      </c>
      <c r="AY4516">
        <v>50</v>
      </c>
      <c r="AZ4516" s="184">
        <v>45056</v>
      </c>
      <c r="BA4516" t="s">
        <v>10138</v>
      </c>
      <c r="BB4516">
        <v>72</v>
      </c>
      <c r="BC4516">
        <v>100</v>
      </c>
      <c r="BD4516">
        <v>2533.5</v>
      </c>
      <c r="BE4516">
        <v>2013</v>
      </c>
      <c r="BF4516">
        <v>50</v>
      </c>
      <c r="BG4516">
        <v>11</v>
      </c>
      <c r="BH4516">
        <v>550.5</v>
      </c>
      <c r="BI4516">
        <v>12</v>
      </c>
      <c r="BJ4516">
        <v>12</v>
      </c>
      <c r="BK4516">
        <v>12</v>
      </c>
      <c r="BP4516" s="184"/>
    </row>
    <row r="4517" spans="1:68">
      <c r="A4517">
        <v>86212578</v>
      </c>
      <c r="B4517">
        <v>86212578</v>
      </c>
      <c r="C4517" t="s">
        <v>7018</v>
      </c>
      <c r="E4517" s="184"/>
      <c r="I4517" s="184"/>
      <c r="J4517" t="s">
        <v>595</v>
      </c>
      <c r="K4517" s="184">
        <v>43721</v>
      </c>
      <c r="M4517" s="184"/>
      <c r="P4517" t="s">
        <v>7045</v>
      </c>
      <c r="Q4517" t="s">
        <v>7383</v>
      </c>
      <c r="R4517" s="184">
        <v>11911</v>
      </c>
      <c r="S4517">
        <v>91</v>
      </c>
      <c r="V4517" t="s">
        <v>3782</v>
      </c>
      <c r="X4517" t="s">
        <v>3783</v>
      </c>
      <c r="AF4517" t="s">
        <v>6753</v>
      </c>
      <c r="AG4517" t="s">
        <v>3782</v>
      </c>
      <c r="AI4517" t="s">
        <v>32952</v>
      </c>
      <c r="AM4517" t="s">
        <v>3784</v>
      </c>
      <c r="AN4517" t="s">
        <v>2059</v>
      </c>
      <c r="AO4517" t="s">
        <v>32953</v>
      </c>
      <c r="AP4517" t="s">
        <v>7024</v>
      </c>
      <c r="AQ4517" t="s">
        <v>32954</v>
      </c>
      <c r="AT4517" s="184">
        <v>41358</v>
      </c>
      <c r="AU4517" t="s">
        <v>32955</v>
      </c>
      <c r="AV4517">
        <v>20</v>
      </c>
      <c r="AW4517" s="184">
        <v>45014</v>
      </c>
      <c r="AX4517" t="s">
        <v>32956</v>
      </c>
      <c r="AY4517">
        <v>50</v>
      </c>
      <c r="AZ4517" s="184">
        <v>45014</v>
      </c>
      <c r="BA4517" t="s">
        <v>32956</v>
      </c>
      <c r="BB4517">
        <v>50</v>
      </c>
      <c r="BC4517">
        <v>92</v>
      </c>
      <c r="BD4517">
        <v>530</v>
      </c>
      <c r="BE4517">
        <v>2013</v>
      </c>
      <c r="BF4517">
        <v>13</v>
      </c>
      <c r="BG4517">
        <v>1</v>
      </c>
      <c r="BH4517">
        <v>50</v>
      </c>
      <c r="BI4517">
        <v>11</v>
      </c>
      <c r="BJ4517">
        <v>12</v>
      </c>
      <c r="BK4517">
        <v>11</v>
      </c>
      <c r="BP4517" s="184"/>
    </row>
    <row r="4518" spans="1:68">
      <c r="A4518">
        <v>86343373</v>
      </c>
      <c r="B4518">
        <v>86343373</v>
      </c>
      <c r="C4518" t="s">
        <v>7018</v>
      </c>
      <c r="E4518" s="184"/>
      <c r="I4518" s="184"/>
      <c r="J4518" t="s">
        <v>595</v>
      </c>
      <c r="K4518" s="184">
        <v>44313</v>
      </c>
      <c r="M4518" s="184"/>
      <c r="O4518" s="184"/>
      <c r="P4518" t="s">
        <v>7045</v>
      </c>
      <c r="Q4518" t="s">
        <v>7262</v>
      </c>
      <c r="R4518" s="184">
        <v>21241</v>
      </c>
      <c r="S4518">
        <v>66</v>
      </c>
      <c r="V4518" t="s">
        <v>2602</v>
      </c>
      <c r="X4518" t="s">
        <v>32957</v>
      </c>
      <c r="AF4518" t="s">
        <v>32958</v>
      </c>
      <c r="AG4518" t="s">
        <v>2602</v>
      </c>
      <c r="AI4518" t="s">
        <v>32959</v>
      </c>
      <c r="AM4518" t="s">
        <v>32960</v>
      </c>
      <c r="AN4518" t="s">
        <v>2069</v>
      </c>
      <c r="AO4518" t="s">
        <v>32961</v>
      </c>
      <c r="AP4518" t="s">
        <v>7024</v>
      </c>
      <c r="AQ4518" t="s">
        <v>32962</v>
      </c>
      <c r="AT4518" s="184">
        <v>41366</v>
      </c>
      <c r="AU4518" t="s">
        <v>32963</v>
      </c>
      <c r="AV4518">
        <v>25</v>
      </c>
      <c r="AW4518" s="184">
        <v>45258</v>
      </c>
      <c r="AX4518" t="s">
        <v>18440</v>
      </c>
      <c r="AY4518">
        <v>50</v>
      </c>
      <c r="AZ4518" s="184">
        <v>44601</v>
      </c>
      <c r="BA4518" t="s">
        <v>32964</v>
      </c>
      <c r="BB4518">
        <v>100</v>
      </c>
      <c r="BC4518">
        <v>75</v>
      </c>
      <c r="BD4518">
        <v>510</v>
      </c>
      <c r="BE4518">
        <v>2013</v>
      </c>
      <c r="BF4518">
        <v>12</v>
      </c>
      <c r="BG4518">
        <v>2</v>
      </c>
      <c r="BH4518">
        <v>100</v>
      </c>
      <c r="BI4518">
        <v>9</v>
      </c>
      <c r="BJ4518">
        <v>12</v>
      </c>
      <c r="BK4518">
        <v>4</v>
      </c>
      <c r="BP4518" s="184"/>
    </row>
    <row r="4519" spans="1:68">
      <c r="A4519">
        <v>86386778</v>
      </c>
      <c r="B4519">
        <v>86386778</v>
      </c>
      <c r="C4519" t="s">
        <v>7018</v>
      </c>
      <c r="D4519" t="s">
        <v>595</v>
      </c>
      <c r="E4519" s="184">
        <v>45139</v>
      </c>
      <c r="G4519" s="184"/>
      <c r="I4519" s="184"/>
      <c r="K4519" s="184"/>
      <c r="M4519" s="184"/>
      <c r="O4519" s="184"/>
      <c r="P4519" t="s">
        <v>7045</v>
      </c>
      <c r="Q4519" t="s">
        <v>7194</v>
      </c>
      <c r="R4519" s="184">
        <v>22411</v>
      </c>
      <c r="S4519">
        <v>63</v>
      </c>
      <c r="V4519" t="s">
        <v>32965</v>
      </c>
      <c r="X4519" t="s">
        <v>32966</v>
      </c>
      <c r="AF4519" t="s">
        <v>32967</v>
      </c>
      <c r="AG4519" t="s">
        <v>32965</v>
      </c>
      <c r="AI4519" t="s">
        <v>32968</v>
      </c>
      <c r="AM4519" t="s">
        <v>32969</v>
      </c>
      <c r="AN4519" t="s">
        <v>2046</v>
      </c>
      <c r="AO4519" t="s">
        <v>32970</v>
      </c>
      <c r="AP4519" t="s">
        <v>7024</v>
      </c>
      <c r="AQ4519" t="s">
        <v>32971</v>
      </c>
      <c r="AT4519" s="184">
        <v>41368</v>
      </c>
      <c r="AU4519" t="s">
        <v>32699</v>
      </c>
      <c r="AV4519">
        <v>25</v>
      </c>
      <c r="AW4519" s="184">
        <v>45026</v>
      </c>
      <c r="AX4519" t="s">
        <v>32972</v>
      </c>
      <c r="AY4519">
        <v>25</v>
      </c>
      <c r="AZ4519" s="184">
        <v>44420</v>
      </c>
      <c r="BA4519" t="s">
        <v>21123</v>
      </c>
      <c r="BB4519">
        <v>40</v>
      </c>
      <c r="BC4519">
        <v>67</v>
      </c>
      <c r="BD4519">
        <v>220</v>
      </c>
      <c r="BE4519">
        <v>2013</v>
      </c>
      <c r="BF4519">
        <v>8</v>
      </c>
      <c r="BG4519">
        <v>1</v>
      </c>
      <c r="BH4519">
        <v>25</v>
      </c>
      <c r="BI4519">
        <v>8</v>
      </c>
      <c r="BJ4519">
        <v>12</v>
      </c>
      <c r="BK4519">
        <v>5</v>
      </c>
      <c r="BP4519" s="184"/>
    </row>
    <row r="4520" spans="1:68">
      <c r="A4520">
        <v>86417789</v>
      </c>
      <c r="B4520">
        <v>86417789</v>
      </c>
      <c r="C4520" t="s">
        <v>7018</v>
      </c>
      <c r="D4520" t="s">
        <v>595</v>
      </c>
      <c r="E4520" s="184">
        <v>45181</v>
      </c>
      <c r="G4520" s="184"/>
      <c r="I4520" s="184"/>
      <c r="K4520" s="184"/>
      <c r="M4520" s="184"/>
      <c r="O4520" s="184"/>
      <c r="P4520" t="s">
        <v>7045</v>
      </c>
      <c r="Q4520" t="s">
        <v>7374</v>
      </c>
      <c r="R4520" s="184">
        <v>18080</v>
      </c>
      <c r="S4520">
        <v>74</v>
      </c>
      <c r="U4520" t="s">
        <v>7130</v>
      </c>
      <c r="V4520" t="s">
        <v>32973</v>
      </c>
      <c r="X4520" t="s">
        <v>32974</v>
      </c>
      <c r="AF4520" t="s">
        <v>32975</v>
      </c>
      <c r="AG4520" t="s">
        <v>32973</v>
      </c>
      <c r="AI4520" t="s">
        <v>32976</v>
      </c>
      <c r="AM4520" t="s">
        <v>4336</v>
      </c>
      <c r="AN4520" t="s">
        <v>2081</v>
      </c>
      <c r="AO4520" t="s">
        <v>32977</v>
      </c>
      <c r="AP4520" t="s">
        <v>7024</v>
      </c>
      <c r="AQ4520" t="s">
        <v>32978</v>
      </c>
      <c r="AR4520" t="s">
        <v>32979</v>
      </c>
      <c r="AT4520" s="184">
        <v>41372</v>
      </c>
      <c r="AU4520" t="s">
        <v>32980</v>
      </c>
      <c r="AV4520">
        <v>15</v>
      </c>
      <c r="AW4520" s="184">
        <v>45204</v>
      </c>
      <c r="AX4520" t="s">
        <v>10981</v>
      </c>
      <c r="AY4520">
        <v>35</v>
      </c>
      <c r="AZ4520" s="184">
        <v>43178</v>
      </c>
      <c r="BA4520" t="s">
        <v>32981</v>
      </c>
      <c r="BB4520">
        <v>90</v>
      </c>
      <c r="BC4520">
        <v>92</v>
      </c>
      <c r="BD4520">
        <v>701.75</v>
      </c>
      <c r="BE4520">
        <v>2013</v>
      </c>
      <c r="BF4520">
        <v>19</v>
      </c>
      <c r="BG4520">
        <v>3</v>
      </c>
      <c r="BH4520">
        <v>96.75</v>
      </c>
      <c r="BI4520">
        <v>11</v>
      </c>
      <c r="BJ4520">
        <v>12</v>
      </c>
      <c r="BK4520">
        <v>11</v>
      </c>
      <c r="BP4520" s="184"/>
    </row>
    <row r="4521" spans="1:68">
      <c r="A4521">
        <v>86494374</v>
      </c>
      <c r="B4521">
        <v>86494374</v>
      </c>
      <c r="C4521" t="s">
        <v>7018</v>
      </c>
      <c r="E4521" s="184"/>
      <c r="G4521" s="184"/>
      <c r="I4521" s="184"/>
      <c r="J4521" t="s">
        <v>595</v>
      </c>
      <c r="K4521" s="184">
        <v>44441</v>
      </c>
      <c r="M4521" s="184"/>
      <c r="O4521" s="184"/>
      <c r="P4521" t="s">
        <v>7045</v>
      </c>
      <c r="Q4521" t="s">
        <v>7262</v>
      </c>
      <c r="R4521" s="184">
        <v>14000</v>
      </c>
      <c r="S4521">
        <v>86</v>
      </c>
      <c r="V4521" t="s">
        <v>2898</v>
      </c>
      <c r="W4521" t="s">
        <v>2316</v>
      </c>
      <c r="X4521" t="s">
        <v>20863</v>
      </c>
      <c r="AF4521" t="s">
        <v>32982</v>
      </c>
      <c r="AG4521" t="s">
        <v>2898</v>
      </c>
      <c r="AI4521" t="s">
        <v>32983</v>
      </c>
      <c r="AM4521" t="s">
        <v>32984</v>
      </c>
      <c r="AN4521" t="s">
        <v>2069</v>
      </c>
      <c r="AO4521" t="s">
        <v>32985</v>
      </c>
      <c r="AP4521" t="s">
        <v>7024</v>
      </c>
      <c r="AQ4521" t="s">
        <v>32986</v>
      </c>
      <c r="AT4521" s="184">
        <v>41374</v>
      </c>
      <c r="AU4521" t="s">
        <v>32987</v>
      </c>
      <c r="AV4521">
        <v>25</v>
      </c>
      <c r="AW4521" s="184">
        <v>45407</v>
      </c>
      <c r="AX4521" t="s">
        <v>8516</v>
      </c>
      <c r="AY4521">
        <v>100</v>
      </c>
      <c r="AZ4521" s="184">
        <v>45407</v>
      </c>
      <c r="BA4521" t="s">
        <v>8516</v>
      </c>
      <c r="BB4521">
        <v>100</v>
      </c>
      <c r="BC4521">
        <v>67</v>
      </c>
      <c r="BD4521">
        <v>960</v>
      </c>
      <c r="BE4521">
        <v>2013</v>
      </c>
      <c r="BF4521">
        <v>14</v>
      </c>
      <c r="BG4521">
        <v>2</v>
      </c>
      <c r="BH4521">
        <v>125</v>
      </c>
      <c r="BI4521">
        <v>8</v>
      </c>
      <c r="BJ4521">
        <v>12</v>
      </c>
      <c r="BK4521">
        <v>4</v>
      </c>
      <c r="BP4521" s="184"/>
    </row>
    <row r="4522" spans="1:68">
      <c r="A4522">
        <v>86541570</v>
      </c>
      <c r="B4522">
        <v>86541570</v>
      </c>
      <c r="C4522" t="s">
        <v>7018</v>
      </c>
      <c r="E4522" s="184"/>
      <c r="H4522" t="s">
        <v>595</v>
      </c>
      <c r="I4522" s="184">
        <v>44453</v>
      </c>
      <c r="K4522" s="184"/>
      <c r="M4522" s="184"/>
      <c r="O4522" s="184"/>
      <c r="P4522" t="s">
        <v>7045</v>
      </c>
      <c r="Q4522" t="s">
        <v>7383</v>
      </c>
      <c r="R4522" s="184">
        <v>20363</v>
      </c>
      <c r="S4522">
        <v>68</v>
      </c>
      <c r="V4522" t="s">
        <v>2586</v>
      </c>
      <c r="X4522" t="s">
        <v>5123</v>
      </c>
      <c r="Z4522">
        <v>100724068</v>
      </c>
      <c r="AB4522" t="s">
        <v>32988</v>
      </c>
      <c r="AD4522" t="s">
        <v>5123</v>
      </c>
      <c r="AF4522" t="s">
        <v>32989</v>
      </c>
      <c r="AG4522" t="s">
        <v>32990</v>
      </c>
      <c r="AI4522" t="s">
        <v>32991</v>
      </c>
      <c r="AM4522" t="s">
        <v>3488</v>
      </c>
      <c r="AN4522" t="s">
        <v>2072</v>
      </c>
      <c r="AO4522" t="s">
        <v>32992</v>
      </c>
      <c r="AP4522" t="s">
        <v>7024</v>
      </c>
      <c r="AQ4522" t="s">
        <v>32993</v>
      </c>
      <c r="AT4522" s="184">
        <v>41375</v>
      </c>
      <c r="AU4522" t="s">
        <v>32994</v>
      </c>
      <c r="AV4522">
        <v>50</v>
      </c>
      <c r="AW4522" s="184">
        <v>45229</v>
      </c>
      <c r="AX4522" t="s">
        <v>15006</v>
      </c>
      <c r="AY4522">
        <v>200</v>
      </c>
      <c r="AZ4522" s="184">
        <v>45229</v>
      </c>
      <c r="BA4522" t="s">
        <v>15006</v>
      </c>
      <c r="BB4522">
        <v>200</v>
      </c>
      <c r="BC4522">
        <v>92</v>
      </c>
      <c r="BD4522">
        <v>1540</v>
      </c>
      <c r="BE4522">
        <v>2013</v>
      </c>
      <c r="BF4522">
        <v>14</v>
      </c>
      <c r="BG4522">
        <v>2</v>
      </c>
      <c r="BH4522">
        <v>400</v>
      </c>
      <c r="BI4522">
        <v>11</v>
      </c>
      <c r="BJ4522">
        <v>12</v>
      </c>
      <c r="BK4522">
        <v>11</v>
      </c>
      <c r="BP4522" s="184"/>
    </row>
    <row r="4523" spans="1:68">
      <c r="A4523">
        <v>100724068</v>
      </c>
      <c r="B4523">
        <v>86541570</v>
      </c>
      <c r="C4523" t="s">
        <v>7018</v>
      </c>
      <c r="E4523" s="184"/>
      <c r="G4523" s="184"/>
      <c r="H4523" t="s">
        <v>595</v>
      </c>
      <c r="I4523" s="184">
        <v>44453</v>
      </c>
      <c r="K4523" s="184"/>
      <c r="M4523" s="184"/>
      <c r="O4523" s="184"/>
      <c r="P4523" t="s">
        <v>7045</v>
      </c>
      <c r="Q4523" t="s">
        <v>7383</v>
      </c>
      <c r="R4523" s="184">
        <v>18229</v>
      </c>
      <c r="S4523">
        <v>74</v>
      </c>
      <c r="V4523" t="s">
        <v>32988</v>
      </c>
      <c r="X4523" t="s">
        <v>5123</v>
      </c>
      <c r="Z4523">
        <v>86541570</v>
      </c>
      <c r="AB4523" t="s">
        <v>2586</v>
      </c>
      <c r="AD4523" t="s">
        <v>5123</v>
      </c>
      <c r="AF4523" t="s">
        <v>32989</v>
      </c>
      <c r="AG4523" t="s">
        <v>32990</v>
      </c>
      <c r="AI4523" t="s">
        <v>32991</v>
      </c>
      <c r="AM4523" t="s">
        <v>3488</v>
      </c>
      <c r="AN4523" t="s">
        <v>2072</v>
      </c>
      <c r="AO4523" t="s">
        <v>32992</v>
      </c>
      <c r="AP4523" t="s">
        <v>7024</v>
      </c>
      <c r="AQ4523" t="s">
        <v>32995</v>
      </c>
      <c r="AT4523" s="184"/>
      <c r="AW4523" s="184"/>
      <c r="AZ4523" s="184"/>
      <c r="BP4523" s="184"/>
    </row>
    <row r="4524" spans="1:68">
      <c r="A4524">
        <v>86798048</v>
      </c>
      <c r="B4524">
        <v>86798048</v>
      </c>
      <c r="C4524" t="s">
        <v>7018</v>
      </c>
      <c r="D4524" t="s">
        <v>595</v>
      </c>
      <c r="E4524" s="184">
        <v>44167</v>
      </c>
      <c r="I4524" s="184"/>
      <c r="K4524" s="184"/>
      <c r="M4524" s="184"/>
      <c r="O4524" s="184"/>
      <c r="P4524" t="s">
        <v>7019</v>
      </c>
      <c r="Q4524" t="s">
        <v>7030</v>
      </c>
      <c r="R4524" s="184">
        <v>18994</v>
      </c>
      <c r="S4524">
        <v>72</v>
      </c>
      <c r="V4524" t="s">
        <v>22220</v>
      </c>
      <c r="X4524" t="s">
        <v>32996</v>
      </c>
      <c r="AF4524" t="s">
        <v>32997</v>
      </c>
      <c r="AG4524" t="s">
        <v>22220</v>
      </c>
      <c r="AI4524" t="s">
        <v>32998</v>
      </c>
      <c r="AM4524" t="s">
        <v>4209</v>
      </c>
      <c r="AN4524" t="s">
        <v>2201</v>
      </c>
      <c r="AO4524" t="s">
        <v>32999</v>
      </c>
      <c r="AP4524" t="s">
        <v>7024</v>
      </c>
      <c r="AQ4524" t="s">
        <v>33000</v>
      </c>
      <c r="AT4524" s="184">
        <v>41383</v>
      </c>
      <c r="AU4524" t="s">
        <v>33001</v>
      </c>
      <c r="AV4524">
        <v>25</v>
      </c>
      <c r="AW4524" s="184">
        <v>45315</v>
      </c>
      <c r="AX4524" t="s">
        <v>33002</v>
      </c>
      <c r="AY4524">
        <v>60</v>
      </c>
      <c r="AZ4524" s="184">
        <v>45315</v>
      </c>
      <c r="BA4524" t="s">
        <v>33002</v>
      </c>
      <c r="BB4524">
        <v>60</v>
      </c>
      <c r="BC4524">
        <v>92</v>
      </c>
      <c r="BD4524">
        <v>310</v>
      </c>
      <c r="BE4524">
        <v>2013</v>
      </c>
      <c r="BF4524">
        <v>11</v>
      </c>
      <c r="BG4524">
        <v>2</v>
      </c>
      <c r="BH4524">
        <v>85</v>
      </c>
      <c r="BI4524">
        <v>11</v>
      </c>
      <c r="BJ4524">
        <v>12</v>
      </c>
      <c r="BK4524">
        <v>10</v>
      </c>
      <c r="BP4524" s="184"/>
    </row>
    <row r="4525" spans="1:68">
      <c r="A4525">
        <v>86808177</v>
      </c>
      <c r="B4525">
        <v>86808177</v>
      </c>
      <c r="C4525" t="s">
        <v>7018</v>
      </c>
      <c r="E4525" s="184"/>
      <c r="I4525" s="184"/>
      <c r="J4525" t="s">
        <v>595</v>
      </c>
      <c r="K4525" s="184">
        <v>44147</v>
      </c>
      <c r="M4525" s="184"/>
      <c r="O4525" s="184"/>
      <c r="P4525" t="s">
        <v>7686</v>
      </c>
      <c r="Q4525" t="s">
        <v>7030</v>
      </c>
      <c r="R4525" s="184">
        <v>18384</v>
      </c>
      <c r="S4525">
        <v>74</v>
      </c>
      <c r="T4525" t="s">
        <v>21039</v>
      </c>
      <c r="U4525" t="s">
        <v>7076</v>
      </c>
      <c r="V4525" t="s">
        <v>33003</v>
      </c>
      <c r="W4525" t="s">
        <v>7963</v>
      </c>
      <c r="X4525" t="s">
        <v>33004</v>
      </c>
      <c r="AF4525" t="s">
        <v>33005</v>
      </c>
      <c r="AG4525" t="s">
        <v>33003</v>
      </c>
      <c r="AI4525" t="s">
        <v>33006</v>
      </c>
      <c r="AM4525" t="s">
        <v>2564</v>
      </c>
      <c r="AN4525" t="s">
        <v>2089</v>
      </c>
      <c r="AO4525" t="s">
        <v>33007</v>
      </c>
      <c r="AP4525" t="s">
        <v>7024</v>
      </c>
      <c r="AQ4525" t="s">
        <v>33008</v>
      </c>
      <c r="AR4525" t="s">
        <v>33009</v>
      </c>
      <c r="AT4525" s="184">
        <v>39447</v>
      </c>
      <c r="AU4525" t="s">
        <v>33010</v>
      </c>
      <c r="AV4525">
        <v>25</v>
      </c>
      <c r="AW4525" s="184">
        <v>45250</v>
      </c>
      <c r="AX4525" t="s">
        <v>7749</v>
      </c>
      <c r="AY4525">
        <v>8710.9699999999993</v>
      </c>
      <c r="AZ4525" s="184">
        <v>45250</v>
      </c>
      <c r="BA4525" t="s">
        <v>7749</v>
      </c>
      <c r="BB4525">
        <v>8710.9699999999993</v>
      </c>
      <c r="BC4525">
        <v>89</v>
      </c>
      <c r="BD4525">
        <v>20010.97</v>
      </c>
      <c r="BE4525">
        <v>2008</v>
      </c>
      <c r="BF4525">
        <v>17</v>
      </c>
      <c r="BG4525">
        <v>3</v>
      </c>
      <c r="BH4525">
        <v>10710.97</v>
      </c>
      <c r="BI4525">
        <v>16</v>
      </c>
      <c r="BJ4525">
        <v>18</v>
      </c>
      <c r="BK4525">
        <v>9</v>
      </c>
      <c r="BN4525" t="s">
        <v>595</v>
      </c>
      <c r="BP4525" s="184"/>
    </row>
    <row r="4526" spans="1:68">
      <c r="A4526">
        <v>86887577</v>
      </c>
      <c r="B4526">
        <v>86887577</v>
      </c>
      <c r="C4526" t="s">
        <v>7018</v>
      </c>
      <c r="E4526" s="184"/>
      <c r="H4526" t="s">
        <v>595</v>
      </c>
      <c r="I4526" s="184">
        <v>44105</v>
      </c>
      <c r="K4526" s="184"/>
      <c r="M4526" s="184"/>
      <c r="O4526" s="184"/>
      <c r="P4526" t="s">
        <v>7045</v>
      </c>
      <c r="Q4526" t="s">
        <v>7030</v>
      </c>
      <c r="R4526" s="184">
        <v>12660</v>
      </c>
      <c r="S4526">
        <v>89</v>
      </c>
      <c r="V4526" t="s">
        <v>4210</v>
      </c>
      <c r="X4526" t="s">
        <v>3427</v>
      </c>
      <c r="Z4526">
        <v>100542966</v>
      </c>
      <c r="AB4526" t="s">
        <v>3377</v>
      </c>
      <c r="AD4526" t="s">
        <v>3427</v>
      </c>
      <c r="AF4526" t="s">
        <v>33011</v>
      </c>
      <c r="AG4526" t="s">
        <v>33012</v>
      </c>
      <c r="AI4526" t="s">
        <v>33013</v>
      </c>
      <c r="AM4526" t="s">
        <v>3010</v>
      </c>
      <c r="AN4526" t="s">
        <v>2094</v>
      </c>
      <c r="AO4526" t="s">
        <v>33014</v>
      </c>
      <c r="AP4526" t="s">
        <v>7024</v>
      </c>
      <c r="AT4526" s="184">
        <v>41389</v>
      </c>
      <c r="AU4526" t="s">
        <v>33015</v>
      </c>
      <c r="AV4526">
        <v>15</v>
      </c>
      <c r="AW4526" s="184">
        <v>43766</v>
      </c>
      <c r="AX4526" t="s">
        <v>33016</v>
      </c>
      <c r="AY4526">
        <v>15</v>
      </c>
      <c r="AZ4526" s="184">
        <v>43766</v>
      </c>
      <c r="BA4526" t="s">
        <v>33016</v>
      </c>
      <c r="BB4526">
        <v>15</v>
      </c>
      <c r="BC4526">
        <v>17</v>
      </c>
      <c r="BD4526">
        <v>30</v>
      </c>
      <c r="BE4526">
        <v>2013</v>
      </c>
      <c r="BF4526">
        <v>2</v>
      </c>
      <c r="BI4526">
        <v>2</v>
      </c>
      <c r="BJ4526">
        <v>12</v>
      </c>
      <c r="BK4526">
        <v>1</v>
      </c>
      <c r="BP4526" s="184"/>
    </row>
    <row r="4527" spans="1:68">
      <c r="A4527">
        <v>100542966</v>
      </c>
      <c r="B4527">
        <v>86887577</v>
      </c>
      <c r="C4527" t="s">
        <v>7018</v>
      </c>
      <c r="E4527" s="184"/>
      <c r="G4527" s="184"/>
      <c r="H4527" t="s">
        <v>595</v>
      </c>
      <c r="I4527" s="184">
        <v>44105</v>
      </c>
      <c r="K4527" s="184"/>
      <c r="M4527" s="184"/>
      <c r="P4527" t="s">
        <v>7045</v>
      </c>
      <c r="Q4527" t="s">
        <v>7030</v>
      </c>
      <c r="R4527" s="184">
        <v>12181</v>
      </c>
      <c r="S4527">
        <v>91</v>
      </c>
      <c r="V4527" t="s">
        <v>3377</v>
      </c>
      <c r="X4527" t="s">
        <v>3427</v>
      </c>
      <c r="Z4527">
        <v>86887577</v>
      </c>
      <c r="AB4527" t="s">
        <v>4210</v>
      </c>
      <c r="AD4527" t="s">
        <v>3427</v>
      </c>
      <c r="AF4527" t="s">
        <v>33011</v>
      </c>
      <c r="AG4527" t="s">
        <v>33012</v>
      </c>
      <c r="AI4527" t="s">
        <v>33013</v>
      </c>
      <c r="AM4527" t="s">
        <v>3010</v>
      </c>
      <c r="AN4527" t="s">
        <v>2094</v>
      </c>
      <c r="AO4527" t="s">
        <v>33014</v>
      </c>
      <c r="AP4527" t="s">
        <v>7024</v>
      </c>
      <c r="AT4527" s="184"/>
      <c r="AW4527" s="184"/>
      <c r="AZ4527" s="184"/>
      <c r="BP4527" s="184"/>
    </row>
    <row r="4528" spans="1:68">
      <c r="A4528">
        <v>86922770</v>
      </c>
      <c r="B4528">
        <v>86922770</v>
      </c>
      <c r="C4528" t="s">
        <v>7018</v>
      </c>
      <c r="D4528" t="s">
        <v>595</v>
      </c>
      <c r="E4528" s="184">
        <v>45145</v>
      </c>
      <c r="G4528" s="184"/>
      <c r="I4528" s="184"/>
      <c r="K4528" s="184"/>
      <c r="M4528" s="184"/>
      <c r="P4528" t="s">
        <v>7045</v>
      </c>
      <c r="Q4528" t="s">
        <v>7774</v>
      </c>
      <c r="R4528" s="184">
        <v>25204</v>
      </c>
      <c r="S4528">
        <v>55</v>
      </c>
      <c r="V4528" t="s">
        <v>33017</v>
      </c>
      <c r="X4528" t="s">
        <v>33018</v>
      </c>
      <c r="AF4528" t="s">
        <v>33019</v>
      </c>
      <c r="AG4528" t="s">
        <v>33017</v>
      </c>
      <c r="AI4528" t="s">
        <v>33020</v>
      </c>
      <c r="AM4528" t="s">
        <v>33021</v>
      </c>
      <c r="AN4528" t="s">
        <v>2972</v>
      </c>
      <c r="AO4528" t="s">
        <v>33022</v>
      </c>
      <c r="AP4528" t="s">
        <v>7024</v>
      </c>
      <c r="AT4528" s="184">
        <v>41393</v>
      </c>
      <c r="AU4528" t="s">
        <v>33023</v>
      </c>
      <c r="AV4528">
        <v>25</v>
      </c>
      <c r="AW4528" s="184">
        <v>45331</v>
      </c>
      <c r="AX4528" t="s">
        <v>25518</v>
      </c>
      <c r="AY4528">
        <v>25</v>
      </c>
      <c r="AZ4528" s="184">
        <v>42369</v>
      </c>
      <c r="BA4528" t="s">
        <v>33024</v>
      </c>
      <c r="BB4528">
        <v>60</v>
      </c>
      <c r="BC4528">
        <v>67</v>
      </c>
      <c r="BD4528">
        <v>410</v>
      </c>
      <c r="BE4528">
        <v>2013</v>
      </c>
      <c r="BF4528">
        <v>11</v>
      </c>
      <c r="BG4528">
        <v>3</v>
      </c>
      <c r="BH4528">
        <v>125</v>
      </c>
      <c r="BI4528">
        <v>8</v>
      </c>
      <c r="BJ4528">
        <v>12</v>
      </c>
      <c r="BK4528">
        <v>5</v>
      </c>
      <c r="BP4528" s="184"/>
    </row>
    <row r="4529" spans="1:68">
      <c r="A4529">
        <v>87068573</v>
      </c>
      <c r="B4529">
        <v>87068573</v>
      </c>
      <c r="C4529" t="s">
        <v>7018</v>
      </c>
      <c r="D4529" t="s">
        <v>595</v>
      </c>
      <c r="E4529" s="184">
        <v>44073</v>
      </c>
      <c r="G4529" s="184"/>
      <c r="I4529" s="184"/>
      <c r="K4529" s="184"/>
      <c r="M4529" s="184"/>
      <c r="P4529" t="s">
        <v>7045</v>
      </c>
      <c r="Q4529" t="s">
        <v>7262</v>
      </c>
      <c r="R4529" s="184">
        <v>18323</v>
      </c>
      <c r="S4529">
        <v>74</v>
      </c>
      <c r="U4529" t="s">
        <v>7031</v>
      </c>
      <c r="V4529" t="s">
        <v>2732</v>
      </c>
      <c r="X4529" t="s">
        <v>33025</v>
      </c>
      <c r="AF4529" t="s">
        <v>33026</v>
      </c>
      <c r="AG4529" t="s">
        <v>2732</v>
      </c>
      <c r="AI4529" t="s">
        <v>33027</v>
      </c>
      <c r="AM4529" t="s">
        <v>5334</v>
      </c>
      <c r="AN4529" t="s">
        <v>2106</v>
      </c>
      <c r="AO4529" t="s">
        <v>33028</v>
      </c>
      <c r="AP4529" t="s">
        <v>7024</v>
      </c>
      <c r="AQ4529" t="s">
        <v>33029</v>
      </c>
      <c r="AT4529" s="184">
        <v>41403</v>
      </c>
      <c r="AU4529" t="s">
        <v>33030</v>
      </c>
      <c r="AV4529">
        <v>15</v>
      </c>
      <c r="AW4529" s="184">
        <v>44050</v>
      </c>
      <c r="AX4529" t="s">
        <v>33031</v>
      </c>
      <c r="AY4529">
        <v>10</v>
      </c>
      <c r="AZ4529" s="184">
        <v>43878</v>
      </c>
      <c r="BA4529" t="s">
        <v>33032</v>
      </c>
      <c r="BB4529">
        <v>15</v>
      </c>
      <c r="BC4529">
        <v>67</v>
      </c>
      <c r="BD4529">
        <v>165</v>
      </c>
      <c r="BE4529">
        <v>2013</v>
      </c>
      <c r="BF4529">
        <v>14</v>
      </c>
      <c r="BI4529">
        <v>8</v>
      </c>
      <c r="BJ4529">
        <v>12</v>
      </c>
      <c r="BK4529">
        <v>8</v>
      </c>
      <c r="BP4529" s="184"/>
    </row>
    <row r="4530" spans="1:68">
      <c r="A4530">
        <v>87199840</v>
      </c>
      <c r="B4530">
        <v>87199840</v>
      </c>
      <c r="C4530" t="s">
        <v>7018</v>
      </c>
      <c r="D4530" t="s">
        <v>595</v>
      </c>
      <c r="E4530" s="184">
        <v>44455</v>
      </c>
      <c r="G4530" s="184"/>
      <c r="I4530" s="184"/>
      <c r="K4530" s="184"/>
      <c r="M4530" s="184"/>
      <c r="O4530" s="184"/>
      <c r="P4530" t="s">
        <v>7045</v>
      </c>
      <c r="Q4530" t="s">
        <v>7383</v>
      </c>
      <c r="R4530" s="184">
        <v>21125</v>
      </c>
      <c r="S4530">
        <v>66</v>
      </c>
      <c r="V4530" t="s">
        <v>4571</v>
      </c>
      <c r="X4530" t="s">
        <v>33033</v>
      </c>
      <c r="AF4530" t="s">
        <v>33034</v>
      </c>
      <c r="AG4530" t="s">
        <v>4571</v>
      </c>
      <c r="AI4530" t="s">
        <v>33035</v>
      </c>
      <c r="AM4530" t="s">
        <v>3467</v>
      </c>
      <c r="AN4530" t="s">
        <v>2072</v>
      </c>
      <c r="AO4530" t="s">
        <v>33036</v>
      </c>
      <c r="AP4530" t="s">
        <v>7024</v>
      </c>
      <c r="AQ4530" t="s">
        <v>33037</v>
      </c>
      <c r="AT4530" s="184">
        <v>41411</v>
      </c>
      <c r="AU4530" t="s">
        <v>32821</v>
      </c>
      <c r="AV4530">
        <v>19.97</v>
      </c>
      <c r="AW4530" s="184">
        <v>45175</v>
      </c>
      <c r="AX4530" t="s">
        <v>8960</v>
      </c>
      <c r="AY4530">
        <v>100</v>
      </c>
      <c r="AZ4530" s="184">
        <v>44364</v>
      </c>
      <c r="BA4530" t="s">
        <v>33038</v>
      </c>
      <c r="BB4530">
        <v>120</v>
      </c>
      <c r="BC4530">
        <v>75</v>
      </c>
      <c r="BD4530">
        <v>529.94000000000005</v>
      </c>
      <c r="BE4530">
        <v>2013</v>
      </c>
      <c r="BF4530">
        <v>9</v>
      </c>
      <c r="BG4530">
        <v>2</v>
      </c>
      <c r="BH4530">
        <v>200</v>
      </c>
      <c r="BI4530">
        <v>9</v>
      </c>
      <c r="BJ4530">
        <v>12</v>
      </c>
      <c r="BK4530">
        <v>5</v>
      </c>
      <c r="BP4530" s="184"/>
    </row>
    <row r="4531" spans="1:68">
      <c r="A4531">
        <v>87268975</v>
      </c>
      <c r="B4531">
        <v>87268975</v>
      </c>
      <c r="C4531" t="s">
        <v>7018</v>
      </c>
      <c r="E4531" s="184"/>
      <c r="G4531" s="184"/>
      <c r="H4531" t="s">
        <v>595</v>
      </c>
      <c r="I4531" s="184">
        <v>45022</v>
      </c>
      <c r="J4531" t="s">
        <v>595</v>
      </c>
      <c r="K4531" s="184">
        <v>44441</v>
      </c>
      <c r="M4531" s="184"/>
      <c r="P4531" t="s">
        <v>7045</v>
      </c>
      <c r="Q4531" t="s">
        <v>7383</v>
      </c>
      <c r="R4531" s="184">
        <v>18986</v>
      </c>
      <c r="S4531">
        <v>72</v>
      </c>
      <c r="V4531" t="s">
        <v>3103</v>
      </c>
      <c r="X4531" t="s">
        <v>33039</v>
      </c>
      <c r="Z4531">
        <v>101098279</v>
      </c>
      <c r="AB4531" t="s">
        <v>3478</v>
      </c>
      <c r="AD4531" t="s">
        <v>33039</v>
      </c>
      <c r="AF4531" t="s">
        <v>33040</v>
      </c>
      <c r="AG4531" t="s">
        <v>33041</v>
      </c>
      <c r="AI4531" t="s">
        <v>33042</v>
      </c>
      <c r="AM4531" t="s">
        <v>33043</v>
      </c>
      <c r="AN4531" t="s">
        <v>2072</v>
      </c>
      <c r="AO4531" t="s">
        <v>33044</v>
      </c>
      <c r="AP4531" t="s">
        <v>7024</v>
      </c>
      <c r="AT4531" s="184">
        <v>41410</v>
      </c>
      <c r="AU4531" t="s">
        <v>33045</v>
      </c>
      <c r="AV4531">
        <v>15</v>
      </c>
      <c r="AW4531" s="184">
        <v>45189</v>
      </c>
      <c r="AX4531" t="s">
        <v>15021</v>
      </c>
      <c r="AY4531">
        <v>75</v>
      </c>
      <c r="AZ4531" s="184">
        <v>45189</v>
      </c>
      <c r="BA4531" t="s">
        <v>15021</v>
      </c>
      <c r="BB4531">
        <v>75</v>
      </c>
      <c r="BC4531">
        <v>92</v>
      </c>
      <c r="BD4531">
        <v>580</v>
      </c>
      <c r="BE4531">
        <v>2013</v>
      </c>
      <c r="BF4531">
        <v>19</v>
      </c>
      <c r="BG4531">
        <v>2</v>
      </c>
      <c r="BH4531">
        <v>125</v>
      </c>
      <c r="BI4531">
        <v>11</v>
      </c>
      <c r="BJ4531">
        <v>12</v>
      </c>
      <c r="BK4531">
        <v>11</v>
      </c>
      <c r="BP4531" s="184"/>
    </row>
    <row r="4532" spans="1:68">
      <c r="A4532">
        <v>101098279</v>
      </c>
      <c r="B4532">
        <v>87268975</v>
      </c>
      <c r="C4532" t="s">
        <v>7018</v>
      </c>
      <c r="E4532" s="184"/>
      <c r="H4532" t="s">
        <v>595</v>
      </c>
      <c r="I4532" s="184">
        <v>45022</v>
      </c>
      <c r="K4532" s="184"/>
      <c r="M4532" s="184"/>
      <c r="O4532" s="184"/>
      <c r="P4532" t="s">
        <v>7045</v>
      </c>
      <c r="Q4532" t="s">
        <v>7383</v>
      </c>
      <c r="R4532" s="184">
        <v>19276</v>
      </c>
      <c r="S4532">
        <v>71</v>
      </c>
      <c r="V4532" t="s">
        <v>3478</v>
      </c>
      <c r="X4532" t="s">
        <v>33039</v>
      </c>
      <c r="Z4532">
        <v>87268975</v>
      </c>
      <c r="AB4532" t="s">
        <v>3103</v>
      </c>
      <c r="AD4532" t="s">
        <v>33039</v>
      </c>
      <c r="AF4532" t="s">
        <v>33040</v>
      </c>
      <c r="AG4532" t="s">
        <v>33041</v>
      </c>
      <c r="AI4532" t="s">
        <v>33042</v>
      </c>
      <c r="AM4532" t="s">
        <v>33043</v>
      </c>
      <c r="AN4532" t="s">
        <v>2072</v>
      </c>
      <c r="AO4532" t="s">
        <v>33044</v>
      </c>
      <c r="AP4532" t="s">
        <v>7024</v>
      </c>
      <c r="AT4532" s="184"/>
      <c r="AW4532" s="184"/>
      <c r="AZ4532" s="184"/>
      <c r="BP4532" s="184"/>
    </row>
    <row r="4533" spans="1:68">
      <c r="A4533">
        <v>87278776</v>
      </c>
      <c r="B4533">
        <v>87278776</v>
      </c>
      <c r="C4533" t="s">
        <v>7018</v>
      </c>
      <c r="D4533" t="s">
        <v>595</v>
      </c>
      <c r="E4533" s="184">
        <v>45195</v>
      </c>
      <c r="G4533" s="184"/>
      <c r="I4533" s="184"/>
      <c r="K4533" s="184"/>
      <c r="M4533" s="184"/>
      <c r="O4533" s="184"/>
      <c r="P4533" t="s">
        <v>7045</v>
      </c>
      <c r="Q4533" t="s">
        <v>7030</v>
      </c>
      <c r="R4533" s="184">
        <v>17335</v>
      </c>
      <c r="S4533">
        <v>76</v>
      </c>
      <c r="U4533" t="s">
        <v>7031</v>
      </c>
      <c r="V4533" t="s">
        <v>2541</v>
      </c>
      <c r="X4533" t="s">
        <v>33046</v>
      </c>
      <c r="AF4533" t="s">
        <v>33047</v>
      </c>
      <c r="AG4533" t="s">
        <v>2541</v>
      </c>
      <c r="AI4533" t="s">
        <v>33048</v>
      </c>
      <c r="AM4533" t="s">
        <v>2564</v>
      </c>
      <c r="AN4533" t="s">
        <v>2089</v>
      </c>
      <c r="AO4533" t="s">
        <v>33049</v>
      </c>
      <c r="AP4533" t="s">
        <v>7024</v>
      </c>
      <c r="AQ4533" t="s">
        <v>33050</v>
      </c>
      <c r="AR4533" t="s">
        <v>33051</v>
      </c>
      <c r="AT4533" s="184">
        <v>42818</v>
      </c>
      <c r="AU4533" t="s">
        <v>33052</v>
      </c>
      <c r="AV4533">
        <v>25</v>
      </c>
      <c r="AW4533" s="184">
        <v>45420</v>
      </c>
      <c r="AX4533" t="s">
        <v>7422</v>
      </c>
      <c r="AY4533">
        <v>10</v>
      </c>
      <c r="AZ4533" s="184">
        <v>44928</v>
      </c>
      <c r="BA4533" t="s">
        <v>7832</v>
      </c>
      <c r="BB4533">
        <v>100</v>
      </c>
      <c r="BC4533">
        <v>88</v>
      </c>
      <c r="BD4533">
        <v>545</v>
      </c>
      <c r="BE4533">
        <v>2017</v>
      </c>
      <c r="BF4533">
        <v>13</v>
      </c>
      <c r="BG4533">
        <v>7</v>
      </c>
      <c r="BH4533">
        <v>160</v>
      </c>
      <c r="BI4533">
        <v>7</v>
      </c>
      <c r="BJ4533">
        <v>8</v>
      </c>
      <c r="BK4533">
        <v>6</v>
      </c>
      <c r="BP4533" s="184"/>
    </row>
    <row r="4534" spans="1:68">
      <c r="A4534">
        <v>87384582</v>
      </c>
      <c r="B4534">
        <v>87384582</v>
      </c>
      <c r="C4534" t="s">
        <v>7018</v>
      </c>
      <c r="E4534" s="184"/>
      <c r="G4534" s="184"/>
      <c r="I4534" s="184"/>
      <c r="J4534" t="s">
        <v>595</v>
      </c>
      <c r="K4534" s="184">
        <v>44055</v>
      </c>
      <c r="M4534" s="184"/>
      <c r="O4534" s="184"/>
      <c r="P4534" t="s">
        <v>7045</v>
      </c>
      <c r="Q4534" t="s">
        <v>7383</v>
      </c>
      <c r="R4534" s="184">
        <v>15386</v>
      </c>
      <c r="S4534">
        <v>82</v>
      </c>
      <c r="U4534" t="s">
        <v>7076</v>
      </c>
      <c r="V4534" t="s">
        <v>2602</v>
      </c>
      <c r="X4534" t="s">
        <v>16244</v>
      </c>
      <c r="Z4534">
        <v>100462757</v>
      </c>
      <c r="AA4534" t="s">
        <v>7031</v>
      </c>
      <c r="AB4534" t="s">
        <v>3632</v>
      </c>
      <c r="AD4534" t="s">
        <v>16244</v>
      </c>
      <c r="AF4534" t="s">
        <v>33053</v>
      </c>
      <c r="AG4534" t="s">
        <v>33054</v>
      </c>
      <c r="AI4534" t="s">
        <v>33055</v>
      </c>
      <c r="AM4534" t="s">
        <v>33056</v>
      </c>
      <c r="AN4534" t="s">
        <v>2059</v>
      </c>
      <c r="AO4534" t="s">
        <v>33057</v>
      </c>
      <c r="AP4534" t="s">
        <v>7024</v>
      </c>
      <c r="AT4534" s="184">
        <v>41416</v>
      </c>
      <c r="AU4534" t="s">
        <v>33058</v>
      </c>
      <c r="AV4534">
        <v>15</v>
      </c>
      <c r="AW4534" s="184">
        <v>45371</v>
      </c>
      <c r="AX4534" t="s">
        <v>10193</v>
      </c>
      <c r="AY4534">
        <v>500</v>
      </c>
      <c r="AZ4534" s="184">
        <v>45371</v>
      </c>
      <c r="BA4534" t="s">
        <v>10193</v>
      </c>
      <c r="BB4534">
        <v>500</v>
      </c>
      <c r="BC4534">
        <v>92</v>
      </c>
      <c r="BD4534">
        <v>3440</v>
      </c>
      <c r="BE4534">
        <v>2013</v>
      </c>
      <c r="BF4534">
        <v>13</v>
      </c>
      <c r="BG4534">
        <v>2</v>
      </c>
      <c r="BH4534">
        <v>900</v>
      </c>
      <c r="BI4534">
        <v>11</v>
      </c>
      <c r="BJ4534">
        <v>12</v>
      </c>
      <c r="BK4534">
        <v>10</v>
      </c>
      <c r="BP4534" s="184"/>
    </row>
    <row r="4535" spans="1:68">
      <c r="A4535">
        <v>100462757</v>
      </c>
      <c r="B4535">
        <v>87384582</v>
      </c>
      <c r="C4535" t="s">
        <v>7018</v>
      </c>
      <c r="E4535" s="184"/>
      <c r="G4535" s="184"/>
      <c r="I4535" s="184"/>
      <c r="J4535" t="s">
        <v>595</v>
      </c>
      <c r="K4535" s="184">
        <v>44055</v>
      </c>
      <c r="M4535" s="184"/>
      <c r="O4535" s="184"/>
      <c r="P4535" t="s">
        <v>7045</v>
      </c>
      <c r="Q4535" t="s">
        <v>7383</v>
      </c>
      <c r="R4535" s="184">
        <v>14366</v>
      </c>
      <c r="S4535">
        <v>85</v>
      </c>
      <c r="U4535" t="s">
        <v>7031</v>
      </c>
      <c r="V4535" t="s">
        <v>3632</v>
      </c>
      <c r="X4535" t="s">
        <v>16244</v>
      </c>
      <c r="Z4535">
        <v>87384582</v>
      </c>
      <c r="AA4535" t="s">
        <v>7076</v>
      </c>
      <c r="AB4535" t="s">
        <v>2602</v>
      </c>
      <c r="AD4535" t="s">
        <v>16244</v>
      </c>
      <c r="AF4535" t="s">
        <v>33053</v>
      </c>
      <c r="AG4535" t="s">
        <v>33054</v>
      </c>
      <c r="AI4535" t="s">
        <v>33055</v>
      </c>
      <c r="AM4535" t="s">
        <v>33056</v>
      </c>
      <c r="AN4535" t="s">
        <v>2059</v>
      </c>
      <c r="AO4535" t="s">
        <v>33057</v>
      </c>
      <c r="AP4535" t="s">
        <v>7024</v>
      </c>
      <c r="AT4535" s="184"/>
      <c r="AW4535" s="184"/>
      <c r="AZ4535" s="184"/>
      <c r="BP4535" s="184"/>
    </row>
    <row r="4536" spans="1:68">
      <c r="A4536">
        <v>87446571</v>
      </c>
      <c r="B4536">
        <v>87446571</v>
      </c>
      <c r="C4536" t="s">
        <v>7018</v>
      </c>
      <c r="E4536" s="184"/>
      <c r="G4536" s="184"/>
      <c r="I4536" s="184"/>
      <c r="K4536" s="184"/>
      <c r="L4536" t="s">
        <v>595</v>
      </c>
      <c r="M4536" s="184">
        <v>44564</v>
      </c>
      <c r="O4536" s="184"/>
      <c r="P4536" t="s">
        <v>7029</v>
      </c>
      <c r="Q4536" t="s">
        <v>7020</v>
      </c>
      <c r="R4536" s="184">
        <v>15614</v>
      </c>
      <c r="S4536">
        <v>81</v>
      </c>
      <c r="V4536" t="s">
        <v>33059</v>
      </c>
      <c r="W4536" t="s">
        <v>7384</v>
      </c>
      <c r="X4536" t="s">
        <v>33060</v>
      </c>
      <c r="AF4536" t="s">
        <v>33061</v>
      </c>
      <c r="AG4536" t="s">
        <v>33059</v>
      </c>
      <c r="AI4536" t="s">
        <v>33062</v>
      </c>
      <c r="AM4536" t="s">
        <v>2920</v>
      </c>
      <c r="AN4536" t="s">
        <v>2465</v>
      </c>
      <c r="AO4536" t="s">
        <v>33063</v>
      </c>
      <c r="AP4536" t="s">
        <v>7024</v>
      </c>
      <c r="AQ4536" t="s">
        <v>33064</v>
      </c>
      <c r="AR4536" t="s">
        <v>33065</v>
      </c>
      <c r="AT4536" s="184">
        <v>41422</v>
      </c>
      <c r="AU4536" t="s">
        <v>33066</v>
      </c>
      <c r="AV4536">
        <v>15</v>
      </c>
      <c r="AW4536" s="184">
        <v>45299</v>
      </c>
      <c r="AX4536" t="s">
        <v>7382</v>
      </c>
      <c r="AY4536">
        <v>1000</v>
      </c>
      <c r="AZ4536" s="184">
        <v>45299</v>
      </c>
      <c r="BA4536" t="s">
        <v>7382</v>
      </c>
      <c r="BB4536">
        <v>1000</v>
      </c>
      <c r="BC4536">
        <v>100</v>
      </c>
      <c r="BD4536">
        <v>3700</v>
      </c>
      <c r="BE4536">
        <v>2013</v>
      </c>
      <c r="BF4536">
        <v>14</v>
      </c>
      <c r="BG4536">
        <v>2</v>
      </c>
      <c r="BH4536">
        <v>2000</v>
      </c>
      <c r="BI4536">
        <v>12</v>
      </c>
      <c r="BJ4536">
        <v>12</v>
      </c>
      <c r="BK4536">
        <v>12</v>
      </c>
      <c r="BP4536" s="184"/>
    </row>
    <row r="4537" spans="1:68">
      <c r="A4537">
        <v>87514865</v>
      </c>
      <c r="B4537">
        <v>87514865</v>
      </c>
      <c r="C4537" t="s">
        <v>7018</v>
      </c>
      <c r="D4537" t="s">
        <v>595</v>
      </c>
      <c r="E4537" s="184">
        <v>44104</v>
      </c>
      <c r="G4537" s="184"/>
      <c r="I4537" s="184"/>
      <c r="K4537" s="184"/>
      <c r="M4537" s="184"/>
      <c r="O4537" s="184"/>
      <c r="P4537" t="s">
        <v>7045</v>
      </c>
      <c r="Q4537" t="s">
        <v>7494</v>
      </c>
      <c r="R4537" s="184">
        <v>20852</v>
      </c>
      <c r="S4537">
        <v>67</v>
      </c>
      <c r="U4537" t="s">
        <v>7076</v>
      </c>
      <c r="V4537" t="s">
        <v>33067</v>
      </c>
      <c r="W4537" t="s">
        <v>33068</v>
      </c>
      <c r="X4537" t="s">
        <v>33069</v>
      </c>
      <c r="AF4537" t="s">
        <v>33070</v>
      </c>
      <c r="AG4537" t="s">
        <v>33067</v>
      </c>
      <c r="AI4537" t="s">
        <v>33071</v>
      </c>
      <c r="AM4537" t="s">
        <v>2582</v>
      </c>
      <c r="AN4537" t="s">
        <v>2174</v>
      </c>
      <c r="AO4537" t="s">
        <v>33072</v>
      </c>
      <c r="AP4537" t="s">
        <v>7024</v>
      </c>
      <c r="AQ4537" t="s">
        <v>33073</v>
      </c>
      <c r="AR4537" t="s">
        <v>33074</v>
      </c>
      <c r="AT4537" s="184">
        <v>41429</v>
      </c>
      <c r="AU4537" t="s">
        <v>33075</v>
      </c>
      <c r="AV4537">
        <v>36</v>
      </c>
      <c r="AW4537" s="184">
        <v>43986</v>
      </c>
      <c r="AX4537" t="s">
        <v>33076</v>
      </c>
      <c r="AY4537">
        <v>6</v>
      </c>
      <c r="AZ4537" s="184">
        <v>41429</v>
      </c>
      <c r="BA4537" t="s">
        <v>33075</v>
      </c>
      <c r="BB4537">
        <v>36</v>
      </c>
      <c r="BC4537">
        <v>67</v>
      </c>
      <c r="BD4537">
        <v>409</v>
      </c>
      <c r="BE4537">
        <v>2013</v>
      </c>
      <c r="BF4537">
        <v>52</v>
      </c>
      <c r="BI4537">
        <v>8</v>
      </c>
      <c r="BJ4537">
        <v>12</v>
      </c>
      <c r="BK4537">
        <v>8</v>
      </c>
      <c r="BP4537" s="184"/>
    </row>
    <row r="4538" spans="1:68">
      <c r="A4538">
        <v>87649976</v>
      </c>
      <c r="B4538">
        <v>87649976</v>
      </c>
      <c r="C4538" t="s">
        <v>7018</v>
      </c>
      <c r="D4538" t="s">
        <v>595</v>
      </c>
      <c r="E4538" s="184">
        <v>45117</v>
      </c>
      <c r="I4538" s="184"/>
      <c r="K4538" s="184"/>
      <c r="M4538" s="184"/>
      <c r="O4538" s="184"/>
      <c r="P4538" t="s">
        <v>7019</v>
      </c>
      <c r="Q4538" t="s">
        <v>7383</v>
      </c>
      <c r="R4538" s="184">
        <v>26634</v>
      </c>
      <c r="S4538">
        <v>51</v>
      </c>
      <c r="U4538" t="s">
        <v>7076</v>
      </c>
      <c r="V4538" t="s">
        <v>33077</v>
      </c>
      <c r="X4538" t="s">
        <v>33078</v>
      </c>
      <c r="AF4538" t="s">
        <v>33079</v>
      </c>
      <c r="AG4538" t="s">
        <v>33077</v>
      </c>
      <c r="AI4538" t="s">
        <v>33080</v>
      </c>
      <c r="AM4538" t="s">
        <v>3319</v>
      </c>
      <c r="AN4538" t="s">
        <v>2072</v>
      </c>
      <c r="AO4538" t="s">
        <v>33081</v>
      </c>
      <c r="AP4538" t="s">
        <v>7024</v>
      </c>
      <c r="AQ4538" t="s">
        <v>33082</v>
      </c>
      <c r="AT4538" s="184">
        <v>41437</v>
      </c>
      <c r="AU4538" t="s">
        <v>33083</v>
      </c>
      <c r="AV4538">
        <v>25</v>
      </c>
      <c r="AW4538" s="184">
        <v>44956</v>
      </c>
      <c r="AX4538" t="s">
        <v>33084</v>
      </c>
      <c r="AY4538">
        <v>35</v>
      </c>
      <c r="AZ4538" s="184">
        <v>44922</v>
      </c>
      <c r="BA4538" t="s">
        <v>32964</v>
      </c>
      <c r="BB4538">
        <v>60</v>
      </c>
      <c r="BC4538">
        <v>75</v>
      </c>
      <c r="BD4538">
        <v>495</v>
      </c>
      <c r="BE4538">
        <v>2013</v>
      </c>
      <c r="BF4538">
        <v>12</v>
      </c>
      <c r="BG4538">
        <v>2</v>
      </c>
      <c r="BH4538">
        <v>95</v>
      </c>
      <c r="BI4538">
        <v>9</v>
      </c>
      <c r="BJ4538">
        <v>12</v>
      </c>
      <c r="BK4538">
        <v>5</v>
      </c>
      <c r="BP4538" s="184"/>
    </row>
    <row r="4539" spans="1:68">
      <c r="A4539">
        <v>87682571</v>
      </c>
      <c r="B4539">
        <v>87682571</v>
      </c>
      <c r="C4539" t="s">
        <v>7018</v>
      </c>
      <c r="D4539" t="s">
        <v>595</v>
      </c>
      <c r="E4539" s="184">
        <v>44438</v>
      </c>
      <c r="G4539" s="184"/>
      <c r="I4539" s="184"/>
      <c r="K4539" s="184"/>
      <c r="M4539" s="184"/>
      <c r="O4539" s="184"/>
      <c r="P4539" t="s">
        <v>7045</v>
      </c>
      <c r="Q4539" t="s">
        <v>7383</v>
      </c>
      <c r="R4539" s="184">
        <v>13810</v>
      </c>
      <c r="S4539">
        <v>86</v>
      </c>
      <c r="U4539" t="s">
        <v>7130</v>
      </c>
      <c r="V4539" t="s">
        <v>33085</v>
      </c>
      <c r="X4539" t="s">
        <v>33086</v>
      </c>
      <c r="AF4539" t="s">
        <v>33087</v>
      </c>
      <c r="AG4539" t="s">
        <v>33085</v>
      </c>
      <c r="AI4539" t="s">
        <v>33088</v>
      </c>
      <c r="AM4539" t="s">
        <v>33089</v>
      </c>
      <c r="AN4539" t="s">
        <v>2059</v>
      </c>
      <c r="AO4539" t="s">
        <v>33090</v>
      </c>
      <c r="AP4539" t="s">
        <v>7024</v>
      </c>
      <c r="AT4539" s="184">
        <v>41439</v>
      </c>
      <c r="AU4539" t="s">
        <v>33091</v>
      </c>
      <c r="AV4539">
        <v>35</v>
      </c>
      <c r="AW4539" s="184">
        <v>44943</v>
      </c>
      <c r="AX4539" t="s">
        <v>18520</v>
      </c>
      <c r="AY4539">
        <v>40</v>
      </c>
      <c r="AZ4539" s="184">
        <v>44943</v>
      </c>
      <c r="BA4539" t="s">
        <v>18520</v>
      </c>
      <c r="BB4539">
        <v>40</v>
      </c>
      <c r="BC4539">
        <v>75</v>
      </c>
      <c r="BD4539">
        <v>325</v>
      </c>
      <c r="BE4539">
        <v>2013</v>
      </c>
      <c r="BF4539">
        <v>9</v>
      </c>
      <c r="BG4539">
        <v>1</v>
      </c>
      <c r="BH4539">
        <v>40</v>
      </c>
      <c r="BI4539">
        <v>9</v>
      </c>
      <c r="BJ4539">
        <v>12</v>
      </c>
      <c r="BK4539">
        <v>7</v>
      </c>
      <c r="BP4539" s="184"/>
    </row>
    <row r="4540" spans="1:68">
      <c r="A4540">
        <v>87958575</v>
      </c>
      <c r="B4540">
        <v>87958575</v>
      </c>
      <c r="C4540" t="s">
        <v>7018</v>
      </c>
      <c r="D4540" t="s">
        <v>595</v>
      </c>
      <c r="E4540" s="184">
        <v>44073</v>
      </c>
      <c r="G4540" s="184"/>
      <c r="I4540" s="184"/>
      <c r="K4540" s="184"/>
      <c r="M4540" s="184"/>
      <c r="O4540" s="184"/>
      <c r="P4540" t="s">
        <v>7029</v>
      </c>
      <c r="Q4540" t="s">
        <v>7374</v>
      </c>
      <c r="R4540" s="184">
        <v>18507</v>
      </c>
      <c r="S4540">
        <v>73</v>
      </c>
      <c r="V4540" t="s">
        <v>3783</v>
      </c>
      <c r="W4540" t="s">
        <v>4013</v>
      </c>
      <c r="X4540" t="s">
        <v>33092</v>
      </c>
      <c r="AF4540" t="s">
        <v>33093</v>
      </c>
      <c r="AG4540" t="s">
        <v>3783</v>
      </c>
      <c r="AI4540" t="s">
        <v>33094</v>
      </c>
      <c r="AM4540" t="s">
        <v>4290</v>
      </c>
      <c r="AN4540" t="s">
        <v>2081</v>
      </c>
      <c r="AO4540" t="s">
        <v>33095</v>
      </c>
      <c r="AP4540" t="s">
        <v>7024</v>
      </c>
      <c r="AQ4540" t="s">
        <v>33096</v>
      </c>
      <c r="AT4540" s="184">
        <v>41451</v>
      </c>
      <c r="AU4540" t="s">
        <v>33097</v>
      </c>
      <c r="AV4540">
        <v>25</v>
      </c>
      <c r="AW4540" s="184">
        <v>43949</v>
      </c>
      <c r="AX4540" t="s">
        <v>33098</v>
      </c>
      <c r="AY4540">
        <v>20</v>
      </c>
      <c r="AZ4540" s="184">
        <v>43672</v>
      </c>
      <c r="BA4540" t="s">
        <v>26779</v>
      </c>
      <c r="BB4540">
        <v>100</v>
      </c>
      <c r="BC4540">
        <v>67</v>
      </c>
      <c r="BD4540">
        <v>1295</v>
      </c>
      <c r="BE4540">
        <v>2013</v>
      </c>
      <c r="BF4540">
        <v>62</v>
      </c>
      <c r="BI4540">
        <v>8</v>
      </c>
      <c r="BJ4540">
        <v>12</v>
      </c>
      <c r="BK4540">
        <v>8</v>
      </c>
      <c r="BL4540" t="s">
        <v>595</v>
      </c>
      <c r="BN4540" t="s">
        <v>595</v>
      </c>
      <c r="BP4540" s="184"/>
    </row>
    <row r="4541" spans="1:68">
      <c r="A4541">
        <v>88005046</v>
      </c>
      <c r="B4541">
        <v>88005046</v>
      </c>
      <c r="C4541" t="s">
        <v>7018</v>
      </c>
      <c r="D4541" t="s">
        <v>595</v>
      </c>
      <c r="E4541" s="184">
        <v>44167</v>
      </c>
      <c r="G4541" s="184"/>
      <c r="H4541" t="s">
        <v>595</v>
      </c>
      <c r="I4541" s="184">
        <v>44167</v>
      </c>
      <c r="K4541" s="184"/>
      <c r="M4541" s="184"/>
      <c r="O4541" s="184"/>
      <c r="P4541" t="s">
        <v>7045</v>
      </c>
      <c r="Q4541" t="s">
        <v>7194</v>
      </c>
      <c r="R4541" s="184">
        <v>19025</v>
      </c>
      <c r="S4541">
        <v>72</v>
      </c>
      <c r="U4541" t="s">
        <v>7031</v>
      </c>
      <c r="V4541" t="s">
        <v>2871</v>
      </c>
      <c r="W4541" t="s">
        <v>3689</v>
      </c>
      <c r="X4541" t="s">
        <v>4014</v>
      </c>
      <c r="AF4541" t="s">
        <v>33099</v>
      </c>
      <c r="AG4541" t="s">
        <v>2871</v>
      </c>
      <c r="AI4541" t="s">
        <v>33100</v>
      </c>
      <c r="AM4541" t="s">
        <v>33101</v>
      </c>
      <c r="AN4541" t="s">
        <v>2046</v>
      </c>
      <c r="AO4541" t="s">
        <v>33102</v>
      </c>
      <c r="AP4541" t="s">
        <v>7024</v>
      </c>
      <c r="AQ4541" t="s">
        <v>33103</v>
      </c>
      <c r="AR4541" t="s">
        <v>33104</v>
      </c>
      <c r="AT4541" s="184">
        <v>41459</v>
      </c>
      <c r="AU4541" t="s">
        <v>25731</v>
      </c>
      <c r="AV4541">
        <v>100</v>
      </c>
      <c r="AW4541" s="184">
        <v>45426</v>
      </c>
      <c r="AX4541" t="s">
        <v>7422</v>
      </c>
      <c r="AY4541">
        <v>25</v>
      </c>
      <c r="AZ4541" s="184">
        <v>42218</v>
      </c>
      <c r="BA4541" t="s">
        <v>33105</v>
      </c>
      <c r="BB4541">
        <v>100</v>
      </c>
      <c r="BC4541">
        <v>100</v>
      </c>
      <c r="BD4541">
        <v>3325</v>
      </c>
      <c r="BE4541">
        <v>2014</v>
      </c>
      <c r="BF4541">
        <v>123</v>
      </c>
      <c r="BG4541">
        <v>25</v>
      </c>
      <c r="BH4541">
        <v>625</v>
      </c>
      <c r="BI4541">
        <v>12</v>
      </c>
      <c r="BJ4541">
        <v>12</v>
      </c>
      <c r="BK4541">
        <v>12</v>
      </c>
      <c r="BP4541" s="184"/>
    </row>
    <row r="4542" spans="1:68">
      <c r="A4542">
        <v>88034194</v>
      </c>
      <c r="B4542">
        <v>88034194</v>
      </c>
      <c r="C4542" t="s">
        <v>7018</v>
      </c>
      <c r="D4542" t="s">
        <v>595</v>
      </c>
      <c r="E4542" s="184">
        <v>45195</v>
      </c>
      <c r="G4542" s="184"/>
      <c r="I4542" s="184"/>
      <c r="K4542" s="184"/>
      <c r="M4542" s="184"/>
      <c r="O4542" s="184"/>
      <c r="P4542" t="s">
        <v>7045</v>
      </c>
      <c r="Q4542" t="s">
        <v>7374</v>
      </c>
      <c r="R4542" s="184">
        <v>18568</v>
      </c>
      <c r="S4542">
        <v>73</v>
      </c>
      <c r="V4542" t="s">
        <v>3206</v>
      </c>
      <c r="X4542" t="s">
        <v>33106</v>
      </c>
      <c r="AF4542" t="s">
        <v>33107</v>
      </c>
      <c r="AG4542" t="s">
        <v>3206</v>
      </c>
      <c r="AI4542" t="s">
        <v>33108</v>
      </c>
      <c r="AM4542" t="s">
        <v>33109</v>
      </c>
      <c r="AN4542" t="s">
        <v>2081</v>
      </c>
      <c r="AO4542" t="s">
        <v>33110</v>
      </c>
      <c r="AP4542" t="s">
        <v>7024</v>
      </c>
      <c r="AQ4542" t="s">
        <v>33111</v>
      </c>
      <c r="AT4542" s="184">
        <v>41458</v>
      </c>
      <c r="AU4542" t="s">
        <v>33112</v>
      </c>
      <c r="AV4542">
        <v>25</v>
      </c>
      <c r="AW4542" s="184">
        <v>45134</v>
      </c>
      <c r="AX4542" t="s">
        <v>33113</v>
      </c>
      <c r="AY4542">
        <v>110</v>
      </c>
      <c r="AZ4542" s="184">
        <v>45134</v>
      </c>
      <c r="BA4542" t="s">
        <v>33113</v>
      </c>
      <c r="BB4542">
        <v>110</v>
      </c>
      <c r="BC4542">
        <v>67</v>
      </c>
      <c r="BD4542">
        <v>1076</v>
      </c>
      <c r="BE4542">
        <v>2014</v>
      </c>
      <c r="BF4542">
        <v>12</v>
      </c>
      <c r="BG4542">
        <v>3</v>
      </c>
      <c r="BH4542">
        <v>330</v>
      </c>
      <c r="BI4542">
        <v>8</v>
      </c>
      <c r="BJ4542">
        <v>12</v>
      </c>
      <c r="BK4542">
        <v>5</v>
      </c>
      <c r="BP4542" s="184"/>
    </row>
    <row r="4543" spans="1:68">
      <c r="A4543">
        <v>88034608</v>
      </c>
      <c r="B4543">
        <v>88034608</v>
      </c>
      <c r="C4543" t="s">
        <v>7018</v>
      </c>
      <c r="D4543" t="s">
        <v>595</v>
      </c>
      <c r="E4543" s="184">
        <v>44070</v>
      </c>
      <c r="G4543" s="184"/>
      <c r="I4543" s="184"/>
      <c r="K4543" s="184"/>
      <c r="O4543" s="184"/>
      <c r="P4543" t="s">
        <v>7029</v>
      </c>
      <c r="Q4543" t="s">
        <v>7383</v>
      </c>
      <c r="R4543" s="184">
        <v>19360</v>
      </c>
      <c r="S4543">
        <v>71</v>
      </c>
      <c r="V4543" t="s">
        <v>2795</v>
      </c>
      <c r="X4543" t="s">
        <v>32938</v>
      </c>
      <c r="AF4543" t="s">
        <v>33114</v>
      </c>
      <c r="AG4543" t="s">
        <v>2795</v>
      </c>
      <c r="AI4543" t="s">
        <v>33115</v>
      </c>
      <c r="AM4543" t="s">
        <v>2520</v>
      </c>
      <c r="AN4543" t="s">
        <v>2072</v>
      </c>
      <c r="AO4543" t="s">
        <v>33116</v>
      </c>
      <c r="AP4543" t="s">
        <v>7024</v>
      </c>
      <c r="AQ4543" t="s">
        <v>33117</v>
      </c>
      <c r="AT4543" s="184">
        <v>41458</v>
      </c>
      <c r="AU4543" t="s">
        <v>33118</v>
      </c>
      <c r="AV4543">
        <v>25</v>
      </c>
      <c r="AW4543" s="184">
        <v>45406</v>
      </c>
      <c r="AX4543" t="s">
        <v>10133</v>
      </c>
      <c r="AY4543">
        <v>120</v>
      </c>
      <c r="AZ4543" s="184">
        <v>45406</v>
      </c>
      <c r="BA4543" t="s">
        <v>10133</v>
      </c>
      <c r="BB4543">
        <v>120</v>
      </c>
      <c r="BC4543">
        <v>100</v>
      </c>
      <c r="BD4543">
        <v>1375</v>
      </c>
      <c r="BE4543">
        <v>2014</v>
      </c>
      <c r="BF4543">
        <v>122</v>
      </c>
      <c r="BG4543">
        <v>23</v>
      </c>
      <c r="BH4543">
        <v>340</v>
      </c>
      <c r="BI4543">
        <v>12</v>
      </c>
      <c r="BJ4543">
        <v>12</v>
      </c>
      <c r="BK4543">
        <v>12</v>
      </c>
      <c r="BP4543" s="184"/>
    </row>
    <row r="4544" spans="1:68">
      <c r="A4544">
        <v>88095781</v>
      </c>
      <c r="B4544">
        <v>88095781</v>
      </c>
      <c r="C4544" t="s">
        <v>7018</v>
      </c>
      <c r="D4544" t="s">
        <v>595</v>
      </c>
      <c r="E4544" s="184">
        <v>44313</v>
      </c>
      <c r="G4544" s="184"/>
      <c r="I4544" s="184"/>
      <c r="K4544" s="184"/>
      <c r="O4544" s="184"/>
      <c r="P4544" t="s">
        <v>7045</v>
      </c>
      <c r="Q4544" t="s">
        <v>7494</v>
      </c>
      <c r="R4544" s="184">
        <v>15064</v>
      </c>
      <c r="S4544">
        <v>83</v>
      </c>
      <c r="V4544" t="s">
        <v>2511</v>
      </c>
      <c r="X4544" t="s">
        <v>33119</v>
      </c>
      <c r="Z4544">
        <v>100541267</v>
      </c>
      <c r="AB4544" t="s">
        <v>3652</v>
      </c>
      <c r="AD4544" t="s">
        <v>33119</v>
      </c>
      <c r="AF4544" t="s">
        <v>33120</v>
      </c>
      <c r="AG4544" t="s">
        <v>33121</v>
      </c>
      <c r="AI4544" t="s">
        <v>33122</v>
      </c>
      <c r="AM4544" t="s">
        <v>22237</v>
      </c>
      <c r="AN4544" t="s">
        <v>2174</v>
      </c>
      <c r="AO4544" t="s">
        <v>33123</v>
      </c>
      <c r="AP4544" t="s">
        <v>7024</v>
      </c>
      <c r="AQ4544" t="s">
        <v>33124</v>
      </c>
      <c r="AT4544" s="184">
        <v>41464</v>
      </c>
      <c r="AU4544" t="s">
        <v>33125</v>
      </c>
      <c r="AV4544">
        <v>25</v>
      </c>
      <c r="AW4544" s="184">
        <v>45409</v>
      </c>
      <c r="AX4544" t="s">
        <v>7429</v>
      </c>
      <c r="AY4544">
        <v>10</v>
      </c>
      <c r="AZ4544" s="184">
        <v>41730</v>
      </c>
      <c r="BA4544" t="s">
        <v>33126</v>
      </c>
      <c r="BB4544">
        <v>25</v>
      </c>
      <c r="BC4544">
        <v>100</v>
      </c>
      <c r="BD4544">
        <v>1205</v>
      </c>
      <c r="BE4544">
        <v>2014</v>
      </c>
      <c r="BF4544">
        <v>116</v>
      </c>
      <c r="BG4544">
        <v>19</v>
      </c>
      <c r="BH4544">
        <v>190</v>
      </c>
      <c r="BI4544">
        <v>12</v>
      </c>
      <c r="BJ4544">
        <v>12</v>
      </c>
      <c r="BK4544">
        <v>12</v>
      </c>
      <c r="BN4544" t="s">
        <v>595</v>
      </c>
      <c r="BP4544" s="184"/>
    </row>
    <row r="4545" spans="1:68">
      <c r="A4545">
        <v>100541267</v>
      </c>
      <c r="B4545">
        <v>88095781</v>
      </c>
      <c r="C4545" t="s">
        <v>7018</v>
      </c>
      <c r="D4545" t="s">
        <v>595</v>
      </c>
      <c r="E4545" s="184">
        <v>44313</v>
      </c>
      <c r="G4545" s="184"/>
      <c r="I4545" s="184"/>
      <c r="K4545" s="184"/>
      <c r="M4545" s="184"/>
      <c r="O4545" s="184"/>
      <c r="P4545" t="s">
        <v>7045</v>
      </c>
      <c r="Q4545" t="s">
        <v>7494</v>
      </c>
      <c r="R4545" s="184">
        <v>16135</v>
      </c>
      <c r="S4545">
        <v>80</v>
      </c>
      <c r="V4545" t="s">
        <v>3652</v>
      </c>
      <c r="X4545" t="s">
        <v>33119</v>
      </c>
      <c r="Z4545">
        <v>88095781</v>
      </c>
      <c r="AB4545" t="s">
        <v>2511</v>
      </c>
      <c r="AD4545" t="s">
        <v>33119</v>
      </c>
      <c r="AF4545" t="s">
        <v>33120</v>
      </c>
      <c r="AG4545" t="s">
        <v>33121</v>
      </c>
      <c r="AI4545" t="s">
        <v>33122</v>
      </c>
      <c r="AM4545" t="s">
        <v>22237</v>
      </c>
      <c r="AN4545" t="s">
        <v>2174</v>
      </c>
      <c r="AO4545" t="s">
        <v>33123</v>
      </c>
      <c r="AP4545" t="s">
        <v>7024</v>
      </c>
      <c r="AQ4545" t="s">
        <v>33124</v>
      </c>
      <c r="AT4545" s="184"/>
      <c r="AW4545" s="184"/>
      <c r="AZ4545" s="184"/>
      <c r="BP4545" s="184"/>
    </row>
    <row r="4546" spans="1:68">
      <c r="A4546">
        <v>88100425</v>
      </c>
      <c r="B4546">
        <v>88100425</v>
      </c>
      <c r="C4546" t="s">
        <v>7018</v>
      </c>
      <c r="E4546" s="184"/>
      <c r="G4546" s="184"/>
      <c r="I4546" s="184"/>
      <c r="J4546" t="s">
        <v>595</v>
      </c>
      <c r="K4546" s="184">
        <v>44167</v>
      </c>
      <c r="M4546" s="184"/>
      <c r="O4546" s="184"/>
      <c r="P4546" t="s">
        <v>7045</v>
      </c>
      <c r="Q4546" t="s">
        <v>7194</v>
      </c>
      <c r="R4546" s="184">
        <v>15858</v>
      </c>
      <c r="S4546">
        <v>80</v>
      </c>
      <c r="U4546" t="s">
        <v>7076</v>
      </c>
      <c r="V4546" t="s">
        <v>2903</v>
      </c>
      <c r="X4546" t="s">
        <v>33127</v>
      </c>
      <c r="Z4546">
        <v>100319543</v>
      </c>
      <c r="AA4546" t="s">
        <v>7031</v>
      </c>
      <c r="AB4546" t="s">
        <v>2851</v>
      </c>
      <c r="AD4546" t="s">
        <v>33128</v>
      </c>
      <c r="AF4546" t="s">
        <v>33129</v>
      </c>
      <c r="AG4546" t="s">
        <v>33130</v>
      </c>
      <c r="AI4546" t="s">
        <v>33131</v>
      </c>
      <c r="AM4546" t="s">
        <v>14354</v>
      </c>
      <c r="AN4546" t="s">
        <v>2046</v>
      </c>
      <c r="AO4546" t="s">
        <v>14355</v>
      </c>
      <c r="AP4546" t="s">
        <v>7024</v>
      </c>
      <c r="AQ4546" t="s">
        <v>33132</v>
      </c>
      <c r="AR4546" t="s">
        <v>33133</v>
      </c>
      <c r="AT4546" s="184">
        <v>41469</v>
      </c>
      <c r="AU4546" t="s">
        <v>33134</v>
      </c>
      <c r="AV4546">
        <v>50</v>
      </c>
      <c r="AW4546" s="184">
        <v>45209</v>
      </c>
      <c r="AX4546" t="s">
        <v>8977</v>
      </c>
      <c r="AY4546">
        <v>500</v>
      </c>
      <c r="AZ4546" s="184">
        <v>44403</v>
      </c>
      <c r="BA4546" t="s">
        <v>33135</v>
      </c>
      <c r="BB4546">
        <v>1000</v>
      </c>
      <c r="BC4546">
        <v>84</v>
      </c>
      <c r="BD4546">
        <v>4050</v>
      </c>
      <c r="BE4546">
        <v>2014</v>
      </c>
      <c r="BF4546">
        <v>12</v>
      </c>
      <c r="BG4546">
        <v>2</v>
      </c>
      <c r="BH4546">
        <v>600</v>
      </c>
      <c r="BI4546">
        <v>10</v>
      </c>
      <c r="BJ4546">
        <v>12</v>
      </c>
      <c r="BK4546">
        <v>6</v>
      </c>
      <c r="BP4546" s="184"/>
    </row>
    <row r="4547" spans="1:68">
      <c r="A4547">
        <v>100319543</v>
      </c>
      <c r="B4547">
        <v>88100425</v>
      </c>
      <c r="C4547" t="s">
        <v>7018</v>
      </c>
      <c r="E4547" s="184"/>
      <c r="G4547" s="184"/>
      <c r="I4547" s="184"/>
      <c r="J4547" t="s">
        <v>595</v>
      </c>
      <c r="K4547" s="184">
        <v>44167</v>
      </c>
      <c r="M4547" s="184"/>
      <c r="P4547" t="s">
        <v>7045</v>
      </c>
      <c r="Q4547" t="s">
        <v>7194</v>
      </c>
      <c r="R4547" s="184">
        <v>15253</v>
      </c>
      <c r="S4547">
        <v>82</v>
      </c>
      <c r="U4547" t="s">
        <v>7031</v>
      </c>
      <c r="V4547" t="s">
        <v>2851</v>
      </c>
      <c r="X4547" t="s">
        <v>33128</v>
      </c>
      <c r="Z4547">
        <v>88100425</v>
      </c>
      <c r="AA4547" t="s">
        <v>7076</v>
      </c>
      <c r="AB4547" t="s">
        <v>2903</v>
      </c>
      <c r="AD4547" t="s">
        <v>33127</v>
      </c>
      <c r="AF4547" t="s">
        <v>33129</v>
      </c>
      <c r="AG4547" t="s">
        <v>33130</v>
      </c>
      <c r="AI4547" t="s">
        <v>33131</v>
      </c>
      <c r="AM4547" t="s">
        <v>14354</v>
      </c>
      <c r="AN4547" t="s">
        <v>2046</v>
      </c>
      <c r="AO4547" t="s">
        <v>14355</v>
      </c>
      <c r="AP4547" t="s">
        <v>7024</v>
      </c>
      <c r="AT4547" s="184"/>
      <c r="AW4547" s="184"/>
      <c r="AZ4547" s="184"/>
      <c r="BP4547" s="184"/>
    </row>
    <row r="4548" spans="1:68">
      <c r="A4548">
        <v>88153770</v>
      </c>
      <c r="B4548">
        <v>88153770</v>
      </c>
      <c r="C4548" t="s">
        <v>7018</v>
      </c>
      <c r="D4548" t="s">
        <v>595</v>
      </c>
      <c r="E4548" s="184">
        <v>45180</v>
      </c>
      <c r="G4548" s="184"/>
      <c r="I4548" s="184"/>
      <c r="K4548" s="184"/>
      <c r="M4548" s="184"/>
      <c r="O4548" s="184"/>
      <c r="P4548" t="s">
        <v>7019</v>
      </c>
      <c r="Q4548" t="s">
        <v>7030</v>
      </c>
      <c r="R4548" s="184">
        <v>17564</v>
      </c>
      <c r="S4548">
        <v>76</v>
      </c>
      <c r="V4548" t="s">
        <v>3393</v>
      </c>
      <c r="X4548" t="s">
        <v>4291</v>
      </c>
      <c r="AF4548" t="s">
        <v>33136</v>
      </c>
      <c r="AG4548" t="s">
        <v>3393</v>
      </c>
      <c r="AI4548" t="s">
        <v>33137</v>
      </c>
      <c r="AM4548" t="s">
        <v>2564</v>
      </c>
      <c r="AN4548" t="s">
        <v>2089</v>
      </c>
      <c r="AO4548" t="s">
        <v>33138</v>
      </c>
      <c r="AP4548" t="s">
        <v>7024</v>
      </c>
      <c r="AQ4548" t="s">
        <v>33139</v>
      </c>
      <c r="AT4548" s="184">
        <v>41470</v>
      </c>
      <c r="AU4548" t="s">
        <v>33140</v>
      </c>
      <c r="AV4548">
        <v>20</v>
      </c>
      <c r="AW4548" s="184">
        <v>44620</v>
      </c>
      <c r="AX4548" t="s">
        <v>17844</v>
      </c>
      <c r="AY4548">
        <v>50</v>
      </c>
      <c r="AZ4548" s="184">
        <v>44586</v>
      </c>
      <c r="BA4548" t="s">
        <v>33141</v>
      </c>
      <c r="BB4548">
        <v>87</v>
      </c>
      <c r="BC4548">
        <v>67</v>
      </c>
      <c r="BD4548">
        <v>317</v>
      </c>
      <c r="BE4548">
        <v>2014</v>
      </c>
      <c r="BF4548">
        <v>9</v>
      </c>
      <c r="BI4548">
        <v>8</v>
      </c>
      <c r="BJ4548">
        <v>12</v>
      </c>
      <c r="BK4548">
        <v>4</v>
      </c>
      <c r="BP4548" s="184"/>
    </row>
    <row r="4549" spans="1:68">
      <c r="A4549">
        <v>88176193</v>
      </c>
      <c r="B4549">
        <v>88176193</v>
      </c>
      <c r="C4549" t="s">
        <v>7018</v>
      </c>
      <c r="D4549" t="s">
        <v>595</v>
      </c>
      <c r="E4549" s="184">
        <v>44455</v>
      </c>
      <c r="G4549" s="184"/>
      <c r="I4549" s="184"/>
      <c r="K4549" s="184"/>
      <c r="M4549" s="184"/>
      <c r="P4549" t="s">
        <v>7045</v>
      </c>
      <c r="Q4549" t="s">
        <v>7160</v>
      </c>
      <c r="R4549" s="184">
        <v>12774</v>
      </c>
      <c r="S4549">
        <v>89</v>
      </c>
      <c r="V4549" t="s">
        <v>12008</v>
      </c>
      <c r="W4549" t="s">
        <v>115</v>
      </c>
      <c r="X4549" t="s">
        <v>3625</v>
      </c>
      <c r="AF4549" t="s">
        <v>33142</v>
      </c>
      <c r="AG4549" t="s">
        <v>12008</v>
      </c>
      <c r="AI4549" t="s">
        <v>33143</v>
      </c>
      <c r="AM4549" t="s">
        <v>33144</v>
      </c>
      <c r="AN4549" t="s">
        <v>4637</v>
      </c>
      <c r="AO4549" t="s">
        <v>33145</v>
      </c>
      <c r="AP4549" t="s">
        <v>7024</v>
      </c>
      <c r="AQ4549" t="s">
        <v>33146</v>
      </c>
      <c r="AT4549" s="184">
        <v>41471</v>
      </c>
      <c r="AU4549" t="s">
        <v>33147</v>
      </c>
      <c r="AV4549">
        <v>25</v>
      </c>
      <c r="AW4549" s="184">
        <v>44278</v>
      </c>
      <c r="AX4549" t="s">
        <v>33148</v>
      </c>
      <c r="AY4549">
        <v>25</v>
      </c>
      <c r="AZ4549" s="184">
        <v>44278</v>
      </c>
      <c r="BA4549" t="s">
        <v>33148</v>
      </c>
      <c r="BB4549">
        <v>25</v>
      </c>
      <c r="BC4549">
        <v>59</v>
      </c>
      <c r="BD4549">
        <v>490</v>
      </c>
      <c r="BE4549">
        <v>2014</v>
      </c>
      <c r="BF4549">
        <v>44</v>
      </c>
      <c r="BI4549">
        <v>7</v>
      </c>
      <c r="BJ4549">
        <v>12</v>
      </c>
      <c r="BK4549">
        <v>6</v>
      </c>
      <c r="BP4549" s="184"/>
    </row>
    <row r="4550" spans="1:68">
      <c r="A4550">
        <v>88194055</v>
      </c>
      <c r="B4550">
        <v>88194055</v>
      </c>
      <c r="C4550" t="s">
        <v>7018</v>
      </c>
      <c r="D4550" t="s">
        <v>595</v>
      </c>
      <c r="E4550" s="184">
        <v>44167</v>
      </c>
      <c r="G4550" s="184"/>
      <c r="I4550" s="184"/>
      <c r="K4550" s="184"/>
      <c r="M4550" s="184"/>
      <c r="P4550" t="s">
        <v>7045</v>
      </c>
      <c r="Q4550" t="s">
        <v>7160</v>
      </c>
      <c r="R4550" s="184">
        <v>14988</v>
      </c>
      <c r="S4550">
        <v>83</v>
      </c>
      <c r="V4550" t="s">
        <v>9117</v>
      </c>
      <c r="X4550" t="s">
        <v>33149</v>
      </c>
      <c r="AF4550" t="s">
        <v>33150</v>
      </c>
      <c r="AG4550" t="s">
        <v>9117</v>
      </c>
      <c r="AI4550" t="s">
        <v>33151</v>
      </c>
      <c r="AM4550" t="s">
        <v>5146</v>
      </c>
      <c r="AN4550" t="s">
        <v>2395</v>
      </c>
      <c r="AO4550" t="s">
        <v>33152</v>
      </c>
      <c r="AP4550" t="s">
        <v>7024</v>
      </c>
      <c r="AQ4550" t="s">
        <v>33153</v>
      </c>
      <c r="AT4550" s="184">
        <v>41471</v>
      </c>
      <c r="AU4550" t="s">
        <v>31526</v>
      </c>
      <c r="AV4550">
        <v>25</v>
      </c>
      <c r="AW4550" s="184">
        <v>45345</v>
      </c>
      <c r="AX4550" t="s">
        <v>7832</v>
      </c>
      <c r="AY4550">
        <v>25</v>
      </c>
      <c r="AZ4550" s="184">
        <v>43337</v>
      </c>
      <c r="BA4550" t="s">
        <v>33154</v>
      </c>
      <c r="BB4550">
        <v>90</v>
      </c>
      <c r="BC4550">
        <v>75</v>
      </c>
      <c r="BD4550">
        <v>482</v>
      </c>
      <c r="BE4550">
        <v>2014</v>
      </c>
      <c r="BF4550">
        <v>11</v>
      </c>
      <c r="BG4550">
        <v>1</v>
      </c>
      <c r="BH4550">
        <v>25</v>
      </c>
      <c r="BI4550">
        <v>9</v>
      </c>
      <c r="BJ4550">
        <v>12</v>
      </c>
      <c r="BK4550">
        <v>6</v>
      </c>
      <c r="BP4550" s="184"/>
    </row>
    <row r="4551" spans="1:68">
      <c r="A4551">
        <v>88234562</v>
      </c>
      <c r="B4551">
        <v>88234562</v>
      </c>
      <c r="C4551" t="s">
        <v>7018</v>
      </c>
      <c r="D4551" t="s">
        <v>595</v>
      </c>
      <c r="E4551" s="184">
        <v>44167</v>
      </c>
      <c r="G4551" s="184"/>
      <c r="I4551" s="184"/>
      <c r="K4551" s="184"/>
      <c r="M4551" s="184"/>
      <c r="P4551" t="s">
        <v>7045</v>
      </c>
      <c r="Q4551" t="s">
        <v>7160</v>
      </c>
      <c r="R4551" s="184">
        <v>17198</v>
      </c>
      <c r="S4551">
        <v>77</v>
      </c>
      <c r="U4551" t="s">
        <v>7076</v>
      </c>
      <c r="V4551" t="s">
        <v>3293</v>
      </c>
      <c r="W4551" t="s">
        <v>7963</v>
      </c>
      <c r="X4551" t="s">
        <v>33155</v>
      </c>
      <c r="AF4551" t="s">
        <v>33156</v>
      </c>
      <c r="AG4551" t="s">
        <v>3293</v>
      </c>
      <c r="AI4551" t="s">
        <v>33157</v>
      </c>
      <c r="AM4551" t="s">
        <v>3092</v>
      </c>
      <c r="AN4551" t="s">
        <v>2176</v>
      </c>
      <c r="AO4551" t="s">
        <v>33158</v>
      </c>
      <c r="AP4551" t="s">
        <v>7024</v>
      </c>
      <c r="AQ4551" t="s">
        <v>33159</v>
      </c>
      <c r="AT4551" s="184">
        <v>41473</v>
      </c>
      <c r="AU4551" t="s">
        <v>33160</v>
      </c>
      <c r="AV4551">
        <v>25</v>
      </c>
      <c r="AW4551" s="184">
        <v>45124</v>
      </c>
      <c r="AX4551" t="s">
        <v>24145</v>
      </c>
      <c r="AY4551">
        <v>35</v>
      </c>
      <c r="AZ4551" s="184">
        <v>45124</v>
      </c>
      <c r="BA4551" t="s">
        <v>24145</v>
      </c>
      <c r="BB4551">
        <v>35</v>
      </c>
      <c r="BC4551">
        <v>92</v>
      </c>
      <c r="BD4551">
        <v>370</v>
      </c>
      <c r="BE4551">
        <v>2014</v>
      </c>
      <c r="BF4551">
        <v>17</v>
      </c>
      <c r="BG4551">
        <v>3</v>
      </c>
      <c r="BH4551">
        <v>75</v>
      </c>
      <c r="BI4551">
        <v>11</v>
      </c>
      <c r="BJ4551">
        <v>12</v>
      </c>
      <c r="BK4551">
        <v>11</v>
      </c>
      <c r="BP4551" s="184"/>
    </row>
    <row r="4552" spans="1:68">
      <c r="A4552">
        <v>88290507</v>
      </c>
      <c r="B4552">
        <v>88290507</v>
      </c>
      <c r="C4552" t="s">
        <v>7018</v>
      </c>
      <c r="D4552" t="s">
        <v>595</v>
      </c>
      <c r="E4552" s="184">
        <v>44438</v>
      </c>
      <c r="G4552" s="184"/>
      <c r="I4552" s="184"/>
      <c r="K4552" s="184"/>
      <c r="M4552" s="184"/>
      <c r="O4552" s="184"/>
      <c r="P4552" t="s">
        <v>7045</v>
      </c>
      <c r="Q4552" t="s">
        <v>7030</v>
      </c>
      <c r="R4552" s="184">
        <v>20090</v>
      </c>
      <c r="S4552">
        <v>69</v>
      </c>
      <c r="V4552" t="s">
        <v>3272</v>
      </c>
      <c r="X4552" t="s">
        <v>5944</v>
      </c>
      <c r="AF4552" t="s">
        <v>33161</v>
      </c>
      <c r="AG4552" t="s">
        <v>3272</v>
      </c>
      <c r="AI4552" t="s">
        <v>33162</v>
      </c>
      <c r="AM4552" t="s">
        <v>4424</v>
      </c>
      <c r="AN4552" t="s">
        <v>2089</v>
      </c>
      <c r="AO4552" t="s">
        <v>33163</v>
      </c>
      <c r="AP4552" t="s">
        <v>7024</v>
      </c>
      <c r="AQ4552" t="s">
        <v>33164</v>
      </c>
      <c r="AT4552" s="184">
        <v>41474</v>
      </c>
      <c r="AU4552" t="s">
        <v>33165</v>
      </c>
      <c r="AV4552">
        <v>50</v>
      </c>
      <c r="AW4552" s="184">
        <v>45366</v>
      </c>
      <c r="AX4552" t="s">
        <v>31638</v>
      </c>
      <c r="AY4552">
        <v>50</v>
      </c>
      <c r="AZ4552" s="184">
        <v>45366</v>
      </c>
      <c r="BA4552" t="s">
        <v>31638</v>
      </c>
      <c r="BB4552">
        <v>50</v>
      </c>
      <c r="BC4552">
        <v>59</v>
      </c>
      <c r="BD4552">
        <v>450</v>
      </c>
      <c r="BE4552">
        <v>2014</v>
      </c>
      <c r="BF4552">
        <v>9</v>
      </c>
      <c r="BG4552">
        <v>1</v>
      </c>
      <c r="BH4552">
        <v>50</v>
      </c>
      <c r="BI4552">
        <v>7</v>
      </c>
      <c r="BJ4552">
        <v>12</v>
      </c>
      <c r="BK4552">
        <v>3</v>
      </c>
      <c r="BN4552" t="s">
        <v>595</v>
      </c>
    </row>
    <row r="4553" spans="1:68">
      <c r="A4553">
        <v>88305594</v>
      </c>
      <c r="B4553">
        <v>88305594</v>
      </c>
      <c r="C4553" t="s">
        <v>7018</v>
      </c>
      <c r="D4553" t="s">
        <v>595</v>
      </c>
      <c r="E4553" s="184">
        <v>44438</v>
      </c>
      <c r="G4553" s="184"/>
      <c r="I4553" s="184"/>
      <c r="K4553" s="184"/>
      <c r="M4553" s="184"/>
      <c r="O4553" s="184"/>
      <c r="P4553" t="s">
        <v>7045</v>
      </c>
      <c r="Q4553" t="s">
        <v>7160</v>
      </c>
      <c r="R4553" s="184">
        <v>12851</v>
      </c>
      <c r="S4553">
        <v>89</v>
      </c>
      <c r="V4553" t="s">
        <v>3689</v>
      </c>
      <c r="W4553" t="s">
        <v>4013</v>
      </c>
      <c r="X4553" t="s">
        <v>17912</v>
      </c>
      <c r="AF4553" t="s">
        <v>33166</v>
      </c>
      <c r="AG4553" t="s">
        <v>3689</v>
      </c>
      <c r="AI4553" t="s">
        <v>33167</v>
      </c>
      <c r="AM4553" t="s">
        <v>4028</v>
      </c>
      <c r="AN4553" t="s">
        <v>2446</v>
      </c>
      <c r="AO4553" t="s">
        <v>33168</v>
      </c>
      <c r="AP4553" t="s">
        <v>7024</v>
      </c>
      <c r="AQ4553" t="s">
        <v>33169</v>
      </c>
      <c r="AR4553" t="s">
        <v>33170</v>
      </c>
      <c r="AT4553" s="184">
        <v>41474</v>
      </c>
      <c r="AU4553" t="s">
        <v>33171</v>
      </c>
      <c r="AV4553">
        <v>15</v>
      </c>
      <c r="AW4553" s="184">
        <v>45395</v>
      </c>
      <c r="AX4553" t="s">
        <v>8185</v>
      </c>
      <c r="AY4553">
        <v>36.75</v>
      </c>
      <c r="AZ4553" s="184">
        <v>44059</v>
      </c>
      <c r="BA4553" t="s">
        <v>9633</v>
      </c>
      <c r="BB4553">
        <v>60</v>
      </c>
      <c r="BC4553">
        <v>75</v>
      </c>
      <c r="BD4553">
        <v>361.75</v>
      </c>
      <c r="BE4553">
        <v>2014</v>
      </c>
      <c r="BF4553">
        <v>12</v>
      </c>
      <c r="BG4553">
        <v>3</v>
      </c>
      <c r="BH4553">
        <v>96.75</v>
      </c>
      <c r="BI4553">
        <v>9</v>
      </c>
      <c r="BJ4553">
        <v>12</v>
      </c>
      <c r="BK4553">
        <v>6</v>
      </c>
      <c r="BP4553" s="184"/>
    </row>
    <row r="4554" spans="1:68">
      <c r="A4554">
        <v>88359377</v>
      </c>
      <c r="B4554">
        <v>88359377</v>
      </c>
      <c r="C4554" t="s">
        <v>7018</v>
      </c>
      <c r="D4554" t="s">
        <v>595</v>
      </c>
      <c r="E4554" s="184">
        <v>45113</v>
      </c>
      <c r="G4554" s="184"/>
      <c r="I4554" s="184"/>
      <c r="K4554" s="184"/>
      <c r="M4554" s="184"/>
      <c r="P4554" t="s">
        <v>7045</v>
      </c>
      <c r="Q4554" t="s">
        <v>7383</v>
      </c>
      <c r="R4554" s="184">
        <v>21671</v>
      </c>
      <c r="S4554">
        <v>65</v>
      </c>
      <c r="V4554" t="s">
        <v>3593</v>
      </c>
      <c r="X4554" t="s">
        <v>33172</v>
      </c>
      <c r="AF4554" t="s">
        <v>33173</v>
      </c>
      <c r="AG4554" t="s">
        <v>3593</v>
      </c>
      <c r="AI4554" t="s">
        <v>33174</v>
      </c>
      <c r="AM4554" t="s">
        <v>15450</v>
      </c>
      <c r="AN4554" t="s">
        <v>2185</v>
      </c>
      <c r="AO4554" t="s">
        <v>33175</v>
      </c>
      <c r="AP4554" t="s">
        <v>7024</v>
      </c>
      <c r="AQ4554" t="s">
        <v>33176</v>
      </c>
      <c r="AR4554" t="s">
        <v>33177</v>
      </c>
      <c r="AT4554" s="184">
        <v>41477</v>
      </c>
      <c r="AU4554" t="s">
        <v>19461</v>
      </c>
      <c r="AV4554">
        <v>20</v>
      </c>
      <c r="AW4554" s="184">
        <v>44838</v>
      </c>
      <c r="AX4554" t="s">
        <v>11563</v>
      </c>
      <c r="AY4554">
        <v>50</v>
      </c>
      <c r="AZ4554" s="184">
        <v>44838</v>
      </c>
      <c r="BA4554" t="s">
        <v>11563</v>
      </c>
      <c r="BB4554">
        <v>50</v>
      </c>
      <c r="BC4554">
        <v>50</v>
      </c>
      <c r="BD4554">
        <v>190</v>
      </c>
      <c r="BE4554">
        <v>2014</v>
      </c>
      <c r="BF4554">
        <v>6</v>
      </c>
      <c r="BG4554">
        <v>1</v>
      </c>
      <c r="BH4554">
        <v>50</v>
      </c>
      <c r="BI4554">
        <v>6</v>
      </c>
      <c r="BJ4554">
        <v>12</v>
      </c>
      <c r="BK4554">
        <v>2</v>
      </c>
      <c r="BP4554" s="184"/>
    </row>
    <row r="4555" spans="1:68">
      <c r="A4555">
        <v>88409214</v>
      </c>
      <c r="B4555">
        <v>88409214</v>
      </c>
      <c r="C4555" t="s">
        <v>7018</v>
      </c>
      <c r="D4555" t="s">
        <v>595</v>
      </c>
      <c r="E4555" s="184">
        <v>45113</v>
      </c>
      <c r="G4555" s="184"/>
      <c r="I4555" s="184"/>
      <c r="K4555" s="184"/>
      <c r="M4555" s="184"/>
      <c r="O4555" s="184"/>
      <c r="P4555" t="s">
        <v>7045</v>
      </c>
      <c r="Q4555" t="s">
        <v>7262</v>
      </c>
      <c r="R4555" s="184">
        <v>19329</v>
      </c>
      <c r="S4555">
        <v>71</v>
      </c>
      <c r="V4555" t="s">
        <v>3317</v>
      </c>
      <c r="X4555" t="s">
        <v>33178</v>
      </c>
      <c r="Z4555">
        <v>100184226</v>
      </c>
      <c r="AB4555" t="s">
        <v>17258</v>
      </c>
      <c r="AD4555" t="s">
        <v>33178</v>
      </c>
      <c r="AF4555" t="s">
        <v>33179</v>
      </c>
      <c r="AG4555" t="s">
        <v>3317</v>
      </c>
      <c r="AI4555" t="s">
        <v>33180</v>
      </c>
      <c r="AM4555" t="s">
        <v>33181</v>
      </c>
      <c r="AN4555" t="s">
        <v>2069</v>
      </c>
      <c r="AO4555" t="s">
        <v>33182</v>
      </c>
      <c r="AP4555" t="s">
        <v>7024</v>
      </c>
      <c r="AQ4555" t="s">
        <v>33183</v>
      </c>
      <c r="AT4555" s="184">
        <v>41478</v>
      </c>
      <c r="AU4555" t="s">
        <v>33184</v>
      </c>
      <c r="AV4555">
        <v>25</v>
      </c>
      <c r="AW4555" s="184">
        <v>45132</v>
      </c>
      <c r="AX4555" t="s">
        <v>7245</v>
      </c>
      <c r="AY4555">
        <v>55</v>
      </c>
      <c r="AZ4555" s="184">
        <v>45132</v>
      </c>
      <c r="BA4555" t="s">
        <v>7245</v>
      </c>
      <c r="BB4555">
        <v>55</v>
      </c>
      <c r="BC4555">
        <v>84</v>
      </c>
      <c r="BD4555">
        <v>721</v>
      </c>
      <c r="BE4555">
        <v>2014</v>
      </c>
      <c r="BF4555">
        <v>15</v>
      </c>
      <c r="BG4555">
        <v>2</v>
      </c>
      <c r="BH4555">
        <v>110</v>
      </c>
      <c r="BI4555">
        <v>10</v>
      </c>
      <c r="BJ4555">
        <v>12</v>
      </c>
      <c r="BK4555">
        <v>6</v>
      </c>
      <c r="BP4555" s="184"/>
    </row>
    <row r="4556" spans="1:68">
      <c r="A4556">
        <v>100184226</v>
      </c>
      <c r="B4556">
        <v>88409214</v>
      </c>
      <c r="C4556" t="s">
        <v>7018</v>
      </c>
      <c r="D4556" t="s">
        <v>595</v>
      </c>
      <c r="E4556" s="184">
        <v>45113</v>
      </c>
      <c r="G4556" s="184"/>
      <c r="I4556" s="184"/>
      <c r="K4556" s="184"/>
      <c r="M4556" s="184"/>
      <c r="O4556" s="184"/>
      <c r="P4556" t="s">
        <v>7045</v>
      </c>
      <c r="Q4556" t="s">
        <v>7262</v>
      </c>
      <c r="R4556" s="184"/>
      <c r="V4556" t="s">
        <v>17258</v>
      </c>
      <c r="X4556" t="s">
        <v>33178</v>
      </c>
      <c r="Z4556">
        <v>88409214</v>
      </c>
      <c r="AB4556" t="s">
        <v>3317</v>
      </c>
      <c r="AD4556" t="s">
        <v>33178</v>
      </c>
      <c r="AF4556" t="s">
        <v>33179</v>
      </c>
      <c r="AG4556" t="s">
        <v>3317</v>
      </c>
      <c r="AI4556" t="s">
        <v>33180</v>
      </c>
      <c r="AM4556" t="s">
        <v>33181</v>
      </c>
      <c r="AN4556" t="s">
        <v>2069</v>
      </c>
      <c r="AO4556" t="s">
        <v>33182</v>
      </c>
      <c r="AP4556" t="s">
        <v>7024</v>
      </c>
      <c r="AQ4556" t="s">
        <v>33185</v>
      </c>
      <c r="AT4556" s="184"/>
      <c r="AW4556" s="184"/>
      <c r="AZ4556" s="184"/>
      <c r="BO4556" t="s">
        <v>595</v>
      </c>
      <c r="BP4556" s="184"/>
    </row>
    <row r="4557" spans="1:68">
      <c r="A4557">
        <v>88422233</v>
      </c>
      <c r="B4557">
        <v>88422233</v>
      </c>
      <c r="C4557" t="s">
        <v>7018</v>
      </c>
      <c r="D4557" t="s">
        <v>595</v>
      </c>
      <c r="E4557" s="184">
        <v>44167</v>
      </c>
      <c r="G4557" s="184"/>
      <c r="I4557" s="184"/>
      <c r="K4557" s="184"/>
      <c r="M4557" s="184"/>
      <c r="O4557" s="184"/>
      <c r="P4557" t="s">
        <v>7045</v>
      </c>
      <c r="Q4557" t="s">
        <v>7494</v>
      </c>
      <c r="R4557" s="184">
        <v>15642</v>
      </c>
      <c r="S4557">
        <v>81</v>
      </c>
      <c r="V4557" t="s">
        <v>2511</v>
      </c>
      <c r="X4557" t="s">
        <v>4441</v>
      </c>
      <c r="AF4557" t="s">
        <v>33186</v>
      </c>
      <c r="AG4557" t="s">
        <v>2511</v>
      </c>
      <c r="AI4557" t="s">
        <v>33187</v>
      </c>
      <c r="AM4557" t="s">
        <v>22455</v>
      </c>
      <c r="AN4557" t="s">
        <v>2174</v>
      </c>
      <c r="AO4557" t="s">
        <v>33188</v>
      </c>
      <c r="AP4557" t="s">
        <v>7024</v>
      </c>
      <c r="AQ4557" t="s">
        <v>33189</v>
      </c>
      <c r="AT4557" s="184">
        <v>41478</v>
      </c>
      <c r="AU4557" t="s">
        <v>33165</v>
      </c>
      <c r="AV4557">
        <v>20</v>
      </c>
      <c r="AW4557" s="184">
        <v>45016</v>
      </c>
      <c r="AX4557" t="s">
        <v>8715</v>
      </c>
      <c r="AY4557">
        <v>50</v>
      </c>
      <c r="AZ4557" s="184">
        <v>45016</v>
      </c>
      <c r="BA4557" t="s">
        <v>8715</v>
      </c>
      <c r="BB4557">
        <v>50</v>
      </c>
      <c r="BC4557">
        <v>92</v>
      </c>
      <c r="BD4557">
        <v>430</v>
      </c>
      <c r="BE4557">
        <v>2014</v>
      </c>
      <c r="BF4557">
        <v>14</v>
      </c>
      <c r="BG4557">
        <v>2</v>
      </c>
      <c r="BH4557">
        <v>100</v>
      </c>
      <c r="BI4557">
        <v>11</v>
      </c>
      <c r="BJ4557">
        <v>12</v>
      </c>
      <c r="BK4557">
        <v>11</v>
      </c>
      <c r="BP4557" s="184"/>
    </row>
    <row r="4558" spans="1:68">
      <c r="A4558">
        <v>88464177</v>
      </c>
      <c r="B4558">
        <v>88464177</v>
      </c>
      <c r="C4558" t="s">
        <v>7018</v>
      </c>
      <c r="D4558" t="s">
        <v>595</v>
      </c>
      <c r="E4558" s="184">
        <v>45160</v>
      </c>
      <c r="G4558" s="184"/>
      <c r="I4558" s="184"/>
      <c r="K4558" s="184"/>
      <c r="M4558" s="184"/>
      <c r="O4558" s="184"/>
      <c r="P4558" t="s">
        <v>7045</v>
      </c>
      <c r="Q4558" t="s">
        <v>7383</v>
      </c>
      <c r="R4558" s="184">
        <v>18233</v>
      </c>
      <c r="S4558">
        <v>74</v>
      </c>
      <c r="V4558" t="s">
        <v>33190</v>
      </c>
      <c r="W4558" t="s">
        <v>7246</v>
      </c>
      <c r="X4558" t="s">
        <v>33191</v>
      </c>
      <c r="AF4558" t="s">
        <v>33192</v>
      </c>
      <c r="AG4558" t="s">
        <v>33190</v>
      </c>
      <c r="AI4558" t="s">
        <v>33193</v>
      </c>
      <c r="AM4558" t="s">
        <v>2773</v>
      </c>
      <c r="AN4558" t="s">
        <v>2144</v>
      </c>
      <c r="AO4558" t="s">
        <v>33194</v>
      </c>
      <c r="AP4558" t="s">
        <v>7024</v>
      </c>
      <c r="AQ4558" t="s">
        <v>33195</v>
      </c>
      <c r="AT4558" s="184">
        <v>41479</v>
      </c>
      <c r="AU4558" t="s">
        <v>33196</v>
      </c>
      <c r="AV4558">
        <v>35</v>
      </c>
      <c r="AW4558" s="184">
        <v>44813</v>
      </c>
      <c r="AX4558" t="s">
        <v>33197</v>
      </c>
      <c r="AY4558">
        <v>35</v>
      </c>
      <c r="AZ4558" s="184">
        <v>44813</v>
      </c>
      <c r="BA4558" t="s">
        <v>33197</v>
      </c>
      <c r="BB4558">
        <v>35</v>
      </c>
      <c r="BC4558">
        <v>42</v>
      </c>
      <c r="BD4558">
        <v>235</v>
      </c>
      <c r="BE4558">
        <v>2014</v>
      </c>
      <c r="BF4558">
        <v>7</v>
      </c>
      <c r="BG4558">
        <v>1</v>
      </c>
      <c r="BH4558">
        <v>35</v>
      </c>
      <c r="BI4558">
        <v>5</v>
      </c>
      <c r="BJ4558">
        <v>12</v>
      </c>
      <c r="BK4558">
        <v>2</v>
      </c>
      <c r="BP4558" s="184"/>
    </row>
    <row r="4559" spans="1:68">
      <c r="A4559">
        <v>88466982</v>
      </c>
      <c r="B4559">
        <v>88466982</v>
      </c>
      <c r="C4559" t="s">
        <v>7018</v>
      </c>
      <c r="D4559" t="s">
        <v>595</v>
      </c>
      <c r="E4559" s="184">
        <v>45195</v>
      </c>
      <c r="G4559" s="184"/>
      <c r="I4559" s="184"/>
      <c r="K4559" s="184"/>
      <c r="M4559" s="184"/>
      <c r="O4559" s="184"/>
      <c r="P4559" t="s">
        <v>7045</v>
      </c>
      <c r="Q4559" t="s">
        <v>7454</v>
      </c>
      <c r="R4559" s="184">
        <v>22433</v>
      </c>
      <c r="S4559">
        <v>62</v>
      </c>
      <c r="U4559" t="s">
        <v>7076</v>
      </c>
      <c r="V4559" t="s">
        <v>4357</v>
      </c>
      <c r="X4559" t="s">
        <v>33198</v>
      </c>
      <c r="AF4559" t="s">
        <v>33199</v>
      </c>
      <c r="AG4559" t="s">
        <v>4357</v>
      </c>
      <c r="AI4559" t="s">
        <v>33200</v>
      </c>
      <c r="AM4559" t="s">
        <v>33201</v>
      </c>
      <c r="AN4559" t="s">
        <v>2299</v>
      </c>
      <c r="AO4559" t="s">
        <v>33202</v>
      </c>
      <c r="AP4559" t="s">
        <v>7024</v>
      </c>
      <c r="AQ4559" t="s">
        <v>33203</v>
      </c>
      <c r="AR4559" t="s">
        <v>33204</v>
      </c>
      <c r="AT4559" s="184">
        <v>41479</v>
      </c>
      <c r="AU4559" t="s">
        <v>33205</v>
      </c>
      <c r="AV4559">
        <v>25</v>
      </c>
      <c r="AW4559" s="184">
        <v>45143</v>
      </c>
      <c r="AX4559" t="s">
        <v>33206</v>
      </c>
      <c r="AY4559">
        <v>5</v>
      </c>
      <c r="AZ4559" s="184">
        <v>41479</v>
      </c>
      <c r="BA4559" t="s">
        <v>33205</v>
      </c>
      <c r="BB4559">
        <v>25</v>
      </c>
      <c r="BC4559">
        <v>84</v>
      </c>
      <c r="BD4559">
        <v>490</v>
      </c>
      <c r="BE4559">
        <v>2014</v>
      </c>
      <c r="BF4559">
        <v>94</v>
      </c>
      <c r="BG4559">
        <v>15</v>
      </c>
      <c r="BH4559">
        <v>75</v>
      </c>
      <c r="BI4559">
        <v>10</v>
      </c>
      <c r="BJ4559">
        <v>12</v>
      </c>
      <c r="BK4559">
        <v>9</v>
      </c>
      <c r="BN4559" t="s">
        <v>595</v>
      </c>
      <c r="BP4559" s="184"/>
    </row>
    <row r="4560" spans="1:68">
      <c r="A4560">
        <v>88485396</v>
      </c>
      <c r="B4560">
        <v>88485396</v>
      </c>
      <c r="C4560" t="s">
        <v>7018</v>
      </c>
      <c r="D4560" t="s">
        <v>595</v>
      </c>
      <c r="E4560" s="184">
        <v>44167</v>
      </c>
      <c r="G4560" s="184"/>
      <c r="I4560" s="184"/>
      <c r="K4560" s="184"/>
      <c r="M4560" s="184"/>
      <c r="O4560" s="184"/>
      <c r="P4560" t="s">
        <v>7045</v>
      </c>
      <c r="Q4560" t="s">
        <v>7194</v>
      </c>
      <c r="R4560" s="184">
        <v>19207</v>
      </c>
      <c r="S4560">
        <v>71</v>
      </c>
      <c r="V4560" t="s">
        <v>4943</v>
      </c>
      <c r="X4560" t="s">
        <v>3238</v>
      </c>
      <c r="AF4560" t="s">
        <v>33207</v>
      </c>
      <c r="AG4560" t="s">
        <v>4943</v>
      </c>
      <c r="AI4560" t="s">
        <v>33208</v>
      </c>
      <c r="AM4560" t="s">
        <v>4601</v>
      </c>
      <c r="AN4560" t="s">
        <v>4512</v>
      </c>
      <c r="AO4560" t="s">
        <v>33209</v>
      </c>
      <c r="AP4560" t="s">
        <v>7024</v>
      </c>
      <c r="AQ4560" t="s">
        <v>33210</v>
      </c>
      <c r="AT4560" s="184">
        <v>41479</v>
      </c>
      <c r="AU4560" t="s">
        <v>33211</v>
      </c>
      <c r="AV4560">
        <v>20</v>
      </c>
      <c r="AW4560" s="184">
        <v>44217</v>
      </c>
      <c r="AX4560" t="s">
        <v>13423</v>
      </c>
      <c r="AY4560">
        <v>25</v>
      </c>
      <c r="AZ4560" s="184">
        <v>43097</v>
      </c>
      <c r="BA4560" t="s">
        <v>13675</v>
      </c>
      <c r="BB4560">
        <v>50</v>
      </c>
      <c r="BC4560">
        <v>59</v>
      </c>
      <c r="BD4560">
        <v>450</v>
      </c>
      <c r="BE4560">
        <v>2014</v>
      </c>
      <c r="BF4560">
        <v>14</v>
      </c>
      <c r="BI4560">
        <v>7</v>
      </c>
      <c r="BJ4560">
        <v>12</v>
      </c>
      <c r="BK4560">
        <v>5</v>
      </c>
      <c r="BP4560" s="184"/>
    </row>
    <row r="4561" spans="1:68">
      <c r="A4561">
        <v>88574975</v>
      </c>
      <c r="B4561">
        <v>88574975</v>
      </c>
      <c r="C4561" t="s">
        <v>7018</v>
      </c>
      <c r="D4561" t="s">
        <v>595</v>
      </c>
      <c r="E4561" s="184">
        <v>45160</v>
      </c>
      <c r="G4561" s="184"/>
      <c r="I4561" s="184"/>
      <c r="K4561" s="184"/>
      <c r="M4561" s="184"/>
      <c r="O4561" s="184"/>
      <c r="P4561" t="s">
        <v>7019</v>
      </c>
      <c r="Q4561" t="s">
        <v>7383</v>
      </c>
      <c r="R4561" s="184">
        <v>18598</v>
      </c>
      <c r="S4561">
        <v>73</v>
      </c>
      <c r="V4561" t="s">
        <v>3358</v>
      </c>
      <c r="X4561" t="s">
        <v>33212</v>
      </c>
      <c r="AF4561" t="s">
        <v>33213</v>
      </c>
      <c r="AG4561" t="s">
        <v>3358</v>
      </c>
      <c r="AI4561" t="s">
        <v>33214</v>
      </c>
      <c r="AM4561" t="s">
        <v>22002</v>
      </c>
      <c r="AN4561" t="s">
        <v>2313</v>
      </c>
      <c r="AO4561" t="s">
        <v>33215</v>
      </c>
      <c r="AP4561" t="s">
        <v>7024</v>
      </c>
      <c r="AQ4561" t="s">
        <v>33216</v>
      </c>
      <c r="AT4561" s="184">
        <v>41481</v>
      </c>
      <c r="AU4561" t="s">
        <v>33217</v>
      </c>
      <c r="AV4561">
        <v>15</v>
      </c>
      <c r="AW4561" s="184">
        <v>45132</v>
      </c>
      <c r="AX4561" t="s">
        <v>27414</v>
      </c>
      <c r="AY4561">
        <v>60</v>
      </c>
      <c r="AZ4561" s="184">
        <v>45132</v>
      </c>
      <c r="BA4561" t="s">
        <v>27414</v>
      </c>
      <c r="BB4561">
        <v>60</v>
      </c>
      <c r="BC4561">
        <v>59</v>
      </c>
      <c r="BD4561">
        <v>180</v>
      </c>
      <c r="BE4561">
        <v>2014</v>
      </c>
      <c r="BF4561">
        <v>7</v>
      </c>
      <c r="BG4561">
        <v>2</v>
      </c>
      <c r="BH4561">
        <v>85</v>
      </c>
      <c r="BI4561">
        <v>7</v>
      </c>
      <c r="BJ4561">
        <v>12</v>
      </c>
      <c r="BK4561">
        <v>3</v>
      </c>
      <c r="BP4561" s="184"/>
    </row>
    <row r="4562" spans="1:68">
      <c r="A4562">
        <v>88580378</v>
      </c>
      <c r="B4562">
        <v>88580378</v>
      </c>
      <c r="C4562" t="s">
        <v>7018</v>
      </c>
      <c r="D4562" t="s">
        <v>595</v>
      </c>
      <c r="E4562" s="184">
        <v>44152</v>
      </c>
      <c r="G4562" s="184"/>
      <c r="I4562" s="184"/>
      <c r="K4562" s="184"/>
      <c r="M4562" s="184"/>
      <c r="P4562" t="s">
        <v>7045</v>
      </c>
      <c r="Q4562" t="s">
        <v>7262</v>
      </c>
      <c r="R4562" s="184">
        <v>11616</v>
      </c>
      <c r="S4562">
        <v>92</v>
      </c>
      <c r="U4562" t="s">
        <v>7076</v>
      </c>
      <c r="V4562" t="s">
        <v>3249</v>
      </c>
      <c r="W4562" t="s">
        <v>205</v>
      </c>
      <c r="X4562" t="s">
        <v>33218</v>
      </c>
      <c r="AF4562" t="s">
        <v>33219</v>
      </c>
      <c r="AG4562" t="s">
        <v>3249</v>
      </c>
      <c r="AI4562" t="s">
        <v>33220</v>
      </c>
      <c r="AM4562" t="s">
        <v>33221</v>
      </c>
      <c r="AN4562" t="s">
        <v>2106</v>
      </c>
      <c r="AO4562" t="s">
        <v>33222</v>
      </c>
      <c r="AP4562" t="s">
        <v>7024</v>
      </c>
      <c r="AQ4562" t="s">
        <v>33223</v>
      </c>
      <c r="AT4562" s="184">
        <v>41481</v>
      </c>
      <c r="AU4562" t="s">
        <v>33224</v>
      </c>
      <c r="AV4562">
        <v>20</v>
      </c>
      <c r="AW4562" s="184">
        <v>44392</v>
      </c>
      <c r="AX4562" t="s">
        <v>33225</v>
      </c>
      <c r="AY4562">
        <v>20</v>
      </c>
      <c r="AZ4562" s="184">
        <v>44392</v>
      </c>
      <c r="BA4562" t="s">
        <v>33225</v>
      </c>
      <c r="BB4562">
        <v>20</v>
      </c>
      <c r="BC4562">
        <v>50</v>
      </c>
      <c r="BD4562">
        <v>120</v>
      </c>
      <c r="BE4562">
        <v>2014</v>
      </c>
      <c r="BF4562">
        <v>6</v>
      </c>
      <c r="BI4562">
        <v>6</v>
      </c>
      <c r="BJ4562">
        <v>12</v>
      </c>
      <c r="BK4562">
        <v>2</v>
      </c>
      <c r="BP4562" s="184"/>
    </row>
    <row r="4563" spans="1:68">
      <c r="A4563">
        <v>88584776</v>
      </c>
      <c r="B4563">
        <v>88584776</v>
      </c>
      <c r="C4563" t="s">
        <v>7018</v>
      </c>
      <c r="D4563" t="s">
        <v>595</v>
      </c>
      <c r="E4563" s="184">
        <v>44159</v>
      </c>
      <c r="G4563" s="184"/>
      <c r="I4563" s="184"/>
      <c r="K4563" s="184"/>
      <c r="M4563" s="184"/>
      <c r="O4563" s="184"/>
      <c r="P4563" t="s">
        <v>7045</v>
      </c>
      <c r="Q4563" t="s">
        <v>7374</v>
      </c>
      <c r="R4563" s="184">
        <v>17564</v>
      </c>
      <c r="S4563">
        <v>76</v>
      </c>
      <c r="U4563" t="s">
        <v>7076</v>
      </c>
      <c r="V4563" t="s">
        <v>3400</v>
      </c>
      <c r="W4563" t="s">
        <v>2316</v>
      </c>
      <c r="X4563" t="s">
        <v>3501</v>
      </c>
      <c r="AF4563" t="s">
        <v>33226</v>
      </c>
      <c r="AG4563" t="s">
        <v>3400</v>
      </c>
      <c r="AI4563" t="s">
        <v>33227</v>
      </c>
      <c r="AM4563" t="s">
        <v>2534</v>
      </c>
      <c r="AN4563" t="s">
        <v>2081</v>
      </c>
      <c r="AO4563" t="s">
        <v>33228</v>
      </c>
      <c r="AP4563" t="s">
        <v>7024</v>
      </c>
      <c r="AQ4563" t="s">
        <v>33229</v>
      </c>
      <c r="AT4563" s="184">
        <v>41481</v>
      </c>
      <c r="AU4563" t="s">
        <v>33230</v>
      </c>
      <c r="AV4563">
        <v>25</v>
      </c>
      <c r="AW4563" s="184">
        <v>45317</v>
      </c>
      <c r="AX4563" t="s">
        <v>7578</v>
      </c>
      <c r="AY4563">
        <v>35</v>
      </c>
      <c r="AZ4563" s="184">
        <v>44966</v>
      </c>
      <c r="BA4563" t="s">
        <v>33231</v>
      </c>
      <c r="BB4563">
        <v>40</v>
      </c>
      <c r="BC4563">
        <v>100</v>
      </c>
      <c r="BD4563">
        <v>325</v>
      </c>
      <c r="BE4563">
        <v>2014</v>
      </c>
      <c r="BF4563">
        <v>12</v>
      </c>
      <c r="BG4563">
        <v>2</v>
      </c>
      <c r="BH4563">
        <v>75</v>
      </c>
      <c r="BI4563">
        <v>12</v>
      </c>
      <c r="BJ4563">
        <v>12</v>
      </c>
      <c r="BK4563">
        <v>12</v>
      </c>
      <c r="BP4563" s="184"/>
    </row>
    <row r="4564" spans="1:68">
      <c r="A4564">
        <v>88704176</v>
      </c>
      <c r="B4564">
        <v>88704176</v>
      </c>
      <c r="C4564" t="s">
        <v>7018</v>
      </c>
      <c r="E4564" s="184"/>
      <c r="G4564" s="184"/>
      <c r="H4564" t="s">
        <v>595</v>
      </c>
      <c r="I4564" s="184">
        <v>44328</v>
      </c>
      <c r="K4564" s="184"/>
      <c r="L4564" t="s">
        <v>595</v>
      </c>
      <c r="M4564" s="184">
        <v>43923</v>
      </c>
      <c r="O4564" s="184"/>
      <c r="P4564" t="s">
        <v>7029</v>
      </c>
      <c r="Q4564" t="s">
        <v>7374</v>
      </c>
      <c r="R4564" s="184">
        <v>17777</v>
      </c>
      <c r="S4564">
        <v>75</v>
      </c>
      <c r="V4564" t="s">
        <v>33232</v>
      </c>
      <c r="X4564" t="s">
        <v>5550</v>
      </c>
      <c r="AF4564" t="s">
        <v>33233</v>
      </c>
      <c r="AG4564" t="s">
        <v>33232</v>
      </c>
      <c r="AI4564" t="s">
        <v>33234</v>
      </c>
      <c r="AM4564" t="s">
        <v>4738</v>
      </c>
      <c r="AN4564" t="s">
        <v>2081</v>
      </c>
      <c r="AO4564" t="s">
        <v>33235</v>
      </c>
      <c r="AP4564" t="s">
        <v>7024</v>
      </c>
      <c r="AQ4564" t="s">
        <v>33236</v>
      </c>
      <c r="AR4564" t="s">
        <v>33237</v>
      </c>
      <c r="AT4564" s="184">
        <v>41488</v>
      </c>
      <c r="AU4564" t="s">
        <v>33238</v>
      </c>
      <c r="AV4564">
        <v>100</v>
      </c>
      <c r="AW4564" s="184">
        <v>45363</v>
      </c>
      <c r="AX4564" t="s">
        <v>7382</v>
      </c>
      <c r="AY4564">
        <v>1000</v>
      </c>
      <c r="AZ4564" s="184">
        <v>45363</v>
      </c>
      <c r="BA4564" t="s">
        <v>7382</v>
      </c>
      <c r="BB4564">
        <v>1000</v>
      </c>
      <c r="BC4564">
        <v>100</v>
      </c>
      <c r="BD4564">
        <v>7450</v>
      </c>
      <c r="BE4564">
        <v>2014</v>
      </c>
      <c r="BF4564">
        <v>19</v>
      </c>
      <c r="BG4564">
        <v>2</v>
      </c>
      <c r="BH4564">
        <v>2000</v>
      </c>
      <c r="BI4564">
        <v>12</v>
      </c>
      <c r="BJ4564">
        <v>12</v>
      </c>
      <c r="BK4564">
        <v>12</v>
      </c>
      <c r="BP4564" s="184"/>
    </row>
    <row r="4565" spans="1:68">
      <c r="A4565">
        <v>88788039</v>
      </c>
      <c r="B4565">
        <v>88788039</v>
      </c>
      <c r="C4565" t="s">
        <v>7018</v>
      </c>
      <c r="E4565" s="184"/>
      <c r="G4565" s="184"/>
      <c r="I4565" s="184"/>
      <c r="J4565" t="s">
        <v>595</v>
      </c>
      <c r="K4565" s="184">
        <v>43864</v>
      </c>
      <c r="M4565" s="184"/>
      <c r="P4565" t="s">
        <v>7045</v>
      </c>
      <c r="Q4565" t="s">
        <v>7194</v>
      </c>
      <c r="R4565" s="184">
        <v>19360</v>
      </c>
      <c r="S4565">
        <v>71</v>
      </c>
      <c r="U4565" t="s">
        <v>7076</v>
      </c>
      <c r="V4565" t="s">
        <v>3232</v>
      </c>
      <c r="X4565" t="s">
        <v>4710</v>
      </c>
      <c r="AF4565" t="s">
        <v>6274</v>
      </c>
      <c r="AG4565" t="s">
        <v>3232</v>
      </c>
      <c r="AI4565" t="s">
        <v>33239</v>
      </c>
      <c r="AM4565" t="s">
        <v>14354</v>
      </c>
      <c r="AN4565" t="s">
        <v>2046</v>
      </c>
      <c r="AO4565" t="s">
        <v>33240</v>
      </c>
      <c r="AP4565" t="s">
        <v>7024</v>
      </c>
      <c r="AQ4565" t="s">
        <v>33241</v>
      </c>
      <c r="AT4565" s="184">
        <v>41493</v>
      </c>
      <c r="AU4565" t="s">
        <v>33242</v>
      </c>
      <c r="AV4565">
        <v>25</v>
      </c>
      <c r="AW4565" s="184">
        <v>44657</v>
      </c>
      <c r="AX4565" t="s">
        <v>33243</v>
      </c>
      <c r="AY4565">
        <v>100</v>
      </c>
      <c r="AZ4565" s="184">
        <v>44657</v>
      </c>
      <c r="BA4565" t="s">
        <v>33243</v>
      </c>
      <c r="BB4565">
        <v>100</v>
      </c>
      <c r="BC4565">
        <v>84</v>
      </c>
      <c r="BD4565">
        <v>2420</v>
      </c>
      <c r="BE4565">
        <v>2014</v>
      </c>
      <c r="BF4565">
        <v>87</v>
      </c>
      <c r="BI4565">
        <v>10</v>
      </c>
      <c r="BJ4565">
        <v>12</v>
      </c>
      <c r="BK4565">
        <v>10</v>
      </c>
      <c r="BP4565" s="184"/>
    </row>
    <row r="4566" spans="1:68">
      <c r="A4566">
        <v>88826110</v>
      </c>
      <c r="B4566">
        <v>88826110</v>
      </c>
      <c r="C4566" t="s">
        <v>7018</v>
      </c>
      <c r="D4566" t="s">
        <v>595</v>
      </c>
      <c r="E4566" s="184">
        <v>44313</v>
      </c>
      <c r="G4566" s="184"/>
      <c r="I4566" s="184"/>
      <c r="K4566" s="184"/>
      <c r="M4566" s="184"/>
      <c r="O4566" s="184"/>
      <c r="P4566" t="s">
        <v>7045</v>
      </c>
      <c r="Q4566" t="s">
        <v>7374</v>
      </c>
      <c r="R4566" s="184">
        <v>14369</v>
      </c>
      <c r="S4566">
        <v>85</v>
      </c>
      <c r="V4566" t="s">
        <v>31452</v>
      </c>
      <c r="W4566" t="s">
        <v>3830</v>
      </c>
      <c r="X4566" t="s">
        <v>2772</v>
      </c>
      <c r="AF4566" t="s">
        <v>33244</v>
      </c>
      <c r="AG4566" t="s">
        <v>31452</v>
      </c>
      <c r="AI4566" t="s">
        <v>33245</v>
      </c>
      <c r="AM4566" t="s">
        <v>4312</v>
      </c>
      <c r="AN4566" t="s">
        <v>2081</v>
      </c>
      <c r="AO4566" t="s">
        <v>33246</v>
      </c>
      <c r="AP4566" t="s">
        <v>7024</v>
      </c>
      <c r="AQ4566" t="s">
        <v>33247</v>
      </c>
      <c r="AT4566" s="184">
        <v>41492</v>
      </c>
      <c r="AU4566" t="s">
        <v>33248</v>
      </c>
      <c r="AV4566">
        <v>10</v>
      </c>
      <c r="AW4566" s="184">
        <v>45412</v>
      </c>
      <c r="AX4566" t="s">
        <v>7429</v>
      </c>
      <c r="AY4566">
        <v>16</v>
      </c>
      <c r="AZ4566" s="184">
        <v>43665</v>
      </c>
      <c r="BA4566" t="s">
        <v>26779</v>
      </c>
      <c r="BB4566">
        <v>30</v>
      </c>
      <c r="BC4566">
        <v>100</v>
      </c>
      <c r="BD4566">
        <v>1590</v>
      </c>
      <c r="BE4566">
        <v>2014</v>
      </c>
      <c r="BF4566">
        <v>109</v>
      </c>
      <c r="BG4566">
        <v>23</v>
      </c>
      <c r="BH4566">
        <v>368</v>
      </c>
      <c r="BI4566">
        <v>12</v>
      </c>
      <c r="BJ4566">
        <v>12</v>
      </c>
      <c r="BK4566">
        <v>12</v>
      </c>
      <c r="BP4566" s="184"/>
    </row>
    <row r="4567" spans="1:68">
      <c r="A4567">
        <v>88827373</v>
      </c>
      <c r="B4567">
        <v>88827373</v>
      </c>
      <c r="C4567" t="s">
        <v>7018</v>
      </c>
      <c r="D4567" t="s">
        <v>595</v>
      </c>
      <c r="E4567" s="184">
        <v>44073</v>
      </c>
      <c r="G4567" s="184"/>
      <c r="I4567" s="184"/>
      <c r="K4567" s="184"/>
      <c r="M4567" s="184"/>
      <c r="P4567" t="s">
        <v>7045</v>
      </c>
      <c r="Q4567" t="s">
        <v>7774</v>
      </c>
      <c r="R4567" s="184">
        <v>17286</v>
      </c>
      <c r="S4567">
        <v>77</v>
      </c>
      <c r="U4567" t="s">
        <v>7031</v>
      </c>
      <c r="V4567" t="s">
        <v>33249</v>
      </c>
      <c r="X4567" t="s">
        <v>33250</v>
      </c>
      <c r="Z4567">
        <v>100644404</v>
      </c>
      <c r="AA4567" t="s">
        <v>7031</v>
      </c>
      <c r="AB4567" t="s">
        <v>3444</v>
      </c>
      <c r="AD4567" t="s">
        <v>33250</v>
      </c>
      <c r="AF4567" t="s">
        <v>33251</v>
      </c>
      <c r="AG4567" t="s">
        <v>33252</v>
      </c>
      <c r="AI4567" t="s">
        <v>33253</v>
      </c>
      <c r="AM4567" t="s">
        <v>33254</v>
      </c>
      <c r="AN4567" t="s">
        <v>2290</v>
      </c>
      <c r="AO4567" t="s">
        <v>33255</v>
      </c>
      <c r="AP4567" t="s">
        <v>7024</v>
      </c>
      <c r="AQ4567" t="s">
        <v>33256</v>
      </c>
      <c r="AT4567" s="184">
        <v>41492</v>
      </c>
      <c r="AU4567" t="s">
        <v>19461</v>
      </c>
      <c r="AV4567">
        <v>20</v>
      </c>
      <c r="AW4567" s="184">
        <v>45209</v>
      </c>
      <c r="AX4567" t="s">
        <v>11451</v>
      </c>
      <c r="AY4567">
        <v>50</v>
      </c>
      <c r="AZ4567" s="184">
        <v>45040</v>
      </c>
      <c r="BA4567" t="s">
        <v>32685</v>
      </c>
      <c r="BB4567">
        <v>100</v>
      </c>
      <c r="BC4567">
        <v>92</v>
      </c>
      <c r="BD4567">
        <v>1285</v>
      </c>
      <c r="BE4567">
        <v>2014</v>
      </c>
      <c r="BF4567">
        <v>33</v>
      </c>
      <c r="BG4567">
        <v>4</v>
      </c>
      <c r="BH4567">
        <v>250</v>
      </c>
      <c r="BI4567">
        <v>11</v>
      </c>
      <c r="BJ4567">
        <v>12</v>
      </c>
      <c r="BK4567">
        <v>11</v>
      </c>
      <c r="BP4567" s="184"/>
    </row>
    <row r="4568" spans="1:68">
      <c r="A4568">
        <v>88847611</v>
      </c>
      <c r="B4568">
        <v>88847611</v>
      </c>
      <c r="C4568" t="s">
        <v>7018</v>
      </c>
      <c r="D4568" t="s">
        <v>595</v>
      </c>
      <c r="E4568" s="184">
        <v>45195</v>
      </c>
      <c r="G4568" s="184"/>
      <c r="I4568" s="184"/>
      <c r="K4568" s="184"/>
      <c r="M4568" s="184"/>
      <c r="P4568" t="s">
        <v>7045</v>
      </c>
      <c r="Q4568" t="s">
        <v>7383</v>
      </c>
      <c r="R4568" s="184">
        <v>18040</v>
      </c>
      <c r="S4568">
        <v>74</v>
      </c>
      <c r="V4568" t="s">
        <v>33257</v>
      </c>
      <c r="X4568" t="s">
        <v>3427</v>
      </c>
      <c r="AF4568" t="s">
        <v>33258</v>
      </c>
      <c r="AG4568" t="s">
        <v>33257</v>
      </c>
      <c r="AI4568" t="s">
        <v>33259</v>
      </c>
      <c r="AM4568" t="s">
        <v>2830</v>
      </c>
      <c r="AN4568" t="s">
        <v>2185</v>
      </c>
      <c r="AO4568" t="s">
        <v>33260</v>
      </c>
      <c r="AP4568" t="s">
        <v>7024</v>
      </c>
      <c r="AQ4568" t="s">
        <v>33261</v>
      </c>
      <c r="AR4568" t="s">
        <v>33262</v>
      </c>
      <c r="AT4568" s="184">
        <v>41493</v>
      </c>
      <c r="AU4568" t="s">
        <v>33263</v>
      </c>
      <c r="AV4568">
        <v>25</v>
      </c>
      <c r="AW4568" s="184">
        <v>45233</v>
      </c>
      <c r="AX4568" t="s">
        <v>33264</v>
      </c>
      <c r="AY4568">
        <v>50</v>
      </c>
      <c r="AZ4568" s="184">
        <v>45233</v>
      </c>
      <c r="BA4568" t="s">
        <v>33264</v>
      </c>
      <c r="BB4568">
        <v>50</v>
      </c>
      <c r="BC4568">
        <v>34</v>
      </c>
      <c r="BD4568">
        <v>225</v>
      </c>
      <c r="BE4568">
        <v>2014</v>
      </c>
      <c r="BF4568">
        <v>5</v>
      </c>
      <c r="BG4568">
        <v>2</v>
      </c>
      <c r="BH4568">
        <v>100</v>
      </c>
      <c r="BI4568">
        <v>4</v>
      </c>
      <c r="BJ4568">
        <v>12</v>
      </c>
      <c r="BK4568">
        <v>2</v>
      </c>
      <c r="BP4568" s="184"/>
    </row>
    <row r="4569" spans="1:68">
      <c r="A4569">
        <v>88875984</v>
      </c>
      <c r="B4569">
        <v>88875984</v>
      </c>
      <c r="C4569" t="s">
        <v>7018</v>
      </c>
      <c r="E4569" s="184"/>
      <c r="G4569" s="184"/>
      <c r="H4569" t="s">
        <v>595</v>
      </c>
      <c r="I4569" s="184">
        <v>44972</v>
      </c>
      <c r="K4569" s="184"/>
      <c r="M4569" s="184"/>
      <c r="P4569" t="s">
        <v>7045</v>
      </c>
      <c r="Q4569" t="s">
        <v>7020</v>
      </c>
      <c r="R4569" s="184">
        <v>16569</v>
      </c>
      <c r="S4569">
        <v>79</v>
      </c>
      <c r="U4569" t="s">
        <v>7031</v>
      </c>
      <c r="V4569" t="s">
        <v>33265</v>
      </c>
      <c r="X4569" t="s">
        <v>33266</v>
      </c>
      <c r="AF4569" t="s">
        <v>33267</v>
      </c>
      <c r="AG4569" t="s">
        <v>33265</v>
      </c>
      <c r="AI4569" t="s">
        <v>33268</v>
      </c>
      <c r="AM4569" t="s">
        <v>3525</v>
      </c>
      <c r="AN4569" t="s">
        <v>2129</v>
      </c>
      <c r="AO4569" t="s">
        <v>33269</v>
      </c>
      <c r="AP4569" t="s">
        <v>7024</v>
      </c>
      <c r="AT4569" s="184">
        <v>41494</v>
      </c>
      <c r="AU4569" t="s">
        <v>33270</v>
      </c>
      <c r="AV4569">
        <v>50</v>
      </c>
      <c r="AW4569" s="184">
        <v>45320</v>
      </c>
      <c r="AX4569" t="s">
        <v>33271</v>
      </c>
      <c r="AY4569">
        <v>100</v>
      </c>
      <c r="AZ4569" s="184">
        <v>45320</v>
      </c>
      <c r="BA4569" t="s">
        <v>33271</v>
      </c>
      <c r="BB4569">
        <v>100</v>
      </c>
      <c r="BC4569">
        <v>92</v>
      </c>
      <c r="BD4569">
        <v>960</v>
      </c>
      <c r="BE4569">
        <v>2014</v>
      </c>
      <c r="BF4569">
        <v>17</v>
      </c>
      <c r="BG4569">
        <v>2</v>
      </c>
      <c r="BH4569">
        <v>200</v>
      </c>
      <c r="BI4569">
        <v>11</v>
      </c>
      <c r="BJ4569">
        <v>12</v>
      </c>
      <c r="BK4569">
        <v>10</v>
      </c>
      <c r="BP4569" s="184"/>
    </row>
    <row r="4570" spans="1:68">
      <c r="A4570">
        <v>88935101</v>
      </c>
      <c r="B4570">
        <v>88935101</v>
      </c>
      <c r="C4570" t="s">
        <v>7018</v>
      </c>
      <c r="E4570" s="184"/>
      <c r="G4570" s="184"/>
      <c r="H4570" t="s">
        <v>595</v>
      </c>
      <c r="I4570" s="184">
        <v>44649</v>
      </c>
      <c r="K4570" s="184"/>
      <c r="M4570" s="184"/>
      <c r="O4570" s="184"/>
      <c r="P4570" t="s">
        <v>7045</v>
      </c>
      <c r="Q4570" t="s">
        <v>7383</v>
      </c>
      <c r="R4570" s="184">
        <v>14552</v>
      </c>
      <c r="S4570">
        <v>84</v>
      </c>
      <c r="V4570" t="s">
        <v>3326</v>
      </c>
      <c r="W4570" t="s">
        <v>4013</v>
      </c>
      <c r="X4570" t="s">
        <v>33272</v>
      </c>
      <c r="AF4570" t="s">
        <v>33273</v>
      </c>
      <c r="AG4570" t="s">
        <v>3326</v>
      </c>
      <c r="AI4570" t="s">
        <v>33274</v>
      </c>
      <c r="AM4570" t="s">
        <v>2703</v>
      </c>
      <c r="AN4570" t="s">
        <v>2064</v>
      </c>
      <c r="AO4570" t="s">
        <v>33275</v>
      </c>
      <c r="AP4570" t="s">
        <v>7024</v>
      </c>
      <c r="AQ4570" t="s">
        <v>33276</v>
      </c>
      <c r="AT4570" s="184">
        <v>41495</v>
      </c>
      <c r="AU4570" t="s">
        <v>33277</v>
      </c>
      <c r="AV4570">
        <v>15</v>
      </c>
      <c r="AW4570" s="184">
        <v>44813</v>
      </c>
      <c r="AX4570" t="s">
        <v>33278</v>
      </c>
      <c r="AY4570">
        <v>25</v>
      </c>
      <c r="AZ4570" s="184">
        <v>44813</v>
      </c>
      <c r="BA4570" t="s">
        <v>33278</v>
      </c>
      <c r="BB4570">
        <v>25</v>
      </c>
      <c r="BC4570">
        <v>84</v>
      </c>
      <c r="BD4570">
        <v>270</v>
      </c>
      <c r="BE4570">
        <v>2014</v>
      </c>
      <c r="BF4570">
        <v>13</v>
      </c>
      <c r="BG4570">
        <v>1</v>
      </c>
      <c r="BH4570">
        <v>25</v>
      </c>
      <c r="BI4570">
        <v>10</v>
      </c>
      <c r="BJ4570">
        <v>12</v>
      </c>
      <c r="BK4570">
        <v>10</v>
      </c>
      <c r="BP4570" s="184"/>
    </row>
    <row r="4571" spans="1:68">
      <c r="A4571">
        <v>88993977</v>
      </c>
      <c r="B4571">
        <v>88993977</v>
      </c>
      <c r="C4571" t="s">
        <v>7018</v>
      </c>
      <c r="D4571" t="s">
        <v>595</v>
      </c>
      <c r="E4571" s="184">
        <v>44167</v>
      </c>
      <c r="G4571" s="184"/>
      <c r="I4571" s="184"/>
      <c r="K4571" s="184"/>
      <c r="O4571" s="184"/>
      <c r="P4571" t="s">
        <v>7045</v>
      </c>
      <c r="Q4571" t="s">
        <v>7160</v>
      </c>
      <c r="R4571" s="184">
        <v>18683</v>
      </c>
      <c r="S4571">
        <v>73</v>
      </c>
      <c r="V4571" t="s">
        <v>3080</v>
      </c>
      <c r="X4571" t="s">
        <v>33279</v>
      </c>
      <c r="AF4571" t="s">
        <v>33280</v>
      </c>
      <c r="AG4571" t="s">
        <v>3080</v>
      </c>
      <c r="AI4571" t="s">
        <v>33281</v>
      </c>
      <c r="AM4571" t="s">
        <v>4984</v>
      </c>
      <c r="AN4571" t="s">
        <v>2675</v>
      </c>
      <c r="AO4571" t="s">
        <v>33282</v>
      </c>
      <c r="AP4571" t="s">
        <v>7024</v>
      </c>
      <c r="AQ4571" t="s">
        <v>33283</v>
      </c>
      <c r="AR4571" t="s">
        <v>33284</v>
      </c>
      <c r="AT4571" s="184">
        <v>41499</v>
      </c>
      <c r="AU4571" t="s">
        <v>33285</v>
      </c>
      <c r="AV4571">
        <v>50</v>
      </c>
      <c r="AW4571" s="184">
        <v>45317</v>
      </c>
      <c r="AX4571" t="s">
        <v>12134</v>
      </c>
      <c r="AY4571">
        <v>200</v>
      </c>
      <c r="AZ4571" s="184">
        <v>45317</v>
      </c>
      <c r="BA4571" t="s">
        <v>12134</v>
      </c>
      <c r="BB4571">
        <v>200</v>
      </c>
      <c r="BC4571">
        <v>92</v>
      </c>
      <c r="BD4571">
        <v>2250</v>
      </c>
      <c r="BE4571">
        <v>2014</v>
      </c>
      <c r="BF4571">
        <v>22</v>
      </c>
      <c r="BG4571">
        <v>3</v>
      </c>
      <c r="BH4571">
        <v>500</v>
      </c>
      <c r="BI4571">
        <v>11</v>
      </c>
      <c r="BJ4571">
        <v>12</v>
      </c>
      <c r="BK4571">
        <v>10</v>
      </c>
      <c r="BP4571" s="184"/>
    </row>
    <row r="4572" spans="1:68">
      <c r="A4572">
        <v>89023972</v>
      </c>
      <c r="B4572">
        <v>89023972</v>
      </c>
      <c r="C4572" t="s">
        <v>7018</v>
      </c>
      <c r="E4572" s="184"/>
      <c r="G4572" s="184"/>
      <c r="I4572" s="184"/>
      <c r="J4572" t="s">
        <v>595</v>
      </c>
      <c r="K4572" s="184">
        <v>43691</v>
      </c>
      <c r="M4572" s="184"/>
      <c r="P4572" t="s">
        <v>7045</v>
      </c>
      <c r="Q4572" t="s">
        <v>7020</v>
      </c>
      <c r="R4572" s="184">
        <v>10997</v>
      </c>
      <c r="S4572">
        <v>94</v>
      </c>
      <c r="U4572" t="s">
        <v>7031</v>
      </c>
      <c r="V4572" t="s">
        <v>2551</v>
      </c>
      <c r="W4572" t="s">
        <v>205</v>
      </c>
      <c r="X4572" t="s">
        <v>33286</v>
      </c>
      <c r="AF4572" t="s">
        <v>6707</v>
      </c>
      <c r="AG4572" t="s">
        <v>33287</v>
      </c>
      <c r="AI4572" t="s">
        <v>33288</v>
      </c>
      <c r="AM4572" t="s">
        <v>3060</v>
      </c>
      <c r="AN4572" t="s">
        <v>2112</v>
      </c>
      <c r="AO4572" t="s">
        <v>33289</v>
      </c>
      <c r="AP4572" t="s">
        <v>7024</v>
      </c>
      <c r="AQ4572" t="s">
        <v>33290</v>
      </c>
      <c r="AT4572" s="184">
        <v>41499</v>
      </c>
      <c r="AU4572" t="s">
        <v>33291</v>
      </c>
      <c r="AV4572">
        <v>15</v>
      </c>
      <c r="AW4572" s="184">
        <v>42989</v>
      </c>
      <c r="AX4572" t="s">
        <v>33292</v>
      </c>
      <c r="AY4572">
        <v>25</v>
      </c>
      <c r="AZ4572" s="184">
        <v>42989</v>
      </c>
      <c r="BA4572" t="s">
        <v>33292</v>
      </c>
      <c r="BB4572">
        <v>25</v>
      </c>
      <c r="BC4572">
        <v>34</v>
      </c>
      <c r="BD4572">
        <v>80</v>
      </c>
      <c r="BE4572">
        <v>2014</v>
      </c>
      <c r="BF4572">
        <v>4</v>
      </c>
      <c r="BI4572">
        <v>4</v>
      </c>
      <c r="BJ4572">
        <v>12</v>
      </c>
      <c r="BK4572">
        <v>2</v>
      </c>
      <c r="BO4572" t="s">
        <v>595</v>
      </c>
      <c r="BP4572" s="184">
        <v>43381</v>
      </c>
    </row>
    <row r="4573" spans="1:68">
      <c r="A4573">
        <v>89045371</v>
      </c>
      <c r="B4573">
        <v>89045371</v>
      </c>
      <c r="C4573" t="s">
        <v>7018</v>
      </c>
      <c r="D4573" t="s">
        <v>595</v>
      </c>
      <c r="E4573" s="184">
        <v>45106</v>
      </c>
      <c r="G4573" s="184"/>
      <c r="I4573" s="184"/>
      <c r="K4573" s="184"/>
      <c r="O4573" s="184"/>
      <c r="P4573" t="s">
        <v>7019</v>
      </c>
      <c r="Q4573" t="s">
        <v>7160</v>
      </c>
      <c r="R4573" s="184">
        <v>15168</v>
      </c>
      <c r="S4573">
        <v>82</v>
      </c>
      <c r="V4573" t="s">
        <v>3288</v>
      </c>
      <c r="X4573" t="s">
        <v>33293</v>
      </c>
      <c r="AF4573" t="s">
        <v>33294</v>
      </c>
      <c r="AG4573" t="s">
        <v>3288</v>
      </c>
      <c r="AI4573" t="s">
        <v>33295</v>
      </c>
      <c r="AM4573" t="s">
        <v>33296</v>
      </c>
      <c r="AN4573" t="s">
        <v>2675</v>
      </c>
      <c r="AO4573" t="s">
        <v>33297</v>
      </c>
      <c r="AP4573" t="s">
        <v>7024</v>
      </c>
      <c r="AQ4573" t="s">
        <v>33298</v>
      </c>
      <c r="AT4573" s="184">
        <v>41500</v>
      </c>
      <c r="AU4573" t="s">
        <v>33299</v>
      </c>
      <c r="AV4573">
        <v>15</v>
      </c>
      <c r="AW4573" s="184">
        <v>43336</v>
      </c>
      <c r="AX4573" t="s">
        <v>33300</v>
      </c>
      <c r="AY4573">
        <v>60</v>
      </c>
      <c r="AZ4573" s="184">
        <v>43336</v>
      </c>
      <c r="BA4573" t="s">
        <v>33300</v>
      </c>
      <c r="BB4573">
        <v>60</v>
      </c>
      <c r="BC4573">
        <v>42</v>
      </c>
      <c r="BD4573">
        <v>150</v>
      </c>
      <c r="BE4573">
        <v>2014</v>
      </c>
      <c r="BF4573">
        <v>5</v>
      </c>
      <c r="BI4573">
        <v>5</v>
      </c>
      <c r="BJ4573">
        <v>12</v>
      </c>
      <c r="BK4573">
        <v>3</v>
      </c>
      <c r="BP4573" s="184"/>
    </row>
    <row r="4574" spans="1:68">
      <c r="A4574">
        <v>89084974</v>
      </c>
      <c r="B4574">
        <v>89084974</v>
      </c>
      <c r="C4574" t="s">
        <v>7018</v>
      </c>
      <c r="D4574" t="s">
        <v>595</v>
      </c>
      <c r="E4574" s="184">
        <v>44419</v>
      </c>
      <c r="G4574" s="184"/>
      <c r="I4574" s="184"/>
      <c r="K4574" s="184"/>
      <c r="M4574" s="184"/>
      <c r="O4574" s="184"/>
      <c r="P4574" t="s">
        <v>7045</v>
      </c>
      <c r="Q4574" t="s">
        <v>7194</v>
      </c>
      <c r="R4574" s="184">
        <v>20880</v>
      </c>
      <c r="S4574">
        <v>67</v>
      </c>
      <c r="U4574" t="s">
        <v>7076</v>
      </c>
      <c r="V4574" t="s">
        <v>33301</v>
      </c>
      <c r="X4574" t="s">
        <v>33302</v>
      </c>
      <c r="AF4574" t="s">
        <v>33303</v>
      </c>
      <c r="AG4574" t="s">
        <v>33301</v>
      </c>
      <c r="AI4574" t="s">
        <v>33304</v>
      </c>
      <c r="AM4574" t="s">
        <v>4266</v>
      </c>
      <c r="AN4574" t="s">
        <v>2046</v>
      </c>
      <c r="AO4574" t="s">
        <v>33305</v>
      </c>
      <c r="AP4574" t="s">
        <v>7024</v>
      </c>
      <c r="AQ4574" t="s">
        <v>33306</v>
      </c>
      <c r="AR4574" t="s">
        <v>33307</v>
      </c>
      <c r="AT4574" s="184">
        <v>41502</v>
      </c>
      <c r="AU4574" t="s">
        <v>33270</v>
      </c>
      <c r="AV4574">
        <v>15</v>
      </c>
      <c r="AW4574" s="184">
        <v>45320</v>
      </c>
      <c r="AX4574" t="s">
        <v>27534</v>
      </c>
      <c r="AY4574">
        <v>60</v>
      </c>
      <c r="AZ4574" s="184">
        <v>45320</v>
      </c>
      <c r="BA4574" t="s">
        <v>27534</v>
      </c>
      <c r="BB4574">
        <v>60</v>
      </c>
      <c r="BC4574">
        <v>84</v>
      </c>
      <c r="BD4574">
        <v>430</v>
      </c>
      <c r="BE4574">
        <v>2014</v>
      </c>
      <c r="BF4574">
        <v>15</v>
      </c>
      <c r="BG4574">
        <v>2</v>
      </c>
      <c r="BH4574">
        <v>85</v>
      </c>
      <c r="BI4574">
        <v>10</v>
      </c>
      <c r="BJ4574">
        <v>12</v>
      </c>
      <c r="BK4574">
        <v>6</v>
      </c>
      <c r="BP4574" s="184"/>
    </row>
    <row r="4575" spans="1:68">
      <c r="A4575">
        <v>89117576</v>
      </c>
      <c r="B4575">
        <v>89117576</v>
      </c>
      <c r="C4575" t="s">
        <v>7018</v>
      </c>
      <c r="E4575" s="184"/>
      <c r="G4575" s="184"/>
      <c r="I4575" s="184"/>
      <c r="J4575" t="s">
        <v>595</v>
      </c>
      <c r="K4575" s="184">
        <v>42310</v>
      </c>
      <c r="M4575" s="184"/>
      <c r="P4575" t="s">
        <v>7045</v>
      </c>
      <c r="Q4575" t="s">
        <v>7374</v>
      </c>
      <c r="R4575" s="184">
        <v>15067</v>
      </c>
      <c r="S4575">
        <v>83</v>
      </c>
      <c r="U4575" t="s">
        <v>7076</v>
      </c>
      <c r="V4575" t="s">
        <v>2609</v>
      </c>
      <c r="X4575" t="s">
        <v>33308</v>
      </c>
      <c r="AF4575" t="s">
        <v>6721</v>
      </c>
      <c r="AG4575" t="s">
        <v>2609</v>
      </c>
      <c r="AI4575" t="s">
        <v>33309</v>
      </c>
      <c r="AJ4575" t="s">
        <v>33310</v>
      </c>
      <c r="AM4575" t="s">
        <v>4329</v>
      </c>
      <c r="AN4575" t="s">
        <v>2066</v>
      </c>
      <c r="AO4575" t="s">
        <v>33311</v>
      </c>
      <c r="AP4575" t="s">
        <v>7024</v>
      </c>
      <c r="AQ4575" t="s">
        <v>33312</v>
      </c>
      <c r="AR4575" t="s">
        <v>33313</v>
      </c>
      <c r="AT4575" s="184">
        <v>41505</v>
      </c>
      <c r="AU4575" t="s">
        <v>33314</v>
      </c>
      <c r="AV4575">
        <v>15</v>
      </c>
      <c r="AW4575" s="184">
        <v>42608</v>
      </c>
      <c r="AX4575" t="s">
        <v>33315</v>
      </c>
      <c r="AY4575">
        <v>10</v>
      </c>
      <c r="AZ4575" s="184">
        <v>41505</v>
      </c>
      <c r="BA4575" t="s">
        <v>33314</v>
      </c>
      <c r="BB4575">
        <v>15</v>
      </c>
      <c r="BC4575">
        <v>34</v>
      </c>
      <c r="BD4575">
        <v>45</v>
      </c>
      <c r="BE4575">
        <v>2014</v>
      </c>
      <c r="BF4575">
        <v>4</v>
      </c>
      <c r="BI4575">
        <v>4</v>
      </c>
      <c r="BJ4575">
        <v>12</v>
      </c>
      <c r="BK4575">
        <v>4</v>
      </c>
      <c r="BP4575" s="184"/>
    </row>
    <row r="4576" spans="1:68">
      <c r="A4576">
        <v>89156582</v>
      </c>
      <c r="B4576">
        <v>89156582</v>
      </c>
      <c r="C4576" t="s">
        <v>7018</v>
      </c>
      <c r="D4576" t="s">
        <v>595</v>
      </c>
      <c r="E4576" s="184">
        <v>44690</v>
      </c>
      <c r="G4576" s="184"/>
      <c r="H4576" t="s">
        <v>595</v>
      </c>
      <c r="I4576" s="184">
        <v>44690</v>
      </c>
      <c r="K4576" s="184"/>
      <c r="M4576" s="184"/>
      <c r="O4576" s="184"/>
      <c r="P4576" t="s">
        <v>7029</v>
      </c>
      <c r="Q4576" t="s">
        <v>7194</v>
      </c>
      <c r="R4576" s="184">
        <v>12923</v>
      </c>
      <c r="S4576">
        <v>88</v>
      </c>
      <c r="U4576" t="s">
        <v>7130</v>
      </c>
      <c r="V4576" t="s">
        <v>33316</v>
      </c>
      <c r="X4576" t="s">
        <v>33317</v>
      </c>
      <c r="AF4576" t="s">
        <v>33318</v>
      </c>
      <c r="AG4576" t="s">
        <v>33316</v>
      </c>
      <c r="AI4576" t="s">
        <v>33319</v>
      </c>
      <c r="AM4576" t="s">
        <v>4240</v>
      </c>
      <c r="AN4576" t="s">
        <v>2046</v>
      </c>
      <c r="AO4576" t="s">
        <v>33320</v>
      </c>
      <c r="AP4576" t="s">
        <v>7024</v>
      </c>
      <c r="AQ4576" t="s">
        <v>33321</v>
      </c>
      <c r="AT4576" s="184">
        <v>44355</v>
      </c>
      <c r="AU4576" t="s">
        <v>33322</v>
      </c>
      <c r="AV4576">
        <v>100</v>
      </c>
      <c r="AW4576" s="184">
        <v>45271</v>
      </c>
      <c r="AX4576" t="s">
        <v>7742</v>
      </c>
      <c r="AY4576">
        <v>800</v>
      </c>
      <c r="AZ4576" s="184">
        <v>44873</v>
      </c>
      <c r="BA4576" t="s">
        <v>21464</v>
      </c>
      <c r="BB4576">
        <v>1000</v>
      </c>
      <c r="BC4576">
        <v>75</v>
      </c>
      <c r="BD4576">
        <v>2900</v>
      </c>
      <c r="BE4576">
        <v>2021</v>
      </c>
      <c r="BF4576">
        <v>4</v>
      </c>
      <c r="BG4576">
        <v>2</v>
      </c>
      <c r="BH4576">
        <v>1800</v>
      </c>
      <c r="BI4576">
        <v>3</v>
      </c>
      <c r="BJ4576">
        <v>4</v>
      </c>
      <c r="BK4576">
        <v>3</v>
      </c>
      <c r="BN4576" t="s">
        <v>595</v>
      </c>
    </row>
    <row r="4577" spans="1:68">
      <c r="A4577">
        <v>89220974</v>
      </c>
      <c r="B4577">
        <v>89220974</v>
      </c>
      <c r="C4577" t="s">
        <v>7018</v>
      </c>
      <c r="E4577" s="184"/>
      <c r="F4577" t="s">
        <v>595</v>
      </c>
      <c r="G4577" s="184">
        <v>45167</v>
      </c>
      <c r="I4577" s="184"/>
      <c r="K4577" s="184"/>
      <c r="O4577" s="184"/>
      <c r="P4577" t="s">
        <v>7045</v>
      </c>
      <c r="Q4577" t="s">
        <v>7383</v>
      </c>
      <c r="R4577" s="184">
        <v>20121</v>
      </c>
      <c r="S4577">
        <v>69</v>
      </c>
      <c r="V4577" t="s">
        <v>3632</v>
      </c>
      <c r="W4577" t="s">
        <v>4013</v>
      </c>
      <c r="X4577" t="s">
        <v>3569</v>
      </c>
      <c r="AF4577" t="s">
        <v>33323</v>
      </c>
      <c r="AG4577" t="s">
        <v>3632</v>
      </c>
      <c r="AI4577" t="s">
        <v>33324</v>
      </c>
      <c r="AM4577" t="s">
        <v>15475</v>
      </c>
      <c r="AN4577" t="s">
        <v>2144</v>
      </c>
      <c r="AO4577" t="s">
        <v>33325</v>
      </c>
      <c r="AP4577" t="s">
        <v>7024</v>
      </c>
      <c r="AQ4577" t="s">
        <v>33326</v>
      </c>
      <c r="AR4577" t="s">
        <v>33327</v>
      </c>
      <c r="AT4577" s="184">
        <v>41509</v>
      </c>
      <c r="AU4577" t="s">
        <v>33285</v>
      </c>
      <c r="AV4577">
        <v>25</v>
      </c>
      <c r="AW4577" s="184">
        <v>45362</v>
      </c>
      <c r="AX4577" t="s">
        <v>18549</v>
      </c>
      <c r="AY4577">
        <v>25</v>
      </c>
      <c r="AZ4577" s="184">
        <v>44979</v>
      </c>
      <c r="BA4577" t="s">
        <v>7217</v>
      </c>
      <c r="BB4577">
        <v>50</v>
      </c>
      <c r="BC4577">
        <v>59</v>
      </c>
      <c r="BD4577">
        <v>380</v>
      </c>
      <c r="BE4577">
        <v>2014</v>
      </c>
      <c r="BF4577">
        <v>15</v>
      </c>
      <c r="BG4577">
        <v>6</v>
      </c>
      <c r="BH4577">
        <v>160</v>
      </c>
      <c r="BI4577">
        <v>7</v>
      </c>
      <c r="BJ4577">
        <v>12</v>
      </c>
      <c r="BK4577">
        <v>4</v>
      </c>
      <c r="BP4577" s="184"/>
    </row>
    <row r="4578" spans="1:68">
      <c r="A4578">
        <v>89255376</v>
      </c>
      <c r="B4578">
        <v>89255376</v>
      </c>
      <c r="C4578" t="s">
        <v>7018</v>
      </c>
      <c r="D4578" t="s">
        <v>595</v>
      </c>
      <c r="E4578" s="184">
        <v>45124</v>
      </c>
      <c r="G4578" s="184"/>
      <c r="I4578" s="184"/>
      <c r="K4578" s="184"/>
      <c r="M4578" s="184"/>
      <c r="P4578" t="s">
        <v>7045</v>
      </c>
      <c r="Q4578" t="s">
        <v>7383</v>
      </c>
      <c r="R4578" s="184">
        <v>13028</v>
      </c>
      <c r="S4578">
        <v>88</v>
      </c>
      <c r="V4578" t="s">
        <v>2609</v>
      </c>
      <c r="X4578" t="s">
        <v>33328</v>
      </c>
      <c r="AF4578" t="s">
        <v>33329</v>
      </c>
      <c r="AG4578" t="s">
        <v>2609</v>
      </c>
      <c r="AI4578" t="s">
        <v>33330</v>
      </c>
      <c r="AM4578" t="s">
        <v>33331</v>
      </c>
      <c r="AN4578" t="s">
        <v>2059</v>
      </c>
      <c r="AO4578" t="s">
        <v>33332</v>
      </c>
      <c r="AP4578" t="s">
        <v>7024</v>
      </c>
      <c r="AQ4578" t="s">
        <v>33333</v>
      </c>
      <c r="AT4578" s="184">
        <v>41512</v>
      </c>
      <c r="AU4578" t="s">
        <v>32899</v>
      </c>
      <c r="AV4578">
        <v>15</v>
      </c>
      <c r="AW4578" s="184">
        <v>44980</v>
      </c>
      <c r="AX4578" t="s">
        <v>33334</v>
      </c>
      <c r="AY4578">
        <v>25</v>
      </c>
      <c r="AZ4578" s="184">
        <v>44980</v>
      </c>
      <c r="BA4578" t="s">
        <v>33334</v>
      </c>
      <c r="BB4578">
        <v>25</v>
      </c>
      <c r="BC4578">
        <v>50</v>
      </c>
      <c r="BD4578">
        <v>135</v>
      </c>
      <c r="BE4578">
        <v>2014</v>
      </c>
      <c r="BF4578">
        <v>7</v>
      </c>
      <c r="BG4578">
        <v>2</v>
      </c>
      <c r="BH4578">
        <v>50</v>
      </c>
      <c r="BI4578">
        <v>6</v>
      </c>
      <c r="BJ4578">
        <v>12</v>
      </c>
      <c r="BK4578">
        <v>3</v>
      </c>
      <c r="BP4578" s="184"/>
    </row>
    <row r="4579" spans="1:68">
      <c r="A4579">
        <v>89330849</v>
      </c>
      <c r="B4579">
        <v>89330849</v>
      </c>
      <c r="C4579" t="s">
        <v>7018</v>
      </c>
      <c r="D4579" t="s">
        <v>595</v>
      </c>
      <c r="E4579" s="184">
        <v>44484</v>
      </c>
      <c r="G4579" s="184"/>
      <c r="I4579" s="184"/>
      <c r="K4579" s="184"/>
      <c r="M4579" s="184"/>
      <c r="O4579" s="184"/>
      <c r="P4579" t="s">
        <v>7045</v>
      </c>
      <c r="Q4579" t="s">
        <v>7383</v>
      </c>
      <c r="R4579" s="184">
        <v>16112</v>
      </c>
      <c r="S4579">
        <v>80</v>
      </c>
      <c r="V4579" t="s">
        <v>3302</v>
      </c>
      <c r="X4579" t="s">
        <v>33335</v>
      </c>
      <c r="AF4579" t="s">
        <v>33336</v>
      </c>
      <c r="AG4579" t="s">
        <v>3302</v>
      </c>
      <c r="AI4579" t="s">
        <v>33337</v>
      </c>
      <c r="AM4579" t="s">
        <v>20411</v>
      </c>
      <c r="AN4579" t="s">
        <v>2059</v>
      </c>
      <c r="AO4579" t="s">
        <v>33338</v>
      </c>
      <c r="AP4579" t="s">
        <v>7024</v>
      </c>
      <c r="AT4579" s="184">
        <v>41520</v>
      </c>
      <c r="AU4579" t="s">
        <v>33339</v>
      </c>
      <c r="AV4579">
        <v>25</v>
      </c>
      <c r="AW4579" s="184">
        <v>42814</v>
      </c>
      <c r="AX4579" t="s">
        <v>28787</v>
      </c>
      <c r="AY4579">
        <v>25</v>
      </c>
      <c r="AZ4579" s="184">
        <v>41975</v>
      </c>
      <c r="BA4579" t="s">
        <v>33340</v>
      </c>
      <c r="BB4579">
        <v>60</v>
      </c>
      <c r="BC4579">
        <v>42</v>
      </c>
      <c r="BD4579">
        <v>235</v>
      </c>
      <c r="BE4579">
        <v>2014</v>
      </c>
      <c r="BF4579">
        <v>6</v>
      </c>
      <c r="BI4579">
        <v>5</v>
      </c>
      <c r="BJ4579">
        <v>12</v>
      </c>
      <c r="BK4579">
        <v>5</v>
      </c>
      <c r="BP4579" s="184"/>
    </row>
    <row r="4580" spans="1:68">
      <c r="A4580">
        <v>89354377</v>
      </c>
      <c r="B4580">
        <v>89354377</v>
      </c>
      <c r="C4580" t="s">
        <v>7018</v>
      </c>
      <c r="D4580" t="s">
        <v>595</v>
      </c>
      <c r="E4580" s="184">
        <v>45152</v>
      </c>
      <c r="G4580" s="184"/>
      <c r="I4580" s="184"/>
      <c r="K4580" s="184"/>
      <c r="P4580" t="s">
        <v>7045</v>
      </c>
      <c r="Q4580" t="s">
        <v>7383</v>
      </c>
      <c r="R4580" s="184">
        <v>16974</v>
      </c>
      <c r="S4580">
        <v>77</v>
      </c>
      <c r="U4580" t="s">
        <v>7667</v>
      </c>
      <c r="V4580" t="s">
        <v>33341</v>
      </c>
      <c r="X4580" t="s">
        <v>33342</v>
      </c>
      <c r="AF4580" t="s">
        <v>33343</v>
      </c>
      <c r="AG4580" t="s">
        <v>33341</v>
      </c>
      <c r="AI4580" t="s">
        <v>33344</v>
      </c>
      <c r="AM4580" t="s">
        <v>33345</v>
      </c>
      <c r="AN4580" t="s">
        <v>2072</v>
      </c>
      <c r="AO4580" t="s">
        <v>33346</v>
      </c>
      <c r="AP4580" t="s">
        <v>7024</v>
      </c>
      <c r="AQ4580" t="s">
        <v>33347</v>
      </c>
      <c r="AT4580" s="184">
        <v>41521</v>
      </c>
      <c r="AU4580" t="s">
        <v>33348</v>
      </c>
      <c r="AV4580">
        <v>25</v>
      </c>
      <c r="AW4580" s="184">
        <v>45299</v>
      </c>
      <c r="AX4580" t="s">
        <v>7092</v>
      </c>
      <c r="AY4580">
        <v>50</v>
      </c>
      <c r="AZ4580" s="184">
        <v>45299</v>
      </c>
      <c r="BA4580" t="s">
        <v>7092</v>
      </c>
      <c r="BB4580">
        <v>50</v>
      </c>
      <c r="BC4580">
        <v>67</v>
      </c>
      <c r="BD4580">
        <v>280</v>
      </c>
      <c r="BE4580">
        <v>2014</v>
      </c>
      <c r="BF4580">
        <v>8</v>
      </c>
      <c r="BG4580">
        <v>2</v>
      </c>
      <c r="BH4580">
        <v>100</v>
      </c>
      <c r="BI4580">
        <v>8</v>
      </c>
      <c r="BJ4580">
        <v>12</v>
      </c>
      <c r="BK4580">
        <v>5</v>
      </c>
      <c r="BP4580" s="184"/>
    </row>
    <row r="4581" spans="1:68">
      <c r="A4581">
        <v>89497093</v>
      </c>
      <c r="B4581">
        <v>89497093</v>
      </c>
      <c r="C4581" t="s">
        <v>7018</v>
      </c>
      <c r="D4581" t="s">
        <v>595</v>
      </c>
      <c r="E4581" s="184">
        <v>45117</v>
      </c>
      <c r="G4581" s="184"/>
      <c r="I4581" s="184"/>
      <c r="K4581" s="184"/>
      <c r="M4581" s="184"/>
      <c r="O4581" s="184"/>
      <c r="P4581" t="s">
        <v>7045</v>
      </c>
      <c r="Q4581" t="s">
        <v>7383</v>
      </c>
      <c r="R4581" s="184">
        <v>14824</v>
      </c>
      <c r="S4581">
        <v>83</v>
      </c>
      <c r="U4581" t="s">
        <v>7237</v>
      </c>
      <c r="V4581" t="s">
        <v>2979</v>
      </c>
      <c r="X4581" t="s">
        <v>33349</v>
      </c>
      <c r="AF4581" t="s">
        <v>33350</v>
      </c>
      <c r="AG4581" t="s">
        <v>2979</v>
      </c>
      <c r="AI4581" t="s">
        <v>33351</v>
      </c>
      <c r="AM4581" t="s">
        <v>15826</v>
      </c>
      <c r="AN4581" t="s">
        <v>2313</v>
      </c>
      <c r="AO4581" t="s">
        <v>33352</v>
      </c>
      <c r="AP4581" t="s">
        <v>7024</v>
      </c>
      <c r="AQ4581" t="s">
        <v>33353</v>
      </c>
      <c r="AR4581" t="s">
        <v>33354</v>
      </c>
      <c r="AT4581" s="184">
        <v>41528</v>
      </c>
      <c r="AU4581" t="s">
        <v>33355</v>
      </c>
      <c r="AV4581">
        <v>25</v>
      </c>
      <c r="AW4581" s="184">
        <v>44761</v>
      </c>
      <c r="AX4581" t="s">
        <v>17687</v>
      </c>
      <c r="AY4581">
        <v>20</v>
      </c>
      <c r="AZ4581" s="184">
        <v>42961</v>
      </c>
      <c r="BA4581" t="s">
        <v>33356</v>
      </c>
      <c r="BB4581">
        <v>25</v>
      </c>
      <c r="BC4581">
        <v>59</v>
      </c>
      <c r="BD4581">
        <v>180</v>
      </c>
      <c r="BE4581">
        <v>2014</v>
      </c>
      <c r="BF4581">
        <v>9</v>
      </c>
      <c r="BG4581">
        <v>1</v>
      </c>
      <c r="BH4581">
        <v>20</v>
      </c>
      <c r="BI4581">
        <v>7</v>
      </c>
      <c r="BJ4581">
        <v>12</v>
      </c>
      <c r="BK4581">
        <v>3</v>
      </c>
      <c r="BN4581" t="s">
        <v>595</v>
      </c>
      <c r="BP4581" s="184"/>
    </row>
    <row r="4582" spans="1:68">
      <c r="A4582">
        <v>89513378</v>
      </c>
      <c r="B4582">
        <v>89513378</v>
      </c>
      <c r="C4582" t="s">
        <v>7018</v>
      </c>
      <c r="E4582" s="184"/>
      <c r="G4582" s="184"/>
      <c r="I4582" s="184"/>
      <c r="J4582" t="s">
        <v>595</v>
      </c>
      <c r="K4582" s="184">
        <v>41534</v>
      </c>
      <c r="O4582" s="184"/>
      <c r="P4582" t="s">
        <v>8550</v>
      </c>
      <c r="Q4582" t="s">
        <v>7030</v>
      </c>
      <c r="R4582" s="184">
        <v>18323</v>
      </c>
      <c r="S4582">
        <v>74</v>
      </c>
      <c r="U4582" t="s">
        <v>7076</v>
      </c>
      <c r="V4582" t="s">
        <v>3545</v>
      </c>
      <c r="X4582" t="s">
        <v>33357</v>
      </c>
      <c r="Z4582">
        <v>100154773</v>
      </c>
      <c r="AA4582" t="s">
        <v>7031</v>
      </c>
      <c r="AB4582" t="s">
        <v>2541</v>
      </c>
      <c r="AC4582" t="s">
        <v>5006</v>
      </c>
      <c r="AD4582" t="s">
        <v>3866</v>
      </c>
      <c r="AF4582" t="s">
        <v>6783</v>
      </c>
      <c r="AG4582" t="s">
        <v>33358</v>
      </c>
      <c r="AI4582" t="s">
        <v>33359</v>
      </c>
      <c r="AM4582" t="s">
        <v>4424</v>
      </c>
      <c r="AN4582" t="s">
        <v>2089</v>
      </c>
      <c r="AO4582">
        <v>85044</v>
      </c>
      <c r="AP4582" t="s">
        <v>7024</v>
      </c>
      <c r="AT4582" s="184"/>
      <c r="AW4582" s="184"/>
      <c r="AZ4582" s="184"/>
      <c r="BP4582" s="184"/>
    </row>
    <row r="4583" spans="1:68">
      <c r="A4583">
        <v>100154773</v>
      </c>
      <c r="B4583">
        <v>89513378</v>
      </c>
      <c r="C4583" t="s">
        <v>7018</v>
      </c>
      <c r="E4583" s="184"/>
      <c r="G4583" s="184"/>
      <c r="I4583" s="184"/>
      <c r="J4583" t="s">
        <v>595</v>
      </c>
      <c r="K4583" s="184">
        <v>41534</v>
      </c>
      <c r="M4583" s="184"/>
      <c r="P4583" t="s">
        <v>8550</v>
      </c>
      <c r="Q4583" t="s">
        <v>7030</v>
      </c>
      <c r="R4583" s="184">
        <v>18233</v>
      </c>
      <c r="S4583">
        <v>74</v>
      </c>
      <c r="U4583" t="s">
        <v>7031</v>
      </c>
      <c r="V4583" t="s">
        <v>2541</v>
      </c>
      <c r="W4583" t="s">
        <v>5006</v>
      </c>
      <c r="X4583" t="s">
        <v>3866</v>
      </c>
      <c r="Z4583">
        <v>89513378</v>
      </c>
      <c r="AA4583" t="s">
        <v>7076</v>
      </c>
      <c r="AB4583" t="s">
        <v>3545</v>
      </c>
      <c r="AD4583" t="s">
        <v>33357</v>
      </c>
      <c r="AF4583" t="s">
        <v>6783</v>
      </c>
      <c r="AG4583" t="s">
        <v>33358</v>
      </c>
      <c r="AI4583" t="s">
        <v>33359</v>
      </c>
      <c r="AM4583" t="s">
        <v>4424</v>
      </c>
      <c r="AN4583" t="s">
        <v>2089</v>
      </c>
      <c r="AO4583">
        <v>85044</v>
      </c>
      <c r="AP4583" t="s">
        <v>7024</v>
      </c>
      <c r="AT4583" s="184"/>
      <c r="AW4583" s="184"/>
      <c r="AZ4583" s="184"/>
      <c r="BP4583" s="184"/>
    </row>
    <row r="4584" spans="1:68">
      <c r="A4584">
        <v>89558399</v>
      </c>
      <c r="B4584">
        <v>89558399</v>
      </c>
      <c r="C4584" t="s">
        <v>7018</v>
      </c>
      <c r="E4584" s="184"/>
      <c r="G4584" s="184"/>
      <c r="H4584" t="s">
        <v>595</v>
      </c>
      <c r="I4584" s="184">
        <v>44109</v>
      </c>
      <c r="K4584" s="184"/>
      <c r="M4584" s="184"/>
      <c r="P4584" t="s">
        <v>7045</v>
      </c>
      <c r="Q4584" t="s">
        <v>7262</v>
      </c>
      <c r="R4584" s="184">
        <v>14991</v>
      </c>
      <c r="S4584">
        <v>83</v>
      </c>
      <c r="U4584" t="s">
        <v>7031</v>
      </c>
      <c r="V4584" t="s">
        <v>2979</v>
      </c>
      <c r="X4584" t="s">
        <v>5025</v>
      </c>
      <c r="AF4584" t="s">
        <v>33360</v>
      </c>
      <c r="AG4584" t="s">
        <v>2979</v>
      </c>
      <c r="AI4584" t="s">
        <v>33361</v>
      </c>
      <c r="AM4584" t="s">
        <v>4262</v>
      </c>
      <c r="AN4584" t="s">
        <v>65</v>
      </c>
      <c r="AO4584" t="s">
        <v>33362</v>
      </c>
      <c r="AP4584" t="s">
        <v>7024</v>
      </c>
      <c r="AQ4584" t="s">
        <v>33363</v>
      </c>
      <c r="AT4584" s="184">
        <v>41530</v>
      </c>
      <c r="AU4584" t="s">
        <v>33364</v>
      </c>
      <c r="AV4584">
        <v>15</v>
      </c>
      <c r="AW4584" s="184">
        <v>43902</v>
      </c>
      <c r="AX4584" t="s">
        <v>33365</v>
      </c>
      <c r="AY4584">
        <v>25</v>
      </c>
      <c r="AZ4584" s="184">
        <v>41801</v>
      </c>
      <c r="BA4584" t="s">
        <v>33366</v>
      </c>
      <c r="BB4584">
        <v>60</v>
      </c>
      <c r="BC4584">
        <v>34</v>
      </c>
      <c r="BD4584">
        <v>135</v>
      </c>
      <c r="BE4584">
        <v>2014</v>
      </c>
      <c r="BF4584">
        <v>4</v>
      </c>
      <c r="BI4584">
        <v>4</v>
      </c>
      <c r="BJ4584">
        <v>12</v>
      </c>
      <c r="BK4584">
        <v>2</v>
      </c>
      <c r="BP4584" s="184"/>
    </row>
    <row r="4585" spans="1:68">
      <c r="A4585">
        <v>89627988</v>
      </c>
      <c r="B4585">
        <v>89627988</v>
      </c>
      <c r="C4585" t="s">
        <v>7018</v>
      </c>
      <c r="D4585" t="s">
        <v>595</v>
      </c>
      <c r="E4585" s="184">
        <v>45181</v>
      </c>
      <c r="G4585" s="184"/>
      <c r="I4585" s="184"/>
      <c r="K4585" s="184"/>
      <c r="M4585" s="184"/>
      <c r="P4585" t="s">
        <v>7045</v>
      </c>
      <c r="Q4585" t="s">
        <v>7454</v>
      </c>
      <c r="R4585" s="184">
        <v>15342</v>
      </c>
      <c r="S4585">
        <v>82</v>
      </c>
      <c r="V4585" t="s">
        <v>4764</v>
      </c>
      <c r="X4585" t="s">
        <v>33367</v>
      </c>
      <c r="AF4585" t="s">
        <v>33368</v>
      </c>
      <c r="AG4585" t="s">
        <v>4764</v>
      </c>
      <c r="AI4585" t="s">
        <v>33369</v>
      </c>
      <c r="AM4585" t="s">
        <v>4101</v>
      </c>
      <c r="AN4585" t="s">
        <v>2299</v>
      </c>
      <c r="AO4585" t="s">
        <v>33370</v>
      </c>
      <c r="AP4585" t="s">
        <v>7024</v>
      </c>
      <c r="AQ4585" t="s">
        <v>33371</v>
      </c>
      <c r="AT4585" s="184">
        <v>41535</v>
      </c>
      <c r="AU4585" t="s">
        <v>33372</v>
      </c>
      <c r="AV4585">
        <v>50</v>
      </c>
      <c r="AW4585" s="184">
        <v>45125</v>
      </c>
      <c r="AX4585" t="s">
        <v>33373</v>
      </c>
      <c r="AY4585">
        <v>50</v>
      </c>
      <c r="AZ4585" s="184">
        <v>42996</v>
      </c>
      <c r="BA4585" t="s">
        <v>33374</v>
      </c>
      <c r="BB4585">
        <v>150</v>
      </c>
      <c r="BC4585">
        <v>92</v>
      </c>
      <c r="BD4585">
        <v>1850</v>
      </c>
      <c r="BE4585">
        <v>2014</v>
      </c>
      <c r="BF4585">
        <v>21</v>
      </c>
      <c r="BG4585">
        <v>3</v>
      </c>
      <c r="BH4585">
        <v>150</v>
      </c>
      <c r="BI4585">
        <v>11</v>
      </c>
      <c r="BJ4585">
        <v>12</v>
      </c>
      <c r="BK4585">
        <v>11</v>
      </c>
      <c r="BP4585" s="184"/>
    </row>
    <row r="4586" spans="1:68">
      <c r="A4586">
        <v>89750947</v>
      </c>
      <c r="B4586">
        <v>89750947</v>
      </c>
      <c r="C4586" t="s">
        <v>7018</v>
      </c>
      <c r="D4586" t="s">
        <v>595</v>
      </c>
      <c r="E4586" s="184">
        <v>44781</v>
      </c>
      <c r="G4586" s="184"/>
      <c r="I4586" s="184"/>
      <c r="K4586" s="184"/>
      <c r="M4586" s="184"/>
      <c r="P4586" t="s">
        <v>7045</v>
      </c>
      <c r="Q4586" t="s">
        <v>7194</v>
      </c>
      <c r="R4586" s="184">
        <v>23193</v>
      </c>
      <c r="S4586">
        <v>60</v>
      </c>
      <c r="U4586" t="s">
        <v>7031</v>
      </c>
      <c r="V4586" t="s">
        <v>2665</v>
      </c>
      <c r="X4586" t="s">
        <v>3992</v>
      </c>
      <c r="AF4586" t="s">
        <v>33375</v>
      </c>
      <c r="AG4586" t="s">
        <v>2665</v>
      </c>
      <c r="AI4586" t="s">
        <v>33376</v>
      </c>
      <c r="AM4586" t="s">
        <v>7450</v>
      </c>
      <c r="AN4586" t="s">
        <v>2046</v>
      </c>
      <c r="AO4586" t="s">
        <v>33377</v>
      </c>
      <c r="AP4586" t="s">
        <v>7024</v>
      </c>
      <c r="AQ4586" t="s">
        <v>33378</v>
      </c>
      <c r="AT4586" s="184">
        <v>41547</v>
      </c>
      <c r="AU4586" t="s">
        <v>32821</v>
      </c>
      <c r="AV4586">
        <v>19.97</v>
      </c>
      <c r="AW4586" s="184">
        <v>42302</v>
      </c>
      <c r="AX4586" t="s">
        <v>25731</v>
      </c>
      <c r="AY4586">
        <v>70</v>
      </c>
      <c r="AZ4586" s="184">
        <v>42302</v>
      </c>
      <c r="BA4586" t="s">
        <v>25731</v>
      </c>
      <c r="BB4586">
        <v>70</v>
      </c>
      <c r="BC4586">
        <v>17</v>
      </c>
      <c r="BD4586">
        <v>89.97</v>
      </c>
      <c r="BE4586">
        <v>2014</v>
      </c>
      <c r="BF4586">
        <v>2</v>
      </c>
      <c r="BI4586">
        <v>2</v>
      </c>
      <c r="BJ4586">
        <v>12</v>
      </c>
      <c r="BK4586">
        <v>1</v>
      </c>
      <c r="BP4586" s="184"/>
    </row>
    <row r="4587" spans="1:68">
      <c r="A4587">
        <v>89805378</v>
      </c>
      <c r="B4587">
        <v>89805378</v>
      </c>
      <c r="C4587" t="s">
        <v>7018</v>
      </c>
      <c r="E4587" s="184"/>
      <c r="G4587" s="184"/>
      <c r="I4587" s="184"/>
      <c r="J4587" t="s">
        <v>595</v>
      </c>
      <c r="K4587" s="184">
        <v>41876</v>
      </c>
      <c r="M4587" s="184"/>
      <c r="O4587" s="184"/>
      <c r="P4587" t="s">
        <v>7045</v>
      </c>
      <c r="Q4587" t="s">
        <v>7374</v>
      </c>
      <c r="R4587" s="184">
        <v>13597</v>
      </c>
      <c r="S4587">
        <v>87</v>
      </c>
      <c r="V4587" t="s">
        <v>3131</v>
      </c>
      <c r="W4587" t="s">
        <v>4139</v>
      </c>
      <c r="X4587" t="s">
        <v>33379</v>
      </c>
      <c r="Z4587">
        <v>100154988</v>
      </c>
      <c r="AB4587" t="s">
        <v>3603</v>
      </c>
      <c r="AC4587" t="s">
        <v>4139</v>
      </c>
      <c r="AD4587" t="s">
        <v>33379</v>
      </c>
      <c r="AF4587" t="s">
        <v>6698</v>
      </c>
      <c r="AG4587" t="s">
        <v>33380</v>
      </c>
      <c r="AI4587" t="s">
        <v>33381</v>
      </c>
      <c r="AM4587" t="s">
        <v>33382</v>
      </c>
      <c r="AN4587" t="s">
        <v>2526</v>
      </c>
      <c r="AO4587" t="s">
        <v>33383</v>
      </c>
      <c r="AP4587" t="s">
        <v>7024</v>
      </c>
      <c r="AT4587" s="184">
        <v>41904</v>
      </c>
      <c r="AU4587" t="s">
        <v>33384</v>
      </c>
      <c r="AV4587">
        <v>25</v>
      </c>
      <c r="AW4587" s="184">
        <v>43130</v>
      </c>
      <c r="AX4587" t="s">
        <v>19015</v>
      </c>
      <c r="AY4587">
        <v>35</v>
      </c>
      <c r="AZ4587" s="184">
        <v>43130</v>
      </c>
      <c r="BA4587" t="s">
        <v>19015</v>
      </c>
      <c r="BB4587">
        <v>35</v>
      </c>
      <c r="BC4587">
        <v>28</v>
      </c>
      <c r="BD4587">
        <v>85</v>
      </c>
      <c r="BE4587">
        <v>2015</v>
      </c>
      <c r="BF4587">
        <v>3</v>
      </c>
      <c r="BI4587">
        <v>3</v>
      </c>
      <c r="BJ4587">
        <v>11</v>
      </c>
      <c r="BK4587">
        <v>2</v>
      </c>
      <c r="BP4587" s="184"/>
    </row>
    <row r="4588" spans="1:68">
      <c r="A4588">
        <v>100154988</v>
      </c>
      <c r="B4588">
        <v>89805378</v>
      </c>
      <c r="C4588" t="s">
        <v>7018</v>
      </c>
      <c r="E4588" s="184"/>
      <c r="G4588" s="184"/>
      <c r="I4588" s="184"/>
      <c r="J4588" t="s">
        <v>595</v>
      </c>
      <c r="K4588" s="184">
        <v>41876</v>
      </c>
      <c r="M4588" s="184"/>
      <c r="P4588" t="s">
        <v>7045</v>
      </c>
      <c r="Q4588" t="s">
        <v>7374</v>
      </c>
      <c r="R4588" s="184">
        <v>12124</v>
      </c>
      <c r="S4588">
        <v>91</v>
      </c>
      <c r="V4588" t="s">
        <v>3603</v>
      </c>
      <c r="W4588" t="s">
        <v>4139</v>
      </c>
      <c r="X4588" t="s">
        <v>33379</v>
      </c>
      <c r="Z4588">
        <v>89805378</v>
      </c>
      <c r="AB4588" t="s">
        <v>3131</v>
      </c>
      <c r="AC4588" t="s">
        <v>4139</v>
      </c>
      <c r="AD4588" t="s">
        <v>33379</v>
      </c>
      <c r="AF4588" t="s">
        <v>6698</v>
      </c>
      <c r="AG4588" t="s">
        <v>33380</v>
      </c>
      <c r="AI4588" t="s">
        <v>33381</v>
      </c>
      <c r="AM4588" t="s">
        <v>33382</v>
      </c>
      <c r="AN4588" t="s">
        <v>2526</v>
      </c>
      <c r="AO4588" t="s">
        <v>33383</v>
      </c>
      <c r="AP4588" t="s">
        <v>7024</v>
      </c>
      <c r="AT4588" s="184">
        <v>43677</v>
      </c>
      <c r="AU4588" t="s">
        <v>33385</v>
      </c>
      <c r="AV4588">
        <v>20</v>
      </c>
      <c r="AW4588" s="184">
        <v>43677</v>
      </c>
      <c r="AX4588" t="s">
        <v>33385</v>
      </c>
      <c r="AY4588">
        <v>20</v>
      </c>
      <c r="AZ4588" s="184">
        <v>43677</v>
      </c>
      <c r="BA4588" t="s">
        <v>33385</v>
      </c>
      <c r="BB4588">
        <v>20</v>
      </c>
      <c r="BC4588">
        <v>17</v>
      </c>
      <c r="BD4588">
        <v>20</v>
      </c>
      <c r="BE4588">
        <v>2020</v>
      </c>
      <c r="BF4588">
        <v>1</v>
      </c>
      <c r="BI4588">
        <v>1</v>
      </c>
      <c r="BJ4588">
        <v>6</v>
      </c>
      <c r="BK4588">
        <v>1</v>
      </c>
      <c r="BP4588" s="184"/>
    </row>
    <row r="4589" spans="1:68">
      <c r="A4589">
        <v>89834378</v>
      </c>
      <c r="B4589">
        <v>89834378</v>
      </c>
      <c r="C4589" t="s">
        <v>7018</v>
      </c>
      <c r="E4589" s="184"/>
      <c r="G4589" s="184"/>
      <c r="H4589" t="s">
        <v>595</v>
      </c>
      <c r="I4589" s="184">
        <v>45131</v>
      </c>
      <c r="K4589" s="184"/>
      <c r="M4589" s="184"/>
      <c r="O4589" s="184"/>
      <c r="P4589" t="s">
        <v>7045</v>
      </c>
      <c r="Q4589" t="s">
        <v>7494</v>
      </c>
      <c r="R4589" s="184"/>
      <c r="V4589" t="s">
        <v>22865</v>
      </c>
      <c r="X4589" t="s">
        <v>33386</v>
      </c>
      <c r="Z4589">
        <v>101010606</v>
      </c>
      <c r="AB4589" t="s">
        <v>4169</v>
      </c>
      <c r="AD4589" t="s">
        <v>33386</v>
      </c>
      <c r="AF4589" t="s">
        <v>33387</v>
      </c>
      <c r="AG4589" t="s">
        <v>33388</v>
      </c>
      <c r="AI4589" t="s">
        <v>33389</v>
      </c>
      <c r="AM4589" t="s">
        <v>3371</v>
      </c>
      <c r="AN4589" t="s">
        <v>2174</v>
      </c>
      <c r="AO4589" t="s">
        <v>33390</v>
      </c>
      <c r="AP4589" t="s">
        <v>7024</v>
      </c>
      <c r="AQ4589" t="s">
        <v>33391</v>
      </c>
      <c r="AT4589" s="184">
        <v>41199</v>
      </c>
      <c r="AU4589" t="s">
        <v>32243</v>
      </c>
      <c r="AV4589">
        <v>25</v>
      </c>
      <c r="AW4589" s="184">
        <v>44932</v>
      </c>
      <c r="AX4589" t="s">
        <v>33392</v>
      </c>
      <c r="AY4589">
        <v>25</v>
      </c>
      <c r="AZ4589" s="184">
        <v>44915</v>
      </c>
      <c r="BA4589" t="s">
        <v>33393</v>
      </c>
      <c r="BB4589">
        <v>40</v>
      </c>
      <c r="BC4589">
        <v>47</v>
      </c>
      <c r="BD4589">
        <v>280</v>
      </c>
      <c r="BE4589">
        <v>2013</v>
      </c>
      <c r="BF4589">
        <v>10</v>
      </c>
      <c r="BG4589">
        <v>5</v>
      </c>
      <c r="BH4589">
        <v>155</v>
      </c>
      <c r="BI4589">
        <v>6</v>
      </c>
      <c r="BJ4589">
        <v>13</v>
      </c>
      <c r="BK4589">
        <v>3</v>
      </c>
      <c r="BP4589" s="184"/>
    </row>
    <row r="4590" spans="1:68">
      <c r="A4590">
        <v>101010606</v>
      </c>
      <c r="B4590">
        <v>89834378</v>
      </c>
      <c r="C4590" t="s">
        <v>7018</v>
      </c>
      <c r="E4590" s="184"/>
      <c r="G4590" s="184"/>
      <c r="H4590" t="s">
        <v>595</v>
      </c>
      <c r="I4590" s="184">
        <v>45131</v>
      </c>
      <c r="K4590" s="184"/>
      <c r="M4590" s="184"/>
      <c r="O4590" s="184"/>
      <c r="P4590" t="s">
        <v>7045</v>
      </c>
      <c r="Q4590" t="s">
        <v>7494</v>
      </c>
      <c r="R4590" s="184"/>
      <c r="V4590" t="s">
        <v>4169</v>
      </c>
      <c r="X4590" t="s">
        <v>33386</v>
      </c>
      <c r="Z4590">
        <v>89834378</v>
      </c>
      <c r="AB4590" t="s">
        <v>22865</v>
      </c>
      <c r="AD4590" t="s">
        <v>33386</v>
      </c>
      <c r="AF4590" t="s">
        <v>33387</v>
      </c>
      <c r="AG4590" t="s">
        <v>33388</v>
      </c>
      <c r="AI4590" t="s">
        <v>33389</v>
      </c>
      <c r="AM4590" t="s">
        <v>3371</v>
      </c>
      <c r="AN4590" t="s">
        <v>2174</v>
      </c>
      <c r="AO4590" t="s">
        <v>33390</v>
      </c>
      <c r="AP4590" t="s">
        <v>7024</v>
      </c>
      <c r="AQ4590" t="s">
        <v>33394</v>
      </c>
      <c r="AR4590" t="s">
        <v>33391</v>
      </c>
      <c r="AT4590" s="184">
        <v>44881</v>
      </c>
      <c r="AU4590" t="s">
        <v>7832</v>
      </c>
      <c r="AV4590">
        <v>50</v>
      </c>
      <c r="AW4590" s="184">
        <v>45126</v>
      </c>
      <c r="AX4590" t="s">
        <v>9677</v>
      </c>
      <c r="AY4590">
        <v>60</v>
      </c>
      <c r="AZ4590" s="184">
        <v>45126</v>
      </c>
      <c r="BA4590" t="s">
        <v>9677</v>
      </c>
      <c r="BB4590">
        <v>60</v>
      </c>
      <c r="BC4590">
        <v>67</v>
      </c>
      <c r="BD4590">
        <v>110</v>
      </c>
      <c r="BE4590">
        <v>2023</v>
      </c>
      <c r="BF4590">
        <v>2</v>
      </c>
      <c r="BG4590">
        <v>2</v>
      </c>
      <c r="BH4590">
        <v>110</v>
      </c>
      <c r="BI4590">
        <v>2</v>
      </c>
      <c r="BJ4590">
        <v>3</v>
      </c>
      <c r="BK4590">
        <v>2</v>
      </c>
      <c r="BP4590" s="184"/>
    </row>
    <row r="4591" spans="1:68">
      <c r="A4591">
        <v>89883318</v>
      </c>
      <c r="B4591">
        <v>89883318</v>
      </c>
      <c r="C4591" t="s">
        <v>7018</v>
      </c>
      <c r="D4591" t="s">
        <v>595</v>
      </c>
      <c r="E4591" s="184">
        <v>44455</v>
      </c>
      <c r="G4591" s="184"/>
      <c r="I4591" s="184"/>
      <c r="K4591" s="184"/>
      <c r="M4591" s="184"/>
      <c r="O4591" s="184"/>
      <c r="P4591" t="s">
        <v>7019</v>
      </c>
      <c r="Q4591" t="s">
        <v>7383</v>
      </c>
      <c r="R4591" s="184">
        <v>17319</v>
      </c>
      <c r="S4591">
        <v>76</v>
      </c>
      <c r="U4591" t="s">
        <v>7076</v>
      </c>
      <c r="V4591" t="s">
        <v>4210</v>
      </c>
      <c r="X4591" t="s">
        <v>5809</v>
      </c>
      <c r="AF4591" t="s">
        <v>33395</v>
      </c>
      <c r="AG4591" t="s">
        <v>4210</v>
      </c>
      <c r="AI4591" t="s">
        <v>33396</v>
      </c>
      <c r="AM4591" t="s">
        <v>3428</v>
      </c>
      <c r="AN4591" t="s">
        <v>2118</v>
      </c>
      <c r="AO4591" t="s">
        <v>33397</v>
      </c>
      <c r="AP4591" t="s">
        <v>7024</v>
      </c>
      <c r="AQ4591" t="s">
        <v>33398</v>
      </c>
      <c r="AT4591" s="184">
        <v>41554</v>
      </c>
      <c r="AU4591" t="s">
        <v>32735</v>
      </c>
      <c r="AV4591">
        <v>19.95</v>
      </c>
      <c r="AW4591" s="184">
        <v>44719</v>
      </c>
      <c r="AX4591" t="s">
        <v>33399</v>
      </c>
      <c r="AY4591">
        <v>60</v>
      </c>
      <c r="AZ4591" s="184">
        <v>44719</v>
      </c>
      <c r="BA4591" t="s">
        <v>33399</v>
      </c>
      <c r="BB4591">
        <v>60</v>
      </c>
      <c r="BC4591">
        <v>59</v>
      </c>
      <c r="BD4591">
        <v>235.95</v>
      </c>
      <c r="BE4591">
        <v>2014</v>
      </c>
      <c r="BF4591">
        <v>7</v>
      </c>
      <c r="BG4591">
        <v>1</v>
      </c>
      <c r="BH4591">
        <v>60</v>
      </c>
      <c r="BI4591">
        <v>7</v>
      </c>
      <c r="BJ4591">
        <v>12</v>
      </c>
      <c r="BK4591">
        <v>5</v>
      </c>
      <c r="BP4591" s="184"/>
    </row>
    <row r="4592" spans="1:68">
      <c r="A4592">
        <v>89891436</v>
      </c>
      <c r="B4592">
        <v>89891436</v>
      </c>
      <c r="C4592" t="s">
        <v>7018</v>
      </c>
      <c r="D4592" t="s">
        <v>595</v>
      </c>
      <c r="E4592" s="184">
        <v>44104</v>
      </c>
      <c r="G4592" s="184"/>
      <c r="H4592" t="s">
        <v>595</v>
      </c>
      <c r="I4592" s="184">
        <v>44109</v>
      </c>
      <c r="K4592" s="184"/>
      <c r="M4592" s="184"/>
      <c r="O4592" s="184"/>
      <c r="P4592" t="s">
        <v>7045</v>
      </c>
      <c r="Q4592" t="s">
        <v>7160</v>
      </c>
      <c r="R4592" s="184">
        <v>17899</v>
      </c>
      <c r="S4592">
        <v>75</v>
      </c>
      <c r="U4592" t="s">
        <v>7031</v>
      </c>
      <c r="V4592" t="s">
        <v>3246</v>
      </c>
      <c r="W4592" t="s">
        <v>3522</v>
      </c>
      <c r="X4592" t="s">
        <v>5016</v>
      </c>
      <c r="AF4592" t="s">
        <v>33400</v>
      </c>
      <c r="AG4592" t="s">
        <v>3246</v>
      </c>
      <c r="AI4592" t="s">
        <v>33401</v>
      </c>
      <c r="AM4592" t="s">
        <v>5014</v>
      </c>
      <c r="AN4592" t="s">
        <v>2413</v>
      </c>
      <c r="AO4592" t="s">
        <v>33402</v>
      </c>
      <c r="AP4592" t="s">
        <v>7024</v>
      </c>
      <c r="AQ4592" t="s">
        <v>33403</v>
      </c>
      <c r="AR4592" t="s">
        <v>33404</v>
      </c>
      <c r="AT4592" s="184">
        <v>41551</v>
      </c>
      <c r="AU4592" t="s">
        <v>33270</v>
      </c>
      <c r="AV4592">
        <v>25</v>
      </c>
      <c r="AW4592" s="184">
        <v>45403</v>
      </c>
      <c r="AX4592" t="s">
        <v>7429</v>
      </c>
      <c r="AY4592">
        <v>15</v>
      </c>
      <c r="AZ4592" s="184">
        <v>42704</v>
      </c>
      <c r="BA4592" t="s">
        <v>33405</v>
      </c>
      <c r="BB4592">
        <v>25</v>
      </c>
      <c r="BC4592">
        <v>100</v>
      </c>
      <c r="BD4592">
        <v>1410</v>
      </c>
      <c r="BE4592">
        <v>2014</v>
      </c>
      <c r="BF4592">
        <v>99</v>
      </c>
      <c r="BG4592">
        <v>24</v>
      </c>
      <c r="BH4592">
        <v>360</v>
      </c>
      <c r="BI4592">
        <v>12</v>
      </c>
      <c r="BJ4592">
        <v>12</v>
      </c>
      <c r="BK4592">
        <v>12</v>
      </c>
      <c r="BP4592" s="184"/>
    </row>
    <row r="4593" spans="1:68">
      <c r="A4593">
        <v>89900088</v>
      </c>
      <c r="B4593">
        <v>89900088</v>
      </c>
      <c r="C4593" t="s">
        <v>7018</v>
      </c>
      <c r="D4593" t="s">
        <v>595</v>
      </c>
      <c r="E4593" s="184">
        <v>44484</v>
      </c>
      <c r="G4593" s="184"/>
      <c r="I4593" s="184"/>
      <c r="K4593" s="184"/>
      <c r="M4593" s="184"/>
      <c r="O4593" s="184"/>
      <c r="P4593" t="s">
        <v>7045</v>
      </c>
      <c r="Q4593" t="s">
        <v>7262</v>
      </c>
      <c r="R4593" s="184">
        <v>17715</v>
      </c>
      <c r="S4593">
        <v>75</v>
      </c>
      <c r="V4593" t="s">
        <v>2511</v>
      </c>
      <c r="W4593" t="s">
        <v>7560</v>
      </c>
      <c r="X4593" t="s">
        <v>33406</v>
      </c>
      <c r="AF4593" t="s">
        <v>33407</v>
      </c>
      <c r="AG4593" t="s">
        <v>2511</v>
      </c>
      <c r="AI4593" t="s">
        <v>33408</v>
      </c>
      <c r="AM4593" t="s">
        <v>5606</v>
      </c>
      <c r="AN4593" t="s">
        <v>2266</v>
      </c>
      <c r="AO4593" t="s">
        <v>33409</v>
      </c>
      <c r="AP4593" t="s">
        <v>7024</v>
      </c>
      <c r="AQ4593" t="s">
        <v>33410</v>
      </c>
      <c r="AR4593" t="s">
        <v>33411</v>
      </c>
      <c r="AT4593" s="184">
        <v>41554</v>
      </c>
      <c r="AU4593" t="s">
        <v>32699</v>
      </c>
      <c r="AV4593">
        <v>25</v>
      </c>
      <c r="AW4593" s="184">
        <v>44903</v>
      </c>
      <c r="AX4593" t="s">
        <v>16433</v>
      </c>
      <c r="AY4593">
        <v>50</v>
      </c>
      <c r="AZ4593" s="184">
        <v>44903</v>
      </c>
      <c r="BA4593" t="s">
        <v>16433</v>
      </c>
      <c r="BB4593">
        <v>50</v>
      </c>
      <c r="BC4593">
        <v>84</v>
      </c>
      <c r="BD4593">
        <v>415</v>
      </c>
      <c r="BE4593">
        <v>2014</v>
      </c>
      <c r="BF4593">
        <v>11</v>
      </c>
      <c r="BG4593">
        <v>1</v>
      </c>
      <c r="BH4593">
        <v>50</v>
      </c>
      <c r="BI4593">
        <v>10</v>
      </c>
      <c r="BJ4593">
        <v>12</v>
      </c>
      <c r="BK4593">
        <v>10</v>
      </c>
      <c r="BP4593" s="184"/>
    </row>
    <row r="4594" spans="1:68">
      <c r="A4594">
        <v>89922678</v>
      </c>
      <c r="B4594">
        <v>89922678</v>
      </c>
      <c r="C4594" t="s">
        <v>7018</v>
      </c>
      <c r="E4594" s="184"/>
      <c r="G4594" s="184"/>
      <c r="I4594" s="184"/>
      <c r="J4594" t="s">
        <v>595</v>
      </c>
      <c r="K4594" s="184">
        <v>44438</v>
      </c>
      <c r="M4594" s="184"/>
      <c r="O4594" s="184"/>
      <c r="P4594" t="s">
        <v>7045</v>
      </c>
      <c r="Q4594" t="s">
        <v>7494</v>
      </c>
      <c r="R4594" s="184">
        <v>18688</v>
      </c>
      <c r="S4594">
        <v>73</v>
      </c>
      <c r="V4594" t="s">
        <v>3235</v>
      </c>
      <c r="X4594" t="s">
        <v>33412</v>
      </c>
      <c r="AF4594" t="s">
        <v>33413</v>
      </c>
      <c r="AG4594" t="s">
        <v>3235</v>
      </c>
      <c r="AI4594" t="s">
        <v>33414</v>
      </c>
      <c r="AM4594" t="s">
        <v>33415</v>
      </c>
      <c r="AN4594" t="s">
        <v>2174</v>
      </c>
      <c r="AO4594" t="s">
        <v>33416</v>
      </c>
      <c r="AP4594" t="s">
        <v>7024</v>
      </c>
      <c r="AQ4594" t="s">
        <v>33417</v>
      </c>
      <c r="AR4594" t="s">
        <v>33418</v>
      </c>
      <c r="AT4594" s="184">
        <v>41558</v>
      </c>
      <c r="AU4594" t="s">
        <v>33419</v>
      </c>
      <c r="AV4594">
        <v>25</v>
      </c>
      <c r="AW4594" s="184">
        <v>45365</v>
      </c>
      <c r="AX4594" t="s">
        <v>7168</v>
      </c>
      <c r="AY4594">
        <v>105</v>
      </c>
      <c r="AZ4594" s="184">
        <v>45365</v>
      </c>
      <c r="BA4594" t="s">
        <v>7168</v>
      </c>
      <c r="BB4594">
        <v>105</v>
      </c>
      <c r="BC4594">
        <v>84</v>
      </c>
      <c r="BD4594">
        <v>840</v>
      </c>
      <c r="BE4594">
        <v>2014</v>
      </c>
      <c r="BF4594">
        <v>13</v>
      </c>
      <c r="BG4594">
        <v>2</v>
      </c>
      <c r="BH4594">
        <v>205</v>
      </c>
      <c r="BI4594">
        <v>10</v>
      </c>
      <c r="BJ4594">
        <v>12</v>
      </c>
      <c r="BK4594">
        <v>7</v>
      </c>
      <c r="BP4594" s="184"/>
    </row>
    <row r="4595" spans="1:68">
      <c r="A4595">
        <v>89923965</v>
      </c>
      <c r="B4595">
        <v>89923965</v>
      </c>
      <c r="C4595" t="s">
        <v>7018</v>
      </c>
      <c r="D4595" t="s">
        <v>595</v>
      </c>
      <c r="E4595" s="184">
        <v>44104</v>
      </c>
      <c r="G4595" s="184"/>
      <c r="I4595" s="184"/>
      <c r="K4595" s="184"/>
      <c r="M4595" s="184"/>
      <c r="O4595" s="184"/>
      <c r="P4595" t="s">
        <v>7029</v>
      </c>
      <c r="Q4595" t="s">
        <v>7494</v>
      </c>
      <c r="R4595" s="184">
        <v>18111</v>
      </c>
      <c r="S4595">
        <v>74</v>
      </c>
      <c r="V4595" t="s">
        <v>3217</v>
      </c>
      <c r="X4595" t="s">
        <v>33420</v>
      </c>
      <c r="AF4595" t="s">
        <v>33421</v>
      </c>
      <c r="AG4595" t="s">
        <v>3217</v>
      </c>
      <c r="AI4595" t="s">
        <v>33422</v>
      </c>
      <c r="AM4595" t="s">
        <v>2582</v>
      </c>
      <c r="AN4595" t="s">
        <v>2174</v>
      </c>
      <c r="AO4595" t="s">
        <v>33423</v>
      </c>
      <c r="AP4595" t="s">
        <v>7024</v>
      </c>
      <c r="AQ4595" t="s">
        <v>33424</v>
      </c>
      <c r="AT4595" s="184">
        <v>41558</v>
      </c>
      <c r="AU4595" t="s">
        <v>33425</v>
      </c>
      <c r="AV4595">
        <v>25</v>
      </c>
      <c r="AW4595" s="184">
        <v>45341</v>
      </c>
      <c r="AX4595" t="s">
        <v>30655</v>
      </c>
      <c r="AY4595">
        <v>500</v>
      </c>
      <c r="AZ4595" s="184">
        <v>45341</v>
      </c>
      <c r="BA4595" t="s">
        <v>30655</v>
      </c>
      <c r="BB4595">
        <v>500</v>
      </c>
      <c r="BC4595">
        <v>100</v>
      </c>
      <c r="BD4595">
        <v>3025</v>
      </c>
      <c r="BE4595">
        <v>2014</v>
      </c>
      <c r="BF4595">
        <v>20</v>
      </c>
      <c r="BG4595">
        <v>2</v>
      </c>
      <c r="BH4595">
        <v>1000</v>
      </c>
      <c r="BI4595">
        <v>12</v>
      </c>
      <c r="BJ4595">
        <v>12</v>
      </c>
      <c r="BK4595">
        <v>12</v>
      </c>
      <c r="BP4595" s="184"/>
    </row>
    <row r="4596" spans="1:68">
      <c r="A4596">
        <v>89939177</v>
      </c>
      <c r="B4596">
        <v>89939177</v>
      </c>
      <c r="C4596" t="s">
        <v>7018</v>
      </c>
      <c r="D4596" t="s">
        <v>595</v>
      </c>
      <c r="E4596" s="184">
        <v>45120</v>
      </c>
      <c r="G4596" s="184"/>
      <c r="I4596" s="184"/>
      <c r="K4596" s="184"/>
      <c r="M4596" s="184"/>
      <c r="O4596" s="184"/>
      <c r="P4596" t="s">
        <v>7019</v>
      </c>
      <c r="Q4596" t="s">
        <v>7494</v>
      </c>
      <c r="R4596" s="184">
        <v>16681</v>
      </c>
      <c r="S4596">
        <v>78</v>
      </c>
      <c r="U4596" t="s">
        <v>7237</v>
      </c>
      <c r="V4596" t="s">
        <v>3632</v>
      </c>
      <c r="X4596" t="s">
        <v>25753</v>
      </c>
      <c r="AF4596" t="s">
        <v>33426</v>
      </c>
      <c r="AG4596" t="s">
        <v>3632</v>
      </c>
      <c r="AI4596" t="s">
        <v>33427</v>
      </c>
      <c r="AM4596" t="s">
        <v>33428</v>
      </c>
      <c r="AN4596" t="s">
        <v>2174</v>
      </c>
      <c r="AO4596" t="s">
        <v>33429</v>
      </c>
      <c r="AP4596" t="s">
        <v>7024</v>
      </c>
      <c r="AQ4596" t="s">
        <v>33430</v>
      </c>
      <c r="AT4596" s="184">
        <v>41562</v>
      </c>
      <c r="AU4596" t="s">
        <v>33431</v>
      </c>
      <c r="AV4596">
        <v>20</v>
      </c>
      <c r="AW4596" s="184">
        <v>44834</v>
      </c>
      <c r="AX4596" t="s">
        <v>12309</v>
      </c>
      <c r="AY4596">
        <v>60</v>
      </c>
      <c r="AZ4596" s="184">
        <v>44834</v>
      </c>
      <c r="BA4596" t="s">
        <v>12309</v>
      </c>
      <c r="BB4596">
        <v>60</v>
      </c>
      <c r="BC4596">
        <v>42</v>
      </c>
      <c r="BD4596">
        <v>240</v>
      </c>
      <c r="BE4596">
        <v>2014</v>
      </c>
      <c r="BF4596">
        <v>7</v>
      </c>
      <c r="BG4596">
        <v>1</v>
      </c>
      <c r="BH4596">
        <v>60</v>
      </c>
      <c r="BI4596">
        <v>5</v>
      </c>
      <c r="BJ4596">
        <v>12</v>
      </c>
      <c r="BK4596">
        <v>2</v>
      </c>
      <c r="BP4596" s="184"/>
    </row>
    <row r="4597" spans="1:68">
      <c r="A4597">
        <v>89939631</v>
      </c>
      <c r="B4597">
        <v>89939631</v>
      </c>
      <c r="C4597" t="s">
        <v>7018</v>
      </c>
      <c r="D4597" t="s">
        <v>595</v>
      </c>
      <c r="E4597" s="184">
        <v>44104</v>
      </c>
      <c r="G4597" s="184"/>
      <c r="H4597" t="s">
        <v>595</v>
      </c>
      <c r="I4597" s="184">
        <v>44109</v>
      </c>
      <c r="K4597" s="184"/>
      <c r="M4597" s="184"/>
      <c r="O4597" s="184"/>
      <c r="P4597" t="s">
        <v>7045</v>
      </c>
      <c r="Q4597" t="s">
        <v>7494</v>
      </c>
      <c r="R4597" s="184">
        <v>17475</v>
      </c>
      <c r="S4597">
        <v>76</v>
      </c>
      <c r="U4597" t="s">
        <v>7031</v>
      </c>
      <c r="V4597" t="s">
        <v>2851</v>
      </c>
      <c r="W4597" t="s">
        <v>2316</v>
      </c>
      <c r="X4597" t="s">
        <v>5017</v>
      </c>
      <c r="AF4597" t="s">
        <v>33432</v>
      </c>
      <c r="AG4597" t="s">
        <v>2851</v>
      </c>
      <c r="AI4597" t="s">
        <v>33433</v>
      </c>
      <c r="AM4597" t="s">
        <v>2582</v>
      </c>
      <c r="AN4597" t="s">
        <v>2174</v>
      </c>
      <c r="AO4597" t="s">
        <v>33434</v>
      </c>
      <c r="AP4597" t="s">
        <v>7024</v>
      </c>
      <c r="AQ4597" t="s">
        <v>33435</v>
      </c>
      <c r="AR4597" t="s">
        <v>33436</v>
      </c>
      <c r="AT4597" s="184">
        <v>41562</v>
      </c>
      <c r="AU4597" t="s">
        <v>33437</v>
      </c>
      <c r="AV4597">
        <v>15</v>
      </c>
      <c r="AW4597" s="184">
        <v>45403</v>
      </c>
      <c r="AX4597" t="s">
        <v>7429</v>
      </c>
      <c r="AY4597">
        <v>5.0199999999999996</v>
      </c>
      <c r="AZ4597" s="184">
        <v>43781</v>
      </c>
      <c r="BA4597" t="s">
        <v>33438</v>
      </c>
      <c r="BB4597">
        <v>87</v>
      </c>
      <c r="BC4597">
        <v>100</v>
      </c>
      <c r="BD4597">
        <v>820.92</v>
      </c>
      <c r="BE4597">
        <v>2014</v>
      </c>
      <c r="BF4597">
        <v>85</v>
      </c>
      <c r="BG4597">
        <v>25</v>
      </c>
      <c r="BH4597">
        <v>145.47999999999999</v>
      </c>
      <c r="BI4597">
        <v>12</v>
      </c>
      <c r="BJ4597">
        <v>12</v>
      </c>
      <c r="BK4597">
        <v>12</v>
      </c>
      <c r="BN4597" t="s">
        <v>595</v>
      </c>
      <c r="BP4597" s="184"/>
    </row>
    <row r="4598" spans="1:68">
      <c r="A4598">
        <v>89939706</v>
      </c>
      <c r="B4598">
        <v>89939706</v>
      </c>
      <c r="C4598" t="s">
        <v>7018</v>
      </c>
      <c r="E4598" s="184"/>
      <c r="G4598" s="184"/>
      <c r="I4598" s="184"/>
      <c r="J4598" t="s">
        <v>595</v>
      </c>
      <c r="K4598" s="184">
        <v>41933</v>
      </c>
      <c r="M4598" s="184"/>
      <c r="O4598" s="184"/>
      <c r="P4598" t="s">
        <v>7045</v>
      </c>
      <c r="Q4598" t="s">
        <v>7374</v>
      </c>
      <c r="R4598" s="184">
        <v>31721</v>
      </c>
      <c r="S4598">
        <v>37</v>
      </c>
      <c r="U4598" t="s">
        <v>7031</v>
      </c>
      <c r="V4598" t="s">
        <v>2775</v>
      </c>
      <c r="X4598" t="s">
        <v>2552</v>
      </c>
      <c r="AF4598" t="s">
        <v>6644</v>
      </c>
      <c r="AG4598" t="s">
        <v>2775</v>
      </c>
      <c r="AI4598" t="s">
        <v>33439</v>
      </c>
      <c r="AM4598" t="s">
        <v>4551</v>
      </c>
      <c r="AN4598" t="s">
        <v>2081</v>
      </c>
      <c r="AO4598" t="s">
        <v>33440</v>
      </c>
      <c r="AP4598" t="s">
        <v>7024</v>
      </c>
      <c r="AQ4598" t="s">
        <v>33441</v>
      </c>
      <c r="AR4598" t="s">
        <v>33442</v>
      </c>
      <c r="AT4598" s="184">
        <v>41562</v>
      </c>
      <c r="AU4598" t="s">
        <v>33443</v>
      </c>
      <c r="AV4598">
        <v>25</v>
      </c>
      <c r="AW4598" s="184">
        <v>42639</v>
      </c>
      <c r="AX4598" t="s">
        <v>33444</v>
      </c>
      <c r="AY4598">
        <v>30</v>
      </c>
      <c r="AZ4598" s="184">
        <v>41905</v>
      </c>
      <c r="BA4598" t="s">
        <v>33445</v>
      </c>
      <c r="BB4598">
        <v>60</v>
      </c>
      <c r="BC4598">
        <v>25</v>
      </c>
      <c r="BD4598">
        <v>290</v>
      </c>
      <c r="BE4598">
        <v>2014</v>
      </c>
      <c r="BF4598">
        <v>8</v>
      </c>
      <c r="BI4598">
        <v>3</v>
      </c>
      <c r="BJ4598">
        <v>12</v>
      </c>
      <c r="BK4598">
        <v>2</v>
      </c>
      <c r="BP4598" s="184"/>
    </row>
    <row r="4599" spans="1:68">
      <c r="A4599">
        <v>89951446</v>
      </c>
      <c r="B4599">
        <v>89951446</v>
      </c>
      <c r="C4599" t="s">
        <v>7018</v>
      </c>
      <c r="E4599" s="184"/>
      <c r="F4599" t="s">
        <v>595</v>
      </c>
      <c r="G4599" s="184">
        <v>44073</v>
      </c>
      <c r="I4599" s="184"/>
      <c r="K4599" s="184"/>
      <c r="M4599" s="184"/>
      <c r="O4599" s="184"/>
      <c r="P4599" t="s">
        <v>7045</v>
      </c>
      <c r="Q4599" t="s">
        <v>7454</v>
      </c>
      <c r="R4599" s="184">
        <v>18233</v>
      </c>
      <c r="S4599">
        <v>74</v>
      </c>
      <c r="U4599" t="s">
        <v>7094</v>
      </c>
      <c r="V4599" t="s">
        <v>4599</v>
      </c>
      <c r="W4599" t="s">
        <v>4013</v>
      </c>
      <c r="X4599" t="s">
        <v>33446</v>
      </c>
      <c r="AF4599" t="s">
        <v>33447</v>
      </c>
      <c r="AG4599" t="s">
        <v>4599</v>
      </c>
      <c r="AI4599" t="s">
        <v>33448</v>
      </c>
      <c r="AM4599" t="s">
        <v>13845</v>
      </c>
      <c r="AN4599" t="s">
        <v>2299</v>
      </c>
      <c r="AO4599" t="s">
        <v>33449</v>
      </c>
      <c r="AP4599" t="s">
        <v>7024</v>
      </c>
      <c r="AQ4599" t="s">
        <v>33450</v>
      </c>
      <c r="AR4599" t="s">
        <v>33451</v>
      </c>
      <c r="AT4599" s="184">
        <v>41564</v>
      </c>
      <c r="AU4599" t="s">
        <v>31526</v>
      </c>
      <c r="AV4599">
        <v>25</v>
      </c>
      <c r="AW4599" s="184">
        <v>45398</v>
      </c>
      <c r="AX4599" t="s">
        <v>7429</v>
      </c>
      <c r="AY4599">
        <v>5</v>
      </c>
      <c r="AZ4599" s="184">
        <v>44292</v>
      </c>
      <c r="BA4599" t="s">
        <v>7137</v>
      </c>
      <c r="BB4599">
        <v>25</v>
      </c>
      <c r="BC4599">
        <v>100</v>
      </c>
      <c r="BD4599">
        <v>650</v>
      </c>
      <c r="BE4599">
        <v>2014</v>
      </c>
      <c r="BF4599">
        <v>101</v>
      </c>
      <c r="BG4599">
        <v>24</v>
      </c>
      <c r="BH4599">
        <v>120</v>
      </c>
      <c r="BI4599">
        <v>12</v>
      </c>
      <c r="BJ4599">
        <v>12</v>
      </c>
      <c r="BK4599">
        <v>12</v>
      </c>
      <c r="BP4599" s="184"/>
    </row>
    <row r="4600" spans="1:68">
      <c r="A4600">
        <v>89959498</v>
      </c>
      <c r="B4600">
        <v>89959498</v>
      </c>
      <c r="C4600" t="s">
        <v>7018</v>
      </c>
      <c r="D4600" t="s">
        <v>595</v>
      </c>
      <c r="E4600" s="184">
        <v>44484</v>
      </c>
      <c r="G4600" s="184"/>
      <c r="I4600" s="184"/>
      <c r="K4600" s="184"/>
      <c r="M4600" s="184"/>
      <c r="O4600" s="184"/>
      <c r="P4600" t="s">
        <v>7045</v>
      </c>
      <c r="Q4600" t="s">
        <v>7374</v>
      </c>
      <c r="R4600" s="184">
        <v>13845</v>
      </c>
      <c r="S4600">
        <v>86</v>
      </c>
      <c r="U4600" t="s">
        <v>7031</v>
      </c>
      <c r="V4600" t="s">
        <v>2786</v>
      </c>
      <c r="X4600" t="s">
        <v>7470</v>
      </c>
      <c r="AF4600" t="s">
        <v>33452</v>
      </c>
      <c r="AG4600" t="s">
        <v>2786</v>
      </c>
      <c r="AI4600" t="s">
        <v>33453</v>
      </c>
      <c r="AM4600" t="s">
        <v>3721</v>
      </c>
      <c r="AN4600" t="s">
        <v>2081</v>
      </c>
      <c r="AO4600" t="s">
        <v>33454</v>
      </c>
      <c r="AP4600" t="s">
        <v>7024</v>
      </c>
      <c r="AQ4600" t="s">
        <v>33455</v>
      </c>
      <c r="AT4600" s="184">
        <v>41568</v>
      </c>
      <c r="AU4600" t="s">
        <v>33456</v>
      </c>
      <c r="AV4600">
        <v>25</v>
      </c>
      <c r="AW4600" s="184">
        <v>44285</v>
      </c>
      <c r="AX4600" t="s">
        <v>33457</v>
      </c>
      <c r="AY4600">
        <v>35</v>
      </c>
      <c r="AZ4600" s="184">
        <v>42723</v>
      </c>
      <c r="BA4600" t="s">
        <v>33458</v>
      </c>
      <c r="BB4600">
        <v>100</v>
      </c>
      <c r="BC4600">
        <v>67</v>
      </c>
      <c r="BD4600">
        <v>517</v>
      </c>
      <c r="BE4600">
        <v>2014</v>
      </c>
      <c r="BF4600">
        <v>12</v>
      </c>
      <c r="BI4600">
        <v>8</v>
      </c>
      <c r="BJ4600">
        <v>12</v>
      </c>
      <c r="BK4600">
        <v>7</v>
      </c>
      <c r="BP4600" s="184"/>
    </row>
    <row r="4601" spans="1:68">
      <c r="A4601">
        <v>89971923</v>
      </c>
      <c r="B4601">
        <v>89971923</v>
      </c>
      <c r="C4601" t="s">
        <v>7018</v>
      </c>
      <c r="D4601" t="s">
        <v>595</v>
      </c>
      <c r="E4601" s="184">
        <v>45175</v>
      </c>
      <c r="G4601" s="184"/>
      <c r="I4601" s="184"/>
      <c r="K4601" s="184"/>
      <c r="O4601" s="184"/>
      <c r="P4601" t="s">
        <v>7045</v>
      </c>
      <c r="Q4601" t="s">
        <v>7383</v>
      </c>
      <c r="R4601" s="184">
        <v>24486</v>
      </c>
      <c r="S4601">
        <v>57</v>
      </c>
      <c r="V4601" t="s">
        <v>4300</v>
      </c>
      <c r="X4601" t="s">
        <v>33459</v>
      </c>
      <c r="AF4601" t="s">
        <v>33460</v>
      </c>
      <c r="AG4601" t="s">
        <v>4300</v>
      </c>
      <c r="AI4601" t="s">
        <v>33461</v>
      </c>
      <c r="AM4601" t="s">
        <v>4082</v>
      </c>
      <c r="AN4601" t="s">
        <v>2139</v>
      </c>
      <c r="AO4601" t="s">
        <v>33462</v>
      </c>
      <c r="AP4601" t="s">
        <v>7024</v>
      </c>
      <c r="AQ4601" t="s">
        <v>33463</v>
      </c>
      <c r="AR4601" t="s">
        <v>33464</v>
      </c>
      <c r="AT4601" s="184">
        <v>41575</v>
      </c>
      <c r="AU4601" t="s">
        <v>32821</v>
      </c>
      <c r="AV4601">
        <v>19.97</v>
      </c>
      <c r="AW4601" s="184">
        <v>45422</v>
      </c>
      <c r="AX4601" t="s">
        <v>7422</v>
      </c>
      <c r="AY4601">
        <v>5</v>
      </c>
      <c r="AZ4601" s="184">
        <v>42623</v>
      </c>
      <c r="BA4601" t="s">
        <v>33465</v>
      </c>
      <c r="BB4601">
        <v>25</v>
      </c>
      <c r="BC4601">
        <v>92</v>
      </c>
      <c r="BD4601">
        <v>724.94</v>
      </c>
      <c r="BE4601">
        <v>2014</v>
      </c>
      <c r="BF4601">
        <v>103</v>
      </c>
      <c r="BG4601">
        <v>24</v>
      </c>
      <c r="BH4601">
        <v>120</v>
      </c>
      <c r="BI4601">
        <v>11</v>
      </c>
      <c r="BJ4601">
        <v>12</v>
      </c>
      <c r="BK4601">
        <v>9</v>
      </c>
      <c r="BN4601" t="s">
        <v>595</v>
      </c>
      <c r="BP4601" s="184"/>
    </row>
    <row r="4602" spans="1:68">
      <c r="A4602">
        <v>89976377</v>
      </c>
      <c r="B4602">
        <v>89976377</v>
      </c>
      <c r="C4602" t="s">
        <v>7018</v>
      </c>
      <c r="D4602" t="s">
        <v>595</v>
      </c>
      <c r="E4602" s="184">
        <v>44073</v>
      </c>
      <c r="G4602" s="184"/>
      <c r="I4602" s="184"/>
      <c r="K4602" s="184"/>
      <c r="O4602" s="184"/>
      <c r="P4602" t="s">
        <v>7045</v>
      </c>
      <c r="Q4602" t="s">
        <v>7383</v>
      </c>
      <c r="R4602" s="184">
        <v>20802</v>
      </c>
      <c r="S4602">
        <v>67</v>
      </c>
      <c r="V4602" t="s">
        <v>3536</v>
      </c>
      <c r="X4602" t="s">
        <v>33466</v>
      </c>
      <c r="AF4602" t="s">
        <v>33467</v>
      </c>
      <c r="AG4602" t="s">
        <v>3536</v>
      </c>
      <c r="AI4602" t="s">
        <v>33468</v>
      </c>
      <c r="AM4602" t="s">
        <v>27678</v>
      </c>
      <c r="AN4602" t="s">
        <v>2185</v>
      </c>
      <c r="AO4602" t="s">
        <v>33469</v>
      </c>
      <c r="AP4602" t="s">
        <v>7024</v>
      </c>
      <c r="AQ4602" t="s">
        <v>33470</v>
      </c>
      <c r="AR4602" t="s">
        <v>33471</v>
      </c>
      <c r="AT4602" s="184">
        <v>41575</v>
      </c>
      <c r="AU4602" t="s">
        <v>32821</v>
      </c>
      <c r="AV4602">
        <v>19.97</v>
      </c>
      <c r="AW4602" s="184">
        <v>45349</v>
      </c>
      <c r="AX4602" t="s">
        <v>13674</v>
      </c>
      <c r="AY4602">
        <v>25</v>
      </c>
      <c r="AZ4602" s="184">
        <v>45349</v>
      </c>
      <c r="BA4602" t="s">
        <v>13674</v>
      </c>
      <c r="BB4602">
        <v>25</v>
      </c>
      <c r="BC4602">
        <v>100</v>
      </c>
      <c r="BD4602">
        <v>400.97</v>
      </c>
      <c r="BE4602">
        <v>2014</v>
      </c>
      <c r="BF4602">
        <v>18</v>
      </c>
      <c r="BG4602">
        <v>6</v>
      </c>
      <c r="BH4602">
        <v>131</v>
      </c>
      <c r="BI4602">
        <v>12</v>
      </c>
      <c r="BJ4602">
        <v>12</v>
      </c>
      <c r="BK4602">
        <v>12</v>
      </c>
      <c r="BP4602" s="184"/>
    </row>
    <row r="4603" spans="1:68">
      <c r="A4603">
        <v>89980833</v>
      </c>
      <c r="B4603">
        <v>89980833</v>
      </c>
      <c r="C4603" t="s">
        <v>7018</v>
      </c>
      <c r="D4603" t="s">
        <v>595</v>
      </c>
      <c r="E4603" s="184">
        <v>44073</v>
      </c>
      <c r="G4603" s="184"/>
      <c r="I4603" s="184"/>
      <c r="K4603" s="184"/>
      <c r="M4603" s="184"/>
      <c r="O4603" s="184"/>
      <c r="P4603" t="s">
        <v>7045</v>
      </c>
      <c r="Q4603" t="s">
        <v>7262</v>
      </c>
      <c r="R4603" s="184">
        <v>19176</v>
      </c>
      <c r="S4603">
        <v>71</v>
      </c>
      <c r="U4603" t="s">
        <v>7130</v>
      </c>
      <c r="V4603" t="s">
        <v>3901</v>
      </c>
      <c r="W4603" t="s">
        <v>7560</v>
      </c>
      <c r="X4603" t="s">
        <v>33472</v>
      </c>
      <c r="AF4603" t="s">
        <v>33473</v>
      </c>
      <c r="AG4603" t="s">
        <v>3901</v>
      </c>
      <c r="AI4603" t="s">
        <v>33474</v>
      </c>
      <c r="AM4603" t="s">
        <v>33475</v>
      </c>
      <c r="AN4603" t="s">
        <v>2106</v>
      </c>
      <c r="AO4603" t="s">
        <v>33476</v>
      </c>
      <c r="AP4603" t="s">
        <v>7024</v>
      </c>
      <c r="AQ4603" t="s">
        <v>33477</v>
      </c>
      <c r="AT4603" s="184">
        <v>41575</v>
      </c>
      <c r="AU4603" t="s">
        <v>32821</v>
      </c>
      <c r="AV4603">
        <v>19.97</v>
      </c>
      <c r="AW4603" s="184">
        <v>45426</v>
      </c>
      <c r="AX4603" t="s">
        <v>7422</v>
      </c>
      <c r="AY4603">
        <v>35</v>
      </c>
      <c r="AZ4603" s="184">
        <v>45426</v>
      </c>
      <c r="BA4603" t="s">
        <v>7422</v>
      </c>
      <c r="BB4603">
        <v>35</v>
      </c>
      <c r="BC4603">
        <v>100</v>
      </c>
      <c r="BD4603">
        <v>3231.88</v>
      </c>
      <c r="BE4603">
        <v>2014</v>
      </c>
      <c r="BF4603">
        <v>120</v>
      </c>
      <c r="BG4603">
        <v>25</v>
      </c>
      <c r="BH4603">
        <v>875</v>
      </c>
      <c r="BI4603">
        <v>12</v>
      </c>
      <c r="BJ4603">
        <v>12</v>
      </c>
      <c r="BK4603">
        <v>12</v>
      </c>
      <c r="BP4603" s="184"/>
    </row>
    <row r="4604" spans="1:68">
      <c r="A4604">
        <v>89998165</v>
      </c>
      <c r="B4604">
        <v>89998165</v>
      </c>
      <c r="C4604" t="s">
        <v>7018</v>
      </c>
      <c r="D4604" t="s">
        <v>595</v>
      </c>
      <c r="E4604" s="184">
        <v>45154</v>
      </c>
      <c r="G4604" s="184"/>
      <c r="I4604" s="184"/>
      <c r="K4604" s="184"/>
      <c r="M4604" s="184"/>
      <c r="O4604" s="184"/>
      <c r="P4604" t="s">
        <v>7045</v>
      </c>
      <c r="Q4604" t="s">
        <v>7383</v>
      </c>
      <c r="R4604" s="184">
        <v>21064</v>
      </c>
      <c r="S4604">
        <v>66</v>
      </c>
      <c r="V4604" t="s">
        <v>3223</v>
      </c>
      <c r="X4604" t="s">
        <v>33478</v>
      </c>
      <c r="AF4604" t="s">
        <v>33479</v>
      </c>
      <c r="AG4604" t="s">
        <v>3223</v>
      </c>
      <c r="AI4604" t="s">
        <v>33480</v>
      </c>
      <c r="AM4604" t="s">
        <v>2830</v>
      </c>
      <c r="AN4604" t="s">
        <v>2185</v>
      </c>
      <c r="AO4604" t="s">
        <v>33481</v>
      </c>
      <c r="AP4604" t="s">
        <v>7024</v>
      </c>
      <c r="AQ4604" t="s">
        <v>33482</v>
      </c>
      <c r="AT4604" s="184">
        <v>41570</v>
      </c>
      <c r="AU4604" t="s">
        <v>33483</v>
      </c>
      <c r="AV4604">
        <v>100</v>
      </c>
      <c r="AW4604" s="184">
        <v>45069</v>
      </c>
      <c r="AX4604" t="s">
        <v>13944</v>
      </c>
      <c r="AY4604">
        <v>250</v>
      </c>
      <c r="AZ4604" s="184">
        <v>45069</v>
      </c>
      <c r="BA4604" t="s">
        <v>13944</v>
      </c>
      <c r="BB4604">
        <v>250</v>
      </c>
      <c r="BC4604">
        <v>50</v>
      </c>
      <c r="BD4604">
        <v>1050</v>
      </c>
      <c r="BE4604">
        <v>2014</v>
      </c>
      <c r="BF4604">
        <v>8</v>
      </c>
      <c r="BG4604">
        <v>2</v>
      </c>
      <c r="BH4604">
        <v>450</v>
      </c>
      <c r="BI4604">
        <v>6</v>
      </c>
      <c r="BJ4604">
        <v>12</v>
      </c>
      <c r="BK4604">
        <v>3</v>
      </c>
      <c r="BN4604" t="s">
        <v>595</v>
      </c>
      <c r="BP4604" s="184"/>
    </row>
    <row r="4605" spans="1:68">
      <c r="A4605">
        <v>90011982</v>
      </c>
      <c r="B4605">
        <v>90011982</v>
      </c>
      <c r="C4605" t="s">
        <v>7018</v>
      </c>
      <c r="E4605" s="184"/>
      <c r="G4605" s="184"/>
      <c r="I4605" s="184"/>
      <c r="J4605" t="s">
        <v>595</v>
      </c>
      <c r="K4605" s="184">
        <v>44167</v>
      </c>
      <c r="M4605" s="184"/>
      <c r="O4605" s="184"/>
      <c r="P4605" t="s">
        <v>7045</v>
      </c>
      <c r="Q4605" t="s">
        <v>7160</v>
      </c>
      <c r="R4605" s="184">
        <v>17958</v>
      </c>
      <c r="S4605">
        <v>75</v>
      </c>
      <c r="U4605" t="s">
        <v>7130</v>
      </c>
      <c r="V4605" t="s">
        <v>3898</v>
      </c>
      <c r="W4605" t="s">
        <v>4139</v>
      </c>
      <c r="X4605" t="s">
        <v>14076</v>
      </c>
      <c r="Z4605">
        <v>100155299</v>
      </c>
      <c r="AA4605" t="s">
        <v>7031</v>
      </c>
      <c r="AB4605" t="s">
        <v>7169</v>
      </c>
      <c r="AD4605" t="s">
        <v>14076</v>
      </c>
      <c r="AF4605" t="s">
        <v>33484</v>
      </c>
      <c r="AG4605" t="s">
        <v>33485</v>
      </c>
      <c r="AI4605" t="s">
        <v>33486</v>
      </c>
      <c r="AM4605" t="s">
        <v>2766</v>
      </c>
      <c r="AN4605" t="s">
        <v>2176</v>
      </c>
      <c r="AO4605" t="s">
        <v>33487</v>
      </c>
      <c r="AP4605" t="s">
        <v>7024</v>
      </c>
      <c r="AQ4605" t="s">
        <v>33488</v>
      </c>
      <c r="AR4605" t="s">
        <v>33489</v>
      </c>
      <c r="AT4605" s="184">
        <v>41572</v>
      </c>
      <c r="AU4605" t="s">
        <v>33490</v>
      </c>
      <c r="AV4605">
        <v>25</v>
      </c>
      <c r="AW4605" s="184">
        <v>45296</v>
      </c>
      <c r="AX4605" t="s">
        <v>22429</v>
      </c>
      <c r="AY4605">
        <v>100</v>
      </c>
      <c r="AZ4605" s="184">
        <v>43724</v>
      </c>
      <c r="BA4605" t="s">
        <v>17575</v>
      </c>
      <c r="BB4605">
        <v>2500</v>
      </c>
      <c r="BC4605">
        <v>75</v>
      </c>
      <c r="BD4605">
        <v>5620</v>
      </c>
      <c r="BE4605">
        <v>2014</v>
      </c>
      <c r="BF4605">
        <v>12</v>
      </c>
      <c r="BG4605">
        <v>2</v>
      </c>
      <c r="BH4605">
        <v>600</v>
      </c>
      <c r="BI4605">
        <v>9</v>
      </c>
      <c r="BJ4605">
        <v>12</v>
      </c>
      <c r="BK4605">
        <v>7</v>
      </c>
      <c r="BP4605" s="184"/>
    </row>
    <row r="4606" spans="1:68">
      <c r="A4606">
        <v>100155299</v>
      </c>
      <c r="B4606">
        <v>90011982</v>
      </c>
      <c r="C4606" t="s">
        <v>7018</v>
      </c>
      <c r="E4606" s="184"/>
      <c r="G4606" s="184"/>
      <c r="I4606" s="184"/>
      <c r="J4606" t="s">
        <v>595</v>
      </c>
      <c r="K4606" s="184">
        <v>44167</v>
      </c>
      <c r="O4606" s="184"/>
      <c r="P4606" t="s">
        <v>7045</v>
      </c>
      <c r="Q4606" t="s">
        <v>7160</v>
      </c>
      <c r="R4606" s="184">
        <v>16576</v>
      </c>
      <c r="S4606">
        <v>78</v>
      </c>
      <c r="U4606" t="s">
        <v>7031</v>
      </c>
      <c r="V4606" t="s">
        <v>7169</v>
      </c>
      <c r="X4606" t="s">
        <v>14076</v>
      </c>
      <c r="Z4606">
        <v>90011982</v>
      </c>
      <c r="AA4606" t="s">
        <v>7130</v>
      </c>
      <c r="AB4606" t="s">
        <v>3898</v>
      </c>
      <c r="AC4606" t="s">
        <v>4139</v>
      </c>
      <c r="AD4606" t="s">
        <v>14076</v>
      </c>
      <c r="AF4606" t="s">
        <v>33484</v>
      </c>
      <c r="AG4606" t="s">
        <v>33485</v>
      </c>
      <c r="AI4606" t="s">
        <v>33486</v>
      </c>
      <c r="AM4606" t="s">
        <v>2766</v>
      </c>
      <c r="AN4606" t="s">
        <v>2176</v>
      </c>
      <c r="AO4606" t="s">
        <v>33487</v>
      </c>
      <c r="AP4606" t="s">
        <v>7024</v>
      </c>
      <c r="AT4606" s="184"/>
      <c r="AW4606" s="184"/>
      <c r="AZ4606" s="184"/>
      <c r="BP4606" s="184"/>
    </row>
    <row r="4607" spans="1:68">
      <c r="A4607">
        <v>90048505</v>
      </c>
      <c r="B4607">
        <v>90048505</v>
      </c>
      <c r="C4607" t="s">
        <v>7018</v>
      </c>
      <c r="D4607" t="s">
        <v>595</v>
      </c>
      <c r="E4607" s="184">
        <v>44455</v>
      </c>
      <c r="G4607" s="184"/>
      <c r="I4607" s="184"/>
      <c r="K4607" s="184"/>
      <c r="M4607" s="184"/>
      <c r="O4607" s="184"/>
      <c r="P4607" t="s">
        <v>7045</v>
      </c>
      <c r="Q4607" t="s">
        <v>7374</v>
      </c>
      <c r="R4607" s="184">
        <v>19115</v>
      </c>
      <c r="S4607">
        <v>72</v>
      </c>
      <c r="U4607" t="s">
        <v>7076</v>
      </c>
      <c r="V4607" t="s">
        <v>2523</v>
      </c>
      <c r="W4607" t="s">
        <v>7560</v>
      </c>
      <c r="X4607" t="s">
        <v>33491</v>
      </c>
      <c r="AF4607" t="s">
        <v>33492</v>
      </c>
      <c r="AG4607" t="s">
        <v>2523</v>
      </c>
      <c r="AI4607" t="s">
        <v>33493</v>
      </c>
      <c r="AM4607" t="s">
        <v>33494</v>
      </c>
      <c r="AN4607" t="s">
        <v>2081</v>
      </c>
      <c r="AO4607" t="s">
        <v>33495</v>
      </c>
      <c r="AP4607" t="s">
        <v>7024</v>
      </c>
      <c r="AQ4607" t="s">
        <v>33496</v>
      </c>
      <c r="AT4607" s="184">
        <v>41582</v>
      </c>
      <c r="AU4607" t="s">
        <v>33443</v>
      </c>
      <c r="AV4607">
        <v>15</v>
      </c>
      <c r="AW4607" s="184">
        <v>45306</v>
      </c>
      <c r="AX4607" t="s">
        <v>33497</v>
      </c>
      <c r="AY4607">
        <v>100</v>
      </c>
      <c r="AZ4607" s="184">
        <v>45306</v>
      </c>
      <c r="BA4607" t="s">
        <v>33497</v>
      </c>
      <c r="BB4607">
        <v>100</v>
      </c>
      <c r="BC4607">
        <v>59</v>
      </c>
      <c r="BD4607">
        <v>365</v>
      </c>
      <c r="BE4607">
        <v>2014</v>
      </c>
      <c r="BF4607">
        <v>11</v>
      </c>
      <c r="BG4607">
        <v>2</v>
      </c>
      <c r="BH4607">
        <v>125</v>
      </c>
      <c r="BI4607">
        <v>7</v>
      </c>
      <c r="BJ4607">
        <v>12</v>
      </c>
      <c r="BK4607">
        <v>3</v>
      </c>
      <c r="BP4607" s="184"/>
    </row>
    <row r="4608" spans="1:68">
      <c r="A4608">
        <v>90052002</v>
      </c>
      <c r="B4608">
        <v>90052002</v>
      </c>
      <c r="C4608" t="s">
        <v>7018</v>
      </c>
      <c r="D4608" t="s">
        <v>595</v>
      </c>
      <c r="E4608" s="184">
        <v>44073</v>
      </c>
      <c r="G4608" s="184"/>
      <c r="I4608" s="184"/>
      <c r="K4608" s="184"/>
      <c r="P4608" t="s">
        <v>7045</v>
      </c>
      <c r="Q4608" t="s">
        <v>7454</v>
      </c>
      <c r="R4608" s="184">
        <v>19230</v>
      </c>
      <c r="S4608">
        <v>71</v>
      </c>
      <c r="V4608" t="s">
        <v>3504</v>
      </c>
      <c r="W4608" t="s">
        <v>4013</v>
      </c>
      <c r="X4608" t="s">
        <v>3224</v>
      </c>
      <c r="AF4608" t="s">
        <v>33498</v>
      </c>
      <c r="AG4608" t="s">
        <v>3504</v>
      </c>
      <c r="AI4608" t="s">
        <v>33499</v>
      </c>
      <c r="AJ4608" t="s">
        <v>33500</v>
      </c>
      <c r="AM4608" t="s">
        <v>4101</v>
      </c>
      <c r="AN4608" t="s">
        <v>2299</v>
      </c>
      <c r="AO4608" t="s">
        <v>33501</v>
      </c>
      <c r="AP4608" t="s">
        <v>7024</v>
      </c>
      <c r="AQ4608" t="s">
        <v>33502</v>
      </c>
      <c r="AT4608" s="184">
        <v>41583</v>
      </c>
      <c r="AU4608" t="s">
        <v>33503</v>
      </c>
      <c r="AV4608">
        <v>50</v>
      </c>
      <c r="AW4608" s="184">
        <v>44298</v>
      </c>
      <c r="AX4608" t="s">
        <v>33504</v>
      </c>
      <c r="AY4608">
        <v>90</v>
      </c>
      <c r="AZ4608" s="184">
        <v>42685</v>
      </c>
      <c r="BA4608" t="s">
        <v>33505</v>
      </c>
      <c r="BB4608">
        <v>250</v>
      </c>
      <c r="BC4608">
        <v>75</v>
      </c>
      <c r="BD4608">
        <v>1940</v>
      </c>
      <c r="BE4608">
        <v>2014</v>
      </c>
      <c r="BF4608">
        <v>18</v>
      </c>
      <c r="BI4608">
        <v>9</v>
      </c>
      <c r="BJ4608">
        <v>12</v>
      </c>
      <c r="BK4608">
        <v>9</v>
      </c>
      <c r="BP4608" s="184"/>
    </row>
    <row r="4609" spans="1:68">
      <c r="A4609">
        <v>90064981</v>
      </c>
      <c r="B4609">
        <v>90064981</v>
      </c>
      <c r="C4609" t="s">
        <v>7018</v>
      </c>
      <c r="E4609" s="184"/>
      <c r="G4609" s="184"/>
      <c r="H4609" t="s">
        <v>595</v>
      </c>
      <c r="I4609" s="184">
        <v>45113</v>
      </c>
      <c r="K4609" s="184"/>
      <c r="M4609" s="184"/>
      <c r="P4609" t="s">
        <v>7045</v>
      </c>
      <c r="Q4609" t="s">
        <v>8385</v>
      </c>
      <c r="R4609" s="184">
        <v>21824</v>
      </c>
      <c r="S4609">
        <v>64</v>
      </c>
      <c r="V4609" t="s">
        <v>2867</v>
      </c>
      <c r="X4609" t="s">
        <v>33506</v>
      </c>
      <c r="Z4609">
        <v>100155420</v>
      </c>
      <c r="AA4609" t="s">
        <v>7130</v>
      </c>
      <c r="AB4609" t="s">
        <v>13505</v>
      </c>
      <c r="AD4609" t="s">
        <v>33506</v>
      </c>
      <c r="AF4609" t="s">
        <v>33507</v>
      </c>
      <c r="AG4609" t="s">
        <v>33508</v>
      </c>
      <c r="AI4609" t="s">
        <v>33509</v>
      </c>
      <c r="AM4609" t="s">
        <v>33510</v>
      </c>
      <c r="AN4609" t="s">
        <v>2181</v>
      </c>
      <c r="AO4609" t="s">
        <v>33511</v>
      </c>
      <c r="AP4609" t="s">
        <v>7024</v>
      </c>
      <c r="AQ4609" t="s">
        <v>33512</v>
      </c>
      <c r="AR4609" t="s">
        <v>33513</v>
      </c>
      <c r="AT4609" s="184">
        <v>41586</v>
      </c>
      <c r="AU4609" t="s">
        <v>33514</v>
      </c>
      <c r="AV4609">
        <v>50</v>
      </c>
      <c r="AW4609" s="184">
        <v>45390</v>
      </c>
      <c r="AX4609" t="s">
        <v>33515</v>
      </c>
      <c r="AY4609">
        <v>50</v>
      </c>
      <c r="AZ4609" s="184">
        <v>45390</v>
      </c>
      <c r="BA4609" t="s">
        <v>33515</v>
      </c>
      <c r="BB4609">
        <v>50</v>
      </c>
      <c r="BC4609">
        <v>59</v>
      </c>
      <c r="BD4609">
        <v>350</v>
      </c>
      <c r="BE4609">
        <v>2014</v>
      </c>
      <c r="BF4609">
        <v>7</v>
      </c>
      <c r="BG4609">
        <v>1</v>
      </c>
      <c r="BH4609">
        <v>50</v>
      </c>
      <c r="BI4609">
        <v>7</v>
      </c>
      <c r="BJ4609">
        <v>12</v>
      </c>
      <c r="BK4609">
        <v>3</v>
      </c>
      <c r="BP4609" s="184"/>
    </row>
    <row r="4610" spans="1:68">
      <c r="A4610">
        <v>100155420</v>
      </c>
      <c r="B4610">
        <v>90064981</v>
      </c>
      <c r="C4610" t="s">
        <v>7018</v>
      </c>
      <c r="E4610" s="184"/>
      <c r="G4610" s="184"/>
      <c r="H4610" t="s">
        <v>595</v>
      </c>
      <c r="I4610" s="184">
        <v>45113</v>
      </c>
      <c r="K4610" s="184"/>
      <c r="M4610" s="184"/>
      <c r="O4610" s="184"/>
      <c r="P4610" t="s">
        <v>7045</v>
      </c>
      <c r="Q4610" t="s">
        <v>8385</v>
      </c>
      <c r="R4610" s="184">
        <v>21824</v>
      </c>
      <c r="S4610">
        <v>64</v>
      </c>
      <c r="U4610" t="s">
        <v>7130</v>
      </c>
      <c r="V4610" t="s">
        <v>13505</v>
      </c>
      <c r="X4610" t="s">
        <v>33506</v>
      </c>
      <c r="Z4610">
        <v>90064981</v>
      </c>
      <c r="AB4610" t="s">
        <v>2867</v>
      </c>
      <c r="AD4610" t="s">
        <v>33506</v>
      </c>
      <c r="AF4610" t="s">
        <v>33507</v>
      </c>
      <c r="AG4610" t="s">
        <v>33508</v>
      </c>
      <c r="AI4610" t="s">
        <v>33509</v>
      </c>
      <c r="AM4610" t="s">
        <v>33510</v>
      </c>
      <c r="AN4610" t="s">
        <v>2181</v>
      </c>
      <c r="AO4610" t="s">
        <v>33511</v>
      </c>
      <c r="AP4610" t="s">
        <v>7024</v>
      </c>
      <c r="AQ4610" t="s">
        <v>33516</v>
      </c>
      <c r="AT4610" s="184"/>
      <c r="AW4610" s="184"/>
      <c r="AZ4610" s="184"/>
      <c r="BP4610" s="184"/>
    </row>
    <row r="4611" spans="1:68">
      <c r="A4611">
        <v>90105180</v>
      </c>
      <c r="B4611">
        <v>90105180</v>
      </c>
      <c r="C4611" t="s">
        <v>7018</v>
      </c>
      <c r="D4611" t="s">
        <v>595</v>
      </c>
      <c r="E4611" s="184">
        <v>44438</v>
      </c>
      <c r="G4611" s="184"/>
      <c r="I4611" s="184"/>
      <c r="K4611" s="184"/>
      <c r="O4611" s="184"/>
      <c r="P4611" t="s">
        <v>7029</v>
      </c>
      <c r="Q4611" t="s">
        <v>7020</v>
      </c>
      <c r="R4611" s="184">
        <v>15558</v>
      </c>
      <c r="S4611">
        <v>81</v>
      </c>
      <c r="V4611" t="s">
        <v>3510</v>
      </c>
      <c r="X4611" t="s">
        <v>33517</v>
      </c>
      <c r="AF4611" t="s">
        <v>33518</v>
      </c>
      <c r="AG4611" t="s">
        <v>3510</v>
      </c>
      <c r="AI4611" t="s">
        <v>33519</v>
      </c>
      <c r="AM4611" t="s">
        <v>33520</v>
      </c>
      <c r="AN4611" t="s">
        <v>2112</v>
      </c>
      <c r="AO4611" t="s">
        <v>33521</v>
      </c>
      <c r="AP4611" t="s">
        <v>7024</v>
      </c>
      <c r="AQ4611" t="s">
        <v>33522</v>
      </c>
      <c r="AT4611" s="184">
        <v>41596</v>
      </c>
      <c r="AU4611" t="s">
        <v>33523</v>
      </c>
      <c r="AV4611">
        <v>15</v>
      </c>
      <c r="AW4611" s="184">
        <v>45159</v>
      </c>
      <c r="AX4611" t="s">
        <v>33524</v>
      </c>
      <c r="AY4611">
        <v>1000</v>
      </c>
      <c r="AZ4611" s="184">
        <v>45159</v>
      </c>
      <c r="BA4611" t="s">
        <v>33524</v>
      </c>
      <c r="BB4611">
        <v>1000</v>
      </c>
      <c r="BC4611">
        <v>84</v>
      </c>
      <c r="BD4611">
        <v>3855</v>
      </c>
      <c r="BE4611">
        <v>2014</v>
      </c>
      <c r="BF4611">
        <v>10</v>
      </c>
      <c r="BG4611">
        <v>2</v>
      </c>
      <c r="BH4611">
        <v>1900</v>
      </c>
      <c r="BI4611">
        <v>10</v>
      </c>
      <c r="BJ4611">
        <v>12</v>
      </c>
      <c r="BK4611">
        <v>8</v>
      </c>
      <c r="BP4611" s="184"/>
    </row>
    <row r="4612" spans="1:68">
      <c r="A4612">
        <v>90112244</v>
      </c>
      <c r="B4612">
        <v>90112244</v>
      </c>
      <c r="C4612" t="s">
        <v>7018</v>
      </c>
      <c r="E4612" s="184"/>
      <c r="G4612" s="184"/>
      <c r="I4612" s="184"/>
      <c r="J4612" t="s">
        <v>595</v>
      </c>
      <c r="K4612" s="184">
        <v>44438</v>
      </c>
      <c r="M4612" s="184"/>
      <c r="O4612" s="184"/>
      <c r="P4612" t="s">
        <v>7045</v>
      </c>
      <c r="Q4612" t="s">
        <v>7374</v>
      </c>
      <c r="R4612" s="184">
        <v>19480</v>
      </c>
      <c r="S4612">
        <v>71</v>
      </c>
      <c r="V4612" t="s">
        <v>2979</v>
      </c>
      <c r="W4612" t="s">
        <v>4139</v>
      </c>
      <c r="X4612" t="s">
        <v>9848</v>
      </c>
      <c r="AF4612" t="s">
        <v>33525</v>
      </c>
      <c r="AG4612" t="s">
        <v>2979</v>
      </c>
      <c r="AI4612" t="s">
        <v>33526</v>
      </c>
      <c r="AM4612" t="s">
        <v>33527</v>
      </c>
      <c r="AN4612" t="s">
        <v>2526</v>
      </c>
      <c r="AO4612" t="s">
        <v>33528</v>
      </c>
      <c r="AP4612" t="s">
        <v>7024</v>
      </c>
      <c r="AT4612" s="184">
        <v>41597</v>
      </c>
      <c r="AU4612" t="s">
        <v>33529</v>
      </c>
      <c r="AV4612">
        <v>50</v>
      </c>
      <c r="AW4612" s="184">
        <v>45169</v>
      </c>
      <c r="AX4612" t="s">
        <v>20130</v>
      </c>
      <c r="AY4612">
        <v>100</v>
      </c>
      <c r="AZ4612" s="184">
        <v>45169</v>
      </c>
      <c r="BA4612" t="s">
        <v>20130</v>
      </c>
      <c r="BB4612">
        <v>100</v>
      </c>
      <c r="BC4612">
        <v>84</v>
      </c>
      <c r="BD4612">
        <v>950</v>
      </c>
      <c r="BE4612">
        <v>2014</v>
      </c>
      <c r="BF4612">
        <v>12</v>
      </c>
      <c r="BG4612">
        <v>2</v>
      </c>
      <c r="BH4612">
        <v>200</v>
      </c>
      <c r="BI4612">
        <v>10</v>
      </c>
      <c r="BJ4612">
        <v>12</v>
      </c>
      <c r="BK4612">
        <v>5</v>
      </c>
      <c r="BP4612" s="184"/>
    </row>
    <row r="4613" spans="1:68">
      <c r="A4613">
        <v>90134982</v>
      </c>
      <c r="B4613">
        <v>90134982</v>
      </c>
      <c r="C4613" t="s">
        <v>7018</v>
      </c>
      <c r="D4613" t="s">
        <v>595</v>
      </c>
      <c r="E4613" s="184">
        <v>43861</v>
      </c>
      <c r="G4613" s="184"/>
      <c r="I4613" s="184"/>
      <c r="K4613" s="184"/>
      <c r="M4613" s="184"/>
      <c r="O4613" s="184"/>
      <c r="P4613" t="s">
        <v>7019</v>
      </c>
      <c r="Q4613" t="s">
        <v>7030</v>
      </c>
      <c r="R4613" s="184">
        <v>27614</v>
      </c>
      <c r="S4613">
        <v>48</v>
      </c>
      <c r="U4613" t="s">
        <v>7130</v>
      </c>
      <c r="V4613" t="s">
        <v>2577</v>
      </c>
      <c r="X4613" t="s">
        <v>4640</v>
      </c>
      <c r="AF4613" t="s">
        <v>33530</v>
      </c>
      <c r="AG4613" t="s">
        <v>2577</v>
      </c>
      <c r="AI4613" t="s">
        <v>33531</v>
      </c>
      <c r="AM4613" t="s">
        <v>3662</v>
      </c>
      <c r="AN4613" t="s">
        <v>2094</v>
      </c>
      <c r="AO4613" t="s">
        <v>33532</v>
      </c>
      <c r="AP4613" t="s">
        <v>7024</v>
      </c>
      <c r="AQ4613" t="s">
        <v>33533</v>
      </c>
      <c r="AT4613" s="184">
        <v>41603</v>
      </c>
      <c r="AU4613" t="s">
        <v>32821</v>
      </c>
      <c r="AV4613">
        <v>19.97</v>
      </c>
      <c r="AW4613" s="184">
        <v>43243</v>
      </c>
      <c r="AX4613" t="s">
        <v>33534</v>
      </c>
      <c r="AY4613">
        <v>60</v>
      </c>
      <c r="AZ4613" s="184">
        <v>43243</v>
      </c>
      <c r="BA4613" t="s">
        <v>33534</v>
      </c>
      <c r="BB4613">
        <v>60</v>
      </c>
      <c r="BC4613">
        <v>34</v>
      </c>
      <c r="BD4613">
        <v>169.97</v>
      </c>
      <c r="BE4613">
        <v>2014</v>
      </c>
      <c r="BF4613">
        <v>4</v>
      </c>
      <c r="BI4613">
        <v>4</v>
      </c>
      <c r="BJ4613">
        <v>12</v>
      </c>
      <c r="BK4613">
        <v>3</v>
      </c>
      <c r="BP4613" s="184"/>
    </row>
    <row r="4614" spans="1:68">
      <c r="A4614">
        <v>90170531</v>
      </c>
      <c r="B4614">
        <v>90170531</v>
      </c>
      <c r="C4614" t="s">
        <v>7018</v>
      </c>
      <c r="E4614" s="184"/>
      <c r="G4614" s="184"/>
      <c r="I4614" s="184"/>
      <c r="J4614" t="s">
        <v>595</v>
      </c>
      <c r="K4614" s="184">
        <v>43437</v>
      </c>
      <c r="M4614" s="184"/>
      <c r="O4614" s="184"/>
      <c r="P4614" t="s">
        <v>7029</v>
      </c>
      <c r="Q4614" t="s">
        <v>7454</v>
      </c>
      <c r="R4614" s="184">
        <v>18841</v>
      </c>
      <c r="S4614">
        <v>72</v>
      </c>
      <c r="U4614" t="s">
        <v>7031</v>
      </c>
      <c r="V4614" t="s">
        <v>2597</v>
      </c>
      <c r="W4614" t="s">
        <v>7356</v>
      </c>
      <c r="X4614" t="s">
        <v>2598</v>
      </c>
      <c r="AF4614" t="s">
        <v>33535</v>
      </c>
      <c r="AG4614" t="s">
        <v>2597</v>
      </c>
      <c r="AI4614" t="s">
        <v>33536</v>
      </c>
      <c r="AM4614" t="s">
        <v>2599</v>
      </c>
      <c r="AN4614" t="s">
        <v>2055</v>
      </c>
      <c r="AO4614" t="s">
        <v>33537</v>
      </c>
      <c r="AP4614" t="s">
        <v>7024</v>
      </c>
      <c r="AQ4614" t="s">
        <v>33538</v>
      </c>
      <c r="AT4614" s="184">
        <v>41600</v>
      </c>
      <c r="AU4614" t="s">
        <v>33539</v>
      </c>
      <c r="AV4614">
        <v>25</v>
      </c>
      <c r="AW4614" s="184">
        <v>45416</v>
      </c>
      <c r="AX4614" t="s">
        <v>7422</v>
      </c>
      <c r="AY4614">
        <v>35</v>
      </c>
      <c r="AZ4614" s="184">
        <v>43718</v>
      </c>
      <c r="BA4614" t="s">
        <v>22665</v>
      </c>
      <c r="BB4614">
        <v>200</v>
      </c>
      <c r="BC4614">
        <v>100</v>
      </c>
      <c r="BD4614">
        <v>4055</v>
      </c>
      <c r="BE4614">
        <v>2014</v>
      </c>
      <c r="BF4614">
        <v>83</v>
      </c>
      <c r="BG4614">
        <v>26</v>
      </c>
      <c r="BH4614">
        <v>1055</v>
      </c>
      <c r="BI4614">
        <v>12</v>
      </c>
      <c r="BJ4614">
        <v>12</v>
      </c>
      <c r="BK4614">
        <v>12</v>
      </c>
      <c r="BP4614" s="184"/>
    </row>
    <row r="4615" spans="1:68">
      <c r="A4615">
        <v>90170614</v>
      </c>
      <c r="B4615">
        <v>90170614</v>
      </c>
      <c r="C4615" t="s">
        <v>7018</v>
      </c>
      <c r="D4615" t="s">
        <v>595</v>
      </c>
      <c r="E4615" s="184">
        <v>44455</v>
      </c>
      <c r="G4615" s="184"/>
      <c r="I4615" s="184"/>
      <c r="K4615" s="184"/>
      <c r="M4615" s="184"/>
      <c r="O4615" s="184"/>
      <c r="P4615" t="s">
        <v>7045</v>
      </c>
      <c r="Q4615" t="s">
        <v>7454</v>
      </c>
      <c r="R4615" s="184">
        <v>21824</v>
      </c>
      <c r="S4615">
        <v>64</v>
      </c>
      <c r="V4615" t="s">
        <v>2602</v>
      </c>
      <c r="X4615" t="s">
        <v>33540</v>
      </c>
      <c r="AF4615" t="s">
        <v>33541</v>
      </c>
      <c r="AG4615" t="s">
        <v>2602</v>
      </c>
      <c r="AI4615" t="s">
        <v>33542</v>
      </c>
      <c r="AM4615" t="s">
        <v>33543</v>
      </c>
      <c r="AN4615" t="s">
        <v>2299</v>
      </c>
      <c r="AO4615" t="s">
        <v>33544</v>
      </c>
      <c r="AP4615" t="s">
        <v>7024</v>
      </c>
      <c r="AQ4615" t="s">
        <v>33545</v>
      </c>
      <c r="AT4615" s="184">
        <v>41600</v>
      </c>
      <c r="AU4615" t="s">
        <v>33546</v>
      </c>
      <c r="AV4615">
        <v>20</v>
      </c>
      <c r="AW4615" s="184">
        <v>44614</v>
      </c>
      <c r="AX4615" t="s">
        <v>33547</v>
      </c>
      <c r="AY4615">
        <v>80</v>
      </c>
      <c r="AZ4615" s="184">
        <v>44614</v>
      </c>
      <c r="BA4615" t="s">
        <v>33547</v>
      </c>
      <c r="BB4615">
        <v>80</v>
      </c>
      <c r="BC4615">
        <v>50</v>
      </c>
      <c r="BD4615">
        <v>275</v>
      </c>
      <c r="BE4615">
        <v>2014</v>
      </c>
      <c r="BF4615">
        <v>8</v>
      </c>
      <c r="BI4615">
        <v>6</v>
      </c>
      <c r="BJ4615">
        <v>12</v>
      </c>
      <c r="BK4615">
        <v>3</v>
      </c>
      <c r="BN4615" t="s">
        <v>595</v>
      </c>
      <c r="BP4615" s="184"/>
    </row>
    <row r="4616" spans="1:68">
      <c r="A4616">
        <v>90179862</v>
      </c>
      <c r="B4616">
        <v>90179862</v>
      </c>
      <c r="C4616" t="s">
        <v>7018</v>
      </c>
      <c r="E4616" s="184"/>
      <c r="F4616" t="s">
        <v>595</v>
      </c>
      <c r="G4616" s="184">
        <v>44438</v>
      </c>
      <c r="I4616" s="184"/>
      <c r="K4616" s="184"/>
      <c r="M4616" s="184"/>
      <c r="P4616" t="s">
        <v>7045</v>
      </c>
      <c r="Q4616" t="s">
        <v>7020</v>
      </c>
      <c r="R4616" s="184">
        <v>15618</v>
      </c>
      <c r="S4616">
        <v>81</v>
      </c>
      <c r="U4616" t="s">
        <v>7031</v>
      </c>
      <c r="V4616" t="s">
        <v>3103</v>
      </c>
      <c r="X4616" t="s">
        <v>3794</v>
      </c>
      <c r="AF4616" t="s">
        <v>33548</v>
      </c>
      <c r="AG4616" t="s">
        <v>3103</v>
      </c>
      <c r="AI4616" t="s">
        <v>33549</v>
      </c>
      <c r="AM4616" t="s">
        <v>3493</v>
      </c>
      <c r="AN4616" t="s">
        <v>2112</v>
      </c>
      <c r="AO4616" t="s">
        <v>33550</v>
      </c>
      <c r="AP4616" t="s">
        <v>7024</v>
      </c>
      <c r="AQ4616" t="s">
        <v>33551</v>
      </c>
      <c r="AT4616" s="184">
        <v>41604</v>
      </c>
      <c r="AU4616" t="s">
        <v>33552</v>
      </c>
      <c r="AV4616">
        <v>15</v>
      </c>
      <c r="AW4616" s="184">
        <v>45412</v>
      </c>
      <c r="AX4616" t="s">
        <v>14823</v>
      </c>
      <c r="AY4616">
        <v>25</v>
      </c>
      <c r="AZ4616" s="184">
        <v>42901</v>
      </c>
      <c r="BA4616" t="s">
        <v>33553</v>
      </c>
      <c r="BB4616">
        <v>50</v>
      </c>
      <c r="BC4616">
        <v>84</v>
      </c>
      <c r="BD4616">
        <v>300</v>
      </c>
      <c r="BE4616">
        <v>2014</v>
      </c>
      <c r="BF4616">
        <v>12</v>
      </c>
      <c r="BG4616">
        <v>2</v>
      </c>
      <c r="BH4616">
        <v>50</v>
      </c>
      <c r="BI4616">
        <v>10</v>
      </c>
      <c r="BJ4616">
        <v>12</v>
      </c>
      <c r="BK4616">
        <v>6</v>
      </c>
      <c r="BP4616" s="184"/>
    </row>
    <row r="4617" spans="1:68">
      <c r="A4617">
        <v>90204470</v>
      </c>
      <c r="B4617">
        <v>90204470</v>
      </c>
      <c r="C4617" t="s">
        <v>7018</v>
      </c>
      <c r="D4617" t="s">
        <v>595</v>
      </c>
      <c r="E4617" s="184">
        <v>44328</v>
      </c>
      <c r="G4617" s="184"/>
      <c r="I4617" s="184"/>
      <c r="K4617" s="184"/>
      <c r="M4617" s="184"/>
      <c r="O4617" s="184"/>
      <c r="P4617" t="s">
        <v>7045</v>
      </c>
      <c r="Q4617" t="s">
        <v>7020</v>
      </c>
      <c r="R4617" s="184">
        <v>14737</v>
      </c>
      <c r="S4617">
        <v>84</v>
      </c>
      <c r="U4617" t="s">
        <v>7032</v>
      </c>
      <c r="V4617" t="s">
        <v>2697</v>
      </c>
      <c r="W4617" t="s">
        <v>33554</v>
      </c>
      <c r="X4617" t="s">
        <v>25574</v>
      </c>
      <c r="AF4617" t="s">
        <v>33555</v>
      </c>
      <c r="AG4617" t="s">
        <v>2697</v>
      </c>
      <c r="AI4617" t="s">
        <v>33556</v>
      </c>
      <c r="AM4617" t="s">
        <v>3256</v>
      </c>
      <c r="AN4617" t="s">
        <v>2129</v>
      </c>
      <c r="AO4617" t="s">
        <v>33557</v>
      </c>
      <c r="AP4617" t="s">
        <v>7024</v>
      </c>
      <c r="AQ4617" t="s">
        <v>33558</v>
      </c>
      <c r="AT4617" s="184">
        <v>41612</v>
      </c>
      <c r="AU4617" t="s">
        <v>33559</v>
      </c>
      <c r="AV4617">
        <v>100</v>
      </c>
      <c r="AW4617" s="184">
        <v>44587</v>
      </c>
      <c r="AX4617" t="s">
        <v>33560</v>
      </c>
      <c r="AY4617">
        <v>300</v>
      </c>
      <c r="AZ4617" s="184">
        <v>44587</v>
      </c>
      <c r="BA4617" t="s">
        <v>33560</v>
      </c>
      <c r="BB4617">
        <v>300</v>
      </c>
      <c r="BC4617">
        <v>67</v>
      </c>
      <c r="BD4617">
        <v>1719.97</v>
      </c>
      <c r="BE4617">
        <v>2014</v>
      </c>
      <c r="BF4617">
        <v>9</v>
      </c>
      <c r="BI4617">
        <v>8</v>
      </c>
      <c r="BJ4617">
        <v>12</v>
      </c>
      <c r="BK4617">
        <v>6</v>
      </c>
      <c r="BN4617" t="s">
        <v>595</v>
      </c>
      <c r="BP4617" s="184"/>
    </row>
    <row r="4618" spans="1:68">
      <c r="A4618">
        <v>90215419</v>
      </c>
      <c r="B4618">
        <v>90215419</v>
      </c>
      <c r="C4618" t="s">
        <v>7018</v>
      </c>
      <c r="D4618" t="s">
        <v>595</v>
      </c>
      <c r="E4618" s="184">
        <v>44104</v>
      </c>
      <c r="G4618" s="184"/>
      <c r="I4618" s="184"/>
      <c r="K4618" s="184"/>
      <c r="M4618" s="184"/>
      <c r="O4618" s="184"/>
      <c r="P4618" t="s">
        <v>7045</v>
      </c>
      <c r="Q4618" t="s">
        <v>7494</v>
      </c>
      <c r="R4618" s="184">
        <v>20607</v>
      </c>
      <c r="S4618">
        <v>67</v>
      </c>
      <c r="U4618" t="s">
        <v>7031</v>
      </c>
      <c r="V4618" t="s">
        <v>33561</v>
      </c>
      <c r="W4618" t="s">
        <v>7046</v>
      </c>
      <c r="X4618" t="s">
        <v>33562</v>
      </c>
      <c r="AF4618" t="s">
        <v>33563</v>
      </c>
      <c r="AG4618" t="s">
        <v>33561</v>
      </c>
      <c r="AI4618" t="s">
        <v>33564</v>
      </c>
      <c r="AM4618" t="s">
        <v>2940</v>
      </c>
      <c r="AN4618" t="s">
        <v>2484</v>
      </c>
      <c r="AO4618" t="s">
        <v>33565</v>
      </c>
      <c r="AP4618" t="s">
        <v>7024</v>
      </c>
      <c r="AQ4618" t="s">
        <v>33566</v>
      </c>
      <c r="AR4618" t="s">
        <v>33567</v>
      </c>
      <c r="AT4618" s="184">
        <v>42450</v>
      </c>
      <c r="AU4618" t="s">
        <v>33568</v>
      </c>
      <c r="AV4618">
        <v>15</v>
      </c>
      <c r="AW4618" s="184">
        <v>44580</v>
      </c>
      <c r="AX4618" t="s">
        <v>30182</v>
      </c>
      <c r="AY4618">
        <v>10</v>
      </c>
      <c r="AZ4618" s="184">
        <v>43599</v>
      </c>
      <c r="BA4618" t="s">
        <v>33569</v>
      </c>
      <c r="BB4618">
        <v>35</v>
      </c>
      <c r="BC4618">
        <v>78</v>
      </c>
      <c r="BD4618">
        <v>822</v>
      </c>
      <c r="BE4618">
        <v>2016</v>
      </c>
      <c r="BF4618">
        <v>52</v>
      </c>
      <c r="BI4618">
        <v>7</v>
      </c>
      <c r="BJ4618">
        <v>9</v>
      </c>
      <c r="BK4618">
        <v>7</v>
      </c>
      <c r="BP4618" s="184"/>
    </row>
    <row r="4619" spans="1:68">
      <c r="A4619">
        <v>90230194</v>
      </c>
      <c r="B4619">
        <v>90230194</v>
      </c>
      <c r="C4619" t="s">
        <v>7018</v>
      </c>
      <c r="D4619" t="s">
        <v>595</v>
      </c>
      <c r="E4619" s="184">
        <v>44073</v>
      </c>
      <c r="G4619" s="184"/>
      <c r="I4619" s="184"/>
      <c r="K4619" s="184"/>
      <c r="M4619" s="184"/>
      <c r="O4619" s="184"/>
      <c r="P4619" t="s">
        <v>7045</v>
      </c>
      <c r="Q4619" t="s">
        <v>7383</v>
      </c>
      <c r="R4619" s="184">
        <v>21582</v>
      </c>
      <c r="S4619">
        <v>65</v>
      </c>
      <c r="U4619" t="s">
        <v>7130</v>
      </c>
      <c r="V4619" t="s">
        <v>3580</v>
      </c>
      <c r="X4619" t="s">
        <v>3932</v>
      </c>
      <c r="AF4619" t="s">
        <v>33570</v>
      </c>
      <c r="AG4619" t="s">
        <v>3580</v>
      </c>
      <c r="AI4619" t="s">
        <v>33571</v>
      </c>
      <c r="AM4619" t="s">
        <v>33572</v>
      </c>
      <c r="AN4619" t="s">
        <v>2274</v>
      </c>
      <c r="AO4619" t="s">
        <v>33573</v>
      </c>
      <c r="AP4619" t="s">
        <v>7024</v>
      </c>
      <c r="AQ4619" t="s">
        <v>33574</v>
      </c>
      <c r="AR4619" t="s">
        <v>33575</v>
      </c>
      <c r="AT4619" s="184">
        <v>41618</v>
      </c>
      <c r="AU4619" t="s">
        <v>33576</v>
      </c>
      <c r="AV4619">
        <v>15</v>
      </c>
      <c r="AW4619" s="184">
        <v>45117</v>
      </c>
      <c r="AX4619" t="s">
        <v>7832</v>
      </c>
      <c r="AY4619">
        <v>25</v>
      </c>
      <c r="AZ4619" s="184">
        <v>45117</v>
      </c>
      <c r="BA4619" t="s">
        <v>7832</v>
      </c>
      <c r="BB4619">
        <v>25</v>
      </c>
      <c r="BC4619">
        <v>92</v>
      </c>
      <c r="BD4619">
        <v>285</v>
      </c>
      <c r="BE4619">
        <v>2014</v>
      </c>
      <c r="BF4619">
        <v>15</v>
      </c>
      <c r="BG4619">
        <v>2</v>
      </c>
      <c r="BH4619">
        <v>50</v>
      </c>
      <c r="BI4619">
        <v>11</v>
      </c>
      <c r="BJ4619">
        <v>12</v>
      </c>
      <c r="BK4619">
        <v>11</v>
      </c>
      <c r="BP4619" s="184"/>
    </row>
    <row r="4620" spans="1:68">
      <c r="A4620">
        <v>90231861</v>
      </c>
      <c r="B4620">
        <v>90231861</v>
      </c>
      <c r="C4620" t="s">
        <v>7018</v>
      </c>
      <c r="D4620" t="s">
        <v>595</v>
      </c>
      <c r="E4620" s="184">
        <v>44313</v>
      </c>
      <c r="G4620" s="184"/>
      <c r="I4620" s="184"/>
      <c r="K4620" s="184"/>
      <c r="M4620" s="184"/>
      <c r="O4620" s="184"/>
      <c r="P4620" t="s">
        <v>7045</v>
      </c>
      <c r="Q4620" t="s">
        <v>7494</v>
      </c>
      <c r="R4620" s="184">
        <v>23102</v>
      </c>
      <c r="S4620">
        <v>61</v>
      </c>
      <c r="U4620" t="s">
        <v>7076</v>
      </c>
      <c r="V4620" t="s">
        <v>2733</v>
      </c>
      <c r="W4620" t="s">
        <v>2903</v>
      </c>
      <c r="X4620" t="s">
        <v>3318</v>
      </c>
      <c r="Z4620">
        <v>100184277</v>
      </c>
      <c r="AB4620" t="s">
        <v>2832</v>
      </c>
      <c r="AD4620" t="s">
        <v>3318</v>
      </c>
      <c r="AF4620" t="s">
        <v>33577</v>
      </c>
      <c r="AG4620" t="s">
        <v>2733</v>
      </c>
      <c r="AI4620" t="s">
        <v>33578</v>
      </c>
      <c r="AM4620" t="s">
        <v>33579</v>
      </c>
      <c r="AN4620" t="s">
        <v>2174</v>
      </c>
      <c r="AO4620" t="s">
        <v>33580</v>
      </c>
      <c r="AP4620" t="s">
        <v>7024</v>
      </c>
      <c r="AQ4620" t="s">
        <v>33581</v>
      </c>
      <c r="AT4620" s="184">
        <v>41618</v>
      </c>
      <c r="AU4620" t="s">
        <v>33582</v>
      </c>
      <c r="AV4620">
        <v>25</v>
      </c>
      <c r="AW4620" s="184">
        <v>45343</v>
      </c>
      <c r="AX4620" t="s">
        <v>25894</v>
      </c>
      <c r="AY4620">
        <v>25</v>
      </c>
      <c r="AZ4620" s="184">
        <v>44519</v>
      </c>
      <c r="BA4620" t="s">
        <v>13321</v>
      </c>
      <c r="BB4620">
        <v>50</v>
      </c>
      <c r="BC4620">
        <v>92</v>
      </c>
      <c r="BD4620">
        <v>625</v>
      </c>
      <c r="BE4620">
        <v>2014</v>
      </c>
      <c r="BF4620">
        <v>21</v>
      </c>
      <c r="BG4620">
        <v>4</v>
      </c>
      <c r="BH4620">
        <v>100</v>
      </c>
      <c r="BI4620">
        <v>11</v>
      </c>
      <c r="BJ4620">
        <v>12</v>
      </c>
      <c r="BK4620">
        <v>9</v>
      </c>
      <c r="BP4620" s="184"/>
    </row>
    <row r="4621" spans="1:68">
      <c r="A4621">
        <v>90248840</v>
      </c>
      <c r="B4621">
        <v>90248840</v>
      </c>
      <c r="C4621" t="s">
        <v>7018</v>
      </c>
      <c r="D4621" t="s">
        <v>595</v>
      </c>
      <c r="E4621" s="184">
        <v>44167</v>
      </c>
      <c r="G4621" s="184"/>
      <c r="I4621" s="184"/>
      <c r="K4621" s="184"/>
      <c r="M4621" s="184"/>
      <c r="O4621" s="184"/>
      <c r="P4621" t="s">
        <v>7045</v>
      </c>
      <c r="Q4621" t="s">
        <v>7030</v>
      </c>
      <c r="R4621" s="184">
        <v>12248</v>
      </c>
      <c r="S4621">
        <v>90</v>
      </c>
      <c r="V4621" t="s">
        <v>17576</v>
      </c>
      <c r="W4621" t="s">
        <v>2058</v>
      </c>
      <c r="X4621" t="s">
        <v>4387</v>
      </c>
      <c r="AF4621" t="s">
        <v>33583</v>
      </c>
      <c r="AG4621" t="s">
        <v>17576</v>
      </c>
      <c r="AI4621" t="s">
        <v>33584</v>
      </c>
      <c r="AM4621" t="s">
        <v>4209</v>
      </c>
      <c r="AN4621" t="s">
        <v>2201</v>
      </c>
      <c r="AO4621" t="s">
        <v>33585</v>
      </c>
      <c r="AP4621" t="s">
        <v>7024</v>
      </c>
      <c r="AQ4621" t="s">
        <v>33586</v>
      </c>
      <c r="AT4621" s="184">
        <v>41624</v>
      </c>
      <c r="AU4621" t="s">
        <v>33587</v>
      </c>
      <c r="AV4621">
        <v>25</v>
      </c>
      <c r="AW4621" s="184">
        <v>44040</v>
      </c>
      <c r="AX4621" t="s">
        <v>33588</v>
      </c>
      <c r="AY4621">
        <v>35</v>
      </c>
      <c r="AZ4621" s="184">
        <v>42633</v>
      </c>
      <c r="BA4621" t="s">
        <v>33589</v>
      </c>
      <c r="BB4621">
        <v>60</v>
      </c>
      <c r="BC4621">
        <v>59</v>
      </c>
      <c r="BD4621">
        <v>320</v>
      </c>
      <c r="BE4621">
        <v>2014</v>
      </c>
      <c r="BF4621">
        <v>9</v>
      </c>
      <c r="BI4621">
        <v>7</v>
      </c>
      <c r="BJ4621">
        <v>12</v>
      </c>
      <c r="BK4621">
        <v>6</v>
      </c>
      <c r="BP4621" s="184"/>
    </row>
    <row r="4622" spans="1:68">
      <c r="A4622">
        <v>90269994</v>
      </c>
      <c r="B4622">
        <v>90269994</v>
      </c>
      <c r="C4622" t="s">
        <v>7018</v>
      </c>
      <c r="D4622" t="s">
        <v>595</v>
      </c>
      <c r="E4622" s="184">
        <v>43861</v>
      </c>
      <c r="G4622" s="184"/>
      <c r="I4622" s="184"/>
      <c r="K4622" s="184"/>
      <c r="O4622" s="184"/>
      <c r="P4622" t="s">
        <v>7045</v>
      </c>
      <c r="Q4622" t="s">
        <v>7374</v>
      </c>
      <c r="R4622" s="184">
        <v>13554</v>
      </c>
      <c r="S4622">
        <v>87</v>
      </c>
      <c r="U4622" t="s">
        <v>7130</v>
      </c>
      <c r="V4622" t="s">
        <v>2718</v>
      </c>
      <c r="X4622" t="s">
        <v>4641</v>
      </c>
      <c r="AF4622" t="s">
        <v>33590</v>
      </c>
      <c r="AG4622" t="s">
        <v>2718</v>
      </c>
      <c r="AI4622" t="s">
        <v>33591</v>
      </c>
      <c r="AM4622" t="s">
        <v>4642</v>
      </c>
      <c r="AN4622" t="s">
        <v>2081</v>
      </c>
      <c r="AO4622" t="s">
        <v>33592</v>
      </c>
      <c r="AP4622" t="s">
        <v>7024</v>
      </c>
      <c r="AQ4622" t="s">
        <v>33593</v>
      </c>
      <c r="AT4622" s="184">
        <v>41625</v>
      </c>
      <c r="AU4622" t="s">
        <v>33594</v>
      </c>
      <c r="AV4622">
        <v>15</v>
      </c>
      <c r="AW4622" s="184">
        <v>43832</v>
      </c>
      <c r="AX4622" t="s">
        <v>30490</v>
      </c>
      <c r="AY4622">
        <v>25</v>
      </c>
      <c r="AZ4622" s="184">
        <v>43832</v>
      </c>
      <c r="BA4622" t="s">
        <v>30490</v>
      </c>
      <c r="BB4622">
        <v>25</v>
      </c>
      <c r="BC4622">
        <v>59</v>
      </c>
      <c r="BD4622">
        <v>226</v>
      </c>
      <c r="BE4622">
        <v>2014</v>
      </c>
      <c r="BF4622">
        <v>21</v>
      </c>
      <c r="BI4622">
        <v>7</v>
      </c>
      <c r="BJ4622">
        <v>12</v>
      </c>
      <c r="BK4622">
        <v>4</v>
      </c>
      <c r="BP4622" s="184"/>
    </row>
    <row r="4623" spans="1:68">
      <c r="A4623">
        <v>90270364</v>
      </c>
      <c r="B4623">
        <v>90270364</v>
      </c>
      <c r="C4623" t="s">
        <v>7018</v>
      </c>
      <c r="D4623" t="s">
        <v>595</v>
      </c>
      <c r="E4623" s="184">
        <v>44438</v>
      </c>
      <c r="G4623" s="184"/>
      <c r="I4623" s="184"/>
      <c r="K4623" s="184"/>
      <c r="M4623" s="184"/>
      <c r="O4623" s="184"/>
      <c r="P4623" t="s">
        <v>7045</v>
      </c>
      <c r="Q4623" t="s">
        <v>7454</v>
      </c>
      <c r="R4623" s="184">
        <v>17593</v>
      </c>
      <c r="S4623">
        <v>76</v>
      </c>
      <c r="U4623" t="s">
        <v>7130</v>
      </c>
      <c r="V4623" t="s">
        <v>2733</v>
      </c>
      <c r="W4623" t="s">
        <v>7407</v>
      </c>
      <c r="X4623" t="s">
        <v>30648</v>
      </c>
      <c r="AF4623" t="s">
        <v>33595</v>
      </c>
      <c r="AG4623" t="s">
        <v>2733</v>
      </c>
      <c r="AI4623" t="s">
        <v>33596</v>
      </c>
      <c r="AM4623" t="s">
        <v>33597</v>
      </c>
      <c r="AN4623" t="s">
        <v>2055</v>
      </c>
      <c r="AO4623" t="s">
        <v>33598</v>
      </c>
      <c r="AP4623" t="s">
        <v>7024</v>
      </c>
      <c r="AQ4623" t="s">
        <v>33599</v>
      </c>
      <c r="AT4623" s="184">
        <v>41625</v>
      </c>
      <c r="AU4623" t="s">
        <v>33600</v>
      </c>
      <c r="AV4623">
        <v>25</v>
      </c>
      <c r="AW4623" s="184">
        <v>44939</v>
      </c>
      <c r="AX4623" t="s">
        <v>33601</v>
      </c>
      <c r="AY4623">
        <v>50</v>
      </c>
      <c r="AZ4623" s="184">
        <v>44939</v>
      </c>
      <c r="BA4623" t="s">
        <v>33601</v>
      </c>
      <c r="BB4623">
        <v>50</v>
      </c>
      <c r="BC4623">
        <v>67</v>
      </c>
      <c r="BD4623">
        <v>275</v>
      </c>
      <c r="BE4623">
        <v>2014</v>
      </c>
      <c r="BF4623">
        <v>8</v>
      </c>
      <c r="BG4623">
        <v>1</v>
      </c>
      <c r="BH4623">
        <v>50</v>
      </c>
      <c r="BI4623">
        <v>8</v>
      </c>
      <c r="BJ4623">
        <v>12</v>
      </c>
      <c r="BK4623">
        <v>6</v>
      </c>
      <c r="BP4623" s="184"/>
    </row>
    <row r="4624" spans="1:68">
      <c r="A4624">
        <v>90274580</v>
      </c>
      <c r="B4624">
        <v>90274580</v>
      </c>
      <c r="C4624" t="s">
        <v>7018</v>
      </c>
      <c r="D4624" t="s">
        <v>595</v>
      </c>
      <c r="E4624" s="184">
        <v>45141</v>
      </c>
      <c r="G4624" s="184"/>
      <c r="I4624" s="184"/>
      <c r="K4624" s="184"/>
      <c r="M4624" s="184"/>
      <c r="O4624" s="184"/>
      <c r="P4624" t="s">
        <v>7045</v>
      </c>
      <c r="Q4624" t="s">
        <v>7160</v>
      </c>
      <c r="R4624" s="184">
        <v>19268</v>
      </c>
      <c r="S4624">
        <v>71</v>
      </c>
      <c r="V4624" t="s">
        <v>2961</v>
      </c>
      <c r="W4624" t="s">
        <v>115</v>
      </c>
      <c r="X4624" t="s">
        <v>20095</v>
      </c>
      <c r="AF4624" t="s">
        <v>33602</v>
      </c>
      <c r="AG4624" t="s">
        <v>2961</v>
      </c>
      <c r="AI4624" t="s">
        <v>33603</v>
      </c>
      <c r="AM4624" t="s">
        <v>13664</v>
      </c>
      <c r="AN4624" t="s">
        <v>2413</v>
      </c>
      <c r="AO4624" t="s">
        <v>33604</v>
      </c>
      <c r="AP4624" t="s">
        <v>7024</v>
      </c>
      <c r="AQ4624" t="s">
        <v>33605</v>
      </c>
      <c r="AR4624" t="s">
        <v>33606</v>
      </c>
      <c r="AT4624" s="184">
        <v>41626</v>
      </c>
      <c r="AU4624" t="s">
        <v>33607</v>
      </c>
      <c r="AV4624">
        <v>25</v>
      </c>
      <c r="AW4624" s="184">
        <v>45290</v>
      </c>
      <c r="AX4624" t="s">
        <v>33608</v>
      </c>
      <c r="AY4624">
        <v>50</v>
      </c>
      <c r="AZ4624" s="184">
        <v>43360</v>
      </c>
      <c r="BA4624" t="s">
        <v>33609</v>
      </c>
      <c r="BB4624">
        <v>60</v>
      </c>
      <c r="BC4624">
        <v>59</v>
      </c>
      <c r="BD4624">
        <v>400</v>
      </c>
      <c r="BE4624">
        <v>2014</v>
      </c>
      <c r="BF4624">
        <v>9</v>
      </c>
      <c r="BG4624">
        <v>4</v>
      </c>
      <c r="BH4624">
        <v>185</v>
      </c>
      <c r="BI4624">
        <v>7</v>
      </c>
      <c r="BJ4624">
        <v>12</v>
      </c>
      <c r="BK4624">
        <v>3</v>
      </c>
      <c r="BP4624" s="184"/>
    </row>
    <row r="4625" spans="1:68">
      <c r="A4625">
        <v>90274838</v>
      </c>
      <c r="B4625">
        <v>90274838</v>
      </c>
      <c r="C4625" t="s">
        <v>7018</v>
      </c>
      <c r="E4625" s="184"/>
      <c r="F4625" t="s">
        <v>595</v>
      </c>
      <c r="G4625" s="184">
        <v>44104</v>
      </c>
      <c r="I4625" s="184"/>
      <c r="K4625" s="184"/>
      <c r="M4625" s="184"/>
      <c r="P4625" t="s">
        <v>7045</v>
      </c>
      <c r="Q4625" t="s">
        <v>7160</v>
      </c>
      <c r="R4625" s="184">
        <v>15896</v>
      </c>
      <c r="S4625">
        <v>80</v>
      </c>
      <c r="U4625" t="s">
        <v>7130</v>
      </c>
      <c r="V4625" t="s">
        <v>3317</v>
      </c>
      <c r="W4625" t="s">
        <v>7396</v>
      </c>
      <c r="X4625" t="s">
        <v>33610</v>
      </c>
      <c r="AF4625" t="s">
        <v>33611</v>
      </c>
      <c r="AG4625" t="s">
        <v>3317</v>
      </c>
      <c r="AI4625" t="s">
        <v>33612</v>
      </c>
      <c r="AM4625" t="s">
        <v>33613</v>
      </c>
      <c r="AN4625" t="s">
        <v>2413</v>
      </c>
      <c r="AO4625" t="s">
        <v>33614</v>
      </c>
      <c r="AP4625" t="s">
        <v>7024</v>
      </c>
      <c r="AQ4625" t="s">
        <v>33615</v>
      </c>
      <c r="AT4625" s="184">
        <v>41626</v>
      </c>
      <c r="AU4625" t="s">
        <v>33616</v>
      </c>
      <c r="AV4625">
        <v>15</v>
      </c>
      <c r="AW4625" s="184">
        <v>45020</v>
      </c>
      <c r="AX4625" t="s">
        <v>23055</v>
      </c>
      <c r="AY4625">
        <v>35</v>
      </c>
      <c r="AZ4625" s="184">
        <v>43563</v>
      </c>
      <c r="BA4625" t="s">
        <v>33617</v>
      </c>
      <c r="BB4625">
        <v>60</v>
      </c>
      <c r="BC4625">
        <v>92</v>
      </c>
      <c r="BD4625">
        <v>862</v>
      </c>
      <c r="BE4625">
        <v>2014</v>
      </c>
      <c r="BF4625">
        <v>49</v>
      </c>
      <c r="BG4625">
        <v>1</v>
      </c>
      <c r="BH4625">
        <v>35</v>
      </c>
      <c r="BI4625">
        <v>11</v>
      </c>
      <c r="BJ4625">
        <v>12</v>
      </c>
      <c r="BK4625">
        <v>11</v>
      </c>
      <c r="BP4625" s="184"/>
    </row>
    <row r="4626" spans="1:68">
      <c r="A4626">
        <v>90278680</v>
      </c>
      <c r="B4626">
        <v>90278680</v>
      </c>
      <c r="C4626" t="s">
        <v>7018</v>
      </c>
      <c r="E4626" s="184"/>
      <c r="G4626" s="184"/>
      <c r="H4626" t="s">
        <v>595</v>
      </c>
      <c r="I4626" s="184">
        <v>44167</v>
      </c>
      <c r="K4626" s="184"/>
      <c r="M4626" s="184"/>
      <c r="O4626" s="184"/>
      <c r="P4626" t="s">
        <v>7045</v>
      </c>
      <c r="Q4626" t="s">
        <v>7262</v>
      </c>
      <c r="R4626" s="184">
        <v>20180</v>
      </c>
      <c r="S4626">
        <v>69</v>
      </c>
      <c r="U4626" t="s">
        <v>7076</v>
      </c>
      <c r="V4626" t="s">
        <v>3409</v>
      </c>
      <c r="X4626" t="s">
        <v>33618</v>
      </c>
      <c r="AF4626" t="s">
        <v>33619</v>
      </c>
      <c r="AG4626" t="s">
        <v>3409</v>
      </c>
      <c r="AI4626" t="s">
        <v>33620</v>
      </c>
      <c r="AM4626" t="s">
        <v>7345</v>
      </c>
      <c r="AN4626" t="s">
        <v>65</v>
      </c>
      <c r="AO4626" t="s">
        <v>33621</v>
      </c>
      <c r="AP4626" t="s">
        <v>7024</v>
      </c>
      <c r="AQ4626" t="s">
        <v>33622</v>
      </c>
      <c r="AR4626" t="s">
        <v>33623</v>
      </c>
      <c r="AT4626" s="184">
        <v>41628</v>
      </c>
      <c r="AU4626" t="s">
        <v>33624</v>
      </c>
      <c r="AV4626">
        <v>25</v>
      </c>
      <c r="AW4626" s="184">
        <v>45286</v>
      </c>
      <c r="AX4626" t="s">
        <v>24071</v>
      </c>
      <c r="AY4626">
        <v>25</v>
      </c>
      <c r="AZ4626" s="184">
        <v>44295</v>
      </c>
      <c r="BA4626" t="s">
        <v>33625</v>
      </c>
      <c r="BB4626">
        <v>100</v>
      </c>
      <c r="BC4626">
        <v>92</v>
      </c>
      <c r="BD4626">
        <v>1000</v>
      </c>
      <c r="BE4626">
        <v>2014</v>
      </c>
      <c r="BF4626">
        <v>26</v>
      </c>
      <c r="BG4626">
        <v>3</v>
      </c>
      <c r="BH4626">
        <v>100</v>
      </c>
      <c r="BI4626">
        <v>11</v>
      </c>
      <c r="BJ4626">
        <v>12</v>
      </c>
      <c r="BK4626">
        <v>11</v>
      </c>
      <c r="BP4626" s="184"/>
    </row>
    <row r="4627" spans="1:68">
      <c r="A4627">
        <v>90282575</v>
      </c>
      <c r="B4627">
        <v>90282575</v>
      </c>
      <c r="C4627" t="s">
        <v>7018</v>
      </c>
      <c r="D4627" t="s">
        <v>595</v>
      </c>
      <c r="E4627" s="184">
        <v>45196</v>
      </c>
      <c r="G4627" s="184"/>
      <c r="I4627" s="184"/>
      <c r="K4627" s="184"/>
      <c r="M4627" s="184"/>
      <c r="O4627" s="184"/>
      <c r="P4627" t="s">
        <v>7045</v>
      </c>
      <c r="Q4627" t="s">
        <v>7374</v>
      </c>
      <c r="R4627" s="184">
        <v>12989</v>
      </c>
      <c r="S4627">
        <v>88</v>
      </c>
      <c r="V4627" t="s">
        <v>3360</v>
      </c>
      <c r="X4627" t="s">
        <v>33626</v>
      </c>
      <c r="Z4627">
        <v>100155927</v>
      </c>
      <c r="AB4627" t="s">
        <v>2602</v>
      </c>
      <c r="AD4627" t="s">
        <v>33626</v>
      </c>
      <c r="AF4627" t="s">
        <v>33627</v>
      </c>
      <c r="AG4627" t="s">
        <v>33628</v>
      </c>
      <c r="AI4627" t="s">
        <v>33629</v>
      </c>
      <c r="AM4627" t="s">
        <v>23404</v>
      </c>
      <c r="AN4627" t="s">
        <v>2081</v>
      </c>
      <c r="AO4627" t="s">
        <v>33630</v>
      </c>
      <c r="AP4627" t="s">
        <v>7024</v>
      </c>
      <c r="AQ4627" t="s">
        <v>33631</v>
      </c>
      <c r="AT4627" s="184">
        <v>41639</v>
      </c>
      <c r="AU4627" t="s">
        <v>32699</v>
      </c>
      <c r="AV4627">
        <v>250</v>
      </c>
      <c r="AW4627" s="184">
        <v>44798</v>
      </c>
      <c r="AX4627" t="s">
        <v>33632</v>
      </c>
      <c r="AY4627">
        <v>250</v>
      </c>
      <c r="AZ4627" s="184">
        <v>44798</v>
      </c>
      <c r="BA4627" t="s">
        <v>33632</v>
      </c>
      <c r="BB4627">
        <v>250</v>
      </c>
      <c r="BC4627">
        <v>42</v>
      </c>
      <c r="BD4627">
        <v>1250</v>
      </c>
      <c r="BE4627">
        <v>2014</v>
      </c>
      <c r="BF4627">
        <v>5</v>
      </c>
      <c r="BG4627">
        <v>1</v>
      </c>
      <c r="BH4627">
        <v>250</v>
      </c>
      <c r="BI4627">
        <v>5</v>
      </c>
      <c r="BJ4627">
        <v>12</v>
      </c>
      <c r="BK4627">
        <v>4</v>
      </c>
      <c r="BP4627" s="184"/>
    </row>
    <row r="4628" spans="1:68">
      <c r="A4628">
        <v>100155927</v>
      </c>
      <c r="B4628">
        <v>90282575</v>
      </c>
      <c r="C4628" t="s">
        <v>7018</v>
      </c>
      <c r="D4628" t="s">
        <v>595</v>
      </c>
      <c r="E4628" s="184">
        <v>45196</v>
      </c>
      <c r="G4628" s="184"/>
      <c r="I4628" s="184"/>
      <c r="K4628" s="184"/>
      <c r="M4628" s="184"/>
      <c r="O4628" s="184"/>
      <c r="P4628" t="s">
        <v>7045</v>
      </c>
      <c r="Q4628" t="s">
        <v>7374</v>
      </c>
      <c r="R4628" s="184">
        <v>16925</v>
      </c>
      <c r="S4628">
        <v>78</v>
      </c>
      <c r="V4628" t="s">
        <v>2602</v>
      </c>
      <c r="X4628" t="s">
        <v>33626</v>
      </c>
      <c r="Z4628">
        <v>90282575</v>
      </c>
      <c r="AB4628" t="s">
        <v>3360</v>
      </c>
      <c r="AD4628" t="s">
        <v>33626</v>
      </c>
      <c r="AF4628" t="s">
        <v>33627</v>
      </c>
      <c r="AG4628" t="s">
        <v>33628</v>
      </c>
      <c r="AI4628" t="s">
        <v>33629</v>
      </c>
      <c r="AM4628" t="s">
        <v>23404</v>
      </c>
      <c r="AN4628" t="s">
        <v>2081</v>
      </c>
      <c r="AO4628" t="s">
        <v>33630</v>
      </c>
      <c r="AP4628" t="s">
        <v>7024</v>
      </c>
      <c r="AQ4628" t="s">
        <v>33633</v>
      </c>
      <c r="AT4628" s="184"/>
      <c r="AW4628" s="184"/>
      <c r="AZ4628" s="184"/>
      <c r="BP4628" s="184"/>
    </row>
    <row r="4629" spans="1:68">
      <c r="A4629">
        <v>90288333</v>
      </c>
      <c r="B4629">
        <v>90288333</v>
      </c>
      <c r="C4629" t="s">
        <v>7018</v>
      </c>
      <c r="D4629" t="s">
        <v>595</v>
      </c>
      <c r="E4629" s="184">
        <v>44455</v>
      </c>
      <c r="G4629" s="184"/>
      <c r="I4629" s="184"/>
      <c r="K4629" s="184"/>
      <c r="M4629" s="184"/>
      <c r="O4629" s="184"/>
      <c r="P4629" t="s">
        <v>7045</v>
      </c>
      <c r="Q4629" t="s">
        <v>7020</v>
      </c>
      <c r="R4629" s="184">
        <v>20760</v>
      </c>
      <c r="S4629">
        <v>67</v>
      </c>
      <c r="V4629" t="s">
        <v>9758</v>
      </c>
      <c r="X4629" t="s">
        <v>33634</v>
      </c>
      <c r="Z4629">
        <v>100155942</v>
      </c>
      <c r="AA4629" t="s">
        <v>7130</v>
      </c>
      <c r="AB4629" t="s">
        <v>4210</v>
      </c>
      <c r="AD4629" t="s">
        <v>33634</v>
      </c>
      <c r="AF4629" t="s">
        <v>33635</v>
      </c>
      <c r="AG4629" t="s">
        <v>33636</v>
      </c>
      <c r="AI4629" t="s">
        <v>33637</v>
      </c>
      <c r="AM4629" t="s">
        <v>33638</v>
      </c>
      <c r="AN4629" t="s">
        <v>2112</v>
      </c>
      <c r="AO4629" t="s">
        <v>33639</v>
      </c>
      <c r="AP4629" t="s">
        <v>7024</v>
      </c>
      <c r="AQ4629" t="s">
        <v>33640</v>
      </c>
      <c r="AR4629" t="s">
        <v>33641</v>
      </c>
      <c r="AT4629" s="184">
        <v>41632</v>
      </c>
      <c r="AU4629" t="s">
        <v>33642</v>
      </c>
      <c r="AV4629">
        <v>25</v>
      </c>
      <c r="AW4629" s="184">
        <v>45369</v>
      </c>
      <c r="AX4629" t="s">
        <v>10707</v>
      </c>
      <c r="AY4629">
        <v>56</v>
      </c>
      <c r="AZ4629" s="184">
        <v>44112</v>
      </c>
      <c r="BA4629" t="s">
        <v>13434</v>
      </c>
      <c r="BB4629">
        <v>87</v>
      </c>
      <c r="BC4629">
        <v>92</v>
      </c>
      <c r="BD4629">
        <v>1192.94</v>
      </c>
      <c r="BE4629">
        <v>2014</v>
      </c>
      <c r="BF4629">
        <v>32</v>
      </c>
      <c r="BG4629">
        <v>4</v>
      </c>
      <c r="BH4629">
        <v>206</v>
      </c>
      <c r="BI4629">
        <v>11</v>
      </c>
      <c r="BJ4629">
        <v>12</v>
      </c>
      <c r="BK4629">
        <v>9</v>
      </c>
      <c r="BN4629" t="s">
        <v>595</v>
      </c>
      <c r="BP4629" s="184"/>
    </row>
    <row r="4630" spans="1:68">
      <c r="A4630">
        <v>100155942</v>
      </c>
      <c r="B4630">
        <v>90288333</v>
      </c>
      <c r="C4630" t="s">
        <v>7018</v>
      </c>
      <c r="D4630" t="s">
        <v>595</v>
      </c>
      <c r="E4630" s="184">
        <v>44455</v>
      </c>
      <c r="G4630" s="184"/>
      <c r="I4630" s="184"/>
      <c r="K4630" s="184"/>
      <c r="M4630" s="184"/>
      <c r="O4630" s="184"/>
      <c r="P4630" t="s">
        <v>7045</v>
      </c>
      <c r="Q4630" t="s">
        <v>7020</v>
      </c>
      <c r="R4630" s="184">
        <v>20486</v>
      </c>
      <c r="S4630">
        <v>68</v>
      </c>
      <c r="U4630" t="s">
        <v>7130</v>
      </c>
      <c r="V4630" t="s">
        <v>4210</v>
      </c>
      <c r="X4630" t="s">
        <v>33634</v>
      </c>
      <c r="Z4630">
        <v>90288333</v>
      </c>
      <c r="AB4630" t="s">
        <v>9758</v>
      </c>
      <c r="AD4630" t="s">
        <v>33634</v>
      </c>
      <c r="AF4630" t="s">
        <v>33635</v>
      </c>
      <c r="AG4630" t="s">
        <v>33636</v>
      </c>
      <c r="AI4630" t="s">
        <v>33637</v>
      </c>
      <c r="AM4630" t="s">
        <v>33638</v>
      </c>
      <c r="AN4630" t="s">
        <v>2112</v>
      </c>
      <c r="AO4630" t="s">
        <v>33639</v>
      </c>
      <c r="AP4630" t="s">
        <v>7024</v>
      </c>
      <c r="AQ4630" t="s">
        <v>33643</v>
      </c>
      <c r="AT4630" s="184"/>
      <c r="AW4630" s="184"/>
      <c r="AZ4630" s="184"/>
      <c r="BP4630" s="184"/>
    </row>
    <row r="4631" spans="1:68">
      <c r="A4631">
        <v>90341439</v>
      </c>
      <c r="B4631">
        <v>90341439</v>
      </c>
      <c r="C4631" t="s">
        <v>7018</v>
      </c>
      <c r="D4631" t="s">
        <v>595</v>
      </c>
      <c r="E4631" s="184">
        <v>45140</v>
      </c>
      <c r="G4631" s="184"/>
      <c r="I4631" s="184"/>
      <c r="K4631" s="184"/>
      <c r="M4631" s="184"/>
      <c r="O4631" s="184"/>
      <c r="P4631" t="s">
        <v>7045</v>
      </c>
      <c r="Q4631" t="s">
        <v>7383</v>
      </c>
      <c r="R4631" s="184">
        <v>14671</v>
      </c>
      <c r="S4631">
        <v>84</v>
      </c>
      <c r="V4631" t="s">
        <v>33644</v>
      </c>
      <c r="W4631" t="s">
        <v>4013</v>
      </c>
      <c r="X4631" t="s">
        <v>9688</v>
      </c>
      <c r="AF4631" t="s">
        <v>33645</v>
      </c>
      <c r="AG4631" t="s">
        <v>33644</v>
      </c>
      <c r="AI4631" t="s">
        <v>33646</v>
      </c>
      <c r="AM4631" t="s">
        <v>3357</v>
      </c>
      <c r="AN4631" t="s">
        <v>2185</v>
      </c>
      <c r="AO4631" t="s">
        <v>33647</v>
      </c>
      <c r="AP4631" t="s">
        <v>7024</v>
      </c>
      <c r="AQ4631" t="s">
        <v>33648</v>
      </c>
      <c r="AR4631" t="s">
        <v>33649</v>
      </c>
      <c r="AT4631" s="184">
        <v>41645</v>
      </c>
      <c r="AU4631" t="s">
        <v>33503</v>
      </c>
      <c r="AV4631">
        <v>25</v>
      </c>
      <c r="AW4631" s="184">
        <v>44937</v>
      </c>
      <c r="AX4631" t="s">
        <v>33650</v>
      </c>
      <c r="AY4631">
        <v>25</v>
      </c>
      <c r="AZ4631" s="184">
        <v>43861</v>
      </c>
      <c r="BA4631" t="s">
        <v>17953</v>
      </c>
      <c r="BB4631">
        <v>200</v>
      </c>
      <c r="BC4631">
        <v>82</v>
      </c>
      <c r="BD4631">
        <v>1180</v>
      </c>
      <c r="BE4631">
        <v>2014</v>
      </c>
      <c r="BF4631">
        <v>21</v>
      </c>
      <c r="BG4631">
        <v>5</v>
      </c>
      <c r="BH4631">
        <v>175</v>
      </c>
      <c r="BI4631">
        <v>9</v>
      </c>
      <c r="BJ4631">
        <v>11</v>
      </c>
      <c r="BK4631">
        <v>6</v>
      </c>
      <c r="BN4631" t="s">
        <v>595</v>
      </c>
      <c r="BP4631" s="184"/>
    </row>
    <row r="4632" spans="1:68">
      <c r="A4632">
        <v>90354614</v>
      </c>
      <c r="B4632">
        <v>90354614</v>
      </c>
      <c r="C4632" t="s">
        <v>7018</v>
      </c>
      <c r="D4632" t="s">
        <v>595</v>
      </c>
      <c r="E4632" s="184">
        <v>44070</v>
      </c>
      <c r="G4632" s="184"/>
      <c r="I4632" s="184"/>
      <c r="K4632" s="184"/>
      <c r="M4632" s="184"/>
      <c r="O4632" s="184"/>
      <c r="P4632" t="s">
        <v>7045</v>
      </c>
      <c r="Q4632" t="s">
        <v>7383</v>
      </c>
      <c r="R4632" s="184">
        <v>20090</v>
      </c>
      <c r="S4632">
        <v>69</v>
      </c>
      <c r="U4632" t="s">
        <v>7076</v>
      </c>
      <c r="V4632" t="s">
        <v>3043</v>
      </c>
      <c r="W4632" t="s">
        <v>3332</v>
      </c>
      <c r="X4632" t="s">
        <v>4595</v>
      </c>
      <c r="AF4632" t="s">
        <v>33651</v>
      </c>
      <c r="AG4632" t="s">
        <v>3043</v>
      </c>
      <c r="AI4632" t="s">
        <v>33652</v>
      </c>
      <c r="AM4632" t="s">
        <v>3488</v>
      </c>
      <c r="AN4632" t="s">
        <v>2072</v>
      </c>
      <c r="AO4632" t="s">
        <v>33653</v>
      </c>
      <c r="AP4632" t="s">
        <v>7024</v>
      </c>
      <c r="AT4632" s="184">
        <v>34949</v>
      </c>
      <c r="AU4632" t="s">
        <v>17001</v>
      </c>
      <c r="AV4632">
        <v>10</v>
      </c>
      <c r="AW4632" s="184">
        <v>42024</v>
      </c>
      <c r="AX4632" t="s">
        <v>33654</v>
      </c>
      <c r="AY4632">
        <v>25</v>
      </c>
      <c r="AZ4632" s="184">
        <v>38134</v>
      </c>
      <c r="BA4632" t="s">
        <v>13030</v>
      </c>
      <c r="BB4632">
        <v>30</v>
      </c>
      <c r="BC4632">
        <v>57</v>
      </c>
      <c r="BD4632">
        <v>405</v>
      </c>
      <c r="BE4632">
        <v>1996</v>
      </c>
      <c r="BF4632">
        <v>19</v>
      </c>
      <c r="BI4632">
        <v>17</v>
      </c>
      <c r="BJ4632">
        <v>30</v>
      </c>
      <c r="BK4632">
        <v>12</v>
      </c>
      <c r="BP4632" s="184"/>
    </row>
    <row r="4633" spans="1:68">
      <c r="A4633">
        <v>90369885</v>
      </c>
      <c r="B4633">
        <v>90369885</v>
      </c>
      <c r="C4633" t="s">
        <v>7018</v>
      </c>
      <c r="D4633" t="s">
        <v>595</v>
      </c>
      <c r="E4633" s="184">
        <v>44414</v>
      </c>
      <c r="F4633" t="s">
        <v>595</v>
      </c>
      <c r="G4633" s="184">
        <v>45174</v>
      </c>
      <c r="H4633" t="s">
        <v>595</v>
      </c>
      <c r="I4633" s="184">
        <v>44419</v>
      </c>
      <c r="K4633" s="184"/>
      <c r="M4633" s="184"/>
      <c r="P4633" t="s">
        <v>7045</v>
      </c>
      <c r="Q4633" t="s">
        <v>7194</v>
      </c>
      <c r="R4633" s="184">
        <v>14822</v>
      </c>
      <c r="S4633">
        <v>83</v>
      </c>
      <c r="U4633" t="s">
        <v>7031</v>
      </c>
      <c r="V4633" t="s">
        <v>3103</v>
      </c>
      <c r="X4633" t="s">
        <v>5120</v>
      </c>
      <c r="AF4633" t="s">
        <v>33655</v>
      </c>
      <c r="AG4633" t="s">
        <v>3103</v>
      </c>
      <c r="AI4633" t="s">
        <v>33656</v>
      </c>
      <c r="AM4633" t="s">
        <v>5121</v>
      </c>
      <c r="AN4633" t="s">
        <v>4512</v>
      </c>
      <c r="AO4633" t="s">
        <v>33657</v>
      </c>
      <c r="AP4633" t="s">
        <v>7024</v>
      </c>
      <c r="AQ4633" t="s">
        <v>33658</v>
      </c>
      <c r="AT4633" s="184">
        <v>41652</v>
      </c>
      <c r="AU4633" t="s">
        <v>33659</v>
      </c>
      <c r="AV4633">
        <v>50</v>
      </c>
      <c r="AW4633" s="184">
        <v>45062</v>
      </c>
      <c r="AX4633" t="s">
        <v>7937</v>
      </c>
      <c r="AY4633">
        <v>50</v>
      </c>
      <c r="AZ4633" s="184">
        <v>45062</v>
      </c>
      <c r="BA4633" t="s">
        <v>7937</v>
      </c>
      <c r="BB4633">
        <v>50</v>
      </c>
      <c r="BC4633">
        <v>73</v>
      </c>
      <c r="BD4633">
        <v>450</v>
      </c>
      <c r="BE4633">
        <v>2014</v>
      </c>
      <c r="BF4633">
        <v>9</v>
      </c>
      <c r="BG4633">
        <v>2</v>
      </c>
      <c r="BH4633">
        <v>100</v>
      </c>
      <c r="BI4633">
        <v>8</v>
      </c>
      <c r="BJ4633">
        <v>11</v>
      </c>
      <c r="BK4633">
        <v>6</v>
      </c>
      <c r="BP4633" s="184"/>
    </row>
    <row r="4634" spans="1:68">
      <c r="A4634">
        <v>90406489</v>
      </c>
      <c r="B4634">
        <v>90406489</v>
      </c>
      <c r="C4634" t="s">
        <v>7018</v>
      </c>
      <c r="D4634" t="s">
        <v>595</v>
      </c>
      <c r="E4634" s="184">
        <v>45117</v>
      </c>
      <c r="G4634" s="184"/>
      <c r="I4634" s="184"/>
      <c r="K4634" s="184"/>
      <c r="M4634" s="184"/>
      <c r="O4634" s="184"/>
      <c r="P4634" t="s">
        <v>7045</v>
      </c>
      <c r="Q4634" t="s">
        <v>7020</v>
      </c>
      <c r="R4634" s="184">
        <v>17626</v>
      </c>
      <c r="S4634">
        <v>76</v>
      </c>
      <c r="V4634" t="s">
        <v>3683</v>
      </c>
      <c r="X4634" t="s">
        <v>33660</v>
      </c>
      <c r="AF4634" t="s">
        <v>33661</v>
      </c>
      <c r="AG4634" t="s">
        <v>3683</v>
      </c>
      <c r="AI4634" t="s">
        <v>33662</v>
      </c>
      <c r="AM4634" t="s">
        <v>33663</v>
      </c>
      <c r="AN4634" t="s">
        <v>2112</v>
      </c>
      <c r="AO4634" t="s">
        <v>33664</v>
      </c>
      <c r="AP4634" t="s">
        <v>7024</v>
      </c>
      <c r="AQ4634" t="s">
        <v>33665</v>
      </c>
      <c r="AT4634" s="184">
        <v>41660</v>
      </c>
      <c r="AU4634" t="s">
        <v>33666</v>
      </c>
      <c r="AV4634">
        <v>15</v>
      </c>
      <c r="AW4634" s="184">
        <v>45327</v>
      </c>
      <c r="AX4634" t="s">
        <v>33667</v>
      </c>
      <c r="AY4634">
        <v>15</v>
      </c>
      <c r="AZ4634" s="184">
        <v>45327</v>
      </c>
      <c r="BA4634" t="s">
        <v>33667</v>
      </c>
      <c r="BB4634">
        <v>15</v>
      </c>
      <c r="BC4634">
        <v>82</v>
      </c>
      <c r="BD4634">
        <v>135</v>
      </c>
      <c r="BE4634">
        <v>2014</v>
      </c>
      <c r="BF4634">
        <v>9</v>
      </c>
      <c r="BG4634">
        <v>2</v>
      </c>
      <c r="BH4634">
        <v>30</v>
      </c>
      <c r="BI4634">
        <v>9</v>
      </c>
      <c r="BJ4634">
        <v>11</v>
      </c>
      <c r="BK4634">
        <v>6</v>
      </c>
      <c r="BN4634" t="s">
        <v>595</v>
      </c>
      <c r="BP4634" s="184"/>
    </row>
    <row r="4635" spans="1:68">
      <c r="A4635">
        <v>90407487</v>
      </c>
      <c r="B4635">
        <v>90407487</v>
      </c>
      <c r="C4635" t="s">
        <v>7018</v>
      </c>
      <c r="E4635" s="184"/>
      <c r="G4635" s="184"/>
      <c r="I4635" s="184"/>
      <c r="J4635" t="s">
        <v>595</v>
      </c>
      <c r="K4635" s="184">
        <v>43264</v>
      </c>
      <c r="M4635" s="184"/>
      <c r="O4635" s="184"/>
      <c r="P4635" t="s">
        <v>7045</v>
      </c>
      <c r="Q4635" t="s">
        <v>7494</v>
      </c>
      <c r="R4635" s="184">
        <v>22907</v>
      </c>
      <c r="S4635">
        <v>61</v>
      </c>
      <c r="U4635" t="s">
        <v>7130</v>
      </c>
      <c r="V4635" t="s">
        <v>3317</v>
      </c>
      <c r="X4635" t="s">
        <v>33668</v>
      </c>
      <c r="AF4635" t="s">
        <v>33669</v>
      </c>
      <c r="AG4635" t="s">
        <v>3317</v>
      </c>
      <c r="AI4635" t="s">
        <v>33670</v>
      </c>
      <c r="AM4635" t="s">
        <v>33671</v>
      </c>
      <c r="AN4635" t="s">
        <v>2484</v>
      </c>
      <c r="AO4635" t="s">
        <v>33672</v>
      </c>
      <c r="AP4635" t="s">
        <v>7024</v>
      </c>
      <c r="AQ4635" t="s">
        <v>33673</v>
      </c>
      <c r="AT4635" s="184">
        <v>41660</v>
      </c>
      <c r="AU4635" t="s">
        <v>33674</v>
      </c>
      <c r="AV4635">
        <v>15</v>
      </c>
      <c r="AW4635" s="184">
        <v>45290</v>
      </c>
      <c r="AX4635" t="s">
        <v>33675</v>
      </c>
      <c r="AY4635">
        <v>21</v>
      </c>
      <c r="AZ4635" s="184">
        <v>44793</v>
      </c>
      <c r="BA4635" t="s">
        <v>33676</v>
      </c>
      <c r="BB4635">
        <v>35</v>
      </c>
      <c r="BC4635">
        <v>46</v>
      </c>
      <c r="BD4635">
        <v>176</v>
      </c>
      <c r="BE4635">
        <v>2014</v>
      </c>
      <c r="BF4635">
        <v>7</v>
      </c>
      <c r="BG4635">
        <v>2</v>
      </c>
      <c r="BH4635">
        <v>56</v>
      </c>
      <c r="BI4635">
        <v>5</v>
      </c>
      <c r="BJ4635">
        <v>11</v>
      </c>
      <c r="BK4635">
        <v>4</v>
      </c>
      <c r="BP4635" s="184"/>
    </row>
    <row r="4636" spans="1:68">
      <c r="A4636">
        <v>90407511</v>
      </c>
      <c r="B4636">
        <v>90407511</v>
      </c>
      <c r="C4636" t="s">
        <v>7018</v>
      </c>
      <c r="D4636" t="s">
        <v>595</v>
      </c>
      <c r="E4636" s="184">
        <v>44073</v>
      </c>
      <c r="G4636" s="184"/>
      <c r="I4636" s="184"/>
      <c r="K4636" s="184"/>
      <c r="M4636" s="184"/>
      <c r="O4636" s="184"/>
      <c r="P4636" t="s">
        <v>7045</v>
      </c>
      <c r="Q4636" t="s">
        <v>7383</v>
      </c>
      <c r="R4636" s="184">
        <v>22082</v>
      </c>
      <c r="S4636">
        <v>63</v>
      </c>
      <c r="U4636" t="s">
        <v>7076</v>
      </c>
      <c r="V4636" t="s">
        <v>8798</v>
      </c>
      <c r="W4636" t="s">
        <v>4139</v>
      </c>
      <c r="X4636" t="s">
        <v>33677</v>
      </c>
      <c r="AF4636" t="s">
        <v>33678</v>
      </c>
      <c r="AG4636" t="s">
        <v>8798</v>
      </c>
      <c r="AI4636" t="s">
        <v>33679</v>
      </c>
      <c r="AM4636" t="s">
        <v>3245</v>
      </c>
      <c r="AN4636" t="s">
        <v>2274</v>
      </c>
      <c r="AO4636" t="s">
        <v>33680</v>
      </c>
      <c r="AP4636" t="s">
        <v>7024</v>
      </c>
      <c r="AQ4636" t="s">
        <v>33681</v>
      </c>
      <c r="AT4636" s="184">
        <v>41660</v>
      </c>
      <c r="AU4636" t="s">
        <v>33682</v>
      </c>
      <c r="AV4636">
        <v>15</v>
      </c>
      <c r="AW4636" s="184">
        <v>45323</v>
      </c>
      <c r="AX4636" t="s">
        <v>17940</v>
      </c>
      <c r="AY4636">
        <v>60</v>
      </c>
      <c r="AZ4636" s="184">
        <v>45323</v>
      </c>
      <c r="BA4636" t="s">
        <v>17940</v>
      </c>
      <c r="BB4636">
        <v>60</v>
      </c>
      <c r="BC4636">
        <v>100</v>
      </c>
      <c r="BD4636">
        <v>1255</v>
      </c>
      <c r="BE4636">
        <v>2014</v>
      </c>
      <c r="BF4636">
        <v>32</v>
      </c>
      <c r="BG4636">
        <v>6</v>
      </c>
      <c r="BH4636">
        <v>265</v>
      </c>
      <c r="BI4636">
        <v>11</v>
      </c>
      <c r="BJ4636">
        <v>11</v>
      </c>
      <c r="BK4636">
        <v>11</v>
      </c>
      <c r="BP4636" s="184"/>
    </row>
    <row r="4637" spans="1:68">
      <c r="A4637">
        <v>90410200</v>
      </c>
      <c r="B4637">
        <v>90410200</v>
      </c>
      <c r="C4637" t="s">
        <v>7018</v>
      </c>
      <c r="D4637" t="s">
        <v>595</v>
      </c>
      <c r="E4637" s="184">
        <v>44247</v>
      </c>
      <c r="G4637" s="184"/>
      <c r="I4637" s="184"/>
      <c r="K4637" s="184"/>
      <c r="M4637" s="184"/>
      <c r="O4637" s="184"/>
      <c r="P4637" t="s">
        <v>7045</v>
      </c>
      <c r="Q4637" t="s">
        <v>7454</v>
      </c>
      <c r="R4637" s="184">
        <v>20607</v>
      </c>
      <c r="S4637">
        <v>67</v>
      </c>
      <c r="U4637" t="s">
        <v>7130</v>
      </c>
      <c r="V4637" t="s">
        <v>4234</v>
      </c>
      <c r="W4637" t="s">
        <v>3235</v>
      </c>
      <c r="X4637" t="s">
        <v>33683</v>
      </c>
      <c r="AF4637" t="s">
        <v>33684</v>
      </c>
      <c r="AG4637" t="s">
        <v>4234</v>
      </c>
      <c r="AI4637" t="s">
        <v>33685</v>
      </c>
      <c r="AM4637" t="s">
        <v>4666</v>
      </c>
      <c r="AN4637" t="s">
        <v>2055</v>
      </c>
      <c r="AO4637" t="s">
        <v>33686</v>
      </c>
      <c r="AP4637" t="s">
        <v>7024</v>
      </c>
      <c r="AQ4637" t="s">
        <v>33687</v>
      </c>
      <c r="AT4637" s="184">
        <v>41660</v>
      </c>
      <c r="AU4637" t="s">
        <v>33688</v>
      </c>
      <c r="AV4637">
        <v>15</v>
      </c>
      <c r="AW4637" s="184">
        <v>45355</v>
      </c>
      <c r="AX4637" t="s">
        <v>33689</v>
      </c>
      <c r="AY4637">
        <v>25</v>
      </c>
      <c r="AZ4637" s="184">
        <v>43210</v>
      </c>
      <c r="BA4637" t="s">
        <v>33690</v>
      </c>
      <c r="BB4637">
        <v>60</v>
      </c>
      <c r="BC4637">
        <v>55</v>
      </c>
      <c r="BD4637">
        <v>275</v>
      </c>
      <c r="BE4637">
        <v>2014</v>
      </c>
      <c r="BF4637">
        <v>8</v>
      </c>
      <c r="BG4637">
        <v>2</v>
      </c>
      <c r="BH4637">
        <v>50</v>
      </c>
      <c r="BI4637">
        <v>6</v>
      </c>
      <c r="BJ4637">
        <v>11</v>
      </c>
      <c r="BK4637">
        <v>2</v>
      </c>
      <c r="BP4637" s="184"/>
    </row>
    <row r="4638" spans="1:68">
      <c r="A4638">
        <v>90420100</v>
      </c>
      <c r="B4638">
        <v>90420100</v>
      </c>
      <c r="C4638" t="s">
        <v>7018</v>
      </c>
      <c r="D4638" t="s">
        <v>595</v>
      </c>
      <c r="E4638" s="184">
        <v>45175</v>
      </c>
      <c r="G4638" s="184"/>
      <c r="I4638" s="184"/>
      <c r="K4638" s="184"/>
      <c r="M4638" s="184"/>
      <c r="P4638" t="s">
        <v>7045</v>
      </c>
      <c r="Q4638" t="s">
        <v>7383</v>
      </c>
      <c r="R4638" s="184">
        <v>26415</v>
      </c>
      <c r="S4638">
        <v>52</v>
      </c>
      <c r="U4638" t="s">
        <v>7031</v>
      </c>
      <c r="V4638" t="s">
        <v>3228</v>
      </c>
      <c r="W4638" t="s">
        <v>7407</v>
      </c>
      <c r="X4638" t="s">
        <v>33691</v>
      </c>
      <c r="AF4638" t="s">
        <v>33692</v>
      </c>
      <c r="AG4638" t="s">
        <v>3228</v>
      </c>
      <c r="AI4638" t="s">
        <v>33693</v>
      </c>
      <c r="AM4638" t="s">
        <v>28016</v>
      </c>
      <c r="AN4638" t="s">
        <v>2139</v>
      </c>
      <c r="AO4638" t="s">
        <v>33694</v>
      </c>
      <c r="AP4638" t="s">
        <v>7024</v>
      </c>
      <c r="AQ4638" t="s">
        <v>33695</v>
      </c>
      <c r="AT4638" s="184">
        <v>41661</v>
      </c>
      <c r="AU4638" t="s">
        <v>33666</v>
      </c>
      <c r="AV4638">
        <v>15</v>
      </c>
      <c r="AW4638" s="184">
        <v>45326</v>
      </c>
      <c r="AX4638" t="s">
        <v>14164</v>
      </c>
      <c r="AY4638">
        <v>26.25</v>
      </c>
      <c r="AZ4638" s="184">
        <v>45326</v>
      </c>
      <c r="BA4638" t="s">
        <v>14164</v>
      </c>
      <c r="BB4638">
        <v>26.25</v>
      </c>
      <c r="BC4638">
        <v>91</v>
      </c>
      <c r="BD4638">
        <v>243.25</v>
      </c>
      <c r="BE4638">
        <v>2014</v>
      </c>
      <c r="BF4638">
        <v>12</v>
      </c>
      <c r="BG4638">
        <v>2</v>
      </c>
      <c r="BH4638">
        <v>51.25</v>
      </c>
      <c r="BI4638">
        <v>10</v>
      </c>
      <c r="BJ4638">
        <v>11</v>
      </c>
      <c r="BK4638">
        <v>8</v>
      </c>
      <c r="BP4638" s="184"/>
    </row>
    <row r="4639" spans="1:68">
      <c r="A4639">
        <v>90438771</v>
      </c>
      <c r="B4639">
        <v>90438771</v>
      </c>
      <c r="C4639" t="s">
        <v>7018</v>
      </c>
      <c r="D4639" t="s">
        <v>595</v>
      </c>
      <c r="E4639" s="184">
        <v>45196</v>
      </c>
      <c r="G4639" s="184"/>
      <c r="I4639" s="184"/>
      <c r="K4639" s="184"/>
      <c r="M4639" s="184"/>
      <c r="O4639" s="184"/>
      <c r="P4639" t="s">
        <v>7045</v>
      </c>
      <c r="Q4639" t="s">
        <v>7374</v>
      </c>
      <c r="R4639" s="184">
        <v>22890</v>
      </c>
      <c r="S4639">
        <v>61</v>
      </c>
      <c r="V4639" t="s">
        <v>33696</v>
      </c>
      <c r="X4639" t="s">
        <v>33697</v>
      </c>
      <c r="AF4639" t="s">
        <v>33698</v>
      </c>
      <c r="AG4639" t="s">
        <v>33696</v>
      </c>
      <c r="AI4639" t="s">
        <v>33699</v>
      </c>
      <c r="AM4639" t="s">
        <v>18707</v>
      </c>
      <c r="AN4639" t="s">
        <v>2081</v>
      </c>
      <c r="AO4639" t="s">
        <v>33700</v>
      </c>
      <c r="AP4639" t="s">
        <v>7024</v>
      </c>
      <c r="AQ4639" t="s">
        <v>33701</v>
      </c>
      <c r="AT4639" s="184">
        <v>41666</v>
      </c>
      <c r="AU4639" t="s">
        <v>33702</v>
      </c>
      <c r="AV4639">
        <v>25</v>
      </c>
      <c r="AW4639" s="184">
        <v>45016</v>
      </c>
      <c r="AX4639" t="s">
        <v>33703</v>
      </c>
      <c r="AY4639">
        <v>100</v>
      </c>
      <c r="AZ4639" s="184">
        <v>44602</v>
      </c>
      <c r="BA4639" t="s">
        <v>33704</v>
      </c>
      <c r="BB4639">
        <v>150</v>
      </c>
      <c r="BC4639">
        <v>82</v>
      </c>
      <c r="BD4639">
        <v>825</v>
      </c>
      <c r="BE4639">
        <v>2014</v>
      </c>
      <c r="BF4639">
        <v>13</v>
      </c>
      <c r="BG4639">
        <v>1</v>
      </c>
      <c r="BH4639">
        <v>100</v>
      </c>
      <c r="BI4639">
        <v>9</v>
      </c>
      <c r="BJ4639">
        <v>11</v>
      </c>
      <c r="BK4639">
        <v>6</v>
      </c>
      <c r="BN4639" t="s">
        <v>595</v>
      </c>
      <c r="BP4639" s="184"/>
    </row>
    <row r="4640" spans="1:68">
      <c r="A4640">
        <v>90444977</v>
      </c>
      <c r="B4640">
        <v>90444977</v>
      </c>
      <c r="C4640" t="s">
        <v>7018</v>
      </c>
      <c r="D4640" t="s">
        <v>595</v>
      </c>
      <c r="E4640" s="184">
        <v>44167</v>
      </c>
      <c r="G4640" s="184"/>
      <c r="I4640" s="184"/>
      <c r="K4640" s="184"/>
      <c r="M4640" s="184"/>
      <c r="O4640" s="184"/>
      <c r="P4640" t="s">
        <v>7045</v>
      </c>
      <c r="Q4640" t="s">
        <v>7374</v>
      </c>
      <c r="R4640" s="184">
        <v>16707</v>
      </c>
      <c r="S4640">
        <v>78</v>
      </c>
      <c r="U4640" t="s">
        <v>7031</v>
      </c>
      <c r="V4640" t="s">
        <v>5732</v>
      </c>
      <c r="X4640" t="s">
        <v>2706</v>
      </c>
      <c r="AF4640" t="s">
        <v>33705</v>
      </c>
      <c r="AG4640" t="s">
        <v>5732</v>
      </c>
      <c r="AI4640" t="s">
        <v>33706</v>
      </c>
      <c r="AM4640" t="s">
        <v>4567</v>
      </c>
      <c r="AN4640" t="s">
        <v>2081</v>
      </c>
      <c r="AO4640" t="s">
        <v>33707</v>
      </c>
      <c r="AP4640" t="s">
        <v>7024</v>
      </c>
      <c r="AQ4640" t="s">
        <v>33708</v>
      </c>
      <c r="AT4640" s="184">
        <v>42738</v>
      </c>
      <c r="AU4640" t="s">
        <v>33709</v>
      </c>
      <c r="AV4640">
        <v>10</v>
      </c>
      <c r="AW4640" s="184">
        <v>45301</v>
      </c>
      <c r="AX4640" t="s">
        <v>11841</v>
      </c>
      <c r="AY4640">
        <v>25</v>
      </c>
      <c r="AZ4640" s="184">
        <v>45301</v>
      </c>
      <c r="BA4640" t="s">
        <v>11841</v>
      </c>
      <c r="BB4640">
        <v>25</v>
      </c>
      <c r="BC4640">
        <v>88</v>
      </c>
      <c r="BD4640">
        <v>210</v>
      </c>
      <c r="BE4640">
        <v>2017</v>
      </c>
      <c r="BF4640">
        <v>9</v>
      </c>
      <c r="BG4640">
        <v>2</v>
      </c>
      <c r="BH4640">
        <v>50</v>
      </c>
      <c r="BI4640">
        <v>7</v>
      </c>
      <c r="BJ4640">
        <v>8</v>
      </c>
      <c r="BK4640">
        <v>5</v>
      </c>
      <c r="BP4640" s="184"/>
    </row>
    <row r="4641" spans="1:68">
      <c r="A4641">
        <v>90526179</v>
      </c>
      <c r="B4641">
        <v>90526179</v>
      </c>
      <c r="C4641" t="s">
        <v>7018</v>
      </c>
      <c r="D4641" t="s">
        <v>595</v>
      </c>
      <c r="E4641" s="184">
        <v>45152</v>
      </c>
      <c r="G4641" s="184"/>
      <c r="I4641" s="184"/>
      <c r="K4641" s="184"/>
      <c r="M4641" s="184"/>
      <c r="O4641" s="184"/>
      <c r="P4641" t="s">
        <v>7045</v>
      </c>
      <c r="Q4641" t="s">
        <v>7383</v>
      </c>
      <c r="R4641" s="184">
        <v>21398</v>
      </c>
      <c r="S4641">
        <v>65</v>
      </c>
      <c r="U4641" t="s">
        <v>7031</v>
      </c>
      <c r="V4641" t="s">
        <v>2687</v>
      </c>
      <c r="X4641" t="s">
        <v>28260</v>
      </c>
      <c r="AF4641" t="s">
        <v>33710</v>
      </c>
      <c r="AG4641" t="s">
        <v>2687</v>
      </c>
      <c r="AI4641" t="s">
        <v>33711</v>
      </c>
      <c r="AM4641" t="s">
        <v>3345</v>
      </c>
      <c r="AN4641" t="s">
        <v>2274</v>
      </c>
      <c r="AO4641" t="s">
        <v>33712</v>
      </c>
      <c r="AP4641" t="s">
        <v>7024</v>
      </c>
      <c r="AQ4641" t="s">
        <v>33713</v>
      </c>
      <c r="AR4641" t="s">
        <v>33714</v>
      </c>
      <c r="AT4641" s="184">
        <v>41673</v>
      </c>
      <c r="AU4641" t="s">
        <v>33659</v>
      </c>
      <c r="AV4641">
        <v>20</v>
      </c>
      <c r="AW4641" s="184">
        <v>44970</v>
      </c>
      <c r="AX4641" t="s">
        <v>33715</v>
      </c>
      <c r="AY4641">
        <v>25</v>
      </c>
      <c r="AZ4641" s="184">
        <v>44970</v>
      </c>
      <c r="BA4641" t="s">
        <v>33715</v>
      </c>
      <c r="BB4641">
        <v>25</v>
      </c>
      <c r="BC4641">
        <v>55</v>
      </c>
      <c r="BD4641">
        <v>165</v>
      </c>
      <c r="BE4641">
        <v>2014</v>
      </c>
      <c r="BF4641">
        <v>7</v>
      </c>
      <c r="BG4641">
        <v>1</v>
      </c>
      <c r="BH4641">
        <v>25</v>
      </c>
      <c r="BI4641">
        <v>6</v>
      </c>
      <c r="BJ4641">
        <v>11</v>
      </c>
      <c r="BK4641">
        <v>3</v>
      </c>
      <c r="BP4641" s="184"/>
    </row>
    <row r="4642" spans="1:68">
      <c r="A4642">
        <v>90591645</v>
      </c>
      <c r="B4642">
        <v>90591645</v>
      </c>
      <c r="C4642" t="s">
        <v>7018</v>
      </c>
      <c r="D4642" t="s">
        <v>595</v>
      </c>
      <c r="E4642" s="184">
        <v>45154</v>
      </c>
      <c r="G4642" s="184"/>
      <c r="I4642" s="184"/>
      <c r="K4642" s="184"/>
      <c r="M4642" s="184"/>
      <c r="O4642" s="184"/>
      <c r="P4642" t="s">
        <v>7045</v>
      </c>
      <c r="Q4642" t="s">
        <v>7383</v>
      </c>
      <c r="R4642" s="184">
        <v>19329</v>
      </c>
      <c r="S4642">
        <v>71</v>
      </c>
      <c r="U4642" t="s">
        <v>7031</v>
      </c>
      <c r="V4642" t="s">
        <v>3460</v>
      </c>
      <c r="X4642" t="s">
        <v>33716</v>
      </c>
      <c r="AF4642" t="s">
        <v>33717</v>
      </c>
      <c r="AG4642" t="s">
        <v>3460</v>
      </c>
      <c r="AI4642" t="s">
        <v>33718</v>
      </c>
      <c r="AM4642" t="s">
        <v>2830</v>
      </c>
      <c r="AN4642" t="s">
        <v>2185</v>
      </c>
      <c r="AO4642" t="s">
        <v>33719</v>
      </c>
      <c r="AP4642" t="s">
        <v>7024</v>
      </c>
      <c r="AT4642" s="184">
        <v>41684</v>
      </c>
      <c r="AU4642" t="s">
        <v>33720</v>
      </c>
      <c r="AV4642">
        <v>25</v>
      </c>
      <c r="AW4642" s="184">
        <v>43126</v>
      </c>
      <c r="AX4642" t="s">
        <v>16044</v>
      </c>
      <c r="AY4642">
        <v>25</v>
      </c>
      <c r="AZ4642" s="184">
        <v>43126</v>
      </c>
      <c r="BA4642" t="s">
        <v>16044</v>
      </c>
      <c r="BB4642">
        <v>25</v>
      </c>
      <c r="BC4642">
        <v>46</v>
      </c>
      <c r="BD4642">
        <v>125</v>
      </c>
      <c r="BE4642">
        <v>2014</v>
      </c>
      <c r="BF4642">
        <v>5</v>
      </c>
      <c r="BI4642">
        <v>5</v>
      </c>
      <c r="BJ4642">
        <v>11</v>
      </c>
      <c r="BK4642">
        <v>5</v>
      </c>
      <c r="BP4642" s="184"/>
    </row>
    <row r="4643" spans="1:68">
      <c r="A4643">
        <v>90603184</v>
      </c>
      <c r="B4643">
        <v>90603184</v>
      </c>
      <c r="C4643" t="s">
        <v>7018</v>
      </c>
      <c r="D4643" t="s">
        <v>595</v>
      </c>
      <c r="E4643" s="184">
        <v>44484</v>
      </c>
      <c r="G4643" s="184"/>
      <c r="I4643" s="184"/>
      <c r="K4643" s="184"/>
      <c r="M4643" s="184"/>
      <c r="O4643" s="184"/>
      <c r="P4643" t="s">
        <v>7686</v>
      </c>
      <c r="Q4643" t="s">
        <v>7262</v>
      </c>
      <c r="R4643" s="184">
        <v>17380</v>
      </c>
      <c r="S4643">
        <v>76</v>
      </c>
      <c r="V4643" t="s">
        <v>3217</v>
      </c>
      <c r="W4643" t="s">
        <v>7560</v>
      </c>
      <c r="X4643" t="s">
        <v>33721</v>
      </c>
      <c r="AF4643" t="s">
        <v>33722</v>
      </c>
      <c r="AG4643" t="s">
        <v>3217</v>
      </c>
      <c r="AI4643" t="s">
        <v>33723</v>
      </c>
      <c r="AM4643" t="s">
        <v>33724</v>
      </c>
      <c r="AN4643" t="s">
        <v>2069</v>
      </c>
      <c r="AO4643" t="s">
        <v>33725</v>
      </c>
      <c r="AP4643" t="s">
        <v>7024</v>
      </c>
      <c r="AQ4643" t="s">
        <v>33726</v>
      </c>
      <c r="AT4643" s="184">
        <v>41688</v>
      </c>
      <c r="AU4643" t="s">
        <v>33727</v>
      </c>
      <c r="AV4643">
        <v>25</v>
      </c>
      <c r="AW4643" s="184">
        <v>45387</v>
      </c>
      <c r="AX4643" t="s">
        <v>8502</v>
      </c>
      <c r="AY4643">
        <v>5000</v>
      </c>
      <c r="AZ4643" s="184">
        <v>45387</v>
      </c>
      <c r="BA4643" t="s">
        <v>8502</v>
      </c>
      <c r="BB4643">
        <v>5000</v>
      </c>
      <c r="BC4643">
        <v>100</v>
      </c>
      <c r="BD4643">
        <v>30225</v>
      </c>
      <c r="BE4643">
        <v>2014</v>
      </c>
      <c r="BF4643">
        <v>13</v>
      </c>
      <c r="BG4643">
        <v>3</v>
      </c>
      <c r="BH4643">
        <v>15000</v>
      </c>
      <c r="BI4643">
        <v>11</v>
      </c>
      <c r="BJ4643">
        <v>11</v>
      </c>
      <c r="BK4643">
        <v>11</v>
      </c>
      <c r="BP4643" s="184"/>
    </row>
    <row r="4644" spans="1:68">
      <c r="A4644">
        <v>90606260</v>
      </c>
      <c r="B4644">
        <v>90606260</v>
      </c>
      <c r="C4644" t="s">
        <v>7018</v>
      </c>
      <c r="D4644" t="s">
        <v>595</v>
      </c>
      <c r="E4644" s="184">
        <v>45117</v>
      </c>
      <c r="I4644" s="184"/>
      <c r="K4644" s="184"/>
      <c r="M4644" s="184"/>
      <c r="O4644" s="184"/>
      <c r="P4644" t="s">
        <v>7045</v>
      </c>
      <c r="Q4644" t="s">
        <v>7020</v>
      </c>
      <c r="R4644" s="184">
        <v>15827</v>
      </c>
      <c r="S4644">
        <v>81</v>
      </c>
      <c r="V4644" t="s">
        <v>2511</v>
      </c>
      <c r="X4644" t="s">
        <v>3862</v>
      </c>
      <c r="AF4644" t="s">
        <v>33728</v>
      </c>
      <c r="AG4644" t="s">
        <v>2511</v>
      </c>
      <c r="AI4644" t="s">
        <v>33729</v>
      </c>
      <c r="AM4644" t="s">
        <v>33730</v>
      </c>
      <c r="AN4644" t="s">
        <v>2129</v>
      </c>
      <c r="AO4644" t="s">
        <v>33731</v>
      </c>
      <c r="AP4644" t="s">
        <v>7024</v>
      </c>
      <c r="AQ4644" t="s">
        <v>33732</v>
      </c>
      <c r="AR4644" t="s">
        <v>33733</v>
      </c>
      <c r="AT4644" s="184">
        <v>41688</v>
      </c>
      <c r="AU4644" t="s">
        <v>33734</v>
      </c>
      <c r="AV4644">
        <v>15</v>
      </c>
      <c r="AW4644" s="184">
        <v>44887</v>
      </c>
      <c r="AX4644" t="s">
        <v>12308</v>
      </c>
      <c r="AY4644">
        <v>25</v>
      </c>
      <c r="AZ4644" s="184">
        <v>44887</v>
      </c>
      <c r="BA4644" t="s">
        <v>12308</v>
      </c>
      <c r="BB4644">
        <v>25</v>
      </c>
      <c r="BC4644">
        <v>82</v>
      </c>
      <c r="BD4644">
        <v>370</v>
      </c>
      <c r="BE4644">
        <v>2014</v>
      </c>
      <c r="BF4644">
        <v>20</v>
      </c>
      <c r="BG4644">
        <v>1</v>
      </c>
      <c r="BH4644">
        <v>25</v>
      </c>
      <c r="BI4644">
        <v>9</v>
      </c>
      <c r="BJ4644">
        <v>11</v>
      </c>
      <c r="BK4644">
        <v>9</v>
      </c>
      <c r="BN4644" t="s">
        <v>595</v>
      </c>
      <c r="BP4644" s="184"/>
    </row>
    <row r="4645" spans="1:68">
      <c r="A4645">
        <v>90674466</v>
      </c>
      <c r="B4645">
        <v>90674466</v>
      </c>
      <c r="C4645" t="s">
        <v>7018</v>
      </c>
      <c r="D4645" t="s">
        <v>595</v>
      </c>
      <c r="E4645" s="184">
        <v>44484</v>
      </c>
      <c r="G4645" s="184"/>
      <c r="I4645" s="184"/>
      <c r="K4645" s="184"/>
      <c r="M4645" s="184"/>
      <c r="O4645" s="184"/>
      <c r="P4645" t="s">
        <v>7045</v>
      </c>
      <c r="Q4645" t="s">
        <v>7454</v>
      </c>
      <c r="R4645" s="184">
        <v>19398</v>
      </c>
      <c r="S4645">
        <v>71</v>
      </c>
      <c r="U4645" t="s">
        <v>7076</v>
      </c>
      <c r="V4645" t="s">
        <v>3187</v>
      </c>
      <c r="X4645" t="s">
        <v>33735</v>
      </c>
      <c r="AF4645" t="s">
        <v>33736</v>
      </c>
      <c r="AG4645" t="s">
        <v>3187</v>
      </c>
      <c r="AI4645" t="s">
        <v>33737</v>
      </c>
      <c r="AM4645" t="s">
        <v>3891</v>
      </c>
      <c r="AN4645" t="s">
        <v>2055</v>
      </c>
      <c r="AO4645" t="s">
        <v>33738</v>
      </c>
      <c r="AP4645" t="s">
        <v>7024</v>
      </c>
      <c r="AQ4645" t="s">
        <v>33739</v>
      </c>
      <c r="AT4645" s="184">
        <v>35563</v>
      </c>
      <c r="AU4645" t="s">
        <v>33740</v>
      </c>
      <c r="AV4645">
        <v>10</v>
      </c>
      <c r="AW4645" s="184">
        <v>45162</v>
      </c>
      <c r="AX4645" t="s">
        <v>10509</v>
      </c>
      <c r="AY4645">
        <v>25</v>
      </c>
      <c r="AZ4645" s="184">
        <v>45162</v>
      </c>
      <c r="BA4645" t="s">
        <v>10509</v>
      </c>
      <c r="BB4645">
        <v>25</v>
      </c>
      <c r="BC4645">
        <v>43</v>
      </c>
      <c r="BD4645">
        <v>255</v>
      </c>
      <c r="BE4645">
        <v>1997</v>
      </c>
      <c r="BF4645">
        <v>14</v>
      </c>
      <c r="BG4645">
        <v>2</v>
      </c>
      <c r="BH4645">
        <v>50</v>
      </c>
      <c r="BI4645">
        <v>12</v>
      </c>
      <c r="BJ4645">
        <v>28</v>
      </c>
      <c r="BK4645">
        <v>4</v>
      </c>
      <c r="BP4645" s="184"/>
    </row>
    <row r="4646" spans="1:68">
      <c r="A4646">
        <v>90686973</v>
      </c>
      <c r="B4646">
        <v>90686973</v>
      </c>
      <c r="C4646" t="s">
        <v>7018</v>
      </c>
      <c r="E4646" s="184"/>
      <c r="G4646" s="184"/>
      <c r="I4646" s="184"/>
      <c r="J4646" t="s">
        <v>595</v>
      </c>
      <c r="K4646" s="184">
        <v>43931</v>
      </c>
      <c r="M4646" s="184"/>
      <c r="O4646" s="184"/>
      <c r="P4646" t="s">
        <v>7045</v>
      </c>
      <c r="Q4646" t="s">
        <v>7383</v>
      </c>
      <c r="R4646" s="184">
        <v>22706</v>
      </c>
      <c r="S4646">
        <v>62</v>
      </c>
      <c r="U4646" t="s">
        <v>7031</v>
      </c>
      <c r="V4646" t="s">
        <v>3768</v>
      </c>
      <c r="X4646" t="s">
        <v>10871</v>
      </c>
      <c r="AF4646" t="s">
        <v>6704</v>
      </c>
      <c r="AG4646" t="s">
        <v>3768</v>
      </c>
      <c r="AI4646" t="s">
        <v>33741</v>
      </c>
      <c r="AM4646" t="s">
        <v>4634</v>
      </c>
      <c r="AN4646" t="s">
        <v>2162</v>
      </c>
      <c r="AO4646" t="s">
        <v>33742</v>
      </c>
      <c r="AP4646" t="s">
        <v>7024</v>
      </c>
      <c r="AQ4646" t="s">
        <v>33743</v>
      </c>
      <c r="AR4646" t="s">
        <v>33744</v>
      </c>
      <c r="AT4646" s="184">
        <v>41867</v>
      </c>
      <c r="AU4646" t="s">
        <v>33745</v>
      </c>
      <c r="AV4646">
        <v>25</v>
      </c>
      <c r="AW4646" s="184">
        <v>42302</v>
      </c>
      <c r="AX4646" t="s">
        <v>20313</v>
      </c>
      <c r="AY4646">
        <v>35</v>
      </c>
      <c r="AZ4646" s="184">
        <v>42302</v>
      </c>
      <c r="BA4646" t="s">
        <v>20313</v>
      </c>
      <c r="BB4646">
        <v>35</v>
      </c>
      <c r="BC4646">
        <v>19</v>
      </c>
      <c r="BD4646">
        <v>85</v>
      </c>
      <c r="BE4646">
        <v>2015</v>
      </c>
      <c r="BF4646">
        <v>3</v>
      </c>
      <c r="BI4646">
        <v>2</v>
      </c>
      <c r="BJ4646">
        <v>11</v>
      </c>
      <c r="BK4646">
        <v>2</v>
      </c>
      <c r="BN4646" t="s">
        <v>595</v>
      </c>
      <c r="BP4646" s="184"/>
    </row>
    <row r="4647" spans="1:68">
      <c r="A4647">
        <v>90737974</v>
      </c>
      <c r="B4647">
        <v>90737974</v>
      </c>
      <c r="C4647" t="s">
        <v>7018</v>
      </c>
      <c r="D4647" t="s">
        <v>595</v>
      </c>
      <c r="E4647" s="184">
        <v>45160</v>
      </c>
      <c r="G4647" s="184"/>
      <c r="I4647" s="184"/>
      <c r="K4647" s="184"/>
      <c r="M4647" s="184"/>
      <c r="O4647" s="184"/>
      <c r="P4647" t="s">
        <v>7045</v>
      </c>
      <c r="Q4647" t="s">
        <v>7494</v>
      </c>
      <c r="R4647" s="184">
        <v>18050</v>
      </c>
      <c r="S4647">
        <v>74</v>
      </c>
      <c r="V4647" t="s">
        <v>2058</v>
      </c>
      <c r="W4647" t="s">
        <v>4013</v>
      </c>
      <c r="X4647" t="s">
        <v>33746</v>
      </c>
      <c r="Z4647">
        <v>101106370</v>
      </c>
      <c r="AB4647" t="s">
        <v>7560</v>
      </c>
      <c r="AC4647" t="s">
        <v>2049</v>
      </c>
      <c r="AD4647" t="s">
        <v>33746</v>
      </c>
      <c r="AF4647" t="s">
        <v>33747</v>
      </c>
      <c r="AG4647" t="s">
        <v>33748</v>
      </c>
      <c r="AI4647" t="s">
        <v>33749</v>
      </c>
      <c r="AM4647" t="s">
        <v>3371</v>
      </c>
      <c r="AN4647" t="s">
        <v>2174</v>
      </c>
      <c r="AO4647" t="s">
        <v>33750</v>
      </c>
      <c r="AP4647" t="s">
        <v>7024</v>
      </c>
      <c r="AQ4647" t="s">
        <v>33751</v>
      </c>
      <c r="AT4647" s="184">
        <v>41705</v>
      </c>
      <c r="AU4647" t="s">
        <v>33752</v>
      </c>
      <c r="AV4647">
        <v>50</v>
      </c>
      <c r="AW4647" s="184">
        <v>45239</v>
      </c>
      <c r="AX4647" t="s">
        <v>19571</v>
      </c>
      <c r="AY4647">
        <v>55</v>
      </c>
      <c r="AZ4647" s="184">
        <v>44284</v>
      </c>
      <c r="BA4647" t="s">
        <v>33753</v>
      </c>
      <c r="BB4647">
        <v>75</v>
      </c>
      <c r="BC4647">
        <v>37</v>
      </c>
      <c r="BD4647">
        <v>265</v>
      </c>
      <c r="BE4647">
        <v>2014</v>
      </c>
      <c r="BF4647">
        <v>5</v>
      </c>
      <c r="BG4647">
        <v>2</v>
      </c>
      <c r="BH4647">
        <v>90</v>
      </c>
      <c r="BI4647">
        <v>4</v>
      </c>
      <c r="BJ4647">
        <v>11</v>
      </c>
      <c r="BK4647">
        <v>2</v>
      </c>
      <c r="BP4647" s="184"/>
    </row>
    <row r="4648" spans="1:68">
      <c r="A4648">
        <v>101106370</v>
      </c>
      <c r="B4648">
        <v>90737974</v>
      </c>
      <c r="C4648" t="s">
        <v>7018</v>
      </c>
      <c r="D4648" t="s">
        <v>595</v>
      </c>
      <c r="E4648" s="184">
        <v>45160</v>
      </c>
      <c r="G4648" s="184"/>
      <c r="I4648" s="184"/>
      <c r="K4648" s="184"/>
      <c r="M4648" s="184"/>
      <c r="O4648" s="184"/>
      <c r="P4648" t="s">
        <v>7045</v>
      </c>
      <c r="Q4648" t="s">
        <v>7494</v>
      </c>
      <c r="R4648" s="184">
        <v>18209</v>
      </c>
      <c r="S4648">
        <v>74</v>
      </c>
      <c r="V4648" t="s">
        <v>7560</v>
      </c>
      <c r="W4648" t="s">
        <v>2049</v>
      </c>
      <c r="X4648" t="s">
        <v>33746</v>
      </c>
      <c r="Z4648">
        <v>90737974</v>
      </c>
      <c r="AB4648" t="s">
        <v>2058</v>
      </c>
      <c r="AC4648" t="s">
        <v>4013</v>
      </c>
      <c r="AD4648" t="s">
        <v>33746</v>
      </c>
      <c r="AF4648" t="s">
        <v>33747</v>
      </c>
      <c r="AG4648" t="s">
        <v>33748</v>
      </c>
      <c r="AI4648" t="s">
        <v>33749</v>
      </c>
      <c r="AM4648" t="s">
        <v>3371</v>
      </c>
      <c r="AN4648" t="s">
        <v>2174</v>
      </c>
      <c r="AO4648" t="s">
        <v>33750</v>
      </c>
      <c r="AP4648" t="s">
        <v>7024</v>
      </c>
      <c r="AT4648" s="184"/>
      <c r="AW4648" s="184"/>
      <c r="AZ4648" s="184"/>
      <c r="BP4648" s="184"/>
    </row>
    <row r="4649" spans="1:68">
      <c r="A4649">
        <v>90748971</v>
      </c>
      <c r="B4649">
        <v>90748971</v>
      </c>
      <c r="C4649" t="s">
        <v>7018</v>
      </c>
      <c r="D4649" t="s">
        <v>595</v>
      </c>
      <c r="E4649" s="184">
        <v>45195</v>
      </c>
      <c r="G4649" s="184"/>
      <c r="I4649" s="184"/>
      <c r="K4649" s="184"/>
      <c r="M4649" s="184"/>
      <c r="O4649" s="184"/>
      <c r="P4649" t="s">
        <v>7045</v>
      </c>
      <c r="Q4649" t="s">
        <v>7030</v>
      </c>
      <c r="R4649" s="184">
        <v>23743</v>
      </c>
      <c r="S4649">
        <v>59</v>
      </c>
      <c r="U4649" t="s">
        <v>7031</v>
      </c>
      <c r="V4649" t="s">
        <v>24448</v>
      </c>
      <c r="W4649" t="s">
        <v>7560</v>
      </c>
      <c r="X4649" t="s">
        <v>33754</v>
      </c>
      <c r="AF4649" t="s">
        <v>33755</v>
      </c>
      <c r="AG4649" t="s">
        <v>24448</v>
      </c>
      <c r="AI4649" t="s">
        <v>33756</v>
      </c>
      <c r="AM4649" t="s">
        <v>29989</v>
      </c>
      <c r="AN4649" t="s">
        <v>2201</v>
      </c>
      <c r="AO4649" t="s">
        <v>33757</v>
      </c>
      <c r="AP4649" t="s">
        <v>7024</v>
      </c>
      <c r="AT4649" s="184">
        <v>41705</v>
      </c>
      <c r="AU4649" t="s">
        <v>33758</v>
      </c>
      <c r="AV4649">
        <v>15</v>
      </c>
      <c r="AW4649" s="184">
        <v>45336</v>
      </c>
      <c r="AX4649" t="s">
        <v>13371</v>
      </c>
      <c r="AY4649">
        <v>20</v>
      </c>
      <c r="AZ4649" s="184">
        <v>44165</v>
      </c>
      <c r="BA4649" t="s">
        <v>33759</v>
      </c>
      <c r="BB4649">
        <v>40</v>
      </c>
      <c r="BC4649">
        <v>91</v>
      </c>
      <c r="BD4649">
        <v>515</v>
      </c>
      <c r="BE4649">
        <v>2014</v>
      </c>
      <c r="BF4649">
        <v>20</v>
      </c>
      <c r="BG4649">
        <v>5</v>
      </c>
      <c r="BH4649">
        <v>130</v>
      </c>
      <c r="BI4649">
        <v>10</v>
      </c>
      <c r="BJ4649">
        <v>11</v>
      </c>
      <c r="BK4649">
        <v>7</v>
      </c>
      <c r="BP4649" s="184"/>
    </row>
    <row r="4650" spans="1:68">
      <c r="A4650">
        <v>90784372</v>
      </c>
      <c r="B4650">
        <v>90784372</v>
      </c>
      <c r="C4650" t="s">
        <v>7018</v>
      </c>
      <c r="D4650" t="s">
        <v>595</v>
      </c>
      <c r="E4650" s="184">
        <v>44067</v>
      </c>
      <c r="G4650" s="184"/>
      <c r="I4650" s="184"/>
      <c r="K4650" s="184"/>
      <c r="M4650" s="184"/>
      <c r="O4650" s="184"/>
      <c r="P4650" t="s">
        <v>7045</v>
      </c>
      <c r="Q4650" t="s">
        <v>7262</v>
      </c>
      <c r="R4650" s="184"/>
      <c r="U4650" t="s">
        <v>7031</v>
      </c>
      <c r="V4650" t="s">
        <v>4865</v>
      </c>
      <c r="W4650" t="s">
        <v>33760</v>
      </c>
      <c r="X4650" t="s">
        <v>4866</v>
      </c>
      <c r="Z4650">
        <v>101091282</v>
      </c>
      <c r="AB4650" t="s">
        <v>33761</v>
      </c>
      <c r="AD4650" t="s">
        <v>3257</v>
      </c>
      <c r="AF4650" t="s">
        <v>33762</v>
      </c>
      <c r="AG4650" t="s">
        <v>4865</v>
      </c>
      <c r="AI4650" t="s">
        <v>33763</v>
      </c>
      <c r="AJ4650" t="s">
        <v>33764</v>
      </c>
      <c r="AM4650" t="s">
        <v>2730</v>
      </c>
      <c r="AN4650" t="s">
        <v>2069</v>
      </c>
      <c r="AO4650" t="s">
        <v>33765</v>
      </c>
      <c r="AP4650" t="s">
        <v>7024</v>
      </c>
      <c r="AQ4650" t="s">
        <v>33766</v>
      </c>
      <c r="AR4650" t="s">
        <v>33767</v>
      </c>
      <c r="AT4650" s="184">
        <v>41927</v>
      </c>
      <c r="AU4650" t="s">
        <v>33768</v>
      </c>
      <c r="AV4650">
        <v>25</v>
      </c>
      <c r="AW4650" s="184">
        <v>45426</v>
      </c>
      <c r="AX4650" t="s">
        <v>7422</v>
      </c>
      <c r="AY4650">
        <v>20</v>
      </c>
      <c r="AZ4650" s="184">
        <v>44300</v>
      </c>
      <c r="BA4650" t="s">
        <v>22310</v>
      </c>
      <c r="BB4650">
        <v>200</v>
      </c>
      <c r="BC4650">
        <v>91</v>
      </c>
      <c r="BD4650">
        <v>1735</v>
      </c>
      <c r="BE4650">
        <v>2015</v>
      </c>
      <c r="BF4650">
        <v>72</v>
      </c>
      <c r="BG4650">
        <v>27</v>
      </c>
      <c r="BH4650">
        <v>705</v>
      </c>
      <c r="BI4650">
        <v>10</v>
      </c>
      <c r="BJ4650">
        <v>11</v>
      </c>
      <c r="BK4650">
        <v>9</v>
      </c>
      <c r="BP4650" s="184"/>
    </row>
    <row r="4651" spans="1:68">
      <c r="A4651">
        <v>90823576</v>
      </c>
      <c r="B4651">
        <v>90823576</v>
      </c>
      <c r="C4651" t="s">
        <v>7018</v>
      </c>
      <c r="E4651" s="184"/>
      <c r="G4651" s="184"/>
      <c r="I4651" s="184"/>
      <c r="J4651" t="s">
        <v>595</v>
      </c>
      <c r="K4651" s="184">
        <v>44065</v>
      </c>
      <c r="M4651" s="184"/>
      <c r="O4651" s="184"/>
      <c r="P4651" t="s">
        <v>7045</v>
      </c>
      <c r="Q4651" t="s">
        <v>7454</v>
      </c>
      <c r="R4651" s="184">
        <v>15980</v>
      </c>
      <c r="S4651">
        <v>80</v>
      </c>
      <c r="U4651" t="s">
        <v>7032</v>
      </c>
      <c r="V4651" t="s">
        <v>3293</v>
      </c>
      <c r="W4651" t="s">
        <v>7407</v>
      </c>
      <c r="X4651" t="s">
        <v>3684</v>
      </c>
      <c r="AF4651" t="s">
        <v>33769</v>
      </c>
      <c r="AG4651" t="s">
        <v>3293</v>
      </c>
      <c r="AI4651" t="s">
        <v>33770</v>
      </c>
      <c r="AM4651" t="s">
        <v>3780</v>
      </c>
      <c r="AN4651" t="s">
        <v>2055</v>
      </c>
      <c r="AO4651" t="s">
        <v>33771</v>
      </c>
      <c r="AP4651" t="s">
        <v>7024</v>
      </c>
      <c r="AQ4651" t="s">
        <v>33772</v>
      </c>
      <c r="AR4651" t="s">
        <v>33773</v>
      </c>
      <c r="AT4651" s="184">
        <v>41709</v>
      </c>
      <c r="AU4651" t="s">
        <v>33774</v>
      </c>
      <c r="AV4651">
        <v>15</v>
      </c>
      <c r="AW4651" s="184">
        <v>44564</v>
      </c>
      <c r="AX4651" t="s">
        <v>16646</v>
      </c>
      <c r="AY4651">
        <v>25</v>
      </c>
      <c r="AZ4651" s="184">
        <v>44564</v>
      </c>
      <c r="BA4651" t="s">
        <v>16646</v>
      </c>
      <c r="BB4651">
        <v>25</v>
      </c>
      <c r="BC4651">
        <v>55</v>
      </c>
      <c r="BD4651">
        <v>180</v>
      </c>
      <c r="BE4651">
        <v>2014</v>
      </c>
      <c r="BF4651">
        <v>8</v>
      </c>
      <c r="BI4651">
        <v>6</v>
      </c>
      <c r="BJ4651">
        <v>11</v>
      </c>
      <c r="BK4651">
        <v>3</v>
      </c>
      <c r="BP4651" s="184"/>
    </row>
    <row r="4652" spans="1:68">
      <c r="A4652">
        <v>90848714</v>
      </c>
      <c r="B4652">
        <v>90848714</v>
      </c>
      <c r="C4652" t="s">
        <v>7018</v>
      </c>
      <c r="D4652" t="s">
        <v>595</v>
      </c>
      <c r="E4652" s="184">
        <v>44438</v>
      </c>
      <c r="G4652" s="184"/>
      <c r="I4652" s="184"/>
      <c r="K4652" s="184"/>
      <c r="M4652" s="184"/>
      <c r="O4652" s="184"/>
      <c r="P4652" t="s">
        <v>7045</v>
      </c>
      <c r="Q4652" t="s">
        <v>7194</v>
      </c>
      <c r="R4652" s="184">
        <v>17566</v>
      </c>
      <c r="S4652">
        <v>76</v>
      </c>
      <c r="U4652" t="s">
        <v>7076</v>
      </c>
      <c r="V4652" t="s">
        <v>2718</v>
      </c>
      <c r="W4652" t="s">
        <v>115</v>
      </c>
      <c r="X4652" t="s">
        <v>33775</v>
      </c>
      <c r="AF4652" t="s">
        <v>33776</v>
      </c>
      <c r="AG4652" t="s">
        <v>2718</v>
      </c>
      <c r="AI4652" t="s">
        <v>33777</v>
      </c>
      <c r="AM4652" t="s">
        <v>4439</v>
      </c>
      <c r="AN4652" t="s">
        <v>2046</v>
      </c>
      <c r="AO4652" t="s">
        <v>33778</v>
      </c>
      <c r="AP4652" t="s">
        <v>7024</v>
      </c>
      <c r="AQ4652" t="s">
        <v>33779</v>
      </c>
      <c r="AR4652" t="s">
        <v>33780</v>
      </c>
      <c r="AT4652" s="184">
        <v>41716</v>
      </c>
      <c r="AU4652" t="s">
        <v>33781</v>
      </c>
      <c r="AV4652">
        <v>20</v>
      </c>
      <c r="AW4652" s="184">
        <v>44771</v>
      </c>
      <c r="AX4652" t="s">
        <v>17980</v>
      </c>
      <c r="AY4652">
        <v>25</v>
      </c>
      <c r="AZ4652" s="184">
        <v>42807</v>
      </c>
      <c r="BA4652" t="s">
        <v>33782</v>
      </c>
      <c r="BB4652">
        <v>35</v>
      </c>
      <c r="BC4652">
        <v>73</v>
      </c>
      <c r="BD4652">
        <v>225</v>
      </c>
      <c r="BE4652">
        <v>2014</v>
      </c>
      <c r="BF4652">
        <v>8</v>
      </c>
      <c r="BG4652">
        <v>1</v>
      </c>
      <c r="BH4652">
        <v>25</v>
      </c>
      <c r="BI4652">
        <v>8</v>
      </c>
      <c r="BJ4652">
        <v>11</v>
      </c>
      <c r="BK4652">
        <v>4</v>
      </c>
      <c r="BP4652" s="184"/>
    </row>
    <row r="4653" spans="1:68">
      <c r="A4653">
        <v>90864000</v>
      </c>
      <c r="B4653">
        <v>90864000</v>
      </c>
      <c r="C4653" t="s">
        <v>7018</v>
      </c>
      <c r="D4653" t="s">
        <v>595</v>
      </c>
      <c r="E4653" s="184">
        <v>44104</v>
      </c>
      <c r="G4653" s="184"/>
      <c r="I4653" s="184"/>
      <c r="K4653" s="184"/>
      <c r="M4653" s="184"/>
      <c r="O4653" s="184"/>
      <c r="P4653" t="s">
        <v>7045</v>
      </c>
      <c r="Q4653" t="s">
        <v>7383</v>
      </c>
      <c r="R4653" s="184">
        <v>18111</v>
      </c>
      <c r="S4653">
        <v>74</v>
      </c>
      <c r="U4653" t="s">
        <v>7076</v>
      </c>
      <c r="V4653" t="s">
        <v>30123</v>
      </c>
      <c r="X4653" t="s">
        <v>33783</v>
      </c>
      <c r="Z4653">
        <v>100156682</v>
      </c>
      <c r="AB4653" t="s">
        <v>2871</v>
      </c>
      <c r="AD4653" t="s">
        <v>33783</v>
      </c>
      <c r="AF4653" t="s">
        <v>33784</v>
      </c>
      <c r="AG4653" t="s">
        <v>33785</v>
      </c>
      <c r="AI4653" t="s">
        <v>33786</v>
      </c>
      <c r="AM4653" t="s">
        <v>5415</v>
      </c>
      <c r="AN4653" t="s">
        <v>2059</v>
      </c>
      <c r="AO4653" t="s">
        <v>33787</v>
      </c>
      <c r="AP4653" t="s">
        <v>7024</v>
      </c>
      <c r="AQ4653" t="s">
        <v>33788</v>
      </c>
      <c r="AT4653" s="184">
        <v>41717</v>
      </c>
      <c r="AU4653" t="s">
        <v>33789</v>
      </c>
      <c r="AV4653">
        <v>25</v>
      </c>
      <c r="AW4653" s="184">
        <v>45408</v>
      </c>
      <c r="AX4653" t="s">
        <v>8483</v>
      </c>
      <c r="AY4653">
        <v>10</v>
      </c>
      <c r="AZ4653" s="184">
        <v>42159</v>
      </c>
      <c r="BA4653" t="s">
        <v>33790</v>
      </c>
      <c r="BB4653">
        <v>40</v>
      </c>
      <c r="BC4653">
        <v>100</v>
      </c>
      <c r="BD4653">
        <v>1072</v>
      </c>
      <c r="BE4653">
        <v>2014</v>
      </c>
      <c r="BF4653">
        <v>99</v>
      </c>
      <c r="BG4653">
        <v>24</v>
      </c>
      <c r="BH4653">
        <v>240</v>
      </c>
      <c r="BI4653">
        <v>11</v>
      </c>
      <c r="BJ4653">
        <v>11</v>
      </c>
      <c r="BK4653">
        <v>11</v>
      </c>
      <c r="BP4653" s="184"/>
    </row>
    <row r="4654" spans="1:68">
      <c r="A4654">
        <v>100156682</v>
      </c>
      <c r="B4654">
        <v>90864000</v>
      </c>
      <c r="C4654" t="s">
        <v>7018</v>
      </c>
      <c r="D4654" t="s">
        <v>595</v>
      </c>
      <c r="E4654" s="184">
        <v>44104</v>
      </c>
      <c r="G4654" s="184"/>
      <c r="I4654" s="184"/>
      <c r="K4654" s="184"/>
      <c r="M4654" s="184"/>
      <c r="O4654" s="184"/>
      <c r="P4654" t="s">
        <v>7045</v>
      </c>
      <c r="Q4654" t="s">
        <v>7383</v>
      </c>
      <c r="R4654" s="184">
        <v>17409</v>
      </c>
      <c r="S4654">
        <v>76</v>
      </c>
      <c r="V4654" t="s">
        <v>2871</v>
      </c>
      <c r="X4654" t="s">
        <v>33783</v>
      </c>
      <c r="Z4654">
        <v>90864000</v>
      </c>
      <c r="AA4654" t="s">
        <v>7076</v>
      </c>
      <c r="AB4654" t="s">
        <v>30123</v>
      </c>
      <c r="AD4654" t="s">
        <v>33783</v>
      </c>
      <c r="AF4654" t="s">
        <v>33784</v>
      </c>
      <c r="AG4654" t="s">
        <v>33785</v>
      </c>
      <c r="AI4654" t="s">
        <v>33786</v>
      </c>
      <c r="AM4654" t="s">
        <v>5415</v>
      </c>
      <c r="AN4654" t="s">
        <v>2059</v>
      </c>
      <c r="AO4654" t="s">
        <v>33787</v>
      </c>
      <c r="AP4654" t="s">
        <v>7024</v>
      </c>
      <c r="AT4654" s="184"/>
      <c r="AW4654" s="184"/>
      <c r="AZ4654" s="184"/>
      <c r="BP4654" s="184"/>
    </row>
    <row r="4655" spans="1:68">
      <c r="A4655">
        <v>90880105</v>
      </c>
      <c r="B4655">
        <v>90880105</v>
      </c>
      <c r="C4655" t="s">
        <v>7018</v>
      </c>
      <c r="D4655" t="s">
        <v>595</v>
      </c>
      <c r="E4655" s="184">
        <v>44073</v>
      </c>
      <c r="G4655" s="184"/>
      <c r="I4655" s="184"/>
      <c r="K4655" s="184"/>
      <c r="M4655" s="184"/>
      <c r="O4655" s="184"/>
      <c r="P4655" t="s">
        <v>7029</v>
      </c>
      <c r="Q4655" t="s">
        <v>7454</v>
      </c>
      <c r="R4655" s="184">
        <v>17899</v>
      </c>
      <c r="S4655">
        <v>75</v>
      </c>
      <c r="V4655" t="s">
        <v>3272</v>
      </c>
      <c r="X4655" t="s">
        <v>5410</v>
      </c>
      <c r="Z4655">
        <v>100156720</v>
      </c>
      <c r="AB4655" t="s">
        <v>2541</v>
      </c>
      <c r="AD4655" t="s">
        <v>2893</v>
      </c>
      <c r="AF4655" t="s">
        <v>33791</v>
      </c>
      <c r="AG4655" t="s">
        <v>33792</v>
      </c>
      <c r="AI4655" t="s">
        <v>33793</v>
      </c>
      <c r="AM4655" t="s">
        <v>19833</v>
      </c>
      <c r="AN4655" t="s">
        <v>2299</v>
      </c>
      <c r="AO4655" t="s">
        <v>33794</v>
      </c>
      <c r="AP4655" t="s">
        <v>7024</v>
      </c>
      <c r="AT4655" s="184">
        <v>41719</v>
      </c>
      <c r="AU4655" t="s">
        <v>33795</v>
      </c>
      <c r="AV4655">
        <v>100</v>
      </c>
      <c r="AW4655" s="184">
        <v>45264</v>
      </c>
      <c r="AX4655" t="s">
        <v>9037</v>
      </c>
      <c r="AY4655">
        <v>1000</v>
      </c>
      <c r="AZ4655" s="184">
        <v>45264</v>
      </c>
      <c r="BA4655" t="s">
        <v>9037</v>
      </c>
      <c r="BB4655">
        <v>1000</v>
      </c>
      <c r="BC4655">
        <v>91</v>
      </c>
      <c r="BD4655">
        <v>8500</v>
      </c>
      <c r="BE4655">
        <v>2014</v>
      </c>
      <c r="BF4655">
        <v>14</v>
      </c>
      <c r="BG4655">
        <v>2</v>
      </c>
      <c r="BH4655">
        <v>2000</v>
      </c>
      <c r="BI4655">
        <v>10</v>
      </c>
      <c r="BJ4655">
        <v>11</v>
      </c>
      <c r="BK4655">
        <v>10</v>
      </c>
      <c r="BP4655" s="184"/>
    </row>
    <row r="4656" spans="1:68">
      <c r="A4656">
        <v>100156720</v>
      </c>
      <c r="B4656">
        <v>90880105</v>
      </c>
      <c r="C4656" t="s">
        <v>7018</v>
      </c>
      <c r="D4656" t="s">
        <v>595</v>
      </c>
      <c r="E4656" s="184">
        <v>44073</v>
      </c>
      <c r="G4656" s="184"/>
      <c r="I4656" s="184"/>
      <c r="K4656" s="184"/>
      <c r="M4656" s="184"/>
      <c r="O4656" s="184"/>
      <c r="P4656" t="s">
        <v>7029</v>
      </c>
      <c r="Q4656" t="s">
        <v>7454</v>
      </c>
      <c r="R4656" s="184">
        <v>17899</v>
      </c>
      <c r="S4656">
        <v>75</v>
      </c>
      <c r="V4656" t="s">
        <v>2541</v>
      </c>
      <c r="X4656" t="s">
        <v>2893</v>
      </c>
      <c r="Z4656">
        <v>90880105</v>
      </c>
      <c r="AB4656" t="s">
        <v>3272</v>
      </c>
      <c r="AD4656" t="s">
        <v>5410</v>
      </c>
      <c r="AF4656" t="s">
        <v>33791</v>
      </c>
      <c r="AG4656" t="s">
        <v>33792</v>
      </c>
      <c r="AI4656" t="s">
        <v>33793</v>
      </c>
      <c r="AM4656" t="s">
        <v>19833</v>
      </c>
      <c r="AN4656" t="s">
        <v>2299</v>
      </c>
      <c r="AO4656" t="s">
        <v>33794</v>
      </c>
      <c r="AP4656" t="s">
        <v>7024</v>
      </c>
      <c r="AQ4656" t="s">
        <v>33796</v>
      </c>
      <c r="AT4656" s="184"/>
      <c r="AW4656" s="184"/>
      <c r="AZ4656" s="184"/>
      <c r="BP4656" s="184"/>
    </row>
    <row r="4657" spans="1:68">
      <c r="A4657">
        <v>90938374</v>
      </c>
      <c r="B4657">
        <v>90938374</v>
      </c>
      <c r="C4657" t="s">
        <v>7018</v>
      </c>
      <c r="D4657" t="s">
        <v>595</v>
      </c>
      <c r="E4657" s="184">
        <v>45152</v>
      </c>
      <c r="G4657" s="184"/>
      <c r="I4657" s="184"/>
      <c r="K4657" s="184"/>
      <c r="M4657" s="184"/>
      <c r="O4657" s="184"/>
      <c r="P4657" t="s">
        <v>7045</v>
      </c>
      <c r="Q4657" t="s">
        <v>7383</v>
      </c>
      <c r="R4657" s="184">
        <v>22518</v>
      </c>
      <c r="S4657">
        <v>62</v>
      </c>
      <c r="V4657" t="s">
        <v>3435</v>
      </c>
      <c r="X4657" t="s">
        <v>3520</v>
      </c>
      <c r="AF4657" t="s">
        <v>33797</v>
      </c>
      <c r="AG4657" t="s">
        <v>3435</v>
      </c>
      <c r="AI4657" t="s">
        <v>33798</v>
      </c>
      <c r="AM4657" t="s">
        <v>3357</v>
      </c>
      <c r="AN4657" t="s">
        <v>2185</v>
      </c>
      <c r="AO4657" t="s">
        <v>33799</v>
      </c>
      <c r="AP4657" t="s">
        <v>7024</v>
      </c>
      <c r="AQ4657" t="s">
        <v>33800</v>
      </c>
      <c r="AT4657" s="184">
        <v>41722</v>
      </c>
      <c r="AU4657" t="s">
        <v>33801</v>
      </c>
      <c r="AV4657">
        <v>25</v>
      </c>
      <c r="AW4657" s="184">
        <v>45378</v>
      </c>
      <c r="AX4657" t="s">
        <v>17901</v>
      </c>
      <c r="AY4657">
        <v>60</v>
      </c>
      <c r="AZ4657" s="184">
        <v>45378</v>
      </c>
      <c r="BA4657" t="s">
        <v>17901</v>
      </c>
      <c r="BB4657">
        <v>60</v>
      </c>
      <c r="BC4657">
        <v>100</v>
      </c>
      <c r="BD4657">
        <v>805</v>
      </c>
      <c r="BE4657">
        <v>2014</v>
      </c>
      <c r="BF4657">
        <v>19</v>
      </c>
      <c r="BG4657">
        <v>3</v>
      </c>
      <c r="BH4657">
        <v>170</v>
      </c>
      <c r="BI4657">
        <v>11</v>
      </c>
      <c r="BJ4657">
        <v>11</v>
      </c>
      <c r="BK4657">
        <v>11</v>
      </c>
      <c r="BN4657" t="s">
        <v>595</v>
      </c>
      <c r="BP4657" s="184"/>
    </row>
    <row r="4658" spans="1:68">
      <c r="A4658">
        <v>90944893</v>
      </c>
      <c r="B4658">
        <v>90944893</v>
      </c>
      <c r="C4658" t="s">
        <v>7018</v>
      </c>
      <c r="D4658" t="s">
        <v>595</v>
      </c>
      <c r="E4658" s="184">
        <v>44414</v>
      </c>
      <c r="G4658" s="184"/>
      <c r="I4658" s="184"/>
      <c r="K4658" s="184"/>
      <c r="M4658" s="184"/>
      <c r="O4658" s="184"/>
      <c r="P4658" t="s">
        <v>7045</v>
      </c>
      <c r="Q4658" t="s">
        <v>7262</v>
      </c>
      <c r="R4658" s="184">
        <v>12299</v>
      </c>
      <c r="S4658">
        <v>90</v>
      </c>
      <c r="V4658" t="s">
        <v>2863</v>
      </c>
      <c r="X4658" t="s">
        <v>4710</v>
      </c>
      <c r="AF4658" t="s">
        <v>33802</v>
      </c>
      <c r="AG4658" t="s">
        <v>2863</v>
      </c>
      <c r="AI4658" t="s">
        <v>33803</v>
      </c>
      <c r="AM4658" t="s">
        <v>4126</v>
      </c>
      <c r="AN4658" t="s">
        <v>2069</v>
      </c>
      <c r="AO4658" t="s">
        <v>33804</v>
      </c>
      <c r="AP4658" t="s">
        <v>7024</v>
      </c>
      <c r="AQ4658" t="s">
        <v>33805</v>
      </c>
      <c r="AR4658" t="s">
        <v>33806</v>
      </c>
      <c r="AT4658" s="184">
        <v>41723</v>
      </c>
      <c r="AU4658" t="s">
        <v>33807</v>
      </c>
      <c r="AV4658">
        <v>25</v>
      </c>
      <c r="AW4658" s="184">
        <v>45126</v>
      </c>
      <c r="AX4658" t="s">
        <v>26514</v>
      </c>
      <c r="AY4658">
        <v>20</v>
      </c>
      <c r="AZ4658" s="184">
        <v>45103</v>
      </c>
      <c r="BA4658" t="s">
        <v>17919</v>
      </c>
      <c r="BB4658">
        <v>25</v>
      </c>
      <c r="BC4658">
        <v>73</v>
      </c>
      <c r="BD4658">
        <v>325</v>
      </c>
      <c r="BE4658">
        <v>2014</v>
      </c>
      <c r="BF4658">
        <v>14</v>
      </c>
      <c r="BG4658">
        <v>3</v>
      </c>
      <c r="BH4658">
        <v>70</v>
      </c>
      <c r="BI4658">
        <v>8</v>
      </c>
      <c r="BJ4658">
        <v>11</v>
      </c>
      <c r="BK4658">
        <v>4</v>
      </c>
      <c r="BP4658" s="184"/>
    </row>
    <row r="4659" spans="1:68">
      <c r="A4659">
        <v>90959578</v>
      </c>
      <c r="B4659">
        <v>90959578</v>
      </c>
      <c r="C4659" t="s">
        <v>7018</v>
      </c>
      <c r="E4659" s="184"/>
      <c r="G4659" s="184"/>
      <c r="I4659" s="184"/>
      <c r="J4659" t="s">
        <v>595</v>
      </c>
      <c r="K4659" s="184">
        <v>44670</v>
      </c>
      <c r="M4659" s="184"/>
      <c r="O4659" s="184"/>
      <c r="P4659" t="s">
        <v>7084</v>
      </c>
      <c r="Q4659" t="s">
        <v>7030</v>
      </c>
      <c r="R4659" s="184">
        <v>19456</v>
      </c>
      <c r="S4659">
        <v>71</v>
      </c>
      <c r="V4659" t="s">
        <v>3770</v>
      </c>
      <c r="W4659" t="s">
        <v>31452</v>
      </c>
      <c r="X4659" t="s">
        <v>2977</v>
      </c>
      <c r="AF4659" t="s">
        <v>33808</v>
      </c>
      <c r="AG4659" t="s">
        <v>3770</v>
      </c>
      <c r="AI4659" t="s">
        <v>33809</v>
      </c>
      <c r="AM4659" t="s">
        <v>33810</v>
      </c>
      <c r="AN4659" t="s">
        <v>2089</v>
      </c>
      <c r="AO4659" t="s">
        <v>33811</v>
      </c>
      <c r="AP4659" t="s">
        <v>7024</v>
      </c>
      <c r="AT4659" s="184">
        <v>44767</v>
      </c>
      <c r="AU4659" t="s">
        <v>7721</v>
      </c>
      <c r="AV4659">
        <v>1000000.01</v>
      </c>
      <c r="AW4659" s="184">
        <v>44774</v>
      </c>
      <c r="AX4659" t="s">
        <v>7721</v>
      </c>
      <c r="AY4659">
        <v>194793.42</v>
      </c>
      <c r="AZ4659" s="184">
        <v>44767</v>
      </c>
      <c r="BA4659" t="s">
        <v>7721</v>
      </c>
      <c r="BB4659">
        <v>1000000.01</v>
      </c>
      <c r="BC4659">
        <v>34</v>
      </c>
      <c r="BD4659">
        <v>1194793.43</v>
      </c>
      <c r="BE4659">
        <v>2023</v>
      </c>
      <c r="BF4659">
        <v>2</v>
      </c>
      <c r="BG4659">
        <v>2</v>
      </c>
      <c r="BH4659">
        <v>1194793.43</v>
      </c>
      <c r="BI4659">
        <v>1</v>
      </c>
      <c r="BJ4659">
        <v>3</v>
      </c>
      <c r="BK4659">
        <v>1</v>
      </c>
      <c r="BO4659" t="s">
        <v>595</v>
      </c>
      <c r="BP4659" s="184">
        <v>44601</v>
      </c>
    </row>
    <row r="4660" spans="1:68">
      <c r="A4660">
        <v>90966953</v>
      </c>
      <c r="B4660">
        <v>90966953</v>
      </c>
      <c r="C4660" t="s">
        <v>7018</v>
      </c>
      <c r="D4660" t="s">
        <v>595</v>
      </c>
      <c r="E4660" s="184">
        <v>44073</v>
      </c>
      <c r="G4660" s="184"/>
      <c r="I4660" s="184"/>
      <c r="K4660" s="184"/>
      <c r="M4660" s="184"/>
      <c r="O4660" s="184"/>
      <c r="P4660" t="s">
        <v>7045</v>
      </c>
      <c r="Q4660" t="s">
        <v>7020</v>
      </c>
      <c r="R4660" s="184">
        <v>20210</v>
      </c>
      <c r="S4660">
        <v>69</v>
      </c>
      <c r="U4660" t="s">
        <v>7076</v>
      </c>
      <c r="V4660" t="s">
        <v>2602</v>
      </c>
      <c r="W4660" t="s">
        <v>7560</v>
      </c>
      <c r="X4660" t="s">
        <v>5464</v>
      </c>
      <c r="AF4660" t="s">
        <v>33812</v>
      </c>
      <c r="AG4660" t="s">
        <v>2602</v>
      </c>
      <c r="AI4660" t="s">
        <v>33813</v>
      </c>
      <c r="AM4660" t="s">
        <v>25880</v>
      </c>
      <c r="AN4660" t="s">
        <v>2206</v>
      </c>
      <c r="AO4660" t="s">
        <v>33814</v>
      </c>
      <c r="AP4660" t="s">
        <v>7024</v>
      </c>
      <c r="AQ4660" t="s">
        <v>33815</v>
      </c>
      <c r="AR4660" t="s">
        <v>33816</v>
      </c>
      <c r="AT4660" s="184">
        <v>41729</v>
      </c>
      <c r="AU4660" t="s">
        <v>33817</v>
      </c>
      <c r="AV4660">
        <v>25</v>
      </c>
      <c r="AW4660" s="184">
        <v>44571</v>
      </c>
      <c r="AX4660" t="s">
        <v>33818</v>
      </c>
      <c r="AY4660">
        <v>25</v>
      </c>
      <c r="AZ4660" s="184">
        <v>44571</v>
      </c>
      <c r="BA4660" t="s">
        <v>33818</v>
      </c>
      <c r="BB4660">
        <v>25</v>
      </c>
      <c r="BC4660">
        <v>46</v>
      </c>
      <c r="BD4660">
        <v>140</v>
      </c>
      <c r="BE4660">
        <v>2014</v>
      </c>
      <c r="BF4660">
        <v>6</v>
      </c>
      <c r="BI4660">
        <v>5</v>
      </c>
      <c r="BJ4660">
        <v>11</v>
      </c>
      <c r="BK4660">
        <v>2</v>
      </c>
      <c r="BN4660" t="s">
        <v>595</v>
      </c>
      <c r="BP4660" s="184"/>
    </row>
    <row r="4661" spans="1:68">
      <c r="A4661">
        <v>91001800</v>
      </c>
      <c r="B4661">
        <v>91001800</v>
      </c>
      <c r="C4661" t="s">
        <v>7018</v>
      </c>
      <c r="D4661" t="s">
        <v>595</v>
      </c>
      <c r="E4661" s="184">
        <v>45175</v>
      </c>
      <c r="G4661" s="184"/>
      <c r="I4661" s="184"/>
      <c r="K4661" s="184"/>
      <c r="M4661" s="184"/>
      <c r="O4661" s="184"/>
      <c r="P4661" t="s">
        <v>7045</v>
      </c>
      <c r="Q4661" t="s">
        <v>7383</v>
      </c>
      <c r="R4661" s="184">
        <v>20108</v>
      </c>
      <c r="S4661">
        <v>69</v>
      </c>
      <c r="U4661" t="s">
        <v>7031</v>
      </c>
      <c r="V4661" t="s">
        <v>33819</v>
      </c>
      <c r="X4661" t="s">
        <v>33820</v>
      </c>
      <c r="AF4661" t="s">
        <v>33821</v>
      </c>
      <c r="AG4661" t="s">
        <v>33819</v>
      </c>
      <c r="AI4661" t="s">
        <v>33822</v>
      </c>
      <c r="AM4661" t="s">
        <v>33823</v>
      </c>
      <c r="AN4661" t="s">
        <v>2185</v>
      </c>
      <c r="AO4661" t="s">
        <v>33824</v>
      </c>
      <c r="AP4661" t="s">
        <v>7024</v>
      </c>
      <c r="AQ4661" t="s">
        <v>33825</v>
      </c>
      <c r="AT4661" s="184">
        <v>42437</v>
      </c>
      <c r="AU4661" t="s">
        <v>33826</v>
      </c>
      <c r="AV4661">
        <v>25</v>
      </c>
      <c r="AW4661" s="184">
        <v>45296</v>
      </c>
      <c r="AX4661" t="s">
        <v>22863</v>
      </c>
      <c r="AY4661">
        <v>40</v>
      </c>
      <c r="AZ4661" s="184">
        <v>43420</v>
      </c>
      <c r="BA4661" t="s">
        <v>33827</v>
      </c>
      <c r="BB4661">
        <v>50</v>
      </c>
      <c r="BC4661">
        <v>78</v>
      </c>
      <c r="BD4661">
        <v>340</v>
      </c>
      <c r="BE4661">
        <v>2016</v>
      </c>
      <c r="BF4661">
        <v>10</v>
      </c>
      <c r="BG4661">
        <v>2</v>
      </c>
      <c r="BH4661">
        <v>80</v>
      </c>
      <c r="BI4661">
        <v>7</v>
      </c>
      <c r="BJ4661">
        <v>9</v>
      </c>
      <c r="BK4661">
        <v>3</v>
      </c>
      <c r="BP4661" s="184"/>
    </row>
    <row r="4662" spans="1:68">
      <c r="A4662">
        <v>91024786</v>
      </c>
      <c r="B4662">
        <v>91024786</v>
      </c>
      <c r="C4662" t="s">
        <v>7018</v>
      </c>
      <c r="D4662" t="s">
        <v>595</v>
      </c>
      <c r="E4662" s="184">
        <v>45112</v>
      </c>
      <c r="G4662" s="184"/>
      <c r="I4662" s="184"/>
      <c r="K4662" s="184"/>
      <c r="M4662" s="184"/>
      <c r="O4662" s="184"/>
      <c r="P4662" t="s">
        <v>7045</v>
      </c>
      <c r="Q4662" t="s">
        <v>7383</v>
      </c>
      <c r="R4662" s="184">
        <v>15439</v>
      </c>
      <c r="S4662">
        <v>82</v>
      </c>
      <c r="U4662" t="s">
        <v>7076</v>
      </c>
      <c r="V4662" t="s">
        <v>3293</v>
      </c>
      <c r="X4662" t="s">
        <v>33828</v>
      </c>
      <c r="Z4662">
        <v>100157015</v>
      </c>
      <c r="AB4662" t="s">
        <v>2697</v>
      </c>
      <c r="AD4662" t="s">
        <v>33828</v>
      </c>
      <c r="AF4662" t="s">
        <v>33829</v>
      </c>
      <c r="AG4662" t="s">
        <v>14493</v>
      </c>
      <c r="AI4662" t="s">
        <v>33830</v>
      </c>
      <c r="AM4662" t="s">
        <v>3153</v>
      </c>
      <c r="AN4662" t="s">
        <v>2313</v>
      </c>
      <c r="AO4662" t="s">
        <v>33831</v>
      </c>
      <c r="AP4662" t="s">
        <v>7024</v>
      </c>
      <c r="AQ4662" t="s">
        <v>33832</v>
      </c>
      <c r="AT4662" s="184">
        <v>41855</v>
      </c>
      <c r="AU4662" t="s">
        <v>33833</v>
      </c>
      <c r="AV4662">
        <v>15</v>
      </c>
      <c r="AW4662" s="184">
        <v>45134</v>
      </c>
      <c r="AX4662" t="s">
        <v>33834</v>
      </c>
      <c r="AY4662">
        <v>25</v>
      </c>
      <c r="AZ4662" s="184">
        <v>42621</v>
      </c>
      <c r="BA4662" t="s">
        <v>33835</v>
      </c>
      <c r="BB4662">
        <v>60</v>
      </c>
      <c r="BC4662">
        <v>55</v>
      </c>
      <c r="BD4662">
        <v>215</v>
      </c>
      <c r="BE4662">
        <v>2015</v>
      </c>
      <c r="BF4662">
        <v>7</v>
      </c>
      <c r="BG4662">
        <v>1</v>
      </c>
      <c r="BH4662">
        <v>25</v>
      </c>
      <c r="BI4662">
        <v>6</v>
      </c>
      <c r="BJ4662">
        <v>11</v>
      </c>
      <c r="BK4662">
        <v>3</v>
      </c>
      <c r="BP4662" s="184"/>
    </row>
    <row r="4663" spans="1:68">
      <c r="A4663">
        <v>100157015</v>
      </c>
      <c r="B4663">
        <v>91024786</v>
      </c>
      <c r="C4663" t="s">
        <v>7018</v>
      </c>
      <c r="D4663" t="s">
        <v>595</v>
      </c>
      <c r="E4663" s="184">
        <v>45112</v>
      </c>
      <c r="G4663" s="184"/>
      <c r="I4663" s="184"/>
      <c r="K4663" s="184"/>
      <c r="M4663" s="184"/>
      <c r="O4663" s="184"/>
      <c r="P4663" t="s">
        <v>7045</v>
      </c>
      <c r="Q4663" t="s">
        <v>7383</v>
      </c>
      <c r="R4663" s="184">
        <v>15656</v>
      </c>
      <c r="S4663">
        <v>81</v>
      </c>
      <c r="V4663" t="s">
        <v>2697</v>
      </c>
      <c r="X4663" t="s">
        <v>33828</v>
      </c>
      <c r="Z4663">
        <v>91024786</v>
      </c>
      <c r="AA4663" t="s">
        <v>7076</v>
      </c>
      <c r="AB4663" t="s">
        <v>3293</v>
      </c>
      <c r="AD4663" t="s">
        <v>33828</v>
      </c>
      <c r="AF4663" t="s">
        <v>33829</v>
      </c>
      <c r="AG4663" t="s">
        <v>14493</v>
      </c>
      <c r="AI4663" t="s">
        <v>33830</v>
      </c>
      <c r="AM4663" t="s">
        <v>3153</v>
      </c>
      <c r="AN4663" t="s">
        <v>2313</v>
      </c>
      <c r="AO4663" t="s">
        <v>33831</v>
      </c>
      <c r="AP4663" t="s">
        <v>7024</v>
      </c>
      <c r="AT4663" s="184"/>
      <c r="AW4663" s="184"/>
      <c r="AZ4663" s="184"/>
      <c r="BP4663" s="184"/>
    </row>
    <row r="4664" spans="1:68">
      <c r="A4664">
        <v>91036111</v>
      </c>
      <c r="B4664">
        <v>91036111</v>
      </c>
      <c r="C4664" t="s">
        <v>7018</v>
      </c>
      <c r="E4664" s="184"/>
      <c r="F4664" t="s">
        <v>595</v>
      </c>
      <c r="G4664" s="184">
        <v>43647</v>
      </c>
      <c r="I4664" s="184"/>
      <c r="K4664" s="184"/>
      <c r="M4664" s="184"/>
      <c r="O4664" s="184"/>
      <c r="P4664" t="s">
        <v>7045</v>
      </c>
      <c r="Q4664" t="s">
        <v>7030</v>
      </c>
      <c r="R4664" s="184">
        <v>16803</v>
      </c>
      <c r="S4664">
        <v>78</v>
      </c>
      <c r="U4664" t="s">
        <v>7031</v>
      </c>
      <c r="V4664" t="s">
        <v>3393</v>
      </c>
      <c r="X4664" t="s">
        <v>3600</v>
      </c>
      <c r="AF4664" t="s">
        <v>33836</v>
      </c>
      <c r="AG4664" t="s">
        <v>3393</v>
      </c>
      <c r="AI4664" t="s">
        <v>33837</v>
      </c>
      <c r="AM4664" t="s">
        <v>3601</v>
      </c>
      <c r="AN4664" t="s">
        <v>2201</v>
      </c>
      <c r="AO4664" t="s">
        <v>33838</v>
      </c>
      <c r="AP4664" t="s">
        <v>7024</v>
      </c>
      <c r="AQ4664" t="s">
        <v>33839</v>
      </c>
      <c r="AT4664" s="184">
        <v>41733</v>
      </c>
      <c r="AU4664" t="s">
        <v>33840</v>
      </c>
      <c r="AV4664">
        <v>50</v>
      </c>
      <c r="AW4664" s="184">
        <v>45202</v>
      </c>
      <c r="AX4664" t="s">
        <v>8805</v>
      </c>
      <c r="AY4664">
        <v>250</v>
      </c>
      <c r="AZ4664" s="184">
        <v>45202</v>
      </c>
      <c r="BA4664" t="s">
        <v>8805</v>
      </c>
      <c r="BB4664">
        <v>250</v>
      </c>
      <c r="BC4664">
        <v>82</v>
      </c>
      <c r="BD4664">
        <v>2525</v>
      </c>
      <c r="BE4664">
        <v>2014</v>
      </c>
      <c r="BF4664">
        <v>17</v>
      </c>
      <c r="BG4664">
        <v>3</v>
      </c>
      <c r="BH4664">
        <v>750</v>
      </c>
      <c r="BI4664">
        <v>9</v>
      </c>
      <c r="BJ4664">
        <v>11</v>
      </c>
      <c r="BK4664">
        <v>5</v>
      </c>
      <c r="BP4664" s="184"/>
    </row>
    <row r="4665" spans="1:68">
      <c r="A4665">
        <v>91039578</v>
      </c>
      <c r="B4665">
        <v>91039578</v>
      </c>
      <c r="C4665" t="s">
        <v>7018</v>
      </c>
      <c r="D4665" t="s">
        <v>595</v>
      </c>
      <c r="E4665" s="184">
        <v>44167</v>
      </c>
      <c r="G4665" s="184"/>
      <c r="I4665" s="184"/>
      <c r="K4665" s="184"/>
      <c r="M4665" s="184"/>
      <c r="O4665" s="184"/>
      <c r="P4665" t="s">
        <v>7045</v>
      </c>
      <c r="Q4665" t="s">
        <v>7262</v>
      </c>
      <c r="R4665" s="184">
        <v>15814</v>
      </c>
      <c r="S4665">
        <v>81</v>
      </c>
      <c r="V4665" t="s">
        <v>3230</v>
      </c>
      <c r="X4665" t="s">
        <v>33841</v>
      </c>
      <c r="AF4665" t="s">
        <v>33842</v>
      </c>
      <c r="AG4665" t="s">
        <v>3230</v>
      </c>
      <c r="AI4665" t="s">
        <v>33843</v>
      </c>
      <c r="AM4665" t="s">
        <v>5586</v>
      </c>
      <c r="AN4665" t="s">
        <v>2069</v>
      </c>
      <c r="AO4665" t="s">
        <v>33844</v>
      </c>
      <c r="AP4665" t="s">
        <v>7024</v>
      </c>
      <c r="AQ4665" t="s">
        <v>33845</v>
      </c>
      <c r="AT4665" s="184">
        <v>41736</v>
      </c>
      <c r="AU4665" t="s">
        <v>33846</v>
      </c>
      <c r="AV4665">
        <v>25</v>
      </c>
      <c r="AW4665" s="184">
        <v>45420</v>
      </c>
      <c r="AX4665" t="s">
        <v>33847</v>
      </c>
      <c r="AY4665">
        <v>300</v>
      </c>
      <c r="AZ4665" s="184">
        <v>45420</v>
      </c>
      <c r="BA4665" t="s">
        <v>33847</v>
      </c>
      <c r="BB4665">
        <v>300</v>
      </c>
      <c r="BC4665">
        <v>91</v>
      </c>
      <c r="BD4665">
        <v>2510</v>
      </c>
      <c r="BE4665">
        <v>2014</v>
      </c>
      <c r="BF4665">
        <v>12</v>
      </c>
      <c r="BG4665">
        <v>2</v>
      </c>
      <c r="BH4665">
        <v>600</v>
      </c>
      <c r="BI4665">
        <v>10</v>
      </c>
      <c r="BJ4665">
        <v>11</v>
      </c>
      <c r="BK4665">
        <v>7</v>
      </c>
      <c r="BN4665" t="s">
        <v>595</v>
      </c>
      <c r="BP4665" s="184"/>
    </row>
    <row r="4666" spans="1:68">
      <c r="A4666">
        <v>91087510</v>
      </c>
      <c r="B4666">
        <v>91087510</v>
      </c>
      <c r="C4666" t="s">
        <v>7018</v>
      </c>
      <c r="E4666" s="184"/>
      <c r="G4666" s="184"/>
      <c r="I4666" s="184"/>
      <c r="K4666" s="184"/>
      <c r="L4666" t="s">
        <v>595</v>
      </c>
      <c r="M4666" s="184">
        <v>44781</v>
      </c>
      <c r="O4666" s="184"/>
      <c r="P4666" t="s">
        <v>7045</v>
      </c>
      <c r="Q4666" t="s">
        <v>7020</v>
      </c>
      <c r="R4666" s="184">
        <v>18629</v>
      </c>
      <c r="S4666">
        <v>73</v>
      </c>
      <c r="U4666" t="s">
        <v>7031</v>
      </c>
      <c r="V4666" t="s">
        <v>3206</v>
      </c>
      <c r="X4666" t="s">
        <v>33848</v>
      </c>
      <c r="AF4666" t="s">
        <v>33849</v>
      </c>
      <c r="AG4666" t="s">
        <v>3206</v>
      </c>
      <c r="AI4666" t="s">
        <v>33850</v>
      </c>
      <c r="AM4666" t="s">
        <v>4104</v>
      </c>
      <c r="AN4666" t="s">
        <v>2363</v>
      </c>
      <c r="AO4666" t="s">
        <v>33851</v>
      </c>
      <c r="AP4666" t="s">
        <v>7024</v>
      </c>
      <c r="AQ4666" t="s">
        <v>33852</v>
      </c>
      <c r="AT4666" s="184">
        <v>41740</v>
      </c>
      <c r="AU4666" t="s">
        <v>33853</v>
      </c>
      <c r="AV4666">
        <v>25</v>
      </c>
      <c r="AW4666" s="184">
        <v>43803</v>
      </c>
      <c r="AX4666" t="s">
        <v>33854</v>
      </c>
      <c r="AY4666">
        <v>90</v>
      </c>
      <c r="AZ4666" s="184">
        <v>43803</v>
      </c>
      <c r="BA4666" t="s">
        <v>33854</v>
      </c>
      <c r="BB4666">
        <v>90</v>
      </c>
      <c r="BC4666">
        <v>55</v>
      </c>
      <c r="BD4666">
        <v>285</v>
      </c>
      <c r="BE4666">
        <v>2014</v>
      </c>
      <c r="BF4666">
        <v>6</v>
      </c>
      <c r="BI4666">
        <v>6</v>
      </c>
      <c r="BJ4666">
        <v>11</v>
      </c>
      <c r="BK4666">
        <v>6</v>
      </c>
      <c r="BP4666" s="184"/>
    </row>
    <row r="4667" spans="1:68">
      <c r="A4667">
        <v>91092601</v>
      </c>
      <c r="B4667">
        <v>91092601</v>
      </c>
      <c r="C4667" t="s">
        <v>7018</v>
      </c>
      <c r="E4667" s="184"/>
      <c r="G4667" s="184"/>
      <c r="I4667" s="184"/>
      <c r="J4667" t="s">
        <v>595</v>
      </c>
      <c r="K4667" s="184">
        <v>41835</v>
      </c>
      <c r="M4667" s="184"/>
      <c r="O4667" s="184"/>
      <c r="P4667" t="s">
        <v>7045</v>
      </c>
      <c r="Q4667" t="s">
        <v>7383</v>
      </c>
      <c r="R4667" s="184">
        <v>31173</v>
      </c>
      <c r="S4667">
        <v>39</v>
      </c>
      <c r="U4667" t="s">
        <v>7076</v>
      </c>
      <c r="V4667" t="s">
        <v>2742</v>
      </c>
      <c r="W4667" t="s">
        <v>4013</v>
      </c>
      <c r="X4667" t="s">
        <v>2686</v>
      </c>
      <c r="AF4667" t="s">
        <v>6735</v>
      </c>
      <c r="AG4667" t="s">
        <v>2742</v>
      </c>
      <c r="AI4667" t="s">
        <v>33855</v>
      </c>
      <c r="AM4667" t="s">
        <v>33856</v>
      </c>
      <c r="AN4667" t="s">
        <v>2274</v>
      </c>
      <c r="AO4667" t="s">
        <v>33857</v>
      </c>
      <c r="AP4667" t="s">
        <v>7024</v>
      </c>
      <c r="AQ4667" t="s">
        <v>33858</v>
      </c>
      <c r="AT4667" s="184">
        <v>41743</v>
      </c>
      <c r="AU4667" t="s">
        <v>33859</v>
      </c>
      <c r="AV4667">
        <v>25</v>
      </c>
      <c r="AW4667" s="184">
        <v>41743</v>
      </c>
      <c r="AX4667" t="s">
        <v>33859</v>
      </c>
      <c r="AY4667">
        <v>25</v>
      </c>
      <c r="AZ4667" s="184">
        <v>41743</v>
      </c>
      <c r="BA4667" t="s">
        <v>33859</v>
      </c>
      <c r="BB4667">
        <v>25</v>
      </c>
      <c r="BC4667">
        <v>10</v>
      </c>
      <c r="BD4667">
        <v>25</v>
      </c>
      <c r="BE4667">
        <v>2014</v>
      </c>
      <c r="BF4667">
        <v>1</v>
      </c>
      <c r="BI4667">
        <v>1</v>
      </c>
      <c r="BJ4667">
        <v>11</v>
      </c>
      <c r="BK4667">
        <v>1</v>
      </c>
      <c r="BP4667" s="184"/>
    </row>
    <row r="4668" spans="1:68">
      <c r="A4668">
        <v>91124453</v>
      </c>
      <c r="B4668">
        <v>91124453</v>
      </c>
      <c r="C4668" t="s">
        <v>7018</v>
      </c>
      <c r="E4668" s="184"/>
      <c r="G4668" s="184"/>
      <c r="I4668" s="184"/>
      <c r="K4668" s="184"/>
      <c r="M4668" s="184"/>
      <c r="N4668" t="s">
        <v>595</v>
      </c>
      <c r="O4668" s="184">
        <v>41843</v>
      </c>
      <c r="P4668" t="s">
        <v>7045</v>
      </c>
      <c r="Q4668" t="s">
        <v>7374</v>
      </c>
      <c r="R4668" s="184">
        <v>11414</v>
      </c>
      <c r="S4668">
        <v>93</v>
      </c>
      <c r="U4668" t="s">
        <v>7076</v>
      </c>
      <c r="V4668" t="s">
        <v>2718</v>
      </c>
      <c r="W4668" t="s">
        <v>2049</v>
      </c>
      <c r="X4668" t="s">
        <v>33860</v>
      </c>
      <c r="AF4668" t="s">
        <v>6037</v>
      </c>
      <c r="AG4668" t="s">
        <v>2718</v>
      </c>
      <c r="AI4668" t="s">
        <v>33861</v>
      </c>
      <c r="AM4668" t="s">
        <v>5148</v>
      </c>
      <c r="AN4668" t="s">
        <v>2081</v>
      </c>
      <c r="AO4668" t="s">
        <v>33862</v>
      </c>
      <c r="AP4668" t="s">
        <v>7024</v>
      </c>
      <c r="AQ4668" t="s">
        <v>33863</v>
      </c>
      <c r="AR4668" t="s">
        <v>33864</v>
      </c>
      <c r="AT4668" s="184">
        <v>41744</v>
      </c>
      <c r="AU4668" t="s">
        <v>33865</v>
      </c>
      <c r="AV4668">
        <v>15</v>
      </c>
      <c r="AW4668" s="184">
        <v>43397</v>
      </c>
      <c r="AX4668" t="s">
        <v>33866</v>
      </c>
      <c r="AY4668">
        <v>25</v>
      </c>
      <c r="AZ4668" s="184">
        <v>41843</v>
      </c>
      <c r="BA4668" t="s">
        <v>7042</v>
      </c>
      <c r="BB4668">
        <v>10000</v>
      </c>
      <c r="BC4668">
        <v>46</v>
      </c>
      <c r="BD4668">
        <v>10140</v>
      </c>
      <c r="BE4668">
        <v>2014</v>
      </c>
      <c r="BF4668">
        <v>7</v>
      </c>
      <c r="BI4668">
        <v>5</v>
      </c>
      <c r="BJ4668">
        <v>11</v>
      </c>
      <c r="BK4668">
        <v>5</v>
      </c>
      <c r="BN4668" t="s">
        <v>595</v>
      </c>
      <c r="BP4668" s="184"/>
    </row>
    <row r="4669" spans="1:68">
      <c r="A4669">
        <v>91140236</v>
      </c>
      <c r="B4669">
        <v>91140236</v>
      </c>
      <c r="C4669" t="s">
        <v>7018</v>
      </c>
      <c r="E4669" s="184"/>
      <c r="I4669" s="184"/>
      <c r="J4669" t="s">
        <v>595</v>
      </c>
      <c r="K4669" s="184">
        <v>44167</v>
      </c>
      <c r="M4669" s="184"/>
      <c r="O4669" s="184"/>
      <c r="P4669" t="s">
        <v>7045</v>
      </c>
      <c r="Q4669" t="s">
        <v>7194</v>
      </c>
      <c r="R4669" s="184">
        <v>14962</v>
      </c>
      <c r="S4669">
        <v>83</v>
      </c>
      <c r="U4669" t="s">
        <v>7031</v>
      </c>
      <c r="V4669" t="s">
        <v>3485</v>
      </c>
      <c r="W4669" t="s">
        <v>2058</v>
      </c>
      <c r="X4669" t="s">
        <v>33867</v>
      </c>
      <c r="AF4669" t="s">
        <v>33868</v>
      </c>
      <c r="AG4669" t="s">
        <v>3485</v>
      </c>
      <c r="AI4669" t="s">
        <v>33869</v>
      </c>
      <c r="AM4669" t="s">
        <v>33870</v>
      </c>
      <c r="AN4669" t="s">
        <v>4512</v>
      </c>
      <c r="AO4669" t="s">
        <v>33871</v>
      </c>
      <c r="AP4669" t="s">
        <v>7024</v>
      </c>
      <c r="AQ4669" t="s">
        <v>33872</v>
      </c>
      <c r="AT4669" s="184">
        <v>41750</v>
      </c>
      <c r="AU4669" t="s">
        <v>33873</v>
      </c>
      <c r="AV4669">
        <v>15</v>
      </c>
      <c r="AW4669" s="184">
        <v>44894</v>
      </c>
      <c r="AX4669" t="s">
        <v>12308</v>
      </c>
      <c r="AY4669">
        <v>25</v>
      </c>
      <c r="AZ4669" s="184">
        <v>44894</v>
      </c>
      <c r="BA4669" t="s">
        <v>12308</v>
      </c>
      <c r="BB4669">
        <v>25</v>
      </c>
      <c r="BC4669">
        <v>82</v>
      </c>
      <c r="BD4669">
        <v>315</v>
      </c>
      <c r="BE4669">
        <v>2014</v>
      </c>
      <c r="BF4669">
        <v>15</v>
      </c>
      <c r="BG4669">
        <v>1</v>
      </c>
      <c r="BH4669">
        <v>25</v>
      </c>
      <c r="BI4669">
        <v>9</v>
      </c>
      <c r="BJ4669">
        <v>11</v>
      </c>
      <c r="BK4669">
        <v>9</v>
      </c>
      <c r="BN4669" t="s">
        <v>595</v>
      </c>
      <c r="BP4669" s="184"/>
    </row>
    <row r="4670" spans="1:68">
      <c r="A4670">
        <v>91142570</v>
      </c>
      <c r="B4670">
        <v>91142570</v>
      </c>
      <c r="C4670" t="s">
        <v>7018</v>
      </c>
      <c r="E4670" s="184"/>
      <c r="I4670" s="184"/>
      <c r="J4670" t="s">
        <v>595</v>
      </c>
      <c r="K4670" s="184">
        <v>44168</v>
      </c>
      <c r="O4670" s="184"/>
      <c r="P4670" t="s">
        <v>7045</v>
      </c>
      <c r="Q4670" t="s">
        <v>7160</v>
      </c>
      <c r="R4670" s="184">
        <v>18918</v>
      </c>
      <c r="S4670">
        <v>72</v>
      </c>
      <c r="U4670" t="s">
        <v>7130</v>
      </c>
      <c r="V4670" t="s">
        <v>3450</v>
      </c>
      <c r="X4670" t="s">
        <v>33874</v>
      </c>
      <c r="AF4670" t="s">
        <v>33875</v>
      </c>
      <c r="AG4670" t="s">
        <v>3450</v>
      </c>
      <c r="AI4670" t="s">
        <v>33876</v>
      </c>
      <c r="AM4670" t="s">
        <v>13690</v>
      </c>
      <c r="AN4670" t="s">
        <v>2395</v>
      </c>
      <c r="AO4670" t="s">
        <v>33877</v>
      </c>
      <c r="AP4670" t="s">
        <v>7024</v>
      </c>
      <c r="AQ4670" t="s">
        <v>33878</v>
      </c>
      <c r="AT4670" s="184">
        <v>41750</v>
      </c>
      <c r="AU4670" t="s">
        <v>33879</v>
      </c>
      <c r="AV4670">
        <v>15</v>
      </c>
      <c r="AW4670" s="184">
        <v>45195</v>
      </c>
      <c r="AX4670" t="s">
        <v>7821</v>
      </c>
      <c r="AY4670">
        <v>35</v>
      </c>
      <c r="AZ4670" s="184">
        <v>45195</v>
      </c>
      <c r="BA4670" t="s">
        <v>7821</v>
      </c>
      <c r="BB4670">
        <v>35</v>
      </c>
      <c r="BC4670">
        <v>82</v>
      </c>
      <c r="BD4670">
        <v>255</v>
      </c>
      <c r="BE4670">
        <v>2014</v>
      </c>
      <c r="BF4670">
        <v>10</v>
      </c>
      <c r="BG4670">
        <v>2</v>
      </c>
      <c r="BH4670">
        <v>70</v>
      </c>
      <c r="BI4670">
        <v>9</v>
      </c>
      <c r="BJ4670">
        <v>11</v>
      </c>
      <c r="BK4670">
        <v>7</v>
      </c>
      <c r="BP4670" s="184"/>
    </row>
    <row r="4671" spans="1:68">
      <c r="A4671">
        <v>91142919</v>
      </c>
      <c r="B4671">
        <v>91142919</v>
      </c>
      <c r="C4671" t="s">
        <v>7018</v>
      </c>
      <c r="D4671" t="s">
        <v>595</v>
      </c>
      <c r="E4671" s="184">
        <v>44441</v>
      </c>
      <c r="G4671" s="184"/>
      <c r="I4671" s="184"/>
      <c r="K4671" s="184"/>
      <c r="O4671" s="184"/>
      <c r="P4671" t="s">
        <v>7045</v>
      </c>
      <c r="Q4671" t="s">
        <v>7383</v>
      </c>
      <c r="R4671" s="184">
        <v>17899</v>
      </c>
      <c r="S4671">
        <v>75</v>
      </c>
      <c r="U4671" t="s">
        <v>7076</v>
      </c>
      <c r="V4671" t="s">
        <v>3872</v>
      </c>
      <c r="X4671" t="s">
        <v>4442</v>
      </c>
      <c r="AF4671" t="s">
        <v>33880</v>
      </c>
      <c r="AG4671" t="s">
        <v>3872</v>
      </c>
      <c r="AI4671" t="s">
        <v>33881</v>
      </c>
      <c r="AM4671" t="s">
        <v>3082</v>
      </c>
      <c r="AN4671" t="s">
        <v>2313</v>
      </c>
      <c r="AO4671" t="s">
        <v>33882</v>
      </c>
      <c r="AP4671" t="s">
        <v>7024</v>
      </c>
      <c r="AQ4671" t="s">
        <v>33883</v>
      </c>
      <c r="AR4671" t="s">
        <v>33884</v>
      </c>
      <c r="AT4671" s="184">
        <v>41750</v>
      </c>
      <c r="AU4671" t="s">
        <v>33885</v>
      </c>
      <c r="AV4671">
        <v>50</v>
      </c>
      <c r="AW4671" s="184">
        <v>45356</v>
      </c>
      <c r="AX4671" t="s">
        <v>9445</v>
      </c>
      <c r="AY4671">
        <v>50</v>
      </c>
      <c r="AZ4671" s="184">
        <v>45356</v>
      </c>
      <c r="BA4671" t="s">
        <v>9445</v>
      </c>
      <c r="BB4671">
        <v>50</v>
      </c>
      <c r="BC4671">
        <v>100</v>
      </c>
      <c r="BD4671">
        <v>550</v>
      </c>
      <c r="BE4671">
        <v>2014</v>
      </c>
      <c r="BF4671">
        <v>11</v>
      </c>
      <c r="BG4671">
        <v>2</v>
      </c>
      <c r="BH4671">
        <v>100</v>
      </c>
      <c r="BI4671">
        <v>11</v>
      </c>
      <c r="BJ4671">
        <v>11</v>
      </c>
      <c r="BK4671">
        <v>11</v>
      </c>
      <c r="BP4671" s="184"/>
    </row>
    <row r="4672" spans="1:68">
      <c r="A4672">
        <v>91143354</v>
      </c>
      <c r="B4672">
        <v>91143354</v>
      </c>
      <c r="C4672" t="s">
        <v>7018</v>
      </c>
      <c r="D4672" t="s">
        <v>595</v>
      </c>
      <c r="E4672" s="184">
        <v>44104</v>
      </c>
      <c r="G4672" s="184"/>
      <c r="I4672" s="184"/>
      <c r="K4672" s="184"/>
      <c r="M4672" s="184"/>
      <c r="O4672" s="184"/>
      <c r="P4672" t="s">
        <v>7045</v>
      </c>
      <c r="Q4672" t="s">
        <v>7383</v>
      </c>
      <c r="R4672" s="184">
        <v>17958</v>
      </c>
      <c r="S4672">
        <v>75</v>
      </c>
      <c r="U4672" t="s">
        <v>7076</v>
      </c>
      <c r="V4672" t="s">
        <v>3400</v>
      </c>
      <c r="X4672" t="s">
        <v>23609</v>
      </c>
      <c r="Z4672">
        <v>100157245</v>
      </c>
      <c r="AA4672" t="s">
        <v>7031</v>
      </c>
      <c r="AB4672" t="s">
        <v>3411</v>
      </c>
      <c r="AD4672" t="s">
        <v>33886</v>
      </c>
      <c r="AF4672" t="s">
        <v>33887</v>
      </c>
      <c r="AG4672" t="s">
        <v>33888</v>
      </c>
      <c r="AI4672" t="s">
        <v>33889</v>
      </c>
      <c r="AM4672" t="s">
        <v>33890</v>
      </c>
      <c r="AN4672" t="s">
        <v>2059</v>
      </c>
      <c r="AO4672" t="s">
        <v>33891</v>
      </c>
      <c r="AP4672" t="s">
        <v>7024</v>
      </c>
      <c r="AQ4672" t="s">
        <v>33892</v>
      </c>
      <c r="AT4672" s="184">
        <v>41750</v>
      </c>
      <c r="AU4672" t="s">
        <v>33893</v>
      </c>
      <c r="AV4672">
        <v>25</v>
      </c>
      <c r="AW4672" s="184">
        <v>45421</v>
      </c>
      <c r="AX4672" t="s">
        <v>7422</v>
      </c>
      <c r="AY4672">
        <v>50</v>
      </c>
      <c r="AZ4672" s="184">
        <v>42437</v>
      </c>
      <c r="BA4672" t="s">
        <v>22648</v>
      </c>
      <c r="BB4672">
        <v>87</v>
      </c>
      <c r="BC4672">
        <v>100</v>
      </c>
      <c r="BD4672">
        <v>3462</v>
      </c>
      <c r="BE4672">
        <v>2014</v>
      </c>
      <c r="BF4672">
        <v>99</v>
      </c>
      <c r="BG4672">
        <v>24</v>
      </c>
      <c r="BH4672">
        <v>1200</v>
      </c>
      <c r="BI4672">
        <v>11</v>
      </c>
      <c r="BJ4672">
        <v>11</v>
      </c>
      <c r="BK4672">
        <v>11</v>
      </c>
      <c r="BP4672" s="184"/>
    </row>
    <row r="4673" spans="1:68">
      <c r="A4673">
        <v>100157245</v>
      </c>
      <c r="B4673">
        <v>91143354</v>
      </c>
      <c r="C4673" t="s">
        <v>7018</v>
      </c>
      <c r="D4673" t="s">
        <v>595</v>
      </c>
      <c r="E4673" s="184">
        <v>44104</v>
      </c>
      <c r="G4673" s="184"/>
      <c r="I4673" s="184"/>
      <c r="K4673" s="184"/>
      <c r="M4673" s="184"/>
      <c r="O4673" s="184"/>
      <c r="P4673" t="s">
        <v>7045</v>
      </c>
      <c r="Q4673" t="s">
        <v>7383</v>
      </c>
      <c r="R4673" s="184">
        <v>17187</v>
      </c>
      <c r="S4673">
        <v>77</v>
      </c>
      <c r="U4673" t="s">
        <v>7031</v>
      </c>
      <c r="V4673" t="s">
        <v>3411</v>
      </c>
      <c r="X4673" t="s">
        <v>33886</v>
      </c>
      <c r="Z4673">
        <v>91143354</v>
      </c>
      <c r="AA4673" t="s">
        <v>7076</v>
      </c>
      <c r="AB4673" t="s">
        <v>3400</v>
      </c>
      <c r="AD4673" t="s">
        <v>23609</v>
      </c>
      <c r="AF4673" t="s">
        <v>33887</v>
      </c>
      <c r="AG4673" t="s">
        <v>33888</v>
      </c>
      <c r="AI4673" t="s">
        <v>33889</v>
      </c>
      <c r="AM4673" t="s">
        <v>33890</v>
      </c>
      <c r="AN4673" t="s">
        <v>2059</v>
      </c>
      <c r="AO4673" t="s">
        <v>33891</v>
      </c>
      <c r="AP4673" t="s">
        <v>7024</v>
      </c>
      <c r="AT4673" s="184"/>
      <c r="AW4673" s="184"/>
      <c r="AZ4673" s="184"/>
      <c r="BP4673" s="184"/>
    </row>
    <row r="4674" spans="1:68">
      <c r="A4674">
        <v>91153510</v>
      </c>
      <c r="B4674">
        <v>91153510</v>
      </c>
      <c r="C4674" t="s">
        <v>7018</v>
      </c>
      <c r="E4674" s="184"/>
      <c r="G4674" s="184"/>
      <c r="I4674" s="184"/>
      <c r="J4674" t="s">
        <v>595</v>
      </c>
      <c r="K4674" s="184">
        <v>41911</v>
      </c>
      <c r="M4674" s="184"/>
      <c r="O4674" s="184"/>
      <c r="P4674" t="s">
        <v>7045</v>
      </c>
      <c r="Q4674" t="s">
        <v>7374</v>
      </c>
      <c r="R4674" s="184"/>
      <c r="V4674" t="s">
        <v>2985</v>
      </c>
      <c r="W4674" t="s">
        <v>2049</v>
      </c>
      <c r="X4674" t="s">
        <v>33894</v>
      </c>
      <c r="AF4674" t="s">
        <v>6670</v>
      </c>
      <c r="AG4674" t="s">
        <v>2985</v>
      </c>
      <c r="AI4674" t="s">
        <v>33895</v>
      </c>
      <c r="AM4674" t="s">
        <v>3956</v>
      </c>
      <c r="AN4674" t="s">
        <v>2081</v>
      </c>
      <c r="AO4674" t="s">
        <v>33896</v>
      </c>
      <c r="AP4674" t="s">
        <v>7024</v>
      </c>
      <c r="AT4674" s="184">
        <v>41751</v>
      </c>
      <c r="AU4674" t="s">
        <v>33897</v>
      </c>
      <c r="AV4674">
        <v>15</v>
      </c>
      <c r="AW4674" s="184">
        <v>42073</v>
      </c>
      <c r="AX4674" t="s">
        <v>33898</v>
      </c>
      <c r="AY4674">
        <v>35</v>
      </c>
      <c r="AZ4674" s="184">
        <v>41856</v>
      </c>
      <c r="BA4674" t="s">
        <v>24527</v>
      </c>
      <c r="BB4674">
        <v>50</v>
      </c>
      <c r="BC4674">
        <v>19</v>
      </c>
      <c r="BD4674">
        <v>190</v>
      </c>
      <c r="BE4674">
        <v>2014</v>
      </c>
      <c r="BF4674">
        <v>7</v>
      </c>
      <c r="BI4674">
        <v>2</v>
      </c>
      <c r="BJ4674">
        <v>11</v>
      </c>
      <c r="BK4674">
        <v>2</v>
      </c>
      <c r="BP4674" s="184"/>
    </row>
    <row r="4675" spans="1:68">
      <c r="A4675">
        <v>91158709</v>
      </c>
      <c r="B4675">
        <v>91158709</v>
      </c>
      <c r="C4675" t="s">
        <v>7018</v>
      </c>
      <c r="D4675" t="s">
        <v>595</v>
      </c>
      <c r="E4675" s="184">
        <v>45117</v>
      </c>
      <c r="G4675" s="184"/>
      <c r="I4675" s="184"/>
      <c r="K4675" s="184"/>
      <c r="O4675" s="184"/>
      <c r="P4675" t="s">
        <v>7045</v>
      </c>
      <c r="Q4675" t="s">
        <v>7383</v>
      </c>
      <c r="R4675" s="184">
        <v>18841</v>
      </c>
      <c r="S4675">
        <v>72</v>
      </c>
      <c r="V4675" t="s">
        <v>22865</v>
      </c>
      <c r="W4675" t="s">
        <v>7246</v>
      </c>
      <c r="X4675" t="s">
        <v>2962</v>
      </c>
      <c r="AF4675" t="s">
        <v>33899</v>
      </c>
      <c r="AG4675" t="s">
        <v>22865</v>
      </c>
      <c r="AI4675" t="s">
        <v>33900</v>
      </c>
      <c r="AM4675" t="s">
        <v>3121</v>
      </c>
      <c r="AN4675" t="s">
        <v>2144</v>
      </c>
      <c r="AO4675" t="s">
        <v>33901</v>
      </c>
      <c r="AP4675" t="s">
        <v>7024</v>
      </c>
      <c r="AQ4675" t="s">
        <v>33902</v>
      </c>
      <c r="AR4675" t="s">
        <v>33903</v>
      </c>
      <c r="AT4675" s="184">
        <v>41752</v>
      </c>
      <c r="AU4675" t="s">
        <v>33904</v>
      </c>
      <c r="AV4675">
        <v>50</v>
      </c>
      <c r="AW4675" s="184">
        <v>44702</v>
      </c>
      <c r="AX4675" t="s">
        <v>33905</v>
      </c>
      <c r="AY4675">
        <v>20</v>
      </c>
      <c r="AZ4675" s="184">
        <v>43802</v>
      </c>
      <c r="BA4675" t="s">
        <v>33906</v>
      </c>
      <c r="BB4675">
        <v>100</v>
      </c>
      <c r="BC4675">
        <v>28</v>
      </c>
      <c r="BD4675">
        <v>320</v>
      </c>
      <c r="BE4675">
        <v>2014</v>
      </c>
      <c r="BF4675">
        <v>5</v>
      </c>
      <c r="BG4675">
        <v>1</v>
      </c>
      <c r="BH4675">
        <v>20</v>
      </c>
      <c r="BI4675">
        <v>3</v>
      </c>
      <c r="BJ4675">
        <v>11</v>
      </c>
      <c r="BK4675">
        <v>1</v>
      </c>
      <c r="BP4675" s="184"/>
    </row>
    <row r="4676" spans="1:68">
      <c r="A4676">
        <v>91207787</v>
      </c>
      <c r="B4676">
        <v>91207787</v>
      </c>
      <c r="C4676" t="s">
        <v>7018</v>
      </c>
      <c r="D4676" t="s">
        <v>595</v>
      </c>
      <c r="E4676" s="184">
        <v>44168</v>
      </c>
      <c r="G4676" s="184"/>
      <c r="I4676" s="184"/>
      <c r="K4676" s="184"/>
      <c r="M4676" s="184"/>
      <c r="O4676" s="184"/>
      <c r="P4676" t="s">
        <v>7045</v>
      </c>
      <c r="Q4676" t="s">
        <v>7383</v>
      </c>
      <c r="R4676" s="184">
        <v>20029</v>
      </c>
      <c r="S4676">
        <v>69</v>
      </c>
      <c r="U4676" t="s">
        <v>7130</v>
      </c>
      <c r="V4676" t="s">
        <v>33907</v>
      </c>
      <c r="X4676" t="s">
        <v>33908</v>
      </c>
      <c r="Z4676">
        <v>100157376</v>
      </c>
      <c r="AB4676" t="s">
        <v>2871</v>
      </c>
      <c r="AD4676" t="s">
        <v>33908</v>
      </c>
      <c r="AF4676" t="s">
        <v>33909</v>
      </c>
      <c r="AG4676" t="s">
        <v>33910</v>
      </c>
      <c r="AI4676" t="s">
        <v>33911</v>
      </c>
      <c r="AM4676" t="s">
        <v>33912</v>
      </c>
      <c r="AN4676" t="s">
        <v>2064</v>
      </c>
      <c r="AO4676" t="s">
        <v>33913</v>
      </c>
      <c r="AP4676" t="s">
        <v>7024</v>
      </c>
      <c r="AQ4676" t="s">
        <v>33914</v>
      </c>
      <c r="AT4676" s="184">
        <v>41758</v>
      </c>
      <c r="AU4676" t="s">
        <v>33897</v>
      </c>
      <c r="AV4676">
        <v>50</v>
      </c>
      <c r="AW4676" s="184">
        <v>45391</v>
      </c>
      <c r="AX4676" t="s">
        <v>9576</v>
      </c>
      <c r="AY4676">
        <v>52.5</v>
      </c>
      <c r="AZ4676" s="184">
        <v>42282</v>
      </c>
      <c r="BA4676" t="s">
        <v>33915</v>
      </c>
      <c r="BB4676">
        <v>100</v>
      </c>
      <c r="BC4676">
        <v>82</v>
      </c>
      <c r="BD4676">
        <v>1337.5</v>
      </c>
      <c r="BE4676">
        <v>2014</v>
      </c>
      <c r="BF4676">
        <v>59</v>
      </c>
      <c r="BG4676">
        <v>20</v>
      </c>
      <c r="BH4676">
        <v>622.5</v>
      </c>
      <c r="BI4676">
        <v>9</v>
      </c>
      <c r="BJ4676">
        <v>11</v>
      </c>
      <c r="BK4676">
        <v>6</v>
      </c>
      <c r="BP4676" s="184"/>
    </row>
    <row r="4677" spans="1:68">
      <c r="A4677">
        <v>100157376</v>
      </c>
      <c r="B4677">
        <v>91207787</v>
      </c>
      <c r="C4677" t="s">
        <v>7018</v>
      </c>
      <c r="D4677" t="s">
        <v>595</v>
      </c>
      <c r="E4677" s="184">
        <v>44168</v>
      </c>
      <c r="G4677" s="184"/>
      <c r="I4677" s="184"/>
      <c r="K4677" s="184"/>
      <c r="M4677" s="184"/>
      <c r="O4677" s="184"/>
      <c r="P4677" t="s">
        <v>7045</v>
      </c>
      <c r="Q4677" t="s">
        <v>7383</v>
      </c>
      <c r="R4677" s="184">
        <v>19391</v>
      </c>
      <c r="S4677">
        <v>71</v>
      </c>
      <c r="V4677" t="s">
        <v>2871</v>
      </c>
      <c r="X4677" t="s">
        <v>33908</v>
      </c>
      <c r="Z4677">
        <v>91207787</v>
      </c>
      <c r="AA4677" t="s">
        <v>7130</v>
      </c>
      <c r="AB4677" t="s">
        <v>33907</v>
      </c>
      <c r="AD4677" t="s">
        <v>33908</v>
      </c>
      <c r="AF4677" t="s">
        <v>33909</v>
      </c>
      <c r="AG4677" t="s">
        <v>33910</v>
      </c>
      <c r="AI4677" t="s">
        <v>33911</v>
      </c>
      <c r="AM4677" t="s">
        <v>33912</v>
      </c>
      <c r="AN4677" t="s">
        <v>2064</v>
      </c>
      <c r="AO4677" t="s">
        <v>33913</v>
      </c>
      <c r="AP4677" t="s">
        <v>7024</v>
      </c>
      <c r="AQ4677" t="s">
        <v>33916</v>
      </c>
      <c r="AT4677" s="184">
        <v>43610</v>
      </c>
      <c r="AU4677" t="s">
        <v>11866</v>
      </c>
      <c r="AV4677">
        <v>13</v>
      </c>
      <c r="AW4677" s="184">
        <v>44735</v>
      </c>
      <c r="AX4677" t="s">
        <v>32376</v>
      </c>
      <c r="AY4677">
        <v>15</v>
      </c>
      <c r="AZ4677" s="184">
        <v>44735</v>
      </c>
      <c r="BA4677" t="s">
        <v>32376</v>
      </c>
      <c r="BB4677">
        <v>15</v>
      </c>
      <c r="BC4677">
        <v>67</v>
      </c>
      <c r="BD4677">
        <v>541</v>
      </c>
      <c r="BE4677">
        <v>2019</v>
      </c>
      <c r="BF4677">
        <v>39</v>
      </c>
      <c r="BG4677">
        <v>2</v>
      </c>
      <c r="BH4677">
        <v>30</v>
      </c>
      <c r="BI4677">
        <v>4</v>
      </c>
      <c r="BJ4677">
        <v>6</v>
      </c>
      <c r="BK4677">
        <v>4</v>
      </c>
      <c r="BP4677" s="184"/>
    </row>
    <row r="4678" spans="1:68">
      <c r="A4678">
        <v>91217646</v>
      </c>
      <c r="B4678">
        <v>91217646</v>
      </c>
      <c r="C4678" t="s">
        <v>7018</v>
      </c>
      <c r="E4678" s="184"/>
      <c r="G4678" s="184"/>
      <c r="I4678" s="184"/>
      <c r="J4678" t="s">
        <v>595</v>
      </c>
      <c r="K4678" s="184">
        <v>43014</v>
      </c>
      <c r="O4678" s="184"/>
      <c r="P4678" t="s">
        <v>7045</v>
      </c>
      <c r="Q4678" t="s">
        <v>7020</v>
      </c>
      <c r="R4678" s="184">
        <v>15945</v>
      </c>
      <c r="S4678">
        <v>80</v>
      </c>
      <c r="U4678" t="s">
        <v>7130</v>
      </c>
      <c r="V4678" t="s">
        <v>3011</v>
      </c>
      <c r="W4678" t="s">
        <v>7407</v>
      </c>
      <c r="X4678" t="s">
        <v>14973</v>
      </c>
      <c r="AF4678" t="s">
        <v>6518</v>
      </c>
      <c r="AG4678" t="s">
        <v>3011</v>
      </c>
      <c r="AI4678" t="s">
        <v>33917</v>
      </c>
      <c r="AM4678" t="s">
        <v>33918</v>
      </c>
      <c r="AN4678" t="s">
        <v>2052</v>
      </c>
      <c r="AO4678" t="s">
        <v>33919</v>
      </c>
      <c r="AP4678" t="s">
        <v>7024</v>
      </c>
      <c r="AQ4678" t="s">
        <v>33920</v>
      </c>
      <c r="AT4678" s="184">
        <v>41760</v>
      </c>
      <c r="AU4678" t="s">
        <v>33921</v>
      </c>
      <c r="AV4678">
        <v>25</v>
      </c>
      <c r="AW4678" s="184">
        <v>44931</v>
      </c>
      <c r="AX4678" t="s">
        <v>33922</v>
      </c>
      <c r="AY4678">
        <v>100</v>
      </c>
      <c r="AZ4678" s="184">
        <v>42006</v>
      </c>
      <c r="BA4678" t="s">
        <v>33923</v>
      </c>
      <c r="BB4678">
        <v>200</v>
      </c>
      <c r="BC4678">
        <v>82</v>
      </c>
      <c r="BD4678">
        <v>1075</v>
      </c>
      <c r="BE4678">
        <v>2014</v>
      </c>
      <c r="BF4678">
        <v>12</v>
      </c>
      <c r="BG4678">
        <v>3</v>
      </c>
      <c r="BH4678">
        <v>250</v>
      </c>
      <c r="BI4678">
        <v>9</v>
      </c>
      <c r="BJ4678">
        <v>11</v>
      </c>
      <c r="BK4678">
        <v>6</v>
      </c>
      <c r="BP4678" s="184"/>
    </row>
    <row r="4679" spans="1:68">
      <c r="A4679">
        <v>91221390</v>
      </c>
      <c r="B4679">
        <v>91221390</v>
      </c>
      <c r="C4679" t="s">
        <v>7018</v>
      </c>
      <c r="D4679" t="s">
        <v>595</v>
      </c>
      <c r="E4679" s="184">
        <v>44167</v>
      </c>
      <c r="G4679" s="184"/>
      <c r="I4679" s="184"/>
      <c r="K4679" s="184"/>
      <c r="M4679" s="184"/>
      <c r="O4679" s="184"/>
      <c r="P4679" t="s">
        <v>7045</v>
      </c>
      <c r="Q4679" t="s">
        <v>7194</v>
      </c>
      <c r="R4679" s="184">
        <v>21276</v>
      </c>
      <c r="S4679">
        <v>66</v>
      </c>
      <c r="U4679" t="s">
        <v>7031</v>
      </c>
      <c r="V4679" t="s">
        <v>3080</v>
      </c>
      <c r="W4679" t="s">
        <v>7407</v>
      </c>
      <c r="X4679" t="s">
        <v>33924</v>
      </c>
      <c r="AF4679" t="s">
        <v>33925</v>
      </c>
      <c r="AG4679" t="s">
        <v>3080</v>
      </c>
      <c r="AI4679" t="s">
        <v>33926</v>
      </c>
      <c r="AM4679" t="s">
        <v>4439</v>
      </c>
      <c r="AN4679" t="s">
        <v>2046</v>
      </c>
      <c r="AO4679" t="s">
        <v>33927</v>
      </c>
      <c r="AP4679" t="s">
        <v>7024</v>
      </c>
      <c r="AQ4679" t="s">
        <v>33928</v>
      </c>
      <c r="AT4679" s="184">
        <v>41907</v>
      </c>
      <c r="AU4679" t="s">
        <v>33929</v>
      </c>
      <c r="AV4679">
        <v>25</v>
      </c>
      <c r="AW4679" s="184">
        <v>45214</v>
      </c>
      <c r="AX4679" t="s">
        <v>7832</v>
      </c>
      <c r="AY4679">
        <v>25</v>
      </c>
      <c r="AZ4679" s="184">
        <v>42165</v>
      </c>
      <c r="BA4679" t="s">
        <v>22684</v>
      </c>
      <c r="BB4679">
        <v>35</v>
      </c>
      <c r="BC4679">
        <v>91</v>
      </c>
      <c r="BD4679">
        <v>1221</v>
      </c>
      <c r="BE4679">
        <v>2015</v>
      </c>
      <c r="BF4679">
        <v>69</v>
      </c>
      <c r="BG4679">
        <v>3</v>
      </c>
      <c r="BH4679">
        <v>75</v>
      </c>
      <c r="BI4679">
        <v>10</v>
      </c>
      <c r="BJ4679">
        <v>11</v>
      </c>
      <c r="BK4679">
        <v>10</v>
      </c>
      <c r="BP4679" s="184"/>
    </row>
    <row r="4680" spans="1:68">
      <c r="A4680">
        <v>91245845</v>
      </c>
      <c r="B4680">
        <v>91245845</v>
      </c>
      <c r="C4680" t="s">
        <v>7018</v>
      </c>
      <c r="D4680" t="s">
        <v>595</v>
      </c>
      <c r="E4680" s="184">
        <v>44167</v>
      </c>
      <c r="G4680" s="184"/>
      <c r="I4680" s="184"/>
      <c r="K4680" s="184"/>
      <c r="O4680" s="184"/>
      <c r="P4680" t="s">
        <v>7045</v>
      </c>
      <c r="Q4680" t="s">
        <v>7194</v>
      </c>
      <c r="R4680" s="184">
        <v>18354</v>
      </c>
      <c r="S4680">
        <v>74</v>
      </c>
      <c r="U4680" t="s">
        <v>7076</v>
      </c>
      <c r="V4680" t="s">
        <v>24619</v>
      </c>
      <c r="X4680" t="s">
        <v>33930</v>
      </c>
      <c r="AF4680" t="s">
        <v>33931</v>
      </c>
      <c r="AG4680" t="s">
        <v>24619</v>
      </c>
      <c r="AI4680" t="s">
        <v>33932</v>
      </c>
      <c r="AM4680" t="s">
        <v>7450</v>
      </c>
      <c r="AN4680" t="s">
        <v>2046</v>
      </c>
      <c r="AO4680" t="s">
        <v>33933</v>
      </c>
      <c r="AP4680" t="s">
        <v>7024</v>
      </c>
      <c r="AQ4680" t="s">
        <v>33934</v>
      </c>
      <c r="AT4680" s="184">
        <v>41771</v>
      </c>
      <c r="AU4680" t="s">
        <v>33935</v>
      </c>
      <c r="AV4680">
        <v>15</v>
      </c>
      <c r="AW4680" s="184">
        <v>43682</v>
      </c>
      <c r="AX4680" t="s">
        <v>21492</v>
      </c>
      <c r="AY4680">
        <v>35</v>
      </c>
      <c r="AZ4680" s="184">
        <v>43682</v>
      </c>
      <c r="BA4680" t="s">
        <v>21492</v>
      </c>
      <c r="BB4680">
        <v>35</v>
      </c>
      <c r="BC4680">
        <v>55</v>
      </c>
      <c r="BD4680">
        <v>215</v>
      </c>
      <c r="BE4680">
        <v>2014</v>
      </c>
      <c r="BF4680">
        <v>7</v>
      </c>
      <c r="BI4680">
        <v>6</v>
      </c>
      <c r="BJ4680">
        <v>11</v>
      </c>
      <c r="BK4680">
        <v>6</v>
      </c>
      <c r="BP4680" s="184"/>
    </row>
    <row r="4681" spans="1:68">
      <c r="A4681">
        <v>91257832</v>
      </c>
      <c r="B4681">
        <v>91257832</v>
      </c>
      <c r="C4681" t="s">
        <v>7018</v>
      </c>
      <c r="D4681" t="s">
        <v>595</v>
      </c>
      <c r="E4681" s="184">
        <v>44438</v>
      </c>
      <c r="I4681" s="184"/>
      <c r="K4681" s="184"/>
      <c r="O4681" s="184"/>
      <c r="P4681" t="s">
        <v>7019</v>
      </c>
      <c r="Q4681" t="s">
        <v>7383</v>
      </c>
      <c r="R4681" s="184">
        <v>18415</v>
      </c>
      <c r="S4681">
        <v>73</v>
      </c>
      <c r="U4681" t="s">
        <v>7130</v>
      </c>
      <c r="V4681" t="s">
        <v>3098</v>
      </c>
      <c r="X4681" t="s">
        <v>33936</v>
      </c>
      <c r="AF4681" t="s">
        <v>33937</v>
      </c>
      <c r="AG4681" t="s">
        <v>3098</v>
      </c>
      <c r="AI4681" t="s">
        <v>33938</v>
      </c>
      <c r="AM4681" t="s">
        <v>4091</v>
      </c>
      <c r="AN4681" t="s">
        <v>2064</v>
      </c>
      <c r="AO4681" t="s">
        <v>33939</v>
      </c>
      <c r="AP4681" t="s">
        <v>7024</v>
      </c>
      <c r="AQ4681" t="s">
        <v>33940</v>
      </c>
      <c r="AT4681" s="184">
        <v>42695</v>
      </c>
      <c r="AU4681" t="s">
        <v>33941</v>
      </c>
      <c r="AV4681">
        <v>25</v>
      </c>
      <c r="AW4681" s="184">
        <v>44858</v>
      </c>
      <c r="AX4681" t="s">
        <v>17508</v>
      </c>
      <c r="AY4681">
        <v>60</v>
      </c>
      <c r="AZ4681" s="184">
        <v>44858</v>
      </c>
      <c r="BA4681" t="s">
        <v>17508</v>
      </c>
      <c r="BB4681">
        <v>60</v>
      </c>
      <c r="BC4681">
        <v>78</v>
      </c>
      <c r="BD4681">
        <v>285</v>
      </c>
      <c r="BE4681">
        <v>2017</v>
      </c>
      <c r="BF4681">
        <v>9</v>
      </c>
      <c r="BG4681">
        <v>1</v>
      </c>
      <c r="BH4681">
        <v>60</v>
      </c>
      <c r="BI4681">
        <v>7</v>
      </c>
      <c r="BJ4681">
        <v>9</v>
      </c>
      <c r="BK4681">
        <v>7</v>
      </c>
      <c r="BP4681" s="184"/>
    </row>
    <row r="4682" spans="1:68">
      <c r="A4682">
        <v>91276576</v>
      </c>
      <c r="B4682">
        <v>91276576</v>
      </c>
      <c r="C4682" t="s">
        <v>7018</v>
      </c>
      <c r="D4682" t="s">
        <v>595</v>
      </c>
      <c r="E4682" s="184">
        <v>45119</v>
      </c>
      <c r="G4682" s="184"/>
      <c r="I4682" s="184"/>
      <c r="K4682" s="184"/>
      <c r="O4682" s="184"/>
      <c r="P4682" t="s">
        <v>7045</v>
      </c>
      <c r="Q4682" t="s">
        <v>7383</v>
      </c>
      <c r="R4682" s="184">
        <v>23224</v>
      </c>
      <c r="S4682">
        <v>60</v>
      </c>
      <c r="U4682" t="s">
        <v>7076</v>
      </c>
      <c r="V4682" t="s">
        <v>33942</v>
      </c>
      <c r="X4682" t="s">
        <v>33943</v>
      </c>
      <c r="AF4682" t="s">
        <v>33944</v>
      </c>
      <c r="AG4682" t="s">
        <v>33942</v>
      </c>
      <c r="AI4682" t="s">
        <v>33945</v>
      </c>
      <c r="AM4682" t="s">
        <v>33946</v>
      </c>
      <c r="AN4682" t="s">
        <v>2059</v>
      </c>
      <c r="AO4682" t="s">
        <v>33947</v>
      </c>
      <c r="AP4682" t="s">
        <v>7024</v>
      </c>
      <c r="AQ4682" t="s">
        <v>33948</v>
      </c>
      <c r="AT4682" s="184">
        <v>41911</v>
      </c>
      <c r="AU4682" t="s">
        <v>33929</v>
      </c>
      <c r="AV4682">
        <v>30</v>
      </c>
      <c r="AW4682" s="184">
        <v>44900</v>
      </c>
      <c r="AX4682" t="s">
        <v>17508</v>
      </c>
      <c r="AY4682">
        <v>38</v>
      </c>
      <c r="AZ4682" s="184">
        <v>44900</v>
      </c>
      <c r="BA4682" t="s">
        <v>17508</v>
      </c>
      <c r="BB4682">
        <v>38</v>
      </c>
      <c r="BC4682">
        <v>73</v>
      </c>
      <c r="BD4682">
        <v>246</v>
      </c>
      <c r="BE4682">
        <v>2015</v>
      </c>
      <c r="BF4682">
        <v>9</v>
      </c>
      <c r="BG4682">
        <v>1</v>
      </c>
      <c r="BH4682">
        <v>38</v>
      </c>
      <c r="BI4682">
        <v>8</v>
      </c>
      <c r="BJ4682">
        <v>11</v>
      </c>
      <c r="BK4682">
        <v>6</v>
      </c>
      <c r="BP4682" s="184"/>
    </row>
    <row r="4683" spans="1:68">
      <c r="A4683">
        <v>91283432</v>
      </c>
      <c r="B4683">
        <v>91283432</v>
      </c>
      <c r="C4683" t="s">
        <v>7018</v>
      </c>
      <c r="D4683" t="s">
        <v>595</v>
      </c>
      <c r="E4683" s="184">
        <v>44441</v>
      </c>
      <c r="G4683" s="184"/>
      <c r="I4683" s="184"/>
      <c r="K4683" s="184"/>
      <c r="O4683" s="184"/>
      <c r="P4683" t="s">
        <v>7019</v>
      </c>
      <c r="Q4683" t="s">
        <v>7020</v>
      </c>
      <c r="R4683" s="184">
        <v>16157</v>
      </c>
      <c r="S4683">
        <v>80</v>
      </c>
      <c r="V4683" t="s">
        <v>4916</v>
      </c>
      <c r="X4683" t="s">
        <v>33949</v>
      </c>
      <c r="AF4683" t="s">
        <v>33950</v>
      </c>
      <c r="AG4683" t="s">
        <v>4916</v>
      </c>
      <c r="AI4683" t="s">
        <v>33951</v>
      </c>
      <c r="AM4683" t="s">
        <v>7550</v>
      </c>
      <c r="AN4683" t="s">
        <v>2240</v>
      </c>
      <c r="AO4683" t="s">
        <v>33952</v>
      </c>
      <c r="AP4683" t="s">
        <v>7024</v>
      </c>
      <c r="AT4683" s="184">
        <v>41774</v>
      </c>
      <c r="AU4683" t="s">
        <v>33953</v>
      </c>
      <c r="AV4683">
        <v>15</v>
      </c>
      <c r="AW4683" s="184">
        <v>45090</v>
      </c>
      <c r="AX4683" t="s">
        <v>8317</v>
      </c>
      <c r="AY4683">
        <v>60</v>
      </c>
      <c r="AZ4683" s="184">
        <v>45090</v>
      </c>
      <c r="BA4683" t="s">
        <v>8317</v>
      </c>
      <c r="BB4683">
        <v>60</v>
      </c>
      <c r="BC4683">
        <v>64</v>
      </c>
      <c r="BD4683">
        <v>260</v>
      </c>
      <c r="BE4683">
        <v>2014</v>
      </c>
      <c r="BF4683">
        <v>10</v>
      </c>
      <c r="BG4683">
        <v>1</v>
      </c>
      <c r="BH4683">
        <v>60</v>
      </c>
      <c r="BI4683">
        <v>7</v>
      </c>
      <c r="BJ4683">
        <v>11</v>
      </c>
      <c r="BK4683">
        <v>4</v>
      </c>
      <c r="BP4683" s="184"/>
    </row>
    <row r="4684" spans="1:68">
      <c r="A4684">
        <v>91295790</v>
      </c>
      <c r="B4684">
        <v>91295790</v>
      </c>
      <c r="C4684" t="s">
        <v>7018</v>
      </c>
      <c r="D4684" t="s">
        <v>595</v>
      </c>
      <c r="E4684" s="184">
        <v>45113</v>
      </c>
      <c r="G4684" s="184"/>
      <c r="I4684" s="184"/>
      <c r="K4684" s="184"/>
      <c r="O4684" s="184"/>
      <c r="P4684" t="s">
        <v>7045</v>
      </c>
      <c r="Q4684" t="s">
        <v>7262</v>
      </c>
      <c r="R4684" s="184">
        <v>19268</v>
      </c>
      <c r="S4684">
        <v>71</v>
      </c>
      <c r="U4684" t="s">
        <v>7031</v>
      </c>
      <c r="V4684" t="s">
        <v>3114</v>
      </c>
      <c r="W4684" t="s">
        <v>7067</v>
      </c>
      <c r="X4684" t="s">
        <v>33954</v>
      </c>
      <c r="AF4684" t="s">
        <v>33955</v>
      </c>
      <c r="AG4684" t="s">
        <v>3114</v>
      </c>
      <c r="AI4684" t="s">
        <v>33956</v>
      </c>
      <c r="AM4684" t="s">
        <v>33957</v>
      </c>
      <c r="AN4684" t="s">
        <v>2069</v>
      </c>
      <c r="AO4684" t="s">
        <v>33958</v>
      </c>
      <c r="AP4684" t="s">
        <v>7024</v>
      </c>
      <c r="AQ4684" t="s">
        <v>33959</v>
      </c>
      <c r="AT4684" s="184">
        <v>41778</v>
      </c>
      <c r="AU4684" t="s">
        <v>33879</v>
      </c>
      <c r="AV4684">
        <v>25</v>
      </c>
      <c r="AW4684" s="184">
        <v>45280</v>
      </c>
      <c r="AX4684" t="s">
        <v>18065</v>
      </c>
      <c r="AY4684">
        <v>75</v>
      </c>
      <c r="AZ4684" s="184">
        <v>45280</v>
      </c>
      <c r="BA4684" t="s">
        <v>18065</v>
      </c>
      <c r="BB4684">
        <v>75</v>
      </c>
      <c r="BC4684">
        <v>91</v>
      </c>
      <c r="BD4684">
        <v>626</v>
      </c>
      <c r="BE4684">
        <v>2014</v>
      </c>
      <c r="BF4684">
        <v>12</v>
      </c>
      <c r="BG4684">
        <v>3</v>
      </c>
      <c r="BH4684">
        <v>181</v>
      </c>
      <c r="BI4684">
        <v>10</v>
      </c>
      <c r="BJ4684">
        <v>11</v>
      </c>
      <c r="BK4684">
        <v>10</v>
      </c>
      <c r="BP4684" s="184"/>
    </row>
    <row r="4685" spans="1:68">
      <c r="A4685">
        <v>91300061</v>
      </c>
      <c r="B4685">
        <v>91300061</v>
      </c>
      <c r="C4685" t="s">
        <v>7018</v>
      </c>
      <c r="D4685" t="s">
        <v>595</v>
      </c>
      <c r="E4685" s="184">
        <v>44484</v>
      </c>
      <c r="G4685" s="184"/>
      <c r="I4685" s="184"/>
      <c r="K4685" s="184"/>
      <c r="O4685" s="184"/>
      <c r="P4685" t="s">
        <v>7045</v>
      </c>
      <c r="Q4685" t="s">
        <v>7030</v>
      </c>
      <c r="R4685" s="184">
        <v>14973</v>
      </c>
      <c r="S4685">
        <v>83</v>
      </c>
      <c r="U4685" t="s">
        <v>7130</v>
      </c>
      <c r="V4685" t="s">
        <v>3317</v>
      </c>
      <c r="W4685" t="s">
        <v>7349</v>
      </c>
      <c r="X4685" t="s">
        <v>33960</v>
      </c>
      <c r="AF4685" t="s">
        <v>33961</v>
      </c>
      <c r="AG4685" t="s">
        <v>3317</v>
      </c>
      <c r="AI4685" t="s">
        <v>33962</v>
      </c>
      <c r="AM4685" t="s">
        <v>33963</v>
      </c>
      <c r="AN4685" t="s">
        <v>2089</v>
      </c>
      <c r="AO4685" t="s">
        <v>33964</v>
      </c>
      <c r="AP4685" t="s">
        <v>7024</v>
      </c>
      <c r="AQ4685" t="s">
        <v>33965</v>
      </c>
      <c r="AT4685" s="184">
        <v>41781</v>
      </c>
      <c r="AU4685" t="s">
        <v>33966</v>
      </c>
      <c r="AV4685">
        <v>25</v>
      </c>
      <c r="AW4685" s="184">
        <v>45002</v>
      </c>
      <c r="AX4685" t="s">
        <v>10687</v>
      </c>
      <c r="AY4685">
        <v>35</v>
      </c>
      <c r="AZ4685" s="184">
        <v>44760</v>
      </c>
      <c r="BA4685" t="s">
        <v>33967</v>
      </c>
      <c r="BB4685">
        <v>40</v>
      </c>
      <c r="BC4685">
        <v>73</v>
      </c>
      <c r="BD4685">
        <v>475</v>
      </c>
      <c r="BE4685">
        <v>2014</v>
      </c>
      <c r="BF4685">
        <v>16</v>
      </c>
      <c r="BG4685">
        <v>3</v>
      </c>
      <c r="BH4685">
        <v>110</v>
      </c>
      <c r="BI4685">
        <v>8</v>
      </c>
      <c r="BJ4685">
        <v>11</v>
      </c>
      <c r="BK4685">
        <v>4</v>
      </c>
      <c r="BP4685" s="184"/>
    </row>
    <row r="4686" spans="1:68">
      <c r="A4686">
        <v>91312447</v>
      </c>
      <c r="B4686">
        <v>91312447</v>
      </c>
      <c r="C4686" t="s">
        <v>7018</v>
      </c>
      <c r="D4686" t="s">
        <v>595</v>
      </c>
      <c r="E4686" s="184">
        <v>44073</v>
      </c>
      <c r="I4686" s="184"/>
      <c r="K4686" s="184"/>
      <c r="M4686" s="184"/>
      <c r="O4686" s="184"/>
      <c r="P4686" t="s">
        <v>7045</v>
      </c>
      <c r="Q4686" t="s">
        <v>7383</v>
      </c>
      <c r="R4686" s="184">
        <v>14953</v>
      </c>
      <c r="S4686">
        <v>83</v>
      </c>
      <c r="U4686" t="s">
        <v>7076</v>
      </c>
      <c r="V4686" t="s">
        <v>4330</v>
      </c>
      <c r="W4686" t="s">
        <v>3237</v>
      </c>
      <c r="X4686" t="s">
        <v>17912</v>
      </c>
      <c r="Z4686">
        <v>100157608</v>
      </c>
      <c r="AB4686" t="s">
        <v>2316</v>
      </c>
      <c r="AD4686" t="s">
        <v>17912</v>
      </c>
      <c r="AF4686" t="s">
        <v>33968</v>
      </c>
      <c r="AG4686" t="s">
        <v>33969</v>
      </c>
      <c r="AI4686" t="s">
        <v>33970</v>
      </c>
      <c r="AM4686" t="s">
        <v>27385</v>
      </c>
      <c r="AN4686" t="s">
        <v>2313</v>
      </c>
      <c r="AO4686" t="s">
        <v>33971</v>
      </c>
      <c r="AP4686" t="s">
        <v>7024</v>
      </c>
      <c r="AQ4686" t="s">
        <v>33972</v>
      </c>
      <c r="AT4686" s="184">
        <v>41779</v>
      </c>
      <c r="AU4686" t="s">
        <v>33973</v>
      </c>
      <c r="AV4686">
        <v>25</v>
      </c>
      <c r="AW4686" s="184">
        <v>43773</v>
      </c>
      <c r="AX4686" t="s">
        <v>9219</v>
      </c>
      <c r="AY4686">
        <v>15</v>
      </c>
      <c r="AZ4686" s="184">
        <v>41995</v>
      </c>
      <c r="BA4686" t="s">
        <v>33974</v>
      </c>
      <c r="BB4686">
        <v>40</v>
      </c>
      <c r="BC4686">
        <v>55</v>
      </c>
      <c r="BD4686">
        <v>280</v>
      </c>
      <c r="BE4686">
        <v>2014</v>
      </c>
      <c r="BF4686">
        <v>11</v>
      </c>
      <c r="BI4686">
        <v>6</v>
      </c>
      <c r="BJ4686">
        <v>11</v>
      </c>
      <c r="BK4686">
        <v>6</v>
      </c>
      <c r="BP4686" s="184"/>
    </row>
    <row r="4687" spans="1:68">
      <c r="A4687">
        <v>100157608</v>
      </c>
      <c r="B4687">
        <v>91312447</v>
      </c>
      <c r="C4687" t="s">
        <v>7018</v>
      </c>
      <c r="D4687" t="s">
        <v>595</v>
      </c>
      <c r="E4687" s="184">
        <v>44073</v>
      </c>
      <c r="I4687" s="184"/>
      <c r="K4687" s="184"/>
      <c r="M4687" s="184"/>
      <c r="P4687" t="s">
        <v>7045</v>
      </c>
      <c r="Q4687" t="s">
        <v>7383</v>
      </c>
      <c r="R4687" s="184">
        <v>16041</v>
      </c>
      <c r="S4687">
        <v>80</v>
      </c>
      <c r="V4687" t="s">
        <v>2316</v>
      </c>
      <c r="X4687" t="s">
        <v>17912</v>
      </c>
      <c r="Z4687">
        <v>91312447</v>
      </c>
      <c r="AA4687" t="s">
        <v>7076</v>
      </c>
      <c r="AB4687" t="s">
        <v>4330</v>
      </c>
      <c r="AC4687" t="s">
        <v>3237</v>
      </c>
      <c r="AD4687" t="s">
        <v>17912</v>
      </c>
      <c r="AF4687" t="s">
        <v>33968</v>
      </c>
      <c r="AG4687" t="s">
        <v>33969</v>
      </c>
      <c r="AI4687" t="s">
        <v>33970</v>
      </c>
      <c r="AM4687" t="s">
        <v>27385</v>
      </c>
      <c r="AN4687" t="s">
        <v>2313</v>
      </c>
      <c r="AO4687" t="s">
        <v>33971</v>
      </c>
      <c r="AP4687" t="s">
        <v>7024</v>
      </c>
      <c r="AT4687" s="184"/>
      <c r="AW4687" s="184"/>
      <c r="AZ4687" s="184"/>
      <c r="BP4687" s="184"/>
    </row>
    <row r="4688" spans="1:68">
      <c r="A4688">
        <v>91315036</v>
      </c>
      <c r="B4688">
        <v>91315036</v>
      </c>
      <c r="C4688" t="s">
        <v>7018</v>
      </c>
      <c r="E4688" s="184"/>
      <c r="G4688" s="184"/>
      <c r="I4688" s="184"/>
      <c r="J4688" t="s">
        <v>595</v>
      </c>
      <c r="K4688" s="184">
        <v>44441</v>
      </c>
      <c r="O4688" s="184"/>
      <c r="P4688" t="s">
        <v>7029</v>
      </c>
      <c r="Q4688" t="s">
        <v>7454</v>
      </c>
      <c r="R4688" s="184">
        <v>16438</v>
      </c>
      <c r="S4688">
        <v>79</v>
      </c>
      <c r="U4688" t="s">
        <v>7076</v>
      </c>
      <c r="V4688" t="s">
        <v>2871</v>
      </c>
      <c r="W4688" t="s">
        <v>2963</v>
      </c>
      <c r="X4688" t="s">
        <v>2832</v>
      </c>
      <c r="Z4688">
        <v>100157622</v>
      </c>
      <c r="AA4688" t="s">
        <v>7031</v>
      </c>
      <c r="AB4688" t="s">
        <v>3228</v>
      </c>
      <c r="AD4688" t="s">
        <v>33975</v>
      </c>
      <c r="AF4688" t="s">
        <v>33976</v>
      </c>
      <c r="AG4688" t="s">
        <v>33977</v>
      </c>
      <c r="AI4688" t="s">
        <v>33978</v>
      </c>
      <c r="AM4688" t="s">
        <v>2608</v>
      </c>
      <c r="AN4688" t="s">
        <v>2299</v>
      </c>
      <c r="AO4688" t="s">
        <v>33979</v>
      </c>
      <c r="AP4688" t="s">
        <v>7024</v>
      </c>
      <c r="AQ4688" t="s">
        <v>33980</v>
      </c>
      <c r="AT4688" s="184">
        <v>41780</v>
      </c>
      <c r="AU4688" t="s">
        <v>33981</v>
      </c>
      <c r="AV4688">
        <v>100</v>
      </c>
      <c r="AW4688" s="184">
        <v>45327</v>
      </c>
      <c r="AX4688" t="s">
        <v>7749</v>
      </c>
      <c r="AY4688">
        <v>2000</v>
      </c>
      <c r="AZ4688" s="184">
        <v>44963</v>
      </c>
      <c r="BA4688" t="s">
        <v>9057</v>
      </c>
      <c r="BB4688">
        <v>3000</v>
      </c>
      <c r="BC4688">
        <v>100</v>
      </c>
      <c r="BD4688">
        <v>14750</v>
      </c>
      <c r="BE4688">
        <v>2014</v>
      </c>
      <c r="BF4688">
        <v>14</v>
      </c>
      <c r="BG4688">
        <v>2</v>
      </c>
      <c r="BH4688">
        <v>5000</v>
      </c>
      <c r="BI4688">
        <v>11</v>
      </c>
      <c r="BJ4688">
        <v>11</v>
      </c>
      <c r="BK4688">
        <v>11</v>
      </c>
      <c r="BP4688" s="184"/>
    </row>
    <row r="4689" spans="1:68">
      <c r="A4689">
        <v>100157622</v>
      </c>
      <c r="B4689">
        <v>91315036</v>
      </c>
      <c r="C4689" t="s">
        <v>7018</v>
      </c>
      <c r="E4689" s="184"/>
      <c r="G4689" s="184"/>
      <c r="I4689" s="184"/>
      <c r="J4689" t="s">
        <v>595</v>
      </c>
      <c r="K4689" s="184">
        <v>44441</v>
      </c>
      <c r="O4689" s="184"/>
      <c r="P4689" t="s">
        <v>7029</v>
      </c>
      <c r="Q4689" t="s">
        <v>7454</v>
      </c>
      <c r="R4689" s="184"/>
      <c r="U4689" t="s">
        <v>7031</v>
      </c>
      <c r="V4689" t="s">
        <v>3228</v>
      </c>
      <c r="X4689" t="s">
        <v>33975</v>
      </c>
      <c r="Z4689">
        <v>91315036</v>
      </c>
      <c r="AA4689" t="s">
        <v>7076</v>
      </c>
      <c r="AB4689" t="s">
        <v>2871</v>
      </c>
      <c r="AC4689" t="s">
        <v>2963</v>
      </c>
      <c r="AD4689" t="s">
        <v>2832</v>
      </c>
      <c r="AF4689" t="s">
        <v>33976</v>
      </c>
      <c r="AG4689" t="s">
        <v>33977</v>
      </c>
      <c r="AI4689" t="s">
        <v>33978</v>
      </c>
      <c r="AM4689" t="s">
        <v>2608</v>
      </c>
      <c r="AN4689" t="s">
        <v>2299</v>
      </c>
      <c r="AO4689" t="s">
        <v>33979</v>
      </c>
      <c r="AP4689" t="s">
        <v>7024</v>
      </c>
      <c r="AQ4689" t="s">
        <v>33982</v>
      </c>
      <c r="AT4689" s="184"/>
      <c r="AW4689" s="184"/>
      <c r="AZ4689" s="184"/>
      <c r="BP4689" s="184"/>
    </row>
    <row r="4690" spans="1:68">
      <c r="A4690">
        <v>91326041</v>
      </c>
      <c r="B4690">
        <v>91326041</v>
      </c>
      <c r="C4690" t="s">
        <v>7018</v>
      </c>
      <c r="D4690" t="s">
        <v>595</v>
      </c>
      <c r="E4690" s="184">
        <v>43861</v>
      </c>
      <c r="G4690" s="184"/>
      <c r="I4690" s="184"/>
      <c r="K4690" s="184"/>
      <c r="M4690" s="184"/>
      <c r="O4690" s="184"/>
      <c r="P4690" t="s">
        <v>7045</v>
      </c>
      <c r="Q4690" t="s">
        <v>7160</v>
      </c>
      <c r="R4690" s="184">
        <v>16907</v>
      </c>
      <c r="S4690">
        <v>78</v>
      </c>
      <c r="U4690" t="s">
        <v>7130</v>
      </c>
      <c r="V4690" t="s">
        <v>2871</v>
      </c>
      <c r="X4690" t="s">
        <v>4184</v>
      </c>
      <c r="Z4690">
        <v>100157653</v>
      </c>
      <c r="AB4690" t="s">
        <v>3293</v>
      </c>
      <c r="AD4690" t="s">
        <v>4184</v>
      </c>
      <c r="AF4690" t="s">
        <v>33983</v>
      </c>
      <c r="AG4690" t="s">
        <v>33984</v>
      </c>
      <c r="AI4690" t="s">
        <v>33985</v>
      </c>
      <c r="AM4690" t="s">
        <v>4643</v>
      </c>
      <c r="AN4690" t="s">
        <v>2413</v>
      </c>
      <c r="AO4690" t="s">
        <v>33986</v>
      </c>
      <c r="AP4690" t="s">
        <v>7024</v>
      </c>
      <c r="AQ4690" t="s">
        <v>33987</v>
      </c>
      <c r="AT4690" s="184">
        <v>41781</v>
      </c>
      <c r="AU4690" t="s">
        <v>33988</v>
      </c>
      <c r="AV4690">
        <v>100</v>
      </c>
      <c r="AW4690" s="184">
        <v>45371</v>
      </c>
      <c r="AX4690" t="s">
        <v>8714</v>
      </c>
      <c r="AY4690">
        <v>50</v>
      </c>
      <c r="AZ4690" s="184">
        <v>45371</v>
      </c>
      <c r="BA4690" t="s">
        <v>7092</v>
      </c>
      <c r="BB4690">
        <v>100</v>
      </c>
      <c r="BC4690">
        <v>100</v>
      </c>
      <c r="BD4690">
        <v>3655</v>
      </c>
      <c r="BE4690">
        <v>2014</v>
      </c>
      <c r="BF4690">
        <v>50</v>
      </c>
      <c r="BG4690">
        <v>8</v>
      </c>
      <c r="BH4690">
        <v>700</v>
      </c>
      <c r="BI4690">
        <v>11</v>
      </c>
      <c r="BJ4690">
        <v>11</v>
      </c>
      <c r="BK4690">
        <v>11</v>
      </c>
      <c r="BP4690" s="184"/>
    </row>
    <row r="4691" spans="1:68">
      <c r="A4691">
        <v>100157653</v>
      </c>
      <c r="B4691">
        <v>91326041</v>
      </c>
      <c r="C4691" t="s">
        <v>7018</v>
      </c>
      <c r="D4691" t="s">
        <v>595</v>
      </c>
      <c r="E4691" s="184">
        <v>43861</v>
      </c>
      <c r="G4691" s="184"/>
      <c r="I4691" s="184"/>
      <c r="K4691" s="184"/>
      <c r="M4691" s="184"/>
      <c r="O4691" s="184"/>
      <c r="P4691" t="s">
        <v>7045</v>
      </c>
      <c r="Q4691" t="s">
        <v>7160</v>
      </c>
      <c r="R4691" s="184">
        <v>17168</v>
      </c>
      <c r="S4691">
        <v>77</v>
      </c>
      <c r="V4691" t="s">
        <v>3293</v>
      </c>
      <c r="X4691" t="s">
        <v>4184</v>
      </c>
      <c r="Z4691">
        <v>91326041</v>
      </c>
      <c r="AA4691" t="s">
        <v>7130</v>
      </c>
      <c r="AB4691" t="s">
        <v>2871</v>
      </c>
      <c r="AD4691" t="s">
        <v>4184</v>
      </c>
      <c r="AF4691" t="s">
        <v>33983</v>
      </c>
      <c r="AG4691" t="s">
        <v>33984</v>
      </c>
      <c r="AI4691" t="s">
        <v>33985</v>
      </c>
      <c r="AM4691" t="s">
        <v>4643</v>
      </c>
      <c r="AN4691" t="s">
        <v>2413</v>
      </c>
      <c r="AO4691" t="s">
        <v>33986</v>
      </c>
      <c r="AP4691" t="s">
        <v>7024</v>
      </c>
      <c r="AT4691" s="184"/>
      <c r="AW4691" s="184"/>
      <c r="AZ4691" s="184"/>
      <c r="BP4691" s="184"/>
    </row>
    <row r="4692" spans="1:68">
      <c r="A4692">
        <v>91331777</v>
      </c>
      <c r="B4692">
        <v>91331777</v>
      </c>
      <c r="C4692" t="s">
        <v>7018</v>
      </c>
      <c r="D4692" t="s">
        <v>595</v>
      </c>
      <c r="E4692" s="184">
        <v>45204</v>
      </c>
      <c r="I4692" s="184"/>
      <c r="K4692" s="184"/>
      <c r="M4692" s="184"/>
      <c r="O4692" s="184"/>
      <c r="P4692" t="s">
        <v>7045</v>
      </c>
      <c r="Q4692" t="s">
        <v>7383</v>
      </c>
      <c r="R4692" s="184">
        <v>18598</v>
      </c>
      <c r="S4692">
        <v>73</v>
      </c>
      <c r="V4692" t="s">
        <v>32973</v>
      </c>
      <c r="X4692" t="s">
        <v>3180</v>
      </c>
      <c r="AF4692" t="s">
        <v>33989</v>
      </c>
      <c r="AG4692" t="s">
        <v>32973</v>
      </c>
      <c r="AI4692" t="s">
        <v>33990</v>
      </c>
      <c r="AM4692" t="s">
        <v>33991</v>
      </c>
      <c r="AN4692" t="s">
        <v>2072</v>
      </c>
      <c r="AO4692" t="s">
        <v>33992</v>
      </c>
      <c r="AP4692" t="s">
        <v>7024</v>
      </c>
      <c r="AQ4692" t="s">
        <v>33993</v>
      </c>
      <c r="AT4692" s="184">
        <v>41782</v>
      </c>
      <c r="AU4692" t="s">
        <v>33994</v>
      </c>
      <c r="AV4692">
        <v>15</v>
      </c>
      <c r="AW4692" s="184">
        <v>45408</v>
      </c>
      <c r="AX4692" t="s">
        <v>22078</v>
      </c>
      <c r="AY4692">
        <v>25</v>
      </c>
      <c r="AZ4692" s="184">
        <v>45408</v>
      </c>
      <c r="BA4692" t="s">
        <v>22078</v>
      </c>
      <c r="BB4692">
        <v>25</v>
      </c>
      <c r="BC4692">
        <v>100</v>
      </c>
      <c r="BD4692">
        <v>300</v>
      </c>
      <c r="BE4692">
        <v>2014</v>
      </c>
      <c r="BF4692">
        <v>13</v>
      </c>
      <c r="BG4692">
        <v>2</v>
      </c>
      <c r="BH4692">
        <v>50</v>
      </c>
      <c r="BI4692">
        <v>11</v>
      </c>
      <c r="BJ4692">
        <v>11</v>
      </c>
      <c r="BK4692">
        <v>11</v>
      </c>
      <c r="BP4692" s="184"/>
    </row>
    <row r="4693" spans="1:68">
      <c r="A4693">
        <v>91335091</v>
      </c>
      <c r="B4693">
        <v>91335091</v>
      </c>
      <c r="C4693" t="s">
        <v>7018</v>
      </c>
      <c r="E4693" s="184"/>
      <c r="G4693" s="184"/>
      <c r="I4693" s="184"/>
      <c r="J4693" t="s">
        <v>595</v>
      </c>
      <c r="K4693" s="184">
        <v>44438</v>
      </c>
      <c r="M4693" s="184"/>
      <c r="O4693" s="184"/>
      <c r="P4693" t="s">
        <v>7045</v>
      </c>
      <c r="Q4693" t="s">
        <v>7374</v>
      </c>
      <c r="R4693" s="184">
        <v>14624</v>
      </c>
      <c r="S4693">
        <v>84</v>
      </c>
      <c r="V4693" t="s">
        <v>2871</v>
      </c>
      <c r="X4693" t="s">
        <v>33995</v>
      </c>
      <c r="AF4693" t="s">
        <v>33996</v>
      </c>
      <c r="AG4693" t="s">
        <v>2871</v>
      </c>
      <c r="AI4693" t="s">
        <v>33997</v>
      </c>
      <c r="AM4693" t="s">
        <v>2534</v>
      </c>
      <c r="AN4693" t="s">
        <v>2081</v>
      </c>
      <c r="AO4693" t="s">
        <v>33998</v>
      </c>
      <c r="AP4693" t="s">
        <v>7024</v>
      </c>
      <c r="AQ4693" t="s">
        <v>33999</v>
      </c>
      <c r="AR4693" t="s">
        <v>34000</v>
      </c>
      <c r="AT4693" s="184">
        <v>41786</v>
      </c>
      <c r="AU4693" t="s">
        <v>34001</v>
      </c>
      <c r="AV4693">
        <v>15</v>
      </c>
      <c r="AW4693" s="184">
        <v>45352</v>
      </c>
      <c r="AX4693" t="s">
        <v>14116</v>
      </c>
      <c r="AY4693">
        <v>50</v>
      </c>
      <c r="AZ4693" s="184">
        <v>45352</v>
      </c>
      <c r="BA4693" t="s">
        <v>14116</v>
      </c>
      <c r="BB4693">
        <v>50</v>
      </c>
      <c r="BC4693">
        <v>73</v>
      </c>
      <c r="BD4693">
        <v>850</v>
      </c>
      <c r="BE4693">
        <v>2014</v>
      </c>
      <c r="BF4693">
        <v>31</v>
      </c>
      <c r="BG4693">
        <v>10</v>
      </c>
      <c r="BH4693">
        <v>415</v>
      </c>
      <c r="BI4693">
        <v>8</v>
      </c>
      <c r="BJ4693">
        <v>11</v>
      </c>
      <c r="BK4693">
        <v>6</v>
      </c>
      <c r="BP4693" s="184"/>
    </row>
    <row r="4694" spans="1:68">
      <c r="A4694">
        <v>91402339</v>
      </c>
      <c r="B4694">
        <v>91402339</v>
      </c>
      <c r="C4694" t="s">
        <v>7018</v>
      </c>
      <c r="D4694" t="s">
        <v>595</v>
      </c>
      <c r="E4694" s="184">
        <v>45140</v>
      </c>
      <c r="G4694" s="184"/>
      <c r="I4694" s="184"/>
      <c r="K4694" s="184"/>
      <c r="M4694" s="184"/>
      <c r="O4694" s="184"/>
      <c r="P4694" t="s">
        <v>7045</v>
      </c>
      <c r="Q4694" t="s">
        <v>7383</v>
      </c>
      <c r="R4694" s="184">
        <v>23774</v>
      </c>
      <c r="S4694">
        <v>59</v>
      </c>
      <c r="U4694" t="s">
        <v>7031</v>
      </c>
      <c r="V4694" t="s">
        <v>34002</v>
      </c>
      <c r="X4694" t="s">
        <v>34003</v>
      </c>
      <c r="AF4694" t="s">
        <v>34004</v>
      </c>
      <c r="AG4694" t="s">
        <v>34002</v>
      </c>
      <c r="AI4694" t="s">
        <v>34005</v>
      </c>
      <c r="AM4694" t="s">
        <v>34006</v>
      </c>
      <c r="AN4694" t="s">
        <v>2162</v>
      </c>
      <c r="AO4694" t="s">
        <v>34007</v>
      </c>
      <c r="AP4694" t="s">
        <v>7024</v>
      </c>
      <c r="AQ4694" t="s">
        <v>34008</v>
      </c>
      <c r="AR4694" t="s">
        <v>34009</v>
      </c>
      <c r="AT4694" s="184">
        <v>34638</v>
      </c>
      <c r="AU4694" t="s">
        <v>16109</v>
      </c>
      <c r="AV4694">
        <v>20</v>
      </c>
      <c r="AW4694" s="184">
        <v>45411</v>
      </c>
      <c r="AX4694" t="s">
        <v>9437</v>
      </c>
      <c r="AY4694">
        <v>60</v>
      </c>
      <c r="AZ4694" s="184">
        <v>43081</v>
      </c>
      <c r="BA4694" t="s">
        <v>34010</v>
      </c>
      <c r="BB4694">
        <v>75</v>
      </c>
      <c r="BC4694">
        <v>49</v>
      </c>
      <c r="BD4694">
        <v>940</v>
      </c>
      <c r="BE4694">
        <v>1995</v>
      </c>
      <c r="BF4694">
        <v>17</v>
      </c>
      <c r="BG4694">
        <v>2</v>
      </c>
      <c r="BH4694">
        <v>120</v>
      </c>
      <c r="BI4694">
        <v>15</v>
      </c>
      <c r="BJ4694">
        <v>31</v>
      </c>
      <c r="BK4694">
        <v>4</v>
      </c>
      <c r="BP4694" s="184"/>
    </row>
    <row r="4695" spans="1:68">
      <c r="A4695">
        <v>91407585</v>
      </c>
      <c r="B4695">
        <v>91407585</v>
      </c>
      <c r="C4695" t="s">
        <v>7018</v>
      </c>
      <c r="D4695" t="s">
        <v>595</v>
      </c>
      <c r="E4695" s="184">
        <v>44073</v>
      </c>
      <c r="G4695" s="184"/>
      <c r="I4695" s="184"/>
      <c r="K4695" s="184"/>
      <c r="M4695" s="184"/>
      <c r="O4695" s="184"/>
      <c r="P4695" t="s">
        <v>7045</v>
      </c>
      <c r="Q4695" t="s">
        <v>7383</v>
      </c>
      <c r="R4695" s="184">
        <v>21988</v>
      </c>
      <c r="S4695">
        <v>64</v>
      </c>
      <c r="U4695" t="s">
        <v>7076</v>
      </c>
      <c r="V4695" t="s">
        <v>4210</v>
      </c>
      <c r="W4695" t="s">
        <v>2049</v>
      </c>
      <c r="X4695" t="s">
        <v>34011</v>
      </c>
      <c r="AF4695" t="s">
        <v>34012</v>
      </c>
      <c r="AG4695" t="s">
        <v>4210</v>
      </c>
      <c r="AI4695" t="s">
        <v>34013</v>
      </c>
      <c r="AM4695" t="s">
        <v>34014</v>
      </c>
      <c r="AN4695" t="s">
        <v>2274</v>
      </c>
      <c r="AO4695" t="s">
        <v>34015</v>
      </c>
      <c r="AP4695" t="s">
        <v>7024</v>
      </c>
      <c r="AQ4695" t="s">
        <v>34016</v>
      </c>
      <c r="AT4695" s="184">
        <v>41791</v>
      </c>
      <c r="AU4695" t="s">
        <v>34017</v>
      </c>
      <c r="AV4695">
        <v>20</v>
      </c>
      <c r="AW4695" s="184">
        <v>45379</v>
      </c>
      <c r="AX4695" t="s">
        <v>10707</v>
      </c>
      <c r="AY4695">
        <v>50</v>
      </c>
      <c r="AZ4695" s="184">
        <v>44349</v>
      </c>
      <c r="BA4695" t="s">
        <v>9780</v>
      </c>
      <c r="BB4695">
        <v>60</v>
      </c>
      <c r="BC4695">
        <v>82</v>
      </c>
      <c r="BD4695">
        <v>415</v>
      </c>
      <c r="BE4695">
        <v>2014</v>
      </c>
      <c r="BF4695">
        <v>14</v>
      </c>
      <c r="BG4695">
        <v>1</v>
      </c>
      <c r="BH4695">
        <v>50</v>
      </c>
      <c r="BI4695">
        <v>9</v>
      </c>
      <c r="BJ4695">
        <v>11</v>
      </c>
      <c r="BK4695">
        <v>8</v>
      </c>
      <c r="BN4695" t="s">
        <v>595</v>
      </c>
      <c r="BP4695" s="184"/>
    </row>
    <row r="4696" spans="1:68">
      <c r="A4696">
        <v>91410753</v>
      </c>
      <c r="B4696">
        <v>91410753</v>
      </c>
      <c r="C4696" t="s">
        <v>7018</v>
      </c>
      <c r="E4696" s="184"/>
      <c r="G4696" s="184"/>
      <c r="H4696" t="s">
        <v>595</v>
      </c>
      <c r="I4696" s="184">
        <v>43917</v>
      </c>
      <c r="K4696" s="184"/>
      <c r="O4696" s="184"/>
      <c r="P4696" t="s">
        <v>7045</v>
      </c>
      <c r="Q4696" t="s">
        <v>7383</v>
      </c>
      <c r="R4696" s="184">
        <v>17777</v>
      </c>
      <c r="S4696">
        <v>75</v>
      </c>
      <c r="U4696" t="s">
        <v>7076</v>
      </c>
      <c r="V4696" t="s">
        <v>3101</v>
      </c>
      <c r="X4696" t="s">
        <v>4792</v>
      </c>
      <c r="AF4696" t="s">
        <v>34018</v>
      </c>
      <c r="AG4696" t="s">
        <v>3101</v>
      </c>
      <c r="AI4696" t="s">
        <v>34019</v>
      </c>
      <c r="AM4696" t="s">
        <v>4793</v>
      </c>
      <c r="AN4696" t="s">
        <v>2313</v>
      </c>
      <c r="AO4696" t="s">
        <v>34020</v>
      </c>
      <c r="AP4696" t="s">
        <v>7024</v>
      </c>
      <c r="AT4696" s="184">
        <v>36388</v>
      </c>
      <c r="AU4696" t="s">
        <v>21073</v>
      </c>
      <c r="AV4696">
        <v>75</v>
      </c>
      <c r="AW4696" s="184">
        <v>44704</v>
      </c>
      <c r="AX4696" t="s">
        <v>17687</v>
      </c>
      <c r="AY4696">
        <v>1000</v>
      </c>
      <c r="AZ4696" s="184">
        <v>44621</v>
      </c>
      <c r="BA4696" t="s">
        <v>26316</v>
      </c>
      <c r="BB4696">
        <v>5000</v>
      </c>
      <c r="BC4696">
        <v>81</v>
      </c>
      <c r="BD4696">
        <v>14375</v>
      </c>
      <c r="BE4696">
        <v>2000</v>
      </c>
      <c r="BF4696">
        <v>27</v>
      </c>
      <c r="BG4696">
        <v>1</v>
      </c>
      <c r="BH4696">
        <v>1000</v>
      </c>
      <c r="BI4696">
        <v>21</v>
      </c>
      <c r="BJ4696">
        <v>26</v>
      </c>
      <c r="BK4696">
        <v>16</v>
      </c>
      <c r="BP4696" s="184"/>
    </row>
    <row r="4697" spans="1:68">
      <c r="A4697">
        <v>91411140</v>
      </c>
      <c r="B4697">
        <v>91411140</v>
      </c>
      <c r="C4697" t="s">
        <v>7018</v>
      </c>
      <c r="D4697" t="s">
        <v>595</v>
      </c>
      <c r="E4697" s="184">
        <v>45160</v>
      </c>
      <c r="I4697" s="184"/>
      <c r="K4697" s="184"/>
      <c r="O4697" s="184"/>
      <c r="P4697" t="s">
        <v>7045</v>
      </c>
      <c r="Q4697" t="s">
        <v>7160</v>
      </c>
      <c r="R4697" s="184">
        <v>13132</v>
      </c>
      <c r="S4697">
        <v>88</v>
      </c>
      <c r="U4697" t="s">
        <v>7076</v>
      </c>
      <c r="V4697" t="s">
        <v>3304</v>
      </c>
      <c r="X4697" t="s">
        <v>34021</v>
      </c>
      <c r="AF4697" t="s">
        <v>34022</v>
      </c>
      <c r="AG4697" t="s">
        <v>3304</v>
      </c>
      <c r="AI4697" t="s">
        <v>34023</v>
      </c>
      <c r="AM4697" t="s">
        <v>3975</v>
      </c>
      <c r="AN4697" t="s">
        <v>2413</v>
      </c>
      <c r="AO4697" t="s">
        <v>34024</v>
      </c>
      <c r="AP4697" t="s">
        <v>7024</v>
      </c>
      <c r="AQ4697" t="s">
        <v>34025</v>
      </c>
      <c r="AR4697" t="s">
        <v>34026</v>
      </c>
      <c r="AT4697" s="184">
        <v>41787</v>
      </c>
      <c r="AU4697" t="s">
        <v>34001</v>
      </c>
      <c r="AV4697">
        <v>25</v>
      </c>
      <c r="AW4697" s="184">
        <v>44397</v>
      </c>
      <c r="AX4697" t="s">
        <v>34027</v>
      </c>
      <c r="AY4697">
        <v>25</v>
      </c>
      <c r="AZ4697" s="184">
        <v>44397</v>
      </c>
      <c r="BA4697" t="s">
        <v>34027</v>
      </c>
      <c r="BB4697">
        <v>25</v>
      </c>
      <c r="BC4697">
        <v>55</v>
      </c>
      <c r="BD4697">
        <v>170</v>
      </c>
      <c r="BE4697">
        <v>2014</v>
      </c>
      <c r="BF4697">
        <v>9</v>
      </c>
      <c r="BI4697">
        <v>6</v>
      </c>
      <c r="BJ4697">
        <v>11</v>
      </c>
      <c r="BK4697">
        <v>4</v>
      </c>
      <c r="BP4697" s="184"/>
    </row>
    <row r="4698" spans="1:68">
      <c r="A4698">
        <v>91426353</v>
      </c>
      <c r="B4698">
        <v>91426353</v>
      </c>
      <c r="C4698" t="s">
        <v>7018</v>
      </c>
      <c r="D4698" t="s">
        <v>595</v>
      </c>
      <c r="E4698" s="184">
        <v>43861</v>
      </c>
      <c r="G4698" s="184"/>
      <c r="I4698" s="184"/>
      <c r="K4698" s="184"/>
      <c r="M4698" s="184"/>
      <c r="O4698" s="184"/>
      <c r="P4698" t="s">
        <v>7045</v>
      </c>
      <c r="Q4698" t="s">
        <v>7454</v>
      </c>
      <c r="R4698" s="184">
        <v>17285</v>
      </c>
      <c r="S4698">
        <v>77</v>
      </c>
      <c r="U4698" t="s">
        <v>7130</v>
      </c>
      <c r="V4698" t="s">
        <v>2969</v>
      </c>
      <c r="W4698" t="s">
        <v>7963</v>
      </c>
      <c r="X4698" t="s">
        <v>4644</v>
      </c>
      <c r="Z4698">
        <v>100157821</v>
      </c>
      <c r="AB4698" t="s">
        <v>2687</v>
      </c>
      <c r="AD4698" t="s">
        <v>4644</v>
      </c>
      <c r="AF4698" t="s">
        <v>34028</v>
      </c>
      <c r="AG4698" t="s">
        <v>34029</v>
      </c>
      <c r="AI4698" t="s">
        <v>34030</v>
      </c>
      <c r="AM4698" t="s">
        <v>4645</v>
      </c>
      <c r="AN4698" t="s">
        <v>2055</v>
      </c>
      <c r="AO4698" t="s">
        <v>34031</v>
      </c>
      <c r="AP4698" t="s">
        <v>7024</v>
      </c>
      <c r="AQ4698" t="s">
        <v>34032</v>
      </c>
      <c r="AT4698" s="184">
        <v>41795</v>
      </c>
      <c r="AU4698" t="s">
        <v>34033</v>
      </c>
      <c r="AV4698">
        <v>25</v>
      </c>
      <c r="AW4698" s="184">
        <v>44229</v>
      </c>
      <c r="AX4698" t="s">
        <v>34034</v>
      </c>
      <c r="AY4698">
        <v>35</v>
      </c>
      <c r="AZ4698" s="184">
        <v>42486</v>
      </c>
      <c r="BA4698" t="s">
        <v>8586</v>
      </c>
      <c r="BB4698">
        <v>50</v>
      </c>
      <c r="BC4698">
        <v>73</v>
      </c>
      <c r="BD4698">
        <v>785</v>
      </c>
      <c r="BE4698">
        <v>2014</v>
      </c>
      <c r="BF4698">
        <v>24</v>
      </c>
      <c r="BI4698">
        <v>8</v>
      </c>
      <c r="BJ4698">
        <v>11</v>
      </c>
      <c r="BK4698">
        <v>8</v>
      </c>
      <c r="BP4698" s="184"/>
    </row>
    <row r="4699" spans="1:68">
      <c r="A4699">
        <v>100157821</v>
      </c>
      <c r="B4699">
        <v>91426353</v>
      </c>
      <c r="C4699" t="s">
        <v>7018</v>
      </c>
      <c r="D4699" t="s">
        <v>595</v>
      </c>
      <c r="E4699" s="184">
        <v>43861</v>
      </c>
      <c r="G4699" s="184"/>
      <c r="I4699" s="184"/>
      <c r="K4699" s="184"/>
      <c r="O4699" s="184"/>
      <c r="P4699" t="s">
        <v>7045</v>
      </c>
      <c r="Q4699" t="s">
        <v>7454</v>
      </c>
      <c r="R4699" s="184">
        <v>16371</v>
      </c>
      <c r="S4699">
        <v>79</v>
      </c>
      <c r="V4699" t="s">
        <v>2687</v>
      </c>
      <c r="X4699" t="s">
        <v>4644</v>
      </c>
      <c r="Z4699">
        <v>91426353</v>
      </c>
      <c r="AA4699" t="s">
        <v>7130</v>
      </c>
      <c r="AB4699" t="s">
        <v>2969</v>
      </c>
      <c r="AC4699" t="s">
        <v>7963</v>
      </c>
      <c r="AD4699" t="s">
        <v>4644</v>
      </c>
      <c r="AF4699" t="s">
        <v>34028</v>
      </c>
      <c r="AG4699" t="s">
        <v>34029</v>
      </c>
      <c r="AI4699" t="s">
        <v>34030</v>
      </c>
      <c r="AM4699" t="s">
        <v>4645</v>
      </c>
      <c r="AN4699" t="s">
        <v>2055</v>
      </c>
      <c r="AO4699" t="s">
        <v>34031</v>
      </c>
      <c r="AP4699" t="s">
        <v>7024</v>
      </c>
      <c r="AT4699" s="184"/>
      <c r="AW4699" s="184"/>
      <c r="AZ4699" s="184"/>
      <c r="BP4699" s="184"/>
    </row>
    <row r="4700" spans="1:68">
      <c r="A4700">
        <v>91429779</v>
      </c>
      <c r="B4700">
        <v>91429779</v>
      </c>
      <c r="C4700" t="s">
        <v>7018</v>
      </c>
      <c r="D4700" t="s">
        <v>595</v>
      </c>
      <c r="E4700" s="184">
        <v>45104</v>
      </c>
      <c r="G4700" s="184"/>
      <c r="I4700" s="184"/>
      <c r="K4700" s="184"/>
      <c r="M4700" s="184"/>
      <c r="O4700" s="184"/>
      <c r="P4700" t="s">
        <v>7045</v>
      </c>
      <c r="Q4700" t="s">
        <v>7383</v>
      </c>
      <c r="R4700" s="184">
        <v>19419</v>
      </c>
      <c r="S4700">
        <v>71</v>
      </c>
      <c r="V4700" t="s">
        <v>11393</v>
      </c>
      <c r="X4700" t="s">
        <v>34035</v>
      </c>
      <c r="AF4700" t="s">
        <v>34036</v>
      </c>
      <c r="AG4700" t="s">
        <v>11393</v>
      </c>
      <c r="AI4700" t="s">
        <v>34037</v>
      </c>
      <c r="AM4700" t="s">
        <v>3465</v>
      </c>
      <c r="AN4700" t="s">
        <v>2162</v>
      </c>
      <c r="AO4700" t="s">
        <v>34038</v>
      </c>
      <c r="AP4700" t="s">
        <v>7024</v>
      </c>
      <c r="AQ4700" t="s">
        <v>34039</v>
      </c>
      <c r="AT4700" s="184">
        <v>41796</v>
      </c>
      <c r="AU4700" t="s">
        <v>34040</v>
      </c>
      <c r="AV4700">
        <v>20</v>
      </c>
      <c r="AW4700" s="184">
        <v>45376</v>
      </c>
      <c r="AX4700" t="s">
        <v>29099</v>
      </c>
      <c r="AY4700">
        <v>15</v>
      </c>
      <c r="AZ4700" s="184">
        <v>43917</v>
      </c>
      <c r="BA4700" t="s">
        <v>34041</v>
      </c>
      <c r="BB4700">
        <v>25</v>
      </c>
      <c r="BC4700">
        <v>100</v>
      </c>
      <c r="BD4700">
        <v>335</v>
      </c>
      <c r="BE4700">
        <v>2014</v>
      </c>
      <c r="BF4700">
        <v>27</v>
      </c>
      <c r="BG4700">
        <v>7</v>
      </c>
      <c r="BH4700">
        <v>75</v>
      </c>
      <c r="BI4700">
        <v>11</v>
      </c>
      <c r="BJ4700">
        <v>11</v>
      </c>
      <c r="BK4700">
        <v>11</v>
      </c>
      <c r="BN4700" t="s">
        <v>595</v>
      </c>
      <c r="BP4700" s="184"/>
    </row>
    <row r="4701" spans="1:68">
      <c r="A4701">
        <v>91432203</v>
      </c>
      <c r="B4701">
        <v>91432203</v>
      </c>
      <c r="C4701" t="s">
        <v>7018</v>
      </c>
      <c r="D4701" t="s">
        <v>595</v>
      </c>
      <c r="E4701" s="184">
        <v>44167</v>
      </c>
      <c r="G4701" s="184"/>
      <c r="I4701" s="184"/>
      <c r="K4701" s="184"/>
      <c r="M4701" s="184"/>
      <c r="O4701" s="184"/>
      <c r="P4701" t="s">
        <v>7045</v>
      </c>
      <c r="Q4701" t="s">
        <v>7383</v>
      </c>
      <c r="R4701" s="184">
        <v>19603</v>
      </c>
      <c r="S4701">
        <v>70</v>
      </c>
      <c r="V4701" t="s">
        <v>2733</v>
      </c>
      <c r="X4701" t="s">
        <v>34042</v>
      </c>
      <c r="AF4701" t="s">
        <v>34043</v>
      </c>
      <c r="AG4701" t="s">
        <v>2733</v>
      </c>
      <c r="AI4701" t="s">
        <v>34044</v>
      </c>
      <c r="AM4701" t="s">
        <v>30660</v>
      </c>
      <c r="AN4701" t="s">
        <v>2274</v>
      </c>
      <c r="AO4701" t="s">
        <v>34045</v>
      </c>
      <c r="AP4701" t="s">
        <v>7024</v>
      </c>
      <c r="AQ4701" t="s">
        <v>34046</v>
      </c>
      <c r="AT4701" s="184">
        <v>41799</v>
      </c>
      <c r="AU4701" t="s">
        <v>34047</v>
      </c>
      <c r="AV4701">
        <v>15</v>
      </c>
      <c r="AW4701" s="184">
        <v>45411</v>
      </c>
      <c r="AX4701" t="s">
        <v>34048</v>
      </c>
      <c r="AY4701">
        <v>20</v>
      </c>
      <c r="AZ4701" s="184">
        <v>44186</v>
      </c>
      <c r="BA4701" t="s">
        <v>34049</v>
      </c>
      <c r="BB4701">
        <v>40</v>
      </c>
      <c r="BC4701">
        <v>100</v>
      </c>
      <c r="BD4701">
        <v>1585</v>
      </c>
      <c r="BE4701">
        <v>2014</v>
      </c>
      <c r="BF4701">
        <v>77</v>
      </c>
      <c r="BG4701">
        <v>22</v>
      </c>
      <c r="BH4701">
        <v>470</v>
      </c>
      <c r="BI4701">
        <v>11</v>
      </c>
      <c r="BJ4701">
        <v>11</v>
      </c>
      <c r="BK4701">
        <v>11</v>
      </c>
      <c r="BP4701" s="184"/>
    </row>
    <row r="4702" spans="1:68">
      <c r="A4702">
        <v>91433003</v>
      </c>
      <c r="B4702">
        <v>91433003</v>
      </c>
      <c r="C4702" t="s">
        <v>7018</v>
      </c>
      <c r="D4702" t="s">
        <v>595</v>
      </c>
      <c r="E4702" s="184">
        <v>45112</v>
      </c>
      <c r="G4702" s="184"/>
      <c r="I4702" s="184"/>
      <c r="K4702" s="184"/>
      <c r="M4702" s="184"/>
      <c r="O4702" s="184"/>
      <c r="P4702" t="s">
        <v>7045</v>
      </c>
      <c r="Q4702" t="s">
        <v>7383</v>
      </c>
      <c r="R4702" s="184">
        <v>17380</v>
      </c>
      <c r="S4702">
        <v>76</v>
      </c>
      <c r="V4702" t="s">
        <v>2541</v>
      </c>
      <c r="W4702" t="s">
        <v>2058</v>
      </c>
      <c r="X4702" t="s">
        <v>14064</v>
      </c>
      <c r="Z4702">
        <v>100157841</v>
      </c>
      <c r="AB4702" t="s">
        <v>3122</v>
      </c>
      <c r="AD4702" t="s">
        <v>14064</v>
      </c>
      <c r="AF4702" t="s">
        <v>34050</v>
      </c>
      <c r="AG4702" t="s">
        <v>34051</v>
      </c>
      <c r="AI4702" t="s">
        <v>34052</v>
      </c>
      <c r="AM4702" t="s">
        <v>34053</v>
      </c>
      <c r="AN4702" t="s">
        <v>2274</v>
      </c>
      <c r="AO4702" t="s">
        <v>34054</v>
      </c>
      <c r="AP4702" t="s">
        <v>7024</v>
      </c>
      <c r="AQ4702" t="s">
        <v>34055</v>
      </c>
      <c r="AT4702" s="184">
        <v>41799</v>
      </c>
      <c r="AU4702" t="s">
        <v>34056</v>
      </c>
      <c r="AV4702">
        <v>25</v>
      </c>
      <c r="AW4702" s="184">
        <v>44943</v>
      </c>
      <c r="AX4702" t="s">
        <v>25779</v>
      </c>
      <c r="AY4702">
        <v>25</v>
      </c>
      <c r="AZ4702" s="184">
        <v>42193</v>
      </c>
      <c r="BA4702" t="s">
        <v>34057</v>
      </c>
      <c r="BB4702">
        <v>60</v>
      </c>
      <c r="BC4702">
        <v>55</v>
      </c>
      <c r="BD4702">
        <v>230</v>
      </c>
      <c r="BE4702">
        <v>2014</v>
      </c>
      <c r="BF4702">
        <v>7</v>
      </c>
      <c r="BG4702">
        <v>1</v>
      </c>
      <c r="BH4702">
        <v>25</v>
      </c>
      <c r="BI4702">
        <v>6</v>
      </c>
      <c r="BJ4702">
        <v>11</v>
      </c>
      <c r="BK4702">
        <v>2</v>
      </c>
      <c r="BN4702" t="s">
        <v>595</v>
      </c>
      <c r="BP4702" s="184"/>
    </row>
    <row r="4703" spans="1:68">
      <c r="A4703">
        <v>100157841</v>
      </c>
      <c r="B4703">
        <v>91433003</v>
      </c>
      <c r="C4703" t="s">
        <v>7018</v>
      </c>
      <c r="D4703" t="s">
        <v>595</v>
      </c>
      <c r="E4703" s="184">
        <v>45112</v>
      </c>
      <c r="G4703" s="184"/>
      <c r="I4703" s="184"/>
      <c r="K4703" s="184"/>
      <c r="O4703" s="184"/>
      <c r="P4703" t="s">
        <v>7045</v>
      </c>
      <c r="Q4703" t="s">
        <v>7383</v>
      </c>
      <c r="R4703" s="184">
        <v>17380</v>
      </c>
      <c r="S4703">
        <v>76</v>
      </c>
      <c r="V4703" t="s">
        <v>3122</v>
      </c>
      <c r="X4703" t="s">
        <v>14064</v>
      </c>
      <c r="Z4703">
        <v>91433003</v>
      </c>
      <c r="AB4703" t="s">
        <v>2541</v>
      </c>
      <c r="AC4703" t="s">
        <v>2058</v>
      </c>
      <c r="AD4703" t="s">
        <v>14064</v>
      </c>
      <c r="AF4703" t="s">
        <v>34050</v>
      </c>
      <c r="AG4703" t="s">
        <v>34051</v>
      </c>
      <c r="AI4703" t="s">
        <v>34052</v>
      </c>
      <c r="AM4703" t="s">
        <v>34053</v>
      </c>
      <c r="AN4703" t="s">
        <v>2274</v>
      </c>
      <c r="AO4703" t="s">
        <v>34054</v>
      </c>
      <c r="AP4703" t="s">
        <v>7024</v>
      </c>
      <c r="AT4703" s="184"/>
      <c r="AW4703" s="184"/>
      <c r="AZ4703" s="184"/>
      <c r="BP4703" s="184"/>
    </row>
    <row r="4704" spans="1:68">
      <c r="A4704">
        <v>36022895</v>
      </c>
      <c r="B4704">
        <v>91442780</v>
      </c>
      <c r="C4704" t="s">
        <v>7018</v>
      </c>
      <c r="D4704" t="s">
        <v>595</v>
      </c>
      <c r="E4704" s="184">
        <v>43676</v>
      </c>
      <c r="G4704" s="184"/>
      <c r="I4704" s="184"/>
      <c r="K4704" s="184"/>
      <c r="O4704" s="184"/>
      <c r="P4704" t="s">
        <v>7045</v>
      </c>
      <c r="Q4704" t="s">
        <v>7020</v>
      </c>
      <c r="R4704" s="184">
        <v>15209</v>
      </c>
      <c r="S4704">
        <v>82</v>
      </c>
      <c r="V4704" t="s">
        <v>2523</v>
      </c>
      <c r="W4704" t="s">
        <v>8224</v>
      </c>
      <c r="X4704" t="s">
        <v>3681</v>
      </c>
      <c r="Z4704">
        <v>91442780</v>
      </c>
      <c r="AA4704" t="s">
        <v>7031</v>
      </c>
      <c r="AB4704" t="s">
        <v>2832</v>
      </c>
      <c r="AD4704" t="s">
        <v>3681</v>
      </c>
      <c r="AF4704" t="s">
        <v>34058</v>
      </c>
      <c r="AG4704" t="s">
        <v>16997</v>
      </c>
      <c r="AI4704" t="s">
        <v>34059</v>
      </c>
      <c r="AM4704" t="s">
        <v>7550</v>
      </c>
      <c r="AN4704" t="s">
        <v>2240</v>
      </c>
      <c r="AO4704" t="s">
        <v>34060</v>
      </c>
      <c r="AP4704" t="s">
        <v>7024</v>
      </c>
      <c r="AQ4704" t="s">
        <v>34061</v>
      </c>
      <c r="AT4704" s="184">
        <v>37715</v>
      </c>
      <c r="AU4704" t="s">
        <v>34062</v>
      </c>
      <c r="AV4704">
        <v>25</v>
      </c>
      <c r="AW4704" s="184">
        <v>44296</v>
      </c>
      <c r="AX4704" t="s">
        <v>24232</v>
      </c>
      <c r="AY4704">
        <v>50</v>
      </c>
      <c r="AZ4704" s="184">
        <v>43591</v>
      </c>
      <c r="BA4704" t="s">
        <v>34063</v>
      </c>
      <c r="BB4704">
        <v>55</v>
      </c>
      <c r="BC4704">
        <v>55</v>
      </c>
      <c r="BD4704">
        <v>440</v>
      </c>
      <c r="BE4704">
        <v>2003</v>
      </c>
      <c r="BF4704">
        <v>12</v>
      </c>
      <c r="BI4704">
        <v>12</v>
      </c>
      <c r="BJ4704">
        <v>22</v>
      </c>
      <c r="BK4704">
        <v>5</v>
      </c>
      <c r="BL4704" t="s">
        <v>595</v>
      </c>
      <c r="BM4704" t="s">
        <v>595</v>
      </c>
      <c r="BN4704" t="s">
        <v>595</v>
      </c>
      <c r="BP4704" s="184"/>
    </row>
    <row r="4705" spans="1:68">
      <c r="A4705">
        <v>91463745</v>
      </c>
      <c r="B4705">
        <v>91463745</v>
      </c>
      <c r="C4705" t="s">
        <v>7018</v>
      </c>
      <c r="D4705" t="s">
        <v>595</v>
      </c>
      <c r="E4705" s="184">
        <v>45117</v>
      </c>
      <c r="G4705" s="184"/>
      <c r="I4705" s="184"/>
      <c r="K4705" s="184"/>
      <c r="M4705" s="184"/>
      <c r="O4705" s="184"/>
      <c r="P4705" t="s">
        <v>7045</v>
      </c>
      <c r="Q4705" t="s">
        <v>7383</v>
      </c>
      <c r="R4705" s="184">
        <v>13727</v>
      </c>
      <c r="S4705">
        <v>86</v>
      </c>
      <c r="U4705" t="s">
        <v>7031</v>
      </c>
      <c r="V4705" t="s">
        <v>2687</v>
      </c>
      <c r="X4705" t="s">
        <v>3539</v>
      </c>
      <c r="AF4705" t="s">
        <v>34064</v>
      </c>
      <c r="AG4705" t="s">
        <v>2687</v>
      </c>
      <c r="AI4705" t="s">
        <v>34065</v>
      </c>
      <c r="AM4705" t="s">
        <v>29661</v>
      </c>
      <c r="AN4705" t="s">
        <v>2274</v>
      </c>
      <c r="AO4705" t="s">
        <v>34066</v>
      </c>
      <c r="AP4705" t="s">
        <v>7024</v>
      </c>
      <c r="AQ4705" t="s">
        <v>34067</v>
      </c>
      <c r="AT4705" s="184">
        <v>41806</v>
      </c>
      <c r="AU4705" t="s">
        <v>34068</v>
      </c>
      <c r="AV4705">
        <v>20</v>
      </c>
      <c r="AW4705" s="184">
        <v>44519</v>
      </c>
      <c r="AX4705" t="s">
        <v>34069</v>
      </c>
      <c r="AY4705">
        <v>50</v>
      </c>
      <c r="AZ4705" s="184">
        <v>43675</v>
      </c>
      <c r="BA4705" t="s">
        <v>17320</v>
      </c>
      <c r="BB4705">
        <v>100</v>
      </c>
      <c r="BC4705">
        <v>46</v>
      </c>
      <c r="BD4705">
        <v>300</v>
      </c>
      <c r="BE4705">
        <v>2014</v>
      </c>
      <c r="BF4705">
        <v>6</v>
      </c>
      <c r="BI4705">
        <v>5</v>
      </c>
      <c r="BJ4705">
        <v>11</v>
      </c>
      <c r="BK4705">
        <v>3</v>
      </c>
      <c r="BP4705" s="184"/>
    </row>
    <row r="4706" spans="1:68">
      <c r="A4706">
        <v>91466490</v>
      </c>
      <c r="B4706">
        <v>91466490</v>
      </c>
      <c r="C4706" t="s">
        <v>7018</v>
      </c>
      <c r="D4706" t="s">
        <v>595</v>
      </c>
      <c r="E4706" s="184">
        <v>44065</v>
      </c>
      <c r="G4706" s="184"/>
      <c r="I4706" s="184"/>
      <c r="K4706" s="184"/>
      <c r="M4706" s="184"/>
      <c r="O4706" s="184"/>
      <c r="P4706" t="s">
        <v>7045</v>
      </c>
      <c r="Q4706" t="s">
        <v>7383</v>
      </c>
      <c r="R4706" s="184">
        <v>20637</v>
      </c>
      <c r="S4706">
        <v>67</v>
      </c>
      <c r="U4706" t="s">
        <v>7031</v>
      </c>
      <c r="V4706" t="s">
        <v>3103</v>
      </c>
      <c r="X4706" t="s">
        <v>34070</v>
      </c>
      <c r="AF4706" t="s">
        <v>34071</v>
      </c>
      <c r="AG4706" t="s">
        <v>3103</v>
      </c>
      <c r="AI4706" t="s">
        <v>34072</v>
      </c>
      <c r="AM4706" t="s">
        <v>7550</v>
      </c>
      <c r="AN4706" t="s">
        <v>2059</v>
      </c>
      <c r="AO4706" t="s">
        <v>34073</v>
      </c>
      <c r="AP4706" t="s">
        <v>7024</v>
      </c>
      <c r="AQ4706" t="s">
        <v>34074</v>
      </c>
      <c r="AT4706" s="184">
        <v>41806</v>
      </c>
      <c r="AU4706" t="s">
        <v>34075</v>
      </c>
      <c r="AV4706">
        <v>25</v>
      </c>
      <c r="AW4706" s="184">
        <v>45426</v>
      </c>
      <c r="AX4706" t="s">
        <v>7422</v>
      </c>
      <c r="AY4706">
        <v>10.5</v>
      </c>
      <c r="AZ4706" s="184">
        <v>43078</v>
      </c>
      <c r="BA4706" t="s">
        <v>34076</v>
      </c>
      <c r="BB4706">
        <v>40</v>
      </c>
      <c r="BC4706">
        <v>100</v>
      </c>
      <c r="BD4706">
        <v>1034</v>
      </c>
      <c r="BE4706">
        <v>2014</v>
      </c>
      <c r="BF4706">
        <v>69</v>
      </c>
      <c r="BG4706">
        <v>9</v>
      </c>
      <c r="BH4706">
        <v>159</v>
      </c>
      <c r="BI4706">
        <v>11</v>
      </c>
      <c r="BJ4706">
        <v>11</v>
      </c>
      <c r="BK4706">
        <v>11</v>
      </c>
      <c r="BP4706" s="184"/>
    </row>
    <row r="4707" spans="1:68">
      <c r="A4707">
        <v>91469866</v>
      </c>
      <c r="B4707">
        <v>91469866</v>
      </c>
      <c r="C4707" t="s">
        <v>7018</v>
      </c>
      <c r="E4707" s="184"/>
      <c r="G4707" s="184"/>
      <c r="I4707" s="184"/>
      <c r="J4707" t="s">
        <v>595</v>
      </c>
      <c r="K4707" s="184">
        <v>44328</v>
      </c>
      <c r="O4707" s="184"/>
      <c r="P4707" t="s">
        <v>7045</v>
      </c>
      <c r="Q4707" t="s">
        <v>7160</v>
      </c>
      <c r="R4707" s="184">
        <v>15902</v>
      </c>
      <c r="S4707">
        <v>80</v>
      </c>
      <c r="U4707" t="s">
        <v>7130</v>
      </c>
      <c r="V4707" t="s">
        <v>4330</v>
      </c>
      <c r="W4707" t="s">
        <v>7560</v>
      </c>
      <c r="X4707" t="s">
        <v>34077</v>
      </c>
      <c r="AF4707" t="s">
        <v>34078</v>
      </c>
      <c r="AG4707" t="s">
        <v>4330</v>
      </c>
      <c r="AI4707" t="s">
        <v>34079</v>
      </c>
      <c r="AM4707" t="s">
        <v>34080</v>
      </c>
      <c r="AN4707" t="s">
        <v>2395</v>
      </c>
      <c r="AO4707" t="s">
        <v>34081</v>
      </c>
      <c r="AP4707" t="s">
        <v>7024</v>
      </c>
      <c r="AQ4707" t="s">
        <v>34082</v>
      </c>
      <c r="AT4707" s="184">
        <v>41807</v>
      </c>
      <c r="AU4707" t="s">
        <v>34083</v>
      </c>
      <c r="AV4707">
        <v>15</v>
      </c>
      <c r="AW4707" s="184">
        <v>45021</v>
      </c>
      <c r="AX4707" t="s">
        <v>34084</v>
      </c>
      <c r="AY4707">
        <v>60</v>
      </c>
      <c r="AZ4707" s="184">
        <v>43238</v>
      </c>
      <c r="BA4707" t="s">
        <v>34085</v>
      </c>
      <c r="BB4707">
        <v>65</v>
      </c>
      <c r="BC4707">
        <v>91</v>
      </c>
      <c r="BD4707">
        <v>670</v>
      </c>
      <c r="BE4707">
        <v>2014</v>
      </c>
      <c r="BF4707">
        <v>14</v>
      </c>
      <c r="BG4707">
        <v>2</v>
      </c>
      <c r="BH4707">
        <v>120</v>
      </c>
      <c r="BI4707">
        <v>10</v>
      </c>
      <c r="BJ4707">
        <v>11</v>
      </c>
      <c r="BK4707">
        <v>10</v>
      </c>
      <c r="BN4707" t="s">
        <v>595</v>
      </c>
      <c r="BP4707" s="184"/>
    </row>
    <row r="4708" spans="1:68">
      <c r="A4708">
        <v>91476929</v>
      </c>
      <c r="B4708">
        <v>91476929</v>
      </c>
      <c r="C4708" t="s">
        <v>7018</v>
      </c>
      <c r="D4708" t="s">
        <v>595</v>
      </c>
      <c r="E4708" s="184">
        <v>45195</v>
      </c>
      <c r="K4708" s="184"/>
      <c r="O4708" s="184"/>
      <c r="P4708" t="s">
        <v>7045</v>
      </c>
      <c r="Q4708" t="s">
        <v>7030</v>
      </c>
      <c r="R4708" s="184">
        <v>20149</v>
      </c>
      <c r="S4708">
        <v>69</v>
      </c>
      <c r="V4708" t="s">
        <v>3825</v>
      </c>
      <c r="X4708" t="s">
        <v>34086</v>
      </c>
      <c r="Z4708">
        <v>100157921</v>
      </c>
      <c r="AB4708" t="s">
        <v>2600</v>
      </c>
      <c r="AD4708" t="s">
        <v>34086</v>
      </c>
      <c r="AF4708" t="s">
        <v>34087</v>
      </c>
      <c r="AG4708" t="s">
        <v>34088</v>
      </c>
      <c r="AI4708" t="s">
        <v>34089</v>
      </c>
      <c r="AM4708" t="s">
        <v>4295</v>
      </c>
      <c r="AN4708" t="s">
        <v>2089</v>
      </c>
      <c r="AO4708" t="s">
        <v>34090</v>
      </c>
      <c r="AP4708" t="s">
        <v>7024</v>
      </c>
      <c r="AQ4708" t="s">
        <v>34091</v>
      </c>
      <c r="AT4708" s="184">
        <v>41809</v>
      </c>
      <c r="AU4708" t="s">
        <v>34092</v>
      </c>
      <c r="AV4708">
        <v>20</v>
      </c>
      <c r="AW4708" s="184">
        <v>45119</v>
      </c>
      <c r="AX4708" t="s">
        <v>34093</v>
      </c>
      <c r="AY4708">
        <v>50</v>
      </c>
      <c r="AZ4708" s="184">
        <v>45119</v>
      </c>
      <c r="BA4708" t="s">
        <v>34093</v>
      </c>
      <c r="BB4708">
        <v>50</v>
      </c>
      <c r="BC4708">
        <v>55</v>
      </c>
      <c r="BD4708">
        <v>245</v>
      </c>
      <c r="BE4708">
        <v>2014</v>
      </c>
      <c r="BF4708">
        <v>7</v>
      </c>
      <c r="BG4708">
        <v>2</v>
      </c>
      <c r="BH4708">
        <v>100</v>
      </c>
      <c r="BI4708">
        <v>6</v>
      </c>
      <c r="BJ4708">
        <v>11</v>
      </c>
      <c r="BK4708">
        <v>5</v>
      </c>
      <c r="BP4708" s="184"/>
    </row>
    <row r="4709" spans="1:68">
      <c r="A4709">
        <v>100157921</v>
      </c>
      <c r="B4709">
        <v>91476929</v>
      </c>
      <c r="C4709" t="s">
        <v>7018</v>
      </c>
      <c r="D4709" t="s">
        <v>595</v>
      </c>
      <c r="E4709" s="184">
        <v>45195</v>
      </c>
      <c r="G4709" s="184"/>
      <c r="I4709" s="184"/>
      <c r="K4709" s="184"/>
      <c r="O4709" s="184"/>
      <c r="P4709" t="s">
        <v>7045</v>
      </c>
      <c r="Q4709" t="s">
        <v>7030</v>
      </c>
      <c r="R4709" s="184">
        <v>20363</v>
      </c>
      <c r="S4709">
        <v>68</v>
      </c>
      <c r="V4709" t="s">
        <v>2600</v>
      </c>
      <c r="X4709" t="s">
        <v>34086</v>
      </c>
      <c r="Z4709">
        <v>91476929</v>
      </c>
      <c r="AB4709" t="s">
        <v>3825</v>
      </c>
      <c r="AD4709" t="s">
        <v>34086</v>
      </c>
      <c r="AF4709" t="s">
        <v>34087</v>
      </c>
      <c r="AG4709" t="s">
        <v>34088</v>
      </c>
      <c r="AI4709" t="s">
        <v>34089</v>
      </c>
      <c r="AM4709" t="s">
        <v>4295</v>
      </c>
      <c r="AN4709" t="s">
        <v>2089</v>
      </c>
      <c r="AO4709" t="s">
        <v>34090</v>
      </c>
      <c r="AP4709" t="s">
        <v>7024</v>
      </c>
      <c r="AT4709" s="184"/>
      <c r="AW4709" s="184"/>
      <c r="AZ4709" s="184"/>
      <c r="BP4709" s="184"/>
    </row>
    <row r="4710" spans="1:68">
      <c r="A4710">
        <v>91480632</v>
      </c>
      <c r="B4710">
        <v>91480632</v>
      </c>
      <c r="C4710" t="s">
        <v>7018</v>
      </c>
      <c r="D4710" t="s">
        <v>595</v>
      </c>
      <c r="E4710" s="184">
        <v>44438</v>
      </c>
      <c r="I4710" s="184"/>
      <c r="K4710" s="184"/>
      <c r="M4710" s="184"/>
      <c r="O4710" s="184"/>
      <c r="P4710" t="s">
        <v>7045</v>
      </c>
      <c r="Q4710" t="s">
        <v>7383</v>
      </c>
      <c r="R4710" s="184">
        <v>19725</v>
      </c>
      <c r="S4710">
        <v>70</v>
      </c>
      <c r="V4710" t="s">
        <v>2551</v>
      </c>
      <c r="X4710" t="s">
        <v>2975</v>
      </c>
      <c r="AF4710" t="s">
        <v>34094</v>
      </c>
      <c r="AG4710" t="s">
        <v>2551</v>
      </c>
      <c r="AI4710" t="s">
        <v>34095</v>
      </c>
      <c r="AM4710" t="s">
        <v>28586</v>
      </c>
      <c r="AN4710" t="s">
        <v>2072</v>
      </c>
      <c r="AO4710" t="s">
        <v>34096</v>
      </c>
      <c r="AP4710" t="s">
        <v>7024</v>
      </c>
      <c r="AQ4710" t="s">
        <v>34097</v>
      </c>
      <c r="AR4710" t="s">
        <v>34098</v>
      </c>
      <c r="AT4710" s="184">
        <v>41810</v>
      </c>
      <c r="AU4710" t="s">
        <v>34099</v>
      </c>
      <c r="AV4710">
        <v>20</v>
      </c>
      <c r="AW4710" s="184">
        <v>44399</v>
      </c>
      <c r="AX4710" t="s">
        <v>34100</v>
      </c>
      <c r="AY4710">
        <v>10</v>
      </c>
      <c r="AZ4710" s="184">
        <v>44221</v>
      </c>
      <c r="BA4710" t="s">
        <v>8915</v>
      </c>
      <c r="BB4710">
        <v>25</v>
      </c>
      <c r="BC4710">
        <v>55</v>
      </c>
      <c r="BD4710">
        <v>165</v>
      </c>
      <c r="BE4710">
        <v>2014</v>
      </c>
      <c r="BF4710">
        <v>9</v>
      </c>
      <c r="BI4710">
        <v>6</v>
      </c>
      <c r="BJ4710">
        <v>11</v>
      </c>
      <c r="BK4710">
        <v>5</v>
      </c>
      <c r="BN4710" t="s">
        <v>595</v>
      </c>
      <c r="BP4710" s="184"/>
    </row>
    <row r="4711" spans="1:68">
      <c r="A4711">
        <v>91487199</v>
      </c>
      <c r="B4711">
        <v>91487199</v>
      </c>
      <c r="C4711" t="s">
        <v>7018</v>
      </c>
      <c r="D4711" t="s">
        <v>595</v>
      </c>
      <c r="E4711" s="184">
        <v>44930</v>
      </c>
      <c r="G4711" s="184"/>
      <c r="I4711" s="184"/>
      <c r="K4711" s="184"/>
      <c r="M4711" s="184"/>
      <c r="O4711" s="184"/>
      <c r="P4711" t="s">
        <v>7045</v>
      </c>
      <c r="Q4711" t="s">
        <v>7494</v>
      </c>
      <c r="R4711" s="184">
        <v>17401</v>
      </c>
      <c r="S4711">
        <v>76</v>
      </c>
      <c r="V4711" t="s">
        <v>2697</v>
      </c>
      <c r="W4711" t="s">
        <v>7246</v>
      </c>
      <c r="X4711" t="s">
        <v>34101</v>
      </c>
      <c r="AF4711" t="s">
        <v>34102</v>
      </c>
      <c r="AG4711" t="s">
        <v>2697</v>
      </c>
      <c r="AI4711" t="s">
        <v>34103</v>
      </c>
      <c r="AM4711" t="s">
        <v>3996</v>
      </c>
      <c r="AN4711" t="s">
        <v>2174</v>
      </c>
      <c r="AO4711" t="s">
        <v>34104</v>
      </c>
      <c r="AP4711" t="s">
        <v>7024</v>
      </c>
      <c r="AQ4711" t="s">
        <v>34105</v>
      </c>
      <c r="AR4711" t="s">
        <v>34106</v>
      </c>
      <c r="AT4711" s="184">
        <v>41813</v>
      </c>
      <c r="AU4711" t="s">
        <v>34107</v>
      </c>
      <c r="AV4711">
        <v>100</v>
      </c>
      <c r="AW4711" s="184">
        <v>44669</v>
      </c>
      <c r="AX4711" t="s">
        <v>17687</v>
      </c>
      <c r="AY4711">
        <v>100</v>
      </c>
      <c r="AZ4711" s="184">
        <v>44431</v>
      </c>
      <c r="BA4711" t="s">
        <v>34108</v>
      </c>
      <c r="BB4711">
        <v>300</v>
      </c>
      <c r="BC4711">
        <v>37</v>
      </c>
      <c r="BD4711">
        <v>1100</v>
      </c>
      <c r="BE4711">
        <v>2014</v>
      </c>
      <c r="BF4711">
        <v>6</v>
      </c>
      <c r="BG4711">
        <v>1</v>
      </c>
      <c r="BH4711">
        <v>100</v>
      </c>
      <c r="BI4711">
        <v>4</v>
      </c>
      <c r="BJ4711">
        <v>11</v>
      </c>
      <c r="BK4711">
        <v>3</v>
      </c>
      <c r="BP4711" s="184"/>
    </row>
    <row r="4712" spans="1:68">
      <c r="A4712">
        <v>91492959</v>
      </c>
      <c r="B4712">
        <v>91492959</v>
      </c>
      <c r="C4712" t="s">
        <v>7018</v>
      </c>
      <c r="D4712" t="s">
        <v>595</v>
      </c>
      <c r="E4712" s="184">
        <v>44073</v>
      </c>
      <c r="G4712" s="184"/>
      <c r="I4712" s="184"/>
      <c r="K4712" s="184"/>
      <c r="M4712" s="184"/>
      <c r="O4712" s="184"/>
      <c r="P4712" t="s">
        <v>7045</v>
      </c>
      <c r="Q4712" t="s">
        <v>7383</v>
      </c>
      <c r="R4712" s="184">
        <v>17505</v>
      </c>
      <c r="S4712">
        <v>76</v>
      </c>
      <c r="V4712" t="s">
        <v>2536</v>
      </c>
      <c r="X4712" t="s">
        <v>34109</v>
      </c>
      <c r="AF4712" t="s">
        <v>34110</v>
      </c>
      <c r="AG4712" t="s">
        <v>2536</v>
      </c>
      <c r="AI4712" t="s">
        <v>34111</v>
      </c>
      <c r="AM4712" t="s">
        <v>2830</v>
      </c>
      <c r="AN4712" t="s">
        <v>2185</v>
      </c>
      <c r="AO4712" t="s">
        <v>34112</v>
      </c>
      <c r="AP4712" t="s">
        <v>7024</v>
      </c>
      <c r="AT4712" s="184">
        <v>41815</v>
      </c>
      <c r="AU4712" t="s">
        <v>34113</v>
      </c>
      <c r="AV4712">
        <v>25</v>
      </c>
      <c r="AW4712" s="184">
        <v>45358</v>
      </c>
      <c r="AX4712" t="s">
        <v>18397</v>
      </c>
      <c r="AY4712">
        <v>50</v>
      </c>
      <c r="AZ4712" s="184">
        <v>45358</v>
      </c>
      <c r="BA4712" t="s">
        <v>18397</v>
      </c>
      <c r="BB4712">
        <v>50</v>
      </c>
      <c r="BC4712">
        <v>100</v>
      </c>
      <c r="BD4712">
        <v>1395</v>
      </c>
      <c r="BE4712">
        <v>2014</v>
      </c>
      <c r="BF4712">
        <v>32</v>
      </c>
      <c r="BG4712">
        <v>5</v>
      </c>
      <c r="BH4712">
        <v>250</v>
      </c>
      <c r="BI4712">
        <v>11</v>
      </c>
      <c r="BJ4712">
        <v>11</v>
      </c>
      <c r="BK4712">
        <v>11</v>
      </c>
      <c r="BP4712" s="184"/>
    </row>
    <row r="4713" spans="1:68">
      <c r="A4713">
        <v>91494807</v>
      </c>
      <c r="B4713">
        <v>91494807</v>
      </c>
      <c r="C4713" t="s">
        <v>7018</v>
      </c>
      <c r="D4713" t="s">
        <v>595</v>
      </c>
      <c r="E4713" s="184">
        <v>44441</v>
      </c>
      <c r="G4713" s="184"/>
      <c r="I4713" s="184"/>
      <c r="K4713" s="184"/>
      <c r="O4713" s="184"/>
      <c r="P4713" t="s">
        <v>7045</v>
      </c>
      <c r="Q4713" t="s">
        <v>7262</v>
      </c>
      <c r="R4713" s="184">
        <v>19115</v>
      </c>
      <c r="S4713">
        <v>72</v>
      </c>
      <c r="V4713" t="s">
        <v>3683</v>
      </c>
      <c r="X4713" t="s">
        <v>3884</v>
      </c>
      <c r="AF4713" t="s">
        <v>34114</v>
      </c>
      <c r="AG4713" t="s">
        <v>3683</v>
      </c>
      <c r="AI4713" t="s">
        <v>34115</v>
      </c>
      <c r="AM4713" t="s">
        <v>33724</v>
      </c>
      <c r="AN4713" t="s">
        <v>2069</v>
      </c>
      <c r="AO4713" t="s">
        <v>34116</v>
      </c>
      <c r="AP4713" t="s">
        <v>7024</v>
      </c>
      <c r="AQ4713" t="s">
        <v>34117</v>
      </c>
      <c r="AT4713" s="184">
        <v>41816</v>
      </c>
      <c r="AU4713" t="s">
        <v>34118</v>
      </c>
      <c r="AV4713">
        <v>25</v>
      </c>
      <c r="AW4713" s="184">
        <v>45089</v>
      </c>
      <c r="AX4713" t="s">
        <v>34119</v>
      </c>
      <c r="AY4713">
        <v>20</v>
      </c>
      <c r="AZ4713" s="184">
        <v>43350</v>
      </c>
      <c r="BA4713" t="s">
        <v>34120</v>
      </c>
      <c r="BB4713">
        <v>25</v>
      </c>
      <c r="BC4713">
        <v>82</v>
      </c>
      <c r="BD4713">
        <v>205</v>
      </c>
      <c r="BE4713">
        <v>2014</v>
      </c>
      <c r="BF4713">
        <v>11</v>
      </c>
      <c r="BG4713">
        <v>2</v>
      </c>
      <c r="BH4713">
        <v>30</v>
      </c>
      <c r="BI4713">
        <v>9</v>
      </c>
      <c r="BJ4713">
        <v>11</v>
      </c>
      <c r="BK4713">
        <v>6</v>
      </c>
      <c r="BP4713" s="184"/>
    </row>
    <row r="4714" spans="1:68">
      <c r="A4714">
        <v>91496547</v>
      </c>
      <c r="B4714">
        <v>91496547</v>
      </c>
      <c r="C4714" t="s">
        <v>7018</v>
      </c>
      <c r="D4714" t="s">
        <v>595</v>
      </c>
      <c r="E4714" s="184">
        <v>45195</v>
      </c>
      <c r="G4714" s="184"/>
      <c r="I4714" s="184"/>
      <c r="K4714" s="184"/>
      <c r="O4714" s="184"/>
      <c r="P4714" t="s">
        <v>7045</v>
      </c>
      <c r="Q4714" t="s">
        <v>7494</v>
      </c>
      <c r="R4714" s="184">
        <v>15823</v>
      </c>
      <c r="S4714">
        <v>81</v>
      </c>
      <c r="V4714" t="s">
        <v>2551</v>
      </c>
      <c r="W4714" t="s">
        <v>7246</v>
      </c>
      <c r="X4714" t="s">
        <v>3369</v>
      </c>
      <c r="AF4714" t="s">
        <v>34121</v>
      </c>
      <c r="AG4714" t="s">
        <v>2551</v>
      </c>
      <c r="AI4714" t="s">
        <v>34122</v>
      </c>
      <c r="AM4714" t="s">
        <v>4624</v>
      </c>
      <c r="AN4714" t="s">
        <v>2174</v>
      </c>
      <c r="AO4714" t="s">
        <v>34123</v>
      </c>
      <c r="AP4714" t="s">
        <v>7024</v>
      </c>
      <c r="AQ4714" t="s">
        <v>34124</v>
      </c>
      <c r="AT4714" s="184">
        <v>41817</v>
      </c>
      <c r="AU4714" t="s">
        <v>34125</v>
      </c>
      <c r="AV4714">
        <v>15</v>
      </c>
      <c r="AW4714" s="184">
        <v>45016</v>
      </c>
      <c r="AX4714" t="s">
        <v>34126</v>
      </c>
      <c r="AY4714">
        <v>25</v>
      </c>
      <c r="AZ4714" s="184">
        <v>45016</v>
      </c>
      <c r="BA4714" t="s">
        <v>34126</v>
      </c>
      <c r="BB4714">
        <v>25</v>
      </c>
      <c r="BC4714">
        <v>73</v>
      </c>
      <c r="BD4714">
        <v>205</v>
      </c>
      <c r="BE4714">
        <v>2014</v>
      </c>
      <c r="BF4714">
        <v>9</v>
      </c>
      <c r="BG4714">
        <v>3</v>
      </c>
      <c r="BH4714">
        <v>75</v>
      </c>
      <c r="BI4714">
        <v>8</v>
      </c>
      <c r="BJ4714">
        <v>11</v>
      </c>
      <c r="BK4714">
        <v>4</v>
      </c>
      <c r="BP4714" s="184"/>
    </row>
    <row r="4715" spans="1:68">
      <c r="A4715">
        <v>91500124</v>
      </c>
      <c r="B4715">
        <v>91500124</v>
      </c>
      <c r="C4715" t="s">
        <v>7018</v>
      </c>
      <c r="E4715" s="184"/>
      <c r="I4715" s="184"/>
      <c r="K4715" s="184"/>
      <c r="M4715" s="184"/>
      <c r="N4715" t="s">
        <v>595</v>
      </c>
      <c r="O4715" s="184">
        <v>43192</v>
      </c>
      <c r="P4715" t="s">
        <v>7029</v>
      </c>
      <c r="Q4715" t="s">
        <v>7374</v>
      </c>
      <c r="R4715" s="184">
        <v>13450</v>
      </c>
      <c r="S4715">
        <v>87</v>
      </c>
      <c r="U4715" t="s">
        <v>7031</v>
      </c>
      <c r="V4715" t="s">
        <v>2832</v>
      </c>
      <c r="W4715" t="s">
        <v>7560</v>
      </c>
      <c r="X4715" t="s">
        <v>5376</v>
      </c>
      <c r="AF4715" t="s">
        <v>34127</v>
      </c>
      <c r="AG4715" t="s">
        <v>2832</v>
      </c>
      <c r="AI4715" t="s">
        <v>34128</v>
      </c>
      <c r="AM4715" t="s">
        <v>2897</v>
      </c>
      <c r="AN4715" t="s">
        <v>2081</v>
      </c>
      <c r="AO4715" t="s">
        <v>34129</v>
      </c>
      <c r="AP4715" t="s">
        <v>7024</v>
      </c>
      <c r="AQ4715" t="s">
        <v>34130</v>
      </c>
      <c r="AR4715" t="s">
        <v>34131</v>
      </c>
      <c r="AT4715" s="184">
        <v>41820</v>
      </c>
      <c r="AU4715" t="s">
        <v>34132</v>
      </c>
      <c r="AV4715">
        <v>50</v>
      </c>
      <c r="AW4715" s="184">
        <v>44782</v>
      </c>
      <c r="AX4715" t="s">
        <v>28087</v>
      </c>
      <c r="AY4715">
        <v>100</v>
      </c>
      <c r="AZ4715" s="184">
        <v>43192</v>
      </c>
      <c r="BA4715" t="s">
        <v>8929</v>
      </c>
      <c r="BB4715">
        <v>100000</v>
      </c>
      <c r="BC4715">
        <v>82</v>
      </c>
      <c r="BD4715">
        <v>203550</v>
      </c>
      <c r="BE4715">
        <v>2014</v>
      </c>
      <c r="BF4715">
        <v>23</v>
      </c>
      <c r="BG4715">
        <v>3</v>
      </c>
      <c r="BH4715">
        <v>400</v>
      </c>
      <c r="BI4715">
        <v>9</v>
      </c>
      <c r="BJ4715">
        <v>11</v>
      </c>
      <c r="BK4715">
        <v>9</v>
      </c>
      <c r="BO4715" t="s">
        <v>595</v>
      </c>
      <c r="BP4715" s="184">
        <v>45255</v>
      </c>
    </row>
    <row r="4716" spans="1:68">
      <c r="A4716">
        <v>91505099</v>
      </c>
      <c r="B4716">
        <v>91505099</v>
      </c>
      <c r="C4716" t="s">
        <v>7018</v>
      </c>
      <c r="E4716" s="184"/>
      <c r="G4716" s="184"/>
      <c r="I4716" s="184"/>
      <c r="J4716" t="s">
        <v>595</v>
      </c>
      <c r="K4716" s="184">
        <v>44438</v>
      </c>
      <c r="O4716" s="184"/>
      <c r="P4716" t="s">
        <v>7045</v>
      </c>
      <c r="Q4716" t="s">
        <v>7020</v>
      </c>
      <c r="R4716" s="184">
        <v>13161</v>
      </c>
      <c r="S4716">
        <v>88</v>
      </c>
      <c r="V4716" t="s">
        <v>2733</v>
      </c>
      <c r="X4716" t="s">
        <v>34133</v>
      </c>
      <c r="AF4716" t="s">
        <v>34134</v>
      </c>
      <c r="AG4716" t="s">
        <v>2733</v>
      </c>
      <c r="AI4716" t="s">
        <v>34135</v>
      </c>
      <c r="AM4716" t="s">
        <v>34136</v>
      </c>
      <c r="AN4716" t="s">
        <v>2255</v>
      </c>
      <c r="AO4716" t="s">
        <v>34137</v>
      </c>
      <c r="AP4716" t="s">
        <v>7024</v>
      </c>
      <c r="AT4716" s="184">
        <v>41821</v>
      </c>
      <c r="AU4716" t="s">
        <v>34040</v>
      </c>
      <c r="AV4716">
        <v>35</v>
      </c>
      <c r="AW4716" s="184">
        <v>45411</v>
      </c>
      <c r="AX4716" t="s">
        <v>15384</v>
      </c>
      <c r="AY4716">
        <v>50</v>
      </c>
      <c r="AZ4716" s="184">
        <v>45411</v>
      </c>
      <c r="BA4716" t="s">
        <v>15384</v>
      </c>
      <c r="BB4716">
        <v>50</v>
      </c>
      <c r="BC4716">
        <v>91</v>
      </c>
      <c r="BD4716">
        <v>740</v>
      </c>
      <c r="BE4716">
        <v>2015</v>
      </c>
      <c r="BF4716">
        <v>20</v>
      </c>
      <c r="BG4716">
        <v>4</v>
      </c>
      <c r="BH4716">
        <v>200</v>
      </c>
      <c r="BI4716">
        <v>10</v>
      </c>
      <c r="BJ4716">
        <v>11</v>
      </c>
      <c r="BK4716">
        <v>8</v>
      </c>
      <c r="BP4716" s="184"/>
    </row>
    <row r="4717" spans="1:68">
      <c r="A4717">
        <v>91512384</v>
      </c>
      <c r="B4717">
        <v>91512384</v>
      </c>
      <c r="C4717" t="s">
        <v>7018</v>
      </c>
      <c r="D4717" t="s">
        <v>595</v>
      </c>
      <c r="E4717" s="184">
        <v>44455</v>
      </c>
      <c r="G4717" s="184"/>
      <c r="I4717" s="184"/>
      <c r="K4717" s="184"/>
      <c r="M4717" s="184"/>
      <c r="O4717" s="184"/>
      <c r="P4717" t="s">
        <v>7045</v>
      </c>
      <c r="Q4717" t="s">
        <v>7454</v>
      </c>
      <c r="R4717" s="184">
        <v>18902</v>
      </c>
      <c r="S4717">
        <v>72</v>
      </c>
      <c r="V4717" t="s">
        <v>2586</v>
      </c>
      <c r="X4717" t="s">
        <v>34138</v>
      </c>
      <c r="AF4717" t="s">
        <v>34139</v>
      </c>
      <c r="AG4717" t="s">
        <v>2586</v>
      </c>
      <c r="AI4717" t="s">
        <v>34140</v>
      </c>
      <c r="AM4717" t="s">
        <v>3010</v>
      </c>
      <c r="AN4717" t="s">
        <v>2055</v>
      </c>
      <c r="AO4717" t="s">
        <v>34141</v>
      </c>
      <c r="AP4717" t="s">
        <v>7024</v>
      </c>
      <c r="AQ4717" t="s">
        <v>34142</v>
      </c>
      <c r="AT4717" s="184">
        <v>41823</v>
      </c>
      <c r="AU4717" t="s">
        <v>34143</v>
      </c>
      <c r="AV4717">
        <v>15</v>
      </c>
      <c r="AW4717" s="184">
        <v>44532</v>
      </c>
      <c r="AX4717" t="s">
        <v>34144</v>
      </c>
      <c r="AY4717">
        <v>25</v>
      </c>
      <c r="AZ4717" s="184">
        <v>44186</v>
      </c>
      <c r="BA4717" t="s">
        <v>34145</v>
      </c>
      <c r="BB4717">
        <v>50</v>
      </c>
      <c r="BC4717">
        <v>73</v>
      </c>
      <c r="BD4717">
        <v>365</v>
      </c>
      <c r="BE4717">
        <v>2015</v>
      </c>
      <c r="BF4717">
        <v>11</v>
      </c>
      <c r="BI4717">
        <v>8</v>
      </c>
      <c r="BJ4717">
        <v>11</v>
      </c>
      <c r="BK4717">
        <v>8</v>
      </c>
      <c r="BP4717" s="184"/>
    </row>
    <row r="4718" spans="1:68">
      <c r="A4718">
        <v>91522466</v>
      </c>
      <c r="B4718">
        <v>91522466</v>
      </c>
      <c r="C4718" t="s">
        <v>7018</v>
      </c>
      <c r="D4718" t="s">
        <v>595</v>
      </c>
      <c r="E4718" s="184">
        <v>44168</v>
      </c>
      <c r="G4718" s="184"/>
      <c r="I4718" s="184"/>
      <c r="K4718" s="184"/>
      <c r="M4718" s="184"/>
      <c r="O4718" s="184"/>
      <c r="P4718" t="s">
        <v>7045</v>
      </c>
      <c r="Q4718" t="s">
        <v>7194</v>
      </c>
      <c r="R4718" s="184">
        <v>12146</v>
      </c>
      <c r="S4718">
        <v>91</v>
      </c>
      <c r="V4718" t="s">
        <v>4926</v>
      </c>
      <c r="X4718" t="s">
        <v>34146</v>
      </c>
      <c r="AF4718" t="s">
        <v>34147</v>
      </c>
      <c r="AG4718" t="s">
        <v>4926</v>
      </c>
      <c r="AI4718" t="s">
        <v>34148</v>
      </c>
      <c r="AM4718" t="s">
        <v>29744</v>
      </c>
      <c r="AN4718" t="s">
        <v>4512</v>
      </c>
      <c r="AO4718" t="s">
        <v>34149</v>
      </c>
      <c r="AP4718" t="s">
        <v>7024</v>
      </c>
      <c r="AT4718" s="184">
        <v>41831</v>
      </c>
      <c r="AU4718" t="s">
        <v>34150</v>
      </c>
      <c r="AV4718">
        <v>25</v>
      </c>
      <c r="AW4718" s="184">
        <v>44897</v>
      </c>
      <c r="AX4718" t="s">
        <v>9792</v>
      </c>
      <c r="AY4718">
        <v>50</v>
      </c>
      <c r="AZ4718" s="184">
        <v>44342</v>
      </c>
      <c r="BA4718" t="s">
        <v>34151</v>
      </c>
      <c r="BB4718">
        <v>120</v>
      </c>
      <c r="BC4718">
        <v>82</v>
      </c>
      <c r="BD4718">
        <v>1392</v>
      </c>
      <c r="BE4718">
        <v>2015</v>
      </c>
      <c r="BF4718">
        <v>63</v>
      </c>
      <c r="BG4718">
        <v>1</v>
      </c>
      <c r="BH4718">
        <v>50</v>
      </c>
      <c r="BI4718">
        <v>9</v>
      </c>
      <c r="BJ4718">
        <v>11</v>
      </c>
      <c r="BK4718">
        <v>9</v>
      </c>
      <c r="BO4718" t="s">
        <v>595</v>
      </c>
      <c r="BP4718" s="184"/>
    </row>
    <row r="4719" spans="1:68">
      <c r="A4719">
        <v>91537498</v>
      </c>
      <c r="B4719">
        <v>91537498</v>
      </c>
      <c r="C4719" t="s">
        <v>7018</v>
      </c>
      <c r="D4719" t="s">
        <v>595</v>
      </c>
      <c r="E4719" s="184">
        <v>44167</v>
      </c>
      <c r="G4719" s="184"/>
      <c r="I4719" s="184"/>
      <c r="K4719" s="184"/>
      <c r="M4719" s="184"/>
      <c r="O4719" s="184"/>
      <c r="P4719" t="s">
        <v>7045</v>
      </c>
      <c r="Q4719" t="s">
        <v>7160</v>
      </c>
      <c r="R4719" s="184">
        <v>17034</v>
      </c>
      <c r="S4719">
        <v>77</v>
      </c>
      <c r="U4719" t="s">
        <v>7031</v>
      </c>
      <c r="V4719" t="s">
        <v>3293</v>
      </c>
      <c r="X4719" t="s">
        <v>34152</v>
      </c>
      <c r="AF4719" t="s">
        <v>34153</v>
      </c>
      <c r="AG4719" t="s">
        <v>3293</v>
      </c>
      <c r="AI4719" t="s">
        <v>34154</v>
      </c>
      <c r="AM4719" t="s">
        <v>28655</v>
      </c>
      <c r="AN4719" t="s">
        <v>2176</v>
      </c>
      <c r="AO4719" t="s">
        <v>34155</v>
      </c>
      <c r="AP4719" t="s">
        <v>7024</v>
      </c>
      <c r="AQ4719" t="s">
        <v>34156</v>
      </c>
      <c r="AT4719" s="184">
        <v>41837</v>
      </c>
      <c r="AU4719" t="s">
        <v>34157</v>
      </c>
      <c r="AV4719">
        <v>20</v>
      </c>
      <c r="AW4719" s="184">
        <v>45343</v>
      </c>
      <c r="AX4719" t="s">
        <v>34158</v>
      </c>
      <c r="AY4719">
        <v>100</v>
      </c>
      <c r="AZ4719" s="184">
        <v>45343</v>
      </c>
      <c r="BA4719" t="s">
        <v>34158</v>
      </c>
      <c r="BB4719">
        <v>100</v>
      </c>
      <c r="BC4719">
        <v>91</v>
      </c>
      <c r="BD4719">
        <v>730</v>
      </c>
      <c r="BE4719">
        <v>2015</v>
      </c>
      <c r="BF4719">
        <v>11</v>
      </c>
      <c r="BG4719">
        <v>2</v>
      </c>
      <c r="BH4719">
        <v>200</v>
      </c>
      <c r="BI4719">
        <v>10</v>
      </c>
      <c r="BJ4719">
        <v>11</v>
      </c>
      <c r="BK4719">
        <v>9</v>
      </c>
      <c r="BN4719" t="s">
        <v>595</v>
      </c>
      <c r="BP4719" s="184"/>
    </row>
    <row r="4720" spans="1:68">
      <c r="A4720">
        <v>91545285</v>
      </c>
      <c r="B4720">
        <v>91545285</v>
      </c>
      <c r="C4720" t="s">
        <v>7018</v>
      </c>
      <c r="E4720" s="184"/>
      <c r="G4720" s="184"/>
      <c r="I4720" s="184"/>
      <c r="J4720" t="s">
        <v>595</v>
      </c>
      <c r="K4720" s="184">
        <v>42522</v>
      </c>
      <c r="M4720" s="184"/>
      <c r="O4720" s="184"/>
      <c r="P4720" t="s">
        <v>7045</v>
      </c>
      <c r="Q4720" t="s">
        <v>7262</v>
      </c>
      <c r="R4720" s="184">
        <v>18507</v>
      </c>
      <c r="S4720">
        <v>73</v>
      </c>
      <c r="U4720" t="s">
        <v>7076</v>
      </c>
      <c r="V4720" t="s">
        <v>34159</v>
      </c>
      <c r="X4720" t="s">
        <v>34160</v>
      </c>
      <c r="Z4720">
        <v>100158063</v>
      </c>
      <c r="AA4720" t="s">
        <v>7031</v>
      </c>
      <c r="AB4720" t="s">
        <v>2961</v>
      </c>
      <c r="AD4720" t="s">
        <v>9758</v>
      </c>
      <c r="AF4720" t="s">
        <v>6706</v>
      </c>
      <c r="AG4720" t="s">
        <v>34161</v>
      </c>
      <c r="AI4720" t="s">
        <v>34162</v>
      </c>
      <c r="AM4720" t="s">
        <v>2730</v>
      </c>
      <c r="AN4720" t="s">
        <v>2069</v>
      </c>
      <c r="AO4720" t="s">
        <v>34163</v>
      </c>
      <c r="AP4720" t="s">
        <v>7024</v>
      </c>
      <c r="AQ4720" t="s">
        <v>34164</v>
      </c>
      <c r="AT4720" s="184">
        <v>41838</v>
      </c>
      <c r="AU4720" t="s">
        <v>34165</v>
      </c>
      <c r="AV4720">
        <v>15</v>
      </c>
      <c r="AW4720" s="184">
        <v>42599</v>
      </c>
      <c r="AX4720" t="s">
        <v>34166</v>
      </c>
      <c r="AY4720">
        <v>20</v>
      </c>
      <c r="AZ4720" s="184">
        <v>42202</v>
      </c>
      <c r="BA4720" t="s">
        <v>34167</v>
      </c>
      <c r="BB4720">
        <v>25</v>
      </c>
      <c r="BC4720">
        <v>28</v>
      </c>
      <c r="BD4720">
        <v>80</v>
      </c>
      <c r="BE4720">
        <v>2015</v>
      </c>
      <c r="BF4720">
        <v>5</v>
      </c>
      <c r="BI4720">
        <v>3</v>
      </c>
      <c r="BJ4720">
        <v>11</v>
      </c>
      <c r="BK4720">
        <v>3</v>
      </c>
      <c r="BP4720" s="184"/>
    </row>
    <row r="4721" spans="1:68">
      <c r="A4721">
        <v>100158063</v>
      </c>
      <c r="B4721">
        <v>91545285</v>
      </c>
      <c r="C4721" t="s">
        <v>7018</v>
      </c>
      <c r="E4721" s="184"/>
      <c r="G4721" s="184"/>
      <c r="I4721" s="184"/>
      <c r="J4721" t="s">
        <v>595</v>
      </c>
      <c r="K4721" s="184">
        <v>42522</v>
      </c>
      <c r="M4721" s="184"/>
      <c r="O4721" s="184"/>
      <c r="P4721" t="s">
        <v>7045</v>
      </c>
      <c r="Q4721" t="s">
        <v>7262</v>
      </c>
      <c r="R4721" s="184"/>
      <c r="U4721" t="s">
        <v>7031</v>
      </c>
      <c r="V4721" t="s">
        <v>2961</v>
      </c>
      <c r="X4721" t="s">
        <v>9758</v>
      </c>
      <c r="Z4721">
        <v>91545285</v>
      </c>
      <c r="AA4721" t="s">
        <v>7076</v>
      </c>
      <c r="AB4721" t="s">
        <v>34159</v>
      </c>
      <c r="AD4721" t="s">
        <v>34160</v>
      </c>
      <c r="AF4721" t="s">
        <v>6706</v>
      </c>
      <c r="AG4721" t="s">
        <v>34161</v>
      </c>
      <c r="AI4721" t="s">
        <v>34162</v>
      </c>
      <c r="AM4721" t="s">
        <v>2730</v>
      </c>
      <c r="AN4721" t="s">
        <v>2069</v>
      </c>
      <c r="AO4721" t="s">
        <v>34163</v>
      </c>
      <c r="AP4721" t="s">
        <v>7024</v>
      </c>
      <c r="AT4721" s="184"/>
      <c r="AW4721" s="184"/>
      <c r="AZ4721" s="184"/>
      <c r="BP4721" s="184"/>
    </row>
    <row r="4722" spans="1:68">
      <c r="A4722">
        <v>91546002</v>
      </c>
      <c r="B4722">
        <v>91546002</v>
      </c>
      <c r="C4722" t="s">
        <v>7018</v>
      </c>
      <c r="D4722" t="s">
        <v>595</v>
      </c>
      <c r="E4722" s="184">
        <v>45166</v>
      </c>
      <c r="G4722" s="184"/>
      <c r="I4722" s="184"/>
      <c r="K4722" s="184"/>
      <c r="O4722" s="184"/>
      <c r="P4722" t="s">
        <v>7045</v>
      </c>
      <c r="Q4722" t="s">
        <v>7383</v>
      </c>
      <c r="R4722" s="184">
        <v>23941</v>
      </c>
      <c r="S4722">
        <v>58</v>
      </c>
      <c r="U4722" t="s">
        <v>7130</v>
      </c>
      <c r="V4722" t="s">
        <v>34168</v>
      </c>
      <c r="X4722" t="s">
        <v>3111</v>
      </c>
      <c r="AF4722" t="s">
        <v>34169</v>
      </c>
      <c r="AG4722" t="s">
        <v>34168</v>
      </c>
      <c r="AI4722" t="s">
        <v>34170</v>
      </c>
      <c r="AM4722" t="s">
        <v>2878</v>
      </c>
      <c r="AN4722" t="s">
        <v>2313</v>
      </c>
      <c r="AO4722" t="s">
        <v>34171</v>
      </c>
      <c r="AP4722" t="s">
        <v>7024</v>
      </c>
      <c r="AQ4722" t="s">
        <v>34172</v>
      </c>
      <c r="AT4722" s="184">
        <v>41838</v>
      </c>
      <c r="AU4722" t="s">
        <v>34173</v>
      </c>
      <c r="AV4722">
        <v>5</v>
      </c>
      <c r="AW4722" s="184">
        <v>45097</v>
      </c>
      <c r="AX4722" t="s">
        <v>20612</v>
      </c>
      <c r="AY4722">
        <v>25</v>
      </c>
      <c r="AZ4722" s="184">
        <v>45097</v>
      </c>
      <c r="BA4722" t="s">
        <v>20612</v>
      </c>
      <c r="BB4722">
        <v>25</v>
      </c>
      <c r="BC4722">
        <v>73</v>
      </c>
      <c r="BD4722">
        <v>180</v>
      </c>
      <c r="BE4722">
        <v>2015</v>
      </c>
      <c r="BF4722">
        <v>12</v>
      </c>
      <c r="BG4722">
        <v>2</v>
      </c>
      <c r="BH4722">
        <v>40</v>
      </c>
      <c r="BI4722">
        <v>8</v>
      </c>
      <c r="BJ4722">
        <v>11</v>
      </c>
      <c r="BK4722">
        <v>6</v>
      </c>
      <c r="BP4722" s="184"/>
    </row>
    <row r="4723" spans="1:68">
      <c r="A4723">
        <v>91550855</v>
      </c>
      <c r="B4723">
        <v>91550855</v>
      </c>
      <c r="C4723" t="s">
        <v>7018</v>
      </c>
      <c r="D4723" t="s">
        <v>595</v>
      </c>
      <c r="E4723" s="184">
        <v>45117</v>
      </c>
      <c r="I4723" s="184"/>
      <c r="K4723" s="184"/>
      <c r="M4723" s="184"/>
      <c r="O4723" s="184"/>
      <c r="P4723" t="s">
        <v>7045</v>
      </c>
      <c r="Q4723" t="s">
        <v>7262</v>
      </c>
      <c r="R4723" s="184">
        <v>15220</v>
      </c>
      <c r="S4723">
        <v>82</v>
      </c>
      <c r="V4723" t="s">
        <v>2758</v>
      </c>
      <c r="X4723" t="s">
        <v>34174</v>
      </c>
      <c r="Z4723">
        <v>100158067</v>
      </c>
      <c r="AB4723" t="s">
        <v>2523</v>
      </c>
      <c r="AD4723" t="s">
        <v>34174</v>
      </c>
      <c r="AF4723" t="s">
        <v>34175</v>
      </c>
      <c r="AG4723" t="s">
        <v>34176</v>
      </c>
      <c r="AI4723" t="s">
        <v>34177</v>
      </c>
      <c r="AM4723" t="s">
        <v>2616</v>
      </c>
      <c r="AN4723" t="s">
        <v>2069</v>
      </c>
      <c r="AO4723" t="s">
        <v>34178</v>
      </c>
      <c r="AP4723" t="s">
        <v>7024</v>
      </c>
      <c r="AQ4723" t="s">
        <v>34179</v>
      </c>
      <c r="AT4723" s="184">
        <v>41838</v>
      </c>
      <c r="AU4723" t="s">
        <v>34180</v>
      </c>
      <c r="AV4723">
        <v>15</v>
      </c>
      <c r="AW4723" s="184">
        <v>45420</v>
      </c>
      <c r="AX4723" t="s">
        <v>34181</v>
      </c>
      <c r="AY4723">
        <v>100</v>
      </c>
      <c r="AZ4723" s="184">
        <v>45420</v>
      </c>
      <c r="BA4723" t="s">
        <v>34181</v>
      </c>
      <c r="BB4723">
        <v>100</v>
      </c>
      <c r="BC4723">
        <v>100</v>
      </c>
      <c r="BD4723">
        <v>835</v>
      </c>
      <c r="BE4723">
        <v>2015</v>
      </c>
      <c r="BF4723">
        <v>12</v>
      </c>
      <c r="BG4723">
        <v>4</v>
      </c>
      <c r="BH4723">
        <v>400</v>
      </c>
      <c r="BI4723">
        <v>11</v>
      </c>
      <c r="BJ4723">
        <v>11</v>
      </c>
      <c r="BK4723">
        <v>11</v>
      </c>
      <c r="BP4723" s="184"/>
    </row>
    <row r="4724" spans="1:68">
      <c r="A4724">
        <v>100158067</v>
      </c>
      <c r="B4724">
        <v>91550855</v>
      </c>
      <c r="C4724" t="s">
        <v>7018</v>
      </c>
      <c r="D4724" t="s">
        <v>595</v>
      </c>
      <c r="E4724" s="184">
        <v>45117</v>
      </c>
      <c r="G4724" s="184"/>
      <c r="I4724" s="184"/>
      <c r="K4724" s="184"/>
      <c r="M4724" s="184"/>
      <c r="O4724" s="184"/>
      <c r="P4724" t="s">
        <v>7045</v>
      </c>
      <c r="Q4724" t="s">
        <v>7262</v>
      </c>
      <c r="R4724" s="184">
        <v>15858</v>
      </c>
      <c r="S4724">
        <v>80</v>
      </c>
      <c r="V4724" t="s">
        <v>2523</v>
      </c>
      <c r="X4724" t="s">
        <v>34174</v>
      </c>
      <c r="Z4724">
        <v>91550855</v>
      </c>
      <c r="AB4724" t="s">
        <v>2758</v>
      </c>
      <c r="AD4724" t="s">
        <v>34174</v>
      </c>
      <c r="AF4724" t="s">
        <v>34175</v>
      </c>
      <c r="AG4724" t="s">
        <v>34176</v>
      </c>
      <c r="AI4724" t="s">
        <v>34177</v>
      </c>
      <c r="AM4724" t="s">
        <v>2616</v>
      </c>
      <c r="AN4724" t="s">
        <v>2069</v>
      </c>
      <c r="AO4724" t="s">
        <v>34178</v>
      </c>
      <c r="AP4724" t="s">
        <v>7024</v>
      </c>
      <c r="AT4724" s="184"/>
      <c r="AW4724" s="184"/>
      <c r="AZ4724" s="184"/>
      <c r="BP4724" s="184"/>
    </row>
    <row r="4725" spans="1:68">
      <c r="A4725">
        <v>91556332</v>
      </c>
      <c r="B4725">
        <v>91556332</v>
      </c>
      <c r="C4725" t="s">
        <v>7018</v>
      </c>
      <c r="E4725" s="184"/>
      <c r="I4725" s="184"/>
      <c r="K4725" s="184"/>
      <c r="M4725" s="184"/>
      <c r="N4725" t="s">
        <v>595</v>
      </c>
      <c r="O4725" s="184">
        <v>43215</v>
      </c>
      <c r="P4725" t="s">
        <v>7045</v>
      </c>
      <c r="Q4725" t="s">
        <v>7160</v>
      </c>
      <c r="R4725" s="184">
        <v>17279</v>
      </c>
      <c r="S4725">
        <v>77</v>
      </c>
      <c r="U4725" t="s">
        <v>7076</v>
      </c>
      <c r="V4725" t="s">
        <v>4032</v>
      </c>
      <c r="W4725" t="s">
        <v>7246</v>
      </c>
      <c r="X4725" t="s">
        <v>34182</v>
      </c>
      <c r="AF4725" t="s">
        <v>5983</v>
      </c>
      <c r="AG4725" t="s">
        <v>4032</v>
      </c>
      <c r="AI4725" t="s">
        <v>34183</v>
      </c>
      <c r="AM4725" t="s">
        <v>3837</v>
      </c>
      <c r="AN4725" t="s">
        <v>2413</v>
      </c>
      <c r="AO4725" t="s">
        <v>34184</v>
      </c>
      <c r="AP4725" t="s">
        <v>7024</v>
      </c>
      <c r="AT4725" s="184">
        <v>41841</v>
      </c>
      <c r="AU4725" t="s">
        <v>34185</v>
      </c>
      <c r="AV4725">
        <v>25</v>
      </c>
      <c r="AW4725" s="184">
        <v>45315</v>
      </c>
      <c r="AX4725" t="s">
        <v>13776</v>
      </c>
      <c r="AY4725">
        <v>35</v>
      </c>
      <c r="AZ4725" s="184">
        <v>43215</v>
      </c>
      <c r="BA4725" t="s">
        <v>8929</v>
      </c>
      <c r="BB4725">
        <v>12000</v>
      </c>
      <c r="BC4725">
        <v>55</v>
      </c>
      <c r="BD4725">
        <v>12180</v>
      </c>
      <c r="BE4725">
        <v>2015</v>
      </c>
      <c r="BF4725">
        <v>6</v>
      </c>
      <c r="BG4725">
        <v>2</v>
      </c>
      <c r="BH4725">
        <v>70</v>
      </c>
      <c r="BI4725">
        <v>6</v>
      </c>
      <c r="BJ4725">
        <v>11</v>
      </c>
      <c r="BK4725">
        <v>2</v>
      </c>
      <c r="BP4725" s="184"/>
    </row>
    <row r="4726" spans="1:68">
      <c r="A4726">
        <v>91607762</v>
      </c>
      <c r="B4726">
        <v>91607762</v>
      </c>
      <c r="C4726" t="s">
        <v>7018</v>
      </c>
      <c r="D4726" t="s">
        <v>595</v>
      </c>
      <c r="E4726" s="184">
        <v>45195</v>
      </c>
      <c r="I4726" s="184"/>
      <c r="K4726" s="184"/>
      <c r="M4726" s="184"/>
      <c r="O4726" s="184"/>
      <c r="P4726" t="s">
        <v>7029</v>
      </c>
      <c r="Q4726" t="s">
        <v>7494</v>
      </c>
      <c r="R4726" s="184">
        <v>17533</v>
      </c>
      <c r="S4726">
        <v>76</v>
      </c>
      <c r="U4726" t="s">
        <v>7031</v>
      </c>
      <c r="V4726" t="s">
        <v>3702</v>
      </c>
      <c r="W4726" t="s">
        <v>205</v>
      </c>
      <c r="X4726" t="s">
        <v>34186</v>
      </c>
      <c r="Y4726" t="s">
        <v>7047</v>
      </c>
      <c r="AF4726" t="s">
        <v>34187</v>
      </c>
      <c r="AG4726" t="s">
        <v>3702</v>
      </c>
      <c r="AI4726" t="s">
        <v>34188</v>
      </c>
      <c r="AM4726" t="s">
        <v>34189</v>
      </c>
      <c r="AN4726" t="s">
        <v>2174</v>
      </c>
      <c r="AO4726" t="s">
        <v>34190</v>
      </c>
      <c r="AP4726" t="s">
        <v>7024</v>
      </c>
      <c r="AQ4726" t="s">
        <v>34191</v>
      </c>
      <c r="AR4726" t="s">
        <v>34192</v>
      </c>
      <c r="AT4726" s="184">
        <v>41845</v>
      </c>
      <c r="AU4726" t="s">
        <v>34193</v>
      </c>
      <c r="AV4726">
        <v>100</v>
      </c>
      <c r="AW4726" s="184">
        <v>45411</v>
      </c>
      <c r="AX4726" t="s">
        <v>11949</v>
      </c>
      <c r="AY4726">
        <v>1000</v>
      </c>
      <c r="AZ4726" s="184">
        <v>45411</v>
      </c>
      <c r="BA4726" t="s">
        <v>11949</v>
      </c>
      <c r="BB4726">
        <v>1000</v>
      </c>
      <c r="BC4726">
        <v>100</v>
      </c>
      <c r="BD4726">
        <v>9450</v>
      </c>
      <c r="BE4726">
        <v>2015</v>
      </c>
      <c r="BF4726">
        <v>12</v>
      </c>
      <c r="BG4726">
        <v>2</v>
      </c>
      <c r="BH4726">
        <v>2000</v>
      </c>
      <c r="BI4726">
        <v>11</v>
      </c>
      <c r="BJ4726">
        <v>11</v>
      </c>
      <c r="BK4726">
        <v>11</v>
      </c>
      <c r="BN4726" t="s">
        <v>595</v>
      </c>
      <c r="BP4726" s="184"/>
    </row>
    <row r="4727" spans="1:68">
      <c r="A4727">
        <v>91635243</v>
      </c>
      <c r="B4727">
        <v>91635243</v>
      </c>
      <c r="C4727" t="s">
        <v>7018</v>
      </c>
      <c r="D4727" t="s">
        <v>595</v>
      </c>
      <c r="E4727" s="184">
        <v>45195</v>
      </c>
      <c r="G4727" s="184"/>
      <c r="I4727" s="184"/>
      <c r="K4727" s="184"/>
      <c r="O4727" s="184"/>
      <c r="P4727" t="s">
        <v>7045</v>
      </c>
      <c r="Q4727" t="s">
        <v>7454</v>
      </c>
      <c r="R4727" s="184">
        <v>16842</v>
      </c>
      <c r="S4727">
        <v>78</v>
      </c>
      <c r="U4727" t="s">
        <v>7031</v>
      </c>
      <c r="V4727" t="s">
        <v>2832</v>
      </c>
      <c r="X4727" t="s">
        <v>34194</v>
      </c>
      <c r="AF4727" t="s">
        <v>34195</v>
      </c>
      <c r="AG4727" t="s">
        <v>2832</v>
      </c>
      <c r="AI4727" t="s">
        <v>34196</v>
      </c>
      <c r="AM4727" t="s">
        <v>3654</v>
      </c>
      <c r="AN4727" t="s">
        <v>2299</v>
      </c>
      <c r="AO4727" t="s">
        <v>34197</v>
      </c>
      <c r="AP4727" t="s">
        <v>7024</v>
      </c>
      <c r="AQ4727" t="s">
        <v>34198</v>
      </c>
      <c r="AT4727" s="184">
        <v>41852</v>
      </c>
      <c r="AU4727" t="s">
        <v>34199</v>
      </c>
      <c r="AV4727">
        <v>25</v>
      </c>
      <c r="AW4727" s="184">
        <v>44960</v>
      </c>
      <c r="AX4727" t="s">
        <v>19225</v>
      </c>
      <c r="AY4727">
        <v>25</v>
      </c>
      <c r="AZ4727" s="184">
        <v>44960</v>
      </c>
      <c r="BA4727" t="s">
        <v>19225</v>
      </c>
      <c r="BB4727">
        <v>25</v>
      </c>
      <c r="BC4727">
        <v>64</v>
      </c>
      <c r="BD4727">
        <v>155</v>
      </c>
      <c r="BE4727">
        <v>2015</v>
      </c>
      <c r="BF4727">
        <v>7</v>
      </c>
      <c r="BG4727">
        <v>1</v>
      </c>
      <c r="BH4727">
        <v>25</v>
      </c>
      <c r="BI4727">
        <v>7</v>
      </c>
      <c r="BJ4727">
        <v>11</v>
      </c>
      <c r="BK4727">
        <v>3</v>
      </c>
      <c r="BP4727" s="184"/>
    </row>
    <row r="4728" spans="1:68">
      <c r="A4728">
        <v>91636837</v>
      </c>
      <c r="B4728">
        <v>91636837</v>
      </c>
      <c r="C4728" t="s">
        <v>7018</v>
      </c>
      <c r="D4728" t="s">
        <v>595</v>
      </c>
      <c r="E4728" s="184">
        <v>45153</v>
      </c>
      <c r="G4728" s="184"/>
      <c r="I4728" s="184"/>
      <c r="K4728" s="184"/>
      <c r="M4728" s="184"/>
      <c r="O4728" s="184"/>
      <c r="P4728" t="s">
        <v>7019</v>
      </c>
      <c r="Q4728" t="s">
        <v>7383</v>
      </c>
      <c r="R4728" s="184">
        <v>25230</v>
      </c>
      <c r="S4728">
        <v>55</v>
      </c>
      <c r="U4728" t="s">
        <v>7076</v>
      </c>
      <c r="V4728" t="s">
        <v>2954</v>
      </c>
      <c r="X4728" t="s">
        <v>31882</v>
      </c>
      <c r="AF4728" t="s">
        <v>34200</v>
      </c>
      <c r="AG4728" t="s">
        <v>2954</v>
      </c>
      <c r="AI4728" t="s">
        <v>34201</v>
      </c>
      <c r="AM4728" t="s">
        <v>34202</v>
      </c>
      <c r="AN4728" t="s">
        <v>2064</v>
      </c>
      <c r="AO4728" t="s">
        <v>34203</v>
      </c>
      <c r="AP4728" t="s">
        <v>7024</v>
      </c>
      <c r="AQ4728" t="s">
        <v>34204</v>
      </c>
      <c r="AT4728" s="184">
        <v>41852</v>
      </c>
      <c r="AU4728" t="s">
        <v>34173</v>
      </c>
      <c r="AV4728">
        <v>20</v>
      </c>
      <c r="AW4728" s="184">
        <v>45258</v>
      </c>
      <c r="AX4728" t="s">
        <v>34205</v>
      </c>
      <c r="AY4728">
        <v>30</v>
      </c>
      <c r="AZ4728" s="184">
        <v>44544</v>
      </c>
      <c r="BA4728" t="s">
        <v>25550</v>
      </c>
      <c r="BB4728">
        <v>60</v>
      </c>
      <c r="BC4728">
        <v>82</v>
      </c>
      <c r="BD4728">
        <v>735</v>
      </c>
      <c r="BE4728">
        <v>2015</v>
      </c>
      <c r="BF4728">
        <v>29</v>
      </c>
      <c r="BG4728">
        <v>2</v>
      </c>
      <c r="BH4728">
        <v>60</v>
      </c>
      <c r="BI4728">
        <v>9</v>
      </c>
      <c r="BJ4728">
        <v>11</v>
      </c>
      <c r="BK4728">
        <v>8</v>
      </c>
      <c r="BP4728" s="184"/>
    </row>
    <row r="4729" spans="1:68">
      <c r="A4729">
        <v>91638833</v>
      </c>
      <c r="B4729">
        <v>91638833</v>
      </c>
      <c r="C4729" t="s">
        <v>7018</v>
      </c>
      <c r="D4729" t="s">
        <v>595</v>
      </c>
      <c r="E4729" s="184">
        <v>45112</v>
      </c>
      <c r="G4729" s="184"/>
      <c r="I4729" s="184"/>
      <c r="K4729" s="184"/>
      <c r="M4729" s="184"/>
      <c r="O4729" s="184"/>
      <c r="P4729" t="s">
        <v>7045</v>
      </c>
      <c r="Q4729" t="s">
        <v>7494</v>
      </c>
      <c r="R4729" s="184">
        <v>16246</v>
      </c>
      <c r="S4729">
        <v>79</v>
      </c>
      <c r="U4729" t="s">
        <v>7130</v>
      </c>
      <c r="V4729" t="s">
        <v>4136</v>
      </c>
      <c r="X4729" t="s">
        <v>2832</v>
      </c>
      <c r="AF4729" t="s">
        <v>34206</v>
      </c>
      <c r="AG4729" t="s">
        <v>4136</v>
      </c>
      <c r="AI4729" t="s">
        <v>34207</v>
      </c>
      <c r="AM4729" t="s">
        <v>4006</v>
      </c>
      <c r="AN4729" t="s">
        <v>2174</v>
      </c>
      <c r="AO4729" t="s">
        <v>34208</v>
      </c>
      <c r="AP4729" t="s">
        <v>7024</v>
      </c>
      <c r="AQ4729" t="s">
        <v>34209</v>
      </c>
      <c r="AR4729" t="s">
        <v>34210</v>
      </c>
      <c r="AT4729" s="184">
        <v>41852</v>
      </c>
      <c r="AU4729" t="s">
        <v>34211</v>
      </c>
      <c r="AV4729">
        <v>25</v>
      </c>
      <c r="AW4729" s="184">
        <v>45362</v>
      </c>
      <c r="AX4729" t="s">
        <v>12134</v>
      </c>
      <c r="AY4729">
        <v>100</v>
      </c>
      <c r="AZ4729" s="184">
        <v>45362</v>
      </c>
      <c r="BA4729" t="s">
        <v>12134</v>
      </c>
      <c r="BB4729">
        <v>100</v>
      </c>
      <c r="BC4729">
        <v>55</v>
      </c>
      <c r="BD4729">
        <v>400</v>
      </c>
      <c r="BE4729">
        <v>2015</v>
      </c>
      <c r="BF4729">
        <v>7</v>
      </c>
      <c r="BG4729">
        <v>3</v>
      </c>
      <c r="BH4729">
        <v>275</v>
      </c>
      <c r="BI4729">
        <v>6</v>
      </c>
      <c r="BJ4729">
        <v>11</v>
      </c>
      <c r="BK4729">
        <v>2</v>
      </c>
      <c r="BN4729" t="s">
        <v>595</v>
      </c>
      <c r="BP4729" s="184"/>
    </row>
    <row r="4730" spans="1:68">
      <c r="A4730">
        <v>91644021</v>
      </c>
      <c r="B4730">
        <v>91644021</v>
      </c>
      <c r="C4730" t="s">
        <v>7018</v>
      </c>
      <c r="D4730" t="s">
        <v>595</v>
      </c>
      <c r="E4730" s="184">
        <v>45153</v>
      </c>
      <c r="I4730" s="184"/>
      <c r="K4730" s="184"/>
      <c r="O4730" s="184"/>
      <c r="P4730" t="s">
        <v>7045</v>
      </c>
      <c r="Q4730" t="s">
        <v>7383</v>
      </c>
      <c r="R4730" s="184">
        <v>17421</v>
      </c>
      <c r="S4730">
        <v>76</v>
      </c>
      <c r="V4730" t="s">
        <v>4879</v>
      </c>
      <c r="X4730" t="s">
        <v>34212</v>
      </c>
      <c r="AF4730" t="s">
        <v>34213</v>
      </c>
      <c r="AG4730" t="s">
        <v>4879</v>
      </c>
      <c r="AI4730" t="s">
        <v>34214</v>
      </c>
      <c r="AM4730" t="s">
        <v>3121</v>
      </c>
      <c r="AN4730" t="s">
        <v>2144</v>
      </c>
      <c r="AO4730" t="s">
        <v>34215</v>
      </c>
      <c r="AP4730" t="s">
        <v>7024</v>
      </c>
      <c r="AT4730" s="184">
        <v>41855</v>
      </c>
      <c r="AU4730" t="s">
        <v>34185</v>
      </c>
      <c r="AV4730">
        <v>25</v>
      </c>
      <c r="AW4730" s="184">
        <v>45147</v>
      </c>
      <c r="AX4730" t="s">
        <v>11151</v>
      </c>
      <c r="AY4730">
        <v>25</v>
      </c>
      <c r="AZ4730" s="184">
        <v>45147</v>
      </c>
      <c r="BA4730" t="s">
        <v>11151</v>
      </c>
      <c r="BB4730">
        <v>25</v>
      </c>
      <c r="BC4730">
        <v>82</v>
      </c>
      <c r="BD4730">
        <v>225</v>
      </c>
      <c r="BE4730">
        <v>2015</v>
      </c>
      <c r="BF4730">
        <v>9</v>
      </c>
      <c r="BG4730">
        <v>2</v>
      </c>
      <c r="BH4730">
        <v>50</v>
      </c>
      <c r="BI4730">
        <v>9</v>
      </c>
      <c r="BJ4730">
        <v>11</v>
      </c>
      <c r="BK4730">
        <v>6</v>
      </c>
      <c r="BP4730" s="184"/>
    </row>
    <row r="4731" spans="1:68">
      <c r="A4731">
        <v>91652982</v>
      </c>
      <c r="B4731">
        <v>91652982</v>
      </c>
      <c r="C4731" t="s">
        <v>7018</v>
      </c>
      <c r="D4731" t="s">
        <v>595</v>
      </c>
      <c r="E4731" s="184">
        <v>44419</v>
      </c>
      <c r="G4731" s="184"/>
      <c r="I4731" s="184"/>
      <c r="K4731" s="184"/>
      <c r="M4731" s="184"/>
      <c r="O4731" s="184"/>
      <c r="P4731" t="s">
        <v>7045</v>
      </c>
      <c r="Q4731" t="s">
        <v>7262</v>
      </c>
      <c r="R4731" s="184">
        <v>20433</v>
      </c>
      <c r="S4731">
        <v>68</v>
      </c>
      <c r="U4731" t="s">
        <v>7032</v>
      </c>
      <c r="V4731" t="s">
        <v>2541</v>
      </c>
      <c r="W4731" t="s">
        <v>4013</v>
      </c>
      <c r="X4731" t="s">
        <v>8593</v>
      </c>
      <c r="AF4731" t="s">
        <v>34216</v>
      </c>
      <c r="AG4731" t="s">
        <v>2541</v>
      </c>
      <c r="AI4731" t="s">
        <v>34217</v>
      </c>
      <c r="AM4731" t="s">
        <v>34218</v>
      </c>
      <c r="AN4731" t="s">
        <v>2106</v>
      </c>
      <c r="AO4731" t="s">
        <v>34219</v>
      </c>
      <c r="AP4731" t="s">
        <v>7024</v>
      </c>
      <c r="AQ4731" t="s">
        <v>34220</v>
      </c>
      <c r="AT4731" s="184">
        <v>41860</v>
      </c>
      <c r="AU4731" t="s">
        <v>34221</v>
      </c>
      <c r="AV4731">
        <v>100</v>
      </c>
      <c r="AW4731" s="184">
        <v>45303</v>
      </c>
      <c r="AX4731" t="s">
        <v>7168</v>
      </c>
      <c r="AY4731">
        <v>100</v>
      </c>
      <c r="AZ4731" s="184">
        <v>45303</v>
      </c>
      <c r="BA4731" t="s">
        <v>7168</v>
      </c>
      <c r="BB4731">
        <v>100</v>
      </c>
      <c r="BC4731">
        <v>100</v>
      </c>
      <c r="BD4731">
        <v>1150</v>
      </c>
      <c r="BE4731">
        <v>2015</v>
      </c>
      <c r="BF4731">
        <v>12</v>
      </c>
      <c r="BG4731">
        <v>2</v>
      </c>
      <c r="BH4731">
        <v>200</v>
      </c>
      <c r="BI4731">
        <v>11</v>
      </c>
      <c r="BJ4731">
        <v>11</v>
      </c>
      <c r="BK4731">
        <v>11</v>
      </c>
      <c r="BP4731" s="184"/>
    </row>
    <row r="4732" spans="1:68">
      <c r="A4732">
        <v>91658260</v>
      </c>
      <c r="B4732">
        <v>91658260</v>
      </c>
      <c r="C4732" t="s">
        <v>7018</v>
      </c>
      <c r="D4732" t="s">
        <v>595</v>
      </c>
      <c r="E4732" s="184">
        <v>45181</v>
      </c>
      <c r="G4732" s="184"/>
      <c r="I4732" s="184"/>
      <c r="K4732" s="184"/>
      <c r="M4732" s="184"/>
      <c r="O4732" s="184"/>
      <c r="P4732" t="s">
        <v>7045</v>
      </c>
      <c r="Q4732" t="s">
        <v>7774</v>
      </c>
      <c r="R4732" s="184">
        <v>14332</v>
      </c>
      <c r="S4732">
        <v>85</v>
      </c>
      <c r="U4732" t="s">
        <v>7031</v>
      </c>
      <c r="V4732" t="s">
        <v>34222</v>
      </c>
      <c r="X4732" t="s">
        <v>3475</v>
      </c>
      <c r="AF4732" t="s">
        <v>34223</v>
      </c>
      <c r="AG4732" t="s">
        <v>34222</v>
      </c>
      <c r="AI4732" t="s">
        <v>34224</v>
      </c>
      <c r="AM4732" t="s">
        <v>16035</v>
      </c>
      <c r="AN4732" t="s">
        <v>2077</v>
      </c>
      <c r="AO4732" t="s">
        <v>34225</v>
      </c>
      <c r="AP4732" t="s">
        <v>7024</v>
      </c>
      <c r="AT4732" s="184">
        <v>41859</v>
      </c>
      <c r="AU4732" t="s">
        <v>34226</v>
      </c>
      <c r="AV4732">
        <v>15</v>
      </c>
      <c r="AW4732" s="184">
        <v>45034</v>
      </c>
      <c r="AX4732" t="s">
        <v>10223</v>
      </c>
      <c r="AY4732">
        <v>25</v>
      </c>
      <c r="AZ4732" s="184">
        <v>42600</v>
      </c>
      <c r="BA4732" t="s">
        <v>34227</v>
      </c>
      <c r="BB4732">
        <v>30</v>
      </c>
      <c r="BC4732">
        <v>64</v>
      </c>
      <c r="BD4732">
        <v>195</v>
      </c>
      <c r="BE4732">
        <v>2015</v>
      </c>
      <c r="BF4732">
        <v>8</v>
      </c>
      <c r="BG4732">
        <v>1</v>
      </c>
      <c r="BH4732">
        <v>25</v>
      </c>
      <c r="BI4732">
        <v>7</v>
      </c>
      <c r="BJ4732">
        <v>11</v>
      </c>
      <c r="BK4732">
        <v>3</v>
      </c>
      <c r="BN4732" t="s">
        <v>595</v>
      </c>
      <c r="BP4732" s="184"/>
    </row>
    <row r="4733" spans="1:68">
      <c r="A4733">
        <v>91659185</v>
      </c>
      <c r="B4733">
        <v>91659185</v>
      </c>
      <c r="C4733" t="s">
        <v>7018</v>
      </c>
      <c r="D4733" t="s">
        <v>595</v>
      </c>
      <c r="E4733" s="184">
        <v>44438</v>
      </c>
      <c r="I4733" s="184"/>
      <c r="K4733" s="184"/>
      <c r="M4733" s="184"/>
      <c r="O4733" s="184"/>
      <c r="P4733" t="s">
        <v>7045</v>
      </c>
      <c r="Q4733" t="s">
        <v>7262</v>
      </c>
      <c r="R4733" s="184">
        <v>20718</v>
      </c>
      <c r="S4733">
        <v>67</v>
      </c>
      <c r="V4733" t="s">
        <v>2580</v>
      </c>
      <c r="X4733" t="s">
        <v>34228</v>
      </c>
      <c r="AF4733" t="s">
        <v>34229</v>
      </c>
      <c r="AG4733" t="s">
        <v>2580</v>
      </c>
      <c r="AI4733" t="s">
        <v>34230</v>
      </c>
      <c r="AM4733" t="s">
        <v>3296</v>
      </c>
      <c r="AN4733" t="s">
        <v>2106</v>
      </c>
      <c r="AO4733" t="s">
        <v>34231</v>
      </c>
      <c r="AP4733" t="s">
        <v>7024</v>
      </c>
      <c r="AQ4733" t="s">
        <v>34232</v>
      </c>
      <c r="AT4733" s="184">
        <v>41859</v>
      </c>
      <c r="AU4733" t="s">
        <v>34233</v>
      </c>
      <c r="AV4733">
        <v>25</v>
      </c>
      <c r="AW4733" s="184">
        <v>44873</v>
      </c>
      <c r="AX4733" t="s">
        <v>34234</v>
      </c>
      <c r="AY4733">
        <v>35</v>
      </c>
      <c r="AZ4733" s="184">
        <v>43280</v>
      </c>
      <c r="BA4733" t="s">
        <v>28071</v>
      </c>
      <c r="BB4733">
        <v>60</v>
      </c>
      <c r="BC4733">
        <v>64</v>
      </c>
      <c r="BD4733">
        <v>390</v>
      </c>
      <c r="BE4733">
        <v>2015</v>
      </c>
      <c r="BF4733">
        <v>9</v>
      </c>
      <c r="BG4733">
        <v>1</v>
      </c>
      <c r="BH4733">
        <v>35</v>
      </c>
      <c r="BI4733">
        <v>7</v>
      </c>
      <c r="BJ4733">
        <v>11</v>
      </c>
      <c r="BK4733">
        <v>3</v>
      </c>
      <c r="BN4733" t="s">
        <v>595</v>
      </c>
      <c r="BP4733" s="184"/>
    </row>
    <row r="4734" spans="1:68">
      <c r="A4734">
        <v>91672204</v>
      </c>
      <c r="B4734">
        <v>91672204</v>
      </c>
      <c r="C4734" t="s">
        <v>7018</v>
      </c>
      <c r="D4734" t="s">
        <v>595</v>
      </c>
      <c r="E4734" s="184">
        <v>44167</v>
      </c>
      <c r="G4734" s="184"/>
      <c r="I4734" s="184"/>
      <c r="K4734" s="184"/>
      <c r="M4734" s="184"/>
      <c r="O4734" s="184"/>
      <c r="P4734" t="s">
        <v>7045</v>
      </c>
      <c r="Q4734" t="s">
        <v>7383</v>
      </c>
      <c r="R4734" s="184">
        <v>18994</v>
      </c>
      <c r="S4734">
        <v>72</v>
      </c>
      <c r="U4734" t="s">
        <v>7076</v>
      </c>
      <c r="V4734" t="s">
        <v>4134</v>
      </c>
      <c r="X4734" t="s">
        <v>29693</v>
      </c>
      <c r="AF4734" t="s">
        <v>34235</v>
      </c>
      <c r="AG4734" t="s">
        <v>4134</v>
      </c>
      <c r="AI4734" t="s">
        <v>34236</v>
      </c>
      <c r="AM4734" t="s">
        <v>21084</v>
      </c>
      <c r="AN4734" t="s">
        <v>2064</v>
      </c>
      <c r="AO4734" t="s">
        <v>34237</v>
      </c>
      <c r="AP4734" t="s">
        <v>7024</v>
      </c>
      <c r="AT4734" s="184">
        <v>41864</v>
      </c>
      <c r="AU4734" t="s">
        <v>34238</v>
      </c>
      <c r="AV4734">
        <v>25</v>
      </c>
      <c r="AW4734" s="184">
        <v>45384</v>
      </c>
      <c r="AX4734" t="s">
        <v>9748</v>
      </c>
      <c r="AY4734">
        <v>10</v>
      </c>
      <c r="AZ4734" s="184">
        <v>44636</v>
      </c>
      <c r="BA4734" t="s">
        <v>34239</v>
      </c>
      <c r="BB4734">
        <v>35</v>
      </c>
      <c r="BC4734">
        <v>100</v>
      </c>
      <c r="BD4734">
        <v>448</v>
      </c>
      <c r="BE4734">
        <v>2015</v>
      </c>
      <c r="BF4734">
        <v>40</v>
      </c>
      <c r="BG4734">
        <v>3</v>
      </c>
      <c r="BH4734">
        <v>50</v>
      </c>
      <c r="BI4734">
        <v>11</v>
      </c>
      <c r="BJ4734">
        <v>11</v>
      </c>
      <c r="BK4734">
        <v>11</v>
      </c>
      <c r="BP4734" s="184"/>
    </row>
    <row r="4735" spans="1:68">
      <c r="A4735">
        <v>91673517</v>
      </c>
      <c r="B4735">
        <v>91673517</v>
      </c>
      <c r="C4735" t="s">
        <v>7018</v>
      </c>
      <c r="D4735" t="s">
        <v>595</v>
      </c>
      <c r="E4735" s="184">
        <v>44428</v>
      </c>
      <c r="G4735" s="184"/>
      <c r="I4735" s="184"/>
      <c r="K4735" s="184"/>
      <c r="M4735" s="184"/>
      <c r="P4735" t="s">
        <v>7045</v>
      </c>
      <c r="Q4735" t="s">
        <v>7383</v>
      </c>
      <c r="R4735" s="184">
        <v>12145</v>
      </c>
      <c r="S4735">
        <v>91</v>
      </c>
      <c r="U4735" t="s">
        <v>7031</v>
      </c>
      <c r="V4735" t="s">
        <v>25212</v>
      </c>
      <c r="X4735" t="s">
        <v>34240</v>
      </c>
      <c r="AF4735" t="s">
        <v>34241</v>
      </c>
      <c r="AG4735" t="s">
        <v>25212</v>
      </c>
      <c r="AI4735" t="s">
        <v>34242</v>
      </c>
      <c r="AM4735" t="s">
        <v>2888</v>
      </c>
      <c r="AN4735" t="s">
        <v>2274</v>
      </c>
      <c r="AO4735" t="s">
        <v>34243</v>
      </c>
      <c r="AP4735" t="s">
        <v>7024</v>
      </c>
      <c r="AQ4735" t="s">
        <v>34244</v>
      </c>
      <c r="AT4735" s="184">
        <v>41864</v>
      </c>
      <c r="AU4735" t="s">
        <v>34245</v>
      </c>
      <c r="AV4735">
        <v>25</v>
      </c>
      <c r="AW4735" s="184">
        <v>45135</v>
      </c>
      <c r="AX4735" t="s">
        <v>34246</v>
      </c>
      <c r="AY4735">
        <v>35</v>
      </c>
      <c r="AZ4735" s="184">
        <v>42646</v>
      </c>
      <c r="BA4735" t="s">
        <v>34247</v>
      </c>
      <c r="BB4735">
        <v>60</v>
      </c>
      <c r="BC4735">
        <v>64</v>
      </c>
      <c r="BD4735">
        <v>295</v>
      </c>
      <c r="BE4735">
        <v>2015</v>
      </c>
      <c r="BF4735">
        <v>11</v>
      </c>
      <c r="BG4735">
        <v>1</v>
      </c>
      <c r="BH4735">
        <v>35</v>
      </c>
      <c r="BI4735">
        <v>7</v>
      </c>
      <c r="BJ4735">
        <v>11</v>
      </c>
      <c r="BK4735">
        <v>3</v>
      </c>
      <c r="BP4735" s="184"/>
    </row>
    <row r="4736" spans="1:68">
      <c r="A4736">
        <v>91698803</v>
      </c>
      <c r="B4736">
        <v>91698803</v>
      </c>
      <c r="C4736" t="s">
        <v>7018</v>
      </c>
      <c r="D4736" t="s">
        <v>595</v>
      </c>
      <c r="E4736" s="184">
        <v>44167</v>
      </c>
      <c r="I4736" s="184"/>
      <c r="K4736" s="184"/>
      <c r="O4736" s="184"/>
      <c r="P4736" t="s">
        <v>7029</v>
      </c>
      <c r="Q4736" t="s">
        <v>7454</v>
      </c>
      <c r="R4736" s="184">
        <v>18384</v>
      </c>
      <c r="S4736">
        <v>74</v>
      </c>
      <c r="U4736" t="s">
        <v>7076</v>
      </c>
      <c r="V4736" t="s">
        <v>2586</v>
      </c>
      <c r="W4736" t="s">
        <v>7067</v>
      </c>
      <c r="X4736" t="s">
        <v>34248</v>
      </c>
      <c r="AF4736" t="s">
        <v>34249</v>
      </c>
      <c r="AG4736" t="s">
        <v>2586</v>
      </c>
      <c r="AI4736" t="s">
        <v>34250</v>
      </c>
      <c r="AM4736" t="s">
        <v>3858</v>
      </c>
      <c r="AN4736" t="s">
        <v>2055</v>
      </c>
      <c r="AO4736" t="s">
        <v>34251</v>
      </c>
      <c r="AP4736" t="s">
        <v>7024</v>
      </c>
      <c r="AQ4736" t="s">
        <v>34252</v>
      </c>
      <c r="AR4736" t="s">
        <v>34253</v>
      </c>
      <c r="AT4736" s="184">
        <v>41870</v>
      </c>
      <c r="AU4736" t="s">
        <v>34254</v>
      </c>
      <c r="AV4736">
        <v>50</v>
      </c>
      <c r="AW4736" s="184">
        <v>44007</v>
      </c>
      <c r="AX4736" t="s">
        <v>34255</v>
      </c>
      <c r="AY4736">
        <v>500</v>
      </c>
      <c r="AZ4736" s="184">
        <v>44007</v>
      </c>
      <c r="BA4736" t="s">
        <v>34255</v>
      </c>
      <c r="BB4736">
        <v>500</v>
      </c>
      <c r="BC4736">
        <v>55</v>
      </c>
      <c r="BD4736">
        <v>1825</v>
      </c>
      <c r="BE4736">
        <v>2015</v>
      </c>
      <c r="BF4736">
        <v>8</v>
      </c>
      <c r="BI4736">
        <v>6</v>
      </c>
      <c r="BJ4736">
        <v>11</v>
      </c>
      <c r="BK4736">
        <v>4</v>
      </c>
      <c r="BN4736" t="s">
        <v>595</v>
      </c>
      <c r="BP4736" s="184"/>
    </row>
    <row r="4737" spans="1:68">
      <c r="A4737">
        <v>91699793</v>
      </c>
      <c r="B4737">
        <v>91699793</v>
      </c>
      <c r="C4737" t="s">
        <v>7018</v>
      </c>
      <c r="D4737" t="s">
        <v>595</v>
      </c>
      <c r="E4737" s="184">
        <v>44428</v>
      </c>
      <c r="G4737" s="184"/>
      <c r="I4737" s="184"/>
      <c r="K4737" s="184"/>
      <c r="O4737" s="184"/>
      <c r="P4737" t="s">
        <v>7045</v>
      </c>
      <c r="Q4737" t="s">
        <v>7383</v>
      </c>
      <c r="R4737" s="184">
        <v>15769</v>
      </c>
      <c r="S4737">
        <v>81</v>
      </c>
      <c r="V4737" t="s">
        <v>21577</v>
      </c>
      <c r="X4737" t="s">
        <v>16418</v>
      </c>
      <c r="Y4737" t="s">
        <v>15117</v>
      </c>
      <c r="AF4737" t="s">
        <v>34256</v>
      </c>
      <c r="AG4737" t="s">
        <v>21577</v>
      </c>
      <c r="AI4737" t="s">
        <v>34257</v>
      </c>
      <c r="AM4737" t="s">
        <v>12711</v>
      </c>
      <c r="AN4737" t="s">
        <v>2059</v>
      </c>
      <c r="AO4737" t="s">
        <v>34258</v>
      </c>
      <c r="AP4737" t="s">
        <v>7024</v>
      </c>
      <c r="AT4737" s="184">
        <v>41870</v>
      </c>
      <c r="AU4737" t="s">
        <v>34259</v>
      </c>
      <c r="AV4737">
        <v>15</v>
      </c>
      <c r="AW4737" s="184">
        <v>45019</v>
      </c>
      <c r="AX4737" t="s">
        <v>34260</v>
      </c>
      <c r="AY4737">
        <v>10</v>
      </c>
      <c r="AZ4737" s="184">
        <v>42661</v>
      </c>
      <c r="BA4737" t="s">
        <v>34261</v>
      </c>
      <c r="BB4737">
        <v>40</v>
      </c>
      <c r="BC4737">
        <v>82</v>
      </c>
      <c r="BD4737">
        <v>295</v>
      </c>
      <c r="BE4737">
        <v>2015</v>
      </c>
      <c r="BF4737">
        <v>16</v>
      </c>
      <c r="BG4737">
        <v>3</v>
      </c>
      <c r="BH4737">
        <v>45</v>
      </c>
      <c r="BI4737">
        <v>9</v>
      </c>
      <c r="BJ4737">
        <v>11</v>
      </c>
      <c r="BK4737">
        <v>6</v>
      </c>
      <c r="BP4737" s="184"/>
    </row>
    <row r="4738" spans="1:68">
      <c r="A4738">
        <v>91701706</v>
      </c>
      <c r="B4738">
        <v>91701706</v>
      </c>
      <c r="C4738" t="s">
        <v>7018</v>
      </c>
      <c r="D4738" t="s">
        <v>595</v>
      </c>
      <c r="E4738" s="184">
        <v>45120</v>
      </c>
      <c r="I4738" s="184"/>
      <c r="K4738" s="184"/>
      <c r="M4738" s="184"/>
      <c r="P4738" t="s">
        <v>7045</v>
      </c>
      <c r="Q4738" t="s">
        <v>7020</v>
      </c>
      <c r="R4738" s="184">
        <v>17593</v>
      </c>
      <c r="S4738">
        <v>76</v>
      </c>
      <c r="V4738" t="s">
        <v>3131</v>
      </c>
      <c r="X4738" t="s">
        <v>31613</v>
      </c>
      <c r="AF4738" t="s">
        <v>34262</v>
      </c>
      <c r="AG4738" t="s">
        <v>3131</v>
      </c>
      <c r="AI4738" t="s">
        <v>34263</v>
      </c>
      <c r="AM4738" t="s">
        <v>5618</v>
      </c>
      <c r="AN4738" t="s">
        <v>2112</v>
      </c>
      <c r="AO4738" t="s">
        <v>34264</v>
      </c>
      <c r="AP4738" t="s">
        <v>7024</v>
      </c>
      <c r="AT4738" s="184">
        <v>41871</v>
      </c>
      <c r="AU4738" t="s">
        <v>34265</v>
      </c>
      <c r="AV4738">
        <v>25</v>
      </c>
      <c r="AW4738" s="184">
        <v>45125</v>
      </c>
      <c r="AX4738" t="s">
        <v>8104</v>
      </c>
      <c r="AY4738">
        <v>100</v>
      </c>
      <c r="AZ4738" s="184">
        <v>45125</v>
      </c>
      <c r="BA4738" t="s">
        <v>8104</v>
      </c>
      <c r="BB4738">
        <v>100</v>
      </c>
      <c r="BC4738">
        <v>55</v>
      </c>
      <c r="BD4738">
        <v>825</v>
      </c>
      <c r="BE4738">
        <v>2015</v>
      </c>
      <c r="BF4738">
        <v>11</v>
      </c>
      <c r="BG4738">
        <v>4</v>
      </c>
      <c r="BH4738">
        <v>400</v>
      </c>
      <c r="BI4738">
        <v>6</v>
      </c>
      <c r="BJ4738">
        <v>11</v>
      </c>
      <c r="BK4738">
        <v>5</v>
      </c>
      <c r="BP4738" s="184"/>
    </row>
    <row r="4739" spans="1:68">
      <c r="A4739">
        <v>91709907</v>
      </c>
      <c r="B4739">
        <v>91709907</v>
      </c>
      <c r="C4739" t="s">
        <v>7018</v>
      </c>
      <c r="E4739" s="184"/>
      <c r="G4739" s="184"/>
      <c r="I4739" s="184"/>
      <c r="J4739" t="s">
        <v>595</v>
      </c>
      <c r="K4739" s="184">
        <v>42584</v>
      </c>
      <c r="M4739" s="184"/>
      <c r="O4739" s="184"/>
      <c r="P4739" t="s">
        <v>7029</v>
      </c>
      <c r="Q4739" t="s">
        <v>7494</v>
      </c>
      <c r="R4739" s="184">
        <v>19005</v>
      </c>
      <c r="S4739">
        <v>72</v>
      </c>
      <c r="U4739" t="s">
        <v>7076</v>
      </c>
      <c r="V4739" t="s">
        <v>3317</v>
      </c>
      <c r="X4739" t="s">
        <v>34266</v>
      </c>
      <c r="Z4739">
        <v>100179138</v>
      </c>
      <c r="AA4739" t="s">
        <v>7031</v>
      </c>
      <c r="AB4739" t="s">
        <v>12008</v>
      </c>
      <c r="AC4739" t="s">
        <v>7246</v>
      </c>
      <c r="AD4739" t="s">
        <v>18533</v>
      </c>
      <c r="AF4739" t="s">
        <v>6114</v>
      </c>
      <c r="AG4739" t="s">
        <v>34267</v>
      </c>
      <c r="AI4739" t="s">
        <v>34268</v>
      </c>
      <c r="AM4739" t="s">
        <v>34269</v>
      </c>
      <c r="AN4739" t="s">
        <v>2174</v>
      </c>
      <c r="AO4739" t="s">
        <v>34270</v>
      </c>
      <c r="AP4739" t="s">
        <v>7024</v>
      </c>
      <c r="AQ4739" t="s">
        <v>34271</v>
      </c>
      <c r="AT4739" s="184">
        <v>38674</v>
      </c>
      <c r="AU4739" t="s">
        <v>34272</v>
      </c>
      <c r="AV4739">
        <v>25</v>
      </c>
      <c r="AW4739" s="184">
        <v>43468</v>
      </c>
      <c r="AX4739" t="s">
        <v>34273</v>
      </c>
      <c r="AY4739">
        <v>1000</v>
      </c>
      <c r="AZ4739" s="184">
        <v>43468</v>
      </c>
      <c r="BA4739" t="s">
        <v>34273</v>
      </c>
      <c r="BB4739">
        <v>1000</v>
      </c>
      <c r="BC4739">
        <v>70</v>
      </c>
      <c r="BD4739">
        <v>5170</v>
      </c>
      <c r="BE4739">
        <v>2006</v>
      </c>
      <c r="BF4739">
        <v>41</v>
      </c>
      <c r="BI4739">
        <v>14</v>
      </c>
      <c r="BJ4739">
        <v>20</v>
      </c>
      <c r="BK4739">
        <v>12</v>
      </c>
      <c r="BN4739" t="s">
        <v>595</v>
      </c>
      <c r="BO4739" t="s">
        <v>595</v>
      </c>
      <c r="BP4739" s="184"/>
    </row>
    <row r="4740" spans="1:68">
      <c r="A4740">
        <v>100179138</v>
      </c>
      <c r="B4740">
        <v>91709907</v>
      </c>
      <c r="C4740" t="s">
        <v>7018</v>
      </c>
      <c r="E4740" s="184"/>
      <c r="G4740" s="184"/>
      <c r="I4740" s="184"/>
      <c r="J4740" t="s">
        <v>595</v>
      </c>
      <c r="K4740" s="184">
        <v>42584</v>
      </c>
      <c r="M4740" s="184"/>
      <c r="O4740" s="184"/>
      <c r="P4740" t="s">
        <v>7029</v>
      </c>
      <c r="Q4740" t="s">
        <v>7494</v>
      </c>
      <c r="R4740" s="184"/>
      <c r="U4740" t="s">
        <v>7031</v>
      </c>
      <c r="V4740" t="s">
        <v>12008</v>
      </c>
      <c r="W4740" t="s">
        <v>7246</v>
      </c>
      <c r="X4740" t="s">
        <v>18533</v>
      </c>
      <c r="Z4740">
        <v>91709907</v>
      </c>
      <c r="AA4740" t="s">
        <v>7076</v>
      </c>
      <c r="AB4740" t="s">
        <v>3317</v>
      </c>
      <c r="AD4740" t="s">
        <v>34266</v>
      </c>
      <c r="AF4740" t="s">
        <v>6114</v>
      </c>
      <c r="AG4740" t="s">
        <v>34267</v>
      </c>
      <c r="AI4740" t="s">
        <v>34268</v>
      </c>
      <c r="AM4740" t="s">
        <v>34269</v>
      </c>
      <c r="AN4740" t="s">
        <v>2174</v>
      </c>
      <c r="AO4740" t="s">
        <v>34270</v>
      </c>
      <c r="AP4740" t="s">
        <v>7024</v>
      </c>
      <c r="AT4740" s="184"/>
      <c r="AW4740" s="184"/>
      <c r="AZ4740" s="184"/>
      <c r="BO4740" t="s">
        <v>595</v>
      </c>
      <c r="BP4740" s="184"/>
    </row>
    <row r="4741" spans="1:68">
      <c r="A4741">
        <v>91720987</v>
      </c>
      <c r="B4741">
        <v>91720987</v>
      </c>
      <c r="C4741" t="s">
        <v>7018</v>
      </c>
      <c r="D4741" t="s">
        <v>595</v>
      </c>
      <c r="E4741" s="184">
        <v>44484</v>
      </c>
      <c r="G4741" s="184"/>
      <c r="I4741" s="184"/>
      <c r="K4741" s="184"/>
      <c r="M4741" s="184"/>
      <c r="O4741" s="184"/>
      <c r="P4741" t="s">
        <v>7029</v>
      </c>
      <c r="Q4741" t="s">
        <v>7374</v>
      </c>
      <c r="R4741" s="184">
        <v>12785</v>
      </c>
      <c r="S4741">
        <v>89</v>
      </c>
      <c r="U4741" t="s">
        <v>7031</v>
      </c>
      <c r="V4741" t="s">
        <v>2863</v>
      </c>
      <c r="W4741" t="s">
        <v>2898</v>
      </c>
      <c r="X4741" t="s">
        <v>34274</v>
      </c>
      <c r="AF4741" t="s">
        <v>34275</v>
      </c>
      <c r="AG4741" t="s">
        <v>2863</v>
      </c>
      <c r="AI4741" t="s">
        <v>34276</v>
      </c>
      <c r="AM4741" t="s">
        <v>34277</v>
      </c>
      <c r="AN4741" t="s">
        <v>2081</v>
      </c>
      <c r="AO4741" t="s">
        <v>34278</v>
      </c>
      <c r="AP4741" t="s">
        <v>7024</v>
      </c>
      <c r="AQ4741" t="s">
        <v>34279</v>
      </c>
      <c r="AR4741" t="s">
        <v>34280</v>
      </c>
      <c r="AT4741" s="184">
        <v>41879</v>
      </c>
      <c r="AU4741" t="s">
        <v>34281</v>
      </c>
      <c r="AV4741">
        <v>100</v>
      </c>
      <c r="AW4741" s="184">
        <v>44539</v>
      </c>
      <c r="AX4741" t="s">
        <v>34282</v>
      </c>
      <c r="AY4741">
        <v>1000</v>
      </c>
      <c r="AZ4741" s="184">
        <v>44539</v>
      </c>
      <c r="BA4741" t="s">
        <v>34282</v>
      </c>
      <c r="BB4741">
        <v>1000</v>
      </c>
      <c r="BC4741">
        <v>55</v>
      </c>
      <c r="BD4741">
        <v>4600</v>
      </c>
      <c r="BE4741">
        <v>2015</v>
      </c>
      <c r="BF4741">
        <v>10</v>
      </c>
      <c r="BI4741">
        <v>6</v>
      </c>
      <c r="BJ4741">
        <v>11</v>
      </c>
      <c r="BK4741">
        <v>4</v>
      </c>
      <c r="BN4741" t="s">
        <v>595</v>
      </c>
      <c r="BP4741" s="184"/>
    </row>
    <row r="4742" spans="1:68">
      <c r="A4742">
        <v>91724252</v>
      </c>
      <c r="B4742">
        <v>91724252</v>
      </c>
      <c r="C4742" t="s">
        <v>7018</v>
      </c>
      <c r="D4742" t="s">
        <v>595</v>
      </c>
      <c r="E4742" s="184">
        <v>44070</v>
      </c>
      <c r="I4742" s="184"/>
      <c r="K4742" s="184"/>
      <c r="M4742" s="184"/>
      <c r="O4742" s="184"/>
      <c r="P4742" t="s">
        <v>7045</v>
      </c>
      <c r="Q4742" t="s">
        <v>7383</v>
      </c>
      <c r="R4742" s="184">
        <v>22005</v>
      </c>
      <c r="S4742">
        <v>64</v>
      </c>
      <c r="U4742" t="s">
        <v>7031</v>
      </c>
      <c r="V4742" t="s">
        <v>2665</v>
      </c>
      <c r="W4742" t="s">
        <v>34283</v>
      </c>
      <c r="X4742" t="s">
        <v>34284</v>
      </c>
      <c r="AF4742" t="s">
        <v>34285</v>
      </c>
      <c r="AG4742" t="s">
        <v>2665</v>
      </c>
      <c r="AI4742" t="s">
        <v>34286</v>
      </c>
      <c r="AM4742" t="s">
        <v>4732</v>
      </c>
      <c r="AN4742" t="s">
        <v>2313</v>
      </c>
      <c r="AO4742" t="s">
        <v>34287</v>
      </c>
      <c r="AP4742" t="s">
        <v>7024</v>
      </c>
      <c r="AQ4742" t="s">
        <v>34288</v>
      </c>
      <c r="AT4742" s="184">
        <v>41878</v>
      </c>
      <c r="AU4742" t="s">
        <v>34289</v>
      </c>
      <c r="AV4742">
        <v>25</v>
      </c>
      <c r="AW4742" s="184">
        <v>45277</v>
      </c>
      <c r="AX4742" t="s">
        <v>34290</v>
      </c>
      <c r="AY4742">
        <v>78.75</v>
      </c>
      <c r="AZ4742" s="184">
        <v>45109</v>
      </c>
      <c r="BA4742" t="s">
        <v>7832</v>
      </c>
      <c r="BB4742">
        <v>100</v>
      </c>
      <c r="BC4742">
        <v>82</v>
      </c>
      <c r="BD4742">
        <v>1938.75</v>
      </c>
      <c r="BE4742">
        <v>2015</v>
      </c>
      <c r="BF4742">
        <v>47</v>
      </c>
      <c r="BG4742">
        <v>2</v>
      </c>
      <c r="BH4742">
        <v>178.75</v>
      </c>
      <c r="BI4742">
        <v>9</v>
      </c>
      <c r="BJ4742">
        <v>11</v>
      </c>
      <c r="BK4742">
        <v>8</v>
      </c>
      <c r="BP4742" s="184"/>
    </row>
    <row r="4743" spans="1:68">
      <c r="A4743">
        <v>91734608</v>
      </c>
      <c r="B4743">
        <v>91734608</v>
      </c>
      <c r="C4743" t="s">
        <v>7018</v>
      </c>
      <c r="E4743" s="184"/>
      <c r="G4743" s="184"/>
      <c r="I4743" s="184"/>
      <c r="J4743" t="s">
        <v>595</v>
      </c>
      <c r="K4743" s="184">
        <v>44001</v>
      </c>
      <c r="O4743" s="184"/>
      <c r="P4743" t="s">
        <v>7045</v>
      </c>
      <c r="Q4743" t="s">
        <v>7030</v>
      </c>
      <c r="R4743" s="184">
        <v>9675</v>
      </c>
      <c r="S4743">
        <v>97</v>
      </c>
      <c r="U4743" t="s">
        <v>7076</v>
      </c>
      <c r="V4743" t="s">
        <v>34291</v>
      </c>
      <c r="X4743" t="s">
        <v>34292</v>
      </c>
      <c r="AF4743" t="s">
        <v>34293</v>
      </c>
      <c r="AG4743" t="s">
        <v>34291</v>
      </c>
      <c r="AI4743" t="s">
        <v>34294</v>
      </c>
      <c r="AM4743" t="s">
        <v>2564</v>
      </c>
      <c r="AN4743" t="s">
        <v>2089</v>
      </c>
      <c r="AO4743" t="s">
        <v>34295</v>
      </c>
      <c r="AP4743" t="s">
        <v>7024</v>
      </c>
      <c r="AT4743" s="184">
        <v>41884</v>
      </c>
      <c r="AU4743" t="s">
        <v>34296</v>
      </c>
      <c r="AV4743">
        <v>25</v>
      </c>
      <c r="AW4743" s="184">
        <v>44012</v>
      </c>
      <c r="AX4743" t="s">
        <v>8257</v>
      </c>
      <c r="AY4743">
        <v>2500</v>
      </c>
      <c r="AZ4743" s="184">
        <v>44012</v>
      </c>
      <c r="BA4743" t="s">
        <v>8257</v>
      </c>
      <c r="BB4743">
        <v>2500</v>
      </c>
      <c r="BC4743">
        <v>37</v>
      </c>
      <c r="BD4743">
        <v>2570</v>
      </c>
      <c r="BE4743">
        <v>2015</v>
      </c>
      <c r="BF4743">
        <v>4</v>
      </c>
      <c r="BI4743">
        <v>4</v>
      </c>
      <c r="BJ4743">
        <v>11</v>
      </c>
      <c r="BK4743">
        <v>3</v>
      </c>
      <c r="BP4743" s="184"/>
    </row>
    <row r="4744" spans="1:68">
      <c r="A4744">
        <v>91737239</v>
      </c>
      <c r="B4744">
        <v>91737239</v>
      </c>
      <c r="C4744" t="s">
        <v>7018</v>
      </c>
      <c r="D4744" t="s">
        <v>595</v>
      </c>
      <c r="E4744" s="184">
        <v>44438</v>
      </c>
      <c r="G4744" s="184"/>
      <c r="I4744" s="184"/>
      <c r="K4744" s="184"/>
      <c r="M4744" s="184"/>
      <c r="O4744" s="184"/>
      <c r="P4744" t="s">
        <v>7045</v>
      </c>
      <c r="Q4744" t="s">
        <v>7020</v>
      </c>
      <c r="R4744" s="184">
        <v>18963</v>
      </c>
      <c r="S4744">
        <v>72</v>
      </c>
      <c r="V4744" t="s">
        <v>3468</v>
      </c>
      <c r="X4744" t="s">
        <v>28719</v>
      </c>
      <c r="AF4744" t="s">
        <v>34297</v>
      </c>
      <c r="AG4744" t="s">
        <v>3468</v>
      </c>
      <c r="AI4744" t="s">
        <v>34298</v>
      </c>
      <c r="AM4744" t="s">
        <v>5428</v>
      </c>
      <c r="AN4744" t="s">
        <v>2129</v>
      </c>
      <c r="AO4744" t="s">
        <v>34299</v>
      </c>
      <c r="AP4744" t="s">
        <v>7024</v>
      </c>
      <c r="AQ4744" t="s">
        <v>34300</v>
      </c>
      <c r="AR4744" t="s">
        <v>34301</v>
      </c>
      <c r="AT4744" s="184">
        <v>41113</v>
      </c>
      <c r="AU4744" t="s">
        <v>32022</v>
      </c>
      <c r="AV4744">
        <v>25</v>
      </c>
      <c r="AW4744" s="184">
        <v>45291</v>
      </c>
      <c r="AX4744" t="s">
        <v>34302</v>
      </c>
      <c r="AY4744">
        <v>100</v>
      </c>
      <c r="AZ4744" s="184">
        <v>42339</v>
      </c>
      <c r="BA4744" t="s">
        <v>34303</v>
      </c>
      <c r="BB4744">
        <v>200</v>
      </c>
      <c r="BC4744">
        <v>54</v>
      </c>
      <c r="BD4744">
        <v>1075</v>
      </c>
      <c r="BE4744">
        <v>2013</v>
      </c>
      <c r="BF4744">
        <v>11</v>
      </c>
      <c r="BG4744">
        <v>3</v>
      </c>
      <c r="BH4744">
        <v>300</v>
      </c>
      <c r="BI4744">
        <v>7</v>
      </c>
      <c r="BJ4744">
        <v>13</v>
      </c>
      <c r="BK4744">
        <v>4</v>
      </c>
      <c r="BP4744" s="184"/>
    </row>
    <row r="4745" spans="1:68">
      <c r="A4745">
        <v>91738179</v>
      </c>
      <c r="B4745">
        <v>91738179</v>
      </c>
      <c r="C4745" t="s">
        <v>7018</v>
      </c>
      <c r="E4745" s="184"/>
      <c r="I4745" s="184"/>
      <c r="J4745" t="s">
        <v>595</v>
      </c>
      <c r="K4745" s="184">
        <v>41935</v>
      </c>
      <c r="M4745" s="184"/>
      <c r="P4745" t="s">
        <v>8550</v>
      </c>
      <c r="Q4745" t="s">
        <v>7020</v>
      </c>
      <c r="R4745" s="184"/>
      <c r="U4745" t="s">
        <v>7076</v>
      </c>
      <c r="V4745" t="s">
        <v>34304</v>
      </c>
      <c r="X4745" t="s">
        <v>34305</v>
      </c>
      <c r="AF4745" t="s">
        <v>6788</v>
      </c>
      <c r="AG4745" t="s">
        <v>34304</v>
      </c>
      <c r="AI4745" t="s">
        <v>34306</v>
      </c>
      <c r="AM4745" t="s">
        <v>3004</v>
      </c>
      <c r="AN4745" t="s">
        <v>2112</v>
      </c>
      <c r="AO4745">
        <v>10065</v>
      </c>
      <c r="AP4745" t="s">
        <v>7024</v>
      </c>
      <c r="AQ4745" t="s">
        <v>34307</v>
      </c>
      <c r="AT4745" s="184"/>
      <c r="AW4745" s="184"/>
      <c r="AZ4745" s="184"/>
      <c r="BL4745" t="s">
        <v>595</v>
      </c>
      <c r="BM4745" t="s">
        <v>595</v>
      </c>
      <c r="BP4745" s="184"/>
    </row>
    <row r="4746" spans="1:68">
      <c r="A4746">
        <v>91740274</v>
      </c>
      <c r="B4746">
        <v>91740274</v>
      </c>
      <c r="C4746" t="s">
        <v>7018</v>
      </c>
      <c r="D4746" t="s">
        <v>595</v>
      </c>
      <c r="E4746" s="184">
        <v>45195</v>
      </c>
      <c r="I4746" s="184"/>
      <c r="K4746" s="184"/>
      <c r="M4746" s="184"/>
      <c r="O4746" s="184"/>
      <c r="P4746" t="s">
        <v>7045</v>
      </c>
      <c r="Q4746" t="s">
        <v>7374</v>
      </c>
      <c r="R4746" s="184">
        <v>13156</v>
      </c>
      <c r="S4746">
        <v>88</v>
      </c>
      <c r="U4746" t="s">
        <v>7130</v>
      </c>
      <c r="V4746" t="s">
        <v>2985</v>
      </c>
      <c r="X4746" t="s">
        <v>4367</v>
      </c>
      <c r="AF4746" t="s">
        <v>34308</v>
      </c>
      <c r="AG4746" t="s">
        <v>2985</v>
      </c>
      <c r="AI4746" t="s">
        <v>34309</v>
      </c>
      <c r="AM4746" t="s">
        <v>4822</v>
      </c>
      <c r="AN4746" t="s">
        <v>2081</v>
      </c>
      <c r="AO4746" t="s">
        <v>34310</v>
      </c>
      <c r="AP4746" t="s">
        <v>7024</v>
      </c>
      <c r="AQ4746" t="s">
        <v>34311</v>
      </c>
      <c r="AT4746" s="184">
        <v>41885</v>
      </c>
      <c r="AU4746" t="s">
        <v>34312</v>
      </c>
      <c r="AV4746">
        <v>25</v>
      </c>
      <c r="AW4746" s="184">
        <v>45161</v>
      </c>
      <c r="AX4746" t="s">
        <v>9262</v>
      </c>
      <c r="AY4746">
        <v>25</v>
      </c>
      <c r="AZ4746" s="184">
        <v>45161</v>
      </c>
      <c r="BA4746" t="s">
        <v>9262</v>
      </c>
      <c r="BB4746">
        <v>25</v>
      </c>
      <c r="BC4746">
        <v>82</v>
      </c>
      <c r="BD4746">
        <v>225</v>
      </c>
      <c r="BE4746">
        <v>2015</v>
      </c>
      <c r="BF4746">
        <v>9</v>
      </c>
      <c r="BG4746">
        <v>2</v>
      </c>
      <c r="BH4746">
        <v>50</v>
      </c>
      <c r="BI4746">
        <v>9</v>
      </c>
      <c r="BJ4746">
        <v>11</v>
      </c>
      <c r="BK4746">
        <v>5</v>
      </c>
      <c r="BP4746" s="184"/>
    </row>
    <row r="4747" spans="1:68">
      <c r="A4747">
        <v>91766527</v>
      </c>
      <c r="B4747">
        <v>91766527</v>
      </c>
      <c r="C4747" t="s">
        <v>7018</v>
      </c>
      <c r="D4747" t="s">
        <v>595</v>
      </c>
      <c r="E4747" s="184">
        <v>44073</v>
      </c>
      <c r="G4747" s="184"/>
      <c r="H4747" t="s">
        <v>595</v>
      </c>
      <c r="I4747" s="184">
        <v>44073</v>
      </c>
      <c r="K4747" s="184"/>
      <c r="M4747" s="184"/>
      <c r="O4747" s="184"/>
      <c r="P4747" t="s">
        <v>7019</v>
      </c>
      <c r="Q4747" t="s">
        <v>7374</v>
      </c>
      <c r="R4747" s="184">
        <v>15827</v>
      </c>
      <c r="S4747">
        <v>81</v>
      </c>
      <c r="V4747" t="s">
        <v>4950</v>
      </c>
      <c r="X4747" t="s">
        <v>4951</v>
      </c>
      <c r="AF4747" t="s">
        <v>34313</v>
      </c>
      <c r="AG4747" t="s">
        <v>4950</v>
      </c>
      <c r="AI4747" t="s">
        <v>34314</v>
      </c>
      <c r="AM4747" t="s">
        <v>4387</v>
      </c>
      <c r="AN4747" t="s">
        <v>2526</v>
      </c>
      <c r="AO4747" t="s">
        <v>34315</v>
      </c>
      <c r="AP4747" t="s">
        <v>7024</v>
      </c>
      <c r="AQ4747" t="s">
        <v>34316</v>
      </c>
      <c r="AR4747" t="s">
        <v>34317</v>
      </c>
      <c r="AT4747" s="184">
        <v>41898</v>
      </c>
      <c r="AU4747" t="s">
        <v>33384</v>
      </c>
      <c r="AV4747">
        <v>25</v>
      </c>
      <c r="AW4747" s="184">
        <v>44468</v>
      </c>
      <c r="AX4747" t="s">
        <v>27639</v>
      </c>
      <c r="AY4747">
        <v>60</v>
      </c>
      <c r="AZ4747" s="184">
        <v>44468</v>
      </c>
      <c r="BA4747" t="s">
        <v>27639</v>
      </c>
      <c r="BB4747">
        <v>60</v>
      </c>
      <c r="BC4747">
        <v>73</v>
      </c>
      <c r="BD4747">
        <v>1170</v>
      </c>
      <c r="BE4747">
        <v>2015</v>
      </c>
      <c r="BF4747">
        <v>57</v>
      </c>
      <c r="BI4747">
        <v>8</v>
      </c>
      <c r="BJ4747">
        <v>11</v>
      </c>
      <c r="BK4747">
        <v>8</v>
      </c>
      <c r="BP4747" s="184"/>
    </row>
    <row r="4748" spans="1:68">
      <c r="A4748">
        <v>91939371</v>
      </c>
      <c r="B4748">
        <v>91939371</v>
      </c>
      <c r="C4748" t="s">
        <v>7018</v>
      </c>
      <c r="E4748" s="184"/>
      <c r="G4748" s="184"/>
      <c r="I4748" s="184"/>
      <c r="J4748" t="s">
        <v>595</v>
      </c>
      <c r="K4748" s="184">
        <v>44740</v>
      </c>
      <c r="M4748" s="184"/>
      <c r="P4748" t="s">
        <v>7045</v>
      </c>
      <c r="Q4748" t="s">
        <v>7454</v>
      </c>
      <c r="R4748" s="184">
        <v>16772</v>
      </c>
      <c r="S4748">
        <v>78</v>
      </c>
      <c r="V4748" t="s">
        <v>2871</v>
      </c>
      <c r="X4748" t="s">
        <v>34318</v>
      </c>
      <c r="AF4748" t="s">
        <v>34319</v>
      </c>
      <c r="AG4748" t="s">
        <v>2871</v>
      </c>
      <c r="AI4748" t="s">
        <v>34320</v>
      </c>
      <c r="AJ4748" t="s">
        <v>34321</v>
      </c>
      <c r="AM4748" t="s">
        <v>2608</v>
      </c>
      <c r="AN4748" t="s">
        <v>2299</v>
      </c>
      <c r="AO4748" t="s">
        <v>34322</v>
      </c>
      <c r="AP4748" t="s">
        <v>7024</v>
      </c>
      <c r="AQ4748" t="s">
        <v>34323</v>
      </c>
      <c r="AT4748" s="184">
        <v>44739</v>
      </c>
      <c r="AU4748" t="s">
        <v>34324</v>
      </c>
      <c r="AV4748">
        <v>35</v>
      </c>
      <c r="AW4748" s="184">
        <v>45083</v>
      </c>
      <c r="AX4748" t="s">
        <v>31713</v>
      </c>
      <c r="AY4748">
        <v>36.75</v>
      </c>
      <c r="AZ4748" s="184">
        <v>45083</v>
      </c>
      <c r="BA4748" t="s">
        <v>31713</v>
      </c>
      <c r="BB4748">
        <v>36.75</v>
      </c>
      <c r="BC4748">
        <v>67</v>
      </c>
      <c r="BD4748">
        <v>71.75</v>
      </c>
      <c r="BE4748">
        <v>2022</v>
      </c>
      <c r="BF4748">
        <v>2</v>
      </c>
      <c r="BG4748">
        <v>2</v>
      </c>
      <c r="BH4748">
        <v>71.75</v>
      </c>
      <c r="BI4748">
        <v>2</v>
      </c>
      <c r="BJ4748">
        <v>3</v>
      </c>
      <c r="BK4748">
        <v>2</v>
      </c>
      <c r="BP4748" s="184"/>
    </row>
    <row r="4749" spans="1:68">
      <c r="A4749">
        <v>91990531</v>
      </c>
      <c r="B4749">
        <v>91990531</v>
      </c>
      <c r="C4749" t="s">
        <v>7018</v>
      </c>
      <c r="D4749" t="s">
        <v>595</v>
      </c>
      <c r="E4749" s="184">
        <v>44455</v>
      </c>
      <c r="G4749" s="184"/>
      <c r="I4749" s="184"/>
      <c r="K4749" s="184"/>
      <c r="M4749" s="184"/>
      <c r="P4749" t="s">
        <v>7045</v>
      </c>
      <c r="Q4749" t="s">
        <v>7454</v>
      </c>
      <c r="R4749" s="184">
        <v>21568</v>
      </c>
      <c r="S4749">
        <v>65</v>
      </c>
      <c r="V4749" t="s">
        <v>3122</v>
      </c>
      <c r="X4749" t="s">
        <v>34325</v>
      </c>
      <c r="AF4749" t="s">
        <v>34326</v>
      </c>
      <c r="AG4749" t="s">
        <v>3122</v>
      </c>
      <c r="AI4749" t="s">
        <v>34327</v>
      </c>
      <c r="AM4749" t="s">
        <v>10089</v>
      </c>
      <c r="AN4749" t="s">
        <v>2299</v>
      </c>
      <c r="AO4749" t="s">
        <v>34328</v>
      </c>
      <c r="AP4749" t="s">
        <v>7024</v>
      </c>
      <c r="AQ4749" t="s">
        <v>34329</v>
      </c>
      <c r="AT4749" s="184">
        <v>41918</v>
      </c>
      <c r="AU4749" t="s">
        <v>34330</v>
      </c>
      <c r="AV4749">
        <v>75</v>
      </c>
      <c r="AW4749" s="184">
        <v>45279</v>
      </c>
      <c r="AX4749" t="s">
        <v>28335</v>
      </c>
      <c r="AY4749">
        <v>50</v>
      </c>
      <c r="AZ4749" s="184">
        <v>44729</v>
      </c>
      <c r="BA4749" t="s">
        <v>34331</v>
      </c>
      <c r="BB4749">
        <v>75</v>
      </c>
      <c r="BC4749">
        <v>91</v>
      </c>
      <c r="BD4749">
        <v>980</v>
      </c>
      <c r="BE4749">
        <v>2015</v>
      </c>
      <c r="BF4749">
        <v>17</v>
      </c>
      <c r="BG4749">
        <v>2</v>
      </c>
      <c r="BH4749">
        <v>125</v>
      </c>
      <c r="BI4749">
        <v>10</v>
      </c>
      <c r="BJ4749">
        <v>11</v>
      </c>
      <c r="BK4749">
        <v>10</v>
      </c>
      <c r="BP4749" s="184"/>
    </row>
    <row r="4750" spans="1:68">
      <c r="A4750">
        <v>91994129</v>
      </c>
      <c r="B4750">
        <v>91994129</v>
      </c>
      <c r="C4750" t="s">
        <v>7018</v>
      </c>
      <c r="D4750" t="s">
        <v>595</v>
      </c>
      <c r="E4750" s="184">
        <v>45112</v>
      </c>
      <c r="G4750" s="184"/>
      <c r="I4750" s="184"/>
      <c r="K4750" s="184"/>
      <c r="P4750" t="s">
        <v>7045</v>
      </c>
      <c r="Q4750" t="s">
        <v>7383</v>
      </c>
      <c r="R4750" s="184">
        <v>18285</v>
      </c>
      <c r="S4750">
        <v>74</v>
      </c>
      <c r="U4750" t="s">
        <v>7031</v>
      </c>
      <c r="V4750" t="s">
        <v>2851</v>
      </c>
      <c r="X4750" t="s">
        <v>34332</v>
      </c>
      <c r="AF4750" t="s">
        <v>34333</v>
      </c>
      <c r="AG4750" t="s">
        <v>2851</v>
      </c>
      <c r="AI4750" t="s">
        <v>34334</v>
      </c>
      <c r="AM4750" t="s">
        <v>13382</v>
      </c>
      <c r="AN4750" t="s">
        <v>2313</v>
      </c>
      <c r="AO4750" t="s">
        <v>34335</v>
      </c>
      <c r="AP4750" t="s">
        <v>7024</v>
      </c>
      <c r="AQ4750" t="s">
        <v>34336</v>
      </c>
      <c r="AT4750" s="184">
        <v>41919</v>
      </c>
      <c r="AU4750" t="s">
        <v>34337</v>
      </c>
      <c r="AV4750">
        <v>25</v>
      </c>
      <c r="AW4750" s="184">
        <v>45068</v>
      </c>
      <c r="AX4750" t="s">
        <v>34338</v>
      </c>
      <c r="AY4750">
        <v>25</v>
      </c>
      <c r="AZ4750" s="184">
        <v>45068</v>
      </c>
      <c r="BA4750" t="s">
        <v>34338</v>
      </c>
      <c r="BB4750">
        <v>25</v>
      </c>
      <c r="BC4750">
        <v>28</v>
      </c>
      <c r="BD4750">
        <v>75</v>
      </c>
      <c r="BE4750">
        <v>2015</v>
      </c>
      <c r="BF4750">
        <v>3</v>
      </c>
      <c r="BG4750">
        <v>1</v>
      </c>
      <c r="BH4750">
        <v>25</v>
      </c>
      <c r="BI4750">
        <v>3</v>
      </c>
      <c r="BJ4750">
        <v>11</v>
      </c>
      <c r="BK4750">
        <v>1</v>
      </c>
      <c r="BP4750" s="184"/>
    </row>
    <row r="4751" spans="1:68">
      <c r="A4751">
        <v>91995159</v>
      </c>
      <c r="B4751">
        <v>91995159</v>
      </c>
      <c r="C4751" t="s">
        <v>7018</v>
      </c>
      <c r="D4751" t="s">
        <v>595</v>
      </c>
      <c r="E4751" s="184">
        <v>44104</v>
      </c>
      <c r="I4751" s="184"/>
      <c r="K4751" s="184"/>
      <c r="M4751" s="184"/>
      <c r="P4751" t="s">
        <v>7045</v>
      </c>
      <c r="Q4751" t="s">
        <v>7383</v>
      </c>
      <c r="R4751" s="184">
        <v>15674</v>
      </c>
      <c r="S4751">
        <v>81</v>
      </c>
      <c r="U4751" t="s">
        <v>7031</v>
      </c>
      <c r="V4751" t="s">
        <v>2687</v>
      </c>
      <c r="X4751" t="s">
        <v>34339</v>
      </c>
      <c r="AF4751" t="s">
        <v>34340</v>
      </c>
      <c r="AG4751" t="s">
        <v>2687</v>
      </c>
      <c r="AI4751" t="s">
        <v>34341</v>
      </c>
      <c r="AM4751" t="s">
        <v>4031</v>
      </c>
      <c r="AN4751" t="s">
        <v>2059</v>
      </c>
      <c r="AO4751" t="s">
        <v>34342</v>
      </c>
      <c r="AP4751" t="s">
        <v>7024</v>
      </c>
      <c r="AQ4751" t="s">
        <v>34343</v>
      </c>
      <c r="AT4751" s="184">
        <v>41919</v>
      </c>
      <c r="AU4751" t="s">
        <v>34344</v>
      </c>
      <c r="AV4751">
        <v>25</v>
      </c>
      <c r="AW4751" s="184">
        <v>43971</v>
      </c>
      <c r="AX4751" t="s">
        <v>34345</v>
      </c>
      <c r="AY4751">
        <v>30</v>
      </c>
      <c r="AZ4751" s="184">
        <v>42159</v>
      </c>
      <c r="BA4751" t="s">
        <v>34346</v>
      </c>
      <c r="BB4751">
        <v>35</v>
      </c>
      <c r="BC4751">
        <v>64</v>
      </c>
      <c r="BD4751">
        <v>1440</v>
      </c>
      <c r="BE4751">
        <v>2015</v>
      </c>
      <c r="BF4751">
        <v>48</v>
      </c>
      <c r="BI4751">
        <v>7</v>
      </c>
      <c r="BJ4751">
        <v>11</v>
      </c>
      <c r="BK4751">
        <v>7</v>
      </c>
      <c r="BL4751" t="s">
        <v>595</v>
      </c>
      <c r="BN4751" t="s">
        <v>595</v>
      </c>
      <c r="BP4751" s="184"/>
    </row>
    <row r="4752" spans="1:68">
      <c r="A4752">
        <v>91999656</v>
      </c>
      <c r="B4752">
        <v>91999656</v>
      </c>
      <c r="C4752" t="s">
        <v>7018</v>
      </c>
      <c r="D4752" t="s">
        <v>595</v>
      </c>
      <c r="E4752" s="184">
        <v>43864</v>
      </c>
      <c r="G4752" s="184"/>
      <c r="I4752" s="184"/>
      <c r="K4752" s="184"/>
      <c r="M4752" s="184"/>
      <c r="P4752" t="s">
        <v>7045</v>
      </c>
      <c r="Q4752" t="s">
        <v>7383</v>
      </c>
      <c r="R4752" s="184">
        <v>18074</v>
      </c>
      <c r="S4752">
        <v>74</v>
      </c>
      <c r="U4752" t="s">
        <v>7076</v>
      </c>
      <c r="V4752" t="s">
        <v>2969</v>
      </c>
      <c r="X4752" t="s">
        <v>3175</v>
      </c>
      <c r="AF4752" t="s">
        <v>34347</v>
      </c>
      <c r="AG4752" t="s">
        <v>2969</v>
      </c>
      <c r="AI4752" t="s">
        <v>34348</v>
      </c>
      <c r="AM4752" t="s">
        <v>4732</v>
      </c>
      <c r="AN4752" t="s">
        <v>2313</v>
      </c>
      <c r="AO4752" t="s">
        <v>34349</v>
      </c>
      <c r="AP4752" t="s">
        <v>7024</v>
      </c>
      <c r="AQ4752" t="s">
        <v>34350</v>
      </c>
      <c r="AT4752" s="184">
        <v>42062</v>
      </c>
      <c r="AU4752" t="s">
        <v>34351</v>
      </c>
      <c r="AV4752">
        <v>10</v>
      </c>
      <c r="AW4752" s="184">
        <v>43675</v>
      </c>
      <c r="AX4752" t="s">
        <v>34352</v>
      </c>
      <c r="AY4752">
        <v>10</v>
      </c>
      <c r="AZ4752" s="184">
        <v>43245</v>
      </c>
      <c r="BA4752" t="s">
        <v>34353</v>
      </c>
      <c r="BB4752">
        <v>50</v>
      </c>
      <c r="BC4752">
        <v>50</v>
      </c>
      <c r="BD4752">
        <v>540</v>
      </c>
      <c r="BE4752">
        <v>2015</v>
      </c>
      <c r="BF4752">
        <v>50</v>
      </c>
      <c r="BI4752">
        <v>5</v>
      </c>
      <c r="BJ4752">
        <v>10</v>
      </c>
      <c r="BK4752">
        <v>5</v>
      </c>
      <c r="BP4752" s="184"/>
    </row>
    <row r="4753" spans="1:68">
      <c r="A4753">
        <v>92024579</v>
      </c>
      <c r="B4753">
        <v>92024579</v>
      </c>
      <c r="C4753" t="s">
        <v>7018</v>
      </c>
      <c r="D4753" t="s">
        <v>595</v>
      </c>
      <c r="E4753" s="184">
        <v>45140</v>
      </c>
      <c r="I4753" s="184"/>
      <c r="K4753" s="184"/>
      <c r="M4753" s="184"/>
      <c r="P4753" t="s">
        <v>7045</v>
      </c>
      <c r="Q4753" t="s">
        <v>7020</v>
      </c>
      <c r="R4753" s="184">
        <v>25830</v>
      </c>
      <c r="S4753">
        <v>53</v>
      </c>
      <c r="V4753" t="s">
        <v>3311</v>
      </c>
      <c r="X4753" t="s">
        <v>34354</v>
      </c>
      <c r="AF4753" t="s">
        <v>34355</v>
      </c>
      <c r="AG4753" t="s">
        <v>3311</v>
      </c>
      <c r="AI4753" t="s">
        <v>34356</v>
      </c>
      <c r="AM4753" t="s">
        <v>34357</v>
      </c>
      <c r="AN4753" t="s">
        <v>2129</v>
      </c>
      <c r="AO4753" t="s">
        <v>34358</v>
      </c>
      <c r="AP4753" t="s">
        <v>7024</v>
      </c>
      <c r="AQ4753" t="s">
        <v>34359</v>
      </c>
      <c r="AT4753" s="184">
        <v>41932</v>
      </c>
      <c r="AU4753" t="s">
        <v>34360</v>
      </c>
      <c r="AV4753">
        <v>19.97</v>
      </c>
      <c r="AW4753" s="184">
        <v>45348</v>
      </c>
      <c r="AX4753" t="s">
        <v>34361</v>
      </c>
      <c r="AY4753">
        <v>60</v>
      </c>
      <c r="AZ4753" s="184">
        <v>45348</v>
      </c>
      <c r="BA4753" t="s">
        <v>34361</v>
      </c>
      <c r="BB4753">
        <v>60</v>
      </c>
      <c r="BC4753">
        <v>55</v>
      </c>
      <c r="BD4753">
        <v>259.97000000000003</v>
      </c>
      <c r="BE4753">
        <v>2015</v>
      </c>
      <c r="BF4753">
        <v>6</v>
      </c>
      <c r="BG4753">
        <v>1</v>
      </c>
      <c r="BH4753">
        <v>60</v>
      </c>
      <c r="BI4753">
        <v>6</v>
      </c>
      <c r="BJ4753">
        <v>11</v>
      </c>
      <c r="BK4753">
        <v>2</v>
      </c>
      <c r="BP4753" s="184"/>
    </row>
    <row r="4754" spans="1:68">
      <c r="A4754">
        <v>92029800</v>
      </c>
      <c r="B4754">
        <v>92029800</v>
      </c>
      <c r="C4754" t="s">
        <v>7018</v>
      </c>
      <c r="D4754" t="s">
        <v>595</v>
      </c>
      <c r="E4754" s="184">
        <v>44328</v>
      </c>
      <c r="G4754" s="184"/>
      <c r="I4754" s="184"/>
      <c r="K4754" s="184"/>
      <c r="P4754" t="s">
        <v>7045</v>
      </c>
      <c r="Q4754" t="s">
        <v>7194</v>
      </c>
      <c r="R4754" s="184">
        <v>18113</v>
      </c>
      <c r="S4754">
        <v>74</v>
      </c>
      <c r="U4754" t="s">
        <v>7076</v>
      </c>
      <c r="V4754" t="s">
        <v>34362</v>
      </c>
      <c r="W4754" t="s">
        <v>7560</v>
      </c>
      <c r="X4754" t="s">
        <v>27786</v>
      </c>
      <c r="AF4754" t="s">
        <v>34363</v>
      </c>
      <c r="AG4754" t="s">
        <v>34362</v>
      </c>
      <c r="AI4754" t="s">
        <v>34364</v>
      </c>
      <c r="AM4754" t="s">
        <v>2513</v>
      </c>
      <c r="AN4754" t="s">
        <v>2046</v>
      </c>
      <c r="AO4754" t="s">
        <v>34365</v>
      </c>
      <c r="AP4754" t="s">
        <v>7024</v>
      </c>
      <c r="AQ4754" t="s">
        <v>34366</v>
      </c>
      <c r="AT4754" s="184">
        <v>41929</v>
      </c>
      <c r="AU4754" t="s">
        <v>34367</v>
      </c>
      <c r="AV4754">
        <v>20</v>
      </c>
      <c r="AW4754" s="184">
        <v>44592</v>
      </c>
      <c r="AX4754" t="s">
        <v>16256</v>
      </c>
      <c r="AY4754">
        <v>25</v>
      </c>
      <c r="AZ4754" s="184">
        <v>44592</v>
      </c>
      <c r="BA4754" t="s">
        <v>16256</v>
      </c>
      <c r="BB4754">
        <v>25</v>
      </c>
      <c r="BC4754">
        <v>73</v>
      </c>
      <c r="BD4754">
        <v>215</v>
      </c>
      <c r="BE4754">
        <v>2015</v>
      </c>
      <c r="BF4754">
        <v>9</v>
      </c>
      <c r="BI4754">
        <v>8</v>
      </c>
      <c r="BJ4754">
        <v>11</v>
      </c>
      <c r="BK4754">
        <v>5</v>
      </c>
      <c r="BP4754" s="184"/>
    </row>
    <row r="4755" spans="1:68">
      <c r="A4755">
        <v>92034727</v>
      </c>
      <c r="B4755">
        <v>92034727</v>
      </c>
      <c r="C4755" t="s">
        <v>7018</v>
      </c>
      <c r="D4755" t="s">
        <v>595</v>
      </c>
      <c r="E4755" s="184">
        <v>44167</v>
      </c>
      <c r="G4755" s="184"/>
      <c r="H4755" t="s">
        <v>595</v>
      </c>
      <c r="I4755" s="184">
        <v>44167</v>
      </c>
      <c r="K4755" s="184"/>
      <c r="M4755" s="184"/>
      <c r="O4755" s="184"/>
      <c r="P4755" t="s">
        <v>7045</v>
      </c>
      <c r="Q4755" t="s">
        <v>7160</v>
      </c>
      <c r="R4755" s="184">
        <v>21155</v>
      </c>
      <c r="S4755">
        <v>66</v>
      </c>
      <c r="U4755" t="s">
        <v>7032</v>
      </c>
      <c r="V4755" t="s">
        <v>2586</v>
      </c>
      <c r="X4755" t="s">
        <v>34368</v>
      </c>
      <c r="AF4755" t="s">
        <v>34369</v>
      </c>
      <c r="AG4755" t="s">
        <v>2586</v>
      </c>
      <c r="AI4755" t="s">
        <v>34370</v>
      </c>
      <c r="AM4755" t="s">
        <v>4984</v>
      </c>
      <c r="AN4755" t="s">
        <v>2675</v>
      </c>
      <c r="AO4755" t="s">
        <v>34371</v>
      </c>
      <c r="AP4755" t="s">
        <v>7024</v>
      </c>
      <c r="AQ4755" t="s">
        <v>34372</v>
      </c>
      <c r="AT4755" s="184">
        <v>41932</v>
      </c>
      <c r="AU4755" t="s">
        <v>34373</v>
      </c>
      <c r="AV4755">
        <v>25</v>
      </c>
      <c r="AW4755" s="184">
        <v>45420</v>
      </c>
      <c r="AX4755" t="s">
        <v>7422</v>
      </c>
      <c r="AY4755">
        <v>10</v>
      </c>
      <c r="AZ4755" s="184">
        <v>42284</v>
      </c>
      <c r="BA4755" t="s">
        <v>34374</v>
      </c>
      <c r="BB4755">
        <v>60</v>
      </c>
      <c r="BC4755">
        <v>100</v>
      </c>
      <c r="BD4755">
        <v>1075</v>
      </c>
      <c r="BE4755">
        <v>2015</v>
      </c>
      <c r="BF4755">
        <v>97</v>
      </c>
      <c r="BG4755">
        <v>22</v>
      </c>
      <c r="BH4755">
        <v>220</v>
      </c>
      <c r="BI4755">
        <v>11</v>
      </c>
      <c r="BJ4755">
        <v>11</v>
      </c>
      <c r="BK4755">
        <v>11</v>
      </c>
      <c r="BP4755" s="184"/>
    </row>
    <row r="4756" spans="1:68">
      <c r="A4756">
        <v>92036979</v>
      </c>
      <c r="B4756">
        <v>92036979</v>
      </c>
      <c r="C4756" t="s">
        <v>7018</v>
      </c>
      <c r="D4756" t="s">
        <v>595</v>
      </c>
      <c r="E4756" s="184">
        <v>44070</v>
      </c>
      <c r="G4756" s="184"/>
      <c r="I4756" s="184"/>
      <c r="K4756" s="184"/>
      <c r="O4756" s="184"/>
      <c r="P4756" t="s">
        <v>7045</v>
      </c>
      <c r="Q4756" t="s">
        <v>7020</v>
      </c>
      <c r="R4756" s="184">
        <v>18233</v>
      </c>
      <c r="S4756">
        <v>74</v>
      </c>
      <c r="U4756" t="s">
        <v>7076</v>
      </c>
      <c r="V4756" t="s">
        <v>3095</v>
      </c>
      <c r="X4756" t="s">
        <v>34375</v>
      </c>
      <c r="Z4756">
        <v>100158992</v>
      </c>
      <c r="AB4756" t="s">
        <v>3103</v>
      </c>
      <c r="AD4756" t="s">
        <v>34375</v>
      </c>
      <c r="AF4756" t="s">
        <v>34376</v>
      </c>
      <c r="AG4756" t="s">
        <v>34377</v>
      </c>
      <c r="AI4756" t="s">
        <v>34378</v>
      </c>
      <c r="AM4756" t="s">
        <v>34379</v>
      </c>
      <c r="AN4756" t="s">
        <v>2129</v>
      </c>
      <c r="AO4756" t="s">
        <v>34380</v>
      </c>
      <c r="AP4756" t="s">
        <v>7024</v>
      </c>
      <c r="AQ4756" t="s">
        <v>34381</v>
      </c>
      <c r="AR4756" t="s">
        <v>34382</v>
      </c>
      <c r="AT4756" s="184">
        <v>41932</v>
      </c>
      <c r="AU4756" t="s">
        <v>34383</v>
      </c>
      <c r="AV4756">
        <v>25</v>
      </c>
      <c r="AW4756" s="184">
        <v>44987</v>
      </c>
      <c r="AX4756" t="s">
        <v>34384</v>
      </c>
      <c r="AY4756">
        <v>50</v>
      </c>
      <c r="AZ4756" s="184">
        <v>44424</v>
      </c>
      <c r="BA4756" t="s">
        <v>34385</v>
      </c>
      <c r="BB4756">
        <v>55</v>
      </c>
      <c r="BC4756">
        <v>82</v>
      </c>
      <c r="BD4756">
        <v>330</v>
      </c>
      <c r="BE4756">
        <v>2015</v>
      </c>
      <c r="BF4756">
        <v>9</v>
      </c>
      <c r="BG4756">
        <v>1</v>
      </c>
      <c r="BH4756">
        <v>50</v>
      </c>
      <c r="BI4756">
        <v>9</v>
      </c>
      <c r="BJ4756">
        <v>11</v>
      </c>
      <c r="BK4756">
        <v>8</v>
      </c>
      <c r="BN4756" t="s">
        <v>595</v>
      </c>
      <c r="BP4756" s="184"/>
    </row>
    <row r="4757" spans="1:68">
      <c r="A4757">
        <v>100158992</v>
      </c>
      <c r="B4757">
        <v>92036979</v>
      </c>
      <c r="C4757" t="s">
        <v>7018</v>
      </c>
      <c r="D4757" t="s">
        <v>595</v>
      </c>
      <c r="E4757" s="184">
        <v>44070</v>
      </c>
      <c r="G4757" s="184"/>
      <c r="I4757" s="184"/>
      <c r="K4757" s="184"/>
      <c r="P4757" t="s">
        <v>7045</v>
      </c>
      <c r="Q4757" t="s">
        <v>7020</v>
      </c>
      <c r="R4757" s="184">
        <v>18233</v>
      </c>
      <c r="S4757">
        <v>74</v>
      </c>
      <c r="V4757" t="s">
        <v>3103</v>
      </c>
      <c r="X4757" t="s">
        <v>34375</v>
      </c>
      <c r="Z4757">
        <v>92036979</v>
      </c>
      <c r="AA4757" t="s">
        <v>7076</v>
      </c>
      <c r="AB4757" t="s">
        <v>3095</v>
      </c>
      <c r="AD4757" t="s">
        <v>34375</v>
      </c>
      <c r="AF4757" t="s">
        <v>34376</v>
      </c>
      <c r="AG4757" t="s">
        <v>34377</v>
      </c>
      <c r="AI4757" t="s">
        <v>34378</v>
      </c>
      <c r="AM4757" t="s">
        <v>34379</v>
      </c>
      <c r="AN4757" t="s">
        <v>2129</v>
      </c>
      <c r="AO4757" t="s">
        <v>34380</v>
      </c>
      <c r="AP4757" t="s">
        <v>7024</v>
      </c>
      <c r="AT4757" s="184"/>
      <c r="AW4757" s="184"/>
      <c r="AZ4757" s="184"/>
      <c r="BP4757" s="184"/>
    </row>
    <row r="4758" spans="1:68">
      <c r="A4758">
        <v>92038124</v>
      </c>
      <c r="B4758">
        <v>92038124</v>
      </c>
      <c r="C4758" t="s">
        <v>7018</v>
      </c>
      <c r="D4758" t="s">
        <v>595</v>
      </c>
      <c r="E4758" s="184">
        <v>45195</v>
      </c>
      <c r="I4758" s="184"/>
      <c r="K4758" s="184"/>
      <c r="O4758" s="184"/>
      <c r="P4758" t="s">
        <v>7045</v>
      </c>
      <c r="Q4758" t="s">
        <v>7383</v>
      </c>
      <c r="R4758" s="184">
        <v>22851</v>
      </c>
      <c r="S4758">
        <v>61</v>
      </c>
      <c r="U4758" t="s">
        <v>7031</v>
      </c>
      <c r="V4758" t="s">
        <v>2871</v>
      </c>
      <c r="X4758" t="s">
        <v>3349</v>
      </c>
      <c r="AF4758" t="s">
        <v>34386</v>
      </c>
      <c r="AG4758" t="s">
        <v>2871</v>
      </c>
      <c r="AI4758" t="s">
        <v>34387</v>
      </c>
      <c r="AM4758" t="s">
        <v>34388</v>
      </c>
      <c r="AN4758" t="s">
        <v>2144</v>
      </c>
      <c r="AO4758" t="s">
        <v>34389</v>
      </c>
      <c r="AP4758" t="s">
        <v>7024</v>
      </c>
      <c r="AT4758" s="184">
        <v>41933</v>
      </c>
      <c r="AU4758" t="s">
        <v>34390</v>
      </c>
      <c r="AV4758">
        <v>25</v>
      </c>
      <c r="AW4758" s="184">
        <v>45125</v>
      </c>
      <c r="AX4758" t="s">
        <v>34391</v>
      </c>
      <c r="AY4758">
        <v>20</v>
      </c>
      <c r="AZ4758" s="184">
        <v>44385</v>
      </c>
      <c r="BA4758" t="s">
        <v>34392</v>
      </c>
      <c r="BB4758">
        <v>25</v>
      </c>
      <c r="BC4758">
        <v>64</v>
      </c>
      <c r="BD4758">
        <v>175</v>
      </c>
      <c r="BE4758">
        <v>2015</v>
      </c>
      <c r="BF4758">
        <v>8</v>
      </c>
      <c r="BG4758">
        <v>3</v>
      </c>
      <c r="BH4758">
        <v>60</v>
      </c>
      <c r="BI4758">
        <v>7</v>
      </c>
      <c r="BJ4758">
        <v>11</v>
      </c>
      <c r="BK4758">
        <v>4</v>
      </c>
      <c r="BP4758" s="184"/>
    </row>
    <row r="4759" spans="1:68">
      <c r="A4759">
        <v>92038512</v>
      </c>
      <c r="B4759">
        <v>92038512</v>
      </c>
      <c r="C4759" t="s">
        <v>7018</v>
      </c>
      <c r="D4759" t="s">
        <v>595</v>
      </c>
      <c r="E4759" s="184">
        <v>45141</v>
      </c>
      <c r="I4759" s="184"/>
      <c r="K4759" s="184"/>
      <c r="M4759" s="184"/>
      <c r="O4759" s="184"/>
      <c r="P4759" t="s">
        <v>7045</v>
      </c>
      <c r="Q4759" t="s">
        <v>7383</v>
      </c>
      <c r="R4759" s="184">
        <v>15320</v>
      </c>
      <c r="S4759">
        <v>82</v>
      </c>
      <c r="V4759" t="s">
        <v>2602</v>
      </c>
      <c r="W4759" t="s">
        <v>7407</v>
      </c>
      <c r="X4759" t="s">
        <v>24522</v>
      </c>
      <c r="AF4759" t="s">
        <v>34393</v>
      </c>
      <c r="AG4759" t="s">
        <v>2602</v>
      </c>
      <c r="AI4759" t="s">
        <v>34394</v>
      </c>
      <c r="AM4759" t="s">
        <v>23309</v>
      </c>
      <c r="AN4759" t="s">
        <v>2274</v>
      </c>
      <c r="AO4759" t="s">
        <v>34395</v>
      </c>
      <c r="AP4759" t="s">
        <v>7024</v>
      </c>
      <c r="AT4759" s="184">
        <v>41933</v>
      </c>
      <c r="AU4759" t="s">
        <v>34396</v>
      </c>
      <c r="AV4759">
        <v>15</v>
      </c>
      <c r="AW4759" s="184">
        <v>45155</v>
      </c>
      <c r="AX4759" t="s">
        <v>34397</v>
      </c>
      <c r="AY4759">
        <v>20</v>
      </c>
      <c r="AZ4759" s="184">
        <v>44418</v>
      </c>
      <c r="BA4759" t="s">
        <v>34398</v>
      </c>
      <c r="BB4759">
        <v>25</v>
      </c>
      <c r="BC4759">
        <v>55</v>
      </c>
      <c r="BD4759">
        <v>145</v>
      </c>
      <c r="BE4759">
        <v>2015</v>
      </c>
      <c r="BF4759">
        <v>8</v>
      </c>
      <c r="BG4759">
        <v>1</v>
      </c>
      <c r="BH4759">
        <v>20</v>
      </c>
      <c r="BI4759">
        <v>6</v>
      </c>
      <c r="BJ4759">
        <v>11</v>
      </c>
      <c r="BK4759">
        <v>4</v>
      </c>
      <c r="BP4759" s="184"/>
    </row>
    <row r="4760" spans="1:68">
      <c r="A4760">
        <v>92039932</v>
      </c>
      <c r="B4760">
        <v>92039932</v>
      </c>
      <c r="C4760" t="s">
        <v>7018</v>
      </c>
      <c r="D4760" t="s">
        <v>595</v>
      </c>
      <c r="E4760" s="184">
        <v>45112</v>
      </c>
      <c r="G4760" s="184"/>
      <c r="I4760" s="184"/>
      <c r="K4760" s="184"/>
      <c r="M4760" s="184"/>
      <c r="O4760" s="184"/>
      <c r="P4760" t="s">
        <v>7045</v>
      </c>
      <c r="Q4760" t="s">
        <v>7383</v>
      </c>
      <c r="R4760" s="184">
        <v>18919</v>
      </c>
      <c r="S4760">
        <v>72</v>
      </c>
      <c r="V4760" t="s">
        <v>2665</v>
      </c>
      <c r="W4760" t="s">
        <v>2058</v>
      </c>
      <c r="X4760" t="s">
        <v>17431</v>
      </c>
      <c r="AF4760" t="s">
        <v>34399</v>
      </c>
      <c r="AG4760" t="s">
        <v>2665</v>
      </c>
      <c r="AI4760" t="s">
        <v>34400</v>
      </c>
      <c r="AM4760" t="s">
        <v>34401</v>
      </c>
      <c r="AN4760" t="s">
        <v>2274</v>
      </c>
      <c r="AO4760" t="s">
        <v>34402</v>
      </c>
      <c r="AP4760" t="s">
        <v>7024</v>
      </c>
      <c r="AQ4760" t="s">
        <v>34403</v>
      </c>
      <c r="AR4760" t="s">
        <v>34404</v>
      </c>
      <c r="AT4760" s="184">
        <v>41933</v>
      </c>
      <c r="AU4760" t="s">
        <v>34405</v>
      </c>
      <c r="AV4760">
        <v>25</v>
      </c>
      <c r="AW4760" s="184">
        <v>45156</v>
      </c>
      <c r="AX4760" t="s">
        <v>9097</v>
      </c>
      <c r="AY4760">
        <v>75</v>
      </c>
      <c r="AZ4760" s="184">
        <v>45156</v>
      </c>
      <c r="BA4760" t="s">
        <v>9097</v>
      </c>
      <c r="BB4760">
        <v>75</v>
      </c>
      <c r="BC4760">
        <v>64</v>
      </c>
      <c r="BD4760">
        <v>335</v>
      </c>
      <c r="BE4760">
        <v>2015</v>
      </c>
      <c r="BF4760">
        <v>7</v>
      </c>
      <c r="BG4760">
        <v>2</v>
      </c>
      <c r="BH4760">
        <v>150</v>
      </c>
      <c r="BI4760">
        <v>7</v>
      </c>
      <c r="BJ4760">
        <v>11</v>
      </c>
      <c r="BK4760">
        <v>6</v>
      </c>
      <c r="BN4760" t="s">
        <v>595</v>
      </c>
      <c r="BP4760" s="184"/>
    </row>
    <row r="4761" spans="1:68">
      <c r="A4761">
        <v>92045129</v>
      </c>
      <c r="B4761">
        <v>92045129</v>
      </c>
      <c r="C4761" t="s">
        <v>7018</v>
      </c>
      <c r="D4761" t="s">
        <v>595</v>
      </c>
      <c r="E4761" s="184">
        <v>44484</v>
      </c>
      <c r="G4761" s="184"/>
      <c r="I4761" s="184"/>
      <c r="K4761" s="184"/>
      <c r="O4761" s="184"/>
      <c r="P4761" t="s">
        <v>7045</v>
      </c>
      <c r="Q4761" t="s">
        <v>7454</v>
      </c>
      <c r="R4761" s="184">
        <v>19085</v>
      </c>
      <c r="S4761">
        <v>72</v>
      </c>
      <c r="V4761" t="s">
        <v>3111</v>
      </c>
      <c r="X4761" t="s">
        <v>4921</v>
      </c>
      <c r="Z4761">
        <v>100650571</v>
      </c>
      <c r="AB4761" t="s">
        <v>4210</v>
      </c>
      <c r="AD4761" t="s">
        <v>4921</v>
      </c>
      <c r="AF4761" t="s">
        <v>34406</v>
      </c>
      <c r="AG4761" t="s">
        <v>34407</v>
      </c>
      <c r="AI4761" t="s">
        <v>34408</v>
      </c>
      <c r="AM4761" t="s">
        <v>4101</v>
      </c>
      <c r="AN4761" t="s">
        <v>2299</v>
      </c>
      <c r="AO4761" t="s">
        <v>34409</v>
      </c>
      <c r="AP4761" t="s">
        <v>7024</v>
      </c>
      <c r="AQ4761" t="s">
        <v>34410</v>
      </c>
      <c r="AR4761" t="s">
        <v>34411</v>
      </c>
      <c r="AT4761" s="184">
        <v>41934</v>
      </c>
      <c r="AU4761" t="s">
        <v>34405</v>
      </c>
      <c r="AV4761">
        <v>25</v>
      </c>
      <c r="AW4761" s="184">
        <v>45320</v>
      </c>
      <c r="AX4761" t="s">
        <v>12688</v>
      </c>
      <c r="AY4761">
        <v>200</v>
      </c>
      <c r="AZ4761" s="184">
        <v>44847</v>
      </c>
      <c r="BA4761" t="s">
        <v>34412</v>
      </c>
      <c r="BB4761">
        <v>375</v>
      </c>
      <c r="BC4761">
        <v>100</v>
      </c>
      <c r="BD4761">
        <v>3290</v>
      </c>
      <c r="BE4761">
        <v>2015</v>
      </c>
      <c r="BF4761">
        <v>15</v>
      </c>
      <c r="BG4761">
        <v>4</v>
      </c>
      <c r="BH4761">
        <v>1025</v>
      </c>
      <c r="BI4761">
        <v>11</v>
      </c>
      <c r="BJ4761">
        <v>11</v>
      </c>
      <c r="BK4761">
        <v>11</v>
      </c>
      <c r="BP4761" s="184"/>
    </row>
    <row r="4762" spans="1:68">
      <c r="A4762">
        <v>100650571</v>
      </c>
      <c r="B4762">
        <v>92045129</v>
      </c>
      <c r="C4762" t="s">
        <v>7018</v>
      </c>
      <c r="D4762" t="s">
        <v>595</v>
      </c>
      <c r="E4762" s="184">
        <v>44484</v>
      </c>
      <c r="I4762" s="184"/>
      <c r="K4762" s="184"/>
      <c r="M4762" s="184"/>
      <c r="O4762" s="184"/>
      <c r="P4762" t="s">
        <v>7045</v>
      </c>
      <c r="Q4762" t="s">
        <v>7454</v>
      </c>
      <c r="R4762" s="184">
        <v>20006</v>
      </c>
      <c r="S4762">
        <v>69</v>
      </c>
      <c r="V4762" t="s">
        <v>4210</v>
      </c>
      <c r="X4762" t="s">
        <v>4921</v>
      </c>
      <c r="Z4762">
        <v>92045129</v>
      </c>
      <c r="AB4762" t="s">
        <v>3111</v>
      </c>
      <c r="AD4762" t="s">
        <v>4921</v>
      </c>
      <c r="AF4762" t="s">
        <v>34406</v>
      </c>
      <c r="AG4762" t="s">
        <v>34407</v>
      </c>
      <c r="AI4762" t="s">
        <v>34408</v>
      </c>
      <c r="AM4762" t="s">
        <v>4101</v>
      </c>
      <c r="AN4762" t="s">
        <v>2299</v>
      </c>
      <c r="AO4762" t="s">
        <v>34409</v>
      </c>
      <c r="AP4762" t="s">
        <v>7024</v>
      </c>
      <c r="AT4762" s="184"/>
      <c r="AW4762" s="184"/>
      <c r="AZ4762" s="184"/>
      <c r="BP4762" s="184"/>
    </row>
    <row r="4763" spans="1:68">
      <c r="A4763">
        <v>92052042</v>
      </c>
      <c r="B4763">
        <v>92052042</v>
      </c>
      <c r="C4763" t="s">
        <v>7018</v>
      </c>
      <c r="D4763" t="s">
        <v>595</v>
      </c>
      <c r="E4763" s="184">
        <v>44438</v>
      </c>
      <c r="I4763" s="184"/>
      <c r="K4763" s="184"/>
      <c r="M4763" s="184"/>
      <c r="O4763" s="184"/>
      <c r="P4763" t="s">
        <v>7045</v>
      </c>
      <c r="Q4763" t="s">
        <v>7160</v>
      </c>
      <c r="R4763" s="184">
        <v>18142</v>
      </c>
      <c r="S4763">
        <v>74</v>
      </c>
      <c r="V4763" t="s">
        <v>3341</v>
      </c>
      <c r="X4763" t="s">
        <v>34413</v>
      </c>
      <c r="AF4763" t="s">
        <v>34414</v>
      </c>
      <c r="AG4763" t="s">
        <v>3341</v>
      </c>
      <c r="AI4763" t="s">
        <v>34415</v>
      </c>
      <c r="AM4763" t="s">
        <v>4091</v>
      </c>
      <c r="AN4763" t="s">
        <v>2446</v>
      </c>
      <c r="AO4763" t="s">
        <v>34416</v>
      </c>
      <c r="AP4763" t="s">
        <v>7024</v>
      </c>
      <c r="AQ4763" t="s">
        <v>34417</v>
      </c>
      <c r="AR4763" t="s">
        <v>34418</v>
      </c>
      <c r="AT4763" s="184">
        <v>41936</v>
      </c>
      <c r="AU4763" t="s">
        <v>34419</v>
      </c>
      <c r="AV4763">
        <v>25</v>
      </c>
      <c r="AW4763" s="184">
        <v>45310</v>
      </c>
      <c r="AX4763" t="s">
        <v>11811</v>
      </c>
      <c r="AY4763">
        <v>100</v>
      </c>
      <c r="AZ4763" s="184">
        <v>45310</v>
      </c>
      <c r="BA4763" t="s">
        <v>11811</v>
      </c>
      <c r="BB4763">
        <v>100</v>
      </c>
      <c r="BC4763">
        <v>82</v>
      </c>
      <c r="BD4763">
        <v>567.5</v>
      </c>
      <c r="BE4763">
        <v>2015</v>
      </c>
      <c r="BF4763">
        <v>14</v>
      </c>
      <c r="BG4763">
        <v>5</v>
      </c>
      <c r="BH4763">
        <v>302.5</v>
      </c>
      <c r="BI4763">
        <v>9</v>
      </c>
      <c r="BJ4763">
        <v>11</v>
      </c>
      <c r="BK4763">
        <v>5</v>
      </c>
      <c r="BP4763" s="184"/>
    </row>
    <row r="4764" spans="1:68">
      <c r="A4764">
        <v>92054048</v>
      </c>
      <c r="B4764">
        <v>92054048</v>
      </c>
      <c r="C4764" t="s">
        <v>7018</v>
      </c>
      <c r="E4764" s="184"/>
      <c r="H4764" t="s">
        <v>595</v>
      </c>
      <c r="I4764" s="184">
        <v>44109</v>
      </c>
      <c r="K4764" s="184"/>
      <c r="M4764" s="184"/>
      <c r="O4764" s="184"/>
      <c r="P4764" t="s">
        <v>7045</v>
      </c>
      <c r="Q4764" t="s">
        <v>7374</v>
      </c>
      <c r="R4764" s="184">
        <v>17199</v>
      </c>
      <c r="S4764">
        <v>77</v>
      </c>
      <c r="U4764" t="s">
        <v>7076</v>
      </c>
      <c r="V4764" t="s">
        <v>3302</v>
      </c>
      <c r="X4764" t="s">
        <v>4969</v>
      </c>
      <c r="AF4764" t="s">
        <v>34420</v>
      </c>
      <c r="AG4764" t="s">
        <v>3302</v>
      </c>
      <c r="AI4764" t="s">
        <v>34421</v>
      </c>
      <c r="AM4764" t="s">
        <v>4318</v>
      </c>
      <c r="AN4764" t="s">
        <v>2081</v>
      </c>
      <c r="AO4764" t="s">
        <v>34422</v>
      </c>
      <c r="AP4764" t="s">
        <v>7024</v>
      </c>
      <c r="AQ4764" t="s">
        <v>34423</v>
      </c>
      <c r="AR4764" t="s">
        <v>34424</v>
      </c>
      <c r="AT4764" s="184">
        <v>41939</v>
      </c>
      <c r="AU4764" t="s">
        <v>34425</v>
      </c>
      <c r="AV4764">
        <v>25</v>
      </c>
      <c r="AW4764" s="184">
        <v>44280</v>
      </c>
      <c r="AX4764" t="s">
        <v>34426</v>
      </c>
      <c r="AY4764">
        <v>25</v>
      </c>
      <c r="AZ4764" s="184">
        <v>42200</v>
      </c>
      <c r="BA4764" t="s">
        <v>34427</v>
      </c>
      <c r="BB4764">
        <v>60</v>
      </c>
      <c r="BC4764">
        <v>46</v>
      </c>
      <c r="BD4764">
        <v>160</v>
      </c>
      <c r="BE4764">
        <v>2015</v>
      </c>
      <c r="BF4764">
        <v>5</v>
      </c>
      <c r="BI4764">
        <v>5</v>
      </c>
      <c r="BJ4764">
        <v>11</v>
      </c>
      <c r="BK4764">
        <v>3</v>
      </c>
      <c r="BP4764" s="184"/>
    </row>
    <row r="4765" spans="1:68">
      <c r="A4765">
        <v>92054410</v>
      </c>
      <c r="B4765">
        <v>92054410</v>
      </c>
      <c r="C4765" t="s">
        <v>7018</v>
      </c>
      <c r="D4765" t="s">
        <v>595</v>
      </c>
      <c r="E4765" s="184">
        <v>44659</v>
      </c>
      <c r="G4765" s="184"/>
      <c r="I4765" s="184"/>
      <c r="K4765" s="184"/>
      <c r="O4765" s="184"/>
      <c r="P4765" t="s">
        <v>7045</v>
      </c>
      <c r="Q4765" t="s">
        <v>7374</v>
      </c>
      <c r="R4765" s="184">
        <v>19238</v>
      </c>
      <c r="S4765">
        <v>71</v>
      </c>
      <c r="U4765" t="s">
        <v>7076</v>
      </c>
      <c r="V4765" t="s">
        <v>34428</v>
      </c>
      <c r="X4765" t="s">
        <v>7341</v>
      </c>
      <c r="AF4765" t="s">
        <v>34429</v>
      </c>
      <c r="AG4765" t="s">
        <v>34428</v>
      </c>
      <c r="AI4765" t="s">
        <v>34430</v>
      </c>
      <c r="AM4765" t="s">
        <v>4822</v>
      </c>
      <c r="AN4765" t="s">
        <v>2081</v>
      </c>
      <c r="AO4765" t="s">
        <v>34431</v>
      </c>
      <c r="AP4765" t="s">
        <v>7024</v>
      </c>
      <c r="AQ4765" t="s">
        <v>34432</v>
      </c>
      <c r="AT4765" s="184">
        <v>41939</v>
      </c>
      <c r="AU4765" t="s">
        <v>34425</v>
      </c>
      <c r="AV4765">
        <v>25</v>
      </c>
      <c r="AW4765" s="184">
        <v>45258</v>
      </c>
      <c r="AX4765" t="s">
        <v>8836</v>
      </c>
      <c r="AY4765">
        <v>105</v>
      </c>
      <c r="AZ4765" s="184">
        <v>45258</v>
      </c>
      <c r="BA4765" t="s">
        <v>8836</v>
      </c>
      <c r="BB4765">
        <v>105</v>
      </c>
      <c r="BC4765">
        <v>46</v>
      </c>
      <c r="BD4765">
        <v>340</v>
      </c>
      <c r="BE4765">
        <v>2015</v>
      </c>
      <c r="BF4765">
        <v>5</v>
      </c>
      <c r="BG4765">
        <v>2</v>
      </c>
      <c r="BH4765">
        <v>205</v>
      </c>
      <c r="BI4765">
        <v>5</v>
      </c>
      <c r="BJ4765">
        <v>11</v>
      </c>
      <c r="BK4765">
        <v>3</v>
      </c>
      <c r="BP4765" s="184"/>
    </row>
    <row r="4766" spans="1:68">
      <c r="A4766">
        <v>92059781</v>
      </c>
      <c r="B4766">
        <v>92059781</v>
      </c>
      <c r="C4766" t="s">
        <v>7018</v>
      </c>
      <c r="D4766" t="s">
        <v>595</v>
      </c>
      <c r="E4766" s="184">
        <v>45195</v>
      </c>
      <c r="I4766" s="184"/>
      <c r="K4766" s="184"/>
      <c r="M4766" s="184"/>
      <c r="O4766" s="184"/>
      <c r="P4766" t="s">
        <v>7045</v>
      </c>
      <c r="Q4766" t="s">
        <v>7374</v>
      </c>
      <c r="R4766" s="184">
        <v>21976</v>
      </c>
      <c r="S4766">
        <v>64</v>
      </c>
      <c r="U4766" t="s">
        <v>7076</v>
      </c>
      <c r="V4766" t="s">
        <v>3545</v>
      </c>
      <c r="X4766" t="s">
        <v>3666</v>
      </c>
      <c r="AF4766" t="s">
        <v>34433</v>
      </c>
      <c r="AG4766" t="s">
        <v>3545</v>
      </c>
      <c r="AI4766" t="s">
        <v>34434</v>
      </c>
      <c r="AM4766" t="s">
        <v>15961</v>
      </c>
      <c r="AN4766" t="s">
        <v>2081</v>
      </c>
      <c r="AO4766" t="s">
        <v>34435</v>
      </c>
      <c r="AP4766" t="s">
        <v>7024</v>
      </c>
      <c r="AQ4766" t="s">
        <v>34436</v>
      </c>
      <c r="AR4766" t="s">
        <v>34437</v>
      </c>
      <c r="AT4766" s="184">
        <v>41940</v>
      </c>
      <c r="AU4766" t="s">
        <v>34438</v>
      </c>
      <c r="AV4766">
        <v>25</v>
      </c>
      <c r="AW4766" s="184">
        <v>45412</v>
      </c>
      <c r="AX4766" t="s">
        <v>22078</v>
      </c>
      <c r="AY4766">
        <v>25</v>
      </c>
      <c r="AZ4766" s="184">
        <v>45412</v>
      </c>
      <c r="BA4766" t="s">
        <v>22078</v>
      </c>
      <c r="BB4766">
        <v>25</v>
      </c>
      <c r="BC4766">
        <v>64</v>
      </c>
      <c r="BD4766">
        <v>175</v>
      </c>
      <c r="BE4766">
        <v>2015</v>
      </c>
      <c r="BF4766">
        <v>7</v>
      </c>
      <c r="BG4766">
        <v>2</v>
      </c>
      <c r="BH4766">
        <v>50</v>
      </c>
      <c r="BI4766">
        <v>7</v>
      </c>
      <c r="BJ4766">
        <v>11</v>
      </c>
      <c r="BK4766">
        <v>6</v>
      </c>
      <c r="BP4766" s="184"/>
    </row>
    <row r="4767" spans="1:68">
      <c r="A4767">
        <v>92076819</v>
      </c>
      <c r="B4767">
        <v>92076819</v>
      </c>
      <c r="C4767" t="s">
        <v>7018</v>
      </c>
      <c r="D4767" t="s">
        <v>595</v>
      </c>
      <c r="E4767" s="184">
        <v>44167</v>
      </c>
      <c r="I4767" s="184"/>
      <c r="K4767" s="184"/>
      <c r="P4767" t="s">
        <v>7029</v>
      </c>
      <c r="Q4767" t="s">
        <v>7774</v>
      </c>
      <c r="R4767" s="184">
        <v>15311</v>
      </c>
      <c r="S4767">
        <v>82</v>
      </c>
      <c r="U4767" t="s">
        <v>7130</v>
      </c>
      <c r="V4767" t="s">
        <v>10581</v>
      </c>
      <c r="X4767" t="s">
        <v>34439</v>
      </c>
      <c r="AF4767" t="s">
        <v>34440</v>
      </c>
      <c r="AG4767" t="s">
        <v>10581</v>
      </c>
      <c r="AI4767" t="s">
        <v>34441</v>
      </c>
      <c r="AM4767" t="s">
        <v>34442</v>
      </c>
      <c r="AN4767" t="s">
        <v>2077</v>
      </c>
      <c r="AO4767" t="s">
        <v>34443</v>
      </c>
      <c r="AP4767" t="s">
        <v>7024</v>
      </c>
      <c r="AQ4767" t="s">
        <v>34444</v>
      </c>
      <c r="AT4767" s="184">
        <v>41946</v>
      </c>
      <c r="AU4767" t="s">
        <v>34445</v>
      </c>
      <c r="AV4767">
        <v>25</v>
      </c>
      <c r="AW4767" s="184">
        <v>45371</v>
      </c>
      <c r="AX4767" t="s">
        <v>7749</v>
      </c>
      <c r="AY4767">
        <v>525</v>
      </c>
      <c r="AZ4767" s="184">
        <v>43703</v>
      </c>
      <c r="BA4767" t="s">
        <v>34446</v>
      </c>
      <c r="BB4767">
        <v>2500</v>
      </c>
      <c r="BC4767">
        <v>100</v>
      </c>
      <c r="BD4767">
        <v>18575</v>
      </c>
      <c r="BE4767">
        <v>2015</v>
      </c>
      <c r="BF4767">
        <v>19</v>
      </c>
      <c r="BG4767">
        <v>4</v>
      </c>
      <c r="BH4767">
        <v>2550</v>
      </c>
      <c r="BI4767">
        <v>11</v>
      </c>
      <c r="BJ4767">
        <v>11</v>
      </c>
      <c r="BK4767">
        <v>11</v>
      </c>
      <c r="BP4767" s="184"/>
    </row>
    <row r="4768" spans="1:68">
      <c r="A4768">
        <v>92099324</v>
      </c>
      <c r="B4768">
        <v>92099324</v>
      </c>
      <c r="C4768" t="s">
        <v>7018</v>
      </c>
      <c r="D4768" t="s">
        <v>595</v>
      </c>
      <c r="E4768" s="184">
        <v>43794</v>
      </c>
      <c r="G4768" s="184"/>
      <c r="I4768" s="184"/>
      <c r="K4768" s="184"/>
      <c r="O4768" s="184"/>
      <c r="P4768" t="s">
        <v>7045</v>
      </c>
      <c r="Q4768" t="s">
        <v>7494</v>
      </c>
      <c r="R4768" s="184">
        <v>16989</v>
      </c>
      <c r="S4768">
        <v>77</v>
      </c>
      <c r="V4768" t="s">
        <v>3283</v>
      </c>
      <c r="X4768" t="s">
        <v>34447</v>
      </c>
      <c r="AF4768" t="s">
        <v>34448</v>
      </c>
      <c r="AG4768" t="s">
        <v>3283</v>
      </c>
      <c r="AI4768" t="s">
        <v>34449</v>
      </c>
      <c r="AM4768" t="s">
        <v>34450</v>
      </c>
      <c r="AN4768" t="s">
        <v>2484</v>
      </c>
      <c r="AO4768" t="s">
        <v>34451</v>
      </c>
      <c r="AP4768" t="s">
        <v>7024</v>
      </c>
      <c r="AQ4768" t="s">
        <v>34452</v>
      </c>
      <c r="AT4768" s="184">
        <v>41954</v>
      </c>
      <c r="AU4768" t="s">
        <v>34453</v>
      </c>
      <c r="AV4768">
        <v>25</v>
      </c>
      <c r="AW4768" s="184">
        <v>44348</v>
      </c>
      <c r="AX4768" t="s">
        <v>34454</v>
      </c>
      <c r="AY4768">
        <v>10</v>
      </c>
      <c r="AZ4768" s="184">
        <v>44001</v>
      </c>
      <c r="BA4768" t="s">
        <v>34455</v>
      </c>
      <c r="BB4768">
        <v>40</v>
      </c>
      <c r="BC4768">
        <v>64</v>
      </c>
      <c r="BD4768">
        <v>240</v>
      </c>
      <c r="BE4768">
        <v>2015</v>
      </c>
      <c r="BF4768">
        <v>9</v>
      </c>
      <c r="BI4768">
        <v>7</v>
      </c>
      <c r="BJ4768">
        <v>11</v>
      </c>
      <c r="BK4768">
        <v>6</v>
      </c>
      <c r="BN4768" t="s">
        <v>595</v>
      </c>
      <c r="BP4768" s="184"/>
    </row>
    <row r="4769" spans="1:68">
      <c r="A4769">
        <v>92099373</v>
      </c>
      <c r="B4769">
        <v>92099373</v>
      </c>
      <c r="C4769" t="s">
        <v>7018</v>
      </c>
      <c r="D4769" t="s">
        <v>595</v>
      </c>
      <c r="E4769" s="184">
        <v>44484</v>
      </c>
      <c r="G4769" s="184"/>
      <c r="I4769" s="184"/>
      <c r="K4769" s="184"/>
      <c r="M4769" s="184"/>
      <c r="O4769" s="184"/>
      <c r="P4769" t="s">
        <v>7045</v>
      </c>
      <c r="Q4769" t="s">
        <v>7383</v>
      </c>
      <c r="R4769" s="184">
        <v>20637</v>
      </c>
      <c r="S4769">
        <v>67</v>
      </c>
      <c r="V4769" t="s">
        <v>2871</v>
      </c>
      <c r="X4769" t="s">
        <v>2962</v>
      </c>
      <c r="Z4769">
        <v>100643732</v>
      </c>
      <c r="AB4769" t="s">
        <v>3545</v>
      </c>
      <c r="AD4769" t="s">
        <v>2962</v>
      </c>
      <c r="AF4769" t="s">
        <v>34456</v>
      </c>
      <c r="AG4769" t="s">
        <v>34457</v>
      </c>
      <c r="AI4769" t="s">
        <v>34458</v>
      </c>
      <c r="AM4769" t="s">
        <v>27385</v>
      </c>
      <c r="AN4769" t="s">
        <v>2185</v>
      </c>
      <c r="AO4769" t="s">
        <v>34459</v>
      </c>
      <c r="AP4769" t="s">
        <v>7024</v>
      </c>
      <c r="AQ4769" t="s">
        <v>34460</v>
      </c>
      <c r="AT4769" s="184">
        <v>41954</v>
      </c>
      <c r="AU4769" t="s">
        <v>34461</v>
      </c>
      <c r="AV4769">
        <v>25</v>
      </c>
      <c r="AW4769" s="184">
        <v>45133</v>
      </c>
      <c r="AX4769" t="s">
        <v>34462</v>
      </c>
      <c r="AY4769">
        <v>25</v>
      </c>
      <c r="AZ4769" s="184">
        <v>45133</v>
      </c>
      <c r="BA4769" t="s">
        <v>34462</v>
      </c>
      <c r="BB4769">
        <v>25</v>
      </c>
      <c r="BC4769">
        <v>91</v>
      </c>
      <c r="BD4769">
        <v>260</v>
      </c>
      <c r="BE4769">
        <v>2015</v>
      </c>
      <c r="BF4769">
        <v>12</v>
      </c>
      <c r="BG4769">
        <v>2</v>
      </c>
      <c r="BH4769">
        <v>50</v>
      </c>
      <c r="BI4769">
        <v>10</v>
      </c>
      <c r="BJ4769">
        <v>11</v>
      </c>
      <c r="BK4769">
        <v>10</v>
      </c>
      <c r="BP4769" s="184"/>
    </row>
    <row r="4770" spans="1:68">
      <c r="A4770">
        <v>100643732</v>
      </c>
      <c r="B4770">
        <v>92099373</v>
      </c>
      <c r="C4770" t="s">
        <v>7018</v>
      </c>
      <c r="D4770" t="s">
        <v>595</v>
      </c>
      <c r="E4770" s="184">
        <v>44484</v>
      </c>
      <c r="G4770" s="184"/>
      <c r="I4770" s="184"/>
      <c r="K4770" s="184"/>
      <c r="M4770" s="184"/>
      <c r="O4770" s="184"/>
      <c r="P4770" t="s">
        <v>7045</v>
      </c>
      <c r="Q4770" t="s">
        <v>7383</v>
      </c>
      <c r="R4770" s="184">
        <v>20417</v>
      </c>
      <c r="S4770">
        <v>68</v>
      </c>
      <c r="V4770" t="s">
        <v>3545</v>
      </c>
      <c r="X4770" t="s">
        <v>2962</v>
      </c>
      <c r="Z4770">
        <v>92099373</v>
      </c>
      <c r="AB4770" t="s">
        <v>2871</v>
      </c>
      <c r="AD4770" t="s">
        <v>2962</v>
      </c>
      <c r="AF4770" t="s">
        <v>34456</v>
      </c>
      <c r="AG4770" t="s">
        <v>34457</v>
      </c>
      <c r="AI4770" t="s">
        <v>34458</v>
      </c>
      <c r="AM4770" t="s">
        <v>27385</v>
      </c>
      <c r="AN4770" t="s">
        <v>2185</v>
      </c>
      <c r="AO4770" t="s">
        <v>34459</v>
      </c>
      <c r="AP4770" t="s">
        <v>7024</v>
      </c>
      <c r="AT4770" s="184"/>
      <c r="AW4770" s="184"/>
      <c r="AZ4770" s="184"/>
      <c r="BP4770" s="184"/>
    </row>
    <row r="4771" spans="1:68">
      <c r="A4771">
        <v>92104991</v>
      </c>
      <c r="B4771">
        <v>92104991</v>
      </c>
      <c r="C4771" t="s">
        <v>7018</v>
      </c>
      <c r="D4771" t="s">
        <v>595</v>
      </c>
      <c r="E4771" s="184">
        <v>45120</v>
      </c>
      <c r="I4771" s="184"/>
      <c r="K4771" s="184"/>
      <c r="O4771" s="184"/>
      <c r="P4771" t="s">
        <v>7019</v>
      </c>
      <c r="Q4771" t="s">
        <v>7383</v>
      </c>
      <c r="R4771" s="184">
        <v>20701</v>
      </c>
      <c r="S4771">
        <v>67</v>
      </c>
      <c r="U4771" t="s">
        <v>7130</v>
      </c>
      <c r="V4771" t="s">
        <v>5893</v>
      </c>
      <c r="X4771" t="s">
        <v>34463</v>
      </c>
      <c r="AF4771" t="s">
        <v>34464</v>
      </c>
      <c r="AG4771" t="s">
        <v>5893</v>
      </c>
      <c r="AI4771" t="s">
        <v>34465</v>
      </c>
      <c r="AM4771" t="s">
        <v>4126</v>
      </c>
      <c r="AN4771" t="s">
        <v>2274</v>
      </c>
      <c r="AO4771" t="s">
        <v>34466</v>
      </c>
      <c r="AP4771" t="s">
        <v>7024</v>
      </c>
      <c r="AQ4771" t="s">
        <v>34467</v>
      </c>
      <c r="AT4771" s="184">
        <v>41960</v>
      </c>
      <c r="AU4771" t="s">
        <v>34468</v>
      </c>
      <c r="AV4771">
        <v>19.97</v>
      </c>
      <c r="AW4771" s="184">
        <v>45061</v>
      </c>
      <c r="AX4771" t="s">
        <v>7665</v>
      </c>
      <c r="AY4771">
        <v>60</v>
      </c>
      <c r="AZ4771" s="184">
        <v>45061</v>
      </c>
      <c r="BA4771" t="s">
        <v>7665</v>
      </c>
      <c r="BB4771">
        <v>60</v>
      </c>
      <c r="BC4771">
        <v>55</v>
      </c>
      <c r="BD4771">
        <v>204.97</v>
      </c>
      <c r="BE4771">
        <v>2015</v>
      </c>
      <c r="BF4771">
        <v>7</v>
      </c>
      <c r="BG4771">
        <v>2</v>
      </c>
      <c r="BH4771">
        <v>85</v>
      </c>
      <c r="BI4771">
        <v>6</v>
      </c>
      <c r="BJ4771">
        <v>11</v>
      </c>
      <c r="BK4771">
        <v>4</v>
      </c>
      <c r="BN4771" t="s">
        <v>595</v>
      </c>
      <c r="BP4771" s="184"/>
    </row>
    <row r="4772" spans="1:68">
      <c r="A4772">
        <v>92113562</v>
      </c>
      <c r="B4772">
        <v>92113562</v>
      </c>
      <c r="C4772" t="s">
        <v>7018</v>
      </c>
      <c r="E4772" s="184"/>
      <c r="G4772" s="184"/>
      <c r="I4772" s="184"/>
      <c r="J4772" t="s">
        <v>595</v>
      </c>
      <c r="K4772" s="184">
        <v>43035</v>
      </c>
      <c r="M4772" s="184"/>
      <c r="O4772" s="184"/>
      <c r="P4772" t="s">
        <v>7045</v>
      </c>
      <c r="Q4772" t="s">
        <v>7160</v>
      </c>
      <c r="R4772" s="184">
        <v>19694</v>
      </c>
      <c r="S4772">
        <v>70</v>
      </c>
      <c r="U4772" t="s">
        <v>7032</v>
      </c>
      <c r="V4772" t="s">
        <v>2724</v>
      </c>
      <c r="W4772" t="s">
        <v>2049</v>
      </c>
      <c r="X4772" t="s">
        <v>34469</v>
      </c>
      <c r="AF4772" t="s">
        <v>34470</v>
      </c>
      <c r="AG4772" t="s">
        <v>2724</v>
      </c>
      <c r="AI4772" t="s">
        <v>34471</v>
      </c>
      <c r="AM4772" t="s">
        <v>3526</v>
      </c>
      <c r="AN4772" t="s">
        <v>2446</v>
      </c>
      <c r="AO4772" t="s">
        <v>34472</v>
      </c>
      <c r="AP4772" t="s">
        <v>7024</v>
      </c>
      <c r="AQ4772" t="s">
        <v>34473</v>
      </c>
      <c r="AR4772" t="s">
        <v>34474</v>
      </c>
      <c r="AT4772" s="184">
        <v>41956</v>
      </c>
      <c r="AU4772" t="s">
        <v>34475</v>
      </c>
      <c r="AV4772">
        <v>50</v>
      </c>
      <c r="AW4772" s="184">
        <v>45344</v>
      </c>
      <c r="AX4772" t="s">
        <v>12392</v>
      </c>
      <c r="AY4772">
        <v>100</v>
      </c>
      <c r="AZ4772" s="184">
        <v>43867</v>
      </c>
      <c r="BA4772" t="s">
        <v>34476</v>
      </c>
      <c r="BB4772">
        <v>200</v>
      </c>
      <c r="BC4772">
        <v>100</v>
      </c>
      <c r="BD4772">
        <v>2250</v>
      </c>
      <c r="BE4772">
        <v>2015</v>
      </c>
      <c r="BF4772">
        <v>22</v>
      </c>
      <c r="BG4772">
        <v>6</v>
      </c>
      <c r="BH4772">
        <v>600</v>
      </c>
      <c r="BI4772">
        <v>11</v>
      </c>
      <c r="BJ4772">
        <v>11</v>
      </c>
      <c r="BK4772">
        <v>11</v>
      </c>
      <c r="BP4772" s="184"/>
    </row>
    <row r="4773" spans="1:68">
      <c r="A4773">
        <v>92128016</v>
      </c>
      <c r="B4773">
        <v>92128016</v>
      </c>
      <c r="C4773" t="s">
        <v>7018</v>
      </c>
      <c r="D4773" t="s">
        <v>595</v>
      </c>
      <c r="E4773" s="184">
        <v>45195</v>
      </c>
      <c r="G4773" s="184"/>
      <c r="I4773" s="184"/>
      <c r="K4773" s="184"/>
      <c r="M4773" s="184"/>
      <c r="O4773" s="184"/>
      <c r="P4773" t="s">
        <v>7045</v>
      </c>
      <c r="Q4773" t="s">
        <v>7374</v>
      </c>
      <c r="R4773" s="184">
        <v>21490</v>
      </c>
      <c r="S4773">
        <v>65</v>
      </c>
      <c r="U4773" t="s">
        <v>7094</v>
      </c>
      <c r="V4773" t="s">
        <v>3192</v>
      </c>
      <c r="X4773" t="s">
        <v>34477</v>
      </c>
      <c r="AF4773" t="s">
        <v>34478</v>
      </c>
      <c r="AG4773" t="s">
        <v>3192</v>
      </c>
      <c r="AI4773" t="s">
        <v>34479</v>
      </c>
      <c r="AM4773" t="s">
        <v>34480</v>
      </c>
      <c r="AN4773" t="s">
        <v>2081</v>
      </c>
      <c r="AO4773" t="s">
        <v>34481</v>
      </c>
      <c r="AP4773" t="s">
        <v>7024</v>
      </c>
      <c r="AQ4773" t="s">
        <v>34482</v>
      </c>
      <c r="AR4773" t="s">
        <v>34483</v>
      </c>
      <c r="AT4773" s="184">
        <v>41960</v>
      </c>
      <c r="AU4773" t="s">
        <v>34468</v>
      </c>
      <c r="AV4773">
        <v>19.97</v>
      </c>
      <c r="AW4773" s="184">
        <v>45419</v>
      </c>
      <c r="AX4773" t="s">
        <v>7422</v>
      </c>
      <c r="AY4773">
        <v>5</v>
      </c>
      <c r="AZ4773" s="184">
        <v>42524</v>
      </c>
      <c r="BA4773" t="s">
        <v>34484</v>
      </c>
      <c r="BB4773">
        <v>25</v>
      </c>
      <c r="BC4773">
        <v>91</v>
      </c>
      <c r="BD4773">
        <v>419.97</v>
      </c>
      <c r="BE4773">
        <v>2015</v>
      </c>
      <c r="BF4773">
        <v>74</v>
      </c>
      <c r="BG4773">
        <v>24</v>
      </c>
      <c r="BH4773">
        <v>120</v>
      </c>
      <c r="BI4773">
        <v>10</v>
      </c>
      <c r="BJ4773">
        <v>11</v>
      </c>
      <c r="BK4773">
        <v>9</v>
      </c>
      <c r="BP4773" s="184"/>
    </row>
    <row r="4774" spans="1:68">
      <c r="A4774">
        <v>92132919</v>
      </c>
      <c r="B4774">
        <v>92132919</v>
      </c>
      <c r="C4774" t="s">
        <v>7018</v>
      </c>
      <c r="D4774" t="s">
        <v>595</v>
      </c>
      <c r="E4774" s="184">
        <v>45160</v>
      </c>
      <c r="G4774" s="184"/>
      <c r="I4774" s="184"/>
      <c r="K4774" s="184"/>
      <c r="M4774" s="184"/>
      <c r="O4774" s="184"/>
      <c r="P4774" t="s">
        <v>7045</v>
      </c>
      <c r="Q4774" t="s">
        <v>7383</v>
      </c>
      <c r="R4774" s="184">
        <v>24516</v>
      </c>
      <c r="S4774">
        <v>57</v>
      </c>
      <c r="U4774" t="s">
        <v>7032</v>
      </c>
      <c r="V4774" t="s">
        <v>12301</v>
      </c>
      <c r="X4774" t="s">
        <v>34485</v>
      </c>
      <c r="AF4774" t="s">
        <v>34486</v>
      </c>
      <c r="AG4774" t="s">
        <v>12301</v>
      </c>
      <c r="AI4774" t="s">
        <v>34487</v>
      </c>
      <c r="AM4774" t="s">
        <v>2978</v>
      </c>
      <c r="AN4774" t="s">
        <v>2313</v>
      </c>
      <c r="AO4774" t="s">
        <v>34488</v>
      </c>
      <c r="AP4774" t="s">
        <v>7024</v>
      </c>
      <c r="AQ4774" t="s">
        <v>34489</v>
      </c>
      <c r="AT4774" s="184">
        <v>41960</v>
      </c>
      <c r="AU4774" t="s">
        <v>34468</v>
      </c>
      <c r="AV4774">
        <v>19.97</v>
      </c>
      <c r="AW4774" s="184">
        <v>45399</v>
      </c>
      <c r="AX4774" t="s">
        <v>34048</v>
      </c>
      <c r="AY4774">
        <v>25</v>
      </c>
      <c r="AZ4774" s="184">
        <v>45175</v>
      </c>
      <c r="BA4774" t="s">
        <v>10732</v>
      </c>
      <c r="BB4774">
        <v>35</v>
      </c>
      <c r="BC4774">
        <v>100</v>
      </c>
      <c r="BD4774">
        <v>719.97</v>
      </c>
      <c r="BE4774">
        <v>2015</v>
      </c>
      <c r="BF4774">
        <v>25</v>
      </c>
      <c r="BG4774">
        <v>6</v>
      </c>
      <c r="BH4774">
        <v>195</v>
      </c>
      <c r="BI4774">
        <v>11</v>
      </c>
      <c r="BJ4774">
        <v>11</v>
      </c>
      <c r="BK4774">
        <v>11</v>
      </c>
      <c r="BP4774" s="184"/>
    </row>
    <row r="4775" spans="1:68">
      <c r="A4775">
        <v>92147537</v>
      </c>
      <c r="B4775">
        <v>92147537</v>
      </c>
      <c r="C4775" t="s">
        <v>7018</v>
      </c>
      <c r="E4775" s="184"/>
      <c r="G4775" s="184"/>
      <c r="I4775" s="184"/>
      <c r="J4775" t="s">
        <v>595</v>
      </c>
      <c r="K4775" s="184">
        <v>44013</v>
      </c>
      <c r="M4775" s="184"/>
      <c r="O4775" s="184"/>
      <c r="P4775" t="s">
        <v>7045</v>
      </c>
      <c r="Q4775" t="s">
        <v>7030</v>
      </c>
      <c r="R4775" s="184">
        <v>28825</v>
      </c>
      <c r="S4775">
        <v>45</v>
      </c>
      <c r="V4775" t="s">
        <v>3080</v>
      </c>
      <c r="X4775" t="s">
        <v>3031</v>
      </c>
      <c r="AF4775" t="s">
        <v>34490</v>
      </c>
      <c r="AG4775" t="s">
        <v>3080</v>
      </c>
      <c r="AI4775" t="s">
        <v>34491</v>
      </c>
      <c r="AM4775" t="s">
        <v>3662</v>
      </c>
      <c r="AN4775" t="s">
        <v>2094</v>
      </c>
      <c r="AO4775" t="s">
        <v>34492</v>
      </c>
      <c r="AP4775" t="s">
        <v>7024</v>
      </c>
      <c r="AQ4775" t="s">
        <v>34493</v>
      </c>
      <c r="AT4775" s="184">
        <v>41961</v>
      </c>
      <c r="AU4775" t="s">
        <v>34494</v>
      </c>
      <c r="AV4775">
        <v>25</v>
      </c>
      <c r="AW4775" s="184">
        <v>41961</v>
      </c>
      <c r="AX4775" t="s">
        <v>34494</v>
      </c>
      <c r="AY4775">
        <v>25</v>
      </c>
      <c r="AZ4775" s="184">
        <v>41961</v>
      </c>
      <c r="BA4775" t="s">
        <v>34494</v>
      </c>
      <c r="BB4775">
        <v>25</v>
      </c>
      <c r="BC4775">
        <v>10</v>
      </c>
      <c r="BD4775">
        <v>25</v>
      </c>
      <c r="BE4775">
        <v>2015</v>
      </c>
      <c r="BF4775">
        <v>1</v>
      </c>
      <c r="BI4775">
        <v>1</v>
      </c>
      <c r="BJ4775">
        <v>11</v>
      </c>
      <c r="BK4775">
        <v>1</v>
      </c>
      <c r="BP4775" s="184"/>
    </row>
    <row r="4776" spans="1:68">
      <c r="A4776">
        <v>92177120</v>
      </c>
      <c r="B4776">
        <v>92177120</v>
      </c>
      <c r="C4776" t="s">
        <v>7018</v>
      </c>
      <c r="E4776" s="184"/>
      <c r="G4776" s="184"/>
      <c r="H4776" t="s">
        <v>595</v>
      </c>
      <c r="I4776" s="184">
        <v>44481</v>
      </c>
      <c r="K4776" s="184"/>
      <c r="M4776" s="184"/>
      <c r="O4776" s="184"/>
      <c r="P4776" t="s">
        <v>7045</v>
      </c>
      <c r="Q4776" t="s">
        <v>7383</v>
      </c>
      <c r="R4776" s="184">
        <v>19690</v>
      </c>
      <c r="S4776">
        <v>70</v>
      </c>
      <c r="U4776" t="s">
        <v>7076</v>
      </c>
      <c r="V4776" t="s">
        <v>2903</v>
      </c>
      <c r="W4776" t="s">
        <v>3830</v>
      </c>
      <c r="X4776" t="s">
        <v>34495</v>
      </c>
      <c r="AF4776" t="s">
        <v>34496</v>
      </c>
      <c r="AG4776" t="s">
        <v>2903</v>
      </c>
      <c r="AI4776" t="s">
        <v>34497</v>
      </c>
      <c r="AM4776" t="s">
        <v>5143</v>
      </c>
      <c r="AN4776" t="s">
        <v>2072</v>
      </c>
      <c r="AO4776" t="s">
        <v>34498</v>
      </c>
      <c r="AP4776" t="s">
        <v>7024</v>
      </c>
      <c r="AQ4776" t="s">
        <v>34499</v>
      </c>
      <c r="AT4776" s="184">
        <v>43100</v>
      </c>
      <c r="AU4776" t="s">
        <v>34500</v>
      </c>
      <c r="AV4776">
        <v>25</v>
      </c>
      <c r="AW4776" s="184">
        <v>45415</v>
      </c>
      <c r="AX4776" t="s">
        <v>7422</v>
      </c>
      <c r="AY4776">
        <v>5</v>
      </c>
      <c r="AZ4776" s="184">
        <v>44193</v>
      </c>
      <c r="BA4776" t="s">
        <v>9633</v>
      </c>
      <c r="BB4776">
        <v>25</v>
      </c>
      <c r="BC4776">
        <v>75</v>
      </c>
      <c r="BD4776">
        <v>235</v>
      </c>
      <c r="BE4776">
        <v>2018</v>
      </c>
      <c r="BF4776">
        <v>32</v>
      </c>
      <c r="BG4776">
        <v>24</v>
      </c>
      <c r="BH4776">
        <v>120</v>
      </c>
      <c r="BI4776">
        <v>6</v>
      </c>
      <c r="BJ4776">
        <v>8</v>
      </c>
      <c r="BK4776">
        <v>3</v>
      </c>
      <c r="BP4776" s="184"/>
    </row>
    <row r="4777" spans="1:68">
      <c r="A4777">
        <v>92198027</v>
      </c>
      <c r="B4777">
        <v>92198027</v>
      </c>
      <c r="C4777" t="s">
        <v>7018</v>
      </c>
      <c r="E4777" s="184"/>
      <c r="I4777" s="184"/>
      <c r="J4777" t="s">
        <v>595</v>
      </c>
      <c r="K4777" s="184">
        <v>43641</v>
      </c>
      <c r="M4777" s="184"/>
      <c r="O4777" s="184"/>
      <c r="P4777" t="s">
        <v>7045</v>
      </c>
      <c r="Q4777" t="s">
        <v>7194</v>
      </c>
      <c r="R4777" s="184">
        <v>19815</v>
      </c>
      <c r="S4777">
        <v>70</v>
      </c>
      <c r="U4777" t="s">
        <v>7076</v>
      </c>
      <c r="V4777" t="s">
        <v>2848</v>
      </c>
      <c r="W4777" t="s">
        <v>3740</v>
      </c>
      <c r="X4777" t="s">
        <v>3108</v>
      </c>
      <c r="AF4777" t="s">
        <v>6364</v>
      </c>
      <c r="AG4777" t="s">
        <v>2848</v>
      </c>
      <c r="AI4777" t="s">
        <v>34501</v>
      </c>
      <c r="AM4777" t="s">
        <v>16140</v>
      </c>
      <c r="AN4777" t="s">
        <v>2046</v>
      </c>
      <c r="AO4777" t="s">
        <v>34502</v>
      </c>
      <c r="AP4777" t="s">
        <v>7024</v>
      </c>
      <c r="AQ4777" t="s">
        <v>34503</v>
      </c>
      <c r="AT4777" s="184">
        <v>41976</v>
      </c>
      <c r="AU4777" t="s">
        <v>34468</v>
      </c>
      <c r="AV4777">
        <v>19.97</v>
      </c>
      <c r="AW4777" s="184">
        <v>45330</v>
      </c>
      <c r="AX4777" t="s">
        <v>9576</v>
      </c>
      <c r="AY4777">
        <v>52.5</v>
      </c>
      <c r="AZ4777" s="184">
        <v>43790</v>
      </c>
      <c r="BA4777" t="s">
        <v>17953</v>
      </c>
      <c r="BB4777">
        <v>1000</v>
      </c>
      <c r="BC4777">
        <v>91</v>
      </c>
      <c r="BD4777">
        <v>2019.91</v>
      </c>
      <c r="BE4777">
        <v>2015</v>
      </c>
      <c r="BF4777">
        <v>16</v>
      </c>
      <c r="BG4777">
        <v>5</v>
      </c>
      <c r="BH4777">
        <v>360</v>
      </c>
      <c r="BI4777">
        <v>10</v>
      </c>
      <c r="BJ4777">
        <v>11</v>
      </c>
      <c r="BK4777">
        <v>8</v>
      </c>
      <c r="BP4777" s="184"/>
    </row>
    <row r="4778" spans="1:68">
      <c r="A4778">
        <v>92210103</v>
      </c>
      <c r="B4778">
        <v>92210103</v>
      </c>
      <c r="C4778" t="s">
        <v>7018</v>
      </c>
      <c r="E4778" s="184"/>
      <c r="I4778" s="184"/>
      <c r="J4778" t="s">
        <v>595</v>
      </c>
      <c r="K4778" s="184">
        <v>42960</v>
      </c>
      <c r="M4778" s="184"/>
      <c r="O4778" s="184"/>
      <c r="P4778" t="s">
        <v>7045</v>
      </c>
      <c r="Q4778" t="s">
        <v>7030</v>
      </c>
      <c r="R4778" s="184">
        <v>16599</v>
      </c>
      <c r="S4778">
        <v>78</v>
      </c>
      <c r="U4778" t="s">
        <v>7076</v>
      </c>
      <c r="V4778" t="s">
        <v>3683</v>
      </c>
      <c r="W4778" t="s">
        <v>4327</v>
      </c>
      <c r="X4778" t="s">
        <v>34504</v>
      </c>
      <c r="AF4778" t="s">
        <v>6492</v>
      </c>
      <c r="AG4778" t="s">
        <v>3683</v>
      </c>
      <c r="AI4778" t="s">
        <v>34505</v>
      </c>
      <c r="AM4778" t="s">
        <v>3181</v>
      </c>
      <c r="AN4778" t="s">
        <v>2094</v>
      </c>
      <c r="AO4778" t="s">
        <v>34506</v>
      </c>
      <c r="AP4778" t="s">
        <v>7024</v>
      </c>
      <c r="AQ4778" t="s">
        <v>34507</v>
      </c>
      <c r="AT4778" s="184">
        <v>32993</v>
      </c>
      <c r="AU4778" t="s">
        <v>34508</v>
      </c>
      <c r="AV4778">
        <v>15</v>
      </c>
      <c r="AW4778" s="184">
        <v>45411</v>
      </c>
      <c r="AX4778" t="s">
        <v>34509</v>
      </c>
      <c r="AY4778">
        <v>100</v>
      </c>
      <c r="AZ4778" s="184">
        <v>43873</v>
      </c>
      <c r="BA4778" t="s">
        <v>29680</v>
      </c>
      <c r="BB4778">
        <v>300</v>
      </c>
      <c r="BC4778">
        <v>38</v>
      </c>
      <c r="BD4778">
        <v>2005</v>
      </c>
      <c r="BE4778">
        <v>1990</v>
      </c>
      <c r="BF4778">
        <v>20</v>
      </c>
      <c r="BG4778">
        <v>4</v>
      </c>
      <c r="BH4778">
        <v>700</v>
      </c>
      <c r="BI4778">
        <v>13</v>
      </c>
      <c r="BJ4778">
        <v>35</v>
      </c>
      <c r="BK4778">
        <v>12</v>
      </c>
      <c r="BN4778" t="s">
        <v>595</v>
      </c>
      <c r="BP4778" s="184"/>
    </row>
    <row r="4779" spans="1:68">
      <c r="A4779">
        <v>92210665</v>
      </c>
      <c r="B4779">
        <v>92210665</v>
      </c>
      <c r="C4779" t="s">
        <v>7018</v>
      </c>
      <c r="E4779" s="184"/>
      <c r="I4779" s="184"/>
      <c r="K4779" s="184"/>
      <c r="L4779" t="s">
        <v>595</v>
      </c>
      <c r="M4779" s="184">
        <v>45383</v>
      </c>
      <c r="O4779" s="184"/>
      <c r="P4779" t="s">
        <v>7029</v>
      </c>
      <c r="Q4779" t="s">
        <v>7160</v>
      </c>
      <c r="R4779" s="184">
        <v>15982</v>
      </c>
      <c r="S4779">
        <v>80</v>
      </c>
      <c r="V4779" t="s">
        <v>4613</v>
      </c>
      <c r="X4779" t="s">
        <v>3539</v>
      </c>
      <c r="AF4779" t="s">
        <v>34510</v>
      </c>
      <c r="AG4779" t="s">
        <v>4613</v>
      </c>
      <c r="AI4779" t="s">
        <v>34511</v>
      </c>
      <c r="AM4779" t="s">
        <v>9389</v>
      </c>
      <c r="AN4779" t="s">
        <v>2395</v>
      </c>
      <c r="AO4779" t="s">
        <v>34512</v>
      </c>
      <c r="AP4779" t="s">
        <v>7024</v>
      </c>
      <c r="AQ4779" t="s">
        <v>34513</v>
      </c>
      <c r="AT4779" s="184">
        <v>41975</v>
      </c>
      <c r="AU4779" t="s">
        <v>34254</v>
      </c>
      <c r="AV4779">
        <v>100</v>
      </c>
      <c r="AW4779" s="184">
        <v>45244</v>
      </c>
      <c r="AX4779" t="s">
        <v>8019</v>
      </c>
      <c r="AY4779">
        <v>1000</v>
      </c>
      <c r="AZ4779" s="184">
        <v>45244</v>
      </c>
      <c r="BA4779" t="s">
        <v>8019</v>
      </c>
      <c r="BB4779">
        <v>1000</v>
      </c>
      <c r="BC4779">
        <v>91</v>
      </c>
      <c r="BD4779">
        <v>4100</v>
      </c>
      <c r="BE4779">
        <v>2015</v>
      </c>
      <c r="BF4779">
        <v>10</v>
      </c>
      <c r="BG4779">
        <v>2</v>
      </c>
      <c r="BH4779">
        <v>2000</v>
      </c>
      <c r="BI4779">
        <v>10</v>
      </c>
      <c r="BJ4779">
        <v>11</v>
      </c>
      <c r="BK4779">
        <v>10</v>
      </c>
      <c r="BP4779" s="184"/>
    </row>
    <row r="4780" spans="1:68">
      <c r="A4780">
        <v>92243831</v>
      </c>
      <c r="B4780">
        <v>92243831</v>
      </c>
      <c r="C4780" t="s">
        <v>7018</v>
      </c>
      <c r="E4780" s="184"/>
      <c r="G4780" s="184"/>
      <c r="I4780" s="184"/>
      <c r="J4780" t="s">
        <v>595</v>
      </c>
      <c r="K4780" s="184">
        <v>44167</v>
      </c>
      <c r="M4780" s="184"/>
      <c r="O4780" s="184"/>
      <c r="P4780" t="s">
        <v>7045</v>
      </c>
      <c r="Q4780" t="s">
        <v>7194</v>
      </c>
      <c r="R4780" s="184">
        <v>14207</v>
      </c>
      <c r="S4780">
        <v>85</v>
      </c>
      <c r="V4780" t="s">
        <v>2541</v>
      </c>
      <c r="W4780" t="s">
        <v>205</v>
      </c>
      <c r="X4780" t="s">
        <v>34514</v>
      </c>
      <c r="AF4780" t="s">
        <v>34515</v>
      </c>
      <c r="AG4780" t="s">
        <v>2541</v>
      </c>
      <c r="AI4780" t="s">
        <v>34516</v>
      </c>
      <c r="AM4780" t="s">
        <v>5868</v>
      </c>
      <c r="AN4780" t="s">
        <v>2046</v>
      </c>
      <c r="AO4780" t="s">
        <v>34517</v>
      </c>
      <c r="AP4780" t="s">
        <v>7024</v>
      </c>
      <c r="AQ4780" t="s">
        <v>34518</v>
      </c>
      <c r="AR4780" t="s">
        <v>34519</v>
      </c>
      <c r="AT4780" s="184">
        <v>41988</v>
      </c>
      <c r="AU4780" t="s">
        <v>34520</v>
      </c>
      <c r="AV4780">
        <v>25</v>
      </c>
      <c r="AW4780" s="184">
        <v>44879</v>
      </c>
      <c r="AX4780" t="s">
        <v>34521</v>
      </c>
      <c r="AY4780">
        <v>100</v>
      </c>
      <c r="AZ4780" s="184">
        <v>44181</v>
      </c>
      <c r="BA4780" t="s">
        <v>25125</v>
      </c>
      <c r="BB4780">
        <v>150</v>
      </c>
      <c r="BC4780">
        <v>73</v>
      </c>
      <c r="BD4780">
        <v>935</v>
      </c>
      <c r="BE4780">
        <v>2015</v>
      </c>
      <c r="BF4780">
        <v>12</v>
      </c>
      <c r="BG4780">
        <v>1</v>
      </c>
      <c r="BH4780">
        <v>100</v>
      </c>
      <c r="BI4780">
        <v>8</v>
      </c>
      <c r="BJ4780">
        <v>11</v>
      </c>
      <c r="BK4780">
        <v>7</v>
      </c>
      <c r="BP4780" s="184"/>
    </row>
    <row r="4781" spans="1:68">
      <c r="A4781">
        <v>92248087</v>
      </c>
      <c r="B4781">
        <v>92248087</v>
      </c>
      <c r="C4781" t="s">
        <v>7018</v>
      </c>
      <c r="D4781" t="s">
        <v>595</v>
      </c>
      <c r="E4781" s="184">
        <v>44414</v>
      </c>
      <c r="G4781" s="184"/>
      <c r="I4781" s="184"/>
      <c r="K4781" s="184"/>
      <c r="M4781" s="184"/>
      <c r="O4781" s="184"/>
      <c r="P4781" t="s">
        <v>7045</v>
      </c>
      <c r="Q4781" t="s">
        <v>7262</v>
      </c>
      <c r="R4781" s="184">
        <v>17220</v>
      </c>
      <c r="S4781">
        <v>77</v>
      </c>
      <c r="V4781" t="s">
        <v>34522</v>
      </c>
      <c r="X4781" t="s">
        <v>4565</v>
      </c>
      <c r="AF4781" t="s">
        <v>34523</v>
      </c>
      <c r="AG4781" t="s">
        <v>34522</v>
      </c>
      <c r="AI4781" t="s">
        <v>34524</v>
      </c>
      <c r="AM4781" t="s">
        <v>5493</v>
      </c>
      <c r="AN4781" t="s">
        <v>2069</v>
      </c>
      <c r="AO4781" t="s">
        <v>34525</v>
      </c>
      <c r="AP4781" t="s">
        <v>7024</v>
      </c>
      <c r="AQ4781" t="s">
        <v>34526</v>
      </c>
      <c r="AT4781" s="184">
        <v>41989</v>
      </c>
      <c r="AU4781" t="s">
        <v>34527</v>
      </c>
      <c r="AV4781">
        <v>25</v>
      </c>
      <c r="AW4781" s="184">
        <v>45330</v>
      </c>
      <c r="AX4781" t="s">
        <v>11740</v>
      </c>
      <c r="AY4781">
        <v>100</v>
      </c>
      <c r="AZ4781" s="184">
        <v>44700</v>
      </c>
      <c r="BA4781" t="s">
        <v>34528</v>
      </c>
      <c r="BB4781">
        <v>115</v>
      </c>
      <c r="BC4781">
        <v>82</v>
      </c>
      <c r="BD4781">
        <v>1165</v>
      </c>
      <c r="BE4781">
        <v>2015</v>
      </c>
      <c r="BF4781">
        <v>18</v>
      </c>
      <c r="BG4781">
        <v>8</v>
      </c>
      <c r="BH4781">
        <v>765</v>
      </c>
      <c r="BI4781">
        <v>9</v>
      </c>
      <c r="BJ4781">
        <v>11</v>
      </c>
      <c r="BK4781">
        <v>7</v>
      </c>
      <c r="BP4781" s="184"/>
    </row>
    <row r="4782" spans="1:68">
      <c r="A4782">
        <v>92255371</v>
      </c>
      <c r="B4782">
        <v>92255371</v>
      </c>
      <c r="C4782" t="s">
        <v>7018</v>
      </c>
      <c r="D4782" t="s">
        <v>595</v>
      </c>
      <c r="E4782" s="184">
        <v>45138</v>
      </c>
      <c r="I4782" s="184"/>
      <c r="K4782" s="184"/>
      <c r="M4782" s="184"/>
      <c r="O4782" s="184"/>
      <c r="P4782" t="s">
        <v>7045</v>
      </c>
      <c r="Q4782" t="s">
        <v>7383</v>
      </c>
      <c r="R4782" s="184">
        <v>23651</v>
      </c>
      <c r="S4782">
        <v>59</v>
      </c>
      <c r="V4782" t="s">
        <v>5414</v>
      </c>
      <c r="W4782" t="s">
        <v>2058</v>
      </c>
      <c r="X4782" t="s">
        <v>34529</v>
      </c>
      <c r="AF4782" t="s">
        <v>34530</v>
      </c>
      <c r="AG4782" t="s">
        <v>5414</v>
      </c>
      <c r="AI4782" t="s">
        <v>34531</v>
      </c>
      <c r="AM4782" t="s">
        <v>34532</v>
      </c>
      <c r="AN4782" t="s">
        <v>2144</v>
      </c>
      <c r="AO4782" t="s">
        <v>34533</v>
      </c>
      <c r="AP4782" t="s">
        <v>7024</v>
      </c>
      <c r="AQ4782" t="s">
        <v>34534</v>
      </c>
      <c r="AT4782" s="184">
        <v>41990</v>
      </c>
      <c r="AU4782" t="s">
        <v>34535</v>
      </c>
      <c r="AV4782">
        <v>25</v>
      </c>
      <c r="AW4782" s="184">
        <v>44250</v>
      </c>
      <c r="AX4782" t="s">
        <v>34536</v>
      </c>
      <c r="AY4782">
        <v>10</v>
      </c>
      <c r="AZ4782" s="184">
        <v>42794</v>
      </c>
      <c r="BA4782" t="s">
        <v>34537</v>
      </c>
      <c r="BB4782">
        <v>25</v>
      </c>
      <c r="BC4782">
        <v>64</v>
      </c>
      <c r="BD4782">
        <v>245</v>
      </c>
      <c r="BE4782">
        <v>2015</v>
      </c>
      <c r="BF4782">
        <v>18</v>
      </c>
      <c r="BI4782">
        <v>7</v>
      </c>
      <c r="BJ4782">
        <v>11</v>
      </c>
      <c r="BK4782">
        <v>6</v>
      </c>
      <c r="BP4782" s="184"/>
    </row>
    <row r="4783" spans="1:68">
      <c r="A4783">
        <v>92258169</v>
      </c>
      <c r="B4783">
        <v>92258169</v>
      </c>
      <c r="C4783" t="s">
        <v>7018</v>
      </c>
      <c r="D4783" t="s">
        <v>595</v>
      </c>
      <c r="E4783" s="184">
        <v>44104</v>
      </c>
      <c r="G4783" s="184"/>
      <c r="I4783" s="184"/>
      <c r="K4783" s="184"/>
      <c r="M4783" s="184"/>
      <c r="O4783" s="184"/>
      <c r="P4783" t="s">
        <v>7045</v>
      </c>
      <c r="Q4783" t="s">
        <v>7020</v>
      </c>
      <c r="R4783" s="184">
        <v>13589</v>
      </c>
      <c r="S4783">
        <v>87</v>
      </c>
      <c r="V4783" t="s">
        <v>2541</v>
      </c>
      <c r="X4783" t="s">
        <v>34538</v>
      </c>
      <c r="AF4783" t="s">
        <v>34539</v>
      </c>
      <c r="AG4783" t="s">
        <v>2541</v>
      </c>
      <c r="AI4783" t="s">
        <v>34540</v>
      </c>
      <c r="AM4783" t="s">
        <v>34541</v>
      </c>
      <c r="AN4783" t="s">
        <v>2129</v>
      </c>
      <c r="AO4783" t="s">
        <v>34542</v>
      </c>
      <c r="AP4783" t="s">
        <v>7024</v>
      </c>
      <c r="AT4783" s="184">
        <v>41991</v>
      </c>
      <c r="AU4783" t="s">
        <v>34543</v>
      </c>
      <c r="AV4783">
        <v>15</v>
      </c>
      <c r="AW4783" s="184">
        <v>45412</v>
      </c>
      <c r="AX4783" t="s">
        <v>34544</v>
      </c>
      <c r="AY4783">
        <v>15</v>
      </c>
      <c r="AZ4783" s="184">
        <v>43921</v>
      </c>
      <c r="BA4783" t="s">
        <v>31831</v>
      </c>
      <c r="BB4783">
        <v>100</v>
      </c>
      <c r="BC4783">
        <v>73</v>
      </c>
      <c r="BD4783">
        <v>255</v>
      </c>
      <c r="BE4783">
        <v>2015</v>
      </c>
      <c r="BF4783">
        <v>9</v>
      </c>
      <c r="BG4783">
        <v>2</v>
      </c>
      <c r="BH4783">
        <v>30</v>
      </c>
      <c r="BI4783">
        <v>8</v>
      </c>
      <c r="BJ4783">
        <v>11</v>
      </c>
      <c r="BK4783">
        <v>3</v>
      </c>
      <c r="BP4783" s="184"/>
    </row>
    <row r="4784" spans="1:68">
      <c r="A4784">
        <v>92258367</v>
      </c>
      <c r="B4784">
        <v>92258367</v>
      </c>
      <c r="C4784" t="s">
        <v>7018</v>
      </c>
      <c r="D4784" t="s">
        <v>595</v>
      </c>
      <c r="E4784" s="184">
        <v>45196</v>
      </c>
      <c r="I4784" s="184"/>
      <c r="K4784" s="184"/>
      <c r="M4784" s="184"/>
      <c r="O4784" s="184"/>
      <c r="P4784" t="s">
        <v>7045</v>
      </c>
      <c r="Q4784" t="s">
        <v>7262</v>
      </c>
      <c r="R4784" s="184">
        <v>16285</v>
      </c>
      <c r="S4784">
        <v>79</v>
      </c>
      <c r="V4784" t="s">
        <v>4089</v>
      </c>
      <c r="X4784" t="s">
        <v>2706</v>
      </c>
      <c r="Z4784">
        <v>100327901</v>
      </c>
      <c r="AB4784" t="s">
        <v>3043</v>
      </c>
      <c r="AD4784" t="s">
        <v>2706</v>
      </c>
      <c r="AF4784" t="s">
        <v>34545</v>
      </c>
      <c r="AG4784" t="s">
        <v>34546</v>
      </c>
      <c r="AI4784" t="s">
        <v>34547</v>
      </c>
      <c r="AM4784" t="s">
        <v>34548</v>
      </c>
      <c r="AN4784" t="s">
        <v>2069</v>
      </c>
      <c r="AO4784" t="s">
        <v>34549</v>
      </c>
      <c r="AP4784" t="s">
        <v>7024</v>
      </c>
      <c r="AQ4784" t="s">
        <v>34550</v>
      </c>
      <c r="AT4784" s="184">
        <v>41991</v>
      </c>
      <c r="AU4784" t="s">
        <v>34551</v>
      </c>
      <c r="AV4784">
        <v>25</v>
      </c>
      <c r="AW4784" s="184">
        <v>45352</v>
      </c>
      <c r="AX4784" t="s">
        <v>34552</v>
      </c>
      <c r="AY4784">
        <v>25</v>
      </c>
      <c r="AZ4784" s="184">
        <v>45352</v>
      </c>
      <c r="BA4784" t="s">
        <v>34552</v>
      </c>
      <c r="BB4784">
        <v>25</v>
      </c>
      <c r="BC4784">
        <v>64</v>
      </c>
      <c r="BD4784">
        <v>200</v>
      </c>
      <c r="BE4784">
        <v>2015</v>
      </c>
      <c r="BF4784">
        <v>8</v>
      </c>
      <c r="BG4784">
        <v>1</v>
      </c>
      <c r="BH4784">
        <v>25</v>
      </c>
      <c r="BI4784">
        <v>7</v>
      </c>
      <c r="BJ4784">
        <v>11</v>
      </c>
      <c r="BK4784">
        <v>2</v>
      </c>
      <c r="BP4784" s="184"/>
    </row>
    <row r="4785" spans="1:68">
      <c r="A4785">
        <v>100327901</v>
      </c>
      <c r="B4785">
        <v>92258367</v>
      </c>
      <c r="C4785" t="s">
        <v>7018</v>
      </c>
      <c r="D4785" t="s">
        <v>595</v>
      </c>
      <c r="E4785" s="184">
        <v>45196</v>
      </c>
      <c r="G4785" s="184"/>
      <c r="I4785" s="184"/>
      <c r="K4785" s="184"/>
      <c r="M4785" s="184"/>
      <c r="O4785" s="184"/>
      <c r="P4785" t="s">
        <v>7045</v>
      </c>
      <c r="Q4785" t="s">
        <v>7262</v>
      </c>
      <c r="R4785" s="184">
        <v>16619</v>
      </c>
      <c r="S4785">
        <v>78</v>
      </c>
      <c r="V4785" t="s">
        <v>3043</v>
      </c>
      <c r="X4785" t="s">
        <v>2706</v>
      </c>
      <c r="Z4785">
        <v>92258367</v>
      </c>
      <c r="AB4785" t="s">
        <v>4089</v>
      </c>
      <c r="AD4785" t="s">
        <v>2706</v>
      </c>
      <c r="AF4785" t="s">
        <v>34545</v>
      </c>
      <c r="AG4785" t="s">
        <v>34546</v>
      </c>
      <c r="AI4785" t="s">
        <v>34547</v>
      </c>
      <c r="AM4785" t="s">
        <v>34548</v>
      </c>
      <c r="AN4785" t="s">
        <v>2069</v>
      </c>
      <c r="AO4785" t="s">
        <v>34549</v>
      </c>
      <c r="AP4785" t="s">
        <v>7024</v>
      </c>
      <c r="AT4785" s="184"/>
      <c r="AW4785" s="184"/>
      <c r="AZ4785" s="184"/>
      <c r="BP4785" s="184"/>
    </row>
    <row r="4786" spans="1:68">
      <c r="A4786">
        <v>92264969</v>
      </c>
      <c r="B4786">
        <v>92264969</v>
      </c>
      <c r="C4786" t="s">
        <v>7018</v>
      </c>
      <c r="E4786" s="184"/>
      <c r="H4786" t="s">
        <v>595</v>
      </c>
      <c r="I4786" s="184">
        <v>45181</v>
      </c>
      <c r="K4786" s="184"/>
      <c r="M4786" s="184"/>
      <c r="O4786" s="184"/>
      <c r="P4786" t="s">
        <v>7019</v>
      </c>
      <c r="Q4786" t="s">
        <v>7194</v>
      </c>
      <c r="R4786" s="184">
        <v>20729</v>
      </c>
      <c r="S4786">
        <v>67</v>
      </c>
      <c r="U4786" t="s">
        <v>7031</v>
      </c>
      <c r="V4786" t="s">
        <v>3254</v>
      </c>
      <c r="W4786" t="s">
        <v>205</v>
      </c>
      <c r="X4786" t="s">
        <v>34553</v>
      </c>
      <c r="AF4786" t="s">
        <v>34554</v>
      </c>
      <c r="AG4786" t="s">
        <v>3254</v>
      </c>
      <c r="AI4786" t="s">
        <v>34555</v>
      </c>
      <c r="AM4786" t="s">
        <v>34556</v>
      </c>
      <c r="AN4786" t="s">
        <v>2046</v>
      </c>
      <c r="AO4786" t="s">
        <v>34557</v>
      </c>
      <c r="AP4786" t="s">
        <v>7024</v>
      </c>
      <c r="AQ4786" t="s">
        <v>34558</v>
      </c>
      <c r="AR4786" t="s">
        <v>34559</v>
      </c>
      <c r="AT4786" s="184">
        <v>41992</v>
      </c>
      <c r="AU4786" t="s">
        <v>34560</v>
      </c>
      <c r="AV4786">
        <v>25</v>
      </c>
      <c r="AW4786" s="184">
        <v>45110</v>
      </c>
      <c r="AX4786" t="s">
        <v>34561</v>
      </c>
      <c r="AY4786">
        <v>20</v>
      </c>
      <c r="AZ4786" s="184">
        <v>44993</v>
      </c>
      <c r="BA4786" t="s">
        <v>34562</v>
      </c>
      <c r="BB4786">
        <v>60</v>
      </c>
      <c r="BC4786">
        <v>82</v>
      </c>
      <c r="BD4786">
        <v>380</v>
      </c>
      <c r="BE4786">
        <v>2015</v>
      </c>
      <c r="BF4786">
        <v>15</v>
      </c>
      <c r="BG4786">
        <v>2</v>
      </c>
      <c r="BH4786">
        <v>80</v>
      </c>
      <c r="BI4786">
        <v>9</v>
      </c>
      <c r="BJ4786">
        <v>11</v>
      </c>
      <c r="BK4786">
        <v>6</v>
      </c>
      <c r="BP4786" s="184"/>
    </row>
    <row r="4787" spans="1:68">
      <c r="A4787">
        <v>92266741</v>
      </c>
      <c r="B4787">
        <v>92266741</v>
      </c>
      <c r="C4787" t="s">
        <v>7018</v>
      </c>
      <c r="E4787" s="184"/>
      <c r="H4787" t="s">
        <v>595</v>
      </c>
      <c r="I4787" s="184">
        <v>45282</v>
      </c>
      <c r="K4787" s="184"/>
      <c r="M4787" s="184"/>
      <c r="O4787" s="184"/>
      <c r="P4787" t="s">
        <v>7045</v>
      </c>
      <c r="Q4787" t="s">
        <v>7020</v>
      </c>
      <c r="R4787" s="184">
        <v>12751</v>
      </c>
      <c r="S4787">
        <v>89</v>
      </c>
      <c r="V4787" t="s">
        <v>2541</v>
      </c>
      <c r="X4787" t="s">
        <v>34563</v>
      </c>
      <c r="AF4787" t="s">
        <v>34564</v>
      </c>
      <c r="AG4787" t="s">
        <v>2541</v>
      </c>
      <c r="AI4787" t="s">
        <v>34565</v>
      </c>
      <c r="AM4787" t="s">
        <v>7900</v>
      </c>
      <c r="AN4787" t="s">
        <v>2052</v>
      </c>
      <c r="AO4787" t="s">
        <v>34566</v>
      </c>
      <c r="AP4787" t="s">
        <v>7024</v>
      </c>
      <c r="AQ4787" t="s">
        <v>34567</v>
      </c>
      <c r="AR4787" t="s">
        <v>34568</v>
      </c>
      <c r="AT4787" s="184">
        <v>41995</v>
      </c>
      <c r="AU4787" t="s">
        <v>34569</v>
      </c>
      <c r="AV4787">
        <v>25</v>
      </c>
      <c r="AW4787" s="184">
        <v>45288</v>
      </c>
      <c r="AX4787" t="s">
        <v>7152</v>
      </c>
      <c r="AY4787">
        <v>35</v>
      </c>
      <c r="AZ4787" s="184">
        <v>45288</v>
      </c>
      <c r="BA4787" t="s">
        <v>7152</v>
      </c>
      <c r="BB4787">
        <v>35</v>
      </c>
      <c r="BC4787">
        <v>37</v>
      </c>
      <c r="BD4787">
        <v>110</v>
      </c>
      <c r="BE4787">
        <v>2015</v>
      </c>
      <c r="BF4787">
        <v>4</v>
      </c>
      <c r="BG4787">
        <v>2</v>
      </c>
      <c r="BH4787">
        <v>60</v>
      </c>
      <c r="BI4787">
        <v>4</v>
      </c>
      <c r="BJ4787">
        <v>11</v>
      </c>
      <c r="BK4787">
        <v>3</v>
      </c>
      <c r="BP4787" s="184"/>
    </row>
    <row r="4788" spans="1:68">
      <c r="A4788">
        <v>92268861</v>
      </c>
      <c r="B4788">
        <v>92268861</v>
      </c>
      <c r="C4788" t="s">
        <v>7018</v>
      </c>
      <c r="D4788" t="s">
        <v>595</v>
      </c>
      <c r="E4788" s="184">
        <v>45104</v>
      </c>
      <c r="I4788" s="184"/>
      <c r="K4788" s="184"/>
      <c r="M4788" s="184"/>
      <c r="O4788" s="184"/>
      <c r="P4788" t="s">
        <v>7045</v>
      </c>
      <c r="Q4788" t="s">
        <v>7383</v>
      </c>
      <c r="R4788" s="184">
        <v>14299</v>
      </c>
      <c r="S4788">
        <v>85</v>
      </c>
      <c r="V4788" t="s">
        <v>34570</v>
      </c>
      <c r="X4788" t="s">
        <v>34571</v>
      </c>
      <c r="AF4788" t="s">
        <v>34572</v>
      </c>
      <c r="AG4788" t="s">
        <v>34570</v>
      </c>
      <c r="AI4788" t="s">
        <v>34573</v>
      </c>
      <c r="AM4788" t="s">
        <v>34574</v>
      </c>
      <c r="AN4788" t="s">
        <v>2162</v>
      </c>
      <c r="AO4788" t="s">
        <v>34575</v>
      </c>
      <c r="AP4788" t="s">
        <v>7024</v>
      </c>
      <c r="AQ4788" t="s">
        <v>34576</v>
      </c>
      <c r="AT4788" s="184">
        <v>41995</v>
      </c>
      <c r="AU4788" t="s">
        <v>34577</v>
      </c>
      <c r="AV4788">
        <v>15</v>
      </c>
      <c r="AW4788" s="184">
        <v>44767</v>
      </c>
      <c r="AX4788" t="s">
        <v>19067</v>
      </c>
      <c r="AY4788">
        <v>5</v>
      </c>
      <c r="AZ4788" s="184">
        <v>43829</v>
      </c>
      <c r="BA4788" t="s">
        <v>34578</v>
      </c>
      <c r="BB4788">
        <v>25</v>
      </c>
      <c r="BC4788">
        <v>64</v>
      </c>
      <c r="BD4788">
        <v>123</v>
      </c>
      <c r="BE4788">
        <v>2015</v>
      </c>
      <c r="BF4788">
        <v>11</v>
      </c>
      <c r="BG4788">
        <v>1</v>
      </c>
      <c r="BH4788">
        <v>5</v>
      </c>
      <c r="BI4788">
        <v>7</v>
      </c>
      <c r="BJ4788">
        <v>11</v>
      </c>
      <c r="BK4788">
        <v>6</v>
      </c>
      <c r="BN4788" t="s">
        <v>595</v>
      </c>
      <c r="BP4788" s="184"/>
    </row>
    <row r="4789" spans="1:68">
      <c r="A4789">
        <v>92269109</v>
      </c>
      <c r="B4789">
        <v>92269109</v>
      </c>
      <c r="C4789" t="s">
        <v>7018</v>
      </c>
      <c r="D4789" t="s">
        <v>595</v>
      </c>
      <c r="E4789" s="184">
        <v>44328</v>
      </c>
      <c r="I4789" s="184"/>
      <c r="K4789" s="184"/>
      <c r="M4789" s="184"/>
      <c r="O4789" s="184"/>
      <c r="P4789" t="s">
        <v>7045</v>
      </c>
      <c r="Q4789" t="s">
        <v>7160</v>
      </c>
      <c r="R4789" s="184">
        <v>16465</v>
      </c>
      <c r="S4789">
        <v>79</v>
      </c>
      <c r="V4789" t="s">
        <v>2779</v>
      </c>
      <c r="X4789" t="s">
        <v>34579</v>
      </c>
      <c r="AF4789" t="s">
        <v>34580</v>
      </c>
      <c r="AG4789" t="s">
        <v>2779</v>
      </c>
      <c r="AI4789" t="s">
        <v>34581</v>
      </c>
      <c r="AM4789" t="s">
        <v>2737</v>
      </c>
      <c r="AN4789" t="s">
        <v>2176</v>
      </c>
      <c r="AO4789" t="s">
        <v>34582</v>
      </c>
      <c r="AP4789" t="s">
        <v>7024</v>
      </c>
      <c r="AQ4789" t="s">
        <v>34583</v>
      </c>
      <c r="AR4789" t="s">
        <v>34584</v>
      </c>
      <c r="AT4789" s="184">
        <v>41995</v>
      </c>
      <c r="AU4789" t="s">
        <v>34585</v>
      </c>
      <c r="AV4789">
        <v>25</v>
      </c>
      <c r="AW4789" s="184">
        <v>45022</v>
      </c>
      <c r="AX4789" t="s">
        <v>14056</v>
      </c>
      <c r="AY4789">
        <v>35</v>
      </c>
      <c r="AZ4789" s="184">
        <v>43572</v>
      </c>
      <c r="BA4789" t="s">
        <v>34586</v>
      </c>
      <c r="BB4789">
        <v>75</v>
      </c>
      <c r="BC4789">
        <v>73</v>
      </c>
      <c r="BD4789">
        <v>410</v>
      </c>
      <c r="BE4789">
        <v>2015</v>
      </c>
      <c r="BF4789">
        <v>11</v>
      </c>
      <c r="BG4789">
        <v>1</v>
      </c>
      <c r="BH4789">
        <v>35</v>
      </c>
      <c r="BI4789">
        <v>8</v>
      </c>
      <c r="BJ4789">
        <v>11</v>
      </c>
      <c r="BK4789">
        <v>4</v>
      </c>
      <c r="BN4789" t="s">
        <v>595</v>
      </c>
      <c r="BP4789" s="184"/>
    </row>
    <row r="4790" spans="1:68">
      <c r="A4790">
        <v>92270594</v>
      </c>
      <c r="B4790">
        <v>92270594</v>
      </c>
      <c r="C4790" t="s">
        <v>7018</v>
      </c>
      <c r="E4790" s="184"/>
      <c r="I4790" s="184"/>
      <c r="J4790" t="s">
        <v>595</v>
      </c>
      <c r="K4790" s="184">
        <v>37438</v>
      </c>
      <c r="M4790" s="184"/>
      <c r="O4790" s="184"/>
      <c r="P4790" t="s">
        <v>7045</v>
      </c>
      <c r="Q4790" t="s">
        <v>7262</v>
      </c>
      <c r="R4790" s="184">
        <v>19016</v>
      </c>
      <c r="S4790">
        <v>72</v>
      </c>
      <c r="U4790" t="s">
        <v>7076</v>
      </c>
      <c r="V4790" t="s">
        <v>20539</v>
      </c>
      <c r="X4790" t="s">
        <v>3794</v>
      </c>
      <c r="AF4790" t="s">
        <v>6188</v>
      </c>
      <c r="AG4790" t="s">
        <v>20539</v>
      </c>
      <c r="AI4790" t="s">
        <v>34587</v>
      </c>
      <c r="AM4790" t="s">
        <v>4814</v>
      </c>
      <c r="AN4790" t="s">
        <v>65</v>
      </c>
      <c r="AO4790" t="s">
        <v>34588</v>
      </c>
      <c r="AP4790" t="s">
        <v>7024</v>
      </c>
      <c r="AQ4790" t="s">
        <v>34589</v>
      </c>
      <c r="AT4790" s="184">
        <v>34297</v>
      </c>
      <c r="AU4790" t="s">
        <v>14900</v>
      </c>
      <c r="AV4790">
        <v>15</v>
      </c>
      <c r="AW4790" s="184">
        <v>44559</v>
      </c>
      <c r="AX4790" t="s">
        <v>34590</v>
      </c>
      <c r="AY4790">
        <v>100</v>
      </c>
      <c r="AZ4790" s="184">
        <v>37977</v>
      </c>
      <c r="BA4790" t="s">
        <v>34591</v>
      </c>
      <c r="BB4790">
        <v>500</v>
      </c>
      <c r="BC4790">
        <v>66</v>
      </c>
      <c r="BD4790">
        <v>4080</v>
      </c>
      <c r="BE4790">
        <v>1994</v>
      </c>
      <c r="BF4790">
        <v>24</v>
      </c>
      <c r="BI4790">
        <v>21</v>
      </c>
      <c r="BJ4790">
        <v>32</v>
      </c>
      <c r="BK4790">
        <v>7</v>
      </c>
      <c r="BP4790" s="184"/>
    </row>
    <row r="4791" spans="1:68">
      <c r="A4791">
        <v>92301613</v>
      </c>
      <c r="B4791">
        <v>92301613</v>
      </c>
      <c r="C4791" t="s">
        <v>7018</v>
      </c>
      <c r="D4791" t="s">
        <v>595</v>
      </c>
      <c r="E4791" s="184">
        <v>44073</v>
      </c>
      <c r="I4791" s="184"/>
      <c r="K4791" s="184"/>
      <c r="M4791" s="184"/>
      <c r="O4791" s="184"/>
      <c r="P4791" t="s">
        <v>7045</v>
      </c>
      <c r="Q4791" t="s">
        <v>7020</v>
      </c>
      <c r="R4791" s="184">
        <v>14117</v>
      </c>
      <c r="S4791">
        <v>85</v>
      </c>
      <c r="V4791" t="s">
        <v>2541</v>
      </c>
      <c r="X4791" t="s">
        <v>34592</v>
      </c>
      <c r="AF4791" t="s">
        <v>34593</v>
      </c>
      <c r="AG4791" t="s">
        <v>2541</v>
      </c>
      <c r="AI4791" t="s">
        <v>34594</v>
      </c>
      <c r="AM4791" t="s">
        <v>11647</v>
      </c>
      <c r="AN4791" t="s">
        <v>2240</v>
      </c>
      <c r="AO4791" t="s">
        <v>34595</v>
      </c>
      <c r="AP4791" t="s">
        <v>7024</v>
      </c>
      <c r="AQ4791" t="s">
        <v>34596</v>
      </c>
      <c r="AT4791" s="184">
        <v>42002</v>
      </c>
      <c r="AU4791" t="s">
        <v>34597</v>
      </c>
      <c r="AV4791">
        <v>20</v>
      </c>
      <c r="AW4791" s="184">
        <v>45394</v>
      </c>
      <c r="AX4791" t="s">
        <v>34598</v>
      </c>
      <c r="AY4791">
        <v>15</v>
      </c>
      <c r="AZ4791" s="184">
        <v>45391</v>
      </c>
      <c r="BA4791" t="s">
        <v>34599</v>
      </c>
      <c r="BB4791">
        <v>25</v>
      </c>
      <c r="BC4791">
        <v>82</v>
      </c>
      <c r="BD4791">
        <v>210</v>
      </c>
      <c r="BE4791">
        <v>2015</v>
      </c>
      <c r="BF4791">
        <v>11</v>
      </c>
      <c r="BG4791">
        <v>2</v>
      </c>
      <c r="BH4791">
        <v>40</v>
      </c>
      <c r="BI4791">
        <v>9</v>
      </c>
      <c r="BJ4791">
        <v>11</v>
      </c>
      <c r="BK4791">
        <v>8</v>
      </c>
      <c r="BP4791" s="184"/>
    </row>
    <row r="4792" spans="1:68">
      <c r="A4792">
        <v>92313741</v>
      </c>
      <c r="B4792">
        <v>92313741</v>
      </c>
      <c r="C4792" t="s">
        <v>7018</v>
      </c>
      <c r="E4792" s="184"/>
      <c r="I4792" s="184"/>
      <c r="J4792" t="s">
        <v>595</v>
      </c>
      <c r="K4792" s="184">
        <v>42229</v>
      </c>
      <c r="M4792" s="184"/>
      <c r="O4792" s="184"/>
      <c r="P4792" t="s">
        <v>7029</v>
      </c>
      <c r="Q4792" t="s">
        <v>7020</v>
      </c>
      <c r="R4792" s="184">
        <v>14511</v>
      </c>
      <c r="S4792">
        <v>84</v>
      </c>
      <c r="V4792" t="s">
        <v>5916</v>
      </c>
      <c r="X4792" t="s">
        <v>5914</v>
      </c>
      <c r="Z4792">
        <v>100184373</v>
      </c>
      <c r="AB4792" t="s">
        <v>3373</v>
      </c>
      <c r="AD4792" t="s">
        <v>5914</v>
      </c>
      <c r="AF4792" t="s">
        <v>34600</v>
      </c>
      <c r="AG4792" t="s">
        <v>5916</v>
      </c>
      <c r="AI4792" t="s">
        <v>34601</v>
      </c>
      <c r="AM4792" t="s">
        <v>3040</v>
      </c>
      <c r="AN4792" t="s">
        <v>2129</v>
      </c>
      <c r="AO4792">
        <v>8527</v>
      </c>
      <c r="AP4792" t="s">
        <v>7024</v>
      </c>
      <c r="AT4792" s="184">
        <v>42006</v>
      </c>
      <c r="AU4792" t="s">
        <v>34475</v>
      </c>
      <c r="AV4792">
        <v>1000</v>
      </c>
      <c r="AW4792" s="184">
        <v>45306</v>
      </c>
      <c r="AX4792" t="s">
        <v>7382</v>
      </c>
      <c r="AY4792">
        <v>500</v>
      </c>
      <c r="AZ4792" s="184">
        <v>43664</v>
      </c>
      <c r="BA4792" t="s">
        <v>34602</v>
      </c>
      <c r="BB4792">
        <v>2019</v>
      </c>
      <c r="BC4792">
        <v>100</v>
      </c>
      <c r="BD4792">
        <v>21869</v>
      </c>
      <c r="BE4792">
        <v>2015</v>
      </c>
      <c r="BF4792">
        <v>28</v>
      </c>
      <c r="BG4792">
        <v>6</v>
      </c>
      <c r="BH4792">
        <v>4500</v>
      </c>
      <c r="BI4792">
        <v>10</v>
      </c>
      <c r="BJ4792">
        <v>10</v>
      </c>
      <c r="BK4792">
        <v>10</v>
      </c>
      <c r="BP4792" s="184"/>
    </row>
    <row r="4793" spans="1:68">
      <c r="A4793">
        <v>100184373</v>
      </c>
      <c r="B4793">
        <v>92313741</v>
      </c>
      <c r="C4793" t="s">
        <v>7018</v>
      </c>
      <c r="E4793" s="184"/>
      <c r="I4793" s="184"/>
      <c r="J4793" t="s">
        <v>595</v>
      </c>
      <c r="K4793" s="184">
        <v>42229</v>
      </c>
      <c r="M4793" s="184"/>
      <c r="O4793" s="184"/>
      <c r="P4793" t="s">
        <v>7029</v>
      </c>
      <c r="Q4793" t="s">
        <v>7020</v>
      </c>
      <c r="R4793" s="184"/>
      <c r="V4793" t="s">
        <v>3373</v>
      </c>
      <c r="X4793" t="s">
        <v>5914</v>
      </c>
      <c r="Z4793">
        <v>92313741</v>
      </c>
      <c r="AB4793" t="s">
        <v>5916</v>
      </c>
      <c r="AD4793" t="s">
        <v>5914</v>
      </c>
      <c r="AF4793" t="s">
        <v>34600</v>
      </c>
      <c r="AG4793" t="s">
        <v>5916</v>
      </c>
      <c r="AI4793" t="s">
        <v>34601</v>
      </c>
      <c r="AM4793" t="s">
        <v>3040</v>
      </c>
      <c r="AN4793" t="s">
        <v>2129</v>
      </c>
      <c r="AO4793">
        <v>8527</v>
      </c>
      <c r="AP4793" t="s">
        <v>7024</v>
      </c>
      <c r="AT4793" s="184"/>
      <c r="AW4793" s="184"/>
      <c r="AZ4793" s="184"/>
      <c r="BO4793" t="s">
        <v>595</v>
      </c>
      <c r="BP4793" s="184"/>
    </row>
    <row r="4794" spans="1:68">
      <c r="A4794">
        <v>92317924</v>
      </c>
      <c r="B4794">
        <v>92317924</v>
      </c>
      <c r="C4794" t="s">
        <v>7018</v>
      </c>
      <c r="D4794" t="s">
        <v>595</v>
      </c>
      <c r="E4794" s="184">
        <v>45113</v>
      </c>
      <c r="I4794" s="184"/>
      <c r="K4794" s="184"/>
      <c r="M4794" s="184"/>
      <c r="O4794" s="184"/>
      <c r="P4794" t="s">
        <v>7045</v>
      </c>
      <c r="Q4794" t="s">
        <v>7020</v>
      </c>
      <c r="R4794" s="184">
        <v>23123</v>
      </c>
      <c r="S4794">
        <v>61</v>
      </c>
      <c r="V4794" t="s">
        <v>2876</v>
      </c>
      <c r="X4794" t="s">
        <v>34603</v>
      </c>
      <c r="AF4794" t="s">
        <v>34604</v>
      </c>
      <c r="AG4794" t="s">
        <v>2876</v>
      </c>
      <c r="AI4794" t="s">
        <v>34605</v>
      </c>
      <c r="AM4794" t="s">
        <v>3004</v>
      </c>
      <c r="AN4794" t="s">
        <v>2112</v>
      </c>
      <c r="AO4794" t="s">
        <v>34606</v>
      </c>
      <c r="AP4794" t="s">
        <v>7024</v>
      </c>
      <c r="AQ4794" t="s">
        <v>34607</v>
      </c>
      <c r="AR4794" t="s">
        <v>34608</v>
      </c>
      <c r="AT4794" s="184">
        <v>42009</v>
      </c>
      <c r="AU4794" t="s">
        <v>34609</v>
      </c>
      <c r="AV4794">
        <v>25</v>
      </c>
      <c r="AW4794" s="184">
        <v>45308</v>
      </c>
      <c r="AX4794" t="s">
        <v>8133</v>
      </c>
      <c r="AY4794">
        <v>50</v>
      </c>
      <c r="AZ4794" s="184">
        <v>45308</v>
      </c>
      <c r="BA4794" t="s">
        <v>8133</v>
      </c>
      <c r="BB4794">
        <v>50</v>
      </c>
      <c r="BC4794">
        <v>80</v>
      </c>
      <c r="BD4794">
        <v>260</v>
      </c>
      <c r="BE4794">
        <v>2015</v>
      </c>
      <c r="BF4794">
        <v>9</v>
      </c>
      <c r="BG4794">
        <v>2</v>
      </c>
      <c r="BH4794">
        <v>85</v>
      </c>
      <c r="BI4794">
        <v>8</v>
      </c>
      <c r="BJ4794">
        <v>10</v>
      </c>
      <c r="BK4794">
        <v>4</v>
      </c>
      <c r="BP4794" s="184"/>
    </row>
    <row r="4795" spans="1:68">
      <c r="A4795">
        <v>92332204</v>
      </c>
      <c r="B4795">
        <v>92332204</v>
      </c>
      <c r="C4795" t="s">
        <v>7018</v>
      </c>
      <c r="E4795" s="184"/>
      <c r="I4795" s="184"/>
      <c r="K4795" s="184"/>
      <c r="L4795" t="s">
        <v>595</v>
      </c>
      <c r="M4795" s="184">
        <v>43923</v>
      </c>
      <c r="O4795" s="184"/>
      <c r="P4795" t="s">
        <v>7045</v>
      </c>
      <c r="Q4795" t="s">
        <v>7262</v>
      </c>
      <c r="R4795" s="184">
        <v>15407</v>
      </c>
      <c r="S4795">
        <v>82</v>
      </c>
      <c r="U4795" t="s">
        <v>7130</v>
      </c>
      <c r="V4795" t="s">
        <v>3011</v>
      </c>
      <c r="X4795" t="s">
        <v>11331</v>
      </c>
      <c r="AF4795" t="s">
        <v>34610</v>
      </c>
      <c r="AG4795" t="s">
        <v>3011</v>
      </c>
      <c r="AI4795" t="s">
        <v>34611</v>
      </c>
      <c r="AM4795" t="s">
        <v>17278</v>
      </c>
      <c r="AN4795" t="s">
        <v>65</v>
      </c>
      <c r="AO4795" t="s">
        <v>34612</v>
      </c>
      <c r="AP4795" t="s">
        <v>7024</v>
      </c>
      <c r="AQ4795" t="s">
        <v>34613</v>
      </c>
      <c r="AT4795" s="184">
        <v>42018</v>
      </c>
      <c r="AU4795" t="s">
        <v>34614</v>
      </c>
      <c r="AV4795">
        <v>25</v>
      </c>
      <c r="AW4795" s="184">
        <v>45359</v>
      </c>
      <c r="AX4795" t="s">
        <v>34615</v>
      </c>
      <c r="AY4795">
        <v>50</v>
      </c>
      <c r="AZ4795" s="184">
        <v>45359</v>
      </c>
      <c r="BA4795" t="s">
        <v>34615</v>
      </c>
      <c r="BB4795">
        <v>50</v>
      </c>
      <c r="BC4795">
        <v>70</v>
      </c>
      <c r="BD4795">
        <v>310</v>
      </c>
      <c r="BE4795">
        <v>2015</v>
      </c>
      <c r="BF4795">
        <v>7</v>
      </c>
      <c r="BG4795">
        <v>3</v>
      </c>
      <c r="BH4795">
        <v>150</v>
      </c>
      <c r="BI4795">
        <v>7</v>
      </c>
      <c r="BJ4795">
        <v>10</v>
      </c>
      <c r="BK4795">
        <v>5</v>
      </c>
      <c r="BN4795" t="s">
        <v>595</v>
      </c>
      <c r="BP4795" s="184"/>
    </row>
    <row r="4796" spans="1:68">
      <c r="A4796">
        <v>92333871</v>
      </c>
      <c r="B4796">
        <v>92333871</v>
      </c>
      <c r="C4796" t="s">
        <v>7018</v>
      </c>
      <c r="D4796" t="s">
        <v>595</v>
      </c>
      <c r="E4796" s="184">
        <v>44441</v>
      </c>
      <c r="G4796" s="184"/>
      <c r="I4796" s="184"/>
      <c r="K4796" s="184"/>
      <c r="M4796" s="184"/>
      <c r="O4796" s="184"/>
      <c r="P4796" t="s">
        <v>7045</v>
      </c>
      <c r="Q4796" t="s">
        <v>7262</v>
      </c>
      <c r="R4796" s="184">
        <v>9247</v>
      </c>
      <c r="S4796">
        <v>99</v>
      </c>
      <c r="V4796" t="s">
        <v>34616</v>
      </c>
      <c r="X4796" t="s">
        <v>2706</v>
      </c>
      <c r="AF4796" t="s">
        <v>34617</v>
      </c>
      <c r="AG4796" t="s">
        <v>34616</v>
      </c>
      <c r="AI4796" t="s">
        <v>34618</v>
      </c>
      <c r="AM4796" t="s">
        <v>34619</v>
      </c>
      <c r="AN4796" t="s">
        <v>2069</v>
      </c>
      <c r="AO4796" t="s">
        <v>34620</v>
      </c>
      <c r="AP4796" t="s">
        <v>7024</v>
      </c>
      <c r="AQ4796" t="s">
        <v>34621</v>
      </c>
      <c r="AT4796" s="184">
        <v>42016</v>
      </c>
      <c r="AU4796" t="s">
        <v>34520</v>
      </c>
      <c r="AV4796">
        <v>25</v>
      </c>
      <c r="AW4796" s="184">
        <v>44158</v>
      </c>
      <c r="AX4796" t="s">
        <v>34622</v>
      </c>
      <c r="AY4796">
        <v>60</v>
      </c>
      <c r="AZ4796" s="184">
        <v>44158</v>
      </c>
      <c r="BA4796" t="s">
        <v>34622</v>
      </c>
      <c r="BB4796">
        <v>60</v>
      </c>
      <c r="BC4796">
        <v>50</v>
      </c>
      <c r="BD4796">
        <v>205</v>
      </c>
      <c r="BE4796">
        <v>2015</v>
      </c>
      <c r="BF4796">
        <v>7</v>
      </c>
      <c r="BI4796">
        <v>5</v>
      </c>
      <c r="BJ4796">
        <v>10</v>
      </c>
      <c r="BK4796">
        <v>4</v>
      </c>
      <c r="BP4796" s="184"/>
    </row>
    <row r="4797" spans="1:68">
      <c r="A4797">
        <v>92334739</v>
      </c>
      <c r="B4797">
        <v>92334739</v>
      </c>
      <c r="C4797" t="s">
        <v>7018</v>
      </c>
      <c r="D4797" t="s">
        <v>595</v>
      </c>
      <c r="E4797" s="184">
        <v>44328</v>
      </c>
      <c r="I4797" s="184"/>
      <c r="K4797" s="184"/>
      <c r="M4797" s="184"/>
      <c r="O4797" s="184"/>
      <c r="P4797" t="s">
        <v>7045</v>
      </c>
      <c r="Q4797" t="s">
        <v>7194</v>
      </c>
      <c r="R4797" s="184">
        <v>16038</v>
      </c>
      <c r="S4797">
        <v>80</v>
      </c>
      <c r="V4797" t="s">
        <v>34623</v>
      </c>
      <c r="X4797" t="s">
        <v>34624</v>
      </c>
      <c r="AF4797" t="s">
        <v>34625</v>
      </c>
      <c r="AG4797" t="s">
        <v>34623</v>
      </c>
      <c r="AI4797" t="s">
        <v>34626</v>
      </c>
      <c r="AM4797" t="s">
        <v>4351</v>
      </c>
      <c r="AN4797" t="s">
        <v>2046</v>
      </c>
      <c r="AO4797" t="s">
        <v>34627</v>
      </c>
      <c r="AP4797" t="s">
        <v>7024</v>
      </c>
      <c r="AQ4797" t="s">
        <v>34628</v>
      </c>
      <c r="AT4797" s="184">
        <v>42016</v>
      </c>
      <c r="AU4797" t="s">
        <v>34629</v>
      </c>
      <c r="AV4797">
        <v>25</v>
      </c>
      <c r="AW4797" s="184">
        <v>45426</v>
      </c>
      <c r="AX4797" t="s">
        <v>7422</v>
      </c>
      <c r="AY4797">
        <v>10</v>
      </c>
      <c r="AZ4797" s="184">
        <v>42016</v>
      </c>
      <c r="BA4797" t="s">
        <v>34629</v>
      </c>
      <c r="BB4797">
        <v>25</v>
      </c>
      <c r="BC4797">
        <v>100</v>
      </c>
      <c r="BD4797">
        <v>1075</v>
      </c>
      <c r="BE4797">
        <v>2015</v>
      </c>
      <c r="BF4797">
        <v>106</v>
      </c>
      <c r="BG4797">
        <v>24</v>
      </c>
      <c r="BH4797">
        <v>240</v>
      </c>
      <c r="BI4797">
        <v>10</v>
      </c>
      <c r="BJ4797">
        <v>10</v>
      </c>
      <c r="BK4797">
        <v>10</v>
      </c>
      <c r="BP4797" s="184"/>
    </row>
    <row r="4798" spans="1:68">
      <c r="A4798">
        <v>92342823</v>
      </c>
      <c r="B4798">
        <v>92342823</v>
      </c>
      <c r="C4798" t="s">
        <v>7018</v>
      </c>
      <c r="D4798" t="s">
        <v>595</v>
      </c>
      <c r="E4798" s="184">
        <v>44419</v>
      </c>
      <c r="I4798" s="184"/>
      <c r="K4798" s="184"/>
      <c r="M4798" s="184"/>
      <c r="O4798" s="184"/>
      <c r="P4798" t="s">
        <v>7045</v>
      </c>
      <c r="Q4798" t="s">
        <v>7262</v>
      </c>
      <c r="R4798" s="184">
        <v>17478</v>
      </c>
      <c r="S4798">
        <v>76</v>
      </c>
      <c r="V4798" t="s">
        <v>3230</v>
      </c>
      <c r="X4798" t="s">
        <v>4399</v>
      </c>
      <c r="AF4798" t="s">
        <v>34630</v>
      </c>
      <c r="AG4798" t="s">
        <v>3230</v>
      </c>
      <c r="AI4798" t="s">
        <v>34631</v>
      </c>
      <c r="AM4798" t="s">
        <v>34632</v>
      </c>
      <c r="AN4798" t="s">
        <v>2069</v>
      </c>
      <c r="AO4798" t="s">
        <v>34633</v>
      </c>
      <c r="AP4798" t="s">
        <v>7024</v>
      </c>
      <c r="AQ4798" t="s">
        <v>34634</v>
      </c>
      <c r="AT4798" s="184">
        <v>42019</v>
      </c>
      <c r="AU4798" t="s">
        <v>34635</v>
      </c>
      <c r="AV4798">
        <v>15</v>
      </c>
      <c r="AW4798" s="184">
        <v>45371</v>
      </c>
      <c r="AX4798" t="s">
        <v>9421</v>
      </c>
      <c r="AY4798">
        <v>25</v>
      </c>
      <c r="AZ4798" s="184">
        <v>45371</v>
      </c>
      <c r="BA4798" t="s">
        <v>9421</v>
      </c>
      <c r="BB4798">
        <v>25</v>
      </c>
      <c r="BC4798">
        <v>90</v>
      </c>
      <c r="BD4798">
        <v>270</v>
      </c>
      <c r="BE4798">
        <v>2015</v>
      </c>
      <c r="BF4798">
        <v>12</v>
      </c>
      <c r="BG4798">
        <v>3</v>
      </c>
      <c r="BH4798">
        <v>75</v>
      </c>
      <c r="BI4798">
        <v>9</v>
      </c>
      <c r="BJ4798">
        <v>10</v>
      </c>
      <c r="BK4798">
        <v>8</v>
      </c>
      <c r="BP4798" s="184"/>
    </row>
    <row r="4799" spans="1:68">
      <c r="A4799">
        <v>92365790</v>
      </c>
      <c r="B4799">
        <v>92365790</v>
      </c>
      <c r="C4799" t="s">
        <v>7018</v>
      </c>
      <c r="E4799" s="184"/>
      <c r="I4799" s="184"/>
      <c r="J4799" t="s">
        <v>595</v>
      </c>
      <c r="K4799" s="184">
        <v>42544</v>
      </c>
      <c r="M4799" s="184"/>
      <c r="O4799" s="184"/>
      <c r="P4799" t="s">
        <v>7045</v>
      </c>
      <c r="Q4799" t="s">
        <v>7374</v>
      </c>
      <c r="R4799" s="184">
        <v>12849</v>
      </c>
      <c r="S4799">
        <v>89</v>
      </c>
      <c r="U4799" t="s">
        <v>7130</v>
      </c>
      <c r="V4799" t="s">
        <v>3431</v>
      </c>
      <c r="X4799" t="s">
        <v>34636</v>
      </c>
      <c r="AF4799" t="s">
        <v>6699</v>
      </c>
      <c r="AG4799" t="s">
        <v>3431</v>
      </c>
      <c r="AI4799" t="s">
        <v>34637</v>
      </c>
      <c r="AM4799" t="s">
        <v>3109</v>
      </c>
      <c r="AN4799" t="s">
        <v>2081</v>
      </c>
      <c r="AO4799" t="s">
        <v>34638</v>
      </c>
      <c r="AP4799" t="s">
        <v>7024</v>
      </c>
      <c r="AQ4799" t="s">
        <v>34639</v>
      </c>
      <c r="AR4799" t="s">
        <v>34640</v>
      </c>
      <c r="AT4799" s="184">
        <v>42026</v>
      </c>
      <c r="AU4799" t="s">
        <v>34641</v>
      </c>
      <c r="AV4799">
        <v>25</v>
      </c>
      <c r="AW4799" s="184">
        <v>43865</v>
      </c>
      <c r="AX4799" t="s">
        <v>34642</v>
      </c>
      <c r="AY4799">
        <v>25</v>
      </c>
      <c r="AZ4799" s="184">
        <v>43865</v>
      </c>
      <c r="BA4799" t="s">
        <v>34642</v>
      </c>
      <c r="BB4799">
        <v>25</v>
      </c>
      <c r="BC4799">
        <v>30</v>
      </c>
      <c r="BD4799">
        <v>100</v>
      </c>
      <c r="BE4799">
        <v>2015</v>
      </c>
      <c r="BF4799">
        <v>4</v>
      </c>
      <c r="BI4799">
        <v>3</v>
      </c>
      <c r="BJ4799">
        <v>10</v>
      </c>
      <c r="BK4799">
        <v>1</v>
      </c>
      <c r="BP4799" s="184"/>
    </row>
    <row r="4800" spans="1:68">
      <c r="A4800">
        <v>92366392</v>
      </c>
      <c r="B4800">
        <v>92366392</v>
      </c>
      <c r="C4800" t="s">
        <v>7018</v>
      </c>
      <c r="D4800" t="s">
        <v>595</v>
      </c>
      <c r="E4800" s="184">
        <v>44073</v>
      </c>
      <c r="G4800" s="184"/>
      <c r="I4800" s="184"/>
      <c r="K4800" s="184"/>
      <c r="M4800" s="184"/>
      <c r="O4800" s="184"/>
      <c r="P4800" t="s">
        <v>7045</v>
      </c>
      <c r="Q4800" t="s">
        <v>7383</v>
      </c>
      <c r="R4800" s="184">
        <v>20029</v>
      </c>
      <c r="S4800">
        <v>69</v>
      </c>
      <c r="V4800" t="s">
        <v>4236</v>
      </c>
      <c r="X4800" t="s">
        <v>2964</v>
      </c>
      <c r="AF4800" t="s">
        <v>34643</v>
      </c>
      <c r="AG4800" t="s">
        <v>4236</v>
      </c>
      <c r="AI4800" t="s">
        <v>34644</v>
      </c>
      <c r="AM4800" t="s">
        <v>2679</v>
      </c>
      <c r="AN4800" t="s">
        <v>2162</v>
      </c>
      <c r="AO4800" t="s">
        <v>34645</v>
      </c>
      <c r="AP4800" t="s">
        <v>7024</v>
      </c>
      <c r="AQ4800" t="s">
        <v>34646</v>
      </c>
      <c r="AT4800" s="184">
        <v>42026</v>
      </c>
      <c r="AU4800" t="s">
        <v>34635</v>
      </c>
      <c r="AV4800">
        <v>25</v>
      </c>
      <c r="AW4800" s="184">
        <v>45406</v>
      </c>
      <c r="AX4800" t="s">
        <v>16023</v>
      </c>
      <c r="AY4800">
        <v>25</v>
      </c>
      <c r="AZ4800" s="184">
        <v>45406</v>
      </c>
      <c r="BA4800" t="s">
        <v>16023</v>
      </c>
      <c r="BB4800">
        <v>25</v>
      </c>
      <c r="BC4800">
        <v>100</v>
      </c>
      <c r="BD4800">
        <v>1150</v>
      </c>
      <c r="BE4800">
        <v>2015</v>
      </c>
      <c r="BF4800">
        <v>46</v>
      </c>
      <c r="BG4800">
        <v>9</v>
      </c>
      <c r="BH4800">
        <v>225</v>
      </c>
      <c r="BI4800">
        <v>10</v>
      </c>
      <c r="BJ4800">
        <v>10</v>
      </c>
      <c r="BK4800">
        <v>10</v>
      </c>
      <c r="BN4800" t="s">
        <v>595</v>
      </c>
      <c r="BP4800" s="184"/>
    </row>
    <row r="4801" spans="1:68">
      <c r="A4801">
        <v>92370444</v>
      </c>
      <c r="B4801">
        <v>92370444</v>
      </c>
      <c r="C4801" t="s">
        <v>7018</v>
      </c>
      <c r="D4801" t="s">
        <v>595</v>
      </c>
      <c r="E4801" s="184">
        <v>45125</v>
      </c>
      <c r="I4801" s="184"/>
      <c r="K4801" s="184"/>
      <c r="M4801" s="184"/>
      <c r="O4801" s="184"/>
      <c r="P4801" t="s">
        <v>7045</v>
      </c>
      <c r="Q4801" t="s">
        <v>7262</v>
      </c>
      <c r="R4801" s="184">
        <v>17654</v>
      </c>
      <c r="S4801">
        <v>76</v>
      </c>
      <c r="U4801" t="s">
        <v>7076</v>
      </c>
      <c r="V4801" t="s">
        <v>2733</v>
      </c>
      <c r="X4801" t="s">
        <v>34647</v>
      </c>
      <c r="AF4801" t="s">
        <v>34648</v>
      </c>
      <c r="AG4801" t="s">
        <v>2733</v>
      </c>
      <c r="AI4801" t="s">
        <v>34649</v>
      </c>
      <c r="AM4801" t="s">
        <v>34619</v>
      </c>
      <c r="AN4801" t="s">
        <v>2069</v>
      </c>
      <c r="AO4801" t="s">
        <v>34650</v>
      </c>
      <c r="AP4801" t="s">
        <v>7024</v>
      </c>
      <c r="AQ4801" t="s">
        <v>34651</v>
      </c>
      <c r="AT4801" s="184">
        <v>42030</v>
      </c>
      <c r="AU4801" t="s">
        <v>34652</v>
      </c>
      <c r="AV4801">
        <v>20</v>
      </c>
      <c r="AW4801" s="184">
        <v>44915</v>
      </c>
      <c r="AX4801" t="s">
        <v>34653</v>
      </c>
      <c r="AY4801">
        <v>20</v>
      </c>
      <c r="AZ4801" s="184">
        <v>42286</v>
      </c>
      <c r="BA4801" t="s">
        <v>34654</v>
      </c>
      <c r="BB4801">
        <v>60</v>
      </c>
      <c r="BC4801">
        <v>50</v>
      </c>
      <c r="BD4801">
        <v>230</v>
      </c>
      <c r="BE4801">
        <v>2015</v>
      </c>
      <c r="BF4801">
        <v>8</v>
      </c>
      <c r="BG4801">
        <v>1</v>
      </c>
      <c r="BH4801">
        <v>20</v>
      </c>
      <c r="BI4801">
        <v>5</v>
      </c>
      <c r="BJ4801">
        <v>10</v>
      </c>
      <c r="BK4801">
        <v>2</v>
      </c>
      <c r="BN4801" t="s">
        <v>595</v>
      </c>
      <c r="BP4801" s="184"/>
    </row>
    <row r="4802" spans="1:68">
      <c r="A4802">
        <v>92370550</v>
      </c>
      <c r="B4802">
        <v>92370550</v>
      </c>
      <c r="C4802" t="s">
        <v>7018</v>
      </c>
      <c r="D4802" t="s">
        <v>595</v>
      </c>
      <c r="E4802" s="184">
        <v>45153</v>
      </c>
      <c r="G4802" s="184"/>
      <c r="I4802" s="184"/>
      <c r="K4802" s="184"/>
      <c r="O4802" s="184"/>
      <c r="P4802" t="s">
        <v>7045</v>
      </c>
      <c r="Q4802" t="s">
        <v>7383</v>
      </c>
      <c r="R4802" s="184">
        <v>23904</v>
      </c>
      <c r="S4802">
        <v>58</v>
      </c>
      <c r="V4802" t="s">
        <v>3783</v>
      </c>
      <c r="X4802" t="s">
        <v>10139</v>
      </c>
      <c r="AF4802" t="s">
        <v>34655</v>
      </c>
      <c r="AG4802" t="s">
        <v>3783</v>
      </c>
      <c r="AI4802" t="s">
        <v>34656</v>
      </c>
      <c r="AM4802" t="s">
        <v>3987</v>
      </c>
      <c r="AN4802" t="s">
        <v>2313</v>
      </c>
      <c r="AO4802" t="s">
        <v>34657</v>
      </c>
      <c r="AP4802" t="s">
        <v>7024</v>
      </c>
      <c r="AQ4802" t="s">
        <v>34658</v>
      </c>
      <c r="AT4802" s="184">
        <v>42030</v>
      </c>
      <c r="AU4802" t="s">
        <v>34659</v>
      </c>
      <c r="AV4802">
        <v>15</v>
      </c>
      <c r="AW4802" s="184">
        <v>45088</v>
      </c>
      <c r="AX4802" t="s">
        <v>17239</v>
      </c>
      <c r="AY4802">
        <v>25</v>
      </c>
      <c r="AZ4802" s="184">
        <v>43942</v>
      </c>
      <c r="BA4802" t="s">
        <v>26364</v>
      </c>
      <c r="BB4802">
        <v>60</v>
      </c>
      <c r="BC4802">
        <v>70</v>
      </c>
      <c r="BD4802">
        <v>275</v>
      </c>
      <c r="BE4802">
        <v>2015</v>
      </c>
      <c r="BF4802">
        <v>10</v>
      </c>
      <c r="BG4802">
        <v>1</v>
      </c>
      <c r="BH4802">
        <v>25</v>
      </c>
      <c r="BI4802">
        <v>7</v>
      </c>
      <c r="BJ4802">
        <v>10</v>
      </c>
      <c r="BK4802">
        <v>6</v>
      </c>
      <c r="BP4802" s="184"/>
    </row>
    <row r="4803" spans="1:68">
      <c r="A4803">
        <v>92378355</v>
      </c>
      <c r="B4803">
        <v>92378355</v>
      </c>
      <c r="C4803" t="s">
        <v>7018</v>
      </c>
      <c r="E4803" s="184"/>
      <c r="G4803" s="184"/>
      <c r="I4803" s="184"/>
      <c r="J4803" t="s">
        <v>595</v>
      </c>
      <c r="K4803" s="184">
        <v>44167</v>
      </c>
      <c r="M4803" s="184"/>
      <c r="O4803" s="184"/>
      <c r="P4803" t="s">
        <v>7045</v>
      </c>
      <c r="Q4803" t="s">
        <v>7374</v>
      </c>
      <c r="R4803" s="184">
        <v>17227</v>
      </c>
      <c r="S4803">
        <v>77</v>
      </c>
      <c r="V4803" t="s">
        <v>2908</v>
      </c>
      <c r="X4803" t="s">
        <v>34660</v>
      </c>
      <c r="AF4803" t="s">
        <v>34661</v>
      </c>
      <c r="AG4803" t="s">
        <v>2908</v>
      </c>
      <c r="AI4803" t="s">
        <v>34662</v>
      </c>
      <c r="AM4803" t="s">
        <v>4469</v>
      </c>
      <c r="AN4803" t="s">
        <v>2081</v>
      </c>
      <c r="AO4803" t="s">
        <v>34663</v>
      </c>
      <c r="AP4803" t="s">
        <v>7024</v>
      </c>
      <c r="AQ4803" t="s">
        <v>34664</v>
      </c>
      <c r="AR4803" t="s">
        <v>34665</v>
      </c>
      <c r="AT4803" s="184">
        <v>42031</v>
      </c>
      <c r="AU4803" t="s">
        <v>34666</v>
      </c>
      <c r="AV4803">
        <v>25</v>
      </c>
      <c r="AW4803" s="184">
        <v>43984</v>
      </c>
      <c r="AX4803" t="s">
        <v>34667</v>
      </c>
      <c r="AY4803">
        <v>25</v>
      </c>
      <c r="AZ4803" s="184">
        <v>43495</v>
      </c>
      <c r="BA4803" t="s">
        <v>17265</v>
      </c>
      <c r="BB4803">
        <v>40</v>
      </c>
      <c r="BC4803">
        <v>60</v>
      </c>
      <c r="BD4803">
        <v>215</v>
      </c>
      <c r="BE4803">
        <v>2015</v>
      </c>
      <c r="BF4803">
        <v>8</v>
      </c>
      <c r="BI4803">
        <v>6</v>
      </c>
      <c r="BJ4803">
        <v>10</v>
      </c>
      <c r="BK4803">
        <v>6</v>
      </c>
      <c r="BP4803" s="184"/>
    </row>
    <row r="4804" spans="1:68">
      <c r="A4804">
        <v>92378793</v>
      </c>
      <c r="B4804">
        <v>92378793</v>
      </c>
      <c r="C4804" t="s">
        <v>7018</v>
      </c>
      <c r="E4804" s="184"/>
      <c r="G4804" s="184"/>
      <c r="H4804" t="s">
        <v>595</v>
      </c>
      <c r="I4804" s="184">
        <v>44210</v>
      </c>
      <c r="K4804" s="184"/>
      <c r="M4804" s="184"/>
      <c r="O4804" s="184"/>
      <c r="P4804" t="s">
        <v>7045</v>
      </c>
      <c r="Q4804" t="s">
        <v>7494</v>
      </c>
      <c r="R4804" s="184">
        <v>15000</v>
      </c>
      <c r="S4804">
        <v>83</v>
      </c>
      <c r="U4804" t="s">
        <v>7076</v>
      </c>
      <c r="V4804" t="s">
        <v>2903</v>
      </c>
      <c r="W4804" t="s">
        <v>7407</v>
      </c>
      <c r="X4804" t="s">
        <v>34668</v>
      </c>
      <c r="AF4804" t="s">
        <v>34669</v>
      </c>
      <c r="AG4804" t="s">
        <v>2903</v>
      </c>
      <c r="AI4804" t="s">
        <v>34670</v>
      </c>
      <c r="AM4804" t="s">
        <v>3770</v>
      </c>
      <c r="AN4804" t="s">
        <v>2174</v>
      </c>
      <c r="AO4804" t="s">
        <v>34671</v>
      </c>
      <c r="AP4804" t="s">
        <v>7024</v>
      </c>
      <c r="AT4804" s="184">
        <v>42031</v>
      </c>
      <c r="AU4804" t="s">
        <v>34672</v>
      </c>
      <c r="AV4804">
        <v>20</v>
      </c>
      <c r="AW4804" s="184">
        <v>45406</v>
      </c>
      <c r="AX4804" t="s">
        <v>11966</v>
      </c>
      <c r="AY4804">
        <v>25</v>
      </c>
      <c r="AZ4804" s="184">
        <v>45406</v>
      </c>
      <c r="BA4804" t="s">
        <v>11966</v>
      </c>
      <c r="BB4804">
        <v>25</v>
      </c>
      <c r="BC4804">
        <v>100</v>
      </c>
      <c r="BD4804">
        <v>605</v>
      </c>
      <c r="BE4804">
        <v>2015</v>
      </c>
      <c r="BF4804">
        <v>25</v>
      </c>
      <c r="BG4804">
        <v>5</v>
      </c>
      <c r="BH4804">
        <v>125</v>
      </c>
      <c r="BI4804">
        <v>10</v>
      </c>
      <c r="BJ4804">
        <v>10</v>
      </c>
      <c r="BK4804">
        <v>10</v>
      </c>
      <c r="BP4804" s="184"/>
    </row>
    <row r="4805" spans="1:68">
      <c r="A4805">
        <v>92401843</v>
      </c>
      <c r="B4805">
        <v>92401843</v>
      </c>
      <c r="C4805" t="s">
        <v>7018</v>
      </c>
      <c r="D4805" t="s">
        <v>595</v>
      </c>
      <c r="E4805" s="184">
        <v>44073</v>
      </c>
      <c r="G4805" s="184"/>
      <c r="I4805" s="184"/>
      <c r="K4805" s="184"/>
      <c r="M4805" s="184"/>
      <c r="O4805" s="184"/>
      <c r="P4805" t="s">
        <v>7045</v>
      </c>
      <c r="Q4805" t="s">
        <v>7030</v>
      </c>
      <c r="R4805" s="184">
        <v>13759</v>
      </c>
      <c r="S4805">
        <v>86</v>
      </c>
      <c r="V4805" t="s">
        <v>23734</v>
      </c>
      <c r="W4805" t="s">
        <v>205</v>
      </c>
      <c r="X4805" t="s">
        <v>34673</v>
      </c>
      <c r="AF4805" t="s">
        <v>34674</v>
      </c>
      <c r="AG4805" t="s">
        <v>23734</v>
      </c>
      <c r="AI4805" t="s">
        <v>34675</v>
      </c>
      <c r="AM4805" t="s">
        <v>14582</v>
      </c>
      <c r="AN4805" t="s">
        <v>2094</v>
      </c>
      <c r="AO4805" t="s">
        <v>34676</v>
      </c>
      <c r="AP4805" t="s">
        <v>7024</v>
      </c>
      <c r="AQ4805" t="s">
        <v>34677</v>
      </c>
      <c r="AT4805" s="184">
        <v>42039</v>
      </c>
      <c r="AU4805" t="s">
        <v>34678</v>
      </c>
      <c r="AV4805">
        <v>50</v>
      </c>
      <c r="AW4805" s="184">
        <v>45057</v>
      </c>
      <c r="AX4805" t="s">
        <v>32487</v>
      </c>
      <c r="AY4805">
        <v>50</v>
      </c>
      <c r="AZ4805" s="184">
        <v>42425</v>
      </c>
      <c r="BA4805" t="s">
        <v>34679</v>
      </c>
      <c r="BB4805">
        <v>115</v>
      </c>
      <c r="BC4805">
        <v>90</v>
      </c>
      <c r="BD4805">
        <v>1790</v>
      </c>
      <c r="BE4805">
        <v>2015</v>
      </c>
      <c r="BF4805">
        <v>34</v>
      </c>
      <c r="BG4805">
        <v>3</v>
      </c>
      <c r="BH4805">
        <v>150</v>
      </c>
      <c r="BI4805">
        <v>9</v>
      </c>
      <c r="BJ4805">
        <v>10</v>
      </c>
      <c r="BK4805">
        <v>9</v>
      </c>
      <c r="BP4805" s="184"/>
    </row>
    <row r="4806" spans="1:68">
      <c r="A4806">
        <v>100160070</v>
      </c>
      <c r="B4806">
        <v>92403492</v>
      </c>
      <c r="C4806" t="s">
        <v>7018</v>
      </c>
      <c r="E4806" s="184"/>
      <c r="G4806" s="184"/>
      <c r="I4806" s="184"/>
      <c r="K4806" s="184"/>
      <c r="N4806" t="s">
        <v>595</v>
      </c>
      <c r="O4806" s="184">
        <v>42620</v>
      </c>
      <c r="P4806" t="s">
        <v>7045</v>
      </c>
      <c r="Q4806" t="s">
        <v>7374</v>
      </c>
      <c r="R4806" s="184">
        <v>15724</v>
      </c>
      <c r="S4806">
        <v>81</v>
      </c>
      <c r="V4806" t="s">
        <v>3246</v>
      </c>
      <c r="X4806" t="s">
        <v>4983</v>
      </c>
      <c r="Z4806">
        <v>92403492</v>
      </c>
      <c r="AB4806" t="s">
        <v>3350</v>
      </c>
      <c r="AC4806" t="s">
        <v>7407</v>
      </c>
      <c r="AD4806" t="s">
        <v>4983</v>
      </c>
      <c r="AF4806" t="s">
        <v>34680</v>
      </c>
      <c r="AG4806" t="s">
        <v>34681</v>
      </c>
      <c r="AI4806" t="s">
        <v>34682</v>
      </c>
      <c r="AM4806" t="s">
        <v>5664</v>
      </c>
      <c r="AN4806" t="s">
        <v>2081</v>
      </c>
      <c r="AO4806" t="s">
        <v>34683</v>
      </c>
      <c r="AP4806" t="s">
        <v>7024</v>
      </c>
      <c r="AQ4806" t="s">
        <v>34684</v>
      </c>
      <c r="AT4806" s="184">
        <v>44869</v>
      </c>
      <c r="AU4806" t="s">
        <v>7832</v>
      </c>
      <c r="AV4806">
        <v>100</v>
      </c>
      <c r="AW4806" s="184">
        <v>45230</v>
      </c>
      <c r="AX4806" t="s">
        <v>9576</v>
      </c>
      <c r="AY4806">
        <v>105</v>
      </c>
      <c r="AZ4806" s="184">
        <v>45230</v>
      </c>
      <c r="BA4806" t="s">
        <v>9576</v>
      </c>
      <c r="BB4806">
        <v>105</v>
      </c>
      <c r="BC4806">
        <v>67</v>
      </c>
      <c r="BD4806">
        <v>205</v>
      </c>
      <c r="BE4806">
        <v>2023</v>
      </c>
      <c r="BF4806">
        <v>2</v>
      </c>
      <c r="BG4806">
        <v>2</v>
      </c>
      <c r="BH4806">
        <v>205</v>
      </c>
      <c r="BI4806">
        <v>2</v>
      </c>
      <c r="BJ4806">
        <v>3</v>
      </c>
      <c r="BK4806">
        <v>2</v>
      </c>
      <c r="BP4806" s="184"/>
    </row>
    <row r="4807" spans="1:68">
      <c r="A4807">
        <v>92410257</v>
      </c>
      <c r="B4807">
        <v>92410257</v>
      </c>
      <c r="C4807" t="s">
        <v>7018</v>
      </c>
      <c r="D4807" t="s">
        <v>595</v>
      </c>
      <c r="E4807" s="184">
        <v>45147</v>
      </c>
      <c r="I4807" s="184"/>
      <c r="K4807" s="184"/>
      <c r="M4807" s="184"/>
      <c r="O4807" s="184"/>
      <c r="P4807" t="s">
        <v>7045</v>
      </c>
      <c r="Q4807" t="s">
        <v>7383</v>
      </c>
      <c r="R4807" s="184">
        <v>14452</v>
      </c>
      <c r="S4807">
        <v>84</v>
      </c>
      <c r="U4807" t="s">
        <v>7076</v>
      </c>
      <c r="V4807" t="s">
        <v>3869</v>
      </c>
      <c r="X4807" t="s">
        <v>34685</v>
      </c>
      <c r="AF4807" t="s">
        <v>34686</v>
      </c>
      <c r="AG4807" t="s">
        <v>3869</v>
      </c>
      <c r="AI4807" t="s">
        <v>34687</v>
      </c>
      <c r="AM4807" t="s">
        <v>34688</v>
      </c>
      <c r="AN4807" t="s">
        <v>2419</v>
      </c>
      <c r="AO4807" t="s">
        <v>34689</v>
      </c>
      <c r="AP4807" t="s">
        <v>7024</v>
      </c>
      <c r="AQ4807" t="s">
        <v>34690</v>
      </c>
      <c r="AT4807" s="184">
        <v>42045</v>
      </c>
      <c r="AU4807" t="s">
        <v>34691</v>
      </c>
      <c r="AV4807">
        <v>50</v>
      </c>
      <c r="AW4807" s="184">
        <v>45145</v>
      </c>
      <c r="AX4807" t="s">
        <v>33373</v>
      </c>
      <c r="AY4807">
        <v>50</v>
      </c>
      <c r="AZ4807" s="184">
        <v>45145</v>
      </c>
      <c r="BA4807" t="s">
        <v>33373</v>
      </c>
      <c r="BB4807">
        <v>50</v>
      </c>
      <c r="BC4807">
        <v>60</v>
      </c>
      <c r="BD4807">
        <v>400</v>
      </c>
      <c r="BE4807">
        <v>2015</v>
      </c>
      <c r="BF4807">
        <v>8</v>
      </c>
      <c r="BG4807">
        <v>2</v>
      </c>
      <c r="BH4807">
        <v>100</v>
      </c>
      <c r="BI4807">
        <v>6</v>
      </c>
      <c r="BJ4807">
        <v>10</v>
      </c>
      <c r="BK4807">
        <v>4</v>
      </c>
      <c r="BP4807" s="184"/>
    </row>
    <row r="4808" spans="1:68">
      <c r="A4808">
        <v>92445378</v>
      </c>
      <c r="B4808">
        <v>92445378</v>
      </c>
      <c r="C4808" t="s">
        <v>7018</v>
      </c>
      <c r="D4808" t="s">
        <v>595</v>
      </c>
      <c r="E4808" s="184">
        <v>45146</v>
      </c>
      <c r="I4808" s="184"/>
      <c r="K4808" s="184"/>
      <c r="M4808" s="184"/>
      <c r="O4808" s="184"/>
      <c r="P4808" t="s">
        <v>7045</v>
      </c>
      <c r="Q4808" t="s">
        <v>7262</v>
      </c>
      <c r="R4808" s="184">
        <v>18694</v>
      </c>
      <c r="S4808">
        <v>73</v>
      </c>
      <c r="U4808" t="s">
        <v>7031</v>
      </c>
      <c r="V4808" t="s">
        <v>4236</v>
      </c>
      <c r="X4808" t="s">
        <v>34692</v>
      </c>
      <c r="AF4808" t="s">
        <v>34693</v>
      </c>
      <c r="AG4808" t="s">
        <v>4236</v>
      </c>
      <c r="AI4808" t="s">
        <v>34694</v>
      </c>
      <c r="AM4808" t="s">
        <v>2730</v>
      </c>
      <c r="AN4808" t="s">
        <v>2069</v>
      </c>
      <c r="AO4808" t="s">
        <v>34695</v>
      </c>
      <c r="AP4808" t="s">
        <v>7024</v>
      </c>
      <c r="AQ4808" t="s">
        <v>34696</v>
      </c>
      <c r="AT4808" s="184">
        <v>42059</v>
      </c>
      <c r="AU4808" t="s">
        <v>34697</v>
      </c>
      <c r="AV4808">
        <v>15</v>
      </c>
      <c r="AW4808" s="184">
        <v>45274</v>
      </c>
      <c r="AX4808" t="s">
        <v>34698</v>
      </c>
      <c r="AY4808">
        <v>15</v>
      </c>
      <c r="AZ4808" s="184">
        <v>45274</v>
      </c>
      <c r="BA4808" t="s">
        <v>34698</v>
      </c>
      <c r="BB4808">
        <v>15</v>
      </c>
      <c r="BC4808">
        <v>50</v>
      </c>
      <c r="BD4808">
        <v>75</v>
      </c>
      <c r="BE4808">
        <v>2015</v>
      </c>
      <c r="BF4808">
        <v>5</v>
      </c>
      <c r="BG4808">
        <v>1</v>
      </c>
      <c r="BH4808">
        <v>15</v>
      </c>
      <c r="BI4808">
        <v>5</v>
      </c>
      <c r="BJ4808">
        <v>10</v>
      </c>
      <c r="BK4808">
        <v>2</v>
      </c>
      <c r="BP4808" s="184"/>
    </row>
    <row r="4809" spans="1:68">
      <c r="A4809">
        <v>92472422</v>
      </c>
      <c r="B4809">
        <v>92472422</v>
      </c>
      <c r="C4809" t="s">
        <v>7018</v>
      </c>
      <c r="D4809" t="s">
        <v>595</v>
      </c>
      <c r="E4809" s="184">
        <v>45195</v>
      </c>
      <c r="G4809" s="184"/>
      <c r="I4809" s="184"/>
      <c r="K4809" s="184"/>
      <c r="M4809" s="184"/>
      <c r="O4809" s="184"/>
      <c r="P4809" t="s">
        <v>7045</v>
      </c>
      <c r="Q4809" t="s">
        <v>7030</v>
      </c>
      <c r="R4809" s="184">
        <v>14424</v>
      </c>
      <c r="S4809">
        <v>84</v>
      </c>
      <c r="U4809" t="s">
        <v>14285</v>
      </c>
      <c r="V4809" t="s">
        <v>34699</v>
      </c>
      <c r="W4809" t="s">
        <v>2316</v>
      </c>
      <c r="X4809" t="s">
        <v>34700</v>
      </c>
      <c r="Y4809" t="s">
        <v>34701</v>
      </c>
      <c r="AF4809" t="s">
        <v>34702</v>
      </c>
      <c r="AG4809" t="s">
        <v>34699</v>
      </c>
      <c r="AI4809" t="s">
        <v>34703</v>
      </c>
      <c r="AM4809" t="s">
        <v>34704</v>
      </c>
      <c r="AN4809" t="s">
        <v>2094</v>
      </c>
      <c r="AO4809" t="s">
        <v>34705</v>
      </c>
      <c r="AP4809" t="s">
        <v>7024</v>
      </c>
      <c r="AQ4809" t="s">
        <v>34706</v>
      </c>
      <c r="AT4809" s="184">
        <v>42072</v>
      </c>
      <c r="AU4809" t="s">
        <v>34707</v>
      </c>
      <c r="AV4809">
        <v>25</v>
      </c>
      <c r="AW4809" s="184">
        <v>44442</v>
      </c>
      <c r="AX4809" t="s">
        <v>34708</v>
      </c>
      <c r="AY4809">
        <v>25</v>
      </c>
      <c r="AZ4809" s="184">
        <v>44442</v>
      </c>
      <c r="BA4809" t="s">
        <v>34708</v>
      </c>
      <c r="BB4809">
        <v>25</v>
      </c>
      <c r="BC4809">
        <v>50</v>
      </c>
      <c r="BD4809">
        <v>170</v>
      </c>
      <c r="BE4809">
        <v>2015</v>
      </c>
      <c r="BF4809">
        <v>7</v>
      </c>
      <c r="BI4809">
        <v>5</v>
      </c>
      <c r="BJ4809">
        <v>10</v>
      </c>
      <c r="BK4809">
        <v>3</v>
      </c>
      <c r="BN4809" t="s">
        <v>595</v>
      </c>
      <c r="BP4809" s="184"/>
    </row>
    <row r="4810" spans="1:68">
      <c r="A4810">
        <v>92472778</v>
      </c>
      <c r="B4810">
        <v>92472778</v>
      </c>
      <c r="C4810" t="s">
        <v>7018</v>
      </c>
      <c r="E4810" s="184"/>
      <c r="I4810" s="184"/>
      <c r="J4810" t="s">
        <v>595</v>
      </c>
      <c r="K4810" s="184">
        <v>44781</v>
      </c>
      <c r="M4810" s="184"/>
      <c r="O4810" s="184"/>
      <c r="P4810" t="s">
        <v>7084</v>
      </c>
      <c r="Q4810" t="s">
        <v>7383</v>
      </c>
      <c r="R4810" s="184">
        <v>17076</v>
      </c>
      <c r="S4810">
        <v>77</v>
      </c>
      <c r="V4810" t="s">
        <v>2660</v>
      </c>
      <c r="X4810" t="s">
        <v>34709</v>
      </c>
      <c r="AF4810" t="s">
        <v>34710</v>
      </c>
      <c r="AG4810" t="s">
        <v>2660</v>
      </c>
      <c r="AI4810" t="s">
        <v>34711</v>
      </c>
      <c r="AM4810" t="s">
        <v>34712</v>
      </c>
      <c r="AN4810" t="s">
        <v>2072</v>
      </c>
      <c r="AO4810" t="s">
        <v>34713</v>
      </c>
      <c r="AP4810" t="s">
        <v>7024</v>
      </c>
      <c r="AQ4810" t="s">
        <v>34714</v>
      </c>
      <c r="AT4810" s="184">
        <v>42072</v>
      </c>
      <c r="AU4810" t="s">
        <v>34715</v>
      </c>
      <c r="AV4810">
        <v>15</v>
      </c>
      <c r="AW4810" s="184">
        <v>44788</v>
      </c>
      <c r="AX4810" t="s">
        <v>7093</v>
      </c>
      <c r="AY4810">
        <v>20000</v>
      </c>
      <c r="AZ4810" s="184">
        <v>44788</v>
      </c>
      <c r="BA4810" t="s">
        <v>7093</v>
      </c>
      <c r="BB4810">
        <v>20000</v>
      </c>
      <c r="BC4810">
        <v>70</v>
      </c>
      <c r="BD4810">
        <v>20225</v>
      </c>
      <c r="BE4810">
        <v>2015</v>
      </c>
      <c r="BF4810">
        <v>10</v>
      </c>
      <c r="BG4810">
        <v>1</v>
      </c>
      <c r="BH4810">
        <v>20000</v>
      </c>
      <c r="BI4810">
        <v>7</v>
      </c>
      <c r="BJ4810">
        <v>10</v>
      </c>
      <c r="BK4810">
        <v>6</v>
      </c>
      <c r="BO4810" t="s">
        <v>595</v>
      </c>
      <c r="BP4810" s="184">
        <v>44000</v>
      </c>
    </row>
    <row r="4811" spans="1:68">
      <c r="A4811">
        <v>92479526</v>
      </c>
      <c r="B4811">
        <v>92479526</v>
      </c>
      <c r="C4811" t="s">
        <v>7018</v>
      </c>
      <c r="D4811" t="s">
        <v>595</v>
      </c>
      <c r="E4811" s="184">
        <v>44104</v>
      </c>
      <c r="G4811" s="184"/>
      <c r="I4811" s="184"/>
      <c r="K4811" s="184"/>
      <c r="M4811" s="184"/>
      <c r="O4811" s="184"/>
      <c r="P4811" t="s">
        <v>7045</v>
      </c>
      <c r="Q4811" t="s">
        <v>7494</v>
      </c>
      <c r="R4811" s="184">
        <v>18841</v>
      </c>
      <c r="S4811">
        <v>72</v>
      </c>
      <c r="V4811" t="s">
        <v>7446</v>
      </c>
      <c r="X4811" t="s">
        <v>34716</v>
      </c>
      <c r="AF4811" t="s">
        <v>34717</v>
      </c>
      <c r="AG4811" t="s">
        <v>7446</v>
      </c>
      <c r="AI4811" t="s">
        <v>34718</v>
      </c>
      <c r="AM4811" t="s">
        <v>4006</v>
      </c>
      <c r="AN4811" t="s">
        <v>2174</v>
      </c>
      <c r="AO4811" t="s">
        <v>34719</v>
      </c>
      <c r="AP4811" t="s">
        <v>7024</v>
      </c>
      <c r="AQ4811" t="s">
        <v>34720</v>
      </c>
      <c r="AT4811" s="184">
        <v>42073</v>
      </c>
      <c r="AU4811" t="s">
        <v>34721</v>
      </c>
      <c r="AV4811">
        <v>25</v>
      </c>
      <c r="AW4811" s="184">
        <v>43916</v>
      </c>
      <c r="AX4811" t="s">
        <v>34722</v>
      </c>
      <c r="AY4811">
        <v>15</v>
      </c>
      <c r="AZ4811" s="184">
        <v>42849</v>
      </c>
      <c r="BA4811" t="s">
        <v>28544</v>
      </c>
      <c r="BB4811">
        <v>35</v>
      </c>
      <c r="BC4811">
        <v>60</v>
      </c>
      <c r="BD4811">
        <v>295</v>
      </c>
      <c r="BE4811">
        <v>2015</v>
      </c>
      <c r="BF4811">
        <v>13</v>
      </c>
      <c r="BI4811">
        <v>6</v>
      </c>
      <c r="BJ4811">
        <v>10</v>
      </c>
      <c r="BK4811">
        <v>6</v>
      </c>
      <c r="BP4811" s="184"/>
    </row>
    <row r="4812" spans="1:68">
      <c r="A4812">
        <v>92495431</v>
      </c>
      <c r="B4812">
        <v>92495431</v>
      </c>
      <c r="C4812" t="s">
        <v>7018</v>
      </c>
      <c r="D4812" t="s">
        <v>595</v>
      </c>
      <c r="E4812" s="184">
        <v>45166</v>
      </c>
      <c r="G4812" s="184"/>
      <c r="I4812" s="184"/>
      <c r="K4812" s="184"/>
      <c r="M4812" s="184"/>
      <c r="O4812" s="184"/>
      <c r="P4812" t="s">
        <v>7045</v>
      </c>
      <c r="Q4812" t="s">
        <v>7494</v>
      </c>
      <c r="R4812" s="184">
        <v>15676</v>
      </c>
      <c r="S4812">
        <v>81</v>
      </c>
      <c r="V4812" t="s">
        <v>2863</v>
      </c>
      <c r="X4812" t="s">
        <v>10325</v>
      </c>
      <c r="AF4812" t="s">
        <v>34723</v>
      </c>
      <c r="AG4812" t="s">
        <v>2863</v>
      </c>
      <c r="AI4812" t="s">
        <v>34724</v>
      </c>
      <c r="AM4812" t="s">
        <v>34725</v>
      </c>
      <c r="AN4812" t="s">
        <v>2174</v>
      </c>
      <c r="AO4812" t="s">
        <v>34726</v>
      </c>
      <c r="AP4812" t="s">
        <v>7024</v>
      </c>
      <c r="AQ4812" t="s">
        <v>34727</v>
      </c>
      <c r="AT4812" s="184">
        <v>42075</v>
      </c>
      <c r="AU4812" t="s">
        <v>34728</v>
      </c>
      <c r="AV4812">
        <v>25</v>
      </c>
      <c r="AW4812" s="184">
        <v>44949</v>
      </c>
      <c r="AX4812" t="s">
        <v>34729</v>
      </c>
      <c r="AY4812">
        <v>25</v>
      </c>
      <c r="AZ4812" s="184">
        <v>44949</v>
      </c>
      <c r="BA4812" t="s">
        <v>34729</v>
      </c>
      <c r="BB4812">
        <v>25</v>
      </c>
      <c r="BC4812">
        <v>50</v>
      </c>
      <c r="BD4812">
        <v>245</v>
      </c>
      <c r="BE4812">
        <v>2015</v>
      </c>
      <c r="BF4812">
        <v>10</v>
      </c>
      <c r="BG4812">
        <v>1</v>
      </c>
      <c r="BH4812">
        <v>25</v>
      </c>
      <c r="BI4812">
        <v>5</v>
      </c>
      <c r="BJ4812">
        <v>10</v>
      </c>
      <c r="BK4812">
        <v>2</v>
      </c>
      <c r="BP4812" s="184"/>
    </row>
    <row r="4813" spans="1:68">
      <c r="A4813">
        <v>92508100</v>
      </c>
      <c r="B4813">
        <v>92508100</v>
      </c>
      <c r="C4813" t="s">
        <v>7018</v>
      </c>
      <c r="D4813" t="s">
        <v>595</v>
      </c>
      <c r="E4813" s="184">
        <v>44419</v>
      </c>
      <c r="G4813" s="184"/>
      <c r="I4813" s="184"/>
      <c r="K4813" s="184"/>
      <c r="M4813" s="184"/>
      <c r="O4813" s="184"/>
      <c r="P4813" t="s">
        <v>7045</v>
      </c>
      <c r="Q4813" t="s">
        <v>7262</v>
      </c>
      <c r="R4813" s="184">
        <v>21551</v>
      </c>
      <c r="S4813">
        <v>65</v>
      </c>
      <c r="V4813" t="s">
        <v>3580</v>
      </c>
      <c r="W4813" t="s">
        <v>3522</v>
      </c>
      <c r="X4813" t="s">
        <v>34730</v>
      </c>
      <c r="AF4813" t="s">
        <v>34731</v>
      </c>
      <c r="AG4813" t="s">
        <v>3580</v>
      </c>
      <c r="AI4813" t="s">
        <v>34732</v>
      </c>
      <c r="AM4813" t="s">
        <v>34733</v>
      </c>
      <c r="AN4813" t="s">
        <v>65</v>
      </c>
      <c r="AO4813" t="s">
        <v>34734</v>
      </c>
      <c r="AP4813" t="s">
        <v>7024</v>
      </c>
      <c r="AQ4813" t="s">
        <v>34735</v>
      </c>
      <c r="AT4813" s="184">
        <v>42080</v>
      </c>
      <c r="AU4813" t="s">
        <v>34736</v>
      </c>
      <c r="AV4813">
        <v>25</v>
      </c>
      <c r="AW4813" s="184">
        <v>45345</v>
      </c>
      <c r="AX4813" t="s">
        <v>8119</v>
      </c>
      <c r="AY4813">
        <v>75</v>
      </c>
      <c r="AZ4813" s="184">
        <v>45345</v>
      </c>
      <c r="BA4813" t="s">
        <v>8119</v>
      </c>
      <c r="BB4813">
        <v>75</v>
      </c>
      <c r="BC4813">
        <v>100</v>
      </c>
      <c r="BD4813">
        <v>575</v>
      </c>
      <c r="BE4813">
        <v>2015</v>
      </c>
      <c r="BF4813">
        <v>11</v>
      </c>
      <c r="BG4813">
        <v>3</v>
      </c>
      <c r="BH4813">
        <v>175</v>
      </c>
      <c r="BI4813">
        <v>10</v>
      </c>
      <c r="BJ4813">
        <v>10</v>
      </c>
      <c r="BK4813">
        <v>10</v>
      </c>
      <c r="BP4813" s="184"/>
    </row>
    <row r="4814" spans="1:68">
      <c r="A4814">
        <v>92532696</v>
      </c>
      <c r="B4814">
        <v>92532696</v>
      </c>
      <c r="C4814" t="s">
        <v>7018</v>
      </c>
      <c r="D4814" t="s">
        <v>595</v>
      </c>
      <c r="E4814" s="184">
        <v>45196</v>
      </c>
      <c r="G4814" s="184"/>
      <c r="I4814" s="184"/>
      <c r="K4814" s="184"/>
      <c r="M4814" s="184"/>
      <c r="O4814" s="184"/>
      <c r="P4814" t="s">
        <v>7045</v>
      </c>
      <c r="Q4814" t="s">
        <v>7374</v>
      </c>
      <c r="R4814" s="184">
        <v>20455</v>
      </c>
      <c r="S4814">
        <v>68</v>
      </c>
      <c r="V4814" t="s">
        <v>3478</v>
      </c>
      <c r="W4814" t="s">
        <v>7407</v>
      </c>
      <c r="X4814" t="s">
        <v>3852</v>
      </c>
      <c r="AF4814" t="s">
        <v>34737</v>
      </c>
      <c r="AG4814" t="s">
        <v>3478</v>
      </c>
      <c r="AI4814" t="s">
        <v>34738</v>
      </c>
      <c r="AM4814" t="s">
        <v>4460</v>
      </c>
      <c r="AN4814" t="s">
        <v>2081</v>
      </c>
      <c r="AO4814" t="s">
        <v>34739</v>
      </c>
      <c r="AP4814" t="s">
        <v>7024</v>
      </c>
      <c r="AQ4814" t="s">
        <v>34740</v>
      </c>
      <c r="AR4814" t="s">
        <v>34741</v>
      </c>
      <c r="AT4814" s="184">
        <v>42087</v>
      </c>
      <c r="AU4814" t="s">
        <v>34742</v>
      </c>
      <c r="AV4814">
        <v>25</v>
      </c>
      <c r="AW4814" s="184">
        <v>45077</v>
      </c>
      <c r="AX4814" t="s">
        <v>14164</v>
      </c>
      <c r="AY4814">
        <v>35</v>
      </c>
      <c r="AZ4814" s="184">
        <v>43412</v>
      </c>
      <c r="BA4814" t="s">
        <v>33866</v>
      </c>
      <c r="BB4814">
        <v>60</v>
      </c>
      <c r="BC4814">
        <v>60</v>
      </c>
      <c r="BD4814">
        <v>230</v>
      </c>
      <c r="BE4814">
        <v>2015</v>
      </c>
      <c r="BF4814">
        <v>8</v>
      </c>
      <c r="BG4814">
        <v>1</v>
      </c>
      <c r="BH4814">
        <v>35</v>
      </c>
      <c r="BI4814">
        <v>6</v>
      </c>
      <c r="BJ4814">
        <v>10</v>
      </c>
      <c r="BK4814">
        <v>2</v>
      </c>
      <c r="BP4814" s="184"/>
    </row>
    <row r="4815" spans="1:68">
      <c r="A4815">
        <v>92533074</v>
      </c>
      <c r="B4815">
        <v>92533074</v>
      </c>
      <c r="C4815" t="s">
        <v>7018</v>
      </c>
      <c r="D4815" t="s">
        <v>595</v>
      </c>
      <c r="E4815" s="184">
        <v>44438</v>
      </c>
      <c r="G4815" s="184"/>
      <c r="I4815" s="184"/>
      <c r="K4815" s="184"/>
      <c r="M4815" s="184"/>
      <c r="O4815" s="184"/>
      <c r="P4815" t="s">
        <v>7045</v>
      </c>
      <c r="Q4815" t="s">
        <v>7262</v>
      </c>
      <c r="R4815" s="184">
        <v>19268</v>
      </c>
      <c r="S4815">
        <v>71</v>
      </c>
      <c r="U4815" t="s">
        <v>7130</v>
      </c>
      <c r="V4815" t="s">
        <v>2903</v>
      </c>
      <c r="W4815" t="s">
        <v>2779</v>
      </c>
      <c r="X4815" t="s">
        <v>34743</v>
      </c>
      <c r="AF4815" t="s">
        <v>34744</v>
      </c>
      <c r="AG4815" t="s">
        <v>2903</v>
      </c>
      <c r="AI4815" t="s">
        <v>34745</v>
      </c>
      <c r="AM4815" t="s">
        <v>5491</v>
      </c>
      <c r="AN4815" t="s">
        <v>2106</v>
      </c>
      <c r="AO4815" t="s">
        <v>34746</v>
      </c>
      <c r="AP4815" t="s">
        <v>7024</v>
      </c>
      <c r="AQ4815" t="s">
        <v>34747</v>
      </c>
      <c r="AT4815" s="184">
        <v>42087</v>
      </c>
      <c r="AU4815" t="s">
        <v>30877</v>
      </c>
      <c r="AV4815">
        <v>25</v>
      </c>
      <c r="AW4815" s="184">
        <v>44883</v>
      </c>
      <c r="AX4815" t="s">
        <v>29313</v>
      </c>
      <c r="AY4815">
        <v>50</v>
      </c>
      <c r="AZ4815" s="184">
        <v>42759</v>
      </c>
      <c r="BA4815" t="s">
        <v>34748</v>
      </c>
      <c r="BB4815">
        <v>60</v>
      </c>
      <c r="BC4815">
        <v>60</v>
      </c>
      <c r="BD4815">
        <v>300</v>
      </c>
      <c r="BE4815">
        <v>2015</v>
      </c>
      <c r="BF4815">
        <v>7</v>
      </c>
      <c r="BG4815">
        <v>1</v>
      </c>
      <c r="BH4815">
        <v>50</v>
      </c>
      <c r="BI4815">
        <v>6</v>
      </c>
      <c r="BJ4815">
        <v>10</v>
      </c>
      <c r="BK4815">
        <v>3</v>
      </c>
      <c r="BP4815" s="184"/>
    </row>
    <row r="4816" spans="1:68">
      <c r="A4816">
        <v>92542786</v>
      </c>
      <c r="B4816">
        <v>92542786</v>
      </c>
      <c r="C4816" t="s">
        <v>7018</v>
      </c>
      <c r="D4816" t="s">
        <v>595</v>
      </c>
      <c r="E4816" s="184">
        <v>44419</v>
      </c>
      <c r="I4816" s="184"/>
      <c r="K4816" s="184"/>
      <c r="M4816" s="184"/>
      <c r="O4816" s="184"/>
      <c r="P4816" t="s">
        <v>7045</v>
      </c>
      <c r="Q4816" t="s">
        <v>7383</v>
      </c>
      <c r="R4816" s="184">
        <v>15424</v>
      </c>
      <c r="S4816">
        <v>82</v>
      </c>
      <c r="U4816" t="s">
        <v>7031</v>
      </c>
      <c r="V4816" t="s">
        <v>2739</v>
      </c>
      <c r="X4816" t="s">
        <v>34749</v>
      </c>
      <c r="AF4816" t="s">
        <v>34750</v>
      </c>
      <c r="AG4816" t="s">
        <v>2739</v>
      </c>
      <c r="AI4816" t="s">
        <v>34751</v>
      </c>
      <c r="AM4816" t="s">
        <v>34752</v>
      </c>
      <c r="AN4816" t="s">
        <v>2274</v>
      </c>
      <c r="AO4816" t="s">
        <v>34753</v>
      </c>
      <c r="AP4816" t="s">
        <v>7024</v>
      </c>
      <c r="AT4816" s="184">
        <v>42088</v>
      </c>
      <c r="AU4816" t="s">
        <v>34754</v>
      </c>
      <c r="AV4816">
        <v>15</v>
      </c>
      <c r="AW4816" s="184">
        <v>45300</v>
      </c>
      <c r="AX4816" t="s">
        <v>25586</v>
      </c>
      <c r="AY4816">
        <v>25</v>
      </c>
      <c r="AZ4816" s="184">
        <v>45300</v>
      </c>
      <c r="BA4816" t="s">
        <v>25586</v>
      </c>
      <c r="BB4816">
        <v>25</v>
      </c>
      <c r="BC4816">
        <v>90</v>
      </c>
      <c r="BD4816">
        <v>240</v>
      </c>
      <c r="BE4816">
        <v>2015</v>
      </c>
      <c r="BF4816">
        <v>10</v>
      </c>
      <c r="BG4816">
        <v>2</v>
      </c>
      <c r="BH4816">
        <v>50</v>
      </c>
      <c r="BI4816">
        <v>9</v>
      </c>
      <c r="BJ4816">
        <v>10</v>
      </c>
      <c r="BK4816">
        <v>8</v>
      </c>
      <c r="BP4816" s="184"/>
    </row>
    <row r="4817" spans="1:68">
      <c r="A4817">
        <v>92556570</v>
      </c>
      <c r="B4817">
        <v>92556570</v>
      </c>
      <c r="C4817" t="s">
        <v>7018</v>
      </c>
      <c r="D4817" t="s">
        <v>595</v>
      </c>
      <c r="E4817" s="184">
        <v>44167</v>
      </c>
      <c r="G4817" s="184"/>
      <c r="I4817" s="184"/>
      <c r="K4817" s="184"/>
      <c r="M4817" s="184"/>
      <c r="O4817" s="184"/>
      <c r="P4817" t="s">
        <v>7045</v>
      </c>
      <c r="Q4817" t="s">
        <v>7030</v>
      </c>
      <c r="R4817" s="184">
        <v>21763</v>
      </c>
      <c r="S4817">
        <v>64</v>
      </c>
      <c r="U4817" t="s">
        <v>7130</v>
      </c>
      <c r="V4817" t="s">
        <v>3527</v>
      </c>
      <c r="X4817" t="s">
        <v>34755</v>
      </c>
      <c r="AF4817" t="s">
        <v>34756</v>
      </c>
      <c r="AG4817" t="s">
        <v>3527</v>
      </c>
      <c r="AI4817" t="s">
        <v>34757</v>
      </c>
      <c r="AM4817" t="s">
        <v>16241</v>
      </c>
      <c r="AN4817" t="s">
        <v>2089</v>
      </c>
      <c r="AO4817" t="s">
        <v>34758</v>
      </c>
      <c r="AP4817" t="s">
        <v>7024</v>
      </c>
      <c r="AQ4817" t="s">
        <v>34759</v>
      </c>
      <c r="AT4817" s="184">
        <v>42090</v>
      </c>
      <c r="AU4817" t="s">
        <v>34760</v>
      </c>
      <c r="AV4817">
        <v>25</v>
      </c>
      <c r="AW4817" s="184">
        <v>45402</v>
      </c>
      <c r="AX4817" t="s">
        <v>7429</v>
      </c>
      <c r="AY4817">
        <v>8.34</v>
      </c>
      <c r="AZ4817" s="184">
        <v>43497</v>
      </c>
      <c r="BA4817" t="s">
        <v>10459</v>
      </c>
      <c r="BB4817">
        <v>35</v>
      </c>
      <c r="BC4817">
        <v>100</v>
      </c>
      <c r="BD4817">
        <v>952.1</v>
      </c>
      <c r="BE4817">
        <v>2015</v>
      </c>
      <c r="BF4817">
        <v>80</v>
      </c>
      <c r="BG4817">
        <v>25</v>
      </c>
      <c r="BH4817">
        <v>223.5</v>
      </c>
      <c r="BI4817">
        <v>10</v>
      </c>
      <c r="BJ4817">
        <v>10</v>
      </c>
      <c r="BK4817">
        <v>10</v>
      </c>
      <c r="BP4817" s="184"/>
    </row>
    <row r="4818" spans="1:68">
      <c r="A4818">
        <v>92565126</v>
      </c>
      <c r="B4818">
        <v>92565126</v>
      </c>
      <c r="C4818" t="s">
        <v>7018</v>
      </c>
      <c r="D4818" t="s">
        <v>595</v>
      </c>
      <c r="E4818" s="184">
        <v>45147</v>
      </c>
      <c r="G4818" s="184"/>
      <c r="I4818" s="184"/>
      <c r="K4818" s="184"/>
      <c r="M4818" s="184"/>
      <c r="O4818" s="184"/>
      <c r="P4818" t="s">
        <v>7045</v>
      </c>
      <c r="Q4818" t="s">
        <v>7383</v>
      </c>
      <c r="R4818" s="184">
        <v>22070</v>
      </c>
      <c r="S4818">
        <v>63</v>
      </c>
      <c r="V4818" t="s">
        <v>3574</v>
      </c>
      <c r="X4818" t="s">
        <v>34761</v>
      </c>
      <c r="AF4818" t="s">
        <v>34762</v>
      </c>
      <c r="AG4818" t="s">
        <v>3574</v>
      </c>
      <c r="AI4818" t="s">
        <v>34763</v>
      </c>
      <c r="AM4818" t="s">
        <v>3524</v>
      </c>
      <c r="AN4818" t="s">
        <v>2162</v>
      </c>
      <c r="AO4818" t="s">
        <v>34764</v>
      </c>
      <c r="AP4818" t="s">
        <v>7024</v>
      </c>
      <c r="AQ4818" t="s">
        <v>34765</v>
      </c>
      <c r="AT4818" s="184">
        <v>42094</v>
      </c>
      <c r="AU4818" t="s">
        <v>34766</v>
      </c>
      <c r="AV4818">
        <v>25</v>
      </c>
      <c r="AW4818" s="184">
        <v>45030</v>
      </c>
      <c r="AX4818" t="s">
        <v>10223</v>
      </c>
      <c r="AY4818">
        <v>25</v>
      </c>
      <c r="AZ4818" s="184">
        <v>45030</v>
      </c>
      <c r="BA4818" t="s">
        <v>10223</v>
      </c>
      <c r="BB4818">
        <v>25</v>
      </c>
      <c r="BC4818">
        <v>60</v>
      </c>
      <c r="BD4818">
        <v>200</v>
      </c>
      <c r="BE4818">
        <v>2015</v>
      </c>
      <c r="BF4818">
        <v>8</v>
      </c>
      <c r="BG4818">
        <v>1</v>
      </c>
      <c r="BH4818">
        <v>25</v>
      </c>
      <c r="BI4818">
        <v>6</v>
      </c>
      <c r="BJ4818">
        <v>10</v>
      </c>
      <c r="BK4818">
        <v>2</v>
      </c>
      <c r="BP4818" s="184"/>
    </row>
    <row r="4819" spans="1:68">
      <c r="A4819">
        <v>92574045</v>
      </c>
      <c r="B4819">
        <v>92574045</v>
      </c>
      <c r="C4819" t="s">
        <v>7018</v>
      </c>
      <c r="E4819" s="184"/>
      <c r="I4819" s="184"/>
      <c r="J4819" t="s">
        <v>595</v>
      </c>
      <c r="K4819" s="184">
        <v>45299</v>
      </c>
      <c r="M4819" s="184"/>
      <c r="O4819" s="184"/>
      <c r="P4819" t="s">
        <v>7084</v>
      </c>
      <c r="Q4819" t="s">
        <v>7374</v>
      </c>
      <c r="R4819" s="184">
        <v>11035</v>
      </c>
      <c r="S4819">
        <v>94</v>
      </c>
      <c r="U4819" t="s">
        <v>7076</v>
      </c>
      <c r="V4819" t="s">
        <v>2586</v>
      </c>
      <c r="W4819" t="s">
        <v>3522</v>
      </c>
      <c r="X4819" t="s">
        <v>3145</v>
      </c>
      <c r="AF4819" t="s">
        <v>34767</v>
      </c>
      <c r="AG4819" t="s">
        <v>2586</v>
      </c>
      <c r="AI4819" t="s">
        <v>34768</v>
      </c>
      <c r="AM4819" t="s">
        <v>4362</v>
      </c>
      <c r="AN4819" t="s">
        <v>2081</v>
      </c>
      <c r="AO4819" t="s">
        <v>34769</v>
      </c>
      <c r="AP4819" t="s">
        <v>7024</v>
      </c>
      <c r="AT4819" s="184">
        <v>42095</v>
      </c>
      <c r="AU4819" t="s">
        <v>34770</v>
      </c>
      <c r="AV4819">
        <v>25</v>
      </c>
      <c r="AW4819" s="184">
        <v>45289</v>
      </c>
      <c r="AX4819" t="s">
        <v>7296</v>
      </c>
      <c r="AY4819">
        <v>41903.129999999997</v>
      </c>
      <c r="AZ4819" s="184">
        <v>45289</v>
      </c>
      <c r="BA4819" t="s">
        <v>7296</v>
      </c>
      <c r="BB4819">
        <v>41903.129999999997</v>
      </c>
      <c r="BC4819">
        <v>20</v>
      </c>
      <c r="BD4819">
        <v>41928.129999999997</v>
      </c>
      <c r="BE4819">
        <v>2015</v>
      </c>
      <c r="BF4819">
        <v>2</v>
      </c>
      <c r="BG4819">
        <v>1</v>
      </c>
      <c r="BH4819">
        <v>41903.129999999997</v>
      </c>
      <c r="BI4819">
        <v>2</v>
      </c>
      <c r="BJ4819">
        <v>10</v>
      </c>
      <c r="BK4819">
        <v>1</v>
      </c>
      <c r="BO4819" t="s">
        <v>595</v>
      </c>
      <c r="BP4819" s="184"/>
    </row>
    <row r="4820" spans="1:68">
      <c r="A4820">
        <v>92582287</v>
      </c>
      <c r="B4820">
        <v>92582287</v>
      </c>
      <c r="C4820" t="s">
        <v>7018</v>
      </c>
      <c r="D4820" t="s">
        <v>595</v>
      </c>
      <c r="E4820" s="184">
        <v>45196</v>
      </c>
      <c r="G4820" s="184"/>
      <c r="I4820" s="184"/>
      <c r="K4820" s="184"/>
      <c r="M4820" s="184"/>
      <c r="O4820" s="184"/>
      <c r="P4820" t="s">
        <v>7045</v>
      </c>
      <c r="Q4820" t="s">
        <v>7454</v>
      </c>
      <c r="R4820" s="184">
        <v>13490</v>
      </c>
      <c r="S4820">
        <v>87</v>
      </c>
      <c r="U4820" t="s">
        <v>7076</v>
      </c>
      <c r="V4820" t="s">
        <v>5102</v>
      </c>
      <c r="X4820" t="s">
        <v>30384</v>
      </c>
      <c r="AF4820" t="s">
        <v>34771</v>
      </c>
      <c r="AG4820" t="s">
        <v>5102</v>
      </c>
      <c r="AI4820" t="s">
        <v>34772</v>
      </c>
      <c r="AM4820" t="s">
        <v>4138</v>
      </c>
      <c r="AN4820" t="s">
        <v>2299</v>
      </c>
      <c r="AO4820" t="s">
        <v>34773</v>
      </c>
      <c r="AP4820" t="s">
        <v>7024</v>
      </c>
      <c r="AQ4820" t="s">
        <v>34774</v>
      </c>
      <c r="AT4820" s="184">
        <v>42100</v>
      </c>
      <c r="AU4820" t="s">
        <v>34775</v>
      </c>
      <c r="AV4820">
        <v>15</v>
      </c>
      <c r="AW4820" s="184">
        <v>44677</v>
      </c>
      <c r="AX4820" t="s">
        <v>34776</v>
      </c>
      <c r="AY4820">
        <v>20</v>
      </c>
      <c r="AZ4820" s="184">
        <v>44677</v>
      </c>
      <c r="BA4820" t="s">
        <v>34776</v>
      </c>
      <c r="BB4820">
        <v>20</v>
      </c>
      <c r="BC4820">
        <v>80</v>
      </c>
      <c r="BD4820">
        <v>155</v>
      </c>
      <c r="BE4820">
        <v>2015</v>
      </c>
      <c r="BF4820">
        <v>9</v>
      </c>
      <c r="BG4820">
        <v>1</v>
      </c>
      <c r="BH4820">
        <v>20</v>
      </c>
      <c r="BI4820">
        <v>8</v>
      </c>
      <c r="BJ4820">
        <v>10</v>
      </c>
      <c r="BK4820">
        <v>8</v>
      </c>
      <c r="BP4820" s="184"/>
    </row>
    <row r="4821" spans="1:68">
      <c r="A4821">
        <v>92587799</v>
      </c>
      <c r="B4821">
        <v>92587799</v>
      </c>
      <c r="C4821" t="s">
        <v>7018</v>
      </c>
      <c r="D4821" t="s">
        <v>595</v>
      </c>
      <c r="E4821" s="184">
        <v>43641</v>
      </c>
      <c r="G4821" s="184"/>
      <c r="H4821" t="s">
        <v>595</v>
      </c>
      <c r="I4821" s="184">
        <v>44152</v>
      </c>
      <c r="K4821" s="184"/>
      <c r="M4821" s="184"/>
      <c r="O4821" s="184"/>
      <c r="P4821" t="s">
        <v>7045</v>
      </c>
      <c r="Q4821" t="s">
        <v>7020</v>
      </c>
      <c r="R4821" s="184">
        <v>17310</v>
      </c>
      <c r="S4821">
        <v>76</v>
      </c>
      <c r="U4821" t="s">
        <v>7031</v>
      </c>
      <c r="V4821" t="s">
        <v>2511</v>
      </c>
      <c r="W4821" t="s">
        <v>2316</v>
      </c>
      <c r="X4821" t="s">
        <v>3064</v>
      </c>
      <c r="AF4821" t="s">
        <v>34777</v>
      </c>
      <c r="AG4821" t="s">
        <v>2511</v>
      </c>
      <c r="AI4821" t="s">
        <v>34778</v>
      </c>
      <c r="AM4821" t="s">
        <v>34779</v>
      </c>
      <c r="AN4821" t="s">
        <v>2465</v>
      </c>
      <c r="AO4821" t="s">
        <v>34780</v>
      </c>
      <c r="AP4821" t="s">
        <v>7024</v>
      </c>
      <c r="AQ4821" t="s">
        <v>34781</v>
      </c>
      <c r="AT4821" s="184">
        <v>41844</v>
      </c>
      <c r="AU4821" t="s">
        <v>34782</v>
      </c>
      <c r="AV4821">
        <v>25</v>
      </c>
      <c r="AW4821" s="184">
        <v>45088</v>
      </c>
      <c r="AX4821" t="s">
        <v>21325</v>
      </c>
      <c r="AY4821">
        <v>15</v>
      </c>
      <c r="AZ4821" s="184">
        <v>43368</v>
      </c>
      <c r="BA4821" t="s">
        <v>34783</v>
      </c>
      <c r="BB4821">
        <v>100</v>
      </c>
      <c r="BC4821">
        <v>91</v>
      </c>
      <c r="BD4821">
        <v>1120</v>
      </c>
      <c r="BE4821">
        <v>2015</v>
      </c>
      <c r="BF4821">
        <v>60</v>
      </c>
      <c r="BG4821">
        <v>14</v>
      </c>
      <c r="BH4821">
        <v>210</v>
      </c>
      <c r="BI4821">
        <v>10</v>
      </c>
      <c r="BJ4821">
        <v>11</v>
      </c>
      <c r="BK4821">
        <v>10</v>
      </c>
      <c r="BP4821" s="184"/>
    </row>
    <row r="4822" spans="1:68">
      <c r="A4822">
        <v>92595800</v>
      </c>
      <c r="B4822">
        <v>92595800</v>
      </c>
      <c r="C4822" t="s">
        <v>7018</v>
      </c>
      <c r="D4822" t="s">
        <v>595</v>
      </c>
      <c r="E4822" s="184">
        <v>44438</v>
      </c>
      <c r="I4822" s="184"/>
      <c r="K4822" s="184"/>
      <c r="M4822" s="184"/>
      <c r="O4822" s="184"/>
      <c r="P4822" t="s">
        <v>7045</v>
      </c>
      <c r="Q4822" t="s">
        <v>7020</v>
      </c>
      <c r="R4822" s="184">
        <v>13420</v>
      </c>
      <c r="S4822">
        <v>87</v>
      </c>
      <c r="V4822" t="s">
        <v>2718</v>
      </c>
      <c r="X4822" t="s">
        <v>34784</v>
      </c>
      <c r="AF4822" t="s">
        <v>34785</v>
      </c>
      <c r="AG4822" t="s">
        <v>2718</v>
      </c>
      <c r="AI4822" t="s">
        <v>34786</v>
      </c>
      <c r="AM4822" t="s">
        <v>7072</v>
      </c>
      <c r="AN4822" t="s">
        <v>2052</v>
      </c>
      <c r="AO4822" t="s">
        <v>34787</v>
      </c>
      <c r="AP4822" t="s">
        <v>7024</v>
      </c>
      <c r="AQ4822" t="s">
        <v>34788</v>
      </c>
      <c r="AR4822" t="s">
        <v>34789</v>
      </c>
      <c r="AT4822" s="184">
        <v>42107</v>
      </c>
      <c r="AU4822" t="s">
        <v>34790</v>
      </c>
      <c r="AV4822">
        <v>15</v>
      </c>
      <c r="AW4822" s="184">
        <v>45411</v>
      </c>
      <c r="AX4822" t="s">
        <v>16023</v>
      </c>
      <c r="AY4822">
        <v>50</v>
      </c>
      <c r="AZ4822" s="184">
        <v>45411</v>
      </c>
      <c r="BA4822" t="s">
        <v>16023</v>
      </c>
      <c r="BB4822">
        <v>50</v>
      </c>
      <c r="BC4822">
        <v>100</v>
      </c>
      <c r="BD4822">
        <v>290</v>
      </c>
      <c r="BE4822">
        <v>2015</v>
      </c>
      <c r="BF4822">
        <v>11</v>
      </c>
      <c r="BG4822">
        <v>3</v>
      </c>
      <c r="BH4822">
        <v>100</v>
      </c>
      <c r="BI4822">
        <v>10</v>
      </c>
      <c r="BJ4822">
        <v>10</v>
      </c>
      <c r="BK4822">
        <v>10</v>
      </c>
      <c r="BP4822" s="184"/>
    </row>
    <row r="4823" spans="1:68">
      <c r="A4823">
        <v>92602937</v>
      </c>
      <c r="B4823">
        <v>92602937</v>
      </c>
      <c r="C4823" t="s">
        <v>7018</v>
      </c>
      <c r="E4823" s="184"/>
      <c r="G4823" s="184"/>
      <c r="I4823" s="184"/>
      <c r="K4823" s="184"/>
      <c r="L4823" t="s">
        <v>595</v>
      </c>
      <c r="M4823" s="184">
        <v>44435</v>
      </c>
      <c r="O4823" s="184"/>
      <c r="P4823" t="s">
        <v>7045</v>
      </c>
      <c r="Q4823" t="s">
        <v>7020</v>
      </c>
      <c r="R4823" s="184">
        <v>15056</v>
      </c>
      <c r="S4823">
        <v>83</v>
      </c>
      <c r="V4823" t="s">
        <v>2541</v>
      </c>
      <c r="W4823" t="s">
        <v>7560</v>
      </c>
      <c r="X4823" t="s">
        <v>34791</v>
      </c>
      <c r="AF4823" t="s">
        <v>34792</v>
      </c>
      <c r="AG4823" t="s">
        <v>2541</v>
      </c>
      <c r="AI4823" t="s">
        <v>34793</v>
      </c>
      <c r="AM4823" t="s">
        <v>34794</v>
      </c>
      <c r="AN4823" t="s">
        <v>2052</v>
      </c>
      <c r="AO4823" t="s">
        <v>34795</v>
      </c>
      <c r="AP4823" t="s">
        <v>7024</v>
      </c>
      <c r="AQ4823" t="s">
        <v>34796</v>
      </c>
      <c r="AT4823" s="184">
        <v>42110</v>
      </c>
      <c r="AU4823" t="s">
        <v>34797</v>
      </c>
      <c r="AV4823">
        <v>25</v>
      </c>
      <c r="AW4823" s="184">
        <v>45061</v>
      </c>
      <c r="AX4823" t="s">
        <v>9262</v>
      </c>
      <c r="AY4823">
        <v>100</v>
      </c>
      <c r="AZ4823" s="184">
        <v>45061</v>
      </c>
      <c r="BA4823" t="s">
        <v>9262</v>
      </c>
      <c r="BB4823">
        <v>100</v>
      </c>
      <c r="BC4823">
        <v>90</v>
      </c>
      <c r="BD4823">
        <v>640</v>
      </c>
      <c r="BE4823">
        <v>2015</v>
      </c>
      <c r="BF4823">
        <v>10</v>
      </c>
      <c r="BG4823">
        <v>2</v>
      </c>
      <c r="BH4823">
        <v>200</v>
      </c>
      <c r="BI4823">
        <v>9</v>
      </c>
      <c r="BJ4823">
        <v>10</v>
      </c>
      <c r="BK4823">
        <v>9</v>
      </c>
      <c r="BP4823" s="184"/>
    </row>
    <row r="4824" spans="1:68">
      <c r="A4824">
        <v>92612738</v>
      </c>
      <c r="B4824">
        <v>92612738</v>
      </c>
      <c r="C4824" t="s">
        <v>7018</v>
      </c>
      <c r="E4824" s="184"/>
      <c r="G4824" s="184"/>
      <c r="H4824" t="s">
        <v>595</v>
      </c>
      <c r="I4824" s="184">
        <v>45400</v>
      </c>
      <c r="K4824" s="184"/>
      <c r="M4824" s="184"/>
      <c r="O4824" s="184"/>
      <c r="P4824" t="s">
        <v>7045</v>
      </c>
      <c r="Q4824" t="s">
        <v>7020</v>
      </c>
      <c r="R4824" s="184">
        <v>13385</v>
      </c>
      <c r="S4824">
        <v>87</v>
      </c>
      <c r="V4824" t="s">
        <v>17258</v>
      </c>
      <c r="X4824" t="s">
        <v>34798</v>
      </c>
      <c r="AF4824" t="s">
        <v>34799</v>
      </c>
      <c r="AG4824" t="s">
        <v>17258</v>
      </c>
      <c r="AI4824" t="s">
        <v>34800</v>
      </c>
      <c r="AM4824" t="s">
        <v>34801</v>
      </c>
      <c r="AN4824" t="s">
        <v>2240</v>
      </c>
      <c r="AO4824" t="s">
        <v>34802</v>
      </c>
      <c r="AP4824" t="s">
        <v>7024</v>
      </c>
      <c r="AQ4824" t="s">
        <v>34803</v>
      </c>
      <c r="AT4824" s="184">
        <v>42114</v>
      </c>
      <c r="AU4824" t="s">
        <v>34804</v>
      </c>
      <c r="AV4824">
        <v>20</v>
      </c>
      <c r="AW4824" s="184">
        <v>45412</v>
      </c>
      <c r="AX4824" t="s">
        <v>14823</v>
      </c>
      <c r="AY4824">
        <v>50</v>
      </c>
      <c r="AZ4824" s="184">
        <v>44215</v>
      </c>
      <c r="BA4824" t="s">
        <v>34805</v>
      </c>
      <c r="BB4824">
        <v>60</v>
      </c>
      <c r="BC4824">
        <v>60</v>
      </c>
      <c r="BD4824">
        <v>270</v>
      </c>
      <c r="BE4824">
        <v>2015</v>
      </c>
      <c r="BF4824">
        <v>7</v>
      </c>
      <c r="BG4824">
        <v>1</v>
      </c>
      <c r="BH4824">
        <v>50</v>
      </c>
      <c r="BI4824">
        <v>6</v>
      </c>
      <c r="BJ4824">
        <v>10</v>
      </c>
      <c r="BK4824">
        <v>2</v>
      </c>
      <c r="BN4824" t="s">
        <v>595</v>
      </c>
      <c r="BP4824" s="184"/>
    </row>
    <row r="4825" spans="1:68">
      <c r="A4825">
        <v>92614106</v>
      </c>
      <c r="B4825">
        <v>92614106</v>
      </c>
      <c r="C4825" t="s">
        <v>7018</v>
      </c>
      <c r="E4825" s="184"/>
      <c r="G4825" s="184"/>
      <c r="I4825" s="184"/>
      <c r="J4825" t="s">
        <v>595</v>
      </c>
      <c r="K4825" s="184">
        <v>42551</v>
      </c>
      <c r="M4825" s="184"/>
      <c r="O4825" s="184"/>
      <c r="P4825" t="s">
        <v>8550</v>
      </c>
      <c r="Q4825" t="s">
        <v>7383</v>
      </c>
      <c r="R4825" s="184">
        <v>12908</v>
      </c>
      <c r="S4825">
        <v>89</v>
      </c>
      <c r="U4825" t="s">
        <v>7237</v>
      </c>
      <c r="V4825" t="s">
        <v>2511</v>
      </c>
      <c r="X4825" t="s">
        <v>9683</v>
      </c>
      <c r="AF4825" t="s">
        <v>6784</v>
      </c>
      <c r="AG4825" t="s">
        <v>2511</v>
      </c>
      <c r="AI4825" t="s">
        <v>34806</v>
      </c>
      <c r="AM4825" t="s">
        <v>34807</v>
      </c>
      <c r="AN4825" t="s">
        <v>2313</v>
      </c>
      <c r="AO4825">
        <v>60044</v>
      </c>
      <c r="AP4825" t="s">
        <v>7024</v>
      </c>
      <c r="AT4825" s="184"/>
      <c r="AW4825" s="184"/>
      <c r="AZ4825" s="184"/>
      <c r="BP4825" s="184"/>
    </row>
    <row r="4826" spans="1:68">
      <c r="A4826">
        <v>92616705</v>
      </c>
      <c r="B4826">
        <v>92616705</v>
      </c>
      <c r="C4826" t="s">
        <v>7018</v>
      </c>
      <c r="E4826" s="184"/>
      <c r="H4826" t="s">
        <v>595</v>
      </c>
      <c r="I4826" s="184">
        <v>44019</v>
      </c>
      <c r="K4826" s="184"/>
      <c r="M4826" s="184"/>
      <c r="O4826" s="184"/>
      <c r="P4826" t="s">
        <v>7045</v>
      </c>
      <c r="Q4826" t="s">
        <v>7494</v>
      </c>
      <c r="R4826" s="184">
        <v>18934</v>
      </c>
      <c r="S4826">
        <v>72</v>
      </c>
      <c r="V4826" t="s">
        <v>3400</v>
      </c>
      <c r="X4826" t="s">
        <v>3028</v>
      </c>
      <c r="AF4826" t="s">
        <v>34808</v>
      </c>
      <c r="AG4826" t="s">
        <v>3400</v>
      </c>
      <c r="AI4826" t="s">
        <v>34809</v>
      </c>
      <c r="AJ4826" t="s">
        <v>34810</v>
      </c>
      <c r="AM4826" t="s">
        <v>4830</v>
      </c>
      <c r="AN4826" t="s">
        <v>2174</v>
      </c>
      <c r="AO4826" t="s">
        <v>34811</v>
      </c>
      <c r="AP4826" t="s">
        <v>7024</v>
      </c>
      <c r="AQ4826" t="s">
        <v>34812</v>
      </c>
      <c r="AT4826" s="184">
        <v>42115</v>
      </c>
      <c r="AU4826" t="s">
        <v>34813</v>
      </c>
      <c r="AV4826">
        <v>25</v>
      </c>
      <c r="AW4826" s="184">
        <v>43885</v>
      </c>
      <c r="AX4826" t="s">
        <v>34814</v>
      </c>
      <c r="AY4826">
        <v>15</v>
      </c>
      <c r="AZ4826" s="184">
        <v>42115</v>
      </c>
      <c r="BA4826" t="s">
        <v>34813</v>
      </c>
      <c r="BB4826">
        <v>25</v>
      </c>
      <c r="BC4826">
        <v>20</v>
      </c>
      <c r="BD4826">
        <v>40</v>
      </c>
      <c r="BE4826">
        <v>2015</v>
      </c>
      <c r="BF4826">
        <v>2</v>
      </c>
      <c r="BI4826">
        <v>2</v>
      </c>
      <c r="BJ4826">
        <v>10</v>
      </c>
      <c r="BK4826">
        <v>1</v>
      </c>
      <c r="BP4826" s="184"/>
    </row>
    <row r="4827" spans="1:68">
      <c r="A4827">
        <v>92621002</v>
      </c>
      <c r="B4827">
        <v>92621002</v>
      </c>
      <c r="C4827" t="s">
        <v>7018</v>
      </c>
      <c r="D4827" t="s">
        <v>595</v>
      </c>
      <c r="E4827" s="184">
        <v>44455</v>
      </c>
      <c r="G4827" s="184"/>
      <c r="I4827" s="184"/>
      <c r="K4827" s="184"/>
      <c r="M4827" s="184"/>
      <c r="O4827" s="184"/>
      <c r="P4827" t="s">
        <v>7045</v>
      </c>
      <c r="Q4827" t="s">
        <v>7020</v>
      </c>
      <c r="R4827" s="184">
        <v>18264</v>
      </c>
      <c r="S4827">
        <v>74</v>
      </c>
      <c r="V4827" t="s">
        <v>2586</v>
      </c>
      <c r="X4827" t="s">
        <v>14706</v>
      </c>
      <c r="AF4827" t="s">
        <v>34815</v>
      </c>
      <c r="AG4827" t="s">
        <v>2586</v>
      </c>
      <c r="AI4827" t="s">
        <v>34816</v>
      </c>
      <c r="AM4827" t="s">
        <v>34817</v>
      </c>
      <c r="AN4827" t="s">
        <v>2112</v>
      </c>
      <c r="AO4827" t="s">
        <v>34818</v>
      </c>
      <c r="AP4827" t="s">
        <v>7024</v>
      </c>
      <c r="AQ4827" t="s">
        <v>34819</v>
      </c>
      <c r="AR4827" t="s">
        <v>34820</v>
      </c>
      <c r="AT4827" s="184">
        <v>42115</v>
      </c>
      <c r="AU4827" t="s">
        <v>34821</v>
      </c>
      <c r="AV4827">
        <v>25</v>
      </c>
      <c r="AW4827" s="184">
        <v>45369</v>
      </c>
      <c r="AX4827" t="s">
        <v>7168</v>
      </c>
      <c r="AY4827">
        <v>105</v>
      </c>
      <c r="AZ4827" s="184">
        <v>45369</v>
      </c>
      <c r="BA4827" t="s">
        <v>7168</v>
      </c>
      <c r="BB4827">
        <v>105</v>
      </c>
      <c r="BC4827">
        <v>100</v>
      </c>
      <c r="BD4827">
        <v>880</v>
      </c>
      <c r="BE4827">
        <v>2015</v>
      </c>
      <c r="BF4827">
        <v>16</v>
      </c>
      <c r="BG4827">
        <v>3</v>
      </c>
      <c r="BH4827">
        <v>230</v>
      </c>
      <c r="BI4827">
        <v>10</v>
      </c>
      <c r="BJ4827">
        <v>10</v>
      </c>
      <c r="BK4827">
        <v>10</v>
      </c>
      <c r="BP4827" s="184"/>
    </row>
    <row r="4828" spans="1:68">
      <c r="A4828">
        <v>92623313</v>
      </c>
      <c r="B4828">
        <v>92623313</v>
      </c>
      <c r="C4828" t="s">
        <v>7018</v>
      </c>
      <c r="D4828" t="s">
        <v>595</v>
      </c>
      <c r="E4828" s="184">
        <v>45112</v>
      </c>
      <c r="G4828" s="184"/>
      <c r="I4828" s="184"/>
      <c r="K4828" s="184"/>
      <c r="M4828" s="184"/>
      <c r="O4828" s="184"/>
      <c r="P4828" t="s">
        <v>7045</v>
      </c>
      <c r="Q4828" t="s">
        <v>7383</v>
      </c>
      <c r="R4828" s="184">
        <v>25336</v>
      </c>
      <c r="S4828">
        <v>55</v>
      </c>
      <c r="V4828" t="s">
        <v>34822</v>
      </c>
      <c r="X4828" t="s">
        <v>34823</v>
      </c>
      <c r="AF4828" t="s">
        <v>34824</v>
      </c>
      <c r="AG4828" t="s">
        <v>34822</v>
      </c>
      <c r="AI4828" t="s">
        <v>34825</v>
      </c>
      <c r="AM4828" t="s">
        <v>34826</v>
      </c>
      <c r="AN4828" t="s">
        <v>2274</v>
      </c>
      <c r="AO4828" t="s">
        <v>34827</v>
      </c>
      <c r="AP4828" t="s">
        <v>7024</v>
      </c>
      <c r="AQ4828" t="s">
        <v>34828</v>
      </c>
      <c r="AT4828" s="184">
        <v>42118</v>
      </c>
      <c r="AU4828" t="s">
        <v>34829</v>
      </c>
      <c r="AV4828">
        <v>19.97</v>
      </c>
      <c r="AW4828" s="184">
        <v>44981</v>
      </c>
      <c r="AX4828" t="s">
        <v>34830</v>
      </c>
      <c r="AY4828">
        <v>25</v>
      </c>
      <c r="AZ4828" s="184">
        <v>43833</v>
      </c>
      <c r="BA4828" t="s">
        <v>9737</v>
      </c>
      <c r="BB4828">
        <v>60</v>
      </c>
      <c r="BC4828">
        <v>60</v>
      </c>
      <c r="BD4828">
        <v>229.97</v>
      </c>
      <c r="BE4828">
        <v>2015</v>
      </c>
      <c r="BF4828">
        <v>7</v>
      </c>
      <c r="BG4828">
        <v>1</v>
      </c>
      <c r="BH4828">
        <v>25</v>
      </c>
      <c r="BI4828">
        <v>6</v>
      </c>
      <c r="BJ4828">
        <v>10</v>
      </c>
      <c r="BK4828">
        <v>4</v>
      </c>
      <c r="BP4828" s="184"/>
    </row>
    <row r="4829" spans="1:68">
      <c r="A4829">
        <v>92631985</v>
      </c>
      <c r="B4829">
        <v>92631985</v>
      </c>
      <c r="C4829" t="s">
        <v>7018</v>
      </c>
      <c r="D4829" t="s">
        <v>595</v>
      </c>
      <c r="E4829" s="184">
        <v>45195</v>
      </c>
      <c r="G4829" s="184"/>
      <c r="I4829" s="184"/>
      <c r="K4829" s="184"/>
      <c r="M4829" s="184"/>
      <c r="O4829" s="184"/>
      <c r="P4829" t="s">
        <v>7045</v>
      </c>
      <c r="Q4829" t="s">
        <v>7374</v>
      </c>
      <c r="R4829" s="184">
        <v>24542</v>
      </c>
      <c r="S4829">
        <v>57</v>
      </c>
      <c r="U4829" t="s">
        <v>7130</v>
      </c>
      <c r="V4829" t="s">
        <v>11152</v>
      </c>
      <c r="X4829" t="s">
        <v>34831</v>
      </c>
      <c r="AF4829" t="s">
        <v>34832</v>
      </c>
      <c r="AG4829" t="s">
        <v>11152</v>
      </c>
      <c r="AI4829" t="s">
        <v>34833</v>
      </c>
      <c r="AM4829" t="s">
        <v>11536</v>
      </c>
      <c r="AN4829" t="s">
        <v>2081</v>
      </c>
      <c r="AO4829" t="s">
        <v>34834</v>
      </c>
      <c r="AP4829" t="s">
        <v>7024</v>
      </c>
      <c r="AQ4829" t="s">
        <v>34835</v>
      </c>
      <c r="AT4829" s="184">
        <v>42118</v>
      </c>
      <c r="AU4829" t="s">
        <v>34836</v>
      </c>
      <c r="AV4829">
        <v>50</v>
      </c>
      <c r="AW4829" s="184">
        <v>44888</v>
      </c>
      <c r="AX4829" t="s">
        <v>7961</v>
      </c>
      <c r="AY4829">
        <v>100</v>
      </c>
      <c r="AZ4829" s="184">
        <v>44888</v>
      </c>
      <c r="BA4829" t="s">
        <v>7961</v>
      </c>
      <c r="BB4829">
        <v>100</v>
      </c>
      <c r="BC4829">
        <v>80</v>
      </c>
      <c r="BD4829">
        <v>450</v>
      </c>
      <c r="BE4829">
        <v>2015</v>
      </c>
      <c r="BF4829">
        <v>8</v>
      </c>
      <c r="BG4829">
        <v>1</v>
      </c>
      <c r="BH4829">
        <v>100</v>
      </c>
      <c r="BI4829">
        <v>8</v>
      </c>
      <c r="BJ4829">
        <v>10</v>
      </c>
      <c r="BK4829">
        <v>8</v>
      </c>
      <c r="BP4829" s="184"/>
    </row>
    <row r="4830" spans="1:68">
      <c r="A4830">
        <v>92638451</v>
      </c>
      <c r="B4830">
        <v>92638451</v>
      </c>
      <c r="C4830" t="s">
        <v>7018</v>
      </c>
      <c r="D4830" t="s">
        <v>595</v>
      </c>
      <c r="E4830" s="184">
        <v>44073</v>
      </c>
      <c r="I4830" s="184"/>
      <c r="K4830" s="184"/>
      <c r="M4830" s="184"/>
      <c r="O4830" s="184"/>
      <c r="P4830" t="s">
        <v>7045</v>
      </c>
      <c r="Q4830" t="s">
        <v>7262</v>
      </c>
      <c r="R4830" s="184">
        <v>22204</v>
      </c>
      <c r="S4830">
        <v>63</v>
      </c>
      <c r="V4830" t="s">
        <v>2982</v>
      </c>
      <c r="W4830" t="s">
        <v>4013</v>
      </c>
      <c r="X4830" t="s">
        <v>34837</v>
      </c>
      <c r="AF4830" t="s">
        <v>34838</v>
      </c>
      <c r="AG4830" t="s">
        <v>2982</v>
      </c>
      <c r="AI4830" t="s">
        <v>34839</v>
      </c>
      <c r="AM4830" t="s">
        <v>34840</v>
      </c>
      <c r="AN4830" t="s">
        <v>2106</v>
      </c>
      <c r="AO4830" t="s">
        <v>34841</v>
      </c>
      <c r="AP4830" t="s">
        <v>7024</v>
      </c>
      <c r="AQ4830" t="s">
        <v>34842</v>
      </c>
      <c r="AR4830" t="s">
        <v>34843</v>
      </c>
      <c r="AT4830" s="184">
        <v>42117</v>
      </c>
      <c r="AU4830" t="s">
        <v>34844</v>
      </c>
      <c r="AV4830">
        <v>25</v>
      </c>
      <c r="AW4830" s="184">
        <v>45349</v>
      </c>
      <c r="AX4830" t="s">
        <v>14116</v>
      </c>
      <c r="AY4830">
        <v>90</v>
      </c>
      <c r="AZ4830" s="184">
        <v>45349</v>
      </c>
      <c r="BA4830" t="s">
        <v>14116</v>
      </c>
      <c r="BB4830">
        <v>90</v>
      </c>
      <c r="BC4830">
        <v>100</v>
      </c>
      <c r="BD4830">
        <v>1340</v>
      </c>
      <c r="BE4830">
        <v>2015</v>
      </c>
      <c r="BF4830">
        <v>20</v>
      </c>
      <c r="BG4830">
        <v>4</v>
      </c>
      <c r="BH4830">
        <v>360</v>
      </c>
      <c r="BI4830">
        <v>10</v>
      </c>
      <c r="BJ4830">
        <v>10</v>
      </c>
      <c r="BK4830">
        <v>10</v>
      </c>
      <c r="BP4830" s="184"/>
    </row>
    <row r="4831" spans="1:68">
      <c r="A4831">
        <v>92646926</v>
      </c>
      <c r="B4831">
        <v>92646926</v>
      </c>
      <c r="C4831" t="s">
        <v>7018</v>
      </c>
      <c r="D4831" t="s">
        <v>595</v>
      </c>
      <c r="E4831" s="184">
        <v>45195</v>
      </c>
      <c r="G4831" s="184"/>
      <c r="I4831" s="184"/>
      <c r="K4831" s="184"/>
      <c r="M4831" s="184"/>
      <c r="O4831" s="184"/>
      <c r="P4831" t="s">
        <v>7045</v>
      </c>
      <c r="Q4831" t="s">
        <v>7774</v>
      </c>
      <c r="R4831" s="184">
        <v>18354</v>
      </c>
      <c r="S4831">
        <v>74</v>
      </c>
      <c r="V4831" t="s">
        <v>3235</v>
      </c>
      <c r="W4831" t="s">
        <v>4139</v>
      </c>
      <c r="X4831" t="s">
        <v>34845</v>
      </c>
      <c r="AF4831" t="s">
        <v>34846</v>
      </c>
      <c r="AG4831" t="s">
        <v>3235</v>
      </c>
      <c r="AI4831" t="s">
        <v>34847</v>
      </c>
      <c r="AM4831" t="s">
        <v>34848</v>
      </c>
      <c r="AN4831" t="s">
        <v>2290</v>
      </c>
      <c r="AO4831" t="s">
        <v>34849</v>
      </c>
      <c r="AP4831" t="s">
        <v>7024</v>
      </c>
      <c r="AQ4831" t="s">
        <v>34850</v>
      </c>
      <c r="AR4831" t="s">
        <v>34851</v>
      </c>
      <c r="AT4831" s="184">
        <v>42121</v>
      </c>
      <c r="AU4831" t="s">
        <v>34852</v>
      </c>
      <c r="AV4831">
        <v>25</v>
      </c>
      <c r="AW4831" s="184">
        <v>45349</v>
      </c>
      <c r="AX4831" t="s">
        <v>17901</v>
      </c>
      <c r="AY4831">
        <v>60</v>
      </c>
      <c r="AZ4831" s="184">
        <v>45349</v>
      </c>
      <c r="BA4831" t="s">
        <v>17901</v>
      </c>
      <c r="BB4831">
        <v>60</v>
      </c>
      <c r="BC4831">
        <v>60</v>
      </c>
      <c r="BD4831">
        <v>325</v>
      </c>
      <c r="BE4831">
        <v>2015</v>
      </c>
      <c r="BF4831">
        <v>6</v>
      </c>
      <c r="BG4831">
        <v>2</v>
      </c>
      <c r="BH4831">
        <v>120</v>
      </c>
      <c r="BI4831">
        <v>6</v>
      </c>
      <c r="BJ4831">
        <v>10</v>
      </c>
      <c r="BK4831">
        <v>3</v>
      </c>
      <c r="BP4831" s="184"/>
    </row>
    <row r="4832" spans="1:68">
      <c r="A4832">
        <v>92655281</v>
      </c>
      <c r="B4832">
        <v>92655281</v>
      </c>
      <c r="C4832" t="s">
        <v>7018</v>
      </c>
      <c r="D4832" t="s">
        <v>595</v>
      </c>
      <c r="E4832" s="184">
        <v>45195</v>
      </c>
      <c r="G4832" s="184"/>
      <c r="I4832" s="184"/>
      <c r="K4832" s="184"/>
      <c r="M4832" s="184"/>
      <c r="O4832" s="184"/>
      <c r="P4832" t="s">
        <v>7019</v>
      </c>
      <c r="Q4832" t="s">
        <v>7020</v>
      </c>
      <c r="R4832" s="184">
        <v>22026</v>
      </c>
      <c r="S4832">
        <v>64</v>
      </c>
      <c r="U4832" t="s">
        <v>7130</v>
      </c>
      <c r="V4832" t="s">
        <v>21647</v>
      </c>
      <c r="X4832" t="s">
        <v>34853</v>
      </c>
      <c r="AF4832" t="s">
        <v>34854</v>
      </c>
      <c r="AG4832" t="s">
        <v>21647</v>
      </c>
      <c r="AI4832" t="s">
        <v>34855</v>
      </c>
      <c r="AM4832" t="s">
        <v>34856</v>
      </c>
      <c r="AN4832" t="s">
        <v>2112</v>
      </c>
      <c r="AO4832" t="s">
        <v>34857</v>
      </c>
      <c r="AP4832" t="s">
        <v>7024</v>
      </c>
      <c r="AQ4832" t="s">
        <v>34858</v>
      </c>
      <c r="AT4832" s="184">
        <v>42124</v>
      </c>
      <c r="AU4832" t="s">
        <v>34859</v>
      </c>
      <c r="AV4832">
        <v>25</v>
      </c>
      <c r="AW4832" s="184">
        <v>44383</v>
      </c>
      <c r="AX4832" t="s">
        <v>9500</v>
      </c>
      <c r="AY4832">
        <v>60</v>
      </c>
      <c r="AZ4832" s="184">
        <v>44383</v>
      </c>
      <c r="BA4832" t="s">
        <v>9500</v>
      </c>
      <c r="BB4832">
        <v>60</v>
      </c>
      <c r="BC4832">
        <v>70</v>
      </c>
      <c r="BD4832">
        <v>210</v>
      </c>
      <c r="BE4832">
        <v>2015</v>
      </c>
      <c r="BF4832">
        <v>7</v>
      </c>
      <c r="BI4832">
        <v>7</v>
      </c>
      <c r="BJ4832">
        <v>10</v>
      </c>
      <c r="BK4832">
        <v>7</v>
      </c>
      <c r="BN4832" t="s">
        <v>595</v>
      </c>
      <c r="BP4832" s="184"/>
    </row>
    <row r="4833" spans="1:68">
      <c r="A4833">
        <v>92658814</v>
      </c>
      <c r="B4833">
        <v>92658814</v>
      </c>
      <c r="C4833" t="s">
        <v>7018</v>
      </c>
      <c r="E4833" s="184"/>
      <c r="G4833" s="184"/>
      <c r="I4833" s="184"/>
      <c r="K4833" s="184"/>
      <c r="M4833" s="184"/>
      <c r="N4833" t="s">
        <v>595</v>
      </c>
      <c r="O4833" s="184">
        <v>42705</v>
      </c>
      <c r="P4833" t="s">
        <v>7045</v>
      </c>
      <c r="Q4833" t="s">
        <v>7262</v>
      </c>
      <c r="R4833" s="184">
        <v>18233</v>
      </c>
      <c r="S4833">
        <v>74</v>
      </c>
      <c r="U4833" t="s">
        <v>7130</v>
      </c>
      <c r="V4833" t="s">
        <v>2779</v>
      </c>
      <c r="W4833" t="s">
        <v>7560</v>
      </c>
      <c r="X4833" t="s">
        <v>34860</v>
      </c>
      <c r="Z4833">
        <v>100160726</v>
      </c>
      <c r="AA4833" t="s">
        <v>7031</v>
      </c>
      <c r="AB4833" t="s">
        <v>2889</v>
      </c>
      <c r="AC4833" t="s">
        <v>4139</v>
      </c>
      <c r="AD4833" t="s">
        <v>34860</v>
      </c>
      <c r="AF4833" t="s">
        <v>34861</v>
      </c>
      <c r="AG4833" t="s">
        <v>34862</v>
      </c>
      <c r="AI4833" t="s">
        <v>34863</v>
      </c>
      <c r="AM4833" t="s">
        <v>5836</v>
      </c>
      <c r="AN4833" t="s">
        <v>65</v>
      </c>
      <c r="AO4833" t="s">
        <v>34864</v>
      </c>
      <c r="AP4833" t="s">
        <v>7024</v>
      </c>
      <c r="AQ4833" t="s">
        <v>34865</v>
      </c>
      <c r="AT4833" s="184">
        <v>42122</v>
      </c>
      <c r="AU4833" t="s">
        <v>34866</v>
      </c>
      <c r="AV4833">
        <v>25</v>
      </c>
      <c r="AW4833" s="184">
        <v>42705</v>
      </c>
      <c r="AX4833" t="s">
        <v>7267</v>
      </c>
      <c r="AY4833">
        <v>100000</v>
      </c>
      <c r="AZ4833" s="184">
        <v>42705</v>
      </c>
      <c r="BA4833" t="s">
        <v>7267</v>
      </c>
      <c r="BB4833">
        <v>100000</v>
      </c>
      <c r="BC4833">
        <v>20</v>
      </c>
      <c r="BD4833">
        <v>100110</v>
      </c>
      <c r="BE4833">
        <v>2015</v>
      </c>
      <c r="BF4833">
        <v>4</v>
      </c>
      <c r="BI4833">
        <v>2</v>
      </c>
      <c r="BJ4833">
        <v>10</v>
      </c>
      <c r="BK4833">
        <v>2</v>
      </c>
      <c r="BM4833" t="s">
        <v>595</v>
      </c>
      <c r="BN4833" t="s">
        <v>595</v>
      </c>
      <c r="BP4833" s="184"/>
    </row>
    <row r="4834" spans="1:68">
      <c r="A4834">
        <v>100160726</v>
      </c>
      <c r="B4834">
        <v>92658814</v>
      </c>
      <c r="C4834" t="s">
        <v>7018</v>
      </c>
      <c r="E4834" s="184"/>
      <c r="G4834" s="184"/>
      <c r="I4834" s="184"/>
      <c r="K4834" s="184"/>
      <c r="M4834" s="184"/>
      <c r="N4834" t="s">
        <v>595</v>
      </c>
      <c r="O4834" s="184">
        <v>42705</v>
      </c>
      <c r="P4834" t="s">
        <v>7045</v>
      </c>
      <c r="Q4834" t="s">
        <v>7262</v>
      </c>
      <c r="R4834" s="184">
        <v>20911</v>
      </c>
      <c r="S4834">
        <v>67</v>
      </c>
      <c r="U4834" t="s">
        <v>7031</v>
      </c>
      <c r="V4834" t="s">
        <v>2889</v>
      </c>
      <c r="W4834" t="s">
        <v>4139</v>
      </c>
      <c r="X4834" t="s">
        <v>34860</v>
      </c>
      <c r="Z4834">
        <v>92658814</v>
      </c>
      <c r="AA4834" t="s">
        <v>7130</v>
      </c>
      <c r="AB4834" t="s">
        <v>2779</v>
      </c>
      <c r="AC4834" t="s">
        <v>7560</v>
      </c>
      <c r="AD4834" t="s">
        <v>34860</v>
      </c>
      <c r="AF4834" t="s">
        <v>34861</v>
      </c>
      <c r="AG4834" t="s">
        <v>34862</v>
      </c>
      <c r="AI4834" t="s">
        <v>34863</v>
      </c>
      <c r="AM4834" t="s">
        <v>5836</v>
      </c>
      <c r="AN4834" t="s">
        <v>65</v>
      </c>
      <c r="AO4834" t="s">
        <v>34864</v>
      </c>
      <c r="AP4834" t="s">
        <v>7024</v>
      </c>
      <c r="AT4834" s="184"/>
      <c r="AW4834" s="184"/>
      <c r="AZ4834" s="184"/>
      <c r="BP4834" s="184"/>
    </row>
    <row r="4835" spans="1:68">
      <c r="A4835">
        <v>92663871</v>
      </c>
      <c r="B4835">
        <v>92663871</v>
      </c>
      <c r="C4835" t="s">
        <v>7018</v>
      </c>
      <c r="E4835" s="184"/>
      <c r="G4835" s="184"/>
      <c r="I4835" s="184"/>
      <c r="J4835" t="s">
        <v>595</v>
      </c>
      <c r="K4835" s="184">
        <v>44167</v>
      </c>
      <c r="M4835" s="184"/>
      <c r="O4835" s="184"/>
      <c r="P4835" t="s">
        <v>7045</v>
      </c>
      <c r="Q4835" t="s">
        <v>7383</v>
      </c>
      <c r="R4835" s="184">
        <v>18080</v>
      </c>
      <c r="S4835">
        <v>74</v>
      </c>
      <c r="V4835" t="s">
        <v>2541</v>
      </c>
      <c r="X4835" t="s">
        <v>34867</v>
      </c>
      <c r="AF4835" t="s">
        <v>34868</v>
      </c>
      <c r="AG4835" t="s">
        <v>2541</v>
      </c>
      <c r="AI4835" t="s">
        <v>34869</v>
      </c>
      <c r="AM4835" t="s">
        <v>2703</v>
      </c>
      <c r="AN4835" t="s">
        <v>2064</v>
      </c>
      <c r="AO4835" t="s">
        <v>34870</v>
      </c>
      <c r="AP4835" t="s">
        <v>7024</v>
      </c>
      <c r="AQ4835" t="s">
        <v>34871</v>
      </c>
      <c r="AT4835" s="184">
        <v>42123</v>
      </c>
      <c r="AU4835" t="s">
        <v>34872</v>
      </c>
      <c r="AV4835">
        <v>25</v>
      </c>
      <c r="AW4835" s="184">
        <v>45302</v>
      </c>
      <c r="AX4835" t="s">
        <v>19593</v>
      </c>
      <c r="AY4835">
        <v>35</v>
      </c>
      <c r="AZ4835" s="184">
        <v>43928</v>
      </c>
      <c r="BA4835" t="s">
        <v>34873</v>
      </c>
      <c r="BB4835">
        <v>100</v>
      </c>
      <c r="BC4835">
        <v>70</v>
      </c>
      <c r="BD4835">
        <v>600</v>
      </c>
      <c r="BE4835">
        <v>2015</v>
      </c>
      <c r="BF4835">
        <v>13</v>
      </c>
      <c r="BG4835">
        <v>1</v>
      </c>
      <c r="BH4835">
        <v>35</v>
      </c>
      <c r="BI4835">
        <v>7</v>
      </c>
      <c r="BJ4835">
        <v>10</v>
      </c>
      <c r="BK4835">
        <v>6</v>
      </c>
      <c r="BP4835" s="184"/>
    </row>
    <row r="4836" spans="1:68">
      <c r="A4836">
        <v>92675990</v>
      </c>
      <c r="B4836">
        <v>92675990</v>
      </c>
      <c r="C4836" t="s">
        <v>7018</v>
      </c>
      <c r="D4836" t="s">
        <v>595</v>
      </c>
      <c r="E4836" s="184">
        <v>45154</v>
      </c>
      <c r="G4836" s="184"/>
      <c r="I4836" s="184"/>
      <c r="K4836" s="184"/>
      <c r="M4836" s="184"/>
      <c r="O4836" s="184"/>
      <c r="P4836" t="s">
        <v>7045</v>
      </c>
      <c r="Q4836" t="s">
        <v>7383</v>
      </c>
      <c r="R4836" s="184">
        <v>14124</v>
      </c>
      <c r="S4836">
        <v>85</v>
      </c>
      <c r="V4836" t="s">
        <v>34874</v>
      </c>
      <c r="W4836" t="s">
        <v>7248</v>
      </c>
      <c r="X4836" t="s">
        <v>27512</v>
      </c>
      <c r="AF4836" t="s">
        <v>34875</v>
      </c>
      <c r="AG4836" t="s">
        <v>34874</v>
      </c>
      <c r="AI4836" t="s">
        <v>22982</v>
      </c>
      <c r="AM4836" t="s">
        <v>4656</v>
      </c>
      <c r="AN4836" t="s">
        <v>2313</v>
      </c>
      <c r="AO4836" t="s">
        <v>34876</v>
      </c>
      <c r="AP4836" t="s">
        <v>7024</v>
      </c>
      <c r="AQ4836" t="s">
        <v>34877</v>
      </c>
      <c r="AT4836" s="184">
        <v>42128</v>
      </c>
      <c r="AU4836" t="s">
        <v>34813</v>
      </c>
      <c r="AV4836">
        <v>25</v>
      </c>
      <c r="AW4836" s="184">
        <v>45293</v>
      </c>
      <c r="AX4836" t="s">
        <v>34878</v>
      </c>
      <c r="AY4836">
        <v>30</v>
      </c>
      <c r="AZ4836" s="184">
        <v>42521</v>
      </c>
      <c r="BA4836" t="s">
        <v>34879</v>
      </c>
      <c r="BB4836">
        <v>60</v>
      </c>
      <c r="BC4836">
        <v>100</v>
      </c>
      <c r="BD4836">
        <v>785</v>
      </c>
      <c r="BE4836">
        <v>2015</v>
      </c>
      <c r="BF4836">
        <v>25</v>
      </c>
      <c r="BG4836">
        <v>6</v>
      </c>
      <c r="BH4836">
        <v>170</v>
      </c>
      <c r="BI4836">
        <v>10</v>
      </c>
      <c r="BJ4836">
        <v>10</v>
      </c>
      <c r="BK4836">
        <v>10</v>
      </c>
      <c r="BP4836" s="184"/>
    </row>
    <row r="4837" spans="1:68">
      <c r="A4837">
        <v>92684067</v>
      </c>
      <c r="B4837">
        <v>92684067</v>
      </c>
      <c r="C4837" t="s">
        <v>7018</v>
      </c>
      <c r="E4837" s="184"/>
      <c r="G4837" s="184"/>
      <c r="I4837" s="184"/>
      <c r="J4837" t="s">
        <v>595</v>
      </c>
      <c r="K4837" s="184">
        <v>44854</v>
      </c>
      <c r="O4837" s="184"/>
      <c r="P4837" t="s">
        <v>7045</v>
      </c>
      <c r="Q4837" t="s">
        <v>7383</v>
      </c>
      <c r="R4837" s="184">
        <v>18944</v>
      </c>
      <c r="S4837">
        <v>72</v>
      </c>
      <c r="V4837" t="s">
        <v>3043</v>
      </c>
      <c r="X4837" t="s">
        <v>34880</v>
      </c>
      <c r="AF4837" t="s">
        <v>34881</v>
      </c>
      <c r="AG4837" t="s">
        <v>3043</v>
      </c>
      <c r="AI4837" t="s">
        <v>34882</v>
      </c>
      <c r="AM4837" t="s">
        <v>34883</v>
      </c>
      <c r="AN4837" t="s">
        <v>2059</v>
      </c>
      <c r="AO4837" t="s">
        <v>34884</v>
      </c>
      <c r="AP4837" t="s">
        <v>7024</v>
      </c>
      <c r="AQ4837" t="s">
        <v>34885</v>
      </c>
      <c r="AT4837" s="184">
        <v>42129</v>
      </c>
      <c r="AU4837" t="s">
        <v>34886</v>
      </c>
      <c r="AV4837">
        <v>25</v>
      </c>
      <c r="AW4837" s="184">
        <v>45322</v>
      </c>
      <c r="AX4837" t="s">
        <v>34887</v>
      </c>
      <c r="AY4837">
        <v>25</v>
      </c>
      <c r="AZ4837" s="184">
        <v>44160</v>
      </c>
      <c r="BA4837" t="s">
        <v>26239</v>
      </c>
      <c r="BB4837">
        <v>60</v>
      </c>
      <c r="BC4837">
        <v>50</v>
      </c>
      <c r="BD4837">
        <v>195</v>
      </c>
      <c r="BE4837">
        <v>2015</v>
      </c>
      <c r="BF4837">
        <v>5</v>
      </c>
      <c r="BG4837">
        <v>1</v>
      </c>
      <c r="BH4837">
        <v>25</v>
      </c>
      <c r="BI4837">
        <v>5</v>
      </c>
      <c r="BJ4837">
        <v>10</v>
      </c>
      <c r="BK4837">
        <v>2</v>
      </c>
      <c r="BP4837" s="184"/>
    </row>
    <row r="4838" spans="1:68">
      <c r="A4838">
        <v>92685494</v>
      </c>
      <c r="B4838">
        <v>92685494</v>
      </c>
      <c r="C4838" t="s">
        <v>7018</v>
      </c>
      <c r="E4838" s="184"/>
      <c r="G4838" s="184"/>
      <c r="I4838" s="184"/>
      <c r="J4838" t="s">
        <v>595</v>
      </c>
      <c r="K4838" s="184">
        <v>42132</v>
      </c>
      <c r="M4838" s="184"/>
      <c r="O4838" s="184"/>
      <c r="P4838" t="s">
        <v>8550</v>
      </c>
      <c r="Q4838" t="s">
        <v>7454</v>
      </c>
      <c r="R4838" s="184">
        <v>15503</v>
      </c>
      <c r="S4838">
        <v>81</v>
      </c>
      <c r="V4838" t="s">
        <v>3411</v>
      </c>
      <c r="W4838" t="s">
        <v>2863</v>
      </c>
      <c r="X4838" t="s">
        <v>34888</v>
      </c>
      <c r="AF4838" t="s">
        <v>6785</v>
      </c>
      <c r="AG4838" t="s">
        <v>3411</v>
      </c>
      <c r="AI4838" t="s">
        <v>34889</v>
      </c>
      <c r="AM4838" t="s">
        <v>4101</v>
      </c>
      <c r="AN4838" t="s">
        <v>2299</v>
      </c>
      <c r="AO4838">
        <v>97317</v>
      </c>
      <c r="AP4838" t="s">
        <v>7024</v>
      </c>
      <c r="AQ4838" t="s">
        <v>34890</v>
      </c>
      <c r="AT4838" s="184"/>
      <c r="AW4838" s="184"/>
      <c r="AZ4838" s="184"/>
      <c r="BP4838" s="184"/>
    </row>
    <row r="4839" spans="1:68">
      <c r="A4839">
        <v>92698547</v>
      </c>
      <c r="B4839">
        <v>92698547</v>
      </c>
      <c r="C4839" t="s">
        <v>7018</v>
      </c>
      <c r="D4839" t="s">
        <v>595</v>
      </c>
      <c r="E4839" s="184">
        <v>45195</v>
      </c>
      <c r="G4839" s="184"/>
      <c r="I4839" s="184"/>
      <c r="K4839" s="184"/>
      <c r="M4839" s="184"/>
      <c r="O4839" s="184"/>
      <c r="P4839" t="s">
        <v>7045</v>
      </c>
      <c r="Q4839" t="s">
        <v>7030</v>
      </c>
      <c r="R4839" s="184">
        <v>14397</v>
      </c>
      <c r="S4839">
        <v>84</v>
      </c>
      <c r="V4839" t="s">
        <v>34891</v>
      </c>
      <c r="W4839" t="s">
        <v>4139</v>
      </c>
      <c r="X4839" t="s">
        <v>8082</v>
      </c>
      <c r="AF4839" t="s">
        <v>34892</v>
      </c>
      <c r="AG4839" t="s">
        <v>34891</v>
      </c>
      <c r="AI4839" t="s">
        <v>34893</v>
      </c>
      <c r="AM4839" t="s">
        <v>3181</v>
      </c>
      <c r="AN4839" t="s">
        <v>2094</v>
      </c>
      <c r="AO4839" t="s">
        <v>34894</v>
      </c>
      <c r="AP4839" t="s">
        <v>7024</v>
      </c>
      <c r="AQ4839" t="s">
        <v>34895</v>
      </c>
      <c r="AT4839" s="184">
        <v>42136</v>
      </c>
      <c r="AU4839" t="s">
        <v>34346</v>
      </c>
      <c r="AV4839">
        <v>35</v>
      </c>
      <c r="AW4839" s="184">
        <v>45371</v>
      </c>
      <c r="AX4839" t="s">
        <v>13596</v>
      </c>
      <c r="AY4839">
        <v>85</v>
      </c>
      <c r="AZ4839" s="184">
        <v>45371</v>
      </c>
      <c r="BA4839" t="s">
        <v>13596</v>
      </c>
      <c r="BB4839">
        <v>85</v>
      </c>
      <c r="BC4839">
        <v>100</v>
      </c>
      <c r="BD4839">
        <v>935</v>
      </c>
      <c r="BE4839">
        <v>2015</v>
      </c>
      <c r="BF4839">
        <v>17</v>
      </c>
      <c r="BG4839">
        <v>2</v>
      </c>
      <c r="BH4839">
        <v>170</v>
      </c>
      <c r="BI4839">
        <v>10</v>
      </c>
      <c r="BJ4839">
        <v>10</v>
      </c>
      <c r="BK4839">
        <v>10</v>
      </c>
      <c r="BP4839" s="184"/>
    </row>
    <row r="4840" spans="1:68">
      <c r="A4840">
        <v>92703446</v>
      </c>
      <c r="B4840">
        <v>92703446</v>
      </c>
      <c r="C4840" t="s">
        <v>7018</v>
      </c>
      <c r="D4840" t="s">
        <v>595</v>
      </c>
      <c r="E4840" s="184">
        <v>44070</v>
      </c>
      <c r="G4840" s="184"/>
      <c r="I4840" s="184"/>
      <c r="K4840" s="184"/>
      <c r="M4840" s="184"/>
      <c r="O4840" s="184"/>
      <c r="P4840" t="s">
        <v>7045</v>
      </c>
      <c r="Q4840" t="s">
        <v>7030</v>
      </c>
      <c r="R4840" s="184">
        <v>19988</v>
      </c>
      <c r="S4840">
        <v>69</v>
      </c>
      <c r="U4840" t="s">
        <v>7076</v>
      </c>
      <c r="V4840" t="s">
        <v>2938</v>
      </c>
      <c r="X4840" t="s">
        <v>21184</v>
      </c>
      <c r="AF4840" t="s">
        <v>34896</v>
      </c>
      <c r="AG4840" t="s">
        <v>2938</v>
      </c>
      <c r="AI4840" t="s">
        <v>34897</v>
      </c>
      <c r="AM4840" t="s">
        <v>3010</v>
      </c>
      <c r="AN4840" t="s">
        <v>2094</v>
      </c>
      <c r="AO4840" t="s">
        <v>34898</v>
      </c>
      <c r="AP4840" t="s">
        <v>7024</v>
      </c>
      <c r="AQ4840" t="s">
        <v>34899</v>
      </c>
      <c r="AT4840" s="184">
        <v>42137</v>
      </c>
      <c r="AU4840" t="s">
        <v>34900</v>
      </c>
      <c r="AV4840">
        <v>50</v>
      </c>
      <c r="AW4840" s="184">
        <v>45378</v>
      </c>
      <c r="AX4840" t="s">
        <v>7648</v>
      </c>
      <c r="AY4840">
        <v>10</v>
      </c>
      <c r="AZ4840" s="184">
        <v>42557</v>
      </c>
      <c r="BA4840" t="s">
        <v>34901</v>
      </c>
      <c r="BB4840">
        <v>100</v>
      </c>
      <c r="BC4840">
        <v>100</v>
      </c>
      <c r="BD4840">
        <v>880</v>
      </c>
      <c r="BE4840">
        <v>2015</v>
      </c>
      <c r="BF4840">
        <v>75</v>
      </c>
      <c r="BG4840">
        <v>24</v>
      </c>
      <c r="BH4840">
        <v>240</v>
      </c>
      <c r="BI4840">
        <v>10</v>
      </c>
      <c r="BJ4840">
        <v>10</v>
      </c>
      <c r="BK4840">
        <v>10</v>
      </c>
      <c r="BN4840" t="s">
        <v>595</v>
      </c>
      <c r="BP4840" s="184"/>
    </row>
    <row r="4841" spans="1:68">
      <c r="A4841">
        <v>92717081</v>
      </c>
      <c r="B4841">
        <v>92717081</v>
      </c>
      <c r="C4841" t="s">
        <v>7018</v>
      </c>
      <c r="D4841" t="s">
        <v>595</v>
      </c>
      <c r="E4841" s="184">
        <v>44484</v>
      </c>
      <c r="G4841" s="184"/>
      <c r="I4841" s="184"/>
      <c r="K4841" s="184"/>
      <c r="M4841" s="184"/>
      <c r="O4841" s="184"/>
      <c r="P4841" t="s">
        <v>7045</v>
      </c>
      <c r="Q4841" t="s">
        <v>7374</v>
      </c>
      <c r="R4841" s="184">
        <v>16102</v>
      </c>
      <c r="S4841">
        <v>80</v>
      </c>
      <c r="V4841" t="s">
        <v>2551</v>
      </c>
      <c r="X4841" t="s">
        <v>34902</v>
      </c>
      <c r="AF4841" t="s">
        <v>34903</v>
      </c>
      <c r="AG4841" t="s">
        <v>2551</v>
      </c>
      <c r="AI4841" t="s">
        <v>34904</v>
      </c>
      <c r="AM4841" t="s">
        <v>34905</v>
      </c>
      <c r="AN4841" t="s">
        <v>2081</v>
      </c>
      <c r="AO4841" t="s">
        <v>34906</v>
      </c>
      <c r="AP4841" t="s">
        <v>7024</v>
      </c>
      <c r="AQ4841" t="s">
        <v>34907</v>
      </c>
      <c r="AT4841" s="184">
        <v>42143</v>
      </c>
      <c r="AU4841" t="s">
        <v>34908</v>
      </c>
      <c r="AV4841">
        <v>25</v>
      </c>
      <c r="AW4841" s="184">
        <v>45376</v>
      </c>
      <c r="AX4841" t="s">
        <v>34909</v>
      </c>
      <c r="AY4841">
        <v>25</v>
      </c>
      <c r="AZ4841" s="184">
        <v>43955</v>
      </c>
      <c r="BA4841" t="s">
        <v>34910</v>
      </c>
      <c r="BB4841">
        <v>60</v>
      </c>
      <c r="BC4841">
        <v>90</v>
      </c>
      <c r="BD4841">
        <v>735</v>
      </c>
      <c r="BE4841">
        <v>2015</v>
      </c>
      <c r="BF4841">
        <v>26</v>
      </c>
      <c r="BG4841">
        <v>8</v>
      </c>
      <c r="BH4841">
        <v>230</v>
      </c>
      <c r="BI4841">
        <v>9</v>
      </c>
      <c r="BJ4841">
        <v>10</v>
      </c>
      <c r="BK4841">
        <v>7</v>
      </c>
      <c r="BP4841" s="184"/>
    </row>
    <row r="4842" spans="1:68">
      <c r="A4842">
        <v>92718139</v>
      </c>
      <c r="B4842">
        <v>92718139</v>
      </c>
      <c r="C4842" t="s">
        <v>7018</v>
      </c>
      <c r="E4842" s="184"/>
      <c r="G4842" s="184"/>
      <c r="H4842" t="s">
        <v>595</v>
      </c>
      <c r="I4842" s="184">
        <v>44210</v>
      </c>
      <c r="K4842" s="184"/>
      <c r="M4842" s="184"/>
      <c r="O4842" s="184"/>
      <c r="P4842" t="s">
        <v>7045</v>
      </c>
      <c r="Q4842" t="s">
        <v>7383</v>
      </c>
      <c r="R4842" s="184">
        <v>20363</v>
      </c>
      <c r="S4842">
        <v>68</v>
      </c>
      <c r="V4842" t="s">
        <v>3223</v>
      </c>
      <c r="X4842" t="s">
        <v>34911</v>
      </c>
      <c r="AF4842" t="s">
        <v>34912</v>
      </c>
      <c r="AG4842" t="s">
        <v>3223</v>
      </c>
      <c r="AI4842" t="s">
        <v>34913</v>
      </c>
      <c r="AM4842" t="s">
        <v>3425</v>
      </c>
      <c r="AN4842" t="s">
        <v>2059</v>
      </c>
      <c r="AO4842" t="s">
        <v>34914</v>
      </c>
      <c r="AP4842" t="s">
        <v>7024</v>
      </c>
      <c r="AQ4842" t="s">
        <v>34915</v>
      </c>
      <c r="AT4842" s="184">
        <v>42143</v>
      </c>
      <c r="AU4842" t="s">
        <v>34916</v>
      </c>
      <c r="AV4842">
        <v>25</v>
      </c>
      <c r="AW4842" s="184">
        <v>45135</v>
      </c>
      <c r="AX4842" t="s">
        <v>27414</v>
      </c>
      <c r="AY4842">
        <v>35</v>
      </c>
      <c r="AZ4842" s="184">
        <v>42487</v>
      </c>
      <c r="BA4842" t="s">
        <v>34917</v>
      </c>
      <c r="BB4842">
        <v>60</v>
      </c>
      <c r="BC4842">
        <v>80</v>
      </c>
      <c r="BD4842">
        <v>395</v>
      </c>
      <c r="BE4842">
        <v>2015</v>
      </c>
      <c r="BF4842">
        <v>11</v>
      </c>
      <c r="BG4842">
        <v>1</v>
      </c>
      <c r="BH4842">
        <v>35</v>
      </c>
      <c r="BI4842">
        <v>8</v>
      </c>
      <c r="BJ4842">
        <v>10</v>
      </c>
      <c r="BK4842">
        <v>6</v>
      </c>
      <c r="BP4842" s="184"/>
    </row>
    <row r="4843" spans="1:68">
      <c r="A4843">
        <v>92723501</v>
      </c>
      <c r="B4843">
        <v>92723501</v>
      </c>
      <c r="C4843" t="s">
        <v>7018</v>
      </c>
      <c r="D4843" t="s">
        <v>595</v>
      </c>
      <c r="E4843" s="184">
        <v>45195</v>
      </c>
      <c r="G4843" s="184"/>
      <c r="I4843" s="184"/>
      <c r="K4843" s="184"/>
      <c r="M4843" s="184"/>
      <c r="O4843" s="184"/>
      <c r="P4843" t="s">
        <v>7019</v>
      </c>
      <c r="Q4843" t="s">
        <v>7374</v>
      </c>
      <c r="R4843" s="184">
        <v>20403</v>
      </c>
      <c r="S4843">
        <v>68</v>
      </c>
      <c r="U4843" t="s">
        <v>7076</v>
      </c>
      <c r="V4843" t="s">
        <v>3478</v>
      </c>
      <c r="X4843" t="s">
        <v>34918</v>
      </c>
      <c r="AF4843" t="s">
        <v>34919</v>
      </c>
      <c r="AG4843" t="s">
        <v>3478</v>
      </c>
      <c r="AI4843" t="s">
        <v>34920</v>
      </c>
      <c r="AM4843" t="s">
        <v>2797</v>
      </c>
      <c r="AN4843" t="s">
        <v>2081</v>
      </c>
      <c r="AO4843" t="s">
        <v>34921</v>
      </c>
      <c r="AP4843" t="s">
        <v>7024</v>
      </c>
      <c r="AQ4843" t="s">
        <v>34922</v>
      </c>
      <c r="AR4843" t="s">
        <v>34923</v>
      </c>
      <c r="AT4843" s="184">
        <v>42144</v>
      </c>
      <c r="AU4843" t="s">
        <v>34924</v>
      </c>
      <c r="AV4843">
        <v>25</v>
      </c>
      <c r="AW4843" s="184">
        <v>45330</v>
      </c>
      <c r="AX4843" t="s">
        <v>25518</v>
      </c>
      <c r="AY4843">
        <v>10</v>
      </c>
      <c r="AZ4843" s="184">
        <v>45047</v>
      </c>
      <c r="BA4843" t="s">
        <v>19091</v>
      </c>
      <c r="BB4843">
        <v>60</v>
      </c>
      <c r="BC4843">
        <v>60</v>
      </c>
      <c r="BD4843">
        <v>415</v>
      </c>
      <c r="BE4843">
        <v>2015</v>
      </c>
      <c r="BF4843">
        <v>20</v>
      </c>
      <c r="BG4843">
        <v>12</v>
      </c>
      <c r="BH4843">
        <v>240</v>
      </c>
      <c r="BI4843">
        <v>6</v>
      </c>
      <c r="BJ4843">
        <v>10</v>
      </c>
      <c r="BK4843">
        <v>4</v>
      </c>
      <c r="BP4843" s="184"/>
    </row>
    <row r="4844" spans="1:68">
      <c r="A4844">
        <v>92723857</v>
      </c>
      <c r="B4844">
        <v>92723857</v>
      </c>
      <c r="C4844" t="s">
        <v>7018</v>
      </c>
      <c r="D4844" t="s">
        <v>595</v>
      </c>
      <c r="E4844" s="184">
        <v>45195</v>
      </c>
      <c r="G4844" s="184"/>
      <c r="I4844" s="184"/>
      <c r="K4844" s="184"/>
      <c r="M4844" s="184"/>
      <c r="O4844" s="184"/>
      <c r="P4844" t="s">
        <v>7029</v>
      </c>
      <c r="Q4844" t="s">
        <v>7494</v>
      </c>
      <c r="R4844" s="184">
        <v>16553</v>
      </c>
      <c r="S4844">
        <v>79</v>
      </c>
      <c r="V4844" t="s">
        <v>34925</v>
      </c>
      <c r="X4844" t="s">
        <v>7341</v>
      </c>
      <c r="Z4844">
        <v>100670466</v>
      </c>
      <c r="AB4844" t="s">
        <v>2511</v>
      </c>
      <c r="AD4844" t="s">
        <v>7341</v>
      </c>
      <c r="AF4844" t="s">
        <v>34926</v>
      </c>
      <c r="AG4844" t="s">
        <v>34927</v>
      </c>
      <c r="AI4844" t="s">
        <v>34928</v>
      </c>
      <c r="AM4844" t="s">
        <v>3371</v>
      </c>
      <c r="AN4844" t="s">
        <v>2174</v>
      </c>
      <c r="AO4844" t="s">
        <v>34929</v>
      </c>
      <c r="AP4844" t="s">
        <v>7024</v>
      </c>
      <c r="AT4844" s="184">
        <v>42144</v>
      </c>
      <c r="AU4844" t="s">
        <v>34930</v>
      </c>
      <c r="AV4844">
        <v>500</v>
      </c>
      <c r="AW4844" s="184">
        <v>44614</v>
      </c>
      <c r="AX4844" t="s">
        <v>34931</v>
      </c>
      <c r="AY4844">
        <v>2000</v>
      </c>
      <c r="AZ4844" s="184">
        <v>44221</v>
      </c>
      <c r="BA4844" t="s">
        <v>25268</v>
      </c>
      <c r="BB4844">
        <v>3000</v>
      </c>
      <c r="BC4844">
        <v>50</v>
      </c>
      <c r="BD4844">
        <v>5850</v>
      </c>
      <c r="BE4844">
        <v>2015</v>
      </c>
      <c r="BF4844">
        <v>5</v>
      </c>
      <c r="BI4844">
        <v>5</v>
      </c>
      <c r="BJ4844">
        <v>10</v>
      </c>
      <c r="BK4844">
        <v>2</v>
      </c>
      <c r="BP4844" s="184"/>
    </row>
    <row r="4845" spans="1:68">
      <c r="A4845">
        <v>100670466</v>
      </c>
      <c r="B4845">
        <v>92723857</v>
      </c>
      <c r="C4845" t="s">
        <v>7018</v>
      </c>
      <c r="D4845" t="s">
        <v>595</v>
      </c>
      <c r="E4845" s="184">
        <v>45195</v>
      </c>
      <c r="G4845" s="184"/>
      <c r="I4845" s="184"/>
      <c r="K4845" s="184"/>
      <c r="M4845" s="184"/>
      <c r="O4845" s="184"/>
      <c r="P4845" t="s">
        <v>7029</v>
      </c>
      <c r="Q4845" t="s">
        <v>7494</v>
      </c>
      <c r="R4845" s="184">
        <v>16719</v>
      </c>
      <c r="S4845">
        <v>78</v>
      </c>
      <c r="V4845" t="s">
        <v>2511</v>
      </c>
      <c r="X4845" t="s">
        <v>7341</v>
      </c>
      <c r="Z4845">
        <v>92723857</v>
      </c>
      <c r="AB4845" t="s">
        <v>34925</v>
      </c>
      <c r="AD4845" t="s">
        <v>7341</v>
      </c>
      <c r="AF4845" t="s">
        <v>34926</v>
      </c>
      <c r="AG4845" t="s">
        <v>34927</v>
      </c>
      <c r="AI4845" t="s">
        <v>34928</v>
      </c>
      <c r="AM4845" t="s">
        <v>3371</v>
      </c>
      <c r="AN4845" t="s">
        <v>2174</v>
      </c>
      <c r="AO4845" t="s">
        <v>34929</v>
      </c>
      <c r="AP4845" t="s">
        <v>7024</v>
      </c>
      <c r="AT4845" s="184"/>
      <c r="AW4845" s="184"/>
      <c r="AZ4845" s="184"/>
      <c r="BP4845" s="184"/>
    </row>
    <row r="4846" spans="1:68">
      <c r="A4846">
        <v>92730944</v>
      </c>
      <c r="B4846">
        <v>92730944</v>
      </c>
      <c r="C4846" t="s">
        <v>7018</v>
      </c>
      <c r="D4846" t="s">
        <v>595</v>
      </c>
      <c r="E4846" s="184">
        <v>44070</v>
      </c>
      <c r="G4846" s="184"/>
      <c r="I4846" s="184"/>
      <c r="K4846" s="184"/>
      <c r="M4846" s="184"/>
      <c r="O4846" s="184"/>
      <c r="P4846" t="s">
        <v>7045</v>
      </c>
      <c r="Q4846" t="s">
        <v>7020</v>
      </c>
      <c r="R4846" s="184">
        <v>13227</v>
      </c>
      <c r="S4846">
        <v>88</v>
      </c>
      <c r="V4846" t="s">
        <v>2511</v>
      </c>
      <c r="X4846" t="s">
        <v>34932</v>
      </c>
      <c r="AF4846" t="s">
        <v>34933</v>
      </c>
      <c r="AG4846" t="s">
        <v>2511</v>
      </c>
      <c r="AI4846" t="s">
        <v>34934</v>
      </c>
      <c r="AM4846" t="s">
        <v>34935</v>
      </c>
      <c r="AN4846" t="s">
        <v>2240</v>
      </c>
      <c r="AO4846" t="s">
        <v>34936</v>
      </c>
      <c r="AP4846" t="s">
        <v>7024</v>
      </c>
      <c r="AQ4846" t="s">
        <v>34937</v>
      </c>
      <c r="AT4846" s="184">
        <v>42146</v>
      </c>
      <c r="AU4846" t="s">
        <v>34938</v>
      </c>
      <c r="AV4846">
        <v>25</v>
      </c>
      <c r="AW4846" s="184">
        <v>43851</v>
      </c>
      <c r="AX4846" t="s">
        <v>34939</v>
      </c>
      <c r="AY4846">
        <v>50</v>
      </c>
      <c r="AZ4846" s="184">
        <v>43616</v>
      </c>
      <c r="BA4846" t="s">
        <v>13808</v>
      </c>
      <c r="BB4846">
        <v>90</v>
      </c>
      <c r="BC4846">
        <v>60</v>
      </c>
      <c r="BD4846">
        <v>687</v>
      </c>
      <c r="BE4846">
        <v>2015</v>
      </c>
      <c r="BF4846">
        <v>11</v>
      </c>
      <c r="BI4846">
        <v>6</v>
      </c>
      <c r="BJ4846">
        <v>10</v>
      </c>
      <c r="BK4846">
        <v>6</v>
      </c>
      <c r="BP4846" s="184"/>
    </row>
    <row r="4847" spans="1:68">
      <c r="A4847">
        <v>92750546</v>
      </c>
      <c r="B4847">
        <v>92750546</v>
      </c>
      <c r="C4847" t="s">
        <v>7018</v>
      </c>
      <c r="D4847" t="s">
        <v>595</v>
      </c>
      <c r="E4847" s="184">
        <v>43642</v>
      </c>
      <c r="G4847" s="184"/>
      <c r="I4847" s="184"/>
      <c r="K4847" s="184"/>
      <c r="M4847" s="184"/>
      <c r="O4847" s="184"/>
      <c r="P4847" t="s">
        <v>7045</v>
      </c>
      <c r="Q4847" t="s">
        <v>7383</v>
      </c>
      <c r="R4847" s="184">
        <v>18771</v>
      </c>
      <c r="S4847">
        <v>72</v>
      </c>
      <c r="U4847" t="s">
        <v>7032</v>
      </c>
      <c r="V4847" t="s">
        <v>2593</v>
      </c>
      <c r="X4847" t="s">
        <v>3427</v>
      </c>
      <c r="AF4847" t="s">
        <v>34940</v>
      </c>
      <c r="AG4847" t="s">
        <v>2593</v>
      </c>
      <c r="AI4847" t="s">
        <v>34941</v>
      </c>
      <c r="AM4847" t="s">
        <v>3428</v>
      </c>
      <c r="AN4847" t="s">
        <v>2118</v>
      </c>
      <c r="AO4847" t="s">
        <v>34942</v>
      </c>
      <c r="AP4847" t="s">
        <v>7024</v>
      </c>
      <c r="AQ4847" t="s">
        <v>34943</v>
      </c>
      <c r="AT4847" s="184">
        <v>42908</v>
      </c>
      <c r="AU4847" t="s">
        <v>34944</v>
      </c>
      <c r="AV4847">
        <v>17.600000000000001</v>
      </c>
      <c r="AW4847" s="184">
        <v>45422</v>
      </c>
      <c r="AX4847" t="s">
        <v>7422</v>
      </c>
      <c r="AY4847">
        <v>10</v>
      </c>
      <c r="AZ4847" s="184">
        <v>43740</v>
      </c>
      <c r="BA4847" t="s">
        <v>34945</v>
      </c>
      <c r="BB4847">
        <v>30</v>
      </c>
      <c r="BC4847">
        <v>75</v>
      </c>
      <c r="BD4847">
        <v>457.6</v>
      </c>
      <c r="BE4847">
        <v>2017</v>
      </c>
      <c r="BF4847">
        <v>33</v>
      </c>
      <c r="BG4847">
        <v>2</v>
      </c>
      <c r="BH4847">
        <v>20</v>
      </c>
      <c r="BI4847">
        <v>6</v>
      </c>
      <c r="BJ4847">
        <v>8</v>
      </c>
      <c r="BK4847">
        <v>4</v>
      </c>
      <c r="BP4847" s="184"/>
    </row>
    <row r="4848" spans="1:68">
      <c r="A4848">
        <v>92760313</v>
      </c>
      <c r="B4848">
        <v>92760313</v>
      </c>
      <c r="C4848" t="s">
        <v>7018</v>
      </c>
      <c r="E4848" s="184"/>
      <c r="F4848" t="s">
        <v>595</v>
      </c>
      <c r="G4848" s="184">
        <v>44755</v>
      </c>
      <c r="I4848" s="184"/>
      <c r="K4848" s="184"/>
      <c r="M4848" s="184"/>
      <c r="O4848" s="184"/>
      <c r="P4848" t="s">
        <v>7045</v>
      </c>
      <c r="Q4848" t="s">
        <v>7262</v>
      </c>
      <c r="R4848" s="184">
        <v>17715</v>
      </c>
      <c r="S4848">
        <v>75</v>
      </c>
      <c r="V4848" t="s">
        <v>3011</v>
      </c>
      <c r="X4848" t="s">
        <v>34946</v>
      </c>
      <c r="AF4848" t="s">
        <v>34947</v>
      </c>
      <c r="AG4848" t="s">
        <v>3011</v>
      </c>
      <c r="AI4848" t="s">
        <v>34948</v>
      </c>
      <c r="AM4848" t="s">
        <v>5618</v>
      </c>
      <c r="AN4848" t="s">
        <v>2106</v>
      </c>
      <c r="AO4848" t="s">
        <v>34949</v>
      </c>
      <c r="AP4848" t="s">
        <v>7024</v>
      </c>
      <c r="AQ4848" t="s">
        <v>34950</v>
      </c>
      <c r="AT4848" s="184">
        <v>42163</v>
      </c>
      <c r="AU4848" t="s">
        <v>34951</v>
      </c>
      <c r="AV4848">
        <v>25</v>
      </c>
      <c r="AW4848" s="184">
        <v>45315</v>
      </c>
      <c r="AX4848" t="s">
        <v>16666</v>
      </c>
      <c r="AY4848">
        <v>25</v>
      </c>
      <c r="AZ4848" s="184">
        <v>45315</v>
      </c>
      <c r="BA4848" t="s">
        <v>16666</v>
      </c>
      <c r="BB4848">
        <v>25</v>
      </c>
      <c r="BC4848">
        <v>80</v>
      </c>
      <c r="BD4848">
        <v>195</v>
      </c>
      <c r="BE4848">
        <v>2015</v>
      </c>
      <c r="BF4848">
        <v>8</v>
      </c>
      <c r="BG4848">
        <v>2</v>
      </c>
      <c r="BH4848">
        <v>50</v>
      </c>
      <c r="BI4848">
        <v>8</v>
      </c>
      <c r="BJ4848">
        <v>10</v>
      </c>
      <c r="BK4848">
        <v>5</v>
      </c>
      <c r="BP4848" s="184"/>
    </row>
    <row r="4849" spans="1:68">
      <c r="A4849">
        <v>92770569</v>
      </c>
      <c r="B4849">
        <v>92770569</v>
      </c>
      <c r="C4849" t="s">
        <v>7018</v>
      </c>
      <c r="E4849" s="184"/>
      <c r="G4849" s="184"/>
      <c r="I4849" s="184"/>
      <c r="J4849" t="s">
        <v>595</v>
      </c>
      <c r="K4849" s="184">
        <v>44784</v>
      </c>
      <c r="M4849" s="184"/>
      <c r="O4849" s="184"/>
      <c r="P4849" t="s">
        <v>7045</v>
      </c>
      <c r="Q4849" t="s">
        <v>7454</v>
      </c>
      <c r="R4849" s="184">
        <v>21276</v>
      </c>
      <c r="S4849">
        <v>66</v>
      </c>
      <c r="U4849" t="s">
        <v>7031</v>
      </c>
      <c r="V4849" t="s">
        <v>2758</v>
      </c>
      <c r="X4849" t="s">
        <v>18560</v>
      </c>
      <c r="AF4849" t="s">
        <v>34952</v>
      </c>
      <c r="AG4849" t="s">
        <v>2758</v>
      </c>
      <c r="AI4849" t="s">
        <v>34953</v>
      </c>
      <c r="AM4849" t="s">
        <v>21907</v>
      </c>
      <c r="AN4849" t="s">
        <v>2055</v>
      </c>
      <c r="AO4849" t="s">
        <v>34954</v>
      </c>
      <c r="AP4849" t="s">
        <v>7024</v>
      </c>
      <c r="AQ4849" t="s">
        <v>34955</v>
      </c>
      <c r="AT4849" s="184">
        <v>42166</v>
      </c>
      <c r="AU4849" t="s">
        <v>34956</v>
      </c>
      <c r="AV4849">
        <v>25</v>
      </c>
      <c r="AW4849" s="184">
        <v>45287</v>
      </c>
      <c r="AX4849" t="s">
        <v>7742</v>
      </c>
      <c r="AY4849">
        <v>50</v>
      </c>
      <c r="AZ4849" s="184">
        <v>45042</v>
      </c>
      <c r="BA4849" t="s">
        <v>10223</v>
      </c>
      <c r="BB4849">
        <v>75</v>
      </c>
      <c r="BC4849">
        <v>90</v>
      </c>
      <c r="BD4849">
        <v>1025</v>
      </c>
      <c r="BE4849">
        <v>2015</v>
      </c>
      <c r="BF4849">
        <v>23</v>
      </c>
      <c r="BG4849">
        <v>2</v>
      </c>
      <c r="BH4849">
        <v>125</v>
      </c>
      <c r="BI4849">
        <v>9</v>
      </c>
      <c r="BJ4849">
        <v>10</v>
      </c>
      <c r="BK4849">
        <v>9</v>
      </c>
      <c r="BL4849" t="s">
        <v>595</v>
      </c>
      <c r="BP4849" s="184"/>
    </row>
    <row r="4850" spans="1:68">
      <c r="A4850">
        <v>92785674</v>
      </c>
      <c r="B4850">
        <v>92785674</v>
      </c>
      <c r="C4850" t="s">
        <v>7018</v>
      </c>
      <c r="D4850" t="s">
        <v>595</v>
      </c>
      <c r="E4850" s="184">
        <v>45117</v>
      </c>
      <c r="G4850" s="184"/>
      <c r="I4850" s="184"/>
      <c r="K4850" s="184"/>
      <c r="M4850" s="184"/>
      <c r="O4850" s="184"/>
      <c r="P4850" t="s">
        <v>7045</v>
      </c>
      <c r="Q4850" t="s">
        <v>7383</v>
      </c>
      <c r="R4850" s="184">
        <v>20394</v>
      </c>
      <c r="S4850">
        <v>68</v>
      </c>
      <c r="V4850" t="s">
        <v>34957</v>
      </c>
      <c r="X4850" t="s">
        <v>34958</v>
      </c>
      <c r="AF4850" t="s">
        <v>34959</v>
      </c>
      <c r="AG4850" t="s">
        <v>34957</v>
      </c>
      <c r="AI4850" t="s">
        <v>34960</v>
      </c>
      <c r="AM4850" t="s">
        <v>34961</v>
      </c>
      <c r="AN4850" t="s">
        <v>2162</v>
      </c>
      <c r="AO4850" t="s">
        <v>34962</v>
      </c>
      <c r="AP4850" t="s">
        <v>7024</v>
      </c>
      <c r="AT4850" s="184">
        <v>42174</v>
      </c>
      <c r="AU4850" t="s">
        <v>34829</v>
      </c>
      <c r="AV4850">
        <v>19.97</v>
      </c>
      <c r="AW4850" s="184">
        <v>44827</v>
      </c>
      <c r="AX4850" t="s">
        <v>13391</v>
      </c>
      <c r="AY4850">
        <v>25</v>
      </c>
      <c r="AZ4850" s="184">
        <v>44827</v>
      </c>
      <c r="BA4850" t="s">
        <v>13391</v>
      </c>
      <c r="BB4850">
        <v>25</v>
      </c>
      <c r="BC4850">
        <v>50</v>
      </c>
      <c r="BD4850">
        <v>164.97</v>
      </c>
      <c r="BE4850">
        <v>2015</v>
      </c>
      <c r="BF4850">
        <v>7</v>
      </c>
      <c r="BG4850">
        <v>2</v>
      </c>
      <c r="BH4850">
        <v>50</v>
      </c>
      <c r="BI4850">
        <v>5</v>
      </c>
      <c r="BJ4850">
        <v>10</v>
      </c>
      <c r="BK4850">
        <v>3</v>
      </c>
      <c r="BP4850" s="184"/>
    </row>
    <row r="4851" spans="1:68">
      <c r="A4851">
        <v>92811165</v>
      </c>
      <c r="B4851">
        <v>92811165</v>
      </c>
      <c r="C4851" t="s">
        <v>7018</v>
      </c>
      <c r="E4851" s="184"/>
      <c r="G4851" s="184"/>
      <c r="I4851" s="184"/>
      <c r="J4851" t="s">
        <v>595</v>
      </c>
      <c r="K4851" s="184">
        <v>43051</v>
      </c>
      <c r="M4851" s="184"/>
      <c r="O4851" s="184"/>
      <c r="P4851" t="s">
        <v>7045</v>
      </c>
      <c r="Q4851" t="s">
        <v>7383</v>
      </c>
      <c r="R4851" s="184">
        <v>11578</v>
      </c>
      <c r="S4851">
        <v>92</v>
      </c>
      <c r="U4851" t="s">
        <v>7076</v>
      </c>
      <c r="V4851" t="s">
        <v>34963</v>
      </c>
      <c r="X4851" t="s">
        <v>3277</v>
      </c>
      <c r="AF4851" t="s">
        <v>6728</v>
      </c>
      <c r="AG4851" t="s">
        <v>34963</v>
      </c>
      <c r="AI4851" t="s">
        <v>34964</v>
      </c>
      <c r="AM4851" t="s">
        <v>11782</v>
      </c>
      <c r="AN4851" t="s">
        <v>2072</v>
      </c>
      <c r="AO4851" t="s">
        <v>34965</v>
      </c>
      <c r="AP4851" t="s">
        <v>7024</v>
      </c>
      <c r="AQ4851" t="s">
        <v>34966</v>
      </c>
      <c r="AT4851" s="184">
        <v>42185</v>
      </c>
      <c r="AU4851" t="s">
        <v>34967</v>
      </c>
      <c r="AV4851">
        <v>25</v>
      </c>
      <c r="AW4851" s="184">
        <v>42432</v>
      </c>
      <c r="AX4851" t="s">
        <v>34968</v>
      </c>
      <c r="AY4851">
        <v>10</v>
      </c>
      <c r="AZ4851" s="184">
        <v>42185</v>
      </c>
      <c r="BA4851" t="s">
        <v>34967</v>
      </c>
      <c r="BB4851">
        <v>25</v>
      </c>
      <c r="BC4851">
        <v>20</v>
      </c>
      <c r="BD4851">
        <v>35</v>
      </c>
      <c r="BE4851">
        <v>2015</v>
      </c>
      <c r="BF4851">
        <v>2</v>
      </c>
      <c r="BI4851">
        <v>2</v>
      </c>
      <c r="BJ4851">
        <v>10</v>
      </c>
      <c r="BK4851">
        <v>2</v>
      </c>
      <c r="BP4851" s="184"/>
    </row>
    <row r="4852" spans="1:68">
      <c r="A4852">
        <v>92830827</v>
      </c>
      <c r="B4852">
        <v>92830827</v>
      </c>
      <c r="C4852" t="s">
        <v>7018</v>
      </c>
      <c r="D4852" t="s">
        <v>595</v>
      </c>
      <c r="E4852" s="184">
        <v>44484</v>
      </c>
      <c r="G4852" s="184"/>
      <c r="I4852" s="184"/>
      <c r="K4852" s="184"/>
      <c r="M4852" s="184"/>
      <c r="O4852" s="184"/>
      <c r="P4852" t="s">
        <v>7029</v>
      </c>
      <c r="Q4852" t="s">
        <v>7374</v>
      </c>
      <c r="R4852" s="184">
        <v>19115</v>
      </c>
      <c r="S4852">
        <v>72</v>
      </c>
      <c r="U4852" t="s">
        <v>7130</v>
      </c>
      <c r="V4852" t="s">
        <v>4599</v>
      </c>
      <c r="X4852" t="s">
        <v>4518</v>
      </c>
      <c r="AF4852" t="s">
        <v>34969</v>
      </c>
      <c r="AG4852" t="s">
        <v>4599</v>
      </c>
      <c r="AI4852" t="s">
        <v>34970</v>
      </c>
      <c r="AM4852" t="s">
        <v>3040</v>
      </c>
      <c r="AN4852" t="s">
        <v>2081</v>
      </c>
      <c r="AO4852" t="s">
        <v>34971</v>
      </c>
      <c r="AP4852" t="s">
        <v>7024</v>
      </c>
      <c r="AQ4852" t="s">
        <v>34972</v>
      </c>
      <c r="AR4852" t="s">
        <v>34973</v>
      </c>
      <c r="AT4852" s="184">
        <v>42200</v>
      </c>
      <c r="AU4852" t="s">
        <v>22684</v>
      </c>
      <c r="AV4852">
        <v>100</v>
      </c>
      <c r="AW4852" s="184">
        <v>44046</v>
      </c>
      <c r="AX4852" t="s">
        <v>34974</v>
      </c>
      <c r="AY4852">
        <v>1000</v>
      </c>
      <c r="AZ4852" s="184">
        <v>44046</v>
      </c>
      <c r="BA4852" t="s">
        <v>34974</v>
      </c>
      <c r="BB4852">
        <v>1000</v>
      </c>
      <c r="BC4852">
        <v>60</v>
      </c>
      <c r="BD4852">
        <v>2800</v>
      </c>
      <c r="BE4852">
        <v>2016</v>
      </c>
      <c r="BF4852">
        <v>6</v>
      </c>
      <c r="BI4852">
        <v>6</v>
      </c>
      <c r="BJ4852">
        <v>10</v>
      </c>
      <c r="BK4852">
        <v>6</v>
      </c>
      <c r="BN4852" t="s">
        <v>595</v>
      </c>
      <c r="BP4852" s="184"/>
    </row>
    <row r="4853" spans="1:68">
      <c r="A4853">
        <v>92840560</v>
      </c>
      <c r="B4853">
        <v>92840560</v>
      </c>
      <c r="C4853" t="s">
        <v>7018</v>
      </c>
      <c r="D4853" t="s">
        <v>595</v>
      </c>
      <c r="E4853" s="184">
        <v>44104</v>
      </c>
      <c r="I4853" s="184"/>
      <c r="K4853" s="184"/>
      <c r="M4853" s="184"/>
      <c r="O4853" s="184"/>
      <c r="P4853" t="s">
        <v>7045</v>
      </c>
      <c r="Q4853" t="s">
        <v>7454</v>
      </c>
      <c r="R4853" s="184">
        <v>15325</v>
      </c>
      <c r="S4853">
        <v>82</v>
      </c>
      <c r="U4853" t="s">
        <v>7130</v>
      </c>
      <c r="V4853" t="s">
        <v>3745</v>
      </c>
      <c r="W4853" t="s">
        <v>5523</v>
      </c>
      <c r="X4853" t="s">
        <v>4813</v>
      </c>
      <c r="AF4853" t="s">
        <v>34975</v>
      </c>
      <c r="AG4853" t="s">
        <v>3745</v>
      </c>
      <c r="AI4853" t="s">
        <v>34976</v>
      </c>
      <c r="AM4853" t="s">
        <v>4026</v>
      </c>
      <c r="AN4853" t="s">
        <v>2055</v>
      </c>
      <c r="AO4853" t="s">
        <v>34977</v>
      </c>
      <c r="AP4853" t="s">
        <v>7024</v>
      </c>
      <c r="AQ4853" t="s">
        <v>34978</v>
      </c>
      <c r="AT4853" s="184">
        <v>42204</v>
      </c>
      <c r="AU4853" t="s">
        <v>34979</v>
      </c>
      <c r="AV4853">
        <v>50</v>
      </c>
      <c r="AW4853" s="184">
        <v>45134</v>
      </c>
      <c r="AX4853" t="s">
        <v>34980</v>
      </c>
      <c r="AY4853">
        <v>50</v>
      </c>
      <c r="AZ4853" s="184">
        <v>45134</v>
      </c>
      <c r="BA4853" t="s">
        <v>34980</v>
      </c>
      <c r="BB4853">
        <v>50</v>
      </c>
      <c r="BC4853">
        <v>80</v>
      </c>
      <c r="BD4853">
        <v>500</v>
      </c>
      <c r="BE4853">
        <v>2016</v>
      </c>
      <c r="BF4853">
        <v>10</v>
      </c>
      <c r="BG4853">
        <v>2</v>
      </c>
      <c r="BH4853">
        <v>100</v>
      </c>
      <c r="BI4853">
        <v>8</v>
      </c>
      <c r="BJ4853">
        <v>10</v>
      </c>
      <c r="BK4853">
        <v>5</v>
      </c>
      <c r="BP4853" s="184"/>
    </row>
    <row r="4854" spans="1:68">
      <c r="A4854">
        <v>92857606</v>
      </c>
      <c r="B4854">
        <v>92857606</v>
      </c>
      <c r="C4854" t="s">
        <v>7018</v>
      </c>
      <c r="D4854" t="s">
        <v>595</v>
      </c>
      <c r="E4854" s="184">
        <v>44073</v>
      </c>
      <c r="G4854" s="184"/>
      <c r="I4854" s="184"/>
      <c r="K4854" s="184"/>
      <c r="M4854" s="184"/>
      <c r="O4854" s="184"/>
      <c r="P4854" t="s">
        <v>7045</v>
      </c>
      <c r="Q4854" t="s">
        <v>7020</v>
      </c>
      <c r="R4854" s="184">
        <v>13745</v>
      </c>
      <c r="S4854">
        <v>86</v>
      </c>
      <c r="U4854" t="s">
        <v>7031</v>
      </c>
      <c r="V4854" t="s">
        <v>2863</v>
      </c>
      <c r="W4854" t="s">
        <v>8224</v>
      </c>
      <c r="X4854" t="s">
        <v>34981</v>
      </c>
      <c r="AF4854" t="s">
        <v>34982</v>
      </c>
      <c r="AG4854" t="s">
        <v>2863</v>
      </c>
      <c r="AI4854" t="s">
        <v>34983</v>
      </c>
      <c r="AM4854" t="s">
        <v>18698</v>
      </c>
      <c r="AN4854" t="s">
        <v>2240</v>
      </c>
      <c r="AO4854" t="s">
        <v>34984</v>
      </c>
      <c r="AP4854" t="s">
        <v>7024</v>
      </c>
      <c r="AQ4854" t="s">
        <v>34985</v>
      </c>
      <c r="AT4854" s="184">
        <v>42202</v>
      </c>
      <c r="AU4854" t="s">
        <v>34986</v>
      </c>
      <c r="AV4854">
        <v>25</v>
      </c>
      <c r="AW4854" s="184">
        <v>45411</v>
      </c>
      <c r="AX4854" t="s">
        <v>23272</v>
      </c>
      <c r="AY4854">
        <v>25</v>
      </c>
      <c r="AZ4854" s="184">
        <v>45411</v>
      </c>
      <c r="BA4854" t="s">
        <v>23272</v>
      </c>
      <c r="BB4854">
        <v>25</v>
      </c>
      <c r="BC4854">
        <v>100</v>
      </c>
      <c r="BD4854">
        <v>1273</v>
      </c>
      <c r="BE4854">
        <v>2016</v>
      </c>
      <c r="BF4854">
        <v>74</v>
      </c>
      <c r="BG4854">
        <v>19</v>
      </c>
      <c r="BH4854">
        <v>365</v>
      </c>
      <c r="BI4854">
        <v>10</v>
      </c>
      <c r="BJ4854">
        <v>10</v>
      </c>
      <c r="BK4854">
        <v>10</v>
      </c>
      <c r="BP4854" s="184"/>
    </row>
    <row r="4855" spans="1:68">
      <c r="A4855">
        <v>92880749</v>
      </c>
      <c r="B4855">
        <v>92880749</v>
      </c>
      <c r="C4855" t="s">
        <v>7018</v>
      </c>
      <c r="D4855" t="s">
        <v>595</v>
      </c>
      <c r="E4855" s="184">
        <v>44167</v>
      </c>
      <c r="G4855" s="184"/>
      <c r="I4855" s="184"/>
      <c r="K4855" s="184"/>
      <c r="M4855" s="184"/>
      <c r="O4855" s="184"/>
      <c r="P4855" t="s">
        <v>7045</v>
      </c>
      <c r="Q4855" t="s">
        <v>7194</v>
      </c>
      <c r="R4855" s="184">
        <v>15777</v>
      </c>
      <c r="S4855">
        <v>81</v>
      </c>
      <c r="U4855" t="s">
        <v>7076</v>
      </c>
      <c r="V4855" t="s">
        <v>2903</v>
      </c>
      <c r="W4855" t="s">
        <v>7407</v>
      </c>
      <c r="X4855" t="s">
        <v>29636</v>
      </c>
      <c r="AF4855" t="s">
        <v>34987</v>
      </c>
      <c r="AG4855" t="s">
        <v>2903</v>
      </c>
      <c r="AI4855" t="s">
        <v>34988</v>
      </c>
      <c r="AM4855" t="s">
        <v>4402</v>
      </c>
      <c r="AN4855" t="s">
        <v>2046</v>
      </c>
      <c r="AO4855" t="s">
        <v>34989</v>
      </c>
      <c r="AP4855" t="s">
        <v>7024</v>
      </c>
      <c r="AQ4855" t="s">
        <v>34990</v>
      </c>
      <c r="AT4855" s="184">
        <v>42206</v>
      </c>
      <c r="AU4855" t="s">
        <v>34991</v>
      </c>
      <c r="AV4855">
        <v>25</v>
      </c>
      <c r="AW4855" s="184">
        <v>45398</v>
      </c>
      <c r="AX4855" t="s">
        <v>10980</v>
      </c>
      <c r="AY4855">
        <v>25</v>
      </c>
      <c r="AZ4855" s="184">
        <v>43165</v>
      </c>
      <c r="BA4855" t="s">
        <v>34992</v>
      </c>
      <c r="BB4855">
        <v>40</v>
      </c>
      <c r="BC4855">
        <v>100</v>
      </c>
      <c r="BD4855">
        <v>840</v>
      </c>
      <c r="BE4855">
        <v>2016</v>
      </c>
      <c r="BF4855">
        <v>32</v>
      </c>
      <c r="BG4855">
        <v>7</v>
      </c>
      <c r="BH4855">
        <v>175</v>
      </c>
      <c r="BI4855">
        <v>10</v>
      </c>
      <c r="BJ4855">
        <v>10</v>
      </c>
      <c r="BK4855">
        <v>10</v>
      </c>
      <c r="BN4855" t="s">
        <v>595</v>
      </c>
      <c r="BP4855" s="184"/>
    </row>
    <row r="4856" spans="1:68">
      <c r="A4856">
        <v>92885110</v>
      </c>
      <c r="B4856">
        <v>92885110</v>
      </c>
      <c r="C4856" t="s">
        <v>7018</v>
      </c>
      <c r="D4856" t="s">
        <v>595</v>
      </c>
      <c r="E4856" s="184">
        <v>44441</v>
      </c>
      <c r="G4856" s="184"/>
      <c r="I4856" s="184"/>
      <c r="K4856" s="184"/>
      <c r="M4856" s="184"/>
      <c r="O4856" s="184"/>
      <c r="P4856" t="s">
        <v>7019</v>
      </c>
      <c r="Q4856" t="s">
        <v>7383</v>
      </c>
      <c r="R4856" s="184">
        <v>15710</v>
      </c>
      <c r="S4856">
        <v>81</v>
      </c>
      <c r="V4856" t="s">
        <v>2989</v>
      </c>
      <c r="X4856" t="s">
        <v>2758</v>
      </c>
      <c r="AF4856" t="s">
        <v>34993</v>
      </c>
      <c r="AG4856" t="s">
        <v>2989</v>
      </c>
      <c r="AI4856" t="s">
        <v>34994</v>
      </c>
      <c r="AM4856" t="s">
        <v>34995</v>
      </c>
      <c r="AN4856" t="s">
        <v>2059</v>
      </c>
      <c r="AO4856" t="s">
        <v>34996</v>
      </c>
      <c r="AP4856" t="s">
        <v>7024</v>
      </c>
      <c r="AT4856" s="184">
        <v>42206</v>
      </c>
      <c r="AU4856" t="s">
        <v>34997</v>
      </c>
      <c r="AV4856">
        <v>15</v>
      </c>
      <c r="AW4856" s="184">
        <v>44614</v>
      </c>
      <c r="AX4856" t="s">
        <v>34998</v>
      </c>
      <c r="AY4856">
        <v>60</v>
      </c>
      <c r="AZ4856" s="184">
        <v>44614</v>
      </c>
      <c r="BA4856" t="s">
        <v>34998</v>
      </c>
      <c r="BB4856">
        <v>60</v>
      </c>
      <c r="BC4856">
        <v>70</v>
      </c>
      <c r="BD4856">
        <v>305</v>
      </c>
      <c r="BE4856">
        <v>2016</v>
      </c>
      <c r="BF4856">
        <v>10</v>
      </c>
      <c r="BI4856">
        <v>7</v>
      </c>
      <c r="BJ4856">
        <v>10</v>
      </c>
      <c r="BK4856">
        <v>6</v>
      </c>
      <c r="BP4856" s="184"/>
    </row>
    <row r="4857" spans="1:68">
      <c r="A4857">
        <v>92896182</v>
      </c>
      <c r="B4857">
        <v>92896182</v>
      </c>
      <c r="C4857" t="s">
        <v>7018</v>
      </c>
      <c r="E4857" s="184"/>
      <c r="G4857" s="184"/>
      <c r="I4857" s="184"/>
      <c r="K4857" s="184"/>
      <c r="L4857" t="s">
        <v>595</v>
      </c>
      <c r="M4857" s="184">
        <v>44580</v>
      </c>
      <c r="O4857" s="184"/>
      <c r="P4857" t="s">
        <v>7045</v>
      </c>
      <c r="Q4857" t="s">
        <v>7020</v>
      </c>
      <c r="R4857" s="184">
        <v>17380</v>
      </c>
      <c r="S4857">
        <v>76</v>
      </c>
      <c r="V4857" t="s">
        <v>2992</v>
      </c>
      <c r="W4857" t="s">
        <v>8224</v>
      </c>
      <c r="X4857" t="s">
        <v>3475</v>
      </c>
      <c r="AF4857" t="s">
        <v>34999</v>
      </c>
      <c r="AG4857" t="s">
        <v>2992</v>
      </c>
      <c r="AI4857" t="s">
        <v>35000</v>
      </c>
      <c r="AM4857" t="s">
        <v>35001</v>
      </c>
      <c r="AN4857" t="s">
        <v>2255</v>
      </c>
      <c r="AO4857" t="s">
        <v>35002</v>
      </c>
      <c r="AP4857" t="s">
        <v>7024</v>
      </c>
      <c r="AQ4857" t="s">
        <v>35003</v>
      </c>
      <c r="AR4857" t="s">
        <v>35004</v>
      </c>
      <c r="AT4857" s="184">
        <v>42208</v>
      </c>
      <c r="AU4857" t="s">
        <v>34991</v>
      </c>
      <c r="AV4857">
        <v>25</v>
      </c>
      <c r="AW4857" s="184">
        <v>45411</v>
      </c>
      <c r="AX4857" t="s">
        <v>10444</v>
      </c>
      <c r="AY4857">
        <v>100</v>
      </c>
      <c r="AZ4857" s="184">
        <v>44992</v>
      </c>
      <c r="BA4857" t="s">
        <v>26908</v>
      </c>
      <c r="BB4857">
        <v>150</v>
      </c>
      <c r="BC4857">
        <v>90</v>
      </c>
      <c r="BD4857">
        <v>825</v>
      </c>
      <c r="BE4857">
        <v>2016</v>
      </c>
      <c r="BF4857">
        <v>21</v>
      </c>
      <c r="BG4857">
        <v>3</v>
      </c>
      <c r="BH4857">
        <v>300</v>
      </c>
      <c r="BI4857">
        <v>9</v>
      </c>
      <c r="BJ4857">
        <v>10</v>
      </c>
      <c r="BK4857">
        <v>5</v>
      </c>
      <c r="BN4857" t="s">
        <v>595</v>
      </c>
      <c r="BP4857" s="184"/>
    </row>
    <row r="4858" spans="1:68">
      <c r="A4858">
        <v>92903418</v>
      </c>
      <c r="B4858">
        <v>92903418</v>
      </c>
      <c r="C4858" t="s">
        <v>7018</v>
      </c>
      <c r="E4858" s="184"/>
      <c r="G4858" s="184"/>
      <c r="H4858" t="s">
        <v>595</v>
      </c>
      <c r="I4858" s="184">
        <v>44167</v>
      </c>
      <c r="K4858" s="184"/>
      <c r="M4858" s="184"/>
      <c r="P4858" t="s">
        <v>7045</v>
      </c>
      <c r="Q4858" t="s">
        <v>7160</v>
      </c>
      <c r="R4858" s="184">
        <v>18354</v>
      </c>
      <c r="S4858">
        <v>74</v>
      </c>
      <c r="V4858" t="s">
        <v>2724</v>
      </c>
      <c r="X4858" t="s">
        <v>35005</v>
      </c>
      <c r="AF4858" t="s">
        <v>35006</v>
      </c>
      <c r="AG4858" t="s">
        <v>2724</v>
      </c>
      <c r="AI4858" t="s">
        <v>35007</v>
      </c>
      <c r="AM4858" t="s">
        <v>4598</v>
      </c>
      <c r="AN4858" t="s">
        <v>2176</v>
      </c>
      <c r="AO4858" t="s">
        <v>35008</v>
      </c>
      <c r="AP4858" t="s">
        <v>7024</v>
      </c>
      <c r="AQ4858" t="s">
        <v>35009</v>
      </c>
      <c r="AT4858" s="184">
        <v>42209</v>
      </c>
      <c r="AU4858" t="s">
        <v>35010</v>
      </c>
      <c r="AV4858">
        <v>15</v>
      </c>
      <c r="AW4858" s="184">
        <v>45418</v>
      </c>
      <c r="AX4858" t="s">
        <v>7422</v>
      </c>
      <c r="AY4858">
        <v>12</v>
      </c>
      <c r="AZ4858" s="184">
        <v>42717</v>
      </c>
      <c r="BA4858" t="s">
        <v>30084</v>
      </c>
      <c r="BB4858">
        <v>35</v>
      </c>
      <c r="BC4858">
        <v>100</v>
      </c>
      <c r="BD4858">
        <v>1221</v>
      </c>
      <c r="BE4858">
        <v>2016</v>
      </c>
      <c r="BF4858">
        <v>103</v>
      </c>
      <c r="BG4858">
        <v>25</v>
      </c>
      <c r="BH4858">
        <v>303</v>
      </c>
      <c r="BI4858">
        <v>10</v>
      </c>
      <c r="BJ4858">
        <v>10</v>
      </c>
      <c r="BK4858">
        <v>10</v>
      </c>
      <c r="BP4858" s="184"/>
    </row>
    <row r="4859" spans="1:68">
      <c r="A4859">
        <v>92945286</v>
      </c>
      <c r="B4859">
        <v>92945286</v>
      </c>
      <c r="C4859" t="s">
        <v>7018</v>
      </c>
      <c r="D4859" t="s">
        <v>595</v>
      </c>
      <c r="E4859" s="184">
        <v>44438</v>
      </c>
      <c r="G4859" s="184"/>
      <c r="I4859" s="184"/>
      <c r="K4859" s="184"/>
      <c r="M4859" s="184"/>
      <c r="O4859" s="184"/>
      <c r="P4859" t="s">
        <v>7045</v>
      </c>
      <c r="Q4859" t="s">
        <v>7160</v>
      </c>
      <c r="R4859" s="184">
        <v>21155</v>
      </c>
      <c r="S4859">
        <v>66</v>
      </c>
      <c r="U4859" t="s">
        <v>7031</v>
      </c>
      <c r="V4859" t="s">
        <v>2871</v>
      </c>
      <c r="W4859" t="s">
        <v>7560</v>
      </c>
      <c r="X4859" t="s">
        <v>26322</v>
      </c>
      <c r="Z4859">
        <v>100161410</v>
      </c>
      <c r="AA4859" t="s">
        <v>7130</v>
      </c>
      <c r="AB4859" t="s">
        <v>21647</v>
      </c>
      <c r="AD4859" t="s">
        <v>26322</v>
      </c>
      <c r="AF4859" t="s">
        <v>35011</v>
      </c>
      <c r="AG4859" t="s">
        <v>35012</v>
      </c>
      <c r="AI4859" t="s">
        <v>8906</v>
      </c>
      <c r="AM4859" t="s">
        <v>35013</v>
      </c>
      <c r="AN4859" t="s">
        <v>2675</v>
      </c>
      <c r="AO4859" t="s">
        <v>35014</v>
      </c>
      <c r="AP4859" t="s">
        <v>7024</v>
      </c>
      <c r="AQ4859" t="s">
        <v>35015</v>
      </c>
      <c r="AR4859" t="s">
        <v>35016</v>
      </c>
      <c r="AT4859" s="184">
        <v>42219</v>
      </c>
      <c r="AU4859" t="s">
        <v>35017</v>
      </c>
      <c r="AV4859">
        <v>19.95</v>
      </c>
      <c r="AW4859" s="184">
        <v>45131</v>
      </c>
      <c r="AX4859" t="s">
        <v>7168</v>
      </c>
      <c r="AY4859">
        <v>35</v>
      </c>
      <c r="AZ4859" s="184">
        <v>45131</v>
      </c>
      <c r="BA4859" t="s">
        <v>7168</v>
      </c>
      <c r="BB4859">
        <v>35</v>
      </c>
      <c r="BC4859">
        <v>90</v>
      </c>
      <c r="BD4859">
        <v>344.95</v>
      </c>
      <c r="BE4859">
        <v>2016</v>
      </c>
      <c r="BF4859">
        <v>15</v>
      </c>
      <c r="BG4859">
        <v>2</v>
      </c>
      <c r="BH4859">
        <v>70</v>
      </c>
      <c r="BI4859">
        <v>9</v>
      </c>
      <c r="BJ4859">
        <v>10</v>
      </c>
      <c r="BK4859">
        <v>9</v>
      </c>
      <c r="BP4859" s="184"/>
    </row>
    <row r="4860" spans="1:68">
      <c r="A4860">
        <v>100161410</v>
      </c>
      <c r="B4860">
        <v>92945286</v>
      </c>
      <c r="C4860" t="s">
        <v>7018</v>
      </c>
      <c r="D4860" t="s">
        <v>595</v>
      </c>
      <c r="E4860" s="184">
        <v>44438</v>
      </c>
      <c r="G4860" s="184"/>
      <c r="I4860" s="184"/>
      <c r="K4860" s="184"/>
      <c r="M4860" s="184"/>
      <c r="O4860" s="184"/>
      <c r="P4860" t="s">
        <v>7045</v>
      </c>
      <c r="Q4860" t="s">
        <v>7160</v>
      </c>
      <c r="R4860" s="184">
        <v>22160</v>
      </c>
      <c r="S4860">
        <v>63</v>
      </c>
      <c r="U4860" t="s">
        <v>7130</v>
      </c>
      <c r="V4860" t="s">
        <v>21647</v>
      </c>
      <c r="X4860" t="s">
        <v>26322</v>
      </c>
      <c r="Z4860">
        <v>92945286</v>
      </c>
      <c r="AA4860" t="s">
        <v>7031</v>
      </c>
      <c r="AB4860" t="s">
        <v>2871</v>
      </c>
      <c r="AC4860" t="s">
        <v>7560</v>
      </c>
      <c r="AD4860" t="s">
        <v>26322</v>
      </c>
      <c r="AF4860" t="s">
        <v>35011</v>
      </c>
      <c r="AG4860" t="s">
        <v>35012</v>
      </c>
      <c r="AI4860" t="s">
        <v>8906</v>
      </c>
      <c r="AM4860" t="s">
        <v>35013</v>
      </c>
      <c r="AN4860" t="s">
        <v>2675</v>
      </c>
      <c r="AO4860" t="s">
        <v>35014</v>
      </c>
      <c r="AP4860" t="s">
        <v>7024</v>
      </c>
      <c r="AQ4860" t="s">
        <v>35018</v>
      </c>
      <c r="AT4860" s="184"/>
      <c r="AW4860" s="184"/>
      <c r="AZ4860" s="184"/>
      <c r="BP4860" s="184"/>
    </row>
    <row r="4861" spans="1:68">
      <c r="A4861">
        <v>92976547</v>
      </c>
      <c r="B4861">
        <v>92976547</v>
      </c>
      <c r="C4861" t="s">
        <v>7018</v>
      </c>
      <c r="D4861" t="s">
        <v>595</v>
      </c>
      <c r="E4861" s="184">
        <v>44438</v>
      </c>
      <c r="G4861" s="184"/>
      <c r="I4861" s="184"/>
      <c r="K4861" s="184"/>
      <c r="M4861" s="184"/>
      <c r="O4861" s="184"/>
      <c r="P4861" t="s">
        <v>7045</v>
      </c>
      <c r="Q4861" t="s">
        <v>7383</v>
      </c>
      <c r="R4861" s="184">
        <v>15340</v>
      </c>
      <c r="S4861">
        <v>82</v>
      </c>
      <c r="V4861" t="s">
        <v>3134</v>
      </c>
      <c r="X4861" t="s">
        <v>2962</v>
      </c>
      <c r="AF4861" t="s">
        <v>35019</v>
      </c>
      <c r="AG4861" t="s">
        <v>3134</v>
      </c>
      <c r="AI4861" t="s">
        <v>35020</v>
      </c>
      <c r="AM4861" t="s">
        <v>35021</v>
      </c>
      <c r="AN4861" t="s">
        <v>2313</v>
      </c>
      <c r="AO4861" t="s">
        <v>35022</v>
      </c>
      <c r="AP4861" t="s">
        <v>7024</v>
      </c>
      <c r="AQ4861" t="s">
        <v>35023</v>
      </c>
      <c r="AT4861" s="184">
        <v>42235</v>
      </c>
      <c r="AU4861" t="s">
        <v>25731</v>
      </c>
      <c r="AV4861">
        <v>50</v>
      </c>
      <c r="AW4861" s="184">
        <v>44491</v>
      </c>
      <c r="AX4861" t="s">
        <v>10959</v>
      </c>
      <c r="AY4861">
        <v>25</v>
      </c>
      <c r="AZ4861" s="184">
        <v>43609</v>
      </c>
      <c r="BA4861" t="s">
        <v>35024</v>
      </c>
      <c r="BB4861">
        <v>50</v>
      </c>
      <c r="BC4861">
        <v>70</v>
      </c>
      <c r="BD4861">
        <v>440</v>
      </c>
      <c r="BE4861">
        <v>2016</v>
      </c>
      <c r="BF4861">
        <v>10</v>
      </c>
      <c r="BI4861">
        <v>7</v>
      </c>
      <c r="BJ4861">
        <v>10</v>
      </c>
      <c r="BK4861">
        <v>7</v>
      </c>
      <c r="BP4861" s="184"/>
    </row>
    <row r="4862" spans="1:68">
      <c r="A4862">
        <v>92982719</v>
      </c>
      <c r="B4862">
        <v>92982719</v>
      </c>
      <c r="C4862" t="s">
        <v>7018</v>
      </c>
      <c r="D4862" t="s">
        <v>595</v>
      </c>
      <c r="E4862" s="184">
        <v>45160</v>
      </c>
      <c r="G4862" s="184"/>
      <c r="I4862" s="184"/>
      <c r="K4862" s="184"/>
      <c r="M4862" s="184"/>
      <c r="O4862" s="184"/>
      <c r="P4862" t="s">
        <v>7045</v>
      </c>
      <c r="Q4862" t="s">
        <v>7160</v>
      </c>
      <c r="R4862" s="184">
        <v>25538</v>
      </c>
      <c r="S4862">
        <v>54</v>
      </c>
      <c r="U4862" t="s">
        <v>7031</v>
      </c>
      <c r="V4862" t="s">
        <v>35025</v>
      </c>
      <c r="X4862" t="s">
        <v>19854</v>
      </c>
      <c r="AF4862" t="s">
        <v>35026</v>
      </c>
      <c r="AG4862" t="s">
        <v>35025</v>
      </c>
      <c r="AI4862" t="s">
        <v>35027</v>
      </c>
      <c r="AM4862" t="s">
        <v>35028</v>
      </c>
      <c r="AN4862" t="s">
        <v>2675</v>
      </c>
      <c r="AO4862" t="s">
        <v>35029</v>
      </c>
      <c r="AP4862" t="s">
        <v>7024</v>
      </c>
      <c r="AQ4862" t="s">
        <v>35030</v>
      </c>
      <c r="AT4862" s="184">
        <v>42236</v>
      </c>
      <c r="AU4862" t="s">
        <v>35031</v>
      </c>
      <c r="AV4862">
        <v>50</v>
      </c>
      <c r="AW4862" s="184">
        <v>45240</v>
      </c>
      <c r="AX4862" t="s">
        <v>8185</v>
      </c>
      <c r="AY4862">
        <v>36.75</v>
      </c>
      <c r="AZ4862" s="184">
        <v>43366</v>
      </c>
      <c r="BA4862" t="s">
        <v>7959</v>
      </c>
      <c r="BB4862">
        <v>100</v>
      </c>
      <c r="BC4862">
        <v>70</v>
      </c>
      <c r="BD4862">
        <v>586.75</v>
      </c>
      <c r="BE4862">
        <v>2016</v>
      </c>
      <c r="BF4862">
        <v>9</v>
      </c>
      <c r="BG4862">
        <v>1</v>
      </c>
      <c r="BH4862">
        <v>36.75</v>
      </c>
      <c r="BI4862">
        <v>7</v>
      </c>
      <c r="BJ4862">
        <v>10</v>
      </c>
      <c r="BK4862">
        <v>4</v>
      </c>
      <c r="BP4862" s="184"/>
    </row>
    <row r="4863" spans="1:68">
      <c r="A4863">
        <v>92997709</v>
      </c>
      <c r="B4863">
        <v>92997709</v>
      </c>
      <c r="C4863" t="s">
        <v>7018</v>
      </c>
      <c r="D4863" t="s">
        <v>595</v>
      </c>
      <c r="E4863" s="184">
        <v>45180</v>
      </c>
      <c r="G4863" s="184"/>
      <c r="I4863" s="184"/>
      <c r="K4863" s="184"/>
      <c r="M4863" s="184"/>
      <c r="O4863" s="184"/>
      <c r="P4863" t="s">
        <v>7045</v>
      </c>
      <c r="Q4863" t="s">
        <v>7374</v>
      </c>
      <c r="R4863" s="184">
        <v>17107</v>
      </c>
      <c r="S4863">
        <v>77</v>
      </c>
      <c r="V4863" t="s">
        <v>3838</v>
      </c>
      <c r="X4863" t="s">
        <v>35032</v>
      </c>
      <c r="AF4863" t="s">
        <v>35033</v>
      </c>
      <c r="AG4863" t="s">
        <v>3838</v>
      </c>
      <c r="AI4863" t="s">
        <v>35034</v>
      </c>
      <c r="AM4863" t="s">
        <v>35035</v>
      </c>
      <c r="AN4863" t="s">
        <v>2081</v>
      </c>
      <c r="AO4863" t="s">
        <v>35036</v>
      </c>
      <c r="AP4863" t="s">
        <v>7024</v>
      </c>
      <c r="AQ4863" t="s">
        <v>35037</v>
      </c>
      <c r="AT4863" s="184">
        <v>42237</v>
      </c>
      <c r="AU4863" t="s">
        <v>35038</v>
      </c>
      <c r="AV4863">
        <v>15</v>
      </c>
      <c r="AW4863" s="184">
        <v>45134</v>
      </c>
      <c r="AX4863" t="s">
        <v>17919</v>
      </c>
      <c r="AY4863">
        <v>35</v>
      </c>
      <c r="AZ4863" s="184">
        <v>43763</v>
      </c>
      <c r="BA4863" t="s">
        <v>35039</v>
      </c>
      <c r="BB4863">
        <v>60</v>
      </c>
      <c r="BC4863">
        <v>70</v>
      </c>
      <c r="BD4863">
        <v>205</v>
      </c>
      <c r="BE4863">
        <v>2016</v>
      </c>
      <c r="BF4863">
        <v>8</v>
      </c>
      <c r="BG4863">
        <v>2</v>
      </c>
      <c r="BH4863">
        <v>60</v>
      </c>
      <c r="BI4863">
        <v>7</v>
      </c>
      <c r="BJ4863">
        <v>10</v>
      </c>
      <c r="BK4863">
        <v>6</v>
      </c>
      <c r="BP4863" s="184"/>
    </row>
    <row r="4864" spans="1:68">
      <c r="A4864">
        <v>93013241</v>
      </c>
      <c r="B4864">
        <v>93013241</v>
      </c>
      <c r="C4864" t="s">
        <v>7018</v>
      </c>
      <c r="D4864" t="s">
        <v>595</v>
      </c>
      <c r="E4864" s="184">
        <v>45195</v>
      </c>
      <c r="G4864" s="184"/>
      <c r="I4864" s="184"/>
      <c r="K4864" s="184"/>
      <c r="M4864" s="184"/>
      <c r="O4864" s="184"/>
      <c r="P4864" t="s">
        <v>7045</v>
      </c>
      <c r="Q4864" t="s">
        <v>7160</v>
      </c>
      <c r="R4864" s="184">
        <v>21641</v>
      </c>
      <c r="S4864">
        <v>65</v>
      </c>
      <c r="V4864" t="s">
        <v>3889</v>
      </c>
      <c r="X4864" t="s">
        <v>35040</v>
      </c>
      <c r="Z4864">
        <v>100161559</v>
      </c>
      <c r="AB4864" t="s">
        <v>25635</v>
      </c>
      <c r="AD4864" t="s">
        <v>35040</v>
      </c>
      <c r="AF4864" t="s">
        <v>35041</v>
      </c>
      <c r="AG4864" t="s">
        <v>35042</v>
      </c>
      <c r="AI4864" t="s">
        <v>35043</v>
      </c>
      <c r="AM4864" t="s">
        <v>3970</v>
      </c>
      <c r="AN4864" t="s">
        <v>2413</v>
      </c>
      <c r="AO4864" t="s">
        <v>35044</v>
      </c>
      <c r="AP4864" t="s">
        <v>7024</v>
      </c>
      <c r="AQ4864" t="s">
        <v>35045</v>
      </c>
      <c r="AT4864" s="184">
        <v>42242</v>
      </c>
      <c r="AU4864" t="s">
        <v>35046</v>
      </c>
      <c r="AV4864">
        <v>25</v>
      </c>
      <c r="AW4864" s="184">
        <v>45210</v>
      </c>
      <c r="AX4864" t="s">
        <v>22958</v>
      </c>
      <c r="AY4864">
        <v>35</v>
      </c>
      <c r="AZ4864" s="184">
        <v>45210</v>
      </c>
      <c r="BA4864" t="s">
        <v>22958</v>
      </c>
      <c r="BB4864">
        <v>35</v>
      </c>
      <c r="BC4864">
        <v>20</v>
      </c>
      <c r="BD4864">
        <v>60</v>
      </c>
      <c r="BE4864">
        <v>2016</v>
      </c>
      <c r="BF4864">
        <v>2</v>
      </c>
      <c r="BG4864">
        <v>1</v>
      </c>
      <c r="BH4864">
        <v>35</v>
      </c>
      <c r="BI4864">
        <v>2</v>
      </c>
      <c r="BJ4864">
        <v>10</v>
      </c>
      <c r="BK4864">
        <v>1</v>
      </c>
      <c r="BP4864" s="184"/>
    </row>
    <row r="4865" spans="1:68">
      <c r="A4865">
        <v>100161559</v>
      </c>
      <c r="B4865">
        <v>93013241</v>
      </c>
      <c r="C4865" t="s">
        <v>7018</v>
      </c>
      <c r="D4865" t="s">
        <v>595</v>
      </c>
      <c r="E4865" s="184">
        <v>45195</v>
      </c>
      <c r="G4865" s="184"/>
      <c r="I4865" s="184"/>
      <c r="K4865" s="184"/>
      <c r="M4865" s="184"/>
      <c r="O4865" s="184"/>
      <c r="P4865" t="s">
        <v>7045</v>
      </c>
      <c r="Q4865" t="s">
        <v>7160</v>
      </c>
      <c r="R4865" s="184">
        <v>21125</v>
      </c>
      <c r="S4865">
        <v>66</v>
      </c>
      <c r="V4865" t="s">
        <v>25635</v>
      </c>
      <c r="X4865" t="s">
        <v>35040</v>
      </c>
      <c r="Z4865">
        <v>93013241</v>
      </c>
      <c r="AB4865" t="s">
        <v>3889</v>
      </c>
      <c r="AD4865" t="s">
        <v>35040</v>
      </c>
      <c r="AF4865" t="s">
        <v>35041</v>
      </c>
      <c r="AG4865" t="s">
        <v>35042</v>
      </c>
      <c r="AI4865" t="s">
        <v>35043</v>
      </c>
      <c r="AM4865" t="s">
        <v>3970</v>
      </c>
      <c r="AN4865" t="s">
        <v>2413</v>
      </c>
      <c r="AO4865" t="s">
        <v>35044</v>
      </c>
      <c r="AP4865" t="s">
        <v>7024</v>
      </c>
      <c r="AT4865" s="184">
        <v>44470</v>
      </c>
      <c r="AU4865" t="s">
        <v>35047</v>
      </c>
      <c r="AV4865">
        <v>50</v>
      </c>
      <c r="AW4865" s="184">
        <v>44470</v>
      </c>
      <c r="AX4865" t="s">
        <v>35047</v>
      </c>
      <c r="AY4865">
        <v>50</v>
      </c>
      <c r="AZ4865" s="184">
        <v>44470</v>
      </c>
      <c r="BA4865" t="s">
        <v>35047</v>
      </c>
      <c r="BB4865">
        <v>50</v>
      </c>
      <c r="BC4865">
        <v>25</v>
      </c>
      <c r="BD4865">
        <v>50</v>
      </c>
      <c r="BE4865">
        <v>2022</v>
      </c>
      <c r="BF4865">
        <v>1</v>
      </c>
      <c r="BI4865">
        <v>1</v>
      </c>
      <c r="BJ4865">
        <v>4</v>
      </c>
      <c r="BK4865">
        <v>1</v>
      </c>
      <c r="BP4865" s="184"/>
    </row>
    <row r="4866" spans="1:68">
      <c r="A4866">
        <v>93017796</v>
      </c>
      <c r="B4866">
        <v>93017796</v>
      </c>
      <c r="C4866" t="s">
        <v>7018</v>
      </c>
      <c r="E4866" s="184"/>
      <c r="G4866" s="184"/>
      <c r="I4866" s="184"/>
      <c r="J4866" t="s">
        <v>595</v>
      </c>
      <c r="K4866" s="184">
        <v>44215</v>
      </c>
      <c r="M4866" s="184"/>
      <c r="O4866" s="184"/>
      <c r="P4866" t="s">
        <v>7045</v>
      </c>
      <c r="Q4866" t="s">
        <v>7160</v>
      </c>
      <c r="R4866" s="184"/>
      <c r="U4866" t="s">
        <v>7031</v>
      </c>
      <c r="V4866" t="s">
        <v>2898</v>
      </c>
      <c r="X4866" t="s">
        <v>2758</v>
      </c>
      <c r="AF4866" t="s">
        <v>35048</v>
      </c>
      <c r="AG4866" t="s">
        <v>2898</v>
      </c>
      <c r="AI4866" t="s">
        <v>35049</v>
      </c>
      <c r="AM4866" t="s">
        <v>3470</v>
      </c>
      <c r="AN4866" t="s">
        <v>2176</v>
      </c>
      <c r="AO4866" t="s">
        <v>35050</v>
      </c>
      <c r="AP4866" t="s">
        <v>7024</v>
      </c>
      <c r="AQ4866" t="s">
        <v>35051</v>
      </c>
      <c r="AT4866" s="184">
        <v>42247</v>
      </c>
      <c r="AU4866" t="s">
        <v>35052</v>
      </c>
      <c r="AV4866">
        <v>35</v>
      </c>
      <c r="AW4866" s="184">
        <v>42247</v>
      </c>
      <c r="AX4866" t="s">
        <v>35052</v>
      </c>
      <c r="AY4866">
        <v>35</v>
      </c>
      <c r="AZ4866" s="184">
        <v>42247</v>
      </c>
      <c r="BA4866" t="s">
        <v>35052</v>
      </c>
      <c r="BB4866">
        <v>35</v>
      </c>
      <c r="BC4866">
        <v>10</v>
      </c>
      <c r="BD4866">
        <v>35</v>
      </c>
      <c r="BE4866">
        <v>2016</v>
      </c>
      <c r="BF4866">
        <v>1</v>
      </c>
      <c r="BI4866">
        <v>1</v>
      </c>
      <c r="BJ4866">
        <v>10</v>
      </c>
      <c r="BK4866">
        <v>1</v>
      </c>
      <c r="BP4866" s="184"/>
    </row>
    <row r="4867" spans="1:68">
      <c r="A4867">
        <v>93024768</v>
      </c>
      <c r="B4867">
        <v>93024768</v>
      </c>
      <c r="C4867" t="s">
        <v>7018</v>
      </c>
      <c r="D4867" t="s">
        <v>595</v>
      </c>
      <c r="E4867" s="184">
        <v>45196</v>
      </c>
      <c r="G4867" s="184"/>
      <c r="K4867" s="184"/>
      <c r="M4867" s="184"/>
      <c r="O4867" s="184"/>
      <c r="P4867" t="s">
        <v>7045</v>
      </c>
      <c r="Q4867" t="s">
        <v>7030</v>
      </c>
      <c r="R4867" s="184">
        <v>16650</v>
      </c>
      <c r="S4867">
        <v>78</v>
      </c>
      <c r="V4867" t="s">
        <v>35053</v>
      </c>
      <c r="X4867" t="s">
        <v>4595</v>
      </c>
      <c r="AF4867" t="s">
        <v>35054</v>
      </c>
      <c r="AG4867" t="s">
        <v>35053</v>
      </c>
      <c r="AI4867" t="s">
        <v>35055</v>
      </c>
      <c r="AM4867" t="s">
        <v>4209</v>
      </c>
      <c r="AN4867" t="s">
        <v>2201</v>
      </c>
      <c r="AO4867" t="s">
        <v>35056</v>
      </c>
      <c r="AP4867" t="s">
        <v>7024</v>
      </c>
      <c r="AQ4867" t="s">
        <v>35057</v>
      </c>
      <c r="AT4867" s="184">
        <v>42244</v>
      </c>
      <c r="AU4867" t="s">
        <v>35058</v>
      </c>
      <c r="AV4867">
        <v>25</v>
      </c>
      <c r="AW4867" s="184">
        <v>45376</v>
      </c>
      <c r="AX4867" t="s">
        <v>35059</v>
      </c>
      <c r="AY4867">
        <v>25</v>
      </c>
      <c r="AZ4867" s="184">
        <v>45376</v>
      </c>
      <c r="BA4867" t="s">
        <v>35059</v>
      </c>
      <c r="BB4867">
        <v>25</v>
      </c>
      <c r="BC4867">
        <v>90</v>
      </c>
      <c r="BD4867">
        <v>225</v>
      </c>
      <c r="BE4867">
        <v>2016</v>
      </c>
      <c r="BF4867">
        <v>9</v>
      </c>
      <c r="BG4867">
        <v>3</v>
      </c>
      <c r="BH4867">
        <v>75</v>
      </c>
      <c r="BI4867">
        <v>9</v>
      </c>
      <c r="BJ4867">
        <v>10</v>
      </c>
      <c r="BK4867">
        <v>6</v>
      </c>
      <c r="BP4867" s="184"/>
    </row>
    <row r="4868" spans="1:68">
      <c r="A4868">
        <v>93034080</v>
      </c>
      <c r="B4868">
        <v>93034080</v>
      </c>
      <c r="C4868" t="s">
        <v>7018</v>
      </c>
      <c r="D4868" t="s">
        <v>595</v>
      </c>
      <c r="E4868" s="184">
        <v>45141</v>
      </c>
      <c r="G4868" s="184"/>
      <c r="I4868" s="184"/>
      <c r="K4868" s="184"/>
      <c r="M4868" s="184"/>
      <c r="O4868" s="184"/>
      <c r="P4868" t="s">
        <v>7045</v>
      </c>
      <c r="Q4868" t="s">
        <v>7383</v>
      </c>
      <c r="R4868" s="184">
        <v>21064</v>
      </c>
      <c r="S4868">
        <v>66</v>
      </c>
      <c r="U4868" t="s">
        <v>7130</v>
      </c>
      <c r="V4868" t="s">
        <v>3435</v>
      </c>
      <c r="X4868" t="s">
        <v>35060</v>
      </c>
      <c r="AF4868" t="s">
        <v>35061</v>
      </c>
      <c r="AG4868" t="s">
        <v>3435</v>
      </c>
      <c r="AI4868" t="s">
        <v>35062</v>
      </c>
      <c r="AM4868" t="s">
        <v>35063</v>
      </c>
      <c r="AN4868" t="s">
        <v>2064</v>
      </c>
      <c r="AO4868" t="s">
        <v>35064</v>
      </c>
      <c r="AP4868" t="s">
        <v>7024</v>
      </c>
      <c r="AQ4868" t="s">
        <v>35065</v>
      </c>
      <c r="AR4868" t="s">
        <v>35066</v>
      </c>
      <c r="AT4868" s="184">
        <v>42247</v>
      </c>
      <c r="AU4868" t="s">
        <v>35067</v>
      </c>
      <c r="AV4868">
        <v>15</v>
      </c>
      <c r="AW4868" s="184">
        <v>45273</v>
      </c>
      <c r="AX4868" t="s">
        <v>14164</v>
      </c>
      <c r="AY4868">
        <v>25</v>
      </c>
      <c r="AZ4868" s="184">
        <v>45273</v>
      </c>
      <c r="BA4868" t="s">
        <v>14164</v>
      </c>
      <c r="BB4868">
        <v>25</v>
      </c>
      <c r="BC4868">
        <v>60</v>
      </c>
      <c r="BD4868">
        <v>180</v>
      </c>
      <c r="BE4868">
        <v>2016</v>
      </c>
      <c r="BF4868">
        <v>8</v>
      </c>
      <c r="BG4868">
        <v>2</v>
      </c>
      <c r="BH4868">
        <v>50</v>
      </c>
      <c r="BI4868">
        <v>6</v>
      </c>
      <c r="BJ4868">
        <v>10</v>
      </c>
      <c r="BK4868">
        <v>3</v>
      </c>
      <c r="BP4868" s="184"/>
    </row>
    <row r="4869" spans="1:68">
      <c r="A4869">
        <v>93034437</v>
      </c>
      <c r="B4869">
        <v>93034437</v>
      </c>
      <c r="C4869" t="s">
        <v>7018</v>
      </c>
      <c r="D4869" t="s">
        <v>595</v>
      </c>
      <c r="E4869" s="184">
        <v>45148</v>
      </c>
      <c r="G4869" s="184"/>
      <c r="I4869" s="184"/>
      <c r="K4869" s="184"/>
      <c r="M4869" s="184"/>
      <c r="O4869" s="184"/>
      <c r="P4869" t="s">
        <v>7045</v>
      </c>
      <c r="Q4869" t="s">
        <v>7383</v>
      </c>
      <c r="R4869" s="184">
        <v>19778</v>
      </c>
      <c r="S4869">
        <v>70</v>
      </c>
      <c r="V4869" t="s">
        <v>2687</v>
      </c>
      <c r="X4869" t="s">
        <v>35068</v>
      </c>
      <c r="AF4869" t="s">
        <v>35069</v>
      </c>
      <c r="AG4869" t="s">
        <v>2687</v>
      </c>
      <c r="AI4869" t="s">
        <v>35070</v>
      </c>
      <c r="AM4869" t="s">
        <v>3357</v>
      </c>
      <c r="AN4869" t="s">
        <v>2185</v>
      </c>
      <c r="AO4869" t="s">
        <v>35071</v>
      </c>
      <c r="AP4869" t="s">
        <v>7024</v>
      </c>
      <c r="AQ4869" t="s">
        <v>35072</v>
      </c>
      <c r="AR4869" t="s">
        <v>35073</v>
      </c>
      <c r="AT4869" s="184">
        <v>42247</v>
      </c>
      <c r="AU4869" t="s">
        <v>35074</v>
      </c>
      <c r="AV4869">
        <v>25</v>
      </c>
      <c r="AW4869" s="184">
        <v>45190</v>
      </c>
      <c r="AX4869" t="s">
        <v>17610</v>
      </c>
      <c r="AY4869">
        <v>150</v>
      </c>
      <c r="AZ4869" s="184">
        <v>45190</v>
      </c>
      <c r="BA4869" t="s">
        <v>17610</v>
      </c>
      <c r="BB4869">
        <v>150</v>
      </c>
      <c r="BC4869">
        <v>60</v>
      </c>
      <c r="BD4869">
        <v>505</v>
      </c>
      <c r="BE4869">
        <v>2016</v>
      </c>
      <c r="BF4869">
        <v>6</v>
      </c>
      <c r="BG4869">
        <v>2</v>
      </c>
      <c r="BH4869">
        <v>250</v>
      </c>
      <c r="BI4869">
        <v>6</v>
      </c>
      <c r="BJ4869">
        <v>10</v>
      </c>
      <c r="BK4869">
        <v>3</v>
      </c>
      <c r="BP4869" s="184"/>
    </row>
    <row r="4870" spans="1:68">
      <c r="A4870">
        <v>93035509</v>
      </c>
      <c r="B4870">
        <v>93035509</v>
      </c>
      <c r="C4870" t="s">
        <v>7018</v>
      </c>
      <c r="D4870" t="s">
        <v>595</v>
      </c>
      <c r="E4870" s="184">
        <v>44438</v>
      </c>
      <c r="G4870" s="184"/>
      <c r="I4870" s="184"/>
      <c r="K4870" s="184"/>
      <c r="M4870" s="184"/>
      <c r="O4870" s="184"/>
      <c r="P4870" t="s">
        <v>7045</v>
      </c>
      <c r="Q4870" t="s">
        <v>7383</v>
      </c>
      <c r="R4870" s="184">
        <v>18753</v>
      </c>
      <c r="S4870">
        <v>73</v>
      </c>
      <c r="U4870" t="s">
        <v>7032</v>
      </c>
      <c r="V4870" t="s">
        <v>20709</v>
      </c>
      <c r="W4870" t="s">
        <v>8224</v>
      </c>
      <c r="X4870" t="s">
        <v>35075</v>
      </c>
      <c r="AF4870" t="s">
        <v>35076</v>
      </c>
      <c r="AG4870" t="s">
        <v>20709</v>
      </c>
      <c r="AI4870" t="s">
        <v>35077</v>
      </c>
      <c r="AM4870" t="s">
        <v>35078</v>
      </c>
      <c r="AN4870" t="s">
        <v>2064</v>
      </c>
      <c r="AO4870" t="s">
        <v>35079</v>
      </c>
      <c r="AP4870" t="s">
        <v>7024</v>
      </c>
      <c r="AQ4870" t="s">
        <v>35080</v>
      </c>
      <c r="AT4870" s="184">
        <v>42247</v>
      </c>
      <c r="AU4870" t="s">
        <v>35081</v>
      </c>
      <c r="AV4870">
        <v>25</v>
      </c>
      <c r="AW4870" s="184">
        <v>45343</v>
      </c>
      <c r="AX4870" t="s">
        <v>20233</v>
      </c>
      <c r="AY4870">
        <v>100</v>
      </c>
      <c r="AZ4870" s="184">
        <v>45343</v>
      </c>
      <c r="BA4870" t="s">
        <v>20233</v>
      </c>
      <c r="BB4870">
        <v>100</v>
      </c>
      <c r="BC4870">
        <v>80</v>
      </c>
      <c r="BD4870">
        <v>640</v>
      </c>
      <c r="BE4870">
        <v>2016</v>
      </c>
      <c r="BF4870">
        <v>11</v>
      </c>
      <c r="BG4870">
        <v>5</v>
      </c>
      <c r="BH4870">
        <v>420</v>
      </c>
      <c r="BI4870">
        <v>8</v>
      </c>
      <c r="BJ4870">
        <v>10</v>
      </c>
      <c r="BK4870">
        <v>4</v>
      </c>
      <c r="BP4870" s="184"/>
    </row>
    <row r="4871" spans="1:68">
      <c r="A4871">
        <v>93040962</v>
      </c>
      <c r="B4871">
        <v>93040962</v>
      </c>
      <c r="C4871" t="s">
        <v>7018</v>
      </c>
      <c r="D4871" t="s">
        <v>595</v>
      </c>
      <c r="E4871" s="184">
        <v>44414</v>
      </c>
      <c r="G4871" s="184"/>
      <c r="I4871" s="184"/>
      <c r="K4871" s="184"/>
      <c r="O4871" s="184"/>
      <c r="P4871" t="s">
        <v>7045</v>
      </c>
      <c r="Q4871" t="s">
        <v>7262</v>
      </c>
      <c r="R4871" s="184">
        <v>21732</v>
      </c>
      <c r="S4871">
        <v>64</v>
      </c>
      <c r="U4871" t="s">
        <v>7031</v>
      </c>
      <c r="V4871" t="s">
        <v>3730</v>
      </c>
      <c r="X4871" t="s">
        <v>35082</v>
      </c>
      <c r="AF4871" t="s">
        <v>35083</v>
      </c>
      <c r="AG4871" t="s">
        <v>3730</v>
      </c>
      <c r="AI4871" t="s">
        <v>35084</v>
      </c>
      <c r="AM4871" t="s">
        <v>35085</v>
      </c>
      <c r="AN4871" t="s">
        <v>2106</v>
      </c>
      <c r="AO4871" t="s">
        <v>35086</v>
      </c>
      <c r="AP4871" t="s">
        <v>7024</v>
      </c>
      <c r="AQ4871" t="s">
        <v>35087</v>
      </c>
      <c r="AT4871" s="184">
        <v>42250</v>
      </c>
      <c r="AU4871" t="s">
        <v>35088</v>
      </c>
      <c r="AV4871">
        <v>50</v>
      </c>
      <c r="AW4871" s="184">
        <v>45194</v>
      </c>
      <c r="AX4871" t="s">
        <v>7596</v>
      </c>
      <c r="AY4871">
        <v>25</v>
      </c>
      <c r="AZ4871" s="184">
        <v>43228</v>
      </c>
      <c r="BA4871" t="s">
        <v>35089</v>
      </c>
      <c r="BB4871">
        <v>100</v>
      </c>
      <c r="BC4871">
        <v>80</v>
      </c>
      <c r="BD4871">
        <v>360</v>
      </c>
      <c r="BE4871">
        <v>2016</v>
      </c>
      <c r="BF4871">
        <v>9</v>
      </c>
      <c r="BG4871">
        <v>3</v>
      </c>
      <c r="BH4871">
        <v>85</v>
      </c>
      <c r="BI4871">
        <v>8</v>
      </c>
      <c r="BJ4871">
        <v>10</v>
      </c>
      <c r="BK4871">
        <v>6</v>
      </c>
      <c r="BP4871" s="184"/>
    </row>
    <row r="4872" spans="1:68">
      <c r="A4872">
        <v>93054336</v>
      </c>
      <c r="B4872">
        <v>93054336</v>
      </c>
      <c r="C4872" t="s">
        <v>7018</v>
      </c>
      <c r="D4872" t="s">
        <v>595</v>
      </c>
      <c r="E4872" s="184">
        <v>44455</v>
      </c>
      <c r="G4872" s="184"/>
      <c r="I4872" s="184"/>
      <c r="K4872" s="184"/>
      <c r="M4872" s="184"/>
      <c r="O4872" s="184"/>
      <c r="P4872" t="s">
        <v>7045</v>
      </c>
      <c r="Q4872" t="s">
        <v>7020</v>
      </c>
      <c r="R4872" s="184">
        <v>16834</v>
      </c>
      <c r="S4872">
        <v>78</v>
      </c>
      <c r="U4872" t="s">
        <v>7076</v>
      </c>
      <c r="V4872" t="s">
        <v>35090</v>
      </c>
      <c r="X4872" t="s">
        <v>35091</v>
      </c>
      <c r="AF4872" t="s">
        <v>35092</v>
      </c>
      <c r="AG4872" t="s">
        <v>35090</v>
      </c>
      <c r="AI4872" t="s">
        <v>35093</v>
      </c>
      <c r="AM4872" t="s">
        <v>3374</v>
      </c>
      <c r="AN4872" t="s">
        <v>2255</v>
      </c>
      <c r="AO4872" t="s">
        <v>35094</v>
      </c>
      <c r="AP4872" t="s">
        <v>7024</v>
      </c>
      <c r="AQ4872" t="s">
        <v>35095</v>
      </c>
      <c r="AT4872" s="184">
        <v>42368</v>
      </c>
      <c r="AU4872" t="s">
        <v>35096</v>
      </c>
      <c r="AV4872">
        <v>25</v>
      </c>
      <c r="AW4872" s="184">
        <v>44663</v>
      </c>
      <c r="AX4872" t="s">
        <v>25708</v>
      </c>
      <c r="AY4872">
        <v>35</v>
      </c>
      <c r="AZ4872" s="184">
        <v>42597</v>
      </c>
      <c r="BA4872" t="s">
        <v>35097</v>
      </c>
      <c r="BB4872">
        <v>60</v>
      </c>
      <c r="BC4872">
        <v>70</v>
      </c>
      <c r="BD4872">
        <v>345</v>
      </c>
      <c r="BE4872">
        <v>2016</v>
      </c>
      <c r="BF4872">
        <v>11</v>
      </c>
      <c r="BI4872">
        <v>7</v>
      </c>
      <c r="BJ4872">
        <v>10</v>
      </c>
      <c r="BK4872">
        <v>5</v>
      </c>
      <c r="BP4872" s="184"/>
    </row>
    <row r="4873" spans="1:68">
      <c r="A4873">
        <v>93105393</v>
      </c>
      <c r="B4873">
        <v>93105393</v>
      </c>
      <c r="C4873" t="s">
        <v>7018</v>
      </c>
      <c r="E4873" s="184"/>
      <c r="G4873" s="184"/>
      <c r="I4873" s="184"/>
      <c r="J4873" t="s">
        <v>595</v>
      </c>
      <c r="K4873" s="184">
        <v>42800</v>
      </c>
      <c r="M4873" s="184"/>
      <c r="O4873" s="184"/>
      <c r="P4873" t="s">
        <v>7045</v>
      </c>
      <c r="Q4873" t="s">
        <v>7262</v>
      </c>
      <c r="R4873" s="184"/>
      <c r="U4873" t="s">
        <v>7130</v>
      </c>
      <c r="V4873" t="s">
        <v>3868</v>
      </c>
      <c r="X4873" t="s">
        <v>35098</v>
      </c>
      <c r="AF4873" t="s">
        <v>6708</v>
      </c>
      <c r="AG4873" t="s">
        <v>3868</v>
      </c>
      <c r="AI4873" t="s">
        <v>35099</v>
      </c>
      <c r="AM4873" t="s">
        <v>35100</v>
      </c>
      <c r="AN4873" t="s">
        <v>2069</v>
      </c>
      <c r="AO4873" t="s">
        <v>35101</v>
      </c>
      <c r="AP4873" t="s">
        <v>7024</v>
      </c>
      <c r="AQ4873" t="s">
        <v>35102</v>
      </c>
      <c r="AT4873" s="184">
        <v>42352</v>
      </c>
      <c r="AU4873" t="s">
        <v>35103</v>
      </c>
      <c r="AV4873">
        <v>75</v>
      </c>
      <c r="AW4873" s="184">
        <v>42352</v>
      </c>
      <c r="AX4873" t="s">
        <v>35103</v>
      </c>
      <c r="AY4873">
        <v>75</v>
      </c>
      <c r="AZ4873" s="184">
        <v>42352</v>
      </c>
      <c r="BA4873" t="s">
        <v>35103</v>
      </c>
      <c r="BB4873">
        <v>75</v>
      </c>
      <c r="BC4873">
        <v>10</v>
      </c>
      <c r="BD4873">
        <v>75</v>
      </c>
      <c r="BE4873">
        <v>2016</v>
      </c>
      <c r="BF4873">
        <v>1</v>
      </c>
      <c r="BI4873">
        <v>1</v>
      </c>
      <c r="BJ4873">
        <v>10</v>
      </c>
      <c r="BK4873">
        <v>1</v>
      </c>
      <c r="BN4873" t="s">
        <v>595</v>
      </c>
      <c r="BP4873" s="184"/>
    </row>
    <row r="4874" spans="1:68">
      <c r="A4874">
        <v>93192987</v>
      </c>
      <c r="B4874">
        <v>93192987</v>
      </c>
      <c r="C4874" t="s">
        <v>7018</v>
      </c>
      <c r="D4874" t="s">
        <v>595</v>
      </c>
      <c r="E4874" s="184">
        <v>44438</v>
      </c>
      <c r="G4874" s="184"/>
      <c r="I4874" s="184"/>
      <c r="K4874" s="184"/>
      <c r="M4874" s="184"/>
      <c r="O4874" s="184"/>
      <c r="P4874" t="s">
        <v>7019</v>
      </c>
      <c r="Q4874" t="s">
        <v>7494</v>
      </c>
      <c r="R4874" s="184">
        <v>19965</v>
      </c>
      <c r="S4874">
        <v>69</v>
      </c>
      <c r="U4874" t="s">
        <v>7130</v>
      </c>
      <c r="V4874" t="s">
        <v>2586</v>
      </c>
      <c r="X4874" t="s">
        <v>2530</v>
      </c>
      <c r="AF4874" t="s">
        <v>35104</v>
      </c>
      <c r="AG4874" t="s">
        <v>2586</v>
      </c>
      <c r="AI4874" t="s">
        <v>35105</v>
      </c>
      <c r="AM4874" t="s">
        <v>28913</v>
      </c>
      <c r="AN4874" t="s">
        <v>2484</v>
      </c>
      <c r="AO4874" t="s">
        <v>35106</v>
      </c>
      <c r="AP4874" t="s">
        <v>7024</v>
      </c>
      <c r="AQ4874" t="s">
        <v>35107</v>
      </c>
      <c r="AR4874" t="s">
        <v>35108</v>
      </c>
      <c r="AT4874" s="184">
        <v>42656</v>
      </c>
      <c r="AU4874" t="s">
        <v>35109</v>
      </c>
      <c r="AV4874">
        <v>20</v>
      </c>
      <c r="AW4874" s="184">
        <v>44463</v>
      </c>
      <c r="AX4874" t="s">
        <v>20551</v>
      </c>
      <c r="AY4874">
        <v>60</v>
      </c>
      <c r="AZ4874" s="184">
        <v>44463</v>
      </c>
      <c r="BA4874" t="s">
        <v>20551</v>
      </c>
      <c r="BB4874">
        <v>60</v>
      </c>
      <c r="BC4874">
        <v>67</v>
      </c>
      <c r="BD4874">
        <v>310</v>
      </c>
      <c r="BE4874">
        <v>2017</v>
      </c>
      <c r="BF4874">
        <v>10</v>
      </c>
      <c r="BI4874">
        <v>6</v>
      </c>
      <c r="BJ4874">
        <v>9</v>
      </c>
      <c r="BK4874">
        <v>6</v>
      </c>
      <c r="BN4874" t="s">
        <v>595</v>
      </c>
      <c r="BP4874" s="184"/>
    </row>
    <row r="4875" spans="1:68">
      <c r="A4875">
        <v>93348423</v>
      </c>
      <c r="B4875">
        <v>93348423</v>
      </c>
      <c r="C4875" t="s">
        <v>7018</v>
      </c>
      <c r="D4875" t="s">
        <v>595</v>
      </c>
      <c r="E4875" s="184">
        <v>43871</v>
      </c>
      <c r="G4875" s="184"/>
      <c r="I4875" s="184"/>
      <c r="K4875" s="184"/>
      <c r="M4875" s="184"/>
      <c r="O4875" s="184"/>
      <c r="P4875" t="s">
        <v>7045</v>
      </c>
      <c r="Q4875" t="s">
        <v>7020</v>
      </c>
      <c r="R4875" s="184"/>
      <c r="U4875" t="s">
        <v>8066</v>
      </c>
      <c r="V4875" t="s">
        <v>35110</v>
      </c>
      <c r="W4875" t="s">
        <v>7246</v>
      </c>
      <c r="X4875" t="s">
        <v>35111</v>
      </c>
      <c r="AF4875" t="s">
        <v>35112</v>
      </c>
      <c r="AG4875" t="s">
        <v>35110</v>
      </c>
      <c r="AI4875" t="s">
        <v>35113</v>
      </c>
      <c r="AJ4875" t="s">
        <v>35114</v>
      </c>
      <c r="AM4875" t="s">
        <v>3004</v>
      </c>
      <c r="AN4875" t="s">
        <v>2112</v>
      </c>
      <c r="AO4875" t="s">
        <v>35115</v>
      </c>
      <c r="AP4875" t="s">
        <v>7024</v>
      </c>
      <c r="AT4875" s="184">
        <v>42249</v>
      </c>
      <c r="AU4875" t="s">
        <v>35116</v>
      </c>
      <c r="AV4875">
        <v>1</v>
      </c>
      <c r="AW4875" s="184">
        <v>43857</v>
      </c>
      <c r="AX4875" t="s">
        <v>35117</v>
      </c>
      <c r="AY4875">
        <v>1</v>
      </c>
      <c r="AZ4875" s="184">
        <v>42676</v>
      </c>
      <c r="BA4875" t="s">
        <v>35118</v>
      </c>
      <c r="BB4875">
        <v>15</v>
      </c>
      <c r="BC4875">
        <v>50</v>
      </c>
      <c r="BD4875">
        <v>21.1</v>
      </c>
      <c r="BE4875">
        <v>2016</v>
      </c>
      <c r="BF4875">
        <v>8</v>
      </c>
      <c r="BI4875">
        <v>5</v>
      </c>
      <c r="BJ4875">
        <v>10</v>
      </c>
      <c r="BK4875">
        <v>4</v>
      </c>
      <c r="BP4875" s="184"/>
    </row>
    <row r="4876" spans="1:68">
      <c r="A4876">
        <v>93358620</v>
      </c>
      <c r="B4876">
        <v>93358620</v>
      </c>
      <c r="C4876" t="s">
        <v>7018</v>
      </c>
      <c r="D4876" t="s">
        <v>595</v>
      </c>
      <c r="E4876" s="184">
        <v>43879</v>
      </c>
      <c r="G4876" s="184"/>
      <c r="I4876" s="184"/>
      <c r="K4876" s="184"/>
      <c r="O4876" s="184"/>
      <c r="P4876" t="s">
        <v>7045</v>
      </c>
      <c r="Q4876" t="s">
        <v>7030</v>
      </c>
      <c r="R4876" s="184">
        <v>18749</v>
      </c>
      <c r="S4876">
        <v>73</v>
      </c>
      <c r="U4876" t="s">
        <v>7076</v>
      </c>
      <c r="V4876" t="s">
        <v>2602</v>
      </c>
      <c r="W4876" t="s">
        <v>8224</v>
      </c>
      <c r="X4876" t="s">
        <v>2836</v>
      </c>
      <c r="AF4876" t="s">
        <v>35119</v>
      </c>
      <c r="AG4876" t="s">
        <v>2602</v>
      </c>
      <c r="AI4876" t="s">
        <v>35120</v>
      </c>
      <c r="AM4876" t="s">
        <v>3229</v>
      </c>
      <c r="AN4876" t="s">
        <v>2094</v>
      </c>
      <c r="AO4876" t="s">
        <v>35121</v>
      </c>
      <c r="AP4876" t="s">
        <v>7024</v>
      </c>
      <c r="AQ4876" t="s">
        <v>35122</v>
      </c>
      <c r="AR4876" t="s">
        <v>35123</v>
      </c>
      <c r="AT4876" s="184">
        <v>42290</v>
      </c>
      <c r="AU4876" t="s">
        <v>35124</v>
      </c>
      <c r="AV4876">
        <v>25</v>
      </c>
      <c r="AW4876" s="184">
        <v>45426</v>
      </c>
      <c r="AX4876" t="s">
        <v>7422</v>
      </c>
      <c r="AY4876">
        <v>15</v>
      </c>
      <c r="AZ4876" s="184">
        <v>42601</v>
      </c>
      <c r="BA4876" t="s">
        <v>26935</v>
      </c>
      <c r="BB4876">
        <v>40</v>
      </c>
      <c r="BC4876">
        <v>100</v>
      </c>
      <c r="BD4876">
        <v>1555</v>
      </c>
      <c r="BE4876">
        <v>2016</v>
      </c>
      <c r="BF4876">
        <v>97</v>
      </c>
      <c r="BG4876">
        <v>24</v>
      </c>
      <c r="BH4876">
        <v>360</v>
      </c>
      <c r="BI4876">
        <v>10</v>
      </c>
      <c r="BJ4876">
        <v>10</v>
      </c>
      <c r="BK4876">
        <v>10</v>
      </c>
      <c r="BP4876" s="184"/>
    </row>
    <row r="4877" spans="1:68">
      <c r="A4877">
        <v>93359131</v>
      </c>
      <c r="B4877">
        <v>93359131</v>
      </c>
      <c r="C4877" t="s">
        <v>7018</v>
      </c>
      <c r="D4877" t="s">
        <v>595</v>
      </c>
      <c r="E4877" s="184">
        <v>44484</v>
      </c>
      <c r="G4877" s="184"/>
      <c r="I4877" s="184"/>
      <c r="K4877" s="184"/>
      <c r="O4877" s="184"/>
      <c r="P4877" t="s">
        <v>7045</v>
      </c>
      <c r="Q4877" t="s">
        <v>7374</v>
      </c>
      <c r="R4877" s="184">
        <v>19299</v>
      </c>
      <c r="S4877">
        <v>71</v>
      </c>
      <c r="U4877" t="s">
        <v>7076</v>
      </c>
      <c r="V4877" t="s">
        <v>3624</v>
      </c>
      <c r="X4877" t="s">
        <v>35125</v>
      </c>
      <c r="AF4877" t="s">
        <v>35126</v>
      </c>
      <c r="AG4877" t="s">
        <v>3624</v>
      </c>
      <c r="AI4877" t="s">
        <v>35127</v>
      </c>
      <c r="AM4877" t="s">
        <v>33494</v>
      </c>
      <c r="AN4877" t="s">
        <v>2081</v>
      </c>
      <c r="AO4877" t="s">
        <v>35128</v>
      </c>
      <c r="AP4877" t="s">
        <v>7024</v>
      </c>
      <c r="AQ4877" t="s">
        <v>35129</v>
      </c>
      <c r="AT4877" s="184">
        <v>42251</v>
      </c>
      <c r="AU4877" t="s">
        <v>35130</v>
      </c>
      <c r="AV4877">
        <v>25</v>
      </c>
      <c r="AW4877" s="184">
        <v>45412</v>
      </c>
      <c r="AX4877" t="s">
        <v>22078</v>
      </c>
      <c r="AY4877">
        <v>25</v>
      </c>
      <c r="AZ4877" s="184">
        <v>45412</v>
      </c>
      <c r="BA4877" t="s">
        <v>22078</v>
      </c>
      <c r="BB4877">
        <v>25</v>
      </c>
      <c r="BC4877">
        <v>90</v>
      </c>
      <c r="BD4877">
        <v>495</v>
      </c>
      <c r="BE4877">
        <v>2016</v>
      </c>
      <c r="BF4877">
        <v>21</v>
      </c>
      <c r="BG4877">
        <v>8</v>
      </c>
      <c r="BH4877">
        <v>190</v>
      </c>
      <c r="BI4877">
        <v>9</v>
      </c>
      <c r="BJ4877">
        <v>10</v>
      </c>
      <c r="BK4877">
        <v>8</v>
      </c>
      <c r="BP4877" s="184"/>
    </row>
    <row r="4878" spans="1:68">
      <c r="A4878">
        <v>93372886</v>
      </c>
      <c r="B4878">
        <v>93372886</v>
      </c>
      <c r="C4878" t="s">
        <v>7018</v>
      </c>
      <c r="E4878" s="184"/>
      <c r="G4878" s="184"/>
      <c r="I4878" s="184"/>
      <c r="J4878" t="s">
        <v>595</v>
      </c>
      <c r="K4878" s="184">
        <v>42829</v>
      </c>
      <c r="M4878" s="184"/>
      <c r="O4878" s="184"/>
      <c r="P4878" t="s">
        <v>7084</v>
      </c>
      <c r="Q4878" t="s">
        <v>7383</v>
      </c>
      <c r="R4878" s="184">
        <v>22195</v>
      </c>
      <c r="S4878">
        <v>63</v>
      </c>
      <c r="U4878" t="s">
        <v>7076</v>
      </c>
      <c r="V4878" t="s">
        <v>35131</v>
      </c>
      <c r="W4878" t="s">
        <v>4152</v>
      </c>
      <c r="X4878" t="s">
        <v>2679</v>
      </c>
      <c r="Z4878">
        <v>100162027</v>
      </c>
      <c r="AA4878" t="s">
        <v>7076</v>
      </c>
      <c r="AB4878" t="s">
        <v>5872</v>
      </c>
      <c r="AC4878" t="s">
        <v>3226</v>
      </c>
      <c r="AD4878" t="s">
        <v>5873</v>
      </c>
      <c r="AF4878" t="s">
        <v>35132</v>
      </c>
      <c r="AG4878" t="s">
        <v>35133</v>
      </c>
      <c r="AI4878" t="s">
        <v>35134</v>
      </c>
      <c r="AM4878" t="s">
        <v>3428</v>
      </c>
      <c r="AN4878" t="s">
        <v>2118</v>
      </c>
      <c r="AO4878" t="s">
        <v>35135</v>
      </c>
      <c r="AP4878" t="s">
        <v>7024</v>
      </c>
      <c r="AQ4878" t="s">
        <v>35136</v>
      </c>
      <c r="AT4878" s="184">
        <v>42261</v>
      </c>
      <c r="AU4878" t="s">
        <v>35137</v>
      </c>
      <c r="AV4878">
        <v>100</v>
      </c>
      <c r="AW4878" s="184">
        <v>45118</v>
      </c>
      <c r="AX4878" t="s">
        <v>35138</v>
      </c>
      <c r="AY4878">
        <v>1000</v>
      </c>
      <c r="AZ4878" s="184">
        <v>44377</v>
      </c>
      <c r="BA4878" t="s">
        <v>35139</v>
      </c>
      <c r="BB4878">
        <v>5500</v>
      </c>
      <c r="BC4878">
        <v>80</v>
      </c>
      <c r="BD4878">
        <v>58400</v>
      </c>
      <c r="BE4878">
        <v>2016</v>
      </c>
      <c r="BF4878">
        <v>29</v>
      </c>
      <c r="BG4878">
        <v>9</v>
      </c>
      <c r="BH4878">
        <v>20100</v>
      </c>
      <c r="BI4878">
        <v>8</v>
      </c>
      <c r="BJ4878">
        <v>10</v>
      </c>
      <c r="BK4878">
        <v>5</v>
      </c>
      <c r="BN4878" t="s">
        <v>595</v>
      </c>
      <c r="BP4878" s="184"/>
    </row>
    <row r="4879" spans="1:68">
      <c r="A4879">
        <v>100162027</v>
      </c>
      <c r="B4879">
        <v>93372886</v>
      </c>
      <c r="C4879" t="s">
        <v>7018</v>
      </c>
      <c r="E4879" s="184"/>
      <c r="G4879" s="184"/>
      <c r="I4879" s="184"/>
      <c r="J4879" t="s">
        <v>595</v>
      </c>
      <c r="K4879" s="184">
        <v>43649</v>
      </c>
      <c r="M4879" s="184"/>
      <c r="O4879" s="184"/>
      <c r="P4879" t="s">
        <v>7084</v>
      </c>
      <c r="Q4879" t="s">
        <v>7383</v>
      </c>
      <c r="R4879" s="184">
        <v>22282</v>
      </c>
      <c r="S4879">
        <v>63</v>
      </c>
      <c r="U4879" t="s">
        <v>7076</v>
      </c>
      <c r="V4879" t="s">
        <v>5872</v>
      </c>
      <c r="W4879" t="s">
        <v>3226</v>
      </c>
      <c r="X4879" t="s">
        <v>5873</v>
      </c>
      <c r="Z4879">
        <v>93372886</v>
      </c>
      <c r="AA4879" t="s">
        <v>7076</v>
      </c>
      <c r="AB4879" t="s">
        <v>35131</v>
      </c>
      <c r="AC4879" t="s">
        <v>4152</v>
      </c>
      <c r="AD4879" t="s">
        <v>2679</v>
      </c>
      <c r="AF4879" t="s">
        <v>35132</v>
      </c>
      <c r="AG4879" t="s">
        <v>35133</v>
      </c>
      <c r="AI4879" t="s">
        <v>35134</v>
      </c>
      <c r="AM4879" t="s">
        <v>3428</v>
      </c>
      <c r="AN4879" t="s">
        <v>2118</v>
      </c>
      <c r="AO4879" t="s">
        <v>35135</v>
      </c>
      <c r="AP4879" t="s">
        <v>7024</v>
      </c>
      <c r="AQ4879" t="s">
        <v>35140</v>
      </c>
      <c r="AT4879" s="184"/>
      <c r="AW4879" s="184"/>
      <c r="AZ4879" s="184"/>
      <c r="BP4879" s="184"/>
    </row>
    <row r="4880" spans="1:68">
      <c r="A4880">
        <v>93375178</v>
      </c>
      <c r="B4880">
        <v>93375178</v>
      </c>
      <c r="C4880" t="s">
        <v>7018</v>
      </c>
      <c r="D4880" t="s">
        <v>595</v>
      </c>
      <c r="E4880" s="184">
        <v>44328</v>
      </c>
      <c r="G4880" s="184"/>
      <c r="I4880" s="184"/>
      <c r="K4880" s="184"/>
      <c r="M4880" s="184"/>
      <c r="O4880" s="184"/>
      <c r="P4880" t="s">
        <v>7045</v>
      </c>
      <c r="Q4880" t="s">
        <v>7374</v>
      </c>
      <c r="R4880" s="184">
        <v>10295</v>
      </c>
      <c r="S4880">
        <v>96</v>
      </c>
      <c r="U4880" t="s">
        <v>7031</v>
      </c>
      <c r="V4880" t="s">
        <v>2541</v>
      </c>
      <c r="W4880" t="s">
        <v>205</v>
      </c>
      <c r="X4880" t="s">
        <v>35141</v>
      </c>
      <c r="AF4880" t="s">
        <v>35142</v>
      </c>
      <c r="AG4880" t="s">
        <v>2541</v>
      </c>
      <c r="AI4880" t="s">
        <v>35143</v>
      </c>
      <c r="AM4880" t="s">
        <v>35144</v>
      </c>
      <c r="AN4880" t="s">
        <v>2081</v>
      </c>
      <c r="AO4880" t="s">
        <v>35145</v>
      </c>
      <c r="AP4880" t="s">
        <v>7024</v>
      </c>
      <c r="AT4880" s="184">
        <v>42257</v>
      </c>
      <c r="AU4880" t="s">
        <v>35146</v>
      </c>
      <c r="AV4880">
        <v>20</v>
      </c>
      <c r="AW4880" s="184">
        <v>43902</v>
      </c>
      <c r="AX4880" t="s">
        <v>35147</v>
      </c>
      <c r="AY4880">
        <v>20</v>
      </c>
      <c r="AZ4880" s="184">
        <v>43902</v>
      </c>
      <c r="BA4880" t="s">
        <v>35147</v>
      </c>
      <c r="BB4880">
        <v>20</v>
      </c>
      <c r="BC4880">
        <v>60</v>
      </c>
      <c r="BD4880">
        <v>140</v>
      </c>
      <c r="BE4880">
        <v>2016</v>
      </c>
      <c r="BF4880">
        <v>7</v>
      </c>
      <c r="BI4880">
        <v>6</v>
      </c>
      <c r="BJ4880">
        <v>10</v>
      </c>
      <c r="BK4880">
        <v>6</v>
      </c>
      <c r="BP4880" s="184"/>
    </row>
    <row r="4881" spans="1:68">
      <c r="A4881">
        <v>93397776</v>
      </c>
      <c r="B4881">
        <v>93397776</v>
      </c>
      <c r="C4881" t="s">
        <v>7018</v>
      </c>
      <c r="D4881" t="s">
        <v>595</v>
      </c>
      <c r="E4881" s="184">
        <v>44438</v>
      </c>
      <c r="G4881" s="184"/>
      <c r="I4881" s="184"/>
      <c r="K4881" s="184"/>
      <c r="M4881" s="184"/>
      <c r="O4881" s="184"/>
      <c r="P4881" t="s">
        <v>7045</v>
      </c>
      <c r="Q4881" t="s">
        <v>7160</v>
      </c>
      <c r="R4881" s="184">
        <v>15524</v>
      </c>
      <c r="S4881">
        <v>81</v>
      </c>
      <c r="U4881" t="s">
        <v>7130</v>
      </c>
      <c r="V4881" t="s">
        <v>4210</v>
      </c>
      <c r="W4881" t="s">
        <v>7396</v>
      </c>
      <c r="X4881" t="s">
        <v>35148</v>
      </c>
      <c r="AF4881" t="s">
        <v>35149</v>
      </c>
      <c r="AG4881" t="s">
        <v>4210</v>
      </c>
      <c r="AI4881" t="s">
        <v>35150</v>
      </c>
      <c r="AM4881" t="s">
        <v>21415</v>
      </c>
      <c r="AN4881" t="s">
        <v>2395</v>
      </c>
      <c r="AO4881" t="s">
        <v>35151</v>
      </c>
      <c r="AP4881" t="s">
        <v>7024</v>
      </c>
      <c r="AQ4881" t="s">
        <v>35152</v>
      </c>
      <c r="AT4881" s="184">
        <v>42261</v>
      </c>
      <c r="AU4881" t="s">
        <v>35153</v>
      </c>
      <c r="AV4881">
        <v>25</v>
      </c>
      <c r="AW4881" s="184">
        <v>44005</v>
      </c>
      <c r="AX4881" t="s">
        <v>35154</v>
      </c>
      <c r="AY4881">
        <v>25</v>
      </c>
      <c r="AZ4881" s="184">
        <v>43515</v>
      </c>
      <c r="BA4881" t="s">
        <v>35155</v>
      </c>
      <c r="BB4881">
        <v>50</v>
      </c>
      <c r="BC4881">
        <v>50</v>
      </c>
      <c r="BD4881">
        <v>255</v>
      </c>
      <c r="BE4881">
        <v>2016</v>
      </c>
      <c r="BF4881">
        <v>7</v>
      </c>
      <c r="BI4881">
        <v>5</v>
      </c>
      <c r="BJ4881">
        <v>10</v>
      </c>
      <c r="BK4881">
        <v>3</v>
      </c>
      <c r="BP4881" s="184"/>
    </row>
    <row r="4882" spans="1:68">
      <c r="A4882">
        <v>93434009</v>
      </c>
      <c r="B4882">
        <v>93434009</v>
      </c>
      <c r="C4882" t="s">
        <v>7018</v>
      </c>
      <c r="E4882" s="184"/>
      <c r="F4882" t="s">
        <v>595</v>
      </c>
      <c r="G4882" s="184">
        <v>44452</v>
      </c>
      <c r="I4882" s="184"/>
      <c r="K4882" s="184"/>
      <c r="M4882" s="184"/>
      <c r="O4882" s="184"/>
      <c r="P4882" t="s">
        <v>7045</v>
      </c>
      <c r="Q4882" t="s">
        <v>7160</v>
      </c>
      <c r="R4882" s="184">
        <v>19054</v>
      </c>
      <c r="S4882">
        <v>72</v>
      </c>
      <c r="V4882" t="s">
        <v>3147</v>
      </c>
      <c r="X4882" t="s">
        <v>4150</v>
      </c>
      <c r="AF4882" t="s">
        <v>35156</v>
      </c>
      <c r="AG4882" t="s">
        <v>3147</v>
      </c>
      <c r="AI4882" t="s">
        <v>35157</v>
      </c>
      <c r="AM4882" t="s">
        <v>2802</v>
      </c>
      <c r="AN4882" t="s">
        <v>2176</v>
      </c>
      <c r="AO4882" t="s">
        <v>35158</v>
      </c>
      <c r="AP4882" t="s">
        <v>7024</v>
      </c>
      <c r="AT4882" s="184">
        <v>42268</v>
      </c>
      <c r="AU4882" t="s">
        <v>35159</v>
      </c>
      <c r="AV4882">
        <v>15</v>
      </c>
      <c r="AW4882" s="184">
        <v>45302</v>
      </c>
      <c r="AX4882" t="s">
        <v>34878</v>
      </c>
      <c r="AY4882">
        <v>10</v>
      </c>
      <c r="AZ4882" s="184">
        <v>45175</v>
      </c>
      <c r="BA4882" t="s">
        <v>12641</v>
      </c>
      <c r="BB4882">
        <v>25</v>
      </c>
      <c r="BC4882">
        <v>100</v>
      </c>
      <c r="BD4882">
        <v>325</v>
      </c>
      <c r="BE4882">
        <v>2016</v>
      </c>
      <c r="BF4882">
        <v>17</v>
      </c>
      <c r="BG4882">
        <v>4</v>
      </c>
      <c r="BH4882">
        <v>75</v>
      </c>
      <c r="BI4882">
        <v>10</v>
      </c>
      <c r="BJ4882">
        <v>10</v>
      </c>
      <c r="BK4882">
        <v>10</v>
      </c>
      <c r="BP4882" s="184"/>
    </row>
    <row r="4883" spans="1:68">
      <c r="A4883">
        <v>93434462</v>
      </c>
      <c r="B4883">
        <v>93434462</v>
      </c>
      <c r="C4883" t="s">
        <v>7018</v>
      </c>
      <c r="E4883" s="184"/>
      <c r="G4883" s="184"/>
      <c r="I4883" s="184"/>
      <c r="K4883" s="184"/>
      <c r="M4883" s="184"/>
      <c r="N4883" t="s">
        <v>595</v>
      </c>
      <c r="O4883" s="184">
        <v>43084</v>
      </c>
      <c r="P4883" t="s">
        <v>7045</v>
      </c>
      <c r="Q4883" t="s">
        <v>7194</v>
      </c>
      <c r="R4883" s="184">
        <v>14690</v>
      </c>
      <c r="S4883">
        <v>84</v>
      </c>
      <c r="U4883" t="s">
        <v>7130</v>
      </c>
      <c r="V4883" t="s">
        <v>2590</v>
      </c>
      <c r="W4883" t="s">
        <v>7046</v>
      </c>
      <c r="X4883" t="s">
        <v>35160</v>
      </c>
      <c r="AF4883" t="s">
        <v>6738</v>
      </c>
      <c r="AG4883" t="s">
        <v>2590</v>
      </c>
      <c r="AI4883" t="s">
        <v>35161</v>
      </c>
      <c r="AM4883" t="s">
        <v>2591</v>
      </c>
      <c r="AN4883" t="s">
        <v>2046</v>
      </c>
      <c r="AO4883" t="s">
        <v>35162</v>
      </c>
      <c r="AP4883" t="s">
        <v>7024</v>
      </c>
      <c r="AQ4883" t="s">
        <v>35163</v>
      </c>
      <c r="AT4883" s="184">
        <v>42268</v>
      </c>
      <c r="AU4883" t="s">
        <v>35164</v>
      </c>
      <c r="AV4883">
        <v>20</v>
      </c>
      <c r="AW4883" s="184">
        <v>42268</v>
      </c>
      <c r="AX4883" t="s">
        <v>35164</v>
      </c>
      <c r="AY4883">
        <v>20</v>
      </c>
      <c r="AZ4883" s="184">
        <v>42268</v>
      </c>
      <c r="BA4883" t="s">
        <v>35164</v>
      </c>
      <c r="BB4883">
        <v>20</v>
      </c>
      <c r="BC4883">
        <v>10</v>
      </c>
      <c r="BD4883">
        <v>20</v>
      </c>
      <c r="BE4883">
        <v>2016</v>
      </c>
      <c r="BF4883">
        <v>1</v>
      </c>
      <c r="BI4883">
        <v>1</v>
      </c>
      <c r="BJ4883">
        <v>10</v>
      </c>
      <c r="BK4883">
        <v>1</v>
      </c>
      <c r="BO4883" t="s">
        <v>595</v>
      </c>
      <c r="BP4883" s="184">
        <v>44927</v>
      </c>
    </row>
    <row r="4884" spans="1:68">
      <c r="A4884">
        <v>93475473</v>
      </c>
      <c r="B4884">
        <v>93475473</v>
      </c>
      <c r="C4884" t="s">
        <v>7018</v>
      </c>
      <c r="E4884" s="184"/>
      <c r="F4884" t="s">
        <v>595</v>
      </c>
      <c r="G4884" s="184">
        <v>45180</v>
      </c>
      <c r="I4884" s="184"/>
      <c r="K4884" s="184"/>
      <c r="M4884" s="184"/>
      <c r="O4884" s="184"/>
      <c r="P4884" t="s">
        <v>7019</v>
      </c>
      <c r="Q4884" t="s">
        <v>7030</v>
      </c>
      <c r="R4884" s="184">
        <v>21916</v>
      </c>
      <c r="S4884">
        <v>64</v>
      </c>
      <c r="V4884" t="s">
        <v>3400</v>
      </c>
      <c r="X4884" t="s">
        <v>22604</v>
      </c>
      <c r="AF4884" t="s">
        <v>35165</v>
      </c>
      <c r="AG4884" t="s">
        <v>3400</v>
      </c>
      <c r="AI4884" t="s">
        <v>35166</v>
      </c>
      <c r="AM4884" t="s">
        <v>3601</v>
      </c>
      <c r="AN4884" t="s">
        <v>2201</v>
      </c>
      <c r="AO4884" t="s">
        <v>35167</v>
      </c>
      <c r="AP4884" t="s">
        <v>7024</v>
      </c>
      <c r="AQ4884" t="s">
        <v>35168</v>
      </c>
      <c r="AR4884" t="s">
        <v>35169</v>
      </c>
      <c r="AT4884" s="184">
        <v>42283</v>
      </c>
      <c r="AU4884" t="s">
        <v>35170</v>
      </c>
      <c r="AV4884">
        <v>25</v>
      </c>
      <c r="AW4884" s="184">
        <v>44488</v>
      </c>
      <c r="AX4884" t="s">
        <v>35171</v>
      </c>
      <c r="AY4884">
        <v>87</v>
      </c>
      <c r="AZ4884" s="184">
        <v>44488</v>
      </c>
      <c r="BA4884" t="s">
        <v>35171</v>
      </c>
      <c r="BB4884">
        <v>87</v>
      </c>
      <c r="BC4884">
        <v>50</v>
      </c>
      <c r="BD4884">
        <v>342</v>
      </c>
      <c r="BE4884">
        <v>2016</v>
      </c>
      <c r="BF4884">
        <v>9</v>
      </c>
      <c r="BI4884">
        <v>5</v>
      </c>
      <c r="BJ4884">
        <v>10</v>
      </c>
      <c r="BK4884">
        <v>3</v>
      </c>
      <c r="BP4884" s="184"/>
    </row>
    <row r="4885" spans="1:68">
      <c r="A4885">
        <v>93476331</v>
      </c>
      <c r="B4885">
        <v>93476331</v>
      </c>
      <c r="C4885" t="s">
        <v>7018</v>
      </c>
      <c r="D4885" t="s">
        <v>595</v>
      </c>
      <c r="E4885" s="184">
        <v>45168</v>
      </c>
      <c r="G4885" s="184"/>
      <c r="I4885" s="184"/>
      <c r="K4885" s="184"/>
      <c r="M4885" s="184"/>
      <c r="O4885" s="184"/>
      <c r="P4885" t="s">
        <v>7045</v>
      </c>
      <c r="Q4885" t="s">
        <v>7383</v>
      </c>
      <c r="R4885" s="184">
        <v>17313</v>
      </c>
      <c r="S4885">
        <v>76</v>
      </c>
      <c r="U4885" t="s">
        <v>7237</v>
      </c>
      <c r="V4885" t="s">
        <v>2511</v>
      </c>
      <c r="W4885" t="s">
        <v>4013</v>
      </c>
      <c r="X4885" t="s">
        <v>35172</v>
      </c>
      <c r="AF4885" t="s">
        <v>35173</v>
      </c>
      <c r="AG4885" t="s">
        <v>2511</v>
      </c>
      <c r="AI4885" t="s">
        <v>35174</v>
      </c>
      <c r="AM4885" t="s">
        <v>35175</v>
      </c>
      <c r="AN4885" t="s">
        <v>2274</v>
      </c>
      <c r="AO4885" t="s">
        <v>35176</v>
      </c>
      <c r="AP4885" t="s">
        <v>7024</v>
      </c>
      <c r="AQ4885" t="s">
        <v>35177</v>
      </c>
      <c r="AR4885" t="s">
        <v>35178</v>
      </c>
      <c r="AT4885" s="184">
        <v>42279</v>
      </c>
      <c r="AU4885" t="s">
        <v>35179</v>
      </c>
      <c r="AV4885">
        <v>15</v>
      </c>
      <c r="AW4885" s="184">
        <v>45259</v>
      </c>
      <c r="AX4885" t="s">
        <v>7962</v>
      </c>
      <c r="AY4885">
        <v>50</v>
      </c>
      <c r="AZ4885" s="184">
        <v>42593</v>
      </c>
      <c r="BA4885" t="s">
        <v>7601</v>
      </c>
      <c r="BB4885">
        <v>60</v>
      </c>
      <c r="BC4885">
        <v>60</v>
      </c>
      <c r="BD4885">
        <v>340</v>
      </c>
      <c r="BE4885">
        <v>2016</v>
      </c>
      <c r="BF4885">
        <v>8</v>
      </c>
      <c r="BG4885">
        <v>1</v>
      </c>
      <c r="BH4885">
        <v>50</v>
      </c>
      <c r="BI4885">
        <v>6</v>
      </c>
      <c r="BJ4885">
        <v>10</v>
      </c>
      <c r="BK4885">
        <v>3</v>
      </c>
      <c r="BP4885" s="184"/>
    </row>
    <row r="4886" spans="1:68">
      <c r="A4886">
        <v>93481034</v>
      </c>
      <c r="B4886">
        <v>93481034</v>
      </c>
      <c r="C4886" t="s">
        <v>7018</v>
      </c>
      <c r="D4886" t="s">
        <v>595</v>
      </c>
      <c r="E4886" s="184">
        <v>44441</v>
      </c>
      <c r="G4886" s="184"/>
      <c r="I4886" s="184"/>
      <c r="K4886" s="184"/>
      <c r="M4886" s="184"/>
      <c r="O4886" s="184"/>
      <c r="P4886" t="s">
        <v>7045</v>
      </c>
      <c r="Q4886" t="s">
        <v>7383</v>
      </c>
      <c r="R4886" s="184">
        <v>17807</v>
      </c>
      <c r="S4886">
        <v>75</v>
      </c>
      <c r="V4886" t="s">
        <v>3254</v>
      </c>
      <c r="X4886" t="s">
        <v>2999</v>
      </c>
      <c r="AF4886" t="s">
        <v>35180</v>
      </c>
      <c r="AG4886" t="s">
        <v>3254</v>
      </c>
      <c r="AI4886" t="s">
        <v>35181</v>
      </c>
      <c r="AM4886" t="s">
        <v>35182</v>
      </c>
      <c r="AN4886" t="s">
        <v>2144</v>
      </c>
      <c r="AO4886" t="s">
        <v>35183</v>
      </c>
      <c r="AP4886" t="s">
        <v>7024</v>
      </c>
      <c r="AQ4886" t="s">
        <v>35184</v>
      </c>
      <c r="AR4886" t="s">
        <v>35185</v>
      </c>
      <c r="AT4886" s="184">
        <v>42283</v>
      </c>
      <c r="AU4886" t="s">
        <v>35186</v>
      </c>
      <c r="AV4886">
        <v>15</v>
      </c>
      <c r="AW4886" s="184">
        <v>45315</v>
      </c>
      <c r="AX4886" t="s">
        <v>16666</v>
      </c>
      <c r="AY4886">
        <v>25</v>
      </c>
      <c r="AZ4886" s="184">
        <v>45315</v>
      </c>
      <c r="BA4886" t="s">
        <v>16666</v>
      </c>
      <c r="BB4886">
        <v>25</v>
      </c>
      <c r="BC4886">
        <v>100</v>
      </c>
      <c r="BD4886">
        <v>265</v>
      </c>
      <c r="BE4886">
        <v>2016</v>
      </c>
      <c r="BF4886">
        <v>11</v>
      </c>
      <c r="BG4886">
        <v>2</v>
      </c>
      <c r="BH4886">
        <v>50</v>
      </c>
      <c r="BI4886">
        <v>10</v>
      </c>
      <c r="BJ4886">
        <v>10</v>
      </c>
      <c r="BK4886">
        <v>10</v>
      </c>
      <c r="BN4886" t="s">
        <v>595</v>
      </c>
      <c r="BP4886" s="184"/>
    </row>
    <row r="4887" spans="1:68">
      <c r="A4887">
        <v>93507887</v>
      </c>
      <c r="B4887">
        <v>93507887</v>
      </c>
      <c r="C4887" t="s">
        <v>7018</v>
      </c>
      <c r="D4887" t="s">
        <v>595</v>
      </c>
      <c r="E4887" s="184">
        <v>43861</v>
      </c>
      <c r="G4887" s="184"/>
      <c r="I4887" s="184"/>
      <c r="K4887" s="184"/>
      <c r="M4887" s="184"/>
      <c r="O4887" s="184"/>
      <c r="P4887" t="s">
        <v>7029</v>
      </c>
      <c r="Q4887" t="s">
        <v>7262</v>
      </c>
      <c r="R4887" s="184">
        <v>17930</v>
      </c>
      <c r="S4887">
        <v>75</v>
      </c>
      <c r="U4887" t="s">
        <v>7076</v>
      </c>
      <c r="V4887" t="s">
        <v>4646</v>
      </c>
      <c r="W4887" t="s">
        <v>3830</v>
      </c>
      <c r="X4887" t="s">
        <v>2710</v>
      </c>
      <c r="AF4887" t="s">
        <v>35187</v>
      </c>
      <c r="AG4887" t="s">
        <v>4646</v>
      </c>
      <c r="AI4887" t="s">
        <v>35188</v>
      </c>
      <c r="AM4887" t="s">
        <v>2712</v>
      </c>
      <c r="AN4887" t="s">
        <v>2069</v>
      </c>
      <c r="AO4887" t="s">
        <v>35189</v>
      </c>
      <c r="AP4887" t="s">
        <v>7024</v>
      </c>
      <c r="AQ4887" t="s">
        <v>35190</v>
      </c>
      <c r="AT4887" s="184">
        <v>42292</v>
      </c>
      <c r="AU4887" t="s">
        <v>35191</v>
      </c>
      <c r="AV4887">
        <v>25</v>
      </c>
      <c r="AW4887" s="184">
        <v>45412</v>
      </c>
      <c r="AX4887" t="s">
        <v>7429</v>
      </c>
      <c r="AY4887">
        <v>100</v>
      </c>
      <c r="AZ4887" s="184">
        <v>42951</v>
      </c>
      <c r="BA4887" t="s">
        <v>35192</v>
      </c>
      <c r="BB4887">
        <v>225</v>
      </c>
      <c r="BC4887">
        <v>100</v>
      </c>
      <c r="BD4887">
        <v>8525</v>
      </c>
      <c r="BE4887">
        <v>2016</v>
      </c>
      <c r="BF4887">
        <v>94</v>
      </c>
      <c r="BG4887">
        <v>24</v>
      </c>
      <c r="BH4887">
        <v>2400</v>
      </c>
      <c r="BI4887">
        <v>10</v>
      </c>
      <c r="BJ4887">
        <v>10</v>
      </c>
      <c r="BK4887">
        <v>10</v>
      </c>
      <c r="BP4887" s="184"/>
    </row>
    <row r="4888" spans="1:68">
      <c r="A4888">
        <v>93522274</v>
      </c>
      <c r="B4888">
        <v>93522274</v>
      </c>
      <c r="C4888" t="s">
        <v>7018</v>
      </c>
      <c r="D4888" t="s">
        <v>595</v>
      </c>
      <c r="E4888" s="184">
        <v>45147</v>
      </c>
      <c r="G4888" s="184"/>
      <c r="I4888" s="184"/>
      <c r="K4888" s="184"/>
      <c r="M4888" s="184"/>
      <c r="O4888" s="184"/>
      <c r="P4888" t="s">
        <v>7045</v>
      </c>
      <c r="Q4888" t="s">
        <v>7160</v>
      </c>
      <c r="R4888" s="184">
        <v>19511</v>
      </c>
      <c r="S4888">
        <v>70</v>
      </c>
      <c r="U4888" t="s">
        <v>7076</v>
      </c>
      <c r="V4888" t="s">
        <v>35193</v>
      </c>
      <c r="X4888" t="s">
        <v>4230</v>
      </c>
      <c r="AF4888" t="s">
        <v>35194</v>
      </c>
      <c r="AG4888" t="s">
        <v>35193</v>
      </c>
      <c r="AI4888" t="s">
        <v>35195</v>
      </c>
      <c r="AM4888" t="s">
        <v>35196</v>
      </c>
      <c r="AN4888" t="s">
        <v>2675</v>
      </c>
      <c r="AO4888" t="s">
        <v>35197</v>
      </c>
      <c r="AP4888" t="s">
        <v>7024</v>
      </c>
      <c r="AQ4888" t="s">
        <v>35198</v>
      </c>
      <c r="AR4888" t="s">
        <v>35199</v>
      </c>
      <c r="AT4888" s="184">
        <v>43179</v>
      </c>
      <c r="AU4888" t="s">
        <v>35200</v>
      </c>
      <c r="AV4888">
        <v>25</v>
      </c>
      <c r="AW4888" s="184">
        <v>45349</v>
      </c>
      <c r="AX4888" t="s">
        <v>10666</v>
      </c>
      <c r="AY4888">
        <v>25</v>
      </c>
      <c r="AZ4888" s="184">
        <v>45349</v>
      </c>
      <c r="BA4888" t="s">
        <v>10666</v>
      </c>
      <c r="BB4888">
        <v>25</v>
      </c>
      <c r="BC4888">
        <v>100</v>
      </c>
      <c r="BD4888">
        <v>300</v>
      </c>
      <c r="BE4888">
        <v>2018</v>
      </c>
      <c r="BF4888">
        <v>15</v>
      </c>
      <c r="BG4888">
        <v>4</v>
      </c>
      <c r="BH4888">
        <v>100</v>
      </c>
      <c r="BI4888">
        <v>7</v>
      </c>
      <c r="BJ4888">
        <v>7</v>
      </c>
      <c r="BK4888">
        <v>7</v>
      </c>
      <c r="BP4888" s="184"/>
    </row>
    <row r="4889" spans="1:68">
      <c r="A4889">
        <v>93529543</v>
      </c>
      <c r="B4889">
        <v>93529543</v>
      </c>
      <c r="C4889" t="s">
        <v>7018</v>
      </c>
      <c r="D4889" t="s">
        <v>595</v>
      </c>
      <c r="E4889" s="184">
        <v>44167</v>
      </c>
      <c r="G4889" s="184"/>
      <c r="I4889" s="184"/>
      <c r="K4889" s="184"/>
      <c r="M4889" s="184"/>
      <c r="O4889" s="184"/>
      <c r="P4889" t="s">
        <v>7045</v>
      </c>
      <c r="Q4889" t="s">
        <v>7262</v>
      </c>
      <c r="R4889" s="184">
        <v>21245</v>
      </c>
      <c r="S4889">
        <v>66</v>
      </c>
      <c r="V4889" t="s">
        <v>2697</v>
      </c>
      <c r="W4889" t="s">
        <v>2316</v>
      </c>
      <c r="X4889" t="s">
        <v>35201</v>
      </c>
      <c r="AF4889" t="s">
        <v>35202</v>
      </c>
      <c r="AG4889" t="s">
        <v>2697</v>
      </c>
      <c r="AI4889" t="s">
        <v>35203</v>
      </c>
      <c r="AM4889" t="s">
        <v>35204</v>
      </c>
      <c r="AN4889" t="s">
        <v>2069</v>
      </c>
      <c r="AO4889" t="s">
        <v>35205</v>
      </c>
      <c r="AP4889" t="s">
        <v>7024</v>
      </c>
      <c r="AQ4889" t="s">
        <v>35206</v>
      </c>
      <c r="AT4889" s="184">
        <v>42300</v>
      </c>
      <c r="AU4889" t="s">
        <v>34829</v>
      </c>
      <c r="AV4889">
        <v>19.97</v>
      </c>
      <c r="AW4889" s="184">
        <v>45271</v>
      </c>
      <c r="AX4889" t="s">
        <v>35207</v>
      </c>
      <c r="AY4889">
        <v>25</v>
      </c>
      <c r="AZ4889" s="184">
        <v>43980</v>
      </c>
      <c r="BA4889" t="s">
        <v>35208</v>
      </c>
      <c r="BB4889">
        <v>100</v>
      </c>
      <c r="BC4889">
        <v>90</v>
      </c>
      <c r="BD4889">
        <v>742.47</v>
      </c>
      <c r="BE4889">
        <v>2016</v>
      </c>
      <c r="BF4889">
        <v>19</v>
      </c>
      <c r="BG4889">
        <v>3</v>
      </c>
      <c r="BH4889">
        <v>127.5</v>
      </c>
      <c r="BI4889">
        <v>9</v>
      </c>
      <c r="BJ4889">
        <v>10</v>
      </c>
      <c r="BK4889">
        <v>9</v>
      </c>
      <c r="BP4889" s="184"/>
    </row>
    <row r="4890" spans="1:68">
      <c r="A4890">
        <v>93554871</v>
      </c>
      <c r="B4890">
        <v>93554871</v>
      </c>
      <c r="C4890" t="s">
        <v>7018</v>
      </c>
      <c r="E4890" s="184"/>
      <c r="G4890" s="184"/>
      <c r="I4890" s="184"/>
      <c r="J4890" t="s">
        <v>595</v>
      </c>
      <c r="K4890" s="184">
        <v>42349</v>
      </c>
      <c r="M4890" s="184"/>
      <c r="O4890" s="184"/>
      <c r="P4890" t="s">
        <v>7045</v>
      </c>
      <c r="Q4890" t="s">
        <v>7194</v>
      </c>
      <c r="R4890" s="184">
        <v>19391</v>
      </c>
      <c r="S4890">
        <v>71</v>
      </c>
      <c r="U4890" t="s">
        <v>7076</v>
      </c>
      <c r="V4890" t="s">
        <v>3192</v>
      </c>
      <c r="W4890" t="s">
        <v>7407</v>
      </c>
      <c r="X4890" t="s">
        <v>3339</v>
      </c>
      <c r="AF4890" t="s">
        <v>6643</v>
      </c>
      <c r="AG4890" t="s">
        <v>3192</v>
      </c>
      <c r="AI4890" t="s">
        <v>35209</v>
      </c>
      <c r="AM4890" t="s">
        <v>25142</v>
      </c>
      <c r="AN4890" t="s">
        <v>2046</v>
      </c>
      <c r="AO4890" t="s">
        <v>35210</v>
      </c>
      <c r="AP4890" t="s">
        <v>7024</v>
      </c>
      <c r="AQ4890" t="s">
        <v>35211</v>
      </c>
      <c r="AT4890" s="184">
        <v>42304</v>
      </c>
      <c r="AU4890" t="s">
        <v>35212</v>
      </c>
      <c r="AV4890">
        <v>50</v>
      </c>
      <c r="AW4890" s="184">
        <v>44470</v>
      </c>
      <c r="AX4890" t="s">
        <v>35213</v>
      </c>
      <c r="AY4890">
        <v>25</v>
      </c>
      <c r="AZ4890" s="184">
        <v>42304</v>
      </c>
      <c r="BA4890" t="s">
        <v>35212</v>
      </c>
      <c r="BB4890">
        <v>50</v>
      </c>
      <c r="BC4890">
        <v>40</v>
      </c>
      <c r="BD4890">
        <v>315.48</v>
      </c>
      <c r="BE4890">
        <v>2016</v>
      </c>
      <c r="BF4890">
        <v>14</v>
      </c>
      <c r="BI4890">
        <v>4</v>
      </c>
      <c r="BJ4890">
        <v>10</v>
      </c>
      <c r="BK4890">
        <v>3</v>
      </c>
      <c r="BP4890" s="184"/>
    </row>
    <row r="4891" spans="1:68">
      <c r="A4891">
        <v>93558682</v>
      </c>
      <c r="B4891">
        <v>93558682</v>
      </c>
      <c r="C4891" t="s">
        <v>7018</v>
      </c>
      <c r="D4891" t="s">
        <v>595</v>
      </c>
      <c r="E4891" s="184">
        <v>45148</v>
      </c>
      <c r="G4891" s="184"/>
      <c r="I4891" s="184"/>
      <c r="K4891" s="184"/>
      <c r="M4891" s="184"/>
      <c r="O4891" s="184"/>
      <c r="P4891" t="s">
        <v>7045</v>
      </c>
      <c r="Q4891" t="s">
        <v>7383</v>
      </c>
      <c r="R4891" s="184">
        <v>17199</v>
      </c>
      <c r="S4891">
        <v>77</v>
      </c>
      <c r="U4891" t="s">
        <v>7076</v>
      </c>
      <c r="V4891" t="s">
        <v>3131</v>
      </c>
      <c r="W4891" t="s">
        <v>5006</v>
      </c>
      <c r="X4891" t="s">
        <v>35214</v>
      </c>
      <c r="AF4891" t="s">
        <v>35215</v>
      </c>
      <c r="AG4891" t="s">
        <v>3131</v>
      </c>
      <c r="AI4891" t="s">
        <v>35216</v>
      </c>
      <c r="AM4891" t="s">
        <v>22124</v>
      </c>
      <c r="AN4891" t="s">
        <v>2064</v>
      </c>
      <c r="AO4891" t="s">
        <v>35217</v>
      </c>
      <c r="AP4891" t="s">
        <v>7024</v>
      </c>
      <c r="AQ4891" t="s">
        <v>35218</v>
      </c>
      <c r="AT4891" s="184">
        <v>40473</v>
      </c>
      <c r="AU4891" t="s">
        <v>29991</v>
      </c>
      <c r="AV4891">
        <v>20</v>
      </c>
      <c r="AW4891" s="184">
        <v>44662</v>
      </c>
      <c r="AX4891" t="s">
        <v>35219</v>
      </c>
      <c r="AY4891">
        <v>35</v>
      </c>
      <c r="AZ4891" s="184">
        <v>44662</v>
      </c>
      <c r="BA4891" t="s">
        <v>35219</v>
      </c>
      <c r="BB4891">
        <v>35</v>
      </c>
      <c r="BC4891">
        <v>74</v>
      </c>
      <c r="BD4891">
        <v>315</v>
      </c>
      <c r="BE4891">
        <v>2011</v>
      </c>
      <c r="BF4891">
        <v>12</v>
      </c>
      <c r="BI4891">
        <v>11</v>
      </c>
      <c r="BJ4891">
        <v>15</v>
      </c>
      <c r="BK4891">
        <v>7</v>
      </c>
      <c r="BP4891" s="184"/>
    </row>
    <row r="4892" spans="1:68">
      <c r="A4892">
        <v>93605913</v>
      </c>
      <c r="B4892">
        <v>93605913</v>
      </c>
      <c r="C4892" t="s">
        <v>7018</v>
      </c>
      <c r="D4892" t="s">
        <v>595</v>
      </c>
      <c r="E4892" s="184">
        <v>45272</v>
      </c>
      <c r="G4892" s="184"/>
      <c r="I4892" s="184"/>
      <c r="K4892" s="184"/>
      <c r="M4892" s="184"/>
      <c r="O4892" s="184"/>
      <c r="P4892" t="s">
        <v>7019</v>
      </c>
      <c r="Q4892" t="s">
        <v>7774</v>
      </c>
      <c r="R4892" s="184">
        <v>17564</v>
      </c>
      <c r="S4892">
        <v>76</v>
      </c>
      <c r="V4892" t="s">
        <v>2979</v>
      </c>
      <c r="X4892" t="s">
        <v>14095</v>
      </c>
      <c r="Z4892">
        <v>100162672</v>
      </c>
      <c r="AB4892" t="s">
        <v>35220</v>
      </c>
      <c r="AD4892" t="s">
        <v>14095</v>
      </c>
      <c r="AF4892" t="s">
        <v>35221</v>
      </c>
      <c r="AG4892" t="s">
        <v>35222</v>
      </c>
      <c r="AI4892" t="s">
        <v>35223</v>
      </c>
      <c r="AM4892" t="s">
        <v>4399</v>
      </c>
      <c r="AN4892" t="s">
        <v>2972</v>
      </c>
      <c r="AO4892" t="s">
        <v>35224</v>
      </c>
      <c r="AP4892" t="s">
        <v>7024</v>
      </c>
      <c r="AQ4892" t="s">
        <v>35225</v>
      </c>
      <c r="AT4892" s="184">
        <v>42317</v>
      </c>
      <c r="AU4892" t="s">
        <v>35226</v>
      </c>
      <c r="AV4892">
        <v>18</v>
      </c>
      <c r="AW4892" s="184">
        <v>45344</v>
      </c>
      <c r="AX4892" t="s">
        <v>18157</v>
      </c>
      <c r="AY4892">
        <v>5</v>
      </c>
      <c r="AZ4892" s="184">
        <v>45308</v>
      </c>
      <c r="BA4892" t="s">
        <v>11841</v>
      </c>
      <c r="BB4892">
        <v>60</v>
      </c>
      <c r="BC4892">
        <v>90</v>
      </c>
      <c r="BD4892">
        <v>317</v>
      </c>
      <c r="BE4892">
        <v>2016</v>
      </c>
      <c r="BF4892">
        <v>17</v>
      </c>
      <c r="BG4892">
        <v>7</v>
      </c>
      <c r="BH4892">
        <v>110</v>
      </c>
      <c r="BI4892">
        <v>9</v>
      </c>
      <c r="BJ4892">
        <v>10</v>
      </c>
      <c r="BK4892">
        <v>6</v>
      </c>
      <c r="BP4892" s="184"/>
    </row>
    <row r="4893" spans="1:68">
      <c r="A4893">
        <v>100162672</v>
      </c>
      <c r="B4893">
        <v>93605913</v>
      </c>
      <c r="C4893" t="s">
        <v>7018</v>
      </c>
      <c r="D4893" t="s">
        <v>595</v>
      </c>
      <c r="E4893" s="184">
        <v>45272</v>
      </c>
      <c r="G4893" s="184"/>
      <c r="I4893" s="184"/>
      <c r="K4893" s="184"/>
      <c r="M4893" s="184"/>
      <c r="O4893" s="184"/>
      <c r="P4893" t="s">
        <v>7019</v>
      </c>
      <c r="Q4893" t="s">
        <v>7774</v>
      </c>
      <c r="R4893" s="184">
        <v>17564</v>
      </c>
      <c r="S4893">
        <v>76</v>
      </c>
      <c r="V4893" t="s">
        <v>35220</v>
      </c>
      <c r="X4893" t="s">
        <v>14095</v>
      </c>
      <c r="Z4893">
        <v>93605913</v>
      </c>
      <c r="AB4893" t="s">
        <v>2979</v>
      </c>
      <c r="AD4893" t="s">
        <v>14095</v>
      </c>
      <c r="AF4893" t="s">
        <v>35221</v>
      </c>
      <c r="AG4893" t="s">
        <v>35222</v>
      </c>
      <c r="AI4893" t="s">
        <v>35223</v>
      </c>
      <c r="AM4893" t="s">
        <v>4399</v>
      </c>
      <c r="AN4893" t="s">
        <v>2972</v>
      </c>
      <c r="AO4893" t="s">
        <v>35224</v>
      </c>
      <c r="AP4893" t="s">
        <v>7024</v>
      </c>
      <c r="AT4893" s="184"/>
      <c r="AW4893" s="184"/>
      <c r="AZ4893" s="184"/>
      <c r="BP4893" s="184"/>
    </row>
    <row r="4894" spans="1:68">
      <c r="A4894">
        <v>93626836</v>
      </c>
      <c r="B4894">
        <v>93626836</v>
      </c>
      <c r="C4894" t="s">
        <v>7018</v>
      </c>
      <c r="E4894" s="184"/>
      <c r="G4894" s="184"/>
      <c r="H4894" t="s">
        <v>595</v>
      </c>
      <c r="I4894" s="184">
        <v>44476</v>
      </c>
      <c r="K4894" s="184"/>
      <c r="M4894" s="184"/>
      <c r="O4894" s="184"/>
      <c r="P4894" t="s">
        <v>7045</v>
      </c>
      <c r="Q4894" t="s">
        <v>7383</v>
      </c>
      <c r="R4894" s="184">
        <v>31697</v>
      </c>
      <c r="S4894">
        <v>37</v>
      </c>
      <c r="U4894" t="s">
        <v>7076</v>
      </c>
      <c r="V4894" t="s">
        <v>7952</v>
      </c>
      <c r="X4894" t="s">
        <v>22582</v>
      </c>
      <c r="AF4894" t="s">
        <v>35227</v>
      </c>
      <c r="AG4894" t="s">
        <v>7952</v>
      </c>
      <c r="AI4894" t="s">
        <v>35228</v>
      </c>
      <c r="AJ4894" t="s">
        <v>35229</v>
      </c>
      <c r="AM4894" t="s">
        <v>3926</v>
      </c>
      <c r="AN4894" t="s">
        <v>2059</v>
      </c>
      <c r="AO4894" t="s">
        <v>35230</v>
      </c>
      <c r="AP4894" t="s">
        <v>7024</v>
      </c>
      <c r="AQ4894" t="s">
        <v>35231</v>
      </c>
      <c r="AR4894" t="s">
        <v>35232</v>
      </c>
      <c r="AT4894" s="184">
        <v>44177</v>
      </c>
      <c r="AU4894" t="s">
        <v>35233</v>
      </c>
      <c r="AV4894">
        <v>25</v>
      </c>
      <c r="AW4894" s="184">
        <v>44276</v>
      </c>
      <c r="AX4894" t="s">
        <v>35234</v>
      </c>
      <c r="AY4894">
        <v>40</v>
      </c>
      <c r="AZ4894" s="184">
        <v>44276</v>
      </c>
      <c r="BA4894" t="s">
        <v>35234</v>
      </c>
      <c r="BB4894">
        <v>40</v>
      </c>
      <c r="BC4894">
        <v>40</v>
      </c>
      <c r="BD4894">
        <v>65</v>
      </c>
      <c r="BE4894">
        <v>2021</v>
      </c>
      <c r="BF4894">
        <v>2</v>
      </c>
      <c r="BI4894">
        <v>2</v>
      </c>
      <c r="BJ4894">
        <v>5</v>
      </c>
      <c r="BK4894">
        <v>2</v>
      </c>
      <c r="BN4894" t="s">
        <v>595</v>
      </c>
      <c r="BP4894" s="184"/>
    </row>
    <row r="4895" spans="1:68">
      <c r="A4895">
        <v>93627560</v>
      </c>
      <c r="B4895">
        <v>93627560</v>
      </c>
      <c r="C4895" t="s">
        <v>7018</v>
      </c>
      <c r="D4895" t="s">
        <v>595</v>
      </c>
      <c r="E4895" s="184">
        <v>45146</v>
      </c>
      <c r="G4895" s="184"/>
      <c r="I4895" s="184"/>
      <c r="K4895" s="184"/>
      <c r="M4895" s="184"/>
      <c r="O4895" s="184"/>
      <c r="P4895" t="s">
        <v>7045</v>
      </c>
      <c r="Q4895" t="s">
        <v>7160</v>
      </c>
      <c r="R4895" s="184">
        <v>15518</v>
      </c>
      <c r="S4895">
        <v>81</v>
      </c>
      <c r="U4895" t="s">
        <v>7076</v>
      </c>
      <c r="V4895" t="s">
        <v>3419</v>
      </c>
      <c r="W4895" t="s">
        <v>7085</v>
      </c>
      <c r="X4895" t="s">
        <v>35235</v>
      </c>
      <c r="AF4895" t="s">
        <v>35236</v>
      </c>
      <c r="AG4895" t="s">
        <v>3419</v>
      </c>
      <c r="AI4895" t="s">
        <v>35237</v>
      </c>
      <c r="AM4895" t="s">
        <v>4777</v>
      </c>
      <c r="AN4895" t="s">
        <v>2203</v>
      </c>
      <c r="AO4895" t="s">
        <v>35238</v>
      </c>
      <c r="AP4895" t="s">
        <v>7024</v>
      </c>
      <c r="AQ4895" t="s">
        <v>35239</v>
      </c>
      <c r="AT4895" s="184">
        <v>42324</v>
      </c>
      <c r="AU4895" t="s">
        <v>35240</v>
      </c>
      <c r="AV4895">
        <v>20</v>
      </c>
      <c r="AW4895" s="184">
        <v>45030</v>
      </c>
      <c r="AX4895" t="s">
        <v>35241</v>
      </c>
      <c r="AY4895">
        <v>25</v>
      </c>
      <c r="AZ4895" s="184">
        <v>43329</v>
      </c>
      <c r="BA4895" t="s">
        <v>18960</v>
      </c>
      <c r="BB4895">
        <v>30</v>
      </c>
      <c r="BC4895">
        <v>60</v>
      </c>
      <c r="BD4895">
        <v>155</v>
      </c>
      <c r="BE4895">
        <v>2016</v>
      </c>
      <c r="BF4895">
        <v>6</v>
      </c>
      <c r="BG4895">
        <v>1</v>
      </c>
      <c r="BH4895">
        <v>25</v>
      </c>
      <c r="BI4895">
        <v>6</v>
      </c>
      <c r="BJ4895">
        <v>10</v>
      </c>
      <c r="BK4895">
        <v>5</v>
      </c>
      <c r="BP4895" s="184"/>
    </row>
    <row r="4896" spans="1:68">
      <c r="A4896">
        <v>93640241</v>
      </c>
      <c r="B4896">
        <v>93640241</v>
      </c>
      <c r="C4896" t="s">
        <v>7018</v>
      </c>
      <c r="E4896" s="184"/>
      <c r="G4896" s="184"/>
      <c r="I4896" s="184"/>
      <c r="J4896" t="s">
        <v>595</v>
      </c>
      <c r="K4896" s="184">
        <v>42331</v>
      </c>
      <c r="M4896" s="184"/>
      <c r="O4896" s="184"/>
      <c r="P4896" t="s">
        <v>7045</v>
      </c>
      <c r="Q4896" t="s">
        <v>7383</v>
      </c>
      <c r="R4896" s="184">
        <v>10475</v>
      </c>
      <c r="S4896">
        <v>95</v>
      </c>
      <c r="U4896" t="s">
        <v>7076</v>
      </c>
      <c r="V4896" t="s">
        <v>10327</v>
      </c>
      <c r="W4896" t="s">
        <v>3522</v>
      </c>
      <c r="X4896" t="s">
        <v>35242</v>
      </c>
      <c r="AF4896" t="s">
        <v>6720</v>
      </c>
      <c r="AG4896" t="s">
        <v>10327</v>
      </c>
      <c r="AI4896" t="s">
        <v>35243</v>
      </c>
      <c r="AM4896" t="s">
        <v>3082</v>
      </c>
      <c r="AN4896" t="s">
        <v>2313</v>
      </c>
      <c r="AO4896" t="s">
        <v>35244</v>
      </c>
      <c r="AP4896" t="s">
        <v>7024</v>
      </c>
      <c r="AT4896" s="184">
        <v>42586</v>
      </c>
      <c r="AU4896" t="s">
        <v>35245</v>
      </c>
      <c r="AV4896">
        <v>25</v>
      </c>
      <c r="AW4896" s="184">
        <v>43131</v>
      </c>
      <c r="AX4896" t="s">
        <v>35246</v>
      </c>
      <c r="AY4896">
        <v>25</v>
      </c>
      <c r="AZ4896" s="184">
        <v>43131</v>
      </c>
      <c r="BA4896" t="s">
        <v>35246</v>
      </c>
      <c r="BB4896">
        <v>25</v>
      </c>
      <c r="BC4896">
        <v>23</v>
      </c>
      <c r="BD4896">
        <v>50</v>
      </c>
      <c r="BE4896">
        <v>2017</v>
      </c>
      <c r="BF4896">
        <v>2</v>
      </c>
      <c r="BI4896">
        <v>2</v>
      </c>
      <c r="BJ4896">
        <v>9</v>
      </c>
      <c r="BK4896">
        <v>1</v>
      </c>
      <c r="BP4896" s="184"/>
    </row>
    <row r="4897" spans="1:68">
      <c r="A4897">
        <v>93642627</v>
      </c>
      <c r="B4897">
        <v>93642627</v>
      </c>
      <c r="C4897" t="s">
        <v>7018</v>
      </c>
      <c r="E4897" s="184"/>
      <c r="G4897" s="184"/>
      <c r="H4897" t="s">
        <v>595</v>
      </c>
      <c r="I4897" s="184">
        <v>44144</v>
      </c>
      <c r="K4897" s="184"/>
      <c r="M4897" s="184"/>
      <c r="O4897" s="184"/>
      <c r="P4897" t="s">
        <v>7045</v>
      </c>
      <c r="Q4897" t="s">
        <v>7020</v>
      </c>
      <c r="R4897" s="184">
        <v>13786</v>
      </c>
      <c r="S4897">
        <v>86</v>
      </c>
      <c r="V4897" t="s">
        <v>4089</v>
      </c>
      <c r="X4897" t="s">
        <v>29037</v>
      </c>
      <c r="AF4897" t="s">
        <v>35247</v>
      </c>
      <c r="AG4897" t="s">
        <v>4089</v>
      </c>
      <c r="AI4897" t="s">
        <v>35248</v>
      </c>
      <c r="AM4897" t="s">
        <v>2737</v>
      </c>
      <c r="AN4897" t="s">
        <v>2129</v>
      </c>
      <c r="AO4897" t="s">
        <v>35249</v>
      </c>
      <c r="AP4897" t="s">
        <v>7024</v>
      </c>
      <c r="AT4897" s="184">
        <v>42327</v>
      </c>
      <c r="AU4897" t="s">
        <v>35250</v>
      </c>
      <c r="AV4897">
        <v>10</v>
      </c>
      <c r="AW4897" s="184">
        <v>44804</v>
      </c>
      <c r="AX4897" t="s">
        <v>35251</v>
      </c>
      <c r="AY4897">
        <v>15</v>
      </c>
      <c r="AZ4897" s="184">
        <v>44804</v>
      </c>
      <c r="BA4897" t="s">
        <v>35251</v>
      </c>
      <c r="BB4897">
        <v>15</v>
      </c>
      <c r="BC4897">
        <v>50</v>
      </c>
      <c r="BD4897">
        <v>75</v>
      </c>
      <c r="BE4897">
        <v>2016</v>
      </c>
      <c r="BF4897">
        <v>6</v>
      </c>
      <c r="BG4897">
        <v>1</v>
      </c>
      <c r="BH4897">
        <v>15</v>
      </c>
      <c r="BI4897">
        <v>5</v>
      </c>
      <c r="BJ4897">
        <v>10</v>
      </c>
      <c r="BK4897">
        <v>2</v>
      </c>
      <c r="BP4897" s="184"/>
    </row>
    <row r="4898" spans="1:68">
      <c r="A4898">
        <v>93653855</v>
      </c>
      <c r="B4898">
        <v>93653855</v>
      </c>
      <c r="C4898" t="s">
        <v>7018</v>
      </c>
      <c r="E4898" s="184"/>
      <c r="G4898" s="184"/>
      <c r="I4898" s="184"/>
      <c r="K4898" s="184"/>
      <c r="L4898" t="s">
        <v>595</v>
      </c>
      <c r="M4898" s="184">
        <v>43923</v>
      </c>
      <c r="O4898" s="184"/>
      <c r="P4898" t="s">
        <v>7045</v>
      </c>
      <c r="Q4898" t="s">
        <v>7374</v>
      </c>
      <c r="R4898" s="184">
        <v>15708</v>
      </c>
      <c r="S4898">
        <v>81</v>
      </c>
      <c r="U4898" t="s">
        <v>7076</v>
      </c>
      <c r="V4898" t="s">
        <v>35252</v>
      </c>
      <c r="X4898" t="s">
        <v>35253</v>
      </c>
      <c r="AF4898" t="s">
        <v>35254</v>
      </c>
      <c r="AG4898" t="s">
        <v>35252</v>
      </c>
      <c r="AI4898" t="s">
        <v>35255</v>
      </c>
      <c r="AM4898" t="s">
        <v>35256</v>
      </c>
      <c r="AN4898" t="s">
        <v>2081</v>
      </c>
      <c r="AO4898" t="s">
        <v>35257</v>
      </c>
      <c r="AP4898" t="s">
        <v>7024</v>
      </c>
      <c r="AQ4898" t="s">
        <v>35258</v>
      </c>
      <c r="AT4898" s="184">
        <v>42331</v>
      </c>
      <c r="AU4898" t="s">
        <v>35259</v>
      </c>
      <c r="AV4898">
        <v>25</v>
      </c>
      <c r="AW4898" s="184">
        <v>44657</v>
      </c>
      <c r="AX4898" t="s">
        <v>35260</v>
      </c>
      <c r="AY4898">
        <v>100</v>
      </c>
      <c r="AZ4898" s="184">
        <v>44657</v>
      </c>
      <c r="BA4898" t="s">
        <v>35260</v>
      </c>
      <c r="BB4898">
        <v>100</v>
      </c>
      <c r="BC4898">
        <v>80</v>
      </c>
      <c r="BD4898">
        <v>615</v>
      </c>
      <c r="BE4898">
        <v>2016</v>
      </c>
      <c r="BF4898">
        <v>9</v>
      </c>
      <c r="BI4898">
        <v>8</v>
      </c>
      <c r="BJ4898">
        <v>10</v>
      </c>
      <c r="BK4898">
        <v>8</v>
      </c>
      <c r="BP4898" s="184"/>
    </row>
    <row r="4899" spans="1:68">
      <c r="A4899">
        <v>93659902</v>
      </c>
      <c r="B4899">
        <v>93659902</v>
      </c>
      <c r="C4899" t="s">
        <v>7018</v>
      </c>
      <c r="E4899" s="184"/>
      <c r="G4899" s="184"/>
      <c r="I4899" s="184"/>
      <c r="J4899" t="s">
        <v>595</v>
      </c>
      <c r="K4899" s="184">
        <v>42500</v>
      </c>
      <c r="M4899" s="184"/>
      <c r="O4899" s="184"/>
      <c r="P4899" t="s">
        <v>7045</v>
      </c>
      <c r="Q4899" t="s">
        <v>7374</v>
      </c>
      <c r="R4899" s="184"/>
      <c r="U4899" t="s">
        <v>7031</v>
      </c>
      <c r="V4899" t="s">
        <v>3254</v>
      </c>
      <c r="X4899" t="s">
        <v>4254</v>
      </c>
      <c r="AF4899" t="s">
        <v>6725</v>
      </c>
      <c r="AG4899" t="s">
        <v>3254</v>
      </c>
      <c r="AI4899" t="s">
        <v>35261</v>
      </c>
      <c r="AM4899" t="s">
        <v>35262</v>
      </c>
      <c r="AN4899" t="s">
        <v>2081</v>
      </c>
      <c r="AO4899">
        <v>95966</v>
      </c>
      <c r="AP4899" t="s">
        <v>7024</v>
      </c>
      <c r="AQ4899" t="s">
        <v>35263</v>
      </c>
      <c r="AT4899" s="184">
        <v>42332</v>
      </c>
      <c r="AU4899" t="s">
        <v>35264</v>
      </c>
      <c r="AV4899">
        <v>15</v>
      </c>
      <c r="AW4899" s="184">
        <v>43544</v>
      </c>
      <c r="AX4899" t="s">
        <v>35265</v>
      </c>
      <c r="AY4899">
        <v>25</v>
      </c>
      <c r="AZ4899" s="184">
        <v>43544</v>
      </c>
      <c r="BA4899" t="s">
        <v>35265</v>
      </c>
      <c r="BB4899">
        <v>25</v>
      </c>
      <c r="BC4899">
        <v>20</v>
      </c>
      <c r="BD4899">
        <v>40</v>
      </c>
      <c r="BE4899">
        <v>2016</v>
      </c>
      <c r="BF4899">
        <v>2</v>
      </c>
      <c r="BI4899">
        <v>2</v>
      </c>
      <c r="BJ4899">
        <v>10</v>
      </c>
      <c r="BK4899">
        <v>1</v>
      </c>
      <c r="BP4899" s="184"/>
    </row>
    <row r="4900" spans="1:68">
      <c r="A4900">
        <v>93660751</v>
      </c>
      <c r="B4900">
        <v>93660751</v>
      </c>
      <c r="C4900" t="s">
        <v>7018</v>
      </c>
      <c r="D4900" t="s">
        <v>595</v>
      </c>
      <c r="E4900" s="184">
        <v>45117</v>
      </c>
      <c r="G4900" s="184"/>
      <c r="I4900" s="184"/>
      <c r="K4900" s="184"/>
      <c r="M4900" s="184"/>
      <c r="O4900" s="184"/>
      <c r="P4900" t="s">
        <v>7045</v>
      </c>
      <c r="Q4900" t="s">
        <v>7383</v>
      </c>
      <c r="R4900" s="184">
        <v>16377</v>
      </c>
      <c r="S4900">
        <v>79</v>
      </c>
      <c r="U4900" t="s">
        <v>7076</v>
      </c>
      <c r="V4900" t="s">
        <v>2969</v>
      </c>
      <c r="W4900" t="s">
        <v>7407</v>
      </c>
      <c r="X4900" t="s">
        <v>5468</v>
      </c>
      <c r="AF4900" t="s">
        <v>35266</v>
      </c>
      <c r="AG4900" t="s">
        <v>2969</v>
      </c>
      <c r="AI4900" t="s">
        <v>35267</v>
      </c>
      <c r="AM4900" t="s">
        <v>35268</v>
      </c>
      <c r="AN4900" t="s">
        <v>2059</v>
      </c>
      <c r="AO4900" t="s">
        <v>35269</v>
      </c>
      <c r="AP4900" t="s">
        <v>7024</v>
      </c>
      <c r="AQ4900" t="s">
        <v>35270</v>
      </c>
      <c r="AT4900" s="184">
        <v>42332</v>
      </c>
      <c r="AU4900" t="s">
        <v>35271</v>
      </c>
      <c r="AV4900">
        <v>25</v>
      </c>
      <c r="AW4900" s="184">
        <v>45097</v>
      </c>
      <c r="AX4900" t="s">
        <v>7701</v>
      </c>
      <c r="AY4900">
        <v>125</v>
      </c>
      <c r="AZ4900" s="184">
        <v>45097</v>
      </c>
      <c r="BA4900" t="s">
        <v>7701</v>
      </c>
      <c r="BB4900">
        <v>125</v>
      </c>
      <c r="BC4900">
        <v>60</v>
      </c>
      <c r="BD4900">
        <v>435</v>
      </c>
      <c r="BE4900">
        <v>2016</v>
      </c>
      <c r="BF4900">
        <v>7</v>
      </c>
      <c r="BG4900">
        <v>2</v>
      </c>
      <c r="BH4900">
        <v>200</v>
      </c>
      <c r="BI4900">
        <v>6</v>
      </c>
      <c r="BJ4900">
        <v>10</v>
      </c>
      <c r="BK4900">
        <v>2</v>
      </c>
      <c r="BP4900" s="184"/>
    </row>
    <row r="4901" spans="1:68">
      <c r="A4901">
        <v>93662310</v>
      </c>
      <c r="B4901">
        <v>93662310</v>
      </c>
      <c r="C4901" t="s">
        <v>7018</v>
      </c>
      <c r="D4901" t="s">
        <v>595</v>
      </c>
      <c r="E4901" s="184">
        <v>45146</v>
      </c>
      <c r="G4901" s="184"/>
      <c r="I4901" s="184"/>
      <c r="K4901" s="184"/>
      <c r="M4901" s="184"/>
      <c r="O4901" s="184"/>
      <c r="P4901" t="s">
        <v>7045</v>
      </c>
      <c r="Q4901" t="s">
        <v>7494</v>
      </c>
      <c r="R4901" s="184">
        <v>21367</v>
      </c>
      <c r="S4901">
        <v>65</v>
      </c>
      <c r="U4901" t="s">
        <v>7031</v>
      </c>
      <c r="V4901" t="s">
        <v>2665</v>
      </c>
      <c r="X4901" t="s">
        <v>35272</v>
      </c>
      <c r="AF4901" t="s">
        <v>35273</v>
      </c>
      <c r="AG4901" t="s">
        <v>2665</v>
      </c>
      <c r="AI4901" t="s">
        <v>35274</v>
      </c>
      <c r="AM4901" t="s">
        <v>3763</v>
      </c>
      <c r="AN4901" t="s">
        <v>2484</v>
      </c>
      <c r="AO4901" t="s">
        <v>35275</v>
      </c>
      <c r="AP4901" t="s">
        <v>7024</v>
      </c>
      <c r="AQ4901" t="s">
        <v>35276</v>
      </c>
      <c r="AT4901" s="184">
        <v>42332</v>
      </c>
      <c r="AU4901" t="s">
        <v>35277</v>
      </c>
      <c r="AV4901">
        <v>25</v>
      </c>
      <c r="AW4901" s="184">
        <v>45380</v>
      </c>
      <c r="AX4901" t="s">
        <v>7168</v>
      </c>
      <c r="AY4901">
        <v>60</v>
      </c>
      <c r="AZ4901" s="184">
        <v>45380</v>
      </c>
      <c r="BA4901" t="s">
        <v>7168</v>
      </c>
      <c r="BB4901">
        <v>60</v>
      </c>
      <c r="BC4901">
        <v>50</v>
      </c>
      <c r="BD4901">
        <v>195</v>
      </c>
      <c r="BE4901">
        <v>2016</v>
      </c>
      <c r="BF4901">
        <v>5</v>
      </c>
      <c r="BG4901">
        <v>1</v>
      </c>
      <c r="BH4901">
        <v>60</v>
      </c>
      <c r="BI4901">
        <v>5</v>
      </c>
      <c r="BJ4901">
        <v>10</v>
      </c>
      <c r="BK4901">
        <v>2</v>
      </c>
      <c r="BP4901" s="184"/>
    </row>
    <row r="4902" spans="1:68">
      <c r="A4902">
        <v>93677920</v>
      </c>
      <c r="B4902">
        <v>93677920</v>
      </c>
      <c r="C4902" t="s">
        <v>7018</v>
      </c>
      <c r="D4902" t="s">
        <v>595</v>
      </c>
      <c r="E4902" s="184">
        <v>44167</v>
      </c>
      <c r="G4902" s="184"/>
      <c r="I4902" s="184"/>
      <c r="K4902" s="184"/>
      <c r="M4902" s="184"/>
      <c r="O4902" s="184"/>
      <c r="P4902" t="s">
        <v>7029</v>
      </c>
      <c r="Q4902" t="s">
        <v>7374</v>
      </c>
      <c r="R4902" s="184">
        <v>19603</v>
      </c>
      <c r="S4902">
        <v>70</v>
      </c>
      <c r="U4902" t="s">
        <v>7076</v>
      </c>
      <c r="V4902" t="s">
        <v>3336</v>
      </c>
      <c r="X4902" t="s">
        <v>35278</v>
      </c>
      <c r="AF4902" t="s">
        <v>35279</v>
      </c>
      <c r="AG4902" t="s">
        <v>3336</v>
      </c>
      <c r="AI4902" t="s">
        <v>35280</v>
      </c>
      <c r="AM4902" t="s">
        <v>35281</v>
      </c>
      <c r="AN4902" t="s">
        <v>2081</v>
      </c>
      <c r="AO4902" t="s">
        <v>35282</v>
      </c>
      <c r="AP4902" t="s">
        <v>7024</v>
      </c>
      <c r="AQ4902" t="s">
        <v>35283</v>
      </c>
      <c r="AT4902" s="184">
        <v>42338</v>
      </c>
      <c r="AU4902" t="s">
        <v>35284</v>
      </c>
      <c r="AV4902">
        <v>25</v>
      </c>
      <c r="AW4902" s="184">
        <v>44936</v>
      </c>
      <c r="AX4902" t="s">
        <v>15543</v>
      </c>
      <c r="AY4902">
        <v>1000</v>
      </c>
      <c r="AZ4902" s="184">
        <v>44936</v>
      </c>
      <c r="BA4902" t="s">
        <v>15543</v>
      </c>
      <c r="BB4902">
        <v>1000</v>
      </c>
      <c r="BC4902">
        <v>60</v>
      </c>
      <c r="BD4902">
        <v>4075</v>
      </c>
      <c r="BE4902">
        <v>2016</v>
      </c>
      <c r="BF4902">
        <v>10</v>
      </c>
      <c r="BG4902">
        <v>1</v>
      </c>
      <c r="BH4902">
        <v>1000</v>
      </c>
      <c r="BI4902">
        <v>6</v>
      </c>
      <c r="BJ4902">
        <v>10</v>
      </c>
      <c r="BK4902">
        <v>3</v>
      </c>
      <c r="BP4902" s="184"/>
    </row>
    <row r="4903" spans="1:68">
      <c r="A4903">
        <v>93680585</v>
      </c>
      <c r="B4903">
        <v>93680585</v>
      </c>
      <c r="C4903" t="s">
        <v>7018</v>
      </c>
      <c r="E4903" s="184"/>
      <c r="G4903" s="184"/>
      <c r="I4903" s="184"/>
      <c r="J4903" t="s">
        <v>595</v>
      </c>
      <c r="K4903" s="184">
        <v>44090</v>
      </c>
      <c r="M4903" s="184"/>
      <c r="O4903" s="184"/>
      <c r="P4903" t="s">
        <v>7045</v>
      </c>
      <c r="Q4903" t="s">
        <v>7454</v>
      </c>
      <c r="R4903" s="184">
        <v>17258</v>
      </c>
      <c r="S4903">
        <v>77</v>
      </c>
      <c r="V4903" t="s">
        <v>14917</v>
      </c>
      <c r="X4903" t="s">
        <v>35285</v>
      </c>
      <c r="AF4903" t="s">
        <v>35286</v>
      </c>
      <c r="AG4903" t="s">
        <v>14917</v>
      </c>
      <c r="AI4903" t="s">
        <v>35287</v>
      </c>
      <c r="AM4903" t="s">
        <v>4788</v>
      </c>
      <c r="AN4903" t="s">
        <v>2055</v>
      </c>
      <c r="AO4903" t="s">
        <v>35288</v>
      </c>
      <c r="AP4903" t="s">
        <v>7024</v>
      </c>
      <c r="AT4903" s="184">
        <v>42338</v>
      </c>
      <c r="AU4903" t="s">
        <v>35289</v>
      </c>
      <c r="AV4903">
        <v>25</v>
      </c>
      <c r="AW4903" s="184">
        <v>44992</v>
      </c>
      <c r="AX4903" t="s">
        <v>29313</v>
      </c>
      <c r="AY4903">
        <v>100</v>
      </c>
      <c r="AZ4903" s="184">
        <v>43917</v>
      </c>
      <c r="BA4903" t="s">
        <v>14244</v>
      </c>
      <c r="BB4903">
        <v>300</v>
      </c>
      <c r="BC4903">
        <v>90</v>
      </c>
      <c r="BD4903">
        <v>1175</v>
      </c>
      <c r="BE4903">
        <v>2016</v>
      </c>
      <c r="BF4903">
        <v>9</v>
      </c>
      <c r="BG4903">
        <v>1</v>
      </c>
      <c r="BH4903">
        <v>100</v>
      </c>
      <c r="BI4903">
        <v>9</v>
      </c>
      <c r="BJ4903">
        <v>10</v>
      </c>
      <c r="BK4903">
        <v>9</v>
      </c>
      <c r="BP4903" s="184"/>
    </row>
    <row r="4904" spans="1:68">
      <c r="A4904">
        <v>93708469</v>
      </c>
      <c r="B4904">
        <v>93708469</v>
      </c>
      <c r="C4904" t="s">
        <v>7018</v>
      </c>
      <c r="E4904" s="184"/>
      <c r="G4904" s="184"/>
      <c r="H4904" t="s">
        <v>595</v>
      </c>
      <c r="I4904" s="184">
        <v>44823</v>
      </c>
      <c r="K4904" s="184"/>
      <c r="M4904" s="184"/>
      <c r="O4904" s="184"/>
      <c r="P4904" t="s">
        <v>7045</v>
      </c>
      <c r="Q4904" t="s">
        <v>7494</v>
      </c>
      <c r="R4904" s="184">
        <v>23924</v>
      </c>
      <c r="S4904">
        <v>58</v>
      </c>
      <c r="U4904" t="s">
        <v>7076</v>
      </c>
      <c r="V4904" t="s">
        <v>35290</v>
      </c>
      <c r="W4904" t="s">
        <v>4327</v>
      </c>
      <c r="X4904" t="s">
        <v>35291</v>
      </c>
      <c r="AF4904" t="s">
        <v>35292</v>
      </c>
      <c r="AG4904" t="s">
        <v>35290</v>
      </c>
      <c r="AI4904" t="s">
        <v>35293</v>
      </c>
      <c r="AM4904" t="s">
        <v>2582</v>
      </c>
      <c r="AN4904" t="s">
        <v>2174</v>
      </c>
      <c r="AO4904" t="s">
        <v>35294</v>
      </c>
      <c r="AP4904" t="s">
        <v>7024</v>
      </c>
      <c r="AQ4904" t="s">
        <v>35295</v>
      </c>
      <c r="AT4904" s="184">
        <v>42345</v>
      </c>
      <c r="AU4904" t="s">
        <v>35296</v>
      </c>
      <c r="AV4904">
        <v>50</v>
      </c>
      <c r="AW4904" s="184">
        <v>45287</v>
      </c>
      <c r="AX4904" t="s">
        <v>35297</v>
      </c>
      <c r="AY4904">
        <v>75</v>
      </c>
      <c r="AZ4904" s="184">
        <v>44145</v>
      </c>
      <c r="BA4904" t="s">
        <v>35298</v>
      </c>
      <c r="BB4904">
        <v>100</v>
      </c>
      <c r="BC4904">
        <v>30</v>
      </c>
      <c r="BD4904">
        <v>260</v>
      </c>
      <c r="BE4904">
        <v>2016</v>
      </c>
      <c r="BF4904">
        <v>4</v>
      </c>
      <c r="BG4904">
        <v>2</v>
      </c>
      <c r="BH4904">
        <v>110</v>
      </c>
      <c r="BI4904">
        <v>3</v>
      </c>
      <c r="BJ4904">
        <v>10</v>
      </c>
      <c r="BK4904">
        <v>1</v>
      </c>
      <c r="BP4904" s="184"/>
    </row>
    <row r="4905" spans="1:68">
      <c r="A4905">
        <v>93733947</v>
      </c>
      <c r="B4905">
        <v>93733947</v>
      </c>
      <c r="C4905" t="s">
        <v>7018</v>
      </c>
      <c r="E4905" s="184"/>
      <c r="G4905" s="184"/>
      <c r="H4905" t="s">
        <v>595</v>
      </c>
      <c r="I4905" s="184">
        <v>44082</v>
      </c>
      <c r="K4905" s="184"/>
      <c r="M4905" s="184"/>
      <c r="N4905" t="s">
        <v>595</v>
      </c>
      <c r="O4905" s="184">
        <v>44209</v>
      </c>
      <c r="P4905" t="s">
        <v>7029</v>
      </c>
      <c r="Q4905" t="s">
        <v>7383</v>
      </c>
      <c r="R4905" s="184">
        <v>18415</v>
      </c>
      <c r="S4905">
        <v>73</v>
      </c>
      <c r="U4905" t="s">
        <v>7076</v>
      </c>
      <c r="V4905" t="s">
        <v>3358</v>
      </c>
      <c r="X4905" t="s">
        <v>35299</v>
      </c>
      <c r="AF4905" t="s">
        <v>35300</v>
      </c>
      <c r="AG4905" t="s">
        <v>3358</v>
      </c>
      <c r="AI4905" t="s">
        <v>35301</v>
      </c>
      <c r="AM4905" t="s">
        <v>35302</v>
      </c>
      <c r="AN4905" t="s">
        <v>2274</v>
      </c>
      <c r="AO4905" t="s">
        <v>35303</v>
      </c>
      <c r="AP4905" t="s">
        <v>7024</v>
      </c>
      <c r="AQ4905" t="s">
        <v>35304</v>
      </c>
      <c r="AT4905" s="184">
        <v>42353</v>
      </c>
      <c r="AU4905" t="s">
        <v>35305</v>
      </c>
      <c r="AV4905">
        <v>100</v>
      </c>
      <c r="AW4905" s="184">
        <v>45348</v>
      </c>
      <c r="AX4905" t="s">
        <v>7092</v>
      </c>
      <c r="AY4905">
        <v>500</v>
      </c>
      <c r="AZ4905" s="184">
        <v>45348</v>
      </c>
      <c r="BA4905" t="s">
        <v>7092</v>
      </c>
      <c r="BB4905">
        <v>500</v>
      </c>
      <c r="BC4905">
        <v>90</v>
      </c>
      <c r="BD4905">
        <v>2800</v>
      </c>
      <c r="BE4905">
        <v>2016</v>
      </c>
      <c r="BF4905">
        <v>12</v>
      </c>
      <c r="BG4905">
        <v>2</v>
      </c>
      <c r="BH4905">
        <v>1000</v>
      </c>
      <c r="BI4905">
        <v>9</v>
      </c>
      <c r="BJ4905">
        <v>10</v>
      </c>
      <c r="BK4905">
        <v>5</v>
      </c>
      <c r="BP4905" s="184"/>
    </row>
    <row r="4906" spans="1:68">
      <c r="A4906">
        <v>93734630</v>
      </c>
      <c r="B4906">
        <v>93734630</v>
      </c>
      <c r="C4906" t="s">
        <v>7018</v>
      </c>
      <c r="D4906" t="s">
        <v>595</v>
      </c>
      <c r="E4906" s="184">
        <v>44167</v>
      </c>
      <c r="G4906" s="184"/>
      <c r="I4906" s="184"/>
      <c r="K4906" s="184"/>
      <c r="O4906" s="184"/>
      <c r="P4906" t="s">
        <v>7045</v>
      </c>
      <c r="Q4906" t="s">
        <v>7374</v>
      </c>
      <c r="R4906" s="184">
        <v>19511</v>
      </c>
      <c r="S4906">
        <v>70</v>
      </c>
      <c r="V4906" t="s">
        <v>3504</v>
      </c>
      <c r="X4906" t="s">
        <v>35306</v>
      </c>
      <c r="AF4906" t="s">
        <v>35307</v>
      </c>
      <c r="AG4906" t="s">
        <v>3504</v>
      </c>
      <c r="AI4906" t="s">
        <v>35308</v>
      </c>
      <c r="AM4906" t="s">
        <v>4138</v>
      </c>
      <c r="AN4906" t="s">
        <v>2081</v>
      </c>
      <c r="AO4906" t="s">
        <v>35309</v>
      </c>
      <c r="AP4906" t="s">
        <v>7024</v>
      </c>
      <c r="AT4906" s="184">
        <v>42353</v>
      </c>
      <c r="AU4906" t="s">
        <v>35310</v>
      </c>
      <c r="AV4906">
        <v>50</v>
      </c>
      <c r="AW4906" s="184">
        <v>45191</v>
      </c>
      <c r="AX4906" t="s">
        <v>8805</v>
      </c>
      <c r="AY4906">
        <v>300</v>
      </c>
      <c r="AZ4906" s="184">
        <v>45191</v>
      </c>
      <c r="BA4906" t="s">
        <v>8805</v>
      </c>
      <c r="BB4906">
        <v>300</v>
      </c>
      <c r="BC4906">
        <v>90</v>
      </c>
      <c r="BD4906">
        <v>1650</v>
      </c>
      <c r="BE4906">
        <v>2016</v>
      </c>
      <c r="BF4906">
        <v>11</v>
      </c>
      <c r="BG4906">
        <v>2</v>
      </c>
      <c r="BH4906">
        <v>600</v>
      </c>
      <c r="BI4906">
        <v>9</v>
      </c>
      <c r="BJ4906">
        <v>10</v>
      </c>
      <c r="BK4906">
        <v>9</v>
      </c>
      <c r="BP4906" s="184"/>
    </row>
    <row r="4907" spans="1:68">
      <c r="A4907">
        <v>93753176</v>
      </c>
      <c r="B4907">
        <v>93753176</v>
      </c>
      <c r="C4907" t="s">
        <v>7018</v>
      </c>
      <c r="D4907" t="s">
        <v>595</v>
      </c>
      <c r="E4907" s="184">
        <v>45182</v>
      </c>
      <c r="G4907" s="184"/>
      <c r="I4907" s="184"/>
      <c r="K4907" s="184"/>
      <c r="O4907" s="184"/>
      <c r="P4907" t="s">
        <v>7045</v>
      </c>
      <c r="Q4907" t="s">
        <v>7454</v>
      </c>
      <c r="R4907" s="184">
        <v>24274</v>
      </c>
      <c r="S4907">
        <v>57</v>
      </c>
      <c r="V4907" t="s">
        <v>2665</v>
      </c>
      <c r="X4907" t="s">
        <v>2772</v>
      </c>
      <c r="AF4907" t="s">
        <v>35311</v>
      </c>
      <c r="AG4907" t="s">
        <v>2665</v>
      </c>
      <c r="AI4907" t="s">
        <v>35312</v>
      </c>
      <c r="AM4907" t="s">
        <v>3855</v>
      </c>
      <c r="AN4907" t="s">
        <v>2055</v>
      </c>
      <c r="AO4907" t="s">
        <v>35313</v>
      </c>
      <c r="AP4907" t="s">
        <v>7024</v>
      </c>
      <c r="AQ4907" t="s">
        <v>35314</v>
      </c>
      <c r="AT4907" s="184">
        <v>42354</v>
      </c>
      <c r="AU4907" t="s">
        <v>35315</v>
      </c>
      <c r="AV4907">
        <v>15</v>
      </c>
      <c r="AW4907" s="184">
        <v>45306</v>
      </c>
      <c r="AX4907" t="s">
        <v>35316</v>
      </c>
      <c r="AY4907">
        <v>30</v>
      </c>
      <c r="AZ4907" s="184">
        <v>44987</v>
      </c>
      <c r="BA4907" t="s">
        <v>35317</v>
      </c>
      <c r="BB4907">
        <v>35</v>
      </c>
      <c r="BC4907">
        <v>80</v>
      </c>
      <c r="BD4907">
        <v>205</v>
      </c>
      <c r="BE4907">
        <v>2016</v>
      </c>
      <c r="BF4907">
        <v>8</v>
      </c>
      <c r="BG4907">
        <v>3</v>
      </c>
      <c r="BH4907">
        <v>90</v>
      </c>
      <c r="BI4907">
        <v>8</v>
      </c>
      <c r="BJ4907">
        <v>10</v>
      </c>
      <c r="BK4907">
        <v>6</v>
      </c>
      <c r="BP4907" s="184"/>
    </row>
    <row r="4908" spans="1:68">
      <c r="A4908">
        <v>93756971</v>
      </c>
      <c r="B4908">
        <v>93756971</v>
      </c>
      <c r="C4908" t="s">
        <v>7018</v>
      </c>
      <c r="D4908" t="s">
        <v>595</v>
      </c>
      <c r="E4908" s="184">
        <v>45175</v>
      </c>
      <c r="G4908" s="184"/>
      <c r="I4908" s="184"/>
      <c r="K4908" s="184"/>
      <c r="O4908" s="184"/>
      <c r="P4908" t="s">
        <v>7045</v>
      </c>
      <c r="Q4908" t="s">
        <v>7160</v>
      </c>
      <c r="R4908" s="184">
        <v>21186</v>
      </c>
      <c r="S4908">
        <v>66</v>
      </c>
      <c r="V4908" t="s">
        <v>32472</v>
      </c>
      <c r="X4908" t="s">
        <v>35318</v>
      </c>
      <c r="Z4908">
        <v>100163106</v>
      </c>
      <c r="AB4908" t="s">
        <v>3593</v>
      </c>
      <c r="AD4908" t="s">
        <v>5786</v>
      </c>
      <c r="AF4908" t="s">
        <v>35319</v>
      </c>
      <c r="AG4908" t="s">
        <v>35320</v>
      </c>
      <c r="AI4908" t="s">
        <v>35321</v>
      </c>
      <c r="AM4908" t="s">
        <v>5014</v>
      </c>
      <c r="AN4908" t="s">
        <v>2413</v>
      </c>
      <c r="AO4908" t="s">
        <v>35322</v>
      </c>
      <c r="AP4908" t="s">
        <v>7024</v>
      </c>
      <c r="AQ4908" t="s">
        <v>35323</v>
      </c>
      <c r="AR4908" t="s">
        <v>35324</v>
      </c>
      <c r="AT4908" s="184">
        <v>42355</v>
      </c>
      <c r="AU4908" t="s">
        <v>35325</v>
      </c>
      <c r="AV4908">
        <v>50</v>
      </c>
      <c r="AW4908" s="184">
        <v>44782</v>
      </c>
      <c r="AX4908" t="s">
        <v>35326</v>
      </c>
      <c r="AY4908">
        <v>50</v>
      </c>
      <c r="AZ4908" s="184">
        <v>42661</v>
      </c>
      <c r="BA4908" t="s">
        <v>35327</v>
      </c>
      <c r="BB4908">
        <v>75</v>
      </c>
      <c r="BC4908">
        <v>60</v>
      </c>
      <c r="BD4908">
        <v>315</v>
      </c>
      <c r="BE4908">
        <v>2016</v>
      </c>
      <c r="BF4908">
        <v>6</v>
      </c>
      <c r="BG4908">
        <v>1</v>
      </c>
      <c r="BH4908">
        <v>50</v>
      </c>
      <c r="BI4908">
        <v>6</v>
      </c>
      <c r="BJ4908">
        <v>10</v>
      </c>
      <c r="BK4908">
        <v>4</v>
      </c>
      <c r="BN4908" t="s">
        <v>595</v>
      </c>
      <c r="BP4908" s="184"/>
    </row>
    <row r="4909" spans="1:68">
      <c r="A4909">
        <v>100163106</v>
      </c>
      <c r="B4909">
        <v>93756971</v>
      </c>
      <c r="C4909" t="s">
        <v>7018</v>
      </c>
      <c r="D4909" t="s">
        <v>595</v>
      </c>
      <c r="E4909" s="184">
        <v>45175</v>
      </c>
      <c r="G4909" s="184"/>
      <c r="I4909" s="184"/>
      <c r="K4909" s="184"/>
      <c r="O4909" s="184"/>
      <c r="P4909" t="s">
        <v>7045</v>
      </c>
      <c r="Q4909" t="s">
        <v>7160</v>
      </c>
      <c r="R4909" s="184">
        <v>22492</v>
      </c>
      <c r="S4909">
        <v>62</v>
      </c>
      <c r="V4909" t="s">
        <v>3593</v>
      </c>
      <c r="X4909" t="s">
        <v>5786</v>
      </c>
      <c r="Z4909">
        <v>93756971</v>
      </c>
      <c r="AB4909" t="s">
        <v>32472</v>
      </c>
      <c r="AD4909" t="s">
        <v>35318</v>
      </c>
      <c r="AF4909" t="s">
        <v>35319</v>
      </c>
      <c r="AG4909" t="s">
        <v>35320</v>
      </c>
      <c r="AI4909" t="s">
        <v>35321</v>
      </c>
      <c r="AM4909" t="s">
        <v>5014</v>
      </c>
      <c r="AN4909" t="s">
        <v>2413</v>
      </c>
      <c r="AO4909" t="s">
        <v>35322</v>
      </c>
      <c r="AP4909" t="s">
        <v>7024</v>
      </c>
      <c r="AT4909" s="184"/>
      <c r="AW4909" s="184"/>
      <c r="AZ4909" s="184"/>
      <c r="BP4909" s="184"/>
    </row>
    <row r="4910" spans="1:68">
      <c r="A4910">
        <v>93757268</v>
      </c>
      <c r="B4910">
        <v>93757268</v>
      </c>
      <c r="C4910" t="s">
        <v>7018</v>
      </c>
      <c r="D4910" t="s">
        <v>595</v>
      </c>
      <c r="E4910" s="184">
        <v>44073</v>
      </c>
      <c r="G4910" s="184"/>
      <c r="I4910" s="184"/>
      <c r="K4910" s="184"/>
      <c r="O4910" s="184"/>
      <c r="P4910" t="s">
        <v>7045</v>
      </c>
      <c r="Q4910" t="s">
        <v>7020</v>
      </c>
      <c r="R4910" s="184">
        <v>17455</v>
      </c>
      <c r="S4910">
        <v>76</v>
      </c>
      <c r="V4910" t="s">
        <v>3147</v>
      </c>
      <c r="X4910" t="s">
        <v>25328</v>
      </c>
      <c r="AF4910" t="s">
        <v>35328</v>
      </c>
      <c r="AG4910" t="s">
        <v>3147</v>
      </c>
      <c r="AI4910" t="s">
        <v>35329</v>
      </c>
      <c r="AM4910" t="s">
        <v>34574</v>
      </c>
      <c r="AN4910" t="s">
        <v>2240</v>
      </c>
      <c r="AO4910" t="s">
        <v>35330</v>
      </c>
      <c r="AP4910" t="s">
        <v>7024</v>
      </c>
      <c r="AQ4910" t="s">
        <v>35331</v>
      </c>
      <c r="AT4910" s="184">
        <v>42355</v>
      </c>
      <c r="AU4910" t="s">
        <v>35332</v>
      </c>
      <c r="AV4910">
        <v>50</v>
      </c>
      <c r="AW4910" s="184">
        <v>45302</v>
      </c>
      <c r="AX4910" t="s">
        <v>35333</v>
      </c>
      <c r="AY4910">
        <v>250</v>
      </c>
      <c r="AZ4910" s="184">
        <v>45302</v>
      </c>
      <c r="BA4910" t="s">
        <v>35333</v>
      </c>
      <c r="BB4910">
        <v>250</v>
      </c>
      <c r="BC4910">
        <v>80</v>
      </c>
      <c r="BD4910">
        <v>1150</v>
      </c>
      <c r="BE4910">
        <v>2016</v>
      </c>
      <c r="BF4910">
        <v>8</v>
      </c>
      <c r="BG4910">
        <v>2</v>
      </c>
      <c r="BH4910">
        <v>500</v>
      </c>
      <c r="BI4910">
        <v>8</v>
      </c>
      <c r="BJ4910">
        <v>10</v>
      </c>
      <c r="BK4910">
        <v>5</v>
      </c>
      <c r="BP4910" s="184"/>
    </row>
    <row r="4911" spans="1:68">
      <c r="A4911">
        <v>93763399</v>
      </c>
      <c r="B4911">
        <v>93763399</v>
      </c>
      <c r="C4911" t="s">
        <v>7018</v>
      </c>
      <c r="D4911" t="s">
        <v>595</v>
      </c>
      <c r="E4911" s="184">
        <v>45152</v>
      </c>
      <c r="G4911" s="184"/>
      <c r="I4911" s="184"/>
      <c r="K4911" s="184"/>
      <c r="O4911" s="184"/>
      <c r="P4911" t="s">
        <v>7045</v>
      </c>
      <c r="Q4911" t="s">
        <v>7383</v>
      </c>
      <c r="R4911" s="184">
        <v>14679</v>
      </c>
      <c r="S4911">
        <v>84</v>
      </c>
      <c r="U4911" t="s">
        <v>7076</v>
      </c>
      <c r="V4911" t="s">
        <v>2718</v>
      </c>
      <c r="W4911" t="s">
        <v>4139</v>
      </c>
      <c r="X4911" t="s">
        <v>35334</v>
      </c>
      <c r="AF4911" t="s">
        <v>35335</v>
      </c>
      <c r="AG4911" t="s">
        <v>2718</v>
      </c>
      <c r="AI4911" t="s">
        <v>35336</v>
      </c>
      <c r="AM4911" t="s">
        <v>2703</v>
      </c>
      <c r="AN4911" t="s">
        <v>2064</v>
      </c>
      <c r="AO4911" t="s">
        <v>35337</v>
      </c>
      <c r="AP4911" t="s">
        <v>7024</v>
      </c>
      <c r="AQ4911" t="s">
        <v>35338</v>
      </c>
      <c r="AT4911" s="184">
        <v>42359</v>
      </c>
      <c r="AU4911" t="s">
        <v>35339</v>
      </c>
      <c r="AV4911">
        <v>25</v>
      </c>
      <c r="AW4911" s="184">
        <v>45321</v>
      </c>
      <c r="AX4911" t="s">
        <v>7092</v>
      </c>
      <c r="AY4911">
        <v>500</v>
      </c>
      <c r="AZ4911" s="184">
        <v>45321</v>
      </c>
      <c r="BA4911" t="s">
        <v>7092</v>
      </c>
      <c r="BB4911">
        <v>500</v>
      </c>
      <c r="BC4911">
        <v>70</v>
      </c>
      <c r="BD4911">
        <v>1825</v>
      </c>
      <c r="BE4911">
        <v>2016</v>
      </c>
      <c r="BF4911">
        <v>9</v>
      </c>
      <c r="BG4911">
        <v>2</v>
      </c>
      <c r="BH4911">
        <v>1000</v>
      </c>
      <c r="BI4911">
        <v>7</v>
      </c>
      <c r="BJ4911">
        <v>10</v>
      </c>
      <c r="BK4911">
        <v>5</v>
      </c>
      <c r="BP4911" s="184"/>
    </row>
    <row r="4912" spans="1:68">
      <c r="A4912">
        <v>93766194</v>
      </c>
      <c r="B4912">
        <v>93766194</v>
      </c>
      <c r="C4912" t="s">
        <v>7018</v>
      </c>
      <c r="E4912" s="184"/>
      <c r="G4912" s="184"/>
      <c r="I4912" s="184"/>
      <c r="J4912" t="s">
        <v>595</v>
      </c>
      <c r="K4912" s="184">
        <v>43248</v>
      </c>
      <c r="M4912" s="184"/>
      <c r="O4912" s="184"/>
      <c r="P4912" t="s">
        <v>7019</v>
      </c>
      <c r="Q4912" t="s">
        <v>7160</v>
      </c>
      <c r="R4912" s="184">
        <v>20059</v>
      </c>
      <c r="S4912">
        <v>69</v>
      </c>
      <c r="V4912" t="s">
        <v>2821</v>
      </c>
      <c r="X4912" t="s">
        <v>35340</v>
      </c>
      <c r="Z4912">
        <v>100163131</v>
      </c>
      <c r="AB4912" t="s">
        <v>22502</v>
      </c>
      <c r="AD4912" t="s">
        <v>35340</v>
      </c>
      <c r="AF4912" t="s">
        <v>6687</v>
      </c>
      <c r="AG4912" t="s">
        <v>35341</v>
      </c>
      <c r="AI4912" t="s">
        <v>35342</v>
      </c>
      <c r="AM4912" t="s">
        <v>3989</v>
      </c>
      <c r="AN4912" t="s">
        <v>2413</v>
      </c>
      <c r="AO4912" t="s">
        <v>35343</v>
      </c>
      <c r="AP4912" t="s">
        <v>7024</v>
      </c>
      <c r="AQ4912" t="s">
        <v>35344</v>
      </c>
      <c r="AT4912" s="184">
        <v>42359</v>
      </c>
      <c r="AU4912" t="s">
        <v>35345</v>
      </c>
      <c r="AV4912">
        <v>25</v>
      </c>
      <c r="AW4912" s="184">
        <v>44504</v>
      </c>
      <c r="AX4912" t="s">
        <v>7714</v>
      </c>
      <c r="AY4912">
        <v>87</v>
      </c>
      <c r="AZ4912" s="184">
        <v>44504</v>
      </c>
      <c r="BA4912" t="s">
        <v>7714</v>
      </c>
      <c r="BB4912">
        <v>87</v>
      </c>
      <c r="BC4912">
        <v>50</v>
      </c>
      <c r="BD4912">
        <v>257</v>
      </c>
      <c r="BE4912">
        <v>2016</v>
      </c>
      <c r="BF4912">
        <v>6</v>
      </c>
      <c r="BI4912">
        <v>5</v>
      </c>
      <c r="BJ4912">
        <v>10</v>
      </c>
      <c r="BK4912">
        <v>3</v>
      </c>
      <c r="BP4912" s="184"/>
    </row>
    <row r="4913" spans="1:68">
      <c r="A4913">
        <v>100163131</v>
      </c>
      <c r="B4913">
        <v>93766194</v>
      </c>
      <c r="C4913" t="s">
        <v>7018</v>
      </c>
      <c r="E4913" s="184"/>
      <c r="G4913" s="184"/>
      <c r="I4913" s="184"/>
      <c r="J4913" t="s">
        <v>595</v>
      </c>
      <c r="K4913" s="184">
        <v>43248</v>
      </c>
      <c r="M4913" s="184"/>
      <c r="O4913" s="184"/>
      <c r="P4913" t="s">
        <v>7019</v>
      </c>
      <c r="Q4913" t="s">
        <v>7160</v>
      </c>
      <c r="R4913" s="184">
        <v>20271</v>
      </c>
      <c r="S4913">
        <v>68</v>
      </c>
      <c r="V4913" t="s">
        <v>22502</v>
      </c>
      <c r="X4913" t="s">
        <v>35340</v>
      </c>
      <c r="Z4913">
        <v>93766194</v>
      </c>
      <c r="AB4913" t="s">
        <v>2821</v>
      </c>
      <c r="AD4913" t="s">
        <v>35340</v>
      </c>
      <c r="AF4913" t="s">
        <v>6687</v>
      </c>
      <c r="AG4913" t="s">
        <v>35341</v>
      </c>
      <c r="AI4913" t="s">
        <v>35342</v>
      </c>
      <c r="AM4913" t="s">
        <v>3989</v>
      </c>
      <c r="AN4913" t="s">
        <v>2413</v>
      </c>
      <c r="AO4913" t="s">
        <v>35343</v>
      </c>
      <c r="AP4913" t="s">
        <v>7024</v>
      </c>
      <c r="AT4913" s="184"/>
      <c r="AW4913" s="184"/>
      <c r="AZ4913" s="184"/>
      <c r="BP4913" s="184"/>
    </row>
    <row r="4914" spans="1:68">
      <c r="A4914">
        <v>93781318</v>
      </c>
      <c r="B4914">
        <v>93781318</v>
      </c>
      <c r="C4914" t="s">
        <v>7018</v>
      </c>
      <c r="D4914" t="s">
        <v>595</v>
      </c>
      <c r="E4914" s="184">
        <v>44073</v>
      </c>
      <c r="G4914" s="184"/>
      <c r="I4914" s="184"/>
      <c r="K4914" s="184"/>
      <c r="O4914" s="184"/>
      <c r="P4914" t="s">
        <v>7045</v>
      </c>
      <c r="Q4914" t="s">
        <v>7030</v>
      </c>
      <c r="R4914" s="184">
        <v>16613</v>
      </c>
      <c r="S4914">
        <v>78</v>
      </c>
      <c r="V4914" t="s">
        <v>3872</v>
      </c>
      <c r="X4914" t="s">
        <v>35346</v>
      </c>
      <c r="AF4914" t="s">
        <v>35347</v>
      </c>
      <c r="AG4914" t="s">
        <v>3872</v>
      </c>
      <c r="AI4914" t="s">
        <v>35348</v>
      </c>
      <c r="AM4914" t="s">
        <v>3415</v>
      </c>
      <c r="AN4914" t="s">
        <v>2094</v>
      </c>
      <c r="AO4914" t="s">
        <v>35349</v>
      </c>
      <c r="AP4914" t="s">
        <v>7024</v>
      </c>
      <c r="AQ4914" t="s">
        <v>35350</v>
      </c>
      <c r="AR4914" t="s">
        <v>35351</v>
      </c>
      <c r="AT4914" s="184">
        <v>42362</v>
      </c>
      <c r="AU4914" t="s">
        <v>35284</v>
      </c>
      <c r="AV4914">
        <v>50</v>
      </c>
      <c r="AW4914" s="184">
        <v>45322</v>
      </c>
      <c r="AX4914" t="s">
        <v>35352</v>
      </c>
      <c r="AY4914">
        <v>250</v>
      </c>
      <c r="AZ4914" s="184">
        <v>45322</v>
      </c>
      <c r="BA4914" t="s">
        <v>35352</v>
      </c>
      <c r="BB4914">
        <v>250</v>
      </c>
      <c r="BC4914">
        <v>100</v>
      </c>
      <c r="BD4914">
        <v>3750</v>
      </c>
      <c r="BE4914">
        <v>2016</v>
      </c>
      <c r="BF4914">
        <v>23</v>
      </c>
      <c r="BG4914">
        <v>8</v>
      </c>
      <c r="BH4914">
        <v>1525</v>
      </c>
      <c r="BI4914">
        <v>10</v>
      </c>
      <c r="BJ4914">
        <v>10</v>
      </c>
      <c r="BK4914">
        <v>10</v>
      </c>
      <c r="BP4914" s="184"/>
    </row>
    <row r="4915" spans="1:68">
      <c r="A4915">
        <v>93801215</v>
      </c>
      <c r="B4915">
        <v>93801215</v>
      </c>
      <c r="C4915" t="s">
        <v>7018</v>
      </c>
      <c r="E4915" s="184"/>
      <c r="G4915" s="184"/>
      <c r="I4915" s="184"/>
      <c r="J4915" t="s">
        <v>595</v>
      </c>
      <c r="K4915" s="184">
        <v>44070</v>
      </c>
      <c r="M4915" s="184"/>
      <c r="O4915" s="184"/>
      <c r="P4915" t="s">
        <v>7029</v>
      </c>
      <c r="Q4915" t="s">
        <v>7020</v>
      </c>
      <c r="R4915" s="184">
        <v>12650</v>
      </c>
      <c r="S4915">
        <v>89</v>
      </c>
      <c r="U4915" t="s">
        <v>7076</v>
      </c>
      <c r="V4915" t="s">
        <v>3101</v>
      </c>
      <c r="W4915" t="s">
        <v>7396</v>
      </c>
      <c r="X4915" t="s">
        <v>35353</v>
      </c>
      <c r="AF4915" t="s">
        <v>35354</v>
      </c>
      <c r="AG4915" t="s">
        <v>3101</v>
      </c>
      <c r="AI4915" t="s">
        <v>35355</v>
      </c>
      <c r="AM4915" t="s">
        <v>35356</v>
      </c>
      <c r="AN4915" t="s">
        <v>2129</v>
      </c>
      <c r="AO4915" t="s">
        <v>35357</v>
      </c>
      <c r="AP4915" t="s">
        <v>7024</v>
      </c>
      <c r="AQ4915" t="s">
        <v>35358</v>
      </c>
      <c r="AT4915" s="184">
        <v>42369</v>
      </c>
      <c r="AU4915" t="s">
        <v>35339</v>
      </c>
      <c r="AV4915">
        <v>100</v>
      </c>
      <c r="AW4915" s="184">
        <v>44207</v>
      </c>
      <c r="AX4915" t="s">
        <v>35359</v>
      </c>
      <c r="AY4915">
        <v>2500</v>
      </c>
      <c r="AZ4915" s="184">
        <v>43474</v>
      </c>
      <c r="BA4915" t="s">
        <v>35360</v>
      </c>
      <c r="BB4915">
        <v>3000</v>
      </c>
      <c r="BC4915">
        <v>50</v>
      </c>
      <c r="BD4915">
        <v>8319</v>
      </c>
      <c r="BE4915">
        <v>2016</v>
      </c>
      <c r="BF4915">
        <v>6</v>
      </c>
      <c r="BI4915">
        <v>5</v>
      </c>
      <c r="BJ4915">
        <v>10</v>
      </c>
      <c r="BK4915">
        <v>3</v>
      </c>
      <c r="BP4915" s="184"/>
    </row>
    <row r="4916" spans="1:68">
      <c r="A4916">
        <v>93801827</v>
      </c>
      <c r="B4916">
        <v>93801827</v>
      </c>
      <c r="C4916" t="s">
        <v>7018</v>
      </c>
      <c r="D4916" t="s">
        <v>595</v>
      </c>
      <c r="E4916" s="184">
        <v>44484</v>
      </c>
      <c r="G4916" s="184"/>
      <c r="I4916" s="184"/>
      <c r="K4916" s="184"/>
      <c r="M4916" s="184"/>
      <c r="O4916" s="184"/>
      <c r="P4916" t="s">
        <v>7045</v>
      </c>
      <c r="Q4916" t="s">
        <v>7262</v>
      </c>
      <c r="R4916" s="184">
        <v>13144</v>
      </c>
      <c r="S4916">
        <v>88</v>
      </c>
      <c r="U4916" t="s">
        <v>7031</v>
      </c>
      <c r="V4916" t="s">
        <v>2982</v>
      </c>
      <c r="W4916" t="s">
        <v>3522</v>
      </c>
      <c r="X4916" t="s">
        <v>5990</v>
      </c>
      <c r="AF4916" t="s">
        <v>35361</v>
      </c>
      <c r="AG4916" t="s">
        <v>2982</v>
      </c>
      <c r="AI4916" t="s">
        <v>35362</v>
      </c>
      <c r="AM4916" t="s">
        <v>4657</v>
      </c>
      <c r="AN4916" t="s">
        <v>2069</v>
      </c>
      <c r="AO4916" t="s">
        <v>35363</v>
      </c>
      <c r="AP4916" t="s">
        <v>7024</v>
      </c>
      <c r="AQ4916" t="s">
        <v>35364</v>
      </c>
      <c r="AR4916" t="s">
        <v>35365</v>
      </c>
      <c r="AT4916" s="184">
        <v>42369</v>
      </c>
      <c r="AU4916" t="s">
        <v>35366</v>
      </c>
      <c r="AV4916">
        <v>25</v>
      </c>
      <c r="AW4916" s="184">
        <v>44453</v>
      </c>
      <c r="AX4916" t="s">
        <v>35367</v>
      </c>
      <c r="AY4916">
        <v>25</v>
      </c>
      <c r="AZ4916" s="184">
        <v>43360</v>
      </c>
      <c r="BA4916" t="s">
        <v>8727</v>
      </c>
      <c r="BB4916">
        <v>60</v>
      </c>
      <c r="BC4916">
        <v>60</v>
      </c>
      <c r="BD4916">
        <v>570</v>
      </c>
      <c r="BE4916">
        <v>2016</v>
      </c>
      <c r="BF4916">
        <v>22</v>
      </c>
      <c r="BI4916">
        <v>6</v>
      </c>
      <c r="BJ4916">
        <v>10</v>
      </c>
      <c r="BK4916">
        <v>5</v>
      </c>
      <c r="BP4916" s="184"/>
    </row>
    <row r="4917" spans="1:68">
      <c r="A4917">
        <v>93811248</v>
      </c>
      <c r="B4917">
        <v>93811248</v>
      </c>
      <c r="C4917" t="s">
        <v>7018</v>
      </c>
      <c r="D4917" t="s">
        <v>595</v>
      </c>
      <c r="E4917" s="184">
        <v>45148</v>
      </c>
      <c r="G4917" s="184"/>
      <c r="I4917" s="184"/>
      <c r="K4917" s="184"/>
      <c r="M4917" s="184"/>
      <c r="O4917" s="184"/>
      <c r="P4917" t="s">
        <v>7045</v>
      </c>
      <c r="Q4917" t="s">
        <v>7383</v>
      </c>
      <c r="R4917" s="184">
        <v>18507</v>
      </c>
      <c r="S4917">
        <v>73</v>
      </c>
      <c r="U4917" t="s">
        <v>7031</v>
      </c>
      <c r="V4917" t="s">
        <v>4676</v>
      </c>
      <c r="X4917" t="s">
        <v>35368</v>
      </c>
      <c r="AF4917" t="s">
        <v>35369</v>
      </c>
      <c r="AG4917" t="s">
        <v>4676</v>
      </c>
      <c r="AI4917" t="s">
        <v>35370</v>
      </c>
      <c r="AM4917" t="s">
        <v>4595</v>
      </c>
      <c r="AN4917" t="s">
        <v>2274</v>
      </c>
      <c r="AO4917" t="s">
        <v>35371</v>
      </c>
      <c r="AP4917" t="s">
        <v>7024</v>
      </c>
      <c r="AQ4917" t="s">
        <v>35372</v>
      </c>
      <c r="AT4917" s="184">
        <v>42374</v>
      </c>
      <c r="AU4917" t="s">
        <v>34908</v>
      </c>
      <c r="AV4917">
        <v>15</v>
      </c>
      <c r="AW4917" s="184">
        <v>45307</v>
      </c>
      <c r="AX4917" t="s">
        <v>7092</v>
      </c>
      <c r="AY4917">
        <v>50</v>
      </c>
      <c r="AZ4917" s="184">
        <v>43812</v>
      </c>
      <c r="BA4917" t="s">
        <v>24180</v>
      </c>
      <c r="BB4917">
        <v>60</v>
      </c>
      <c r="BC4917">
        <v>67</v>
      </c>
      <c r="BD4917">
        <v>275</v>
      </c>
      <c r="BE4917">
        <v>2016</v>
      </c>
      <c r="BF4917">
        <v>8</v>
      </c>
      <c r="BG4917">
        <v>2</v>
      </c>
      <c r="BH4917">
        <v>100</v>
      </c>
      <c r="BI4917">
        <v>6</v>
      </c>
      <c r="BJ4917">
        <v>9</v>
      </c>
      <c r="BK4917">
        <v>4</v>
      </c>
      <c r="BP4917" s="184"/>
    </row>
    <row r="4918" spans="1:68">
      <c r="A4918">
        <v>93813004</v>
      </c>
      <c r="B4918">
        <v>93813004</v>
      </c>
      <c r="C4918" t="s">
        <v>7018</v>
      </c>
      <c r="E4918" s="184"/>
      <c r="G4918" s="184"/>
      <c r="H4918" t="s">
        <v>595</v>
      </c>
      <c r="I4918" s="184">
        <v>45223</v>
      </c>
      <c r="K4918" s="184"/>
      <c r="M4918" s="184"/>
      <c r="N4918" t="s">
        <v>595</v>
      </c>
      <c r="O4918" s="184">
        <v>45237</v>
      </c>
      <c r="P4918" t="s">
        <v>7029</v>
      </c>
      <c r="Q4918" t="s">
        <v>7383</v>
      </c>
      <c r="R4918" s="184">
        <v>19076</v>
      </c>
      <c r="S4918">
        <v>72</v>
      </c>
      <c r="V4918" t="s">
        <v>2697</v>
      </c>
      <c r="X4918" t="s">
        <v>35373</v>
      </c>
      <c r="AF4918" t="s">
        <v>35374</v>
      </c>
      <c r="AG4918" t="s">
        <v>2697</v>
      </c>
      <c r="AI4918" t="s">
        <v>35375</v>
      </c>
      <c r="AM4918" t="s">
        <v>8078</v>
      </c>
      <c r="AN4918" t="s">
        <v>2313</v>
      </c>
      <c r="AO4918" t="s">
        <v>35376</v>
      </c>
      <c r="AP4918" t="s">
        <v>7024</v>
      </c>
      <c r="AQ4918" t="s">
        <v>35377</v>
      </c>
      <c r="AR4918" t="s">
        <v>35378</v>
      </c>
      <c r="AT4918" s="184">
        <v>42374</v>
      </c>
      <c r="AU4918" t="s">
        <v>35366</v>
      </c>
      <c r="AV4918">
        <v>25</v>
      </c>
      <c r="AW4918" s="184">
        <v>45237</v>
      </c>
      <c r="AX4918" t="s">
        <v>8152</v>
      </c>
      <c r="AY4918">
        <v>15000</v>
      </c>
      <c r="AZ4918" s="184">
        <v>45237</v>
      </c>
      <c r="BA4918" t="s">
        <v>8152</v>
      </c>
      <c r="BB4918">
        <v>15000</v>
      </c>
      <c r="BC4918">
        <v>89</v>
      </c>
      <c r="BD4918">
        <v>17450</v>
      </c>
      <c r="BE4918">
        <v>2016</v>
      </c>
      <c r="BF4918">
        <v>15</v>
      </c>
      <c r="BG4918">
        <v>2</v>
      </c>
      <c r="BH4918">
        <v>16500</v>
      </c>
      <c r="BI4918">
        <v>8</v>
      </c>
      <c r="BJ4918">
        <v>9</v>
      </c>
      <c r="BK4918">
        <v>8</v>
      </c>
      <c r="BP4918" s="184"/>
    </row>
    <row r="4919" spans="1:68">
      <c r="A4919">
        <v>93818235</v>
      </c>
      <c r="B4919">
        <v>93818235</v>
      </c>
      <c r="C4919" t="s">
        <v>7018</v>
      </c>
      <c r="E4919" s="184"/>
      <c r="G4919" s="184"/>
      <c r="I4919" s="184"/>
      <c r="J4919" t="s">
        <v>595</v>
      </c>
      <c r="K4919" s="184">
        <v>44104</v>
      </c>
      <c r="M4919" s="184"/>
      <c r="O4919" s="184"/>
      <c r="P4919" t="s">
        <v>7045</v>
      </c>
      <c r="Q4919" t="s">
        <v>7374</v>
      </c>
      <c r="R4919" s="184">
        <v>19937</v>
      </c>
      <c r="S4919">
        <v>69</v>
      </c>
      <c r="U4919" t="s">
        <v>7076</v>
      </c>
      <c r="V4919" t="s">
        <v>3580</v>
      </c>
      <c r="X4919" t="s">
        <v>4777</v>
      </c>
      <c r="AF4919" t="s">
        <v>35379</v>
      </c>
      <c r="AG4919" t="s">
        <v>3580</v>
      </c>
      <c r="AI4919" t="s">
        <v>35380</v>
      </c>
      <c r="AM4919" t="s">
        <v>35381</v>
      </c>
      <c r="AN4919" t="s">
        <v>2081</v>
      </c>
      <c r="AO4919" t="s">
        <v>35382</v>
      </c>
      <c r="AP4919" t="s">
        <v>7024</v>
      </c>
      <c r="AQ4919" t="s">
        <v>35383</v>
      </c>
      <c r="AR4919" t="s">
        <v>35384</v>
      </c>
      <c r="AT4919" s="184">
        <v>42377</v>
      </c>
      <c r="AU4919" t="s">
        <v>35385</v>
      </c>
      <c r="AV4919">
        <v>25</v>
      </c>
      <c r="AW4919" s="184">
        <v>45329</v>
      </c>
      <c r="AX4919" t="s">
        <v>17901</v>
      </c>
      <c r="AY4919">
        <v>50</v>
      </c>
      <c r="AZ4919" s="184">
        <v>45329</v>
      </c>
      <c r="BA4919" t="s">
        <v>17901</v>
      </c>
      <c r="BB4919">
        <v>50</v>
      </c>
      <c r="BC4919">
        <v>89</v>
      </c>
      <c r="BD4919">
        <v>501.75</v>
      </c>
      <c r="BE4919">
        <v>2016</v>
      </c>
      <c r="BF4919">
        <v>14</v>
      </c>
      <c r="BG4919">
        <v>4</v>
      </c>
      <c r="BH4919">
        <v>186.75</v>
      </c>
      <c r="BI4919">
        <v>8</v>
      </c>
      <c r="BJ4919">
        <v>9</v>
      </c>
      <c r="BK4919">
        <v>6</v>
      </c>
      <c r="BP4919" s="184"/>
    </row>
    <row r="4920" spans="1:68">
      <c r="A4920">
        <v>93819571</v>
      </c>
      <c r="B4920">
        <v>93819571</v>
      </c>
      <c r="C4920" t="s">
        <v>7018</v>
      </c>
      <c r="D4920" t="s">
        <v>595</v>
      </c>
      <c r="E4920" s="184">
        <v>45148</v>
      </c>
      <c r="G4920" s="184"/>
      <c r="I4920" s="184"/>
      <c r="K4920" s="184"/>
      <c r="O4920" s="184"/>
      <c r="P4920" t="s">
        <v>7045</v>
      </c>
      <c r="Q4920" t="s">
        <v>7494</v>
      </c>
      <c r="R4920" s="184">
        <v>17350</v>
      </c>
      <c r="S4920">
        <v>76</v>
      </c>
      <c r="V4920" t="s">
        <v>2832</v>
      </c>
      <c r="W4920" t="s">
        <v>8224</v>
      </c>
      <c r="X4920" t="s">
        <v>4555</v>
      </c>
      <c r="AF4920" t="s">
        <v>35386</v>
      </c>
      <c r="AG4920" t="s">
        <v>2832</v>
      </c>
      <c r="AI4920" t="s">
        <v>35387</v>
      </c>
      <c r="AM4920" t="s">
        <v>2582</v>
      </c>
      <c r="AN4920" t="s">
        <v>2174</v>
      </c>
      <c r="AO4920" t="s">
        <v>35388</v>
      </c>
      <c r="AP4920" t="s">
        <v>7024</v>
      </c>
      <c r="AQ4920" t="s">
        <v>35389</v>
      </c>
      <c r="AT4920" s="184">
        <v>42377</v>
      </c>
      <c r="AU4920" t="s">
        <v>35390</v>
      </c>
      <c r="AV4920">
        <v>25</v>
      </c>
      <c r="AW4920" s="184">
        <v>45342</v>
      </c>
      <c r="AX4920" t="s">
        <v>7972</v>
      </c>
      <c r="AY4920">
        <v>50</v>
      </c>
      <c r="AZ4920" s="184">
        <v>45342</v>
      </c>
      <c r="BA4920" t="s">
        <v>7972</v>
      </c>
      <c r="BB4920">
        <v>50</v>
      </c>
      <c r="BC4920">
        <v>100</v>
      </c>
      <c r="BD4920">
        <v>300</v>
      </c>
      <c r="BE4920">
        <v>2016</v>
      </c>
      <c r="BF4920">
        <v>9</v>
      </c>
      <c r="BG4920">
        <v>2</v>
      </c>
      <c r="BH4920">
        <v>100</v>
      </c>
      <c r="BI4920">
        <v>9</v>
      </c>
      <c r="BJ4920">
        <v>9</v>
      </c>
      <c r="BK4920">
        <v>9</v>
      </c>
      <c r="BP4920" s="184"/>
    </row>
    <row r="4921" spans="1:68">
      <c r="A4921">
        <v>93906501</v>
      </c>
      <c r="B4921">
        <v>93906501</v>
      </c>
      <c r="C4921" t="s">
        <v>7018</v>
      </c>
      <c r="D4921" t="s">
        <v>595</v>
      </c>
      <c r="E4921" s="184">
        <v>45141</v>
      </c>
      <c r="G4921" s="184"/>
      <c r="I4921" s="184"/>
      <c r="K4921" s="184"/>
      <c r="M4921" s="184"/>
      <c r="O4921" s="184"/>
      <c r="P4921" t="s">
        <v>7019</v>
      </c>
      <c r="Q4921" t="s">
        <v>7160</v>
      </c>
      <c r="R4921" s="184">
        <v>23684</v>
      </c>
      <c r="S4921">
        <v>59</v>
      </c>
      <c r="V4921" t="s">
        <v>2863</v>
      </c>
      <c r="W4921" t="s">
        <v>2316</v>
      </c>
      <c r="X4921" t="s">
        <v>3149</v>
      </c>
      <c r="Z4921">
        <v>100163500</v>
      </c>
      <c r="AB4921" t="s">
        <v>4724</v>
      </c>
      <c r="AC4921" t="s">
        <v>2049</v>
      </c>
      <c r="AD4921" t="s">
        <v>3149</v>
      </c>
      <c r="AF4921" t="s">
        <v>35391</v>
      </c>
      <c r="AG4921" t="s">
        <v>35392</v>
      </c>
      <c r="AI4921" t="s">
        <v>35393</v>
      </c>
      <c r="AM4921" t="s">
        <v>14232</v>
      </c>
      <c r="AN4921" t="s">
        <v>2675</v>
      </c>
      <c r="AO4921" t="s">
        <v>35394</v>
      </c>
      <c r="AP4921" t="s">
        <v>7024</v>
      </c>
      <c r="AQ4921" t="s">
        <v>35395</v>
      </c>
      <c r="AT4921" s="184">
        <v>42405</v>
      </c>
      <c r="AU4921" t="s">
        <v>35396</v>
      </c>
      <c r="AV4921">
        <v>25</v>
      </c>
      <c r="AW4921" s="184">
        <v>44172</v>
      </c>
      <c r="AX4921" t="s">
        <v>7106</v>
      </c>
      <c r="AY4921">
        <v>60</v>
      </c>
      <c r="AZ4921" s="184">
        <v>44172</v>
      </c>
      <c r="BA4921" t="s">
        <v>7106</v>
      </c>
      <c r="BB4921">
        <v>60</v>
      </c>
      <c r="BC4921">
        <v>56</v>
      </c>
      <c r="BD4921">
        <v>160</v>
      </c>
      <c r="BE4921">
        <v>2016</v>
      </c>
      <c r="BF4921">
        <v>5</v>
      </c>
      <c r="BI4921">
        <v>5</v>
      </c>
      <c r="BJ4921">
        <v>9</v>
      </c>
      <c r="BK4921">
        <v>5</v>
      </c>
      <c r="BP4921" s="184"/>
    </row>
    <row r="4922" spans="1:68">
      <c r="A4922">
        <v>93906600</v>
      </c>
      <c r="B4922">
        <v>93906600</v>
      </c>
      <c r="C4922" t="s">
        <v>7018</v>
      </c>
      <c r="D4922" t="s">
        <v>595</v>
      </c>
      <c r="E4922" s="184">
        <v>45148</v>
      </c>
      <c r="G4922" s="184"/>
      <c r="I4922" s="184"/>
      <c r="K4922" s="184"/>
      <c r="M4922" s="184"/>
      <c r="O4922" s="184"/>
      <c r="P4922" t="s">
        <v>7045</v>
      </c>
      <c r="Q4922" t="s">
        <v>7494</v>
      </c>
      <c r="R4922" s="184">
        <v>15285</v>
      </c>
      <c r="S4922">
        <v>82</v>
      </c>
      <c r="U4922" t="s">
        <v>7031</v>
      </c>
      <c r="V4922" t="s">
        <v>3825</v>
      </c>
      <c r="W4922" t="s">
        <v>7085</v>
      </c>
      <c r="X4922" t="s">
        <v>27391</v>
      </c>
      <c r="Y4922" t="s">
        <v>7047</v>
      </c>
      <c r="AF4922" t="s">
        <v>35397</v>
      </c>
      <c r="AG4922" t="s">
        <v>3825</v>
      </c>
      <c r="AI4922" t="s">
        <v>35398</v>
      </c>
      <c r="AM4922" t="s">
        <v>3371</v>
      </c>
      <c r="AN4922" t="s">
        <v>2174</v>
      </c>
      <c r="AO4922" t="s">
        <v>35399</v>
      </c>
      <c r="AP4922" t="s">
        <v>7024</v>
      </c>
      <c r="AQ4922" t="s">
        <v>35400</v>
      </c>
      <c r="AT4922" s="184">
        <v>42405</v>
      </c>
      <c r="AU4922" t="s">
        <v>34560</v>
      </c>
      <c r="AV4922">
        <v>25</v>
      </c>
      <c r="AW4922" s="184">
        <v>44447</v>
      </c>
      <c r="AX4922" t="s">
        <v>14359</v>
      </c>
      <c r="AY4922">
        <v>35</v>
      </c>
      <c r="AZ4922" s="184">
        <v>42895</v>
      </c>
      <c r="BA4922" t="s">
        <v>20452</v>
      </c>
      <c r="BB4922">
        <v>45</v>
      </c>
      <c r="BC4922">
        <v>56</v>
      </c>
      <c r="BD4922">
        <v>250</v>
      </c>
      <c r="BE4922">
        <v>2016</v>
      </c>
      <c r="BF4922">
        <v>8</v>
      </c>
      <c r="BI4922">
        <v>5</v>
      </c>
      <c r="BJ4922">
        <v>9</v>
      </c>
      <c r="BK4922">
        <v>3</v>
      </c>
      <c r="BP4922" s="184"/>
    </row>
    <row r="4923" spans="1:68">
      <c r="A4923">
        <v>93914687</v>
      </c>
      <c r="B4923">
        <v>93914687</v>
      </c>
      <c r="C4923" t="s">
        <v>7018</v>
      </c>
      <c r="D4923" t="s">
        <v>595</v>
      </c>
      <c r="E4923" s="184">
        <v>45113</v>
      </c>
      <c r="G4923" s="184"/>
      <c r="I4923" s="184"/>
      <c r="K4923" s="184"/>
      <c r="M4923" s="184"/>
      <c r="O4923" s="184"/>
      <c r="P4923" t="s">
        <v>7045</v>
      </c>
      <c r="Q4923" t="s">
        <v>7383</v>
      </c>
      <c r="R4923" s="184">
        <v>16954</v>
      </c>
      <c r="S4923">
        <v>77</v>
      </c>
      <c r="U4923" t="s">
        <v>7076</v>
      </c>
      <c r="V4923" t="s">
        <v>3043</v>
      </c>
      <c r="W4923" t="s">
        <v>4139</v>
      </c>
      <c r="X4923" t="s">
        <v>3233</v>
      </c>
      <c r="AF4923" t="s">
        <v>35401</v>
      </c>
      <c r="AG4923" t="s">
        <v>3043</v>
      </c>
      <c r="AI4923" t="s">
        <v>35402</v>
      </c>
      <c r="AM4923" t="s">
        <v>29010</v>
      </c>
      <c r="AN4923" t="s">
        <v>2274</v>
      </c>
      <c r="AO4923" t="s">
        <v>35403</v>
      </c>
      <c r="AP4923" t="s">
        <v>7024</v>
      </c>
      <c r="AQ4923" t="s">
        <v>35404</v>
      </c>
      <c r="AT4923" s="184">
        <v>43209</v>
      </c>
      <c r="AU4923" t="s">
        <v>30726</v>
      </c>
      <c r="AV4923">
        <v>15</v>
      </c>
      <c r="AW4923" s="184">
        <v>45097</v>
      </c>
      <c r="AX4923" t="s">
        <v>17919</v>
      </c>
      <c r="AY4923">
        <v>25</v>
      </c>
      <c r="AZ4923" s="184">
        <v>45097</v>
      </c>
      <c r="BA4923" t="s">
        <v>17919</v>
      </c>
      <c r="BB4923">
        <v>25</v>
      </c>
      <c r="BC4923">
        <v>86</v>
      </c>
      <c r="BD4923">
        <v>175</v>
      </c>
      <c r="BE4923">
        <v>2018</v>
      </c>
      <c r="BF4923">
        <v>8</v>
      </c>
      <c r="BG4923">
        <v>3</v>
      </c>
      <c r="BH4923">
        <v>75</v>
      </c>
      <c r="BI4923">
        <v>6</v>
      </c>
      <c r="BJ4923">
        <v>7</v>
      </c>
      <c r="BK4923">
        <v>6</v>
      </c>
      <c r="BP4923" s="184"/>
    </row>
    <row r="4924" spans="1:68">
      <c r="A4924">
        <v>93925295</v>
      </c>
      <c r="B4924">
        <v>93925295</v>
      </c>
      <c r="C4924" t="s">
        <v>7018</v>
      </c>
      <c r="D4924" t="s">
        <v>595</v>
      </c>
      <c r="E4924" s="184">
        <v>45195</v>
      </c>
      <c r="G4924" s="184"/>
      <c r="I4924" s="184"/>
      <c r="K4924" s="184"/>
      <c r="M4924" s="184"/>
      <c r="O4924" s="184"/>
      <c r="P4924" t="s">
        <v>7045</v>
      </c>
      <c r="Q4924" t="s">
        <v>7383</v>
      </c>
      <c r="R4924" s="184">
        <v>16893</v>
      </c>
      <c r="S4924">
        <v>78</v>
      </c>
      <c r="U4924" t="s">
        <v>7031</v>
      </c>
      <c r="V4924" t="s">
        <v>4926</v>
      </c>
      <c r="X4924" t="s">
        <v>5057</v>
      </c>
      <c r="AF4924" t="s">
        <v>35405</v>
      </c>
      <c r="AG4924" t="s">
        <v>4926</v>
      </c>
      <c r="AI4924" t="s">
        <v>35406</v>
      </c>
      <c r="AM4924" t="s">
        <v>34401</v>
      </c>
      <c r="AN4924" t="s">
        <v>2274</v>
      </c>
      <c r="AO4924" t="s">
        <v>35407</v>
      </c>
      <c r="AP4924" t="s">
        <v>7024</v>
      </c>
      <c r="AQ4924" t="s">
        <v>35408</v>
      </c>
      <c r="AR4924" t="s">
        <v>35409</v>
      </c>
      <c r="AT4924" s="184">
        <v>42941</v>
      </c>
      <c r="AU4924" t="s">
        <v>35410</v>
      </c>
      <c r="AV4924">
        <v>20</v>
      </c>
      <c r="AW4924" s="184">
        <v>45124</v>
      </c>
      <c r="AX4924" t="s">
        <v>33373</v>
      </c>
      <c r="AY4924">
        <v>80</v>
      </c>
      <c r="AZ4924" s="184">
        <v>45124</v>
      </c>
      <c r="BA4924" t="s">
        <v>33373</v>
      </c>
      <c r="BB4924">
        <v>80</v>
      </c>
      <c r="BC4924">
        <v>75</v>
      </c>
      <c r="BD4924">
        <v>330</v>
      </c>
      <c r="BE4924">
        <v>2018</v>
      </c>
      <c r="BF4924">
        <v>6</v>
      </c>
      <c r="BG4924">
        <v>2</v>
      </c>
      <c r="BH4924">
        <v>160</v>
      </c>
      <c r="BI4924">
        <v>6</v>
      </c>
      <c r="BJ4924">
        <v>8</v>
      </c>
      <c r="BK4924">
        <v>3</v>
      </c>
      <c r="BN4924" t="s">
        <v>595</v>
      </c>
      <c r="BP4924" s="184"/>
    </row>
    <row r="4925" spans="1:68">
      <c r="A4925">
        <v>93950723</v>
      </c>
      <c r="B4925">
        <v>93950723</v>
      </c>
      <c r="C4925" t="s">
        <v>7018</v>
      </c>
      <c r="D4925" t="s">
        <v>595</v>
      </c>
      <c r="E4925" s="184">
        <v>44167</v>
      </c>
      <c r="G4925" s="184"/>
      <c r="I4925" s="184"/>
      <c r="K4925" s="184"/>
      <c r="M4925" s="184"/>
      <c r="O4925" s="184"/>
      <c r="P4925" t="s">
        <v>7045</v>
      </c>
      <c r="Q4925" t="s">
        <v>7160</v>
      </c>
      <c r="R4925" s="184">
        <v>18994</v>
      </c>
      <c r="S4925">
        <v>72</v>
      </c>
      <c r="U4925" t="s">
        <v>7031</v>
      </c>
      <c r="V4925" t="s">
        <v>3266</v>
      </c>
      <c r="W4925" t="s">
        <v>7067</v>
      </c>
      <c r="X4925" t="s">
        <v>23858</v>
      </c>
      <c r="AF4925" t="s">
        <v>35411</v>
      </c>
      <c r="AG4925" t="s">
        <v>3266</v>
      </c>
      <c r="AI4925" t="s">
        <v>35412</v>
      </c>
      <c r="AM4925" t="s">
        <v>2844</v>
      </c>
      <c r="AN4925" t="s">
        <v>2176</v>
      </c>
      <c r="AO4925" t="s">
        <v>35413</v>
      </c>
      <c r="AP4925" t="s">
        <v>7024</v>
      </c>
      <c r="AQ4925" t="s">
        <v>35414</v>
      </c>
      <c r="AR4925" t="s">
        <v>35415</v>
      </c>
      <c r="AT4925" s="184">
        <v>42417</v>
      </c>
      <c r="AU4925" t="s">
        <v>35416</v>
      </c>
      <c r="AV4925">
        <v>25</v>
      </c>
      <c r="AW4925" s="184">
        <v>45369</v>
      </c>
      <c r="AX4925" t="s">
        <v>11480</v>
      </c>
      <c r="AY4925">
        <v>40</v>
      </c>
      <c r="AZ4925" s="184">
        <v>45264</v>
      </c>
      <c r="BA4925" t="s">
        <v>20779</v>
      </c>
      <c r="BB4925">
        <v>120</v>
      </c>
      <c r="BC4925">
        <v>100</v>
      </c>
      <c r="BD4925">
        <v>1540</v>
      </c>
      <c r="BE4925">
        <v>2016</v>
      </c>
      <c r="BF4925">
        <v>32</v>
      </c>
      <c r="BG4925">
        <v>7</v>
      </c>
      <c r="BH4925">
        <v>600</v>
      </c>
      <c r="BI4925">
        <v>9</v>
      </c>
      <c r="BJ4925">
        <v>9</v>
      </c>
      <c r="BK4925">
        <v>9</v>
      </c>
      <c r="BP4925" s="184"/>
    </row>
    <row r="4926" spans="1:68">
      <c r="A4926">
        <v>93957249</v>
      </c>
      <c r="B4926">
        <v>93957249</v>
      </c>
      <c r="C4926" t="s">
        <v>7018</v>
      </c>
      <c r="E4926" s="184"/>
      <c r="F4926" t="s">
        <v>595</v>
      </c>
      <c r="G4926" s="184">
        <v>43397</v>
      </c>
      <c r="I4926" s="184"/>
      <c r="K4926" s="184"/>
      <c r="M4926" s="184"/>
      <c r="O4926" s="184"/>
      <c r="P4926" t="s">
        <v>7045</v>
      </c>
      <c r="Q4926" t="s">
        <v>7774</v>
      </c>
      <c r="R4926" s="184">
        <v>18629</v>
      </c>
      <c r="S4926">
        <v>73</v>
      </c>
      <c r="U4926" t="s">
        <v>7031</v>
      </c>
      <c r="V4926" t="s">
        <v>4587</v>
      </c>
      <c r="X4926" t="s">
        <v>4739</v>
      </c>
      <c r="AF4926" t="s">
        <v>35417</v>
      </c>
      <c r="AG4926" t="s">
        <v>4587</v>
      </c>
      <c r="AI4926" t="s">
        <v>35418</v>
      </c>
      <c r="AM4926" t="s">
        <v>3063</v>
      </c>
      <c r="AN4926" t="s">
        <v>2077</v>
      </c>
      <c r="AO4926" t="s">
        <v>35419</v>
      </c>
      <c r="AP4926" t="s">
        <v>7024</v>
      </c>
      <c r="AQ4926" t="s">
        <v>35420</v>
      </c>
      <c r="AR4926" t="s">
        <v>35421</v>
      </c>
      <c r="AT4926" s="184">
        <v>42423</v>
      </c>
      <c r="AU4926" t="s">
        <v>35422</v>
      </c>
      <c r="AV4926">
        <v>35</v>
      </c>
      <c r="AW4926" s="184">
        <v>44440</v>
      </c>
      <c r="AX4926" t="s">
        <v>13405</v>
      </c>
      <c r="AY4926">
        <v>35</v>
      </c>
      <c r="AZ4926" s="184">
        <v>44440</v>
      </c>
      <c r="BA4926" t="s">
        <v>13405</v>
      </c>
      <c r="BB4926">
        <v>35</v>
      </c>
      <c r="BC4926">
        <v>56</v>
      </c>
      <c r="BD4926">
        <v>280</v>
      </c>
      <c r="BE4926">
        <v>2016</v>
      </c>
      <c r="BF4926">
        <v>8</v>
      </c>
      <c r="BI4926">
        <v>5</v>
      </c>
      <c r="BJ4926">
        <v>9</v>
      </c>
      <c r="BK4926">
        <v>3</v>
      </c>
      <c r="BN4926" t="s">
        <v>595</v>
      </c>
      <c r="BP4926" s="184"/>
    </row>
    <row r="4927" spans="1:68">
      <c r="A4927">
        <v>93957298</v>
      </c>
      <c r="B4927">
        <v>93957298</v>
      </c>
      <c r="C4927" t="s">
        <v>7018</v>
      </c>
      <c r="D4927" t="s">
        <v>595</v>
      </c>
      <c r="E4927" s="184">
        <v>43864</v>
      </c>
      <c r="G4927" s="184"/>
      <c r="I4927" s="184"/>
      <c r="K4927" s="184"/>
      <c r="M4927" s="184"/>
      <c r="O4927" s="184"/>
      <c r="P4927" t="s">
        <v>7045</v>
      </c>
      <c r="Q4927" t="s">
        <v>7454</v>
      </c>
      <c r="R4927" s="184">
        <v>21754</v>
      </c>
      <c r="S4927">
        <v>64</v>
      </c>
      <c r="U4927" t="s">
        <v>7076</v>
      </c>
      <c r="V4927" t="s">
        <v>3302</v>
      </c>
      <c r="W4927" t="s">
        <v>3740</v>
      </c>
      <c r="X4927" t="s">
        <v>3250</v>
      </c>
      <c r="AF4927" t="s">
        <v>35423</v>
      </c>
      <c r="AG4927" t="s">
        <v>3302</v>
      </c>
      <c r="AI4927" t="s">
        <v>35424</v>
      </c>
      <c r="AM4927" t="s">
        <v>4733</v>
      </c>
      <c r="AN4927" t="s">
        <v>2299</v>
      </c>
      <c r="AO4927" t="s">
        <v>35425</v>
      </c>
      <c r="AP4927" t="s">
        <v>7024</v>
      </c>
      <c r="AQ4927" t="s">
        <v>35426</v>
      </c>
      <c r="AT4927" s="184">
        <v>42424</v>
      </c>
      <c r="AU4927" t="s">
        <v>35427</v>
      </c>
      <c r="AV4927">
        <v>5</v>
      </c>
      <c r="AW4927" s="184">
        <v>45406</v>
      </c>
      <c r="AX4927" t="s">
        <v>7429</v>
      </c>
      <c r="AY4927">
        <v>10</v>
      </c>
      <c r="AZ4927" s="184">
        <v>42754</v>
      </c>
      <c r="BA4927" t="s">
        <v>30084</v>
      </c>
      <c r="BB4927">
        <v>25</v>
      </c>
      <c r="BC4927">
        <v>100</v>
      </c>
      <c r="BD4927">
        <v>730</v>
      </c>
      <c r="BE4927">
        <v>2016</v>
      </c>
      <c r="BF4927">
        <v>100</v>
      </c>
      <c r="BG4927">
        <v>24</v>
      </c>
      <c r="BH4927">
        <v>240</v>
      </c>
      <c r="BI4927">
        <v>9</v>
      </c>
      <c r="BJ4927">
        <v>9</v>
      </c>
      <c r="BK4927">
        <v>9</v>
      </c>
      <c r="BP4927" s="184"/>
    </row>
    <row r="4928" spans="1:68">
      <c r="A4928">
        <v>93961423</v>
      </c>
      <c r="B4928">
        <v>93961423</v>
      </c>
      <c r="C4928" t="s">
        <v>7018</v>
      </c>
      <c r="D4928" t="s">
        <v>595</v>
      </c>
      <c r="E4928" s="184">
        <v>44441</v>
      </c>
      <c r="G4928" s="184"/>
      <c r="I4928" s="184"/>
      <c r="K4928" s="184"/>
      <c r="M4928" s="184"/>
      <c r="O4928" s="184"/>
      <c r="P4928" t="s">
        <v>7045</v>
      </c>
      <c r="Q4928" t="s">
        <v>7020</v>
      </c>
      <c r="R4928" s="184">
        <v>19733</v>
      </c>
      <c r="S4928">
        <v>70</v>
      </c>
      <c r="U4928" t="s">
        <v>7076</v>
      </c>
      <c r="V4928" t="s">
        <v>3624</v>
      </c>
      <c r="X4928" t="s">
        <v>35428</v>
      </c>
      <c r="AF4928" t="s">
        <v>35429</v>
      </c>
      <c r="AG4928" t="s">
        <v>3624</v>
      </c>
      <c r="AI4928" t="s">
        <v>35430</v>
      </c>
      <c r="AM4928" t="s">
        <v>34006</v>
      </c>
      <c r="AN4928" t="s">
        <v>2129</v>
      </c>
      <c r="AO4928" t="s">
        <v>35431</v>
      </c>
      <c r="AP4928" t="s">
        <v>7024</v>
      </c>
      <c r="AQ4928" t="s">
        <v>35432</v>
      </c>
      <c r="AT4928" s="184">
        <v>42558</v>
      </c>
      <c r="AU4928" t="s">
        <v>35433</v>
      </c>
      <c r="AV4928">
        <v>35</v>
      </c>
      <c r="AW4928" s="184">
        <v>45246</v>
      </c>
      <c r="AX4928" t="s">
        <v>16342</v>
      </c>
      <c r="AY4928">
        <v>50</v>
      </c>
      <c r="AZ4928" s="184">
        <v>45246</v>
      </c>
      <c r="BA4928" t="s">
        <v>16342</v>
      </c>
      <c r="BB4928">
        <v>50</v>
      </c>
      <c r="BC4928">
        <v>89</v>
      </c>
      <c r="BD4928">
        <v>670</v>
      </c>
      <c r="BE4928">
        <v>2017</v>
      </c>
      <c r="BF4928">
        <v>14</v>
      </c>
      <c r="BG4928">
        <v>3</v>
      </c>
      <c r="BH4928">
        <v>150</v>
      </c>
      <c r="BI4928">
        <v>8</v>
      </c>
      <c r="BJ4928">
        <v>9</v>
      </c>
      <c r="BK4928">
        <v>8</v>
      </c>
      <c r="BP4928" s="184"/>
    </row>
    <row r="4929" spans="1:68">
      <c r="A4929">
        <v>93977635</v>
      </c>
      <c r="B4929">
        <v>93977635</v>
      </c>
      <c r="C4929" t="s">
        <v>7018</v>
      </c>
      <c r="E4929" s="184"/>
      <c r="G4929" s="184"/>
      <c r="I4929" s="184"/>
      <c r="J4929" t="s">
        <v>595</v>
      </c>
      <c r="K4929" s="184">
        <v>43745</v>
      </c>
      <c r="M4929" s="184"/>
      <c r="N4929" t="s">
        <v>595</v>
      </c>
      <c r="O4929" s="184">
        <v>43745</v>
      </c>
      <c r="P4929" t="s">
        <v>7045</v>
      </c>
      <c r="Q4929" t="s">
        <v>7262</v>
      </c>
      <c r="R4929" s="184">
        <v>24077</v>
      </c>
      <c r="S4929">
        <v>58</v>
      </c>
      <c r="U4929" t="s">
        <v>7130</v>
      </c>
      <c r="V4929" t="s">
        <v>3071</v>
      </c>
      <c r="W4929" t="s">
        <v>3645</v>
      </c>
      <c r="X4929" t="s">
        <v>35434</v>
      </c>
      <c r="AF4929" t="s">
        <v>6751</v>
      </c>
      <c r="AG4929" t="s">
        <v>3071</v>
      </c>
      <c r="AI4929" t="s">
        <v>35435</v>
      </c>
      <c r="AM4929" t="s">
        <v>11257</v>
      </c>
      <c r="AN4929" t="s">
        <v>65</v>
      </c>
      <c r="AO4929" t="s">
        <v>35436</v>
      </c>
      <c r="AP4929" t="s">
        <v>7024</v>
      </c>
      <c r="AQ4929" t="s">
        <v>35437</v>
      </c>
      <c r="AR4929" t="s">
        <v>35438</v>
      </c>
      <c r="AT4929" s="184">
        <v>44055</v>
      </c>
      <c r="AU4929" t="s">
        <v>17745</v>
      </c>
      <c r="AV4929">
        <v>25</v>
      </c>
      <c r="AW4929" s="184">
        <v>45351</v>
      </c>
      <c r="AX4929" t="s">
        <v>35439</v>
      </c>
      <c r="AY4929">
        <v>36.75</v>
      </c>
      <c r="AZ4929" s="184">
        <v>44973</v>
      </c>
      <c r="BA4929" t="s">
        <v>35440</v>
      </c>
      <c r="BB4929">
        <v>100</v>
      </c>
      <c r="BC4929">
        <v>60</v>
      </c>
      <c r="BD4929">
        <v>196.75</v>
      </c>
      <c r="BE4929">
        <v>2021</v>
      </c>
      <c r="BF4929">
        <v>4</v>
      </c>
      <c r="BG4929">
        <v>2</v>
      </c>
      <c r="BH4929">
        <v>136.75</v>
      </c>
      <c r="BI4929">
        <v>3</v>
      </c>
      <c r="BJ4929">
        <v>5</v>
      </c>
      <c r="BK4929">
        <v>2</v>
      </c>
      <c r="BP4929" s="184"/>
    </row>
    <row r="4930" spans="1:68">
      <c r="A4930">
        <v>93980050</v>
      </c>
      <c r="B4930">
        <v>93980050</v>
      </c>
      <c r="C4930" t="s">
        <v>7018</v>
      </c>
      <c r="E4930" s="184"/>
      <c r="F4930" t="s">
        <v>595</v>
      </c>
      <c r="G4930" s="184">
        <v>44441</v>
      </c>
      <c r="I4930" s="184"/>
      <c r="K4930" s="184"/>
      <c r="M4930" s="184"/>
      <c r="O4930" s="184"/>
      <c r="P4930" t="s">
        <v>7045</v>
      </c>
      <c r="Q4930" t="s">
        <v>7774</v>
      </c>
      <c r="R4930" s="184">
        <v>20271</v>
      </c>
      <c r="S4930">
        <v>68</v>
      </c>
      <c r="V4930" t="s">
        <v>3373</v>
      </c>
      <c r="X4930" t="s">
        <v>2772</v>
      </c>
      <c r="AF4930" t="s">
        <v>35441</v>
      </c>
      <c r="AG4930" t="s">
        <v>3373</v>
      </c>
      <c r="AI4930" t="s">
        <v>35442</v>
      </c>
      <c r="AM4930" t="s">
        <v>3706</v>
      </c>
      <c r="AN4930" t="s">
        <v>2077</v>
      </c>
      <c r="AO4930" t="s">
        <v>35443</v>
      </c>
      <c r="AP4930" t="s">
        <v>7024</v>
      </c>
      <c r="AQ4930" t="s">
        <v>35444</v>
      </c>
      <c r="AT4930" s="184">
        <v>42426</v>
      </c>
      <c r="AU4930" t="s">
        <v>35445</v>
      </c>
      <c r="AV4930">
        <v>15</v>
      </c>
      <c r="AW4930" s="184">
        <v>45330</v>
      </c>
      <c r="AX4930" t="s">
        <v>17940</v>
      </c>
      <c r="AY4930">
        <v>30</v>
      </c>
      <c r="AZ4930" s="184">
        <v>44207</v>
      </c>
      <c r="BA4930" t="s">
        <v>18780</v>
      </c>
      <c r="BB4930">
        <v>60</v>
      </c>
      <c r="BC4930">
        <v>67</v>
      </c>
      <c r="BD4930">
        <v>205</v>
      </c>
      <c r="BE4930">
        <v>2016</v>
      </c>
      <c r="BF4930">
        <v>7</v>
      </c>
      <c r="BG4930">
        <v>1</v>
      </c>
      <c r="BH4930">
        <v>30</v>
      </c>
      <c r="BI4930">
        <v>6</v>
      </c>
      <c r="BJ4930">
        <v>9</v>
      </c>
      <c r="BK4930">
        <v>3</v>
      </c>
      <c r="BP4930" s="184"/>
    </row>
    <row r="4931" spans="1:68">
      <c r="A4931">
        <v>93983187</v>
      </c>
      <c r="B4931">
        <v>93983187</v>
      </c>
      <c r="C4931" t="s">
        <v>7018</v>
      </c>
      <c r="D4931" t="s">
        <v>595</v>
      </c>
      <c r="E4931" s="184">
        <v>45119</v>
      </c>
      <c r="G4931" s="184"/>
      <c r="I4931" s="184"/>
      <c r="K4931" s="184"/>
      <c r="M4931" s="184"/>
      <c r="O4931" s="184"/>
      <c r="P4931" t="s">
        <v>7045</v>
      </c>
      <c r="Q4931" t="s">
        <v>7020</v>
      </c>
      <c r="R4931" s="184">
        <v>25903</v>
      </c>
      <c r="S4931">
        <v>53</v>
      </c>
      <c r="U4931" t="s">
        <v>7076</v>
      </c>
      <c r="V4931" t="s">
        <v>35446</v>
      </c>
      <c r="X4931" t="s">
        <v>35447</v>
      </c>
      <c r="AF4931" t="s">
        <v>35448</v>
      </c>
      <c r="AG4931" t="s">
        <v>35446</v>
      </c>
      <c r="AI4931" t="s">
        <v>35449</v>
      </c>
      <c r="AM4931" t="s">
        <v>35450</v>
      </c>
      <c r="AN4931" t="s">
        <v>2052</v>
      </c>
      <c r="AO4931" t="s">
        <v>35451</v>
      </c>
      <c r="AP4931" t="s">
        <v>7024</v>
      </c>
      <c r="AQ4931" t="s">
        <v>35452</v>
      </c>
      <c r="AT4931" s="184">
        <v>42429</v>
      </c>
      <c r="AU4931" t="s">
        <v>35453</v>
      </c>
      <c r="AV4931">
        <v>25</v>
      </c>
      <c r="AW4931" s="184">
        <v>45306</v>
      </c>
      <c r="AX4931" t="s">
        <v>7578</v>
      </c>
      <c r="AY4931">
        <v>25</v>
      </c>
      <c r="AZ4931" s="184">
        <v>45306</v>
      </c>
      <c r="BA4931" t="s">
        <v>7578</v>
      </c>
      <c r="BB4931">
        <v>25</v>
      </c>
      <c r="BC4931">
        <v>89</v>
      </c>
      <c r="BD4931">
        <v>225</v>
      </c>
      <c r="BE4931">
        <v>2016</v>
      </c>
      <c r="BF4931">
        <v>9</v>
      </c>
      <c r="BG4931">
        <v>2</v>
      </c>
      <c r="BH4931">
        <v>50</v>
      </c>
      <c r="BI4931">
        <v>8</v>
      </c>
      <c r="BJ4931">
        <v>9</v>
      </c>
      <c r="BK4931">
        <v>4</v>
      </c>
      <c r="BP4931" s="184"/>
    </row>
    <row r="4932" spans="1:68">
      <c r="A4932">
        <v>93985745</v>
      </c>
      <c r="B4932">
        <v>93985745</v>
      </c>
      <c r="C4932" t="s">
        <v>7018</v>
      </c>
      <c r="E4932" s="184"/>
      <c r="G4932" s="184"/>
      <c r="I4932" s="184"/>
      <c r="J4932" t="s">
        <v>595</v>
      </c>
      <c r="K4932" s="184">
        <v>44438</v>
      </c>
      <c r="M4932" s="184"/>
      <c r="O4932" s="184"/>
      <c r="P4932" t="s">
        <v>7045</v>
      </c>
      <c r="Q4932" t="s">
        <v>7194</v>
      </c>
      <c r="R4932" s="184">
        <v>17407</v>
      </c>
      <c r="S4932">
        <v>76</v>
      </c>
      <c r="V4932" t="s">
        <v>3293</v>
      </c>
      <c r="X4932" t="s">
        <v>35454</v>
      </c>
      <c r="AF4932" t="s">
        <v>35455</v>
      </c>
      <c r="AG4932" t="s">
        <v>3293</v>
      </c>
      <c r="AI4932" t="s">
        <v>35456</v>
      </c>
      <c r="AM4932" t="s">
        <v>5097</v>
      </c>
      <c r="AN4932" t="s">
        <v>2046</v>
      </c>
      <c r="AO4932" t="s">
        <v>35457</v>
      </c>
      <c r="AP4932" t="s">
        <v>7024</v>
      </c>
      <c r="AQ4932" t="s">
        <v>35458</v>
      </c>
      <c r="AR4932" t="s">
        <v>35459</v>
      </c>
      <c r="AT4932" s="184">
        <v>42429</v>
      </c>
      <c r="AU4932" t="s">
        <v>35460</v>
      </c>
      <c r="AV4932">
        <v>20</v>
      </c>
      <c r="AW4932" s="184">
        <v>45414</v>
      </c>
      <c r="AX4932" t="s">
        <v>10980</v>
      </c>
      <c r="AY4932">
        <v>25</v>
      </c>
      <c r="AZ4932" s="184">
        <v>45414</v>
      </c>
      <c r="BA4932" t="s">
        <v>10980</v>
      </c>
      <c r="BB4932">
        <v>25</v>
      </c>
      <c r="BC4932">
        <v>89</v>
      </c>
      <c r="BD4932">
        <v>310</v>
      </c>
      <c r="BE4932">
        <v>2016</v>
      </c>
      <c r="BF4932">
        <v>13</v>
      </c>
      <c r="BG4932">
        <v>4</v>
      </c>
      <c r="BH4932">
        <v>100</v>
      </c>
      <c r="BI4932">
        <v>8</v>
      </c>
      <c r="BJ4932">
        <v>9</v>
      </c>
      <c r="BK4932">
        <v>7</v>
      </c>
      <c r="BP4932" s="184"/>
    </row>
    <row r="4933" spans="1:68">
      <c r="A4933">
        <v>93988103</v>
      </c>
      <c r="B4933">
        <v>93988103</v>
      </c>
      <c r="C4933" t="s">
        <v>7018</v>
      </c>
      <c r="D4933" t="s">
        <v>595</v>
      </c>
      <c r="E4933" s="184">
        <v>44419</v>
      </c>
      <c r="G4933" s="184"/>
      <c r="I4933" s="184"/>
      <c r="K4933" s="184"/>
      <c r="M4933" s="184"/>
      <c r="O4933" s="184"/>
      <c r="P4933" t="s">
        <v>7045</v>
      </c>
      <c r="Q4933" t="s">
        <v>7383</v>
      </c>
      <c r="R4933" s="184">
        <v>19725</v>
      </c>
      <c r="S4933">
        <v>70</v>
      </c>
      <c r="V4933" t="s">
        <v>12531</v>
      </c>
      <c r="X4933" t="s">
        <v>35461</v>
      </c>
      <c r="AF4933" t="s">
        <v>35462</v>
      </c>
      <c r="AG4933" t="s">
        <v>12531</v>
      </c>
      <c r="AI4933" t="s">
        <v>35463</v>
      </c>
      <c r="AM4933" t="s">
        <v>35464</v>
      </c>
      <c r="AN4933" t="s">
        <v>2185</v>
      </c>
      <c r="AO4933" t="s">
        <v>35465</v>
      </c>
      <c r="AP4933" t="s">
        <v>7024</v>
      </c>
      <c r="AQ4933" t="s">
        <v>35466</v>
      </c>
      <c r="AT4933" s="184">
        <v>42429</v>
      </c>
      <c r="AU4933" t="s">
        <v>35467</v>
      </c>
      <c r="AV4933">
        <v>20</v>
      </c>
      <c r="AW4933" s="184">
        <v>45343</v>
      </c>
      <c r="AX4933" t="s">
        <v>11841</v>
      </c>
      <c r="AY4933">
        <v>20</v>
      </c>
      <c r="AZ4933" s="184">
        <v>44224</v>
      </c>
      <c r="BA4933" t="s">
        <v>19127</v>
      </c>
      <c r="BB4933">
        <v>60</v>
      </c>
      <c r="BC4933">
        <v>100</v>
      </c>
      <c r="BD4933">
        <v>335</v>
      </c>
      <c r="BE4933">
        <v>2016</v>
      </c>
      <c r="BF4933">
        <v>13</v>
      </c>
      <c r="BG4933">
        <v>2</v>
      </c>
      <c r="BH4933">
        <v>45</v>
      </c>
      <c r="BI4933">
        <v>9</v>
      </c>
      <c r="BJ4933">
        <v>9</v>
      </c>
      <c r="BK4933">
        <v>9</v>
      </c>
      <c r="BP4933" s="184"/>
    </row>
    <row r="4934" spans="1:68">
      <c r="A4934">
        <v>93995884</v>
      </c>
      <c r="B4934">
        <v>93995884</v>
      </c>
      <c r="C4934" t="s">
        <v>7018</v>
      </c>
      <c r="D4934" t="s">
        <v>595</v>
      </c>
      <c r="E4934" s="184">
        <v>43861</v>
      </c>
      <c r="G4934" s="184"/>
      <c r="I4934" s="184"/>
      <c r="K4934" s="184"/>
      <c r="M4934" s="184"/>
      <c r="P4934" t="s">
        <v>7045</v>
      </c>
      <c r="Q4934" t="s">
        <v>7160</v>
      </c>
      <c r="R4934" s="184">
        <v>17467</v>
      </c>
      <c r="S4934">
        <v>76</v>
      </c>
      <c r="U4934" t="s">
        <v>7076</v>
      </c>
      <c r="V4934" t="s">
        <v>2779</v>
      </c>
      <c r="W4934" t="s">
        <v>7407</v>
      </c>
      <c r="X4934" t="s">
        <v>2780</v>
      </c>
      <c r="AF4934" t="s">
        <v>35468</v>
      </c>
      <c r="AG4934" t="s">
        <v>2779</v>
      </c>
      <c r="AI4934" t="s">
        <v>35469</v>
      </c>
      <c r="AM4934" t="s">
        <v>2781</v>
      </c>
      <c r="AN4934" t="s">
        <v>2176</v>
      </c>
      <c r="AO4934" t="s">
        <v>35470</v>
      </c>
      <c r="AP4934" t="s">
        <v>7024</v>
      </c>
      <c r="AQ4934" t="s">
        <v>35471</v>
      </c>
      <c r="AT4934" s="184">
        <v>42430</v>
      </c>
      <c r="AU4934" t="s">
        <v>35472</v>
      </c>
      <c r="AV4934">
        <v>15</v>
      </c>
      <c r="AW4934" s="184">
        <v>44994</v>
      </c>
      <c r="AX4934" t="s">
        <v>35473</v>
      </c>
      <c r="AY4934">
        <v>25</v>
      </c>
      <c r="AZ4934" s="184">
        <v>44195</v>
      </c>
      <c r="BA4934" t="s">
        <v>35474</v>
      </c>
      <c r="BB4934">
        <v>35</v>
      </c>
      <c r="BC4934">
        <v>89</v>
      </c>
      <c r="BD4934">
        <v>365</v>
      </c>
      <c r="BE4934">
        <v>2016</v>
      </c>
      <c r="BF4934">
        <v>14</v>
      </c>
      <c r="BG4934">
        <v>2</v>
      </c>
      <c r="BH4934">
        <v>50</v>
      </c>
      <c r="BI4934">
        <v>8</v>
      </c>
      <c r="BJ4934">
        <v>9</v>
      </c>
      <c r="BK4934">
        <v>8</v>
      </c>
      <c r="BP4934" s="184"/>
    </row>
    <row r="4935" spans="1:68">
      <c r="A4935">
        <v>94018322</v>
      </c>
      <c r="B4935">
        <v>94018322</v>
      </c>
      <c r="C4935" t="s">
        <v>7018</v>
      </c>
      <c r="D4935" t="s">
        <v>595</v>
      </c>
      <c r="E4935" s="184">
        <v>45196</v>
      </c>
      <c r="G4935" s="184"/>
      <c r="I4935" s="184"/>
      <c r="K4935" s="184"/>
      <c r="M4935" s="184"/>
      <c r="O4935" s="184"/>
      <c r="P4935" t="s">
        <v>7045</v>
      </c>
      <c r="Q4935" t="s">
        <v>7374</v>
      </c>
      <c r="R4935" s="184">
        <v>14855</v>
      </c>
      <c r="S4935">
        <v>83</v>
      </c>
      <c r="U4935" t="s">
        <v>7076</v>
      </c>
      <c r="V4935" t="s">
        <v>3011</v>
      </c>
      <c r="X4935" t="s">
        <v>35475</v>
      </c>
      <c r="AF4935" t="s">
        <v>35476</v>
      </c>
      <c r="AG4935" t="s">
        <v>3011</v>
      </c>
      <c r="AI4935" t="s">
        <v>35477</v>
      </c>
      <c r="AM4935" t="s">
        <v>5643</v>
      </c>
      <c r="AN4935" t="s">
        <v>2081</v>
      </c>
      <c r="AO4935" t="s">
        <v>35478</v>
      </c>
      <c r="AP4935" t="s">
        <v>7024</v>
      </c>
      <c r="AT4935" s="184">
        <v>42437</v>
      </c>
      <c r="AU4935" t="s">
        <v>35479</v>
      </c>
      <c r="AV4935">
        <v>25</v>
      </c>
      <c r="AW4935" s="184">
        <v>45293</v>
      </c>
      <c r="AX4935" t="s">
        <v>7339</v>
      </c>
      <c r="AY4935">
        <v>100</v>
      </c>
      <c r="AZ4935" s="184">
        <v>44944</v>
      </c>
      <c r="BA4935" t="s">
        <v>11563</v>
      </c>
      <c r="BB4935">
        <v>200</v>
      </c>
      <c r="BC4935">
        <v>78</v>
      </c>
      <c r="BD4935">
        <v>740</v>
      </c>
      <c r="BE4935">
        <v>2016</v>
      </c>
      <c r="BF4935">
        <v>10</v>
      </c>
      <c r="BG4935">
        <v>2</v>
      </c>
      <c r="BH4935">
        <v>300</v>
      </c>
      <c r="BI4935">
        <v>7</v>
      </c>
      <c r="BJ4935">
        <v>9</v>
      </c>
      <c r="BK4935">
        <v>3</v>
      </c>
      <c r="BP4935" s="184"/>
    </row>
    <row r="4936" spans="1:68">
      <c r="A4936">
        <v>94034014</v>
      </c>
      <c r="B4936">
        <v>94034014</v>
      </c>
      <c r="C4936" t="s">
        <v>7018</v>
      </c>
      <c r="D4936" t="s">
        <v>595</v>
      </c>
      <c r="E4936" s="184">
        <v>45145</v>
      </c>
      <c r="G4936" s="184"/>
      <c r="I4936" s="184"/>
      <c r="K4936" s="184"/>
      <c r="M4936" s="184"/>
      <c r="O4936" s="184"/>
      <c r="P4936" t="s">
        <v>7045</v>
      </c>
      <c r="Q4936" t="s">
        <v>7383</v>
      </c>
      <c r="R4936" s="184">
        <v>17288</v>
      </c>
      <c r="S4936">
        <v>77</v>
      </c>
      <c r="V4936" t="s">
        <v>2992</v>
      </c>
      <c r="W4936" t="s">
        <v>4139</v>
      </c>
      <c r="X4936" t="s">
        <v>35480</v>
      </c>
      <c r="AF4936" t="s">
        <v>35481</v>
      </c>
      <c r="AG4936" t="s">
        <v>2992</v>
      </c>
      <c r="AI4936" t="s">
        <v>35482</v>
      </c>
      <c r="AM4936" t="s">
        <v>28398</v>
      </c>
      <c r="AN4936" t="s">
        <v>2072</v>
      </c>
      <c r="AO4936" t="s">
        <v>35483</v>
      </c>
      <c r="AP4936" t="s">
        <v>7024</v>
      </c>
      <c r="AQ4936" t="s">
        <v>35484</v>
      </c>
      <c r="AT4936" s="184">
        <v>42438</v>
      </c>
      <c r="AU4936" t="s">
        <v>35485</v>
      </c>
      <c r="AV4936">
        <v>25</v>
      </c>
      <c r="AW4936" s="184">
        <v>45394</v>
      </c>
      <c r="AX4936" t="s">
        <v>24064</v>
      </c>
      <c r="AY4936">
        <v>40</v>
      </c>
      <c r="AZ4936" s="184">
        <v>45394</v>
      </c>
      <c r="BA4936" t="s">
        <v>24064</v>
      </c>
      <c r="BB4936">
        <v>40</v>
      </c>
      <c r="BC4936">
        <v>89</v>
      </c>
      <c r="BD4936">
        <v>315</v>
      </c>
      <c r="BE4936">
        <v>2016</v>
      </c>
      <c r="BF4936">
        <v>13</v>
      </c>
      <c r="BG4936">
        <v>4</v>
      </c>
      <c r="BH4936">
        <v>115</v>
      </c>
      <c r="BI4936">
        <v>8</v>
      </c>
      <c r="BJ4936">
        <v>9</v>
      </c>
      <c r="BK4936">
        <v>7</v>
      </c>
      <c r="BP4936" s="184"/>
    </row>
    <row r="4937" spans="1:68">
      <c r="A4937">
        <v>94042199</v>
      </c>
      <c r="B4937">
        <v>94042199</v>
      </c>
      <c r="C4937" t="s">
        <v>7018</v>
      </c>
      <c r="D4937" t="s">
        <v>595</v>
      </c>
      <c r="E4937" s="184">
        <v>45204</v>
      </c>
      <c r="G4937" s="184"/>
      <c r="I4937" s="184"/>
      <c r="K4937" s="184"/>
      <c r="M4937" s="184"/>
      <c r="O4937" s="184"/>
      <c r="P4937" t="s">
        <v>7045</v>
      </c>
      <c r="Q4937" t="s">
        <v>7262</v>
      </c>
      <c r="R4937" s="184">
        <v>16448</v>
      </c>
      <c r="S4937">
        <v>79</v>
      </c>
      <c r="U4937" t="s">
        <v>7031</v>
      </c>
      <c r="V4937" t="s">
        <v>3360</v>
      </c>
      <c r="W4937" t="s">
        <v>2049</v>
      </c>
      <c r="X4937" t="s">
        <v>5511</v>
      </c>
      <c r="Y4937" t="s">
        <v>18166</v>
      </c>
      <c r="Z4937">
        <v>100163760</v>
      </c>
      <c r="AB4937" t="s">
        <v>5600</v>
      </c>
      <c r="AC4937" t="s">
        <v>8224</v>
      </c>
      <c r="AD4937" t="s">
        <v>5511</v>
      </c>
      <c r="AF4937" t="s">
        <v>35486</v>
      </c>
      <c r="AG4937" t="s">
        <v>35487</v>
      </c>
      <c r="AI4937" t="s">
        <v>35488</v>
      </c>
      <c r="AM4937" t="s">
        <v>19338</v>
      </c>
      <c r="AN4937" t="s">
        <v>2069</v>
      </c>
      <c r="AO4937" t="s">
        <v>35489</v>
      </c>
      <c r="AP4937" t="s">
        <v>7024</v>
      </c>
      <c r="AQ4937" t="s">
        <v>35490</v>
      </c>
      <c r="AT4937" s="184">
        <v>42439</v>
      </c>
      <c r="AU4937" t="s">
        <v>35491</v>
      </c>
      <c r="AV4937">
        <v>15</v>
      </c>
      <c r="AW4937" s="184">
        <v>45315</v>
      </c>
      <c r="AX4937" t="s">
        <v>16416</v>
      </c>
      <c r="AY4937">
        <v>50</v>
      </c>
      <c r="AZ4937" s="184">
        <v>45315</v>
      </c>
      <c r="BA4937" t="s">
        <v>16416</v>
      </c>
      <c r="BB4937">
        <v>50</v>
      </c>
      <c r="BC4937">
        <v>78</v>
      </c>
      <c r="BD4937">
        <v>345</v>
      </c>
      <c r="BE4937">
        <v>2016</v>
      </c>
      <c r="BF4937">
        <v>9</v>
      </c>
      <c r="BG4937">
        <v>2</v>
      </c>
      <c r="BH4937">
        <v>100</v>
      </c>
      <c r="BI4937">
        <v>7</v>
      </c>
      <c r="BJ4937">
        <v>9</v>
      </c>
      <c r="BK4937">
        <v>4</v>
      </c>
      <c r="BN4937" t="s">
        <v>595</v>
      </c>
      <c r="BP4937" s="184"/>
    </row>
    <row r="4938" spans="1:68">
      <c r="A4938">
        <v>100163760</v>
      </c>
      <c r="B4938">
        <v>94042199</v>
      </c>
      <c r="C4938" t="s">
        <v>7018</v>
      </c>
      <c r="D4938" t="s">
        <v>595</v>
      </c>
      <c r="E4938" s="184">
        <v>45204</v>
      </c>
      <c r="G4938" s="184"/>
      <c r="I4938" s="184"/>
      <c r="K4938" s="184"/>
      <c r="M4938" s="184"/>
      <c r="O4938" s="184"/>
      <c r="P4938" t="s">
        <v>7045</v>
      </c>
      <c r="Q4938" t="s">
        <v>7262</v>
      </c>
      <c r="R4938" s="184">
        <v>16146</v>
      </c>
      <c r="S4938">
        <v>80</v>
      </c>
      <c r="V4938" t="s">
        <v>5600</v>
      </c>
      <c r="W4938" t="s">
        <v>8224</v>
      </c>
      <c r="X4938" t="s">
        <v>5511</v>
      </c>
      <c r="Z4938">
        <v>94042199</v>
      </c>
      <c r="AA4938" t="s">
        <v>7031</v>
      </c>
      <c r="AB4938" t="s">
        <v>3360</v>
      </c>
      <c r="AC4938" t="s">
        <v>2049</v>
      </c>
      <c r="AD4938" t="s">
        <v>5511</v>
      </c>
      <c r="AE4938" t="s">
        <v>18166</v>
      </c>
      <c r="AF4938" t="s">
        <v>35486</v>
      </c>
      <c r="AG4938" t="s">
        <v>35487</v>
      </c>
      <c r="AI4938" t="s">
        <v>35488</v>
      </c>
      <c r="AM4938" t="s">
        <v>19338</v>
      </c>
      <c r="AN4938" t="s">
        <v>2069</v>
      </c>
      <c r="AO4938" t="s">
        <v>35489</v>
      </c>
      <c r="AP4938" t="s">
        <v>7024</v>
      </c>
      <c r="AT4938" s="184"/>
      <c r="AW4938" s="184"/>
      <c r="AZ4938" s="184"/>
      <c r="BP4938" s="184"/>
    </row>
    <row r="4939" spans="1:68">
      <c r="A4939">
        <v>94070216</v>
      </c>
      <c r="B4939">
        <v>94070216</v>
      </c>
      <c r="C4939" t="s">
        <v>7018</v>
      </c>
      <c r="E4939" s="184"/>
      <c r="F4939" t="s">
        <v>595</v>
      </c>
      <c r="G4939" s="184">
        <v>44073</v>
      </c>
      <c r="I4939" s="184"/>
      <c r="K4939" s="184"/>
      <c r="M4939" s="184"/>
      <c r="O4939" s="184"/>
      <c r="P4939" t="s">
        <v>7045</v>
      </c>
      <c r="Q4939" t="s">
        <v>7383</v>
      </c>
      <c r="R4939" s="184">
        <v>18080</v>
      </c>
      <c r="S4939">
        <v>74</v>
      </c>
      <c r="U4939" t="s">
        <v>7031</v>
      </c>
      <c r="V4939" t="s">
        <v>3103</v>
      </c>
      <c r="X4939" t="s">
        <v>7580</v>
      </c>
      <c r="AF4939" t="s">
        <v>35492</v>
      </c>
      <c r="AG4939" t="s">
        <v>3103</v>
      </c>
      <c r="AI4939" t="s">
        <v>35493</v>
      </c>
      <c r="AM4939" t="s">
        <v>3082</v>
      </c>
      <c r="AN4939" t="s">
        <v>2313</v>
      </c>
      <c r="AO4939" t="s">
        <v>35494</v>
      </c>
      <c r="AP4939" t="s">
        <v>7024</v>
      </c>
      <c r="AT4939" s="184">
        <v>42446</v>
      </c>
      <c r="AU4939" t="s">
        <v>35495</v>
      </c>
      <c r="AV4939">
        <v>25</v>
      </c>
      <c r="AW4939" s="184">
        <v>44517</v>
      </c>
      <c r="AX4939" t="s">
        <v>35496</v>
      </c>
      <c r="AY4939">
        <v>36</v>
      </c>
      <c r="AZ4939" s="184">
        <v>43966</v>
      </c>
      <c r="BA4939" t="s">
        <v>35497</v>
      </c>
      <c r="BB4939">
        <v>60</v>
      </c>
      <c r="BC4939">
        <v>67</v>
      </c>
      <c r="BD4939">
        <v>379</v>
      </c>
      <c r="BE4939">
        <v>2016</v>
      </c>
      <c r="BF4939">
        <v>12</v>
      </c>
      <c r="BI4939">
        <v>6</v>
      </c>
      <c r="BJ4939">
        <v>9</v>
      </c>
      <c r="BK4939">
        <v>6</v>
      </c>
      <c r="BP4939" s="184"/>
    </row>
    <row r="4940" spans="1:68">
      <c r="A4940">
        <v>94081528</v>
      </c>
      <c r="B4940">
        <v>94081528</v>
      </c>
      <c r="C4940" t="s">
        <v>7018</v>
      </c>
      <c r="D4940" t="s">
        <v>595</v>
      </c>
      <c r="E4940" s="184">
        <v>44167</v>
      </c>
      <c r="G4940" s="184"/>
      <c r="I4940" s="184"/>
      <c r="K4940" s="184"/>
      <c r="M4940" s="184"/>
      <c r="O4940" s="184"/>
      <c r="P4940" t="s">
        <v>7045</v>
      </c>
      <c r="Q4940" t="s">
        <v>7160</v>
      </c>
      <c r="R4940" s="184">
        <v>12537</v>
      </c>
      <c r="S4940">
        <v>90</v>
      </c>
      <c r="V4940" t="s">
        <v>35498</v>
      </c>
      <c r="X4940" t="s">
        <v>35499</v>
      </c>
      <c r="Z4940">
        <v>100796367</v>
      </c>
      <c r="AB4940" t="s">
        <v>2985</v>
      </c>
      <c r="AD4940" t="s">
        <v>35499</v>
      </c>
      <c r="AF4940" t="s">
        <v>35500</v>
      </c>
      <c r="AG4940" t="s">
        <v>35501</v>
      </c>
      <c r="AI4940" t="s">
        <v>35502</v>
      </c>
      <c r="AM4940" t="s">
        <v>2844</v>
      </c>
      <c r="AN4940" t="s">
        <v>2176</v>
      </c>
      <c r="AO4940" t="s">
        <v>35503</v>
      </c>
      <c r="AP4940" t="s">
        <v>7024</v>
      </c>
      <c r="AQ4940" t="s">
        <v>35504</v>
      </c>
      <c r="AR4940" t="s">
        <v>35505</v>
      </c>
      <c r="AT4940" s="184">
        <v>42450</v>
      </c>
      <c r="AU4940" t="s">
        <v>35506</v>
      </c>
      <c r="AV4940">
        <v>50</v>
      </c>
      <c r="AW4940" s="184">
        <v>45343</v>
      </c>
      <c r="AX4940" t="s">
        <v>17305</v>
      </c>
      <c r="AY4940">
        <v>100</v>
      </c>
      <c r="AZ4940" s="184">
        <v>45343</v>
      </c>
      <c r="BA4940" t="s">
        <v>17305</v>
      </c>
      <c r="BB4940">
        <v>100</v>
      </c>
      <c r="BC4940">
        <v>89</v>
      </c>
      <c r="BD4940">
        <v>1350</v>
      </c>
      <c r="BE4940">
        <v>2016</v>
      </c>
      <c r="BF4940">
        <v>16</v>
      </c>
      <c r="BG4940">
        <v>3</v>
      </c>
      <c r="BH4940">
        <v>300</v>
      </c>
      <c r="BI4940">
        <v>8</v>
      </c>
      <c r="BJ4940">
        <v>9</v>
      </c>
      <c r="BK4940">
        <v>6</v>
      </c>
      <c r="BP4940" s="184"/>
    </row>
    <row r="4941" spans="1:68">
      <c r="A4941">
        <v>94095007</v>
      </c>
      <c r="B4941">
        <v>94095007</v>
      </c>
      <c r="C4941" t="s">
        <v>7018</v>
      </c>
      <c r="E4941" s="184"/>
      <c r="F4941" t="s">
        <v>595</v>
      </c>
      <c r="G4941" s="184">
        <v>44070</v>
      </c>
      <c r="I4941" s="184"/>
      <c r="K4941" s="184"/>
      <c r="M4941" s="184"/>
      <c r="O4941" s="184"/>
      <c r="P4941" t="s">
        <v>7045</v>
      </c>
      <c r="Q4941" t="s">
        <v>7383</v>
      </c>
      <c r="R4941" s="184">
        <v>16796</v>
      </c>
      <c r="S4941">
        <v>78</v>
      </c>
      <c r="V4941" t="s">
        <v>2541</v>
      </c>
      <c r="X4941" t="s">
        <v>35507</v>
      </c>
      <c r="AF4941" t="s">
        <v>35508</v>
      </c>
      <c r="AG4941" t="s">
        <v>2541</v>
      </c>
      <c r="AI4941" t="s">
        <v>35509</v>
      </c>
      <c r="AM4941" t="s">
        <v>3136</v>
      </c>
      <c r="AN4941" t="s">
        <v>2313</v>
      </c>
      <c r="AO4941" t="s">
        <v>35510</v>
      </c>
      <c r="AP4941" t="s">
        <v>7024</v>
      </c>
      <c r="AT4941" s="184">
        <v>42451</v>
      </c>
      <c r="AU4941" t="s">
        <v>35511</v>
      </c>
      <c r="AV4941">
        <v>15</v>
      </c>
      <c r="AW4941" s="184">
        <v>44124</v>
      </c>
      <c r="AX4941" t="s">
        <v>7566</v>
      </c>
      <c r="AY4941">
        <v>5</v>
      </c>
      <c r="AZ4941" s="184">
        <v>42738</v>
      </c>
      <c r="BA4941" t="s">
        <v>35512</v>
      </c>
      <c r="BB4941">
        <v>25</v>
      </c>
      <c r="BC4941">
        <v>56</v>
      </c>
      <c r="BD4941">
        <v>100</v>
      </c>
      <c r="BE4941">
        <v>2016</v>
      </c>
      <c r="BF4941">
        <v>13</v>
      </c>
      <c r="BI4941">
        <v>5</v>
      </c>
      <c r="BJ4941">
        <v>9</v>
      </c>
      <c r="BK4941">
        <v>5</v>
      </c>
      <c r="BP4941" s="184"/>
    </row>
    <row r="4942" spans="1:68">
      <c r="A4942">
        <v>94270956</v>
      </c>
      <c r="B4942">
        <v>94270956</v>
      </c>
      <c r="C4942" t="s">
        <v>7018</v>
      </c>
      <c r="D4942" t="s">
        <v>595</v>
      </c>
      <c r="E4942" s="184">
        <v>45153</v>
      </c>
      <c r="G4942" s="184"/>
      <c r="I4942" s="184"/>
      <c r="K4942" s="184"/>
      <c r="M4942" s="184"/>
      <c r="O4942" s="184"/>
      <c r="P4942" t="s">
        <v>7045</v>
      </c>
      <c r="Q4942" t="s">
        <v>7383</v>
      </c>
      <c r="R4942" s="184">
        <v>21855</v>
      </c>
      <c r="S4942">
        <v>64</v>
      </c>
      <c r="U4942" t="s">
        <v>7031</v>
      </c>
      <c r="V4942" t="s">
        <v>3201</v>
      </c>
      <c r="W4942" t="s">
        <v>7246</v>
      </c>
      <c r="X4942" t="s">
        <v>35513</v>
      </c>
      <c r="AF4942" t="s">
        <v>35514</v>
      </c>
      <c r="AG4942" t="s">
        <v>3201</v>
      </c>
      <c r="AI4942" t="s">
        <v>35515</v>
      </c>
      <c r="AM4942" t="s">
        <v>3105</v>
      </c>
      <c r="AN4942" t="s">
        <v>2313</v>
      </c>
      <c r="AO4942" t="s">
        <v>35516</v>
      </c>
      <c r="AP4942" t="s">
        <v>7024</v>
      </c>
      <c r="AQ4942" t="s">
        <v>35517</v>
      </c>
      <c r="AR4942" t="s">
        <v>35518</v>
      </c>
      <c r="AT4942" s="184">
        <v>42452</v>
      </c>
      <c r="AU4942" t="s">
        <v>35519</v>
      </c>
      <c r="AV4942">
        <v>25</v>
      </c>
      <c r="AW4942" s="184">
        <v>44789</v>
      </c>
      <c r="AX4942" t="s">
        <v>34331</v>
      </c>
      <c r="AY4942">
        <v>100</v>
      </c>
      <c r="AZ4942" s="184">
        <v>44789</v>
      </c>
      <c r="BA4942" t="s">
        <v>34331</v>
      </c>
      <c r="BB4942">
        <v>100</v>
      </c>
      <c r="BC4942">
        <v>67</v>
      </c>
      <c r="BD4942">
        <v>425</v>
      </c>
      <c r="BE4942">
        <v>2016</v>
      </c>
      <c r="BF4942">
        <v>6</v>
      </c>
      <c r="BG4942">
        <v>1</v>
      </c>
      <c r="BH4942">
        <v>100</v>
      </c>
      <c r="BI4942">
        <v>6</v>
      </c>
      <c r="BJ4942">
        <v>9</v>
      </c>
      <c r="BK4942">
        <v>4</v>
      </c>
      <c r="BN4942" t="s">
        <v>595</v>
      </c>
      <c r="BP4942" s="184"/>
    </row>
    <row r="4943" spans="1:68">
      <c r="A4943">
        <v>94280740</v>
      </c>
      <c r="B4943">
        <v>94280740</v>
      </c>
      <c r="C4943" t="s">
        <v>7018</v>
      </c>
      <c r="D4943" t="s">
        <v>595</v>
      </c>
      <c r="E4943" s="184">
        <v>45113</v>
      </c>
      <c r="G4943" s="184"/>
      <c r="I4943" s="184"/>
      <c r="K4943" s="184"/>
      <c r="M4943" s="184"/>
      <c r="O4943" s="184"/>
      <c r="P4943" t="s">
        <v>7029</v>
      </c>
      <c r="Q4943" t="s">
        <v>7383</v>
      </c>
      <c r="R4943" s="184">
        <v>26665</v>
      </c>
      <c r="S4943">
        <v>51</v>
      </c>
      <c r="V4943" t="s">
        <v>3986</v>
      </c>
      <c r="X4943" t="s">
        <v>35520</v>
      </c>
      <c r="AF4943" t="s">
        <v>35521</v>
      </c>
      <c r="AG4943" t="s">
        <v>3986</v>
      </c>
      <c r="AI4943" t="s">
        <v>35522</v>
      </c>
      <c r="AM4943" t="s">
        <v>12112</v>
      </c>
      <c r="AN4943" t="s">
        <v>2059</v>
      </c>
      <c r="AO4943" t="s">
        <v>35523</v>
      </c>
      <c r="AP4943" t="s">
        <v>7024</v>
      </c>
      <c r="AQ4943" t="s">
        <v>35524</v>
      </c>
      <c r="AR4943" t="s">
        <v>35525</v>
      </c>
      <c r="AT4943" s="184">
        <v>42457</v>
      </c>
      <c r="AU4943" t="s">
        <v>35526</v>
      </c>
      <c r="AV4943">
        <v>25</v>
      </c>
      <c r="AW4943" s="184">
        <v>44963</v>
      </c>
      <c r="AX4943" t="s">
        <v>32168</v>
      </c>
      <c r="AY4943">
        <v>500</v>
      </c>
      <c r="AZ4943" s="184">
        <v>44963</v>
      </c>
      <c r="BA4943" t="s">
        <v>32168</v>
      </c>
      <c r="BB4943">
        <v>500</v>
      </c>
      <c r="BC4943">
        <v>78</v>
      </c>
      <c r="BD4943">
        <v>1985</v>
      </c>
      <c r="BE4943">
        <v>2016</v>
      </c>
      <c r="BF4943">
        <v>10</v>
      </c>
      <c r="BG4943">
        <v>2</v>
      </c>
      <c r="BH4943">
        <v>1000</v>
      </c>
      <c r="BI4943">
        <v>7</v>
      </c>
      <c r="BJ4943">
        <v>9</v>
      </c>
      <c r="BK4943">
        <v>5</v>
      </c>
      <c r="BP4943" s="184"/>
    </row>
    <row r="4944" spans="1:68">
      <c r="A4944">
        <v>94296274</v>
      </c>
      <c r="B4944">
        <v>94296274</v>
      </c>
      <c r="C4944" t="s">
        <v>7018</v>
      </c>
      <c r="D4944" t="s">
        <v>595</v>
      </c>
      <c r="E4944" s="184">
        <v>45195</v>
      </c>
      <c r="G4944" s="184"/>
      <c r="I4944" s="184"/>
      <c r="K4944" s="184"/>
      <c r="M4944" s="184"/>
      <c r="O4944" s="184"/>
      <c r="P4944" t="s">
        <v>7045</v>
      </c>
      <c r="Q4944" t="s">
        <v>7454</v>
      </c>
      <c r="R4944" s="184">
        <v>18476</v>
      </c>
      <c r="S4944">
        <v>73</v>
      </c>
      <c r="V4944" t="s">
        <v>2718</v>
      </c>
      <c r="X4944" t="s">
        <v>5648</v>
      </c>
      <c r="AF4944" t="s">
        <v>35527</v>
      </c>
      <c r="AG4944" t="s">
        <v>2718</v>
      </c>
      <c r="AI4944" t="s">
        <v>35528</v>
      </c>
      <c r="AM4944" t="s">
        <v>10089</v>
      </c>
      <c r="AN4944" t="s">
        <v>2055</v>
      </c>
      <c r="AO4944" t="s">
        <v>35529</v>
      </c>
      <c r="AP4944" t="s">
        <v>7024</v>
      </c>
      <c r="AQ4944" t="s">
        <v>35530</v>
      </c>
      <c r="AR4944" t="s">
        <v>35531</v>
      </c>
      <c r="AT4944" s="184">
        <v>42460</v>
      </c>
      <c r="AU4944" t="s">
        <v>35532</v>
      </c>
      <c r="AV4944">
        <v>20</v>
      </c>
      <c r="AW4944" s="184">
        <v>45124</v>
      </c>
      <c r="AX4944" t="s">
        <v>11111</v>
      </c>
      <c r="AY4944">
        <v>50</v>
      </c>
      <c r="AZ4944" s="184">
        <v>45124</v>
      </c>
      <c r="BA4944" t="s">
        <v>11111</v>
      </c>
      <c r="BB4944">
        <v>50</v>
      </c>
      <c r="BC4944">
        <v>67</v>
      </c>
      <c r="BD4944">
        <v>245</v>
      </c>
      <c r="BE4944">
        <v>2016</v>
      </c>
      <c r="BF4944">
        <v>8</v>
      </c>
      <c r="BG4944">
        <v>2</v>
      </c>
      <c r="BH4944">
        <v>85</v>
      </c>
      <c r="BI4944">
        <v>6</v>
      </c>
      <c r="BJ4944">
        <v>9</v>
      </c>
      <c r="BK4944">
        <v>3</v>
      </c>
      <c r="BP4944" s="184"/>
    </row>
    <row r="4945" spans="1:68">
      <c r="A4945">
        <v>94296654</v>
      </c>
      <c r="B4945">
        <v>94296654</v>
      </c>
      <c r="C4945" t="s">
        <v>7018</v>
      </c>
      <c r="D4945" t="s">
        <v>595</v>
      </c>
      <c r="E4945" s="184">
        <v>44484</v>
      </c>
      <c r="G4945" s="184"/>
      <c r="I4945" s="184"/>
      <c r="K4945" s="184"/>
      <c r="M4945" s="184"/>
      <c r="P4945" t="s">
        <v>7045</v>
      </c>
      <c r="Q4945" t="s">
        <v>7374</v>
      </c>
      <c r="R4945" s="184">
        <v>21986</v>
      </c>
      <c r="S4945">
        <v>64</v>
      </c>
      <c r="U4945" t="s">
        <v>7076</v>
      </c>
      <c r="V4945" t="s">
        <v>2602</v>
      </c>
      <c r="W4945" t="s">
        <v>4152</v>
      </c>
      <c r="X4945" t="s">
        <v>5891</v>
      </c>
      <c r="AF4945" t="s">
        <v>35533</v>
      </c>
      <c r="AG4945" t="s">
        <v>2602</v>
      </c>
      <c r="AI4945" t="s">
        <v>35534</v>
      </c>
      <c r="AM4945" t="s">
        <v>4362</v>
      </c>
      <c r="AN4945" t="s">
        <v>2081</v>
      </c>
      <c r="AO4945" t="s">
        <v>35535</v>
      </c>
      <c r="AP4945" t="s">
        <v>7024</v>
      </c>
      <c r="AQ4945" t="s">
        <v>35536</v>
      </c>
      <c r="AR4945" t="s">
        <v>35537</v>
      </c>
      <c r="AT4945" s="184">
        <v>42460</v>
      </c>
      <c r="AU4945" t="s">
        <v>35538</v>
      </c>
      <c r="AV4945">
        <v>25</v>
      </c>
      <c r="AW4945" s="184">
        <v>45166</v>
      </c>
      <c r="AX4945" t="s">
        <v>35539</v>
      </c>
      <c r="AY4945">
        <v>35</v>
      </c>
      <c r="AZ4945" s="184">
        <v>43227</v>
      </c>
      <c r="BA4945" t="s">
        <v>35540</v>
      </c>
      <c r="BB4945">
        <v>40</v>
      </c>
      <c r="BC4945">
        <v>78</v>
      </c>
      <c r="BD4945">
        <v>229</v>
      </c>
      <c r="BE4945">
        <v>2016</v>
      </c>
      <c r="BF4945">
        <v>7</v>
      </c>
      <c r="BG4945">
        <v>1</v>
      </c>
      <c r="BH4945">
        <v>35</v>
      </c>
      <c r="BI4945">
        <v>7</v>
      </c>
      <c r="BJ4945">
        <v>9</v>
      </c>
      <c r="BK4945">
        <v>6</v>
      </c>
      <c r="BP4945" s="184"/>
    </row>
    <row r="4946" spans="1:68">
      <c r="A4946">
        <v>94300878</v>
      </c>
      <c r="B4946">
        <v>94300878</v>
      </c>
      <c r="C4946" t="s">
        <v>7018</v>
      </c>
      <c r="E4946" s="184"/>
      <c r="G4946" s="184"/>
      <c r="I4946" s="184"/>
      <c r="J4946" t="s">
        <v>595</v>
      </c>
      <c r="K4946" s="184">
        <v>43543</v>
      </c>
      <c r="M4946" s="184"/>
      <c r="O4946" s="184"/>
      <c r="P4946" t="s">
        <v>7045</v>
      </c>
      <c r="Q4946" t="s">
        <v>7383</v>
      </c>
      <c r="R4946" s="184">
        <v>19146</v>
      </c>
      <c r="S4946">
        <v>71</v>
      </c>
      <c r="U4946" t="s">
        <v>7076</v>
      </c>
      <c r="V4946" t="s">
        <v>2938</v>
      </c>
      <c r="W4946" t="s">
        <v>7407</v>
      </c>
      <c r="X4946" t="s">
        <v>2745</v>
      </c>
      <c r="AF4946" t="s">
        <v>6690</v>
      </c>
      <c r="AG4946" t="s">
        <v>2938</v>
      </c>
      <c r="AI4946" t="s">
        <v>35541</v>
      </c>
      <c r="AM4946" t="s">
        <v>4151</v>
      </c>
      <c r="AN4946" t="s">
        <v>2059</v>
      </c>
      <c r="AO4946" t="s">
        <v>35542</v>
      </c>
      <c r="AP4946" t="s">
        <v>7024</v>
      </c>
      <c r="AQ4946" t="s">
        <v>35543</v>
      </c>
      <c r="AT4946" s="184">
        <v>42464</v>
      </c>
      <c r="AU4946" t="s">
        <v>35479</v>
      </c>
      <c r="AV4946">
        <v>15</v>
      </c>
      <c r="AW4946" s="184">
        <v>45279</v>
      </c>
      <c r="AX4946" t="s">
        <v>12898</v>
      </c>
      <c r="AY4946">
        <v>15</v>
      </c>
      <c r="AZ4946" s="184">
        <v>43166</v>
      </c>
      <c r="BA4946" t="s">
        <v>35544</v>
      </c>
      <c r="BB4946">
        <v>25</v>
      </c>
      <c r="BC4946">
        <v>89</v>
      </c>
      <c r="BD4946">
        <v>171</v>
      </c>
      <c r="BE4946">
        <v>2016</v>
      </c>
      <c r="BF4946">
        <v>9</v>
      </c>
      <c r="BG4946">
        <v>2</v>
      </c>
      <c r="BH4946">
        <v>30</v>
      </c>
      <c r="BI4946">
        <v>8</v>
      </c>
      <c r="BJ4946">
        <v>9</v>
      </c>
      <c r="BK4946">
        <v>8</v>
      </c>
      <c r="BP4946" s="184"/>
    </row>
    <row r="4947" spans="1:68">
      <c r="A4947">
        <v>94303948</v>
      </c>
      <c r="B4947">
        <v>94303948</v>
      </c>
      <c r="C4947" t="s">
        <v>7018</v>
      </c>
      <c r="E4947" s="184"/>
      <c r="F4947" t="s">
        <v>595</v>
      </c>
      <c r="G4947" s="184">
        <v>44073</v>
      </c>
      <c r="I4947" s="184"/>
      <c r="K4947" s="184"/>
      <c r="M4947" s="184"/>
      <c r="O4947" s="184"/>
      <c r="P4947" t="s">
        <v>7045</v>
      </c>
      <c r="Q4947" t="s">
        <v>7454</v>
      </c>
      <c r="R4947" s="184">
        <v>17930</v>
      </c>
      <c r="S4947">
        <v>75</v>
      </c>
      <c r="U4947" t="s">
        <v>7076</v>
      </c>
      <c r="V4947" t="s">
        <v>8798</v>
      </c>
      <c r="W4947" t="s">
        <v>4013</v>
      </c>
      <c r="X4947" t="s">
        <v>35545</v>
      </c>
      <c r="AF4947" t="s">
        <v>35546</v>
      </c>
      <c r="AG4947" t="s">
        <v>8798</v>
      </c>
      <c r="AI4947" t="s">
        <v>35547</v>
      </c>
      <c r="AM4947" t="s">
        <v>3460</v>
      </c>
      <c r="AN4947" t="s">
        <v>2299</v>
      </c>
      <c r="AO4947" t="s">
        <v>35548</v>
      </c>
      <c r="AP4947" t="s">
        <v>7024</v>
      </c>
      <c r="AQ4947" t="s">
        <v>35549</v>
      </c>
      <c r="AT4947" s="184">
        <v>42465</v>
      </c>
      <c r="AU4947" t="s">
        <v>35550</v>
      </c>
      <c r="AV4947">
        <v>10</v>
      </c>
      <c r="AW4947" s="184">
        <v>45417</v>
      </c>
      <c r="AX4947" t="s">
        <v>7422</v>
      </c>
      <c r="AY4947">
        <v>10</v>
      </c>
      <c r="AZ4947" s="184">
        <v>42745</v>
      </c>
      <c r="BA4947" t="s">
        <v>35551</v>
      </c>
      <c r="BB4947">
        <v>35</v>
      </c>
      <c r="BC4947">
        <v>100</v>
      </c>
      <c r="BD4947">
        <v>1015</v>
      </c>
      <c r="BE4947">
        <v>2016</v>
      </c>
      <c r="BF4947">
        <v>99</v>
      </c>
      <c r="BG4947">
        <v>24</v>
      </c>
      <c r="BH4947">
        <v>240</v>
      </c>
      <c r="BI4947">
        <v>9</v>
      </c>
      <c r="BJ4947">
        <v>9</v>
      </c>
      <c r="BK4947">
        <v>9</v>
      </c>
      <c r="BP4947" s="184"/>
    </row>
    <row r="4948" spans="1:68">
      <c r="A4948">
        <v>94318391</v>
      </c>
      <c r="B4948">
        <v>94318391</v>
      </c>
      <c r="C4948" t="s">
        <v>7018</v>
      </c>
      <c r="E4948" s="184"/>
      <c r="F4948" t="s">
        <v>595</v>
      </c>
      <c r="G4948" s="184">
        <v>44313</v>
      </c>
      <c r="I4948" s="184"/>
      <c r="K4948" s="184"/>
      <c r="M4948" s="184"/>
      <c r="O4948" s="184"/>
      <c r="P4948" t="s">
        <v>7045</v>
      </c>
      <c r="Q4948" t="s">
        <v>7262</v>
      </c>
      <c r="R4948" s="184">
        <v>17564</v>
      </c>
      <c r="S4948">
        <v>76</v>
      </c>
      <c r="V4948" t="s">
        <v>2903</v>
      </c>
      <c r="X4948" t="s">
        <v>3175</v>
      </c>
      <c r="AF4948" t="s">
        <v>35552</v>
      </c>
      <c r="AG4948" t="s">
        <v>2903</v>
      </c>
      <c r="AI4948" t="s">
        <v>35553</v>
      </c>
      <c r="AM4948" t="s">
        <v>13175</v>
      </c>
      <c r="AN4948" t="s">
        <v>2069</v>
      </c>
      <c r="AO4948" t="s">
        <v>35554</v>
      </c>
      <c r="AP4948" t="s">
        <v>7024</v>
      </c>
      <c r="AQ4948" t="s">
        <v>35555</v>
      </c>
      <c r="AT4948" s="184">
        <v>42468</v>
      </c>
      <c r="AU4948" t="s">
        <v>35556</v>
      </c>
      <c r="AV4948">
        <v>25</v>
      </c>
      <c r="AW4948" s="184">
        <v>45322</v>
      </c>
      <c r="AX4948" t="s">
        <v>16666</v>
      </c>
      <c r="AY4948">
        <v>35</v>
      </c>
      <c r="AZ4948" s="184">
        <v>45161</v>
      </c>
      <c r="BA4948" t="s">
        <v>35557</v>
      </c>
      <c r="BB4948">
        <v>40</v>
      </c>
      <c r="BC4948">
        <v>100</v>
      </c>
      <c r="BD4948">
        <v>1435</v>
      </c>
      <c r="BE4948">
        <v>2016</v>
      </c>
      <c r="BF4948">
        <v>39</v>
      </c>
      <c r="BG4948">
        <v>5</v>
      </c>
      <c r="BH4948">
        <v>190</v>
      </c>
      <c r="BI4948">
        <v>9</v>
      </c>
      <c r="BJ4948">
        <v>9</v>
      </c>
      <c r="BK4948">
        <v>9</v>
      </c>
      <c r="BP4948" s="184"/>
    </row>
    <row r="4949" spans="1:68">
      <c r="A4949">
        <v>94328416</v>
      </c>
      <c r="B4949">
        <v>94328416</v>
      </c>
      <c r="C4949" t="s">
        <v>7018</v>
      </c>
      <c r="D4949" t="s">
        <v>595</v>
      </c>
      <c r="E4949" s="184">
        <v>44419</v>
      </c>
      <c r="G4949" s="184"/>
      <c r="I4949" s="184"/>
      <c r="K4949" s="184"/>
      <c r="M4949" s="184"/>
      <c r="O4949" s="184"/>
      <c r="P4949" t="s">
        <v>7045</v>
      </c>
      <c r="Q4949" t="s">
        <v>7262</v>
      </c>
      <c r="R4949" s="184">
        <v>17389</v>
      </c>
      <c r="S4949">
        <v>76</v>
      </c>
      <c r="V4949" t="s">
        <v>3510</v>
      </c>
      <c r="X4949" t="s">
        <v>35558</v>
      </c>
      <c r="AF4949" t="s">
        <v>35559</v>
      </c>
      <c r="AG4949" t="s">
        <v>3510</v>
      </c>
      <c r="AI4949" t="s">
        <v>35560</v>
      </c>
      <c r="AM4949" t="s">
        <v>32960</v>
      </c>
      <c r="AN4949" t="s">
        <v>2069</v>
      </c>
      <c r="AO4949" t="s">
        <v>35561</v>
      </c>
      <c r="AP4949" t="s">
        <v>7024</v>
      </c>
      <c r="AQ4949" t="s">
        <v>35562</v>
      </c>
      <c r="AT4949" s="184">
        <v>42472</v>
      </c>
      <c r="AU4949" t="s">
        <v>35563</v>
      </c>
      <c r="AV4949">
        <v>50</v>
      </c>
      <c r="AW4949" s="184">
        <v>45121</v>
      </c>
      <c r="AX4949" t="s">
        <v>11151</v>
      </c>
      <c r="AY4949">
        <v>50</v>
      </c>
      <c r="AZ4949" s="184">
        <v>45121</v>
      </c>
      <c r="BA4949" t="s">
        <v>11151</v>
      </c>
      <c r="BB4949">
        <v>50</v>
      </c>
      <c r="BC4949">
        <v>89</v>
      </c>
      <c r="BD4949">
        <v>550</v>
      </c>
      <c r="BE4949">
        <v>2016</v>
      </c>
      <c r="BF4949">
        <v>11</v>
      </c>
      <c r="BG4949">
        <v>3</v>
      </c>
      <c r="BH4949">
        <v>150</v>
      </c>
      <c r="BI4949">
        <v>8</v>
      </c>
      <c r="BJ4949">
        <v>9</v>
      </c>
      <c r="BK4949">
        <v>8</v>
      </c>
      <c r="BP4949" s="184"/>
    </row>
    <row r="4950" spans="1:68">
      <c r="A4950">
        <v>94329521</v>
      </c>
      <c r="B4950">
        <v>94329521</v>
      </c>
      <c r="C4950" t="s">
        <v>7018</v>
      </c>
      <c r="D4950" t="s">
        <v>595</v>
      </c>
      <c r="E4950" s="184">
        <v>44167</v>
      </c>
      <c r="G4950" s="184"/>
      <c r="I4950" s="184"/>
      <c r="K4950" s="184"/>
      <c r="M4950" s="184"/>
      <c r="O4950" s="184"/>
      <c r="P4950" t="s">
        <v>7045</v>
      </c>
      <c r="Q4950" t="s">
        <v>7194</v>
      </c>
      <c r="R4950" s="184">
        <v>17654</v>
      </c>
      <c r="S4950">
        <v>76</v>
      </c>
      <c r="U4950" t="s">
        <v>7031</v>
      </c>
      <c r="V4950" t="s">
        <v>3384</v>
      </c>
      <c r="X4950" t="s">
        <v>35564</v>
      </c>
      <c r="AF4950" t="s">
        <v>35565</v>
      </c>
      <c r="AG4950" t="s">
        <v>3384</v>
      </c>
      <c r="AI4950" t="s">
        <v>35566</v>
      </c>
      <c r="AM4950" t="s">
        <v>5366</v>
      </c>
      <c r="AN4950" t="s">
        <v>2046</v>
      </c>
      <c r="AO4950" t="s">
        <v>35567</v>
      </c>
      <c r="AP4950" t="s">
        <v>7024</v>
      </c>
      <c r="AQ4950" t="s">
        <v>35568</v>
      </c>
      <c r="AR4950" t="s">
        <v>35569</v>
      </c>
      <c r="AT4950" s="184">
        <v>42474</v>
      </c>
      <c r="AU4950" t="s">
        <v>35570</v>
      </c>
      <c r="AV4950">
        <v>19.95</v>
      </c>
      <c r="AW4950" s="184">
        <v>45411</v>
      </c>
      <c r="AX4950" t="s">
        <v>9437</v>
      </c>
      <c r="AY4950">
        <v>50</v>
      </c>
      <c r="AZ4950" s="184">
        <v>45323</v>
      </c>
      <c r="BA4950" t="s">
        <v>9213</v>
      </c>
      <c r="BB4950">
        <v>75</v>
      </c>
      <c r="BC4950">
        <v>100</v>
      </c>
      <c r="BD4950">
        <v>1249.95</v>
      </c>
      <c r="BE4950">
        <v>2016</v>
      </c>
      <c r="BF4950">
        <v>33</v>
      </c>
      <c r="BG4950">
        <v>16</v>
      </c>
      <c r="BH4950">
        <v>685</v>
      </c>
      <c r="BI4950">
        <v>9</v>
      </c>
      <c r="BJ4950">
        <v>9</v>
      </c>
      <c r="BK4950">
        <v>9</v>
      </c>
      <c r="BP4950" s="184"/>
    </row>
    <row r="4951" spans="1:68">
      <c r="A4951">
        <v>94337748</v>
      </c>
      <c r="B4951">
        <v>94337748</v>
      </c>
      <c r="C4951" t="s">
        <v>7018</v>
      </c>
      <c r="D4951" t="s">
        <v>595</v>
      </c>
      <c r="E4951" s="184">
        <v>44104</v>
      </c>
      <c r="G4951" s="184"/>
      <c r="I4951" s="184"/>
      <c r="K4951" s="184"/>
      <c r="M4951" s="184"/>
      <c r="O4951" s="184"/>
      <c r="P4951" t="s">
        <v>7045</v>
      </c>
      <c r="Q4951" t="s">
        <v>7020</v>
      </c>
      <c r="R4951" s="184">
        <v>14606</v>
      </c>
      <c r="S4951">
        <v>84</v>
      </c>
      <c r="U4951" t="s">
        <v>7031</v>
      </c>
      <c r="V4951" t="s">
        <v>35571</v>
      </c>
      <c r="W4951" t="s">
        <v>10405</v>
      </c>
      <c r="X4951" t="s">
        <v>35572</v>
      </c>
      <c r="Y4951" t="s">
        <v>7047</v>
      </c>
      <c r="AF4951" t="s">
        <v>35573</v>
      </c>
      <c r="AG4951" t="s">
        <v>35571</v>
      </c>
      <c r="AI4951" t="s">
        <v>35574</v>
      </c>
      <c r="AM4951" t="s">
        <v>35575</v>
      </c>
      <c r="AN4951" t="s">
        <v>2052</v>
      </c>
      <c r="AO4951" t="s">
        <v>35576</v>
      </c>
      <c r="AP4951" t="s">
        <v>7024</v>
      </c>
      <c r="AQ4951" t="s">
        <v>35577</v>
      </c>
      <c r="AT4951" s="184">
        <v>42473</v>
      </c>
      <c r="AU4951" t="s">
        <v>35578</v>
      </c>
      <c r="AV4951">
        <v>25</v>
      </c>
      <c r="AW4951" s="184">
        <v>45222</v>
      </c>
      <c r="AX4951" t="s">
        <v>32524</v>
      </c>
      <c r="AY4951">
        <v>10</v>
      </c>
      <c r="AZ4951" s="184">
        <v>44665</v>
      </c>
      <c r="BA4951" t="s">
        <v>35579</v>
      </c>
      <c r="BB4951">
        <v>25</v>
      </c>
      <c r="BC4951">
        <v>89</v>
      </c>
      <c r="BD4951">
        <v>610</v>
      </c>
      <c r="BE4951">
        <v>2016</v>
      </c>
      <c r="BF4951">
        <v>39</v>
      </c>
      <c r="BG4951">
        <v>10</v>
      </c>
      <c r="BH4951">
        <v>90</v>
      </c>
      <c r="BI4951">
        <v>8</v>
      </c>
      <c r="BJ4951">
        <v>9</v>
      </c>
      <c r="BK4951">
        <v>8</v>
      </c>
      <c r="BP4951" s="184"/>
    </row>
    <row r="4952" spans="1:68">
      <c r="A4952">
        <v>94372414</v>
      </c>
      <c r="B4952">
        <v>94372414</v>
      </c>
      <c r="C4952" t="s">
        <v>7018</v>
      </c>
      <c r="E4952" s="184"/>
      <c r="G4952" s="184"/>
      <c r="I4952" s="184"/>
      <c r="K4952" s="184"/>
      <c r="L4952" t="s">
        <v>595</v>
      </c>
      <c r="M4952" s="184">
        <v>44285</v>
      </c>
      <c r="O4952" s="184"/>
      <c r="P4952" t="s">
        <v>7045</v>
      </c>
      <c r="Q4952" t="s">
        <v>7383</v>
      </c>
      <c r="R4952" s="184">
        <v>17721</v>
      </c>
      <c r="S4952">
        <v>75</v>
      </c>
      <c r="V4952" t="s">
        <v>2779</v>
      </c>
      <c r="W4952" t="s">
        <v>7396</v>
      </c>
      <c r="X4952" t="s">
        <v>4379</v>
      </c>
      <c r="AF4952" t="s">
        <v>35580</v>
      </c>
      <c r="AG4952" t="s">
        <v>2779</v>
      </c>
      <c r="AI4952" t="s">
        <v>35581</v>
      </c>
      <c r="AM4952" t="s">
        <v>35582</v>
      </c>
      <c r="AN4952" t="s">
        <v>2274</v>
      </c>
      <c r="AO4952" t="s">
        <v>35583</v>
      </c>
      <c r="AP4952" t="s">
        <v>7024</v>
      </c>
      <c r="AQ4952" t="s">
        <v>35584</v>
      </c>
      <c r="AR4952" t="s">
        <v>35585</v>
      </c>
      <c r="AT4952" s="184">
        <v>42483</v>
      </c>
      <c r="AU4952" t="s">
        <v>35586</v>
      </c>
      <c r="AV4952">
        <v>30</v>
      </c>
      <c r="AW4952" s="184">
        <v>45315</v>
      </c>
      <c r="AX4952" t="s">
        <v>7092</v>
      </c>
      <c r="AY4952">
        <v>100</v>
      </c>
      <c r="AZ4952" s="184">
        <v>45315</v>
      </c>
      <c r="BA4952" t="s">
        <v>7092</v>
      </c>
      <c r="BB4952">
        <v>100</v>
      </c>
      <c r="BC4952">
        <v>78</v>
      </c>
      <c r="BD4952">
        <v>485</v>
      </c>
      <c r="BE4952">
        <v>2016</v>
      </c>
      <c r="BF4952">
        <v>8</v>
      </c>
      <c r="BG4952">
        <v>2</v>
      </c>
      <c r="BH4952">
        <v>200</v>
      </c>
      <c r="BI4952">
        <v>7</v>
      </c>
      <c r="BJ4952">
        <v>9</v>
      </c>
      <c r="BK4952">
        <v>3</v>
      </c>
      <c r="BP4952" s="184"/>
    </row>
    <row r="4953" spans="1:68">
      <c r="A4953">
        <v>94372638</v>
      </c>
      <c r="B4953">
        <v>94372638</v>
      </c>
      <c r="C4953" t="s">
        <v>7018</v>
      </c>
      <c r="D4953" t="s">
        <v>595</v>
      </c>
      <c r="E4953" s="184">
        <v>44167</v>
      </c>
      <c r="G4953" s="184"/>
      <c r="I4953" s="184"/>
      <c r="K4953" s="184"/>
      <c r="M4953" s="184"/>
      <c r="O4953" s="184"/>
      <c r="P4953" t="s">
        <v>7084</v>
      </c>
      <c r="Q4953" t="s">
        <v>7262</v>
      </c>
      <c r="R4953" s="184">
        <v>21671</v>
      </c>
      <c r="S4953">
        <v>65</v>
      </c>
      <c r="T4953" t="s">
        <v>3360</v>
      </c>
      <c r="U4953" t="s">
        <v>7031</v>
      </c>
      <c r="V4953" t="s">
        <v>3360</v>
      </c>
      <c r="X4953" t="s">
        <v>35587</v>
      </c>
      <c r="Z4953">
        <v>100164304</v>
      </c>
      <c r="AA4953" t="s">
        <v>7076</v>
      </c>
      <c r="AB4953" t="s">
        <v>2938</v>
      </c>
      <c r="AC4953" t="s">
        <v>5006</v>
      </c>
      <c r="AD4953" t="s">
        <v>35588</v>
      </c>
      <c r="AF4953" t="s">
        <v>35589</v>
      </c>
      <c r="AG4953" t="s">
        <v>35590</v>
      </c>
      <c r="AI4953" t="s">
        <v>35591</v>
      </c>
      <c r="AM4953" t="s">
        <v>5327</v>
      </c>
      <c r="AN4953" t="s">
        <v>65</v>
      </c>
      <c r="AO4953" t="s">
        <v>35592</v>
      </c>
      <c r="AP4953" t="s">
        <v>7024</v>
      </c>
      <c r="AQ4953" t="s">
        <v>35593</v>
      </c>
      <c r="AR4953" t="s">
        <v>35594</v>
      </c>
      <c r="AT4953" s="184">
        <v>42484</v>
      </c>
      <c r="AU4953" t="s">
        <v>27029</v>
      </c>
      <c r="AV4953">
        <v>1000</v>
      </c>
      <c r="AW4953" s="184">
        <v>45362</v>
      </c>
      <c r="AX4953" t="s">
        <v>35595</v>
      </c>
      <c r="AY4953">
        <v>128.5</v>
      </c>
      <c r="AZ4953" s="184">
        <v>45359</v>
      </c>
      <c r="BA4953" t="s">
        <v>35595</v>
      </c>
      <c r="BB4953">
        <v>14817.5</v>
      </c>
      <c r="BC4953">
        <v>100</v>
      </c>
      <c r="BD4953">
        <v>103828.49</v>
      </c>
      <c r="BE4953">
        <v>2016</v>
      </c>
      <c r="BF4953">
        <v>26</v>
      </c>
      <c r="BG4953">
        <v>5</v>
      </c>
      <c r="BH4953">
        <v>30207.25</v>
      </c>
      <c r="BI4953">
        <v>9</v>
      </c>
      <c r="BJ4953">
        <v>9</v>
      </c>
      <c r="BK4953">
        <v>9</v>
      </c>
      <c r="BP4953" s="184"/>
    </row>
    <row r="4954" spans="1:68">
      <c r="A4954">
        <v>100164304</v>
      </c>
      <c r="B4954">
        <v>94372638</v>
      </c>
      <c r="C4954" t="s">
        <v>7018</v>
      </c>
      <c r="D4954" t="s">
        <v>595</v>
      </c>
      <c r="E4954" s="184">
        <v>44167</v>
      </c>
      <c r="G4954" s="184"/>
      <c r="I4954" s="184"/>
      <c r="K4954" s="184"/>
      <c r="M4954" s="184"/>
      <c r="O4954" s="184"/>
      <c r="P4954" t="s">
        <v>7084</v>
      </c>
      <c r="Q4954" t="s">
        <v>7262</v>
      </c>
      <c r="R4954" s="184">
        <v>21824</v>
      </c>
      <c r="S4954">
        <v>64</v>
      </c>
      <c r="U4954" t="s">
        <v>7076</v>
      </c>
      <c r="V4954" t="s">
        <v>2938</v>
      </c>
      <c r="W4954" t="s">
        <v>5006</v>
      </c>
      <c r="X4954" t="s">
        <v>35588</v>
      </c>
      <c r="Z4954">
        <v>94372638</v>
      </c>
      <c r="AA4954" t="s">
        <v>7031</v>
      </c>
      <c r="AB4954" t="s">
        <v>3360</v>
      </c>
      <c r="AD4954" t="s">
        <v>35587</v>
      </c>
      <c r="AF4954" t="s">
        <v>35589</v>
      </c>
      <c r="AG4954" t="s">
        <v>35590</v>
      </c>
      <c r="AI4954" t="s">
        <v>35591</v>
      </c>
      <c r="AM4954" t="s">
        <v>5327</v>
      </c>
      <c r="AN4954" t="s">
        <v>65</v>
      </c>
      <c r="AO4954" t="s">
        <v>35592</v>
      </c>
      <c r="AP4954" t="s">
        <v>7024</v>
      </c>
      <c r="AQ4954" t="s">
        <v>35596</v>
      </c>
      <c r="AT4954" s="184">
        <v>44591</v>
      </c>
      <c r="AU4954" t="s">
        <v>10277</v>
      </c>
      <c r="AV4954">
        <v>75</v>
      </c>
      <c r="AW4954" s="184">
        <v>44591</v>
      </c>
      <c r="AX4954" t="s">
        <v>10277</v>
      </c>
      <c r="AY4954">
        <v>75</v>
      </c>
      <c r="AZ4954" s="184">
        <v>44591</v>
      </c>
      <c r="BA4954" t="s">
        <v>10277</v>
      </c>
      <c r="BB4954">
        <v>75</v>
      </c>
      <c r="BC4954">
        <v>34</v>
      </c>
      <c r="BD4954">
        <v>75</v>
      </c>
      <c r="BE4954">
        <v>2022</v>
      </c>
      <c r="BF4954">
        <v>1</v>
      </c>
      <c r="BI4954">
        <v>1</v>
      </c>
      <c r="BJ4954">
        <v>3</v>
      </c>
      <c r="BK4954">
        <v>1</v>
      </c>
      <c r="BP4954" s="184"/>
    </row>
    <row r="4955" spans="1:68">
      <c r="A4955">
        <v>94388832</v>
      </c>
      <c r="B4955">
        <v>94388832</v>
      </c>
      <c r="C4955" t="s">
        <v>7018</v>
      </c>
      <c r="D4955" t="s">
        <v>595</v>
      </c>
      <c r="E4955" s="184">
        <v>45195</v>
      </c>
      <c r="G4955" s="184"/>
      <c r="I4955" s="184"/>
      <c r="K4955" s="184"/>
      <c r="M4955" s="184"/>
      <c r="O4955" s="184"/>
      <c r="P4955" t="s">
        <v>7045</v>
      </c>
      <c r="Q4955" t="s">
        <v>7383</v>
      </c>
      <c r="R4955" s="184">
        <v>22336</v>
      </c>
      <c r="S4955">
        <v>63</v>
      </c>
      <c r="V4955" t="s">
        <v>4111</v>
      </c>
      <c r="X4955" t="s">
        <v>2570</v>
      </c>
      <c r="AF4955" t="s">
        <v>35597</v>
      </c>
      <c r="AG4955" t="s">
        <v>4111</v>
      </c>
      <c r="AI4955" t="s">
        <v>35598</v>
      </c>
      <c r="AM4955" t="s">
        <v>35599</v>
      </c>
      <c r="AN4955" t="s">
        <v>2185</v>
      </c>
      <c r="AO4955" t="s">
        <v>35600</v>
      </c>
      <c r="AP4955" t="s">
        <v>7024</v>
      </c>
      <c r="AQ4955" t="s">
        <v>35601</v>
      </c>
      <c r="AT4955" s="184">
        <v>42489</v>
      </c>
      <c r="AU4955" t="s">
        <v>35602</v>
      </c>
      <c r="AV4955">
        <v>19.97</v>
      </c>
      <c r="AW4955" s="184">
        <v>45048</v>
      </c>
      <c r="AX4955" t="s">
        <v>19091</v>
      </c>
      <c r="AY4955">
        <v>25</v>
      </c>
      <c r="AZ4955" s="184">
        <v>44237</v>
      </c>
      <c r="BA4955" t="s">
        <v>11074</v>
      </c>
      <c r="BB4955">
        <v>60</v>
      </c>
      <c r="BC4955">
        <v>78</v>
      </c>
      <c r="BD4955">
        <v>269.91000000000003</v>
      </c>
      <c r="BE4955">
        <v>2016</v>
      </c>
      <c r="BF4955">
        <v>8</v>
      </c>
      <c r="BG4955">
        <v>1</v>
      </c>
      <c r="BH4955">
        <v>25</v>
      </c>
      <c r="BI4955">
        <v>7</v>
      </c>
      <c r="BJ4955">
        <v>9</v>
      </c>
      <c r="BK4955">
        <v>5</v>
      </c>
      <c r="BP4955" s="184"/>
    </row>
    <row r="4956" spans="1:68">
      <c r="A4956">
        <v>94392099</v>
      </c>
      <c r="B4956">
        <v>94392099</v>
      </c>
      <c r="C4956" t="s">
        <v>7018</v>
      </c>
      <c r="D4956" t="s">
        <v>595</v>
      </c>
      <c r="E4956" s="184">
        <v>44167</v>
      </c>
      <c r="G4956" s="184"/>
      <c r="I4956" s="184"/>
      <c r="K4956" s="184"/>
      <c r="M4956" s="184"/>
      <c r="O4956" s="184"/>
      <c r="P4956" t="s">
        <v>7029</v>
      </c>
      <c r="Q4956" t="s">
        <v>7194</v>
      </c>
      <c r="R4956" s="184">
        <v>14277</v>
      </c>
      <c r="S4956">
        <v>85</v>
      </c>
      <c r="U4956" t="s">
        <v>7031</v>
      </c>
      <c r="V4956" t="s">
        <v>3692</v>
      </c>
      <c r="X4956" t="s">
        <v>23400</v>
      </c>
      <c r="AF4956" t="s">
        <v>35603</v>
      </c>
      <c r="AG4956" t="s">
        <v>3692</v>
      </c>
      <c r="AI4956" t="s">
        <v>35604</v>
      </c>
      <c r="AM4956" t="s">
        <v>7450</v>
      </c>
      <c r="AN4956" t="s">
        <v>2046</v>
      </c>
      <c r="AO4956" t="s">
        <v>35605</v>
      </c>
      <c r="AP4956" t="s">
        <v>7024</v>
      </c>
      <c r="AQ4956" t="s">
        <v>35606</v>
      </c>
      <c r="AT4956" s="184">
        <v>42487</v>
      </c>
      <c r="AU4956" t="s">
        <v>35607</v>
      </c>
      <c r="AV4956">
        <v>25</v>
      </c>
      <c r="AW4956" s="184">
        <v>45421</v>
      </c>
      <c r="AX4956" t="s">
        <v>7422</v>
      </c>
      <c r="AY4956">
        <v>100</v>
      </c>
      <c r="AZ4956" s="184">
        <v>45421</v>
      </c>
      <c r="BA4956" t="s">
        <v>7422</v>
      </c>
      <c r="BB4956">
        <v>100</v>
      </c>
      <c r="BC4956">
        <v>100</v>
      </c>
      <c r="BD4956">
        <v>5680</v>
      </c>
      <c r="BE4956">
        <v>2016</v>
      </c>
      <c r="BF4956">
        <v>84</v>
      </c>
      <c r="BG4956">
        <v>25</v>
      </c>
      <c r="BH4956">
        <v>2500</v>
      </c>
      <c r="BI4956">
        <v>9</v>
      </c>
      <c r="BJ4956">
        <v>9</v>
      </c>
      <c r="BK4956">
        <v>9</v>
      </c>
      <c r="BP4956" s="184"/>
    </row>
    <row r="4957" spans="1:68">
      <c r="A4957">
        <v>94441763</v>
      </c>
      <c r="B4957">
        <v>94441763</v>
      </c>
      <c r="C4957" t="s">
        <v>7018</v>
      </c>
      <c r="D4957" t="s">
        <v>595</v>
      </c>
      <c r="E4957" s="184">
        <v>45148</v>
      </c>
      <c r="G4957" s="184"/>
      <c r="I4957" s="184"/>
      <c r="K4957" s="184"/>
      <c r="M4957" s="184"/>
      <c r="O4957" s="184"/>
      <c r="P4957" t="s">
        <v>7019</v>
      </c>
      <c r="Q4957" t="s">
        <v>7383</v>
      </c>
      <c r="R4957" s="184">
        <v>18213</v>
      </c>
      <c r="S4957">
        <v>74</v>
      </c>
      <c r="U4957" t="s">
        <v>7031</v>
      </c>
      <c r="V4957" t="s">
        <v>2687</v>
      </c>
      <c r="X4957" t="s">
        <v>35608</v>
      </c>
      <c r="AF4957" t="s">
        <v>35609</v>
      </c>
      <c r="AG4957" t="s">
        <v>2687</v>
      </c>
      <c r="AI4957" t="s">
        <v>35610</v>
      </c>
      <c r="AM4957" t="s">
        <v>7769</v>
      </c>
      <c r="AN4957" t="s">
        <v>2185</v>
      </c>
      <c r="AO4957" t="s">
        <v>35611</v>
      </c>
      <c r="AP4957" t="s">
        <v>7024</v>
      </c>
      <c r="AT4957" s="184">
        <v>42508</v>
      </c>
      <c r="AU4957" t="s">
        <v>35612</v>
      </c>
      <c r="AV4957">
        <v>25</v>
      </c>
      <c r="AW4957" s="184">
        <v>45019</v>
      </c>
      <c r="AX4957" t="s">
        <v>35613</v>
      </c>
      <c r="AY4957">
        <v>5</v>
      </c>
      <c r="AZ4957" s="184">
        <v>44957</v>
      </c>
      <c r="BA4957" t="s">
        <v>22489</v>
      </c>
      <c r="BB4957">
        <v>60</v>
      </c>
      <c r="BC4957">
        <v>56</v>
      </c>
      <c r="BD4957">
        <v>215</v>
      </c>
      <c r="BE4957">
        <v>2016</v>
      </c>
      <c r="BF4957">
        <v>8</v>
      </c>
      <c r="BG4957">
        <v>2</v>
      </c>
      <c r="BH4957">
        <v>65</v>
      </c>
      <c r="BI4957">
        <v>5</v>
      </c>
      <c r="BJ4957">
        <v>9</v>
      </c>
      <c r="BK4957">
        <v>2</v>
      </c>
      <c r="BP4957" s="184"/>
    </row>
    <row r="4958" spans="1:68">
      <c r="A4958">
        <v>94443322</v>
      </c>
      <c r="B4958">
        <v>94443322</v>
      </c>
      <c r="C4958" t="s">
        <v>7018</v>
      </c>
      <c r="D4958" t="s">
        <v>595</v>
      </c>
      <c r="E4958" s="184">
        <v>45117</v>
      </c>
      <c r="G4958" s="184"/>
      <c r="I4958" s="184"/>
      <c r="K4958" s="184"/>
      <c r="M4958" s="184"/>
      <c r="O4958" s="184"/>
      <c r="P4958" t="s">
        <v>7045</v>
      </c>
      <c r="Q4958" t="s">
        <v>7383</v>
      </c>
      <c r="R4958" s="184">
        <v>13763</v>
      </c>
      <c r="S4958">
        <v>86</v>
      </c>
      <c r="V4958" t="s">
        <v>3381</v>
      </c>
      <c r="W4958" t="s">
        <v>7085</v>
      </c>
      <c r="X4958" t="s">
        <v>35614</v>
      </c>
      <c r="AF4958" t="s">
        <v>35615</v>
      </c>
      <c r="AG4958" t="s">
        <v>3381</v>
      </c>
      <c r="AI4958" t="s">
        <v>35616</v>
      </c>
      <c r="AM4958" t="s">
        <v>35617</v>
      </c>
      <c r="AN4958" t="s">
        <v>2274</v>
      </c>
      <c r="AO4958" t="s">
        <v>35618</v>
      </c>
      <c r="AP4958" t="s">
        <v>7024</v>
      </c>
      <c r="AQ4958" t="s">
        <v>35619</v>
      </c>
      <c r="AT4958" s="184">
        <v>42508</v>
      </c>
      <c r="AU4958" t="s">
        <v>35620</v>
      </c>
      <c r="AV4958">
        <v>20</v>
      </c>
      <c r="AW4958" s="184">
        <v>45034</v>
      </c>
      <c r="AX4958" t="s">
        <v>35621</v>
      </c>
      <c r="AY4958">
        <v>25</v>
      </c>
      <c r="AZ4958" s="184">
        <v>45034</v>
      </c>
      <c r="BA4958" t="s">
        <v>35621</v>
      </c>
      <c r="BB4958">
        <v>25</v>
      </c>
      <c r="BC4958">
        <v>67</v>
      </c>
      <c r="BD4958">
        <v>175</v>
      </c>
      <c r="BE4958">
        <v>2016</v>
      </c>
      <c r="BF4958">
        <v>8</v>
      </c>
      <c r="BG4958">
        <v>1</v>
      </c>
      <c r="BH4958">
        <v>25</v>
      </c>
      <c r="BI4958">
        <v>6</v>
      </c>
      <c r="BJ4958">
        <v>9</v>
      </c>
      <c r="BK4958">
        <v>5</v>
      </c>
      <c r="BP4958" s="184"/>
    </row>
    <row r="4959" spans="1:68">
      <c r="A4959">
        <v>94449857</v>
      </c>
      <c r="B4959">
        <v>94449857</v>
      </c>
      <c r="C4959" t="s">
        <v>7018</v>
      </c>
      <c r="D4959" t="s">
        <v>595</v>
      </c>
      <c r="E4959" s="184">
        <v>44152</v>
      </c>
      <c r="G4959" s="184"/>
      <c r="I4959" s="184"/>
      <c r="K4959" s="184"/>
      <c r="M4959" s="184"/>
      <c r="O4959" s="184"/>
      <c r="P4959" t="s">
        <v>7045</v>
      </c>
      <c r="Q4959" t="s">
        <v>7160</v>
      </c>
      <c r="R4959" s="184">
        <v>12824</v>
      </c>
      <c r="S4959">
        <v>89</v>
      </c>
      <c r="U4959" t="s">
        <v>7031</v>
      </c>
      <c r="V4959" t="s">
        <v>2898</v>
      </c>
      <c r="W4959" t="s">
        <v>4502</v>
      </c>
      <c r="X4959" t="s">
        <v>35622</v>
      </c>
      <c r="Z4959">
        <v>100164499</v>
      </c>
      <c r="AB4959" t="s">
        <v>2718</v>
      </c>
      <c r="AD4959" t="s">
        <v>35622</v>
      </c>
      <c r="AF4959" t="s">
        <v>35623</v>
      </c>
      <c r="AG4959" t="s">
        <v>35624</v>
      </c>
      <c r="AI4959" t="s">
        <v>35625</v>
      </c>
      <c r="AM4959" t="s">
        <v>3924</v>
      </c>
      <c r="AN4959" t="s">
        <v>2413</v>
      </c>
      <c r="AO4959" t="s">
        <v>35626</v>
      </c>
      <c r="AP4959" t="s">
        <v>7024</v>
      </c>
      <c r="AQ4959" t="s">
        <v>35627</v>
      </c>
      <c r="AT4959" s="184">
        <v>42509</v>
      </c>
      <c r="AU4959" t="s">
        <v>35628</v>
      </c>
      <c r="AV4959">
        <v>50</v>
      </c>
      <c r="AW4959" s="184">
        <v>43033</v>
      </c>
      <c r="AX4959" t="s">
        <v>35629</v>
      </c>
      <c r="AY4959">
        <v>25</v>
      </c>
      <c r="AZ4959" s="184">
        <v>42509</v>
      </c>
      <c r="BA4959" t="s">
        <v>35628</v>
      </c>
      <c r="BB4959">
        <v>50</v>
      </c>
      <c r="BC4959">
        <v>23</v>
      </c>
      <c r="BD4959">
        <v>75</v>
      </c>
      <c r="BE4959">
        <v>2016</v>
      </c>
      <c r="BF4959">
        <v>2</v>
      </c>
      <c r="BI4959">
        <v>2</v>
      </c>
      <c r="BJ4959">
        <v>9</v>
      </c>
      <c r="BK4959">
        <v>2</v>
      </c>
      <c r="BP4959" s="184"/>
    </row>
    <row r="4960" spans="1:68">
      <c r="A4960">
        <v>100164499</v>
      </c>
      <c r="B4960">
        <v>94449857</v>
      </c>
      <c r="C4960" t="s">
        <v>7018</v>
      </c>
      <c r="D4960" t="s">
        <v>595</v>
      </c>
      <c r="E4960" s="184">
        <v>44152</v>
      </c>
      <c r="G4960" s="184"/>
      <c r="I4960" s="184"/>
      <c r="K4960" s="184"/>
      <c r="M4960" s="184"/>
      <c r="O4960" s="184"/>
      <c r="P4960" t="s">
        <v>7045</v>
      </c>
      <c r="Q4960" t="s">
        <v>7160</v>
      </c>
      <c r="R4960" s="184">
        <v>16891</v>
      </c>
      <c r="S4960">
        <v>78</v>
      </c>
      <c r="V4960" t="s">
        <v>2718</v>
      </c>
      <c r="X4960" t="s">
        <v>35622</v>
      </c>
      <c r="Z4960">
        <v>94449857</v>
      </c>
      <c r="AA4960" t="s">
        <v>7031</v>
      </c>
      <c r="AB4960" t="s">
        <v>2898</v>
      </c>
      <c r="AC4960" t="s">
        <v>4502</v>
      </c>
      <c r="AD4960" t="s">
        <v>35622</v>
      </c>
      <c r="AF4960" t="s">
        <v>35623</v>
      </c>
      <c r="AG4960" t="s">
        <v>35624</v>
      </c>
      <c r="AI4960" t="s">
        <v>35625</v>
      </c>
      <c r="AM4960" t="s">
        <v>3924</v>
      </c>
      <c r="AN4960" t="s">
        <v>2413</v>
      </c>
      <c r="AO4960" t="s">
        <v>35626</v>
      </c>
      <c r="AP4960" t="s">
        <v>7024</v>
      </c>
      <c r="AQ4960" t="s">
        <v>35630</v>
      </c>
      <c r="AT4960" s="184"/>
      <c r="AW4960" s="184"/>
      <c r="AZ4960" s="184"/>
      <c r="BP4960" s="184"/>
    </row>
    <row r="4961" spans="1:68">
      <c r="A4961">
        <v>94454923</v>
      </c>
      <c r="B4961">
        <v>94454923</v>
      </c>
      <c r="C4961" t="s">
        <v>7018</v>
      </c>
      <c r="E4961" s="184"/>
      <c r="G4961" s="184"/>
      <c r="I4961" s="184"/>
      <c r="J4961" t="s">
        <v>595</v>
      </c>
      <c r="K4961" s="184">
        <v>44167</v>
      </c>
      <c r="M4961" s="184"/>
      <c r="O4961" s="184"/>
      <c r="P4961" t="s">
        <v>7029</v>
      </c>
      <c r="Q4961" t="s">
        <v>7374</v>
      </c>
      <c r="R4961" s="184">
        <v>19845</v>
      </c>
      <c r="S4961">
        <v>70</v>
      </c>
      <c r="U4961" t="s">
        <v>7031</v>
      </c>
      <c r="V4961" t="s">
        <v>3689</v>
      </c>
      <c r="X4961" t="s">
        <v>35631</v>
      </c>
      <c r="AF4961" t="s">
        <v>35632</v>
      </c>
      <c r="AG4961" t="s">
        <v>3689</v>
      </c>
      <c r="AI4961" t="s">
        <v>35633</v>
      </c>
      <c r="AM4961" t="s">
        <v>3790</v>
      </c>
      <c r="AN4961" t="s">
        <v>2081</v>
      </c>
      <c r="AO4961" t="s">
        <v>35634</v>
      </c>
      <c r="AP4961" t="s">
        <v>7024</v>
      </c>
      <c r="AQ4961" t="s">
        <v>35635</v>
      </c>
      <c r="AT4961" s="184">
        <v>42510</v>
      </c>
      <c r="AU4961" t="s">
        <v>35636</v>
      </c>
      <c r="AV4961">
        <v>100</v>
      </c>
      <c r="AW4961" s="184">
        <v>45320</v>
      </c>
      <c r="AX4961" t="s">
        <v>17124</v>
      </c>
      <c r="AY4961">
        <v>500</v>
      </c>
      <c r="AZ4961" s="184">
        <v>44725</v>
      </c>
      <c r="BA4961" t="s">
        <v>35637</v>
      </c>
      <c r="BB4961">
        <v>1000</v>
      </c>
      <c r="BC4961">
        <v>100</v>
      </c>
      <c r="BD4961">
        <v>10400</v>
      </c>
      <c r="BE4961">
        <v>2016</v>
      </c>
      <c r="BF4961">
        <v>39</v>
      </c>
      <c r="BG4961">
        <v>12</v>
      </c>
      <c r="BH4961">
        <v>5400</v>
      </c>
      <c r="BI4961">
        <v>9</v>
      </c>
      <c r="BJ4961">
        <v>9</v>
      </c>
      <c r="BK4961">
        <v>9</v>
      </c>
      <c r="BP4961" s="184"/>
    </row>
    <row r="4962" spans="1:68">
      <c r="A4962">
        <v>94456696</v>
      </c>
      <c r="B4962">
        <v>94456696</v>
      </c>
      <c r="C4962" t="s">
        <v>7018</v>
      </c>
      <c r="D4962" t="s">
        <v>595</v>
      </c>
      <c r="E4962" s="184">
        <v>43397</v>
      </c>
      <c r="G4962" s="184"/>
      <c r="I4962" s="184"/>
      <c r="K4962" s="184"/>
      <c r="O4962" s="184"/>
      <c r="P4962" t="s">
        <v>8550</v>
      </c>
      <c r="Q4962" t="s">
        <v>7374</v>
      </c>
      <c r="R4962" s="184"/>
      <c r="U4962" t="s">
        <v>7076</v>
      </c>
      <c r="V4962" t="s">
        <v>4327</v>
      </c>
      <c r="X4962" t="s">
        <v>35638</v>
      </c>
      <c r="Y4962" t="s">
        <v>35639</v>
      </c>
      <c r="AF4962" t="s">
        <v>35640</v>
      </c>
      <c r="AG4962" t="s">
        <v>35641</v>
      </c>
      <c r="AI4962" t="s">
        <v>35642</v>
      </c>
      <c r="AM4962" t="s">
        <v>4799</v>
      </c>
      <c r="AN4962" t="s">
        <v>2081</v>
      </c>
      <c r="AO4962" t="s">
        <v>35643</v>
      </c>
      <c r="AP4962" t="s">
        <v>7024</v>
      </c>
      <c r="AT4962" s="184"/>
      <c r="AW4962" s="184"/>
      <c r="AZ4962" s="184"/>
      <c r="BP4962" s="184"/>
    </row>
    <row r="4963" spans="1:68">
      <c r="A4963">
        <v>94460011</v>
      </c>
      <c r="B4963">
        <v>94460011</v>
      </c>
      <c r="C4963" t="s">
        <v>7018</v>
      </c>
      <c r="E4963" s="184"/>
      <c r="G4963" s="184"/>
      <c r="I4963" s="184"/>
      <c r="K4963" s="184"/>
      <c r="L4963" t="s">
        <v>595</v>
      </c>
      <c r="M4963" s="184">
        <v>44265</v>
      </c>
      <c r="O4963" s="184"/>
      <c r="P4963" t="s">
        <v>7045</v>
      </c>
      <c r="Q4963" t="s">
        <v>7383</v>
      </c>
      <c r="R4963" s="184">
        <v>17838</v>
      </c>
      <c r="S4963">
        <v>75</v>
      </c>
      <c r="U4963" t="s">
        <v>7076</v>
      </c>
      <c r="V4963" t="s">
        <v>13505</v>
      </c>
      <c r="X4963" t="s">
        <v>35644</v>
      </c>
      <c r="AF4963" t="s">
        <v>35645</v>
      </c>
      <c r="AG4963" t="s">
        <v>13505</v>
      </c>
      <c r="AI4963" t="s">
        <v>35646</v>
      </c>
      <c r="AM4963" t="s">
        <v>4547</v>
      </c>
      <c r="AN4963" t="s">
        <v>2313</v>
      </c>
      <c r="AO4963" t="s">
        <v>35647</v>
      </c>
      <c r="AP4963" t="s">
        <v>7024</v>
      </c>
      <c r="AQ4963" t="s">
        <v>35648</v>
      </c>
      <c r="AT4963" s="184">
        <v>42513</v>
      </c>
      <c r="AU4963" t="s">
        <v>35649</v>
      </c>
      <c r="AV4963">
        <v>100</v>
      </c>
      <c r="AW4963" s="184">
        <v>45301</v>
      </c>
      <c r="AX4963" t="s">
        <v>7092</v>
      </c>
      <c r="AY4963">
        <v>100</v>
      </c>
      <c r="AZ4963" s="184">
        <v>44648</v>
      </c>
      <c r="BA4963" t="s">
        <v>35650</v>
      </c>
      <c r="BB4963">
        <v>320</v>
      </c>
      <c r="BC4963">
        <v>89</v>
      </c>
      <c r="BD4963">
        <v>1595</v>
      </c>
      <c r="BE4963">
        <v>2016</v>
      </c>
      <c r="BF4963">
        <v>11</v>
      </c>
      <c r="BG4963">
        <v>1</v>
      </c>
      <c r="BH4963">
        <v>100</v>
      </c>
      <c r="BI4963">
        <v>8</v>
      </c>
      <c r="BJ4963">
        <v>9</v>
      </c>
      <c r="BK4963">
        <v>7</v>
      </c>
      <c r="BP4963" s="184"/>
    </row>
    <row r="4964" spans="1:68">
      <c r="A4964">
        <v>94464104</v>
      </c>
      <c r="B4964">
        <v>94464104</v>
      </c>
      <c r="C4964" t="s">
        <v>7018</v>
      </c>
      <c r="D4964" t="s">
        <v>595</v>
      </c>
      <c r="E4964" s="184">
        <v>45117</v>
      </c>
      <c r="G4964" s="184"/>
      <c r="I4964" s="184"/>
      <c r="K4964" s="184"/>
      <c r="M4964" s="184"/>
      <c r="O4964" s="184"/>
      <c r="P4964" t="s">
        <v>7045</v>
      </c>
      <c r="Q4964" t="s">
        <v>7383</v>
      </c>
      <c r="R4964" s="184">
        <v>15746</v>
      </c>
      <c r="S4964">
        <v>81</v>
      </c>
      <c r="V4964" t="s">
        <v>2705</v>
      </c>
      <c r="X4964" t="s">
        <v>35651</v>
      </c>
      <c r="AF4964" t="s">
        <v>35652</v>
      </c>
      <c r="AG4964" t="s">
        <v>2705</v>
      </c>
      <c r="AI4964" t="s">
        <v>35653</v>
      </c>
      <c r="AM4964" t="s">
        <v>28398</v>
      </c>
      <c r="AN4964" t="s">
        <v>2072</v>
      </c>
      <c r="AO4964" t="s">
        <v>35654</v>
      </c>
      <c r="AP4964" t="s">
        <v>7024</v>
      </c>
      <c r="AQ4964" t="s">
        <v>35655</v>
      </c>
      <c r="AT4964" s="184">
        <v>42514</v>
      </c>
      <c r="AU4964" t="s">
        <v>35656</v>
      </c>
      <c r="AV4964">
        <v>25</v>
      </c>
      <c r="AW4964" s="184">
        <v>45020</v>
      </c>
      <c r="AX4964" t="s">
        <v>17926</v>
      </c>
      <c r="AY4964">
        <v>25</v>
      </c>
      <c r="AZ4964" s="184">
        <v>43164</v>
      </c>
      <c r="BA4964" t="s">
        <v>35657</v>
      </c>
      <c r="BB4964">
        <v>90</v>
      </c>
      <c r="BC4964">
        <v>67</v>
      </c>
      <c r="BD4964">
        <v>250</v>
      </c>
      <c r="BE4964">
        <v>2016</v>
      </c>
      <c r="BF4964">
        <v>6</v>
      </c>
      <c r="BG4964">
        <v>1</v>
      </c>
      <c r="BH4964">
        <v>25</v>
      </c>
      <c r="BI4964">
        <v>6</v>
      </c>
      <c r="BJ4964">
        <v>9</v>
      </c>
      <c r="BK4964">
        <v>3</v>
      </c>
      <c r="BN4964" t="s">
        <v>595</v>
      </c>
      <c r="BP4964" s="184"/>
    </row>
    <row r="4965" spans="1:68">
      <c r="A4965">
        <v>94477619</v>
      </c>
      <c r="B4965">
        <v>94477619</v>
      </c>
      <c r="C4965" t="s">
        <v>7018</v>
      </c>
      <c r="D4965" t="s">
        <v>595</v>
      </c>
      <c r="E4965" s="184">
        <v>45195</v>
      </c>
      <c r="G4965" s="184"/>
      <c r="I4965" s="184"/>
      <c r="K4965" s="184"/>
      <c r="M4965" s="184"/>
      <c r="O4965" s="184"/>
      <c r="P4965" t="s">
        <v>7045</v>
      </c>
      <c r="Q4965" t="s">
        <v>7374</v>
      </c>
      <c r="R4965" s="184">
        <v>22678</v>
      </c>
      <c r="S4965">
        <v>62</v>
      </c>
      <c r="V4965" t="s">
        <v>3981</v>
      </c>
      <c r="X4965" t="s">
        <v>10421</v>
      </c>
      <c r="AF4965" t="s">
        <v>35658</v>
      </c>
      <c r="AG4965" t="s">
        <v>3981</v>
      </c>
      <c r="AI4965" t="s">
        <v>35659</v>
      </c>
      <c r="AM4965" t="s">
        <v>35660</v>
      </c>
      <c r="AN4965" t="s">
        <v>2081</v>
      </c>
      <c r="AO4965" t="s">
        <v>35661</v>
      </c>
      <c r="AP4965" t="s">
        <v>7024</v>
      </c>
      <c r="AQ4965" t="s">
        <v>35662</v>
      </c>
      <c r="AR4965" t="s">
        <v>35663</v>
      </c>
      <c r="AT4965" s="184">
        <v>42522</v>
      </c>
      <c r="AU4965" t="s">
        <v>35664</v>
      </c>
      <c r="AV4965">
        <v>50</v>
      </c>
      <c r="AW4965" s="184">
        <v>45089</v>
      </c>
      <c r="AX4965" t="s">
        <v>9959</v>
      </c>
      <c r="AY4965">
        <v>100</v>
      </c>
      <c r="AZ4965" s="184">
        <v>45089</v>
      </c>
      <c r="BA4965" t="s">
        <v>9959</v>
      </c>
      <c r="BB4965">
        <v>100</v>
      </c>
      <c r="BC4965">
        <v>89</v>
      </c>
      <c r="BD4965">
        <v>700</v>
      </c>
      <c r="BE4965">
        <v>2016</v>
      </c>
      <c r="BF4965">
        <v>9</v>
      </c>
      <c r="BG4965">
        <v>3</v>
      </c>
      <c r="BH4965">
        <v>300</v>
      </c>
      <c r="BI4965">
        <v>8</v>
      </c>
      <c r="BJ4965">
        <v>9</v>
      </c>
      <c r="BK4965">
        <v>8</v>
      </c>
      <c r="BP4965" s="184"/>
    </row>
    <row r="4966" spans="1:68">
      <c r="A4966">
        <v>94490273</v>
      </c>
      <c r="B4966">
        <v>94490273</v>
      </c>
      <c r="C4966" t="s">
        <v>7018</v>
      </c>
      <c r="D4966" t="s">
        <v>595</v>
      </c>
      <c r="E4966" s="184">
        <v>44167</v>
      </c>
      <c r="G4966" s="184"/>
      <c r="I4966" s="184"/>
      <c r="K4966" s="184"/>
      <c r="M4966" s="184"/>
      <c r="O4966" s="184"/>
      <c r="P4966" t="s">
        <v>7045</v>
      </c>
      <c r="Q4966" t="s">
        <v>7194</v>
      </c>
      <c r="R4966" s="184">
        <v>18994</v>
      </c>
      <c r="S4966">
        <v>72</v>
      </c>
      <c r="V4966" t="s">
        <v>3400</v>
      </c>
      <c r="X4966" t="s">
        <v>35665</v>
      </c>
      <c r="AF4966" t="s">
        <v>35666</v>
      </c>
      <c r="AG4966" t="s">
        <v>3400</v>
      </c>
      <c r="AI4966" t="s">
        <v>35667</v>
      </c>
      <c r="AM4966" t="s">
        <v>5517</v>
      </c>
      <c r="AN4966" t="s">
        <v>4512</v>
      </c>
      <c r="AO4966" t="s">
        <v>35668</v>
      </c>
      <c r="AP4966" t="s">
        <v>7024</v>
      </c>
      <c r="AQ4966" t="s">
        <v>35669</v>
      </c>
      <c r="AT4966" s="184">
        <v>42529</v>
      </c>
      <c r="AU4966" t="s">
        <v>35670</v>
      </c>
      <c r="AV4966">
        <v>15</v>
      </c>
      <c r="AW4966" s="184">
        <v>45310</v>
      </c>
      <c r="AX4966" t="s">
        <v>35671</v>
      </c>
      <c r="AY4966">
        <v>5</v>
      </c>
      <c r="AZ4966" s="184">
        <v>45078</v>
      </c>
      <c r="BA4966" t="s">
        <v>35672</v>
      </c>
      <c r="BB4966">
        <v>25</v>
      </c>
      <c r="BC4966">
        <v>100</v>
      </c>
      <c r="BD4966">
        <v>254</v>
      </c>
      <c r="BE4966">
        <v>2016</v>
      </c>
      <c r="BF4966">
        <v>28</v>
      </c>
      <c r="BG4966">
        <v>7</v>
      </c>
      <c r="BH4966">
        <v>63</v>
      </c>
      <c r="BI4966">
        <v>9</v>
      </c>
      <c r="BJ4966">
        <v>9</v>
      </c>
      <c r="BK4966">
        <v>9</v>
      </c>
      <c r="BP4966" s="184"/>
    </row>
    <row r="4967" spans="1:68">
      <c r="A4967">
        <v>94493012</v>
      </c>
      <c r="B4967">
        <v>94493012</v>
      </c>
      <c r="C4967" t="s">
        <v>7018</v>
      </c>
      <c r="D4967" t="s">
        <v>595</v>
      </c>
      <c r="E4967" s="184">
        <v>45125</v>
      </c>
      <c r="G4967" s="184"/>
      <c r="I4967" s="184"/>
      <c r="K4967" s="184"/>
      <c r="M4967" s="184"/>
      <c r="O4967" s="184"/>
      <c r="P4967" t="s">
        <v>7045</v>
      </c>
      <c r="Q4967" t="s">
        <v>7383</v>
      </c>
      <c r="R4967" s="184">
        <v>18408</v>
      </c>
      <c r="S4967">
        <v>73</v>
      </c>
      <c r="U4967" t="s">
        <v>7031</v>
      </c>
      <c r="V4967" t="s">
        <v>3250</v>
      </c>
      <c r="X4967" t="s">
        <v>2988</v>
      </c>
      <c r="AF4967" t="s">
        <v>35673</v>
      </c>
      <c r="AG4967" t="s">
        <v>3250</v>
      </c>
      <c r="AI4967" t="s">
        <v>35674</v>
      </c>
      <c r="AM4967" t="s">
        <v>3579</v>
      </c>
      <c r="AN4967" t="s">
        <v>2072</v>
      </c>
      <c r="AO4967" t="s">
        <v>35675</v>
      </c>
      <c r="AP4967" t="s">
        <v>7024</v>
      </c>
      <c r="AQ4967" t="s">
        <v>35676</v>
      </c>
      <c r="AT4967" s="184">
        <v>42534</v>
      </c>
      <c r="AU4967" t="s">
        <v>35570</v>
      </c>
      <c r="AV4967">
        <v>19.95</v>
      </c>
      <c r="AW4967" s="184">
        <v>44046</v>
      </c>
      <c r="AX4967" t="s">
        <v>35677</v>
      </c>
      <c r="AY4967">
        <v>35</v>
      </c>
      <c r="AZ4967" s="184">
        <v>44046</v>
      </c>
      <c r="BA4967" t="s">
        <v>35677</v>
      </c>
      <c r="BB4967">
        <v>35</v>
      </c>
      <c r="BC4967">
        <v>56</v>
      </c>
      <c r="BD4967">
        <v>139.94999999999999</v>
      </c>
      <c r="BE4967">
        <v>2016</v>
      </c>
      <c r="BF4967">
        <v>5</v>
      </c>
      <c r="BI4967">
        <v>5</v>
      </c>
      <c r="BJ4967">
        <v>9</v>
      </c>
      <c r="BK4967">
        <v>5</v>
      </c>
      <c r="BP4967" s="184"/>
    </row>
    <row r="4968" spans="1:68">
      <c r="A4968">
        <v>94500212</v>
      </c>
      <c r="B4968">
        <v>94500212</v>
      </c>
      <c r="C4968" t="s">
        <v>7018</v>
      </c>
      <c r="D4968" t="s">
        <v>595</v>
      </c>
      <c r="E4968" s="184">
        <v>44073</v>
      </c>
      <c r="G4968" s="184"/>
      <c r="I4968" s="184"/>
      <c r="K4968" s="184"/>
      <c r="M4968" s="184"/>
      <c r="O4968" s="184"/>
      <c r="P4968" t="s">
        <v>7045</v>
      </c>
      <c r="Q4968" t="s">
        <v>7383</v>
      </c>
      <c r="R4968" s="184">
        <v>14618</v>
      </c>
      <c r="S4968">
        <v>84</v>
      </c>
      <c r="U4968" t="s">
        <v>7076</v>
      </c>
      <c r="V4968" t="s">
        <v>3350</v>
      </c>
      <c r="X4968" t="s">
        <v>35678</v>
      </c>
      <c r="AF4968" t="s">
        <v>35679</v>
      </c>
      <c r="AG4968" t="s">
        <v>3350</v>
      </c>
      <c r="AI4968" t="s">
        <v>35680</v>
      </c>
      <c r="AM4968" t="s">
        <v>35681</v>
      </c>
      <c r="AN4968" t="s">
        <v>2072</v>
      </c>
      <c r="AO4968" t="s">
        <v>35682</v>
      </c>
      <c r="AP4968" t="s">
        <v>7024</v>
      </c>
      <c r="AQ4968" t="s">
        <v>35683</v>
      </c>
      <c r="AT4968" s="184">
        <v>42535</v>
      </c>
      <c r="AU4968" t="s">
        <v>35684</v>
      </c>
      <c r="AV4968">
        <v>25</v>
      </c>
      <c r="AW4968" s="184">
        <v>44929</v>
      </c>
      <c r="AX4968" t="s">
        <v>11577</v>
      </c>
      <c r="AY4968">
        <v>35</v>
      </c>
      <c r="AZ4968" s="184">
        <v>42809</v>
      </c>
      <c r="BA4968" t="s">
        <v>35685</v>
      </c>
      <c r="BB4968">
        <v>60</v>
      </c>
      <c r="BC4968">
        <v>78</v>
      </c>
      <c r="BD4968">
        <v>450</v>
      </c>
      <c r="BE4968">
        <v>2016</v>
      </c>
      <c r="BF4968">
        <v>14</v>
      </c>
      <c r="BG4968">
        <v>1</v>
      </c>
      <c r="BH4968">
        <v>35</v>
      </c>
      <c r="BI4968">
        <v>7</v>
      </c>
      <c r="BJ4968">
        <v>9</v>
      </c>
      <c r="BK4968">
        <v>5</v>
      </c>
      <c r="BP4968" s="184"/>
    </row>
    <row r="4969" spans="1:68">
      <c r="A4969">
        <v>94501244</v>
      </c>
      <c r="B4969">
        <v>94501244</v>
      </c>
      <c r="C4969" t="s">
        <v>7018</v>
      </c>
      <c r="E4969" s="184"/>
      <c r="G4969" s="184"/>
      <c r="I4969" s="184"/>
      <c r="J4969" t="s">
        <v>595</v>
      </c>
      <c r="K4969" s="184">
        <v>42586</v>
      </c>
      <c r="M4969" s="184"/>
      <c r="O4969" s="184"/>
      <c r="P4969" t="s">
        <v>7045</v>
      </c>
      <c r="Q4969" t="s">
        <v>7383</v>
      </c>
      <c r="R4969" s="184">
        <v>20363</v>
      </c>
      <c r="S4969">
        <v>68</v>
      </c>
      <c r="U4969" t="s">
        <v>7076</v>
      </c>
      <c r="V4969" t="s">
        <v>8701</v>
      </c>
      <c r="X4969" t="s">
        <v>4685</v>
      </c>
      <c r="AF4969" t="s">
        <v>6594</v>
      </c>
      <c r="AG4969" t="s">
        <v>8701</v>
      </c>
      <c r="AI4969" t="s">
        <v>35686</v>
      </c>
      <c r="AM4969" t="s">
        <v>3045</v>
      </c>
      <c r="AN4969" t="s">
        <v>2118</v>
      </c>
      <c r="AO4969" t="s">
        <v>35687</v>
      </c>
      <c r="AP4969" t="s">
        <v>7024</v>
      </c>
      <c r="AQ4969" t="s">
        <v>35688</v>
      </c>
      <c r="AR4969" t="s">
        <v>35689</v>
      </c>
      <c r="AT4969" s="184">
        <v>42718</v>
      </c>
      <c r="AU4969" t="s">
        <v>7959</v>
      </c>
      <c r="AV4969">
        <v>150</v>
      </c>
      <c r="AW4969" s="184">
        <v>45260</v>
      </c>
      <c r="AX4969" t="s">
        <v>7832</v>
      </c>
      <c r="AY4969">
        <v>200</v>
      </c>
      <c r="AZ4969" s="184">
        <v>45260</v>
      </c>
      <c r="BA4969" t="s">
        <v>7832</v>
      </c>
      <c r="BB4969">
        <v>200</v>
      </c>
      <c r="BC4969">
        <v>78</v>
      </c>
      <c r="BD4969">
        <v>1112</v>
      </c>
      <c r="BE4969">
        <v>2017</v>
      </c>
      <c r="BF4969">
        <v>8</v>
      </c>
      <c r="BG4969">
        <v>2</v>
      </c>
      <c r="BH4969">
        <v>356</v>
      </c>
      <c r="BI4969">
        <v>7</v>
      </c>
      <c r="BJ4969">
        <v>9</v>
      </c>
      <c r="BK4969">
        <v>5</v>
      </c>
      <c r="BP4969" s="184"/>
    </row>
    <row r="4970" spans="1:68">
      <c r="A4970">
        <v>94521747</v>
      </c>
      <c r="B4970">
        <v>94521747</v>
      </c>
      <c r="C4970" t="s">
        <v>7018</v>
      </c>
      <c r="E4970" s="184"/>
      <c r="F4970" t="s">
        <v>595</v>
      </c>
      <c r="G4970" s="184">
        <v>44082</v>
      </c>
      <c r="I4970" s="184"/>
      <c r="K4970" s="184"/>
      <c r="M4970" s="184"/>
      <c r="O4970" s="184"/>
      <c r="P4970" t="s">
        <v>7686</v>
      </c>
      <c r="Q4970" t="s">
        <v>7020</v>
      </c>
      <c r="R4970" s="184">
        <v>19876</v>
      </c>
      <c r="S4970">
        <v>69</v>
      </c>
      <c r="U4970" t="s">
        <v>7032</v>
      </c>
      <c r="V4970" t="s">
        <v>2590</v>
      </c>
      <c r="W4970" t="s">
        <v>7407</v>
      </c>
      <c r="X4970" t="s">
        <v>35690</v>
      </c>
      <c r="Z4970">
        <v>100317225</v>
      </c>
      <c r="AA4970" t="s">
        <v>7076</v>
      </c>
      <c r="AB4970" t="s">
        <v>4330</v>
      </c>
      <c r="AC4970" t="s">
        <v>3554</v>
      </c>
      <c r="AD4970" t="s">
        <v>35691</v>
      </c>
      <c r="AF4970" t="s">
        <v>35692</v>
      </c>
      <c r="AG4970" t="s">
        <v>35693</v>
      </c>
      <c r="AI4970" t="s">
        <v>35694</v>
      </c>
      <c r="AM4970" t="s">
        <v>35695</v>
      </c>
      <c r="AN4970" t="s">
        <v>2112</v>
      </c>
      <c r="AO4970">
        <v>12461</v>
      </c>
      <c r="AP4970" t="s">
        <v>7024</v>
      </c>
      <c r="AQ4970" t="s">
        <v>35696</v>
      </c>
      <c r="AR4970" t="s">
        <v>35697</v>
      </c>
      <c r="AT4970" s="184">
        <v>44012</v>
      </c>
      <c r="AU4970" t="s">
        <v>32342</v>
      </c>
      <c r="AV4970">
        <v>500</v>
      </c>
      <c r="AW4970" s="184">
        <v>45376</v>
      </c>
      <c r="AX4970" t="s">
        <v>35698</v>
      </c>
      <c r="AY4970">
        <v>2000</v>
      </c>
      <c r="AZ4970" s="184">
        <v>45376</v>
      </c>
      <c r="BA4970" t="s">
        <v>35698</v>
      </c>
      <c r="BB4970">
        <v>2000</v>
      </c>
      <c r="BC4970">
        <v>100</v>
      </c>
      <c r="BD4970">
        <v>12600</v>
      </c>
      <c r="BE4970">
        <v>2020</v>
      </c>
      <c r="BF4970">
        <v>13</v>
      </c>
      <c r="BG4970">
        <v>6</v>
      </c>
      <c r="BH4970">
        <v>9000</v>
      </c>
      <c r="BI4970">
        <v>5</v>
      </c>
      <c r="BJ4970">
        <v>5</v>
      </c>
      <c r="BK4970">
        <v>5</v>
      </c>
      <c r="BN4970" t="s">
        <v>595</v>
      </c>
      <c r="BP4970" s="184"/>
    </row>
    <row r="4971" spans="1:68">
      <c r="A4971">
        <v>100317225</v>
      </c>
      <c r="B4971">
        <v>94521747</v>
      </c>
      <c r="C4971" t="s">
        <v>7018</v>
      </c>
      <c r="E4971" s="184"/>
      <c r="F4971" t="s">
        <v>595</v>
      </c>
      <c r="G4971" s="184">
        <v>44082</v>
      </c>
      <c r="I4971" s="184"/>
      <c r="K4971" s="184"/>
      <c r="M4971" s="184"/>
      <c r="O4971" s="184"/>
      <c r="P4971" t="s">
        <v>7686</v>
      </c>
      <c r="Q4971" t="s">
        <v>7020</v>
      </c>
      <c r="R4971" s="184">
        <v>19876</v>
      </c>
      <c r="S4971">
        <v>69</v>
      </c>
      <c r="U4971" t="s">
        <v>7076</v>
      </c>
      <c r="V4971" t="s">
        <v>4330</v>
      </c>
      <c r="W4971" t="s">
        <v>3554</v>
      </c>
      <c r="X4971" t="s">
        <v>35691</v>
      </c>
      <c r="Z4971">
        <v>94521747</v>
      </c>
      <c r="AA4971" t="s">
        <v>7032</v>
      </c>
      <c r="AB4971" t="s">
        <v>2590</v>
      </c>
      <c r="AC4971" t="s">
        <v>7407</v>
      </c>
      <c r="AD4971" t="s">
        <v>35690</v>
      </c>
      <c r="AF4971" t="s">
        <v>35692</v>
      </c>
      <c r="AG4971" t="s">
        <v>35693</v>
      </c>
      <c r="AI4971" t="s">
        <v>35694</v>
      </c>
      <c r="AM4971" t="s">
        <v>35695</v>
      </c>
      <c r="AN4971" t="s">
        <v>2112</v>
      </c>
      <c r="AO4971">
        <v>12461</v>
      </c>
      <c r="AP4971" t="s">
        <v>7024</v>
      </c>
      <c r="AQ4971" t="s">
        <v>35699</v>
      </c>
      <c r="AT4971" s="184"/>
      <c r="AW4971" s="184"/>
      <c r="AZ4971" s="184"/>
      <c r="BP4971" s="184"/>
    </row>
    <row r="4972" spans="1:68">
      <c r="A4972">
        <v>94531589</v>
      </c>
      <c r="B4972">
        <v>94531589</v>
      </c>
      <c r="C4972" t="s">
        <v>7018</v>
      </c>
      <c r="D4972" t="s">
        <v>595</v>
      </c>
      <c r="E4972" s="184">
        <v>44644</v>
      </c>
      <c r="G4972" s="184"/>
      <c r="H4972" t="s">
        <v>595</v>
      </c>
      <c r="I4972" s="184">
        <v>44644</v>
      </c>
      <c r="K4972" s="184"/>
      <c r="M4972" s="184"/>
      <c r="O4972" s="184"/>
      <c r="P4972" t="s">
        <v>7045</v>
      </c>
      <c r="Q4972" t="s">
        <v>7020</v>
      </c>
      <c r="R4972" s="184">
        <v>18537</v>
      </c>
      <c r="S4972">
        <v>73</v>
      </c>
      <c r="V4972" t="s">
        <v>35700</v>
      </c>
      <c r="W4972" t="s">
        <v>35701</v>
      </c>
      <c r="X4972" t="s">
        <v>35702</v>
      </c>
      <c r="Z4972">
        <v>100813704</v>
      </c>
      <c r="AB4972" t="s">
        <v>4131</v>
      </c>
      <c r="AC4972" t="s">
        <v>2049</v>
      </c>
      <c r="AD4972" t="s">
        <v>35702</v>
      </c>
      <c r="AF4972" t="s">
        <v>35703</v>
      </c>
      <c r="AG4972" t="s">
        <v>35704</v>
      </c>
      <c r="AI4972" t="s">
        <v>35705</v>
      </c>
      <c r="AM4972" t="s">
        <v>35706</v>
      </c>
      <c r="AN4972" t="s">
        <v>2112</v>
      </c>
      <c r="AO4972" t="s">
        <v>35707</v>
      </c>
      <c r="AP4972" t="s">
        <v>7024</v>
      </c>
      <c r="AQ4972" t="s">
        <v>35708</v>
      </c>
      <c r="AT4972" s="184">
        <v>42548</v>
      </c>
      <c r="AU4972" t="s">
        <v>35709</v>
      </c>
      <c r="AV4972">
        <v>25</v>
      </c>
      <c r="AW4972" s="184">
        <v>45091</v>
      </c>
      <c r="AX4972" t="s">
        <v>35710</v>
      </c>
      <c r="AY4972">
        <v>50</v>
      </c>
      <c r="AZ4972" s="184">
        <v>44362</v>
      </c>
      <c r="BA4972" t="s">
        <v>35711</v>
      </c>
      <c r="BB4972">
        <v>100</v>
      </c>
      <c r="BC4972">
        <v>89</v>
      </c>
      <c r="BD4972">
        <v>500</v>
      </c>
      <c r="BE4972">
        <v>2016</v>
      </c>
      <c r="BF4972">
        <v>9</v>
      </c>
      <c r="BG4972">
        <v>2</v>
      </c>
      <c r="BH4972">
        <v>100</v>
      </c>
      <c r="BI4972">
        <v>8</v>
      </c>
      <c r="BJ4972">
        <v>9</v>
      </c>
      <c r="BK4972">
        <v>8</v>
      </c>
      <c r="BP4972" s="184"/>
    </row>
    <row r="4973" spans="1:68">
      <c r="A4973">
        <v>100813704</v>
      </c>
      <c r="B4973">
        <v>94531589</v>
      </c>
      <c r="C4973" t="s">
        <v>7018</v>
      </c>
      <c r="D4973" t="s">
        <v>595</v>
      </c>
      <c r="E4973" s="184">
        <v>44644</v>
      </c>
      <c r="G4973" s="184"/>
      <c r="H4973" t="s">
        <v>595</v>
      </c>
      <c r="I4973" s="184">
        <v>44644</v>
      </c>
      <c r="K4973" s="184"/>
      <c r="O4973" s="184"/>
      <c r="P4973" t="s">
        <v>7045</v>
      </c>
      <c r="Q4973" t="s">
        <v>7020</v>
      </c>
      <c r="R4973" s="184">
        <v>18372</v>
      </c>
      <c r="S4973">
        <v>74</v>
      </c>
      <c r="V4973" t="s">
        <v>4131</v>
      </c>
      <c r="W4973" t="s">
        <v>2049</v>
      </c>
      <c r="X4973" t="s">
        <v>35702</v>
      </c>
      <c r="Z4973">
        <v>94531589</v>
      </c>
      <c r="AB4973" t="s">
        <v>35700</v>
      </c>
      <c r="AC4973" t="s">
        <v>35701</v>
      </c>
      <c r="AD4973" t="s">
        <v>35702</v>
      </c>
      <c r="AF4973" t="s">
        <v>35703</v>
      </c>
      <c r="AG4973" t="s">
        <v>35704</v>
      </c>
      <c r="AI4973" t="s">
        <v>35705</v>
      </c>
      <c r="AM4973" t="s">
        <v>35706</v>
      </c>
      <c r="AN4973" t="s">
        <v>2112</v>
      </c>
      <c r="AO4973" t="s">
        <v>35707</v>
      </c>
      <c r="AP4973" t="s">
        <v>7024</v>
      </c>
      <c r="AQ4973" t="s">
        <v>35712</v>
      </c>
      <c r="AR4973" t="s">
        <v>35708</v>
      </c>
      <c r="AT4973" s="184">
        <v>45359</v>
      </c>
      <c r="AU4973" t="s">
        <v>35713</v>
      </c>
      <c r="AV4973">
        <v>105</v>
      </c>
      <c r="AW4973" s="184">
        <v>45359</v>
      </c>
      <c r="AX4973" t="s">
        <v>35713</v>
      </c>
      <c r="AY4973">
        <v>105</v>
      </c>
      <c r="AZ4973" s="184">
        <v>45359</v>
      </c>
      <c r="BA4973" t="s">
        <v>35713</v>
      </c>
      <c r="BB4973">
        <v>105</v>
      </c>
      <c r="BC4973">
        <v>100</v>
      </c>
      <c r="BD4973">
        <v>105</v>
      </c>
      <c r="BE4973">
        <v>2024</v>
      </c>
      <c r="BF4973">
        <v>1</v>
      </c>
      <c r="BG4973">
        <v>1</v>
      </c>
      <c r="BH4973">
        <v>105</v>
      </c>
      <c r="BI4973">
        <v>1</v>
      </c>
      <c r="BJ4973">
        <v>1</v>
      </c>
      <c r="BK4973">
        <v>1</v>
      </c>
      <c r="BP4973" s="184"/>
    </row>
    <row r="4974" spans="1:68">
      <c r="A4974">
        <v>94544665</v>
      </c>
      <c r="B4974">
        <v>94544665</v>
      </c>
      <c r="C4974" t="s">
        <v>7018</v>
      </c>
      <c r="D4974" t="s">
        <v>595</v>
      </c>
      <c r="E4974" s="184">
        <v>45147</v>
      </c>
      <c r="G4974" s="184"/>
      <c r="I4974" s="184"/>
      <c r="K4974" s="184"/>
      <c r="M4974" s="184"/>
      <c r="O4974" s="184"/>
      <c r="P4974" t="s">
        <v>7045</v>
      </c>
      <c r="Q4974" t="s">
        <v>7383</v>
      </c>
      <c r="R4974" s="184">
        <v>25569</v>
      </c>
      <c r="S4974">
        <v>54</v>
      </c>
      <c r="U4974" t="s">
        <v>7076</v>
      </c>
      <c r="V4974" t="s">
        <v>3574</v>
      </c>
      <c r="X4974" t="s">
        <v>35714</v>
      </c>
      <c r="AF4974" t="s">
        <v>35715</v>
      </c>
      <c r="AG4974" t="s">
        <v>3574</v>
      </c>
      <c r="AI4974" t="s">
        <v>35716</v>
      </c>
      <c r="AM4974" t="s">
        <v>2703</v>
      </c>
      <c r="AN4974" t="s">
        <v>2064</v>
      </c>
      <c r="AO4974" t="s">
        <v>35717</v>
      </c>
      <c r="AP4974" t="s">
        <v>7024</v>
      </c>
      <c r="AQ4974" t="s">
        <v>35718</v>
      </c>
      <c r="AT4974" s="184">
        <v>42666</v>
      </c>
      <c r="AU4974" t="s">
        <v>35719</v>
      </c>
      <c r="AV4974">
        <v>15</v>
      </c>
      <c r="AW4974" s="184">
        <v>44968</v>
      </c>
      <c r="AX4974" t="s">
        <v>7832</v>
      </c>
      <c r="AY4974">
        <v>35</v>
      </c>
      <c r="AZ4974" s="184">
        <v>44968</v>
      </c>
      <c r="BA4974" t="s">
        <v>7832</v>
      </c>
      <c r="BB4974">
        <v>35</v>
      </c>
      <c r="BC4974">
        <v>78</v>
      </c>
      <c r="BD4974">
        <v>280</v>
      </c>
      <c r="BE4974">
        <v>2017</v>
      </c>
      <c r="BF4974">
        <v>10</v>
      </c>
      <c r="BG4974">
        <v>2</v>
      </c>
      <c r="BH4974">
        <v>70</v>
      </c>
      <c r="BI4974">
        <v>7</v>
      </c>
      <c r="BJ4974">
        <v>9</v>
      </c>
      <c r="BK4974">
        <v>4</v>
      </c>
      <c r="BP4974" s="184"/>
    </row>
    <row r="4975" spans="1:68">
      <c r="A4975">
        <v>94568938</v>
      </c>
      <c r="B4975">
        <v>94568938</v>
      </c>
      <c r="C4975" t="s">
        <v>7018</v>
      </c>
      <c r="E4975" s="184"/>
      <c r="G4975" s="184"/>
      <c r="I4975" s="184"/>
      <c r="J4975" t="s">
        <v>595</v>
      </c>
      <c r="K4975" s="184">
        <v>44328</v>
      </c>
      <c r="M4975" s="184"/>
      <c r="O4975" s="184"/>
      <c r="P4975" t="s">
        <v>7045</v>
      </c>
      <c r="Q4975" t="s">
        <v>7020</v>
      </c>
      <c r="R4975" s="184">
        <v>15925</v>
      </c>
      <c r="S4975">
        <v>80</v>
      </c>
      <c r="V4975" t="s">
        <v>2732</v>
      </c>
      <c r="W4975" t="s">
        <v>8224</v>
      </c>
      <c r="X4975" t="s">
        <v>5544</v>
      </c>
      <c r="AF4975" t="s">
        <v>35720</v>
      </c>
      <c r="AG4975" t="s">
        <v>2732</v>
      </c>
      <c r="AI4975" t="s">
        <v>35721</v>
      </c>
      <c r="AM4975" t="s">
        <v>35722</v>
      </c>
      <c r="AN4975" t="s">
        <v>2129</v>
      </c>
      <c r="AO4975" t="s">
        <v>35723</v>
      </c>
      <c r="AP4975" t="s">
        <v>7024</v>
      </c>
      <c r="AQ4975" t="s">
        <v>35724</v>
      </c>
      <c r="AT4975" s="184">
        <v>42565</v>
      </c>
      <c r="AU4975" t="s">
        <v>35725</v>
      </c>
      <c r="AV4975">
        <v>25</v>
      </c>
      <c r="AW4975" s="184">
        <v>45264</v>
      </c>
      <c r="AX4975" t="s">
        <v>35726</v>
      </c>
      <c r="AY4975">
        <v>25</v>
      </c>
      <c r="AZ4975" s="184">
        <v>45264</v>
      </c>
      <c r="BA4975" t="s">
        <v>35726</v>
      </c>
      <c r="BB4975">
        <v>25</v>
      </c>
      <c r="BC4975">
        <v>78</v>
      </c>
      <c r="BD4975">
        <v>645</v>
      </c>
      <c r="BE4975">
        <v>2017</v>
      </c>
      <c r="BF4975">
        <v>37</v>
      </c>
      <c r="BG4975">
        <v>2</v>
      </c>
      <c r="BH4975">
        <v>45</v>
      </c>
      <c r="BI4975">
        <v>7</v>
      </c>
      <c r="BJ4975">
        <v>9</v>
      </c>
      <c r="BK4975">
        <v>6</v>
      </c>
      <c r="BP4975" s="184"/>
    </row>
    <row r="4976" spans="1:68">
      <c r="A4976">
        <v>94594140</v>
      </c>
      <c r="B4976">
        <v>94594140</v>
      </c>
      <c r="C4976" t="s">
        <v>7018</v>
      </c>
      <c r="D4976" t="s">
        <v>595</v>
      </c>
      <c r="E4976" s="184">
        <v>44104</v>
      </c>
      <c r="G4976" s="184"/>
      <c r="H4976" t="s">
        <v>595</v>
      </c>
      <c r="I4976" s="184">
        <v>44109</v>
      </c>
      <c r="K4976" s="184"/>
      <c r="M4976" s="184"/>
      <c r="P4976" t="s">
        <v>7045</v>
      </c>
      <c r="Q4976" t="s">
        <v>7020</v>
      </c>
      <c r="R4976" s="184">
        <v>16782</v>
      </c>
      <c r="S4976">
        <v>78</v>
      </c>
      <c r="U4976" t="s">
        <v>7076</v>
      </c>
      <c r="V4976" t="s">
        <v>3043</v>
      </c>
      <c r="X4976" t="s">
        <v>5018</v>
      </c>
      <c r="AF4976" t="s">
        <v>35727</v>
      </c>
      <c r="AG4976" t="s">
        <v>3043</v>
      </c>
      <c r="AI4976" t="s">
        <v>35728</v>
      </c>
      <c r="AM4976" t="s">
        <v>3004</v>
      </c>
      <c r="AN4976" t="s">
        <v>2112</v>
      </c>
      <c r="AO4976" t="s">
        <v>35729</v>
      </c>
      <c r="AP4976" t="s">
        <v>7024</v>
      </c>
      <c r="AQ4976" t="s">
        <v>35730</v>
      </c>
      <c r="AT4976" s="184">
        <v>42574</v>
      </c>
      <c r="AU4976" t="s">
        <v>7765</v>
      </c>
      <c r="AV4976">
        <v>100</v>
      </c>
      <c r="AW4976" s="184">
        <v>45372</v>
      </c>
      <c r="AX4976" t="s">
        <v>35731</v>
      </c>
      <c r="AY4976">
        <v>262.5</v>
      </c>
      <c r="AZ4976" s="184">
        <v>45372</v>
      </c>
      <c r="BA4976" t="s">
        <v>35731</v>
      </c>
      <c r="BB4976">
        <v>262.5</v>
      </c>
      <c r="BC4976">
        <v>89</v>
      </c>
      <c r="BD4976">
        <v>1912.5</v>
      </c>
      <c r="BE4976">
        <v>2017</v>
      </c>
      <c r="BF4976">
        <v>10</v>
      </c>
      <c r="BG4976">
        <v>2</v>
      </c>
      <c r="BH4976">
        <v>512.5</v>
      </c>
      <c r="BI4976">
        <v>8</v>
      </c>
      <c r="BJ4976">
        <v>9</v>
      </c>
      <c r="BK4976">
        <v>5</v>
      </c>
      <c r="BP4976" s="184"/>
    </row>
    <row r="4977" spans="1:68">
      <c r="A4977">
        <v>94598497</v>
      </c>
      <c r="B4977">
        <v>94598497</v>
      </c>
      <c r="C4977" t="s">
        <v>7018</v>
      </c>
      <c r="E4977" s="184"/>
      <c r="G4977" s="184"/>
      <c r="I4977" s="184"/>
      <c r="K4977" s="184"/>
      <c r="M4977" s="184"/>
      <c r="N4977" t="s">
        <v>595</v>
      </c>
      <c r="O4977" s="184">
        <v>42696</v>
      </c>
      <c r="P4977" t="s">
        <v>8550</v>
      </c>
      <c r="Q4977" t="s">
        <v>7383</v>
      </c>
      <c r="R4977" s="184">
        <v>16576</v>
      </c>
      <c r="S4977">
        <v>78</v>
      </c>
      <c r="U4977" t="s">
        <v>7076</v>
      </c>
      <c r="V4977" t="s">
        <v>5726</v>
      </c>
      <c r="X4977" t="s">
        <v>2706</v>
      </c>
      <c r="AF4977" t="s">
        <v>35732</v>
      </c>
      <c r="AG4977" t="s">
        <v>5726</v>
      </c>
      <c r="AI4977" t="s">
        <v>35733</v>
      </c>
      <c r="AM4977" t="s">
        <v>3911</v>
      </c>
      <c r="AN4977" t="s">
        <v>2274</v>
      </c>
      <c r="AO4977" t="s">
        <v>35734</v>
      </c>
      <c r="AP4977" t="s">
        <v>7024</v>
      </c>
      <c r="AQ4977" t="s">
        <v>35735</v>
      </c>
      <c r="AT4977" s="184">
        <v>42697</v>
      </c>
      <c r="AU4977" t="s">
        <v>7267</v>
      </c>
      <c r="AV4977">
        <v>11075.5</v>
      </c>
      <c r="AW4977" s="184">
        <v>42697</v>
      </c>
      <c r="AX4977" t="s">
        <v>7267</v>
      </c>
      <c r="AY4977">
        <v>11075</v>
      </c>
      <c r="AZ4977" s="184">
        <v>42697</v>
      </c>
      <c r="BA4977" t="s">
        <v>7267</v>
      </c>
      <c r="BB4977">
        <v>11075.5</v>
      </c>
      <c r="BC4977">
        <v>12</v>
      </c>
      <c r="BD4977">
        <v>22150.5</v>
      </c>
      <c r="BE4977">
        <v>2017</v>
      </c>
      <c r="BF4977">
        <v>2</v>
      </c>
      <c r="BI4977">
        <v>1</v>
      </c>
      <c r="BJ4977">
        <v>9</v>
      </c>
      <c r="BK4977">
        <v>1</v>
      </c>
      <c r="BP4977" s="184"/>
    </row>
    <row r="4978" spans="1:68">
      <c r="A4978">
        <v>94601341</v>
      </c>
      <c r="B4978">
        <v>94601341</v>
      </c>
      <c r="C4978" t="s">
        <v>7018</v>
      </c>
      <c r="D4978" t="s">
        <v>595</v>
      </c>
      <c r="E4978" s="184">
        <v>45153</v>
      </c>
      <c r="G4978" s="184"/>
      <c r="I4978" s="184"/>
      <c r="K4978" s="184"/>
      <c r="M4978" s="184"/>
      <c r="O4978" s="184"/>
      <c r="P4978" t="s">
        <v>7045</v>
      </c>
      <c r="Q4978" t="s">
        <v>7383</v>
      </c>
      <c r="R4978" s="184">
        <v>15760</v>
      </c>
      <c r="S4978">
        <v>81</v>
      </c>
      <c r="U4978" t="s">
        <v>7031</v>
      </c>
      <c r="V4978" t="s">
        <v>2724</v>
      </c>
      <c r="W4978" t="s">
        <v>205</v>
      </c>
      <c r="X4978" t="s">
        <v>35736</v>
      </c>
      <c r="AF4978" t="s">
        <v>35737</v>
      </c>
      <c r="AG4978" t="s">
        <v>2724</v>
      </c>
      <c r="AI4978" t="s">
        <v>35738</v>
      </c>
      <c r="AM4978" t="s">
        <v>3054</v>
      </c>
      <c r="AN4978" t="s">
        <v>2064</v>
      </c>
      <c r="AO4978" t="s">
        <v>35739</v>
      </c>
      <c r="AP4978" t="s">
        <v>7024</v>
      </c>
      <c r="AT4978" s="184">
        <v>42572</v>
      </c>
      <c r="AU4978" t="s">
        <v>35740</v>
      </c>
      <c r="AV4978">
        <v>25</v>
      </c>
      <c r="AW4978" s="184">
        <v>45147</v>
      </c>
      <c r="AX4978" t="s">
        <v>8767</v>
      </c>
      <c r="AY4978">
        <v>50</v>
      </c>
      <c r="AZ4978" s="184">
        <v>45147</v>
      </c>
      <c r="BA4978" t="s">
        <v>8767</v>
      </c>
      <c r="BB4978">
        <v>50</v>
      </c>
      <c r="BC4978">
        <v>56</v>
      </c>
      <c r="BD4978">
        <v>245</v>
      </c>
      <c r="BE4978">
        <v>2017</v>
      </c>
      <c r="BF4978">
        <v>10</v>
      </c>
      <c r="BG4978">
        <v>6</v>
      </c>
      <c r="BH4978">
        <v>155</v>
      </c>
      <c r="BI4978">
        <v>5</v>
      </c>
      <c r="BJ4978">
        <v>9</v>
      </c>
      <c r="BK4978">
        <v>2</v>
      </c>
      <c r="BP4978" s="184"/>
    </row>
    <row r="4979" spans="1:68">
      <c r="A4979">
        <v>94724564</v>
      </c>
      <c r="B4979">
        <v>94724564</v>
      </c>
      <c r="C4979" t="s">
        <v>7018</v>
      </c>
      <c r="D4979" t="s">
        <v>595</v>
      </c>
      <c r="E4979" s="184">
        <v>45105</v>
      </c>
      <c r="I4979" s="184"/>
      <c r="K4979" s="184"/>
      <c r="M4979" s="184"/>
      <c r="O4979" s="184"/>
      <c r="P4979" t="s">
        <v>7045</v>
      </c>
      <c r="Q4979" t="s">
        <v>7494</v>
      </c>
      <c r="R4979" s="184">
        <v>14170</v>
      </c>
      <c r="S4979">
        <v>85</v>
      </c>
      <c r="U4979" t="s">
        <v>7076</v>
      </c>
      <c r="V4979" t="s">
        <v>3043</v>
      </c>
      <c r="W4979" t="s">
        <v>7067</v>
      </c>
      <c r="X4979" t="s">
        <v>28788</v>
      </c>
      <c r="AF4979" t="s">
        <v>35741</v>
      </c>
      <c r="AG4979" t="s">
        <v>3043</v>
      </c>
      <c r="AI4979" t="s">
        <v>35742</v>
      </c>
      <c r="AM4979" t="s">
        <v>35743</v>
      </c>
      <c r="AN4979" t="s">
        <v>2174</v>
      </c>
      <c r="AO4979" t="s">
        <v>35744</v>
      </c>
      <c r="AP4979" t="s">
        <v>7024</v>
      </c>
      <c r="AQ4979" t="s">
        <v>35745</v>
      </c>
      <c r="AT4979" s="184">
        <v>42591</v>
      </c>
      <c r="AU4979" t="s">
        <v>35746</v>
      </c>
      <c r="AV4979">
        <v>25</v>
      </c>
      <c r="AW4979" s="184">
        <v>45344</v>
      </c>
      <c r="AX4979" t="s">
        <v>33689</v>
      </c>
      <c r="AY4979">
        <v>25</v>
      </c>
      <c r="AZ4979" s="184">
        <v>45344</v>
      </c>
      <c r="BA4979" t="s">
        <v>33689</v>
      </c>
      <c r="BB4979">
        <v>25</v>
      </c>
      <c r="BC4979">
        <v>78</v>
      </c>
      <c r="BD4979">
        <v>200</v>
      </c>
      <c r="BE4979">
        <v>2017</v>
      </c>
      <c r="BF4979">
        <v>8</v>
      </c>
      <c r="BG4979">
        <v>2</v>
      </c>
      <c r="BH4979">
        <v>50</v>
      </c>
      <c r="BI4979">
        <v>7</v>
      </c>
      <c r="BJ4979">
        <v>9</v>
      </c>
      <c r="BK4979">
        <v>4</v>
      </c>
      <c r="BP4979" s="184"/>
    </row>
    <row r="4980" spans="1:68">
      <c r="A4980">
        <v>94731031</v>
      </c>
      <c r="B4980">
        <v>94731031</v>
      </c>
      <c r="C4980" t="s">
        <v>7018</v>
      </c>
      <c r="D4980" t="s">
        <v>595</v>
      </c>
      <c r="E4980" s="184">
        <v>45153</v>
      </c>
      <c r="I4980" s="184"/>
      <c r="K4980" s="184"/>
      <c r="M4980" s="184"/>
      <c r="O4980" s="184"/>
      <c r="P4980" t="s">
        <v>7045</v>
      </c>
      <c r="Q4980" t="s">
        <v>7494</v>
      </c>
      <c r="R4980" s="184">
        <v>19268</v>
      </c>
      <c r="S4980">
        <v>71</v>
      </c>
      <c r="V4980" t="s">
        <v>2775</v>
      </c>
      <c r="X4980" t="s">
        <v>3529</v>
      </c>
      <c r="AF4980" t="s">
        <v>35747</v>
      </c>
      <c r="AG4980" t="s">
        <v>2775</v>
      </c>
      <c r="AI4980" t="s">
        <v>35748</v>
      </c>
      <c r="AM4980" t="s">
        <v>3371</v>
      </c>
      <c r="AN4980" t="s">
        <v>2174</v>
      </c>
      <c r="AO4980" t="s">
        <v>35749</v>
      </c>
      <c r="AP4980" t="s">
        <v>7024</v>
      </c>
      <c r="AQ4980" t="s">
        <v>35750</v>
      </c>
      <c r="AT4980" s="184">
        <v>42592</v>
      </c>
      <c r="AU4980" t="s">
        <v>35751</v>
      </c>
      <c r="AV4980">
        <v>15</v>
      </c>
      <c r="AW4980" s="184">
        <v>45147</v>
      </c>
      <c r="AX4980" t="s">
        <v>11151</v>
      </c>
      <c r="AY4980">
        <v>20</v>
      </c>
      <c r="AZ4980" s="184">
        <v>44994</v>
      </c>
      <c r="BA4980" t="s">
        <v>12922</v>
      </c>
      <c r="BB4980">
        <v>25</v>
      </c>
      <c r="BC4980">
        <v>78</v>
      </c>
      <c r="BD4980">
        <v>215</v>
      </c>
      <c r="BE4980">
        <v>2017</v>
      </c>
      <c r="BF4980">
        <v>11</v>
      </c>
      <c r="BG4980">
        <v>5</v>
      </c>
      <c r="BH4980">
        <v>115</v>
      </c>
      <c r="BI4980">
        <v>7</v>
      </c>
      <c r="BJ4980">
        <v>9</v>
      </c>
      <c r="BK4980">
        <v>4</v>
      </c>
      <c r="BP4980" s="184"/>
    </row>
    <row r="4981" spans="1:68">
      <c r="A4981">
        <v>94748894</v>
      </c>
      <c r="B4981">
        <v>94748894</v>
      </c>
      <c r="C4981" t="s">
        <v>7018</v>
      </c>
      <c r="E4981" s="184"/>
      <c r="G4981" s="184"/>
      <c r="I4981" s="184"/>
      <c r="J4981" t="s">
        <v>595</v>
      </c>
      <c r="K4981" s="184">
        <v>41955</v>
      </c>
      <c r="M4981" s="184"/>
      <c r="O4981" s="184"/>
      <c r="P4981" t="s">
        <v>7045</v>
      </c>
      <c r="Q4981" t="s">
        <v>7374</v>
      </c>
      <c r="R4981" s="184">
        <v>16762</v>
      </c>
      <c r="S4981">
        <v>78</v>
      </c>
      <c r="U4981" t="s">
        <v>7076</v>
      </c>
      <c r="V4981" t="s">
        <v>2903</v>
      </c>
      <c r="X4981" t="s">
        <v>35752</v>
      </c>
      <c r="Z4981">
        <v>100165032</v>
      </c>
      <c r="AA4981" t="s">
        <v>7076</v>
      </c>
      <c r="AB4981" t="s">
        <v>2528</v>
      </c>
      <c r="AC4981" t="s">
        <v>2049</v>
      </c>
      <c r="AD4981" t="s">
        <v>35753</v>
      </c>
      <c r="AF4981" t="s">
        <v>6279</v>
      </c>
      <c r="AG4981" t="s">
        <v>35754</v>
      </c>
      <c r="AI4981" t="s">
        <v>35755</v>
      </c>
      <c r="AM4981" t="s">
        <v>12288</v>
      </c>
      <c r="AN4981" t="s">
        <v>2081</v>
      </c>
      <c r="AO4981" t="s">
        <v>35756</v>
      </c>
      <c r="AP4981" t="s">
        <v>7024</v>
      </c>
      <c r="AQ4981" t="s">
        <v>35757</v>
      </c>
      <c r="AR4981" t="s">
        <v>35758</v>
      </c>
      <c r="AT4981" s="184">
        <v>33127</v>
      </c>
      <c r="AU4981" t="s">
        <v>35759</v>
      </c>
      <c r="AV4981">
        <v>15</v>
      </c>
      <c r="AW4981" s="184">
        <v>45276</v>
      </c>
      <c r="AX4981" t="s">
        <v>35760</v>
      </c>
      <c r="AY4981">
        <v>150</v>
      </c>
      <c r="AZ4981" s="184">
        <v>42314</v>
      </c>
      <c r="BA4981" t="s">
        <v>35761</v>
      </c>
      <c r="BB4981">
        <v>152.21</v>
      </c>
      <c r="BC4981">
        <v>92</v>
      </c>
      <c r="BD4981">
        <v>2488.0100000000002</v>
      </c>
      <c r="BE4981">
        <v>1991</v>
      </c>
      <c r="BF4981">
        <v>34</v>
      </c>
      <c r="BG4981">
        <v>2</v>
      </c>
      <c r="BH4981">
        <v>300</v>
      </c>
      <c r="BI4981">
        <v>32</v>
      </c>
      <c r="BJ4981">
        <v>35</v>
      </c>
      <c r="BK4981">
        <v>19</v>
      </c>
      <c r="BP4981" s="184"/>
    </row>
    <row r="4982" spans="1:68">
      <c r="A4982">
        <v>100165032</v>
      </c>
      <c r="B4982">
        <v>94748894</v>
      </c>
      <c r="C4982" t="s">
        <v>7018</v>
      </c>
      <c r="E4982" s="184"/>
      <c r="G4982" s="184"/>
      <c r="I4982" s="184"/>
      <c r="J4982" t="s">
        <v>595</v>
      </c>
      <c r="K4982" s="184">
        <v>41955</v>
      </c>
      <c r="M4982" s="184"/>
      <c r="O4982" s="184"/>
      <c r="P4982" t="s">
        <v>7045</v>
      </c>
      <c r="Q4982" t="s">
        <v>7374</v>
      </c>
      <c r="R4982" s="184">
        <v>15547</v>
      </c>
      <c r="S4982">
        <v>81</v>
      </c>
      <c r="U4982" t="s">
        <v>7076</v>
      </c>
      <c r="V4982" t="s">
        <v>2528</v>
      </c>
      <c r="W4982" t="s">
        <v>2049</v>
      </c>
      <c r="X4982" t="s">
        <v>35753</v>
      </c>
      <c r="Z4982">
        <v>94748894</v>
      </c>
      <c r="AA4982" t="s">
        <v>7076</v>
      </c>
      <c r="AB4982" t="s">
        <v>2903</v>
      </c>
      <c r="AD4982" t="s">
        <v>35752</v>
      </c>
      <c r="AF4982" t="s">
        <v>6279</v>
      </c>
      <c r="AG4982" t="s">
        <v>35754</v>
      </c>
      <c r="AI4982" t="s">
        <v>35755</v>
      </c>
      <c r="AM4982" t="s">
        <v>12288</v>
      </c>
      <c r="AN4982" t="s">
        <v>2081</v>
      </c>
      <c r="AO4982" t="s">
        <v>35756</v>
      </c>
      <c r="AP4982" t="s">
        <v>7024</v>
      </c>
      <c r="AT4982" s="184"/>
      <c r="AW4982" s="184"/>
      <c r="AZ4982" s="184"/>
      <c r="BP4982" s="184"/>
    </row>
    <row r="4983" spans="1:68">
      <c r="A4983">
        <v>94766698</v>
      </c>
      <c r="B4983">
        <v>94766698</v>
      </c>
      <c r="C4983" t="s">
        <v>7018</v>
      </c>
      <c r="D4983" t="s">
        <v>595</v>
      </c>
      <c r="E4983" s="184">
        <v>45174</v>
      </c>
      <c r="G4983" s="184"/>
      <c r="I4983" s="184"/>
      <c r="K4983" s="184"/>
      <c r="M4983" s="184"/>
      <c r="O4983" s="184"/>
      <c r="P4983" t="s">
        <v>7019</v>
      </c>
      <c r="Q4983" t="s">
        <v>7020</v>
      </c>
      <c r="R4983" s="184">
        <v>20576</v>
      </c>
      <c r="S4983">
        <v>68</v>
      </c>
      <c r="V4983" t="s">
        <v>5772</v>
      </c>
      <c r="X4983" t="s">
        <v>35762</v>
      </c>
      <c r="AF4983" t="s">
        <v>35763</v>
      </c>
      <c r="AG4983" t="s">
        <v>5772</v>
      </c>
      <c r="AI4983" t="s">
        <v>35764</v>
      </c>
      <c r="AM4983" t="s">
        <v>35765</v>
      </c>
      <c r="AN4983" t="s">
        <v>2255</v>
      </c>
      <c r="AO4983" t="s">
        <v>35766</v>
      </c>
      <c r="AP4983" t="s">
        <v>7024</v>
      </c>
      <c r="AQ4983" t="s">
        <v>35767</v>
      </c>
      <c r="AT4983" s="184">
        <v>42600</v>
      </c>
      <c r="AU4983" t="s">
        <v>35768</v>
      </c>
      <c r="AV4983">
        <v>15</v>
      </c>
      <c r="AW4983" s="184">
        <v>44820</v>
      </c>
      <c r="AX4983" t="s">
        <v>35769</v>
      </c>
      <c r="AY4983">
        <v>60</v>
      </c>
      <c r="AZ4983" s="184">
        <v>44820</v>
      </c>
      <c r="BA4983" t="s">
        <v>35769</v>
      </c>
      <c r="BB4983">
        <v>60</v>
      </c>
      <c r="BC4983">
        <v>45</v>
      </c>
      <c r="BD4983">
        <v>105</v>
      </c>
      <c r="BE4983">
        <v>2017</v>
      </c>
      <c r="BF4983">
        <v>4</v>
      </c>
      <c r="BG4983">
        <v>1</v>
      </c>
      <c r="BH4983">
        <v>60</v>
      </c>
      <c r="BI4983">
        <v>4</v>
      </c>
      <c r="BJ4983">
        <v>9</v>
      </c>
      <c r="BK4983">
        <v>2</v>
      </c>
      <c r="BP4983" s="184"/>
    </row>
    <row r="4984" spans="1:68">
      <c r="A4984">
        <v>94767761</v>
      </c>
      <c r="B4984">
        <v>94767761</v>
      </c>
      <c r="C4984" t="s">
        <v>7018</v>
      </c>
      <c r="D4984" t="s">
        <v>595</v>
      </c>
      <c r="E4984" s="184">
        <v>45196</v>
      </c>
      <c r="G4984" s="184"/>
      <c r="I4984" s="184"/>
      <c r="K4984" s="184"/>
      <c r="M4984" s="184"/>
      <c r="O4984" s="184"/>
      <c r="P4984" t="s">
        <v>7045</v>
      </c>
      <c r="Q4984" t="s">
        <v>7030</v>
      </c>
      <c r="R4984" s="184">
        <v>21429</v>
      </c>
      <c r="S4984">
        <v>65</v>
      </c>
      <c r="V4984" t="s">
        <v>2687</v>
      </c>
      <c r="X4984" t="s">
        <v>35770</v>
      </c>
      <c r="Z4984">
        <v>101036145</v>
      </c>
      <c r="AB4984" t="s">
        <v>3652</v>
      </c>
      <c r="AD4984" t="s">
        <v>35770</v>
      </c>
      <c r="AF4984" t="s">
        <v>35771</v>
      </c>
      <c r="AG4984" t="s">
        <v>35772</v>
      </c>
      <c r="AI4984" t="s">
        <v>35773</v>
      </c>
      <c r="AM4984" t="s">
        <v>3308</v>
      </c>
      <c r="AN4984" t="s">
        <v>2094</v>
      </c>
      <c r="AO4984" t="s">
        <v>35774</v>
      </c>
      <c r="AP4984" t="s">
        <v>7024</v>
      </c>
      <c r="AQ4984" t="s">
        <v>35775</v>
      </c>
      <c r="AR4984" t="s">
        <v>35776</v>
      </c>
      <c r="AT4984" s="184">
        <v>42600</v>
      </c>
      <c r="AU4984" t="s">
        <v>35777</v>
      </c>
      <c r="AV4984">
        <v>25</v>
      </c>
      <c r="AW4984" s="184">
        <v>45033</v>
      </c>
      <c r="AX4984" t="s">
        <v>9262</v>
      </c>
      <c r="AY4984">
        <v>35</v>
      </c>
      <c r="AZ4984" s="184">
        <v>44565</v>
      </c>
      <c r="BA4984" t="s">
        <v>35778</v>
      </c>
      <c r="BB4984">
        <v>50</v>
      </c>
      <c r="BC4984">
        <v>67</v>
      </c>
      <c r="BD4984">
        <v>195</v>
      </c>
      <c r="BE4984">
        <v>2017</v>
      </c>
      <c r="BF4984">
        <v>6</v>
      </c>
      <c r="BG4984">
        <v>1</v>
      </c>
      <c r="BH4984">
        <v>35</v>
      </c>
      <c r="BI4984">
        <v>6</v>
      </c>
      <c r="BJ4984">
        <v>9</v>
      </c>
      <c r="BK4984">
        <v>3</v>
      </c>
      <c r="BP4984" s="184"/>
    </row>
    <row r="4985" spans="1:68">
      <c r="A4985">
        <v>101036145</v>
      </c>
      <c r="B4985">
        <v>94767761</v>
      </c>
      <c r="C4985" t="s">
        <v>7018</v>
      </c>
      <c r="D4985" t="s">
        <v>595</v>
      </c>
      <c r="E4985" s="184">
        <v>45196</v>
      </c>
      <c r="I4985" s="184"/>
      <c r="K4985" s="184"/>
      <c r="M4985" s="184"/>
      <c r="O4985" s="184"/>
      <c r="P4985" t="s">
        <v>7045</v>
      </c>
      <c r="Q4985" t="s">
        <v>7030</v>
      </c>
      <c r="R4985" s="184">
        <v>21298</v>
      </c>
      <c r="S4985">
        <v>66</v>
      </c>
      <c r="V4985" t="s">
        <v>3652</v>
      </c>
      <c r="X4985" t="s">
        <v>35770</v>
      </c>
      <c r="Z4985">
        <v>94767761</v>
      </c>
      <c r="AB4985" t="s">
        <v>2687</v>
      </c>
      <c r="AD4985" t="s">
        <v>35770</v>
      </c>
      <c r="AF4985" t="s">
        <v>35771</v>
      </c>
      <c r="AG4985" t="s">
        <v>35772</v>
      </c>
      <c r="AI4985" t="s">
        <v>35773</v>
      </c>
      <c r="AM4985" t="s">
        <v>3308</v>
      </c>
      <c r="AN4985" t="s">
        <v>2094</v>
      </c>
      <c r="AO4985" t="s">
        <v>35774</v>
      </c>
      <c r="AP4985" t="s">
        <v>7024</v>
      </c>
      <c r="AT4985" s="184"/>
      <c r="AW4985" s="184"/>
      <c r="AZ4985" s="184"/>
      <c r="BP4985" s="184"/>
    </row>
    <row r="4986" spans="1:68">
      <c r="A4986">
        <v>94769643</v>
      </c>
      <c r="B4986">
        <v>94769643</v>
      </c>
      <c r="C4986" t="s">
        <v>7018</v>
      </c>
      <c r="E4986" s="184"/>
      <c r="G4986" s="184"/>
      <c r="H4986" t="s">
        <v>595</v>
      </c>
      <c r="I4986" s="184">
        <v>44168</v>
      </c>
      <c r="K4986" s="184"/>
      <c r="M4986" s="184"/>
      <c r="P4986" t="s">
        <v>7045</v>
      </c>
      <c r="Q4986" t="s">
        <v>7374</v>
      </c>
      <c r="R4986" s="184">
        <v>13114</v>
      </c>
      <c r="S4986">
        <v>88</v>
      </c>
      <c r="U4986" t="s">
        <v>7076</v>
      </c>
      <c r="V4986" t="s">
        <v>3745</v>
      </c>
      <c r="X4986" t="s">
        <v>35779</v>
      </c>
      <c r="AF4986" t="s">
        <v>35780</v>
      </c>
      <c r="AG4986" t="s">
        <v>3745</v>
      </c>
      <c r="AI4986" t="s">
        <v>35781</v>
      </c>
      <c r="AM4986" t="s">
        <v>9889</v>
      </c>
      <c r="AN4986" t="s">
        <v>2081</v>
      </c>
      <c r="AO4986" t="s">
        <v>35782</v>
      </c>
      <c r="AP4986" t="s">
        <v>7024</v>
      </c>
      <c r="AQ4986" t="s">
        <v>35783</v>
      </c>
      <c r="AT4986" s="184">
        <v>42600</v>
      </c>
      <c r="AU4986" t="s">
        <v>35784</v>
      </c>
      <c r="AV4986">
        <v>25</v>
      </c>
      <c r="AW4986" s="184">
        <v>44932</v>
      </c>
      <c r="AX4986" t="s">
        <v>35785</v>
      </c>
      <c r="AY4986">
        <v>50</v>
      </c>
      <c r="AZ4986" s="184">
        <v>44932</v>
      </c>
      <c r="BA4986" t="s">
        <v>35785</v>
      </c>
      <c r="BB4986">
        <v>50</v>
      </c>
      <c r="BC4986">
        <v>56</v>
      </c>
      <c r="BD4986">
        <v>200</v>
      </c>
      <c r="BE4986">
        <v>2017</v>
      </c>
      <c r="BF4986">
        <v>7</v>
      </c>
      <c r="BG4986">
        <v>1</v>
      </c>
      <c r="BH4986">
        <v>50</v>
      </c>
      <c r="BI4986">
        <v>5</v>
      </c>
      <c r="BJ4986">
        <v>9</v>
      </c>
      <c r="BK4986">
        <v>4</v>
      </c>
      <c r="BP4986" s="184"/>
    </row>
    <row r="4987" spans="1:68">
      <c r="A4987">
        <v>94811478</v>
      </c>
      <c r="B4987">
        <v>94811478</v>
      </c>
      <c r="C4987" t="s">
        <v>7018</v>
      </c>
      <c r="E4987" s="184"/>
      <c r="G4987" s="184"/>
      <c r="I4987" s="184"/>
      <c r="J4987" t="s">
        <v>595</v>
      </c>
      <c r="K4987" s="184">
        <v>44147</v>
      </c>
      <c r="M4987" s="184"/>
      <c r="O4987" s="184"/>
      <c r="P4987" t="s">
        <v>7045</v>
      </c>
      <c r="Q4987" t="s">
        <v>7160</v>
      </c>
      <c r="R4987" s="184">
        <v>19477</v>
      </c>
      <c r="S4987">
        <v>71</v>
      </c>
      <c r="U4987" t="s">
        <v>7031</v>
      </c>
      <c r="V4987" t="s">
        <v>4044</v>
      </c>
      <c r="W4987" t="s">
        <v>2963</v>
      </c>
      <c r="X4987" t="s">
        <v>35786</v>
      </c>
      <c r="Z4987">
        <v>100165153</v>
      </c>
      <c r="AA4987" t="s">
        <v>7130</v>
      </c>
      <c r="AB4987" t="s">
        <v>4647</v>
      </c>
      <c r="AD4987" t="s">
        <v>35787</v>
      </c>
      <c r="AF4987" t="s">
        <v>35788</v>
      </c>
      <c r="AG4987" t="s">
        <v>35789</v>
      </c>
      <c r="AI4987" t="s">
        <v>35790</v>
      </c>
      <c r="AM4987" t="s">
        <v>2766</v>
      </c>
      <c r="AN4987" t="s">
        <v>2176</v>
      </c>
      <c r="AO4987" t="s">
        <v>35791</v>
      </c>
      <c r="AP4987" t="s">
        <v>7024</v>
      </c>
      <c r="AQ4987" t="s">
        <v>35792</v>
      </c>
      <c r="AT4987" s="184">
        <v>36327</v>
      </c>
      <c r="AU4987" t="s">
        <v>35793</v>
      </c>
      <c r="AV4987">
        <v>100</v>
      </c>
      <c r="AW4987" s="184">
        <v>45278</v>
      </c>
      <c r="AX4987" t="s">
        <v>7742</v>
      </c>
      <c r="AY4987">
        <v>475</v>
      </c>
      <c r="AZ4987" s="184">
        <v>36455</v>
      </c>
      <c r="BA4987" t="s">
        <v>35794</v>
      </c>
      <c r="BB4987">
        <v>1000</v>
      </c>
      <c r="BC4987">
        <v>35</v>
      </c>
      <c r="BD4987">
        <v>3534.86</v>
      </c>
      <c r="BE4987">
        <v>1999</v>
      </c>
      <c r="BF4987">
        <v>27</v>
      </c>
      <c r="BG4987">
        <v>1</v>
      </c>
      <c r="BH4987">
        <v>475</v>
      </c>
      <c r="BI4987">
        <v>9</v>
      </c>
      <c r="BJ4987">
        <v>26</v>
      </c>
      <c r="BK4987">
        <v>8</v>
      </c>
      <c r="BP4987" s="184"/>
    </row>
    <row r="4988" spans="1:68">
      <c r="A4988">
        <v>100165153</v>
      </c>
      <c r="B4988">
        <v>94811478</v>
      </c>
      <c r="C4988" t="s">
        <v>7018</v>
      </c>
      <c r="E4988" s="184"/>
      <c r="G4988" s="184"/>
      <c r="I4988" s="184"/>
      <c r="J4988" t="s">
        <v>595</v>
      </c>
      <c r="K4988" s="184">
        <v>44147</v>
      </c>
      <c r="M4988" s="184"/>
      <c r="O4988" s="184"/>
      <c r="P4988" t="s">
        <v>7045</v>
      </c>
      <c r="Q4988" t="s">
        <v>7160</v>
      </c>
      <c r="R4988" s="184">
        <v>19884</v>
      </c>
      <c r="S4988">
        <v>69</v>
      </c>
      <c r="U4988" t="s">
        <v>7130</v>
      </c>
      <c r="V4988" t="s">
        <v>4647</v>
      </c>
      <c r="X4988" t="s">
        <v>35787</v>
      </c>
      <c r="Z4988">
        <v>94811478</v>
      </c>
      <c r="AA4988" t="s">
        <v>7031</v>
      </c>
      <c r="AB4988" t="s">
        <v>4044</v>
      </c>
      <c r="AC4988" t="s">
        <v>2963</v>
      </c>
      <c r="AD4988" t="s">
        <v>35786</v>
      </c>
      <c r="AF4988" t="s">
        <v>35788</v>
      </c>
      <c r="AG4988" t="s">
        <v>35789</v>
      </c>
      <c r="AI4988" t="s">
        <v>35790</v>
      </c>
      <c r="AM4988" t="s">
        <v>2766</v>
      </c>
      <c r="AN4988" t="s">
        <v>2176</v>
      </c>
      <c r="AO4988" t="s">
        <v>35791</v>
      </c>
      <c r="AP4988" t="s">
        <v>7024</v>
      </c>
      <c r="AT4988" s="184"/>
      <c r="AW4988" s="184"/>
      <c r="AZ4988" s="184"/>
      <c r="BP4988" s="184"/>
    </row>
    <row r="4989" spans="1:68">
      <c r="A4989">
        <v>94815255</v>
      </c>
      <c r="B4989">
        <v>94815255</v>
      </c>
      <c r="C4989" t="s">
        <v>7018</v>
      </c>
      <c r="D4989" t="s">
        <v>595</v>
      </c>
      <c r="E4989" s="184">
        <v>44414</v>
      </c>
      <c r="G4989" s="184"/>
      <c r="I4989" s="184"/>
      <c r="K4989" s="184"/>
      <c r="M4989" s="184"/>
      <c r="O4989" s="184"/>
      <c r="P4989" t="s">
        <v>7045</v>
      </c>
      <c r="Q4989" t="s">
        <v>7383</v>
      </c>
      <c r="R4989" s="184">
        <v>17251</v>
      </c>
      <c r="S4989">
        <v>77</v>
      </c>
      <c r="V4989" t="s">
        <v>2580</v>
      </c>
      <c r="X4989" t="s">
        <v>5409</v>
      </c>
      <c r="AF4989" t="s">
        <v>35795</v>
      </c>
      <c r="AG4989" t="s">
        <v>2580</v>
      </c>
      <c r="AI4989" t="s">
        <v>35796</v>
      </c>
      <c r="AM4989" t="s">
        <v>3065</v>
      </c>
      <c r="AN4989" t="s">
        <v>2313</v>
      </c>
      <c r="AO4989" t="s">
        <v>35797</v>
      </c>
      <c r="AP4989" t="s">
        <v>7024</v>
      </c>
      <c r="AQ4989" t="s">
        <v>35798</v>
      </c>
      <c r="AT4989" s="184">
        <v>42606</v>
      </c>
      <c r="AU4989" t="s">
        <v>35799</v>
      </c>
      <c r="AV4989">
        <v>25</v>
      </c>
      <c r="AW4989" s="184">
        <v>45371</v>
      </c>
      <c r="AX4989" t="s">
        <v>35800</v>
      </c>
      <c r="AY4989">
        <v>60</v>
      </c>
      <c r="AZ4989" s="184">
        <v>45371</v>
      </c>
      <c r="BA4989" t="s">
        <v>35800</v>
      </c>
      <c r="BB4989">
        <v>60</v>
      </c>
      <c r="BC4989">
        <v>67</v>
      </c>
      <c r="BD4989">
        <v>245</v>
      </c>
      <c r="BE4989">
        <v>2017</v>
      </c>
      <c r="BF4989">
        <v>7</v>
      </c>
      <c r="BG4989">
        <v>1</v>
      </c>
      <c r="BH4989">
        <v>60</v>
      </c>
      <c r="BI4989">
        <v>6</v>
      </c>
      <c r="BJ4989">
        <v>9</v>
      </c>
      <c r="BK4989">
        <v>3</v>
      </c>
      <c r="BP4989" s="184"/>
    </row>
    <row r="4990" spans="1:68">
      <c r="A4990">
        <v>94824455</v>
      </c>
      <c r="B4990">
        <v>94824455</v>
      </c>
      <c r="C4990" t="s">
        <v>7018</v>
      </c>
      <c r="D4990" t="s">
        <v>595</v>
      </c>
      <c r="E4990" s="184">
        <v>44168</v>
      </c>
      <c r="I4990" s="184"/>
      <c r="K4990" s="184"/>
      <c r="M4990" s="184"/>
      <c r="O4990" s="184"/>
      <c r="P4990" t="s">
        <v>7019</v>
      </c>
      <c r="Q4990" t="s">
        <v>7374</v>
      </c>
      <c r="R4990" s="184">
        <v>15036</v>
      </c>
      <c r="S4990">
        <v>83</v>
      </c>
      <c r="U4990" t="s">
        <v>7031</v>
      </c>
      <c r="V4990" t="s">
        <v>5057</v>
      </c>
      <c r="X4990" t="s">
        <v>35801</v>
      </c>
      <c r="AF4990" t="s">
        <v>35802</v>
      </c>
      <c r="AG4990" t="s">
        <v>5057</v>
      </c>
      <c r="AI4990" t="s">
        <v>35803</v>
      </c>
      <c r="AM4990" t="s">
        <v>4324</v>
      </c>
      <c r="AN4990" t="s">
        <v>2081</v>
      </c>
      <c r="AO4990" t="s">
        <v>35804</v>
      </c>
      <c r="AP4990" t="s">
        <v>7024</v>
      </c>
      <c r="AQ4990" t="s">
        <v>35805</v>
      </c>
      <c r="AT4990" s="184">
        <v>42607</v>
      </c>
      <c r="AU4990" t="s">
        <v>35806</v>
      </c>
      <c r="AV4990">
        <v>25</v>
      </c>
      <c r="AW4990" s="184">
        <v>45260</v>
      </c>
      <c r="AX4990" t="s">
        <v>14704</v>
      </c>
      <c r="AY4990">
        <v>60</v>
      </c>
      <c r="AZ4990" s="184">
        <v>45260</v>
      </c>
      <c r="BA4990" t="s">
        <v>14704</v>
      </c>
      <c r="BB4990">
        <v>60</v>
      </c>
      <c r="BC4990">
        <v>89</v>
      </c>
      <c r="BD4990">
        <v>980</v>
      </c>
      <c r="BE4990">
        <v>2017</v>
      </c>
      <c r="BF4990">
        <v>22</v>
      </c>
      <c r="BG4990">
        <v>2</v>
      </c>
      <c r="BH4990">
        <v>85</v>
      </c>
      <c r="BI4990">
        <v>8</v>
      </c>
      <c r="BJ4990">
        <v>9</v>
      </c>
      <c r="BK4990">
        <v>8</v>
      </c>
      <c r="BP4990" s="184"/>
    </row>
    <row r="4991" spans="1:68">
      <c r="A4991">
        <v>94824802</v>
      </c>
      <c r="B4991">
        <v>94824802</v>
      </c>
      <c r="C4991" t="s">
        <v>7018</v>
      </c>
      <c r="D4991" t="s">
        <v>595</v>
      </c>
      <c r="E4991" s="184">
        <v>45154</v>
      </c>
      <c r="G4991" s="184"/>
      <c r="I4991" s="184"/>
      <c r="K4991" s="184"/>
      <c r="M4991" s="184"/>
      <c r="O4991" s="184"/>
      <c r="P4991" t="s">
        <v>7045</v>
      </c>
      <c r="Q4991" t="s">
        <v>7020</v>
      </c>
      <c r="R4991" s="184">
        <v>23377</v>
      </c>
      <c r="S4991">
        <v>60</v>
      </c>
      <c r="U4991" t="s">
        <v>7094</v>
      </c>
      <c r="V4991" t="s">
        <v>35807</v>
      </c>
      <c r="X4991" t="s">
        <v>35808</v>
      </c>
      <c r="AF4991" t="s">
        <v>35809</v>
      </c>
      <c r="AG4991" t="s">
        <v>35807</v>
      </c>
      <c r="AI4991" t="s">
        <v>35810</v>
      </c>
      <c r="AM4991" t="s">
        <v>35811</v>
      </c>
      <c r="AN4991" t="s">
        <v>2255</v>
      </c>
      <c r="AO4991" t="s">
        <v>35812</v>
      </c>
      <c r="AP4991" t="s">
        <v>7024</v>
      </c>
      <c r="AQ4991" t="s">
        <v>35813</v>
      </c>
      <c r="AT4991" s="184">
        <v>42607</v>
      </c>
      <c r="AU4991" t="s">
        <v>35814</v>
      </c>
      <c r="AV4991">
        <v>15</v>
      </c>
      <c r="AW4991" s="184">
        <v>45376</v>
      </c>
      <c r="AX4991" t="s">
        <v>23454</v>
      </c>
      <c r="AY4991">
        <v>25</v>
      </c>
      <c r="AZ4991" s="184">
        <v>45376</v>
      </c>
      <c r="BA4991" t="s">
        <v>23454</v>
      </c>
      <c r="BB4991">
        <v>25</v>
      </c>
      <c r="BC4991">
        <v>89</v>
      </c>
      <c r="BD4991">
        <v>220</v>
      </c>
      <c r="BE4991">
        <v>2017</v>
      </c>
      <c r="BF4991">
        <v>10</v>
      </c>
      <c r="BG4991">
        <v>3</v>
      </c>
      <c r="BH4991">
        <v>75</v>
      </c>
      <c r="BI4991">
        <v>8</v>
      </c>
      <c r="BJ4991">
        <v>9</v>
      </c>
      <c r="BK4991">
        <v>7</v>
      </c>
      <c r="BP4991" s="184"/>
    </row>
    <row r="4992" spans="1:68">
      <c r="A4992">
        <v>94875846</v>
      </c>
      <c r="B4992">
        <v>94875846</v>
      </c>
      <c r="C4992" t="s">
        <v>7018</v>
      </c>
      <c r="E4992" s="184"/>
      <c r="G4992" s="184"/>
      <c r="I4992" s="184"/>
      <c r="K4992" s="184"/>
      <c r="L4992" t="s">
        <v>595</v>
      </c>
      <c r="M4992" s="184">
        <v>44887</v>
      </c>
      <c r="O4992" s="184"/>
      <c r="P4992" t="s">
        <v>7686</v>
      </c>
      <c r="Q4992" t="s">
        <v>7160</v>
      </c>
      <c r="R4992" s="184">
        <v>17140</v>
      </c>
      <c r="S4992">
        <v>77</v>
      </c>
      <c r="U4992" t="s">
        <v>7076</v>
      </c>
      <c r="V4992" t="s">
        <v>2718</v>
      </c>
      <c r="W4992" t="s">
        <v>4139</v>
      </c>
      <c r="X4992" t="s">
        <v>35815</v>
      </c>
      <c r="AF4992" t="s">
        <v>35816</v>
      </c>
      <c r="AG4992" t="s">
        <v>2718</v>
      </c>
      <c r="AI4992" t="s">
        <v>35817</v>
      </c>
      <c r="AM4992" t="s">
        <v>4966</v>
      </c>
      <c r="AN4992" t="s">
        <v>2395</v>
      </c>
      <c r="AO4992" t="s">
        <v>35818</v>
      </c>
      <c r="AP4992" t="s">
        <v>7024</v>
      </c>
      <c r="AQ4992" t="s">
        <v>35819</v>
      </c>
      <c r="AT4992" s="184">
        <v>42611</v>
      </c>
      <c r="AU4992" t="s">
        <v>35746</v>
      </c>
      <c r="AV4992">
        <v>25</v>
      </c>
      <c r="AW4992" s="184">
        <v>45174</v>
      </c>
      <c r="AX4992" t="s">
        <v>9036</v>
      </c>
      <c r="AY4992">
        <v>100</v>
      </c>
      <c r="AZ4992" s="184">
        <v>44895</v>
      </c>
      <c r="BA4992" t="s">
        <v>9057</v>
      </c>
      <c r="BB4992">
        <v>8328.1200000000008</v>
      </c>
      <c r="BC4992">
        <v>89</v>
      </c>
      <c r="BD4992">
        <v>8953.1200000000008</v>
      </c>
      <c r="BE4992">
        <v>2017</v>
      </c>
      <c r="BF4992">
        <v>9</v>
      </c>
      <c r="BG4992">
        <v>3</v>
      </c>
      <c r="BH4992">
        <v>8528.1200000000008</v>
      </c>
      <c r="BI4992">
        <v>8</v>
      </c>
      <c r="BJ4992">
        <v>9</v>
      </c>
      <c r="BK4992">
        <v>8</v>
      </c>
      <c r="BP4992" s="184"/>
    </row>
    <row r="4993" spans="1:68">
      <c r="A4993">
        <v>94929791</v>
      </c>
      <c r="B4993">
        <v>94929791</v>
      </c>
      <c r="C4993" t="s">
        <v>7018</v>
      </c>
      <c r="E4993" s="184"/>
      <c r="G4993" s="184"/>
      <c r="I4993" s="184"/>
      <c r="J4993" t="s">
        <v>595</v>
      </c>
      <c r="K4993" s="184">
        <v>42837</v>
      </c>
      <c r="M4993" s="184"/>
      <c r="O4993" s="184"/>
      <c r="P4993" t="s">
        <v>7045</v>
      </c>
      <c r="Q4993" t="s">
        <v>7160</v>
      </c>
      <c r="R4993" s="184"/>
      <c r="U4993" t="s">
        <v>7076</v>
      </c>
      <c r="V4993" t="s">
        <v>29299</v>
      </c>
      <c r="W4993" t="s">
        <v>7407</v>
      </c>
      <c r="X4993" t="s">
        <v>2999</v>
      </c>
      <c r="AF4993" t="s">
        <v>6713</v>
      </c>
      <c r="AG4993" t="s">
        <v>29299</v>
      </c>
      <c r="AI4993" t="s">
        <v>35820</v>
      </c>
      <c r="AM4993" t="s">
        <v>3809</v>
      </c>
      <c r="AN4993" t="s">
        <v>2413</v>
      </c>
      <c r="AO4993" t="s">
        <v>35821</v>
      </c>
      <c r="AP4993" t="s">
        <v>7024</v>
      </c>
      <c r="AQ4993" t="s">
        <v>35822</v>
      </c>
      <c r="AT4993" s="184">
        <v>42615</v>
      </c>
      <c r="AU4993" t="s">
        <v>35823</v>
      </c>
      <c r="AV4993">
        <v>25</v>
      </c>
      <c r="AW4993" s="184">
        <v>42916</v>
      </c>
      <c r="AX4993" t="s">
        <v>35824</v>
      </c>
      <c r="AY4993">
        <v>20</v>
      </c>
      <c r="AZ4993" s="184">
        <v>42615</v>
      </c>
      <c r="BA4993" t="s">
        <v>35823</v>
      </c>
      <c r="BB4993">
        <v>25</v>
      </c>
      <c r="BC4993">
        <v>23</v>
      </c>
      <c r="BD4993">
        <v>67</v>
      </c>
      <c r="BE4993">
        <v>2017</v>
      </c>
      <c r="BF4993">
        <v>5</v>
      </c>
      <c r="BI4993">
        <v>2</v>
      </c>
      <c r="BJ4993">
        <v>9</v>
      </c>
      <c r="BK4993">
        <v>2</v>
      </c>
      <c r="BP4993" s="184"/>
    </row>
    <row r="4994" spans="1:68">
      <c r="A4994">
        <v>94931482</v>
      </c>
      <c r="B4994">
        <v>94931482</v>
      </c>
      <c r="C4994" t="s">
        <v>7018</v>
      </c>
      <c r="D4994" t="s">
        <v>595</v>
      </c>
      <c r="E4994" s="184">
        <v>44167</v>
      </c>
      <c r="I4994" s="184"/>
      <c r="K4994" s="184"/>
      <c r="M4994" s="184"/>
      <c r="O4994" s="184"/>
      <c r="P4994" t="s">
        <v>7045</v>
      </c>
      <c r="Q4994" t="s">
        <v>7020</v>
      </c>
      <c r="R4994" s="184">
        <v>16033</v>
      </c>
      <c r="S4994">
        <v>80</v>
      </c>
      <c r="U4994" t="s">
        <v>7032</v>
      </c>
      <c r="V4994" t="s">
        <v>2982</v>
      </c>
      <c r="X4994" t="s">
        <v>31787</v>
      </c>
      <c r="AF4994" t="s">
        <v>35825</v>
      </c>
      <c r="AG4994" t="s">
        <v>2982</v>
      </c>
      <c r="AI4994" t="s">
        <v>35826</v>
      </c>
      <c r="AM4994" t="s">
        <v>3495</v>
      </c>
      <c r="AN4994" t="s">
        <v>2240</v>
      </c>
      <c r="AO4994" t="s">
        <v>35827</v>
      </c>
      <c r="AP4994" t="s">
        <v>7024</v>
      </c>
      <c r="AQ4994" t="s">
        <v>35828</v>
      </c>
      <c r="AT4994" s="184">
        <v>42619</v>
      </c>
      <c r="AU4994" t="s">
        <v>35829</v>
      </c>
      <c r="AV4994">
        <v>100</v>
      </c>
      <c r="AW4994" s="184">
        <v>45412</v>
      </c>
      <c r="AX4994" t="s">
        <v>10451</v>
      </c>
      <c r="AY4994">
        <v>20.190000000000001</v>
      </c>
      <c r="AZ4994" s="184">
        <v>43332</v>
      </c>
      <c r="BA4994" t="s">
        <v>35830</v>
      </c>
      <c r="BB4994">
        <v>150</v>
      </c>
      <c r="BC4994">
        <v>100</v>
      </c>
      <c r="BD4994">
        <v>2127.16</v>
      </c>
      <c r="BE4994">
        <v>2017</v>
      </c>
      <c r="BF4994">
        <v>73</v>
      </c>
      <c r="BG4994">
        <v>26</v>
      </c>
      <c r="BH4994">
        <v>569.55999999999995</v>
      </c>
      <c r="BI4994">
        <v>9</v>
      </c>
      <c r="BJ4994">
        <v>9</v>
      </c>
      <c r="BK4994">
        <v>9</v>
      </c>
      <c r="BP4994" s="184"/>
    </row>
    <row r="4995" spans="1:68">
      <c r="A4995">
        <v>94932464</v>
      </c>
      <c r="B4995">
        <v>94932464</v>
      </c>
      <c r="C4995" t="s">
        <v>7018</v>
      </c>
      <c r="D4995" t="s">
        <v>595</v>
      </c>
      <c r="E4995" s="184">
        <v>45119</v>
      </c>
      <c r="I4995" s="184"/>
      <c r="K4995" s="184"/>
      <c r="M4995" s="184"/>
      <c r="O4995" s="184"/>
      <c r="P4995" t="s">
        <v>7045</v>
      </c>
      <c r="Q4995" t="s">
        <v>7383</v>
      </c>
      <c r="R4995" s="184">
        <v>17533</v>
      </c>
      <c r="S4995">
        <v>76</v>
      </c>
      <c r="V4995" t="s">
        <v>2541</v>
      </c>
      <c r="W4995" t="s">
        <v>2316</v>
      </c>
      <c r="X4995" t="s">
        <v>35831</v>
      </c>
      <c r="AF4995" t="s">
        <v>35832</v>
      </c>
      <c r="AG4995" t="s">
        <v>2541</v>
      </c>
      <c r="AI4995" t="s">
        <v>35833</v>
      </c>
      <c r="AM4995" t="s">
        <v>17039</v>
      </c>
      <c r="AN4995" t="s">
        <v>2059</v>
      </c>
      <c r="AO4995" t="s">
        <v>35834</v>
      </c>
      <c r="AP4995" t="s">
        <v>7024</v>
      </c>
      <c r="AQ4995" t="s">
        <v>35835</v>
      </c>
      <c r="AR4995" t="s">
        <v>35836</v>
      </c>
      <c r="AT4995" s="184">
        <v>42619</v>
      </c>
      <c r="AU4995" t="s">
        <v>35837</v>
      </c>
      <c r="AV4995">
        <v>25</v>
      </c>
      <c r="AW4995" s="184">
        <v>45278</v>
      </c>
      <c r="AX4995" t="s">
        <v>7515</v>
      </c>
      <c r="AY4995">
        <v>26.25</v>
      </c>
      <c r="AZ4995" s="184">
        <v>43542</v>
      </c>
      <c r="BA4995" t="s">
        <v>35838</v>
      </c>
      <c r="BB4995">
        <v>30</v>
      </c>
      <c r="BC4995">
        <v>67</v>
      </c>
      <c r="BD4995">
        <v>181.25</v>
      </c>
      <c r="BE4995">
        <v>2017</v>
      </c>
      <c r="BF4995">
        <v>7</v>
      </c>
      <c r="BG4995">
        <v>2</v>
      </c>
      <c r="BH4995">
        <v>51.25</v>
      </c>
      <c r="BI4995">
        <v>6</v>
      </c>
      <c r="BJ4995">
        <v>9</v>
      </c>
      <c r="BK4995">
        <v>5</v>
      </c>
      <c r="BP4995" s="184"/>
    </row>
    <row r="4996" spans="1:68">
      <c r="A4996">
        <v>95037321</v>
      </c>
      <c r="B4996">
        <v>95037321</v>
      </c>
      <c r="C4996" t="s">
        <v>7018</v>
      </c>
      <c r="D4996" t="s">
        <v>595</v>
      </c>
      <c r="E4996" s="184">
        <v>45148</v>
      </c>
      <c r="I4996" s="184"/>
      <c r="K4996" s="184"/>
      <c r="M4996" s="184"/>
      <c r="O4996" s="184"/>
      <c r="P4996" t="s">
        <v>7045</v>
      </c>
      <c r="Q4996" t="s">
        <v>7383</v>
      </c>
      <c r="R4996" s="184">
        <v>20455</v>
      </c>
      <c r="S4996">
        <v>68</v>
      </c>
      <c r="V4996" t="s">
        <v>2758</v>
      </c>
      <c r="X4996" t="s">
        <v>3597</v>
      </c>
      <c r="AF4996" t="s">
        <v>35839</v>
      </c>
      <c r="AG4996" t="s">
        <v>2758</v>
      </c>
      <c r="AI4996" t="s">
        <v>35840</v>
      </c>
      <c r="AM4996" t="s">
        <v>26735</v>
      </c>
      <c r="AN4996" t="s">
        <v>2144</v>
      </c>
      <c r="AO4996" t="s">
        <v>35841</v>
      </c>
      <c r="AP4996" t="s">
        <v>7024</v>
      </c>
      <c r="AQ4996" t="s">
        <v>35842</v>
      </c>
      <c r="AR4996" t="s">
        <v>35843</v>
      </c>
      <c r="AT4996" s="184">
        <v>42625</v>
      </c>
      <c r="AU4996" t="s">
        <v>35844</v>
      </c>
      <c r="AV4996">
        <v>25</v>
      </c>
      <c r="AW4996" s="184">
        <v>44981</v>
      </c>
      <c r="AX4996" t="s">
        <v>10309</v>
      </c>
      <c r="AY4996">
        <v>25</v>
      </c>
      <c r="AZ4996" s="184">
        <v>44811</v>
      </c>
      <c r="BA4996" t="s">
        <v>35845</v>
      </c>
      <c r="BB4996">
        <v>30</v>
      </c>
      <c r="BC4996">
        <v>78</v>
      </c>
      <c r="BD4996">
        <v>210</v>
      </c>
      <c r="BE4996">
        <v>2017</v>
      </c>
      <c r="BF4996">
        <v>8</v>
      </c>
      <c r="BG4996">
        <v>3</v>
      </c>
      <c r="BH4996">
        <v>80</v>
      </c>
      <c r="BI4996">
        <v>7</v>
      </c>
      <c r="BJ4996">
        <v>9</v>
      </c>
      <c r="BK4996">
        <v>4</v>
      </c>
      <c r="BP4996" s="184"/>
    </row>
    <row r="4997" spans="1:68">
      <c r="A4997">
        <v>95043725</v>
      </c>
      <c r="B4997">
        <v>95043725</v>
      </c>
      <c r="C4997" t="s">
        <v>7018</v>
      </c>
      <c r="D4997" t="s">
        <v>595</v>
      </c>
      <c r="E4997" s="184">
        <v>45125</v>
      </c>
      <c r="G4997" s="184"/>
      <c r="I4997" s="184"/>
      <c r="K4997" s="184"/>
      <c r="M4997" s="184"/>
      <c r="O4997" s="184"/>
      <c r="P4997" t="s">
        <v>7019</v>
      </c>
      <c r="Q4997" t="s">
        <v>7262</v>
      </c>
      <c r="R4997" s="184">
        <v>12843</v>
      </c>
      <c r="S4997">
        <v>89</v>
      </c>
      <c r="U4997" t="s">
        <v>13909</v>
      </c>
      <c r="V4997" t="s">
        <v>2541</v>
      </c>
      <c r="X4997" t="s">
        <v>4184</v>
      </c>
      <c r="AF4997" t="s">
        <v>35846</v>
      </c>
      <c r="AG4997" t="s">
        <v>2541</v>
      </c>
      <c r="AI4997" t="s">
        <v>35847</v>
      </c>
      <c r="AM4997" t="s">
        <v>35848</v>
      </c>
      <c r="AN4997" t="s">
        <v>2069</v>
      </c>
      <c r="AO4997" t="s">
        <v>35849</v>
      </c>
      <c r="AP4997" t="s">
        <v>7024</v>
      </c>
      <c r="AT4997" s="184">
        <v>42626</v>
      </c>
      <c r="AU4997" t="s">
        <v>35850</v>
      </c>
      <c r="AV4997">
        <v>15</v>
      </c>
      <c r="AW4997" s="184">
        <v>44853</v>
      </c>
      <c r="AX4997" t="s">
        <v>35851</v>
      </c>
      <c r="AY4997">
        <v>60</v>
      </c>
      <c r="AZ4997" s="184">
        <v>44853</v>
      </c>
      <c r="BA4997" t="s">
        <v>35851</v>
      </c>
      <c r="BB4997">
        <v>60</v>
      </c>
      <c r="BC4997">
        <v>67</v>
      </c>
      <c r="BD4997">
        <v>240</v>
      </c>
      <c r="BE4997">
        <v>2017</v>
      </c>
      <c r="BF4997">
        <v>9</v>
      </c>
      <c r="BG4997">
        <v>2</v>
      </c>
      <c r="BH4997">
        <v>85</v>
      </c>
      <c r="BI4997">
        <v>6</v>
      </c>
      <c r="BJ4997">
        <v>9</v>
      </c>
      <c r="BK4997">
        <v>5</v>
      </c>
      <c r="BP4997" s="184"/>
    </row>
    <row r="4998" spans="1:68">
      <c r="A4998">
        <v>95060067</v>
      </c>
      <c r="B4998">
        <v>95060067</v>
      </c>
      <c r="C4998" t="s">
        <v>7018</v>
      </c>
      <c r="D4998" t="s">
        <v>595</v>
      </c>
      <c r="E4998" s="184">
        <v>44167</v>
      </c>
      <c r="G4998" s="184"/>
      <c r="I4998" s="184"/>
      <c r="K4998" s="184"/>
      <c r="M4998" s="184"/>
      <c r="O4998" s="184"/>
      <c r="P4998" t="s">
        <v>7045</v>
      </c>
      <c r="Q4998" t="s">
        <v>7262</v>
      </c>
      <c r="R4998" s="184">
        <v>20121</v>
      </c>
      <c r="S4998">
        <v>69</v>
      </c>
      <c r="U4998" t="s">
        <v>7076</v>
      </c>
      <c r="V4998" t="s">
        <v>3131</v>
      </c>
      <c r="X4998" t="s">
        <v>30635</v>
      </c>
      <c r="AF4998" t="s">
        <v>35852</v>
      </c>
      <c r="AG4998" t="s">
        <v>3131</v>
      </c>
      <c r="AI4998" t="s">
        <v>35853</v>
      </c>
      <c r="AM4998" t="s">
        <v>35854</v>
      </c>
      <c r="AN4998" t="s">
        <v>2069</v>
      </c>
      <c r="AO4998" t="s">
        <v>35855</v>
      </c>
      <c r="AP4998" t="s">
        <v>7024</v>
      </c>
      <c r="AQ4998" t="s">
        <v>35856</v>
      </c>
      <c r="AT4998" s="184">
        <v>42633</v>
      </c>
      <c r="AU4998" t="s">
        <v>7765</v>
      </c>
      <c r="AV4998">
        <v>25</v>
      </c>
      <c r="AW4998" s="184">
        <v>45390</v>
      </c>
      <c r="AX4998" t="s">
        <v>35857</v>
      </c>
      <c r="AY4998">
        <v>25</v>
      </c>
      <c r="AZ4998" s="184">
        <v>42955</v>
      </c>
      <c r="BA4998" t="s">
        <v>35858</v>
      </c>
      <c r="BB4998">
        <v>35</v>
      </c>
      <c r="BC4998">
        <v>89</v>
      </c>
      <c r="BD4998">
        <v>545</v>
      </c>
      <c r="BE4998">
        <v>2017</v>
      </c>
      <c r="BF4998">
        <v>49</v>
      </c>
      <c r="BG4998">
        <v>1</v>
      </c>
      <c r="BH4998">
        <v>25</v>
      </c>
      <c r="BI4998">
        <v>8</v>
      </c>
      <c r="BJ4998">
        <v>9</v>
      </c>
      <c r="BK4998">
        <v>7</v>
      </c>
      <c r="BN4998" t="s">
        <v>595</v>
      </c>
      <c r="BP4998" s="184"/>
    </row>
    <row r="4999" spans="1:68">
      <c r="A4999">
        <v>95065264</v>
      </c>
      <c r="B4999">
        <v>95065264</v>
      </c>
      <c r="C4999" t="s">
        <v>7018</v>
      </c>
      <c r="D4999" t="s">
        <v>595</v>
      </c>
      <c r="E4999" s="184">
        <v>44455</v>
      </c>
      <c r="G4999" s="184"/>
      <c r="I4999" s="184"/>
      <c r="K4999" s="184"/>
      <c r="M4999" s="184"/>
      <c r="O4999" s="184"/>
      <c r="P4999" t="s">
        <v>7045</v>
      </c>
      <c r="Q4999" t="s">
        <v>7020</v>
      </c>
      <c r="R4999" s="184">
        <v>20121</v>
      </c>
      <c r="S4999">
        <v>69</v>
      </c>
      <c r="V4999" t="s">
        <v>2982</v>
      </c>
      <c r="X4999" t="s">
        <v>35859</v>
      </c>
      <c r="AF4999" t="s">
        <v>35860</v>
      </c>
      <c r="AG4999" t="s">
        <v>2982</v>
      </c>
      <c r="AI4999" t="s">
        <v>35861</v>
      </c>
      <c r="AM4999" t="s">
        <v>4949</v>
      </c>
      <c r="AN4999" t="s">
        <v>2240</v>
      </c>
      <c r="AO4999" t="s">
        <v>35862</v>
      </c>
      <c r="AP4999" t="s">
        <v>7024</v>
      </c>
      <c r="AT4999" s="184">
        <v>42633</v>
      </c>
      <c r="AU4999" t="s">
        <v>35844</v>
      </c>
      <c r="AV4999">
        <v>50</v>
      </c>
      <c r="AW4999" s="184">
        <v>45278</v>
      </c>
      <c r="AX4999" t="s">
        <v>11761</v>
      </c>
      <c r="AY4999">
        <v>200</v>
      </c>
      <c r="AZ4999" s="184">
        <v>45278</v>
      </c>
      <c r="BA4999" t="s">
        <v>11761</v>
      </c>
      <c r="BB4999">
        <v>200</v>
      </c>
      <c r="BC4999">
        <v>89</v>
      </c>
      <c r="BD4999">
        <v>1250</v>
      </c>
      <c r="BE4999">
        <v>2017</v>
      </c>
      <c r="BF4999">
        <v>10</v>
      </c>
      <c r="BG4999">
        <v>2</v>
      </c>
      <c r="BH4999">
        <v>300</v>
      </c>
      <c r="BI4999">
        <v>8</v>
      </c>
      <c r="BJ4999">
        <v>9</v>
      </c>
      <c r="BK4999">
        <v>8</v>
      </c>
      <c r="BP4999" s="184"/>
    </row>
    <row r="5000" spans="1:68">
      <c r="A5000">
        <v>95078648</v>
      </c>
      <c r="B5000">
        <v>95078648</v>
      </c>
      <c r="C5000" t="s">
        <v>7018</v>
      </c>
      <c r="E5000" s="184"/>
      <c r="I5000" s="184"/>
      <c r="J5000" t="s">
        <v>595</v>
      </c>
      <c r="K5000" s="184">
        <v>44749</v>
      </c>
      <c r="M5000" s="184"/>
      <c r="O5000" s="184"/>
      <c r="P5000" t="s">
        <v>7045</v>
      </c>
      <c r="Q5000" t="s">
        <v>7383</v>
      </c>
      <c r="R5000" s="184">
        <v>29707</v>
      </c>
      <c r="S5000">
        <v>43</v>
      </c>
      <c r="U5000" t="s">
        <v>7032</v>
      </c>
      <c r="V5000" t="s">
        <v>35863</v>
      </c>
      <c r="X5000" t="s">
        <v>35864</v>
      </c>
      <c r="Z5000">
        <v>100165527</v>
      </c>
      <c r="AB5000" t="s">
        <v>5316</v>
      </c>
      <c r="AD5000" t="s">
        <v>35865</v>
      </c>
      <c r="AF5000" t="s">
        <v>35866</v>
      </c>
      <c r="AG5000" t="s">
        <v>35867</v>
      </c>
      <c r="AI5000" t="s">
        <v>35868</v>
      </c>
      <c r="AM5000" t="s">
        <v>3082</v>
      </c>
      <c r="AN5000" t="s">
        <v>2313</v>
      </c>
      <c r="AO5000" t="s">
        <v>35869</v>
      </c>
      <c r="AP5000" t="s">
        <v>7024</v>
      </c>
      <c r="AQ5000" t="s">
        <v>35870</v>
      </c>
      <c r="AR5000" t="s">
        <v>35871</v>
      </c>
      <c r="AT5000" s="184">
        <v>42899</v>
      </c>
      <c r="AU5000" t="s">
        <v>35872</v>
      </c>
      <c r="AV5000">
        <v>50</v>
      </c>
      <c r="AW5000" s="184">
        <v>45032</v>
      </c>
      <c r="AX5000" t="s">
        <v>9576</v>
      </c>
      <c r="AY5000">
        <v>150</v>
      </c>
      <c r="AZ5000" s="184">
        <v>45032</v>
      </c>
      <c r="BA5000" t="s">
        <v>9576</v>
      </c>
      <c r="BB5000">
        <v>150</v>
      </c>
      <c r="BC5000">
        <v>88</v>
      </c>
      <c r="BD5000">
        <v>625</v>
      </c>
      <c r="BE5000">
        <v>2017</v>
      </c>
      <c r="BF5000">
        <v>7</v>
      </c>
      <c r="BG5000">
        <v>2</v>
      </c>
      <c r="BH5000">
        <v>250</v>
      </c>
      <c r="BI5000">
        <v>7</v>
      </c>
      <c r="BJ5000">
        <v>8</v>
      </c>
      <c r="BK5000">
        <v>7</v>
      </c>
      <c r="BP5000" s="184"/>
    </row>
    <row r="5001" spans="1:68">
      <c r="A5001">
        <v>100165527</v>
      </c>
      <c r="B5001">
        <v>95078648</v>
      </c>
      <c r="C5001" t="s">
        <v>7018</v>
      </c>
      <c r="E5001" s="184"/>
      <c r="G5001" s="184"/>
      <c r="I5001" s="184"/>
      <c r="J5001" t="s">
        <v>595</v>
      </c>
      <c r="K5001" s="184">
        <v>44749</v>
      </c>
      <c r="M5001" s="184"/>
      <c r="O5001" s="184"/>
      <c r="P5001" t="s">
        <v>7045</v>
      </c>
      <c r="Q5001" t="s">
        <v>7383</v>
      </c>
      <c r="R5001" s="184">
        <v>25840</v>
      </c>
      <c r="S5001">
        <v>53</v>
      </c>
      <c r="V5001" t="s">
        <v>5316</v>
      </c>
      <c r="X5001" t="s">
        <v>35865</v>
      </c>
      <c r="Z5001">
        <v>95078648</v>
      </c>
      <c r="AA5001" t="s">
        <v>7032</v>
      </c>
      <c r="AB5001" t="s">
        <v>35863</v>
      </c>
      <c r="AD5001" t="s">
        <v>35864</v>
      </c>
      <c r="AF5001" t="s">
        <v>35866</v>
      </c>
      <c r="AG5001" t="s">
        <v>35867</v>
      </c>
      <c r="AI5001" t="s">
        <v>35868</v>
      </c>
      <c r="AM5001" t="s">
        <v>3082</v>
      </c>
      <c r="AN5001" t="s">
        <v>2313</v>
      </c>
      <c r="AO5001" t="s">
        <v>35869</v>
      </c>
      <c r="AP5001" t="s">
        <v>7024</v>
      </c>
      <c r="AQ5001" t="s">
        <v>35873</v>
      </c>
      <c r="AT5001" s="184">
        <v>43548</v>
      </c>
      <c r="AU5001" t="s">
        <v>8586</v>
      </c>
      <c r="AV5001">
        <v>100</v>
      </c>
      <c r="AW5001" s="184">
        <v>43548</v>
      </c>
      <c r="AX5001" t="s">
        <v>8586</v>
      </c>
      <c r="AY5001">
        <v>100</v>
      </c>
      <c r="AZ5001" s="184">
        <v>43548</v>
      </c>
      <c r="BA5001" t="s">
        <v>8586</v>
      </c>
      <c r="BB5001">
        <v>100</v>
      </c>
      <c r="BC5001">
        <v>17</v>
      </c>
      <c r="BD5001">
        <v>100</v>
      </c>
      <c r="BE5001">
        <v>2019</v>
      </c>
      <c r="BF5001">
        <v>1</v>
      </c>
      <c r="BI5001">
        <v>1</v>
      </c>
      <c r="BJ5001">
        <v>6</v>
      </c>
      <c r="BK5001">
        <v>1</v>
      </c>
      <c r="BP5001" s="184"/>
    </row>
    <row r="5002" spans="1:68">
      <c r="A5002">
        <v>95092433</v>
      </c>
      <c r="B5002">
        <v>95092433</v>
      </c>
      <c r="C5002" t="s">
        <v>7018</v>
      </c>
      <c r="E5002" s="184"/>
      <c r="G5002" s="184"/>
      <c r="H5002" t="s">
        <v>595</v>
      </c>
      <c r="I5002" s="184">
        <v>45201</v>
      </c>
      <c r="K5002" s="184"/>
      <c r="M5002" s="184"/>
      <c r="O5002" s="184"/>
      <c r="P5002" t="s">
        <v>7045</v>
      </c>
      <c r="Q5002" t="s">
        <v>7374</v>
      </c>
      <c r="R5002" s="184">
        <v>20477</v>
      </c>
      <c r="S5002">
        <v>68</v>
      </c>
      <c r="U5002" t="s">
        <v>7031</v>
      </c>
      <c r="V5002" t="s">
        <v>2697</v>
      </c>
      <c r="W5002" t="s">
        <v>7407</v>
      </c>
      <c r="X5002" t="s">
        <v>35874</v>
      </c>
      <c r="AF5002" t="s">
        <v>35875</v>
      </c>
      <c r="AG5002" t="s">
        <v>2697</v>
      </c>
      <c r="AI5002" t="s">
        <v>35876</v>
      </c>
      <c r="AM5002" t="s">
        <v>35877</v>
      </c>
      <c r="AN5002" t="s">
        <v>2081</v>
      </c>
      <c r="AO5002" t="s">
        <v>35878</v>
      </c>
      <c r="AP5002" t="s">
        <v>7024</v>
      </c>
      <c r="AQ5002" t="s">
        <v>35879</v>
      </c>
      <c r="AT5002" s="184">
        <v>42640</v>
      </c>
      <c r="AU5002" t="s">
        <v>35880</v>
      </c>
      <c r="AV5002">
        <v>62</v>
      </c>
      <c r="AW5002" s="184">
        <v>44474</v>
      </c>
      <c r="AX5002" t="s">
        <v>7714</v>
      </c>
      <c r="AY5002">
        <v>65</v>
      </c>
      <c r="AZ5002" s="184">
        <v>43853</v>
      </c>
      <c r="BA5002" t="s">
        <v>21846</v>
      </c>
      <c r="BB5002">
        <v>112</v>
      </c>
      <c r="BC5002">
        <v>34</v>
      </c>
      <c r="BD5002">
        <v>409</v>
      </c>
      <c r="BE5002">
        <v>2017</v>
      </c>
      <c r="BF5002">
        <v>5</v>
      </c>
      <c r="BI5002">
        <v>3</v>
      </c>
      <c r="BJ5002">
        <v>9</v>
      </c>
      <c r="BK5002">
        <v>2</v>
      </c>
      <c r="BP5002" s="184"/>
    </row>
    <row r="5003" spans="1:68">
      <c r="A5003">
        <v>95093878</v>
      </c>
      <c r="B5003">
        <v>95093878</v>
      </c>
      <c r="C5003" t="s">
        <v>7018</v>
      </c>
      <c r="D5003" t="s">
        <v>595</v>
      </c>
      <c r="E5003" s="184">
        <v>43794</v>
      </c>
      <c r="G5003" s="184"/>
      <c r="I5003" s="184"/>
      <c r="K5003" s="184"/>
      <c r="M5003" s="184"/>
      <c r="O5003" s="184"/>
      <c r="P5003" t="s">
        <v>7045</v>
      </c>
      <c r="Q5003" t="s">
        <v>7262</v>
      </c>
      <c r="R5003" s="184"/>
      <c r="U5003" t="s">
        <v>7076</v>
      </c>
      <c r="V5003" t="s">
        <v>2954</v>
      </c>
      <c r="X5003" t="s">
        <v>5745</v>
      </c>
      <c r="AF5003" t="s">
        <v>35881</v>
      </c>
      <c r="AG5003" t="s">
        <v>2954</v>
      </c>
      <c r="AI5003" t="s">
        <v>35882</v>
      </c>
      <c r="AM5003" t="s">
        <v>35883</v>
      </c>
      <c r="AN5003" t="s">
        <v>2069</v>
      </c>
      <c r="AO5003" t="s">
        <v>35884</v>
      </c>
      <c r="AP5003" t="s">
        <v>7024</v>
      </c>
      <c r="AQ5003" t="s">
        <v>35885</v>
      </c>
      <c r="AT5003" s="184">
        <v>43229</v>
      </c>
      <c r="AU5003" t="s">
        <v>35886</v>
      </c>
      <c r="AV5003">
        <v>15</v>
      </c>
      <c r="AW5003" s="184">
        <v>43229</v>
      </c>
      <c r="AX5003" t="s">
        <v>35886</v>
      </c>
      <c r="AY5003">
        <v>15</v>
      </c>
      <c r="AZ5003" s="184">
        <v>43229</v>
      </c>
      <c r="BA5003" t="s">
        <v>35886</v>
      </c>
      <c r="BB5003">
        <v>15</v>
      </c>
      <c r="BC5003">
        <v>15</v>
      </c>
      <c r="BD5003">
        <v>15</v>
      </c>
      <c r="BE5003">
        <v>2018</v>
      </c>
      <c r="BF5003">
        <v>1</v>
      </c>
      <c r="BI5003">
        <v>1</v>
      </c>
      <c r="BJ5003">
        <v>7</v>
      </c>
      <c r="BK5003">
        <v>1</v>
      </c>
      <c r="BP5003" s="184"/>
    </row>
    <row r="5004" spans="1:68">
      <c r="A5004">
        <v>95105680</v>
      </c>
      <c r="B5004">
        <v>95105680</v>
      </c>
      <c r="C5004" t="s">
        <v>7018</v>
      </c>
      <c r="D5004" t="s">
        <v>595</v>
      </c>
      <c r="E5004" s="184">
        <v>45112</v>
      </c>
      <c r="G5004" s="184"/>
      <c r="I5004" s="184"/>
      <c r="K5004" s="184"/>
      <c r="M5004" s="184"/>
      <c r="O5004" s="184"/>
      <c r="P5004" t="s">
        <v>7045</v>
      </c>
      <c r="Q5004" t="s">
        <v>7383</v>
      </c>
      <c r="R5004" s="184">
        <v>15868</v>
      </c>
      <c r="S5004">
        <v>80</v>
      </c>
      <c r="V5004" t="s">
        <v>35887</v>
      </c>
      <c r="W5004" t="s">
        <v>7246</v>
      </c>
      <c r="X5004" t="s">
        <v>4739</v>
      </c>
      <c r="AF5004" t="s">
        <v>35888</v>
      </c>
      <c r="AG5004" t="s">
        <v>35887</v>
      </c>
      <c r="AI5004" t="s">
        <v>35889</v>
      </c>
      <c r="AM5004" t="s">
        <v>3357</v>
      </c>
      <c r="AN5004" t="s">
        <v>2185</v>
      </c>
      <c r="AO5004" t="s">
        <v>35890</v>
      </c>
      <c r="AP5004" t="s">
        <v>7024</v>
      </c>
      <c r="AQ5004" t="s">
        <v>35891</v>
      </c>
      <c r="AT5004" s="184">
        <v>42643</v>
      </c>
      <c r="AU5004" t="s">
        <v>35892</v>
      </c>
      <c r="AV5004">
        <v>5</v>
      </c>
      <c r="AW5004" s="184">
        <v>45104</v>
      </c>
      <c r="AX5004" t="s">
        <v>8299</v>
      </c>
      <c r="AY5004">
        <v>15</v>
      </c>
      <c r="AZ5004" s="184">
        <v>44742</v>
      </c>
      <c r="BA5004" t="s">
        <v>15465</v>
      </c>
      <c r="BB5004">
        <v>25</v>
      </c>
      <c r="BC5004">
        <v>78</v>
      </c>
      <c r="BD5004">
        <v>160</v>
      </c>
      <c r="BE5004">
        <v>2017</v>
      </c>
      <c r="BF5004">
        <v>8</v>
      </c>
      <c r="BG5004">
        <v>2</v>
      </c>
      <c r="BH5004">
        <v>40</v>
      </c>
      <c r="BI5004">
        <v>7</v>
      </c>
      <c r="BJ5004">
        <v>9</v>
      </c>
      <c r="BK5004">
        <v>6</v>
      </c>
      <c r="BP5004" s="184"/>
    </row>
    <row r="5005" spans="1:68">
      <c r="A5005">
        <v>95110466</v>
      </c>
      <c r="B5005">
        <v>95110466</v>
      </c>
      <c r="C5005" t="s">
        <v>7018</v>
      </c>
      <c r="E5005" s="184"/>
      <c r="G5005" s="184"/>
      <c r="I5005" s="184"/>
      <c r="K5005" s="184"/>
      <c r="M5005" s="184"/>
      <c r="N5005" t="s">
        <v>595</v>
      </c>
      <c r="O5005" s="184">
        <v>43035</v>
      </c>
      <c r="P5005" t="s">
        <v>7045</v>
      </c>
      <c r="Q5005" t="s">
        <v>7030</v>
      </c>
      <c r="R5005" s="184">
        <v>14787</v>
      </c>
      <c r="S5005">
        <v>83</v>
      </c>
      <c r="U5005" t="s">
        <v>7076</v>
      </c>
      <c r="V5005" t="s">
        <v>35893</v>
      </c>
      <c r="W5005" t="s">
        <v>7963</v>
      </c>
      <c r="X5005" t="s">
        <v>35894</v>
      </c>
      <c r="AF5005" t="s">
        <v>6039</v>
      </c>
      <c r="AG5005" t="s">
        <v>35893</v>
      </c>
      <c r="AI5005" t="s">
        <v>35895</v>
      </c>
      <c r="AM5005" t="s">
        <v>2564</v>
      </c>
      <c r="AN5005" t="s">
        <v>2089</v>
      </c>
      <c r="AO5005" t="s">
        <v>35896</v>
      </c>
      <c r="AP5005" t="s">
        <v>7024</v>
      </c>
      <c r="AQ5005" t="s">
        <v>35897</v>
      </c>
      <c r="AT5005" s="184">
        <v>42646</v>
      </c>
      <c r="AU5005" t="s">
        <v>17482</v>
      </c>
      <c r="AV5005">
        <v>20</v>
      </c>
      <c r="AW5005" s="184">
        <v>44524</v>
      </c>
      <c r="AX5005" t="s">
        <v>35898</v>
      </c>
      <c r="AY5005">
        <v>20</v>
      </c>
      <c r="AZ5005" s="184">
        <v>43035</v>
      </c>
      <c r="BA5005" t="s">
        <v>8929</v>
      </c>
      <c r="BB5005">
        <v>10000</v>
      </c>
      <c r="BC5005">
        <v>67</v>
      </c>
      <c r="BD5005">
        <v>10190</v>
      </c>
      <c r="BE5005">
        <v>2017</v>
      </c>
      <c r="BF5005">
        <v>11</v>
      </c>
      <c r="BI5005">
        <v>6</v>
      </c>
      <c r="BJ5005">
        <v>9</v>
      </c>
      <c r="BK5005">
        <v>6</v>
      </c>
      <c r="BP5005" s="184"/>
    </row>
    <row r="5006" spans="1:68">
      <c r="A5006">
        <v>95111175</v>
      </c>
      <c r="B5006">
        <v>95111175</v>
      </c>
      <c r="C5006" t="s">
        <v>7018</v>
      </c>
      <c r="E5006" s="184"/>
      <c r="G5006" s="184"/>
      <c r="I5006" s="184"/>
      <c r="J5006" t="s">
        <v>595</v>
      </c>
      <c r="K5006" s="184">
        <v>45063</v>
      </c>
      <c r="M5006" s="184"/>
      <c r="O5006" s="184"/>
      <c r="P5006" t="s">
        <v>7045</v>
      </c>
      <c r="Q5006" t="s">
        <v>7383</v>
      </c>
      <c r="R5006" s="184">
        <v>14822</v>
      </c>
      <c r="S5006">
        <v>83</v>
      </c>
      <c r="U5006" t="s">
        <v>7031</v>
      </c>
      <c r="V5006" t="s">
        <v>3103</v>
      </c>
      <c r="X5006" t="s">
        <v>35899</v>
      </c>
      <c r="AF5006" t="s">
        <v>35900</v>
      </c>
      <c r="AG5006" t="s">
        <v>3103</v>
      </c>
      <c r="AI5006" t="s">
        <v>35901</v>
      </c>
      <c r="AM5006" t="s">
        <v>14564</v>
      </c>
      <c r="AN5006" t="s">
        <v>2059</v>
      </c>
      <c r="AO5006" t="s">
        <v>35902</v>
      </c>
      <c r="AP5006" t="s">
        <v>7024</v>
      </c>
      <c r="AQ5006" t="s">
        <v>35903</v>
      </c>
      <c r="AT5006" s="184">
        <v>42646</v>
      </c>
      <c r="AU5006" t="s">
        <v>35904</v>
      </c>
      <c r="AV5006">
        <v>25</v>
      </c>
      <c r="AW5006" s="184">
        <v>45412</v>
      </c>
      <c r="AX5006" t="s">
        <v>35905</v>
      </c>
      <c r="AY5006">
        <v>30</v>
      </c>
      <c r="AZ5006" s="184">
        <v>44666</v>
      </c>
      <c r="BA5006" t="s">
        <v>35906</v>
      </c>
      <c r="BB5006">
        <v>50</v>
      </c>
      <c r="BC5006">
        <v>78</v>
      </c>
      <c r="BD5006">
        <v>247</v>
      </c>
      <c r="BE5006">
        <v>2017</v>
      </c>
      <c r="BF5006">
        <v>11</v>
      </c>
      <c r="BG5006">
        <v>5</v>
      </c>
      <c r="BH5006">
        <v>82</v>
      </c>
      <c r="BI5006">
        <v>7</v>
      </c>
      <c r="BJ5006">
        <v>9</v>
      </c>
      <c r="BK5006">
        <v>4</v>
      </c>
      <c r="BP5006" s="184"/>
    </row>
    <row r="5007" spans="1:68">
      <c r="A5007">
        <v>95232179</v>
      </c>
      <c r="B5007">
        <v>95232179</v>
      </c>
      <c r="C5007" t="s">
        <v>7018</v>
      </c>
      <c r="D5007" t="s">
        <v>595</v>
      </c>
      <c r="E5007" s="184">
        <v>45196</v>
      </c>
      <c r="G5007" s="184"/>
      <c r="I5007" s="184"/>
      <c r="K5007" s="184"/>
      <c r="M5007" s="184"/>
      <c r="O5007" s="184"/>
      <c r="P5007" t="s">
        <v>7019</v>
      </c>
      <c r="Q5007" t="s">
        <v>7030</v>
      </c>
      <c r="R5007" s="184">
        <v>15950</v>
      </c>
      <c r="S5007">
        <v>80</v>
      </c>
      <c r="V5007" t="s">
        <v>3683</v>
      </c>
      <c r="X5007" t="s">
        <v>35907</v>
      </c>
      <c r="AF5007" t="s">
        <v>35908</v>
      </c>
      <c r="AG5007" t="s">
        <v>3683</v>
      </c>
      <c r="AI5007" t="s">
        <v>35909</v>
      </c>
      <c r="AM5007" t="s">
        <v>35910</v>
      </c>
      <c r="AN5007" t="s">
        <v>2094</v>
      </c>
      <c r="AO5007" t="s">
        <v>35911</v>
      </c>
      <c r="AP5007" t="s">
        <v>7024</v>
      </c>
      <c r="AT5007" s="184">
        <v>42649</v>
      </c>
      <c r="AU5007" t="s">
        <v>35912</v>
      </c>
      <c r="AV5007">
        <v>25</v>
      </c>
      <c r="AW5007" s="184">
        <v>44208</v>
      </c>
      <c r="AX5007" t="s">
        <v>35913</v>
      </c>
      <c r="AY5007">
        <v>25</v>
      </c>
      <c r="AZ5007" s="184">
        <v>43382</v>
      </c>
      <c r="BA5007" t="s">
        <v>35914</v>
      </c>
      <c r="BB5007">
        <v>60</v>
      </c>
      <c r="BC5007">
        <v>67</v>
      </c>
      <c r="BD5007">
        <v>300</v>
      </c>
      <c r="BE5007">
        <v>2017</v>
      </c>
      <c r="BF5007">
        <v>11</v>
      </c>
      <c r="BI5007">
        <v>6</v>
      </c>
      <c r="BJ5007">
        <v>9</v>
      </c>
      <c r="BK5007">
        <v>6</v>
      </c>
      <c r="BP5007" s="184"/>
    </row>
    <row r="5008" spans="1:68">
      <c r="A5008">
        <v>95240610</v>
      </c>
      <c r="B5008">
        <v>95240610</v>
      </c>
      <c r="C5008" t="s">
        <v>7018</v>
      </c>
      <c r="D5008" t="s">
        <v>595</v>
      </c>
      <c r="E5008" s="184">
        <v>45125</v>
      </c>
      <c r="G5008" s="184"/>
      <c r="I5008" s="184"/>
      <c r="K5008" s="184"/>
      <c r="M5008" s="184"/>
      <c r="O5008" s="184"/>
      <c r="P5008" t="s">
        <v>7019</v>
      </c>
      <c r="Q5008" t="s">
        <v>7160</v>
      </c>
      <c r="R5008" s="184">
        <v>23377</v>
      </c>
      <c r="S5008">
        <v>60</v>
      </c>
      <c r="V5008" t="s">
        <v>3336</v>
      </c>
      <c r="X5008" t="s">
        <v>35915</v>
      </c>
      <c r="AF5008" t="s">
        <v>35916</v>
      </c>
      <c r="AG5008" t="s">
        <v>3336</v>
      </c>
      <c r="AI5008" t="s">
        <v>35917</v>
      </c>
      <c r="AM5008" t="s">
        <v>4768</v>
      </c>
      <c r="AN5008" t="s">
        <v>2176</v>
      </c>
      <c r="AO5008" t="s">
        <v>35918</v>
      </c>
      <c r="AP5008" t="s">
        <v>7024</v>
      </c>
      <c r="AT5008" s="184">
        <v>42654</v>
      </c>
      <c r="AU5008" t="s">
        <v>35919</v>
      </c>
      <c r="AV5008">
        <v>15</v>
      </c>
      <c r="AW5008" s="184">
        <v>45345</v>
      </c>
      <c r="AX5008" t="s">
        <v>17901</v>
      </c>
      <c r="AY5008">
        <v>15</v>
      </c>
      <c r="AZ5008" s="184">
        <v>44874</v>
      </c>
      <c r="BA5008" t="s">
        <v>35920</v>
      </c>
      <c r="BB5008">
        <v>60</v>
      </c>
      <c r="BC5008">
        <v>78</v>
      </c>
      <c r="BD5008">
        <v>240</v>
      </c>
      <c r="BE5008">
        <v>2017</v>
      </c>
      <c r="BF5008">
        <v>12</v>
      </c>
      <c r="BG5008">
        <v>4</v>
      </c>
      <c r="BH5008">
        <v>100</v>
      </c>
      <c r="BI5008">
        <v>7</v>
      </c>
      <c r="BJ5008">
        <v>9</v>
      </c>
      <c r="BK5008">
        <v>6</v>
      </c>
      <c r="BP5008" s="184"/>
    </row>
    <row r="5009" spans="1:68">
      <c r="A5009">
        <v>95242723</v>
      </c>
      <c r="B5009">
        <v>95242723</v>
      </c>
      <c r="C5009" t="s">
        <v>7018</v>
      </c>
      <c r="D5009" t="s">
        <v>595</v>
      </c>
      <c r="E5009" s="184">
        <v>45146</v>
      </c>
      <c r="G5009" s="184"/>
      <c r="I5009" s="184"/>
      <c r="K5009" s="184"/>
      <c r="M5009" s="184"/>
      <c r="O5009" s="184"/>
      <c r="P5009" t="s">
        <v>7045</v>
      </c>
      <c r="Q5009" t="s">
        <v>7383</v>
      </c>
      <c r="R5009" s="184">
        <v>11859</v>
      </c>
      <c r="S5009">
        <v>91</v>
      </c>
      <c r="U5009" t="s">
        <v>7031</v>
      </c>
      <c r="V5009" t="s">
        <v>35921</v>
      </c>
      <c r="X5009" t="s">
        <v>35922</v>
      </c>
      <c r="AF5009" t="s">
        <v>35923</v>
      </c>
      <c r="AG5009" t="s">
        <v>35921</v>
      </c>
      <c r="AI5009" t="s">
        <v>35924</v>
      </c>
      <c r="AM5009" t="s">
        <v>11022</v>
      </c>
      <c r="AN5009" t="s">
        <v>2274</v>
      </c>
      <c r="AO5009" t="s">
        <v>35925</v>
      </c>
      <c r="AP5009" t="s">
        <v>7024</v>
      </c>
      <c r="AQ5009" t="s">
        <v>35926</v>
      </c>
      <c r="AT5009" s="184">
        <v>42654</v>
      </c>
      <c r="AU5009" t="s">
        <v>35927</v>
      </c>
      <c r="AV5009">
        <v>25</v>
      </c>
      <c r="AW5009" s="184">
        <v>44364</v>
      </c>
      <c r="AX5009" t="s">
        <v>23799</v>
      </c>
      <c r="AY5009">
        <v>50</v>
      </c>
      <c r="AZ5009" s="184">
        <v>44364</v>
      </c>
      <c r="BA5009" t="s">
        <v>23799</v>
      </c>
      <c r="BB5009">
        <v>50</v>
      </c>
      <c r="BC5009">
        <v>56</v>
      </c>
      <c r="BD5009">
        <v>400</v>
      </c>
      <c r="BE5009">
        <v>2017</v>
      </c>
      <c r="BF5009">
        <v>10</v>
      </c>
      <c r="BI5009">
        <v>5</v>
      </c>
      <c r="BJ5009">
        <v>9</v>
      </c>
      <c r="BK5009">
        <v>4</v>
      </c>
      <c r="BP5009" s="184"/>
    </row>
    <row r="5010" spans="1:68">
      <c r="A5010">
        <v>95244729</v>
      </c>
      <c r="B5010">
        <v>95244729</v>
      </c>
      <c r="C5010" t="s">
        <v>7018</v>
      </c>
      <c r="D5010" t="s">
        <v>595</v>
      </c>
      <c r="E5010" s="184">
        <v>45195</v>
      </c>
      <c r="I5010" s="184"/>
      <c r="K5010" s="184"/>
      <c r="M5010" s="184"/>
      <c r="O5010" s="184"/>
      <c r="P5010" t="s">
        <v>7045</v>
      </c>
      <c r="Q5010" t="s">
        <v>7454</v>
      </c>
      <c r="R5010" s="184">
        <v>17512</v>
      </c>
      <c r="S5010">
        <v>76</v>
      </c>
      <c r="V5010" t="s">
        <v>13841</v>
      </c>
      <c r="X5010" t="s">
        <v>3783</v>
      </c>
      <c r="AF5010" t="s">
        <v>35928</v>
      </c>
      <c r="AG5010" t="s">
        <v>13841</v>
      </c>
      <c r="AI5010" t="s">
        <v>35929</v>
      </c>
      <c r="AM5010" t="s">
        <v>4138</v>
      </c>
      <c r="AN5010" t="s">
        <v>2299</v>
      </c>
      <c r="AO5010" t="s">
        <v>35930</v>
      </c>
      <c r="AP5010" t="s">
        <v>7024</v>
      </c>
      <c r="AQ5010" t="s">
        <v>35931</v>
      </c>
      <c r="AT5010" s="184">
        <v>44893</v>
      </c>
      <c r="AU5010" t="s">
        <v>35932</v>
      </c>
      <c r="AV5010">
        <v>25</v>
      </c>
      <c r="AW5010" s="184">
        <v>44893</v>
      </c>
      <c r="AX5010" t="s">
        <v>35932</v>
      </c>
      <c r="AY5010">
        <v>25</v>
      </c>
      <c r="AZ5010" s="184">
        <v>44893</v>
      </c>
      <c r="BA5010" t="s">
        <v>35932</v>
      </c>
      <c r="BB5010">
        <v>25</v>
      </c>
      <c r="BC5010">
        <v>34</v>
      </c>
      <c r="BD5010">
        <v>25</v>
      </c>
      <c r="BE5010">
        <v>2023</v>
      </c>
      <c r="BF5010">
        <v>1</v>
      </c>
      <c r="BG5010">
        <v>1</v>
      </c>
      <c r="BH5010">
        <v>25</v>
      </c>
      <c r="BI5010">
        <v>1</v>
      </c>
      <c r="BJ5010">
        <v>3</v>
      </c>
      <c r="BK5010">
        <v>1</v>
      </c>
      <c r="BP5010" s="184"/>
    </row>
    <row r="5011" spans="1:68">
      <c r="A5011">
        <v>95264909</v>
      </c>
      <c r="B5011">
        <v>95264909</v>
      </c>
      <c r="C5011" t="s">
        <v>7018</v>
      </c>
      <c r="D5011" t="s">
        <v>595</v>
      </c>
      <c r="E5011" s="184">
        <v>44438</v>
      </c>
      <c r="G5011" s="184"/>
      <c r="I5011" s="184"/>
      <c r="K5011" s="184"/>
      <c r="M5011" s="184"/>
      <c r="O5011" s="184"/>
      <c r="P5011" t="s">
        <v>7045</v>
      </c>
      <c r="Q5011" t="s">
        <v>7494</v>
      </c>
      <c r="R5011" s="184">
        <v>17467</v>
      </c>
      <c r="S5011">
        <v>76</v>
      </c>
      <c r="V5011" t="s">
        <v>2898</v>
      </c>
      <c r="X5011" t="s">
        <v>2510</v>
      </c>
      <c r="AF5011" t="s">
        <v>35933</v>
      </c>
      <c r="AG5011" t="s">
        <v>2898</v>
      </c>
      <c r="AI5011" t="s">
        <v>35934</v>
      </c>
      <c r="AM5011" t="s">
        <v>2889</v>
      </c>
      <c r="AN5011" t="s">
        <v>2484</v>
      </c>
      <c r="AO5011" t="s">
        <v>35935</v>
      </c>
      <c r="AP5011" t="s">
        <v>7024</v>
      </c>
      <c r="AT5011" s="184">
        <v>42656</v>
      </c>
      <c r="AU5011" t="s">
        <v>35936</v>
      </c>
      <c r="AV5011">
        <v>15</v>
      </c>
      <c r="AW5011" s="184">
        <v>45271</v>
      </c>
      <c r="AX5011" t="s">
        <v>18380</v>
      </c>
      <c r="AY5011">
        <v>25</v>
      </c>
      <c r="AZ5011" s="184">
        <v>45271</v>
      </c>
      <c r="BA5011" t="s">
        <v>18380</v>
      </c>
      <c r="BB5011">
        <v>25</v>
      </c>
      <c r="BC5011">
        <v>78</v>
      </c>
      <c r="BD5011">
        <v>260</v>
      </c>
      <c r="BE5011">
        <v>2017</v>
      </c>
      <c r="BF5011">
        <v>12</v>
      </c>
      <c r="BG5011">
        <v>2</v>
      </c>
      <c r="BH5011">
        <v>50</v>
      </c>
      <c r="BI5011">
        <v>7</v>
      </c>
      <c r="BJ5011">
        <v>9</v>
      </c>
      <c r="BK5011">
        <v>4</v>
      </c>
      <c r="BP5011" s="184"/>
    </row>
    <row r="5012" spans="1:68">
      <c r="A5012">
        <v>95331930</v>
      </c>
      <c r="B5012">
        <v>95331930</v>
      </c>
      <c r="C5012" t="s">
        <v>7018</v>
      </c>
      <c r="E5012" s="184"/>
      <c r="I5012" s="184"/>
      <c r="J5012" t="s">
        <v>595</v>
      </c>
      <c r="K5012" s="184">
        <v>45350</v>
      </c>
      <c r="M5012" s="184"/>
      <c r="O5012" s="184"/>
      <c r="P5012" t="s">
        <v>7045</v>
      </c>
      <c r="Q5012" t="s">
        <v>7020</v>
      </c>
      <c r="R5012" s="184">
        <v>14001</v>
      </c>
      <c r="S5012">
        <v>86</v>
      </c>
      <c r="V5012" t="s">
        <v>35937</v>
      </c>
      <c r="X5012" t="s">
        <v>3828</v>
      </c>
      <c r="AF5012" t="s">
        <v>35938</v>
      </c>
      <c r="AG5012" t="s">
        <v>35937</v>
      </c>
      <c r="AI5012" t="s">
        <v>35939</v>
      </c>
      <c r="AM5012" t="s">
        <v>3004</v>
      </c>
      <c r="AN5012" t="s">
        <v>2112</v>
      </c>
      <c r="AO5012" t="s">
        <v>35940</v>
      </c>
      <c r="AP5012" t="s">
        <v>7024</v>
      </c>
      <c r="AQ5012" t="s">
        <v>35941</v>
      </c>
      <c r="AT5012" s="184">
        <v>42669</v>
      </c>
      <c r="AU5012" t="s">
        <v>35942</v>
      </c>
      <c r="AV5012">
        <v>20</v>
      </c>
      <c r="AW5012" s="184">
        <v>44761</v>
      </c>
      <c r="AX5012" t="s">
        <v>35943</v>
      </c>
      <c r="AY5012">
        <v>15</v>
      </c>
      <c r="AZ5012" s="184">
        <v>43591</v>
      </c>
      <c r="BA5012" t="s">
        <v>35944</v>
      </c>
      <c r="BB5012">
        <v>20</v>
      </c>
      <c r="BC5012">
        <v>45</v>
      </c>
      <c r="BD5012">
        <v>90</v>
      </c>
      <c r="BE5012">
        <v>2017</v>
      </c>
      <c r="BF5012">
        <v>5</v>
      </c>
      <c r="BG5012">
        <v>1</v>
      </c>
      <c r="BH5012">
        <v>15</v>
      </c>
      <c r="BI5012">
        <v>4</v>
      </c>
      <c r="BJ5012">
        <v>9</v>
      </c>
      <c r="BK5012">
        <v>2</v>
      </c>
      <c r="BP5012" s="184"/>
    </row>
    <row r="5013" spans="1:68">
      <c r="A5013">
        <v>95334991</v>
      </c>
      <c r="B5013">
        <v>95334991</v>
      </c>
      <c r="C5013" t="s">
        <v>7018</v>
      </c>
      <c r="E5013" s="184"/>
      <c r="I5013" s="184"/>
      <c r="J5013" t="s">
        <v>595</v>
      </c>
      <c r="K5013" s="184">
        <v>43571</v>
      </c>
      <c r="M5013" s="184"/>
      <c r="O5013" s="184"/>
      <c r="P5013" t="s">
        <v>7084</v>
      </c>
      <c r="Q5013" t="s">
        <v>7383</v>
      </c>
      <c r="R5013" s="184">
        <v>11263</v>
      </c>
      <c r="S5013">
        <v>93</v>
      </c>
      <c r="U5013" t="s">
        <v>7076</v>
      </c>
      <c r="V5013" t="s">
        <v>3444</v>
      </c>
      <c r="X5013" t="s">
        <v>35945</v>
      </c>
      <c r="AF5013" t="s">
        <v>6681</v>
      </c>
      <c r="AG5013" t="s">
        <v>35946</v>
      </c>
      <c r="AI5013" t="s">
        <v>35947</v>
      </c>
      <c r="AM5013" t="s">
        <v>2773</v>
      </c>
      <c r="AN5013" t="s">
        <v>2144</v>
      </c>
      <c r="AO5013" t="s">
        <v>35948</v>
      </c>
      <c r="AP5013" t="s">
        <v>7024</v>
      </c>
      <c r="AT5013" s="184">
        <v>42671</v>
      </c>
      <c r="AU5013" t="s">
        <v>35949</v>
      </c>
      <c r="AV5013">
        <v>50</v>
      </c>
      <c r="AW5013" s="184">
        <v>44183</v>
      </c>
      <c r="AX5013" t="s">
        <v>7309</v>
      </c>
      <c r="AY5013">
        <v>21064.84</v>
      </c>
      <c r="AZ5013" s="184">
        <v>44183</v>
      </c>
      <c r="BA5013" t="s">
        <v>7309</v>
      </c>
      <c r="BB5013">
        <v>21064.84</v>
      </c>
      <c r="BC5013">
        <v>34</v>
      </c>
      <c r="BD5013">
        <v>21214.84</v>
      </c>
      <c r="BE5013">
        <v>2017</v>
      </c>
      <c r="BF5013">
        <v>3</v>
      </c>
      <c r="BI5013">
        <v>3</v>
      </c>
      <c r="BJ5013">
        <v>9</v>
      </c>
      <c r="BK5013">
        <v>2</v>
      </c>
      <c r="BO5013" t="s">
        <v>595</v>
      </c>
      <c r="BP5013" s="184"/>
    </row>
    <row r="5014" spans="1:68">
      <c r="A5014">
        <v>95345245</v>
      </c>
      <c r="B5014">
        <v>95345245</v>
      </c>
      <c r="C5014" t="s">
        <v>7018</v>
      </c>
      <c r="D5014" t="s">
        <v>595</v>
      </c>
      <c r="E5014" s="184">
        <v>45174</v>
      </c>
      <c r="G5014" s="184"/>
      <c r="I5014" s="184"/>
      <c r="K5014" s="184"/>
      <c r="M5014" s="184"/>
      <c r="O5014" s="184"/>
      <c r="P5014" t="s">
        <v>7019</v>
      </c>
      <c r="Q5014" t="s">
        <v>7160</v>
      </c>
      <c r="R5014" s="184">
        <v>19896</v>
      </c>
      <c r="S5014">
        <v>69</v>
      </c>
      <c r="V5014" t="s">
        <v>3103</v>
      </c>
      <c r="X5014" t="s">
        <v>35950</v>
      </c>
      <c r="AF5014" t="s">
        <v>35951</v>
      </c>
      <c r="AG5014" t="s">
        <v>3103</v>
      </c>
      <c r="AI5014" t="s">
        <v>35952</v>
      </c>
      <c r="AM5014" t="s">
        <v>35953</v>
      </c>
      <c r="AN5014" t="s">
        <v>2675</v>
      </c>
      <c r="AO5014" t="s">
        <v>35954</v>
      </c>
      <c r="AP5014" t="s">
        <v>7024</v>
      </c>
      <c r="AQ5014" t="s">
        <v>35955</v>
      </c>
      <c r="AT5014" s="184">
        <v>42674</v>
      </c>
      <c r="AU5014" t="s">
        <v>35956</v>
      </c>
      <c r="AV5014">
        <v>25</v>
      </c>
      <c r="AW5014" s="184">
        <v>45399</v>
      </c>
      <c r="AX5014" t="s">
        <v>16684</v>
      </c>
      <c r="AY5014">
        <v>25</v>
      </c>
      <c r="AZ5014" s="184">
        <v>45167</v>
      </c>
      <c r="BA5014" t="s">
        <v>29036</v>
      </c>
      <c r="BB5014">
        <v>60</v>
      </c>
      <c r="BC5014">
        <v>78</v>
      </c>
      <c r="BD5014">
        <v>350</v>
      </c>
      <c r="BE5014">
        <v>2017</v>
      </c>
      <c r="BF5014">
        <v>12</v>
      </c>
      <c r="BG5014">
        <v>5</v>
      </c>
      <c r="BH5014">
        <v>145</v>
      </c>
      <c r="BI5014">
        <v>7</v>
      </c>
      <c r="BJ5014">
        <v>9</v>
      </c>
      <c r="BK5014">
        <v>4</v>
      </c>
      <c r="BP5014" s="184"/>
    </row>
    <row r="5015" spans="1:68">
      <c r="A5015">
        <v>95356515</v>
      </c>
      <c r="B5015">
        <v>95356515</v>
      </c>
      <c r="C5015" t="s">
        <v>7018</v>
      </c>
      <c r="E5015" s="184"/>
      <c r="I5015" s="184"/>
      <c r="J5015" t="s">
        <v>595</v>
      </c>
      <c r="K5015" s="184">
        <v>44313</v>
      </c>
      <c r="M5015" s="184"/>
      <c r="O5015" s="184"/>
      <c r="P5015" t="s">
        <v>7045</v>
      </c>
      <c r="Q5015" t="s">
        <v>7160</v>
      </c>
      <c r="R5015" s="184">
        <v>18142</v>
      </c>
      <c r="S5015">
        <v>74</v>
      </c>
      <c r="V5015" t="s">
        <v>3293</v>
      </c>
      <c r="X5015" t="s">
        <v>3427</v>
      </c>
      <c r="AF5015" t="s">
        <v>35957</v>
      </c>
      <c r="AG5015" t="s">
        <v>3293</v>
      </c>
      <c r="AI5015" t="s">
        <v>35958</v>
      </c>
      <c r="AM5015" t="s">
        <v>24846</v>
      </c>
      <c r="AN5015" t="s">
        <v>2203</v>
      </c>
      <c r="AO5015" t="s">
        <v>35959</v>
      </c>
      <c r="AP5015" t="s">
        <v>7024</v>
      </c>
      <c r="AQ5015" t="s">
        <v>35960</v>
      </c>
      <c r="AT5015" s="184">
        <v>42675</v>
      </c>
      <c r="AU5015" t="s">
        <v>35942</v>
      </c>
      <c r="AV5015">
        <v>25</v>
      </c>
      <c r="AW5015" s="184">
        <v>45369</v>
      </c>
      <c r="AX5015" t="s">
        <v>13298</v>
      </c>
      <c r="AY5015">
        <v>35</v>
      </c>
      <c r="AZ5015" s="184">
        <v>43950</v>
      </c>
      <c r="BA5015" t="s">
        <v>35961</v>
      </c>
      <c r="BB5015">
        <v>40</v>
      </c>
      <c r="BC5015">
        <v>100</v>
      </c>
      <c r="BD5015">
        <v>440</v>
      </c>
      <c r="BE5015">
        <v>2017</v>
      </c>
      <c r="BF5015">
        <v>14</v>
      </c>
      <c r="BG5015">
        <v>3</v>
      </c>
      <c r="BH5015">
        <v>105</v>
      </c>
      <c r="BI5015">
        <v>9</v>
      </c>
      <c r="BJ5015">
        <v>9</v>
      </c>
      <c r="BK5015">
        <v>9</v>
      </c>
      <c r="BP5015" s="184"/>
    </row>
    <row r="5016" spans="1:68">
      <c r="A5016">
        <v>95358446</v>
      </c>
      <c r="B5016">
        <v>95358446</v>
      </c>
      <c r="C5016" t="s">
        <v>7018</v>
      </c>
      <c r="D5016" t="s">
        <v>595</v>
      </c>
      <c r="E5016" s="184">
        <v>44484</v>
      </c>
      <c r="I5016" s="184"/>
      <c r="K5016" s="184"/>
      <c r="M5016" s="184"/>
      <c r="O5016" s="184"/>
      <c r="P5016" t="s">
        <v>7045</v>
      </c>
      <c r="Q5016" t="s">
        <v>7374</v>
      </c>
      <c r="R5016" s="184">
        <v>17046</v>
      </c>
      <c r="S5016">
        <v>77</v>
      </c>
      <c r="U5016" t="s">
        <v>7031</v>
      </c>
      <c r="V5016" t="s">
        <v>2979</v>
      </c>
      <c r="X5016" t="s">
        <v>35962</v>
      </c>
      <c r="AF5016" t="s">
        <v>35963</v>
      </c>
      <c r="AG5016" t="s">
        <v>2979</v>
      </c>
      <c r="AI5016" t="s">
        <v>35964</v>
      </c>
      <c r="AM5016" t="s">
        <v>4864</v>
      </c>
      <c r="AN5016" t="s">
        <v>2081</v>
      </c>
      <c r="AO5016" t="s">
        <v>35965</v>
      </c>
      <c r="AP5016" t="s">
        <v>7024</v>
      </c>
      <c r="AQ5016" t="s">
        <v>35966</v>
      </c>
      <c r="AT5016" s="184">
        <v>41114</v>
      </c>
      <c r="AU5016" t="s">
        <v>35967</v>
      </c>
      <c r="AV5016">
        <v>25</v>
      </c>
      <c r="AW5016" s="184">
        <v>44949</v>
      </c>
      <c r="AX5016" t="s">
        <v>11577</v>
      </c>
      <c r="AY5016">
        <v>25</v>
      </c>
      <c r="AZ5016" s="184">
        <v>42216</v>
      </c>
      <c r="BA5016" t="s">
        <v>35968</v>
      </c>
      <c r="BB5016">
        <v>35</v>
      </c>
      <c r="BC5016">
        <v>62</v>
      </c>
      <c r="BD5016">
        <v>340</v>
      </c>
      <c r="BE5016">
        <v>2013</v>
      </c>
      <c r="BF5016">
        <v>12</v>
      </c>
      <c r="BG5016">
        <v>2</v>
      </c>
      <c r="BH5016">
        <v>50</v>
      </c>
      <c r="BI5016">
        <v>8</v>
      </c>
      <c r="BJ5016">
        <v>13</v>
      </c>
      <c r="BK5016">
        <v>5</v>
      </c>
      <c r="BN5016" t="s">
        <v>595</v>
      </c>
      <c r="BP5016" s="184"/>
    </row>
    <row r="5017" spans="1:68">
      <c r="A5017">
        <v>95366142</v>
      </c>
      <c r="B5017">
        <v>95366142</v>
      </c>
      <c r="C5017" t="s">
        <v>7018</v>
      </c>
      <c r="E5017" s="184"/>
      <c r="G5017" s="184"/>
      <c r="H5017" t="s">
        <v>595</v>
      </c>
      <c r="I5017" s="184">
        <v>44041</v>
      </c>
      <c r="K5017" s="184"/>
      <c r="M5017" s="184"/>
      <c r="O5017" s="184"/>
      <c r="P5017" t="s">
        <v>7045</v>
      </c>
      <c r="Q5017" t="s">
        <v>7454</v>
      </c>
      <c r="R5017" s="184">
        <v>9835</v>
      </c>
      <c r="S5017">
        <v>97</v>
      </c>
      <c r="V5017" t="s">
        <v>3355</v>
      </c>
      <c r="W5017" t="s">
        <v>7560</v>
      </c>
      <c r="X5017" t="s">
        <v>35969</v>
      </c>
      <c r="AF5017" t="s">
        <v>35970</v>
      </c>
      <c r="AG5017" t="s">
        <v>3355</v>
      </c>
      <c r="AI5017" t="s">
        <v>35971</v>
      </c>
      <c r="AM5017" t="s">
        <v>3855</v>
      </c>
      <c r="AN5017" t="s">
        <v>2055</v>
      </c>
      <c r="AO5017" t="s">
        <v>35972</v>
      </c>
      <c r="AP5017" t="s">
        <v>7024</v>
      </c>
      <c r="AT5017" s="184">
        <v>42676</v>
      </c>
      <c r="AU5017" t="s">
        <v>35973</v>
      </c>
      <c r="AV5017">
        <v>15</v>
      </c>
      <c r="AW5017" s="184">
        <v>45408</v>
      </c>
      <c r="AX5017" t="s">
        <v>8483</v>
      </c>
      <c r="AY5017">
        <v>10</v>
      </c>
      <c r="AZ5017" s="184">
        <v>43440</v>
      </c>
      <c r="BA5017" t="s">
        <v>35974</v>
      </c>
      <c r="BB5017">
        <v>40</v>
      </c>
      <c r="BC5017">
        <v>89</v>
      </c>
      <c r="BD5017">
        <v>620</v>
      </c>
      <c r="BE5017">
        <v>2017</v>
      </c>
      <c r="BF5017">
        <v>57</v>
      </c>
      <c r="BG5017">
        <v>23</v>
      </c>
      <c r="BH5017">
        <v>230</v>
      </c>
      <c r="BI5017">
        <v>8</v>
      </c>
      <c r="BJ5017">
        <v>9</v>
      </c>
      <c r="BK5017">
        <v>7</v>
      </c>
      <c r="BP5017" s="184"/>
    </row>
    <row r="5018" spans="1:68">
      <c r="A5018">
        <v>95396875</v>
      </c>
      <c r="B5018">
        <v>95396875</v>
      </c>
      <c r="C5018" t="s">
        <v>7018</v>
      </c>
      <c r="D5018" t="s">
        <v>595</v>
      </c>
      <c r="E5018" s="184">
        <v>45112</v>
      </c>
      <c r="G5018" s="184"/>
      <c r="I5018" s="184"/>
      <c r="K5018" s="184"/>
      <c r="M5018" s="184"/>
      <c r="O5018" s="184"/>
      <c r="P5018" t="s">
        <v>7045</v>
      </c>
      <c r="Q5018" t="s">
        <v>7383</v>
      </c>
      <c r="R5018" s="184">
        <v>18415</v>
      </c>
      <c r="S5018">
        <v>73</v>
      </c>
      <c r="V5018" t="s">
        <v>3326</v>
      </c>
      <c r="X5018" t="s">
        <v>32437</v>
      </c>
      <c r="AF5018" t="s">
        <v>35975</v>
      </c>
      <c r="AG5018" t="s">
        <v>3326</v>
      </c>
      <c r="AI5018" t="s">
        <v>35976</v>
      </c>
      <c r="AM5018" t="s">
        <v>27678</v>
      </c>
      <c r="AN5018" t="s">
        <v>2185</v>
      </c>
      <c r="AO5018" t="s">
        <v>35977</v>
      </c>
      <c r="AP5018" t="s">
        <v>7024</v>
      </c>
      <c r="AQ5018" t="s">
        <v>35978</v>
      </c>
      <c r="AR5018" t="s">
        <v>35979</v>
      </c>
      <c r="AT5018" s="184">
        <v>42678</v>
      </c>
      <c r="AU5018" t="s">
        <v>35980</v>
      </c>
      <c r="AV5018">
        <v>25</v>
      </c>
      <c r="AW5018" s="184">
        <v>44939</v>
      </c>
      <c r="AX5018" t="s">
        <v>35981</v>
      </c>
      <c r="AY5018">
        <v>30</v>
      </c>
      <c r="AZ5018" s="184">
        <v>44939</v>
      </c>
      <c r="BA5018" t="s">
        <v>35981</v>
      </c>
      <c r="BB5018">
        <v>30</v>
      </c>
      <c r="BC5018">
        <v>67</v>
      </c>
      <c r="BD5018">
        <v>200</v>
      </c>
      <c r="BE5018">
        <v>2017</v>
      </c>
      <c r="BF5018">
        <v>8</v>
      </c>
      <c r="BG5018">
        <v>2</v>
      </c>
      <c r="BH5018">
        <v>60</v>
      </c>
      <c r="BI5018">
        <v>6</v>
      </c>
      <c r="BJ5018">
        <v>9</v>
      </c>
      <c r="BK5018">
        <v>3</v>
      </c>
      <c r="BP5018" s="184"/>
    </row>
    <row r="5019" spans="1:68">
      <c r="A5019">
        <v>95400412</v>
      </c>
      <c r="B5019">
        <v>95400412</v>
      </c>
      <c r="C5019" t="s">
        <v>7018</v>
      </c>
      <c r="D5019" t="s">
        <v>595</v>
      </c>
      <c r="E5019" s="184">
        <v>45148</v>
      </c>
      <c r="I5019" s="184"/>
      <c r="K5019" s="184"/>
      <c r="M5019" s="184"/>
      <c r="O5019" s="184"/>
      <c r="P5019" t="s">
        <v>7045</v>
      </c>
      <c r="Q5019" t="s">
        <v>7194</v>
      </c>
      <c r="R5019" s="184">
        <v>19360</v>
      </c>
      <c r="S5019">
        <v>71</v>
      </c>
      <c r="V5019" t="s">
        <v>2651</v>
      </c>
      <c r="W5019" t="s">
        <v>2316</v>
      </c>
      <c r="X5019" t="s">
        <v>35982</v>
      </c>
      <c r="AF5019" t="s">
        <v>35983</v>
      </c>
      <c r="AG5019" t="s">
        <v>2651</v>
      </c>
      <c r="AI5019" t="s">
        <v>35984</v>
      </c>
      <c r="AM5019" t="s">
        <v>35985</v>
      </c>
      <c r="AN5019" t="s">
        <v>4512</v>
      </c>
      <c r="AO5019" t="s">
        <v>35986</v>
      </c>
      <c r="AP5019" t="s">
        <v>7024</v>
      </c>
      <c r="AQ5019" t="s">
        <v>35987</v>
      </c>
      <c r="AT5019" s="184">
        <v>42681</v>
      </c>
      <c r="AU5019" t="s">
        <v>35988</v>
      </c>
      <c r="AV5019">
        <v>15</v>
      </c>
      <c r="AW5019" s="184">
        <v>44973</v>
      </c>
      <c r="AX5019" t="s">
        <v>20569</v>
      </c>
      <c r="AY5019">
        <v>20</v>
      </c>
      <c r="AZ5019" s="184">
        <v>44221</v>
      </c>
      <c r="BA5019" t="s">
        <v>13423</v>
      </c>
      <c r="BB5019">
        <v>25</v>
      </c>
      <c r="BC5019">
        <v>78</v>
      </c>
      <c r="BD5019">
        <v>185</v>
      </c>
      <c r="BE5019">
        <v>2017</v>
      </c>
      <c r="BF5019">
        <v>10</v>
      </c>
      <c r="BG5019">
        <v>1</v>
      </c>
      <c r="BH5019">
        <v>20</v>
      </c>
      <c r="BI5019">
        <v>7</v>
      </c>
      <c r="BJ5019">
        <v>9</v>
      </c>
      <c r="BK5019">
        <v>6</v>
      </c>
      <c r="BP5019" s="184"/>
    </row>
    <row r="5020" spans="1:68">
      <c r="A5020">
        <v>95407375</v>
      </c>
      <c r="B5020">
        <v>95407375</v>
      </c>
      <c r="C5020" t="s">
        <v>7018</v>
      </c>
      <c r="D5020" t="s">
        <v>595</v>
      </c>
      <c r="E5020" s="184">
        <v>44073</v>
      </c>
      <c r="G5020" s="184"/>
      <c r="H5020" t="s">
        <v>595</v>
      </c>
      <c r="I5020" s="184">
        <v>44073</v>
      </c>
      <c r="K5020" s="184"/>
      <c r="M5020" s="184"/>
      <c r="O5020" s="184"/>
      <c r="P5020" t="s">
        <v>7045</v>
      </c>
      <c r="Q5020" t="s">
        <v>7030</v>
      </c>
      <c r="R5020" s="184">
        <v>21641</v>
      </c>
      <c r="S5020">
        <v>65</v>
      </c>
      <c r="V5020" t="s">
        <v>3692</v>
      </c>
      <c r="X5020" t="s">
        <v>2898</v>
      </c>
      <c r="AF5020" t="s">
        <v>35989</v>
      </c>
      <c r="AG5020" t="s">
        <v>3692</v>
      </c>
      <c r="AI5020" t="s">
        <v>35990</v>
      </c>
      <c r="AM5020" t="s">
        <v>4632</v>
      </c>
      <c r="AN5020" t="s">
        <v>2094</v>
      </c>
      <c r="AO5020" t="s">
        <v>35991</v>
      </c>
      <c r="AP5020" t="s">
        <v>7024</v>
      </c>
      <c r="AQ5020" t="s">
        <v>35992</v>
      </c>
      <c r="AR5020" t="s">
        <v>35993</v>
      </c>
      <c r="AT5020" s="184">
        <v>42685</v>
      </c>
      <c r="AU5020" t="s">
        <v>35602</v>
      </c>
      <c r="AV5020">
        <v>19.97</v>
      </c>
      <c r="AW5020" s="184">
        <v>45401</v>
      </c>
      <c r="AX5020" t="s">
        <v>7429</v>
      </c>
      <c r="AY5020">
        <v>10</v>
      </c>
      <c r="AZ5020" s="184">
        <v>43122</v>
      </c>
      <c r="BA5020" t="s">
        <v>8586</v>
      </c>
      <c r="BB5020">
        <v>60</v>
      </c>
      <c r="BC5020">
        <v>89</v>
      </c>
      <c r="BD5020">
        <v>809.97</v>
      </c>
      <c r="BE5020">
        <v>2017</v>
      </c>
      <c r="BF5020">
        <v>75</v>
      </c>
      <c r="BG5020">
        <v>24</v>
      </c>
      <c r="BH5020">
        <v>240</v>
      </c>
      <c r="BI5020">
        <v>8</v>
      </c>
      <c r="BJ5020">
        <v>9</v>
      </c>
      <c r="BK5020">
        <v>7</v>
      </c>
      <c r="BP5020" s="184"/>
    </row>
    <row r="5021" spans="1:68">
      <c r="A5021">
        <v>95447041</v>
      </c>
      <c r="B5021">
        <v>95447041</v>
      </c>
      <c r="C5021" t="s">
        <v>7018</v>
      </c>
      <c r="D5021" t="s">
        <v>595</v>
      </c>
      <c r="E5021" s="184">
        <v>45153</v>
      </c>
      <c r="I5021" s="184"/>
      <c r="K5021" s="184"/>
      <c r="M5021" s="184"/>
      <c r="O5021" s="184"/>
      <c r="P5021" t="s">
        <v>7045</v>
      </c>
      <c r="Q5021" t="s">
        <v>7262</v>
      </c>
      <c r="R5021" s="184">
        <v>16542</v>
      </c>
      <c r="S5021">
        <v>79</v>
      </c>
      <c r="V5021" t="s">
        <v>2832</v>
      </c>
      <c r="X5021" t="s">
        <v>22611</v>
      </c>
      <c r="AF5021" t="s">
        <v>35994</v>
      </c>
      <c r="AG5021" t="s">
        <v>2832</v>
      </c>
      <c r="AI5021" t="s">
        <v>35995</v>
      </c>
      <c r="AM5021" t="s">
        <v>35996</v>
      </c>
      <c r="AN5021" t="s">
        <v>2266</v>
      </c>
      <c r="AO5021" t="s">
        <v>35997</v>
      </c>
      <c r="AP5021" t="s">
        <v>7024</v>
      </c>
      <c r="AQ5021" t="s">
        <v>35998</v>
      </c>
      <c r="AR5021" t="s">
        <v>35999</v>
      </c>
      <c r="AT5021" s="184">
        <v>42689</v>
      </c>
      <c r="AU5021" t="s">
        <v>36000</v>
      </c>
      <c r="AV5021">
        <v>25</v>
      </c>
      <c r="AW5021" s="184">
        <v>45393</v>
      </c>
      <c r="AX5021" t="s">
        <v>36001</v>
      </c>
      <c r="AY5021">
        <v>25</v>
      </c>
      <c r="AZ5021" s="184">
        <v>45393</v>
      </c>
      <c r="BA5021" t="s">
        <v>36001</v>
      </c>
      <c r="BB5021">
        <v>25</v>
      </c>
      <c r="BC5021">
        <v>78</v>
      </c>
      <c r="BD5021">
        <v>300</v>
      </c>
      <c r="BE5021">
        <v>2017</v>
      </c>
      <c r="BF5021">
        <v>12</v>
      </c>
      <c r="BG5021">
        <v>5</v>
      </c>
      <c r="BH5021">
        <v>125</v>
      </c>
      <c r="BI5021">
        <v>7</v>
      </c>
      <c r="BJ5021">
        <v>9</v>
      </c>
      <c r="BK5021">
        <v>4</v>
      </c>
      <c r="BN5021" t="s">
        <v>595</v>
      </c>
      <c r="BP5021" s="184"/>
    </row>
    <row r="5022" spans="1:68">
      <c r="A5022">
        <v>95480810</v>
      </c>
      <c r="B5022">
        <v>95480810</v>
      </c>
      <c r="C5022" t="s">
        <v>7018</v>
      </c>
      <c r="D5022" t="s">
        <v>595</v>
      </c>
      <c r="E5022" s="184">
        <v>44455</v>
      </c>
      <c r="G5022" s="184"/>
      <c r="I5022" s="184"/>
      <c r="K5022" s="184"/>
      <c r="M5022" s="184"/>
      <c r="O5022" s="184"/>
      <c r="P5022" t="s">
        <v>7045</v>
      </c>
      <c r="Q5022" t="s">
        <v>7383</v>
      </c>
      <c r="R5022" s="184">
        <v>21610</v>
      </c>
      <c r="S5022">
        <v>65</v>
      </c>
      <c r="V5022" t="s">
        <v>11532</v>
      </c>
      <c r="X5022" t="s">
        <v>8762</v>
      </c>
      <c r="AF5022" t="s">
        <v>36002</v>
      </c>
      <c r="AG5022" t="s">
        <v>11532</v>
      </c>
      <c r="AI5022" t="s">
        <v>36003</v>
      </c>
      <c r="AM5022" t="s">
        <v>4650</v>
      </c>
      <c r="AN5022" t="s">
        <v>2313</v>
      </c>
      <c r="AO5022" t="s">
        <v>36004</v>
      </c>
      <c r="AP5022" t="s">
        <v>7024</v>
      </c>
      <c r="AQ5022" t="s">
        <v>36005</v>
      </c>
      <c r="AT5022" s="184">
        <v>42692</v>
      </c>
      <c r="AU5022" t="s">
        <v>36006</v>
      </c>
      <c r="AV5022">
        <v>25</v>
      </c>
      <c r="AW5022" s="184">
        <v>45376</v>
      </c>
      <c r="AX5022" t="s">
        <v>10707</v>
      </c>
      <c r="AY5022">
        <v>50</v>
      </c>
      <c r="AZ5022" s="184">
        <v>43035</v>
      </c>
      <c r="BA5022" t="s">
        <v>36007</v>
      </c>
      <c r="BB5022">
        <v>60</v>
      </c>
      <c r="BC5022">
        <v>100</v>
      </c>
      <c r="BD5022">
        <v>735</v>
      </c>
      <c r="BE5022">
        <v>2017</v>
      </c>
      <c r="BF5022">
        <v>15</v>
      </c>
      <c r="BG5022">
        <v>5</v>
      </c>
      <c r="BH5022">
        <v>250</v>
      </c>
      <c r="BI5022">
        <v>9</v>
      </c>
      <c r="BJ5022">
        <v>9</v>
      </c>
      <c r="BK5022">
        <v>9</v>
      </c>
      <c r="BP5022" s="184"/>
    </row>
    <row r="5023" spans="1:68">
      <c r="A5023">
        <v>95526158</v>
      </c>
      <c r="B5023">
        <v>95526158</v>
      </c>
      <c r="C5023" t="s">
        <v>7018</v>
      </c>
      <c r="E5023" s="184"/>
      <c r="G5023" s="184"/>
      <c r="H5023" t="s">
        <v>595</v>
      </c>
      <c r="I5023" s="184">
        <v>44167</v>
      </c>
      <c r="K5023" s="184"/>
      <c r="M5023" s="184"/>
      <c r="O5023" s="184"/>
      <c r="P5023" t="s">
        <v>7045</v>
      </c>
      <c r="Q5023" t="s">
        <v>7030</v>
      </c>
      <c r="R5023" s="184">
        <v>13119</v>
      </c>
      <c r="S5023">
        <v>88</v>
      </c>
      <c r="V5023" t="s">
        <v>2871</v>
      </c>
      <c r="X5023" t="s">
        <v>4177</v>
      </c>
      <c r="AF5023" t="s">
        <v>36008</v>
      </c>
      <c r="AG5023" t="s">
        <v>2871</v>
      </c>
      <c r="AI5023" t="s">
        <v>36009</v>
      </c>
      <c r="AM5023" t="s">
        <v>4183</v>
      </c>
      <c r="AN5023" t="s">
        <v>2089</v>
      </c>
      <c r="AO5023" t="s">
        <v>36010</v>
      </c>
      <c r="AP5023" t="s">
        <v>7024</v>
      </c>
      <c r="AQ5023" t="s">
        <v>36011</v>
      </c>
      <c r="AT5023" s="184">
        <v>42696</v>
      </c>
      <c r="AU5023" t="s">
        <v>36012</v>
      </c>
      <c r="AV5023">
        <v>15</v>
      </c>
      <c r="AW5023" s="184">
        <v>44470</v>
      </c>
      <c r="AX5023" t="s">
        <v>36013</v>
      </c>
      <c r="AY5023">
        <v>15</v>
      </c>
      <c r="AZ5023" s="184">
        <v>43403</v>
      </c>
      <c r="BA5023" t="s">
        <v>36014</v>
      </c>
      <c r="BB5023">
        <v>60</v>
      </c>
      <c r="BC5023">
        <v>67</v>
      </c>
      <c r="BD5023">
        <v>186</v>
      </c>
      <c r="BE5023">
        <v>2017</v>
      </c>
      <c r="BF5023">
        <v>12</v>
      </c>
      <c r="BI5023">
        <v>6</v>
      </c>
      <c r="BJ5023">
        <v>9</v>
      </c>
      <c r="BK5023">
        <v>6</v>
      </c>
      <c r="BP5023" s="184"/>
    </row>
    <row r="5024" spans="1:68">
      <c r="A5024">
        <v>95531133</v>
      </c>
      <c r="B5024">
        <v>95531133</v>
      </c>
      <c r="C5024" t="s">
        <v>7018</v>
      </c>
      <c r="E5024" s="184"/>
      <c r="G5024" s="184"/>
      <c r="I5024" s="184"/>
      <c r="K5024" s="184"/>
      <c r="L5024" t="s">
        <v>595</v>
      </c>
      <c r="M5024" s="184">
        <v>43923</v>
      </c>
      <c r="O5024" s="184"/>
      <c r="P5024" t="s">
        <v>7029</v>
      </c>
      <c r="Q5024" t="s">
        <v>7262</v>
      </c>
      <c r="R5024" s="184">
        <v>9082</v>
      </c>
      <c r="S5024">
        <v>99</v>
      </c>
      <c r="V5024" t="s">
        <v>2697</v>
      </c>
      <c r="X5024" t="s">
        <v>36015</v>
      </c>
      <c r="Z5024">
        <v>100166337</v>
      </c>
      <c r="AB5024" t="s">
        <v>36016</v>
      </c>
      <c r="AD5024" t="s">
        <v>36015</v>
      </c>
      <c r="AF5024" t="s">
        <v>36017</v>
      </c>
      <c r="AG5024" t="s">
        <v>36018</v>
      </c>
      <c r="AI5024" t="s">
        <v>36019</v>
      </c>
      <c r="AM5024" t="s">
        <v>5764</v>
      </c>
      <c r="AN5024" t="s">
        <v>65</v>
      </c>
      <c r="AO5024" t="s">
        <v>36020</v>
      </c>
      <c r="AP5024" t="s">
        <v>7024</v>
      </c>
      <c r="AQ5024" t="s">
        <v>36021</v>
      </c>
      <c r="AR5024" t="s">
        <v>36022</v>
      </c>
      <c r="AT5024" s="184">
        <v>42696</v>
      </c>
      <c r="AU5024" t="s">
        <v>36023</v>
      </c>
      <c r="AV5024">
        <v>50</v>
      </c>
      <c r="AW5024" s="184">
        <v>45420</v>
      </c>
      <c r="AX5024" t="s">
        <v>7302</v>
      </c>
      <c r="AY5024">
        <v>1000</v>
      </c>
      <c r="AZ5024" s="184">
        <v>45420</v>
      </c>
      <c r="BA5024" t="s">
        <v>7302</v>
      </c>
      <c r="BB5024">
        <v>1000</v>
      </c>
      <c r="BC5024">
        <v>89</v>
      </c>
      <c r="BD5024">
        <v>5325</v>
      </c>
      <c r="BE5024">
        <v>2017</v>
      </c>
      <c r="BF5024">
        <v>11</v>
      </c>
      <c r="BG5024">
        <v>2</v>
      </c>
      <c r="BH5024">
        <v>2000</v>
      </c>
      <c r="BI5024">
        <v>8</v>
      </c>
      <c r="BJ5024">
        <v>9</v>
      </c>
      <c r="BK5024">
        <v>6</v>
      </c>
      <c r="BP5024" s="184"/>
    </row>
    <row r="5025" spans="1:68">
      <c r="A5025">
        <v>95540639</v>
      </c>
      <c r="B5025">
        <v>95540639</v>
      </c>
      <c r="C5025" t="s">
        <v>7018</v>
      </c>
      <c r="E5025" s="184"/>
      <c r="I5025" s="184"/>
      <c r="J5025" t="s">
        <v>595</v>
      </c>
      <c r="K5025" s="184">
        <v>43829</v>
      </c>
      <c r="M5025" s="184"/>
      <c r="O5025" s="184"/>
      <c r="P5025" t="s">
        <v>7045</v>
      </c>
      <c r="Q5025" t="s">
        <v>7374</v>
      </c>
      <c r="R5025" s="184">
        <v>21436</v>
      </c>
      <c r="S5025">
        <v>65</v>
      </c>
      <c r="U5025" t="s">
        <v>7032</v>
      </c>
      <c r="V5025" t="s">
        <v>3317</v>
      </c>
      <c r="W5025" t="s">
        <v>36024</v>
      </c>
      <c r="X5025" t="s">
        <v>34603</v>
      </c>
      <c r="AF5025" t="s">
        <v>6665</v>
      </c>
      <c r="AG5025" t="s">
        <v>3317</v>
      </c>
      <c r="AI5025" t="s">
        <v>36025</v>
      </c>
      <c r="AM5025" t="s">
        <v>4297</v>
      </c>
      <c r="AN5025" t="s">
        <v>2526</v>
      </c>
      <c r="AO5025" t="s">
        <v>36026</v>
      </c>
      <c r="AP5025" t="s">
        <v>7024</v>
      </c>
      <c r="AQ5025" t="s">
        <v>36027</v>
      </c>
      <c r="AT5025" s="184">
        <v>42882</v>
      </c>
      <c r="AU5025" t="s">
        <v>36028</v>
      </c>
      <c r="AV5025">
        <v>25</v>
      </c>
      <c r="AW5025" s="184">
        <v>45398</v>
      </c>
      <c r="AX5025" t="s">
        <v>7429</v>
      </c>
      <c r="AY5025">
        <v>5</v>
      </c>
      <c r="AZ5025" s="184">
        <v>44923</v>
      </c>
      <c r="BA5025" t="s">
        <v>36029</v>
      </c>
      <c r="BB5025">
        <v>150</v>
      </c>
      <c r="BC5025">
        <v>100</v>
      </c>
      <c r="BD5025">
        <v>745</v>
      </c>
      <c r="BE5025">
        <v>2017</v>
      </c>
      <c r="BF5025">
        <v>82</v>
      </c>
      <c r="BG5025">
        <v>25</v>
      </c>
      <c r="BH5025">
        <v>270</v>
      </c>
      <c r="BI5025">
        <v>8</v>
      </c>
      <c r="BJ5025">
        <v>8</v>
      </c>
      <c r="BK5025">
        <v>8</v>
      </c>
      <c r="BP5025" s="184"/>
    </row>
    <row r="5026" spans="1:68">
      <c r="A5026">
        <v>95541587</v>
      </c>
      <c r="B5026">
        <v>95541587</v>
      </c>
      <c r="C5026" t="s">
        <v>7018</v>
      </c>
      <c r="D5026" t="s">
        <v>595</v>
      </c>
      <c r="E5026" s="184">
        <v>44073</v>
      </c>
      <c r="I5026" s="184"/>
      <c r="K5026" s="184"/>
      <c r="M5026" s="184"/>
      <c r="O5026" s="184"/>
      <c r="P5026" t="s">
        <v>7045</v>
      </c>
      <c r="Q5026" t="s">
        <v>7030</v>
      </c>
      <c r="R5026" s="184">
        <v>19138</v>
      </c>
      <c r="S5026">
        <v>71</v>
      </c>
      <c r="U5026" t="s">
        <v>7031</v>
      </c>
      <c r="V5026" t="s">
        <v>2821</v>
      </c>
      <c r="X5026" t="s">
        <v>36030</v>
      </c>
      <c r="AF5026" t="s">
        <v>36031</v>
      </c>
      <c r="AG5026" t="s">
        <v>2821</v>
      </c>
      <c r="AI5026" t="s">
        <v>36032</v>
      </c>
      <c r="AM5026" t="s">
        <v>3308</v>
      </c>
      <c r="AN5026" t="s">
        <v>2094</v>
      </c>
      <c r="AO5026" t="s">
        <v>36033</v>
      </c>
      <c r="AP5026" t="s">
        <v>7024</v>
      </c>
      <c r="AQ5026" t="s">
        <v>36034</v>
      </c>
      <c r="AR5026" t="s">
        <v>36035</v>
      </c>
      <c r="AT5026" s="184">
        <v>42703</v>
      </c>
      <c r="AU5026" t="s">
        <v>18387</v>
      </c>
      <c r="AV5026">
        <v>75</v>
      </c>
      <c r="AW5026" s="184">
        <v>45408</v>
      </c>
      <c r="AX5026" t="s">
        <v>8483</v>
      </c>
      <c r="AY5026">
        <v>10</v>
      </c>
      <c r="AZ5026" s="184">
        <v>43432</v>
      </c>
      <c r="BA5026" t="s">
        <v>36036</v>
      </c>
      <c r="BB5026">
        <v>100</v>
      </c>
      <c r="BC5026">
        <v>100</v>
      </c>
      <c r="BD5026">
        <v>895</v>
      </c>
      <c r="BE5026">
        <v>2017</v>
      </c>
      <c r="BF5026">
        <v>64</v>
      </c>
      <c r="BG5026">
        <v>25</v>
      </c>
      <c r="BH5026">
        <v>250</v>
      </c>
      <c r="BI5026">
        <v>9</v>
      </c>
      <c r="BJ5026">
        <v>9</v>
      </c>
      <c r="BK5026">
        <v>9</v>
      </c>
      <c r="BN5026" t="s">
        <v>595</v>
      </c>
      <c r="BP5026" s="184"/>
    </row>
    <row r="5027" spans="1:68">
      <c r="A5027">
        <v>95561056</v>
      </c>
      <c r="B5027">
        <v>95561056</v>
      </c>
      <c r="C5027" t="s">
        <v>7018</v>
      </c>
      <c r="E5027" s="184"/>
      <c r="G5027" s="184"/>
      <c r="I5027" s="184"/>
      <c r="K5027" s="184"/>
      <c r="M5027" s="184"/>
      <c r="N5027" t="s">
        <v>595</v>
      </c>
      <c r="O5027" s="184">
        <v>43221</v>
      </c>
      <c r="P5027" t="s">
        <v>7045</v>
      </c>
      <c r="Q5027" t="s">
        <v>7194</v>
      </c>
      <c r="R5027" s="184">
        <v>14117</v>
      </c>
      <c r="S5027">
        <v>85</v>
      </c>
      <c r="V5027" t="s">
        <v>3665</v>
      </c>
      <c r="X5027" t="s">
        <v>5676</v>
      </c>
      <c r="AF5027" t="s">
        <v>36037</v>
      </c>
      <c r="AG5027" t="s">
        <v>3665</v>
      </c>
      <c r="AI5027" t="s">
        <v>36038</v>
      </c>
      <c r="AM5027" t="s">
        <v>4359</v>
      </c>
      <c r="AN5027" t="s">
        <v>2046</v>
      </c>
      <c r="AO5027" t="s">
        <v>36039</v>
      </c>
      <c r="AP5027" t="s">
        <v>7024</v>
      </c>
      <c r="AT5027" s="184">
        <v>42703</v>
      </c>
      <c r="AU5027" t="s">
        <v>36040</v>
      </c>
      <c r="AV5027">
        <v>15</v>
      </c>
      <c r="AW5027" s="184">
        <v>44315</v>
      </c>
      <c r="AX5027" t="s">
        <v>36041</v>
      </c>
      <c r="AY5027">
        <v>200</v>
      </c>
      <c r="AZ5027" s="184">
        <v>43221</v>
      </c>
      <c r="BA5027" t="s">
        <v>8929</v>
      </c>
      <c r="BB5027">
        <v>25000</v>
      </c>
      <c r="BC5027">
        <v>67</v>
      </c>
      <c r="BD5027">
        <v>25490</v>
      </c>
      <c r="BE5027">
        <v>2017</v>
      </c>
      <c r="BF5027">
        <v>7</v>
      </c>
      <c r="BI5027">
        <v>6</v>
      </c>
      <c r="BJ5027">
        <v>9</v>
      </c>
      <c r="BK5027">
        <v>6</v>
      </c>
      <c r="BP5027" s="184"/>
    </row>
    <row r="5028" spans="1:68">
      <c r="A5028">
        <v>24012163</v>
      </c>
      <c r="B5028">
        <v>95570933</v>
      </c>
      <c r="C5028" t="s">
        <v>7018</v>
      </c>
      <c r="D5028" t="s">
        <v>595</v>
      </c>
      <c r="E5028" s="184">
        <v>45140</v>
      </c>
      <c r="G5028" s="184"/>
      <c r="I5028" s="184"/>
      <c r="K5028" s="184"/>
      <c r="M5028" s="184"/>
      <c r="O5028" s="184"/>
      <c r="P5028" t="s">
        <v>7045</v>
      </c>
      <c r="Q5028" t="s">
        <v>7383</v>
      </c>
      <c r="R5028" s="184">
        <v>15097</v>
      </c>
      <c r="S5028">
        <v>83</v>
      </c>
      <c r="V5028" t="s">
        <v>3506</v>
      </c>
      <c r="X5028" t="s">
        <v>36042</v>
      </c>
      <c r="Z5028">
        <v>95570933</v>
      </c>
      <c r="AB5028" t="s">
        <v>36043</v>
      </c>
      <c r="AC5028" t="s">
        <v>7407</v>
      </c>
      <c r="AD5028" t="s">
        <v>36044</v>
      </c>
      <c r="AF5028" t="s">
        <v>36045</v>
      </c>
      <c r="AG5028" t="s">
        <v>36046</v>
      </c>
      <c r="AI5028" t="s">
        <v>36047</v>
      </c>
      <c r="AM5028" t="s">
        <v>36048</v>
      </c>
      <c r="AN5028" t="s">
        <v>2072</v>
      </c>
      <c r="AO5028" t="s">
        <v>36049</v>
      </c>
      <c r="AP5028" t="s">
        <v>7024</v>
      </c>
      <c r="AT5028" s="184">
        <v>35422</v>
      </c>
      <c r="AU5028" t="s">
        <v>36050</v>
      </c>
      <c r="AV5028">
        <v>5</v>
      </c>
      <c r="AW5028" s="184">
        <v>44798</v>
      </c>
      <c r="AX5028" t="s">
        <v>36051</v>
      </c>
      <c r="AY5028">
        <v>25</v>
      </c>
      <c r="AZ5028" s="184">
        <v>44452</v>
      </c>
      <c r="BA5028" t="s">
        <v>22170</v>
      </c>
      <c r="BB5028">
        <v>75</v>
      </c>
      <c r="BC5028">
        <v>63</v>
      </c>
      <c r="BD5028">
        <v>1105</v>
      </c>
      <c r="BE5028">
        <v>1997</v>
      </c>
      <c r="BF5028">
        <v>35</v>
      </c>
      <c r="BG5028">
        <v>1</v>
      </c>
      <c r="BH5028">
        <v>25</v>
      </c>
      <c r="BI5028">
        <v>18</v>
      </c>
      <c r="BJ5028">
        <v>29</v>
      </c>
      <c r="BK5028">
        <v>16</v>
      </c>
      <c r="BP5028" s="184"/>
    </row>
    <row r="5029" spans="1:68">
      <c r="A5029">
        <v>95570933</v>
      </c>
      <c r="B5029">
        <v>95570933</v>
      </c>
      <c r="C5029" t="s">
        <v>7018</v>
      </c>
      <c r="D5029" t="s">
        <v>595</v>
      </c>
      <c r="E5029" s="184">
        <v>45140</v>
      </c>
      <c r="I5029" s="184"/>
      <c r="K5029" s="184"/>
      <c r="M5029" s="184"/>
      <c r="O5029" s="184"/>
      <c r="P5029" t="s">
        <v>7045</v>
      </c>
      <c r="Q5029" t="s">
        <v>7383</v>
      </c>
      <c r="R5029" s="184">
        <v>18233</v>
      </c>
      <c r="S5029">
        <v>74</v>
      </c>
      <c r="V5029" t="s">
        <v>36043</v>
      </c>
      <c r="W5029" t="s">
        <v>7407</v>
      </c>
      <c r="X5029" t="s">
        <v>36044</v>
      </c>
      <c r="Z5029">
        <v>24012163</v>
      </c>
      <c r="AB5029" t="s">
        <v>3506</v>
      </c>
      <c r="AD5029" t="s">
        <v>36042</v>
      </c>
      <c r="AF5029" t="s">
        <v>36045</v>
      </c>
      <c r="AG5029" t="s">
        <v>36046</v>
      </c>
      <c r="AI5029" t="s">
        <v>36047</v>
      </c>
      <c r="AM5029" t="s">
        <v>36048</v>
      </c>
      <c r="AN5029" t="s">
        <v>2072</v>
      </c>
      <c r="AO5029" t="s">
        <v>36049</v>
      </c>
      <c r="AP5029" t="s">
        <v>7024</v>
      </c>
      <c r="AT5029" s="184">
        <v>42703</v>
      </c>
      <c r="AU5029" t="s">
        <v>36052</v>
      </c>
      <c r="AV5029">
        <v>25</v>
      </c>
      <c r="AW5029" s="184">
        <v>45182</v>
      </c>
      <c r="AX5029" t="s">
        <v>10732</v>
      </c>
      <c r="AY5029">
        <v>25</v>
      </c>
      <c r="AZ5029" s="184">
        <v>45182</v>
      </c>
      <c r="BA5029" t="s">
        <v>10732</v>
      </c>
      <c r="BB5029">
        <v>25</v>
      </c>
      <c r="BC5029">
        <v>89</v>
      </c>
      <c r="BD5029">
        <v>225</v>
      </c>
      <c r="BE5029">
        <v>2017</v>
      </c>
      <c r="BF5029">
        <v>9</v>
      </c>
      <c r="BG5029">
        <v>3</v>
      </c>
      <c r="BH5029">
        <v>75</v>
      </c>
      <c r="BI5029">
        <v>8</v>
      </c>
      <c r="BJ5029">
        <v>9</v>
      </c>
      <c r="BK5029">
        <v>8</v>
      </c>
      <c r="BP5029" s="184"/>
    </row>
    <row r="5030" spans="1:68">
      <c r="A5030">
        <v>95581328</v>
      </c>
      <c r="B5030">
        <v>95581328</v>
      </c>
      <c r="C5030" t="s">
        <v>7018</v>
      </c>
      <c r="D5030" t="s">
        <v>595</v>
      </c>
      <c r="E5030" s="184">
        <v>45204</v>
      </c>
      <c r="G5030" s="184"/>
      <c r="I5030" s="184"/>
      <c r="K5030" s="184"/>
      <c r="M5030" s="184"/>
      <c r="O5030" s="184"/>
      <c r="P5030" t="s">
        <v>7045</v>
      </c>
      <c r="Q5030" t="s">
        <v>7494</v>
      </c>
      <c r="R5030" s="184">
        <v>16279</v>
      </c>
      <c r="S5030">
        <v>79</v>
      </c>
      <c r="U5030" t="s">
        <v>7076</v>
      </c>
      <c r="V5030" t="s">
        <v>5600</v>
      </c>
      <c r="X5030" t="s">
        <v>2839</v>
      </c>
      <c r="AF5030" t="s">
        <v>36053</v>
      </c>
      <c r="AG5030" t="s">
        <v>5600</v>
      </c>
      <c r="AI5030" t="s">
        <v>36054</v>
      </c>
      <c r="AM5030" t="s">
        <v>3371</v>
      </c>
      <c r="AN5030" t="s">
        <v>2174</v>
      </c>
      <c r="AO5030" t="s">
        <v>36055</v>
      </c>
      <c r="AP5030" t="s">
        <v>7024</v>
      </c>
      <c r="AQ5030" t="s">
        <v>36056</v>
      </c>
      <c r="AT5030" s="184">
        <v>43064</v>
      </c>
      <c r="AU5030" t="s">
        <v>36057</v>
      </c>
      <c r="AV5030">
        <v>25</v>
      </c>
      <c r="AW5030" s="184">
        <v>45231</v>
      </c>
      <c r="AX5030" t="s">
        <v>12719</v>
      </c>
      <c r="AY5030">
        <v>25</v>
      </c>
      <c r="AZ5030" s="184">
        <v>43420</v>
      </c>
      <c r="BA5030" t="s">
        <v>36058</v>
      </c>
      <c r="BB5030">
        <v>50</v>
      </c>
      <c r="BC5030">
        <v>88</v>
      </c>
      <c r="BD5030">
        <v>203</v>
      </c>
      <c r="BE5030">
        <v>2018</v>
      </c>
      <c r="BF5030">
        <v>8</v>
      </c>
      <c r="BG5030">
        <v>2</v>
      </c>
      <c r="BH5030">
        <v>43</v>
      </c>
      <c r="BI5030">
        <v>7</v>
      </c>
      <c r="BJ5030">
        <v>8</v>
      </c>
      <c r="BK5030">
        <v>7</v>
      </c>
      <c r="BP5030" s="184"/>
    </row>
    <row r="5031" spans="1:68">
      <c r="A5031">
        <v>95582243</v>
      </c>
      <c r="B5031">
        <v>95582243</v>
      </c>
      <c r="C5031" t="s">
        <v>7018</v>
      </c>
      <c r="E5031" s="184"/>
      <c r="I5031" s="184"/>
      <c r="J5031" t="s">
        <v>595</v>
      </c>
      <c r="K5031" s="184">
        <v>44404</v>
      </c>
      <c r="M5031" s="184"/>
      <c r="O5031" s="184"/>
      <c r="P5031" t="s">
        <v>7045</v>
      </c>
      <c r="Q5031" t="s">
        <v>7383</v>
      </c>
      <c r="R5031" s="184">
        <v>21976</v>
      </c>
      <c r="S5031">
        <v>64</v>
      </c>
      <c r="V5031" t="s">
        <v>3480</v>
      </c>
      <c r="X5031" t="s">
        <v>4387</v>
      </c>
      <c r="Z5031">
        <v>100445734</v>
      </c>
      <c r="AB5031" t="s">
        <v>36059</v>
      </c>
      <c r="AD5031" t="s">
        <v>4387</v>
      </c>
      <c r="AF5031" t="s">
        <v>36060</v>
      </c>
      <c r="AG5031" t="s">
        <v>36061</v>
      </c>
      <c r="AI5031" t="s">
        <v>36062</v>
      </c>
      <c r="AM5031" t="s">
        <v>3390</v>
      </c>
      <c r="AN5031" t="s">
        <v>2144</v>
      </c>
      <c r="AO5031" t="s">
        <v>36063</v>
      </c>
      <c r="AP5031" t="s">
        <v>7024</v>
      </c>
      <c r="AQ5031" t="s">
        <v>36064</v>
      </c>
      <c r="AT5031" s="184">
        <v>42702</v>
      </c>
      <c r="AU5031" t="s">
        <v>16843</v>
      </c>
      <c r="AV5031">
        <v>25</v>
      </c>
      <c r="AW5031" s="184">
        <v>42702</v>
      </c>
      <c r="AX5031" t="s">
        <v>16843</v>
      </c>
      <c r="AY5031">
        <v>25</v>
      </c>
      <c r="AZ5031" s="184">
        <v>42702</v>
      </c>
      <c r="BA5031" t="s">
        <v>16843</v>
      </c>
      <c r="BB5031">
        <v>25</v>
      </c>
      <c r="BC5031">
        <v>12</v>
      </c>
      <c r="BD5031">
        <v>25</v>
      </c>
      <c r="BE5031">
        <v>2017</v>
      </c>
      <c r="BF5031">
        <v>1</v>
      </c>
      <c r="BI5031">
        <v>1</v>
      </c>
      <c r="BJ5031">
        <v>9</v>
      </c>
      <c r="BK5031">
        <v>1</v>
      </c>
      <c r="BP5031" s="184"/>
    </row>
    <row r="5032" spans="1:68">
      <c r="A5032">
        <v>100445734</v>
      </c>
      <c r="B5032">
        <v>95582243</v>
      </c>
      <c r="C5032" t="s">
        <v>7018</v>
      </c>
      <c r="E5032" s="184"/>
      <c r="G5032" s="184"/>
      <c r="I5032" s="184"/>
      <c r="J5032" t="s">
        <v>595</v>
      </c>
      <c r="K5032" s="184">
        <v>44404</v>
      </c>
      <c r="M5032" s="184"/>
      <c r="O5032" s="184"/>
      <c r="P5032" t="s">
        <v>7045</v>
      </c>
      <c r="Q5032" t="s">
        <v>7383</v>
      </c>
      <c r="R5032" s="184">
        <v>21260</v>
      </c>
      <c r="S5032">
        <v>66</v>
      </c>
      <c r="V5032" t="s">
        <v>36059</v>
      </c>
      <c r="X5032" t="s">
        <v>4387</v>
      </c>
      <c r="Z5032">
        <v>95582243</v>
      </c>
      <c r="AB5032" t="s">
        <v>3480</v>
      </c>
      <c r="AD5032" t="s">
        <v>4387</v>
      </c>
      <c r="AF5032" t="s">
        <v>36060</v>
      </c>
      <c r="AG5032" t="s">
        <v>36061</v>
      </c>
      <c r="AI5032" t="s">
        <v>36062</v>
      </c>
      <c r="AM5032" t="s">
        <v>3390</v>
      </c>
      <c r="AN5032" t="s">
        <v>2144</v>
      </c>
      <c r="AO5032" t="s">
        <v>36063</v>
      </c>
      <c r="AP5032" t="s">
        <v>7024</v>
      </c>
      <c r="AQ5032" t="s">
        <v>36065</v>
      </c>
      <c r="AT5032" s="184"/>
      <c r="AW5032" s="184"/>
      <c r="AZ5032" s="184"/>
      <c r="BP5032" s="184"/>
    </row>
    <row r="5033" spans="1:68">
      <c r="A5033">
        <v>95592366</v>
      </c>
      <c r="B5033">
        <v>95592366</v>
      </c>
      <c r="C5033" t="s">
        <v>7018</v>
      </c>
      <c r="D5033" t="s">
        <v>595</v>
      </c>
      <c r="E5033" s="184">
        <v>43642</v>
      </c>
      <c r="G5033" s="184"/>
      <c r="I5033" s="184"/>
      <c r="K5033" s="184"/>
      <c r="M5033" s="184"/>
      <c r="N5033" t="s">
        <v>595</v>
      </c>
      <c r="O5033" s="184">
        <v>43682</v>
      </c>
      <c r="P5033" t="s">
        <v>7045</v>
      </c>
      <c r="Q5033" t="s">
        <v>7160</v>
      </c>
      <c r="R5033" s="184">
        <v>17390</v>
      </c>
      <c r="S5033">
        <v>76</v>
      </c>
      <c r="V5033" t="s">
        <v>2518</v>
      </c>
      <c r="X5033" t="s">
        <v>3422</v>
      </c>
      <c r="AF5033" t="s">
        <v>6628</v>
      </c>
      <c r="AG5033" t="s">
        <v>2518</v>
      </c>
      <c r="AI5033" t="s">
        <v>36066</v>
      </c>
      <c r="AM5033" t="s">
        <v>3837</v>
      </c>
      <c r="AN5033" t="s">
        <v>2413</v>
      </c>
      <c r="AO5033" t="s">
        <v>36067</v>
      </c>
      <c r="AP5033" t="s">
        <v>7024</v>
      </c>
      <c r="AQ5033" t="s">
        <v>36068</v>
      </c>
      <c r="AR5033" t="s">
        <v>36069</v>
      </c>
      <c r="AT5033" s="184">
        <v>42706</v>
      </c>
      <c r="AU5033" t="s">
        <v>36070</v>
      </c>
      <c r="AV5033">
        <v>25</v>
      </c>
      <c r="AW5033" s="184">
        <v>43938</v>
      </c>
      <c r="AX5033" t="s">
        <v>36071</v>
      </c>
      <c r="AY5033">
        <v>25</v>
      </c>
      <c r="AZ5033" s="184">
        <v>43073</v>
      </c>
      <c r="BA5033" t="s">
        <v>36072</v>
      </c>
      <c r="BB5033">
        <v>60</v>
      </c>
      <c r="BC5033">
        <v>56</v>
      </c>
      <c r="BD5033">
        <v>335</v>
      </c>
      <c r="BE5033">
        <v>2017</v>
      </c>
      <c r="BF5033">
        <v>11</v>
      </c>
      <c r="BI5033">
        <v>5</v>
      </c>
      <c r="BJ5033">
        <v>9</v>
      </c>
      <c r="BK5033">
        <v>5</v>
      </c>
      <c r="BP5033" s="184"/>
    </row>
    <row r="5034" spans="1:68">
      <c r="A5034">
        <v>95662110</v>
      </c>
      <c r="B5034">
        <v>95662110</v>
      </c>
      <c r="C5034" t="s">
        <v>7018</v>
      </c>
      <c r="E5034" s="184"/>
      <c r="G5034" s="184"/>
      <c r="I5034" s="184"/>
      <c r="J5034" t="s">
        <v>595</v>
      </c>
      <c r="K5034" s="184">
        <v>44460</v>
      </c>
      <c r="M5034" s="184"/>
      <c r="O5034" s="184"/>
      <c r="P5034" t="s">
        <v>7045</v>
      </c>
      <c r="Q5034" t="s">
        <v>7454</v>
      </c>
      <c r="R5034" s="184"/>
      <c r="V5034" t="s">
        <v>3898</v>
      </c>
      <c r="X5034" t="s">
        <v>36073</v>
      </c>
      <c r="AF5034" t="s">
        <v>36074</v>
      </c>
      <c r="AG5034" t="s">
        <v>3898</v>
      </c>
      <c r="AI5034" t="s">
        <v>36075</v>
      </c>
      <c r="AM5034" t="s">
        <v>5087</v>
      </c>
      <c r="AN5034" t="s">
        <v>2055</v>
      </c>
      <c r="AO5034" t="s">
        <v>36076</v>
      </c>
      <c r="AP5034" t="s">
        <v>7024</v>
      </c>
      <c r="AQ5034" t="s">
        <v>36077</v>
      </c>
      <c r="AR5034" t="s">
        <v>36078</v>
      </c>
      <c r="AT5034" s="184">
        <v>44726</v>
      </c>
      <c r="AU5034" t="s">
        <v>36079</v>
      </c>
      <c r="AV5034">
        <v>25</v>
      </c>
      <c r="AW5034" s="184">
        <v>45406</v>
      </c>
      <c r="AX5034" t="s">
        <v>24064</v>
      </c>
      <c r="AY5034">
        <v>10</v>
      </c>
      <c r="AZ5034" s="184">
        <v>45132</v>
      </c>
      <c r="BA5034" t="s">
        <v>28109</v>
      </c>
      <c r="BB5034">
        <v>25</v>
      </c>
      <c r="BC5034">
        <v>100</v>
      </c>
      <c r="BD5034">
        <v>86</v>
      </c>
      <c r="BE5034">
        <v>2022</v>
      </c>
      <c r="BF5034">
        <v>5</v>
      </c>
      <c r="BG5034">
        <v>5</v>
      </c>
      <c r="BH5034">
        <v>86</v>
      </c>
      <c r="BI5034">
        <v>3</v>
      </c>
      <c r="BJ5034">
        <v>3</v>
      </c>
      <c r="BK5034">
        <v>3</v>
      </c>
      <c r="BP5034" s="184"/>
    </row>
    <row r="5035" spans="1:68">
      <c r="A5035">
        <v>95677548</v>
      </c>
      <c r="B5035">
        <v>95677548</v>
      </c>
      <c r="C5035" t="s">
        <v>7018</v>
      </c>
      <c r="D5035" t="s">
        <v>595</v>
      </c>
      <c r="E5035" s="184">
        <v>45148</v>
      </c>
      <c r="G5035" s="184"/>
      <c r="I5035" s="184"/>
      <c r="K5035" s="184"/>
      <c r="M5035" s="184"/>
      <c r="O5035" s="184"/>
      <c r="P5035" t="s">
        <v>7045</v>
      </c>
      <c r="Q5035" t="s">
        <v>7383</v>
      </c>
      <c r="R5035" s="184">
        <v>16184</v>
      </c>
      <c r="S5035">
        <v>80</v>
      </c>
      <c r="U5035" t="s">
        <v>7031</v>
      </c>
      <c r="V5035" t="s">
        <v>4926</v>
      </c>
      <c r="W5035" t="s">
        <v>4013</v>
      </c>
      <c r="X5035" t="s">
        <v>36080</v>
      </c>
      <c r="AF5035" t="s">
        <v>36081</v>
      </c>
      <c r="AG5035" t="s">
        <v>4926</v>
      </c>
      <c r="AI5035" t="s">
        <v>36082</v>
      </c>
      <c r="AM5035" t="s">
        <v>4339</v>
      </c>
      <c r="AN5035" t="s">
        <v>2274</v>
      </c>
      <c r="AO5035" t="s">
        <v>36083</v>
      </c>
      <c r="AP5035" t="s">
        <v>7024</v>
      </c>
      <c r="AQ5035" t="s">
        <v>36084</v>
      </c>
      <c r="AR5035" t="s">
        <v>36085</v>
      </c>
      <c r="AT5035" s="184">
        <v>42718</v>
      </c>
      <c r="AU5035" t="s">
        <v>36023</v>
      </c>
      <c r="AV5035">
        <v>15</v>
      </c>
      <c r="AW5035" s="184">
        <v>45089</v>
      </c>
      <c r="AX5035" t="s">
        <v>36086</v>
      </c>
      <c r="AY5035">
        <v>60</v>
      </c>
      <c r="AZ5035" s="184">
        <v>45089</v>
      </c>
      <c r="BA5035" t="s">
        <v>36086</v>
      </c>
      <c r="BB5035">
        <v>60</v>
      </c>
      <c r="BC5035">
        <v>67</v>
      </c>
      <c r="BD5035">
        <v>245</v>
      </c>
      <c r="BE5035">
        <v>2017</v>
      </c>
      <c r="BF5035">
        <v>6</v>
      </c>
      <c r="BG5035">
        <v>1</v>
      </c>
      <c r="BH5035">
        <v>60</v>
      </c>
      <c r="BI5035">
        <v>6</v>
      </c>
      <c r="BJ5035">
        <v>9</v>
      </c>
      <c r="BK5035">
        <v>4</v>
      </c>
      <c r="BP5035" s="184"/>
    </row>
    <row r="5036" spans="1:68">
      <c r="A5036">
        <v>95684585</v>
      </c>
      <c r="B5036">
        <v>95684585</v>
      </c>
      <c r="C5036" t="s">
        <v>7018</v>
      </c>
      <c r="E5036" s="184"/>
      <c r="G5036" s="184"/>
      <c r="I5036" s="184"/>
      <c r="K5036" s="184"/>
      <c r="L5036" t="s">
        <v>595</v>
      </c>
      <c r="M5036" s="184">
        <v>44509</v>
      </c>
      <c r="O5036" s="184"/>
      <c r="P5036" t="s">
        <v>7686</v>
      </c>
      <c r="Q5036" t="s">
        <v>7374</v>
      </c>
      <c r="R5036" s="184">
        <v>30164</v>
      </c>
      <c r="S5036">
        <v>41</v>
      </c>
      <c r="U5036" t="s">
        <v>7031</v>
      </c>
      <c r="V5036" t="s">
        <v>2541</v>
      </c>
      <c r="W5036" t="s">
        <v>2049</v>
      </c>
      <c r="X5036" t="s">
        <v>36087</v>
      </c>
      <c r="Z5036">
        <v>95752333</v>
      </c>
      <c r="AA5036" t="s">
        <v>7032</v>
      </c>
      <c r="AB5036" t="s">
        <v>26159</v>
      </c>
      <c r="AC5036" t="s">
        <v>2992</v>
      </c>
      <c r="AD5036" t="s">
        <v>36088</v>
      </c>
      <c r="AF5036" t="s">
        <v>36089</v>
      </c>
      <c r="AG5036" t="s">
        <v>36090</v>
      </c>
      <c r="AI5036" t="s">
        <v>36091</v>
      </c>
      <c r="AM5036" t="s">
        <v>4567</v>
      </c>
      <c r="AN5036" t="s">
        <v>2081</v>
      </c>
      <c r="AO5036" t="s">
        <v>36092</v>
      </c>
      <c r="AP5036" t="s">
        <v>7024</v>
      </c>
      <c r="AQ5036" t="s">
        <v>36093</v>
      </c>
      <c r="AR5036" t="s">
        <v>36094</v>
      </c>
      <c r="AT5036" s="184">
        <v>42721</v>
      </c>
      <c r="AU5036" t="s">
        <v>7959</v>
      </c>
      <c r="AV5036">
        <v>250</v>
      </c>
      <c r="AW5036" s="184">
        <v>45229</v>
      </c>
      <c r="AX5036" t="s">
        <v>9245</v>
      </c>
      <c r="AY5036">
        <v>2000</v>
      </c>
      <c r="AZ5036" s="184">
        <v>44543</v>
      </c>
      <c r="BA5036" t="s">
        <v>7867</v>
      </c>
      <c r="BB5036">
        <v>5000</v>
      </c>
      <c r="BC5036">
        <v>67</v>
      </c>
      <c r="BD5036">
        <v>25085</v>
      </c>
      <c r="BE5036">
        <v>2017</v>
      </c>
      <c r="BF5036">
        <v>10</v>
      </c>
      <c r="BG5036">
        <v>5</v>
      </c>
      <c r="BH5036">
        <v>12835</v>
      </c>
      <c r="BI5036">
        <v>6</v>
      </c>
      <c r="BJ5036">
        <v>9</v>
      </c>
      <c r="BK5036">
        <v>4</v>
      </c>
      <c r="BL5036" t="s">
        <v>595</v>
      </c>
      <c r="BN5036" t="s">
        <v>595</v>
      </c>
      <c r="BP5036" s="184"/>
    </row>
    <row r="5037" spans="1:68">
      <c r="A5037">
        <v>95752333</v>
      </c>
      <c r="B5037">
        <v>95684585</v>
      </c>
      <c r="C5037" t="s">
        <v>7018</v>
      </c>
      <c r="E5037" s="184"/>
      <c r="G5037" s="184"/>
      <c r="I5037" s="184"/>
      <c r="K5037" s="184"/>
      <c r="L5037" t="s">
        <v>595</v>
      </c>
      <c r="M5037" s="184">
        <v>44509</v>
      </c>
      <c r="O5037" s="184"/>
      <c r="P5037" t="s">
        <v>7686</v>
      </c>
      <c r="Q5037" t="s">
        <v>7374</v>
      </c>
      <c r="R5037" s="184">
        <v>31830</v>
      </c>
      <c r="S5037">
        <v>37</v>
      </c>
      <c r="U5037" t="s">
        <v>7032</v>
      </c>
      <c r="V5037" t="s">
        <v>26159</v>
      </c>
      <c r="W5037" t="s">
        <v>2992</v>
      </c>
      <c r="X5037" t="s">
        <v>36088</v>
      </c>
      <c r="Z5037">
        <v>95684585</v>
      </c>
      <c r="AA5037" t="s">
        <v>7031</v>
      </c>
      <c r="AB5037" t="s">
        <v>2541</v>
      </c>
      <c r="AC5037" t="s">
        <v>2049</v>
      </c>
      <c r="AD5037" t="s">
        <v>36087</v>
      </c>
      <c r="AF5037" t="s">
        <v>36089</v>
      </c>
      <c r="AG5037" t="s">
        <v>36090</v>
      </c>
      <c r="AI5037" t="s">
        <v>36091</v>
      </c>
      <c r="AM5037" t="s">
        <v>4567</v>
      </c>
      <c r="AN5037" t="s">
        <v>2081</v>
      </c>
      <c r="AO5037" t="s">
        <v>36092</v>
      </c>
      <c r="AP5037" t="s">
        <v>7024</v>
      </c>
      <c r="AQ5037" t="s">
        <v>36095</v>
      </c>
      <c r="AT5037" s="184">
        <v>42735</v>
      </c>
      <c r="AU5037" t="s">
        <v>36096</v>
      </c>
      <c r="AV5037">
        <v>20</v>
      </c>
      <c r="AW5037" s="184">
        <v>44194</v>
      </c>
      <c r="AX5037" t="s">
        <v>13630</v>
      </c>
      <c r="AY5037">
        <v>500</v>
      </c>
      <c r="AZ5037" s="184">
        <v>44194</v>
      </c>
      <c r="BA5037" t="s">
        <v>13630</v>
      </c>
      <c r="BB5037">
        <v>500</v>
      </c>
      <c r="BC5037">
        <v>56</v>
      </c>
      <c r="BD5037">
        <v>1020</v>
      </c>
      <c r="BE5037">
        <v>2017</v>
      </c>
      <c r="BF5037">
        <v>27</v>
      </c>
      <c r="BI5037">
        <v>5</v>
      </c>
      <c r="BJ5037">
        <v>9</v>
      </c>
      <c r="BK5037">
        <v>5</v>
      </c>
      <c r="BL5037" t="s">
        <v>595</v>
      </c>
      <c r="BP5037" s="184"/>
    </row>
    <row r="5038" spans="1:68">
      <c r="A5038">
        <v>95695433</v>
      </c>
      <c r="B5038">
        <v>95695433</v>
      </c>
      <c r="C5038" t="s">
        <v>7018</v>
      </c>
      <c r="D5038" t="s">
        <v>595</v>
      </c>
      <c r="E5038" s="184">
        <v>44419</v>
      </c>
      <c r="G5038" s="184"/>
      <c r="I5038" s="184"/>
      <c r="K5038" s="184"/>
      <c r="M5038" s="184"/>
      <c r="P5038" t="s">
        <v>7029</v>
      </c>
      <c r="Q5038" t="s">
        <v>7383</v>
      </c>
      <c r="R5038" s="184">
        <v>18365</v>
      </c>
      <c r="S5038">
        <v>74</v>
      </c>
      <c r="U5038" t="s">
        <v>7076</v>
      </c>
      <c r="V5038" t="s">
        <v>3235</v>
      </c>
      <c r="X5038" t="s">
        <v>36097</v>
      </c>
      <c r="AF5038" t="s">
        <v>36098</v>
      </c>
      <c r="AG5038" t="s">
        <v>3235</v>
      </c>
      <c r="AI5038" t="s">
        <v>36099</v>
      </c>
      <c r="AM5038" t="s">
        <v>3082</v>
      </c>
      <c r="AN5038" t="s">
        <v>2313</v>
      </c>
      <c r="AO5038" t="s">
        <v>36100</v>
      </c>
      <c r="AP5038" t="s">
        <v>7024</v>
      </c>
      <c r="AQ5038" t="s">
        <v>36101</v>
      </c>
      <c r="AR5038" t="s">
        <v>36102</v>
      </c>
      <c r="AT5038" s="184">
        <v>42720</v>
      </c>
      <c r="AU5038" t="s">
        <v>36103</v>
      </c>
      <c r="AV5038">
        <v>50</v>
      </c>
      <c r="AW5038" s="184">
        <v>45350</v>
      </c>
      <c r="AX5038" t="s">
        <v>7092</v>
      </c>
      <c r="AY5038">
        <v>200</v>
      </c>
      <c r="AZ5038" s="184">
        <v>45089</v>
      </c>
      <c r="BA5038" t="s">
        <v>15006</v>
      </c>
      <c r="BB5038">
        <v>232.5</v>
      </c>
      <c r="BC5038">
        <v>100</v>
      </c>
      <c r="BD5038">
        <v>3117.5</v>
      </c>
      <c r="BE5038">
        <v>2017</v>
      </c>
      <c r="BF5038">
        <v>23</v>
      </c>
      <c r="BG5038">
        <v>11</v>
      </c>
      <c r="BH5038">
        <v>2067.5</v>
      </c>
      <c r="BI5038">
        <v>9</v>
      </c>
      <c r="BJ5038">
        <v>9</v>
      </c>
      <c r="BK5038">
        <v>9</v>
      </c>
      <c r="BP5038" s="184"/>
    </row>
    <row r="5039" spans="1:68">
      <c r="A5039">
        <v>95700688</v>
      </c>
      <c r="B5039">
        <v>95700688</v>
      </c>
      <c r="C5039" t="s">
        <v>7018</v>
      </c>
      <c r="D5039" t="s">
        <v>595</v>
      </c>
      <c r="E5039" s="184">
        <v>45148</v>
      </c>
      <c r="G5039" s="184"/>
      <c r="I5039" s="184"/>
      <c r="K5039" s="184"/>
      <c r="M5039" s="184"/>
      <c r="O5039" s="184"/>
      <c r="P5039" t="s">
        <v>7045</v>
      </c>
      <c r="Q5039" t="s">
        <v>7262</v>
      </c>
      <c r="R5039" s="184">
        <v>17958</v>
      </c>
      <c r="S5039">
        <v>75</v>
      </c>
      <c r="V5039" t="s">
        <v>2771</v>
      </c>
      <c r="W5039" t="s">
        <v>4139</v>
      </c>
      <c r="X5039" t="s">
        <v>36104</v>
      </c>
      <c r="AF5039" t="s">
        <v>36105</v>
      </c>
      <c r="AG5039" t="s">
        <v>2771</v>
      </c>
      <c r="AI5039" t="s">
        <v>36106</v>
      </c>
      <c r="AM5039" t="s">
        <v>2730</v>
      </c>
      <c r="AN5039" t="s">
        <v>2069</v>
      </c>
      <c r="AO5039" t="s">
        <v>36107</v>
      </c>
      <c r="AP5039" t="s">
        <v>7024</v>
      </c>
      <c r="AQ5039" t="s">
        <v>36108</v>
      </c>
      <c r="AT5039" s="184">
        <v>42723</v>
      </c>
      <c r="AU5039" t="s">
        <v>36109</v>
      </c>
      <c r="AV5039">
        <v>25</v>
      </c>
      <c r="AW5039" s="184">
        <v>45204</v>
      </c>
      <c r="AX5039" t="s">
        <v>36110</v>
      </c>
      <c r="AY5039">
        <v>50</v>
      </c>
      <c r="AZ5039" s="184">
        <v>45204</v>
      </c>
      <c r="BA5039" t="s">
        <v>36110</v>
      </c>
      <c r="BB5039">
        <v>50</v>
      </c>
      <c r="BC5039">
        <v>56</v>
      </c>
      <c r="BD5039">
        <v>175</v>
      </c>
      <c r="BE5039">
        <v>2017</v>
      </c>
      <c r="BF5039">
        <v>5</v>
      </c>
      <c r="BG5039">
        <v>2</v>
      </c>
      <c r="BH5039">
        <v>100</v>
      </c>
      <c r="BI5039">
        <v>5</v>
      </c>
      <c r="BJ5039">
        <v>9</v>
      </c>
      <c r="BK5039">
        <v>3</v>
      </c>
      <c r="BN5039" t="s">
        <v>595</v>
      </c>
      <c r="BP5039" s="184"/>
    </row>
    <row r="5040" spans="1:68">
      <c r="A5040">
        <v>95742839</v>
      </c>
      <c r="B5040">
        <v>95742839</v>
      </c>
      <c r="C5040" t="s">
        <v>7018</v>
      </c>
      <c r="D5040" t="s">
        <v>595</v>
      </c>
      <c r="E5040" s="184">
        <v>44438</v>
      </c>
      <c r="G5040" s="184"/>
      <c r="I5040" s="184"/>
      <c r="K5040" s="184"/>
      <c r="M5040" s="184"/>
      <c r="O5040" s="184"/>
      <c r="P5040" t="s">
        <v>7045</v>
      </c>
      <c r="Q5040" t="s">
        <v>7383</v>
      </c>
      <c r="R5040" s="184">
        <v>28887</v>
      </c>
      <c r="S5040">
        <v>45</v>
      </c>
      <c r="U5040" t="s">
        <v>7130</v>
      </c>
      <c r="V5040" t="s">
        <v>9847</v>
      </c>
      <c r="W5040" t="s">
        <v>4013</v>
      </c>
      <c r="X5040" t="s">
        <v>36111</v>
      </c>
      <c r="AF5040" t="s">
        <v>36112</v>
      </c>
      <c r="AG5040" t="s">
        <v>9847</v>
      </c>
      <c r="AI5040" t="s">
        <v>36113</v>
      </c>
      <c r="AM5040" t="s">
        <v>3357</v>
      </c>
      <c r="AN5040" t="s">
        <v>2185</v>
      </c>
      <c r="AO5040" t="s">
        <v>36114</v>
      </c>
      <c r="AP5040" t="s">
        <v>7024</v>
      </c>
      <c r="AQ5040" t="s">
        <v>36115</v>
      </c>
      <c r="AT5040" s="184">
        <v>42727</v>
      </c>
      <c r="AU5040" t="s">
        <v>36116</v>
      </c>
      <c r="AV5040">
        <v>15</v>
      </c>
      <c r="AW5040" s="184">
        <v>44224</v>
      </c>
      <c r="AX5040" t="s">
        <v>31969</v>
      </c>
      <c r="AY5040">
        <v>35</v>
      </c>
      <c r="AZ5040" s="184">
        <v>44224</v>
      </c>
      <c r="BA5040" t="s">
        <v>31969</v>
      </c>
      <c r="BB5040">
        <v>35</v>
      </c>
      <c r="BC5040">
        <v>67</v>
      </c>
      <c r="BD5040">
        <v>235</v>
      </c>
      <c r="BE5040">
        <v>2017</v>
      </c>
      <c r="BF5040">
        <v>8</v>
      </c>
      <c r="BI5040">
        <v>6</v>
      </c>
      <c r="BJ5040">
        <v>9</v>
      </c>
      <c r="BK5040">
        <v>6</v>
      </c>
      <c r="BP5040" s="184"/>
    </row>
    <row r="5041" spans="1:68">
      <c r="A5041">
        <v>95765269</v>
      </c>
      <c r="B5041">
        <v>95765269</v>
      </c>
      <c r="C5041" t="s">
        <v>7018</v>
      </c>
      <c r="D5041" t="s">
        <v>595</v>
      </c>
      <c r="E5041" s="184">
        <v>45204</v>
      </c>
      <c r="G5041" s="184"/>
      <c r="I5041" s="184"/>
      <c r="K5041" s="184"/>
      <c r="M5041" s="184"/>
      <c r="O5041" s="184"/>
      <c r="P5041" t="s">
        <v>7045</v>
      </c>
      <c r="Q5041" t="s">
        <v>7020</v>
      </c>
      <c r="R5041" s="184">
        <v>18841</v>
      </c>
      <c r="S5041">
        <v>72</v>
      </c>
      <c r="U5041" t="s">
        <v>7076</v>
      </c>
      <c r="V5041" t="s">
        <v>2903</v>
      </c>
      <c r="X5041" t="s">
        <v>5622</v>
      </c>
      <c r="AF5041" t="s">
        <v>36117</v>
      </c>
      <c r="AG5041" t="s">
        <v>2903</v>
      </c>
      <c r="AI5041" t="s">
        <v>36118</v>
      </c>
      <c r="AM5041" t="s">
        <v>36119</v>
      </c>
      <c r="AN5041" t="s">
        <v>2255</v>
      </c>
      <c r="AO5041" t="s">
        <v>36120</v>
      </c>
      <c r="AP5041" t="s">
        <v>7024</v>
      </c>
      <c r="AT5041" s="184">
        <v>42732</v>
      </c>
      <c r="AU5041" t="s">
        <v>36121</v>
      </c>
      <c r="AV5041">
        <v>25</v>
      </c>
      <c r="AW5041" s="184">
        <v>44389</v>
      </c>
      <c r="AX5041" t="s">
        <v>18022</v>
      </c>
      <c r="AY5041">
        <v>25</v>
      </c>
      <c r="AZ5041" s="184">
        <v>44389</v>
      </c>
      <c r="BA5041" t="s">
        <v>18022</v>
      </c>
      <c r="BB5041">
        <v>25</v>
      </c>
      <c r="BC5041">
        <v>34</v>
      </c>
      <c r="BD5041">
        <v>75</v>
      </c>
      <c r="BE5041">
        <v>2017</v>
      </c>
      <c r="BF5041">
        <v>3</v>
      </c>
      <c r="BI5041">
        <v>3</v>
      </c>
      <c r="BJ5041">
        <v>9</v>
      </c>
      <c r="BK5041">
        <v>2</v>
      </c>
      <c r="BP5041" s="184"/>
    </row>
    <row r="5042" spans="1:68">
      <c r="A5042">
        <v>95793030</v>
      </c>
      <c r="B5042">
        <v>95793030</v>
      </c>
      <c r="C5042" t="s">
        <v>7018</v>
      </c>
      <c r="D5042" t="s">
        <v>595</v>
      </c>
      <c r="E5042" s="184">
        <v>45104</v>
      </c>
      <c r="G5042" s="184"/>
      <c r="I5042" s="184"/>
      <c r="K5042" s="184"/>
      <c r="M5042" s="184"/>
      <c r="O5042" s="184"/>
      <c r="P5042" t="s">
        <v>7045</v>
      </c>
      <c r="Q5042" t="s">
        <v>7383</v>
      </c>
      <c r="R5042" s="184">
        <v>16219</v>
      </c>
      <c r="S5042">
        <v>79</v>
      </c>
      <c r="V5042" t="s">
        <v>36122</v>
      </c>
      <c r="X5042" t="s">
        <v>36123</v>
      </c>
      <c r="AF5042" t="s">
        <v>36124</v>
      </c>
      <c r="AG5042" t="s">
        <v>36122</v>
      </c>
      <c r="AI5042" t="s">
        <v>36125</v>
      </c>
      <c r="AM5042" t="s">
        <v>36126</v>
      </c>
      <c r="AN5042" t="s">
        <v>2162</v>
      </c>
      <c r="AO5042" t="s">
        <v>36127</v>
      </c>
      <c r="AP5042" t="s">
        <v>7024</v>
      </c>
      <c r="AQ5042" t="s">
        <v>36128</v>
      </c>
      <c r="AT5042" s="184">
        <v>42739</v>
      </c>
      <c r="AU5042" t="s">
        <v>36129</v>
      </c>
      <c r="AV5042">
        <v>20</v>
      </c>
      <c r="AW5042" s="184">
        <v>44858</v>
      </c>
      <c r="AX5042" t="s">
        <v>36130</v>
      </c>
      <c r="AY5042">
        <v>25</v>
      </c>
      <c r="AZ5042" s="184">
        <v>44858</v>
      </c>
      <c r="BA5042" t="s">
        <v>36130</v>
      </c>
      <c r="BB5042">
        <v>25</v>
      </c>
      <c r="BC5042">
        <v>50</v>
      </c>
      <c r="BD5042">
        <v>120</v>
      </c>
      <c r="BE5042">
        <v>2017</v>
      </c>
      <c r="BF5042">
        <v>5</v>
      </c>
      <c r="BG5042">
        <v>1</v>
      </c>
      <c r="BH5042">
        <v>25</v>
      </c>
      <c r="BI5042">
        <v>4</v>
      </c>
      <c r="BJ5042">
        <v>8</v>
      </c>
      <c r="BK5042">
        <v>2</v>
      </c>
      <c r="BP5042" s="184"/>
    </row>
    <row r="5043" spans="1:68">
      <c r="A5043">
        <v>95797882</v>
      </c>
      <c r="B5043">
        <v>95797882</v>
      </c>
      <c r="C5043" t="s">
        <v>7018</v>
      </c>
      <c r="D5043" t="s">
        <v>595</v>
      </c>
      <c r="E5043" s="184">
        <v>45181</v>
      </c>
      <c r="I5043" s="184"/>
      <c r="K5043" s="184"/>
      <c r="M5043" s="184"/>
      <c r="O5043" s="184"/>
      <c r="P5043" t="s">
        <v>7029</v>
      </c>
      <c r="Q5043" t="s">
        <v>7494</v>
      </c>
      <c r="R5043" s="184">
        <v>14091</v>
      </c>
      <c r="S5043">
        <v>85</v>
      </c>
      <c r="V5043" t="s">
        <v>2832</v>
      </c>
      <c r="W5043" t="s">
        <v>7836</v>
      </c>
      <c r="X5043" t="s">
        <v>36131</v>
      </c>
      <c r="AF5043" t="s">
        <v>36132</v>
      </c>
      <c r="AG5043" t="s">
        <v>2832</v>
      </c>
      <c r="AI5043" t="s">
        <v>36133</v>
      </c>
      <c r="AM5043" t="s">
        <v>3371</v>
      </c>
      <c r="AN5043" t="s">
        <v>2174</v>
      </c>
      <c r="AO5043" t="s">
        <v>36134</v>
      </c>
      <c r="AP5043" t="s">
        <v>7024</v>
      </c>
      <c r="AQ5043" t="s">
        <v>36135</v>
      </c>
      <c r="AT5043" s="184">
        <v>42740</v>
      </c>
      <c r="AU5043" t="s">
        <v>36136</v>
      </c>
      <c r="AV5043">
        <v>200</v>
      </c>
      <c r="AW5043" s="184">
        <v>45259</v>
      </c>
      <c r="AX5043" t="s">
        <v>10538</v>
      </c>
      <c r="AY5043">
        <v>1000</v>
      </c>
      <c r="AZ5043" s="184">
        <v>45259</v>
      </c>
      <c r="BA5043" t="s">
        <v>10538</v>
      </c>
      <c r="BB5043">
        <v>1000</v>
      </c>
      <c r="BC5043">
        <v>88</v>
      </c>
      <c r="BD5043">
        <v>5200</v>
      </c>
      <c r="BE5043">
        <v>2017</v>
      </c>
      <c r="BF5043">
        <v>8</v>
      </c>
      <c r="BG5043">
        <v>2</v>
      </c>
      <c r="BH5043">
        <v>2000</v>
      </c>
      <c r="BI5043">
        <v>7</v>
      </c>
      <c r="BJ5043">
        <v>8</v>
      </c>
      <c r="BK5043">
        <v>7</v>
      </c>
      <c r="BP5043" s="184"/>
    </row>
    <row r="5044" spans="1:68">
      <c r="A5044">
        <v>95798070</v>
      </c>
      <c r="B5044">
        <v>95798070</v>
      </c>
      <c r="C5044" t="s">
        <v>7018</v>
      </c>
      <c r="D5044" t="s">
        <v>595</v>
      </c>
      <c r="E5044" s="184">
        <v>45148</v>
      </c>
      <c r="G5044" s="184"/>
      <c r="I5044" s="184"/>
      <c r="K5044" s="184"/>
      <c r="M5044" s="184"/>
      <c r="O5044" s="184"/>
      <c r="P5044" t="s">
        <v>7045</v>
      </c>
      <c r="Q5044" t="s">
        <v>7383</v>
      </c>
      <c r="R5044" s="184">
        <v>14520</v>
      </c>
      <c r="S5044">
        <v>84</v>
      </c>
      <c r="U5044" t="s">
        <v>7076</v>
      </c>
      <c r="V5044" t="s">
        <v>2586</v>
      </c>
      <c r="W5044" t="s">
        <v>36137</v>
      </c>
      <c r="X5044" t="s">
        <v>36138</v>
      </c>
      <c r="AF5044" t="s">
        <v>36139</v>
      </c>
      <c r="AG5044" t="s">
        <v>2586</v>
      </c>
      <c r="AI5044" t="s">
        <v>36140</v>
      </c>
      <c r="AM5044" t="s">
        <v>2888</v>
      </c>
      <c r="AN5044" t="s">
        <v>2274</v>
      </c>
      <c r="AO5044" t="s">
        <v>36141</v>
      </c>
      <c r="AP5044" t="s">
        <v>7024</v>
      </c>
      <c r="AQ5044" t="s">
        <v>36142</v>
      </c>
      <c r="AT5044" s="184">
        <v>42740</v>
      </c>
      <c r="AU5044" t="s">
        <v>36143</v>
      </c>
      <c r="AV5044">
        <v>50</v>
      </c>
      <c r="AW5044" s="184">
        <v>45272</v>
      </c>
      <c r="AX5044" t="s">
        <v>7807</v>
      </c>
      <c r="AY5044">
        <v>100</v>
      </c>
      <c r="AZ5044" s="184">
        <v>44300</v>
      </c>
      <c r="BA5044" t="s">
        <v>36144</v>
      </c>
      <c r="BB5044">
        <v>115</v>
      </c>
      <c r="BC5044">
        <v>63</v>
      </c>
      <c r="BD5044">
        <v>640</v>
      </c>
      <c r="BE5044">
        <v>2017</v>
      </c>
      <c r="BF5044">
        <v>8</v>
      </c>
      <c r="BG5044">
        <v>2</v>
      </c>
      <c r="BH5044">
        <v>200</v>
      </c>
      <c r="BI5044">
        <v>5</v>
      </c>
      <c r="BJ5044">
        <v>8</v>
      </c>
      <c r="BK5044">
        <v>2</v>
      </c>
      <c r="BN5044" t="s">
        <v>595</v>
      </c>
      <c r="BP5044" s="184"/>
    </row>
    <row r="5045" spans="1:68">
      <c r="A5045">
        <v>95827606</v>
      </c>
      <c r="B5045">
        <v>95827606</v>
      </c>
      <c r="C5045" t="s">
        <v>7018</v>
      </c>
      <c r="D5045" t="s">
        <v>595</v>
      </c>
      <c r="E5045" s="184">
        <v>45148</v>
      </c>
      <c r="G5045" s="184"/>
      <c r="I5045" s="184"/>
      <c r="K5045" s="184"/>
      <c r="M5045" s="184"/>
      <c r="O5045" s="184"/>
      <c r="P5045" t="s">
        <v>7045</v>
      </c>
      <c r="Q5045" t="s">
        <v>7494</v>
      </c>
      <c r="R5045" s="184">
        <v>16023</v>
      </c>
      <c r="S5045">
        <v>80</v>
      </c>
      <c r="V5045" t="s">
        <v>36145</v>
      </c>
      <c r="W5045" t="s">
        <v>7246</v>
      </c>
      <c r="X5045" t="s">
        <v>36146</v>
      </c>
      <c r="AF5045" t="s">
        <v>36147</v>
      </c>
      <c r="AG5045" t="s">
        <v>36145</v>
      </c>
      <c r="AI5045" t="s">
        <v>36148</v>
      </c>
      <c r="AM5045" t="s">
        <v>36149</v>
      </c>
      <c r="AN5045" t="s">
        <v>2174</v>
      </c>
      <c r="AO5045" t="s">
        <v>36150</v>
      </c>
      <c r="AP5045" t="s">
        <v>7024</v>
      </c>
      <c r="AQ5045" t="s">
        <v>36151</v>
      </c>
      <c r="AT5045" s="184">
        <v>42744</v>
      </c>
      <c r="AU5045" t="s">
        <v>36152</v>
      </c>
      <c r="AV5045">
        <v>50</v>
      </c>
      <c r="AW5045" s="184">
        <v>44573</v>
      </c>
      <c r="AX5045" t="s">
        <v>36153</v>
      </c>
      <c r="AY5045">
        <v>75</v>
      </c>
      <c r="AZ5045" s="184">
        <v>44573</v>
      </c>
      <c r="BA5045" t="s">
        <v>36153</v>
      </c>
      <c r="BB5045">
        <v>75</v>
      </c>
      <c r="BC5045">
        <v>63</v>
      </c>
      <c r="BD5045">
        <v>350</v>
      </c>
      <c r="BE5045">
        <v>2017</v>
      </c>
      <c r="BF5045">
        <v>7</v>
      </c>
      <c r="BI5045">
        <v>5</v>
      </c>
      <c r="BJ5045">
        <v>8</v>
      </c>
      <c r="BK5045">
        <v>4</v>
      </c>
      <c r="BP5045" s="184"/>
    </row>
    <row r="5046" spans="1:68">
      <c r="A5046">
        <v>95841383</v>
      </c>
      <c r="B5046">
        <v>95841383</v>
      </c>
      <c r="C5046" t="s">
        <v>7018</v>
      </c>
      <c r="E5046" s="184"/>
      <c r="G5046" s="184"/>
      <c r="H5046" t="s">
        <v>595</v>
      </c>
      <c r="I5046" s="184">
        <v>44935</v>
      </c>
      <c r="K5046" s="184"/>
      <c r="M5046" s="184"/>
      <c r="O5046" s="184"/>
      <c r="P5046" t="s">
        <v>8550</v>
      </c>
      <c r="Q5046" t="s">
        <v>7262</v>
      </c>
      <c r="R5046" s="184">
        <v>21394</v>
      </c>
      <c r="S5046">
        <v>65</v>
      </c>
      <c r="U5046" t="s">
        <v>7076</v>
      </c>
      <c r="V5046" t="s">
        <v>3223</v>
      </c>
      <c r="X5046" t="s">
        <v>3626</v>
      </c>
      <c r="AF5046" t="s">
        <v>36154</v>
      </c>
      <c r="AG5046" t="s">
        <v>3223</v>
      </c>
      <c r="AI5046" t="s">
        <v>36155</v>
      </c>
      <c r="AM5046" t="s">
        <v>21591</v>
      </c>
      <c r="AN5046" t="s">
        <v>2106</v>
      </c>
      <c r="AO5046" t="s">
        <v>36156</v>
      </c>
      <c r="AP5046" t="s">
        <v>7024</v>
      </c>
      <c r="AQ5046" t="s">
        <v>36157</v>
      </c>
      <c r="AT5046" s="184"/>
      <c r="AW5046" s="184"/>
      <c r="AZ5046" s="184"/>
      <c r="BP5046" s="184"/>
    </row>
    <row r="5047" spans="1:68">
      <c r="A5047">
        <v>95850798</v>
      </c>
      <c r="B5047">
        <v>95850798</v>
      </c>
      <c r="C5047" t="s">
        <v>7018</v>
      </c>
      <c r="E5047" s="184"/>
      <c r="G5047" s="184"/>
      <c r="I5047" s="184"/>
      <c r="J5047" t="s">
        <v>595</v>
      </c>
      <c r="K5047" s="184">
        <v>43676</v>
      </c>
      <c r="M5047" s="184"/>
      <c r="O5047" s="184"/>
      <c r="P5047" t="s">
        <v>7084</v>
      </c>
      <c r="Q5047" t="s">
        <v>7020</v>
      </c>
      <c r="R5047" s="184">
        <v>11575</v>
      </c>
      <c r="S5047">
        <v>92</v>
      </c>
      <c r="V5047" t="s">
        <v>2541</v>
      </c>
      <c r="X5047" t="s">
        <v>3686</v>
      </c>
      <c r="AF5047" t="s">
        <v>6625</v>
      </c>
      <c r="AG5047" t="s">
        <v>2541</v>
      </c>
      <c r="AI5047" t="s">
        <v>36158</v>
      </c>
      <c r="AM5047" t="s">
        <v>3687</v>
      </c>
      <c r="AN5047" t="s">
        <v>2240</v>
      </c>
      <c r="AO5047" t="s">
        <v>36159</v>
      </c>
      <c r="AP5047" t="s">
        <v>7024</v>
      </c>
      <c r="AT5047" s="184">
        <v>42752</v>
      </c>
      <c r="AU5047" t="s">
        <v>36160</v>
      </c>
      <c r="AV5047">
        <v>25</v>
      </c>
      <c r="AW5047" s="184">
        <v>45194</v>
      </c>
      <c r="AX5047" t="s">
        <v>7296</v>
      </c>
      <c r="AY5047">
        <v>20101.669999999998</v>
      </c>
      <c r="AZ5047" s="184">
        <v>45194</v>
      </c>
      <c r="BA5047" t="s">
        <v>7296</v>
      </c>
      <c r="BB5047">
        <v>20101.669999999998</v>
      </c>
      <c r="BC5047">
        <v>75</v>
      </c>
      <c r="BD5047">
        <v>20601.669999999998</v>
      </c>
      <c r="BE5047">
        <v>2017</v>
      </c>
      <c r="BF5047">
        <v>21</v>
      </c>
      <c r="BG5047">
        <v>1</v>
      </c>
      <c r="BH5047">
        <v>20101.669999999998</v>
      </c>
      <c r="BI5047">
        <v>6</v>
      </c>
      <c r="BJ5047">
        <v>8</v>
      </c>
      <c r="BK5047">
        <v>5</v>
      </c>
      <c r="BO5047" t="s">
        <v>595</v>
      </c>
      <c r="BP5047" s="184">
        <v>44995</v>
      </c>
    </row>
    <row r="5048" spans="1:68">
      <c r="A5048">
        <v>95881223</v>
      </c>
      <c r="B5048">
        <v>95881223</v>
      </c>
      <c r="C5048" t="s">
        <v>7018</v>
      </c>
      <c r="E5048" s="184"/>
      <c r="G5048" s="184"/>
      <c r="I5048" s="184"/>
      <c r="K5048" s="184"/>
      <c r="L5048" t="s">
        <v>595</v>
      </c>
      <c r="M5048" s="184">
        <v>44700</v>
      </c>
      <c r="O5048" s="184"/>
      <c r="P5048" t="s">
        <v>7029</v>
      </c>
      <c r="Q5048" t="s">
        <v>7194</v>
      </c>
      <c r="R5048" s="184">
        <v>18415</v>
      </c>
      <c r="S5048">
        <v>73</v>
      </c>
      <c r="V5048" t="s">
        <v>2871</v>
      </c>
      <c r="X5048" t="s">
        <v>36161</v>
      </c>
      <c r="Z5048">
        <v>100316025</v>
      </c>
      <c r="AB5048" t="s">
        <v>4916</v>
      </c>
      <c r="AC5048" t="s">
        <v>4013</v>
      </c>
      <c r="AD5048" t="s">
        <v>36162</v>
      </c>
      <c r="AF5048" t="s">
        <v>36163</v>
      </c>
      <c r="AG5048" t="s">
        <v>36164</v>
      </c>
      <c r="AI5048" t="s">
        <v>36165</v>
      </c>
      <c r="AM5048" t="s">
        <v>36166</v>
      </c>
      <c r="AN5048" t="s">
        <v>2046</v>
      </c>
      <c r="AO5048" t="s">
        <v>36167</v>
      </c>
      <c r="AP5048" t="s">
        <v>7024</v>
      </c>
      <c r="AT5048" s="184">
        <v>42760</v>
      </c>
      <c r="AU5048" t="s">
        <v>36168</v>
      </c>
      <c r="AV5048">
        <v>50</v>
      </c>
      <c r="AW5048" s="184">
        <v>45348</v>
      </c>
      <c r="AX5048" t="s">
        <v>7382</v>
      </c>
      <c r="AY5048">
        <v>1000</v>
      </c>
      <c r="AZ5048" s="184">
        <v>45348</v>
      </c>
      <c r="BA5048" t="s">
        <v>7382</v>
      </c>
      <c r="BB5048">
        <v>1000</v>
      </c>
      <c r="BC5048">
        <v>100</v>
      </c>
      <c r="BD5048">
        <v>3450</v>
      </c>
      <c r="BE5048">
        <v>2017</v>
      </c>
      <c r="BF5048">
        <v>8</v>
      </c>
      <c r="BG5048">
        <v>3</v>
      </c>
      <c r="BH5048">
        <v>3000</v>
      </c>
      <c r="BI5048">
        <v>8</v>
      </c>
      <c r="BJ5048">
        <v>8</v>
      </c>
      <c r="BK5048">
        <v>8</v>
      </c>
      <c r="BP5048" s="184"/>
    </row>
    <row r="5049" spans="1:68">
      <c r="A5049">
        <v>100316025</v>
      </c>
      <c r="B5049">
        <v>95881223</v>
      </c>
      <c r="C5049" t="s">
        <v>7018</v>
      </c>
      <c r="E5049" s="184"/>
      <c r="G5049" s="184"/>
      <c r="I5049" s="184"/>
      <c r="K5049" s="184"/>
      <c r="L5049" t="s">
        <v>595</v>
      </c>
      <c r="M5049" s="184">
        <v>44700</v>
      </c>
      <c r="O5049" s="184"/>
      <c r="P5049" t="s">
        <v>7029</v>
      </c>
      <c r="Q5049" t="s">
        <v>7194</v>
      </c>
      <c r="R5049" s="184">
        <v>18383</v>
      </c>
      <c r="S5049">
        <v>74</v>
      </c>
      <c r="V5049" t="s">
        <v>4916</v>
      </c>
      <c r="W5049" t="s">
        <v>4013</v>
      </c>
      <c r="X5049" t="s">
        <v>36162</v>
      </c>
      <c r="Z5049">
        <v>95881223</v>
      </c>
      <c r="AB5049" t="s">
        <v>2871</v>
      </c>
      <c r="AD5049" t="s">
        <v>36161</v>
      </c>
      <c r="AF5049" t="s">
        <v>36163</v>
      </c>
      <c r="AG5049" t="s">
        <v>36164</v>
      </c>
      <c r="AI5049" t="s">
        <v>36165</v>
      </c>
      <c r="AM5049" t="s">
        <v>36166</v>
      </c>
      <c r="AN5049" t="s">
        <v>2046</v>
      </c>
      <c r="AO5049" t="s">
        <v>36167</v>
      </c>
      <c r="AP5049" t="s">
        <v>7024</v>
      </c>
      <c r="AT5049" s="184"/>
      <c r="AW5049" s="184"/>
      <c r="AZ5049" s="184"/>
      <c r="BP5049" s="184"/>
    </row>
    <row r="5050" spans="1:68">
      <c r="A5050">
        <v>95882452</v>
      </c>
      <c r="B5050">
        <v>95882452</v>
      </c>
      <c r="C5050" t="s">
        <v>7018</v>
      </c>
      <c r="D5050" t="s">
        <v>595</v>
      </c>
      <c r="E5050" s="184">
        <v>45147</v>
      </c>
      <c r="G5050" s="184"/>
      <c r="I5050" s="184"/>
      <c r="K5050" s="184"/>
      <c r="M5050" s="184"/>
      <c r="O5050" s="184"/>
      <c r="P5050" t="s">
        <v>7045</v>
      </c>
      <c r="Q5050" t="s">
        <v>7494</v>
      </c>
      <c r="R5050" s="184">
        <v>18660</v>
      </c>
      <c r="S5050">
        <v>73</v>
      </c>
      <c r="U5050" t="s">
        <v>7031</v>
      </c>
      <c r="V5050" t="s">
        <v>3371</v>
      </c>
      <c r="W5050" t="s">
        <v>3237</v>
      </c>
      <c r="X5050" t="s">
        <v>36169</v>
      </c>
      <c r="AF5050" t="s">
        <v>36170</v>
      </c>
      <c r="AG5050" t="s">
        <v>3371</v>
      </c>
      <c r="AI5050" t="s">
        <v>36171</v>
      </c>
      <c r="AM5050" t="s">
        <v>3770</v>
      </c>
      <c r="AN5050" t="s">
        <v>2174</v>
      </c>
      <c r="AO5050" t="s">
        <v>36172</v>
      </c>
      <c r="AP5050" t="s">
        <v>7024</v>
      </c>
      <c r="AQ5050" t="s">
        <v>36173</v>
      </c>
      <c r="AT5050" s="184">
        <v>42760</v>
      </c>
      <c r="AU5050" t="s">
        <v>36174</v>
      </c>
      <c r="AV5050">
        <v>40</v>
      </c>
      <c r="AW5050" s="184">
        <v>45167</v>
      </c>
      <c r="AX5050" t="s">
        <v>29036</v>
      </c>
      <c r="AY5050">
        <v>50</v>
      </c>
      <c r="AZ5050" s="184">
        <v>44432</v>
      </c>
      <c r="BA5050" t="s">
        <v>35367</v>
      </c>
      <c r="BB5050">
        <v>95</v>
      </c>
      <c r="BC5050">
        <v>88</v>
      </c>
      <c r="BD5050">
        <v>394</v>
      </c>
      <c r="BE5050">
        <v>2017</v>
      </c>
      <c r="BF5050">
        <v>11</v>
      </c>
      <c r="BG5050">
        <v>2</v>
      </c>
      <c r="BH5050">
        <v>80</v>
      </c>
      <c r="BI5050">
        <v>7</v>
      </c>
      <c r="BJ5050">
        <v>8</v>
      </c>
      <c r="BK5050">
        <v>7</v>
      </c>
      <c r="BP5050" s="184"/>
    </row>
    <row r="5051" spans="1:68">
      <c r="A5051">
        <v>95885174</v>
      </c>
      <c r="B5051">
        <v>95885174</v>
      </c>
      <c r="C5051" t="s">
        <v>7018</v>
      </c>
      <c r="D5051" t="s">
        <v>595</v>
      </c>
      <c r="E5051" s="184">
        <v>44438</v>
      </c>
      <c r="G5051" s="184"/>
      <c r="H5051" t="s">
        <v>595</v>
      </c>
      <c r="I5051" s="184">
        <v>45013</v>
      </c>
      <c r="K5051" s="184"/>
      <c r="M5051" s="184"/>
      <c r="N5051" t="s">
        <v>595</v>
      </c>
      <c r="O5051" s="184">
        <v>45078</v>
      </c>
      <c r="P5051" t="s">
        <v>7045</v>
      </c>
      <c r="Q5051" t="s">
        <v>7020</v>
      </c>
      <c r="R5051" s="184">
        <v>21186</v>
      </c>
      <c r="S5051">
        <v>66</v>
      </c>
      <c r="U5051" t="s">
        <v>7076</v>
      </c>
      <c r="V5051" t="s">
        <v>2586</v>
      </c>
      <c r="W5051" t="s">
        <v>25342</v>
      </c>
      <c r="X5051" t="s">
        <v>36175</v>
      </c>
      <c r="AF5051" t="s">
        <v>36176</v>
      </c>
      <c r="AG5051" t="s">
        <v>2586</v>
      </c>
      <c r="AI5051" t="s">
        <v>36177</v>
      </c>
      <c r="AM5051" t="s">
        <v>36178</v>
      </c>
      <c r="AN5051" t="s">
        <v>2112</v>
      </c>
      <c r="AO5051" t="s">
        <v>36179</v>
      </c>
      <c r="AP5051" t="s">
        <v>7024</v>
      </c>
      <c r="AQ5051" t="s">
        <v>36180</v>
      </c>
      <c r="AR5051" t="s">
        <v>36181</v>
      </c>
      <c r="AT5051" s="184">
        <v>42760</v>
      </c>
      <c r="AU5051" t="s">
        <v>36182</v>
      </c>
      <c r="AV5051">
        <v>25</v>
      </c>
      <c r="AW5051" s="184">
        <v>45416</v>
      </c>
      <c r="AX5051" t="s">
        <v>7422</v>
      </c>
      <c r="AY5051">
        <v>7</v>
      </c>
      <c r="AZ5051" s="184">
        <v>42963</v>
      </c>
      <c r="BA5051" t="s">
        <v>36183</v>
      </c>
      <c r="BB5051">
        <v>25</v>
      </c>
      <c r="BC5051">
        <v>100</v>
      </c>
      <c r="BD5051">
        <v>631</v>
      </c>
      <c r="BE5051">
        <v>2017</v>
      </c>
      <c r="BF5051">
        <v>81</v>
      </c>
      <c r="BG5051">
        <v>25</v>
      </c>
      <c r="BH5051">
        <v>183</v>
      </c>
      <c r="BI5051">
        <v>8</v>
      </c>
      <c r="BJ5051">
        <v>8</v>
      </c>
      <c r="BK5051">
        <v>8</v>
      </c>
      <c r="BN5051" t="s">
        <v>595</v>
      </c>
      <c r="BP5051" s="184"/>
    </row>
    <row r="5052" spans="1:68">
      <c r="A5052">
        <v>95943445</v>
      </c>
      <c r="B5052">
        <v>95943445</v>
      </c>
      <c r="C5052" t="s">
        <v>7018</v>
      </c>
      <c r="D5052" t="s">
        <v>595</v>
      </c>
      <c r="E5052" s="184">
        <v>45154</v>
      </c>
      <c r="G5052" s="184"/>
      <c r="I5052" s="184"/>
      <c r="K5052" s="184"/>
      <c r="M5052" s="184"/>
      <c r="O5052" s="184"/>
      <c r="P5052" t="s">
        <v>7045</v>
      </c>
      <c r="Q5052" t="s">
        <v>7160</v>
      </c>
      <c r="R5052" s="184">
        <v>16117</v>
      </c>
      <c r="S5052">
        <v>80</v>
      </c>
      <c r="V5052" t="s">
        <v>5057</v>
      </c>
      <c r="X5052" t="s">
        <v>36184</v>
      </c>
      <c r="AF5052" t="s">
        <v>36185</v>
      </c>
      <c r="AG5052" t="s">
        <v>5057</v>
      </c>
      <c r="AI5052" t="s">
        <v>36186</v>
      </c>
      <c r="AM5052" t="s">
        <v>5618</v>
      </c>
      <c r="AN5052" t="s">
        <v>4637</v>
      </c>
      <c r="AO5052" t="s">
        <v>36187</v>
      </c>
      <c r="AP5052" t="s">
        <v>7024</v>
      </c>
      <c r="AQ5052" t="s">
        <v>36188</v>
      </c>
      <c r="AT5052" s="184">
        <v>42767</v>
      </c>
      <c r="AU5052" t="s">
        <v>36189</v>
      </c>
      <c r="AV5052">
        <v>10</v>
      </c>
      <c r="AW5052" s="184">
        <v>44974</v>
      </c>
      <c r="AX5052" t="s">
        <v>36190</v>
      </c>
      <c r="AY5052">
        <v>10</v>
      </c>
      <c r="AZ5052" s="184">
        <v>43418</v>
      </c>
      <c r="BA5052" t="s">
        <v>36191</v>
      </c>
      <c r="BB5052">
        <v>20</v>
      </c>
      <c r="BC5052">
        <v>75</v>
      </c>
      <c r="BD5052">
        <v>150</v>
      </c>
      <c r="BE5052">
        <v>2017</v>
      </c>
      <c r="BF5052">
        <v>13</v>
      </c>
      <c r="BG5052">
        <v>1</v>
      </c>
      <c r="BH5052">
        <v>10</v>
      </c>
      <c r="BI5052">
        <v>6</v>
      </c>
      <c r="BJ5052">
        <v>8</v>
      </c>
      <c r="BK5052">
        <v>4</v>
      </c>
      <c r="BP5052" s="184"/>
    </row>
    <row r="5053" spans="1:68">
      <c r="A5053">
        <v>95974564</v>
      </c>
      <c r="B5053">
        <v>95974564</v>
      </c>
      <c r="C5053" t="s">
        <v>7018</v>
      </c>
      <c r="E5053" s="184"/>
      <c r="G5053" s="184"/>
      <c r="I5053" s="184"/>
      <c r="J5053" t="s">
        <v>595</v>
      </c>
      <c r="K5053" s="184">
        <v>42881</v>
      </c>
      <c r="M5053" s="184"/>
      <c r="O5053" s="184"/>
      <c r="P5053" t="s">
        <v>7045</v>
      </c>
      <c r="Q5053" t="s">
        <v>7454</v>
      </c>
      <c r="R5053" s="184">
        <v>21648</v>
      </c>
      <c r="S5053">
        <v>65</v>
      </c>
      <c r="U5053" t="s">
        <v>7076</v>
      </c>
      <c r="V5053" t="s">
        <v>5316</v>
      </c>
      <c r="X5053" t="s">
        <v>5317</v>
      </c>
      <c r="AF5053" t="s">
        <v>36192</v>
      </c>
      <c r="AG5053" t="s">
        <v>36193</v>
      </c>
      <c r="AI5053" t="s">
        <v>36194</v>
      </c>
      <c r="AM5053" t="s">
        <v>4076</v>
      </c>
      <c r="AN5053" t="s">
        <v>2055</v>
      </c>
      <c r="AO5053" t="s">
        <v>36195</v>
      </c>
      <c r="AP5053" t="s">
        <v>7024</v>
      </c>
      <c r="AQ5053" t="s">
        <v>36196</v>
      </c>
      <c r="AT5053" s="184">
        <v>42771</v>
      </c>
      <c r="AU5053" t="s">
        <v>36197</v>
      </c>
      <c r="AV5053">
        <v>20</v>
      </c>
      <c r="AW5053" s="184">
        <v>44634</v>
      </c>
      <c r="AX5053" t="s">
        <v>7093</v>
      </c>
      <c r="AY5053">
        <v>1134.6300000000001</v>
      </c>
      <c r="AZ5053" s="184">
        <v>43402</v>
      </c>
      <c r="BA5053" t="s">
        <v>7348</v>
      </c>
      <c r="BB5053">
        <v>600000</v>
      </c>
      <c r="BC5053">
        <v>75</v>
      </c>
      <c r="BD5053">
        <v>1242703.27</v>
      </c>
      <c r="BE5053">
        <v>2017</v>
      </c>
      <c r="BF5053">
        <v>34</v>
      </c>
      <c r="BI5053">
        <v>6</v>
      </c>
      <c r="BJ5053">
        <v>8</v>
      </c>
      <c r="BK5053">
        <v>6</v>
      </c>
      <c r="BN5053" t="s">
        <v>595</v>
      </c>
      <c r="BO5053" t="s">
        <v>595</v>
      </c>
      <c r="BP5053" s="184">
        <v>43061</v>
      </c>
    </row>
    <row r="5054" spans="1:68">
      <c r="A5054">
        <v>95989646</v>
      </c>
      <c r="B5054">
        <v>95989646</v>
      </c>
      <c r="C5054" t="s">
        <v>7018</v>
      </c>
      <c r="D5054" t="s">
        <v>595</v>
      </c>
      <c r="E5054" s="184">
        <v>45147</v>
      </c>
      <c r="G5054" s="184"/>
      <c r="I5054" s="184"/>
      <c r="K5054" s="184"/>
      <c r="M5054" s="184"/>
      <c r="O5054" s="184"/>
      <c r="P5054" t="s">
        <v>7045</v>
      </c>
      <c r="Q5054" t="s">
        <v>7383</v>
      </c>
      <c r="R5054" s="184">
        <v>22798</v>
      </c>
      <c r="S5054">
        <v>61</v>
      </c>
      <c r="V5054" t="s">
        <v>36198</v>
      </c>
      <c r="X5054" t="s">
        <v>36199</v>
      </c>
      <c r="AF5054" t="s">
        <v>36200</v>
      </c>
      <c r="AG5054" t="s">
        <v>36198</v>
      </c>
      <c r="AI5054" t="s">
        <v>36201</v>
      </c>
      <c r="AM5054" t="s">
        <v>32553</v>
      </c>
      <c r="AN5054" t="s">
        <v>2185</v>
      </c>
      <c r="AO5054" t="s">
        <v>36202</v>
      </c>
      <c r="AP5054" t="s">
        <v>7024</v>
      </c>
      <c r="AQ5054" t="s">
        <v>36203</v>
      </c>
      <c r="AT5054" s="184">
        <v>42768</v>
      </c>
      <c r="AU5054" t="s">
        <v>36204</v>
      </c>
      <c r="AV5054">
        <v>15</v>
      </c>
      <c r="AW5054" s="184">
        <v>44641</v>
      </c>
      <c r="AX5054" t="s">
        <v>32964</v>
      </c>
      <c r="AY5054">
        <v>25</v>
      </c>
      <c r="AZ5054" s="184">
        <v>44641</v>
      </c>
      <c r="BA5054" t="s">
        <v>32964</v>
      </c>
      <c r="BB5054">
        <v>25</v>
      </c>
      <c r="BC5054">
        <v>63</v>
      </c>
      <c r="BD5054">
        <v>130</v>
      </c>
      <c r="BE5054">
        <v>2017</v>
      </c>
      <c r="BF5054">
        <v>7</v>
      </c>
      <c r="BI5054">
        <v>5</v>
      </c>
      <c r="BJ5054">
        <v>8</v>
      </c>
      <c r="BK5054">
        <v>4</v>
      </c>
      <c r="BP5054" s="184"/>
    </row>
    <row r="5055" spans="1:68">
      <c r="A5055">
        <v>95990727</v>
      </c>
      <c r="B5055">
        <v>95990727</v>
      </c>
      <c r="C5055" t="s">
        <v>7018</v>
      </c>
      <c r="D5055" t="s">
        <v>595</v>
      </c>
      <c r="E5055" s="184">
        <v>43677</v>
      </c>
      <c r="G5055" s="184"/>
      <c r="I5055" s="184"/>
      <c r="K5055" s="184"/>
      <c r="M5055" s="184"/>
      <c r="O5055" s="184"/>
      <c r="P5055" t="s">
        <v>7045</v>
      </c>
      <c r="Q5055" t="s">
        <v>7262</v>
      </c>
      <c r="R5055" s="184">
        <v>19238</v>
      </c>
      <c r="S5055">
        <v>71</v>
      </c>
      <c r="V5055" t="s">
        <v>2871</v>
      </c>
      <c r="X5055" t="s">
        <v>36205</v>
      </c>
      <c r="AF5055" t="s">
        <v>36206</v>
      </c>
      <c r="AG5055" t="s">
        <v>2871</v>
      </c>
      <c r="AI5055" t="s">
        <v>36207</v>
      </c>
      <c r="AM5055" t="s">
        <v>2616</v>
      </c>
      <c r="AN5055" t="s">
        <v>2069</v>
      </c>
      <c r="AO5055" t="s">
        <v>36208</v>
      </c>
      <c r="AP5055" t="s">
        <v>7024</v>
      </c>
      <c r="AQ5055" t="s">
        <v>36209</v>
      </c>
      <c r="AT5055" s="184">
        <v>42768</v>
      </c>
      <c r="AU5055" t="s">
        <v>36189</v>
      </c>
      <c r="AV5055">
        <v>15</v>
      </c>
      <c r="AW5055" s="184">
        <v>43979</v>
      </c>
      <c r="AX5055" t="s">
        <v>36210</v>
      </c>
      <c r="AY5055">
        <v>20</v>
      </c>
      <c r="AZ5055" s="184">
        <v>43194</v>
      </c>
      <c r="BA5055" t="s">
        <v>36211</v>
      </c>
      <c r="BB5055">
        <v>25</v>
      </c>
      <c r="BC5055">
        <v>38</v>
      </c>
      <c r="BD5055">
        <v>60</v>
      </c>
      <c r="BE5055">
        <v>2017</v>
      </c>
      <c r="BF5055">
        <v>3</v>
      </c>
      <c r="BI5055">
        <v>3</v>
      </c>
      <c r="BJ5055">
        <v>8</v>
      </c>
      <c r="BK5055">
        <v>2</v>
      </c>
      <c r="BP5055" s="184"/>
    </row>
    <row r="5056" spans="1:68">
      <c r="A5056">
        <v>96002704</v>
      </c>
      <c r="B5056">
        <v>96002704</v>
      </c>
      <c r="C5056" t="s">
        <v>7018</v>
      </c>
      <c r="D5056" t="s">
        <v>595</v>
      </c>
      <c r="E5056" s="184">
        <v>44419</v>
      </c>
      <c r="G5056" s="184"/>
      <c r="I5056" s="184"/>
      <c r="K5056" s="184"/>
      <c r="M5056" s="184"/>
      <c r="O5056" s="184"/>
      <c r="P5056" t="s">
        <v>7019</v>
      </c>
      <c r="Q5056" t="s">
        <v>7020</v>
      </c>
      <c r="R5056" s="184">
        <v>19391</v>
      </c>
      <c r="S5056">
        <v>71</v>
      </c>
      <c r="V5056" t="s">
        <v>2938</v>
      </c>
      <c r="X5056" t="s">
        <v>4493</v>
      </c>
      <c r="AF5056" t="s">
        <v>36212</v>
      </c>
      <c r="AG5056" t="s">
        <v>2938</v>
      </c>
      <c r="AI5056" t="s">
        <v>36213</v>
      </c>
      <c r="AM5056" t="s">
        <v>3004</v>
      </c>
      <c r="AN5056" t="s">
        <v>2112</v>
      </c>
      <c r="AO5056" t="s">
        <v>36214</v>
      </c>
      <c r="AP5056" t="s">
        <v>7024</v>
      </c>
      <c r="AQ5056" t="s">
        <v>36215</v>
      </c>
      <c r="AT5056" s="184">
        <v>42772</v>
      </c>
      <c r="AU5056" t="s">
        <v>36216</v>
      </c>
      <c r="AV5056">
        <v>25</v>
      </c>
      <c r="AW5056" s="184">
        <v>45327</v>
      </c>
      <c r="AX5056" t="s">
        <v>8133</v>
      </c>
      <c r="AY5056">
        <v>60</v>
      </c>
      <c r="AZ5056" s="184">
        <v>45327</v>
      </c>
      <c r="BA5056" t="s">
        <v>8133</v>
      </c>
      <c r="BB5056">
        <v>60</v>
      </c>
      <c r="BC5056">
        <v>100</v>
      </c>
      <c r="BD5056">
        <v>320</v>
      </c>
      <c r="BE5056">
        <v>2017</v>
      </c>
      <c r="BF5056">
        <v>13</v>
      </c>
      <c r="BG5056">
        <v>4</v>
      </c>
      <c r="BH5056">
        <v>120</v>
      </c>
      <c r="BI5056">
        <v>8</v>
      </c>
      <c r="BJ5056">
        <v>8</v>
      </c>
      <c r="BK5056">
        <v>8</v>
      </c>
      <c r="BN5056" t="s">
        <v>595</v>
      </c>
      <c r="BP5056" s="184"/>
    </row>
    <row r="5057" spans="1:68">
      <c r="A5057">
        <v>96003074</v>
      </c>
      <c r="B5057">
        <v>96003074</v>
      </c>
      <c r="C5057" t="s">
        <v>7018</v>
      </c>
      <c r="D5057" t="s">
        <v>595</v>
      </c>
      <c r="E5057" s="184">
        <v>45112</v>
      </c>
      <c r="G5057" s="184"/>
      <c r="I5057" s="184"/>
      <c r="K5057" s="184"/>
      <c r="M5057" s="184"/>
      <c r="O5057" s="184"/>
      <c r="P5057" t="s">
        <v>7045</v>
      </c>
      <c r="Q5057" t="s">
        <v>7383</v>
      </c>
      <c r="R5057" s="184">
        <v>22307</v>
      </c>
      <c r="S5057">
        <v>63</v>
      </c>
      <c r="V5057" t="s">
        <v>36217</v>
      </c>
      <c r="X5057" t="s">
        <v>36218</v>
      </c>
      <c r="AF5057" t="s">
        <v>36219</v>
      </c>
      <c r="AG5057" t="s">
        <v>36217</v>
      </c>
      <c r="AI5057" t="s">
        <v>36220</v>
      </c>
      <c r="AM5057" t="s">
        <v>3783</v>
      </c>
      <c r="AN5057" t="s">
        <v>2139</v>
      </c>
      <c r="AO5057" t="s">
        <v>36221</v>
      </c>
      <c r="AP5057" t="s">
        <v>7024</v>
      </c>
      <c r="AQ5057" t="s">
        <v>36222</v>
      </c>
      <c r="AR5057" t="s">
        <v>36223</v>
      </c>
      <c r="AT5057" s="184">
        <v>42772</v>
      </c>
      <c r="AU5057" t="s">
        <v>36224</v>
      </c>
      <c r="AV5057">
        <v>15</v>
      </c>
      <c r="AW5057" s="184">
        <v>45293</v>
      </c>
      <c r="AX5057" t="s">
        <v>7832</v>
      </c>
      <c r="AY5057">
        <v>25</v>
      </c>
      <c r="AZ5057" s="184">
        <v>45293</v>
      </c>
      <c r="BA5057" t="s">
        <v>7832</v>
      </c>
      <c r="BB5057">
        <v>25</v>
      </c>
      <c r="BC5057">
        <v>88</v>
      </c>
      <c r="BD5057">
        <v>215</v>
      </c>
      <c r="BE5057">
        <v>2017</v>
      </c>
      <c r="BF5057">
        <v>9</v>
      </c>
      <c r="BG5057">
        <v>2</v>
      </c>
      <c r="BH5057">
        <v>50</v>
      </c>
      <c r="BI5057">
        <v>7</v>
      </c>
      <c r="BJ5057">
        <v>8</v>
      </c>
      <c r="BK5057">
        <v>6</v>
      </c>
      <c r="BP5057" s="184"/>
    </row>
    <row r="5058" spans="1:68">
      <c r="A5058">
        <v>100363440</v>
      </c>
      <c r="B5058">
        <v>96019062</v>
      </c>
      <c r="C5058" t="s">
        <v>7018</v>
      </c>
      <c r="E5058" s="184"/>
      <c r="G5058" s="184"/>
      <c r="H5058" t="s">
        <v>595</v>
      </c>
      <c r="I5058" s="184">
        <v>43915</v>
      </c>
      <c r="K5058" s="184"/>
      <c r="M5058" s="184"/>
      <c r="O5058" s="184"/>
      <c r="P5058" t="s">
        <v>7045</v>
      </c>
      <c r="Q5058" t="s">
        <v>7160</v>
      </c>
      <c r="R5058" s="184">
        <v>15708</v>
      </c>
      <c r="S5058">
        <v>81</v>
      </c>
      <c r="U5058" t="s">
        <v>7032</v>
      </c>
      <c r="V5058" t="s">
        <v>3246</v>
      </c>
      <c r="X5058" t="s">
        <v>4794</v>
      </c>
      <c r="Z5058">
        <v>96019062</v>
      </c>
      <c r="AB5058" t="s">
        <v>36225</v>
      </c>
      <c r="AD5058" t="s">
        <v>4794</v>
      </c>
      <c r="AF5058" t="s">
        <v>36226</v>
      </c>
      <c r="AG5058" t="s">
        <v>36227</v>
      </c>
      <c r="AI5058" t="s">
        <v>36228</v>
      </c>
      <c r="AM5058" t="s">
        <v>4692</v>
      </c>
      <c r="AN5058" t="s">
        <v>2176</v>
      </c>
      <c r="AO5058" t="s">
        <v>36229</v>
      </c>
      <c r="AP5058" t="s">
        <v>7024</v>
      </c>
      <c r="AQ5058" t="s">
        <v>36230</v>
      </c>
      <c r="AT5058" s="184"/>
      <c r="AW5058" s="184"/>
      <c r="AZ5058" s="184"/>
      <c r="BP5058" s="184"/>
    </row>
    <row r="5059" spans="1:68">
      <c r="A5059">
        <v>96029178</v>
      </c>
      <c r="B5059">
        <v>96029178</v>
      </c>
      <c r="C5059" t="s">
        <v>7018</v>
      </c>
      <c r="E5059" s="184"/>
      <c r="G5059" s="184"/>
      <c r="I5059" s="184"/>
      <c r="J5059" t="s">
        <v>595</v>
      </c>
      <c r="K5059" s="184">
        <v>44846</v>
      </c>
      <c r="M5059" s="184"/>
      <c r="O5059" s="184"/>
      <c r="P5059" t="s">
        <v>7686</v>
      </c>
      <c r="Q5059" t="s">
        <v>7374</v>
      </c>
      <c r="R5059" s="184">
        <v>7337</v>
      </c>
      <c r="S5059">
        <v>104</v>
      </c>
      <c r="U5059" t="s">
        <v>7031</v>
      </c>
      <c r="V5059" t="s">
        <v>15867</v>
      </c>
      <c r="X5059" t="s">
        <v>36231</v>
      </c>
      <c r="AF5059" t="s">
        <v>36232</v>
      </c>
      <c r="AG5059" t="s">
        <v>15867</v>
      </c>
      <c r="AI5059" t="s">
        <v>36233</v>
      </c>
      <c r="AM5059" t="s">
        <v>36231</v>
      </c>
      <c r="AN5059" t="s">
        <v>2081</v>
      </c>
      <c r="AO5059" t="s">
        <v>36234</v>
      </c>
      <c r="AP5059" t="s">
        <v>7024</v>
      </c>
      <c r="AQ5059" t="s">
        <v>36235</v>
      </c>
      <c r="AT5059" s="184">
        <v>42774</v>
      </c>
      <c r="AU5059" t="s">
        <v>36236</v>
      </c>
      <c r="AV5059">
        <v>25</v>
      </c>
      <c r="AW5059" s="184">
        <v>44843</v>
      </c>
      <c r="AX5059" t="s">
        <v>7721</v>
      </c>
      <c r="AY5059">
        <v>5000</v>
      </c>
      <c r="AZ5059" s="184">
        <v>44843</v>
      </c>
      <c r="BA5059" t="s">
        <v>7721</v>
      </c>
      <c r="BB5059">
        <v>5000</v>
      </c>
      <c r="BC5059">
        <v>25</v>
      </c>
      <c r="BD5059">
        <v>5025</v>
      </c>
      <c r="BE5059">
        <v>2017</v>
      </c>
      <c r="BF5059">
        <v>2</v>
      </c>
      <c r="BG5059">
        <v>1</v>
      </c>
      <c r="BH5059">
        <v>5000</v>
      </c>
      <c r="BI5059">
        <v>2</v>
      </c>
      <c r="BJ5059">
        <v>8</v>
      </c>
      <c r="BK5059">
        <v>1</v>
      </c>
      <c r="BO5059" t="s">
        <v>595</v>
      </c>
      <c r="BP5059" s="184">
        <v>44409</v>
      </c>
    </row>
    <row r="5060" spans="1:68">
      <c r="A5060">
        <v>96032339</v>
      </c>
      <c r="B5060">
        <v>96032339</v>
      </c>
      <c r="C5060" t="s">
        <v>7018</v>
      </c>
      <c r="E5060" s="184"/>
      <c r="G5060" s="184"/>
      <c r="H5060" t="s">
        <v>595</v>
      </c>
      <c r="I5060" s="184">
        <v>44073</v>
      </c>
      <c r="J5060" t="s">
        <v>595</v>
      </c>
      <c r="K5060" s="184">
        <v>44073</v>
      </c>
      <c r="O5060" s="184"/>
      <c r="P5060" t="s">
        <v>7045</v>
      </c>
      <c r="Q5060" t="s">
        <v>7020</v>
      </c>
      <c r="R5060" s="184">
        <v>15525</v>
      </c>
      <c r="S5060">
        <v>81</v>
      </c>
      <c r="V5060" t="s">
        <v>3444</v>
      </c>
      <c r="X5060" t="s">
        <v>3256</v>
      </c>
      <c r="AF5060" t="s">
        <v>36237</v>
      </c>
      <c r="AG5060" t="s">
        <v>3444</v>
      </c>
      <c r="AI5060" t="s">
        <v>36238</v>
      </c>
      <c r="AM5060" t="s">
        <v>4954</v>
      </c>
      <c r="AN5060" t="s">
        <v>2129</v>
      </c>
      <c r="AO5060" t="s">
        <v>36239</v>
      </c>
      <c r="AP5060" t="s">
        <v>7024</v>
      </c>
      <c r="AQ5060" t="s">
        <v>36240</v>
      </c>
      <c r="AT5060" s="184">
        <v>42775</v>
      </c>
      <c r="AU5060" t="s">
        <v>36241</v>
      </c>
      <c r="AV5060">
        <v>15</v>
      </c>
      <c r="AW5060" s="184">
        <v>45019</v>
      </c>
      <c r="AX5060" t="s">
        <v>36242</v>
      </c>
      <c r="AY5060">
        <v>15</v>
      </c>
      <c r="AZ5060" s="184">
        <v>43077</v>
      </c>
      <c r="BA5060" t="s">
        <v>36243</v>
      </c>
      <c r="BB5060">
        <v>25</v>
      </c>
      <c r="BC5060">
        <v>75</v>
      </c>
      <c r="BD5060">
        <v>115</v>
      </c>
      <c r="BE5060">
        <v>2017</v>
      </c>
      <c r="BF5060">
        <v>7</v>
      </c>
      <c r="BG5060">
        <v>1</v>
      </c>
      <c r="BH5060">
        <v>15</v>
      </c>
      <c r="BI5060">
        <v>6</v>
      </c>
      <c r="BJ5060">
        <v>8</v>
      </c>
      <c r="BK5060">
        <v>5</v>
      </c>
      <c r="BP5060" s="184"/>
    </row>
    <row r="5061" spans="1:68">
      <c r="A5061">
        <v>96035233</v>
      </c>
      <c r="B5061">
        <v>96035233</v>
      </c>
      <c r="C5061" t="s">
        <v>7018</v>
      </c>
      <c r="D5061" t="s">
        <v>595</v>
      </c>
      <c r="E5061" s="184">
        <v>44167</v>
      </c>
      <c r="G5061" s="184"/>
      <c r="I5061" s="184"/>
      <c r="K5061" s="184"/>
      <c r="M5061" s="184"/>
      <c r="O5061" s="184"/>
      <c r="P5061" t="s">
        <v>7045</v>
      </c>
      <c r="Q5061" t="s">
        <v>7262</v>
      </c>
      <c r="R5061" s="184">
        <v>10349</v>
      </c>
      <c r="S5061">
        <v>96</v>
      </c>
      <c r="V5061" t="s">
        <v>26027</v>
      </c>
      <c r="W5061" t="s">
        <v>2049</v>
      </c>
      <c r="X5061" t="s">
        <v>3160</v>
      </c>
      <c r="AF5061" t="s">
        <v>36244</v>
      </c>
      <c r="AG5061" t="s">
        <v>26027</v>
      </c>
      <c r="AI5061" t="s">
        <v>36245</v>
      </c>
      <c r="AM5061" t="s">
        <v>4683</v>
      </c>
      <c r="AN5061" t="s">
        <v>65</v>
      </c>
      <c r="AO5061" t="s">
        <v>36246</v>
      </c>
      <c r="AP5061" t="s">
        <v>7024</v>
      </c>
      <c r="AQ5061" t="s">
        <v>36247</v>
      </c>
      <c r="AT5061" s="184">
        <v>42780</v>
      </c>
      <c r="AU5061" t="s">
        <v>36248</v>
      </c>
      <c r="AV5061">
        <v>300</v>
      </c>
      <c r="AW5061" s="184">
        <v>44718</v>
      </c>
      <c r="AX5061" t="s">
        <v>17687</v>
      </c>
      <c r="AY5061">
        <v>400</v>
      </c>
      <c r="AZ5061" s="184">
        <v>44718</v>
      </c>
      <c r="BA5061" t="s">
        <v>17687</v>
      </c>
      <c r="BB5061">
        <v>400</v>
      </c>
      <c r="BC5061">
        <v>75</v>
      </c>
      <c r="BD5061">
        <v>2200</v>
      </c>
      <c r="BE5061">
        <v>2017</v>
      </c>
      <c r="BF5061">
        <v>6</v>
      </c>
      <c r="BG5061">
        <v>1</v>
      </c>
      <c r="BH5061">
        <v>400</v>
      </c>
      <c r="BI5061">
        <v>6</v>
      </c>
      <c r="BJ5061">
        <v>8</v>
      </c>
      <c r="BK5061">
        <v>6</v>
      </c>
      <c r="BO5061" t="s">
        <v>595</v>
      </c>
      <c r="BP5061" s="184"/>
    </row>
    <row r="5062" spans="1:68">
      <c r="A5062">
        <v>96052923</v>
      </c>
      <c r="B5062">
        <v>96052923</v>
      </c>
      <c r="C5062" t="s">
        <v>7018</v>
      </c>
      <c r="D5062" t="s">
        <v>595</v>
      </c>
      <c r="E5062" s="184">
        <v>44040</v>
      </c>
      <c r="G5062" s="184"/>
      <c r="I5062" s="184"/>
      <c r="K5062" s="184"/>
      <c r="M5062" s="184"/>
      <c r="O5062" s="184"/>
      <c r="P5062" t="s">
        <v>7045</v>
      </c>
      <c r="Q5062" t="s">
        <v>7383</v>
      </c>
      <c r="R5062" s="184">
        <v>35796</v>
      </c>
      <c r="S5062">
        <v>26</v>
      </c>
      <c r="U5062" t="s">
        <v>7031</v>
      </c>
      <c r="V5062" t="s">
        <v>36249</v>
      </c>
      <c r="W5062" t="s">
        <v>4152</v>
      </c>
      <c r="X5062" t="s">
        <v>36250</v>
      </c>
      <c r="AF5062" t="s">
        <v>36251</v>
      </c>
      <c r="AG5062" t="s">
        <v>36249</v>
      </c>
      <c r="AI5062" t="s">
        <v>36252</v>
      </c>
      <c r="AM5062" t="s">
        <v>36253</v>
      </c>
      <c r="AN5062" t="s">
        <v>2274</v>
      </c>
      <c r="AO5062" t="s">
        <v>36254</v>
      </c>
      <c r="AP5062" t="s">
        <v>7024</v>
      </c>
      <c r="AQ5062" t="s">
        <v>36255</v>
      </c>
      <c r="AR5062" t="s">
        <v>36256</v>
      </c>
      <c r="AT5062" s="184">
        <v>35452</v>
      </c>
      <c r="AU5062" t="s">
        <v>36257</v>
      </c>
      <c r="AV5062">
        <v>25</v>
      </c>
      <c r="AW5062" s="184">
        <v>45267</v>
      </c>
      <c r="AX5062" t="s">
        <v>36258</v>
      </c>
      <c r="AY5062">
        <v>36.75</v>
      </c>
      <c r="AZ5062" s="184">
        <v>39764</v>
      </c>
      <c r="BA5062" t="s">
        <v>36259</v>
      </c>
      <c r="BB5062">
        <v>60</v>
      </c>
      <c r="BC5062">
        <v>61</v>
      </c>
      <c r="BD5062">
        <v>836.75</v>
      </c>
      <c r="BE5062">
        <v>1997</v>
      </c>
      <c r="BF5062">
        <v>24</v>
      </c>
      <c r="BG5062">
        <v>2</v>
      </c>
      <c r="BH5062">
        <v>71.75</v>
      </c>
      <c r="BI5062">
        <v>17</v>
      </c>
      <c r="BJ5062">
        <v>28</v>
      </c>
      <c r="BK5062">
        <v>5</v>
      </c>
      <c r="BP5062" s="184"/>
    </row>
    <row r="5063" spans="1:68">
      <c r="A5063">
        <v>96062716</v>
      </c>
      <c r="B5063">
        <v>96062716</v>
      </c>
      <c r="C5063" t="s">
        <v>7018</v>
      </c>
      <c r="D5063" t="s">
        <v>595</v>
      </c>
      <c r="E5063" s="184">
        <v>45138</v>
      </c>
      <c r="G5063" s="184"/>
      <c r="I5063" s="184"/>
      <c r="K5063" s="184"/>
      <c r="M5063" s="184"/>
      <c r="O5063" s="184"/>
      <c r="P5063" t="s">
        <v>7045</v>
      </c>
      <c r="Q5063" t="s">
        <v>7383</v>
      </c>
      <c r="R5063" s="184">
        <v>20394</v>
      </c>
      <c r="S5063">
        <v>68</v>
      </c>
      <c r="V5063" t="s">
        <v>36260</v>
      </c>
      <c r="X5063" t="s">
        <v>36261</v>
      </c>
      <c r="AF5063" t="s">
        <v>36262</v>
      </c>
      <c r="AG5063" t="s">
        <v>36260</v>
      </c>
      <c r="AI5063" t="s">
        <v>36263</v>
      </c>
      <c r="AM5063" t="s">
        <v>36264</v>
      </c>
      <c r="AN5063" t="s">
        <v>2185</v>
      </c>
      <c r="AO5063" t="s">
        <v>36265</v>
      </c>
      <c r="AP5063" t="s">
        <v>7024</v>
      </c>
      <c r="AQ5063" t="s">
        <v>36266</v>
      </c>
      <c r="AT5063" s="184">
        <v>42783</v>
      </c>
      <c r="AU5063" t="s">
        <v>36267</v>
      </c>
      <c r="AV5063">
        <v>19.97</v>
      </c>
      <c r="AW5063" s="184">
        <v>45131</v>
      </c>
      <c r="AX5063" t="s">
        <v>9182</v>
      </c>
      <c r="AY5063">
        <v>50</v>
      </c>
      <c r="AZ5063" s="184">
        <v>45131</v>
      </c>
      <c r="BA5063" t="s">
        <v>9182</v>
      </c>
      <c r="BB5063">
        <v>50</v>
      </c>
      <c r="BC5063">
        <v>75</v>
      </c>
      <c r="BD5063">
        <v>364.97</v>
      </c>
      <c r="BE5063">
        <v>2017</v>
      </c>
      <c r="BF5063">
        <v>9</v>
      </c>
      <c r="BG5063">
        <v>3</v>
      </c>
      <c r="BH5063">
        <v>150</v>
      </c>
      <c r="BI5063">
        <v>6</v>
      </c>
      <c r="BJ5063">
        <v>8</v>
      </c>
      <c r="BK5063">
        <v>5</v>
      </c>
      <c r="BP5063" s="184"/>
    </row>
    <row r="5064" spans="1:68">
      <c r="A5064">
        <v>96068119</v>
      </c>
      <c r="B5064">
        <v>96068119</v>
      </c>
      <c r="C5064" t="s">
        <v>7018</v>
      </c>
      <c r="D5064" t="s">
        <v>595</v>
      </c>
      <c r="E5064" s="184">
        <v>45195</v>
      </c>
      <c r="G5064" s="184"/>
      <c r="I5064" s="184"/>
      <c r="K5064" s="184"/>
      <c r="M5064" s="184"/>
      <c r="O5064" s="184"/>
      <c r="P5064" t="s">
        <v>7045</v>
      </c>
      <c r="Q5064" t="s">
        <v>7774</v>
      </c>
      <c r="R5064" s="184">
        <v>21916</v>
      </c>
      <c r="S5064">
        <v>64</v>
      </c>
      <c r="V5064" t="s">
        <v>3008</v>
      </c>
      <c r="X5064" t="s">
        <v>36268</v>
      </c>
      <c r="AF5064" t="s">
        <v>36269</v>
      </c>
      <c r="AG5064" t="s">
        <v>3008</v>
      </c>
      <c r="AI5064" t="s">
        <v>36270</v>
      </c>
      <c r="AM5064" t="s">
        <v>36271</v>
      </c>
      <c r="AN5064" t="s">
        <v>6952</v>
      </c>
      <c r="AO5064" t="s">
        <v>36272</v>
      </c>
      <c r="AP5064" t="s">
        <v>7024</v>
      </c>
      <c r="AQ5064" t="s">
        <v>36273</v>
      </c>
      <c r="AT5064" s="184">
        <v>42787</v>
      </c>
      <c r="AU5064" t="s">
        <v>36274</v>
      </c>
      <c r="AV5064">
        <v>25</v>
      </c>
      <c r="AW5064" s="184">
        <v>45316</v>
      </c>
      <c r="AX5064" t="s">
        <v>24131</v>
      </c>
      <c r="AY5064">
        <v>25</v>
      </c>
      <c r="AZ5064" s="184">
        <v>44860</v>
      </c>
      <c r="BA5064" t="s">
        <v>36275</v>
      </c>
      <c r="BB5064">
        <v>60</v>
      </c>
      <c r="BC5064">
        <v>75</v>
      </c>
      <c r="BD5064">
        <v>255</v>
      </c>
      <c r="BE5064">
        <v>2017</v>
      </c>
      <c r="BF5064">
        <v>6</v>
      </c>
      <c r="BG5064">
        <v>2</v>
      </c>
      <c r="BH5064">
        <v>85</v>
      </c>
      <c r="BI5064">
        <v>6</v>
      </c>
      <c r="BJ5064">
        <v>8</v>
      </c>
      <c r="BK5064">
        <v>3</v>
      </c>
      <c r="BP5064" s="184"/>
    </row>
    <row r="5065" spans="1:68">
      <c r="A5065">
        <v>96068994</v>
      </c>
      <c r="B5065">
        <v>96068994</v>
      </c>
      <c r="C5065" t="s">
        <v>7018</v>
      </c>
      <c r="D5065" t="s">
        <v>595</v>
      </c>
      <c r="E5065" s="184">
        <v>45125</v>
      </c>
      <c r="G5065" s="184"/>
      <c r="I5065" s="184"/>
      <c r="K5065" s="184"/>
      <c r="M5065" s="184"/>
      <c r="P5065" t="s">
        <v>7045</v>
      </c>
      <c r="Q5065" t="s">
        <v>7262</v>
      </c>
      <c r="R5065" s="184">
        <v>18264</v>
      </c>
      <c r="S5065">
        <v>74</v>
      </c>
      <c r="V5065" t="s">
        <v>36276</v>
      </c>
      <c r="X5065" t="s">
        <v>11602</v>
      </c>
      <c r="AF5065" t="s">
        <v>36277</v>
      </c>
      <c r="AG5065" t="s">
        <v>36276</v>
      </c>
      <c r="AI5065" t="s">
        <v>36278</v>
      </c>
      <c r="AM5065" t="s">
        <v>5118</v>
      </c>
      <c r="AN5065" t="s">
        <v>2069</v>
      </c>
      <c r="AO5065" t="s">
        <v>36279</v>
      </c>
      <c r="AP5065" t="s">
        <v>7024</v>
      </c>
      <c r="AQ5065" t="s">
        <v>36280</v>
      </c>
      <c r="AT5065" s="184">
        <v>43243</v>
      </c>
      <c r="AU5065" t="s">
        <v>35886</v>
      </c>
      <c r="AV5065">
        <v>25</v>
      </c>
      <c r="AW5065" s="184">
        <v>45407</v>
      </c>
      <c r="AX5065" t="s">
        <v>36281</v>
      </c>
      <c r="AY5065">
        <v>50</v>
      </c>
      <c r="AZ5065" s="184">
        <v>43516</v>
      </c>
      <c r="BA5065" t="s">
        <v>36282</v>
      </c>
      <c r="BB5065">
        <v>60</v>
      </c>
      <c r="BC5065">
        <v>72</v>
      </c>
      <c r="BD5065">
        <v>235</v>
      </c>
      <c r="BE5065">
        <v>2018</v>
      </c>
      <c r="BF5065">
        <v>5</v>
      </c>
      <c r="BG5065">
        <v>2</v>
      </c>
      <c r="BH5065">
        <v>100</v>
      </c>
      <c r="BI5065">
        <v>5</v>
      </c>
      <c r="BJ5065">
        <v>7</v>
      </c>
      <c r="BK5065">
        <v>3</v>
      </c>
      <c r="BP5065" s="184"/>
    </row>
    <row r="5066" spans="1:68">
      <c r="A5066">
        <v>96075767</v>
      </c>
      <c r="B5066">
        <v>96075767</v>
      </c>
      <c r="C5066" t="s">
        <v>7018</v>
      </c>
      <c r="D5066" t="s">
        <v>595</v>
      </c>
      <c r="E5066" s="184">
        <v>43986</v>
      </c>
      <c r="G5066" s="184"/>
      <c r="I5066" s="184"/>
      <c r="K5066" s="184"/>
      <c r="M5066" s="184"/>
      <c r="O5066" s="184"/>
      <c r="P5066" t="s">
        <v>7045</v>
      </c>
      <c r="Q5066" t="s">
        <v>7030</v>
      </c>
      <c r="R5066" s="184">
        <v>20486</v>
      </c>
      <c r="S5066">
        <v>68</v>
      </c>
      <c r="U5066" t="s">
        <v>7031</v>
      </c>
      <c r="V5066" t="s">
        <v>3201</v>
      </c>
      <c r="W5066" t="s">
        <v>2049</v>
      </c>
      <c r="X5066" t="s">
        <v>36283</v>
      </c>
      <c r="AF5066" t="s">
        <v>36284</v>
      </c>
      <c r="AG5066" t="s">
        <v>3201</v>
      </c>
      <c r="AI5066" t="s">
        <v>36285</v>
      </c>
      <c r="AM5066" t="s">
        <v>2679</v>
      </c>
      <c r="AN5066" t="s">
        <v>2638</v>
      </c>
      <c r="AO5066" t="s">
        <v>36286</v>
      </c>
      <c r="AP5066" t="s">
        <v>7024</v>
      </c>
      <c r="AQ5066" t="s">
        <v>36287</v>
      </c>
      <c r="AT5066" s="184">
        <v>42868</v>
      </c>
      <c r="AU5066" t="s">
        <v>17745</v>
      </c>
      <c r="AV5066">
        <v>25</v>
      </c>
      <c r="AW5066" s="184">
        <v>45057</v>
      </c>
      <c r="AX5066" t="s">
        <v>10138</v>
      </c>
      <c r="AY5066">
        <v>50</v>
      </c>
      <c r="AZ5066" s="184">
        <v>44662</v>
      </c>
      <c r="BA5066" t="s">
        <v>36288</v>
      </c>
      <c r="BB5066">
        <v>75</v>
      </c>
      <c r="BC5066">
        <v>88</v>
      </c>
      <c r="BD5066">
        <v>595</v>
      </c>
      <c r="BE5066">
        <v>2017</v>
      </c>
      <c r="BF5066">
        <v>11</v>
      </c>
      <c r="BG5066">
        <v>3</v>
      </c>
      <c r="BH5066">
        <v>150</v>
      </c>
      <c r="BI5066">
        <v>7</v>
      </c>
      <c r="BJ5066">
        <v>8</v>
      </c>
      <c r="BK5066">
        <v>7</v>
      </c>
      <c r="BP5066" s="184"/>
    </row>
    <row r="5067" spans="1:68">
      <c r="A5067">
        <v>96083480</v>
      </c>
      <c r="B5067">
        <v>96083480</v>
      </c>
      <c r="C5067" t="s">
        <v>7018</v>
      </c>
      <c r="D5067" t="s">
        <v>595</v>
      </c>
      <c r="E5067" s="184">
        <v>45125</v>
      </c>
      <c r="G5067" s="184"/>
      <c r="I5067" s="184"/>
      <c r="K5067" s="184"/>
      <c r="M5067" s="184"/>
      <c r="O5067" s="184"/>
      <c r="P5067" t="s">
        <v>7045</v>
      </c>
      <c r="Q5067" t="s">
        <v>7160</v>
      </c>
      <c r="R5067" s="184">
        <v>21186</v>
      </c>
      <c r="S5067">
        <v>66</v>
      </c>
      <c r="V5067" t="s">
        <v>3778</v>
      </c>
      <c r="X5067" t="s">
        <v>34563</v>
      </c>
      <c r="AF5067" t="s">
        <v>36289</v>
      </c>
      <c r="AG5067" t="s">
        <v>3778</v>
      </c>
      <c r="AI5067" t="s">
        <v>36290</v>
      </c>
      <c r="AM5067" t="s">
        <v>36291</v>
      </c>
      <c r="AN5067" t="s">
        <v>2176</v>
      </c>
      <c r="AO5067" t="s">
        <v>36292</v>
      </c>
      <c r="AP5067" t="s">
        <v>7024</v>
      </c>
      <c r="AQ5067" t="s">
        <v>36293</v>
      </c>
      <c r="AT5067" s="184">
        <v>42795</v>
      </c>
      <c r="AU5067" t="s">
        <v>36294</v>
      </c>
      <c r="AV5067">
        <v>25</v>
      </c>
      <c r="AW5067" s="184">
        <v>44785</v>
      </c>
      <c r="AX5067" t="s">
        <v>17980</v>
      </c>
      <c r="AY5067">
        <v>25</v>
      </c>
      <c r="AZ5067" s="184">
        <v>44785</v>
      </c>
      <c r="BA5067" t="s">
        <v>17980</v>
      </c>
      <c r="BB5067">
        <v>25</v>
      </c>
      <c r="BC5067">
        <v>75</v>
      </c>
      <c r="BD5067">
        <v>200</v>
      </c>
      <c r="BE5067">
        <v>2017</v>
      </c>
      <c r="BF5067">
        <v>8</v>
      </c>
      <c r="BG5067">
        <v>1</v>
      </c>
      <c r="BH5067">
        <v>25</v>
      </c>
      <c r="BI5067">
        <v>6</v>
      </c>
      <c r="BJ5067">
        <v>8</v>
      </c>
      <c r="BK5067">
        <v>6</v>
      </c>
      <c r="BP5067" s="184"/>
    </row>
    <row r="5068" spans="1:68">
      <c r="A5068">
        <v>96090048</v>
      </c>
      <c r="B5068">
        <v>96090048</v>
      </c>
      <c r="C5068" t="s">
        <v>7018</v>
      </c>
      <c r="D5068" t="s">
        <v>595</v>
      </c>
      <c r="E5068" s="184">
        <v>45181</v>
      </c>
      <c r="G5068" s="184"/>
      <c r="I5068" s="184"/>
      <c r="K5068" s="184"/>
      <c r="M5068" s="184"/>
      <c r="O5068" s="184"/>
      <c r="P5068" t="s">
        <v>7045</v>
      </c>
      <c r="Q5068" t="s">
        <v>7374</v>
      </c>
      <c r="R5068" s="184">
        <v>23516</v>
      </c>
      <c r="S5068">
        <v>59</v>
      </c>
      <c r="V5068" t="s">
        <v>3435</v>
      </c>
      <c r="X5068" t="s">
        <v>36295</v>
      </c>
      <c r="AF5068" t="s">
        <v>36296</v>
      </c>
      <c r="AG5068" t="s">
        <v>3435</v>
      </c>
      <c r="AI5068" t="s">
        <v>36297</v>
      </c>
      <c r="AM5068" t="s">
        <v>26249</v>
      </c>
      <c r="AN5068" t="s">
        <v>2081</v>
      </c>
      <c r="AO5068" t="s">
        <v>36298</v>
      </c>
      <c r="AP5068" t="s">
        <v>7024</v>
      </c>
      <c r="AQ5068" t="s">
        <v>36299</v>
      </c>
      <c r="AT5068" s="184">
        <v>42798</v>
      </c>
      <c r="AU5068" t="s">
        <v>21846</v>
      </c>
      <c r="AV5068">
        <v>50</v>
      </c>
      <c r="AW5068" s="184">
        <v>45372</v>
      </c>
      <c r="AX5068" t="s">
        <v>23747</v>
      </c>
      <c r="AY5068">
        <v>157.5</v>
      </c>
      <c r="AZ5068" s="184">
        <v>45180</v>
      </c>
      <c r="BA5068" t="s">
        <v>7168</v>
      </c>
      <c r="BB5068">
        <v>250</v>
      </c>
      <c r="BC5068">
        <v>100</v>
      </c>
      <c r="BD5068">
        <v>1560</v>
      </c>
      <c r="BE5068">
        <v>2017</v>
      </c>
      <c r="BF5068">
        <v>12</v>
      </c>
      <c r="BG5068">
        <v>4</v>
      </c>
      <c r="BH5068">
        <v>610</v>
      </c>
      <c r="BI5068">
        <v>8</v>
      </c>
      <c r="BJ5068">
        <v>8</v>
      </c>
      <c r="BK5068">
        <v>8</v>
      </c>
      <c r="BP5068" s="184"/>
    </row>
    <row r="5069" spans="1:68">
      <c r="A5069">
        <v>96092820</v>
      </c>
      <c r="B5069">
        <v>96092820</v>
      </c>
      <c r="C5069" t="s">
        <v>7018</v>
      </c>
      <c r="D5069" t="s">
        <v>595</v>
      </c>
      <c r="E5069" s="184">
        <v>45196</v>
      </c>
      <c r="G5069" s="184"/>
      <c r="I5069" s="184"/>
      <c r="K5069" s="184"/>
      <c r="M5069" s="184"/>
      <c r="O5069" s="184"/>
      <c r="P5069" t="s">
        <v>7045</v>
      </c>
      <c r="Q5069" t="s">
        <v>7030</v>
      </c>
      <c r="R5069" s="184">
        <v>19725</v>
      </c>
      <c r="S5069">
        <v>70</v>
      </c>
      <c r="U5069" t="s">
        <v>7031</v>
      </c>
      <c r="V5069" t="s">
        <v>3035</v>
      </c>
      <c r="W5069" t="s">
        <v>2049</v>
      </c>
      <c r="X5069" t="s">
        <v>36300</v>
      </c>
      <c r="AF5069" t="s">
        <v>36301</v>
      </c>
      <c r="AG5069" t="s">
        <v>3035</v>
      </c>
      <c r="AI5069" t="s">
        <v>36302</v>
      </c>
      <c r="AM5069" t="s">
        <v>3181</v>
      </c>
      <c r="AN5069" t="s">
        <v>2094</v>
      </c>
      <c r="AO5069" t="s">
        <v>36303</v>
      </c>
      <c r="AP5069" t="s">
        <v>7024</v>
      </c>
      <c r="AQ5069" t="s">
        <v>36304</v>
      </c>
      <c r="AT5069" s="184">
        <v>42800</v>
      </c>
      <c r="AU5069" t="s">
        <v>36305</v>
      </c>
      <c r="AV5069">
        <v>50</v>
      </c>
      <c r="AW5069" s="184">
        <v>45295</v>
      </c>
      <c r="AX5069" t="s">
        <v>7168</v>
      </c>
      <c r="AY5069">
        <v>50</v>
      </c>
      <c r="AZ5069" s="184">
        <v>45295</v>
      </c>
      <c r="BA5069" t="s">
        <v>7168</v>
      </c>
      <c r="BB5069">
        <v>50</v>
      </c>
      <c r="BC5069">
        <v>88</v>
      </c>
      <c r="BD5069">
        <v>350</v>
      </c>
      <c r="BE5069">
        <v>2017</v>
      </c>
      <c r="BF5069">
        <v>7</v>
      </c>
      <c r="BG5069">
        <v>2</v>
      </c>
      <c r="BH5069">
        <v>100</v>
      </c>
      <c r="BI5069">
        <v>7</v>
      </c>
      <c r="BJ5069">
        <v>8</v>
      </c>
      <c r="BK5069">
        <v>4</v>
      </c>
      <c r="BP5069" s="184"/>
    </row>
    <row r="5070" spans="1:68">
      <c r="A5070">
        <v>96139639</v>
      </c>
      <c r="B5070">
        <v>96139639</v>
      </c>
      <c r="C5070" t="s">
        <v>7018</v>
      </c>
      <c r="E5070" s="184"/>
      <c r="F5070" t="s">
        <v>595</v>
      </c>
      <c r="G5070" s="184">
        <v>44441</v>
      </c>
      <c r="I5070" s="184"/>
      <c r="K5070" s="184"/>
      <c r="M5070" s="184"/>
      <c r="O5070" s="184"/>
      <c r="P5070" t="s">
        <v>7045</v>
      </c>
      <c r="Q5070" t="s">
        <v>7030</v>
      </c>
      <c r="R5070" s="184">
        <v>15707</v>
      </c>
      <c r="S5070">
        <v>81</v>
      </c>
      <c r="V5070" t="s">
        <v>3624</v>
      </c>
      <c r="X5070" t="s">
        <v>36306</v>
      </c>
      <c r="AF5070" t="s">
        <v>36307</v>
      </c>
      <c r="AG5070" t="s">
        <v>3624</v>
      </c>
      <c r="AI5070" t="s">
        <v>36308</v>
      </c>
      <c r="AM5070" t="s">
        <v>9456</v>
      </c>
      <c r="AN5070" t="s">
        <v>2089</v>
      </c>
      <c r="AO5070" t="s">
        <v>36309</v>
      </c>
      <c r="AP5070" t="s">
        <v>7024</v>
      </c>
      <c r="AQ5070" t="s">
        <v>36310</v>
      </c>
      <c r="AR5070" t="s">
        <v>36311</v>
      </c>
      <c r="AT5070" s="184">
        <v>42804</v>
      </c>
      <c r="AU5070" t="s">
        <v>10899</v>
      </c>
      <c r="AV5070">
        <v>50</v>
      </c>
      <c r="AW5070" s="184">
        <v>45408</v>
      </c>
      <c r="AX5070" t="s">
        <v>8483</v>
      </c>
      <c r="AY5070">
        <v>20</v>
      </c>
      <c r="AZ5070" s="184">
        <v>43816</v>
      </c>
      <c r="BA5070" t="s">
        <v>36312</v>
      </c>
      <c r="BB5070">
        <v>100</v>
      </c>
      <c r="BC5070">
        <v>100</v>
      </c>
      <c r="BD5070">
        <v>1605</v>
      </c>
      <c r="BE5070">
        <v>2017</v>
      </c>
      <c r="BF5070">
        <v>64</v>
      </c>
      <c r="BG5070">
        <v>24</v>
      </c>
      <c r="BH5070">
        <v>480</v>
      </c>
      <c r="BI5070">
        <v>8</v>
      </c>
      <c r="BJ5070">
        <v>8</v>
      </c>
      <c r="BK5070">
        <v>8</v>
      </c>
      <c r="BP5070" s="184"/>
    </row>
    <row r="5071" spans="1:68">
      <c r="A5071">
        <v>96142575</v>
      </c>
      <c r="B5071">
        <v>96142575</v>
      </c>
      <c r="C5071" t="s">
        <v>7018</v>
      </c>
      <c r="D5071" t="s">
        <v>595</v>
      </c>
      <c r="E5071" s="184">
        <v>45180</v>
      </c>
      <c r="G5071" s="184"/>
      <c r="I5071" s="184"/>
      <c r="K5071" s="184"/>
      <c r="M5071" s="184"/>
      <c r="O5071" s="184"/>
      <c r="P5071" t="s">
        <v>7045</v>
      </c>
      <c r="Q5071" t="s">
        <v>7383</v>
      </c>
      <c r="R5071" s="184">
        <v>22160</v>
      </c>
      <c r="S5071">
        <v>63</v>
      </c>
      <c r="V5071" t="s">
        <v>3652</v>
      </c>
      <c r="X5071" t="s">
        <v>36313</v>
      </c>
      <c r="AF5071" t="s">
        <v>36314</v>
      </c>
      <c r="AG5071" t="s">
        <v>3652</v>
      </c>
      <c r="AI5071" t="s">
        <v>36315</v>
      </c>
      <c r="AM5071" t="s">
        <v>3767</v>
      </c>
      <c r="AN5071" t="s">
        <v>2313</v>
      </c>
      <c r="AO5071" t="s">
        <v>36316</v>
      </c>
      <c r="AP5071" t="s">
        <v>7024</v>
      </c>
      <c r="AQ5071" t="s">
        <v>36317</v>
      </c>
      <c r="AT5071" s="184">
        <v>42807</v>
      </c>
      <c r="AU5071" t="s">
        <v>36318</v>
      </c>
      <c r="AV5071">
        <v>25</v>
      </c>
      <c r="AW5071" s="184">
        <v>45306</v>
      </c>
      <c r="AX5071" t="s">
        <v>29054</v>
      </c>
      <c r="AY5071">
        <v>25</v>
      </c>
      <c r="AZ5071" s="184">
        <v>45306</v>
      </c>
      <c r="BA5071" t="s">
        <v>29054</v>
      </c>
      <c r="BB5071">
        <v>25</v>
      </c>
      <c r="BC5071">
        <v>88</v>
      </c>
      <c r="BD5071">
        <v>175</v>
      </c>
      <c r="BE5071">
        <v>2017</v>
      </c>
      <c r="BF5071">
        <v>7</v>
      </c>
      <c r="BG5071">
        <v>2</v>
      </c>
      <c r="BH5071">
        <v>50</v>
      </c>
      <c r="BI5071">
        <v>7</v>
      </c>
      <c r="BJ5071">
        <v>8</v>
      </c>
      <c r="BK5071">
        <v>4</v>
      </c>
      <c r="BP5071" s="184"/>
    </row>
    <row r="5072" spans="1:68">
      <c r="A5072">
        <v>96157383</v>
      </c>
      <c r="B5072">
        <v>96157383</v>
      </c>
      <c r="C5072" t="s">
        <v>7018</v>
      </c>
      <c r="D5072" t="s">
        <v>595</v>
      </c>
      <c r="E5072" s="184">
        <v>45124</v>
      </c>
      <c r="G5072" s="184"/>
      <c r="I5072" s="184"/>
      <c r="K5072" s="184"/>
      <c r="M5072" s="184"/>
      <c r="O5072" s="184"/>
      <c r="P5072" t="s">
        <v>7045</v>
      </c>
      <c r="Q5072" t="s">
        <v>7262</v>
      </c>
      <c r="R5072" s="184">
        <v>18050</v>
      </c>
      <c r="S5072">
        <v>74</v>
      </c>
      <c r="U5072" t="s">
        <v>7130</v>
      </c>
      <c r="V5072" t="s">
        <v>5568</v>
      </c>
      <c r="X5072" t="s">
        <v>36319</v>
      </c>
      <c r="AF5072" t="s">
        <v>36320</v>
      </c>
      <c r="AG5072" t="s">
        <v>5568</v>
      </c>
      <c r="AI5072" t="s">
        <v>36321</v>
      </c>
      <c r="AM5072" t="s">
        <v>13836</v>
      </c>
      <c r="AN5072" t="s">
        <v>2069</v>
      </c>
      <c r="AO5072" t="s">
        <v>36322</v>
      </c>
      <c r="AP5072" t="s">
        <v>7024</v>
      </c>
      <c r="AQ5072" t="s">
        <v>36323</v>
      </c>
      <c r="AR5072" t="s">
        <v>36324</v>
      </c>
      <c r="AT5072" s="184">
        <v>42809</v>
      </c>
      <c r="AU5072" t="s">
        <v>36325</v>
      </c>
      <c r="AV5072">
        <v>25</v>
      </c>
      <c r="AW5072" s="184">
        <v>45222</v>
      </c>
      <c r="AX5072" t="s">
        <v>36326</v>
      </c>
      <c r="AY5072">
        <v>20</v>
      </c>
      <c r="AZ5072" s="184">
        <v>45209</v>
      </c>
      <c r="BA5072" t="s">
        <v>36327</v>
      </c>
      <c r="BB5072">
        <v>35</v>
      </c>
      <c r="BC5072">
        <v>75</v>
      </c>
      <c r="BD5072">
        <v>215</v>
      </c>
      <c r="BE5072">
        <v>2017</v>
      </c>
      <c r="BF5072">
        <v>8</v>
      </c>
      <c r="BG5072">
        <v>2</v>
      </c>
      <c r="BH5072">
        <v>55</v>
      </c>
      <c r="BI5072">
        <v>6</v>
      </c>
      <c r="BJ5072">
        <v>8</v>
      </c>
      <c r="BK5072">
        <v>5</v>
      </c>
      <c r="BP5072" s="184"/>
    </row>
    <row r="5073" spans="1:68">
      <c r="A5073">
        <v>96160742</v>
      </c>
      <c r="B5073">
        <v>96160742</v>
      </c>
      <c r="C5073" t="s">
        <v>7018</v>
      </c>
      <c r="E5073" s="184"/>
      <c r="G5073" s="184"/>
      <c r="I5073" s="184"/>
      <c r="K5073" s="184"/>
      <c r="L5073" t="s">
        <v>595</v>
      </c>
      <c r="M5073" s="184">
        <v>43923</v>
      </c>
      <c r="O5073" s="184"/>
      <c r="P5073" t="s">
        <v>7045</v>
      </c>
      <c r="Q5073" t="s">
        <v>7262</v>
      </c>
      <c r="R5073" s="184">
        <v>17533</v>
      </c>
      <c r="S5073">
        <v>76</v>
      </c>
      <c r="U5073" t="s">
        <v>7031</v>
      </c>
      <c r="V5073" t="s">
        <v>4587</v>
      </c>
      <c r="W5073" t="s">
        <v>4382</v>
      </c>
      <c r="X5073" t="s">
        <v>36328</v>
      </c>
      <c r="AF5073" t="s">
        <v>36329</v>
      </c>
      <c r="AG5073" t="s">
        <v>4587</v>
      </c>
      <c r="AI5073" t="s">
        <v>36330</v>
      </c>
      <c r="AM5073" t="s">
        <v>21562</v>
      </c>
      <c r="AN5073" t="s">
        <v>2069</v>
      </c>
      <c r="AO5073" t="s">
        <v>36331</v>
      </c>
      <c r="AP5073" t="s">
        <v>7024</v>
      </c>
      <c r="AT5073" s="184">
        <v>42809</v>
      </c>
      <c r="AU5073" t="s">
        <v>36318</v>
      </c>
      <c r="AV5073">
        <v>25</v>
      </c>
      <c r="AW5073" s="184">
        <v>45393</v>
      </c>
      <c r="AX5073" t="s">
        <v>8490</v>
      </c>
      <c r="AY5073">
        <v>100</v>
      </c>
      <c r="AZ5073" s="184">
        <v>45393</v>
      </c>
      <c r="BA5073" t="s">
        <v>8490</v>
      </c>
      <c r="BB5073">
        <v>100</v>
      </c>
      <c r="BC5073">
        <v>100</v>
      </c>
      <c r="BD5073">
        <v>725</v>
      </c>
      <c r="BE5073">
        <v>2017</v>
      </c>
      <c r="BF5073">
        <v>8</v>
      </c>
      <c r="BG5073">
        <v>2</v>
      </c>
      <c r="BH5073">
        <v>200</v>
      </c>
      <c r="BI5073">
        <v>8</v>
      </c>
      <c r="BJ5073">
        <v>8</v>
      </c>
      <c r="BK5073">
        <v>8</v>
      </c>
      <c r="BP5073" s="184"/>
    </row>
    <row r="5074" spans="1:68">
      <c r="A5074">
        <v>96173976</v>
      </c>
      <c r="B5074">
        <v>96173976</v>
      </c>
      <c r="C5074" t="s">
        <v>7018</v>
      </c>
      <c r="D5074" t="s">
        <v>595</v>
      </c>
      <c r="E5074" s="184">
        <v>45153</v>
      </c>
      <c r="G5074" s="184"/>
      <c r="I5074" s="184"/>
      <c r="K5074" s="184"/>
      <c r="M5074" s="184"/>
      <c r="O5074" s="184"/>
      <c r="P5074" t="s">
        <v>7045</v>
      </c>
      <c r="Q5074" t="s">
        <v>7383</v>
      </c>
      <c r="R5074" s="184">
        <v>23579</v>
      </c>
      <c r="S5074">
        <v>59</v>
      </c>
      <c r="V5074" t="s">
        <v>3624</v>
      </c>
      <c r="W5074" t="s">
        <v>2049</v>
      </c>
      <c r="X5074" t="s">
        <v>36332</v>
      </c>
      <c r="AF5074" t="s">
        <v>36333</v>
      </c>
      <c r="AG5074" t="s">
        <v>3624</v>
      </c>
      <c r="AI5074" t="s">
        <v>36334</v>
      </c>
      <c r="AM5074" t="s">
        <v>4339</v>
      </c>
      <c r="AN5074" t="s">
        <v>2274</v>
      </c>
      <c r="AO5074" t="s">
        <v>36335</v>
      </c>
      <c r="AP5074" t="s">
        <v>7024</v>
      </c>
      <c r="AQ5074" t="s">
        <v>36336</v>
      </c>
      <c r="AT5074" s="184">
        <v>42811</v>
      </c>
      <c r="AU5074" t="s">
        <v>36337</v>
      </c>
      <c r="AV5074">
        <v>25</v>
      </c>
      <c r="AW5074" s="184">
        <v>44892</v>
      </c>
      <c r="AX5074" t="s">
        <v>12718</v>
      </c>
      <c r="AY5074">
        <v>25</v>
      </c>
      <c r="AZ5074" s="184">
        <v>44892</v>
      </c>
      <c r="BA5074" t="s">
        <v>12718</v>
      </c>
      <c r="BB5074">
        <v>25</v>
      </c>
      <c r="BC5074">
        <v>75</v>
      </c>
      <c r="BD5074">
        <v>160</v>
      </c>
      <c r="BE5074">
        <v>2017</v>
      </c>
      <c r="BF5074">
        <v>7</v>
      </c>
      <c r="BG5074">
        <v>1</v>
      </c>
      <c r="BH5074">
        <v>25</v>
      </c>
      <c r="BI5074">
        <v>6</v>
      </c>
      <c r="BJ5074">
        <v>8</v>
      </c>
      <c r="BK5074">
        <v>6</v>
      </c>
      <c r="BP5074" s="184"/>
    </row>
    <row r="5075" spans="1:68">
      <c r="A5075">
        <v>96180765</v>
      </c>
      <c r="B5075">
        <v>96180765</v>
      </c>
      <c r="C5075" t="s">
        <v>7018</v>
      </c>
      <c r="D5075" t="s">
        <v>595</v>
      </c>
      <c r="E5075" s="184">
        <v>44419</v>
      </c>
      <c r="G5075" s="184"/>
      <c r="I5075" s="184"/>
      <c r="K5075" s="184"/>
      <c r="M5075" s="184"/>
      <c r="O5075" s="184"/>
      <c r="P5075" t="s">
        <v>7045</v>
      </c>
      <c r="Q5075" t="s">
        <v>7020</v>
      </c>
      <c r="R5075" s="184">
        <v>16503</v>
      </c>
      <c r="S5075">
        <v>79</v>
      </c>
      <c r="U5075" t="s">
        <v>7031</v>
      </c>
      <c r="V5075" t="s">
        <v>2511</v>
      </c>
      <c r="W5075" t="s">
        <v>8224</v>
      </c>
      <c r="X5075" t="s">
        <v>36338</v>
      </c>
      <c r="AF5075" t="s">
        <v>36339</v>
      </c>
      <c r="AG5075" t="s">
        <v>2511</v>
      </c>
      <c r="AI5075" t="s">
        <v>36340</v>
      </c>
      <c r="AM5075" t="s">
        <v>4888</v>
      </c>
      <c r="AN5075" t="s">
        <v>2112</v>
      </c>
      <c r="AO5075" t="s">
        <v>36341</v>
      </c>
      <c r="AP5075" t="s">
        <v>7024</v>
      </c>
      <c r="AQ5075" t="s">
        <v>36342</v>
      </c>
      <c r="AT5075" s="184">
        <v>42814</v>
      </c>
      <c r="AU5075" t="s">
        <v>36343</v>
      </c>
      <c r="AV5075">
        <v>25</v>
      </c>
      <c r="AW5075" s="184">
        <v>44606</v>
      </c>
      <c r="AX5075" t="s">
        <v>36344</v>
      </c>
      <c r="AY5075">
        <v>50</v>
      </c>
      <c r="AZ5075" s="184">
        <v>44606</v>
      </c>
      <c r="BA5075" t="s">
        <v>36344</v>
      </c>
      <c r="BB5075">
        <v>50</v>
      </c>
      <c r="BC5075">
        <v>75</v>
      </c>
      <c r="BD5075">
        <v>1075</v>
      </c>
      <c r="BE5075">
        <v>2017</v>
      </c>
      <c r="BF5075">
        <v>23</v>
      </c>
      <c r="BI5075">
        <v>6</v>
      </c>
      <c r="BJ5075">
        <v>8</v>
      </c>
      <c r="BK5075">
        <v>6</v>
      </c>
      <c r="BP5075" s="184"/>
    </row>
    <row r="5076" spans="1:68">
      <c r="A5076">
        <v>96181755</v>
      </c>
      <c r="B5076">
        <v>96181755</v>
      </c>
      <c r="C5076" t="s">
        <v>7018</v>
      </c>
      <c r="D5076" t="s">
        <v>595</v>
      </c>
      <c r="E5076" s="184">
        <v>45154</v>
      </c>
      <c r="G5076" s="184"/>
      <c r="I5076" s="184"/>
      <c r="K5076" s="184"/>
      <c r="M5076" s="184"/>
      <c r="O5076" s="184"/>
      <c r="P5076" t="s">
        <v>7045</v>
      </c>
      <c r="Q5076" t="s">
        <v>7494</v>
      </c>
      <c r="R5076" s="184">
        <v>12024</v>
      </c>
      <c r="S5076">
        <v>91</v>
      </c>
      <c r="V5076" t="s">
        <v>10108</v>
      </c>
      <c r="X5076" t="s">
        <v>5818</v>
      </c>
      <c r="AF5076" t="s">
        <v>36345</v>
      </c>
      <c r="AG5076" t="s">
        <v>10108</v>
      </c>
      <c r="AI5076" t="s">
        <v>36346</v>
      </c>
      <c r="AM5076" t="s">
        <v>36347</v>
      </c>
      <c r="AN5076" t="s">
        <v>2174</v>
      </c>
      <c r="AO5076" t="s">
        <v>36348</v>
      </c>
      <c r="AP5076" t="s">
        <v>7024</v>
      </c>
      <c r="AT5076" s="184">
        <v>42814</v>
      </c>
      <c r="AU5076" t="s">
        <v>36349</v>
      </c>
      <c r="AV5076">
        <v>50</v>
      </c>
      <c r="AW5076" s="184">
        <v>45082</v>
      </c>
      <c r="AX5076" t="s">
        <v>9859</v>
      </c>
      <c r="AY5076">
        <v>50</v>
      </c>
      <c r="AZ5076" s="184">
        <v>45082</v>
      </c>
      <c r="BA5076" t="s">
        <v>9859</v>
      </c>
      <c r="BB5076">
        <v>50</v>
      </c>
      <c r="BC5076">
        <v>88</v>
      </c>
      <c r="BD5076">
        <v>350</v>
      </c>
      <c r="BE5076">
        <v>2017</v>
      </c>
      <c r="BF5076">
        <v>7</v>
      </c>
      <c r="BG5076">
        <v>1</v>
      </c>
      <c r="BH5076">
        <v>50</v>
      </c>
      <c r="BI5076">
        <v>7</v>
      </c>
      <c r="BJ5076">
        <v>8</v>
      </c>
      <c r="BK5076">
        <v>7</v>
      </c>
      <c r="BP5076" s="184"/>
    </row>
    <row r="5077" spans="1:68">
      <c r="A5077">
        <v>96183769</v>
      </c>
      <c r="B5077">
        <v>96183769</v>
      </c>
      <c r="C5077" t="s">
        <v>7018</v>
      </c>
      <c r="D5077" t="s">
        <v>595</v>
      </c>
      <c r="E5077" s="184">
        <v>43782</v>
      </c>
      <c r="G5077" s="184"/>
      <c r="I5077" s="184"/>
      <c r="K5077" s="184"/>
      <c r="M5077" s="184"/>
      <c r="O5077" s="184"/>
      <c r="P5077" t="s">
        <v>7045</v>
      </c>
      <c r="Q5077" t="s">
        <v>7160</v>
      </c>
      <c r="R5077" s="184">
        <v>40593</v>
      </c>
      <c r="S5077">
        <v>13</v>
      </c>
      <c r="V5077" t="s">
        <v>3040</v>
      </c>
      <c r="X5077" t="s">
        <v>5508</v>
      </c>
      <c r="AF5077" t="s">
        <v>36350</v>
      </c>
      <c r="AG5077" t="s">
        <v>3040</v>
      </c>
      <c r="AI5077" t="s">
        <v>36351</v>
      </c>
      <c r="AM5077" t="s">
        <v>5618</v>
      </c>
      <c r="AN5077" t="s">
        <v>4637</v>
      </c>
      <c r="AO5077" t="s">
        <v>36352</v>
      </c>
      <c r="AP5077" t="s">
        <v>7024</v>
      </c>
      <c r="AQ5077" t="s">
        <v>36353</v>
      </c>
      <c r="AT5077" s="184">
        <v>43318</v>
      </c>
      <c r="AU5077" t="s">
        <v>36354</v>
      </c>
      <c r="AV5077">
        <v>15</v>
      </c>
      <c r="AW5077" s="184">
        <v>44208</v>
      </c>
      <c r="AX5077" t="s">
        <v>21602</v>
      </c>
      <c r="AY5077">
        <v>10</v>
      </c>
      <c r="AZ5077" s="184">
        <v>43647</v>
      </c>
      <c r="BA5077" t="s">
        <v>36355</v>
      </c>
      <c r="BB5077">
        <v>25</v>
      </c>
      <c r="BC5077">
        <v>58</v>
      </c>
      <c r="BD5077">
        <v>120</v>
      </c>
      <c r="BE5077">
        <v>2019</v>
      </c>
      <c r="BF5077">
        <v>9</v>
      </c>
      <c r="BI5077">
        <v>4</v>
      </c>
      <c r="BJ5077">
        <v>7</v>
      </c>
      <c r="BK5077">
        <v>4</v>
      </c>
      <c r="BP5077" s="184"/>
    </row>
    <row r="5078" spans="1:68">
      <c r="A5078">
        <v>96197686</v>
      </c>
      <c r="B5078">
        <v>96197686</v>
      </c>
      <c r="C5078" t="s">
        <v>7018</v>
      </c>
      <c r="D5078" t="s">
        <v>595</v>
      </c>
      <c r="E5078" s="184">
        <v>45175</v>
      </c>
      <c r="G5078" s="184"/>
      <c r="I5078" s="184"/>
      <c r="K5078" s="184"/>
      <c r="M5078" s="184"/>
      <c r="O5078" s="184"/>
      <c r="P5078" t="s">
        <v>7084</v>
      </c>
      <c r="Q5078" t="s">
        <v>7494</v>
      </c>
      <c r="R5078" s="184">
        <v>28672</v>
      </c>
      <c r="S5078">
        <v>45</v>
      </c>
      <c r="V5078" t="s">
        <v>36356</v>
      </c>
      <c r="X5078" t="s">
        <v>36357</v>
      </c>
      <c r="AF5078" t="s">
        <v>36358</v>
      </c>
      <c r="AG5078" t="s">
        <v>36356</v>
      </c>
      <c r="AI5078" t="s">
        <v>36359</v>
      </c>
      <c r="AM5078" t="s">
        <v>4006</v>
      </c>
      <c r="AN5078" t="s">
        <v>2174</v>
      </c>
      <c r="AO5078" t="s">
        <v>36360</v>
      </c>
      <c r="AP5078" t="s">
        <v>7024</v>
      </c>
      <c r="AQ5078" t="s">
        <v>36361</v>
      </c>
      <c r="AT5078" s="184">
        <v>42816</v>
      </c>
      <c r="AU5078" t="s">
        <v>36362</v>
      </c>
      <c r="AV5078">
        <v>100</v>
      </c>
      <c r="AW5078" s="184">
        <v>45134</v>
      </c>
      <c r="AX5078" t="s">
        <v>9245</v>
      </c>
      <c r="AY5078">
        <v>10000</v>
      </c>
      <c r="AZ5078" s="184">
        <v>45134</v>
      </c>
      <c r="BA5078" t="s">
        <v>9245</v>
      </c>
      <c r="BB5078">
        <v>10000</v>
      </c>
      <c r="BC5078">
        <v>75</v>
      </c>
      <c r="BD5078">
        <v>21200</v>
      </c>
      <c r="BE5078">
        <v>2017</v>
      </c>
      <c r="BF5078">
        <v>12</v>
      </c>
      <c r="BG5078">
        <v>3</v>
      </c>
      <c r="BH5078">
        <v>15000</v>
      </c>
      <c r="BI5078">
        <v>6</v>
      </c>
      <c r="BJ5078">
        <v>8</v>
      </c>
      <c r="BK5078">
        <v>4</v>
      </c>
      <c r="BP5078" s="184"/>
    </row>
    <row r="5079" spans="1:68">
      <c r="A5079">
        <v>96198643</v>
      </c>
      <c r="B5079">
        <v>96198643</v>
      </c>
      <c r="C5079" t="s">
        <v>7018</v>
      </c>
      <c r="D5079" t="s">
        <v>595</v>
      </c>
      <c r="E5079" s="184">
        <v>45124</v>
      </c>
      <c r="G5079" s="184"/>
      <c r="I5079" s="184"/>
      <c r="K5079" s="184"/>
      <c r="O5079" s="184"/>
      <c r="P5079" t="s">
        <v>7045</v>
      </c>
      <c r="Q5079" t="s">
        <v>7160</v>
      </c>
      <c r="R5079" s="184">
        <v>15897</v>
      </c>
      <c r="S5079">
        <v>80</v>
      </c>
      <c r="V5079" t="s">
        <v>3103</v>
      </c>
      <c r="W5079" t="s">
        <v>2316</v>
      </c>
      <c r="X5079" t="s">
        <v>20948</v>
      </c>
      <c r="Z5079">
        <v>100342638</v>
      </c>
      <c r="AB5079" t="s">
        <v>2602</v>
      </c>
      <c r="AD5079" t="s">
        <v>20948</v>
      </c>
      <c r="AF5079" t="s">
        <v>36363</v>
      </c>
      <c r="AG5079" t="s">
        <v>36364</v>
      </c>
      <c r="AI5079" t="s">
        <v>36365</v>
      </c>
      <c r="AM5079" t="s">
        <v>36366</v>
      </c>
      <c r="AN5079" t="s">
        <v>2413</v>
      </c>
      <c r="AO5079" t="s">
        <v>36367</v>
      </c>
      <c r="AP5079" t="s">
        <v>7024</v>
      </c>
      <c r="AT5079" s="184">
        <v>42816</v>
      </c>
      <c r="AU5079" t="s">
        <v>36368</v>
      </c>
      <c r="AV5079">
        <v>25</v>
      </c>
      <c r="AW5079" s="184">
        <v>45393</v>
      </c>
      <c r="AX5079" t="s">
        <v>13333</v>
      </c>
      <c r="AY5079">
        <v>35</v>
      </c>
      <c r="AZ5079" s="184">
        <v>43446</v>
      </c>
      <c r="BA5079" t="s">
        <v>35974</v>
      </c>
      <c r="BB5079">
        <v>40</v>
      </c>
      <c r="BC5079">
        <v>88</v>
      </c>
      <c r="BD5079">
        <v>405</v>
      </c>
      <c r="BE5079">
        <v>2017</v>
      </c>
      <c r="BF5079">
        <v>12</v>
      </c>
      <c r="BG5079">
        <v>5</v>
      </c>
      <c r="BH5079">
        <v>175</v>
      </c>
      <c r="BI5079">
        <v>7</v>
      </c>
      <c r="BJ5079">
        <v>8</v>
      </c>
      <c r="BK5079">
        <v>4</v>
      </c>
      <c r="BO5079" t="s">
        <v>595</v>
      </c>
      <c r="BP5079" s="184"/>
    </row>
    <row r="5080" spans="1:68">
      <c r="A5080">
        <v>100342638</v>
      </c>
      <c r="B5080">
        <v>96198643</v>
      </c>
      <c r="C5080" t="s">
        <v>7018</v>
      </c>
      <c r="D5080" t="s">
        <v>595</v>
      </c>
      <c r="E5080" s="184">
        <v>45124</v>
      </c>
      <c r="G5080" s="184"/>
      <c r="I5080" s="184"/>
      <c r="K5080" s="184"/>
      <c r="M5080" s="184"/>
      <c r="O5080" s="184"/>
      <c r="P5080" t="s">
        <v>7045</v>
      </c>
      <c r="Q5080" t="s">
        <v>7160</v>
      </c>
      <c r="R5080" s="184">
        <v>17158</v>
      </c>
      <c r="S5080">
        <v>77</v>
      </c>
      <c r="V5080" t="s">
        <v>2602</v>
      </c>
      <c r="X5080" t="s">
        <v>20948</v>
      </c>
      <c r="Z5080">
        <v>96198643</v>
      </c>
      <c r="AB5080" t="s">
        <v>3103</v>
      </c>
      <c r="AC5080" t="s">
        <v>2316</v>
      </c>
      <c r="AD5080" t="s">
        <v>20948</v>
      </c>
      <c r="AF5080" t="s">
        <v>36363</v>
      </c>
      <c r="AG5080" t="s">
        <v>36364</v>
      </c>
      <c r="AI5080" t="s">
        <v>36365</v>
      </c>
      <c r="AM5080" t="s">
        <v>36366</v>
      </c>
      <c r="AN5080" t="s">
        <v>2413</v>
      </c>
      <c r="AO5080" t="s">
        <v>36367</v>
      </c>
      <c r="AP5080" t="s">
        <v>7024</v>
      </c>
      <c r="AT5080" s="184">
        <v>43859</v>
      </c>
      <c r="AU5080" t="s">
        <v>36369</v>
      </c>
      <c r="AV5080">
        <v>25</v>
      </c>
      <c r="AW5080" s="184">
        <v>44179</v>
      </c>
      <c r="AX5080" t="s">
        <v>36370</v>
      </c>
      <c r="AY5080">
        <v>25</v>
      </c>
      <c r="AZ5080" s="184">
        <v>44179</v>
      </c>
      <c r="BA5080" t="s">
        <v>36370</v>
      </c>
      <c r="BB5080">
        <v>25</v>
      </c>
      <c r="BC5080">
        <v>20</v>
      </c>
      <c r="BD5080">
        <v>50</v>
      </c>
      <c r="BE5080">
        <v>2020</v>
      </c>
      <c r="BF5080">
        <v>2</v>
      </c>
      <c r="BI5080">
        <v>1</v>
      </c>
      <c r="BJ5080">
        <v>5</v>
      </c>
      <c r="BK5080">
        <v>1</v>
      </c>
      <c r="BO5080" t="s">
        <v>595</v>
      </c>
      <c r="BP5080" s="184">
        <v>45340</v>
      </c>
    </row>
    <row r="5081" spans="1:68">
      <c r="A5081">
        <v>96205927</v>
      </c>
      <c r="B5081">
        <v>96205927</v>
      </c>
      <c r="C5081" t="s">
        <v>7018</v>
      </c>
      <c r="D5081" t="s">
        <v>595</v>
      </c>
      <c r="E5081" s="184">
        <v>45153</v>
      </c>
      <c r="G5081" s="184"/>
      <c r="I5081" s="184"/>
      <c r="K5081" s="184"/>
      <c r="O5081" s="184"/>
      <c r="P5081" t="s">
        <v>7045</v>
      </c>
      <c r="Q5081" t="s">
        <v>7383</v>
      </c>
      <c r="R5081" s="184">
        <v>18233</v>
      </c>
      <c r="S5081">
        <v>74</v>
      </c>
      <c r="V5081" t="s">
        <v>2697</v>
      </c>
      <c r="X5081" t="s">
        <v>36371</v>
      </c>
      <c r="Z5081">
        <v>100167999</v>
      </c>
      <c r="AB5081" t="s">
        <v>8798</v>
      </c>
      <c r="AD5081" t="s">
        <v>36371</v>
      </c>
      <c r="AF5081" t="s">
        <v>36372</v>
      </c>
      <c r="AG5081" t="s">
        <v>36373</v>
      </c>
      <c r="AI5081" t="s">
        <v>36374</v>
      </c>
      <c r="AM5081" t="s">
        <v>32553</v>
      </c>
      <c r="AN5081" t="s">
        <v>2185</v>
      </c>
      <c r="AO5081" t="s">
        <v>36375</v>
      </c>
      <c r="AP5081" t="s">
        <v>7024</v>
      </c>
      <c r="AQ5081" t="s">
        <v>36376</v>
      </c>
      <c r="AT5081" s="184">
        <v>42816</v>
      </c>
      <c r="AU5081" t="s">
        <v>36325</v>
      </c>
      <c r="AV5081">
        <v>25</v>
      </c>
      <c r="AW5081" s="184">
        <v>45091</v>
      </c>
      <c r="AX5081" t="s">
        <v>36377</v>
      </c>
      <c r="AY5081">
        <v>25</v>
      </c>
      <c r="AZ5081" s="184">
        <v>45091</v>
      </c>
      <c r="BA5081" t="s">
        <v>36377</v>
      </c>
      <c r="BB5081">
        <v>25</v>
      </c>
      <c r="BC5081">
        <v>88</v>
      </c>
      <c r="BD5081">
        <v>200</v>
      </c>
      <c r="BE5081">
        <v>2017</v>
      </c>
      <c r="BF5081">
        <v>8</v>
      </c>
      <c r="BG5081">
        <v>2</v>
      </c>
      <c r="BH5081">
        <v>50</v>
      </c>
      <c r="BI5081">
        <v>7</v>
      </c>
      <c r="BJ5081">
        <v>8</v>
      </c>
      <c r="BK5081">
        <v>7</v>
      </c>
      <c r="BP5081" s="184"/>
    </row>
    <row r="5082" spans="1:68">
      <c r="A5082">
        <v>100167999</v>
      </c>
      <c r="B5082">
        <v>96205927</v>
      </c>
      <c r="C5082" t="s">
        <v>7018</v>
      </c>
      <c r="D5082" t="s">
        <v>595</v>
      </c>
      <c r="E5082" s="184">
        <v>45153</v>
      </c>
      <c r="G5082" s="184"/>
      <c r="I5082" s="184"/>
      <c r="K5082" s="184"/>
      <c r="M5082" s="184"/>
      <c r="O5082" s="184"/>
      <c r="P5082" t="s">
        <v>7045</v>
      </c>
      <c r="Q5082" t="s">
        <v>7383</v>
      </c>
      <c r="R5082" s="184">
        <v>30421</v>
      </c>
      <c r="S5082">
        <v>41</v>
      </c>
      <c r="V5082" t="s">
        <v>8798</v>
      </c>
      <c r="X5082" t="s">
        <v>36371</v>
      </c>
      <c r="Z5082">
        <v>96205927</v>
      </c>
      <c r="AB5082" t="s">
        <v>2697</v>
      </c>
      <c r="AD5082" t="s">
        <v>36371</v>
      </c>
      <c r="AF5082" t="s">
        <v>36372</v>
      </c>
      <c r="AG5082" t="s">
        <v>36373</v>
      </c>
      <c r="AI5082" t="s">
        <v>36374</v>
      </c>
      <c r="AM5082" t="s">
        <v>32553</v>
      </c>
      <c r="AN5082" t="s">
        <v>2185</v>
      </c>
      <c r="AO5082" t="s">
        <v>36375</v>
      </c>
      <c r="AP5082" t="s">
        <v>7024</v>
      </c>
      <c r="AT5082" s="184"/>
      <c r="AW5082" s="184"/>
      <c r="AZ5082" s="184"/>
      <c r="BP5082" s="184"/>
    </row>
    <row r="5083" spans="1:68">
      <c r="A5083">
        <v>96206594</v>
      </c>
      <c r="B5083">
        <v>96206594</v>
      </c>
      <c r="C5083" t="s">
        <v>7018</v>
      </c>
      <c r="D5083" t="s">
        <v>595</v>
      </c>
      <c r="E5083" s="184">
        <v>45147</v>
      </c>
      <c r="G5083" s="184"/>
      <c r="I5083" s="184"/>
      <c r="K5083" s="184"/>
      <c r="M5083" s="184"/>
      <c r="O5083" s="184"/>
      <c r="P5083" t="s">
        <v>7045</v>
      </c>
      <c r="Q5083" t="s">
        <v>7383</v>
      </c>
      <c r="R5083" s="184">
        <v>16589</v>
      </c>
      <c r="S5083">
        <v>78</v>
      </c>
      <c r="U5083" t="s">
        <v>7031</v>
      </c>
      <c r="V5083" t="s">
        <v>36378</v>
      </c>
      <c r="X5083" t="s">
        <v>36379</v>
      </c>
      <c r="Z5083">
        <v>100569806</v>
      </c>
      <c r="AA5083" t="s">
        <v>7130</v>
      </c>
      <c r="AB5083" t="s">
        <v>2733</v>
      </c>
      <c r="AD5083" t="s">
        <v>36379</v>
      </c>
      <c r="AF5083" t="s">
        <v>36380</v>
      </c>
      <c r="AG5083" t="s">
        <v>36381</v>
      </c>
      <c r="AI5083" t="s">
        <v>36382</v>
      </c>
      <c r="AM5083" t="s">
        <v>4912</v>
      </c>
      <c r="AN5083" t="s">
        <v>2139</v>
      </c>
      <c r="AO5083" t="s">
        <v>36383</v>
      </c>
      <c r="AP5083" t="s">
        <v>7024</v>
      </c>
      <c r="AQ5083" t="s">
        <v>36384</v>
      </c>
      <c r="AT5083" s="184">
        <v>42816</v>
      </c>
      <c r="AU5083" t="s">
        <v>36385</v>
      </c>
      <c r="AV5083">
        <v>25</v>
      </c>
      <c r="AW5083" s="184">
        <v>44943</v>
      </c>
      <c r="AX5083" t="s">
        <v>11577</v>
      </c>
      <c r="AY5083">
        <v>25</v>
      </c>
      <c r="AZ5083" s="184">
        <v>43074</v>
      </c>
      <c r="BA5083" t="s">
        <v>34076</v>
      </c>
      <c r="BB5083">
        <v>75</v>
      </c>
      <c r="BC5083">
        <v>75</v>
      </c>
      <c r="BD5083">
        <v>350</v>
      </c>
      <c r="BE5083">
        <v>2017</v>
      </c>
      <c r="BF5083">
        <v>10</v>
      </c>
      <c r="BG5083">
        <v>1</v>
      </c>
      <c r="BH5083">
        <v>25</v>
      </c>
      <c r="BI5083">
        <v>6</v>
      </c>
      <c r="BJ5083">
        <v>8</v>
      </c>
      <c r="BK5083">
        <v>4</v>
      </c>
      <c r="BP5083" s="184"/>
    </row>
    <row r="5084" spans="1:68">
      <c r="A5084">
        <v>100569806</v>
      </c>
      <c r="B5084">
        <v>96206594</v>
      </c>
      <c r="C5084" t="s">
        <v>7018</v>
      </c>
      <c r="D5084" t="s">
        <v>595</v>
      </c>
      <c r="E5084" s="184">
        <v>45147</v>
      </c>
      <c r="G5084" s="184"/>
      <c r="I5084" s="184"/>
      <c r="K5084" s="184"/>
      <c r="M5084" s="184"/>
      <c r="O5084" s="184"/>
      <c r="P5084" t="s">
        <v>7045</v>
      </c>
      <c r="Q5084" t="s">
        <v>7383</v>
      </c>
      <c r="R5084" s="184">
        <v>16862</v>
      </c>
      <c r="S5084">
        <v>78</v>
      </c>
      <c r="U5084" t="s">
        <v>7130</v>
      </c>
      <c r="V5084" t="s">
        <v>2733</v>
      </c>
      <c r="X5084" t="s">
        <v>36379</v>
      </c>
      <c r="Z5084">
        <v>96206594</v>
      </c>
      <c r="AA5084" t="s">
        <v>7031</v>
      </c>
      <c r="AB5084" t="s">
        <v>36378</v>
      </c>
      <c r="AD5084" t="s">
        <v>36379</v>
      </c>
      <c r="AF5084" t="s">
        <v>36380</v>
      </c>
      <c r="AG5084" t="s">
        <v>36381</v>
      </c>
      <c r="AI5084" t="s">
        <v>36382</v>
      </c>
      <c r="AM5084" t="s">
        <v>4912</v>
      </c>
      <c r="AN5084" t="s">
        <v>2139</v>
      </c>
      <c r="AO5084" t="s">
        <v>36383</v>
      </c>
      <c r="AP5084" t="s">
        <v>7024</v>
      </c>
      <c r="AT5084" s="184"/>
      <c r="AW5084" s="184"/>
      <c r="AZ5084" s="184"/>
      <c r="BP5084" s="184"/>
    </row>
    <row r="5085" spans="1:68">
      <c r="A5085">
        <v>96209556</v>
      </c>
      <c r="B5085">
        <v>96209556</v>
      </c>
      <c r="C5085" t="s">
        <v>7018</v>
      </c>
      <c r="E5085" s="184"/>
      <c r="F5085" t="s">
        <v>595</v>
      </c>
      <c r="G5085" s="184">
        <v>44484</v>
      </c>
      <c r="I5085" s="184"/>
      <c r="K5085" s="184"/>
      <c r="O5085" s="184"/>
      <c r="P5085" t="s">
        <v>7045</v>
      </c>
      <c r="Q5085" t="s">
        <v>7020</v>
      </c>
      <c r="R5085" s="184">
        <v>14946</v>
      </c>
      <c r="S5085">
        <v>83</v>
      </c>
      <c r="V5085" t="s">
        <v>3147</v>
      </c>
      <c r="X5085" t="s">
        <v>2988</v>
      </c>
      <c r="AF5085" t="s">
        <v>36386</v>
      </c>
      <c r="AG5085" t="s">
        <v>3147</v>
      </c>
      <c r="AI5085" t="s">
        <v>36387</v>
      </c>
      <c r="AJ5085" t="s">
        <v>36388</v>
      </c>
      <c r="AM5085" t="s">
        <v>2766</v>
      </c>
      <c r="AN5085" t="s">
        <v>2465</v>
      </c>
      <c r="AO5085" t="s">
        <v>36389</v>
      </c>
      <c r="AP5085" t="s">
        <v>7024</v>
      </c>
      <c r="AQ5085" t="s">
        <v>36390</v>
      </c>
      <c r="AT5085" s="184">
        <v>40647</v>
      </c>
      <c r="AU5085" t="s">
        <v>36391</v>
      </c>
      <c r="AV5085">
        <v>20</v>
      </c>
      <c r="AW5085" s="184">
        <v>45400</v>
      </c>
      <c r="AX5085" t="s">
        <v>7429</v>
      </c>
      <c r="AY5085">
        <v>15</v>
      </c>
      <c r="AZ5085" s="184">
        <v>43158</v>
      </c>
      <c r="BA5085" t="s">
        <v>36392</v>
      </c>
      <c r="BB5085">
        <v>60</v>
      </c>
      <c r="BC5085">
        <v>65</v>
      </c>
      <c r="BD5085">
        <v>844</v>
      </c>
      <c r="BE5085">
        <v>2011</v>
      </c>
      <c r="BF5085">
        <v>70</v>
      </c>
      <c r="BG5085">
        <v>17</v>
      </c>
      <c r="BH5085">
        <v>255</v>
      </c>
      <c r="BI5085">
        <v>9</v>
      </c>
      <c r="BJ5085">
        <v>14</v>
      </c>
      <c r="BK5085">
        <v>8</v>
      </c>
      <c r="BP5085" s="184"/>
    </row>
    <row r="5086" spans="1:68">
      <c r="A5086">
        <v>96224597</v>
      </c>
      <c r="B5086">
        <v>96224597</v>
      </c>
      <c r="C5086" t="s">
        <v>7018</v>
      </c>
      <c r="D5086" t="s">
        <v>595</v>
      </c>
      <c r="E5086" s="184">
        <v>45204</v>
      </c>
      <c r="G5086" s="184"/>
      <c r="I5086" s="184"/>
      <c r="K5086" s="184"/>
      <c r="M5086" s="184"/>
      <c r="O5086" s="184"/>
      <c r="P5086" t="s">
        <v>7045</v>
      </c>
      <c r="Q5086" t="s">
        <v>7494</v>
      </c>
      <c r="R5086" s="184">
        <v>21186</v>
      </c>
      <c r="S5086">
        <v>66</v>
      </c>
      <c r="V5086" t="s">
        <v>23541</v>
      </c>
      <c r="X5086" t="s">
        <v>36393</v>
      </c>
      <c r="AF5086" t="s">
        <v>36394</v>
      </c>
      <c r="AG5086" t="s">
        <v>23541</v>
      </c>
      <c r="AI5086" t="s">
        <v>36395</v>
      </c>
      <c r="AM5086" t="s">
        <v>36396</v>
      </c>
      <c r="AN5086" t="s">
        <v>2174</v>
      </c>
      <c r="AO5086" t="s">
        <v>36397</v>
      </c>
      <c r="AP5086" t="s">
        <v>7024</v>
      </c>
      <c r="AQ5086" t="s">
        <v>36398</v>
      </c>
      <c r="AT5086" s="184">
        <v>42821</v>
      </c>
      <c r="AU5086" t="s">
        <v>36399</v>
      </c>
      <c r="AV5086">
        <v>15</v>
      </c>
      <c r="AW5086" s="184">
        <v>44650</v>
      </c>
      <c r="AX5086" t="s">
        <v>36400</v>
      </c>
      <c r="AY5086">
        <v>25</v>
      </c>
      <c r="AZ5086" s="184">
        <v>44650</v>
      </c>
      <c r="BA5086" t="s">
        <v>36400</v>
      </c>
      <c r="BB5086">
        <v>25</v>
      </c>
      <c r="BC5086">
        <v>63</v>
      </c>
      <c r="BD5086">
        <v>205</v>
      </c>
      <c r="BE5086">
        <v>2017</v>
      </c>
      <c r="BF5086">
        <v>9</v>
      </c>
      <c r="BI5086">
        <v>5</v>
      </c>
      <c r="BJ5086">
        <v>8</v>
      </c>
      <c r="BK5086">
        <v>3</v>
      </c>
      <c r="BL5086" t="s">
        <v>595</v>
      </c>
      <c r="BM5086" t="s">
        <v>595</v>
      </c>
      <c r="BP5086" s="184"/>
    </row>
    <row r="5087" spans="1:68">
      <c r="A5087">
        <v>96228754</v>
      </c>
      <c r="B5087">
        <v>96228754</v>
      </c>
      <c r="C5087" t="s">
        <v>7018</v>
      </c>
      <c r="E5087" s="184"/>
      <c r="G5087" s="184"/>
      <c r="I5087" s="184"/>
      <c r="J5087" t="s">
        <v>595</v>
      </c>
      <c r="K5087" s="184">
        <v>43388</v>
      </c>
      <c r="M5087" s="184"/>
      <c r="O5087" s="184"/>
      <c r="P5087" t="s">
        <v>7045</v>
      </c>
      <c r="Q5087" t="s">
        <v>7020</v>
      </c>
      <c r="R5087" s="184"/>
      <c r="V5087" t="s">
        <v>2511</v>
      </c>
      <c r="X5087" t="s">
        <v>36401</v>
      </c>
      <c r="AF5087" t="s">
        <v>6733</v>
      </c>
      <c r="AG5087" t="s">
        <v>2511</v>
      </c>
      <c r="AI5087" t="s">
        <v>36402</v>
      </c>
      <c r="AM5087" t="s">
        <v>36403</v>
      </c>
      <c r="AN5087" t="s">
        <v>2112</v>
      </c>
      <c r="AO5087" t="s">
        <v>36404</v>
      </c>
      <c r="AP5087" t="s">
        <v>7024</v>
      </c>
      <c r="AT5087" s="184">
        <v>42821</v>
      </c>
      <c r="AU5087" t="s">
        <v>36405</v>
      </c>
      <c r="AV5087">
        <v>25</v>
      </c>
      <c r="AW5087" s="184">
        <v>42821</v>
      </c>
      <c r="AX5087" t="s">
        <v>36405</v>
      </c>
      <c r="AY5087">
        <v>25</v>
      </c>
      <c r="AZ5087" s="184">
        <v>42821</v>
      </c>
      <c r="BA5087" t="s">
        <v>36405</v>
      </c>
      <c r="BB5087">
        <v>25</v>
      </c>
      <c r="BC5087">
        <v>13</v>
      </c>
      <c r="BD5087">
        <v>25</v>
      </c>
      <c r="BE5087">
        <v>2017</v>
      </c>
      <c r="BF5087">
        <v>1</v>
      </c>
      <c r="BI5087">
        <v>1</v>
      </c>
      <c r="BJ5087">
        <v>8</v>
      </c>
      <c r="BK5087">
        <v>1</v>
      </c>
      <c r="BP5087" s="184"/>
    </row>
    <row r="5088" spans="1:68">
      <c r="A5088">
        <v>96267919</v>
      </c>
      <c r="B5088">
        <v>96267919</v>
      </c>
      <c r="C5088" t="s">
        <v>7018</v>
      </c>
      <c r="D5088" t="s">
        <v>595</v>
      </c>
      <c r="E5088" s="184">
        <v>45124</v>
      </c>
      <c r="G5088" s="184"/>
      <c r="I5088" s="184"/>
      <c r="K5088" s="184"/>
      <c r="M5088" s="184"/>
      <c r="O5088" s="184"/>
      <c r="P5088" t="s">
        <v>7045</v>
      </c>
      <c r="Q5088" t="s">
        <v>7020</v>
      </c>
      <c r="R5088" s="184">
        <v>23924</v>
      </c>
      <c r="S5088">
        <v>58</v>
      </c>
      <c r="V5088" t="s">
        <v>3095</v>
      </c>
      <c r="X5088" t="s">
        <v>5409</v>
      </c>
      <c r="AF5088" t="s">
        <v>36406</v>
      </c>
      <c r="AG5088" t="s">
        <v>3095</v>
      </c>
      <c r="AI5088" t="s">
        <v>36407</v>
      </c>
      <c r="AM5088" t="s">
        <v>5655</v>
      </c>
      <c r="AN5088" t="s">
        <v>2112</v>
      </c>
      <c r="AO5088" t="s">
        <v>36408</v>
      </c>
      <c r="AP5088" t="s">
        <v>7024</v>
      </c>
      <c r="AQ5088" t="s">
        <v>36409</v>
      </c>
      <c r="AT5088" s="184">
        <v>42828</v>
      </c>
      <c r="AU5088" t="s">
        <v>36410</v>
      </c>
      <c r="AV5088">
        <v>50</v>
      </c>
      <c r="AW5088" s="184">
        <v>45286</v>
      </c>
      <c r="AX5088" t="s">
        <v>14030</v>
      </c>
      <c r="AY5088">
        <v>50</v>
      </c>
      <c r="AZ5088" s="184">
        <v>44582</v>
      </c>
      <c r="BA5088" t="s">
        <v>25814</v>
      </c>
      <c r="BB5088">
        <v>100</v>
      </c>
      <c r="BC5088">
        <v>75</v>
      </c>
      <c r="BD5088">
        <v>650</v>
      </c>
      <c r="BE5088">
        <v>2017</v>
      </c>
      <c r="BF5088">
        <v>10</v>
      </c>
      <c r="BG5088">
        <v>1</v>
      </c>
      <c r="BH5088">
        <v>50</v>
      </c>
      <c r="BI5088">
        <v>6</v>
      </c>
      <c r="BJ5088">
        <v>8</v>
      </c>
      <c r="BK5088">
        <v>4</v>
      </c>
      <c r="BP5088" s="184"/>
    </row>
    <row r="5089" spans="1:68">
      <c r="A5089">
        <v>96272737</v>
      </c>
      <c r="B5089">
        <v>96272737</v>
      </c>
      <c r="C5089" t="s">
        <v>7018</v>
      </c>
      <c r="D5089" t="s">
        <v>595</v>
      </c>
      <c r="E5089" s="184">
        <v>45105</v>
      </c>
      <c r="G5089" s="184"/>
      <c r="I5089" s="184"/>
      <c r="K5089" s="184"/>
      <c r="M5089" s="184"/>
      <c r="P5089" t="s">
        <v>7045</v>
      </c>
      <c r="Q5089" t="s">
        <v>7383</v>
      </c>
      <c r="R5089" s="184">
        <v>18841</v>
      </c>
      <c r="S5089">
        <v>72</v>
      </c>
      <c r="V5089" t="s">
        <v>3889</v>
      </c>
      <c r="X5089" t="s">
        <v>36411</v>
      </c>
      <c r="AF5089" t="s">
        <v>36412</v>
      </c>
      <c r="AG5089" t="s">
        <v>3889</v>
      </c>
      <c r="AI5089" t="s">
        <v>36413</v>
      </c>
      <c r="AM5089" t="s">
        <v>36414</v>
      </c>
      <c r="AN5089" t="s">
        <v>2162</v>
      </c>
      <c r="AO5089" t="s">
        <v>36415</v>
      </c>
      <c r="AP5089" t="s">
        <v>7024</v>
      </c>
      <c r="AT5089" s="184">
        <v>42829</v>
      </c>
      <c r="AU5089" t="s">
        <v>36405</v>
      </c>
      <c r="AV5089">
        <v>25</v>
      </c>
      <c r="AW5089" s="184">
        <v>45320</v>
      </c>
      <c r="AX5089" t="s">
        <v>36416</v>
      </c>
      <c r="AY5089">
        <v>100</v>
      </c>
      <c r="AZ5089" s="184">
        <v>45320</v>
      </c>
      <c r="BA5089" t="s">
        <v>36416</v>
      </c>
      <c r="BB5089">
        <v>100</v>
      </c>
      <c r="BC5089">
        <v>63</v>
      </c>
      <c r="BD5089">
        <v>335</v>
      </c>
      <c r="BE5089">
        <v>2017</v>
      </c>
      <c r="BF5089">
        <v>6</v>
      </c>
      <c r="BG5089">
        <v>2</v>
      </c>
      <c r="BH5089">
        <v>200</v>
      </c>
      <c r="BI5089">
        <v>5</v>
      </c>
      <c r="BJ5089">
        <v>8</v>
      </c>
      <c r="BK5089">
        <v>3</v>
      </c>
      <c r="BP5089" s="184"/>
    </row>
    <row r="5090" spans="1:68">
      <c r="A5090">
        <v>96280466</v>
      </c>
      <c r="B5090">
        <v>96280466</v>
      </c>
      <c r="C5090" t="s">
        <v>7018</v>
      </c>
      <c r="D5090" t="s">
        <v>595</v>
      </c>
      <c r="E5090" s="184">
        <v>45154</v>
      </c>
      <c r="G5090" s="184"/>
      <c r="I5090" s="184"/>
      <c r="K5090" s="184"/>
      <c r="O5090" s="184"/>
      <c r="P5090" t="s">
        <v>7045</v>
      </c>
      <c r="Q5090" t="s">
        <v>7262</v>
      </c>
      <c r="R5090" s="184">
        <v>19044</v>
      </c>
      <c r="S5090">
        <v>72</v>
      </c>
      <c r="V5090" t="s">
        <v>36417</v>
      </c>
      <c r="X5090" t="s">
        <v>3982</v>
      </c>
      <c r="AF5090" t="s">
        <v>36418</v>
      </c>
      <c r="AG5090" t="s">
        <v>36417</v>
      </c>
      <c r="AI5090" t="s">
        <v>36419</v>
      </c>
      <c r="AM5090" t="s">
        <v>4738</v>
      </c>
      <c r="AN5090" t="s">
        <v>2069</v>
      </c>
      <c r="AO5090" t="s">
        <v>36420</v>
      </c>
      <c r="AP5090" t="s">
        <v>7024</v>
      </c>
      <c r="AQ5090" t="s">
        <v>36421</v>
      </c>
      <c r="AT5090" s="184">
        <v>42830</v>
      </c>
      <c r="AU5090" t="s">
        <v>36422</v>
      </c>
      <c r="AV5090">
        <v>25</v>
      </c>
      <c r="AW5090" s="184">
        <v>45378</v>
      </c>
      <c r="AX5090" t="s">
        <v>36423</v>
      </c>
      <c r="AY5090">
        <v>25</v>
      </c>
      <c r="AZ5090" s="184">
        <v>43931</v>
      </c>
      <c r="BA5090" t="s">
        <v>36424</v>
      </c>
      <c r="BB5090">
        <v>40</v>
      </c>
      <c r="BC5090">
        <v>75</v>
      </c>
      <c r="BD5090">
        <v>315</v>
      </c>
      <c r="BE5090">
        <v>2017</v>
      </c>
      <c r="BF5090">
        <v>11</v>
      </c>
      <c r="BG5090">
        <v>2</v>
      </c>
      <c r="BH5090">
        <v>50</v>
      </c>
      <c r="BI5090">
        <v>6</v>
      </c>
      <c r="BJ5090">
        <v>8</v>
      </c>
      <c r="BK5090">
        <v>4</v>
      </c>
      <c r="BP5090" s="184"/>
    </row>
    <row r="5091" spans="1:68">
      <c r="A5091">
        <v>96280755</v>
      </c>
      <c r="B5091">
        <v>96280755</v>
      </c>
      <c r="C5091" t="s">
        <v>7018</v>
      </c>
      <c r="D5091" t="s">
        <v>595</v>
      </c>
      <c r="E5091" s="184">
        <v>45196</v>
      </c>
      <c r="G5091" s="184"/>
      <c r="I5091" s="184"/>
      <c r="K5091" s="184"/>
      <c r="O5091" s="184"/>
      <c r="P5091" t="s">
        <v>7045</v>
      </c>
      <c r="Q5091" t="s">
        <v>7030</v>
      </c>
      <c r="R5091" s="184">
        <v>13455</v>
      </c>
      <c r="S5091">
        <v>87</v>
      </c>
      <c r="V5091" t="s">
        <v>5410</v>
      </c>
      <c r="X5091" t="s">
        <v>3175</v>
      </c>
      <c r="AF5091" t="s">
        <v>36425</v>
      </c>
      <c r="AG5091" t="s">
        <v>5410</v>
      </c>
      <c r="AI5091" t="s">
        <v>36426</v>
      </c>
      <c r="AM5091" t="s">
        <v>4209</v>
      </c>
      <c r="AN5091" t="s">
        <v>2201</v>
      </c>
      <c r="AO5091" t="s">
        <v>36427</v>
      </c>
      <c r="AP5091" t="s">
        <v>7024</v>
      </c>
      <c r="AT5091" s="184">
        <v>42830</v>
      </c>
      <c r="AU5091" t="s">
        <v>36428</v>
      </c>
      <c r="AV5091">
        <v>25</v>
      </c>
      <c r="AW5091" s="184">
        <v>44407</v>
      </c>
      <c r="AX5091" t="s">
        <v>14359</v>
      </c>
      <c r="AY5091">
        <v>20</v>
      </c>
      <c r="AZ5091" s="184">
        <v>44075</v>
      </c>
      <c r="BA5091" t="s">
        <v>36429</v>
      </c>
      <c r="BB5091">
        <v>25</v>
      </c>
      <c r="BC5091">
        <v>63</v>
      </c>
      <c r="BD5091">
        <v>165</v>
      </c>
      <c r="BE5091">
        <v>2017</v>
      </c>
      <c r="BF5091">
        <v>7</v>
      </c>
      <c r="BI5091">
        <v>5</v>
      </c>
      <c r="BJ5091">
        <v>8</v>
      </c>
      <c r="BK5091">
        <v>5</v>
      </c>
      <c r="BP5091" s="184"/>
    </row>
    <row r="5092" spans="1:68">
      <c r="A5092">
        <v>96282082</v>
      </c>
      <c r="B5092">
        <v>96282082</v>
      </c>
      <c r="C5092" t="s">
        <v>7018</v>
      </c>
      <c r="D5092" t="s">
        <v>595</v>
      </c>
      <c r="E5092" s="184">
        <v>45124</v>
      </c>
      <c r="I5092" s="184"/>
      <c r="K5092" s="184"/>
      <c r="M5092" s="184"/>
      <c r="P5092" t="s">
        <v>7045</v>
      </c>
      <c r="Q5092" t="s">
        <v>7383</v>
      </c>
      <c r="R5092" s="184">
        <v>18753</v>
      </c>
      <c r="S5092">
        <v>73</v>
      </c>
      <c r="U5092" t="s">
        <v>7076</v>
      </c>
      <c r="V5092" t="s">
        <v>3131</v>
      </c>
      <c r="X5092" t="s">
        <v>36430</v>
      </c>
      <c r="AF5092" t="s">
        <v>36431</v>
      </c>
      <c r="AG5092" t="s">
        <v>3131</v>
      </c>
      <c r="AI5092" t="s">
        <v>36432</v>
      </c>
      <c r="AM5092" t="s">
        <v>3061</v>
      </c>
      <c r="AN5092" t="s">
        <v>2072</v>
      </c>
      <c r="AO5092" t="s">
        <v>36433</v>
      </c>
      <c r="AP5092" t="s">
        <v>7024</v>
      </c>
      <c r="AQ5092" t="s">
        <v>36434</v>
      </c>
      <c r="AT5092" s="184">
        <v>42830</v>
      </c>
      <c r="AU5092" t="s">
        <v>36435</v>
      </c>
      <c r="AV5092">
        <v>25</v>
      </c>
      <c r="AW5092" s="184">
        <v>45027</v>
      </c>
      <c r="AX5092" t="s">
        <v>34260</v>
      </c>
      <c r="AY5092">
        <v>25</v>
      </c>
      <c r="AZ5092" s="184">
        <v>43185</v>
      </c>
      <c r="BA5092" t="s">
        <v>36436</v>
      </c>
      <c r="BB5092">
        <v>60</v>
      </c>
      <c r="BC5092">
        <v>75</v>
      </c>
      <c r="BD5092">
        <v>335</v>
      </c>
      <c r="BE5092">
        <v>2017</v>
      </c>
      <c r="BF5092">
        <v>12</v>
      </c>
      <c r="BG5092">
        <v>4</v>
      </c>
      <c r="BH5092">
        <v>100</v>
      </c>
      <c r="BI5092">
        <v>6</v>
      </c>
      <c r="BJ5092">
        <v>8</v>
      </c>
      <c r="BK5092">
        <v>4</v>
      </c>
      <c r="BP5092" s="184"/>
    </row>
    <row r="5093" spans="1:68">
      <c r="A5093">
        <v>96301890</v>
      </c>
      <c r="B5093">
        <v>96301890</v>
      </c>
      <c r="C5093" t="s">
        <v>7018</v>
      </c>
      <c r="D5093" t="s">
        <v>595</v>
      </c>
      <c r="E5093" s="184">
        <v>45141</v>
      </c>
      <c r="G5093" s="184"/>
      <c r="I5093" s="184"/>
      <c r="K5093" s="184"/>
      <c r="M5093" s="184"/>
      <c r="P5093" t="s">
        <v>7045</v>
      </c>
      <c r="Q5093" t="s">
        <v>7262</v>
      </c>
      <c r="R5093" s="184">
        <v>19024</v>
      </c>
      <c r="S5093">
        <v>72</v>
      </c>
      <c r="U5093" t="s">
        <v>7076</v>
      </c>
      <c r="V5093" t="s">
        <v>3008</v>
      </c>
      <c r="X5093" t="s">
        <v>9521</v>
      </c>
      <c r="AF5093" t="s">
        <v>36437</v>
      </c>
      <c r="AG5093" t="s">
        <v>3008</v>
      </c>
      <c r="AI5093" t="s">
        <v>36438</v>
      </c>
      <c r="AM5093" t="s">
        <v>2616</v>
      </c>
      <c r="AN5093" t="s">
        <v>2069</v>
      </c>
      <c r="AO5093" t="s">
        <v>36439</v>
      </c>
      <c r="AP5093" t="s">
        <v>7024</v>
      </c>
      <c r="AQ5093" t="s">
        <v>36440</v>
      </c>
      <c r="AT5093" s="184">
        <v>42836</v>
      </c>
      <c r="AU5093" t="s">
        <v>36441</v>
      </c>
      <c r="AV5093">
        <v>50</v>
      </c>
      <c r="AW5093" s="184">
        <v>43921</v>
      </c>
      <c r="AX5093" t="s">
        <v>36442</v>
      </c>
      <c r="AY5093">
        <v>100</v>
      </c>
      <c r="AZ5093" s="184">
        <v>43921</v>
      </c>
      <c r="BA5093" t="s">
        <v>36442</v>
      </c>
      <c r="BB5093">
        <v>100</v>
      </c>
      <c r="BC5093">
        <v>38</v>
      </c>
      <c r="BD5093">
        <v>250</v>
      </c>
      <c r="BE5093">
        <v>2017</v>
      </c>
      <c r="BF5093">
        <v>3</v>
      </c>
      <c r="BI5093">
        <v>3</v>
      </c>
      <c r="BJ5093">
        <v>8</v>
      </c>
      <c r="BK5093">
        <v>2</v>
      </c>
      <c r="BP5093" s="184"/>
    </row>
    <row r="5094" spans="1:68">
      <c r="A5094">
        <v>96305321</v>
      </c>
      <c r="B5094">
        <v>96305321</v>
      </c>
      <c r="C5094" t="s">
        <v>7018</v>
      </c>
      <c r="D5094" t="s">
        <v>595</v>
      </c>
      <c r="E5094" s="184">
        <v>44153</v>
      </c>
      <c r="G5094" s="184"/>
      <c r="I5094" s="184"/>
      <c r="K5094" s="184"/>
      <c r="M5094" s="184"/>
      <c r="P5094" t="s">
        <v>7045</v>
      </c>
      <c r="Q5094" t="s">
        <v>7160</v>
      </c>
      <c r="R5094" s="184">
        <v>15510</v>
      </c>
      <c r="S5094">
        <v>81</v>
      </c>
      <c r="T5094" t="s">
        <v>3961</v>
      </c>
      <c r="V5094" t="s">
        <v>23800</v>
      </c>
      <c r="X5094" t="s">
        <v>4412</v>
      </c>
      <c r="Z5094">
        <v>100565148</v>
      </c>
      <c r="AB5094" t="s">
        <v>2733</v>
      </c>
      <c r="AD5094" t="s">
        <v>4412</v>
      </c>
      <c r="AF5094" t="s">
        <v>36443</v>
      </c>
      <c r="AG5094" t="s">
        <v>36444</v>
      </c>
      <c r="AI5094" t="s">
        <v>36445</v>
      </c>
      <c r="AM5094" t="s">
        <v>3470</v>
      </c>
      <c r="AN5094" t="s">
        <v>2176</v>
      </c>
      <c r="AO5094" t="s">
        <v>36446</v>
      </c>
      <c r="AP5094" t="s">
        <v>7024</v>
      </c>
      <c r="AQ5094" t="s">
        <v>36447</v>
      </c>
      <c r="AT5094" s="184">
        <v>42836</v>
      </c>
      <c r="AU5094" t="s">
        <v>36448</v>
      </c>
      <c r="AV5094">
        <v>25</v>
      </c>
      <c r="AW5094" s="184">
        <v>42836</v>
      </c>
      <c r="AX5094" t="s">
        <v>36448</v>
      </c>
      <c r="AY5094">
        <v>25</v>
      </c>
      <c r="AZ5094" s="184">
        <v>42836</v>
      </c>
      <c r="BA5094" t="s">
        <v>36448</v>
      </c>
      <c r="BB5094">
        <v>25</v>
      </c>
      <c r="BC5094">
        <v>13</v>
      </c>
      <c r="BD5094">
        <v>25</v>
      </c>
      <c r="BE5094">
        <v>2017</v>
      </c>
      <c r="BF5094">
        <v>1</v>
      </c>
      <c r="BI5094">
        <v>1</v>
      </c>
      <c r="BJ5094">
        <v>8</v>
      </c>
      <c r="BK5094">
        <v>1</v>
      </c>
      <c r="BP5094" s="184"/>
    </row>
    <row r="5095" spans="1:68">
      <c r="A5095">
        <v>100565148</v>
      </c>
      <c r="B5095">
        <v>96305321</v>
      </c>
      <c r="C5095" t="s">
        <v>7018</v>
      </c>
      <c r="D5095" t="s">
        <v>595</v>
      </c>
      <c r="E5095" s="184">
        <v>44153</v>
      </c>
      <c r="G5095" s="184"/>
      <c r="I5095" s="184"/>
      <c r="K5095" s="184"/>
      <c r="O5095" s="184"/>
      <c r="P5095" t="s">
        <v>7045</v>
      </c>
      <c r="Q5095" t="s">
        <v>7160</v>
      </c>
      <c r="R5095" s="184"/>
      <c r="V5095" t="s">
        <v>2733</v>
      </c>
      <c r="X5095" t="s">
        <v>4412</v>
      </c>
      <c r="Z5095">
        <v>96305321</v>
      </c>
      <c r="AB5095" t="s">
        <v>23800</v>
      </c>
      <c r="AD5095" t="s">
        <v>4412</v>
      </c>
      <c r="AF5095" t="s">
        <v>36443</v>
      </c>
      <c r="AG5095" t="s">
        <v>36444</v>
      </c>
      <c r="AI5095" t="s">
        <v>36445</v>
      </c>
      <c r="AM5095" t="s">
        <v>3470</v>
      </c>
      <c r="AN5095" t="s">
        <v>2176</v>
      </c>
      <c r="AO5095" t="s">
        <v>36446</v>
      </c>
      <c r="AP5095" t="s">
        <v>7024</v>
      </c>
      <c r="AT5095" s="184"/>
      <c r="AW5095" s="184"/>
      <c r="AZ5095" s="184"/>
      <c r="BP5095" s="184"/>
    </row>
    <row r="5096" spans="1:68">
      <c r="A5096">
        <v>96320619</v>
      </c>
      <c r="B5096">
        <v>96320619</v>
      </c>
      <c r="C5096" t="s">
        <v>7018</v>
      </c>
      <c r="D5096" t="s">
        <v>595</v>
      </c>
      <c r="E5096" s="184">
        <v>45152</v>
      </c>
      <c r="G5096" s="184"/>
      <c r="I5096" s="184"/>
      <c r="K5096" s="184"/>
      <c r="M5096" s="184"/>
      <c r="O5096" s="184"/>
      <c r="P5096" t="s">
        <v>7045</v>
      </c>
      <c r="Q5096" t="s">
        <v>7383</v>
      </c>
      <c r="R5096" s="184">
        <v>15084</v>
      </c>
      <c r="S5096">
        <v>83</v>
      </c>
      <c r="V5096" t="s">
        <v>4892</v>
      </c>
      <c r="X5096" t="s">
        <v>36449</v>
      </c>
      <c r="AF5096" t="s">
        <v>36450</v>
      </c>
      <c r="AG5096" t="s">
        <v>4892</v>
      </c>
      <c r="AI5096" t="s">
        <v>36451</v>
      </c>
      <c r="AM5096" t="s">
        <v>36452</v>
      </c>
      <c r="AN5096" t="s">
        <v>2064</v>
      </c>
      <c r="AO5096" t="s">
        <v>36453</v>
      </c>
      <c r="AP5096" t="s">
        <v>7024</v>
      </c>
      <c r="AT5096" s="184">
        <v>42842</v>
      </c>
      <c r="AU5096" t="s">
        <v>36454</v>
      </c>
      <c r="AV5096">
        <v>15</v>
      </c>
      <c r="AW5096" s="184">
        <v>45413</v>
      </c>
      <c r="AX5096" t="s">
        <v>26173</v>
      </c>
      <c r="AY5096">
        <v>5</v>
      </c>
      <c r="AZ5096" s="184">
        <v>44216</v>
      </c>
      <c r="BA5096" t="s">
        <v>36455</v>
      </c>
      <c r="BB5096">
        <v>25</v>
      </c>
      <c r="BC5096">
        <v>100</v>
      </c>
      <c r="BD5096">
        <v>195</v>
      </c>
      <c r="BE5096">
        <v>2017</v>
      </c>
      <c r="BF5096">
        <v>18</v>
      </c>
      <c r="BG5096">
        <v>10</v>
      </c>
      <c r="BH5096">
        <v>90</v>
      </c>
      <c r="BI5096">
        <v>8</v>
      </c>
      <c r="BJ5096">
        <v>8</v>
      </c>
      <c r="BK5096">
        <v>8</v>
      </c>
      <c r="BP5096" s="184"/>
    </row>
    <row r="5097" spans="1:68">
      <c r="A5097">
        <v>96320767</v>
      </c>
      <c r="B5097">
        <v>96320767</v>
      </c>
      <c r="C5097" t="s">
        <v>7018</v>
      </c>
      <c r="D5097" t="s">
        <v>595</v>
      </c>
      <c r="E5097" s="184">
        <v>45113</v>
      </c>
      <c r="G5097" s="184"/>
      <c r="I5097" s="184"/>
      <c r="K5097" s="184"/>
      <c r="M5097" s="184"/>
      <c r="O5097" s="184"/>
      <c r="P5097" t="s">
        <v>7045</v>
      </c>
      <c r="Q5097" t="s">
        <v>7262</v>
      </c>
      <c r="R5097" s="184">
        <v>24854</v>
      </c>
      <c r="S5097">
        <v>56</v>
      </c>
      <c r="V5097" t="s">
        <v>2541</v>
      </c>
      <c r="X5097" t="s">
        <v>36456</v>
      </c>
      <c r="AF5097" t="s">
        <v>36457</v>
      </c>
      <c r="AG5097" t="s">
        <v>2541</v>
      </c>
      <c r="AI5097" t="s">
        <v>36458</v>
      </c>
      <c r="AM5097" t="s">
        <v>4861</v>
      </c>
      <c r="AN5097" t="s">
        <v>2069</v>
      </c>
      <c r="AO5097" t="s">
        <v>36459</v>
      </c>
      <c r="AP5097" t="s">
        <v>7024</v>
      </c>
      <c r="AQ5097" t="s">
        <v>36460</v>
      </c>
      <c r="AT5097" s="184">
        <v>42842</v>
      </c>
      <c r="AU5097" t="s">
        <v>36454</v>
      </c>
      <c r="AV5097">
        <v>25</v>
      </c>
      <c r="AW5097" s="184">
        <v>45054</v>
      </c>
      <c r="AX5097" t="s">
        <v>12594</v>
      </c>
      <c r="AY5097">
        <v>150</v>
      </c>
      <c r="AZ5097" s="184">
        <v>45054</v>
      </c>
      <c r="BA5097" t="s">
        <v>12594</v>
      </c>
      <c r="BB5097">
        <v>150</v>
      </c>
      <c r="BC5097">
        <v>75</v>
      </c>
      <c r="BD5097">
        <v>475</v>
      </c>
      <c r="BE5097">
        <v>2017</v>
      </c>
      <c r="BF5097">
        <v>6</v>
      </c>
      <c r="BG5097">
        <v>2</v>
      </c>
      <c r="BH5097">
        <v>250</v>
      </c>
      <c r="BI5097">
        <v>6</v>
      </c>
      <c r="BJ5097">
        <v>8</v>
      </c>
      <c r="BK5097">
        <v>5</v>
      </c>
      <c r="BP5097" s="184"/>
    </row>
    <row r="5098" spans="1:68">
      <c r="A5098">
        <v>96325444</v>
      </c>
      <c r="B5098">
        <v>96325444</v>
      </c>
      <c r="C5098" t="s">
        <v>7018</v>
      </c>
      <c r="D5098" t="s">
        <v>595</v>
      </c>
      <c r="E5098" s="184">
        <v>44419</v>
      </c>
      <c r="G5098" s="184"/>
      <c r="I5098" s="184"/>
      <c r="K5098" s="184"/>
      <c r="M5098" s="184"/>
      <c r="O5098" s="184"/>
      <c r="P5098" t="s">
        <v>7045</v>
      </c>
      <c r="Q5098" t="s">
        <v>7383</v>
      </c>
      <c r="R5098" s="184">
        <v>21582</v>
      </c>
      <c r="S5098">
        <v>65</v>
      </c>
      <c r="U5098" t="s">
        <v>7076</v>
      </c>
      <c r="V5098" t="s">
        <v>2733</v>
      </c>
      <c r="X5098" t="s">
        <v>9683</v>
      </c>
      <c r="Z5098">
        <v>100302242</v>
      </c>
      <c r="AA5098" t="s">
        <v>7031</v>
      </c>
      <c r="AB5098" t="s">
        <v>5280</v>
      </c>
      <c r="AD5098" t="s">
        <v>16174</v>
      </c>
      <c r="AF5098" t="s">
        <v>36461</v>
      </c>
      <c r="AG5098" t="s">
        <v>36462</v>
      </c>
      <c r="AI5098" t="s">
        <v>36463</v>
      </c>
      <c r="AM5098" t="s">
        <v>15579</v>
      </c>
      <c r="AN5098" t="s">
        <v>2274</v>
      </c>
      <c r="AO5098" t="s">
        <v>36464</v>
      </c>
      <c r="AP5098" t="s">
        <v>7024</v>
      </c>
      <c r="AQ5098" t="s">
        <v>36465</v>
      </c>
      <c r="AR5098" t="s">
        <v>36466</v>
      </c>
      <c r="AT5098" s="184">
        <v>42842</v>
      </c>
      <c r="AU5098" t="s">
        <v>36467</v>
      </c>
      <c r="AV5098">
        <v>25</v>
      </c>
      <c r="AW5098" s="184">
        <v>45402</v>
      </c>
      <c r="AX5098" t="s">
        <v>7429</v>
      </c>
      <c r="AY5098">
        <v>10</v>
      </c>
      <c r="AZ5098" s="184">
        <v>43279</v>
      </c>
      <c r="BA5098" t="s">
        <v>8586</v>
      </c>
      <c r="BB5098">
        <v>50</v>
      </c>
      <c r="BC5098">
        <v>100</v>
      </c>
      <c r="BD5098">
        <v>695</v>
      </c>
      <c r="BE5098">
        <v>2017</v>
      </c>
      <c r="BF5098">
        <v>64</v>
      </c>
      <c r="BG5098">
        <v>24</v>
      </c>
      <c r="BH5098">
        <v>240</v>
      </c>
      <c r="BI5098">
        <v>8</v>
      </c>
      <c r="BJ5098">
        <v>8</v>
      </c>
      <c r="BK5098">
        <v>8</v>
      </c>
      <c r="BP5098" s="184"/>
    </row>
    <row r="5099" spans="1:68">
      <c r="A5099">
        <v>100302242</v>
      </c>
      <c r="B5099">
        <v>96325444</v>
      </c>
      <c r="C5099" t="s">
        <v>7018</v>
      </c>
      <c r="D5099" t="s">
        <v>595</v>
      </c>
      <c r="E5099" s="184">
        <v>44419</v>
      </c>
      <c r="G5099" s="184"/>
      <c r="I5099" s="184"/>
      <c r="K5099" s="184"/>
      <c r="M5099" s="184"/>
      <c r="O5099" s="184"/>
      <c r="P5099" t="s">
        <v>7045</v>
      </c>
      <c r="Q5099" t="s">
        <v>7383</v>
      </c>
      <c r="R5099" s="184">
        <v>19962</v>
      </c>
      <c r="S5099">
        <v>69</v>
      </c>
      <c r="U5099" t="s">
        <v>7031</v>
      </c>
      <c r="V5099" t="s">
        <v>5280</v>
      </c>
      <c r="X5099" t="s">
        <v>16174</v>
      </c>
      <c r="Z5099">
        <v>96325444</v>
      </c>
      <c r="AA5099" t="s">
        <v>7076</v>
      </c>
      <c r="AB5099" t="s">
        <v>2733</v>
      </c>
      <c r="AD5099" t="s">
        <v>9683</v>
      </c>
      <c r="AF5099" t="s">
        <v>36461</v>
      </c>
      <c r="AG5099" t="s">
        <v>36462</v>
      </c>
      <c r="AI5099" t="s">
        <v>36463</v>
      </c>
      <c r="AM5099" t="s">
        <v>15579</v>
      </c>
      <c r="AN5099" t="s">
        <v>2274</v>
      </c>
      <c r="AO5099" t="s">
        <v>36464</v>
      </c>
      <c r="AP5099" t="s">
        <v>7024</v>
      </c>
      <c r="AT5099" s="184"/>
      <c r="AW5099" s="184"/>
      <c r="AZ5099" s="184"/>
      <c r="BP5099" s="184"/>
    </row>
    <row r="5100" spans="1:68">
      <c r="A5100">
        <v>96327390</v>
      </c>
      <c r="B5100">
        <v>96327390</v>
      </c>
      <c r="C5100" t="s">
        <v>7018</v>
      </c>
      <c r="D5100" t="s">
        <v>595</v>
      </c>
      <c r="E5100" s="184">
        <v>45119</v>
      </c>
      <c r="G5100" s="184"/>
      <c r="I5100" s="184"/>
      <c r="K5100" s="184"/>
      <c r="M5100" s="184"/>
      <c r="O5100" s="184"/>
      <c r="P5100" t="s">
        <v>7045</v>
      </c>
      <c r="Q5100" t="s">
        <v>7383</v>
      </c>
      <c r="R5100" s="184">
        <v>23178</v>
      </c>
      <c r="S5100">
        <v>60</v>
      </c>
      <c r="U5100" t="s">
        <v>7032</v>
      </c>
      <c r="V5100" t="s">
        <v>4599</v>
      </c>
      <c r="X5100" t="s">
        <v>36468</v>
      </c>
      <c r="AF5100" t="s">
        <v>36469</v>
      </c>
      <c r="AG5100" t="s">
        <v>4599</v>
      </c>
      <c r="AI5100" t="s">
        <v>36470</v>
      </c>
      <c r="AM5100" t="s">
        <v>9508</v>
      </c>
      <c r="AN5100" t="s">
        <v>2072</v>
      </c>
      <c r="AO5100" t="s">
        <v>36471</v>
      </c>
      <c r="AP5100" t="s">
        <v>7024</v>
      </c>
      <c r="AQ5100" t="s">
        <v>36472</v>
      </c>
      <c r="AT5100" s="184">
        <v>42839</v>
      </c>
      <c r="AU5100" t="s">
        <v>36473</v>
      </c>
      <c r="AV5100">
        <v>100</v>
      </c>
      <c r="AW5100" s="184">
        <v>45426</v>
      </c>
      <c r="AX5100" t="s">
        <v>7422</v>
      </c>
      <c r="AY5100">
        <v>15</v>
      </c>
      <c r="AZ5100" s="184">
        <v>43192</v>
      </c>
      <c r="BA5100" t="s">
        <v>36474</v>
      </c>
      <c r="BB5100">
        <v>100</v>
      </c>
      <c r="BC5100">
        <v>100</v>
      </c>
      <c r="BD5100">
        <v>1315</v>
      </c>
      <c r="BE5100">
        <v>2017</v>
      </c>
      <c r="BF5100">
        <v>75</v>
      </c>
      <c r="BG5100">
        <v>25</v>
      </c>
      <c r="BH5100">
        <v>375</v>
      </c>
      <c r="BI5100">
        <v>8</v>
      </c>
      <c r="BJ5100">
        <v>8</v>
      </c>
      <c r="BK5100">
        <v>8</v>
      </c>
      <c r="BP5100" s="184"/>
    </row>
    <row r="5101" spans="1:68">
      <c r="A5101">
        <v>96331772</v>
      </c>
      <c r="B5101">
        <v>96331772</v>
      </c>
      <c r="C5101" t="s">
        <v>7018</v>
      </c>
      <c r="D5101" t="s">
        <v>595</v>
      </c>
      <c r="E5101" s="184">
        <v>45113</v>
      </c>
      <c r="G5101" s="184"/>
      <c r="I5101" s="184"/>
      <c r="K5101" s="184"/>
      <c r="M5101" s="184"/>
      <c r="O5101" s="184"/>
      <c r="P5101" t="s">
        <v>7045</v>
      </c>
      <c r="Q5101" t="s">
        <v>7774</v>
      </c>
      <c r="R5101" s="184">
        <v>16100</v>
      </c>
      <c r="S5101">
        <v>80</v>
      </c>
      <c r="V5101" t="s">
        <v>2851</v>
      </c>
      <c r="X5101" t="s">
        <v>36475</v>
      </c>
      <c r="AF5101" t="s">
        <v>36476</v>
      </c>
      <c r="AG5101" t="s">
        <v>2851</v>
      </c>
      <c r="AI5101" t="s">
        <v>36477</v>
      </c>
      <c r="AM5101" t="s">
        <v>36478</v>
      </c>
      <c r="AN5101" t="s">
        <v>2972</v>
      </c>
      <c r="AO5101" t="s">
        <v>36479</v>
      </c>
      <c r="AP5101" t="s">
        <v>7024</v>
      </c>
      <c r="AQ5101" t="s">
        <v>36480</v>
      </c>
      <c r="AT5101" s="184">
        <v>42843</v>
      </c>
      <c r="AU5101" t="s">
        <v>36481</v>
      </c>
      <c r="AV5101">
        <v>25</v>
      </c>
      <c r="AW5101" s="184">
        <v>45197</v>
      </c>
      <c r="AX5101" t="s">
        <v>10981</v>
      </c>
      <c r="AY5101">
        <v>35</v>
      </c>
      <c r="AZ5101" s="184">
        <v>43587</v>
      </c>
      <c r="BA5101" t="s">
        <v>14864</v>
      </c>
      <c r="BB5101">
        <v>40</v>
      </c>
      <c r="BC5101">
        <v>88</v>
      </c>
      <c r="BD5101">
        <v>350</v>
      </c>
      <c r="BE5101">
        <v>2017</v>
      </c>
      <c r="BF5101">
        <v>10</v>
      </c>
      <c r="BG5101">
        <v>3</v>
      </c>
      <c r="BH5101">
        <v>105</v>
      </c>
      <c r="BI5101">
        <v>7</v>
      </c>
      <c r="BJ5101">
        <v>8</v>
      </c>
      <c r="BK5101">
        <v>7</v>
      </c>
      <c r="BP5101" s="184"/>
    </row>
    <row r="5102" spans="1:68">
      <c r="A5102">
        <v>96349642</v>
      </c>
      <c r="B5102">
        <v>96349642</v>
      </c>
      <c r="C5102" t="s">
        <v>7018</v>
      </c>
      <c r="E5102" s="184"/>
      <c r="G5102" s="184"/>
      <c r="H5102" t="s">
        <v>595</v>
      </c>
      <c r="I5102" s="184">
        <v>44655</v>
      </c>
      <c r="K5102" s="184"/>
      <c r="M5102" s="184"/>
      <c r="O5102" s="184"/>
      <c r="P5102" t="s">
        <v>7019</v>
      </c>
      <c r="Q5102" t="s">
        <v>7374</v>
      </c>
      <c r="R5102" s="184">
        <v>14005</v>
      </c>
      <c r="S5102">
        <v>86</v>
      </c>
      <c r="U5102" t="s">
        <v>7031</v>
      </c>
      <c r="V5102" t="s">
        <v>2739</v>
      </c>
      <c r="X5102" t="s">
        <v>3250</v>
      </c>
      <c r="AF5102" t="s">
        <v>36482</v>
      </c>
      <c r="AG5102" t="s">
        <v>2739</v>
      </c>
      <c r="AI5102" t="s">
        <v>36483</v>
      </c>
      <c r="AM5102" t="s">
        <v>4318</v>
      </c>
      <c r="AN5102" t="s">
        <v>2081</v>
      </c>
      <c r="AO5102" t="s">
        <v>36484</v>
      </c>
      <c r="AP5102" t="s">
        <v>7024</v>
      </c>
      <c r="AQ5102" t="s">
        <v>36485</v>
      </c>
      <c r="AT5102" s="184">
        <v>42844</v>
      </c>
      <c r="AU5102" t="s">
        <v>36486</v>
      </c>
      <c r="AV5102">
        <v>25</v>
      </c>
      <c r="AW5102" s="184">
        <v>44776</v>
      </c>
      <c r="AX5102" t="s">
        <v>36487</v>
      </c>
      <c r="AY5102">
        <v>60</v>
      </c>
      <c r="AZ5102" s="184">
        <v>44776</v>
      </c>
      <c r="BA5102" t="s">
        <v>36487</v>
      </c>
      <c r="BB5102">
        <v>60</v>
      </c>
      <c r="BC5102">
        <v>50</v>
      </c>
      <c r="BD5102">
        <v>170</v>
      </c>
      <c r="BE5102">
        <v>2017</v>
      </c>
      <c r="BF5102">
        <v>4</v>
      </c>
      <c r="BG5102">
        <v>1</v>
      </c>
      <c r="BH5102">
        <v>60</v>
      </c>
      <c r="BI5102">
        <v>4</v>
      </c>
      <c r="BJ5102">
        <v>8</v>
      </c>
      <c r="BK5102">
        <v>3</v>
      </c>
      <c r="BP5102" s="184"/>
    </row>
    <row r="5103" spans="1:68">
      <c r="A5103">
        <v>96360086</v>
      </c>
      <c r="B5103">
        <v>96360086</v>
      </c>
      <c r="C5103" t="s">
        <v>7018</v>
      </c>
      <c r="D5103" t="s">
        <v>595</v>
      </c>
      <c r="E5103" s="184">
        <v>45140</v>
      </c>
      <c r="I5103" s="184"/>
      <c r="K5103" s="184"/>
      <c r="M5103" s="184"/>
      <c r="O5103" s="184"/>
      <c r="P5103" t="s">
        <v>7045</v>
      </c>
      <c r="Q5103" t="s">
        <v>7383</v>
      </c>
      <c r="R5103" s="184">
        <v>17927</v>
      </c>
      <c r="S5103">
        <v>75</v>
      </c>
      <c r="V5103" t="s">
        <v>2551</v>
      </c>
      <c r="X5103" t="s">
        <v>36488</v>
      </c>
      <c r="AF5103" t="s">
        <v>36489</v>
      </c>
      <c r="AG5103" t="s">
        <v>2551</v>
      </c>
      <c r="AI5103" t="s">
        <v>36490</v>
      </c>
      <c r="AM5103" t="s">
        <v>26023</v>
      </c>
      <c r="AN5103" t="s">
        <v>2274</v>
      </c>
      <c r="AO5103" t="s">
        <v>36491</v>
      </c>
      <c r="AP5103" t="s">
        <v>7024</v>
      </c>
      <c r="AQ5103" t="s">
        <v>36492</v>
      </c>
      <c r="AT5103" s="184">
        <v>42846</v>
      </c>
      <c r="AU5103" t="s">
        <v>36493</v>
      </c>
      <c r="AV5103">
        <v>25</v>
      </c>
      <c r="AW5103" s="184">
        <v>44958</v>
      </c>
      <c r="AX5103" t="s">
        <v>12114</v>
      </c>
      <c r="AY5103">
        <v>50</v>
      </c>
      <c r="AZ5103" s="184">
        <v>44958</v>
      </c>
      <c r="BA5103" t="s">
        <v>12114</v>
      </c>
      <c r="BB5103">
        <v>50</v>
      </c>
      <c r="BC5103">
        <v>75</v>
      </c>
      <c r="BD5103">
        <v>250</v>
      </c>
      <c r="BE5103">
        <v>2017</v>
      </c>
      <c r="BF5103">
        <v>7</v>
      </c>
      <c r="BG5103">
        <v>3</v>
      </c>
      <c r="BH5103">
        <v>110</v>
      </c>
      <c r="BI5103">
        <v>6</v>
      </c>
      <c r="BJ5103">
        <v>8</v>
      </c>
      <c r="BK5103">
        <v>4</v>
      </c>
      <c r="BP5103" s="184"/>
    </row>
    <row r="5104" spans="1:68">
      <c r="A5104">
        <v>96374343</v>
      </c>
      <c r="B5104">
        <v>96374343</v>
      </c>
      <c r="C5104" t="s">
        <v>7018</v>
      </c>
      <c r="D5104" t="s">
        <v>595</v>
      </c>
      <c r="E5104" s="184">
        <v>44455</v>
      </c>
      <c r="G5104" s="184"/>
      <c r="I5104" s="184"/>
      <c r="K5104" s="184"/>
      <c r="M5104" s="184"/>
      <c r="O5104" s="184"/>
      <c r="P5104" t="s">
        <v>7045</v>
      </c>
      <c r="Q5104" t="s">
        <v>7494</v>
      </c>
      <c r="R5104" s="184">
        <v>20760</v>
      </c>
      <c r="S5104">
        <v>67</v>
      </c>
      <c r="U5104" t="s">
        <v>7076</v>
      </c>
      <c r="V5104" t="s">
        <v>3478</v>
      </c>
      <c r="W5104" t="s">
        <v>4139</v>
      </c>
      <c r="X5104" t="s">
        <v>36494</v>
      </c>
      <c r="AF5104" t="s">
        <v>36495</v>
      </c>
      <c r="AG5104" t="s">
        <v>3478</v>
      </c>
      <c r="AI5104" t="s">
        <v>36496</v>
      </c>
      <c r="AM5104" t="s">
        <v>2582</v>
      </c>
      <c r="AN5104" t="s">
        <v>2174</v>
      </c>
      <c r="AO5104" t="s">
        <v>36497</v>
      </c>
      <c r="AP5104" t="s">
        <v>7024</v>
      </c>
      <c r="AQ5104" t="s">
        <v>36498</v>
      </c>
      <c r="AR5104" t="s">
        <v>36499</v>
      </c>
      <c r="AT5104" s="184">
        <v>42850</v>
      </c>
      <c r="AU5104" t="s">
        <v>36410</v>
      </c>
      <c r="AV5104">
        <v>25</v>
      </c>
      <c r="AW5104" s="184">
        <v>44775</v>
      </c>
      <c r="AX5104" t="s">
        <v>14164</v>
      </c>
      <c r="AY5104">
        <v>35</v>
      </c>
      <c r="AZ5104" s="184">
        <v>44775</v>
      </c>
      <c r="BA5104" t="s">
        <v>14164</v>
      </c>
      <c r="BB5104">
        <v>35</v>
      </c>
      <c r="BC5104">
        <v>75</v>
      </c>
      <c r="BD5104">
        <v>240</v>
      </c>
      <c r="BE5104">
        <v>2017</v>
      </c>
      <c r="BF5104">
        <v>8</v>
      </c>
      <c r="BG5104">
        <v>1</v>
      </c>
      <c r="BH5104">
        <v>35</v>
      </c>
      <c r="BI5104">
        <v>6</v>
      </c>
      <c r="BJ5104">
        <v>8</v>
      </c>
      <c r="BK5104">
        <v>6</v>
      </c>
      <c r="BP5104" s="184"/>
    </row>
    <row r="5105" spans="1:68">
      <c r="A5105">
        <v>96387212</v>
      </c>
      <c r="B5105">
        <v>96387212</v>
      </c>
      <c r="C5105" t="s">
        <v>7018</v>
      </c>
      <c r="D5105" t="s">
        <v>595</v>
      </c>
      <c r="E5105" s="184">
        <v>45195</v>
      </c>
      <c r="G5105" s="184"/>
      <c r="I5105" s="184"/>
      <c r="K5105" s="184"/>
      <c r="M5105" s="184"/>
      <c r="O5105" s="184"/>
      <c r="P5105" t="s">
        <v>7045</v>
      </c>
      <c r="Q5105" t="s">
        <v>7160</v>
      </c>
      <c r="R5105" s="184">
        <v>22930</v>
      </c>
      <c r="S5105">
        <v>61</v>
      </c>
      <c r="U5105" t="s">
        <v>7130</v>
      </c>
      <c r="V5105" t="s">
        <v>21517</v>
      </c>
      <c r="X5105" t="s">
        <v>36500</v>
      </c>
      <c r="AF5105" t="s">
        <v>36501</v>
      </c>
      <c r="AG5105" t="s">
        <v>21517</v>
      </c>
      <c r="AI5105" t="s">
        <v>36502</v>
      </c>
      <c r="AM5105" t="s">
        <v>20696</v>
      </c>
      <c r="AN5105" t="s">
        <v>2176</v>
      </c>
      <c r="AO5105" t="s">
        <v>36503</v>
      </c>
      <c r="AP5105" t="s">
        <v>7024</v>
      </c>
      <c r="AQ5105" t="s">
        <v>36504</v>
      </c>
      <c r="AT5105" s="184">
        <v>43099</v>
      </c>
      <c r="AU5105" t="s">
        <v>22741</v>
      </c>
      <c r="AV5105">
        <v>15</v>
      </c>
      <c r="AW5105" s="184">
        <v>45406</v>
      </c>
      <c r="AX5105" t="s">
        <v>12947</v>
      </c>
      <c r="AY5105">
        <v>20</v>
      </c>
      <c r="AZ5105" s="184">
        <v>45331</v>
      </c>
      <c r="BA5105" t="s">
        <v>13371</v>
      </c>
      <c r="BB5105">
        <v>25</v>
      </c>
      <c r="BC5105">
        <v>100</v>
      </c>
      <c r="BD5105">
        <v>465</v>
      </c>
      <c r="BE5105">
        <v>2018</v>
      </c>
      <c r="BF5105">
        <v>21</v>
      </c>
      <c r="BG5105">
        <v>7</v>
      </c>
      <c r="BH5105">
        <v>165</v>
      </c>
      <c r="BI5105">
        <v>8</v>
      </c>
      <c r="BJ5105">
        <v>8</v>
      </c>
      <c r="BK5105">
        <v>8</v>
      </c>
      <c r="BP5105" s="184"/>
    </row>
    <row r="5106" spans="1:68">
      <c r="A5106">
        <v>96402730</v>
      </c>
      <c r="B5106">
        <v>96402730</v>
      </c>
      <c r="C5106" t="s">
        <v>7018</v>
      </c>
      <c r="D5106" t="s">
        <v>595</v>
      </c>
      <c r="E5106" s="184">
        <v>45195</v>
      </c>
      <c r="G5106" s="184"/>
      <c r="I5106" s="184"/>
      <c r="K5106" s="184"/>
      <c r="M5106" s="184"/>
      <c r="O5106" s="184"/>
      <c r="P5106" t="s">
        <v>7045</v>
      </c>
      <c r="Q5106" t="s">
        <v>7494</v>
      </c>
      <c r="R5106" s="184">
        <v>19299</v>
      </c>
      <c r="S5106">
        <v>71</v>
      </c>
      <c r="V5106" t="s">
        <v>2828</v>
      </c>
      <c r="X5106" t="s">
        <v>36505</v>
      </c>
      <c r="AF5106" t="s">
        <v>36506</v>
      </c>
      <c r="AG5106" t="s">
        <v>2828</v>
      </c>
      <c r="AI5106" t="s">
        <v>36507</v>
      </c>
      <c r="AM5106" t="s">
        <v>22455</v>
      </c>
      <c r="AN5106" t="s">
        <v>2174</v>
      </c>
      <c r="AO5106" t="s">
        <v>36508</v>
      </c>
      <c r="AP5106" t="s">
        <v>7024</v>
      </c>
      <c r="AQ5106" t="s">
        <v>36509</v>
      </c>
      <c r="AT5106" s="184">
        <v>42852</v>
      </c>
      <c r="AU5106" t="s">
        <v>36510</v>
      </c>
      <c r="AV5106">
        <v>25</v>
      </c>
      <c r="AW5106" s="184">
        <v>45188</v>
      </c>
      <c r="AX5106" t="s">
        <v>13579</v>
      </c>
      <c r="AY5106">
        <v>60</v>
      </c>
      <c r="AZ5106" s="184">
        <v>45188</v>
      </c>
      <c r="BA5106" t="s">
        <v>13579</v>
      </c>
      <c r="BB5106">
        <v>60</v>
      </c>
      <c r="BC5106">
        <v>88</v>
      </c>
      <c r="BD5106">
        <v>595</v>
      </c>
      <c r="BE5106">
        <v>2017</v>
      </c>
      <c r="BF5106">
        <v>13</v>
      </c>
      <c r="BG5106">
        <v>4</v>
      </c>
      <c r="BH5106">
        <v>240</v>
      </c>
      <c r="BI5106">
        <v>7</v>
      </c>
      <c r="BJ5106">
        <v>8</v>
      </c>
      <c r="BK5106">
        <v>7</v>
      </c>
      <c r="BP5106" s="184"/>
    </row>
    <row r="5107" spans="1:68">
      <c r="A5107">
        <v>96403530</v>
      </c>
      <c r="B5107">
        <v>96403530</v>
      </c>
      <c r="C5107" t="s">
        <v>7018</v>
      </c>
      <c r="D5107" t="s">
        <v>595</v>
      </c>
      <c r="E5107" s="184">
        <v>45120</v>
      </c>
      <c r="G5107" s="184"/>
      <c r="I5107" s="184"/>
      <c r="K5107" s="184"/>
      <c r="M5107" s="184"/>
      <c r="O5107" s="184"/>
      <c r="P5107" t="s">
        <v>7045</v>
      </c>
      <c r="Q5107" t="s">
        <v>7262</v>
      </c>
      <c r="R5107" s="184">
        <v>20911</v>
      </c>
      <c r="S5107">
        <v>67</v>
      </c>
      <c r="V5107" t="s">
        <v>4587</v>
      </c>
      <c r="X5107" t="s">
        <v>36511</v>
      </c>
      <c r="AF5107" t="s">
        <v>36512</v>
      </c>
      <c r="AG5107" t="s">
        <v>4587</v>
      </c>
      <c r="AI5107" t="s">
        <v>36513</v>
      </c>
      <c r="AM5107" t="s">
        <v>36514</v>
      </c>
      <c r="AN5107" t="s">
        <v>2106</v>
      </c>
      <c r="AO5107" t="s">
        <v>36515</v>
      </c>
      <c r="AP5107" t="s">
        <v>7024</v>
      </c>
      <c r="AQ5107" t="s">
        <v>36516</v>
      </c>
      <c r="AT5107" s="184">
        <v>42852</v>
      </c>
      <c r="AU5107" t="s">
        <v>36481</v>
      </c>
      <c r="AV5107">
        <v>50</v>
      </c>
      <c r="AW5107" s="184">
        <v>44936</v>
      </c>
      <c r="AX5107" t="s">
        <v>36517</v>
      </c>
      <c r="AY5107">
        <v>75</v>
      </c>
      <c r="AZ5107" s="184">
        <v>44936</v>
      </c>
      <c r="BA5107" t="s">
        <v>36517</v>
      </c>
      <c r="BB5107">
        <v>75</v>
      </c>
      <c r="BC5107">
        <v>50</v>
      </c>
      <c r="BD5107">
        <v>250</v>
      </c>
      <c r="BE5107">
        <v>2017</v>
      </c>
      <c r="BF5107">
        <v>4</v>
      </c>
      <c r="BG5107">
        <v>1</v>
      </c>
      <c r="BH5107">
        <v>75</v>
      </c>
      <c r="BI5107">
        <v>4</v>
      </c>
      <c r="BJ5107">
        <v>8</v>
      </c>
      <c r="BK5107">
        <v>2</v>
      </c>
      <c r="BP5107" s="184"/>
    </row>
    <row r="5108" spans="1:68">
      <c r="A5108">
        <v>96432232</v>
      </c>
      <c r="B5108">
        <v>96432232</v>
      </c>
      <c r="C5108" t="s">
        <v>7018</v>
      </c>
      <c r="D5108" t="s">
        <v>595</v>
      </c>
      <c r="E5108" s="184">
        <v>44419</v>
      </c>
      <c r="G5108" s="184"/>
      <c r="I5108" s="184"/>
      <c r="K5108" s="184"/>
      <c r="M5108" s="184"/>
      <c r="O5108" s="184"/>
      <c r="P5108" t="s">
        <v>7045</v>
      </c>
      <c r="Q5108" t="s">
        <v>7160</v>
      </c>
      <c r="R5108" s="184">
        <v>18203</v>
      </c>
      <c r="S5108">
        <v>74</v>
      </c>
      <c r="V5108" t="s">
        <v>36518</v>
      </c>
      <c r="X5108" t="s">
        <v>36519</v>
      </c>
      <c r="AF5108" t="s">
        <v>36520</v>
      </c>
      <c r="AG5108" t="s">
        <v>36518</v>
      </c>
      <c r="AI5108" t="s">
        <v>36521</v>
      </c>
      <c r="AM5108" t="s">
        <v>4692</v>
      </c>
      <c r="AN5108" t="s">
        <v>2176</v>
      </c>
      <c r="AO5108" t="s">
        <v>36522</v>
      </c>
      <c r="AP5108" t="s">
        <v>7024</v>
      </c>
      <c r="AQ5108" t="s">
        <v>36523</v>
      </c>
      <c r="AR5108" t="s">
        <v>36524</v>
      </c>
      <c r="AT5108" s="184">
        <v>42856</v>
      </c>
      <c r="AU5108" t="s">
        <v>36525</v>
      </c>
      <c r="AV5108">
        <v>25</v>
      </c>
      <c r="AW5108" s="184">
        <v>45411</v>
      </c>
      <c r="AX5108" t="s">
        <v>18288</v>
      </c>
      <c r="AY5108">
        <v>100</v>
      </c>
      <c r="AZ5108" s="184">
        <v>45411</v>
      </c>
      <c r="BA5108" t="s">
        <v>18288</v>
      </c>
      <c r="BB5108">
        <v>100</v>
      </c>
      <c r="BC5108">
        <v>100</v>
      </c>
      <c r="BD5108">
        <v>700</v>
      </c>
      <c r="BE5108">
        <v>2017</v>
      </c>
      <c r="BF5108">
        <v>9</v>
      </c>
      <c r="BG5108">
        <v>2</v>
      </c>
      <c r="BH5108">
        <v>200</v>
      </c>
      <c r="BI5108">
        <v>8</v>
      </c>
      <c r="BJ5108">
        <v>8</v>
      </c>
      <c r="BK5108">
        <v>8</v>
      </c>
      <c r="BP5108" s="184"/>
    </row>
    <row r="5109" spans="1:68">
      <c r="A5109">
        <v>96435722</v>
      </c>
      <c r="B5109">
        <v>96435722</v>
      </c>
      <c r="C5109" t="s">
        <v>7018</v>
      </c>
      <c r="D5109" t="s">
        <v>595</v>
      </c>
      <c r="E5109" s="184">
        <v>44403</v>
      </c>
      <c r="G5109" s="184"/>
      <c r="I5109" s="184"/>
      <c r="K5109" s="184"/>
      <c r="M5109" s="184"/>
      <c r="O5109" s="184"/>
      <c r="P5109" t="s">
        <v>7045</v>
      </c>
      <c r="Q5109" t="s">
        <v>7160</v>
      </c>
      <c r="R5109" s="184">
        <v>18688</v>
      </c>
      <c r="S5109">
        <v>73</v>
      </c>
      <c r="U5109" t="s">
        <v>7031</v>
      </c>
      <c r="V5109" t="s">
        <v>3246</v>
      </c>
      <c r="W5109" t="s">
        <v>4013</v>
      </c>
      <c r="X5109" t="s">
        <v>3992</v>
      </c>
      <c r="Z5109">
        <v>100662695</v>
      </c>
      <c r="AB5109" t="s">
        <v>3230</v>
      </c>
      <c r="AD5109" t="s">
        <v>3992</v>
      </c>
      <c r="AF5109" t="s">
        <v>36526</v>
      </c>
      <c r="AG5109" t="s">
        <v>36527</v>
      </c>
      <c r="AI5109" t="s">
        <v>36528</v>
      </c>
      <c r="AM5109" t="s">
        <v>3526</v>
      </c>
      <c r="AN5109" t="s">
        <v>2176</v>
      </c>
      <c r="AO5109" t="s">
        <v>36529</v>
      </c>
      <c r="AP5109" t="s">
        <v>7024</v>
      </c>
      <c r="AQ5109" t="s">
        <v>36530</v>
      </c>
      <c r="AR5109" t="s">
        <v>36531</v>
      </c>
      <c r="AT5109" s="184">
        <v>42857</v>
      </c>
      <c r="AU5109" t="s">
        <v>36532</v>
      </c>
      <c r="AV5109">
        <v>25</v>
      </c>
      <c r="AW5109" s="184">
        <v>45343</v>
      </c>
      <c r="AX5109" t="s">
        <v>13596</v>
      </c>
      <c r="AY5109">
        <v>50</v>
      </c>
      <c r="AZ5109" s="184">
        <v>45343</v>
      </c>
      <c r="BA5109" t="s">
        <v>13596</v>
      </c>
      <c r="BB5109">
        <v>50</v>
      </c>
      <c r="BC5109">
        <v>100</v>
      </c>
      <c r="BD5109">
        <v>720</v>
      </c>
      <c r="BE5109">
        <v>2017</v>
      </c>
      <c r="BF5109">
        <v>20</v>
      </c>
      <c r="BG5109">
        <v>2</v>
      </c>
      <c r="BH5109">
        <v>100</v>
      </c>
      <c r="BI5109">
        <v>8</v>
      </c>
      <c r="BJ5109">
        <v>8</v>
      </c>
      <c r="BK5109">
        <v>8</v>
      </c>
      <c r="BP5109" s="184"/>
    </row>
    <row r="5110" spans="1:68">
      <c r="A5110">
        <v>100662695</v>
      </c>
      <c r="B5110">
        <v>96435722</v>
      </c>
      <c r="C5110" t="s">
        <v>7018</v>
      </c>
      <c r="D5110" t="s">
        <v>595</v>
      </c>
      <c r="E5110" s="184">
        <v>44403</v>
      </c>
      <c r="G5110" s="184"/>
      <c r="I5110" s="184"/>
      <c r="K5110" s="184"/>
      <c r="M5110" s="184"/>
      <c r="O5110" s="184"/>
      <c r="P5110" t="s">
        <v>7045</v>
      </c>
      <c r="Q5110" t="s">
        <v>7160</v>
      </c>
      <c r="R5110" s="184"/>
      <c r="V5110" t="s">
        <v>3230</v>
      </c>
      <c r="X5110" t="s">
        <v>3992</v>
      </c>
      <c r="Z5110">
        <v>96435722</v>
      </c>
      <c r="AA5110" t="s">
        <v>7031</v>
      </c>
      <c r="AB5110" t="s">
        <v>3246</v>
      </c>
      <c r="AC5110" t="s">
        <v>4013</v>
      </c>
      <c r="AD5110" t="s">
        <v>3992</v>
      </c>
      <c r="AF5110" t="s">
        <v>36526</v>
      </c>
      <c r="AG5110" t="s">
        <v>36527</v>
      </c>
      <c r="AI5110" t="s">
        <v>36528</v>
      </c>
      <c r="AM5110" t="s">
        <v>3526</v>
      </c>
      <c r="AN5110" t="s">
        <v>2176</v>
      </c>
      <c r="AO5110" t="s">
        <v>36529</v>
      </c>
      <c r="AP5110" t="s">
        <v>7024</v>
      </c>
      <c r="AT5110" s="184"/>
      <c r="AW5110" s="184"/>
      <c r="AZ5110" s="184"/>
      <c r="BP5110" s="184"/>
    </row>
    <row r="5111" spans="1:68">
      <c r="A5111">
        <v>96492970</v>
      </c>
      <c r="B5111">
        <v>96492970</v>
      </c>
      <c r="C5111" t="s">
        <v>7018</v>
      </c>
      <c r="D5111" t="s">
        <v>595</v>
      </c>
      <c r="E5111" s="184">
        <v>45117</v>
      </c>
      <c r="G5111" s="184"/>
      <c r="I5111" s="184"/>
      <c r="K5111" s="184"/>
      <c r="O5111" s="184"/>
      <c r="P5111" t="s">
        <v>7045</v>
      </c>
      <c r="Q5111" t="s">
        <v>7262</v>
      </c>
      <c r="R5111" s="184">
        <v>12011</v>
      </c>
      <c r="S5111">
        <v>91</v>
      </c>
      <c r="V5111" t="s">
        <v>36533</v>
      </c>
      <c r="X5111" t="s">
        <v>17382</v>
      </c>
      <c r="AF5111" t="s">
        <v>36534</v>
      </c>
      <c r="AG5111" t="s">
        <v>36533</v>
      </c>
      <c r="AI5111" t="s">
        <v>36535</v>
      </c>
      <c r="AM5111" t="s">
        <v>36536</v>
      </c>
      <c r="AN5111" t="s">
        <v>2266</v>
      </c>
      <c r="AO5111" t="s">
        <v>36537</v>
      </c>
      <c r="AP5111" t="s">
        <v>7024</v>
      </c>
      <c r="AQ5111" t="s">
        <v>36538</v>
      </c>
      <c r="AT5111" s="184">
        <v>42865</v>
      </c>
      <c r="AU5111" t="s">
        <v>36539</v>
      </c>
      <c r="AV5111">
        <v>15</v>
      </c>
      <c r="AW5111" s="184">
        <v>45196</v>
      </c>
      <c r="AX5111" t="s">
        <v>16282</v>
      </c>
      <c r="AY5111">
        <v>25</v>
      </c>
      <c r="AZ5111" s="184">
        <v>45196</v>
      </c>
      <c r="BA5111" t="s">
        <v>16282</v>
      </c>
      <c r="BB5111">
        <v>25</v>
      </c>
      <c r="BC5111">
        <v>38</v>
      </c>
      <c r="BD5111">
        <v>85</v>
      </c>
      <c r="BE5111">
        <v>2017</v>
      </c>
      <c r="BF5111">
        <v>5</v>
      </c>
      <c r="BG5111">
        <v>4</v>
      </c>
      <c r="BH5111">
        <v>70</v>
      </c>
      <c r="BI5111">
        <v>3</v>
      </c>
      <c r="BJ5111">
        <v>8</v>
      </c>
      <c r="BK5111">
        <v>2</v>
      </c>
      <c r="BP5111" s="184"/>
    </row>
    <row r="5112" spans="1:68">
      <c r="A5112">
        <v>96513643</v>
      </c>
      <c r="B5112">
        <v>96513643</v>
      </c>
      <c r="C5112" t="s">
        <v>7018</v>
      </c>
      <c r="E5112" s="184"/>
      <c r="G5112" s="184"/>
      <c r="I5112" s="184"/>
      <c r="K5112" s="184"/>
      <c r="L5112" t="s">
        <v>595</v>
      </c>
      <c r="M5112" s="184">
        <v>44774</v>
      </c>
      <c r="O5112" s="184"/>
      <c r="P5112" t="s">
        <v>7045</v>
      </c>
      <c r="Q5112" t="s">
        <v>7262</v>
      </c>
      <c r="R5112" s="184">
        <v>14890</v>
      </c>
      <c r="S5112">
        <v>83</v>
      </c>
      <c r="V5112" t="s">
        <v>2718</v>
      </c>
      <c r="W5112" t="s">
        <v>4139</v>
      </c>
      <c r="X5112" t="s">
        <v>36540</v>
      </c>
      <c r="AF5112" t="s">
        <v>36541</v>
      </c>
      <c r="AG5112" t="s">
        <v>2718</v>
      </c>
      <c r="AI5112" t="s">
        <v>36542</v>
      </c>
      <c r="AM5112" t="s">
        <v>36543</v>
      </c>
      <c r="AN5112" t="s">
        <v>2106</v>
      </c>
      <c r="AO5112" t="s">
        <v>36544</v>
      </c>
      <c r="AP5112" t="s">
        <v>7024</v>
      </c>
      <c r="AQ5112" t="s">
        <v>36545</v>
      </c>
      <c r="AT5112" s="184">
        <v>42870</v>
      </c>
      <c r="AU5112" t="s">
        <v>36546</v>
      </c>
      <c r="AV5112">
        <v>25</v>
      </c>
      <c r="AW5112" s="184">
        <v>42870</v>
      </c>
      <c r="AX5112" t="s">
        <v>36546</v>
      </c>
      <c r="AY5112">
        <v>25</v>
      </c>
      <c r="AZ5112" s="184">
        <v>42870</v>
      </c>
      <c r="BA5112" t="s">
        <v>36546</v>
      </c>
      <c r="BB5112">
        <v>25</v>
      </c>
      <c r="BC5112">
        <v>13</v>
      </c>
      <c r="BD5112">
        <v>25</v>
      </c>
      <c r="BE5112">
        <v>2017</v>
      </c>
      <c r="BF5112">
        <v>1</v>
      </c>
      <c r="BI5112">
        <v>1</v>
      </c>
      <c r="BJ5112">
        <v>8</v>
      </c>
      <c r="BK5112">
        <v>1</v>
      </c>
      <c r="BP5112" s="184"/>
    </row>
    <row r="5113" spans="1:68">
      <c r="A5113">
        <v>96530399</v>
      </c>
      <c r="B5113">
        <v>96530399</v>
      </c>
      <c r="C5113" t="s">
        <v>7018</v>
      </c>
      <c r="D5113" t="s">
        <v>595</v>
      </c>
      <c r="E5113" s="184">
        <v>45196</v>
      </c>
      <c r="G5113" s="184"/>
      <c r="I5113" s="184"/>
      <c r="K5113" s="184"/>
      <c r="M5113" s="184"/>
      <c r="O5113" s="184"/>
      <c r="P5113" t="s">
        <v>7045</v>
      </c>
      <c r="Q5113" t="s">
        <v>7030</v>
      </c>
      <c r="R5113" s="184">
        <v>13884</v>
      </c>
      <c r="S5113">
        <v>86</v>
      </c>
      <c r="V5113" t="s">
        <v>36547</v>
      </c>
      <c r="X5113" t="s">
        <v>36548</v>
      </c>
      <c r="AF5113" t="s">
        <v>36549</v>
      </c>
      <c r="AG5113" t="s">
        <v>36547</v>
      </c>
      <c r="AI5113" t="s">
        <v>36550</v>
      </c>
      <c r="AM5113" t="s">
        <v>36551</v>
      </c>
      <c r="AN5113" t="s">
        <v>2638</v>
      </c>
      <c r="AO5113" t="s">
        <v>36552</v>
      </c>
      <c r="AP5113" t="s">
        <v>7024</v>
      </c>
      <c r="AQ5113" t="s">
        <v>36553</v>
      </c>
      <c r="AT5113" s="184">
        <v>42872</v>
      </c>
      <c r="AU5113" t="s">
        <v>36554</v>
      </c>
      <c r="AV5113">
        <v>15</v>
      </c>
      <c r="AW5113" s="184">
        <v>45104</v>
      </c>
      <c r="AX5113" t="s">
        <v>34462</v>
      </c>
      <c r="AY5113">
        <v>35</v>
      </c>
      <c r="AZ5113" s="184">
        <v>45104</v>
      </c>
      <c r="BA5113" t="s">
        <v>34462</v>
      </c>
      <c r="BB5113">
        <v>35</v>
      </c>
      <c r="BC5113">
        <v>75</v>
      </c>
      <c r="BD5113">
        <v>175</v>
      </c>
      <c r="BE5113">
        <v>2017</v>
      </c>
      <c r="BF5113">
        <v>7</v>
      </c>
      <c r="BG5113">
        <v>2</v>
      </c>
      <c r="BH5113">
        <v>70</v>
      </c>
      <c r="BI5113">
        <v>6</v>
      </c>
      <c r="BJ5113">
        <v>8</v>
      </c>
      <c r="BK5113">
        <v>5</v>
      </c>
      <c r="BN5113" t="s">
        <v>595</v>
      </c>
      <c r="BP5113" s="184"/>
    </row>
    <row r="5114" spans="1:68">
      <c r="A5114">
        <v>96603873</v>
      </c>
      <c r="B5114">
        <v>96603873</v>
      </c>
      <c r="C5114" t="s">
        <v>7018</v>
      </c>
      <c r="E5114" s="184"/>
      <c r="G5114" s="184"/>
      <c r="H5114" t="s">
        <v>595</v>
      </c>
      <c r="I5114" s="184">
        <v>44593</v>
      </c>
      <c r="K5114" s="184"/>
      <c r="M5114" s="184"/>
      <c r="N5114" t="s">
        <v>595</v>
      </c>
      <c r="O5114" s="184">
        <v>44782</v>
      </c>
      <c r="P5114" t="s">
        <v>7045</v>
      </c>
      <c r="Q5114" t="s">
        <v>7020</v>
      </c>
      <c r="R5114" s="184">
        <v>9414</v>
      </c>
      <c r="S5114">
        <v>98</v>
      </c>
      <c r="V5114" t="s">
        <v>36555</v>
      </c>
      <c r="W5114" t="s">
        <v>3373</v>
      </c>
      <c r="X5114" t="s">
        <v>3318</v>
      </c>
      <c r="Y5114" t="s">
        <v>8154</v>
      </c>
      <c r="AF5114" t="s">
        <v>36556</v>
      </c>
      <c r="AG5114" t="s">
        <v>36555</v>
      </c>
      <c r="AI5114" t="s">
        <v>36557</v>
      </c>
      <c r="AJ5114" t="s">
        <v>36558</v>
      </c>
      <c r="AM5114" t="s">
        <v>3004</v>
      </c>
      <c r="AN5114" t="s">
        <v>2112</v>
      </c>
      <c r="AO5114" t="s">
        <v>36559</v>
      </c>
      <c r="AP5114" t="s">
        <v>7024</v>
      </c>
      <c r="AQ5114" t="s">
        <v>36560</v>
      </c>
      <c r="AR5114" t="s">
        <v>36561</v>
      </c>
      <c r="AT5114" s="184">
        <v>42893</v>
      </c>
      <c r="AU5114" t="s">
        <v>36562</v>
      </c>
      <c r="AV5114">
        <v>15</v>
      </c>
      <c r="AW5114" s="184">
        <v>44782</v>
      </c>
      <c r="AX5114" t="s">
        <v>7044</v>
      </c>
      <c r="AY5114">
        <v>75000</v>
      </c>
      <c r="AZ5114" s="184">
        <v>44782</v>
      </c>
      <c r="BA5114" t="s">
        <v>7044</v>
      </c>
      <c r="BB5114">
        <v>75000</v>
      </c>
      <c r="BC5114">
        <v>50</v>
      </c>
      <c r="BD5114">
        <v>75070</v>
      </c>
      <c r="BE5114">
        <v>2017</v>
      </c>
      <c r="BF5114">
        <v>5</v>
      </c>
      <c r="BG5114">
        <v>1</v>
      </c>
      <c r="BH5114">
        <v>75000</v>
      </c>
      <c r="BI5114">
        <v>4</v>
      </c>
      <c r="BJ5114">
        <v>8</v>
      </c>
      <c r="BK5114">
        <v>3</v>
      </c>
      <c r="BP5114" s="184"/>
    </row>
    <row r="5115" spans="1:68">
      <c r="A5115">
        <v>96623848</v>
      </c>
      <c r="B5115">
        <v>96623848</v>
      </c>
      <c r="C5115" t="s">
        <v>7018</v>
      </c>
      <c r="D5115" t="s">
        <v>595</v>
      </c>
      <c r="E5115" s="184">
        <v>45196</v>
      </c>
      <c r="G5115" s="184"/>
      <c r="I5115" s="184"/>
      <c r="K5115" s="184"/>
      <c r="M5115" s="184"/>
      <c r="O5115" s="184"/>
      <c r="P5115" t="s">
        <v>7045</v>
      </c>
      <c r="Q5115" t="s">
        <v>7374</v>
      </c>
      <c r="R5115" s="184">
        <v>19207</v>
      </c>
      <c r="S5115">
        <v>71</v>
      </c>
      <c r="V5115" t="s">
        <v>3838</v>
      </c>
      <c r="X5115" t="s">
        <v>2999</v>
      </c>
      <c r="Z5115">
        <v>100168928</v>
      </c>
      <c r="AB5115" t="s">
        <v>2697</v>
      </c>
      <c r="AD5115" t="s">
        <v>2999</v>
      </c>
      <c r="AF5115" t="s">
        <v>36563</v>
      </c>
      <c r="AG5115" t="s">
        <v>36564</v>
      </c>
      <c r="AI5115" t="s">
        <v>36565</v>
      </c>
      <c r="AM5115" t="s">
        <v>4467</v>
      </c>
      <c r="AN5115" t="s">
        <v>2081</v>
      </c>
      <c r="AO5115" t="s">
        <v>36566</v>
      </c>
      <c r="AP5115" t="s">
        <v>7024</v>
      </c>
      <c r="AQ5115" t="s">
        <v>36567</v>
      </c>
      <c r="AT5115" s="184">
        <v>42899</v>
      </c>
      <c r="AU5115" t="s">
        <v>36568</v>
      </c>
      <c r="AV5115">
        <v>100</v>
      </c>
      <c r="AW5115" s="184">
        <v>45271</v>
      </c>
      <c r="AX5115" t="s">
        <v>15106</v>
      </c>
      <c r="AY5115">
        <v>100</v>
      </c>
      <c r="AZ5115" s="184">
        <v>45093</v>
      </c>
      <c r="BA5115" t="s">
        <v>36569</v>
      </c>
      <c r="BB5115">
        <v>200</v>
      </c>
      <c r="BC5115">
        <v>75</v>
      </c>
      <c r="BD5115">
        <v>1600</v>
      </c>
      <c r="BE5115">
        <v>2017</v>
      </c>
      <c r="BF5115">
        <v>15</v>
      </c>
      <c r="BG5115">
        <v>5</v>
      </c>
      <c r="BH5115">
        <v>600</v>
      </c>
      <c r="BI5115">
        <v>6</v>
      </c>
      <c r="BJ5115">
        <v>8</v>
      </c>
      <c r="BK5115">
        <v>5</v>
      </c>
      <c r="BP5115" s="184"/>
    </row>
    <row r="5116" spans="1:68">
      <c r="A5116">
        <v>100168928</v>
      </c>
      <c r="B5116">
        <v>96623848</v>
      </c>
      <c r="C5116" t="s">
        <v>7018</v>
      </c>
      <c r="D5116" t="s">
        <v>595</v>
      </c>
      <c r="E5116" s="184">
        <v>45196</v>
      </c>
      <c r="G5116" s="184"/>
      <c r="I5116" s="184"/>
      <c r="K5116" s="184"/>
      <c r="M5116" s="184"/>
      <c r="O5116" s="184"/>
      <c r="P5116" t="s">
        <v>7045</v>
      </c>
      <c r="Q5116" t="s">
        <v>7374</v>
      </c>
      <c r="R5116" s="184">
        <v>19329</v>
      </c>
      <c r="S5116">
        <v>71</v>
      </c>
      <c r="V5116" t="s">
        <v>2697</v>
      </c>
      <c r="X5116" t="s">
        <v>2999</v>
      </c>
      <c r="Z5116">
        <v>96623848</v>
      </c>
      <c r="AB5116" t="s">
        <v>3838</v>
      </c>
      <c r="AD5116" t="s">
        <v>2999</v>
      </c>
      <c r="AF5116" t="s">
        <v>36563</v>
      </c>
      <c r="AG5116" t="s">
        <v>36564</v>
      </c>
      <c r="AI5116" t="s">
        <v>36565</v>
      </c>
      <c r="AM5116" t="s">
        <v>4467</v>
      </c>
      <c r="AN5116" t="s">
        <v>2081</v>
      </c>
      <c r="AO5116" t="s">
        <v>36566</v>
      </c>
      <c r="AP5116" t="s">
        <v>7024</v>
      </c>
      <c r="AT5116" s="184"/>
      <c r="AW5116" s="184"/>
      <c r="AZ5116" s="184"/>
      <c r="BP5116" s="184"/>
    </row>
    <row r="5117" spans="1:68">
      <c r="A5117">
        <v>96642160</v>
      </c>
      <c r="B5117">
        <v>96642160</v>
      </c>
      <c r="C5117" t="s">
        <v>7018</v>
      </c>
      <c r="D5117" t="s">
        <v>595</v>
      </c>
      <c r="E5117" s="184">
        <v>45174</v>
      </c>
      <c r="G5117" s="184"/>
      <c r="I5117" s="184"/>
      <c r="K5117" s="184"/>
      <c r="M5117" s="184"/>
      <c r="O5117" s="184"/>
      <c r="P5117" t="s">
        <v>7019</v>
      </c>
      <c r="Q5117" t="s">
        <v>7774</v>
      </c>
      <c r="R5117" s="184">
        <v>25082</v>
      </c>
      <c r="S5117">
        <v>55</v>
      </c>
      <c r="U5117" t="s">
        <v>7031</v>
      </c>
      <c r="V5117" t="s">
        <v>4093</v>
      </c>
      <c r="W5117" t="s">
        <v>4139</v>
      </c>
      <c r="X5117" t="s">
        <v>36570</v>
      </c>
      <c r="Z5117">
        <v>100543276</v>
      </c>
      <c r="AA5117" t="s">
        <v>7130</v>
      </c>
      <c r="AB5117" t="s">
        <v>13248</v>
      </c>
      <c r="AD5117" t="s">
        <v>36570</v>
      </c>
      <c r="AF5117" t="s">
        <v>36571</v>
      </c>
      <c r="AG5117" t="s">
        <v>36572</v>
      </c>
      <c r="AI5117" t="s">
        <v>36573</v>
      </c>
      <c r="AM5117" t="s">
        <v>36574</v>
      </c>
      <c r="AN5117" t="s">
        <v>2290</v>
      </c>
      <c r="AO5117" t="s">
        <v>36575</v>
      </c>
      <c r="AP5117" t="s">
        <v>7024</v>
      </c>
      <c r="AQ5117" t="s">
        <v>36576</v>
      </c>
      <c r="AT5117" s="184">
        <v>42905</v>
      </c>
      <c r="AU5117" t="s">
        <v>36577</v>
      </c>
      <c r="AV5117">
        <v>25</v>
      </c>
      <c r="AW5117" s="184">
        <v>44932</v>
      </c>
      <c r="AX5117" t="s">
        <v>36578</v>
      </c>
      <c r="AY5117">
        <v>60</v>
      </c>
      <c r="AZ5117" s="184">
        <v>43621</v>
      </c>
      <c r="BA5117" t="s">
        <v>36579</v>
      </c>
      <c r="BB5117">
        <v>87</v>
      </c>
      <c r="BC5117">
        <v>50</v>
      </c>
      <c r="BD5117">
        <v>272</v>
      </c>
      <c r="BE5117">
        <v>2017</v>
      </c>
      <c r="BF5117">
        <v>6</v>
      </c>
      <c r="BG5117">
        <v>1</v>
      </c>
      <c r="BH5117">
        <v>60</v>
      </c>
      <c r="BI5117">
        <v>4</v>
      </c>
      <c r="BJ5117">
        <v>8</v>
      </c>
      <c r="BK5117">
        <v>3</v>
      </c>
      <c r="BP5117" s="184"/>
    </row>
    <row r="5118" spans="1:68">
      <c r="A5118">
        <v>100543276</v>
      </c>
      <c r="B5118">
        <v>96642160</v>
      </c>
      <c r="C5118" t="s">
        <v>7018</v>
      </c>
      <c r="D5118" t="s">
        <v>595</v>
      </c>
      <c r="E5118" s="184">
        <v>45174</v>
      </c>
      <c r="G5118" s="184"/>
      <c r="I5118" s="184"/>
      <c r="K5118" s="184"/>
      <c r="M5118" s="184"/>
      <c r="O5118" s="184"/>
      <c r="P5118" t="s">
        <v>7019</v>
      </c>
      <c r="Q5118" t="s">
        <v>7774</v>
      </c>
      <c r="R5118" s="184">
        <v>18111</v>
      </c>
      <c r="S5118">
        <v>74</v>
      </c>
      <c r="U5118" t="s">
        <v>7130</v>
      </c>
      <c r="V5118" t="s">
        <v>13248</v>
      </c>
      <c r="X5118" t="s">
        <v>36570</v>
      </c>
      <c r="Z5118">
        <v>96642160</v>
      </c>
      <c r="AA5118" t="s">
        <v>7031</v>
      </c>
      <c r="AB5118" t="s">
        <v>4093</v>
      </c>
      <c r="AC5118" t="s">
        <v>4139</v>
      </c>
      <c r="AD5118" t="s">
        <v>36570</v>
      </c>
      <c r="AF5118" t="s">
        <v>36571</v>
      </c>
      <c r="AG5118" t="s">
        <v>36572</v>
      </c>
      <c r="AI5118" t="s">
        <v>36573</v>
      </c>
      <c r="AM5118" t="s">
        <v>36574</v>
      </c>
      <c r="AN5118" t="s">
        <v>2290</v>
      </c>
      <c r="AO5118" t="s">
        <v>36575</v>
      </c>
      <c r="AP5118" t="s">
        <v>7024</v>
      </c>
      <c r="AQ5118" t="s">
        <v>36580</v>
      </c>
      <c r="AT5118" s="184">
        <v>44110</v>
      </c>
      <c r="AU5118" t="s">
        <v>9677</v>
      </c>
      <c r="AV5118">
        <v>25</v>
      </c>
      <c r="AW5118" s="184">
        <v>44110</v>
      </c>
      <c r="AX5118" t="s">
        <v>9677</v>
      </c>
      <c r="AY5118">
        <v>25</v>
      </c>
      <c r="AZ5118" s="184">
        <v>44110</v>
      </c>
      <c r="BA5118" t="s">
        <v>9677</v>
      </c>
      <c r="BB5118">
        <v>25</v>
      </c>
      <c r="BC5118">
        <v>20</v>
      </c>
      <c r="BD5118">
        <v>25</v>
      </c>
      <c r="BE5118">
        <v>2021</v>
      </c>
      <c r="BF5118">
        <v>1</v>
      </c>
      <c r="BI5118">
        <v>1</v>
      </c>
      <c r="BJ5118">
        <v>5</v>
      </c>
      <c r="BK5118">
        <v>1</v>
      </c>
      <c r="BP5118" s="184"/>
    </row>
    <row r="5119" spans="1:68">
      <c r="A5119">
        <v>96642335</v>
      </c>
      <c r="B5119">
        <v>96642335</v>
      </c>
      <c r="C5119" t="s">
        <v>7018</v>
      </c>
      <c r="D5119" t="s">
        <v>595</v>
      </c>
      <c r="E5119" s="184">
        <v>45195</v>
      </c>
      <c r="G5119" s="184"/>
      <c r="I5119" s="184"/>
      <c r="K5119" s="184"/>
      <c r="M5119" s="184"/>
      <c r="P5119" t="s">
        <v>7045</v>
      </c>
      <c r="Q5119" t="s">
        <v>7383</v>
      </c>
      <c r="R5119" s="184">
        <v>15816</v>
      </c>
      <c r="S5119">
        <v>81</v>
      </c>
      <c r="V5119" t="s">
        <v>11364</v>
      </c>
      <c r="X5119" t="s">
        <v>36581</v>
      </c>
      <c r="AF5119" t="s">
        <v>36582</v>
      </c>
      <c r="AG5119" t="s">
        <v>11364</v>
      </c>
      <c r="AI5119" t="s">
        <v>36583</v>
      </c>
      <c r="AM5119" t="s">
        <v>3345</v>
      </c>
      <c r="AN5119" t="s">
        <v>2274</v>
      </c>
      <c r="AO5119" t="s">
        <v>36584</v>
      </c>
      <c r="AP5119" t="s">
        <v>7024</v>
      </c>
      <c r="AQ5119" t="s">
        <v>36585</v>
      </c>
      <c r="AT5119" s="184">
        <v>42905</v>
      </c>
      <c r="AU5119" t="s">
        <v>36577</v>
      </c>
      <c r="AV5119">
        <v>15</v>
      </c>
      <c r="AW5119" s="184">
        <v>44680</v>
      </c>
      <c r="AX5119" t="s">
        <v>36586</v>
      </c>
      <c r="AY5119">
        <v>25</v>
      </c>
      <c r="AZ5119" s="184">
        <v>44680</v>
      </c>
      <c r="BA5119" t="s">
        <v>36586</v>
      </c>
      <c r="BB5119">
        <v>25</v>
      </c>
      <c r="BC5119">
        <v>63</v>
      </c>
      <c r="BD5119">
        <v>135</v>
      </c>
      <c r="BE5119">
        <v>2017</v>
      </c>
      <c r="BF5119">
        <v>7</v>
      </c>
      <c r="BG5119">
        <v>1</v>
      </c>
      <c r="BH5119">
        <v>25</v>
      </c>
      <c r="BI5119">
        <v>5</v>
      </c>
      <c r="BJ5119">
        <v>8</v>
      </c>
      <c r="BK5119">
        <v>3</v>
      </c>
      <c r="BP5119" s="184"/>
    </row>
    <row r="5120" spans="1:68">
      <c r="A5120">
        <v>96649074</v>
      </c>
      <c r="B5120">
        <v>96649074</v>
      </c>
      <c r="C5120" t="s">
        <v>7018</v>
      </c>
      <c r="D5120" t="s">
        <v>595</v>
      </c>
      <c r="E5120" s="184">
        <v>45125</v>
      </c>
      <c r="G5120" s="184"/>
      <c r="I5120" s="184"/>
      <c r="K5120" s="184"/>
      <c r="M5120" s="184"/>
      <c r="P5120" t="s">
        <v>7045</v>
      </c>
      <c r="Q5120" t="s">
        <v>7020</v>
      </c>
      <c r="R5120" s="184">
        <v>22872</v>
      </c>
      <c r="S5120">
        <v>61</v>
      </c>
      <c r="V5120" t="s">
        <v>5057</v>
      </c>
      <c r="X5120" t="s">
        <v>36587</v>
      </c>
      <c r="AF5120" t="s">
        <v>36588</v>
      </c>
      <c r="AG5120" t="s">
        <v>5057</v>
      </c>
      <c r="AI5120" t="s">
        <v>36589</v>
      </c>
      <c r="AM5120" t="s">
        <v>10299</v>
      </c>
      <c r="AN5120" t="s">
        <v>2465</v>
      </c>
      <c r="AO5120" t="s">
        <v>36590</v>
      </c>
      <c r="AP5120" t="s">
        <v>7024</v>
      </c>
      <c r="AQ5120" t="s">
        <v>36591</v>
      </c>
      <c r="AT5120" s="184">
        <v>42906</v>
      </c>
      <c r="AU5120" t="s">
        <v>36592</v>
      </c>
      <c r="AV5120">
        <v>100</v>
      </c>
      <c r="AW5120" s="184">
        <v>45187</v>
      </c>
      <c r="AX5120" t="s">
        <v>36593</v>
      </c>
      <c r="AY5120">
        <v>100</v>
      </c>
      <c r="AZ5120" s="184">
        <v>45187</v>
      </c>
      <c r="BA5120" t="s">
        <v>36593</v>
      </c>
      <c r="BB5120">
        <v>100</v>
      </c>
      <c r="BC5120">
        <v>88</v>
      </c>
      <c r="BD5120">
        <v>900</v>
      </c>
      <c r="BE5120">
        <v>2017</v>
      </c>
      <c r="BF5120">
        <v>9</v>
      </c>
      <c r="BG5120">
        <v>3</v>
      </c>
      <c r="BH5120">
        <v>300</v>
      </c>
      <c r="BI5120">
        <v>7</v>
      </c>
      <c r="BJ5120">
        <v>8</v>
      </c>
      <c r="BK5120">
        <v>7</v>
      </c>
      <c r="BP5120" s="184"/>
    </row>
    <row r="5121" spans="1:68">
      <c r="A5121">
        <v>96649603</v>
      </c>
      <c r="B5121">
        <v>96649603</v>
      </c>
      <c r="C5121" t="s">
        <v>7018</v>
      </c>
      <c r="D5121" t="s">
        <v>595</v>
      </c>
      <c r="E5121" s="184">
        <v>44484</v>
      </c>
      <c r="G5121" s="184"/>
      <c r="I5121" s="184"/>
      <c r="K5121" s="184"/>
      <c r="M5121" s="184"/>
      <c r="O5121" s="184"/>
      <c r="P5121" t="s">
        <v>7045</v>
      </c>
      <c r="Q5121" t="s">
        <v>7020</v>
      </c>
      <c r="R5121" s="184">
        <v>21582</v>
      </c>
      <c r="S5121">
        <v>65</v>
      </c>
      <c r="V5121" t="s">
        <v>2654</v>
      </c>
      <c r="X5121" t="s">
        <v>36594</v>
      </c>
      <c r="AF5121" t="s">
        <v>36595</v>
      </c>
      <c r="AG5121" t="s">
        <v>2654</v>
      </c>
      <c r="AI5121" t="s">
        <v>36596</v>
      </c>
      <c r="AM5121" t="s">
        <v>36597</v>
      </c>
      <c r="AN5121" t="s">
        <v>2112</v>
      </c>
      <c r="AO5121" t="s">
        <v>36598</v>
      </c>
      <c r="AP5121" t="s">
        <v>7024</v>
      </c>
      <c r="AQ5121" t="s">
        <v>36599</v>
      </c>
      <c r="AR5121" t="s">
        <v>36600</v>
      </c>
      <c r="AT5121" s="184">
        <v>42906</v>
      </c>
      <c r="AU5121" t="s">
        <v>36592</v>
      </c>
      <c r="AV5121">
        <v>25</v>
      </c>
      <c r="AW5121" s="184">
        <v>45398</v>
      </c>
      <c r="AX5121" t="s">
        <v>10451</v>
      </c>
      <c r="AY5121">
        <v>5</v>
      </c>
      <c r="AZ5121" s="184">
        <v>42906</v>
      </c>
      <c r="BA5121" t="s">
        <v>36592</v>
      </c>
      <c r="BB5121">
        <v>25</v>
      </c>
      <c r="BC5121">
        <v>100</v>
      </c>
      <c r="BD5121">
        <v>365</v>
      </c>
      <c r="BE5121">
        <v>2017</v>
      </c>
      <c r="BF5121">
        <v>69</v>
      </c>
      <c r="BG5121">
        <v>24</v>
      </c>
      <c r="BH5121">
        <v>120</v>
      </c>
      <c r="BI5121">
        <v>8</v>
      </c>
      <c r="BJ5121">
        <v>8</v>
      </c>
      <c r="BK5121">
        <v>8</v>
      </c>
      <c r="BP5121" s="184"/>
    </row>
    <row r="5122" spans="1:68">
      <c r="A5122">
        <v>96652987</v>
      </c>
      <c r="B5122">
        <v>96652987</v>
      </c>
      <c r="C5122" t="s">
        <v>7018</v>
      </c>
      <c r="D5122" t="s">
        <v>595</v>
      </c>
      <c r="E5122" s="184">
        <v>45180</v>
      </c>
      <c r="G5122" s="184"/>
      <c r="I5122" s="184"/>
      <c r="K5122" s="184"/>
      <c r="P5122" t="s">
        <v>7045</v>
      </c>
      <c r="Q5122" t="s">
        <v>7030</v>
      </c>
      <c r="R5122" s="184">
        <v>18172</v>
      </c>
      <c r="S5122">
        <v>74</v>
      </c>
      <c r="V5122" t="s">
        <v>34002</v>
      </c>
      <c r="X5122" t="s">
        <v>36601</v>
      </c>
      <c r="AF5122" t="s">
        <v>36602</v>
      </c>
      <c r="AG5122" t="s">
        <v>34002</v>
      </c>
      <c r="AI5122" t="s">
        <v>36603</v>
      </c>
      <c r="AM5122" t="s">
        <v>36604</v>
      </c>
      <c r="AN5122" t="s">
        <v>2089</v>
      </c>
      <c r="AO5122" t="s">
        <v>36605</v>
      </c>
      <c r="AP5122" t="s">
        <v>7024</v>
      </c>
      <c r="AT5122" s="184">
        <v>42907</v>
      </c>
      <c r="AU5122" t="s">
        <v>36606</v>
      </c>
      <c r="AV5122">
        <v>50</v>
      </c>
      <c r="AW5122" s="184">
        <v>45345</v>
      </c>
      <c r="AX5122" t="s">
        <v>12392</v>
      </c>
      <c r="AY5122">
        <v>75</v>
      </c>
      <c r="AZ5122" s="184">
        <v>45070</v>
      </c>
      <c r="BA5122" t="s">
        <v>36607</v>
      </c>
      <c r="BB5122">
        <v>115</v>
      </c>
      <c r="BC5122">
        <v>88</v>
      </c>
      <c r="BD5122">
        <v>690</v>
      </c>
      <c r="BE5122">
        <v>2017</v>
      </c>
      <c r="BF5122">
        <v>10</v>
      </c>
      <c r="BG5122">
        <v>3</v>
      </c>
      <c r="BH5122">
        <v>265</v>
      </c>
      <c r="BI5122">
        <v>7</v>
      </c>
      <c r="BJ5122">
        <v>8</v>
      </c>
      <c r="BK5122">
        <v>6</v>
      </c>
      <c r="BP5122" s="184"/>
    </row>
    <row r="5123" spans="1:68">
      <c r="A5123">
        <v>96691993</v>
      </c>
      <c r="B5123">
        <v>96691993</v>
      </c>
      <c r="C5123" t="s">
        <v>7018</v>
      </c>
      <c r="D5123" t="s">
        <v>595</v>
      </c>
      <c r="E5123" s="184">
        <v>44438</v>
      </c>
      <c r="F5123" t="s">
        <v>595</v>
      </c>
      <c r="G5123" s="184">
        <v>45371</v>
      </c>
      <c r="I5123" s="184"/>
      <c r="K5123" s="184"/>
      <c r="M5123" s="184"/>
      <c r="O5123" s="184"/>
      <c r="P5123" t="s">
        <v>7045</v>
      </c>
      <c r="Q5123" t="s">
        <v>7160</v>
      </c>
      <c r="R5123" s="184">
        <v>19961</v>
      </c>
      <c r="S5123">
        <v>69</v>
      </c>
      <c r="U5123" t="s">
        <v>7031</v>
      </c>
      <c r="V5123" t="s">
        <v>36608</v>
      </c>
      <c r="W5123" t="s">
        <v>7107</v>
      </c>
      <c r="X5123" t="s">
        <v>36609</v>
      </c>
      <c r="AF5123" t="s">
        <v>36610</v>
      </c>
      <c r="AG5123" t="s">
        <v>36608</v>
      </c>
      <c r="AI5123" t="s">
        <v>36611</v>
      </c>
      <c r="AM5123" t="s">
        <v>2888</v>
      </c>
      <c r="AN5123" t="s">
        <v>2428</v>
      </c>
      <c r="AO5123" t="s">
        <v>36612</v>
      </c>
      <c r="AP5123" t="s">
        <v>7024</v>
      </c>
      <c r="AQ5123" t="s">
        <v>36613</v>
      </c>
      <c r="AT5123" s="184">
        <v>42910</v>
      </c>
      <c r="AU5123" t="s">
        <v>36614</v>
      </c>
      <c r="AV5123">
        <v>100</v>
      </c>
      <c r="AW5123" s="184">
        <v>45426</v>
      </c>
      <c r="AX5123" t="s">
        <v>7422</v>
      </c>
      <c r="AY5123">
        <v>20</v>
      </c>
      <c r="AZ5123" s="184">
        <v>45258</v>
      </c>
      <c r="BA5123" t="s">
        <v>36615</v>
      </c>
      <c r="BB5123">
        <v>262.5</v>
      </c>
      <c r="BC5123">
        <v>100</v>
      </c>
      <c r="BD5123">
        <v>1722.5</v>
      </c>
      <c r="BE5123">
        <v>2017</v>
      </c>
      <c r="BF5123">
        <v>85</v>
      </c>
      <c r="BG5123">
        <v>25</v>
      </c>
      <c r="BH5123">
        <v>742.5</v>
      </c>
      <c r="BI5123">
        <v>8</v>
      </c>
      <c r="BJ5123">
        <v>8</v>
      </c>
      <c r="BK5123">
        <v>8</v>
      </c>
      <c r="BP5123" s="184"/>
    </row>
    <row r="5124" spans="1:68">
      <c r="A5124">
        <v>96698485</v>
      </c>
      <c r="B5124">
        <v>96698485</v>
      </c>
      <c r="C5124" t="s">
        <v>7018</v>
      </c>
      <c r="D5124" t="s">
        <v>595</v>
      </c>
      <c r="E5124" s="184">
        <v>45196</v>
      </c>
      <c r="G5124" s="184"/>
      <c r="I5124" s="184"/>
      <c r="K5124" s="184"/>
      <c r="M5124" s="184"/>
      <c r="O5124" s="184"/>
      <c r="P5124" t="s">
        <v>7045</v>
      </c>
      <c r="Q5124" t="s">
        <v>7030</v>
      </c>
      <c r="R5124" s="184">
        <v>20090</v>
      </c>
      <c r="S5124">
        <v>69</v>
      </c>
      <c r="V5124" t="s">
        <v>2918</v>
      </c>
      <c r="X5124" t="s">
        <v>16244</v>
      </c>
      <c r="AF5124" t="s">
        <v>36616</v>
      </c>
      <c r="AG5124" t="s">
        <v>2918</v>
      </c>
      <c r="AI5124" t="s">
        <v>36617</v>
      </c>
      <c r="AM5124" t="s">
        <v>3229</v>
      </c>
      <c r="AN5124" t="s">
        <v>2094</v>
      </c>
      <c r="AO5124" t="s">
        <v>36618</v>
      </c>
      <c r="AP5124" t="s">
        <v>7024</v>
      </c>
      <c r="AQ5124" t="s">
        <v>36619</v>
      </c>
      <c r="AR5124" t="s">
        <v>36620</v>
      </c>
      <c r="AT5124" s="184">
        <v>42909</v>
      </c>
      <c r="AU5124" t="s">
        <v>36568</v>
      </c>
      <c r="AV5124">
        <v>15</v>
      </c>
      <c r="AW5124" s="184">
        <v>45259</v>
      </c>
      <c r="AX5124" t="s">
        <v>28971</v>
      </c>
      <c r="AY5124">
        <v>35</v>
      </c>
      <c r="AZ5124" s="184">
        <v>45259</v>
      </c>
      <c r="BA5124" t="s">
        <v>28971</v>
      </c>
      <c r="BB5124">
        <v>35</v>
      </c>
      <c r="BC5124">
        <v>63</v>
      </c>
      <c r="BD5124">
        <v>110</v>
      </c>
      <c r="BE5124">
        <v>2017</v>
      </c>
      <c r="BF5124">
        <v>6</v>
      </c>
      <c r="BG5124">
        <v>2</v>
      </c>
      <c r="BH5124">
        <v>60</v>
      </c>
      <c r="BI5124">
        <v>5</v>
      </c>
      <c r="BJ5124">
        <v>8</v>
      </c>
      <c r="BK5124">
        <v>3</v>
      </c>
      <c r="BP5124" s="184"/>
    </row>
    <row r="5125" spans="1:68">
      <c r="A5125">
        <v>96703186</v>
      </c>
      <c r="B5125">
        <v>96703186</v>
      </c>
      <c r="C5125" t="s">
        <v>7018</v>
      </c>
      <c r="D5125" t="s">
        <v>595</v>
      </c>
      <c r="E5125" s="184">
        <v>45195</v>
      </c>
      <c r="G5125" s="184"/>
      <c r="I5125" s="184"/>
      <c r="K5125" s="184"/>
      <c r="M5125" s="184"/>
      <c r="P5125" t="s">
        <v>7029</v>
      </c>
      <c r="Q5125" t="s">
        <v>7454</v>
      </c>
      <c r="R5125" s="184">
        <v>18476</v>
      </c>
      <c r="S5125">
        <v>73</v>
      </c>
      <c r="V5125" t="s">
        <v>2590</v>
      </c>
      <c r="X5125" t="s">
        <v>36621</v>
      </c>
      <c r="AF5125" t="s">
        <v>36622</v>
      </c>
      <c r="AG5125" t="s">
        <v>2590</v>
      </c>
      <c r="AI5125" t="s">
        <v>36623</v>
      </c>
      <c r="AM5125" t="s">
        <v>29397</v>
      </c>
      <c r="AN5125" t="s">
        <v>2299</v>
      </c>
      <c r="AO5125" t="s">
        <v>36624</v>
      </c>
      <c r="AP5125" t="s">
        <v>7024</v>
      </c>
      <c r="AQ5125" t="s">
        <v>36625</v>
      </c>
      <c r="AT5125" s="184">
        <v>42912</v>
      </c>
      <c r="AU5125" t="s">
        <v>36626</v>
      </c>
      <c r="AV5125">
        <v>50</v>
      </c>
      <c r="AW5125" s="184">
        <v>45278</v>
      </c>
      <c r="AX5125" t="s">
        <v>7382</v>
      </c>
      <c r="AY5125">
        <v>1000</v>
      </c>
      <c r="AZ5125" s="184">
        <v>45278</v>
      </c>
      <c r="BA5125" t="s">
        <v>7382</v>
      </c>
      <c r="BB5125">
        <v>1000</v>
      </c>
      <c r="BC5125">
        <v>88</v>
      </c>
      <c r="BD5125">
        <v>2600</v>
      </c>
      <c r="BE5125">
        <v>2017</v>
      </c>
      <c r="BF5125">
        <v>7</v>
      </c>
      <c r="BG5125">
        <v>2</v>
      </c>
      <c r="BH5125">
        <v>2000</v>
      </c>
      <c r="BI5125">
        <v>7</v>
      </c>
      <c r="BJ5125">
        <v>8</v>
      </c>
      <c r="BK5125">
        <v>7</v>
      </c>
      <c r="BP5125" s="184"/>
    </row>
    <row r="5126" spans="1:68">
      <c r="A5126">
        <v>96787643</v>
      </c>
      <c r="B5126">
        <v>96787643</v>
      </c>
      <c r="C5126" t="s">
        <v>7018</v>
      </c>
      <c r="E5126" s="184"/>
      <c r="G5126" s="184"/>
      <c r="I5126" s="184"/>
      <c r="J5126" t="s">
        <v>595</v>
      </c>
      <c r="K5126" s="184">
        <v>44328</v>
      </c>
      <c r="O5126" s="184"/>
      <c r="P5126" t="s">
        <v>7045</v>
      </c>
      <c r="Q5126" t="s">
        <v>7374</v>
      </c>
      <c r="R5126" s="184">
        <v>9832</v>
      </c>
      <c r="S5126">
        <v>97</v>
      </c>
      <c r="V5126" t="s">
        <v>19002</v>
      </c>
      <c r="X5126" t="s">
        <v>36627</v>
      </c>
      <c r="AF5126" t="s">
        <v>36628</v>
      </c>
      <c r="AG5126" t="s">
        <v>19002</v>
      </c>
      <c r="AI5126" t="s">
        <v>36629</v>
      </c>
      <c r="AM5126" t="s">
        <v>4312</v>
      </c>
      <c r="AN5126" t="s">
        <v>2081</v>
      </c>
      <c r="AO5126" t="s">
        <v>36630</v>
      </c>
      <c r="AP5126" t="s">
        <v>7024</v>
      </c>
      <c r="AQ5126" t="s">
        <v>36631</v>
      </c>
      <c r="AT5126" s="184">
        <v>42926</v>
      </c>
      <c r="AU5126" t="s">
        <v>35612</v>
      </c>
      <c r="AV5126">
        <v>25</v>
      </c>
      <c r="AW5126" s="184">
        <v>44972</v>
      </c>
      <c r="AX5126" t="s">
        <v>36632</v>
      </c>
      <c r="AY5126">
        <v>75</v>
      </c>
      <c r="AZ5126" s="184">
        <v>44972</v>
      </c>
      <c r="BA5126" t="s">
        <v>36632</v>
      </c>
      <c r="BB5126">
        <v>75</v>
      </c>
      <c r="BC5126">
        <v>88</v>
      </c>
      <c r="BD5126">
        <v>850</v>
      </c>
      <c r="BE5126">
        <v>2018</v>
      </c>
      <c r="BF5126">
        <v>19</v>
      </c>
      <c r="BG5126">
        <v>2</v>
      </c>
      <c r="BH5126">
        <v>150</v>
      </c>
      <c r="BI5126">
        <v>7</v>
      </c>
      <c r="BJ5126">
        <v>8</v>
      </c>
      <c r="BK5126">
        <v>7</v>
      </c>
      <c r="BP5126" s="184"/>
    </row>
    <row r="5127" spans="1:68">
      <c r="A5127">
        <v>91959882</v>
      </c>
      <c r="B5127">
        <v>96829114</v>
      </c>
      <c r="C5127" t="s">
        <v>7018</v>
      </c>
      <c r="D5127" t="s">
        <v>595</v>
      </c>
      <c r="E5127" s="184">
        <v>45113</v>
      </c>
      <c r="G5127" s="184"/>
      <c r="I5127" s="184"/>
      <c r="K5127" s="184"/>
      <c r="M5127" s="184"/>
      <c r="P5127" t="s">
        <v>7045</v>
      </c>
      <c r="Q5127" t="s">
        <v>7020</v>
      </c>
      <c r="R5127" s="184">
        <v>19937</v>
      </c>
      <c r="S5127">
        <v>69</v>
      </c>
      <c r="U5127" t="s">
        <v>7130</v>
      </c>
      <c r="V5127" t="s">
        <v>2995</v>
      </c>
      <c r="X5127" t="s">
        <v>36633</v>
      </c>
      <c r="Z5127">
        <v>96829114</v>
      </c>
      <c r="AA5127" t="s">
        <v>7031</v>
      </c>
      <c r="AB5127" t="s">
        <v>25592</v>
      </c>
      <c r="AC5127" t="s">
        <v>7355</v>
      </c>
      <c r="AD5127" t="s">
        <v>36633</v>
      </c>
      <c r="AF5127" t="s">
        <v>36634</v>
      </c>
      <c r="AG5127" t="s">
        <v>36635</v>
      </c>
      <c r="AI5127" t="s">
        <v>36047</v>
      </c>
      <c r="AM5127" t="s">
        <v>34801</v>
      </c>
      <c r="AN5127" t="s">
        <v>2465</v>
      </c>
      <c r="AO5127" t="s">
        <v>36636</v>
      </c>
      <c r="AP5127" t="s">
        <v>7024</v>
      </c>
      <c r="AQ5127" t="s">
        <v>36637</v>
      </c>
      <c r="AT5127" s="184">
        <v>41907</v>
      </c>
      <c r="AU5127" t="s">
        <v>36638</v>
      </c>
      <c r="AV5127">
        <v>25</v>
      </c>
      <c r="AW5127" s="184">
        <v>44469</v>
      </c>
      <c r="AX5127" t="s">
        <v>36639</v>
      </c>
      <c r="AY5127">
        <v>35</v>
      </c>
      <c r="AZ5127" s="184">
        <v>42870</v>
      </c>
      <c r="BA5127" t="s">
        <v>19379</v>
      </c>
      <c r="BB5127">
        <v>60</v>
      </c>
      <c r="BC5127">
        <v>73</v>
      </c>
      <c r="BD5127">
        <v>445</v>
      </c>
      <c r="BE5127">
        <v>2015</v>
      </c>
      <c r="BF5127">
        <v>30</v>
      </c>
      <c r="BI5127">
        <v>8</v>
      </c>
      <c r="BJ5127">
        <v>11</v>
      </c>
      <c r="BK5127">
        <v>8</v>
      </c>
      <c r="BP5127" s="184"/>
    </row>
    <row r="5128" spans="1:68">
      <c r="A5128">
        <v>96829114</v>
      </c>
      <c r="B5128">
        <v>96829114</v>
      </c>
      <c r="C5128" t="s">
        <v>7018</v>
      </c>
      <c r="D5128" t="s">
        <v>595</v>
      </c>
      <c r="E5128" s="184">
        <v>45113</v>
      </c>
      <c r="G5128" s="184"/>
      <c r="I5128" s="184"/>
      <c r="K5128" s="184"/>
      <c r="O5128" s="184"/>
      <c r="P5128" t="s">
        <v>7045</v>
      </c>
      <c r="Q5128" t="s">
        <v>7020</v>
      </c>
      <c r="R5128" s="184">
        <v>18596</v>
      </c>
      <c r="S5128">
        <v>73</v>
      </c>
      <c r="U5128" t="s">
        <v>7031</v>
      </c>
      <c r="V5128" t="s">
        <v>25592</v>
      </c>
      <c r="W5128" t="s">
        <v>7355</v>
      </c>
      <c r="X5128" t="s">
        <v>36633</v>
      </c>
      <c r="Z5128">
        <v>91959882</v>
      </c>
      <c r="AA5128" t="s">
        <v>7130</v>
      </c>
      <c r="AB5128" t="s">
        <v>2995</v>
      </c>
      <c r="AD5128" t="s">
        <v>36633</v>
      </c>
      <c r="AF5128" t="s">
        <v>36634</v>
      </c>
      <c r="AG5128" t="s">
        <v>36635</v>
      </c>
      <c r="AI5128" t="s">
        <v>36047</v>
      </c>
      <c r="AM5128" t="s">
        <v>34801</v>
      </c>
      <c r="AN5128" t="s">
        <v>2465</v>
      </c>
      <c r="AO5128" t="s">
        <v>36636</v>
      </c>
      <c r="AP5128" t="s">
        <v>7024</v>
      </c>
      <c r="AQ5128" t="s">
        <v>36640</v>
      </c>
      <c r="AT5128" s="184">
        <v>44093</v>
      </c>
      <c r="AU5128" t="s">
        <v>11161</v>
      </c>
      <c r="AV5128">
        <v>50</v>
      </c>
      <c r="AW5128" s="184">
        <v>45159</v>
      </c>
      <c r="AX5128" t="s">
        <v>36641</v>
      </c>
      <c r="AY5128">
        <v>50</v>
      </c>
      <c r="AZ5128" s="184">
        <v>45159</v>
      </c>
      <c r="BA5128" t="s">
        <v>36641</v>
      </c>
      <c r="BB5128">
        <v>50</v>
      </c>
      <c r="BC5128">
        <v>80</v>
      </c>
      <c r="BD5128">
        <v>225</v>
      </c>
      <c r="BE5128">
        <v>2021</v>
      </c>
      <c r="BF5128">
        <v>5</v>
      </c>
      <c r="BG5128">
        <v>3</v>
      </c>
      <c r="BH5128">
        <v>125</v>
      </c>
      <c r="BI5128">
        <v>4</v>
      </c>
      <c r="BJ5128">
        <v>5</v>
      </c>
      <c r="BK5128">
        <v>4</v>
      </c>
      <c r="BP5128" s="184"/>
    </row>
    <row r="5129" spans="1:68">
      <c r="A5129">
        <v>96848478</v>
      </c>
      <c r="B5129">
        <v>96848478</v>
      </c>
      <c r="C5129" t="s">
        <v>7018</v>
      </c>
      <c r="D5129" t="s">
        <v>595</v>
      </c>
      <c r="E5129" s="184">
        <v>45125</v>
      </c>
      <c r="G5129" s="184"/>
      <c r="I5129" s="184"/>
      <c r="K5129" s="184"/>
      <c r="M5129" s="184"/>
      <c r="O5129" s="184"/>
      <c r="P5129" t="s">
        <v>7045</v>
      </c>
      <c r="Q5129" t="s">
        <v>7020</v>
      </c>
      <c r="R5129" s="184">
        <v>20248</v>
      </c>
      <c r="S5129">
        <v>68</v>
      </c>
      <c r="U5129" t="s">
        <v>7076</v>
      </c>
      <c r="V5129" t="s">
        <v>2779</v>
      </c>
      <c r="W5129" t="s">
        <v>3226</v>
      </c>
      <c r="X5129" t="s">
        <v>36642</v>
      </c>
      <c r="AF5129" t="s">
        <v>36643</v>
      </c>
      <c r="AG5129" t="s">
        <v>2779</v>
      </c>
      <c r="AI5129" t="s">
        <v>36644</v>
      </c>
      <c r="AM5129" t="s">
        <v>3060</v>
      </c>
      <c r="AN5129" t="s">
        <v>2112</v>
      </c>
      <c r="AO5129" t="s">
        <v>36645</v>
      </c>
      <c r="AP5129" t="s">
        <v>7024</v>
      </c>
      <c r="AQ5129" t="s">
        <v>36646</v>
      </c>
      <c r="AT5129" s="184">
        <v>42936</v>
      </c>
      <c r="AU5129" t="s">
        <v>36647</v>
      </c>
      <c r="AV5129">
        <v>20</v>
      </c>
      <c r="AW5129" s="184">
        <v>45316</v>
      </c>
      <c r="AX5129" t="s">
        <v>11841</v>
      </c>
      <c r="AY5129">
        <v>25</v>
      </c>
      <c r="AZ5129" s="184">
        <v>45316</v>
      </c>
      <c r="BA5129" t="s">
        <v>11841</v>
      </c>
      <c r="BB5129">
        <v>25</v>
      </c>
      <c r="BC5129">
        <v>75</v>
      </c>
      <c r="BD5129">
        <v>140</v>
      </c>
      <c r="BE5129">
        <v>2018</v>
      </c>
      <c r="BF5129">
        <v>6</v>
      </c>
      <c r="BG5129">
        <v>2</v>
      </c>
      <c r="BH5129">
        <v>50</v>
      </c>
      <c r="BI5129">
        <v>6</v>
      </c>
      <c r="BJ5129">
        <v>8</v>
      </c>
      <c r="BK5129">
        <v>5</v>
      </c>
      <c r="BP5129" s="184"/>
    </row>
    <row r="5130" spans="1:68">
      <c r="A5130">
        <v>96853544</v>
      </c>
      <c r="B5130">
        <v>96853544</v>
      </c>
      <c r="C5130" t="s">
        <v>7018</v>
      </c>
      <c r="E5130" s="184"/>
      <c r="F5130" t="s">
        <v>595</v>
      </c>
      <c r="G5130" s="184">
        <v>44484</v>
      </c>
      <c r="I5130" s="184"/>
      <c r="K5130" s="184"/>
      <c r="M5130" s="184"/>
      <c r="O5130" s="184"/>
      <c r="P5130" t="s">
        <v>7045</v>
      </c>
      <c r="Q5130" t="s">
        <v>7383</v>
      </c>
      <c r="R5130" s="184">
        <v>17463</v>
      </c>
      <c r="S5130">
        <v>76</v>
      </c>
      <c r="V5130" t="s">
        <v>36648</v>
      </c>
      <c r="X5130" t="s">
        <v>36649</v>
      </c>
      <c r="AF5130" t="s">
        <v>36650</v>
      </c>
      <c r="AG5130" t="s">
        <v>36648</v>
      </c>
      <c r="AI5130" t="s">
        <v>36651</v>
      </c>
      <c r="AM5130" t="s">
        <v>2679</v>
      </c>
      <c r="AN5130" t="s">
        <v>2072</v>
      </c>
      <c r="AO5130" t="s">
        <v>36652</v>
      </c>
      <c r="AP5130" t="s">
        <v>7024</v>
      </c>
      <c r="AT5130" s="184">
        <v>42936</v>
      </c>
      <c r="AU5130" t="s">
        <v>36653</v>
      </c>
      <c r="AV5130">
        <v>25</v>
      </c>
      <c r="AW5130" s="184">
        <v>45377</v>
      </c>
      <c r="AX5130" t="s">
        <v>11480</v>
      </c>
      <c r="AY5130">
        <v>100</v>
      </c>
      <c r="AZ5130" s="184">
        <v>45124</v>
      </c>
      <c r="BA5130" t="s">
        <v>8104</v>
      </c>
      <c r="BB5130">
        <v>200</v>
      </c>
      <c r="BC5130">
        <v>100</v>
      </c>
      <c r="BD5130">
        <v>2215</v>
      </c>
      <c r="BE5130">
        <v>2018</v>
      </c>
      <c r="BF5130">
        <v>32</v>
      </c>
      <c r="BG5130">
        <v>9</v>
      </c>
      <c r="BH5130">
        <v>1050</v>
      </c>
      <c r="BI5130">
        <v>8</v>
      </c>
      <c r="BJ5130">
        <v>8</v>
      </c>
      <c r="BK5130">
        <v>8</v>
      </c>
      <c r="BP5130" s="184"/>
    </row>
    <row r="5131" spans="1:68">
      <c r="A5131">
        <v>96858535</v>
      </c>
      <c r="B5131">
        <v>96858535</v>
      </c>
      <c r="C5131" t="s">
        <v>7018</v>
      </c>
      <c r="D5131" t="s">
        <v>595</v>
      </c>
      <c r="E5131" s="184">
        <v>44438</v>
      </c>
      <c r="G5131" s="184"/>
      <c r="I5131" s="184"/>
      <c r="K5131" s="184"/>
      <c r="O5131" s="184"/>
      <c r="P5131" t="s">
        <v>7045</v>
      </c>
      <c r="Q5131" t="s">
        <v>7383</v>
      </c>
      <c r="R5131" s="184">
        <v>20034</v>
      </c>
      <c r="S5131">
        <v>69</v>
      </c>
      <c r="U5131" t="s">
        <v>7076</v>
      </c>
      <c r="V5131" t="s">
        <v>2586</v>
      </c>
      <c r="W5131" t="s">
        <v>7396</v>
      </c>
      <c r="X5131" t="s">
        <v>36654</v>
      </c>
      <c r="AF5131" t="s">
        <v>36655</v>
      </c>
      <c r="AG5131" t="s">
        <v>2586</v>
      </c>
      <c r="AI5131" t="s">
        <v>36656</v>
      </c>
      <c r="AM5131" t="s">
        <v>4592</v>
      </c>
      <c r="AN5131" t="s">
        <v>2064</v>
      </c>
      <c r="AO5131" t="s">
        <v>36657</v>
      </c>
      <c r="AP5131" t="s">
        <v>7024</v>
      </c>
      <c r="AQ5131" t="s">
        <v>36658</v>
      </c>
      <c r="AT5131" s="184">
        <v>42937</v>
      </c>
      <c r="AU5131" t="s">
        <v>36659</v>
      </c>
      <c r="AV5131">
        <v>50</v>
      </c>
      <c r="AW5131" s="184">
        <v>45215</v>
      </c>
      <c r="AX5131" t="s">
        <v>36660</v>
      </c>
      <c r="AY5131">
        <v>100</v>
      </c>
      <c r="AZ5131" s="184">
        <v>45215</v>
      </c>
      <c r="BA5131" t="s">
        <v>36660</v>
      </c>
      <c r="BB5131">
        <v>100</v>
      </c>
      <c r="BC5131">
        <v>88</v>
      </c>
      <c r="BD5131">
        <v>600</v>
      </c>
      <c r="BE5131">
        <v>2018</v>
      </c>
      <c r="BF5131">
        <v>9</v>
      </c>
      <c r="BG5131">
        <v>3</v>
      </c>
      <c r="BH5131">
        <v>300</v>
      </c>
      <c r="BI5131">
        <v>7</v>
      </c>
      <c r="BJ5131">
        <v>8</v>
      </c>
      <c r="BK5131">
        <v>7</v>
      </c>
      <c r="BP5131" s="184"/>
    </row>
    <row r="5132" spans="1:68">
      <c r="A5132">
        <v>96870183</v>
      </c>
      <c r="B5132">
        <v>96870183</v>
      </c>
      <c r="C5132" t="s">
        <v>7018</v>
      </c>
      <c r="D5132" t="s">
        <v>595</v>
      </c>
      <c r="E5132" s="184">
        <v>45154</v>
      </c>
      <c r="G5132" s="184"/>
      <c r="I5132" s="184"/>
      <c r="K5132" s="184"/>
      <c r="M5132" s="184"/>
      <c r="O5132" s="184"/>
      <c r="P5132" t="s">
        <v>7045</v>
      </c>
      <c r="Q5132" t="s">
        <v>7383</v>
      </c>
      <c r="R5132" s="184">
        <v>18163</v>
      </c>
      <c r="S5132">
        <v>74</v>
      </c>
      <c r="V5132" t="s">
        <v>3317</v>
      </c>
      <c r="X5132" t="s">
        <v>36661</v>
      </c>
      <c r="AF5132" t="s">
        <v>36662</v>
      </c>
      <c r="AG5132" t="s">
        <v>3317</v>
      </c>
      <c r="AI5132" t="s">
        <v>36663</v>
      </c>
      <c r="AM5132" t="s">
        <v>2703</v>
      </c>
      <c r="AN5132" t="s">
        <v>2064</v>
      </c>
      <c r="AO5132" t="s">
        <v>36664</v>
      </c>
      <c r="AP5132" t="s">
        <v>7024</v>
      </c>
      <c r="AQ5132" t="s">
        <v>36665</v>
      </c>
      <c r="AT5132" s="184">
        <v>42941</v>
      </c>
      <c r="AU5132" t="s">
        <v>36666</v>
      </c>
      <c r="AV5132">
        <v>15</v>
      </c>
      <c r="AW5132" s="184">
        <v>45358</v>
      </c>
      <c r="AX5132" t="s">
        <v>22677</v>
      </c>
      <c r="AY5132">
        <v>15</v>
      </c>
      <c r="AZ5132" s="184">
        <v>45054</v>
      </c>
      <c r="BA5132" t="s">
        <v>11545</v>
      </c>
      <c r="BB5132">
        <v>25</v>
      </c>
      <c r="BC5132">
        <v>88</v>
      </c>
      <c r="BD5132">
        <v>130</v>
      </c>
      <c r="BE5132">
        <v>2018</v>
      </c>
      <c r="BF5132">
        <v>9</v>
      </c>
      <c r="BG5132">
        <v>4</v>
      </c>
      <c r="BH5132">
        <v>75</v>
      </c>
      <c r="BI5132">
        <v>7</v>
      </c>
      <c r="BJ5132">
        <v>8</v>
      </c>
      <c r="BK5132">
        <v>4</v>
      </c>
      <c r="BP5132" s="184"/>
    </row>
    <row r="5133" spans="1:68">
      <c r="A5133">
        <v>96893094</v>
      </c>
      <c r="B5133">
        <v>96893094</v>
      </c>
      <c r="C5133" t="s">
        <v>7018</v>
      </c>
      <c r="D5133" t="s">
        <v>595</v>
      </c>
      <c r="E5133" s="184">
        <v>45167</v>
      </c>
      <c r="G5133" s="184"/>
      <c r="I5133" s="184"/>
      <c r="K5133" s="184"/>
      <c r="M5133" s="184"/>
      <c r="P5133" t="s">
        <v>7045</v>
      </c>
      <c r="Q5133" t="s">
        <v>7383</v>
      </c>
      <c r="R5133" s="184">
        <v>11920</v>
      </c>
      <c r="S5133">
        <v>91</v>
      </c>
      <c r="V5133" t="s">
        <v>3220</v>
      </c>
      <c r="X5133" t="s">
        <v>2649</v>
      </c>
      <c r="AF5133" t="s">
        <v>36667</v>
      </c>
      <c r="AG5133" t="s">
        <v>3220</v>
      </c>
      <c r="AI5133" t="s">
        <v>36668</v>
      </c>
      <c r="AM5133" t="s">
        <v>3082</v>
      </c>
      <c r="AN5133" t="s">
        <v>2313</v>
      </c>
      <c r="AO5133" t="s">
        <v>36669</v>
      </c>
      <c r="AP5133" t="s">
        <v>7024</v>
      </c>
      <c r="AT5133" s="184">
        <v>42943</v>
      </c>
      <c r="AU5133" t="s">
        <v>36670</v>
      </c>
      <c r="AV5133">
        <v>25</v>
      </c>
      <c r="AW5133" s="184">
        <v>45002</v>
      </c>
      <c r="AX5133" t="s">
        <v>36671</v>
      </c>
      <c r="AY5133">
        <v>25</v>
      </c>
      <c r="AZ5133" s="184">
        <v>45002</v>
      </c>
      <c r="BA5133" t="s">
        <v>36671</v>
      </c>
      <c r="BB5133">
        <v>25</v>
      </c>
      <c r="BC5133">
        <v>75</v>
      </c>
      <c r="BD5133">
        <v>150</v>
      </c>
      <c r="BE5133">
        <v>2018</v>
      </c>
      <c r="BF5133">
        <v>6</v>
      </c>
      <c r="BG5133">
        <v>1</v>
      </c>
      <c r="BH5133">
        <v>25</v>
      </c>
      <c r="BI5133">
        <v>6</v>
      </c>
      <c r="BJ5133">
        <v>8</v>
      </c>
      <c r="BK5133">
        <v>3</v>
      </c>
      <c r="BP5133" s="184"/>
    </row>
    <row r="5134" spans="1:68">
      <c r="A5134">
        <v>96895685</v>
      </c>
      <c r="B5134">
        <v>96895685</v>
      </c>
      <c r="C5134" t="s">
        <v>7018</v>
      </c>
      <c r="D5134" t="s">
        <v>595</v>
      </c>
      <c r="E5134" s="184">
        <v>45125</v>
      </c>
      <c r="G5134" s="184"/>
      <c r="I5134" s="184"/>
      <c r="K5134" s="184"/>
      <c r="M5134" s="184"/>
      <c r="O5134" s="184"/>
      <c r="P5134" t="s">
        <v>7045</v>
      </c>
      <c r="Q5134" t="s">
        <v>7160</v>
      </c>
      <c r="R5134" s="184">
        <v>17152</v>
      </c>
      <c r="S5134">
        <v>77</v>
      </c>
      <c r="V5134" t="s">
        <v>2541</v>
      </c>
      <c r="W5134" t="s">
        <v>2316</v>
      </c>
      <c r="X5134" t="s">
        <v>36672</v>
      </c>
      <c r="AF5134" t="s">
        <v>36673</v>
      </c>
      <c r="AG5134" t="s">
        <v>2541</v>
      </c>
      <c r="AI5134" t="s">
        <v>36674</v>
      </c>
      <c r="AM5134" t="s">
        <v>9962</v>
      </c>
      <c r="AN5134" t="s">
        <v>2176</v>
      </c>
      <c r="AO5134" t="s">
        <v>36675</v>
      </c>
      <c r="AP5134" t="s">
        <v>7024</v>
      </c>
      <c r="AQ5134" t="s">
        <v>36676</v>
      </c>
      <c r="AR5134" t="s">
        <v>36677</v>
      </c>
      <c r="AT5134" s="184">
        <v>42943</v>
      </c>
      <c r="AU5134" t="s">
        <v>36678</v>
      </c>
      <c r="AV5134">
        <v>100</v>
      </c>
      <c r="AW5134" s="184">
        <v>45351</v>
      </c>
      <c r="AX5134" t="s">
        <v>8477</v>
      </c>
      <c r="AY5134">
        <v>225</v>
      </c>
      <c r="AZ5134" s="184">
        <v>43921</v>
      </c>
      <c r="BA5134" t="s">
        <v>36679</v>
      </c>
      <c r="BB5134">
        <v>250</v>
      </c>
      <c r="BC5134">
        <v>88</v>
      </c>
      <c r="BD5134">
        <v>2430</v>
      </c>
      <c r="BE5134">
        <v>2018</v>
      </c>
      <c r="BF5134">
        <v>15</v>
      </c>
      <c r="BG5134">
        <v>6</v>
      </c>
      <c r="BH5134">
        <v>1155</v>
      </c>
      <c r="BI5134">
        <v>7</v>
      </c>
      <c r="BJ5134">
        <v>8</v>
      </c>
      <c r="BK5134">
        <v>5</v>
      </c>
      <c r="BP5134" s="184"/>
    </row>
    <row r="5135" spans="1:68">
      <c r="A5135">
        <v>96899885</v>
      </c>
      <c r="B5135">
        <v>96899885</v>
      </c>
      <c r="C5135" t="s">
        <v>7018</v>
      </c>
      <c r="D5135" t="s">
        <v>595</v>
      </c>
      <c r="E5135" s="184">
        <v>43731</v>
      </c>
      <c r="G5135" s="184"/>
      <c r="I5135" s="184"/>
      <c r="K5135" s="184"/>
      <c r="M5135" s="184"/>
      <c r="O5135" s="184"/>
      <c r="P5135" t="s">
        <v>7029</v>
      </c>
      <c r="Q5135" t="s">
        <v>7494</v>
      </c>
      <c r="R5135" s="184">
        <v>24624</v>
      </c>
      <c r="S5135">
        <v>56</v>
      </c>
      <c r="U5135" t="s">
        <v>7031</v>
      </c>
      <c r="V5135" t="s">
        <v>3224</v>
      </c>
      <c r="W5135" t="s">
        <v>5057</v>
      </c>
      <c r="X5135" t="s">
        <v>3850</v>
      </c>
      <c r="AF5135" t="s">
        <v>36680</v>
      </c>
      <c r="AG5135" t="s">
        <v>3224</v>
      </c>
      <c r="AI5135" t="s">
        <v>36681</v>
      </c>
      <c r="AM5135" t="s">
        <v>3851</v>
      </c>
      <c r="AN5135" t="s">
        <v>2174</v>
      </c>
      <c r="AO5135" t="s">
        <v>36682</v>
      </c>
      <c r="AP5135" t="s">
        <v>7024</v>
      </c>
      <c r="AQ5135" t="s">
        <v>36683</v>
      </c>
      <c r="AT5135" s="184">
        <v>43607</v>
      </c>
      <c r="AU5135" t="s">
        <v>36684</v>
      </c>
      <c r="AV5135">
        <v>1000</v>
      </c>
      <c r="AW5135" s="184">
        <v>43607</v>
      </c>
      <c r="AX5135" t="s">
        <v>36684</v>
      </c>
      <c r="AY5135">
        <v>1000</v>
      </c>
      <c r="AZ5135" s="184">
        <v>43607</v>
      </c>
      <c r="BA5135" t="s">
        <v>36684</v>
      </c>
      <c r="BB5135">
        <v>1000</v>
      </c>
      <c r="BC5135">
        <v>17</v>
      </c>
      <c r="BD5135">
        <v>1000</v>
      </c>
      <c r="BE5135">
        <v>2019</v>
      </c>
      <c r="BF5135">
        <v>1</v>
      </c>
      <c r="BI5135">
        <v>1</v>
      </c>
      <c r="BJ5135">
        <v>6</v>
      </c>
      <c r="BK5135">
        <v>1</v>
      </c>
      <c r="BP5135" s="184"/>
    </row>
    <row r="5136" spans="1:68">
      <c r="A5136">
        <v>96900246</v>
      </c>
      <c r="B5136">
        <v>96900246</v>
      </c>
      <c r="C5136" t="s">
        <v>7018</v>
      </c>
      <c r="D5136" t="s">
        <v>595</v>
      </c>
      <c r="E5136" s="184">
        <v>44419</v>
      </c>
      <c r="G5136" s="184"/>
      <c r="I5136" s="184"/>
      <c r="K5136" s="184"/>
      <c r="M5136" s="184"/>
      <c r="O5136" s="184"/>
      <c r="P5136" t="s">
        <v>7045</v>
      </c>
      <c r="Q5136" t="s">
        <v>7383</v>
      </c>
      <c r="R5136" s="184">
        <v>16807</v>
      </c>
      <c r="S5136">
        <v>78</v>
      </c>
      <c r="V5136" t="s">
        <v>3131</v>
      </c>
      <c r="X5136" t="s">
        <v>36685</v>
      </c>
      <c r="AF5136" t="s">
        <v>36686</v>
      </c>
      <c r="AG5136" t="s">
        <v>3131</v>
      </c>
      <c r="AI5136" t="s">
        <v>36687</v>
      </c>
      <c r="AM5136" t="s">
        <v>5853</v>
      </c>
      <c r="AN5136" t="s">
        <v>2162</v>
      </c>
      <c r="AO5136" t="s">
        <v>36688</v>
      </c>
      <c r="AP5136" t="s">
        <v>7024</v>
      </c>
      <c r="AQ5136" t="s">
        <v>36689</v>
      </c>
      <c r="AT5136" s="184">
        <v>42943</v>
      </c>
      <c r="AU5136" t="s">
        <v>36690</v>
      </c>
      <c r="AV5136">
        <v>25</v>
      </c>
      <c r="AW5136" s="184">
        <v>45330</v>
      </c>
      <c r="AX5136" t="s">
        <v>36691</v>
      </c>
      <c r="AY5136">
        <v>35</v>
      </c>
      <c r="AZ5136" s="184">
        <v>45330</v>
      </c>
      <c r="BA5136" t="s">
        <v>36691</v>
      </c>
      <c r="BB5136">
        <v>35</v>
      </c>
      <c r="BC5136">
        <v>100</v>
      </c>
      <c r="BD5136">
        <v>395</v>
      </c>
      <c r="BE5136">
        <v>2018</v>
      </c>
      <c r="BF5136">
        <v>15</v>
      </c>
      <c r="BG5136">
        <v>4</v>
      </c>
      <c r="BH5136">
        <v>130</v>
      </c>
      <c r="BI5136">
        <v>8</v>
      </c>
      <c r="BJ5136">
        <v>8</v>
      </c>
      <c r="BK5136">
        <v>8</v>
      </c>
      <c r="BP5136" s="184"/>
    </row>
    <row r="5137" spans="1:68">
      <c r="A5137">
        <v>96915533</v>
      </c>
      <c r="B5137">
        <v>96915533</v>
      </c>
      <c r="C5137" t="s">
        <v>7018</v>
      </c>
      <c r="D5137" t="s">
        <v>595</v>
      </c>
      <c r="E5137" s="184">
        <v>44441</v>
      </c>
      <c r="G5137" s="184"/>
      <c r="I5137" s="184"/>
      <c r="K5137" s="184"/>
      <c r="M5137" s="184"/>
      <c r="O5137" s="184"/>
      <c r="P5137" t="s">
        <v>7045</v>
      </c>
      <c r="Q5137" t="s">
        <v>7383</v>
      </c>
      <c r="R5137" s="184">
        <v>18780</v>
      </c>
      <c r="S5137">
        <v>72</v>
      </c>
      <c r="U5137" t="s">
        <v>7076</v>
      </c>
      <c r="V5137" t="s">
        <v>2602</v>
      </c>
      <c r="W5137" t="s">
        <v>2049</v>
      </c>
      <c r="X5137" t="s">
        <v>29322</v>
      </c>
      <c r="AF5137" t="s">
        <v>36692</v>
      </c>
      <c r="AG5137" t="s">
        <v>2602</v>
      </c>
      <c r="AI5137" t="s">
        <v>36693</v>
      </c>
      <c r="AM5137" t="s">
        <v>2830</v>
      </c>
      <c r="AN5137" t="s">
        <v>2185</v>
      </c>
      <c r="AO5137" t="s">
        <v>36694</v>
      </c>
      <c r="AP5137" t="s">
        <v>7024</v>
      </c>
      <c r="AQ5137" t="s">
        <v>36695</v>
      </c>
      <c r="AT5137" s="184">
        <v>42947</v>
      </c>
      <c r="AU5137" t="s">
        <v>36696</v>
      </c>
      <c r="AV5137">
        <v>25</v>
      </c>
      <c r="AW5137" s="184">
        <v>45411</v>
      </c>
      <c r="AX5137" t="s">
        <v>23272</v>
      </c>
      <c r="AY5137">
        <v>25</v>
      </c>
      <c r="AZ5137" s="184">
        <v>45411</v>
      </c>
      <c r="BA5137" t="s">
        <v>23272</v>
      </c>
      <c r="BB5137">
        <v>25</v>
      </c>
      <c r="BC5137">
        <v>100</v>
      </c>
      <c r="BD5137">
        <v>410</v>
      </c>
      <c r="BE5137">
        <v>2018</v>
      </c>
      <c r="BF5137">
        <v>24</v>
      </c>
      <c r="BG5137">
        <v>3</v>
      </c>
      <c r="BH5137">
        <v>75</v>
      </c>
      <c r="BI5137">
        <v>8</v>
      </c>
      <c r="BJ5137">
        <v>8</v>
      </c>
      <c r="BK5137">
        <v>8</v>
      </c>
      <c r="BP5137" s="184"/>
    </row>
    <row r="5138" spans="1:68">
      <c r="A5138">
        <v>96918685</v>
      </c>
      <c r="B5138">
        <v>96918685</v>
      </c>
      <c r="C5138" t="s">
        <v>7018</v>
      </c>
      <c r="D5138" t="s">
        <v>595</v>
      </c>
      <c r="E5138" s="184">
        <v>45195</v>
      </c>
      <c r="G5138" s="184"/>
      <c r="I5138" s="184"/>
      <c r="K5138" s="184"/>
      <c r="M5138" s="184"/>
      <c r="O5138" s="184"/>
      <c r="P5138" t="s">
        <v>7045</v>
      </c>
      <c r="Q5138" t="s">
        <v>7374</v>
      </c>
      <c r="R5138" s="184">
        <v>16011</v>
      </c>
      <c r="S5138">
        <v>80</v>
      </c>
      <c r="U5138" t="s">
        <v>7130</v>
      </c>
      <c r="V5138" t="s">
        <v>2733</v>
      </c>
      <c r="W5138" t="s">
        <v>4013</v>
      </c>
      <c r="X5138" t="s">
        <v>36697</v>
      </c>
      <c r="AF5138" t="s">
        <v>36698</v>
      </c>
      <c r="AG5138" t="s">
        <v>2733</v>
      </c>
      <c r="AI5138" t="s">
        <v>36699</v>
      </c>
      <c r="AM5138" t="s">
        <v>36700</v>
      </c>
      <c r="AN5138" t="s">
        <v>2081</v>
      </c>
      <c r="AO5138" t="s">
        <v>36701</v>
      </c>
      <c r="AP5138" t="s">
        <v>7024</v>
      </c>
      <c r="AQ5138" t="s">
        <v>36702</v>
      </c>
      <c r="AT5138" s="184">
        <v>42947</v>
      </c>
      <c r="AU5138" t="s">
        <v>36703</v>
      </c>
      <c r="AV5138">
        <v>25</v>
      </c>
      <c r="AW5138" s="184">
        <v>45398</v>
      </c>
      <c r="AX5138" t="s">
        <v>17771</v>
      </c>
      <c r="AY5138">
        <v>25</v>
      </c>
      <c r="AZ5138" s="184">
        <v>44583</v>
      </c>
      <c r="BA5138" t="s">
        <v>36704</v>
      </c>
      <c r="BB5138">
        <v>120</v>
      </c>
      <c r="BC5138">
        <v>88</v>
      </c>
      <c r="BD5138">
        <v>660</v>
      </c>
      <c r="BE5138">
        <v>2018</v>
      </c>
      <c r="BF5138">
        <v>19</v>
      </c>
      <c r="BG5138">
        <v>6</v>
      </c>
      <c r="BH5138">
        <v>175</v>
      </c>
      <c r="BI5138">
        <v>7</v>
      </c>
      <c r="BJ5138">
        <v>8</v>
      </c>
      <c r="BK5138">
        <v>5</v>
      </c>
      <c r="BP5138" s="184"/>
    </row>
    <row r="5139" spans="1:68">
      <c r="A5139">
        <v>96922406</v>
      </c>
      <c r="B5139">
        <v>96922406</v>
      </c>
      <c r="C5139" t="s">
        <v>7018</v>
      </c>
      <c r="D5139" t="s">
        <v>595</v>
      </c>
      <c r="E5139" s="184">
        <v>45154</v>
      </c>
      <c r="G5139" s="184"/>
      <c r="I5139" s="184"/>
      <c r="K5139" s="184"/>
      <c r="M5139" s="184"/>
      <c r="O5139" s="184"/>
      <c r="P5139" t="s">
        <v>7045</v>
      </c>
      <c r="Q5139" t="s">
        <v>7383</v>
      </c>
      <c r="R5139" s="184">
        <v>17719</v>
      </c>
      <c r="S5139">
        <v>75</v>
      </c>
      <c r="V5139" t="s">
        <v>36705</v>
      </c>
      <c r="X5139" t="s">
        <v>13354</v>
      </c>
      <c r="AF5139" t="s">
        <v>36706</v>
      </c>
      <c r="AG5139" t="s">
        <v>36705</v>
      </c>
      <c r="AI5139" t="s">
        <v>36707</v>
      </c>
      <c r="AM5139" t="s">
        <v>4091</v>
      </c>
      <c r="AN5139" t="s">
        <v>2064</v>
      </c>
      <c r="AO5139" t="s">
        <v>36708</v>
      </c>
      <c r="AP5139" t="s">
        <v>7024</v>
      </c>
      <c r="AQ5139" t="s">
        <v>36709</v>
      </c>
      <c r="AR5139" t="s">
        <v>36710</v>
      </c>
      <c r="AT5139" s="184">
        <v>42948</v>
      </c>
      <c r="AU5139" t="s">
        <v>36711</v>
      </c>
      <c r="AV5139">
        <v>15</v>
      </c>
      <c r="AW5139" s="184">
        <v>45323</v>
      </c>
      <c r="AX5139" t="s">
        <v>36712</v>
      </c>
      <c r="AY5139">
        <v>20</v>
      </c>
      <c r="AZ5139" s="184">
        <v>45083</v>
      </c>
      <c r="BA5139" t="s">
        <v>21006</v>
      </c>
      <c r="BB5139">
        <v>25</v>
      </c>
      <c r="BC5139">
        <v>100</v>
      </c>
      <c r="BD5139">
        <v>210</v>
      </c>
      <c r="BE5139">
        <v>2018</v>
      </c>
      <c r="BF5139">
        <v>10</v>
      </c>
      <c r="BG5139">
        <v>3</v>
      </c>
      <c r="BH5139">
        <v>65</v>
      </c>
      <c r="BI5139">
        <v>8</v>
      </c>
      <c r="BJ5139">
        <v>8</v>
      </c>
      <c r="BK5139">
        <v>8</v>
      </c>
      <c r="BP5139" s="184"/>
    </row>
    <row r="5140" spans="1:68">
      <c r="A5140">
        <v>96944426</v>
      </c>
      <c r="B5140">
        <v>96944426</v>
      </c>
      <c r="C5140" t="s">
        <v>7018</v>
      </c>
      <c r="D5140" t="s">
        <v>595</v>
      </c>
      <c r="E5140" s="184">
        <v>45195</v>
      </c>
      <c r="G5140" s="184"/>
      <c r="I5140" s="184"/>
      <c r="K5140" s="184"/>
      <c r="M5140" s="184"/>
      <c r="O5140" s="184"/>
      <c r="P5140" t="s">
        <v>7045</v>
      </c>
      <c r="Q5140" t="s">
        <v>7374</v>
      </c>
      <c r="R5140" s="184">
        <v>16163</v>
      </c>
      <c r="S5140">
        <v>80</v>
      </c>
      <c r="V5140" t="s">
        <v>3192</v>
      </c>
      <c r="W5140" t="s">
        <v>2316</v>
      </c>
      <c r="X5140" t="s">
        <v>4595</v>
      </c>
      <c r="AF5140" t="s">
        <v>36713</v>
      </c>
      <c r="AG5140" t="s">
        <v>3192</v>
      </c>
      <c r="AI5140" t="s">
        <v>36714</v>
      </c>
      <c r="AM5140" t="s">
        <v>36715</v>
      </c>
      <c r="AN5140" t="s">
        <v>2081</v>
      </c>
      <c r="AO5140" t="s">
        <v>36716</v>
      </c>
      <c r="AP5140" t="s">
        <v>7024</v>
      </c>
      <c r="AQ5140" t="s">
        <v>36717</v>
      </c>
      <c r="AT5140" s="184">
        <v>42950</v>
      </c>
      <c r="AU5140" t="s">
        <v>36718</v>
      </c>
      <c r="AV5140">
        <v>25</v>
      </c>
      <c r="AW5140" s="184">
        <v>45166</v>
      </c>
      <c r="AX5140" t="s">
        <v>36719</v>
      </c>
      <c r="AY5140">
        <v>75</v>
      </c>
      <c r="AZ5140" s="184">
        <v>45166</v>
      </c>
      <c r="BA5140" t="s">
        <v>36719</v>
      </c>
      <c r="BB5140">
        <v>75</v>
      </c>
      <c r="BC5140">
        <v>88</v>
      </c>
      <c r="BD5140">
        <v>480</v>
      </c>
      <c r="BE5140">
        <v>2018</v>
      </c>
      <c r="BF5140">
        <v>10</v>
      </c>
      <c r="BG5140">
        <v>1</v>
      </c>
      <c r="BH5140">
        <v>75</v>
      </c>
      <c r="BI5140">
        <v>7</v>
      </c>
      <c r="BJ5140">
        <v>8</v>
      </c>
      <c r="BK5140">
        <v>7</v>
      </c>
      <c r="BP5140" s="184"/>
    </row>
    <row r="5141" spans="1:68">
      <c r="A5141">
        <v>96948609</v>
      </c>
      <c r="B5141">
        <v>96948609</v>
      </c>
      <c r="C5141" t="s">
        <v>7018</v>
      </c>
      <c r="D5141" t="s">
        <v>595</v>
      </c>
      <c r="E5141" s="184">
        <v>44073</v>
      </c>
      <c r="G5141" s="184"/>
      <c r="I5141" s="184"/>
      <c r="K5141" s="184"/>
      <c r="M5141" s="184"/>
      <c r="O5141" s="184"/>
      <c r="P5141" t="s">
        <v>7045</v>
      </c>
      <c r="Q5141" t="s">
        <v>7383</v>
      </c>
      <c r="R5141" s="184">
        <v>22555</v>
      </c>
      <c r="S5141">
        <v>62</v>
      </c>
      <c r="V5141" t="s">
        <v>4210</v>
      </c>
      <c r="X5141" t="s">
        <v>9660</v>
      </c>
      <c r="AF5141" t="s">
        <v>36720</v>
      </c>
      <c r="AG5141" t="s">
        <v>4210</v>
      </c>
      <c r="AI5141" t="s">
        <v>36721</v>
      </c>
      <c r="AM5141" t="s">
        <v>3082</v>
      </c>
      <c r="AN5141" t="s">
        <v>2313</v>
      </c>
      <c r="AO5141" t="s">
        <v>36722</v>
      </c>
      <c r="AP5141" t="s">
        <v>7024</v>
      </c>
      <c r="AQ5141" t="s">
        <v>36723</v>
      </c>
      <c r="AR5141" t="s">
        <v>36724</v>
      </c>
      <c r="AT5141" s="184">
        <v>42951</v>
      </c>
      <c r="AU5141" t="s">
        <v>36725</v>
      </c>
      <c r="AV5141">
        <v>25</v>
      </c>
      <c r="AW5141" s="184">
        <v>45395</v>
      </c>
      <c r="AX5141" t="s">
        <v>36726</v>
      </c>
      <c r="AY5141">
        <v>105</v>
      </c>
      <c r="AZ5141" s="184">
        <v>45395</v>
      </c>
      <c r="BA5141" t="s">
        <v>36726</v>
      </c>
      <c r="BB5141">
        <v>105</v>
      </c>
      <c r="BC5141">
        <v>100</v>
      </c>
      <c r="BD5141">
        <v>867.5</v>
      </c>
      <c r="BE5141">
        <v>2018</v>
      </c>
      <c r="BF5141">
        <v>16</v>
      </c>
      <c r="BG5141">
        <v>5</v>
      </c>
      <c r="BH5141">
        <v>342.5</v>
      </c>
      <c r="BI5141">
        <v>8</v>
      </c>
      <c r="BJ5141">
        <v>8</v>
      </c>
      <c r="BK5141">
        <v>8</v>
      </c>
      <c r="BP5141" s="184"/>
    </row>
    <row r="5142" spans="1:68">
      <c r="A5142">
        <v>96974761</v>
      </c>
      <c r="B5142">
        <v>96974761</v>
      </c>
      <c r="C5142" t="s">
        <v>7018</v>
      </c>
      <c r="D5142" t="s">
        <v>595</v>
      </c>
      <c r="E5142" s="184">
        <v>45195</v>
      </c>
      <c r="G5142" s="184"/>
      <c r="I5142" s="184"/>
      <c r="K5142" s="184"/>
      <c r="M5142" s="184"/>
      <c r="O5142" s="184"/>
      <c r="P5142" t="s">
        <v>7045</v>
      </c>
      <c r="Q5142" t="s">
        <v>7374</v>
      </c>
      <c r="R5142" s="184">
        <v>18810</v>
      </c>
      <c r="S5142">
        <v>72</v>
      </c>
      <c r="V5142" t="s">
        <v>11458</v>
      </c>
      <c r="W5142" t="s">
        <v>4139</v>
      </c>
      <c r="X5142" t="s">
        <v>36727</v>
      </c>
      <c r="AF5142" t="s">
        <v>36728</v>
      </c>
      <c r="AG5142" t="s">
        <v>11458</v>
      </c>
      <c r="AI5142" t="s">
        <v>36729</v>
      </c>
      <c r="AM5142" t="s">
        <v>3526</v>
      </c>
      <c r="AN5142" t="s">
        <v>2081</v>
      </c>
      <c r="AO5142" t="s">
        <v>36730</v>
      </c>
      <c r="AP5142" t="s">
        <v>7024</v>
      </c>
      <c r="AQ5142" t="s">
        <v>36731</v>
      </c>
      <c r="AT5142" s="184">
        <v>42961</v>
      </c>
      <c r="AU5142" t="s">
        <v>36732</v>
      </c>
      <c r="AV5142">
        <v>15</v>
      </c>
      <c r="AW5142" s="184">
        <v>44263</v>
      </c>
      <c r="AX5142" t="s">
        <v>18780</v>
      </c>
      <c r="AY5142">
        <v>35</v>
      </c>
      <c r="AZ5142" s="184">
        <v>44263</v>
      </c>
      <c r="BA5142" t="s">
        <v>18780</v>
      </c>
      <c r="BB5142">
        <v>35</v>
      </c>
      <c r="BC5142">
        <v>50</v>
      </c>
      <c r="BD5142">
        <v>105</v>
      </c>
      <c r="BE5142">
        <v>2018</v>
      </c>
      <c r="BF5142">
        <v>4</v>
      </c>
      <c r="BI5142">
        <v>4</v>
      </c>
      <c r="BJ5142">
        <v>8</v>
      </c>
      <c r="BK5142">
        <v>3</v>
      </c>
      <c r="BP5142" s="184"/>
    </row>
    <row r="5143" spans="1:68">
      <c r="A5143">
        <v>97038046</v>
      </c>
      <c r="B5143">
        <v>97038046</v>
      </c>
      <c r="C5143" t="s">
        <v>7018</v>
      </c>
      <c r="D5143" t="s">
        <v>595</v>
      </c>
      <c r="E5143" s="184">
        <v>45148</v>
      </c>
      <c r="G5143" s="184"/>
      <c r="I5143" s="184"/>
      <c r="K5143" s="184"/>
      <c r="M5143" s="184"/>
      <c r="O5143" s="184"/>
      <c r="P5143" t="s">
        <v>7045</v>
      </c>
      <c r="Q5143" t="s">
        <v>7383</v>
      </c>
      <c r="R5143" s="184">
        <v>16125</v>
      </c>
      <c r="S5143">
        <v>80</v>
      </c>
      <c r="V5143" t="s">
        <v>4330</v>
      </c>
      <c r="X5143" t="s">
        <v>36733</v>
      </c>
      <c r="AF5143" t="s">
        <v>36734</v>
      </c>
      <c r="AG5143" t="s">
        <v>4330</v>
      </c>
      <c r="AI5143" t="s">
        <v>36735</v>
      </c>
      <c r="AM5143" t="s">
        <v>2888</v>
      </c>
      <c r="AN5143" t="s">
        <v>2274</v>
      </c>
      <c r="AO5143" t="s">
        <v>36736</v>
      </c>
      <c r="AP5143" t="s">
        <v>7024</v>
      </c>
      <c r="AQ5143" t="s">
        <v>36737</v>
      </c>
      <c r="AT5143" s="184">
        <v>42972</v>
      </c>
      <c r="AU5143" t="s">
        <v>36738</v>
      </c>
      <c r="AV5143">
        <v>50</v>
      </c>
      <c r="AW5143" s="184">
        <v>45058</v>
      </c>
      <c r="AX5143" t="s">
        <v>15006</v>
      </c>
      <c r="AY5143">
        <v>100</v>
      </c>
      <c r="AZ5143" s="184">
        <v>45058</v>
      </c>
      <c r="BA5143" t="s">
        <v>15006</v>
      </c>
      <c r="BB5143">
        <v>100</v>
      </c>
      <c r="BC5143">
        <v>88</v>
      </c>
      <c r="BD5143">
        <v>1000</v>
      </c>
      <c r="BE5143">
        <v>2018</v>
      </c>
      <c r="BF5143">
        <v>14</v>
      </c>
      <c r="BG5143">
        <v>3</v>
      </c>
      <c r="BH5143">
        <v>300</v>
      </c>
      <c r="BI5143">
        <v>7</v>
      </c>
      <c r="BJ5143">
        <v>8</v>
      </c>
      <c r="BK5143">
        <v>7</v>
      </c>
      <c r="BP5143" s="184"/>
    </row>
    <row r="5144" spans="1:68">
      <c r="A5144">
        <v>97044085</v>
      </c>
      <c r="B5144">
        <v>97044085</v>
      </c>
      <c r="C5144" t="s">
        <v>7018</v>
      </c>
      <c r="E5144" s="184"/>
      <c r="F5144" t="s">
        <v>595</v>
      </c>
      <c r="G5144" s="184">
        <v>44073</v>
      </c>
      <c r="I5144" s="184"/>
      <c r="K5144" s="184"/>
      <c r="M5144" s="184"/>
      <c r="O5144" s="184"/>
      <c r="P5144" t="s">
        <v>7045</v>
      </c>
      <c r="Q5144" t="s">
        <v>7383</v>
      </c>
      <c r="R5144" s="184">
        <v>15587</v>
      </c>
      <c r="S5144">
        <v>81</v>
      </c>
      <c r="V5144" t="s">
        <v>3692</v>
      </c>
      <c r="X5144" t="s">
        <v>3353</v>
      </c>
      <c r="AF5144" t="s">
        <v>36739</v>
      </c>
      <c r="AG5144" t="s">
        <v>3692</v>
      </c>
      <c r="AI5144" t="s">
        <v>36740</v>
      </c>
      <c r="AM5144" t="s">
        <v>36741</v>
      </c>
      <c r="AN5144" t="s">
        <v>2185</v>
      </c>
      <c r="AO5144" t="s">
        <v>36742</v>
      </c>
      <c r="AP5144" t="s">
        <v>7024</v>
      </c>
      <c r="AQ5144" t="s">
        <v>36743</v>
      </c>
      <c r="AT5144" s="184">
        <v>42975</v>
      </c>
      <c r="AU5144" t="s">
        <v>36744</v>
      </c>
      <c r="AV5144">
        <v>25</v>
      </c>
      <c r="AW5144" s="184">
        <v>43619</v>
      </c>
      <c r="AX5144" t="s">
        <v>36745</v>
      </c>
      <c r="AY5144">
        <v>25</v>
      </c>
      <c r="AZ5144" s="184">
        <v>43619</v>
      </c>
      <c r="BA5144" t="s">
        <v>36745</v>
      </c>
      <c r="BB5144">
        <v>25</v>
      </c>
      <c r="BC5144">
        <v>25</v>
      </c>
      <c r="BD5144">
        <v>50</v>
      </c>
      <c r="BE5144">
        <v>2018</v>
      </c>
      <c r="BF5144">
        <v>2</v>
      </c>
      <c r="BI5144">
        <v>2</v>
      </c>
      <c r="BJ5144">
        <v>8</v>
      </c>
      <c r="BK5144">
        <v>1</v>
      </c>
      <c r="BP5144" s="184"/>
    </row>
    <row r="5145" spans="1:68">
      <c r="A5145">
        <v>97045066</v>
      </c>
      <c r="B5145">
        <v>97045066</v>
      </c>
      <c r="C5145" t="s">
        <v>7018</v>
      </c>
      <c r="D5145" t="s">
        <v>595</v>
      </c>
      <c r="E5145" s="184">
        <v>45154</v>
      </c>
      <c r="G5145" s="184"/>
      <c r="I5145" s="184"/>
      <c r="K5145" s="184"/>
      <c r="M5145" s="184"/>
      <c r="P5145" t="s">
        <v>7045</v>
      </c>
      <c r="Q5145" t="s">
        <v>7383</v>
      </c>
      <c r="R5145" s="184">
        <v>20757</v>
      </c>
      <c r="S5145">
        <v>67</v>
      </c>
      <c r="V5145" t="s">
        <v>2665</v>
      </c>
      <c r="X5145" t="s">
        <v>36746</v>
      </c>
      <c r="AF5145" t="s">
        <v>36747</v>
      </c>
      <c r="AG5145" t="s">
        <v>2665</v>
      </c>
      <c r="AI5145" t="s">
        <v>36748</v>
      </c>
      <c r="AM5145" t="s">
        <v>3040</v>
      </c>
      <c r="AN5145" t="s">
        <v>2064</v>
      </c>
      <c r="AO5145" t="s">
        <v>36749</v>
      </c>
      <c r="AP5145" t="s">
        <v>7024</v>
      </c>
      <c r="AQ5145" t="s">
        <v>36750</v>
      </c>
      <c r="AT5145" s="184">
        <v>42975</v>
      </c>
      <c r="AU5145" t="s">
        <v>36744</v>
      </c>
      <c r="AV5145">
        <v>25</v>
      </c>
      <c r="AW5145" s="184">
        <v>45155</v>
      </c>
      <c r="AX5145" t="s">
        <v>10732</v>
      </c>
      <c r="AY5145">
        <v>35</v>
      </c>
      <c r="AZ5145" s="184">
        <v>45147</v>
      </c>
      <c r="BA5145" t="s">
        <v>17062</v>
      </c>
      <c r="BB5145">
        <v>40</v>
      </c>
      <c r="BC5145">
        <v>50</v>
      </c>
      <c r="BD5145">
        <v>150</v>
      </c>
      <c r="BE5145">
        <v>2018</v>
      </c>
      <c r="BF5145">
        <v>5</v>
      </c>
      <c r="BG5145">
        <v>3</v>
      </c>
      <c r="BH5145">
        <v>100</v>
      </c>
      <c r="BI5145">
        <v>4</v>
      </c>
      <c r="BJ5145">
        <v>8</v>
      </c>
      <c r="BK5145">
        <v>2</v>
      </c>
      <c r="BP5145" s="184"/>
    </row>
    <row r="5146" spans="1:68">
      <c r="A5146">
        <v>97058184</v>
      </c>
      <c r="B5146">
        <v>97058184</v>
      </c>
      <c r="C5146" t="s">
        <v>7018</v>
      </c>
      <c r="D5146" t="s">
        <v>595</v>
      </c>
      <c r="E5146" s="184">
        <v>45118</v>
      </c>
      <c r="G5146" s="184"/>
      <c r="I5146" s="184"/>
      <c r="K5146" s="184"/>
      <c r="M5146" s="184"/>
      <c r="P5146" t="s">
        <v>7045</v>
      </c>
      <c r="Q5146" t="s">
        <v>7383</v>
      </c>
      <c r="R5146" s="184">
        <v>21972</v>
      </c>
      <c r="S5146">
        <v>64</v>
      </c>
      <c r="V5146" t="s">
        <v>13505</v>
      </c>
      <c r="X5146" t="s">
        <v>36751</v>
      </c>
      <c r="AF5146" t="s">
        <v>36752</v>
      </c>
      <c r="AG5146" t="s">
        <v>13505</v>
      </c>
      <c r="AI5146" t="s">
        <v>36753</v>
      </c>
      <c r="AM5146" t="s">
        <v>27850</v>
      </c>
      <c r="AN5146" t="s">
        <v>2072</v>
      </c>
      <c r="AO5146" t="s">
        <v>36754</v>
      </c>
      <c r="AP5146" t="s">
        <v>7024</v>
      </c>
      <c r="AQ5146" t="s">
        <v>36755</v>
      </c>
      <c r="AT5146" s="184">
        <v>42977</v>
      </c>
      <c r="AU5146" t="s">
        <v>36756</v>
      </c>
      <c r="AV5146">
        <v>15</v>
      </c>
      <c r="AW5146" s="184">
        <v>44461</v>
      </c>
      <c r="AX5146" t="s">
        <v>8534</v>
      </c>
      <c r="AY5146">
        <v>20</v>
      </c>
      <c r="AZ5146" s="184">
        <v>44060</v>
      </c>
      <c r="BA5146" t="s">
        <v>36757</v>
      </c>
      <c r="BB5146">
        <v>25</v>
      </c>
      <c r="BC5146">
        <v>50</v>
      </c>
      <c r="BD5146">
        <v>100</v>
      </c>
      <c r="BE5146">
        <v>2018</v>
      </c>
      <c r="BF5146">
        <v>5</v>
      </c>
      <c r="BI5146">
        <v>4</v>
      </c>
      <c r="BJ5146">
        <v>8</v>
      </c>
      <c r="BK5146">
        <v>3</v>
      </c>
      <c r="BP5146" s="184"/>
    </row>
    <row r="5147" spans="1:68">
      <c r="A5147">
        <v>97075469</v>
      </c>
      <c r="B5147">
        <v>97075469</v>
      </c>
      <c r="C5147" t="s">
        <v>7018</v>
      </c>
      <c r="D5147" t="s">
        <v>595</v>
      </c>
      <c r="E5147" s="184">
        <v>44484</v>
      </c>
      <c r="G5147" s="184"/>
      <c r="I5147" s="184"/>
      <c r="K5147" s="184"/>
      <c r="M5147" s="184"/>
      <c r="P5147" t="s">
        <v>7045</v>
      </c>
      <c r="Q5147" t="s">
        <v>7160</v>
      </c>
      <c r="R5147" s="184">
        <v>17133</v>
      </c>
      <c r="S5147">
        <v>77</v>
      </c>
      <c r="V5147" t="s">
        <v>4257</v>
      </c>
      <c r="X5147" t="s">
        <v>5458</v>
      </c>
      <c r="AF5147" t="s">
        <v>36758</v>
      </c>
      <c r="AG5147" t="s">
        <v>4257</v>
      </c>
      <c r="AI5147" t="s">
        <v>36759</v>
      </c>
      <c r="AM5147" t="s">
        <v>32553</v>
      </c>
      <c r="AN5147" t="s">
        <v>2395</v>
      </c>
      <c r="AO5147" t="s">
        <v>36760</v>
      </c>
      <c r="AP5147" t="s">
        <v>7024</v>
      </c>
      <c r="AQ5147" t="s">
        <v>36761</v>
      </c>
      <c r="AT5147" s="184">
        <v>42983</v>
      </c>
      <c r="AU5147" t="s">
        <v>36762</v>
      </c>
      <c r="AV5147">
        <v>25</v>
      </c>
      <c r="AW5147" s="184">
        <v>44244</v>
      </c>
      <c r="AX5147" t="s">
        <v>36763</v>
      </c>
      <c r="AY5147">
        <v>50</v>
      </c>
      <c r="AZ5147" s="184">
        <v>44244</v>
      </c>
      <c r="BA5147" t="s">
        <v>36763</v>
      </c>
      <c r="BB5147">
        <v>50</v>
      </c>
      <c r="BC5147">
        <v>63</v>
      </c>
      <c r="BD5147">
        <v>285</v>
      </c>
      <c r="BE5147">
        <v>2018</v>
      </c>
      <c r="BF5147">
        <v>8</v>
      </c>
      <c r="BI5147">
        <v>5</v>
      </c>
      <c r="BJ5147">
        <v>8</v>
      </c>
      <c r="BK5147">
        <v>5</v>
      </c>
      <c r="BP5147" s="184"/>
    </row>
    <row r="5148" spans="1:68">
      <c r="A5148">
        <v>97093561</v>
      </c>
      <c r="B5148">
        <v>97093561</v>
      </c>
      <c r="C5148" t="s">
        <v>7018</v>
      </c>
      <c r="D5148" t="s">
        <v>595</v>
      </c>
      <c r="E5148" s="184">
        <v>44438</v>
      </c>
      <c r="G5148" s="184"/>
      <c r="I5148" s="184"/>
      <c r="K5148" s="184"/>
      <c r="M5148" s="184"/>
      <c r="O5148" s="184"/>
      <c r="P5148" t="s">
        <v>7045</v>
      </c>
      <c r="Q5148" t="s">
        <v>7262</v>
      </c>
      <c r="R5148" s="184">
        <v>13600</v>
      </c>
      <c r="S5148">
        <v>87</v>
      </c>
      <c r="U5148" t="s">
        <v>7031</v>
      </c>
      <c r="V5148" t="s">
        <v>2511</v>
      </c>
      <c r="W5148" t="s">
        <v>7963</v>
      </c>
      <c r="X5148" t="s">
        <v>36764</v>
      </c>
      <c r="Z5148">
        <v>100169887</v>
      </c>
      <c r="AA5148" t="s">
        <v>7076</v>
      </c>
      <c r="AB5148" t="s">
        <v>36765</v>
      </c>
      <c r="AC5148" t="s">
        <v>2049</v>
      </c>
      <c r="AD5148" t="s">
        <v>2740</v>
      </c>
      <c r="AF5148" t="s">
        <v>36766</v>
      </c>
      <c r="AG5148" t="s">
        <v>36767</v>
      </c>
      <c r="AI5148" t="s">
        <v>36768</v>
      </c>
      <c r="AM5148" t="s">
        <v>4814</v>
      </c>
      <c r="AN5148" t="s">
        <v>65</v>
      </c>
      <c r="AO5148" t="s">
        <v>36769</v>
      </c>
      <c r="AP5148" t="s">
        <v>7024</v>
      </c>
      <c r="AQ5148" t="s">
        <v>36770</v>
      </c>
      <c r="AT5148" s="184">
        <v>42268</v>
      </c>
      <c r="AU5148" t="s">
        <v>36771</v>
      </c>
      <c r="AV5148">
        <v>25</v>
      </c>
      <c r="AW5148" s="184">
        <v>45069</v>
      </c>
      <c r="AX5148" t="s">
        <v>31574</v>
      </c>
      <c r="AY5148">
        <v>150</v>
      </c>
      <c r="AZ5148" s="184">
        <v>45069</v>
      </c>
      <c r="BA5148" t="s">
        <v>31574</v>
      </c>
      <c r="BB5148">
        <v>150</v>
      </c>
      <c r="BC5148">
        <v>70</v>
      </c>
      <c r="BD5148">
        <v>775</v>
      </c>
      <c r="BE5148">
        <v>2016</v>
      </c>
      <c r="BF5148">
        <v>10</v>
      </c>
      <c r="BG5148">
        <v>3</v>
      </c>
      <c r="BH5148">
        <v>350</v>
      </c>
      <c r="BI5148">
        <v>7</v>
      </c>
      <c r="BJ5148">
        <v>10</v>
      </c>
      <c r="BK5148">
        <v>5</v>
      </c>
      <c r="BN5148" t="s">
        <v>595</v>
      </c>
      <c r="BP5148" s="184"/>
    </row>
    <row r="5149" spans="1:68">
      <c r="A5149">
        <v>100169887</v>
      </c>
      <c r="B5149">
        <v>97093561</v>
      </c>
      <c r="C5149" t="s">
        <v>7018</v>
      </c>
      <c r="D5149" t="s">
        <v>595</v>
      </c>
      <c r="E5149" s="184">
        <v>44438</v>
      </c>
      <c r="G5149" s="184"/>
      <c r="I5149" s="184"/>
      <c r="K5149" s="184"/>
      <c r="M5149" s="184"/>
      <c r="P5149" t="s">
        <v>7045</v>
      </c>
      <c r="Q5149" t="s">
        <v>7262</v>
      </c>
      <c r="R5149" s="184">
        <v>14807</v>
      </c>
      <c r="S5149">
        <v>83</v>
      </c>
      <c r="U5149" t="s">
        <v>7076</v>
      </c>
      <c r="V5149" t="s">
        <v>36765</v>
      </c>
      <c r="W5149" t="s">
        <v>2049</v>
      </c>
      <c r="X5149" t="s">
        <v>2740</v>
      </c>
      <c r="Z5149">
        <v>97093561</v>
      </c>
      <c r="AA5149" t="s">
        <v>7031</v>
      </c>
      <c r="AB5149" t="s">
        <v>2511</v>
      </c>
      <c r="AC5149" t="s">
        <v>7963</v>
      </c>
      <c r="AD5149" t="s">
        <v>36764</v>
      </c>
      <c r="AF5149" t="s">
        <v>36766</v>
      </c>
      <c r="AG5149" t="s">
        <v>36767</v>
      </c>
      <c r="AI5149" t="s">
        <v>36768</v>
      </c>
      <c r="AM5149" t="s">
        <v>4814</v>
      </c>
      <c r="AN5149" t="s">
        <v>65</v>
      </c>
      <c r="AO5149" t="s">
        <v>36769</v>
      </c>
      <c r="AP5149" t="s">
        <v>7024</v>
      </c>
      <c r="AQ5149" t="s">
        <v>36772</v>
      </c>
      <c r="AT5149" s="184"/>
      <c r="AW5149" s="184"/>
      <c r="AZ5149" s="184"/>
      <c r="BP5149" s="184"/>
    </row>
    <row r="5150" spans="1:68">
      <c r="A5150">
        <v>97104707</v>
      </c>
      <c r="B5150">
        <v>97104707</v>
      </c>
      <c r="C5150" t="s">
        <v>7018</v>
      </c>
      <c r="E5150" s="184"/>
      <c r="F5150" t="s">
        <v>595</v>
      </c>
      <c r="G5150" s="184">
        <v>45113</v>
      </c>
      <c r="I5150" s="184"/>
      <c r="J5150" t="s">
        <v>595</v>
      </c>
      <c r="K5150" s="184">
        <v>45124</v>
      </c>
      <c r="M5150" s="184"/>
      <c r="O5150" s="184"/>
      <c r="P5150" t="s">
        <v>7045</v>
      </c>
      <c r="Q5150" t="s">
        <v>7262</v>
      </c>
      <c r="R5150" s="184">
        <v>19906</v>
      </c>
      <c r="S5150">
        <v>69</v>
      </c>
      <c r="V5150" t="s">
        <v>36773</v>
      </c>
      <c r="X5150" t="s">
        <v>36774</v>
      </c>
      <c r="AF5150" t="s">
        <v>36775</v>
      </c>
      <c r="AG5150" t="s">
        <v>36773</v>
      </c>
      <c r="AI5150" t="s">
        <v>36776</v>
      </c>
      <c r="AM5150" t="s">
        <v>2616</v>
      </c>
      <c r="AN5150" t="s">
        <v>2069</v>
      </c>
      <c r="AO5150" t="s">
        <v>36777</v>
      </c>
      <c r="AP5150" t="s">
        <v>7024</v>
      </c>
      <c r="AQ5150" t="s">
        <v>36778</v>
      </c>
      <c r="AR5150" t="s">
        <v>36779</v>
      </c>
      <c r="AT5150" s="184">
        <v>42992</v>
      </c>
      <c r="AU5150" t="s">
        <v>36780</v>
      </c>
      <c r="AV5150">
        <v>50</v>
      </c>
      <c r="AW5150" s="184">
        <v>45267</v>
      </c>
      <c r="AX5150" t="s">
        <v>16902</v>
      </c>
      <c r="AY5150">
        <v>50</v>
      </c>
      <c r="AZ5150" s="184">
        <v>43762</v>
      </c>
      <c r="BA5150" t="s">
        <v>36781</v>
      </c>
      <c r="BB5150">
        <v>100</v>
      </c>
      <c r="BC5150">
        <v>88</v>
      </c>
      <c r="BD5150">
        <v>600</v>
      </c>
      <c r="BE5150">
        <v>2018</v>
      </c>
      <c r="BF5150">
        <v>10</v>
      </c>
      <c r="BG5150">
        <v>3</v>
      </c>
      <c r="BH5150">
        <v>150</v>
      </c>
      <c r="BI5150">
        <v>7</v>
      </c>
      <c r="BJ5150">
        <v>8</v>
      </c>
      <c r="BK5150">
        <v>7</v>
      </c>
      <c r="BP5150" s="184"/>
    </row>
    <row r="5151" spans="1:68">
      <c r="A5151">
        <v>97106975</v>
      </c>
      <c r="B5151">
        <v>97106975</v>
      </c>
      <c r="C5151" t="s">
        <v>7018</v>
      </c>
      <c r="D5151" t="s">
        <v>595</v>
      </c>
      <c r="E5151" s="184">
        <v>44441</v>
      </c>
      <c r="G5151" s="184"/>
      <c r="I5151" s="184"/>
      <c r="K5151" s="184"/>
      <c r="M5151" s="184"/>
      <c r="O5151" s="184"/>
      <c r="P5151" t="s">
        <v>7045</v>
      </c>
      <c r="Q5151" t="s">
        <v>7383</v>
      </c>
      <c r="R5151" s="184">
        <v>20149</v>
      </c>
      <c r="S5151">
        <v>69</v>
      </c>
      <c r="U5151" t="s">
        <v>7076</v>
      </c>
      <c r="V5151" t="s">
        <v>7446</v>
      </c>
      <c r="X5151" t="s">
        <v>36782</v>
      </c>
      <c r="AF5151" t="s">
        <v>36783</v>
      </c>
      <c r="AG5151" t="s">
        <v>7446</v>
      </c>
      <c r="AI5151" t="s">
        <v>36784</v>
      </c>
      <c r="AM5151" t="s">
        <v>36785</v>
      </c>
      <c r="AN5151" t="s">
        <v>2274</v>
      </c>
      <c r="AO5151" t="s">
        <v>36786</v>
      </c>
      <c r="AP5151" t="s">
        <v>7024</v>
      </c>
      <c r="AQ5151" t="s">
        <v>36787</v>
      </c>
      <c r="AT5151" s="184">
        <v>42996</v>
      </c>
      <c r="AU5151" t="s">
        <v>17745</v>
      </c>
      <c r="AV5151">
        <v>25</v>
      </c>
      <c r="AW5151" s="184">
        <v>45195</v>
      </c>
      <c r="AX5151" t="s">
        <v>15167</v>
      </c>
      <c r="AY5151">
        <v>50</v>
      </c>
      <c r="AZ5151" s="184">
        <v>44460</v>
      </c>
      <c r="BA5151" t="s">
        <v>36788</v>
      </c>
      <c r="BB5151">
        <v>75</v>
      </c>
      <c r="BC5151">
        <v>88</v>
      </c>
      <c r="BD5151">
        <v>760</v>
      </c>
      <c r="BE5151">
        <v>2018</v>
      </c>
      <c r="BF5151">
        <v>16</v>
      </c>
      <c r="BG5151">
        <v>3</v>
      </c>
      <c r="BH5151">
        <v>150</v>
      </c>
      <c r="BI5151">
        <v>7</v>
      </c>
      <c r="BJ5151">
        <v>8</v>
      </c>
      <c r="BK5151">
        <v>7</v>
      </c>
      <c r="BP5151" s="184"/>
    </row>
    <row r="5152" spans="1:68">
      <c r="A5152">
        <v>97113765</v>
      </c>
      <c r="B5152">
        <v>97113765</v>
      </c>
      <c r="C5152" t="s">
        <v>7018</v>
      </c>
      <c r="D5152" t="s">
        <v>595</v>
      </c>
      <c r="E5152" s="184">
        <v>45120</v>
      </c>
      <c r="G5152" s="184"/>
      <c r="I5152" s="184"/>
      <c r="K5152" s="184"/>
      <c r="O5152" s="184"/>
      <c r="P5152" t="s">
        <v>7045</v>
      </c>
      <c r="Q5152" t="s">
        <v>7020</v>
      </c>
      <c r="R5152" s="184">
        <v>16772</v>
      </c>
      <c r="S5152">
        <v>78</v>
      </c>
      <c r="V5152" t="s">
        <v>7341</v>
      </c>
      <c r="W5152" t="s">
        <v>115</v>
      </c>
      <c r="X5152" t="s">
        <v>36789</v>
      </c>
      <c r="AF5152" t="s">
        <v>36790</v>
      </c>
      <c r="AG5152" t="s">
        <v>7341</v>
      </c>
      <c r="AI5152" t="s">
        <v>36791</v>
      </c>
      <c r="AM5152" t="s">
        <v>3441</v>
      </c>
      <c r="AN5152" t="s">
        <v>2255</v>
      </c>
      <c r="AO5152" t="s">
        <v>36792</v>
      </c>
      <c r="AP5152" t="s">
        <v>7024</v>
      </c>
      <c r="AQ5152" t="s">
        <v>36793</v>
      </c>
      <c r="AT5152" s="184">
        <v>42996</v>
      </c>
      <c r="AU5152" t="s">
        <v>36794</v>
      </c>
      <c r="AV5152">
        <v>25</v>
      </c>
      <c r="AW5152" s="184">
        <v>45372</v>
      </c>
      <c r="AX5152" t="s">
        <v>10915</v>
      </c>
      <c r="AY5152">
        <v>35</v>
      </c>
      <c r="AZ5152" s="184">
        <v>44056</v>
      </c>
      <c r="BA5152" t="s">
        <v>10303</v>
      </c>
      <c r="BB5152">
        <v>87</v>
      </c>
      <c r="BC5152">
        <v>100</v>
      </c>
      <c r="BD5152">
        <v>423.25</v>
      </c>
      <c r="BE5152">
        <v>2018</v>
      </c>
      <c r="BF5152">
        <v>12</v>
      </c>
      <c r="BG5152">
        <v>4</v>
      </c>
      <c r="BH5152">
        <v>111.25</v>
      </c>
      <c r="BI5152">
        <v>8</v>
      </c>
      <c r="BJ5152">
        <v>8</v>
      </c>
      <c r="BK5152">
        <v>8</v>
      </c>
      <c r="BP5152" s="184"/>
    </row>
    <row r="5153" spans="1:68">
      <c r="A5153">
        <v>97120356</v>
      </c>
      <c r="B5153">
        <v>97120356</v>
      </c>
      <c r="C5153" t="s">
        <v>7018</v>
      </c>
      <c r="E5153" s="184"/>
      <c r="G5153" s="184"/>
      <c r="I5153" s="184"/>
      <c r="K5153" s="184"/>
      <c r="L5153" t="s">
        <v>595</v>
      </c>
      <c r="M5153" s="184">
        <v>44392</v>
      </c>
      <c r="O5153" s="184"/>
      <c r="P5153" t="s">
        <v>7029</v>
      </c>
      <c r="Q5153" t="s">
        <v>7262</v>
      </c>
      <c r="R5153" s="184">
        <v>17777</v>
      </c>
      <c r="S5153">
        <v>75</v>
      </c>
      <c r="V5153" t="s">
        <v>2586</v>
      </c>
      <c r="W5153" t="s">
        <v>4023</v>
      </c>
      <c r="X5153" t="s">
        <v>3160</v>
      </c>
      <c r="AF5153" t="s">
        <v>36795</v>
      </c>
      <c r="AG5153" t="s">
        <v>2586</v>
      </c>
      <c r="AI5153" t="s">
        <v>36796</v>
      </c>
      <c r="AM5153" t="s">
        <v>4351</v>
      </c>
      <c r="AN5153" t="s">
        <v>2069</v>
      </c>
      <c r="AO5153" t="s">
        <v>36797</v>
      </c>
      <c r="AP5153" t="s">
        <v>7024</v>
      </c>
      <c r="AQ5153" t="s">
        <v>36798</v>
      </c>
      <c r="AR5153" t="s">
        <v>36799</v>
      </c>
      <c r="AT5153" s="184">
        <v>42997</v>
      </c>
      <c r="AU5153" t="s">
        <v>36800</v>
      </c>
      <c r="AV5153">
        <v>50</v>
      </c>
      <c r="AW5153" s="184">
        <v>45105</v>
      </c>
      <c r="AX5153" t="s">
        <v>26697</v>
      </c>
      <c r="AY5153">
        <v>1000</v>
      </c>
      <c r="AZ5153" s="184">
        <v>45105</v>
      </c>
      <c r="BA5153" t="s">
        <v>26697</v>
      </c>
      <c r="BB5153">
        <v>1000</v>
      </c>
      <c r="BC5153">
        <v>88</v>
      </c>
      <c r="BD5153">
        <v>3625</v>
      </c>
      <c r="BE5153">
        <v>2018</v>
      </c>
      <c r="BF5153">
        <v>19</v>
      </c>
      <c r="BG5153">
        <v>3</v>
      </c>
      <c r="BH5153">
        <v>2000</v>
      </c>
      <c r="BI5153">
        <v>7</v>
      </c>
      <c r="BJ5153">
        <v>8</v>
      </c>
      <c r="BK5153">
        <v>7</v>
      </c>
      <c r="BP5153" s="184"/>
    </row>
    <row r="5154" spans="1:68">
      <c r="A5154">
        <v>97164370</v>
      </c>
      <c r="B5154">
        <v>97164370</v>
      </c>
      <c r="C5154" t="s">
        <v>7018</v>
      </c>
      <c r="D5154" t="s">
        <v>595</v>
      </c>
      <c r="E5154" s="184">
        <v>44455</v>
      </c>
      <c r="G5154" s="184"/>
      <c r="I5154" s="184"/>
      <c r="K5154" s="184"/>
      <c r="M5154" s="184"/>
      <c r="O5154" s="184"/>
      <c r="P5154" t="s">
        <v>7045</v>
      </c>
      <c r="Q5154" t="s">
        <v>7020</v>
      </c>
      <c r="R5154" s="184">
        <v>17380</v>
      </c>
      <c r="S5154">
        <v>76</v>
      </c>
      <c r="V5154" t="s">
        <v>3246</v>
      </c>
      <c r="X5154" t="s">
        <v>36801</v>
      </c>
      <c r="Z5154">
        <v>100170051</v>
      </c>
      <c r="AB5154" t="s">
        <v>2882</v>
      </c>
      <c r="AD5154" t="s">
        <v>36801</v>
      </c>
      <c r="AF5154" t="s">
        <v>36802</v>
      </c>
      <c r="AG5154" t="s">
        <v>36803</v>
      </c>
      <c r="AI5154" t="s">
        <v>36804</v>
      </c>
      <c r="AM5154" t="s">
        <v>36805</v>
      </c>
      <c r="AN5154" t="s">
        <v>2129</v>
      </c>
      <c r="AO5154" t="s">
        <v>36806</v>
      </c>
      <c r="AP5154" t="s">
        <v>7024</v>
      </c>
      <c r="AQ5154" t="s">
        <v>36807</v>
      </c>
      <c r="AT5154" s="184">
        <v>43005</v>
      </c>
      <c r="AU5154" t="s">
        <v>36808</v>
      </c>
      <c r="AV5154">
        <v>25</v>
      </c>
      <c r="AW5154" s="184">
        <v>45376</v>
      </c>
      <c r="AX5154" t="s">
        <v>18490</v>
      </c>
      <c r="AY5154">
        <v>25</v>
      </c>
      <c r="AZ5154" s="184">
        <v>45189</v>
      </c>
      <c r="BA5154" t="s">
        <v>29305</v>
      </c>
      <c r="BB5154">
        <v>50</v>
      </c>
      <c r="BC5154">
        <v>100</v>
      </c>
      <c r="BD5154">
        <v>750</v>
      </c>
      <c r="BE5154">
        <v>2018</v>
      </c>
      <c r="BF5154">
        <v>27</v>
      </c>
      <c r="BG5154">
        <v>10</v>
      </c>
      <c r="BH5154">
        <v>325</v>
      </c>
      <c r="BI5154">
        <v>8</v>
      </c>
      <c r="BJ5154">
        <v>8</v>
      </c>
      <c r="BK5154">
        <v>8</v>
      </c>
      <c r="BP5154" s="184"/>
    </row>
    <row r="5155" spans="1:68">
      <c r="A5155">
        <v>100170051</v>
      </c>
      <c r="B5155">
        <v>97164370</v>
      </c>
      <c r="C5155" t="s">
        <v>7018</v>
      </c>
      <c r="D5155" t="s">
        <v>595</v>
      </c>
      <c r="E5155" s="184">
        <v>44455</v>
      </c>
      <c r="G5155" s="184"/>
      <c r="I5155" s="184"/>
      <c r="K5155" s="184"/>
      <c r="M5155" s="184"/>
      <c r="O5155" s="184"/>
      <c r="P5155" t="s">
        <v>7045</v>
      </c>
      <c r="Q5155" t="s">
        <v>7020</v>
      </c>
      <c r="R5155" s="184">
        <v>19541</v>
      </c>
      <c r="S5155">
        <v>70</v>
      </c>
      <c r="V5155" t="s">
        <v>2882</v>
      </c>
      <c r="X5155" t="s">
        <v>36801</v>
      </c>
      <c r="Z5155">
        <v>97164370</v>
      </c>
      <c r="AB5155" t="s">
        <v>3246</v>
      </c>
      <c r="AD5155" t="s">
        <v>36801</v>
      </c>
      <c r="AF5155" t="s">
        <v>36802</v>
      </c>
      <c r="AG5155" t="s">
        <v>36803</v>
      </c>
      <c r="AI5155" t="s">
        <v>36804</v>
      </c>
      <c r="AM5155" t="s">
        <v>36805</v>
      </c>
      <c r="AN5155" t="s">
        <v>2129</v>
      </c>
      <c r="AO5155" t="s">
        <v>36806</v>
      </c>
      <c r="AP5155" t="s">
        <v>7024</v>
      </c>
      <c r="AT5155" s="184"/>
      <c r="AW5155" s="184"/>
      <c r="AZ5155" s="184"/>
      <c r="BP5155" s="184"/>
    </row>
    <row r="5156" spans="1:68">
      <c r="A5156">
        <v>97185722</v>
      </c>
      <c r="B5156">
        <v>97185722</v>
      </c>
      <c r="C5156" t="s">
        <v>7018</v>
      </c>
      <c r="D5156" t="s">
        <v>595</v>
      </c>
      <c r="E5156" s="184">
        <v>45181</v>
      </c>
      <c r="G5156" s="184"/>
      <c r="I5156" s="184"/>
      <c r="K5156" s="184"/>
      <c r="M5156" s="184"/>
      <c r="O5156" s="184"/>
      <c r="P5156" t="s">
        <v>7045</v>
      </c>
      <c r="Q5156" t="s">
        <v>7774</v>
      </c>
      <c r="R5156" s="184">
        <v>20807</v>
      </c>
      <c r="S5156">
        <v>67</v>
      </c>
      <c r="U5156" t="s">
        <v>7076</v>
      </c>
      <c r="V5156" t="s">
        <v>5144</v>
      </c>
      <c r="X5156" t="s">
        <v>36809</v>
      </c>
      <c r="AF5156" t="s">
        <v>36810</v>
      </c>
      <c r="AG5156" t="s">
        <v>5144</v>
      </c>
      <c r="AI5156" t="s">
        <v>36811</v>
      </c>
      <c r="AM5156" t="s">
        <v>3388</v>
      </c>
      <c r="AN5156" t="s">
        <v>2290</v>
      </c>
      <c r="AO5156" t="s">
        <v>36812</v>
      </c>
      <c r="AP5156" t="s">
        <v>7024</v>
      </c>
      <c r="AQ5156" t="s">
        <v>36813</v>
      </c>
      <c r="AT5156" s="184">
        <v>43010</v>
      </c>
      <c r="AU5156" t="s">
        <v>15013</v>
      </c>
      <c r="AV5156">
        <v>25</v>
      </c>
      <c r="AW5156" s="184">
        <v>45258</v>
      </c>
      <c r="AX5156" t="s">
        <v>8836</v>
      </c>
      <c r="AY5156">
        <v>100</v>
      </c>
      <c r="AZ5156" s="184">
        <v>45089</v>
      </c>
      <c r="BA5156" t="s">
        <v>17239</v>
      </c>
      <c r="BB5156">
        <v>125</v>
      </c>
      <c r="BC5156">
        <v>75</v>
      </c>
      <c r="BD5156">
        <v>750</v>
      </c>
      <c r="BE5156">
        <v>2018</v>
      </c>
      <c r="BF5156">
        <v>8</v>
      </c>
      <c r="BG5156">
        <v>4</v>
      </c>
      <c r="BH5156">
        <v>450</v>
      </c>
      <c r="BI5156">
        <v>6</v>
      </c>
      <c r="BJ5156">
        <v>8</v>
      </c>
      <c r="BK5156">
        <v>4</v>
      </c>
      <c r="BP5156" s="184"/>
    </row>
    <row r="5157" spans="1:68">
      <c r="A5157">
        <v>97196380</v>
      </c>
      <c r="B5157">
        <v>97196380</v>
      </c>
      <c r="C5157" t="s">
        <v>7018</v>
      </c>
      <c r="D5157" t="s">
        <v>595</v>
      </c>
      <c r="E5157" s="184">
        <v>45140</v>
      </c>
      <c r="G5157" s="184"/>
      <c r="I5157" s="184"/>
      <c r="K5157" s="184"/>
      <c r="M5157" s="184"/>
      <c r="P5157" t="s">
        <v>7045</v>
      </c>
      <c r="Q5157" t="s">
        <v>7383</v>
      </c>
      <c r="R5157" s="184">
        <v>25538</v>
      </c>
      <c r="S5157">
        <v>54</v>
      </c>
      <c r="V5157" t="s">
        <v>33761</v>
      </c>
      <c r="X5157" t="s">
        <v>36814</v>
      </c>
      <c r="AF5157" t="s">
        <v>36815</v>
      </c>
      <c r="AG5157" t="s">
        <v>33761</v>
      </c>
      <c r="AI5157" t="s">
        <v>36816</v>
      </c>
      <c r="AM5157" t="s">
        <v>15826</v>
      </c>
      <c r="AN5157" t="s">
        <v>2313</v>
      </c>
      <c r="AO5157" t="s">
        <v>36817</v>
      </c>
      <c r="AP5157" t="s">
        <v>7024</v>
      </c>
      <c r="AQ5157" t="s">
        <v>36818</v>
      </c>
      <c r="AT5157" s="184">
        <v>43007</v>
      </c>
      <c r="AU5157" t="s">
        <v>36819</v>
      </c>
      <c r="AV5157">
        <v>19.97</v>
      </c>
      <c r="AW5157" s="184">
        <v>45258</v>
      </c>
      <c r="AX5157" t="s">
        <v>8896</v>
      </c>
      <c r="AY5157">
        <v>25</v>
      </c>
      <c r="AZ5157" s="184">
        <v>43375</v>
      </c>
      <c r="BA5157" t="s">
        <v>36820</v>
      </c>
      <c r="BB5157">
        <v>60</v>
      </c>
      <c r="BC5157">
        <v>75</v>
      </c>
      <c r="BD5157">
        <v>359.94</v>
      </c>
      <c r="BE5157">
        <v>2018</v>
      </c>
      <c r="BF5157">
        <v>11</v>
      </c>
      <c r="BG5157">
        <v>5</v>
      </c>
      <c r="BH5157">
        <v>130</v>
      </c>
      <c r="BI5157">
        <v>6</v>
      </c>
      <c r="BJ5157">
        <v>8</v>
      </c>
      <c r="BK5157">
        <v>3</v>
      </c>
      <c r="BP5157" s="184"/>
    </row>
    <row r="5158" spans="1:68">
      <c r="A5158">
        <v>97209654</v>
      </c>
      <c r="B5158">
        <v>97209654</v>
      </c>
      <c r="C5158" t="s">
        <v>7018</v>
      </c>
      <c r="D5158" t="s">
        <v>595</v>
      </c>
      <c r="E5158" s="184">
        <v>45195</v>
      </c>
      <c r="G5158" s="184"/>
      <c r="I5158" s="184"/>
      <c r="K5158" s="184"/>
      <c r="P5158" t="s">
        <v>7019</v>
      </c>
      <c r="Q5158" t="s">
        <v>7774</v>
      </c>
      <c r="R5158" s="184">
        <v>19025</v>
      </c>
      <c r="S5158">
        <v>72</v>
      </c>
      <c r="V5158" t="s">
        <v>36821</v>
      </c>
      <c r="X5158" t="s">
        <v>24212</v>
      </c>
      <c r="AF5158" t="s">
        <v>36822</v>
      </c>
      <c r="AG5158" t="s">
        <v>36821</v>
      </c>
      <c r="AI5158" t="s">
        <v>36823</v>
      </c>
      <c r="AM5158" t="s">
        <v>3388</v>
      </c>
      <c r="AN5158" t="s">
        <v>2290</v>
      </c>
      <c r="AO5158" t="s">
        <v>36824</v>
      </c>
      <c r="AP5158" t="s">
        <v>7024</v>
      </c>
      <c r="AQ5158" t="s">
        <v>36825</v>
      </c>
      <c r="AT5158" s="184">
        <v>43014</v>
      </c>
      <c r="AU5158" t="s">
        <v>36826</v>
      </c>
      <c r="AV5158">
        <v>25</v>
      </c>
      <c r="AW5158" s="184">
        <v>44491</v>
      </c>
      <c r="AX5158" t="s">
        <v>20551</v>
      </c>
      <c r="AY5158">
        <v>87</v>
      </c>
      <c r="AZ5158" s="184">
        <v>44491</v>
      </c>
      <c r="BA5158" t="s">
        <v>20551</v>
      </c>
      <c r="BB5158">
        <v>87</v>
      </c>
      <c r="BC5158">
        <v>63</v>
      </c>
      <c r="BD5158">
        <v>267</v>
      </c>
      <c r="BE5158">
        <v>2018</v>
      </c>
      <c r="BF5158">
        <v>7</v>
      </c>
      <c r="BI5158">
        <v>5</v>
      </c>
      <c r="BJ5158">
        <v>8</v>
      </c>
      <c r="BK5158">
        <v>5</v>
      </c>
      <c r="BP5158" s="184"/>
    </row>
    <row r="5159" spans="1:68">
      <c r="A5159">
        <v>97211130</v>
      </c>
      <c r="B5159">
        <v>97211130</v>
      </c>
      <c r="C5159" t="s">
        <v>7018</v>
      </c>
      <c r="D5159" t="s">
        <v>595</v>
      </c>
      <c r="E5159" s="184">
        <v>44104</v>
      </c>
      <c r="G5159" s="184"/>
      <c r="I5159" s="184"/>
      <c r="K5159" s="184"/>
      <c r="O5159" s="184"/>
      <c r="P5159" t="s">
        <v>7045</v>
      </c>
      <c r="Q5159" t="s">
        <v>7020</v>
      </c>
      <c r="R5159" s="184">
        <v>19935</v>
      </c>
      <c r="S5159">
        <v>69</v>
      </c>
      <c r="U5159" t="s">
        <v>7031</v>
      </c>
      <c r="V5159" t="s">
        <v>3103</v>
      </c>
      <c r="W5159" t="s">
        <v>2511</v>
      </c>
      <c r="X5159" t="s">
        <v>3229</v>
      </c>
      <c r="AF5159" t="s">
        <v>36827</v>
      </c>
      <c r="AG5159" t="s">
        <v>3103</v>
      </c>
      <c r="AI5159" t="s">
        <v>36828</v>
      </c>
      <c r="AM5159" t="s">
        <v>12484</v>
      </c>
      <c r="AN5159" t="s">
        <v>2052</v>
      </c>
      <c r="AO5159" t="s">
        <v>36829</v>
      </c>
      <c r="AP5159" t="s">
        <v>7024</v>
      </c>
      <c r="AQ5159" t="s">
        <v>36830</v>
      </c>
      <c r="AR5159" t="s">
        <v>36831</v>
      </c>
      <c r="AT5159" s="184">
        <v>43018</v>
      </c>
      <c r="AU5159" t="s">
        <v>36832</v>
      </c>
      <c r="AV5159">
        <v>15</v>
      </c>
      <c r="AW5159" s="184">
        <v>45351</v>
      </c>
      <c r="AX5159" t="s">
        <v>9585</v>
      </c>
      <c r="AY5159">
        <v>25</v>
      </c>
      <c r="AZ5159" s="184">
        <v>45351</v>
      </c>
      <c r="BA5159" t="s">
        <v>9585</v>
      </c>
      <c r="BB5159">
        <v>25</v>
      </c>
      <c r="BC5159">
        <v>88</v>
      </c>
      <c r="BD5159">
        <v>165</v>
      </c>
      <c r="BE5159">
        <v>2018</v>
      </c>
      <c r="BF5159">
        <v>7</v>
      </c>
      <c r="BG5159">
        <v>2</v>
      </c>
      <c r="BH5159">
        <v>50</v>
      </c>
      <c r="BI5159">
        <v>7</v>
      </c>
      <c r="BJ5159">
        <v>8</v>
      </c>
      <c r="BK5159">
        <v>6</v>
      </c>
      <c r="BP5159" s="184"/>
    </row>
    <row r="5160" spans="1:68">
      <c r="A5160">
        <v>97215834</v>
      </c>
      <c r="B5160">
        <v>97215834</v>
      </c>
      <c r="C5160" t="s">
        <v>7018</v>
      </c>
      <c r="D5160" t="s">
        <v>595</v>
      </c>
      <c r="E5160" s="184">
        <v>45204</v>
      </c>
      <c r="G5160" s="184"/>
      <c r="I5160" s="184"/>
      <c r="K5160" s="184"/>
      <c r="O5160" s="184"/>
      <c r="P5160" t="s">
        <v>7045</v>
      </c>
      <c r="Q5160" t="s">
        <v>7020</v>
      </c>
      <c r="R5160" s="184">
        <v>23743</v>
      </c>
      <c r="S5160">
        <v>59</v>
      </c>
      <c r="V5160" t="s">
        <v>2775</v>
      </c>
      <c r="W5160" t="s">
        <v>4139</v>
      </c>
      <c r="X5160" t="s">
        <v>36833</v>
      </c>
      <c r="AF5160" t="s">
        <v>36834</v>
      </c>
      <c r="AG5160" t="s">
        <v>2775</v>
      </c>
      <c r="AI5160" t="s">
        <v>36835</v>
      </c>
      <c r="AM5160" t="s">
        <v>36836</v>
      </c>
      <c r="AN5160" t="s">
        <v>2255</v>
      </c>
      <c r="AO5160" t="s">
        <v>36837</v>
      </c>
      <c r="AP5160" t="s">
        <v>7024</v>
      </c>
      <c r="AQ5160" t="s">
        <v>36838</v>
      </c>
      <c r="AT5160" s="184">
        <v>43018</v>
      </c>
      <c r="AU5160" t="s">
        <v>36800</v>
      </c>
      <c r="AV5160">
        <v>25</v>
      </c>
      <c r="AW5160" s="184">
        <v>45413</v>
      </c>
      <c r="AX5160" t="s">
        <v>10444</v>
      </c>
      <c r="AY5160">
        <v>100</v>
      </c>
      <c r="AZ5160" s="184">
        <v>43537</v>
      </c>
      <c r="BA5160" t="s">
        <v>10071</v>
      </c>
      <c r="BB5160">
        <v>125</v>
      </c>
      <c r="BC5160">
        <v>100</v>
      </c>
      <c r="BD5160">
        <v>800</v>
      </c>
      <c r="BE5160">
        <v>2018</v>
      </c>
      <c r="BF5160">
        <v>9</v>
      </c>
      <c r="BG5160">
        <v>2</v>
      </c>
      <c r="BH5160">
        <v>200</v>
      </c>
      <c r="BI5160">
        <v>8</v>
      </c>
      <c r="BJ5160">
        <v>8</v>
      </c>
      <c r="BK5160">
        <v>8</v>
      </c>
      <c r="BP5160" s="184"/>
    </row>
    <row r="5161" spans="1:68">
      <c r="A5161">
        <v>97222251</v>
      </c>
      <c r="B5161">
        <v>97222251</v>
      </c>
      <c r="C5161" t="s">
        <v>7018</v>
      </c>
      <c r="D5161" t="s">
        <v>595</v>
      </c>
      <c r="E5161" s="184">
        <v>43899</v>
      </c>
      <c r="G5161" s="184"/>
      <c r="I5161" s="184"/>
      <c r="K5161" s="184"/>
      <c r="M5161" s="184"/>
      <c r="P5161" t="s">
        <v>7045</v>
      </c>
      <c r="Q5161" t="s">
        <v>7383</v>
      </c>
      <c r="R5161" s="184">
        <v>27004</v>
      </c>
      <c r="S5161">
        <v>50</v>
      </c>
      <c r="V5161" t="s">
        <v>4779</v>
      </c>
      <c r="X5161" t="s">
        <v>4780</v>
      </c>
      <c r="AF5161" t="s">
        <v>36839</v>
      </c>
      <c r="AG5161" t="s">
        <v>4779</v>
      </c>
      <c r="AI5161" t="s">
        <v>36840</v>
      </c>
      <c r="AM5161" t="s">
        <v>3371</v>
      </c>
      <c r="AN5161" t="s">
        <v>2185</v>
      </c>
      <c r="AO5161" t="s">
        <v>36841</v>
      </c>
      <c r="AP5161" t="s">
        <v>7024</v>
      </c>
      <c r="AQ5161" t="s">
        <v>36842</v>
      </c>
      <c r="AT5161" s="184">
        <v>43019</v>
      </c>
      <c r="AU5161" t="s">
        <v>36843</v>
      </c>
      <c r="AV5161">
        <v>50</v>
      </c>
      <c r="AW5161" s="184">
        <v>44370</v>
      </c>
      <c r="AX5161" t="s">
        <v>36844</v>
      </c>
      <c r="AY5161">
        <v>50</v>
      </c>
      <c r="AZ5161" s="184">
        <v>44370</v>
      </c>
      <c r="BA5161" t="s">
        <v>36844</v>
      </c>
      <c r="BB5161">
        <v>50</v>
      </c>
      <c r="BC5161">
        <v>50</v>
      </c>
      <c r="BD5161">
        <v>200</v>
      </c>
      <c r="BE5161">
        <v>2018</v>
      </c>
      <c r="BF5161">
        <v>4</v>
      </c>
      <c r="BI5161">
        <v>4</v>
      </c>
      <c r="BJ5161">
        <v>8</v>
      </c>
      <c r="BK5161">
        <v>3</v>
      </c>
      <c r="BP5161" s="184"/>
    </row>
    <row r="5162" spans="1:68">
      <c r="A5162">
        <v>97224653</v>
      </c>
      <c r="B5162">
        <v>97224653</v>
      </c>
      <c r="C5162" t="s">
        <v>7018</v>
      </c>
      <c r="D5162" t="s">
        <v>595</v>
      </c>
      <c r="E5162" s="184">
        <v>44438</v>
      </c>
      <c r="G5162" s="184"/>
      <c r="I5162" s="184"/>
      <c r="K5162" s="184"/>
      <c r="O5162" s="184"/>
      <c r="P5162" t="s">
        <v>7045</v>
      </c>
      <c r="Q5162" t="s">
        <v>7194</v>
      </c>
      <c r="R5162" s="184">
        <v>12978</v>
      </c>
      <c r="S5162">
        <v>88</v>
      </c>
      <c r="V5162" t="s">
        <v>21118</v>
      </c>
      <c r="X5162" t="s">
        <v>4575</v>
      </c>
      <c r="AF5162" t="s">
        <v>36845</v>
      </c>
      <c r="AG5162" t="s">
        <v>21118</v>
      </c>
      <c r="AI5162" t="s">
        <v>36846</v>
      </c>
      <c r="AM5162" t="s">
        <v>4359</v>
      </c>
      <c r="AN5162" t="s">
        <v>2046</v>
      </c>
      <c r="AO5162" t="s">
        <v>36847</v>
      </c>
      <c r="AP5162" t="s">
        <v>7024</v>
      </c>
      <c r="AQ5162" t="s">
        <v>36848</v>
      </c>
      <c r="AT5162" s="184">
        <v>43020</v>
      </c>
      <c r="AU5162" t="s">
        <v>36849</v>
      </c>
      <c r="AV5162">
        <v>25</v>
      </c>
      <c r="AW5162" s="184">
        <v>45176</v>
      </c>
      <c r="AX5162" t="s">
        <v>13433</v>
      </c>
      <c r="AY5162">
        <v>35</v>
      </c>
      <c r="AZ5162" s="184">
        <v>43997</v>
      </c>
      <c r="BA5162" t="s">
        <v>36850</v>
      </c>
      <c r="BB5162">
        <v>50</v>
      </c>
      <c r="BC5162">
        <v>88</v>
      </c>
      <c r="BD5162">
        <v>390</v>
      </c>
      <c r="BE5162">
        <v>2018</v>
      </c>
      <c r="BF5162">
        <v>13</v>
      </c>
      <c r="BG5162">
        <v>3</v>
      </c>
      <c r="BH5162">
        <v>105</v>
      </c>
      <c r="BI5162">
        <v>7</v>
      </c>
      <c r="BJ5162">
        <v>8</v>
      </c>
      <c r="BK5162">
        <v>7</v>
      </c>
      <c r="BP5162" s="184"/>
    </row>
    <row r="5163" spans="1:68">
      <c r="A5163">
        <v>97241087</v>
      </c>
      <c r="B5163">
        <v>97241087</v>
      </c>
      <c r="C5163" t="s">
        <v>7018</v>
      </c>
      <c r="D5163" t="s">
        <v>595</v>
      </c>
      <c r="E5163" s="184">
        <v>45125</v>
      </c>
      <c r="G5163" s="184"/>
      <c r="I5163" s="184"/>
      <c r="K5163" s="184"/>
      <c r="O5163" s="184"/>
      <c r="P5163" t="s">
        <v>7045</v>
      </c>
      <c r="Q5163" t="s">
        <v>7020</v>
      </c>
      <c r="R5163" s="184">
        <v>19009</v>
      </c>
      <c r="S5163">
        <v>72</v>
      </c>
      <c r="V5163" t="s">
        <v>2925</v>
      </c>
      <c r="X5163" t="s">
        <v>36851</v>
      </c>
      <c r="AF5163" t="s">
        <v>36852</v>
      </c>
      <c r="AG5163" t="s">
        <v>2925</v>
      </c>
      <c r="AI5163" t="s">
        <v>36853</v>
      </c>
      <c r="AM5163" t="s">
        <v>36854</v>
      </c>
      <c r="AN5163" t="s">
        <v>2206</v>
      </c>
      <c r="AO5163" t="s">
        <v>36855</v>
      </c>
      <c r="AP5163" t="s">
        <v>7024</v>
      </c>
      <c r="AQ5163" t="s">
        <v>36856</v>
      </c>
      <c r="AR5163" t="s">
        <v>36857</v>
      </c>
      <c r="AT5163" s="184">
        <v>43024</v>
      </c>
      <c r="AU5163" t="s">
        <v>36858</v>
      </c>
      <c r="AV5163">
        <v>25</v>
      </c>
      <c r="AW5163" s="184">
        <v>45187</v>
      </c>
      <c r="AX5163" t="s">
        <v>24595</v>
      </c>
      <c r="AY5163">
        <v>100</v>
      </c>
      <c r="AZ5163" s="184">
        <v>45187</v>
      </c>
      <c r="BA5163" t="s">
        <v>24595</v>
      </c>
      <c r="BB5163">
        <v>100</v>
      </c>
      <c r="BC5163">
        <v>75</v>
      </c>
      <c r="BD5163">
        <v>430</v>
      </c>
      <c r="BE5163">
        <v>2018</v>
      </c>
      <c r="BF5163">
        <v>10</v>
      </c>
      <c r="BG5163">
        <v>4</v>
      </c>
      <c r="BH5163">
        <v>300</v>
      </c>
      <c r="BI5163">
        <v>6</v>
      </c>
      <c r="BJ5163">
        <v>8</v>
      </c>
      <c r="BK5163">
        <v>4</v>
      </c>
      <c r="BP5163" s="184"/>
    </row>
    <row r="5164" spans="1:68">
      <c r="A5164">
        <v>97254841</v>
      </c>
      <c r="B5164">
        <v>97254841</v>
      </c>
      <c r="C5164" t="s">
        <v>7018</v>
      </c>
      <c r="E5164" s="184"/>
      <c r="F5164" t="s">
        <v>595</v>
      </c>
      <c r="G5164" s="184">
        <v>44438</v>
      </c>
      <c r="I5164" s="184"/>
      <c r="K5164" s="184"/>
      <c r="P5164" t="s">
        <v>7045</v>
      </c>
      <c r="Q5164" t="s">
        <v>7383</v>
      </c>
      <c r="R5164" s="184">
        <v>18096</v>
      </c>
      <c r="S5164">
        <v>74</v>
      </c>
      <c r="U5164" t="s">
        <v>7031</v>
      </c>
      <c r="V5164" t="s">
        <v>3689</v>
      </c>
      <c r="X5164" t="s">
        <v>36859</v>
      </c>
      <c r="AF5164" t="s">
        <v>36860</v>
      </c>
      <c r="AG5164" t="s">
        <v>3689</v>
      </c>
      <c r="AI5164" t="s">
        <v>36861</v>
      </c>
      <c r="AM5164" t="s">
        <v>36862</v>
      </c>
      <c r="AN5164" t="s">
        <v>2313</v>
      </c>
      <c r="AO5164" t="s">
        <v>36863</v>
      </c>
      <c r="AP5164" t="s">
        <v>7024</v>
      </c>
      <c r="AQ5164" t="s">
        <v>36864</v>
      </c>
      <c r="AR5164" t="s">
        <v>36865</v>
      </c>
      <c r="AT5164" s="184">
        <v>43026</v>
      </c>
      <c r="AU5164" t="s">
        <v>36866</v>
      </c>
      <c r="AV5164">
        <v>25</v>
      </c>
      <c r="AW5164" s="184">
        <v>45408</v>
      </c>
      <c r="AX5164" t="s">
        <v>7524</v>
      </c>
      <c r="AY5164">
        <v>35</v>
      </c>
      <c r="AZ5164" s="184">
        <v>45408</v>
      </c>
      <c r="BA5164" t="s">
        <v>7524</v>
      </c>
      <c r="BB5164">
        <v>35</v>
      </c>
      <c r="BC5164">
        <v>100</v>
      </c>
      <c r="BD5164">
        <v>325</v>
      </c>
      <c r="BE5164">
        <v>2018</v>
      </c>
      <c r="BF5164">
        <v>11</v>
      </c>
      <c r="BG5164">
        <v>3</v>
      </c>
      <c r="BH5164">
        <v>105</v>
      </c>
      <c r="BI5164">
        <v>8</v>
      </c>
      <c r="BJ5164">
        <v>8</v>
      </c>
      <c r="BK5164">
        <v>8</v>
      </c>
      <c r="BP5164" s="184"/>
    </row>
    <row r="5165" spans="1:68">
      <c r="A5165">
        <v>97256366</v>
      </c>
      <c r="B5165">
        <v>97256366</v>
      </c>
      <c r="C5165" t="s">
        <v>7018</v>
      </c>
      <c r="D5165" t="s">
        <v>595</v>
      </c>
      <c r="E5165" s="184">
        <v>45117</v>
      </c>
      <c r="G5165" s="184"/>
      <c r="I5165" s="184"/>
      <c r="K5165" s="184"/>
      <c r="M5165" s="184"/>
      <c r="P5165" t="s">
        <v>7045</v>
      </c>
      <c r="Q5165" t="s">
        <v>7383</v>
      </c>
      <c r="R5165" s="184">
        <v>15127</v>
      </c>
      <c r="S5165">
        <v>82</v>
      </c>
      <c r="U5165" t="s">
        <v>7076</v>
      </c>
      <c r="V5165" t="s">
        <v>4950</v>
      </c>
      <c r="X5165" t="s">
        <v>36867</v>
      </c>
      <c r="AF5165" t="s">
        <v>36868</v>
      </c>
      <c r="AG5165" t="s">
        <v>4950</v>
      </c>
      <c r="AI5165" t="s">
        <v>36869</v>
      </c>
      <c r="AM5165" t="s">
        <v>28227</v>
      </c>
      <c r="AN5165" t="s">
        <v>2274</v>
      </c>
      <c r="AO5165" t="s">
        <v>36870</v>
      </c>
      <c r="AP5165" t="s">
        <v>7024</v>
      </c>
      <c r="AQ5165" t="s">
        <v>36871</v>
      </c>
      <c r="AT5165" s="184">
        <v>43026</v>
      </c>
      <c r="AU5165" t="s">
        <v>36872</v>
      </c>
      <c r="AV5165">
        <v>25</v>
      </c>
      <c r="AW5165" s="184">
        <v>44949</v>
      </c>
      <c r="AX5165" t="s">
        <v>17926</v>
      </c>
      <c r="AY5165">
        <v>25</v>
      </c>
      <c r="AZ5165" s="184">
        <v>44949</v>
      </c>
      <c r="BA5165" t="s">
        <v>17926</v>
      </c>
      <c r="BB5165">
        <v>25</v>
      </c>
      <c r="BC5165">
        <v>63</v>
      </c>
      <c r="BD5165">
        <v>190</v>
      </c>
      <c r="BE5165">
        <v>2018</v>
      </c>
      <c r="BF5165">
        <v>9</v>
      </c>
      <c r="BG5165">
        <v>2</v>
      </c>
      <c r="BH5165">
        <v>50</v>
      </c>
      <c r="BI5165">
        <v>5</v>
      </c>
      <c r="BJ5165">
        <v>8</v>
      </c>
      <c r="BK5165">
        <v>3</v>
      </c>
      <c r="BN5165" t="s">
        <v>595</v>
      </c>
      <c r="BP5165" s="184"/>
    </row>
    <row r="5166" spans="1:68">
      <c r="A5166">
        <v>97277115</v>
      </c>
      <c r="B5166">
        <v>97277115</v>
      </c>
      <c r="C5166" t="s">
        <v>7018</v>
      </c>
      <c r="D5166" t="s">
        <v>595</v>
      </c>
      <c r="E5166" s="184">
        <v>45148</v>
      </c>
      <c r="G5166" s="184"/>
      <c r="I5166" s="184"/>
      <c r="K5166" s="184"/>
      <c r="M5166" s="184"/>
      <c r="P5166" t="s">
        <v>7045</v>
      </c>
      <c r="Q5166" t="s">
        <v>7383</v>
      </c>
      <c r="R5166" s="184">
        <v>18937</v>
      </c>
      <c r="S5166">
        <v>72</v>
      </c>
      <c r="V5166" t="s">
        <v>3393</v>
      </c>
      <c r="X5166" t="s">
        <v>36873</v>
      </c>
      <c r="AF5166" t="s">
        <v>36874</v>
      </c>
      <c r="AG5166" t="s">
        <v>3393</v>
      </c>
      <c r="AI5166" t="s">
        <v>36875</v>
      </c>
      <c r="AM5166" t="s">
        <v>36876</v>
      </c>
      <c r="AN5166" t="s">
        <v>2274</v>
      </c>
      <c r="AO5166" t="s">
        <v>36877</v>
      </c>
      <c r="AP5166" t="s">
        <v>7024</v>
      </c>
      <c r="AT5166" s="184">
        <v>43028</v>
      </c>
      <c r="AU5166" t="s">
        <v>36267</v>
      </c>
      <c r="AV5166">
        <v>19.97</v>
      </c>
      <c r="AW5166" s="184">
        <v>44946</v>
      </c>
      <c r="AX5166" t="s">
        <v>12114</v>
      </c>
      <c r="AY5166">
        <v>60</v>
      </c>
      <c r="AZ5166" s="184">
        <v>44946</v>
      </c>
      <c r="BA5166" t="s">
        <v>12114</v>
      </c>
      <c r="BB5166">
        <v>60</v>
      </c>
      <c r="BC5166">
        <v>63</v>
      </c>
      <c r="BD5166">
        <v>259.97000000000003</v>
      </c>
      <c r="BE5166">
        <v>2018</v>
      </c>
      <c r="BF5166">
        <v>5</v>
      </c>
      <c r="BG5166">
        <v>1</v>
      </c>
      <c r="BH5166">
        <v>60</v>
      </c>
      <c r="BI5166">
        <v>5</v>
      </c>
      <c r="BJ5166">
        <v>8</v>
      </c>
      <c r="BK5166">
        <v>3</v>
      </c>
      <c r="BP5166" s="184"/>
    </row>
    <row r="5167" spans="1:68">
      <c r="A5167">
        <v>97283832</v>
      </c>
      <c r="B5167">
        <v>97283832</v>
      </c>
      <c r="C5167" t="s">
        <v>7018</v>
      </c>
      <c r="D5167" t="s">
        <v>595</v>
      </c>
      <c r="E5167" s="184">
        <v>44438</v>
      </c>
      <c r="G5167" s="184"/>
      <c r="I5167" s="184"/>
      <c r="K5167" s="184"/>
      <c r="P5167" t="s">
        <v>7019</v>
      </c>
      <c r="Q5167" t="s">
        <v>7030</v>
      </c>
      <c r="R5167" s="184">
        <v>18841</v>
      </c>
      <c r="S5167">
        <v>72</v>
      </c>
      <c r="V5167" t="s">
        <v>2597</v>
      </c>
      <c r="W5167" t="s">
        <v>7407</v>
      </c>
      <c r="X5167" t="s">
        <v>36878</v>
      </c>
      <c r="AF5167" t="s">
        <v>36879</v>
      </c>
      <c r="AG5167" t="s">
        <v>2597</v>
      </c>
      <c r="AI5167" t="s">
        <v>36880</v>
      </c>
      <c r="AM5167" t="s">
        <v>2564</v>
      </c>
      <c r="AN5167" t="s">
        <v>2089</v>
      </c>
      <c r="AO5167" t="s">
        <v>36881</v>
      </c>
      <c r="AP5167" t="s">
        <v>7024</v>
      </c>
      <c r="AQ5167" t="s">
        <v>36882</v>
      </c>
      <c r="AT5167" s="184">
        <v>43031</v>
      </c>
      <c r="AU5167" t="s">
        <v>36883</v>
      </c>
      <c r="AV5167">
        <v>25</v>
      </c>
      <c r="AW5167" s="184">
        <v>45386</v>
      </c>
      <c r="AX5167" t="s">
        <v>12947</v>
      </c>
      <c r="AY5167">
        <v>20</v>
      </c>
      <c r="AZ5167" s="184">
        <v>44665</v>
      </c>
      <c r="BA5167" t="s">
        <v>36884</v>
      </c>
      <c r="BB5167">
        <v>60</v>
      </c>
      <c r="BC5167">
        <v>100</v>
      </c>
      <c r="BD5167">
        <v>725</v>
      </c>
      <c r="BE5167">
        <v>2018</v>
      </c>
      <c r="BF5167">
        <v>23</v>
      </c>
      <c r="BG5167">
        <v>11</v>
      </c>
      <c r="BH5167">
        <v>305</v>
      </c>
      <c r="BI5167">
        <v>8</v>
      </c>
      <c r="BJ5167">
        <v>8</v>
      </c>
      <c r="BK5167">
        <v>8</v>
      </c>
      <c r="BP5167" s="184"/>
    </row>
    <row r="5168" spans="1:68">
      <c r="A5168">
        <v>97292460</v>
      </c>
      <c r="B5168">
        <v>97292460</v>
      </c>
      <c r="C5168" t="s">
        <v>7018</v>
      </c>
      <c r="D5168" t="s">
        <v>595</v>
      </c>
      <c r="E5168" s="184">
        <v>45148</v>
      </c>
      <c r="G5168" s="184"/>
      <c r="I5168" s="184"/>
      <c r="K5168" s="184"/>
      <c r="P5168" t="s">
        <v>7045</v>
      </c>
      <c r="Q5168" t="s">
        <v>7494</v>
      </c>
      <c r="R5168" s="184">
        <v>18941</v>
      </c>
      <c r="S5168">
        <v>72</v>
      </c>
      <c r="V5168" t="s">
        <v>2511</v>
      </c>
      <c r="X5168" t="s">
        <v>36885</v>
      </c>
      <c r="AF5168" t="s">
        <v>36886</v>
      </c>
      <c r="AG5168" t="s">
        <v>2511</v>
      </c>
      <c r="AI5168" t="s">
        <v>36887</v>
      </c>
      <c r="AM5168" t="s">
        <v>3371</v>
      </c>
      <c r="AN5168" t="s">
        <v>2174</v>
      </c>
      <c r="AO5168" t="s">
        <v>36888</v>
      </c>
      <c r="AP5168" t="s">
        <v>7024</v>
      </c>
      <c r="AQ5168" t="s">
        <v>36889</v>
      </c>
      <c r="AT5168" s="184">
        <v>43032</v>
      </c>
      <c r="AU5168" t="s">
        <v>36890</v>
      </c>
      <c r="AV5168">
        <v>25</v>
      </c>
      <c r="AW5168" s="184">
        <v>45195</v>
      </c>
      <c r="AX5168" t="s">
        <v>10538</v>
      </c>
      <c r="AY5168">
        <v>25</v>
      </c>
      <c r="AZ5168" s="184">
        <v>45195</v>
      </c>
      <c r="BA5168" t="s">
        <v>10538</v>
      </c>
      <c r="BB5168">
        <v>25</v>
      </c>
      <c r="BC5168">
        <v>88</v>
      </c>
      <c r="BD5168">
        <v>200</v>
      </c>
      <c r="BE5168">
        <v>2018</v>
      </c>
      <c r="BF5168">
        <v>8</v>
      </c>
      <c r="BG5168">
        <v>3</v>
      </c>
      <c r="BH5168">
        <v>75</v>
      </c>
      <c r="BI5168">
        <v>7</v>
      </c>
      <c r="BJ5168">
        <v>8</v>
      </c>
      <c r="BK5168">
        <v>7</v>
      </c>
      <c r="BP5168" s="184"/>
    </row>
    <row r="5169" spans="1:68">
      <c r="A5169">
        <v>97315881</v>
      </c>
      <c r="B5169">
        <v>97315881</v>
      </c>
      <c r="C5169" t="s">
        <v>7018</v>
      </c>
      <c r="D5169" t="s">
        <v>595</v>
      </c>
      <c r="E5169" s="184">
        <v>45125</v>
      </c>
      <c r="G5169" s="184"/>
      <c r="I5169" s="184"/>
      <c r="K5169" s="184"/>
      <c r="P5169" t="s">
        <v>7045</v>
      </c>
      <c r="Q5169" t="s">
        <v>7160</v>
      </c>
      <c r="R5169" s="184">
        <v>20210</v>
      </c>
      <c r="S5169">
        <v>69</v>
      </c>
      <c r="V5169" t="s">
        <v>2602</v>
      </c>
      <c r="W5169" t="s">
        <v>7067</v>
      </c>
      <c r="X5169" t="s">
        <v>29602</v>
      </c>
      <c r="AF5169" t="s">
        <v>36891</v>
      </c>
      <c r="AG5169" t="s">
        <v>2602</v>
      </c>
      <c r="AI5169" t="s">
        <v>36892</v>
      </c>
      <c r="AM5169" t="s">
        <v>3033</v>
      </c>
      <c r="AN5169" t="s">
        <v>2176</v>
      </c>
      <c r="AO5169" t="s">
        <v>36893</v>
      </c>
      <c r="AP5169" t="s">
        <v>7024</v>
      </c>
      <c r="AQ5169" t="s">
        <v>36894</v>
      </c>
      <c r="AR5169" t="s">
        <v>36895</v>
      </c>
      <c r="AT5169" s="184">
        <v>43034</v>
      </c>
      <c r="AU5169" t="s">
        <v>36896</v>
      </c>
      <c r="AV5169">
        <v>25</v>
      </c>
      <c r="AW5169" s="184">
        <v>45369</v>
      </c>
      <c r="AX5169" t="s">
        <v>13674</v>
      </c>
      <c r="AY5169">
        <v>15</v>
      </c>
      <c r="AZ5169" s="184">
        <v>45183</v>
      </c>
      <c r="BA5169" t="s">
        <v>36897</v>
      </c>
      <c r="BB5169">
        <v>30</v>
      </c>
      <c r="BC5169">
        <v>100</v>
      </c>
      <c r="BD5169">
        <v>775</v>
      </c>
      <c r="BE5169">
        <v>2018</v>
      </c>
      <c r="BF5169">
        <v>34</v>
      </c>
      <c r="BG5169">
        <v>13</v>
      </c>
      <c r="BH5169">
        <v>290</v>
      </c>
      <c r="BI5169">
        <v>8</v>
      </c>
      <c r="BJ5169">
        <v>8</v>
      </c>
      <c r="BK5169">
        <v>8</v>
      </c>
      <c r="BP5169" s="184"/>
    </row>
    <row r="5170" spans="1:68">
      <c r="A5170">
        <v>97318802</v>
      </c>
      <c r="B5170">
        <v>97318802</v>
      </c>
      <c r="C5170" t="s">
        <v>7018</v>
      </c>
      <c r="E5170" s="184"/>
      <c r="F5170" t="s">
        <v>595</v>
      </c>
      <c r="G5170" s="184">
        <v>44070</v>
      </c>
      <c r="I5170" s="184"/>
      <c r="K5170" s="184"/>
      <c r="P5170" t="s">
        <v>7045</v>
      </c>
      <c r="Q5170" t="s">
        <v>7262</v>
      </c>
      <c r="R5170" s="184">
        <v>12828</v>
      </c>
      <c r="S5170">
        <v>89</v>
      </c>
      <c r="V5170" t="s">
        <v>5690</v>
      </c>
      <c r="X5170" t="s">
        <v>2594</v>
      </c>
      <c r="AF5170" t="s">
        <v>36898</v>
      </c>
      <c r="AG5170" t="s">
        <v>5690</v>
      </c>
      <c r="AI5170" t="s">
        <v>36899</v>
      </c>
      <c r="AM5170" t="s">
        <v>36900</v>
      </c>
      <c r="AN5170" t="s">
        <v>2106</v>
      </c>
      <c r="AO5170" t="s">
        <v>36901</v>
      </c>
      <c r="AP5170" t="s">
        <v>7024</v>
      </c>
      <c r="AQ5170" t="s">
        <v>36902</v>
      </c>
      <c r="AT5170" s="184">
        <v>43035</v>
      </c>
      <c r="AU5170" t="s">
        <v>36903</v>
      </c>
      <c r="AV5170">
        <v>10</v>
      </c>
      <c r="AW5170" s="184">
        <v>45238</v>
      </c>
      <c r="AX5170" t="s">
        <v>25340</v>
      </c>
      <c r="AY5170">
        <v>15</v>
      </c>
      <c r="AZ5170" s="184">
        <v>45238</v>
      </c>
      <c r="BA5170" t="s">
        <v>25340</v>
      </c>
      <c r="BB5170">
        <v>15</v>
      </c>
      <c r="BC5170">
        <v>88</v>
      </c>
      <c r="BD5170">
        <v>120</v>
      </c>
      <c r="BE5170">
        <v>2018</v>
      </c>
      <c r="BF5170">
        <v>10</v>
      </c>
      <c r="BG5170">
        <v>2</v>
      </c>
      <c r="BH5170">
        <v>30</v>
      </c>
      <c r="BI5170">
        <v>7</v>
      </c>
      <c r="BJ5170">
        <v>8</v>
      </c>
      <c r="BK5170">
        <v>7</v>
      </c>
      <c r="BP5170" s="184"/>
    </row>
    <row r="5171" spans="1:68">
      <c r="A5171">
        <v>97319065</v>
      </c>
      <c r="B5171">
        <v>97319065</v>
      </c>
      <c r="C5171" t="s">
        <v>7018</v>
      </c>
      <c r="D5171" t="s">
        <v>595</v>
      </c>
      <c r="E5171" s="184">
        <v>45120</v>
      </c>
      <c r="G5171" s="184"/>
      <c r="I5171" s="184"/>
      <c r="K5171" s="184"/>
      <c r="O5171" s="184"/>
      <c r="P5171" t="s">
        <v>7045</v>
      </c>
      <c r="Q5171" t="s">
        <v>7383</v>
      </c>
      <c r="R5171" s="184">
        <v>14702</v>
      </c>
      <c r="S5171">
        <v>84</v>
      </c>
      <c r="U5171" t="s">
        <v>7076</v>
      </c>
      <c r="V5171" t="s">
        <v>2985</v>
      </c>
      <c r="X5171" t="s">
        <v>36904</v>
      </c>
      <c r="AF5171" t="s">
        <v>36905</v>
      </c>
      <c r="AG5171" t="s">
        <v>2985</v>
      </c>
      <c r="AI5171" t="s">
        <v>36906</v>
      </c>
      <c r="AM5171" t="s">
        <v>2888</v>
      </c>
      <c r="AN5171" t="s">
        <v>2274</v>
      </c>
      <c r="AO5171" t="s">
        <v>36907</v>
      </c>
      <c r="AP5171" t="s">
        <v>7024</v>
      </c>
      <c r="AQ5171" t="s">
        <v>36908</v>
      </c>
      <c r="AT5171" s="184">
        <v>43035</v>
      </c>
      <c r="AU5171" t="s">
        <v>15013</v>
      </c>
      <c r="AV5171">
        <v>25</v>
      </c>
      <c r="AW5171" s="184">
        <v>45337</v>
      </c>
      <c r="AX5171" t="s">
        <v>25894</v>
      </c>
      <c r="AY5171">
        <v>25</v>
      </c>
      <c r="AZ5171" s="184">
        <v>45337</v>
      </c>
      <c r="BA5171" t="s">
        <v>25894</v>
      </c>
      <c r="BB5171">
        <v>25</v>
      </c>
      <c r="BC5171">
        <v>88</v>
      </c>
      <c r="BD5171">
        <v>275</v>
      </c>
      <c r="BE5171">
        <v>2018</v>
      </c>
      <c r="BF5171">
        <v>11</v>
      </c>
      <c r="BG5171">
        <v>4</v>
      </c>
      <c r="BH5171">
        <v>100</v>
      </c>
      <c r="BI5171">
        <v>7</v>
      </c>
      <c r="BJ5171">
        <v>8</v>
      </c>
      <c r="BK5171">
        <v>4</v>
      </c>
      <c r="BP5171" s="184"/>
    </row>
    <row r="5172" spans="1:68">
      <c r="A5172">
        <v>97327506</v>
      </c>
      <c r="B5172">
        <v>97327506</v>
      </c>
      <c r="C5172" t="s">
        <v>7018</v>
      </c>
      <c r="D5172" t="s">
        <v>595</v>
      </c>
      <c r="E5172" s="184">
        <v>45152</v>
      </c>
      <c r="G5172" s="184"/>
      <c r="I5172" s="184"/>
      <c r="K5172" s="184"/>
      <c r="O5172" s="184"/>
      <c r="P5172" t="s">
        <v>7045</v>
      </c>
      <c r="Q5172" t="s">
        <v>7494</v>
      </c>
      <c r="R5172" s="184">
        <v>17675</v>
      </c>
      <c r="S5172">
        <v>75</v>
      </c>
      <c r="U5172" t="s">
        <v>7076</v>
      </c>
      <c r="V5172" t="s">
        <v>3574</v>
      </c>
      <c r="X5172" t="s">
        <v>36909</v>
      </c>
      <c r="AF5172" t="s">
        <v>36910</v>
      </c>
      <c r="AG5172" t="s">
        <v>3574</v>
      </c>
      <c r="AI5172" t="s">
        <v>36911</v>
      </c>
      <c r="AM5172" t="s">
        <v>36912</v>
      </c>
      <c r="AN5172" t="s">
        <v>2174</v>
      </c>
      <c r="AO5172" t="s">
        <v>36913</v>
      </c>
      <c r="AP5172" t="s">
        <v>7024</v>
      </c>
      <c r="AQ5172" t="s">
        <v>36914</v>
      </c>
      <c r="AT5172" s="184">
        <v>43039</v>
      </c>
      <c r="AU5172" t="s">
        <v>36915</v>
      </c>
      <c r="AV5172">
        <v>25</v>
      </c>
      <c r="AW5172" s="184">
        <v>45174</v>
      </c>
      <c r="AX5172" t="s">
        <v>36916</v>
      </c>
      <c r="AY5172">
        <v>25</v>
      </c>
      <c r="AZ5172" s="184">
        <v>45174</v>
      </c>
      <c r="BA5172" t="s">
        <v>36916</v>
      </c>
      <c r="BB5172">
        <v>25</v>
      </c>
      <c r="BC5172">
        <v>75</v>
      </c>
      <c r="BD5172">
        <v>140</v>
      </c>
      <c r="BE5172">
        <v>2018</v>
      </c>
      <c r="BF5172">
        <v>6</v>
      </c>
      <c r="BG5172">
        <v>2</v>
      </c>
      <c r="BH5172">
        <v>45</v>
      </c>
      <c r="BI5172">
        <v>6</v>
      </c>
      <c r="BJ5172">
        <v>8</v>
      </c>
      <c r="BK5172">
        <v>5</v>
      </c>
      <c r="BP5172" s="184"/>
    </row>
    <row r="5173" spans="1:68">
      <c r="A5173">
        <v>97391619</v>
      </c>
      <c r="B5173">
        <v>97391619</v>
      </c>
      <c r="C5173" t="s">
        <v>7018</v>
      </c>
      <c r="D5173" t="s">
        <v>595</v>
      </c>
      <c r="E5173" s="184">
        <v>45196</v>
      </c>
      <c r="G5173" s="184"/>
      <c r="I5173" s="184"/>
      <c r="K5173" s="184"/>
      <c r="P5173" t="s">
        <v>7045</v>
      </c>
      <c r="Q5173" t="s">
        <v>7374</v>
      </c>
      <c r="R5173" s="184">
        <v>21245</v>
      </c>
      <c r="S5173">
        <v>66</v>
      </c>
      <c r="U5173" t="s">
        <v>7076</v>
      </c>
      <c r="V5173" t="s">
        <v>2580</v>
      </c>
      <c r="X5173" t="s">
        <v>36917</v>
      </c>
      <c r="AF5173" t="s">
        <v>36918</v>
      </c>
      <c r="AG5173" t="s">
        <v>2580</v>
      </c>
      <c r="AI5173" t="s">
        <v>36919</v>
      </c>
      <c r="AM5173" t="s">
        <v>36920</v>
      </c>
      <c r="AN5173" t="s">
        <v>2081</v>
      </c>
      <c r="AO5173" t="s">
        <v>36921</v>
      </c>
      <c r="AP5173" t="s">
        <v>7024</v>
      </c>
      <c r="AQ5173" t="s">
        <v>36922</v>
      </c>
      <c r="AT5173" s="184">
        <v>43053</v>
      </c>
      <c r="AU5173" t="s">
        <v>36923</v>
      </c>
      <c r="AV5173">
        <v>25</v>
      </c>
      <c r="AW5173" s="184">
        <v>45404</v>
      </c>
      <c r="AX5173" t="s">
        <v>19285</v>
      </c>
      <c r="AY5173">
        <v>25</v>
      </c>
      <c r="AZ5173" s="184">
        <v>45404</v>
      </c>
      <c r="BA5173" t="s">
        <v>19285</v>
      </c>
      <c r="BB5173">
        <v>25</v>
      </c>
      <c r="BC5173">
        <v>88</v>
      </c>
      <c r="BD5173">
        <v>330</v>
      </c>
      <c r="BE5173">
        <v>2018</v>
      </c>
      <c r="BF5173">
        <v>14</v>
      </c>
      <c r="BG5173">
        <v>4</v>
      </c>
      <c r="BH5173">
        <v>90</v>
      </c>
      <c r="BI5173">
        <v>7</v>
      </c>
      <c r="BJ5173">
        <v>8</v>
      </c>
      <c r="BK5173">
        <v>6</v>
      </c>
      <c r="BP5173" s="184"/>
    </row>
    <row r="5174" spans="1:68">
      <c r="A5174">
        <v>97406417</v>
      </c>
      <c r="B5174">
        <v>97406417</v>
      </c>
      <c r="C5174" t="s">
        <v>7018</v>
      </c>
      <c r="D5174" t="s">
        <v>595</v>
      </c>
      <c r="E5174" s="184">
        <v>45124</v>
      </c>
      <c r="G5174" s="184"/>
      <c r="I5174" s="184"/>
      <c r="K5174" s="184"/>
      <c r="P5174" t="s">
        <v>7045</v>
      </c>
      <c r="Q5174" t="s">
        <v>7383</v>
      </c>
      <c r="R5174" s="184">
        <v>16428</v>
      </c>
      <c r="S5174">
        <v>79</v>
      </c>
      <c r="V5174" t="s">
        <v>2580</v>
      </c>
      <c r="W5174" t="s">
        <v>2049</v>
      </c>
      <c r="X5174" t="s">
        <v>36924</v>
      </c>
      <c r="AF5174" t="s">
        <v>36925</v>
      </c>
      <c r="AG5174" t="s">
        <v>2580</v>
      </c>
      <c r="AI5174" t="s">
        <v>36926</v>
      </c>
      <c r="AM5174" t="s">
        <v>3761</v>
      </c>
      <c r="AN5174" t="s">
        <v>2059</v>
      </c>
      <c r="AO5174" t="s">
        <v>36927</v>
      </c>
      <c r="AP5174" t="s">
        <v>7024</v>
      </c>
      <c r="AQ5174" t="s">
        <v>36928</v>
      </c>
      <c r="AT5174" s="184">
        <v>43056</v>
      </c>
      <c r="AU5174" t="s">
        <v>36929</v>
      </c>
      <c r="AV5174">
        <v>50</v>
      </c>
      <c r="AW5174" s="184">
        <v>45260</v>
      </c>
      <c r="AX5174" t="s">
        <v>16739</v>
      </c>
      <c r="AY5174">
        <v>75</v>
      </c>
      <c r="AZ5174" s="184">
        <v>45260</v>
      </c>
      <c r="BA5174" t="s">
        <v>16739</v>
      </c>
      <c r="BB5174">
        <v>75</v>
      </c>
      <c r="BC5174">
        <v>88</v>
      </c>
      <c r="BD5174">
        <v>925</v>
      </c>
      <c r="BE5174">
        <v>2018</v>
      </c>
      <c r="BF5174">
        <v>15</v>
      </c>
      <c r="BG5174">
        <v>5</v>
      </c>
      <c r="BH5174">
        <v>350</v>
      </c>
      <c r="BI5174">
        <v>7</v>
      </c>
      <c r="BJ5174">
        <v>8</v>
      </c>
      <c r="BK5174">
        <v>7</v>
      </c>
      <c r="BP5174" s="184"/>
    </row>
    <row r="5175" spans="1:68">
      <c r="A5175">
        <v>97407191</v>
      </c>
      <c r="B5175">
        <v>97407191</v>
      </c>
      <c r="C5175" t="s">
        <v>7018</v>
      </c>
      <c r="E5175" s="184"/>
      <c r="F5175" t="s">
        <v>595</v>
      </c>
      <c r="G5175" s="184">
        <v>45167</v>
      </c>
      <c r="I5175" s="184"/>
      <c r="K5175" s="184"/>
      <c r="P5175" t="s">
        <v>7045</v>
      </c>
      <c r="Q5175" t="s">
        <v>7383</v>
      </c>
      <c r="R5175" s="184">
        <v>13766</v>
      </c>
      <c r="S5175">
        <v>86</v>
      </c>
      <c r="V5175" t="s">
        <v>2635</v>
      </c>
      <c r="X5175" t="s">
        <v>36930</v>
      </c>
      <c r="AF5175" t="s">
        <v>36931</v>
      </c>
      <c r="AG5175" t="s">
        <v>2635</v>
      </c>
      <c r="AI5175" t="s">
        <v>36932</v>
      </c>
      <c r="AM5175" t="s">
        <v>36933</v>
      </c>
      <c r="AN5175" t="s">
        <v>2144</v>
      </c>
      <c r="AO5175" t="s">
        <v>36934</v>
      </c>
      <c r="AP5175" t="s">
        <v>7024</v>
      </c>
      <c r="AQ5175" t="s">
        <v>36935</v>
      </c>
      <c r="AR5175" t="s">
        <v>36936</v>
      </c>
      <c r="AT5175" s="184">
        <v>43056</v>
      </c>
      <c r="AU5175" t="s">
        <v>36937</v>
      </c>
      <c r="AV5175">
        <v>25</v>
      </c>
      <c r="AW5175" s="184">
        <v>45376</v>
      </c>
      <c r="AX5175" t="s">
        <v>9421</v>
      </c>
      <c r="AY5175">
        <v>25</v>
      </c>
      <c r="AZ5175" s="184">
        <v>44424</v>
      </c>
      <c r="BA5175" t="s">
        <v>14035</v>
      </c>
      <c r="BB5175">
        <v>60</v>
      </c>
      <c r="BC5175">
        <v>88</v>
      </c>
      <c r="BD5175">
        <v>380</v>
      </c>
      <c r="BE5175">
        <v>2018</v>
      </c>
      <c r="BF5175">
        <v>10</v>
      </c>
      <c r="BG5175">
        <v>3</v>
      </c>
      <c r="BH5175">
        <v>75</v>
      </c>
      <c r="BI5175">
        <v>7</v>
      </c>
      <c r="BJ5175">
        <v>8</v>
      </c>
      <c r="BK5175">
        <v>5</v>
      </c>
      <c r="BP5175" s="184"/>
    </row>
    <row r="5176" spans="1:68">
      <c r="A5176">
        <v>97424568</v>
      </c>
      <c r="B5176">
        <v>97424568</v>
      </c>
      <c r="C5176" t="s">
        <v>7018</v>
      </c>
      <c r="D5176" t="s">
        <v>595</v>
      </c>
      <c r="E5176" s="184">
        <v>44073</v>
      </c>
      <c r="G5176" s="184"/>
      <c r="I5176" s="184"/>
      <c r="K5176" s="184"/>
      <c r="M5176" s="184"/>
      <c r="O5176" s="184"/>
      <c r="P5176" t="s">
        <v>7045</v>
      </c>
      <c r="Q5176" t="s">
        <v>7030</v>
      </c>
      <c r="R5176" s="184">
        <v>15707</v>
      </c>
      <c r="S5176">
        <v>81</v>
      </c>
      <c r="V5176" t="s">
        <v>36938</v>
      </c>
      <c r="W5176" t="s">
        <v>2648</v>
      </c>
      <c r="X5176" t="s">
        <v>3063</v>
      </c>
      <c r="Z5176">
        <v>100170671</v>
      </c>
      <c r="AA5176" t="s">
        <v>7130</v>
      </c>
      <c r="AB5176" t="s">
        <v>36938</v>
      </c>
      <c r="AC5176" t="s">
        <v>2648</v>
      </c>
      <c r="AD5176" t="s">
        <v>3063</v>
      </c>
      <c r="AF5176" t="s">
        <v>36939</v>
      </c>
      <c r="AG5176" t="s">
        <v>36940</v>
      </c>
      <c r="AI5176" t="s">
        <v>36941</v>
      </c>
      <c r="AM5176" t="s">
        <v>2690</v>
      </c>
      <c r="AN5176" t="s">
        <v>2094</v>
      </c>
      <c r="AO5176" t="s">
        <v>36942</v>
      </c>
      <c r="AP5176" t="s">
        <v>7024</v>
      </c>
      <c r="AQ5176" t="s">
        <v>36943</v>
      </c>
      <c r="AR5176" t="s">
        <v>36944</v>
      </c>
      <c r="AT5176" s="184">
        <v>43061</v>
      </c>
      <c r="AU5176" t="s">
        <v>36945</v>
      </c>
      <c r="AV5176">
        <v>8</v>
      </c>
      <c r="AW5176" s="184">
        <v>44648</v>
      </c>
      <c r="AX5176" t="s">
        <v>36946</v>
      </c>
      <c r="AY5176">
        <v>9</v>
      </c>
      <c r="AZ5176" s="184">
        <v>43109</v>
      </c>
      <c r="BA5176" t="s">
        <v>36947</v>
      </c>
      <c r="BB5176">
        <v>15</v>
      </c>
      <c r="BC5176">
        <v>63</v>
      </c>
      <c r="BD5176">
        <v>72</v>
      </c>
      <c r="BE5176">
        <v>2018</v>
      </c>
      <c r="BF5176">
        <v>8</v>
      </c>
      <c r="BI5176">
        <v>5</v>
      </c>
      <c r="BJ5176">
        <v>8</v>
      </c>
      <c r="BK5176">
        <v>3</v>
      </c>
      <c r="BN5176" t="s">
        <v>595</v>
      </c>
      <c r="BP5176" s="184"/>
    </row>
    <row r="5177" spans="1:68">
      <c r="A5177">
        <v>100170671</v>
      </c>
      <c r="B5177">
        <v>97424568</v>
      </c>
      <c r="C5177" t="s">
        <v>7018</v>
      </c>
      <c r="D5177" t="s">
        <v>595</v>
      </c>
      <c r="E5177" s="184">
        <v>44073</v>
      </c>
      <c r="G5177" s="184"/>
      <c r="I5177" s="184"/>
      <c r="K5177" s="184"/>
      <c r="M5177" s="184"/>
      <c r="O5177" s="184"/>
      <c r="P5177" t="s">
        <v>7045</v>
      </c>
      <c r="Q5177" t="s">
        <v>7030</v>
      </c>
      <c r="R5177" s="184">
        <v>16041</v>
      </c>
      <c r="S5177">
        <v>80</v>
      </c>
      <c r="U5177" t="s">
        <v>7130</v>
      </c>
      <c r="V5177" t="s">
        <v>36938</v>
      </c>
      <c r="W5177" t="s">
        <v>2648</v>
      </c>
      <c r="X5177" t="s">
        <v>3063</v>
      </c>
      <c r="Z5177">
        <v>97424568</v>
      </c>
      <c r="AB5177" t="s">
        <v>36938</v>
      </c>
      <c r="AC5177" t="s">
        <v>2648</v>
      </c>
      <c r="AD5177" t="s">
        <v>3063</v>
      </c>
      <c r="AF5177" t="s">
        <v>36939</v>
      </c>
      <c r="AG5177" t="s">
        <v>36940</v>
      </c>
      <c r="AI5177" t="s">
        <v>36941</v>
      </c>
      <c r="AM5177" t="s">
        <v>2690</v>
      </c>
      <c r="AN5177" t="s">
        <v>2094</v>
      </c>
      <c r="AO5177" t="s">
        <v>36942</v>
      </c>
      <c r="AP5177" t="s">
        <v>7024</v>
      </c>
      <c r="AQ5177" t="s">
        <v>36944</v>
      </c>
      <c r="AT5177" s="184"/>
      <c r="AW5177" s="184"/>
      <c r="AZ5177" s="184"/>
      <c r="BP5177" s="184"/>
    </row>
    <row r="5178" spans="1:68">
      <c r="A5178">
        <v>97433924</v>
      </c>
      <c r="B5178">
        <v>97433924</v>
      </c>
      <c r="C5178" t="s">
        <v>7018</v>
      </c>
      <c r="E5178" s="184"/>
      <c r="G5178" s="184"/>
      <c r="H5178" t="s">
        <v>595</v>
      </c>
      <c r="I5178" s="184">
        <v>44167</v>
      </c>
      <c r="K5178" s="184"/>
      <c r="O5178" s="184"/>
      <c r="P5178" t="s">
        <v>7045</v>
      </c>
      <c r="Q5178" t="s">
        <v>7262</v>
      </c>
      <c r="R5178" s="184">
        <v>12945</v>
      </c>
      <c r="S5178">
        <v>88</v>
      </c>
      <c r="U5178" t="s">
        <v>7032</v>
      </c>
      <c r="V5178" t="s">
        <v>2771</v>
      </c>
      <c r="W5178" t="s">
        <v>3830</v>
      </c>
      <c r="X5178" t="s">
        <v>3639</v>
      </c>
      <c r="AF5178" t="s">
        <v>36948</v>
      </c>
      <c r="AG5178" t="s">
        <v>2771</v>
      </c>
      <c r="AI5178" t="s">
        <v>36949</v>
      </c>
      <c r="AM5178" t="s">
        <v>2730</v>
      </c>
      <c r="AN5178" t="s">
        <v>2069</v>
      </c>
      <c r="AO5178" t="s">
        <v>36950</v>
      </c>
      <c r="AP5178" t="s">
        <v>7024</v>
      </c>
      <c r="AQ5178" t="s">
        <v>36951</v>
      </c>
      <c r="AT5178" s="184">
        <v>43063</v>
      </c>
      <c r="AU5178" t="s">
        <v>36952</v>
      </c>
      <c r="AV5178">
        <v>25</v>
      </c>
      <c r="AW5178" s="184">
        <v>43322</v>
      </c>
      <c r="AX5178" t="s">
        <v>36953</v>
      </c>
      <c r="AY5178">
        <v>25</v>
      </c>
      <c r="AZ5178" s="184">
        <v>43322</v>
      </c>
      <c r="BA5178" t="s">
        <v>36953</v>
      </c>
      <c r="BB5178">
        <v>25</v>
      </c>
      <c r="BC5178">
        <v>25</v>
      </c>
      <c r="BD5178">
        <v>50</v>
      </c>
      <c r="BE5178">
        <v>2018</v>
      </c>
      <c r="BF5178">
        <v>2</v>
      </c>
      <c r="BI5178">
        <v>2</v>
      </c>
      <c r="BJ5178">
        <v>8</v>
      </c>
      <c r="BK5178">
        <v>2</v>
      </c>
      <c r="BP5178" s="184"/>
    </row>
    <row r="5179" spans="1:68">
      <c r="A5179">
        <v>97438444</v>
      </c>
      <c r="B5179">
        <v>97438444</v>
      </c>
      <c r="C5179" t="s">
        <v>7018</v>
      </c>
      <c r="D5179" t="s">
        <v>595</v>
      </c>
      <c r="E5179" s="184">
        <v>45181</v>
      </c>
      <c r="G5179" s="184"/>
      <c r="I5179" s="184"/>
      <c r="K5179" s="184"/>
      <c r="P5179" t="s">
        <v>7045</v>
      </c>
      <c r="Q5179" t="s">
        <v>7454</v>
      </c>
      <c r="R5179" s="184">
        <v>17549</v>
      </c>
      <c r="S5179">
        <v>76</v>
      </c>
      <c r="U5179" t="s">
        <v>7130</v>
      </c>
      <c r="V5179" t="s">
        <v>2995</v>
      </c>
      <c r="X5179" t="s">
        <v>36954</v>
      </c>
      <c r="AF5179" t="s">
        <v>36955</v>
      </c>
      <c r="AG5179" t="s">
        <v>2995</v>
      </c>
      <c r="AI5179" t="s">
        <v>36956</v>
      </c>
      <c r="AM5179" t="s">
        <v>4026</v>
      </c>
      <c r="AN5179" t="s">
        <v>2055</v>
      </c>
      <c r="AO5179" t="s">
        <v>36957</v>
      </c>
      <c r="AP5179" t="s">
        <v>7024</v>
      </c>
      <c r="AQ5179" t="s">
        <v>36958</v>
      </c>
      <c r="AT5179" s="184">
        <v>43066</v>
      </c>
      <c r="AU5179" t="s">
        <v>36959</v>
      </c>
      <c r="AV5179">
        <v>25</v>
      </c>
      <c r="AW5179" s="184">
        <v>45349</v>
      </c>
      <c r="AX5179" t="s">
        <v>36960</v>
      </c>
      <c r="AY5179">
        <v>35</v>
      </c>
      <c r="AZ5179" s="184">
        <v>45349</v>
      </c>
      <c r="BA5179" t="s">
        <v>36960</v>
      </c>
      <c r="BB5179">
        <v>35</v>
      </c>
      <c r="BC5179">
        <v>100</v>
      </c>
      <c r="BD5179">
        <v>360</v>
      </c>
      <c r="BE5179">
        <v>2018</v>
      </c>
      <c r="BF5179">
        <v>12</v>
      </c>
      <c r="BG5179">
        <v>5</v>
      </c>
      <c r="BH5179">
        <v>165</v>
      </c>
      <c r="BI5179">
        <v>8</v>
      </c>
      <c r="BJ5179">
        <v>8</v>
      </c>
      <c r="BK5179">
        <v>8</v>
      </c>
      <c r="BP5179" s="184"/>
    </row>
    <row r="5180" spans="1:68">
      <c r="A5180">
        <v>97447676</v>
      </c>
      <c r="B5180">
        <v>97447676</v>
      </c>
      <c r="C5180" t="s">
        <v>7018</v>
      </c>
      <c r="E5180" s="184"/>
      <c r="G5180" s="184"/>
      <c r="I5180" s="184"/>
      <c r="J5180" t="s">
        <v>595</v>
      </c>
      <c r="K5180" s="184">
        <v>44130</v>
      </c>
      <c r="M5180" s="184"/>
      <c r="O5180" s="184"/>
      <c r="P5180" t="s">
        <v>7045</v>
      </c>
      <c r="Q5180" t="s">
        <v>7454</v>
      </c>
      <c r="R5180" s="184">
        <v>20059</v>
      </c>
      <c r="S5180">
        <v>69</v>
      </c>
      <c r="U5180" t="s">
        <v>7076</v>
      </c>
      <c r="V5180" t="s">
        <v>36961</v>
      </c>
      <c r="X5180" t="s">
        <v>4415</v>
      </c>
      <c r="Z5180">
        <v>100553703</v>
      </c>
      <c r="AA5180" t="s">
        <v>7031</v>
      </c>
      <c r="AB5180" t="s">
        <v>2982</v>
      </c>
      <c r="AD5180" t="s">
        <v>4415</v>
      </c>
      <c r="AF5180" t="s">
        <v>36962</v>
      </c>
      <c r="AG5180" t="s">
        <v>36963</v>
      </c>
      <c r="AI5180" t="s">
        <v>36964</v>
      </c>
      <c r="AM5180" t="s">
        <v>3905</v>
      </c>
      <c r="AN5180" t="s">
        <v>2055</v>
      </c>
      <c r="AO5180" t="s">
        <v>36965</v>
      </c>
      <c r="AP5180" t="s">
        <v>7024</v>
      </c>
      <c r="AQ5180" t="s">
        <v>36966</v>
      </c>
      <c r="AT5180" s="184">
        <v>43067</v>
      </c>
      <c r="AU5180" t="s">
        <v>17745</v>
      </c>
      <c r="AV5180">
        <v>50</v>
      </c>
      <c r="AW5180" s="184">
        <v>45259</v>
      </c>
      <c r="AX5180" t="s">
        <v>36967</v>
      </c>
      <c r="AY5180">
        <v>26.25</v>
      </c>
      <c r="AZ5180" s="184">
        <v>43317</v>
      </c>
      <c r="BA5180" t="s">
        <v>8586</v>
      </c>
      <c r="BB5180">
        <v>100</v>
      </c>
      <c r="BC5180">
        <v>88</v>
      </c>
      <c r="BD5180">
        <v>577.25</v>
      </c>
      <c r="BE5180">
        <v>2018</v>
      </c>
      <c r="BF5180">
        <v>51</v>
      </c>
      <c r="BG5180">
        <v>15</v>
      </c>
      <c r="BH5180">
        <v>138.25</v>
      </c>
      <c r="BI5180">
        <v>7</v>
      </c>
      <c r="BJ5180">
        <v>8</v>
      </c>
      <c r="BK5180">
        <v>7</v>
      </c>
      <c r="BP5180" s="184"/>
    </row>
    <row r="5181" spans="1:68">
      <c r="A5181">
        <v>100553703</v>
      </c>
      <c r="B5181">
        <v>97447676</v>
      </c>
      <c r="C5181" t="s">
        <v>7018</v>
      </c>
      <c r="E5181" s="184"/>
      <c r="G5181" s="184"/>
      <c r="I5181" s="184"/>
      <c r="J5181" t="s">
        <v>595</v>
      </c>
      <c r="K5181" s="184">
        <v>44130</v>
      </c>
      <c r="O5181" s="184"/>
      <c r="P5181" t="s">
        <v>7045</v>
      </c>
      <c r="Q5181" t="s">
        <v>7454</v>
      </c>
      <c r="R5181" s="184">
        <v>18828</v>
      </c>
      <c r="S5181">
        <v>72</v>
      </c>
      <c r="U5181" t="s">
        <v>7031</v>
      </c>
      <c r="V5181" t="s">
        <v>2982</v>
      </c>
      <c r="X5181" t="s">
        <v>4415</v>
      </c>
      <c r="Z5181">
        <v>97447676</v>
      </c>
      <c r="AA5181" t="s">
        <v>7076</v>
      </c>
      <c r="AB5181" t="s">
        <v>36961</v>
      </c>
      <c r="AD5181" t="s">
        <v>4415</v>
      </c>
      <c r="AF5181" t="s">
        <v>36962</v>
      </c>
      <c r="AG5181" t="s">
        <v>36963</v>
      </c>
      <c r="AI5181" t="s">
        <v>36964</v>
      </c>
      <c r="AM5181" t="s">
        <v>3905</v>
      </c>
      <c r="AN5181" t="s">
        <v>2055</v>
      </c>
      <c r="AO5181" t="s">
        <v>36965</v>
      </c>
      <c r="AP5181" t="s">
        <v>7024</v>
      </c>
      <c r="AQ5181" t="s">
        <v>36968</v>
      </c>
      <c r="AT5181" s="184"/>
      <c r="AW5181" s="184"/>
      <c r="AZ5181" s="184"/>
      <c r="BP5181" s="184"/>
    </row>
    <row r="5182" spans="1:68">
      <c r="A5182">
        <v>97455364</v>
      </c>
      <c r="B5182">
        <v>97455364</v>
      </c>
      <c r="C5182" t="s">
        <v>7018</v>
      </c>
      <c r="D5182" t="s">
        <v>595</v>
      </c>
      <c r="E5182" s="184">
        <v>43864</v>
      </c>
      <c r="G5182" s="184"/>
      <c r="I5182" s="184"/>
      <c r="K5182" s="184"/>
      <c r="O5182" s="184"/>
      <c r="P5182" t="s">
        <v>7045</v>
      </c>
      <c r="Q5182" t="s">
        <v>7194</v>
      </c>
      <c r="R5182" s="184">
        <v>14909</v>
      </c>
      <c r="S5182">
        <v>83</v>
      </c>
      <c r="U5182" t="s">
        <v>7076</v>
      </c>
      <c r="V5182" t="s">
        <v>3122</v>
      </c>
      <c r="X5182" t="s">
        <v>4737</v>
      </c>
      <c r="AF5182" t="s">
        <v>36969</v>
      </c>
      <c r="AG5182" t="s">
        <v>3122</v>
      </c>
      <c r="AI5182" t="s">
        <v>36970</v>
      </c>
      <c r="AM5182" t="s">
        <v>4375</v>
      </c>
      <c r="AN5182" t="s">
        <v>2046</v>
      </c>
      <c r="AO5182" t="s">
        <v>36971</v>
      </c>
      <c r="AP5182" t="s">
        <v>7024</v>
      </c>
      <c r="AQ5182" t="s">
        <v>36972</v>
      </c>
      <c r="AT5182" s="184">
        <v>43067</v>
      </c>
      <c r="AU5182" t="s">
        <v>36973</v>
      </c>
      <c r="AV5182">
        <v>20</v>
      </c>
      <c r="AW5182" s="184">
        <v>43495</v>
      </c>
      <c r="AX5182" t="s">
        <v>10071</v>
      </c>
      <c r="AY5182">
        <v>20</v>
      </c>
      <c r="AZ5182" s="184">
        <v>43495</v>
      </c>
      <c r="BA5182" t="s">
        <v>10071</v>
      </c>
      <c r="BB5182">
        <v>20</v>
      </c>
      <c r="BC5182">
        <v>25</v>
      </c>
      <c r="BD5182">
        <v>40</v>
      </c>
      <c r="BE5182">
        <v>2018</v>
      </c>
      <c r="BF5182">
        <v>2</v>
      </c>
      <c r="BI5182">
        <v>2</v>
      </c>
      <c r="BJ5182">
        <v>8</v>
      </c>
      <c r="BK5182">
        <v>1</v>
      </c>
      <c r="BP5182" s="184"/>
    </row>
    <row r="5183" spans="1:68">
      <c r="A5183">
        <v>97463830</v>
      </c>
      <c r="B5183">
        <v>97463830</v>
      </c>
      <c r="C5183" t="s">
        <v>7018</v>
      </c>
      <c r="E5183" s="184"/>
      <c r="I5183" s="184"/>
      <c r="J5183" t="s">
        <v>595</v>
      </c>
      <c r="K5183" s="184">
        <v>45166</v>
      </c>
      <c r="M5183" s="184"/>
      <c r="O5183" s="184"/>
      <c r="P5183" t="s">
        <v>7029</v>
      </c>
      <c r="Q5183" t="s">
        <v>7030</v>
      </c>
      <c r="R5183" s="184">
        <v>20241</v>
      </c>
      <c r="S5183">
        <v>68</v>
      </c>
      <c r="V5183" t="s">
        <v>2541</v>
      </c>
      <c r="X5183" t="s">
        <v>36974</v>
      </c>
      <c r="Z5183">
        <v>100170766</v>
      </c>
      <c r="AB5183" t="s">
        <v>14917</v>
      </c>
      <c r="AD5183" t="s">
        <v>36974</v>
      </c>
      <c r="AF5183" t="s">
        <v>36975</v>
      </c>
      <c r="AG5183" t="s">
        <v>36976</v>
      </c>
      <c r="AI5183" t="s">
        <v>36977</v>
      </c>
      <c r="AM5183" t="s">
        <v>2930</v>
      </c>
      <c r="AN5183" t="s">
        <v>2094</v>
      </c>
      <c r="AO5183" t="s">
        <v>36978</v>
      </c>
      <c r="AP5183" t="s">
        <v>7024</v>
      </c>
      <c r="AQ5183" t="s">
        <v>36979</v>
      </c>
      <c r="AR5183" t="s">
        <v>36980</v>
      </c>
      <c r="AT5183" s="184">
        <v>43074</v>
      </c>
      <c r="AU5183" t="s">
        <v>36248</v>
      </c>
      <c r="AV5183">
        <v>500</v>
      </c>
      <c r="AW5183" s="184">
        <v>45209</v>
      </c>
      <c r="AX5183" t="s">
        <v>36981</v>
      </c>
      <c r="AY5183">
        <v>1500</v>
      </c>
      <c r="AZ5183" s="184">
        <v>45209</v>
      </c>
      <c r="BA5183" t="s">
        <v>36981</v>
      </c>
      <c r="BB5183">
        <v>1500</v>
      </c>
      <c r="BC5183">
        <v>75</v>
      </c>
      <c r="BD5183">
        <v>7250</v>
      </c>
      <c r="BE5183">
        <v>2018</v>
      </c>
      <c r="BF5183">
        <v>7</v>
      </c>
      <c r="BG5183">
        <v>2</v>
      </c>
      <c r="BH5183">
        <v>2750</v>
      </c>
      <c r="BI5183">
        <v>6</v>
      </c>
      <c r="BJ5183">
        <v>8</v>
      </c>
      <c r="BK5183">
        <v>5</v>
      </c>
      <c r="BP5183" s="184"/>
    </row>
    <row r="5184" spans="1:68">
      <c r="A5184">
        <v>100170766</v>
      </c>
      <c r="B5184">
        <v>97463830</v>
      </c>
      <c r="C5184" t="s">
        <v>7018</v>
      </c>
      <c r="E5184" s="184"/>
      <c r="G5184" s="184"/>
      <c r="I5184" s="184"/>
      <c r="J5184" t="s">
        <v>595</v>
      </c>
      <c r="K5184" s="184">
        <v>45166</v>
      </c>
      <c r="M5184" s="184"/>
      <c r="O5184" s="184"/>
      <c r="P5184" t="s">
        <v>7029</v>
      </c>
      <c r="Q5184" t="s">
        <v>7030</v>
      </c>
      <c r="R5184" s="184">
        <v>19360</v>
      </c>
      <c r="S5184">
        <v>71</v>
      </c>
      <c r="V5184" t="s">
        <v>14917</v>
      </c>
      <c r="X5184" t="s">
        <v>36974</v>
      </c>
      <c r="Z5184">
        <v>97463830</v>
      </c>
      <c r="AB5184" t="s">
        <v>2541</v>
      </c>
      <c r="AD5184" t="s">
        <v>36974</v>
      </c>
      <c r="AF5184" t="s">
        <v>36975</v>
      </c>
      <c r="AG5184" t="s">
        <v>36976</v>
      </c>
      <c r="AI5184" t="s">
        <v>36977</v>
      </c>
      <c r="AM5184" t="s">
        <v>2930</v>
      </c>
      <c r="AN5184" t="s">
        <v>2094</v>
      </c>
      <c r="AO5184" t="s">
        <v>36978</v>
      </c>
      <c r="AP5184" t="s">
        <v>7024</v>
      </c>
      <c r="AT5184" s="184"/>
      <c r="AW5184" s="184"/>
      <c r="AZ5184" s="184"/>
      <c r="BP5184" s="184"/>
    </row>
    <row r="5185" spans="1:68">
      <c r="A5185">
        <v>97477715</v>
      </c>
      <c r="B5185">
        <v>97477715</v>
      </c>
      <c r="C5185" t="s">
        <v>7018</v>
      </c>
      <c r="D5185" t="s">
        <v>595</v>
      </c>
      <c r="E5185" s="184">
        <v>45181</v>
      </c>
      <c r="G5185" s="184"/>
      <c r="I5185" s="184"/>
      <c r="K5185" s="184"/>
      <c r="M5185" s="184"/>
      <c r="O5185" s="184"/>
      <c r="P5185" t="s">
        <v>7019</v>
      </c>
      <c r="Q5185" t="s">
        <v>7454</v>
      </c>
      <c r="R5185" s="184">
        <v>15918</v>
      </c>
      <c r="S5185">
        <v>80</v>
      </c>
      <c r="U5185" t="s">
        <v>7031</v>
      </c>
      <c r="V5185" t="s">
        <v>3373</v>
      </c>
      <c r="X5185" t="s">
        <v>36982</v>
      </c>
      <c r="AF5185" t="s">
        <v>36983</v>
      </c>
      <c r="AG5185" t="s">
        <v>3373</v>
      </c>
      <c r="AI5185" t="s">
        <v>36984</v>
      </c>
      <c r="AM5185" t="s">
        <v>2608</v>
      </c>
      <c r="AN5185" t="s">
        <v>2299</v>
      </c>
      <c r="AO5185" t="s">
        <v>36985</v>
      </c>
      <c r="AP5185" t="s">
        <v>7024</v>
      </c>
      <c r="AQ5185" t="s">
        <v>36986</v>
      </c>
      <c r="AT5185" s="184">
        <v>43073</v>
      </c>
      <c r="AU5185" t="s">
        <v>36987</v>
      </c>
      <c r="AV5185">
        <v>25</v>
      </c>
      <c r="AW5185" s="184">
        <v>44564</v>
      </c>
      <c r="AX5185" t="s">
        <v>9183</v>
      </c>
      <c r="AY5185">
        <v>60</v>
      </c>
      <c r="AZ5185" s="184">
        <v>44564</v>
      </c>
      <c r="BA5185" t="s">
        <v>9183</v>
      </c>
      <c r="BB5185">
        <v>60</v>
      </c>
      <c r="BC5185">
        <v>75</v>
      </c>
      <c r="BD5185">
        <v>185</v>
      </c>
      <c r="BE5185">
        <v>2018</v>
      </c>
      <c r="BF5185">
        <v>6</v>
      </c>
      <c r="BI5185">
        <v>6</v>
      </c>
      <c r="BJ5185">
        <v>8</v>
      </c>
      <c r="BK5185">
        <v>6</v>
      </c>
      <c r="BP5185" s="184"/>
    </row>
    <row r="5186" spans="1:68">
      <c r="A5186">
        <v>97479711</v>
      </c>
      <c r="B5186">
        <v>97479711</v>
      </c>
      <c r="C5186" t="s">
        <v>7018</v>
      </c>
      <c r="E5186" s="184"/>
      <c r="G5186" s="184"/>
      <c r="I5186" s="184"/>
      <c r="J5186" t="s">
        <v>595</v>
      </c>
      <c r="K5186" s="184">
        <v>44419</v>
      </c>
      <c r="M5186" s="184"/>
      <c r="O5186" s="184"/>
      <c r="P5186" t="s">
        <v>7045</v>
      </c>
      <c r="Q5186" t="s">
        <v>7383</v>
      </c>
      <c r="R5186" s="184">
        <v>18778</v>
      </c>
      <c r="S5186">
        <v>72</v>
      </c>
      <c r="V5186" t="s">
        <v>3131</v>
      </c>
      <c r="X5186" t="s">
        <v>36988</v>
      </c>
      <c r="AF5186" t="s">
        <v>36989</v>
      </c>
      <c r="AG5186" t="s">
        <v>3131</v>
      </c>
      <c r="AI5186" t="s">
        <v>36990</v>
      </c>
      <c r="AM5186" t="s">
        <v>36991</v>
      </c>
      <c r="AN5186" t="s">
        <v>2185</v>
      </c>
      <c r="AO5186" t="s">
        <v>36992</v>
      </c>
      <c r="AP5186" t="s">
        <v>7024</v>
      </c>
      <c r="AQ5186" t="s">
        <v>36993</v>
      </c>
      <c r="AT5186" s="184">
        <v>43074</v>
      </c>
      <c r="AU5186" t="s">
        <v>36994</v>
      </c>
      <c r="AV5186">
        <v>25</v>
      </c>
      <c r="AW5186" s="184">
        <v>45181</v>
      </c>
      <c r="AX5186" t="s">
        <v>36995</v>
      </c>
      <c r="AY5186">
        <v>105</v>
      </c>
      <c r="AZ5186" s="184">
        <v>45181</v>
      </c>
      <c r="BA5186" t="s">
        <v>36995</v>
      </c>
      <c r="BB5186">
        <v>105</v>
      </c>
      <c r="BC5186">
        <v>88</v>
      </c>
      <c r="BD5186">
        <v>959</v>
      </c>
      <c r="BE5186">
        <v>2018</v>
      </c>
      <c r="BF5186">
        <v>19</v>
      </c>
      <c r="BG5186">
        <v>3</v>
      </c>
      <c r="BH5186">
        <v>255</v>
      </c>
      <c r="BI5186">
        <v>7</v>
      </c>
      <c r="BJ5186">
        <v>8</v>
      </c>
      <c r="BK5186">
        <v>7</v>
      </c>
      <c r="BP5186" s="184"/>
    </row>
    <row r="5187" spans="1:68">
      <c r="A5187">
        <v>97479984</v>
      </c>
      <c r="B5187">
        <v>97479984</v>
      </c>
      <c r="C5187" t="s">
        <v>7018</v>
      </c>
      <c r="D5187" t="s">
        <v>595</v>
      </c>
      <c r="E5187" s="184">
        <v>44441</v>
      </c>
      <c r="G5187" s="184"/>
      <c r="I5187" s="184"/>
      <c r="K5187" s="184"/>
      <c r="O5187" s="184"/>
      <c r="P5187" t="s">
        <v>7045</v>
      </c>
      <c r="Q5187" t="s">
        <v>7160</v>
      </c>
      <c r="R5187" s="184">
        <v>16070</v>
      </c>
      <c r="S5187">
        <v>80</v>
      </c>
      <c r="U5187" t="s">
        <v>7031</v>
      </c>
      <c r="V5187" t="s">
        <v>2541</v>
      </c>
      <c r="W5187" t="s">
        <v>7246</v>
      </c>
      <c r="X5187" t="s">
        <v>36996</v>
      </c>
      <c r="AF5187" t="s">
        <v>36997</v>
      </c>
      <c r="AG5187" t="s">
        <v>2541</v>
      </c>
      <c r="AI5187" t="s">
        <v>36998</v>
      </c>
      <c r="AM5187" t="s">
        <v>28463</v>
      </c>
      <c r="AN5187" t="s">
        <v>2446</v>
      </c>
      <c r="AO5187" t="s">
        <v>36999</v>
      </c>
      <c r="AP5187" t="s">
        <v>7024</v>
      </c>
      <c r="AQ5187" t="s">
        <v>37000</v>
      </c>
      <c r="AT5187" s="184">
        <v>43074</v>
      </c>
      <c r="AU5187" t="s">
        <v>37001</v>
      </c>
      <c r="AV5187">
        <v>50</v>
      </c>
      <c r="AW5187" s="184">
        <v>45019</v>
      </c>
      <c r="AX5187" t="s">
        <v>32956</v>
      </c>
      <c r="AY5187">
        <v>75</v>
      </c>
      <c r="AZ5187" s="184">
        <v>45019</v>
      </c>
      <c r="BA5187" t="s">
        <v>32956</v>
      </c>
      <c r="BB5187">
        <v>75</v>
      </c>
      <c r="BC5187">
        <v>88</v>
      </c>
      <c r="BD5187">
        <v>425</v>
      </c>
      <c r="BE5187">
        <v>2018</v>
      </c>
      <c r="BF5187">
        <v>7</v>
      </c>
      <c r="BG5187">
        <v>1</v>
      </c>
      <c r="BH5187">
        <v>75</v>
      </c>
      <c r="BI5187">
        <v>7</v>
      </c>
      <c r="BJ5187">
        <v>8</v>
      </c>
      <c r="BK5187">
        <v>7</v>
      </c>
      <c r="BP5187" s="184"/>
    </row>
    <row r="5188" spans="1:68">
      <c r="A5188">
        <v>97521884</v>
      </c>
      <c r="B5188">
        <v>97521884</v>
      </c>
      <c r="C5188" t="s">
        <v>7018</v>
      </c>
      <c r="E5188" s="184"/>
      <c r="G5188" s="184"/>
      <c r="H5188" t="s">
        <v>595</v>
      </c>
      <c r="I5188" s="184">
        <v>44004</v>
      </c>
      <c r="K5188" s="184"/>
      <c r="O5188" s="184"/>
      <c r="P5188" t="s">
        <v>7045</v>
      </c>
      <c r="Q5188" t="s">
        <v>7160</v>
      </c>
      <c r="R5188" s="184">
        <v>18019</v>
      </c>
      <c r="S5188">
        <v>75</v>
      </c>
      <c r="U5188" t="s">
        <v>7094</v>
      </c>
      <c r="V5188" t="s">
        <v>2958</v>
      </c>
      <c r="X5188" t="s">
        <v>37002</v>
      </c>
      <c r="AF5188" t="s">
        <v>37003</v>
      </c>
      <c r="AG5188" t="s">
        <v>2958</v>
      </c>
      <c r="AI5188" t="s">
        <v>37004</v>
      </c>
      <c r="AM5188" t="s">
        <v>3960</v>
      </c>
      <c r="AN5188" t="s">
        <v>2413</v>
      </c>
      <c r="AO5188" t="s">
        <v>37005</v>
      </c>
      <c r="AP5188" t="s">
        <v>7024</v>
      </c>
      <c r="AQ5188" t="s">
        <v>37006</v>
      </c>
      <c r="AT5188" s="184">
        <v>43083</v>
      </c>
      <c r="AU5188" t="s">
        <v>22555</v>
      </c>
      <c r="AV5188">
        <v>25</v>
      </c>
      <c r="AW5188" s="184">
        <v>44728</v>
      </c>
      <c r="AX5188" t="s">
        <v>37007</v>
      </c>
      <c r="AY5188">
        <v>35</v>
      </c>
      <c r="AZ5188" s="184">
        <v>44728</v>
      </c>
      <c r="BA5188" t="s">
        <v>37007</v>
      </c>
      <c r="BB5188">
        <v>35</v>
      </c>
      <c r="BC5188">
        <v>38</v>
      </c>
      <c r="BD5188">
        <v>95</v>
      </c>
      <c r="BE5188">
        <v>2018</v>
      </c>
      <c r="BF5188">
        <v>3</v>
      </c>
      <c r="BG5188">
        <v>1</v>
      </c>
      <c r="BH5188">
        <v>35</v>
      </c>
      <c r="BI5188">
        <v>3</v>
      </c>
      <c r="BJ5188">
        <v>8</v>
      </c>
      <c r="BK5188">
        <v>1</v>
      </c>
      <c r="BP5188" s="184"/>
    </row>
    <row r="5189" spans="1:68">
      <c r="A5189">
        <v>97534994</v>
      </c>
      <c r="B5189">
        <v>97534994</v>
      </c>
      <c r="C5189" t="s">
        <v>7018</v>
      </c>
      <c r="D5189" t="s">
        <v>595</v>
      </c>
      <c r="E5189" s="184">
        <v>45140</v>
      </c>
      <c r="I5189" s="184"/>
      <c r="K5189" s="184"/>
      <c r="M5189" s="184"/>
      <c r="P5189" t="s">
        <v>7045</v>
      </c>
      <c r="Q5189" t="s">
        <v>7383</v>
      </c>
      <c r="R5189" s="184">
        <v>18749</v>
      </c>
      <c r="S5189">
        <v>73</v>
      </c>
      <c r="V5189" t="s">
        <v>3122</v>
      </c>
      <c r="X5189" t="s">
        <v>37008</v>
      </c>
      <c r="AF5189" t="s">
        <v>37009</v>
      </c>
      <c r="AG5189" t="s">
        <v>3122</v>
      </c>
      <c r="AI5189" t="s">
        <v>37010</v>
      </c>
      <c r="AM5189" t="s">
        <v>2662</v>
      </c>
      <c r="AN5189" t="s">
        <v>2313</v>
      </c>
      <c r="AO5189" t="s">
        <v>37011</v>
      </c>
      <c r="AP5189" t="s">
        <v>7024</v>
      </c>
      <c r="AQ5189" t="s">
        <v>37012</v>
      </c>
      <c r="AT5189" s="184">
        <v>43084</v>
      </c>
      <c r="AU5189" t="s">
        <v>37013</v>
      </c>
      <c r="AV5189">
        <v>25</v>
      </c>
      <c r="AW5189" s="184">
        <v>45411</v>
      </c>
      <c r="AX5189" t="s">
        <v>9437</v>
      </c>
      <c r="AY5189">
        <v>75</v>
      </c>
      <c r="AZ5189" s="184">
        <v>45411</v>
      </c>
      <c r="BA5189" t="s">
        <v>9437</v>
      </c>
      <c r="BB5189">
        <v>75</v>
      </c>
      <c r="BC5189">
        <v>88</v>
      </c>
      <c r="BD5189">
        <v>505</v>
      </c>
      <c r="BE5189">
        <v>2018</v>
      </c>
      <c r="BF5189">
        <v>10</v>
      </c>
      <c r="BG5189">
        <v>3</v>
      </c>
      <c r="BH5189">
        <v>225</v>
      </c>
      <c r="BI5189">
        <v>7</v>
      </c>
      <c r="BJ5189">
        <v>8</v>
      </c>
      <c r="BK5189">
        <v>5</v>
      </c>
      <c r="BP5189" s="184"/>
    </row>
    <row r="5190" spans="1:68">
      <c r="A5190">
        <v>97538128</v>
      </c>
      <c r="B5190">
        <v>97538128</v>
      </c>
      <c r="C5190" t="s">
        <v>7018</v>
      </c>
      <c r="E5190" s="184"/>
      <c r="G5190" s="184"/>
      <c r="I5190" s="184"/>
      <c r="J5190" t="s">
        <v>595</v>
      </c>
      <c r="K5190" s="184">
        <v>43851</v>
      </c>
      <c r="M5190" s="184"/>
      <c r="O5190" s="184"/>
      <c r="P5190" t="s">
        <v>7029</v>
      </c>
      <c r="Q5190" t="s">
        <v>7262</v>
      </c>
      <c r="R5190" s="184"/>
      <c r="U5190" t="s">
        <v>7076</v>
      </c>
      <c r="V5190" t="s">
        <v>31383</v>
      </c>
      <c r="X5190" t="s">
        <v>37014</v>
      </c>
      <c r="AF5190" t="s">
        <v>6332</v>
      </c>
      <c r="AG5190" t="s">
        <v>31383</v>
      </c>
      <c r="AI5190" t="s">
        <v>37015</v>
      </c>
      <c r="AM5190" t="s">
        <v>37016</v>
      </c>
      <c r="AN5190" t="s">
        <v>2069</v>
      </c>
      <c r="AO5190" t="s">
        <v>37017</v>
      </c>
      <c r="AP5190" t="s">
        <v>7024</v>
      </c>
      <c r="AQ5190" t="s">
        <v>37018</v>
      </c>
      <c r="AT5190" s="184">
        <v>43088</v>
      </c>
      <c r="AU5190" t="s">
        <v>22741</v>
      </c>
      <c r="AV5190">
        <v>250</v>
      </c>
      <c r="AW5190" s="184">
        <v>45138</v>
      </c>
      <c r="AX5190" t="s">
        <v>37019</v>
      </c>
      <c r="AY5190">
        <v>1000</v>
      </c>
      <c r="AZ5190" s="184">
        <v>45138</v>
      </c>
      <c r="BA5190" t="s">
        <v>37019</v>
      </c>
      <c r="BB5190">
        <v>1000</v>
      </c>
      <c r="BC5190">
        <v>75</v>
      </c>
      <c r="BD5190">
        <v>3750</v>
      </c>
      <c r="BE5190">
        <v>2018</v>
      </c>
      <c r="BF5190">
        <v>6</v>
      </c>
      <c r="BG5190">
        <v>2</v>
      </c>
      <c r="BH5190">
        <v>2000</v>
      </c>
      <c r="BI5190">
        <v>6</v>
      </c>
      <c r="BJ5190">
        <v>8</v>
      </c>
      <c r="BK5190">
        <v>4</v>
      </c>
      <c r="BP5190" s="184"/>
    </row>
    <row r="5191" spans="1:68">
      <c r="A5191">
        <v>97540777</v>
      </c>
      <c r="B5191">
        <v>97540777</v>
      </c>
      <c r="C5191" t="s">
        <v>7018</v>
      </c>
      <c r="D5191" t="s">
        <v>595</v>
      </c>
      <c r="E5191" s="184">
        <v>45104</v>
      </c>
      <c r="G5191" s="184"/>
      <c r="I5191" s="184"/>
      <c r="K5191" s="184"/>
      <c r="M5191" s="184"/>
      <c r="O5191" s="184"/>
      <c r="P5191" t="s">
        <v>7019</v>
      </c>
      <c r="Q5191" t="s">
        <v>7494</v>
      </c>
      <c r="R5191" s="184">
        <v>19400</v>
      </c>
      <c r="S5191">
        <v>71</v>
      </c>
      <c r="V5191" t="s">
        <v>2961</v>
      </c>
      <c r="X5191" t="s">
        <v>37020</v>
      </c>
      <c r="AF5191" t="s">
        <v>37021</v>
      </c>
      <c r="AG5191" t="s">
        <v>2961</v>
      </c>
      <c r="AI5191" t="s">
        <v>37022</v>
      </c>
      <c r="AM5191" t="s">
        <v>37023</v>
      </c>
      <c r="AN5191" t="s">
        <v>2484</v>
      </c>
      <c r="AO5191" t="s">
        <v>37024</v>
      </c>
      <c r="AP5191" t="s">
        <v>7024</v>
      </c>
      <c r="AQ5191" t="s">
        <v>37025</v>
      </c>
      <c r="AR5191" t="s">
        <v>37026</v>
      </c>
      <c r="AT5191" s="184">
        <v>43087</v>
      </c>
      <c r="AU5191" t="s">
        <v>37027</v>
      </c>
      <c r="AV5191">
        <v>15</v>
      </c>
      <c r="AW5191" s="184">
        <v>45406</v>
      </c>
      <c r="AX5191" t="s">
        <v>11966</v>
      </c>
      <c r="AY5191">
        <v>25</v>
      </c>
      <c r="AZ5191" s="184">
        <v>44743</v>
      </c>
      <c r="BA5191" t="s">
        <v>37028</v>
      </c>
      <c r="BB5191">
        <v>60</v>
      </c>
      <c r="BC5191">
        <v>88</v>
      </c>
      <c r="BD5191">
        <v>390</v>
      </c>
      <c r="BE5191">
        <v>2018</v>
      </c>
      <c r="BF5191">
        <v>14</v>
      </c>
      <c r="BG5191">
        <v>4</v>
      </c>
      <c r="BH5191">
        <v>135</v>
      </c>
      <c r="BI5191">
        <v>7</v>
      </c>
      <c r="BJ5191">
        <v>8</v>
      </c>
      <c r="BK5191">
        <v>6</v>
      </c>
      <c r="BP5191" s="184"/>
    </row>
    <row r="5192" spans="1:68">
      <c r="A5192">
        <v>97541221</v>
      </c>
      <c r="B5192">
        <v>97541221</v>
      </c>
      <c r="C5192" t="s">
        <v>7018</v>
      </c>
      <c r="D5192" t="s">
        <v>595</v>
      </c>
      <c r="E5192" s="184">
        <v>45154</v>
      </c>
      <c r="G5192" s="184"/>
      <c r="I5192" s="184"/>
      <c r="K5192" s="184"/>
      <c r="O5192" s="184"/>
      <c r="P5192" t="s">
        <v>7045</v>
      </c>
      <c r="Q5192" t="s">
        <v>7383</v>
      </c>
      <c r="R5192" s="184">
        <v>17070</v>
      </c>
      <c r="S5192">
        <v>77</v>
      </c>
      <c r="V5192" t="s">
        <v>3527</v>
      </c>
      <c r="X5192" t="s">
        <v>16244</v>
      </c>
      <c r="AF5192" t="s">
        <v>37029</v>
      </c>
      <c r="AG5192" t="s">
        <v>3527</v>
      </c>
      <c r="AI5192" t="s">
        <v>37030</v>
      </c>
      <c r="AM5192" t="s">
        <v>4615</v>
      </c>
      <c r="AN5192" t="s">
        <v>2419</v>
      </c>
      <c r="AO5192" t="s">
        <v>37031</v>
      </c>
      <c r="AP5192" t="s">
        <v>7024</v>
      </c>
      <c r="AQ5192" t="s">
        <v>37032</v>
      </c>
      <c r="AT5192" s="184">
        <v>43087</v>
      </c>
      <c r="AU5192" t="s">
        <v>37033</v>
      </c>
      <c r="AV5192">
        <v>35</v>
      </c>
      <c r="AW5192" s="184">
        <v>45264</v>
      </c>
      <c r="AX5192" t="s">
        <v>37034</v>
      </c>
      <c r="AY5192">
        <v>35</v>
      </c>
      <c r="AZ5192" s="184">
        <v>45264</v>
      </c>
      <c r="BA5192" t="s">
        <v>37034</v>
      </c>
      <c r="BB5192">
        <v>35</v>
      </c>
      <c r="BC5192">
        <v>75</v>
      </c>
      <c r="BD5192">
        <v>210</v>
      </c>
      <c r="BE5192">
        <v>2018</v>
      </c>
      <c r="BF5192">
        <v>6</v>
      </c>
      <c r="BG5192">
        <v>2</v>
      </c>
      <c r="BH5192">
        <v>70</v>
      </c>
      <c r="BI5192">
        <v>6</v>
      </c>
      <c r="BJ5192">
        <v>8</v>
      </c>
      <c r="BK5192">
        <v>4</v>
      </c>
      <c r="BP5192" s="184"/>
    </row>
    <row r="5193" spans="1:68">
      <c r="A5193">
        <v>97541510</v>
      </c>
      <c r="B5193">
        <v>97541510</v>
      </c>
      <c r="C5193" t="s">
        <v>7018</v>
      </c>
      <c r="D5193" t="s">
        <v>595</v>
      </c>
      <c r="E5193" s="184">
        <v>45195</v>
      </c>
      <c r="G5193" s="184"/>
      <c r="I5193" s="184"/>
      <c r="K5193" s="184"/>
      <c r="O5193" s="184"/>
      <c r="P5193" t="s">
        <v>7029</v>
      </c>
      <c r="Q5193" t="s">
        <v>7374</v>
      </c>
      <c r="R5193" s="184">
        <v>13820</v>
      </c>
      <c r="S5193">
        <v>86</v>
      </c>
      <c r="V5193" t="s">
        <v>2898</v>
      </c>
      <c r="X5193" t="s">
        <v>37035</v>
      </c>
      <c r="Z5193">
        <v>100171019</v>
      </c>
      <c r="AB5193" t="s">
        <v>2523</v>
      </c>
      <c r="AD5193" t="s">
        <v>37035</v>
      </c>
      <c r="AF5193" t="s">
        <v>37036</v>
      </c>
      <c r="AG5193" t="s">
        <v>37037</v>
      </c>
      <c r="AI5193" t="s">
        <v>37038</v>
      </c>
      <c r="AM5193" t="s">
        <v>22599</v>
      </c>
      <c r="AN5193" t="s">
        <v>2081</v>
      </c>
      <c r="AO5193" t="s">
        <v>37039</v>
      </c>
      <c r="AP5193" t="s">
        <v>7024</v>
      </c>
      <c r="AT5193" s="184">
        <v>43087</v>
      </c>
      <c r="AU5193" t="s">
        <v>37027</v>
      </c>
      <c r="AV5193">
        <v>25</v>
      </c>
      <c r="AW5193" s="184">
        <v>45302</v>
      </c>
      <c r="AX5193" t="s">
        <v>10458</v>
      </c>
      <c r="AY5193">
        <v>250</v>
      </c>
      <c r="AZ5193" s="184">
        <v>44904</v>
      </c>
      <c r="BA5193" t="s">
        <v>13973</v>
      </c>
      <c r="BB5193">
        <v>300</v>
      </c>
      <c r="BC5193">
        <v>88</v>
      </c>
      <c r="BD5193">
        <v>2505</v>
      </c>
      <c r="BE5193">
        <v>2018</v>
      </c>
      <c r="BF5193">
        <v>20</v>
      </c>
      <c r="BG5193">
        <v>6</v>
      </c>
      <c r="BH5193">
        <v>1150</v>
      </c>
      <c r="BI5193">
        <v>7</v>
      </c>
      <c r="BJ5193">
        <v>8</v>
      </c>
      <c r="BK5193">
        <v>6</v>
      </c>
      <c r="BP5193" s="184"/>
    </row>
    <row r="5194" spans="1:68">
      <c r="A5194">
        <v>100171019</v>
      </c>
      <c r="B5194">
        <v>97541510</v>
      </c>
      <c r="C5194" t="s">
        <v>7018</v>
      </c>
      <c r="D5194" t="s">
        <v>595</v>
      </c>
      <c r="E5194" s="184">
        <v>45195</v>
      </c>
      <c r="G5194" s="184"/>
      <c r="I5194" s="184"/>
      <c r="K5194" s="184"/>
      <c r="M5194" s="184"/>
      <c r="O5194" s="184"/>
      <c r="P5194" t="s">
        <v>7029</v>
      </c>
      <c r="Q5194" t="s">
        <v>7374</v>
      </c>
      <c r="R5194" s="184">
        <v>14885</v>
      </c>
      <c r="S5194">
        <v>83</v>
      </c>
      <c r="V5194" t="s">
        <v>2523</v>
      </c>
      <c r="X5194" t="s">
        <v>37035</v>
      </c>
      <c r="Z5194">
        <v>97541510</v>
      </c>
      <c r="AB5194" t="s">
        <v>2898</v>
      </c>
      <c r="AD5194" t="s">
        <v>37035</v>
      </c>
      <c r="AF5194" t="s">
        <v>37036</v>
      </c>
      <c r="AG5194" t="s">
        <v>37037</v>
      </c>
      <c r="AI5194" t="s">
        <v>37038</v>
      </c>
      <c r="AM5194" t="s">
        <v>22599</v>
      </c>
      <c r="AN5194" t="s">
        <v>2081</v>
      </c>
      <c r="AO5194" t="s">
        <v>37039</v>
      </c>
      <c r="AP5194" t="s">
        <v>7024</v>
      </c>
      <c r="AT5194" s="184"/>
      <c r="AW5194" s="184"/>
      <c r="AZ5194" s="184"/>
      <c r="BP5194" s="184"/>
    </row>
    <row r="5195" spans="1:68">
      <c r="A5195">
        <v>97542674</v>
      </c>
      <c r="B5195">
        <v>97542674</v>
      </c>
      <c r="C5195" t="s">
        <v>7018</v>
      </c>
      <c r="E5195" s="184"/>
      <c r="G5195" s="184"/>
      <c r="I5195" s="184"/>
      <c r="J5195" t="s">
        <v>595</v>
      </c>
      <c r="K5195" s="184">
        <v>43503</v>
      </c>
      <c r="M5195" s="184"/>
      <c r="O5195" s="184"/>
      <c r="P5195" t="s">
        <v>7045</v>
      </c>
      <c r="Q5195" t="s">
        <v>7262</v>
      </c>
      <c r="R5195" s="184">
        <v>11893</v>
      </c>
      <c r="S5195">
        <v>91</v>
      </c>
      <c r="U5195" t="s">
        <v>7031</v>
      </c>
      <c r="V5195" t="s">
        <v>2697</v>
      </c>
      <c r="W5195" t="s">
        <v>3226</v>
      </c>
      <c r="X5195" t="s">
        <v>2698</v>
      </c>
      <c r="AF5195" t="s">
        <v>6723</v>
      </c>
      <c r="AG5195" t="s">
        <v>2697</v>
      </c>
      <c r="AI5195" t="s">
        <v>37040</v>
      </c>
      <c r="AM5195" t="s">
        <v>2699</v>
      </c>
      <c r="AN5195" t="s">
        <v>2106</v>
      </c>
      <c r="AO5195" t="s">
        <v>37041</v>
      </c>
      <c r="AP5195" t="s">
        <v>7024</v>
      </c>
      <c r="AQ5195" t="s">
        <v>37042</v>
      </c>
      <c r="AT5195" s="184">
        <v>43087</v>
      </c>
      <c r="AU5195" t="s">
        <v>37043</v>
      </c>
      <c r="AV5195">
        <v>25</v>
      </c>
      <c r="AW5195" s="184">
        <v>44393</v>
      </c>
      <c r="AX5195" t="s">
        <v>10763</v>
      </c>
      <c r="AY5195">
        <v>25</v>
      </c>
      <c r="AZ5195" s="184">
        <v>44393</v>
      </c>
      <c r="BA5195" t="s">
        <v>10763</v>
      </c>
      <c r="BB5195">
        <v>25</v>
      </c>
      <c r="BC5195">
        <v>38</v>
      </c>
      <c r="BD5195">
        <v>65</v>
      </c>
      <c r="BE5195">
        <v>2018</v>
      </c>
      <c r="BF5195">
        <v>3</v>
      </c>
      <c r="BI5195">
        <v>3</v>
      </c>
      <c r="BJ5195">
        <v>8</v>
      </c>
      <c r="BK5195">
        <v>2</v>
      </c>
      <c r="BP5195" s="184"/>
    </row>
    <row r="5196" spans="1:68">
      <c r="A5196">
        <v>97544332</v>
      </c>
      <c r="B5196">
        <v>97544332</v>
      </c>
      <c r="C5196" t="s">
        <v>7018</v>
      </c>
      <c r="E5196" s="184"/>
      <c r="G5196" s="184"/>
      <c r="I5196" s="184"/>
      <c r="J5196" t="s">
        <v>595</v>
      </c>
      <c r="K5196" s="184">
        <v>45145</v>
      </c>
      <c r="M5196" s="184"/>
      <c r="O5196" s="184"/>
      <c r="P5196" t="s">
        <v>7045</v>
      </c>
      <c r="Q5196" t="s">
        <v>7383</v>
      </c>
      <c r="R5196" s="184">
        <v>25204</v>
      </c>
      <c r="S5196">
        <v>55</v>
      </c>
      <c r="V5196" t="s">
        <v>37044</v>
      </c>
      <c r="W5196" t="s">
        <v>4139</v>
      </c>
      <c r="X5196" t="s">
        <v>37045</v>
      </c>
      <c r="AF5196" t="s">
        <v>37046</v>
      </c>
      <c r="AG5196" t="s">
        <v>37044</v>
      </c>
      <c r="AI5196" t="s">
        <v>37047</v>
      </c>
      <c r="AM5196" t="s">
        <v>3118</v>
      </c>
      <c r="AN5196" t="s">
        <v>2274</v>
      </c>
      <c r="AO5196" t="s">
        <v>37048</v>
      </c>
      <c r="AP5196" t="s">
        <v>7024</v>
      </c>
      <c r="AQ5196" t="s">
        <v>37049</v>
      </c>
      <c r="AT5196" s="184">
        <v>43089</v>
      </c>
      <c r="AU5196" t="s">
        <v>22741</v>
      </c>
      <c r="AV5196">
        <v>100</v>
      </c>
      <c r="AW5196" s="184">
        <v>44950</v>
      </c>
      <c r="AX5196" t="s">
        <v>7405</v>
      </c>
      <c r="AY5196">
        <v>100</v>
      </c>
      <c r="AZ5196" s="184">
        <v>44950</v>
      </c>
      <c r="BA5196" t="s">
        <v>7405</v>
      </c>
      <c r="BB5196">
        <v>100</v>
      </c>
      <c r="BC5196">
        <v>75</v>
      </c>
      <c r="BD5196">
        <v>550</v>
      </c>
      <c r="BE5196">
        <v>2018</v>
      </c>
      <c r="BF5196">
        <v>6</v>
      </c>
      <c r="BG5196">
        <v>2</v>
      </c>
      <c r="BH5196">
        <v>200</v>
      </c>
      <c r="BI5196">
        <v>6</v>
      </c>
      <c r="BJ5196">
        <v>8</v>
      </c>
      <c r="BK5196">
        <v>5</v>
      </c>
      <c r="BN5196" t="s">
        <v>595</v>
      </c>
      <c r="BP5196" s="184"/>
    </row>
    <row r="5197" spans="1:68">
      <c r="A5197">
        <v>97553903</v>
      </c>
      <c r="B5197">
        <v>97553903</v>
      </c>
      <c r="C5197" t="s">
        <v>7018</v>
      </c>
      <c r="D5197" t="s">
        <v>595</v>
      </c>
      <c r="E5197" s="184">
        <v>44438</v>
      </c>
      <c r="G5197" s="184"/>
      <c r="I5197" s="184"/>
      <c r="K5197" s="184"/>
      <c r="O5197" s="184"/>
      <c r="P5197" t="s">
        <v>7045</v>
      </c>
      <c r="Q5197" t="s">
        <v>7160</v>
      </c>
      <c r="R5197" s="184">
        <v>18264</v>
      </c>
      <c r="S5197">
        <v>74</v>
      </c>
      <c r="U5197" t="s">
        <v>7130</v>
      </c>
      <c r="V5197" t="s">
        <v>2718</v>
      </c>
      <c r="X5197" t="s">
        <v>37050</v>
      </c>
      <c r="AF5197" t="s">
        <v>37051</v>
      </c>
      <c r="AG5197" t="s">
        <v>2718</v>
      </c>
      <c r="AI5197" t="s">
        <v>37052</v>
      </c>
      <c r="AM5197" t="s">
        <v>7434</v>
      </c>
      <c r="AN5197" t="s">
        <v>2446</v>
      </c>
      <c r="AO5197" t="s">
        <v>37053</v>
      </c>
      <c r="AP5197" t="s">
        <v>7024</v>
      </c>
      <c r="AQ5197" t="s">
        <v>37054</v>
      </c>
      <c r="AT5197" s="184">
        <v>43089</v>
      </c>
      <c r="AU5197" t="s">
        <v>37055</v>
      </c>
      <c r="AV5197">
        <v>25</v>
      </c>
      <c r="AW5197" s="184">
        <v>45372</v>
      </c>
      <c r="AX5197" t="s">
        <v>23569</v>
      </c>
      <c r="AY5197">
        <v>200</v>
      </c>
      <c r="AZ5197" s="184">
        <v>45372</v>
      </c>
      <c r="BA5197" t="s">
        <v>23569</v>
      </c>
      <c r="BB5197">
        <v>200</v>
      </c>
      <c r="BC5197">
        <v>100</v>
      </c>
      <c r="BD5197">
        <v>1225</v>
      </c>
      <c r="BE5197">
        <v>2018</v>
      </c>
      <c r="BF5197">
        <v>16</v>
      </c>
      <c r="BG5197">
        <v>6</v>
      </c>
      <c r="BH5197">
        <v>750</v>
      </c>
      <c r="BI5197">
        <v>8</v>
      </c>
      <c r="BJ5197">
        <v>8</v>
      </c>
      <c r="BK5197">
        <v>8</v>
      </c>
      <c r="BP5197" s="184"/>
    </row>
    <row r="5198" spans="1:68">
      <c r="A5198">
        <v>97554653</v>
      </c>
      <c r="B5198">
        <v>97554653</v>
      </c>
      <c r="C5198" t="s">
        <v>7018</v>
      </c>
      <c r="D5198" t="s">
        <v>595</v>
      </c>
      <c r="E5198" s="184">
        <v>45146</v>
      </c>
      <c r="G5198" s="184"/>
      <c r="I5198" s="184"/>
      <c r="K5198" s="184"/>
      <c r="M5198" s="184"/>
      <c r="P5198" t="s">
        <v>7045</v>
      </c>
      <c r="Q5198" t="s">
        <v>7383</v>
      </c>
      <c r="R5198" s="184">
        <v>17958</v>
      </c>
      <c r="S5198">
        <v>75</v>
      </c>
      <c r="V5198" t="s">
        <v>3235</v>
      </c>
      <c r="W5198" t="s">
        <v>4013</v>
      </c>
      <c r="X5198" t="s">
        <v>37056</v>
      </c>
      <c r="AF5198" t="s">
        <v>37057</v>
      </c>
      <c r="AG5198" t="s">
        <v>3235</v>
      </c>
      <c r="AI5198" t="s">
        <v>37058</v>
      </c>
      <c r="AM5198" t="s">
        <v>11917</v>
      </c>
      <c r="AN5198" t="s">
        <v>2274</v>
      </c>
      <c r="AO5198" t="s">
        <v>37059</v>
      </c>
      <c r="AP5198" t="s">
        <v>7024</v>
      </c>
      <c r="AQ5198" t="s">
        <v>37060</v>
      </c>
      <c r="AT5198" s="184">
        <v>43089</v>
      </c>
      <c r="AU5198" t="s">
        <v>37061</v>
      </c>
      <c r="AV5198">
        <v>40</v>
      </c>
      <c r="AW5198" s="184">
        <v>45316</v>
      </c>
      <c r="AX5198" t="s">
        <v>7972</v>
      </c>
      <c r="AY5198">
        <v>50</v>
      </c>
      <c r="AZ5198" s="184">
        <v>45316</v>
      </c>
      <c r="BA5198" t="s">
        <v>7972</v>
      </c>
      <c r="BB5198">
        <v>50</v>
      </c>
      <c r="BC5198">
        <v>88</v>
      </c>
      <c r="BD5198">
        <v>370</v>
      </c>
      <c r="BE5198">
        <v>2018</v>
      </c>
      <c r="BF5198">
        <v>8</v>
      </c>
      <c r="BG5198">
        <v>3</v>
      </c>
      <c r="BH5198">
        <v>150</v>
      </c>
      <c r="BI5198">
        <v>7</v>
      </c>
      <c r="BJ5198">
        <v>8</v>
      </c>
      <c r="BK5198">
        <v>4</v>
      </c>
      <c r="BP5198" s="184"/>
    </row>
    <row r="5199" spans="1:68">
      <c r="A5199">
        <v>97562466</v>
      </c>
      <c r="B5199">
        <v>97562466</v>
      </c>
      <c r="C5199" t="s">
        <v>7018</v>
      </c>
      <c r="D5199" t="s">
        <v>595</v>
      </c>
      <c r="E5199" s="184">
        <v>45180</v>
      </c>
      <c r="G5199" s="184"/>
      <c r="I5199" s="184"/>
      <c r="K5199" s="184"/>
      <c r="P5199" t="s">
        <v>7045</v>
      </c>
      <c r="Q5199" t="s">
        <v>7194</v>
      </c>
      <c r="R5199" s="184">
        <v>15220</v>
      </c>
      <c r="S5199">
        <v>82</v>
      </c>
      <c r="V5199" t="s">
        <v>3373</v>
      </c>
      <c r="W5199" t="s">
        <v>5006</v>
      </c>
      <c r="X5199" t="s">
        <v>37062</v>
      </c>
      <c r="AF5199" t="s">
        <v>37063</v>
      </c>
      <c r="AG5199" t="s">
        <v>3373</v>
      </c>
      <c r="AI5199" t="s">
        <v>37064</v>
      </c>
      <c r="AM5199" t="s">
        <v>25142</v>
      </c>
      <c r="AN5199" t="s">
        <v>2046</v>
      </c>
      <c r="AO5199" t="s">
        <v>37065</v>
      </c>
      <c r="AP5199" t="s">
        <v>7024</v>
      </c>
      <c r="AQ5199" t="s">
        <v>37066</v>
      </c>
      <c r="AT5199" s="184">
        <v>43090</v>
      </c>
      <c r="AU5199" t="s">
        <v>37067</v>
      </c>
      <c r="AV5199">
        <v>15</v>
      </c>
      <c r="AW5199" s="184">
        <v>44897</v>
      </c>
      <c r="AX5199" t="s">
        <v>12308</v>
      </c>
      <c r="AY5199">
        <v>25</v>
      </c>
      <c r="AZ5199" s="184">
        <v>44897</v>
      </c>
      <c r="BA5199" t="s">
        <v>12308</v>
      </c>
      <c r="BB5199">
        <v>25</v>
      </c>
      <c r="BC5199">
        <v>63</v>
      </c>
      <c r="BD5199">
        <v>155</v>
      </c>
      <c r="BE5199">
        <v>2018</v>
      </c>
      <c r="BF5199">
        <v>8</v>
      </c>
      <c r="BG5199">
        <v>1</v>
      </c>
      <c r="BH5199">
        <v>25</v>
      </c>
      <c r="BI5199">
        <v>5</v>
      </c>
      <c r="BJ5199">
        <v>8</v>
      </c>
      <c r="BK5199">
        <v>3</v>
      </c>
      <c r="BP5199" s="184"/>
    </row>
    <row r="5200" spans="1:68">
      <c r="A5200">
        <v>97576052</v>
      </c>
      <c r="B5200">
        <v>97576052</v>
      </c>
      <c r="C5200" t="s">
        <v>7018</v>
      </c>
      <c r="E5200" s="184"/>
      <c r="G5200" s="184"/>
      <c r="I5200" s="184"/>
      <c r="J5200" t="s">
        <v>595</v>
      </c>
      <c r="K5200" s="184">
        <v>41969</v>
      </c>
      <c r="M5200" s="184"/>
      <c r="O5200" s="184"/>
      <c r="P5200" t="s">
        <v>7045</v>
      </c>
      <c r="Q5200" t="s">
        <v>7383</v>
      </c>
      <c r="R5200" s="184">
        <v>19603</v>
      </c>
      <c r="S5200">
        <v>70</v>
      </c>
      <c r="V5200" t="s">
        <v>4151</v>
      </c>
      <c r="X5200" t="s">
        <v>5891</v>
      </c>
      <c r="AF5200" t="s">
        <v>37068</v>
      </c>
      <c r="AG5200" t="s">
        <v>4151</v>
      </c>
      <c r="AI5200" t="s">
        <v>37069</v>
      </c>
      <c r="AM5200" t="s">
        <v>37070</v>
      </c>
      <c r="AN5200" t="s">
        <v>2059</v>
      </c>
      <c r="AO5200" t="s">
        <v>37071</v>
      </c>
      <c r="AP5200" t="s">
        <v>7024</v>
      </c>
      <c r="AQ5200" t="s">
        <v>37072</v>
      </c>
      <c r="AT5200" s="184">
        <v>33065</v>
      </c>
      <c r="AU5200" t="s">
        <v>10811</v>
      </c>
      <c r="AV5200">
        <v>15</v>
      </c>
      <c r="AW5200" s="184">
        <v>43075</v>
      </c>
      <c r="AX5200" t="s">
        <v>37073</v>
      </c>
      <c r="AY5200">
        <v>3824.36</v>
      </c>
      <c r="AZ5200" s="184">
        <v>43075</v>
      </c>
      <c r="BA5200" t="s">
        <v>37073</v>
      </c>
      <c r="BB5200">
        <v>3824.36</v>
      </c>
      <c r="BC5200">
        <v>35</v>
      </c>
      <c r="BD5200">
        <v>16092.44</v>
      </c>
      <c r="BE5200">
        <v>1991</v>
      </c>
      <c r="BF5200">
        <v>21</v>
      </c>
      <c r="BI5200">
        <v>12</v>
      </c>
      <c r="BJ5200">
        <v>35</v>
      </c>
      <c r="BK5200">
        <v>5</v>
      </c>
      <c r="BP5200" s="184"/>
    </row>
    <row r="5201" spans="1:68">
      <c r="A5201">
        <v>97576706</v>
      </c>
      <c r="B5201">
        <v>97576706</v>
      </c>
      <c r="C5201" t="s">
        <v>7018</v>
      </c>
      <c r="E5201" s="184"/>
      <c r="G5201" s="184"/>
      <c r="I5201" s="184"/>
      <c r="J5201" t="s">
        <v>595</v>
      </c>
      <c r="K5201" s="184">
        <v>44069</v>
      </c>
      <c r="M5201" s="184"/>
      <c r="O5201" s="184"/>
      <c r="P5201" t="s">
        <v>7084</v>
      </c>
      <c r="Q5201" t="s">
        <v>7383</v>
      </c>
      <c r="R5201" s="184">
        <v>13706</v>
      </c>
      <c r="S5201">
        <v>86</v>
      </c>
      <c r="U5201" t="s">
        <v>7031</v>
      </c>
      <c r="V5201" t="s">
        <v>2511</v>
      </c>
      <c r="W5201" t="s">
        <v>2058</v>
      </c>
      <c r="X5201" t="s">
        <v>37074</v>
      </c>
      <c r="AF5201" t="s">
        <v>37075</v>
      </c>
      <c r="AG5201" t="s">
        <v>2511</v>
      </c>
      <c r="AI5201" t="s">
        <v>37076</v>
      </c>
      <c r="AJ5201" t="s">
        <v>37077</v>
      </c>
      <c r="AM5201" t="s">
        <v>3121</v>
      </c>
      <c r="AN5201" t="s">
        <v>2144</v>
      </c>
      <c r="AO5201" t="s">
        <v>37078</v>
      </c>
      <c r="AP5201" t="s">
        <v>7024</v>
      </c>
      <c r="AQ5201" t="s">
        <v>37079</v>
      </c>
      <c r="AT5201" s="184">
        <v>43095</v>
      </c>
      <c r="AU5201" t="s">
        <v>37080</v>
      </c>
      <c r="AV5201">
        <v>15</v>
      </c>
      <c r="AW5201" s="184">
        <v>44274</v>
      </c>
      <c r="AX5201" t="s">
        <v>7309</v>
      </c>
      <c r="AY5201">
        <v>20202.02</v>
      </c>
      <c r="AZ5201" s="184">
        <v>44274</v>
      </c>
      <c r="BA5201" t="s">
        <v>7309</v>
      </c>
      <c r="BB5201">
        <v>20202.02</v>
      </c>
      <c r="BC5201">
        <v>25</v>
      </c>
      <c r="BD5201">
        <v>20217.02</v>
      </c>
      <c r="BE5201">
        <v>2018</v>
      </c>
      <c r="BF5201">
        <v>2</v>
      </c>
      <c r="BI5201">
        <v>2</v>
      </c>
      <c r="BJ5201">
        <v>8</v>
      </c>
      <c r="BK5201">
        <v>1</v>
      </c>
      <c r="BL5201" t="s">
        <v>595</v>
      </c>
      <c r="BO5201" t="s">
        <v>595</v>
      </c>
      <c r="BP5201" s="184">
        <v>43913</v>
      </c>
    </row>
    <row r="5202" spans="1:68">
      <c r="A5202">
        <v>97579635</v>
      </c>
      <c r="B5202">
        <v>97579635</v>
      </c>
      <c r="C5202" t="s">
        <v>7018</v>
      </c>
      <c r="D5202" t="s">
        <v>595</v>
      </c>
      <c r="E5202" s="184">
        <v>45153</v>
      </c>
      <c r="G5202" s="184"/>
      <c r="I5202" s="184"/>
      <c r="K5202" s="184"/>
      <c r="M5202" s="184"/>
      <c r="P5202" t="s">
        <v>7045</v>
      </c>
      <c r="Q5202" t="s">
        <v>7383</v>
      </c>
      <c r="R5202" s="184">
        <v>19231</v>
      </c>
      <c r="S5202">
        <v>71</v>
      </c>
      <c r="U5202" t="s">
        <v>7076</v>
      </c>
      <c r="V5202" t="s">
        <v>3545</v>
      </c>
      <c r="W5202" t="s">
        <v>7407</v>
      </c>
      <c r="X5202" t="s">
        <v>37081</v>
      </c>
      <c r="AF5202" t="s">
        <v>37082</v>
      </c>
      <c r="AG5202" t="s">
        <v>3545</v>
      </c>
      <c r="AI5202" t="s">
        <v>37083</v>
      </c>
      <c r="AM5202" t="s">
        <v>37084</v>
      </c>
      <c r="AN5202" t="s">
        <v>2185</v>
      </c>
      <c r="AO5202" t="s">
        <v>37085</v>
      </c>
      <c r="AP5202" t="s">
        <v>7024</v>
      </c>
      <c r="AQ5202" t="s">
        <v>37086</v>
      </c>
      <c r="AR5202" t="s">
        <v>37087</v>
      </c>
      <c r="AT5202" s="184">
        <v>43461</v>
      </c>
      <c r="AU5202" t="s">
        <v>37088</v>
      </c>
      <c r="AV5202">
        <v>20</v>
      </c>
      <c r="AW5202" s="184">
        <v>45138</v>
      </c>
      <c r="AX5202" t="s">
        <v>37089</v>
      </c>
      <c r="AY5202">
        <v>5</v>
      </c>
      <c r="AZ5202" s="184">
        <v>43461</v>
      </c>
      <c r="BA5202" t="s">
        <v>37088</v>
      </c>
      <c r="BB5202">
        <v>20</v>
      </c>
      <c r="BC5202">
        <v>86</v>
      </c>
      <c r="BD5202">
        <v>295</v>
      </c>
      <c r="BE5202">
        <v>2019</v>
      </c>
      <c r="BF5202">
        <v>56</v>
      </c>
      <c r="BG5202">
        <v>16</v>
      </c>
      <c r="BH5202">
        <v>80</v>
      </c>
      <c r="BI5202">
        <v>6</v>
      </c>
      <c r="BJ5202">
        <v>7</v>
      </c>
      <c r="BK5202">
        <v>6</v>
      </c>
      <c r="BP5202" s="184"/>
    </row>
    <row r="5203" spans="1:68">
      <c r="A5203">
        <v>97589014</v>
      </c>
      <c r="B5203">
        <v>97589014</v>
      </c>
      <c r="C5203" t="s">
        <v>7018</v>
      </c>
      <c r="D5203" t="s">
        <v>595</v>
      </c>
      <c r="E5203" s="184">
        <v>44070</v>
      </c>
      <c r="G5203" s="184"/>
      <c r="I5203" s="184"/>
      <c r="K5203" s="184"/>
      <c r="M5203" s="184"/>
      <c r="P5203" t="s">
        <v>7045</v>
      </c>
      <c r="Q5203" t="s">
        <v>7020</v>
      </c>
      <c r="R5203" s="184">
        <v>19694</v>
      </c>
      <c r="S5203">
        <v>70</v>
      </c>
      <c r="V5203" t="s">
        <v>3400</v>
      </c>
      <c r="X5203" t="s">
        <v>2814</v>
      </c>
      <c r="AF5203" t="s">
        <v>37090</v>
      </c>
      <c r="AG5203" t="s">
        <v>3400</v>
      </c>
      <c r="AI5203" t="s">
        <v>37091</v>
      </c>
      <c r="AM5203" t="s">
        <v>37092</v>
      </c>
      <c r="AN5203" t="s">
        <v>2129</v>
      </c>
      <c r="AO5203" t="s">
        <v>37093</v>
      </c>
      <c r="AP5203" t="s">
        <v>7024</v>
      </c>
      <c r="AQ5203" t="s">
        <v>37094</v>
      </c>
      <c r="AT5203" s="184">
        <v>43098</v>
      </c>
      <c r="AU5203" t="s">
        <v>22741</v>
      </c>
      <c r="AV5203">
        <v>20</v>
      </c>
      <c r="AW5203" s="184">
        <v>43560</v>
      </c>
      <c r="AX5203" t="s">
        <v>37095</v>
      </c>
      <c r="AY5203">
        <v>25</v>
      </c>
      <c r="AZ5203" s="184">
        <v>43560</v>
      </c>
      <c r="BA5203" t="s">
        <v>37095</v>
      </c>
      <c r="BB5203">
        <v>25</v>
      </c>
      <c r="BC5203">
        <v>38</v>
      </c>
      <c r="BD5203">
        <v>65</v>
      </c>
      <c r="BE5203">
        <v>2018</v>
      </c>
      <c r="BF5203">
        <v>3</v>
      </c>
      <c r="BI5203">
        <v>3</v>
      </c>
      <c r="BJ5203">
        <v>8</v>
      </c>
      <c r="BK5203">
        <v>3</v>
      </c>
      <c r="BP5203" s="184"/>
    </row>
    <row r="5204" spans="1:68">
      <c r="A5204">
        <v>97603658</v>
      </c>
      <c r="B5204">
        <v>97603658</v>
      </c>
      <c r="C5204" t="s">
        <v>7018</v>
      </c>
      <c r="D5204" t="s">
        <v>595</v>
      </c>
      <c r="E5204" s="184">
        <v>45196</v>
      </c>
      <c r="G5204" s="184"/>
      <c r="I5204" s="184"/>
      <c r="K5204" s="184"/>
      <c r="M5204" s="184"/>
      <c r="P5204" t="s">
        <v>7045</v>
      </c>
      <c r="Q5204" t="s">
        <v>7774</v>
      </c>
      <c r="R5204" s="184">
        <v>18264</v>
      </c>
      <c r="S5204">
        <v>74</v>
      </c>
      <c r="U5204" t="s">
        <v>7031</v>
      </c>
      <c r="V5204" t="s">
        <v>4024</v>
      </c>
      <c r="X5204" t="s">
        <v>37096</v>
      </c>
      <c r="AF5204" t="s">
        <v>37097</v>
      </c>
      <c r="AG5204" t="s">
        <v>4024</v>
      </c>
      <c r="AI5204" t="s">
        <v>37098</v>
      </c>
      <c r="AM5204" t="s">
        <v>17896</v>
      </c>
      <c r="AN5204" t="s">
        <v>6952</v>
      </c>
      <c r="AO5204" t="s">
        <v>37099</v>
      </c>
      <c r="AP5204" t="s">
        <v>7024</v>
      </c>
      <c r="AQ5204" t="s">
        <v>37100</v>
      </c>
      <c r="AT5204" s="184">
        <v>43097</v>
      </c>
      <c r="AU5204" t="s">
        <v>37101</v>
      </c>
      <c r="AV5204">
        <v>50</v>
      </c>
      <c r="AW5204" s="184">
        <v>45300</v>
      </c>
      <c r="AX5204" t="s">
        <v>7832</v>
      </c>
      <c r="AY5204">
        <v>100</v>
      </c>
      <c r="AZ5204" s="184">
        <v>45300</v>
      </c>
      <c r="BA5204" t="s">
        <v>7832</v>
      </c>
      <c r="BB5204">
        <v>100</v>
      </c>
      <c r="BC5204">
        <v>75</v>
      </c>
      <c r="BD5204">
        <v>565</v>
      </c>
      <c r="BE5204">
        <v>2018</v>
      </c>
      <c r="BF5204">
        <v>8</v>
      </c>
      <c r="BG5204">
        <v>2</v>
      </c>
      <c r="BH5204">
        <v>200</v>
      </c>
      <c r="BI5204">
        <v>6</v>
      </c>
      <c r="BJ5204">
        <v>8</v>
      </c>
      <c r="BK5204">
        <v>3</v>
      </c>
      <c r="BP5204" s="184"/>
    </row>
    <row r="5205" spans="1:68">
      <c r="A5205">
        <v>97613418</v>
      </c>
      <c r="B5205">
        <v>97613418</v>
      </c>
      <c r="C5205" t="s">
        <v>7018</v>
      </c>
      <c r="D5205" t="s">
        <v>595</v>
      </c>
      <c r="E5205" s="184">
        <v>45146</v>
      </c>
      <c r="G5205" s="184"/>
      <c r="I5205" s="184"/>
      <c r="K5205" s="184"/>
      <c r="M5205" s="184"/>
      <c r="P5205" t="s">
        <v>7045</v>
      </c>
      <c r="Q5205" t="s">
        <v>7383</v>
      </c>
      <c r="R5205" s="184">
        <v>17441</v>
      </c>
      <c r="S5205">
        <v>76</v>
      </c>
      <c r="V5205" t="s">
        <v>3098</v>
      </c>
      <c r="W5205" t="s">
        <v>7407</v>
      </c>
      <c r="X5205" t="s">
        <v>37102</v>
      </c>
      <c r="AF5205" t="s">
        <v>37103</v>
      </c>
      <c r="AG5205" t="s">
        <v>3098</v>
      </c>
      <c r="AI5205" t="s">
        <v>37104</v>
      </c>
      <c r="AM5205" t="s">
        <v>4547</v>
      </c>
      <c r="AN5205" t="s">
        <v>2313</v>
      </c>
      <c r="AO5205" t="s">
        <v>37105</v>
      </c>
      <c r="AP5205" t="s">
        <v>7024</v>
      </c>
      <c r="AT5205" s="184">
        <v>43102</v>
      </c>
      <c r="AU5205" t="s">
        <v>37106</v>
      </c>
      <c r="AV5205">
        <v>30</v>
      </c>
      <c r="AW5205" s="184">
        <v>45330</v>
      </c>
      <c r="AX5205" t="s">
        <v>9312</v>
      </c>
      <c r="AY5205">
        <v>100</v>
      </c>
      <c r="AZ5205" s="184">
        <v>45330</v>
      </c>
      <c r="BA5205" t="s">
        <v>9312</v>
      </c>
      <c r="BB5205">
        <v>100</v>
      </c>
      <c r="BC5205">
        <v>100</v>
      </c>
      <c r="BD5205">
        <v>1615</v>
      </c>
      <c r="BE5205">
        <v>2018</v>
      </c>
      <c r="BF5205">
        <v>19</v>
      </c>
      <c r="BG5205">
        <v>8</v>
      </c>
      <c r="BH5205">
        <v>800</v>
      </c>
      <c r="BI5205">
        <v>7</v>
      </c>
      <c r="BJ5205">
        <v>7</v>
      </c>
      <c r="BK5205">
        <v>7</v>
      </c>
      <c r="BP5205" s="184"/>
    </row>
    <row r="5206" spans="1:68">
      <c r="A5206">
        <v>97618672</v>
      </c>
      <c r="B5206">
        <v>97618672</v>
      </c>
      <c r="C5206" t="s">
        <v>7018</v>
      </c>
      <c r="D5206" t="s">
        <v>595</v>
      </c>
      <c r="E5206" s="184">
        <v>45195</v>
      </c>
      <c r="G5206" s="184"/>
      <c r="I5206" s="184"/>
      <c r="K5206" s="184"/>
      <c r="M5206" s="184"/>
      <c r="O5206" s="184"/>
      <c r="P5206" t="s">
        <v>7045</v>
      </c>
      <c r="Q5206" t="s">
        <v>7030</v>
      </c>
      <c r="R5206" s="184">
        <v>15342</v>
      </c>
      <c r="S5206">
        <v>82</v>
      </c>
      <c r="V5206" t="s">
        <v>2992</v>
      </c>
      <c r="W5206" t="s">
        <v>2049</v>
      </c>
      <c r="X5206" t="s">
        <v>37107</v>
      </c>
      <c r="AF5206" t="s">
        <v>37108</v>
      </c>
      <c r="AG5206" t="s">
        <v>2992</v>
      </c>
      <c r="AI5206" t="s">
        <v>37109</v>
      </c>
      <c r="AM5206" t="s">
        <v>3376</v>
      </c>
      <c r="AN5206" t="s">
        <v>2094</v>
      </c>
      <c r="AO5206" t="s">
        <v>37110</v>
      </c>
      <c r="AP5206" t="s">
        <v>7024</v>
      </c>
      <c r="AQ5206" t="s">
        <v>37111</v>
      </c>
      <c r="AT5206" s="184">
        <v>43102</v>
      </c>
      <c r="AU5206" t="s">
        <v>37112</v>
      </c>
      <c r="AV5206">
        <v>25</v>
      </c>
      <c r="AW5206" s="184">
        <v>45344</v>
      </c>
      <c r="AX5206" t="s">
        <v>12392</v>
      </c>
      <c r="AY5206">
        <v>115</v>
      </c>
      <c r="AZ5206" s="184">
        <v>45344</v>
      </c>
      <c r="BA5206" t="s">
        <v>12392</v>
      </c>
      <c r="BB5206">
        <v>115</v>
      </c>
      <c r="BC5206">
        <v>100</v>
      </c>
      <c r="BD5206">
        <v>1220</v>
      </c>
      <c r="BE5206">
        <v>2018</v>
      </c>
      <c r="BF5206">
        <v>24</v>
      </c>
      <c r="BG5206">
        <v>8</v>
      </c>
      <c r="BH5206">
        <v>695</v>
      </c>
      <c r="BI5206">
        <v>7</v>
      </c>
      <c r="BJ5206">
        <v>7</v>
      </c>
      <c r="BK5206">
        <v>7</v>
      </c>
      <c r="BP5206" s="184"/>
    </row>
    <row r="5207" spans="1:68">
      <c r="A5207">
        <v>97620546</v>
      </c>
      <c r="B5207">
        <v>97620546</v>
      </c>
      <c r="C5207" t="s">
        <v>7018</v>
      </c>
      <c r="D5207" t="s">
        <v>595</v>
      </c>
      <c r="E5207" s="184">
        <v>45195</v>
      </c>
      <c r="G5207" s="184"/>
      <c r="I5207" s="184"/>
      <c r="K5207" s="184"/>
      <c r="M5207" s="184"/>
      <c r="O5207" s="184"/>
      <c r="P5207" t="s">
        <v>7045</v>
      </c>
      <c r="Q5207" t="s">
        <v>7030</v>
      </c>
      <c r="R5207" s="184">
        <v>14611</v>
      </c>
      <c r="S5207">
        <v>84</v>
      </c>
      <c r="V5207" t="s">
        <v>2918</v>
      </c>
      <c r="X5207" t="s">
        <v>37113</v>
      </c>
      <c r="AF5207" t="s">
        <v>37114</v>
      </c>
      <c r="AG5207" t="s">
        <v>2918</v>
      </c>
      <c r="AI5207" t="s">
        <v>37115</v>
      </c>
      <c r="AM5207" t="s">
        <v>3308</v>
      </c>
      <c r="AN5207" t="s">
        <v>2094</v>
      </c>
      <c r="AO5207" t="s">
        <v>37116</v>
      </c>
      <c r="AP5207" t="s">
        <v>7024</v>
      </c>
      <c r="AQ5207" t="s">
        <v>37117</v>
      </c>
      <c r="AR5207" t="s">
        <v>37118</v>
      </c>
      <c r="AT5207" s="184">
        <v>43102</v>
      </c>
      <c r="AU5207" t="s">
        <v>37119</v>
      </c>
      <c r="AV5207">
        <v>25</v>
      </c>
      <c r="AW5207" s="184">
        <v>45409</v>
      </c>
      <c r="AX5207" t="s">
        <v>10451</v>
      </c>
      <c r="AY5207">
        <v>10</v>
      </c>
      <c r="AZ5207" s="184">
        <v>45260</v>
      </c>
      <c r="BA5207" t="s">
        <v>37120</v>
      </c>
      <c r="BB5207">
        <v>26.25</v>
      </c>
      <c r="BC5207">
        <v>100</v>
      </c>
      <c r="BD5207">
        <v>326.25</v>
      </c>
      <c r="BE5207">
        <v>2018</v>
      </c>
      <c r="BF5207">
        <v>22</v>
      </c>
      <c r="BG5207">
        <v>17</v>
      </c>
      <c r="BH5207">
        <v>201.25</v>
      </c>
      <c r="BI5207">
        <v>7</v>
      </c>
      <c r="BJ5207">
        <v>7</v>
      </c>
      <c r="BK5207">
        <v>7</v>
      </c>
      <c r="BP5207" s="184"/>
    </row>
    <row r="5208" spans="1:68">
      <c r="A5208">
        <v>97626147</v>
      </c>
      <c r="B5208">
        <v>97626147</v>
      </c>
      <c r="C5208" t="s">
        <v>7018</v>
      </c>
      <c r="D5208" t="s">
        <v>595</v>
      </c>
      <c r="E5208" s="184">
        <v>45112</v>
      </c>
      <c r="G5208" s="184"/>
      <c r="I5208" s="184"/>
      <c r="K5208" s="184"/>
      <c r="M5208" s="184"/>
      <c r="P5208" t="s">
        <v>7045</v>
      </c>
      <c r="Q5208" t="s">
        <v>7383</v>
      </c>
      <c r="R5208" s="184">
        <v>18749</v>
      </c>
      <c r="S5208">
        <v>73</v>
      </c>
      <c r="V5208" t="s">
        <v>2876</v>
      </c>
      <c r="X5208" t="s">
        <v>3250</v>
      </c>
      <c r="AF5208" t="s">
        <v>37121</v>
      </c>
      <c r="AG5208" t="s">
        <v>2876</v>
      </c>
      <c r="AI5208" t="s">
        <v>37122</v>
      </c>
      <c r="AM5208" t="s">
        <v>17039</v>
      </c>
      <c r="AN5208" t="s">
        <v>2072</v>
      </c>
      <c r="AO5208" t="s">
        <v>37123</v>
      </c>
      <c r="AP5208" t="s">
        <v>7024</v>
      </c>
      <c r="AQ5208" t="s">
        <v>37124</v>
      </c>
      <c r="AT5208" s="184">
        <v>43103</v>
      </c>
      <c r="AU5208" t="s">
        <v>37125</v>
      </c>
      <c r="AV5208">
        <v>25</v>
      </c>
      <c r="AW5208" s="184">
        <v>45295</v>
      </c>
      <c r="AX5208" t="s">
        <v>22677</v>
      </c>
      <c r="AY5208">
        <v>25</v>
      </c>
      <c r="AZ5208" s="184">
        <v>43559</v>
      </c>
      <c r="BA5208" t="s">
        <v>37126</v>
      </c>
      <c r="BB5208">
        <v>87</v>
      </c>
      <c r="BC5208">
        <v>100</v>
      </c>
      <c r="BD5208">
        <v>342</v>
      </c>
      <c r="BE5208">
        <v>2018</v>
      </c>
      <c r="BF5208">
        <v>10</v>
      </c>
      <c r="BG5208">
        <v>3</v>
      </c>
      <c r="BH5208">
        <v>75</v>
      </c>
      <c r="BI5208">
        <v>7</v>
      </c>
      <c r="BJ5208">
        <v>7</v>
      </c>
      <c r="BK5208">
        <v>7</v>
      </c>
      <c r="BP5208" s="184"/>
    </row>
    <row r="5209" spans="1:68">
      <c r="A5209">
        <v>97653299</v>
      </c>
      <c r="B5209">
        <v>97653299</v>
      </c>
      <c r="C5209" t="s">
        <v>7018</v>
      </c>
      <c r="D5209" t="s">
        <v>595</v>
      </c>
      <c r="E5209" s="184">
        <v>44428</v>
      </c>
      <c r="G5209" s="184"/>
      <c r="I5209" s="184"/>
      <c r="K5209" s="184"/>
      <c r="M5209" s="184"/>
      <c r="O5209" s="184"/>
      <c r="P5209" t="s">
        <v>7045</v>
      </c>
      <c r="Q5209" t="s">
        <v>7020</v>
      </c>
      <c r="R5209" s="184">
        <v>16281</v>
      </c>
      <c r="S5209">
        <v>79</v>
      </c>
      <c r="V5209" t="s">
        <v>4022</v>
      </c>
      <c r="X5209" t="s">
        <v>12824</v>
      </c>
      <c r="AF5209" t="s">
        <v>37127</v>
      </c>
      <c r="AG5209" t="s">
        <v>4022</v>
      </c>
      <c r="AI5209" t="s">
        <v>37128</v>
      </c>
      <c r="AM5209" t="s">
        <v>3004</v>
      </c>
      <c r="AN5209" t="s">
        <v>2112</v>
      </c>
      <c r="AO5209" t="s">
        <v>37129</v>
      </c>
      <c r="AP5209" t="s">
        <v>7024</v>
      </c>
      <c r="AQ5209" t="s">
        <v>37130</v>
      </c>
      <c r="AT5209" s="184">
        <v>43109</v>
      </c>
      <c r="AU5209" t="s">
        <v>37131</v>
      </c>
      <c r="AV5209">
        <v>25</v>
      </c>
      <c r="AW5209" s="184">
        <v>44419</v>
      </c>
      <c r="AX5209" t="s">
        <v>18301</v>
      </c>
      <c r="AY5209">
        <v>100</v>
      </c>
      <c r="AZ5209" s="184">
        <v>44419</v>
      </c>
      <c r="BA5209" t="s">
        <v>18301</v>
      </c>
      <c r="BB5209">
        <v>100</v>
      </c>
      <c r="BC5209">
        <v>43</v>
      </c>
      <c r="BD5209">
        <v>360</v>
      </c>
      <c r="BE5209">
        <v>2018</v>
      </c>
      <c r="BF5209">
        <v>5</v>
      </c>
      <c r="BI5209">
        <v>3</v>
      </c>
      <c r="BJ5209">
        <v>7</v>
      </c>
      <c r="BK5209">
        <v>2</v>
      </c>
      <c r="BP5209" s="184"/>
    </row>
    <row r="5210" spans="1:68">
      <c r="A5210">
        <v>97654883</v>
      </c>
      <c r="B5210">
        <v>97654883</v>
      </c>
      <c r="C5210" t="s">
        <v>7018</v>
      </c>
      <c r="D5210" t="s">
        <v>595</v>
      </c>
      <c r="E5210" s="184">
        <v>45167</v>
      </c>
      <c r="G5210" s="184"/>
      <c r="I5210" s="184"/>
      <c r="K5210" s="184"/>
      <c r="M5210" s="184"/>
      <c r="O5210" s="184"/>
      <c r="P5210" t="s">
        <v>7045</v>
      </c>
      <c r="Q5210" t="s">
        <v>7383</v>
      </c>
      <c r="R5210" s="184">
        <v>13968</v>
      </c>
      <c r="S5210">
        <v>86</v>
      </c>
      <c r="V5210" t="s">
        <v>3868</v>
      </c>
      <c r="X5210" t="s">
        <v>37132</v>
      </c>
      <c r="AF5210" t="s">
        <v>37133</v>
      </c>
      <c r="AG5210" t="s">
        <v>3868</v>
      </c>
      <c r="AI5210" t="s">
        <v>37134</v>
      </c>
      <c r="AM5210" t="s">
        <v>37135</v>
      </c>
      <c r="AN5210" t="s">
        <v>2059</v>
      </c>
      <c r="AO5210" t="s">
        <v>37136</v>
      </c>
      <c r="AP5210" t="s">
        <v>7024</v>
      </c>
      <c r="AQ5210" t="s">
        <v>37137</v>
      </c>
      <c r="AT5210" s="184">
        <v>43109</v>
      </c>
      <c r="AU5210" t="s">
        <v>37138</v>
      </c>
      <c r="AV5210">
        <v>25</v>
      </c>
      <c r="AW5210" s="184">
        <v>45211</v>
      </c>
      <c r="AX5210" t="s">
        <v>37139</v>
      </c>
      <c r="AY5210">
        <v>52.5</v>
      </c>
      <c r="AZ5210" s="184">
        <v>43392</v>
      </c>
      <c r="BA5210" t="s">
        <v>37140</v>
      </c>
      <c r="BB5210">
        <v>60</v>
      </c>
      <c r="BC5210">
        <v>86</v>
      </c>
      <c r="BD5210">
        <v>337.5</v>
      </c>
      <c r="BE5210">
        <v>2018</v>
      </c>
      <c r="BF5210">
        <v>8</v>
      </c>
      <c r="BG5210">
        <v>2</v>
      </c>
      <c r="BH5210">
        <v>102.5</v>
      </c>
      <c r="BI5210">
        <v>6</v>
      </c>
      <c r="BJ5210">
        <v>7</v>
      </c>
      <c r="BK5210">
        <v>6</v>
      </c>
      <c r="BP5210" s="184"/>
    </row>
    <row r="5211" spans="1:68">
      <c r="A5211">
        <v>97657308</v>
      </c>
      <c r="B5211">
        <v>97657308</v>
      </c>
      <c r="C5211" t="s">
        <v>7018</v>
      </c>
      <c r="E5211" s="184"/>
      <c r="G5211" s="184"/>
      <c r="H5211" t="s">
        <v>595</v>
      </c>
      <c r="I5211" s="184">
        <v>44152</v>
      </c>
      <c r="K5211" s="184"/>
      <c r="M5211" s="184"/>
      <c r="O5211" s="184"/>
      <c r="P5211" t="s">
        <v>7045</v>
      </c>
      <c r="Q5211" t="s">
        <v>7374</v>
      </c>
      <c r="R5211" s="184"/>
      <c r="U5211" t="s">
        <v>7031</v>
      </c>
      <c r="V5211" t="s">
        <v>5057</v>
      </c>
      <c r="X5211" t="s">
        <v>5058</v>
      </c>
      <c r="AF5211" t="s">
        <v>37141</v>
      </c>
      <c r="AG5211" t="s">
        <v>5057</v>
      </c>
      <c r="AI5211" t="s">
        <v>37142</v>
      </c>
      <c r="AM5211" t="s">
        <v>5059</v>
      </c>
      <c r="AN5211" t="s">
        <v>2526</v>
      </c>
      <c r="AO5211" t="s">
        <v>37143</v>
      </c>
      <c r="AP5211" t="s">
        <v>7024</v>
      </c>
      <c r="AQ5211" t="s">
        <v>37144</v>
      </c>
      <c r="AT5211" s="184">
        <v>43109</v>
      </c>
      <c r="AU5211" t="s">
        <v>37145</v>
      </c>
      <c r="AV5211">
        <v>50</v>
      </c>
      <c r="AW5211" s="184">
        <v>44636</v>
      </c>
      <c r="AX5211" t="s">
        <v>8543</v>
      </c>
      <c r="AY5211">
        <v>50</v>
      </c>
      <c r="AZ5211" s="184">
        <v>44636</v>
      </c>
      <c r="BA5211" t="s">
        <v>8543</v>
      </c>
      <c r="BB5211">
        <v>50</v>
      </c>
      <c r="BC5211">
        <v>58</v>
      </c>
      <c r="BD5211">
        <v>250</v>
      </c>
      <c r="BE5211">
        <v>2018</v>
      </c>
      <c r="BF5211">
        <v>5</v>
      </c>
      <c r="BI5211">
        <v>4</v>
      </c>
      <c r="BJ5211">
        <v>7</v>
      </c>
      <c r="BK5211">
        <v>3</v>
      </c>
      <c r="BL5211" t="s">
        <v>595</v>
      </c>
      <c r="BM5211" t="s">
        <v>595</v>
      </c>
      <c r="BP5211" s="184"/>
    </row>
    <row r="5212" spans="1:68">
      <c r="A5212">
        <v>97670590</v>
      </c>
      <c r="B5212">
        <v>97670590</v>
      </c>
      <c r="C5212" t="s">
        <v>7018</v>
      </c>
      <c r="D5212" t="s">
        <v>595</v>
      </c>
      <c r="E5212" s="184">
        <v>45133</v>
      </c>
      <c r="G5212" s="184"/>
      <c r="I5212" s="184"/>
      <c r="K5212" s="184"/>
      <c r="M5212" s="184"/>
      <c r="O5212" s="184"/>
      <c r="P5212" t="s">
        <v>7045</v>
      </c>
      <c r="Q5212" t="s">
        <v>7262</v>
      </c>
      <c r="R5212" s="184">
        <v>18445</v>
      </c>
      <c r="S5212">
        <v>73</v>
      </c>
      <c r="V5212" t="s">
        <v>2697</v>
      </c>
      <c r="W5212" t="s">
        <v>7085</v>
      </c>
      <c r="X5212" t="s">
        <v>4625</v>
      </c>
      <c r="AF5212" t="s">
        <v>37146</v>
      </c>
      <c r="AG5212" t="s">
        <v>2697</v>
      </c>
      <c r="AI5212" t="s">
        <v>37147</v>
      </c>
      <c r="AM5212" t="s">
        <v>7352</v>
      </c>
      <c r="AN5212" t="s">
        <v>2069</v>
      </c>
      <c r="AO5212" t="s">
        <v>37148</v>
      </c>
      <c r="AP5212" t="s">
        <v>7024</v>
      </c>
      <c r="AQ5212" t="s">
        <v>37149</v>
      </c>
      <c r="AR5212" t="s">
        <v>37150</v>
      </c>
      <c r="AT5212" s="184">
        <v>43112</v>
      </c>
      <c r="AU5212" t="s">
        <v>37151</v>
      </c>
      <c r="AV5212">
        <v>30</v>
      </c>
      <c r="AW5212" s="184">
        <v>45317</v>
      </c>
      <c r="AX5212" t="s">
        <v>11740</v>
      </c>
      <c r="AY5212">
        <v>150</v>
      </c>
      <c r="AZ5212" s="184">
        <v>45317</v>
      </c>
      <c r="BA5212" t="s">
        <v>11740</v>
      </c>
      <c r="BB5212">
        <v>150</v>
      </c>
      <c r="BC5212">
        <v>100</v>
      </c>
      <c r="BD5212">
        <v>1240</v>
      </c>
      <c r="BE5212">
        <v>2018</v>
      </c>
      <c r="BF5212">
        <v>17</v>
      </c>
      <c r="BG5212">
        <v>4</v>
      </c>
      <c r="BH5212">
        <v>450</v>
      </c>
      <c r="BI5212">
        <v>7</v>
      </c>
      <c r="BJ5212">
        <v>7</v>
      </c>
      <c r="BK5212">
        <v>7</v>
      </c>
      <c r="BP5212" s="184"/>
    </row>
    <row r="5213" spans="1:68">
      <c r="A5213">
        <v>97679641</v>
      </c>
      <c r="B5213">
        <v>97679641</v>
      </c>
      <c r="C5213" t="s">
        <v>7018</v>
      </c>
      <c r="D5213" t="s">
        <v>595</v>
      </c>
      <c r="E5213" s="184">
        <v>45195</v>
      </c>
      <c r="G5213" s="184"/>
      <c r="I5213" s="184"/>
      <c r="K5213" s="184"/>
      <c r="M5213" s="184"/>
      <c r="P5213" t="s">
        <v>7045</v>
      </c>
      <c r="Q5213" t="s">
        <v>7774</v>
      </c>
      <c r="R5213" s="184">
        <v>23163</v>
      </c>
      <c r="S5213">
        <v>60</v>
      </c>
      <c r="U5213" t="s">
        <v>7076</v>
      </c>
      <c r="V5213" t="s">
        <v>3000</v>
      </c>
      <c r="W5213" t="s">
        <v>3332</v>
      </c>
      <c r="X5213" t="s">
        <v>37152</v>
      </c>
      <c r="AF5213" t="s">
        <v>37153</v>
      </c>
      <c r="AG5213" t="s">
        <v>3000</v>
      </c>
      <c r="AI5213" t="s">
        <v>37154</v>
      </c>
      <c r="AM5213" t="s">
        <v>3063</v>
      </c>
      <c r="AN5213" t="s">
        <v>2077</v>
      </c>
      <c r="AO5213" t="s">
        <v>37155</v>
      </c>
      <c r="AP5213" t="s">
        <v>7024</v>
      </c>
      <c r="AQ5213" t="s">
        <v>37156</v>
      </c>
      <c r="AT5213" s="184">
        <v>33094</v>
      </c>
      <c r="AU5213" t="s">
        <v>11134</v>
      </c>
      <c r="AV5213">
        <v>15</v>
      </c>
      <c r="AW5213" s="184">
        <v>45407</v>
      </c>
      <c r="AX5213" t="s">
        <v>23272</v>
      </c>
      <c r="AY5213">
        <v>35</v>
      </c>
      <c r="AZ5213" s="184">
        <v>45407</v>
      </c>
      <c r="BA5213" t="s">
        <v>23272</v>
      </c>
      <c r="BB5213">
        <v>35</v>
      </c>
      <c r="BC5213">
        <v>89</v>
      </c>
      <c r="BD5213">
        <v>2028</v>
      </c>
      <c r="BE5213">
        <v>1991</v>
      </c>
      <c r="BF5213">
        <v>105</v>
      </c>
      <c r="BG5213">
        <v>8</v>
      </c>
      <c r="BH5213">
        <v>220</v>
      </c>
      <c r="BI5213">
        <v>31</v>
      </c>
      <c r="BJ5213">
        <v>35</v>
      </c>
      <c r="BK5213">
        <v>13</v>
      </c>
      <c r="BP5213" s="184"/>
    </row>
    <row r="5214" spans="1:68">
      <c r="A5214">
        <v>97685184</v>
      </c>
      <c r="B5214">
        <v>97685184</v>
      </c>
      <c r="C5214" t="s">
        <v>7018</v>
      </c>
      <c r="E5214" s="184"/>
      <c r="F5214" t="s">
        <v>595</v>
      </c>
      <c r="G5214" s="184">
        <v>45113</v>
      </c>
      <c r="I5214" s="184"/>
      <c r="J5214" t="s">
        <v>595</v>
      </c>
      <c r="K5214" s="184">
        <v>45124</v>
      </c>
      <c r="M5214" s="184"/>
      <c r="O5214" s="184"/>
      <c r="P5214" t="s">
        <v>7045</v>
      </c>
      <c r="Q5214" t="s">
        <v>7020</v>
      </c>
      <c r="R5214" s="184">
        <v>21610</v>
      </c>
      <c r="S5214">
        <v>65</v>
      </c>
      <c r="V5214" t="s">
        <v>3527</v>
      </c>
      <c r="X5214" t="s">
        <v>27409</v>
      </c>
      <c r="Z5214">
        <v>101184079</v>
      </c>
      <c r="AB5214" t="s">
        <v>3360</v>
      </c>
      <c r="AD5214" t="s">
        <v>37157</v>
      </c>
      <c r="AF5214" t="s">
        <v>37158</v>
      </c>
      <c r="AG5214" t="s">
        <v>37159</v>
      </c>
      <c r="AI5214" t="s">
        <v>37160</v>
      </c>
      <c r="AM5214" t="s">
        <v>12208</v>
      </c>
      <c r="AN5214" t="s">
        <v>2240</v>
      </c>
      <c r="AO5214" t="s">
        <v>37161</v>
      </c>
      <c r="AP5214" t="s">
        <v>7024</v>
      </c>
      <c r="AQ5214" t="s">
        <v>37162</v>
      </c>
      <c r="AT5214" s="184">
        <v>43117</v>
      </c>
      <c r="AU5214" t="s">
        <v>37163</v>
      </c>
      <c r="AV5214">
        <v>100</v>
      </c>
      <c r="AW5214" s="184">
        <v>45349</v>
      </c>
      <c r="AX5214" t="s">
        <v>12740</v>
      </c>
      <c r="AY5214">
        <v>100</v>
      </c>
      <c r="AZ5214" s="184">
        <v>44873</v>
      </c>
      <c r="BA5214" t="s">
        <v>15628</v>
      </c>
      <c r="BB5214">
        <v>150</v>
      </c>
      <c r="BC5214">
        <v>86</v>
      </c>
      <c r="BD5214">
        <v>1075.5</v>
      </c>
      <c r="BE5214">
        <v>2018</v>
      </c>
      <c r="BF5214">
        <v>10</v>
      </c>
      <c r="BG5214">
        <v>3</v>
      </c>
      <c r="BH5214">
        <v>350.5</v>
      </c>
      <c r="BI5214">
        <v>6</v>
      </c>
      <c r="BJ5214">
        <v>7</v>
      </c>
      <c r="BK5214">
        <v>5</v>
      </c>
      <c r="BN5214" t="s">
        <v>595</v>
      </c>
      <c r="BP5214" s="184"/>
    </row>
    <row r="5215" spans="1:68">
      <c r="A5215">
        <v>97686653</v>
      </c>
      <c r="B5215">
        <v>97686653</v>
      </c>
      <c r="C5215" t="s">
        <v>7018</v>
      </c>
      <c r="D5215" t="s">
        <v>595</v>
      </c>
      <c r="E5215" s="184">
        <v>45112</v>
      </c>
      <c r="G5215" s="184"/>
      <c r="I5215" s="184"/>
      <c r="K5215" s="184"/>
      <c r="M5215" s="184"/>
      <c r="O5215" s="184"/>
      <c r="P5215" t="s">
        <v>7045</v>
      </c>
      <c r="Q5215" t="s">
        <v>7160</v>
      </c>
      <c r="R5215" s="184">
        <v>12726</v>
      </c>
      <c r="S5215">
        <v>89</v>
      </c>
      <c r="V5215" t="s">
        <v>3011</v>
      </c>
      <c r="X5215" t="s">
        <v>37164</v>
      </c>
      <c r="AF5215" t="s">
        <v>37165</v>
      </c>
      <c r="AG5215" t="s">
        <v>3011</v>
      </c>
      <c r="AI5215" t="s">
        <v>37166</v>
      </c>
      <c r="AM5215" t="s">
        <v>28125</v>
      </c>
      <c r="AN5215" t="s">
        <v>2446</v>
      </c>
      <c r="AO5215" t="s">
        <v>37167</v>
      </c>
      <c r="AP5215" t="s">
        <v>7024</v>
      </c>
      <c r="AQ5215" t="s">
        <v>37168</v>
      </c>
      <c r="AT5215" s="184">
        <v>43117</v>
      </c>
      <c r="AU5215" t="s">
        <v>36937</v>
      </c>
      <c r="AV5215">
        <v>50</v>
      </c>
      <c r="AW5215" s="184">
        <v>45411</v>
      </c>
      <c r="AX5215" t="s">
        <v>7972</v>
      </c>
      <c r="AY5215">
        <v>100</v>
      </c>
      <c r="AZ5215" s="184">
        <v>45411</v>
      </c>
      <c r="BA5215" t="s">
        <v>7972</v>
      </c>
      <c r="BB5215">
        <v>100</v>
      </c>
      <c r="BC5215">
        <v>100</v>
      </c>
      <c r="BD5215">
        <v>650</v>
      </c>
      <c r="BE5215">
        <v>2018</v>
      </c>
      <c r="BF5215">
        <v>9</v>
      </c>
      <c r="BG5215">
        <v>2</v>
      </c>
      <c r="BH5215">
        <v>200</v>
      </c>
      <c r="BI5215">
        <v>7</v>
      </c>
      <c r="BJ5215">
        <v>7</v>
      </c>
      <c r="BK5215">
        <v>7</v>
      </c>
      <c r="BP5215" s="184"/>
    </row>
    <row r="5216" spans="1:68">
      <c r="A5216">
        <v>97690895</v>
      </c>
      <c r="B5216">
        <v>97690895</v>
      </c>
      <c r="C5216" t="s">
        <v>7018</v>
      </c>
      <c r="D5216" t="s">
        <v>595</v>
      </c>
      <c r="E5216" s="184">
        <v>45113</v>
      </c>
      <c r="G5216" s="184"/>
      <c r="I5216" s="184"/>
      <c r="K5216" s="184"/>
      <c r="M5216" s="184"/>
      <c r="O5216" s="184"/>
      <c r="P5216" t="s">
        <v>7045</v>
      </c>
      <c r="Q5216" t="s">
        <v>7262</v>
      </c>
      <c r="R5216" s="184">
        <v>18772</v>
      </c>
      <c r="S5216">
        <v>72</v>
      </c>
      <c r="U5216" t="s">
        <v>7237</v>
      </c>
      <c r="V5216" t="s">
        <v>3373</v>
      </c>
      <c r="X5216" t="s">
        <v>37169</v>
      </c>
      <c r="AF5216" t="s">
        <v>37170</v>
      </c>
      <c r="AG5216" t="s">
        <v>3373</v>
      </c>
      <c r="AI5216" t="s">
        <v>37171</v>
      </c>
      <c r="AM5216" t="s">
        <v>5751</v>
      </c>
      <c r="AN5216" t="s">
        <v>2069</v>
      </c>
      <c r="AO5216" t="s">
        <v>37172</v>
      </c>
      <c r="AP5216" t="s">
        <v>7024</v>
      </c>
      <c r="AQ5216" t="s">
        <v>37173</v>
      </c>
      <c r="AT5216" s="184">
        <v>43119</v>
      </c>
      <c r="AU5216" t="s">
        <v>37106</v>
      </c>
      <c r="AV5216">
        <v>15</v>
      </c>
      <c r="AW5216" s="184">
        <v>44851</v>
      </c>
      <c r="AX5216" t="s">
        <v>37174</v>
      </c>
      <c r="AY5216">
        <v>15</v>
      </c>
      <c r="AZ5216" s="184">
        <v>44851</v>
      </c>
      <c r="BA5216" t="s">
        <v>37174</v>
      </c>
      <c r="BB5216">
        <v>15</v>
      </c>
      <c r="BC5216">
        <v>29</v>
      </c>
      <c r="BD5216">
        <v>30</v>
      </c>
      <c r="BE5216">
        <v>2018</v>
      </c>
      <c r="BF5216">
        <v>2</v>
      </c>
      <c r="BG5216">
        <v>1</v>
      </c>
      <c r="BH5216">
        <v>15</v>
      </c>
      <c r="BI5216">
        <v>2</v>
      </c>
      <c r="BJ5216">
        <v>7</v>
      </c>
      <c r="BK5216">
        <v>1</v>
      </c>
      <c r="BP5216" s="184"/>
    </row>
    <row r="5217" spans="1:68">
      <c r="A5217">
        <v>97691117</v>
      </c>
      <c r="B5217">
        <v>97691117</v>
      </c>
      <c r="C5217" t="s">
        <v>7018</v>
      </c>
      <c r="D5217" t="s">
        <v>595</v>
      </c>
      <c r="E5217" s="184">
        <v>45195</v>
      </c>
      <c r="G5217" s="184"/>
      <c r="I5217" s="184"/>
      <c r="K5217" s="184"/>
      <c r="M5217" s="184"/>
      <c r="P5217" t="s">
        <v>7045</v>
      </c>
      <c r="Q5217" t="s">
        <v>7374</v>
      </c>
      <c r="R5217" s="184">
        <v>16275</v>
      </c>
      <c r="S5217">
        <v>79</v>
      </c>
      <c r="U5217" t="s">
        <v>7031</v>
      </c>
      <c r="V5217" t="s">
        <v>2871</v>
      </c>
      <c r="X5217" t="s">
        <v>28719</v>
      </c>
      <c r="AF5217" t="s">
        <v>37175</v>
      </c>
      <c r="AG5217" t="s">
        <v>2871</v>
      </c>
      <c r="AI5217" t="s">
        <v>37176</v>
      </c>
      <c r="AM5217" t="s">
        <v>4551</v>
      </c>
      <c r="AN5217" t="s">
        <v>2081</v>
      </c>
      <c r="AO5217" t="s">
        <v>37177</v>
      </c>
      <c r="AP5217" t="s">
        <v>7024</v>
      </c>
      <c r="AQ5217" t="s">
        <v>37178</v>
      </c>
      <c r="AT5217" s="184">
        <v>43119</v>
      </c>
      <c r="AU5217" t="s">
        <v>37179</v>
      </c>
      <c r="AV5217">
        <v>50</v>
      </c>
      <c r="AW5217" s="184">
        <v>45341</v>
      </c>
      <c r="AX5217" t="s">
        <v>7972</v>
      </c>
      <c r="AY5217">
        <v>50</v>
      </c>
      <c r="AZ5217" s="184">
        <v>45341</v>
      </c>
      <c r="BA5217" t="s">
        <v>7972</v>
      </c>
      <c r="BB5217">
        <v>50</v>
      </c>
      <c r="BC5217">
        <v>100</v>
      </c>
      <c r="BD5217">
        <v>350</v>
      </c>
      <c r="BE5217">
        <v>2018</v>
      </c>
      <c r="BF5217">
        <v>7</v>
      </c>
      <c r="BG5217">
        <v>2</v>
      </c>
      <c r="BH5217">
        <v>100</v>
      </c>
      <c r="BI5217">
        <v>7</v>
      </c>
      <c r="BJ5217">
        <v>7</v>
      </c>
      <c r="BK5217">
        <v>7</v>
      </c>
      <c r="BP5217" s="184"/>
    </row>
    <row r="5218" spans="1:68">
      <c r="A5218">
        <v>97691406</v>
      </c>
      <c r="B5218">
        <v>97691406</v>
      </c>
      <c r="C5218" t="s">
        <v>7018</v>
      </c>
      <c r="D5218" t="s">
        <v>595</v>
      </c>
      <c r="E5218" s="184">
        <v>45124</v>
      </c>
      <c r="G5218" s="184"/>
      <c r="I5218" s="184"/>
      <c r="K5218" s="184"/>
      <c r="M5218" s="184"/>
      <c r="O5218" s="184"/>
      <c r="P5218" t="s">
        <v>7045</v>
      </c>
      <c r="Q5218" t="s">
        <v>7262</v>
      </c>
      <c r="R5218" s="184">
        <v>21398</v>
      </c>
      <c r="S5218">
        <v>65</v>
      </c>
      <c r="U5218" t="s">
        <v>7031</v>
      </c>
      <c r="V5218" t="s">
        <v>2551</v>
      </c>
      <c r="X5218" t="s">
        <v>3969</v>
      </c>
      <c r="Y5218" t="s">
        <v>7941</v>
      </c>
      <c r="AF5218" t="s">
        <v>37180</v>
      </c>
      <c r="AG5218" t="s">
        <v>2551</v>
      </c>
      <c r="AI5218" t="s">
        <v>37181</v>
      </c>
      <c r="AM5218" t="s">
        <v>37182</v>
      </c>
      <c r="AN5218" t="s">
        <v>2069</v>
      </c>
      <c r="AO5218" t="s">
        <v>37183</v>
      </c>
      <c r="AP5218" t="s">
        <v>7024</v>
      </c>
      <c r="AQ5218" t="s">
        <v>37184</v>
      </c>
      <c r="AT5218" s="184">
        <v>43119</v>
      </c>
      <c r="AU5218" t="s">
        <v>37185</v>
      </c>
      <c r="AV5218">
        <v>15</v>
      </c>
      <c r="AW5218" s="184">
        <v>45399</v>
      </c>
      <c r="AX5218" t="s">
        <v>11966</v>
      </c>
      <c r="AY5218">
        <v>20</v>
      </c>
      <c r="AZ5218" s="184">
        <v>44958</v>
      </c>
      <c r="BA5218" t="s">
        <v>17926</v>
      </c>
      <c r="BB5218">
        <v>25</v>
      </c>
      <c r="BC5218">
        <v>100</v>
      </c>
      <c r="BD5218">
        <v>400</v>
      </c>
      <c r="BE5218">
        <v>2018</v>
      </c>
      <c r="BF5218">
        <v>19</v>
      </c>
      <c r="BG5218">
        <v>6</v>
      </c>
      <c r="BH5218">
        <v>130</v>
      </c>
      <c r="BI5218">
        <v>7</v>
      </c>
      <c r="BJ5218">
        <v>7</v>
      </c>
      <c r="BK5218">
        <v>7</v>
      </c>
      <c r="BP5218" s="184"/>
    </row>
    <row r="5219" spans="1:68">
      <c r="A5219">
        <v>97692495</v>
      </c>
      <c r="B5219">
        <v>97692495</v>
      </c>
      <c r="C5219" t="s">
        <v>7018</v>
      </c>
      <c r="D5219" t="s">
        <v>595</v>
      </c>
      <c r="E5219" s="184">
        <v>45160</v>
      </c>
      <c r="G5219" s="184"/>
      <c r="I5219" s="184"/>
      <c r="K5219" s="184"/>
      <c r="M5219" s="184"/>
      <c r="O5219" s="184"/>
      <c r="P5219" t="s">
        <v>7045</v>
      </c>
      <c r="Q5219" t="s">
        <v>7383</v>
      </c>
      <c r="R5219" s="184">
        <v>13842</v>
      </c>
      <c r="S5219">
        <v>86</v>
      </c>
      <c r="U5219" t="s">
        <v>7031</v>
      </c>
      <c r="V5219" t="s">
        <v>2832</v>
      </c>
      <c r="X5219" t="s">
        <v>3227</v>
      </c>
      <c r="AF5219" t="s">
        <v>37186</v>
      </c>
      <c r="AG5219" t="s">
        <v>2832</v>
      </c>
      <c r="AI5219" t="s">
        <v>37187</v>
      </c>
      <c r="AM5219" t="s">
        <v>37188</v>
      </c>
      <c r="AN5219" t="s">
        <v>2064</v>
      </c>
      <c r="AO5219" t="s">
        <v>37189</v>
      </c>
      <c r="AP5219" t="s">
        <v>7024</v>
      </c>
      <c r="AQ5219" t="s">
        <v>37190</v>
      </c>
      <c r="AR5219" t="s">
        <v>37191</v>
      </c>
      <c r="AT5219" s="184">
        <v>43119</v>
      </c>
      <c r="AU5219" t="s">
        <v>37192</v>
      </c>
      <c r="AV5219">
        <v>15</v>
      </c>
      <c r="AW5219" s="184">
        <v>44949</v>
      </c>
      <c r="AX5219" t="s">
        <v>37193</v>
      </c>
      <c r="AY5219">
        <v>20</v>
      </c>
      <c r="AZ5219" s="184">
        <v>43717</v>
      </c>
      <c r="BA5219" t="s">
        <v>17268</v>
      </c>
      <c r="BB5219">
        <v>35</v>
      </c>
      <c r="BC5219">
        <v>72</v>
      </c>
      <c r="BD5219">
        <v>360</v>
      </c>
      <c r="BE5219">
        <v>2018</v>
      </c>
      <c r="BF5219">
        <v>16</v>
      </c>
      <c r="BG5219">
        <v>1</v>
      </c>
      <c r="BH5219">
        <v>20</v>
      </c>
      <c r="BI5219">
        <v>5</v>
      </c>
      <c r="BJ5219">
        <v>7</v>
      </c>
      <c r="BK5219">
        <v>4</v>
      </c>
      <c r="BP5219" s="184"/>
    </row>
    <row r="5220" spans="1:68">
      <c r="A5220">
        <v>97706246</v>
      </c>
      <c r="B5220">
        <v>97706246</v>
      </c>
      <c r="C5220" t="s">
        <v>7018</v>
      </c>
      <c r="E5220" s="184"/>
      <c r="F5220" t="s">
        <v>595</v>
      </c>
      <c r="G5220" s="184">
        <v>45104</v>
      </c>
      <c r="I5220" s="184"/>
      <c r="K5220" s="184"/>
      <c r="M5220" s="184"/>
      <c r="P5220" t="s">
        <v>7019</v>
      </c>
      <c r="Q5220" t="s">
        <v>7160</v>
      </c>
      <c r="R5220" s="184">
        <v>14824</v>
      </c>
      <c r="S5220">
        <v>83</v>
      </c>
      <c r="V5220" t="s">
        <v>2511</v>
      </c>
      <c r="W5220" t="s">
        <v>3830</v>
      </c>
      <c r="X5220" t="s">
        <v>5967</v>
      </c>
      <c r="AF5220" t="s">
        <v>37194</v>
      </c>
      <c r="AG5220" t="s">
        <v>2511</v>
      </c>
      <c r="AI5220" t="s">
        <v>37195</v>
      </c>
      <c r="AM5220" t="s">
        <v>25016</v>
      </c>
      <c r="AN5220" t="s">
        <v>2413</v>
      </c>
      <c r="AO5220" t="s">
        <v>37196</v>
      </c>
      <c r="AP5220" t="s">
        <v>7024</v>
      </c>
      <c r="AQ5220" t="s">
        <v>37197</v>
      </c>
      <c r="AT5220" s="184">
        <v>43122</v>
      </c>
      <c r="AU5220" t="s">
        <v>36947</v>
      </c>
      <c r="AV5220">
        <v>15</v>
      </c>
      <c r="AW5220" s="184">
        <v>45264</v>
      </c>
      <c r="AX5220" t="s">
        <v>30094</v>
      </c>
      <c r="AY5220">
        <v>60</v>
      </c>
      <c r="AZ5220" s="184">
        <v>45264</v>
      </c>
      <c r="BA5220" t="s">
        <v>30094</v>
      </c>
      <c r="BB5220">
        <v>60</v>
      </c>
      <c r="BC5220">
        <v>72</v>
      </c>
      <c r="BD5220">
        <v>305</v>
      </c>
      <c r="BE5220">
        <v>2018</v>
      </c>
      <c r="BF5220">
        <v>12</v>
      </c>
      <c r="BG5220">
        <v>7</v>
      </c>
      <c r="BH5220">
        <v>185</v>
      </c>
      <c r="BI5220">
        <v>5</v>
      </c>
      <c r="BJ5220">
        <v>7</v>
      </c>
      <c r="BK5220">
        <v>3</v>
      </c>
      <c r="BP5220" s="184"/>
    </row>
    <row r="5221" spans="1:68">
      <c r="A5221">
        <v>97714273</v>
      </c>
      <c r="B5221">
        <v>97714273</v>
      </c>
      <c r="C5221" t="s">
        <v>7018</v>
      </c>
      <c r="D5221" t="s">
        <v>595</v>
      </c>
      <c r="E5221" s="184">
        <v>45140</v>
      </c>
      <c r="G5221" s="184"/>
      <c r="I5221" s="184"/>
      <c r="K5221" s="184"/>
      <c r="M5221" s="184"/>
      <c r="P5221" t="s">
        <v>7045</v>
      </c>
      <c r="Q5221" t="s">
        <v>7383</v>
      </c>
      <c r="R5221" s="184">
        <v>19207</v>
      </c>
      <c r="S5221">
        <v>71</v>
      </c>
      <c r="V5221" t="s">
        <v>3889</v>
      </c>
      <c r="W5221" t="s">
        <v>4139</v>
      </c>
      <c r="X5221" t="s">
        <v>37198</v>
      </c>
      <c r="AF5221" t="s">
        <v>37199</v>
      </c>
      <c r="AG5221" t="s">
        <v>3889</v>
      </c>
      <c r="AI5221" t="s">
        <v>37200</v>
      </c>
      <c r="AM5221" t="s">
        <v>37201</v>
      </c>
      <c r="AN5221" t="s">
        <v>2072</v>
      </c>
      <c r="AO5221" t="s">
        <v>37202</v>
      </c>
      <c r="AP5221" t="s">
        <v>7024</v>
      </c>
      <c r="AQ5221" t="s">
        <v>37203</v>
      </c>
      <c r="AT5221" s="184">
        <v>43123</v>
      </c>
      <c r="AU5221" t="s">
        <v>36562</v>
      </c>
      <c r="AV5221">
        <v>15</v>
      </c>
      <c r="AW5221" s="184">
        <v>45267</v>
      </c>
      <c r="AX5221" t="s">
        <v>7578</v>
      </c>
      <c r="AY5221">
        <v>25</v>
      </c>
      <c r="AZ5221" s="184">
        <v>43502</v>
      </c>
      <c r="BA5221" t="s">
        <v>37204</v>
      </c>
      <c r="BB5221">
        <v>60</v>
      </c>
      <c r="BC5221">
        <v>72</v>
      </c>
      <c r="BD5221">
        <v>195</v>
      </c>
      <c r="BE5221">
        <v>2018</v>
      </c>
      <c r="BF5221">
        <v>7</v>
      </c>
      <c r="BG5221">
        <v>2</v>
      </c>
      <c r="BH5221">
        <v>50</v>
      </c>
      <c r="BI5221">
        <v>5</v>
      </c>
      <c r="BJ5221">
        <v>7</v>
      </c>
      <c r="BK5221">
        <v>3</v>
      </c>
      <c r="BP5221" s="184"/>
    </row>
    <row r="5222" spans="1:68">
      <c r="A5222">
        <v>97730394</v>
      </c>
      <c r="B5222">
        <v>97730394</v>
      </c>
      <c r="C5222" t="s">
        <v>7018</v>
      </c>
      <c r="D5222" t="s">
        <v>595</v>
      </c>
      <c r="E5222" s="184">
        <v>45180</v>
      </c>
      <c r="G5222" s="184"/>
      <c r="I5222" s="184"/>
      <c r="K5222" s="184"/>
      <c r="M5222" s="184"/>
      <c r="P5222" t="s">
        <v>7045</v>
      </c>
      <c r="Q5222" t="s">
        <v>7030</v>
      </c>
      <c r="R5222" s="184">
        <v>23743</v>
      </c>
      <c r="S5222">
        <v>59</v>
      </c>
      <c r="V5222" t="s">
        <v>37205</v>
      </c>
      <c r="X5222" t="s">
        <v>37206</v>
      </c>
      <c r="AF5222" t="s">
        <v>37207</v>
      </c>
      <c r="AG5222" t="s">
        <v>37205</v>
      </c>
      <c r="AI5222" t="s">
        <v>37208</v>
      </c>
      <c r="AM5222" t="s">
        <v>4369</v>
      </c>
      <c r="AN5222" t="s">
        <v>2089</v>
      </c>
      <c r="AO5222" t="s">
        <v>37209</v>
      </c>
      <c r="AP5222" t="s">
        <v>7024</v>
      </c>
      <c r="AQ5222" t="s">
        <v>37210</v>
      </c>
      <c r="AR5222" t="s">
        <v>37211</v>
      </c>
      <c r="AT5222" s="184">
        <v>43125</v>
      </c>
      <c r="AU5222" t="s">
        <v>37212</v>
      </c>
      <c r="AV5222">
        <v>50</v>
      </c>
      <c r="AW5222" s="184">
        <v>45306</v>
      </c>
      <c r="AX5222" t="s">
        <v>7832</v>
      </c>
      <c r="AY5222">
        <v>105</v>
      </c>
      <c r="AZ5222" s="184">
        <v>45306</v>
      </c>
      <c r="BA5222" t="s">
        <v>7832</v>
      </c>
      <c r="BB5222">
        <v>105</v>
      </c>
      <c r="BC5222">
        <v>100</v>
      </c>
      <c r="BD5222">
        <v>645</v>
      </c>
      <c r="BE5222">
        <v>2018</v>
      </c>
      <c r="BF5222">
        <v>9</v>
      </c>
      <c r="BG5222">
        <v>2</v>
      </c>
      <c r="BH5222">
        <v>195</v>
      </c>
      <c r="BI5222">
        <v>7</v>
      </c>
      <c r="BJ5222">
        <v>7</v>
      </c>
      <c r="BK5222">
        <v>7</v>
      </c>
      <c r="BP5222" s="184"/>
    </row>
    <row r="5223" spans="1:68">
      <c r="A5223">
        <v>97768352</v>
      </c>
      <c r="B5223">
        <v>97768352</v>
      </c>
      <c r="C5223" t="s">
        <v>7018</v>
      </c>
      <c r="D5223" t="s">
        <v>595</v>
      </c>
      <c r="E5223" s="184">
        <v>45166</v>
      </c>
      <c r="G5223" s="184"/>
      <c r="I5223" s="184"/>
      <c r="K5223" s="184"/>
      <c r="M5223" s="184"/>
      <c r="O5223" s="184"/>
      <c r="P5223" t="s">
        <v>7045</v>
      </c>
      <c r="Q5223" t="s">
        <v>7383</v>
      </c>
      <c r="R5223" s="184">
        <v>17090</v>
      </c>
      <c r="S5223">
        <v>77</v>
      </c>
      <c r="V5223" t="s">
        <v>3043</v>
      </c>
      <c r="X5223" t="s">
        <v>7298</v>
      </c>
      <c r="Z5223">
        <v>101136954</v>
      </c>
      <c r="AB5223" t="s">
        <v>3689</v>
      </c>
      <c r="AD5223" t="s">
        <v>7298</v>
      </c>
      <c r="AF5223" t="s">
        <v>37213</v>
      </c>
      <c r="AG5223" t="s">
        <v>37214</v>
      </c>
      <c r="AI5223" t="s">
        <v>37215</v>
      </c>
      <c r="AM5223" t="s">
        <v>4912</v>
      </c>
      <c r="AN5223" t="s">
        <v>2139</v>
      </c>
      <c r="AO5223" t="s">
        <v>37216</v>
      </c>
      <c r="AP5223" t="s">
        <v>7024</v>
      </c>
      <c r="AQ5223" t="s">
        <v>37217</v>
      </c>
      <c r="AT5223" s="184">
        <v>43139</v>
      </c>
      <c r="AU5223" t="s">
        <v>37212</v>
      </c>
      <c r="AV5223">
        <v>25</v>
      </c>
      <c r="AW5223" s="184">
        <v>45420</v>
      </c>
      <c r="AX5223" t="s">
        <v>10980</v>
      </c>
      <c r="AY5223">
        <v>25</v>
      </c>
      <c r="AZ5223" s="184">
        <v>45310</v>
      </c>
      <c r="BA5223" t="s">
        <v>7578</v>
      </c>
      <c r="BB5223">
        <v>35</v>
      </c>
      <c r="BC5223">
        <v>100</v>
      </c>
      <c r="BD5223">
        <v>430</v>
      </c>
      <c r="BE5223">
        <v>2018</v>
      </c>
      <c r="BF5223">
        <v>16</v>
      </c>
      <c r="BG5223">
        <v>8</v>
      </c>
      <c r="BH5223">
        <v>210</v>
      </c>
      <c r="BI5223">
        <v>7</v>
      </c>
      <c r="BJ5223">
        <v>7</v>
      </c>
      <c r="BK5223">
        <v>7</v>
      </c>
      <c r="BP5223" s="184"/>
    </row>
    <row r="5224" spans="1:68">
      <c r="A5224">
        <v>101136954</v>
      </c>
      <c r="B5224">
        <v>97768352</v>
      </c>
      <c r="C5224" t="s">
        <v>7018</v>
      </c>
      <c r="D5224" t="s">
        <v>595</v>
      </c>
      <c r="E5224" s="184">
        <v>45166</v>
      </c>
      <c r="G5224" s="184"/>
      <c r="I5224" s="184"/>
      <c r="K5224" s="184"/>
      <c r="M5224" s="184"/>
      <c r="O5224" s="184"/>
      <c r="P5224" t="s">
        <v>7045</v>
      </c>
      <c r="Q5224" t="s">
        <v>7383</v>
      </c>
      <c r="R5224" s="184">
        <v>17412</v>
      </c>
      <c r="S5224">
        <v>76</v>
      </c>
      <c r="V5224" t="s">
        <v>3689</v>
      </c>
      <c r="X5224" t="s">
        <v>7298</v>
      </c>
      <c r="Z5224">
        <v>97768352</v>
      </c>
      <c r="AB5224" t="s">
        <v>3043</v>
      </c>
      <c r="AD5224" t="s">
        <v>7298</v>
      </c>
      <c r="AF5224" t="s">
        <v>37213</v>
      </c>
      <c r="AG5224" t="s">
        <v>37214</v>
      </c>
      <c r="AI5224" t="s">
        <v>37215</v>
      </c>
      <c r="AM5224" t="s">
        <v>4912</v>
      </c>
      <c r="AN5224" t="s">
        <v>2139</v>
      </c>
      <c r="AO5224" t="s">
        <v>37216</v>
      </c>
      <c r="AP5224" t="s">
        <v>7024</v>
      </c>
      <c r="AT5224" s="184"/>
      <c r="AW5224" s="184"/>
      <c r="AZ5224" s="184"/>
      <c r="BP5224" s="184"/>
    </row>
    <row r="5225" spans="1:68">
      <c r="A5225">
        <v>97768899</v>
      </c>
      <c r="B5225">
        <v>97768899</v>
      </c>
      <c r="C5225" t="s">
        <v>7018</v>
      </c>
      <c r="D5225" t="s">
        <v>595</v>
      </c>
      <c r="E5225" s="184">
        <v>45113</v>
      </c>
      <c r="G5225" s="184"/>
      <c r="I5225" s="184"/>
      <c r="K5225" s="184"/>
      <c r="M5225" s="184"/>
      <c r="O5225" s="184"/>
      <c r="P5225" t="s">
        <v>7019</v>
      </c>
      <c r="Q5225" t="s">
        <v>7383</v>
      </c>
      <c r="R5225" s="184">
        <v>21943</v>
      </c>
      <c r="S5225">
        <v>64</v>
      </c>
      <c r="V5225" t="s">
        <v>37218</v>
      </c>
      <c r="W5225" t="s">
        <v>3332</v>
      </c>
      <c r="X5225" t="s">
        <v>37219</v>
      </c>
      <c r="AF5225" t="s">
        <v>37220</v>
      </c>
      <c r="AG5225" t="s">
        <v>37218</v>
      </c>
      <c r="AI5225" t="s">
        <v>37221</v>
      </c>
      <c r="AM5225" t="s">
        <v>37222</v>
      </c>
      <c r="AN5225" t="s">
        <v>2185</v>
      </c>
      <c r="AO5225" t="s">
        <v>37223</v>
      </c>
      <c r="AP5225" t="s">
        <v>7024</v>
      </c>
      <c r="AQ5225" t="s">
        <v>37224</v>
      </c>
      <c r="AT5225" s="184">
        <v>43139</v>
      </c>
      <c r="AU5225" t="s">
        <v>37225</v>
      </c>
      <c r="AV5225">
        <v>25</v>
      </c>
      <c r="AW5225" s="184">
        <v>44939</v>
      </c>
      <c r="AX5225" t="s">
        <v>37226</v>
      </c>
      <c r="AY5225">
        <v>5</v>
      </c>
      <c r="AZ5225" s="184">
        <v>43752</v>
      </c>
      <c r="BA5225" t="s">
        <v>37227</v>
      </c>
      <c r="BB5225">
        <v>60</v>
      </c>
      <c r="BC5225">
        <v>72</v>
      </c>
      <c r="BD5225">
        <v>190</v>
      </c>
      <c r="BE5225">
        <v>2018</v>
      </c>
      <c r="BF5225">
        <v>5</v>
      </c>
      <c r="BG5225">
        <v>1</v>
      </c>
      <c r="BH5225">
        <v>5</v>
      </c>
      <c r="BI5225">
        <v>5</v>
      </c>
      <c r="BJ5225">
        <v>7</v>
      </c>
      <c r="BK5225">
        <v>4</v>
      </c>
      <c r="BP5225" s="184"/>
    </row>
    <row r="5226" spans="1:68">
      <c r="A5226">
        <v>97797690</v>
      </c>
      <c r="B5226">
        <v>97797690</v>
      </c>
      <c r="C5226" t="s">
        <v>7018</v>
      </c>
      <c r="D5226" t="s">
        <v>595</v>
      </c>
      <c r="E5226" s="184">
        <v>45106</v>
      </c>
      <c r="G5226" s="184"/>
      <c r="I5226" s="184"/>
      <c r="K5226" s="184"/>
      <c r="M5226" s="184"/>
      <c r="O5226" s="184"/>
      <c r="P5226" t="s">
        <v>7045</v>
      </c>
      <c r="Q5226" t="s">
        <v>7383</v>
      </c>
      <c r="R5226" s="184">
        <v>15058</v>
      </c>
      <c r="S5226">
        <v>83</v>
      </c>
      <c r="V5226" t="s">
        <v>3101</v>
      </c>
      <c r="W5226" t="s">
        <v>7107</v>
      </c>
      <c r="X5226" t="s">
        <v>37228</v>
      </c>
      <c r="AF5226" t="s">
        <v>37229</v>
      </c>
      <c r="AG5226" t="s">
        <v>3101</v>
      </c>
      <c r="AI5226" t="s">
        <v>37230</v>
      </c>
      <c r="AM5226" t="s">
        <v>2905</v>
      </c>
      <c r="AN5226" t="s">
        <v>2072</v>
      </c>
      <c r="AO5226" t="s">
        <v>37231</v>
      </c>
      <c r="AP5226" t="s">
        <v>7024</v>
      </c>
      <c r="AQ5226" t="s">
        <v>37232</v>
      </c>
      <c r="AT5226" s="184">
        <v>43155</v>
      </c>
      <c r="AU5226" t="s">
        <v>37233</v>
      </c>
      <c r="AV5226">
        <v>25</v>
      </c>
      <c r="AW5226" s="184">
        <v>45402</v>
      </c>
      <c r="AX5226" t="s">
        <v>7429</v>
      </c>
      <c r="AY5226">
        <v>25</v>
      </c>
      <c r="AZ5226" s="184">
        <v>43418</v>
      </c>
      <c r="BA5226" t="s">
        <v>37234</v>
      </c>
      <c r="BB5226">
        <v>60</v>
      </c>
      <c r="BC5226">
        <v>100</v>
      </c>
      <c r="BD5226">
        <v>1678.8</v>
      </c>
      <c r="BE5226">
        <v>2018</v>
      </c>
      <c r="BF5226">
        <v>75</v>
      </c>
      <c r="BG5226">
        <v>26</v>
      </c>
      <c r="BH5226">
        <v>605</v>
      </c>
      <c r="BI5226">
        <v>7</v>
      </c>
      <c r="BJ5226">
        <v>7</v>
      </c>
      <c r="BK5226">
        <v>7</v>
      </c>
      <c r="BP5226" s="184"/>
    </row>
    <row r="5227" spans="1:68">
      <c r="A5227">
        <v>97808109</v>
      </c>
      <c r="B5227">
        <v>97808109</v>
      </c>
      <c r="C5227" t="s">
        <v>7018</v>
      </c>
      <c r="D5227" t="s">
        <v>595</v>
      </c>
      <c r="E5227" s="184">
        <v>45152</v>
      </c>
      <c r="G5227" s="184"/>
      <c r="I5227" s="184"/>
      <c r="K5227" s="184"/>
      <c r="M5227" s="184"/>
      <c r="O5227" s="184"/>
      <c r="P5227" t="s">
        <v>7045</v>
      </c>
      <c r="Q5227" t="s">
        <v>7383</v>
      </c>
      <c r="R5227" s="184">
        <v>19249</v>
      </c>
      <c r="S5227">
        <v>71</v>
      </c>
      <c r="V5227" t="s">
        <v>2586</v>
      </c>
      <c r="X5227" t="s">
        <v>37235</v>
      </c>
      <c r="AF5227" t="s">
        <v>37236</v>
      </c>
      <c r="AG5227" t="s">
        <v>2586</v>
      </c>
      <c r="AI5227" t="s">
        <v>37237</v>
      </c>
      <c r="AM5227" t="s">
        <v>37238</v>
      </c>
      <c r="AN5227" t="s">
        <v>2185</v>
      </c>
      <c r="AO5227" t="s">
        <v>37239</v>
      </c>
      <c r="AP5227" t="s">
        <v>7024</v>
      </c>
      <c r="AT5227" s="184">
        <v>43157</v>
      </c>
      <c r="AU5227" t="s">
        <v>37240</v>
      </c>
      <c r="AV5227">
        <v>25</v>
      </c>
      <c r="AW5227" s="184">
        <v>44979</v>
      </c>
      <c r="AX5227" t="s">
        <v>10777</v>
      </c>
      <c r="AY5227">
        <v>25</v>
      </c>
      <c r="AZ5227" s="184">
        <v>44979</v>
      </c>
      <c r="BA5227" t="s">
        <v>10777</v>
      </c>
      <c r="BB5227">
        <v>25</v>
      </c>
      <c r="BC5227">
        <v>72</v>
      </c>
      <c r="BD5227">
        <v>125</v>
      </c>
      <c r="BE5227">
        <v>2018</v>
      </c>
      <c r="BF5227">
        <v>5</v>
      </c>
      <c r="BG5227">
        <v>1</v>
      </c>
      <c r="BH5227">
        <v>25</v>
      </c>
      <c r="BI5227">
        <v>5</v>
      </c>
      <c r="BJ5227">
        <v>7</v>
      </c>
      <c r="BK5227">
        <v>3</v>
      </c>
      <c r="BP5227" s="184"/>
    </row>
    <row r="5228" spans="1:68">
      <c r="A5228">
        <v>97830095</v>
      </c>
      <c r="B5228">
        <v>97830095</v>
      </c>
      <c r="C5228" t="s">
        <v>7018</v>
      </c>
      <c r="D5228" t="s">
        <v>595</v>
      </c>
      <c r="E5228" s="184">
        <v>45174</v>
      </c>
      <c r="G5228" s="184"/>
      <c r="I5228" s="184"/>
      <c r="K5228" s="184"/>
      <c r="M5228" s="184"/>
      <c r="O5228" s="184"/>
      <c r="P5228" t="s">
        <v>7045</v>
      </c>
      <c r="Q5228" t="s">
        <v>7030</v>
      </c>
      <c r="R5228" s="184">
        <v>26537</v>
      </c>
      <c r="S5228">
        <v>51</v>
      </c>
      <c r="V5228" t="s">
        <v>2523</v>
      </c>
      <c r="X5228" t="s">
        <v>37241</v>
      </c>
      <c r="AF5228" t="s">
        <v>37242</v>
      </c>
      <c r="AG5228" t="s">
        <v>2523</v>
      </c>
      <c r="AI5228" t="s">
        <v>37243</v>
      </c>
      <c r="AM5228" t="s">
        <v>2968</v>
      </c>
      <c r="AN5228" t="s">
        <v>2094</v>
      </c>
      <c r="AO5228" t="s">
        <v>37244</v>
      </c>
      <c r="AP5228" t="s">
        <v>7024</v>
      </c>
      <c r="AQ5228" t="s">
        <v>37245</v>
      </c>
      <c r="AR5228" t="s">
        <v>37246</v>
      </c>
      <c r="AT5228" s="184">
        <v>43160</v>
      </c>
      <c r="AU5228" t="s">
        <v>37247</v>
      </c>
      <c r="AV5228">
        <v>25</v>
      </c>
      <c r="AW5228" s="184">
        <v>45303</v>
      </c>
      <c r="AX5228" t="s">
        <v>33002</v>
      </c>
      <c r="AY5228">
        <v>25</v>
      </c>
      <c r="AZ5228" s="184">
        <v>45303</v>
      </c>
      <c r="BA5228" t="s">
        <v>33002</v>
      </c>
      <c r="BB5228">
        <v>25</v>
      </c>
      <c r="BC5228">
        <v>72</v>
      </c>
      <c r="BD5228">
        <v>140</v>
      </c>
      <c r="BE5228">
        <v>2018</v>
      </c>
      <c r="BF5228">
        <v>6</v>
      </c>
      <c r="BG5228">
        <v>3</v>
      </c>
      <c r="BH5228">
        <v>75</v>
      </c>
      <c r="BI5228">
        <v>5</v>
      </c>
      <c r="BJ5228">
        <v>7</v>
      </c>
      <c r="BK5228">
        <v>3</v>
      </c>
      <c r="BP5228" s="184"/>
    </row>
    <row r="5229" spans="1:68">
      <c r="A5229">
        <v>97854533</v>
      </c>
      <c r="B5229">
        <v>97854533</v>
      </c>
      <c r="C5229" t="s">
        <v>7018</v>
      </c>
      <c r="E5229" s="184"/>
      <c r="G5229" s="184"/>
      <c r="H5229" t="s">
        <v>595</v>
      </c>
      <c r="I5229" s="184">
        <v>44109</v>
      </c>
      <c r="K5229" s="184"/>
      <c r="M5229" s="184"/>
      <c r="P5229" t="s">
        <v>7045</v>
      </c>
      <c r="Q5229" t="s">
        <v>7494</v>
      </c>
      <c r="R5229" s="184">
        <v>13763</v>
      </c>
      <c r="S5229">
        <v>86</v>
      </c>
      <c r="U5229" t="s">
        <v>7130</v>
      </c>
      <c r="V5229" t="s">
        <v>3468</v>
      </c>
      <c r="X5229" t="s">
        <v>3024</v>
      </c>
      <c r="Z5229">
        <v>100171888</v>
      </c>
      <c r="AA5229" t="s">
        <v>7031</v>
      </c>
      <c r="AB5229" t="s">
        <v>37248</v>
      </c>
      <c r="AD5229" t="s">
        <v>3024</v>
      </c>
      <c r="AF5229" t="s">
        <v>37249</v>
      </c>
      <c r="AG5229" t="s">
        <v>37250</v>
      </c>
      <c r="AI5229" t="s">
        <v>37251</v>
      </c>
      <c r="AM5229" t="s">
        <v>4996</v>
      </c>
      <c r="AN5229" t="s">
        <v>2174</v>
      </c>
      <c r="AO5229" t="s">
        <v>37252</v>
      </c>
      <c r="AP5229" t="s">
        <v>7024</v>
      </c>
      <c r="AQ5229" t="s">
        <v>37253</v>
      </c>
      <c r="AR5229" t="s">
        <v>37254</v>
      </c>
      <c r="AT5229" s="184">
        <v>38582</v>
      </c>
      <c r="AU5229" t="s">
        <v>37255</v>
      </c>
      <c r="AV5229">
        <v>25</v>
      </c>
      <c r="AW5229" s="184">
        <v>45140</v>
      </c>
      <c r="AX5229" t="s">
        <v>37256</v>
      </c>
      <c r="AY5229">
        <v>20</v>
      </c>
      <c r="AZ5229" s="184">
        <v>43528</v>
      </c>
      <c r="BA5229" t="s">
        <v>37257</v>
      </c>
      <c r="BB5229">
        <v>60</v>
      </c>
      <c r="BC5229">
        <v>75</v>
      </c>
      <c r="BD5229">
        <v>915</v>
      </c>
      <c r="BE5229">
        <v>2006</v>
      </c>
      <c r="BF5229">
        <v>36</v>
      </c>
      <c r="BG5229">
        <v>2</v>
      </c>
      <c r="BH5229">
        <v>40</v>
      </c>
      <c r="BI5229">
        <v>15</v>
      </c>
      <c r="BJ5229">
        <v>20</v>
      </c>
      <c r="BK5229">
        <v>6</v>
      </c>
      <c r="BP5229" s="184"/>
    </row>
    <row r="5230" spans="1:68">
      <c r="A5230">
        <v>100171888</v>
      </c>
      <c r="B5230">
        <v>97854533</v>
      </c>
      <c r="C5230" t="s">
        <v>7018</v>
      </c>
      <c r="E5230" s="184"/>
      <c r="G5230" s="184"/>
      <c r="H5230" t="s">
        <v>595</v>
      </c>
      <c r="I5230" s="184">
        <v>44109</v>
      </c>
      <c r="K5230" s="184"/>
      <c r="M5230" s="184"/>
      <c r="P5230" t="s">
        <v>7045</v>
      </c>
      <c r="Q5230" t="s">
        <v>7494</v>
      </c>
      <c r="R5230" s="184">
        <v>14063</v>
      </c>
      <c r="S5230">
        <v>85</v>
      </c>
      <c r="U5230" t="s">
        <v>7031</v>
      </c>
      <c r="V5230" t="s">
        <v>37248</v>
      </c>
      <c r="X5230" t="s">
        <v>3024</v>
      </c>
      <c r="Z5230">
        <v>97854533</v>
      </c>
      <c r="AA5230" t="s">
        <v>7130</v>
      </c>
      <c r="AB5230" t="s">
        <v>3468</v>
      </c>
      <c r="AD5230" t="s">
        <v>3024</v>
      </c>
      <c r="AF5230" t="s">
        <v>37249</v>
      </c>
      <c r="AG5230" t="s">
        <v>37250</v>
      </c>
      <c r="AI5230" t="s">
        <v>37251</v>
      </c>
      <c r="AM5230" t="s">
        <v>4996</v>
      </c>
      <c r="AN5230" t="s">
        <v>2174</v>
      </c>
      <c r="AO5230" t="s">
        <v>37252</v>
      </c>
      <c r="AP5230" t="s">
        <v>7024</v>
      </c>
      <c r="AT5230" s="184"/>
      <c r="AW5230" s="184"/>
      <c r="AZ5230" s="184"/>
      <c r="BP5230" s="184"/>
    </row>
    <row r="5231" spans="1:68">
      <c r="A5231">
        <v>97854632</v>
      </c>
      <c r="B5231">
        <v>97854632</v>
      </c>
      <c r="C5231" t="s">
        <v>7018</v>
      </c>
      <c r="E5231" s="184"/>
      <c r="F5231" t="s">
        <v>595</v>
      </c>
      <c r="G5231" s="184">
        <v>45167</v>
      </c>
      <c r="I5231" s="184"/>
      <c r="K5231" s="184"/>
      <c r="M5231" s="184"/>
      <c r="P5231" t="s">
        <v>7029</v>
      </c>
      <c r="Q5231" t="s">
        <v>7030</v>
      </c>
      <c r="R5231" s="184">
        <v>17685</v>
      </c>
      <c r="S5231">
        <v>75</v>
      </c>
      <c r="V5231" t="s">
        <v>4599</v>
      </c>
      <c r="X5231" t="s">
        <v>37258</v>
      </c>
      <c r="AF5231" t="s">
        <v>37259</v>
      </c>
      <c r="AG5231" t="s">
        <v>4599</v>
      </c>
      <c r="AI5231" t="s">
        <v>37260</v>
      </c>
      <c r="AM5231" t="s">
        <v>2658</v>
      </c>
      <c r="AN5231" t="s">
        <v>2089</v>
      </c>
      <c r="AO5231" t="s">
        <v>37261</v>
      </c>
      <c r="AP5231" t="s">
        <v>7024</v>
      </c>
      <c r="AQ5231" t="s">
        <v>37262</v>
      </c>
      <c r="AT5231" s="184">
        <v>43165</v>
      </c>
      <c r="AU5231" t="s">
        <v>37263</v>
      </c>
      <c r="AV5231">
        <v>100</v>
      </c>
      <c r="AW5231" s="184">
        <v>44658</v>
      </c>
      <c r="AX5231" t="s">
        <v>18643</v>
      </c>
      <c r="AY5231">
        <v>1000</v>
      </c>
      <c r="AZ5231" s="184">
        <v>44658</v>
      </c>
      <c r="BA5231" t="s">
        <v>18643</v>
      </c>
      <c r="BB5231">
        <v>1000</v>
      </c>
      <c r="BC5231">
        <v>72</v>
      </c>
      <c r="BD5231">
        <v>2700</v>
      </c>
      <c r="BE5231">
        <v>2018</v>
      </c>
      <c r="BF5231">
        <v>8</v>
      </c>
      <c r="BI5231">
        <v>5</v>
      </c>
      <c r="BJ5231">
        <v>7</v>
      </c>
      <c r="BK5231">
        <v>5</v>
      </c>
      <c r="BP5231" s="184"/>
    </row>
    <row r="5232" spans="1:68">
      <c r="A5232">
        <v>97857056</v>
      </c>
      <c r="B5232">
        <v>97857056</v>
      </c>
      <c r="C5232" t="s">
        <v>7018</v>
      </c>
      <c r="E5232" s="184"/>
      <c r="G5232" s="184"/>
      <c r="I5232" s="184"/>
      <c r="J5232" t="s">
        <v>595</v>
      </c>
      <c r="K5232" s="184">
        <v>43531</v>
      </c>
      <c r="M5232" s="184"/>
      <c r="O5232" s="184"/>
      <c r="P5232" t="s">
        <v>7084</v>
      </c>
      <c r="Q5232" t="s">
        <v>7494</v>
      </c>
      <c r="R5232" s="184"/>
      <c r="U5232" t="s">
        <v>7031</v>
      </c>
      <c r="V5232" t="s">
        <v>2541</v>
      </c>
      <c r="W5232" t="s">
        <v>4152</v>
      </c>
      <c r="X5232" t="s">
        <v>2728</v>
      </c>
      <c r="AF5232" t="s">
        <v>6766</v>
      </c>
      <c r="AG5232" t="s">
        <v>2541</v>
      </c>
      <c r="AI5232" t="s">
        <v>37264</v>
      </c>
      <c r="AM5232" t="s">
        <v>2730</v>
      </c>
      <c r="AN5232" t="s">
        <v>2174</v>
      </c>
      <c r="AO5232" t="s">
        <v>37265</v>
      </c>
      <c r="AP5232" t="s">
        <v>7024</v>
      </c>
      <c r="AQ5232" t="s">
        <v>37266</v>
      </c>
      <c r="AT5232" s="184">
        <v>44495</v>
      </c>
      <c r="AU5232" t="s">
        <v>7093</v>
      </c>
      <c r="AV5232">
        <v>323813.09999999998</v>
      </c>
      <c r="AW5232" s="184">
        <v>44495</v>
      </c>
      <c r="AX5232" t="s">
        <v>7093</v>
      </c>
      <c r="AY5232">
        <v>323813.09999999998</v>
      </c>
      <c r="AZ5232" s="184">
        <v>44495</v>
      </c>
      <c r="BA5232" t="s">
        <v>7093</v>
      </c>
      <c r="BB5232">
        <v>323813.09999999998</v>
      </c>
      <c r="BC5232">
        <v>25</v>
      </c>
      <c r="BD5232">
        <v>323813.09999999998</v>
      </c>
      <c r="BE5232">
        <v>2022</v>
      </c>
      <c r="BF5232">
        <v>1</v>
      </c>
      <c r="BI5232">
        <v>1</v>
      </c>
      <c r="BJ5232">
        <v>4</v>
      </c>
      <c r="BK5232">
        <v>1</v>
      </c>
      <c r="BO5232" t="s">
        <v>595</v>
      </c>
      <c r="BP5232" s="184">
        <v>44192</v>
      </c>
    </row>
    <row r="5233" spans="1:68">
      <c r="A5233">
        <v>97868038</v>
      </c>
      <c r="B5233">
        <v>97868038</v>
      </c>
      <c r="C5233" t="s">
        <v>7018</v>
      </c>
      <c r="D5233" t="s">
        <v>595</v>
      </c>
      <c r="E5233" s="184">
        <v>45120</v>
      </c>
      <c r="G5233" s="184"/>
      <c r="I5233" s="184"/>
      <c r="K5233" s="184"/>
      <c r="M5233" s="184"/>
      <c r="O5233" s="184"/>
      <c r="P5233" t="s">
        <v>7045</v>
      </c>
      <c r="Q5233" t="s">
        <v>7020</v>
      </c>
      <c r="R5233" s="184">
        <v>22104</v>
      </c>
      <c r="S5233">
        <v>63</v>
      </c>
      <c r="V5233" t="s">
        <v>3283</v>
      </c>
      <c r="W5233" t="s">
        <v>7085</v>
      </c>
      <c r="X5233" t="s">
        <v>37267</v>
      </c>
      <c r="AF5233" t="s">
        <v>37268</v>
      </c>
      <c r="AG5233" t="s">
        <v>3283</v>
      </c>
      <c r="AI5233" t="s">
        <v>37269</v>
      </c>
      <c r="AM5233" t="s">
        <v>2524</v>
      </c>
      <c r="AN5233" t="s">
        <v>2112</v>
      </c>
      <c r="AO5233" t="s">
        <v>37270</v>
      </c>
      <c r="AP5233" t="s">
        <v>7024</v>
      </c>
      <c r="AQ5233" t="s">
        <v>37271</v>
      </c>
      <c r="AT5233" s="184">
        <v>43167</v>
      </c>
      <c r="AU5233" t="s">
        <v>37272</v>
      </c>
      <c r="AV5233">
        <v>100</v>
      </c>
      <c r="AW5233" s="184">
        <v>45342</v>
      </c>
      <c r="AX5233" t="s">
        <v>37273</v>
      </c>
      <c r="AY5233">
        <v>100</v>
      </c>
      <c r="AZ5233" s="184">
        <v>45342</v>
      </c>
      <c r="BA5233" t="s">
        <v>37273</v>
      </c>
      <c r="BB5233">
        <v>100</v>
      </c>
      <c r="BC5233">
        <v>72</v>
      </c>
      <c r="BD5233">
        <v>450</v>
      </c>
      <c r="BE5233">
        <v>2018</v>
      </c>
      <c r="BF5233">
        <v>5</v>
      </c>
      <c r="BG5233">
        <v>2</v>
      </c>
      <c r="BH5233">
        <v>150</v>
      </c>
      <c r="BI5233">
        <v>5</v>
      </c>
      <c r="BJ5233">
        <v>7</v>
      </c>
      <c r="BK5233">
        <v>3</v>
      </c>
      <c r="BP5233" s="184"/>
    </row>
    <row r="5234" spans="1:68">
      <c r="A5234">
        <v>97875827</v>
      </c>
      <c r="B5234">
        <v>97875827</v>
      </c>
      <c r="C5234" t="s">
        <v>7018</v>
      </c>
      <c r="D5234" t="s">
        <v>595</v>
      </c>
      <c r="E5234" s="184">
        <v>45120</v>
      </c>
      <c r="G5234" s="184"/>
      <c r="I5234" s="184"/>
      <c r="K5234" s="184"/>
      <c r="M5234" s="184"/>
      <c r="O5234" s="184"/>
      <c r="P5234" t="s">
        <v>7045</v>
      </c>
      <c r="Q5234" t="s">
        <v>7160</v>
      </c>
      <c r="R5234" s="184">
        <v>19627</v>
      </c>
      <c r="S5234">
        <v>70</v>
      </c>
      <c r="V5234" t="s">
        <v>2718</v>
      </c>
      <c r="W5234" t="s">
        <v>4139</v>
      </c>
      <c r="X5234" t="s">
        <v>37274</v>
      </c>
      <c r="AF5234" t="s">
        <v>37275</v>
      </c>
      <c r="AG5234" t="s">
        <v>2718</v>
      </c>
      <c r="AI5234" t="s">
        <v>37276</v>
      </c>
      <c r="AM5234" t="s">
        <v>3408</v>
      </c>
      <c r="AN5234" t="s">
        <v>2176</v>
      </c>
      <c r="AO5234" t="s">
        <v>37277</v>
      </c>
      <c r="AP5234" t="s">
        <v>7024</v>
      </c>
      <c r="AT5234" s="184">
        <v>43171</v>
      </c>
      <c r="AU5234" t="s">
        <v>37278</v>
      </c>
      <c r="AV5234">
        <v>15</v>
      </c>
      <c r="AW5234" s="184">
        <v>44932</v>
      </c>
      <c r="AX5234" t="s">
        <v>11657</v>
      </c>
      <c r="AY5234">
        <v>25</v>
      </c>
      <c r="AZ5234" s="184">
        <v>44932</v>
      </c>
      <c r="BA5234" t="s">
        <v>11657</v>
      </c>
      <c r="BB5234">
        <v>25</v>
      </c>
      <c r="BC5234">
        <v>72</v>
      </c>
      <c r="BD5234">
        <v>140</v>
      </c>
      <c r="BE5234">
        <v>2018</v>
      </c>
      <c r="BF5234">
        <v>7</v>
      </c>
      <c r="BG5234">
        <v>1</v>
      </c>
      <c r="BH5234">
        <v>25</v>
      </c>
      <c r="BI5234">
        <v>5</v>
      </c>
      <c r="BJ5234">
        <v>7</v>
      </c>
      <c r="BK5234">
        <v>4</v>
      </c>
      <c r="BP5234" s="184"/>
    </row>
    <row r="5235" spans="1:68">
      <c r="A5235">
        <v>97876957</v>
      </c>
      <c r="B5235">
        <v>97876957</v>
      </c>
      <c r="C5235" t="s">
        <v>7018</v>
      </c>
      <c r="E5235" s="184"/>
      <c r="G5235" s="184"/>
      <c r="H5235" t="s">
        <v>595</v>
      </c>
      <c r="I5235" s="184">
        <v>44707</v>
      </c>
      <c r="K5235" s="184"/>
      <c r="M5235" s="184"/>
      <c r="O5235" s="184"/>
      <c r="P5235" t="s">
        <v>7045</v>
      </c>
      <c r="Q5235" t="s">
        <v>7020</v>
      </c>
      <c r="R5235" s="184">
        <v>20363</v>
      </c>
      <c r="S5235">
        <v>68</v>
      </c>
      <c r="V5235" t="s">
        <v>2982</v>
      </c>
      <c r="W5235" t="s">
        <v>5006</v>
      </c>
      <c r="X5235" t="s">
        <v>25478</v>
      </c>
      <c r="Z5235">
        <v>100171935</v>
      </c>
      <c r="AB5235" t="s">
        <v>37279</v>
      </c>
      <c r="AD5235" t="s">
        <v>25478</v>
      </c>
      <c r="AF5235" t="s">
        <v>37280</v>
      </c>
      <c r="AG5235" t="s">
        <v>37281</v>
      </c>
      <c r="AI5235" t="s">
        <v>37282</v>
      </c>
      <c r="AM5235" t="s">
        <v>20615</v>
      </c>
      <c r="AN5235" t="s">
        <v>2255</v>
      </c>
      <c r="AO5235" t="s">
        <v>37283</v>
      </c>
      <c r="AP5235" t="s">
        <v>7024</v>
      </c>
      <c r="AQ5235" t="s">
        <v>37284</v>
      </c>
      <c r="AT5235" s="184">
        <v>43172</v>
      </c>
      <c r="AU5235" t="s">
        <v>17745</v>
      </c>
      <c r="AV5235">
        <v>50</v>
      </c>
      <c r="AW5235" s="184">
        <v>44341</v>
      </c>
      <c r="AX5235" t="s">
        <v>24821</v>
      </c>
      <c r="AY5235">
        <v>25</v>
      </c>
      <c r="AZ5235" s="184">
        <v>43516</v>
      </c>
      <c r="BA5235" t="s">
        <v>37285</v>
      </c>
      <c r="BB5235">
        <v>50</v>
      </c>
      <c r="BC5235">
        <v>43</v>
      </c>
      <c r="BD5235">
        <v>125</v>
      </c>
      <c r="BE5235">
        <v>2018</v>
      </c>
      <c r="BF5235">
        <v>3</v>
      </c>
      <c r="BI5235">
        <v>3</v>
      </c>
      <c r="BJ5235">
        <v>7</v>
      </c>
      <c r="BK5235">
        <v>2</v>
      </c>
      <c r="BP5235" s="184"/>
    </row>
    <row r="5236" spans="1:68">
      <c r="A5236">
        <v>100171935</v>
      </c>
      <c r="B5236">
        <v>97876957</v>
      </c>
      <c r="C5236" t="s">
        <v>7018</v>
      </c>
      <c r="E5236" s="184"/>
      <c r="G5236" s="184"/>
      <c r="H5236" t="s">
        <v>595</v>
      </c>
      <c r="I5236" s="184">
        <v>44707</v>
      </c>
      <c r="K5236" s="184"/>
      <c r="M5236" s="184"/>
      <c r="P5236" t="s">
        <v>7045</v>
      </c>
      <c r="Q5236" t="s">
        <v>7020</v>
      </c>
      <c r="R5236" s="184"/>
      <c r="V5236" t="s">
        <v>37279</v>
      </c>
      <c r="X5236" t="s">
        <v>25478</v>
      </c>
      <c r="Z5236">
        <v>97876957</v>
      </c>
      <c r="AB5236" t="s">
        <v>2982</v>
      </c>
      <c r="AC5236" t="s">
        <v>5006</v>
      </c>
      <c r="AD5236" t="s">
        <v>25478</v>
      </c>
      <c r="AF5236" t="s">
        <v>37280</v>
      </c>
      <c r="AG5236" t="s">
        <v>37281</v>
      </c>
      <c r="AI5236" t="s">
        <v>37282</v>
      </c>
      <c r="AM5236" t="s">
        <v>20615</v>
      </c>
      <c r="AN5236" t="s">
        <v>2255</v>
      </c>
      <c r="AO5236" t="s">
        <v>37283</v>
      </c>
      <c r="AP5236" t="s">
        <v>7024</v>
      </c>
      <c r="AT5236" s="184">
        <v>44836</v>
      </c>
      <c r="AU5236" t="s">
        <v>37286</v>
      </c>
      <c r="AV5236">
        <v>19.97</v>
      </c>
      <c r="AW5236" s="184">
        <v>44836</v>
      </c>
      <c r="AX5236" t="s">
        <v>37286</v>
      </c>
      <c r="AY5236">
        <v>19.97</v>
      </c>
      <c r="AZ5236" s="184">
        <v>44836</v>
      </c>
      <c r="BA5236" t="s">
        <v>37286</v>
      </c>
      <c r="BB5236">
        <v>19.97</v>
      </c>
      <c r="BC5236">
        <v>34</v>
      </c>
      <c r="BD5236">
        <v>19.97</v>
      </c>
      <c r="BE5236">
        <v>2023</v>
      </c>
      <c r="BF5236">
        <v>1</v>
      </c>
      <c r="BG5236">
        <v>1</v>
      </c>
      <c r="BH5236">
        <v>19.97</v>
      </c>
      <c r="BI5236">
        <v>1</v>
      </c>
      <c r="BJ5236">
        <v>3</v>
      </c>
      <c r="BK5236">
        <v>1</v>
      </c>
      <c r="BP5236" s="184"/>
    </row>
    <row r="5237" spans="1:68">
      <c r="A5237">
        <v>97939110</v>
      </c>
      <c r="B5237">
        <v>97939110</v>
      </c>
      <c r="C5237" t="s">
        <v>7018</v>
      </c>
      <c r="E5237" s="184"/>
      <c r="G5237" s="184"/>
      <c r="I5237" s="184"/>
      <c r="K5237" s="184"/>
      <c r="L5237" t="s">
        <v>595</v>
      </c>
      <c r="M5237" s="184">
        <v>44567</v>
      </c>
      <c r="O5237" s="184"/>
      <c r="P5237" t="s">
        <v>7029</v>
      </c>
      <c r="Q5237" t="s">
        <v>7262</v>
      </c>
      <c r="R5237" s="184">
        <v>15311</v>
      </c>
      <c r="S5237">
        <v>82</v>
      </c>
      <c r="V5237" t="s">
        <v>3103</v>
      </c>
      <c r="X5237" t="s">
        <v>37287</v>
      </c>
      <c r="Z5237">
        <v>100172007</v>
      </c>
      <c r="AB5237" t="s">
        <v>3782</v>
      </c>
      <c r="AD5237" t="s">
        <v>37287</v>
      </c>
      <c r="AF5237" t="s">
        <v>37288</v>
      </c>
      <c r="AG5237" t="s">
        <v>37289</v>
      </c>
      <c r="AI5237" t="s">
        <v>37290</v>
      </c>
      <c r="AM5237" t="s">
        <v>5764</v>
      </c>
      <c r="AN5237" t="s">
        <v>65</v>
      </c>
      <c r="AO5237" t="s">
        <v>37291</v>
      </c>
      <c r="AP5237" t="s">
        <v>7024</v>
      </c>
      <c r="AT5237" s="184">
        <v>43182</v>
      </c>
      <c r="AU5237" t="s">
        <v>37292</v>
      </c>
      <c r="AV5237">
        <v>25</v>
      </c>
      <c r="AW5237" s="184">
        <v>45313</v>
      </c>
      <c r="AX5237" t="s">
        <v>7382</v>
      </c>
      <c r="AY5237">
        <v>1000</v>
      </c>
      <c r="AZ5237" s="184">
        <v>45082</v>
      </c>
      <c r="BA5237" t="s">
        <v>11151</v>
      </c>
      <c r="BB5237">
        <v>1500</v>
      </c>
      <c r="BC5237">
        <v>72</v>
      </c>
      <c r="BD5237">
        <v>8525</v>
      </c>
      <c r="BE5237">
        <v>2018</v>
      </c>
      <c r="BF5237">
        <v>8</v>
      </c>
      <c r="BG5237">
        <v>3</v>
      </c>
      <c r="BH5237">
        <v>3500</v>
      </c>
      <c r="BI5237">
        <v>5</v>
      </c>
      <c r="BJ5237">
        <v>7</v>
      </c>
      <c r="BK5237">
        <v>2</v>
      </c>
      <c r="BP5237" s="184"/>
    </row>
    <row r="5238" spans="1:68">
      <c r="A5238">
        <v>100172007</v>
      </c>
      <c r="B5238">
        <v>97939110</v>
      </c>
      <c r="C5238" t="s">
        <v>7018</v>
      </c>
      <c r="E5238" s="184"/>
      <c r="G5238" s="184"/>
      <c r="I5238" s="184"/>
      <c r="K5238" s="184"/>
      <c r="L5238" t="s">
        <v>595</v>
      </c>
      <c r="M5238" s="184">
        <v>44567</v>
      </c>
      <c r="O5238" s="184"/>
      <c r="P5238" t="s">
        <v>7029</v>
      </c>
      <c r="Q5238" t="s">
        <v>7262</v>
      </c>
      <c r="R5238" s="184">
        <v>15676</v>
      </c>
      <c r="S5238">
        <v>81</v>
      </c>
      <c r="V5238" t="s">
        <v>3782</v>
      </c>
      <c r="X5238" t="s">
        <v>37287</v>
      </c>
      <c r="Z5238">
        <v>97939110</v>
      </c>
      <c r="AB5238" t="s">
        <v>3103</v>
      </c>
      <c r="AD5238" t="s">
        <v>37287</v>
      </c>
      <c r="AF5238" t="s">
        <v>37288</v>
      </c>
      <c r="AG5238" t="s">
        <v>37289</v>
      </c>
      <c r="AI5238" t="s">
        <v>37290</v>
      </c>
      <c r="AM5238" t="s">
        <v>5764</v>
      </c>
      <c r="AN5238" t="s">
        <v>65</v>
      </c>
      <c r="AO5238" t="s">
        <v>37291</v>
      </c>
      <c r="AP5238" t="s">
        <v>7024</v>
      </c>
      <c r="AT5238" s="184"/>
      <c r="AW5238" s="184"/>
      <c r="AZ5238" s="184"/>
      <c r="BP5238" s="184"/>
    </row>
    <row r="5239" spans="1:68">
      <c r="A5239">
        <v>97942403</v>
      </c>
      <c r="B5239">
        <v>97942403</v>
      </c>
      <c r="C5239" t="s">
        <v>7018</v>
      </c>
      <c r="D5239" t="s">
        <v>595</v>
      </c>
      <c r="E5239" s="184">
        <v>45195</v>
      </c>
      <c r="G5239" s="184"/>
      <c r="I5239" s="184"/>
      <c r="K5239" s="184"/>
      <c r="M5239" s="184"/>
      <c r="O5239" s="184"/>
      <c r="P5239" t="s">
        <v>7045</v>
      </c>
      <c r="Q5239" t="s">
        <v>7383</v>
      </c>
      <c r="R5239" s="184">
        <v>14821</v>
      </c>
      <c r="S5239">
        <v>83</v>
      </c>
      <c r="V5239" t="s">
        <v>9003</v>
      </c>
      <c r="X5239" t="s">
        <v>37293</v>
      </c>
      <c r="AF5239" t="s">
        <v>37294</v>
      </c>
      <c r="AG5239" t="s">
        <v>9003</v>
      </c>
      <c r="AI5239" t="s">
        <v>37295</v>
      </c>
      <c r="AM5239" t="s">
        <v>23097</v>
      </c>
      <c r="AN5239" t="s">
        <v>2144</v>
      </c>
      <c r="AO5239" t="s">
        <v>37296</v>
      </c>
      <c r="AP5239" t="s">
        <v>7024</v>
      </c>
      <c r="AT5239" s="184">
        <v>43185</v>
      </c>
      <c r="AU5239" t="s">
        <v>37292</v>
      </c>
      <c r="AV5239">
        <v>15</v>
      </c>
      <c r="AW5239" s="184">
        <v>45342</v>
      </c>
      <c r="AX5239" t="s">
        <v>9700</v>
      </c>
      <c r="AY5239">
        <v>25</v>
      </c>
      <c r="AZ5239" s="184">
        <v>45342</v>
      </c>
      <c r="BA5239" t="s">
        <v>9700</v>
      </c>
      <c r="BB5239">
        <v>25</v>
      </c>
      <c r="BC5239">
        <v>100</v>
      </c>
      <c r="BD5239">
        <v>180</v>
      </c>
      <c r="BE5239">
        <v>2018</v>
      </c>
      <c r="BF5239">
        <v>8</v>
      </c>
      <c r="BG5239">
        <v>2</v>
      </c>
      <c r="BH5239">
        <v>50</v>
      </c>
      <c r="BI5239">
        <v>7</v>
      </c>
      <c r="BJ5239">
        <v>7</v>
      </c>
      <c r="BK5239">
        <v>7</v>
      </c>
      <c r="BP5239" s="184"/>
    </row>
    <row r="5240" spans="1:68">
      <c r="A5240">
        <v>97953780</v>
      </c>
      <c r="B5240">
        <v>97953780</v>
      </c>
      <c r="C5240" t="s">
        <v>7018</v>
      </c>
      <c r="D5240" t="s">
        <v>595</v>
      </c>
      <c r="E5240" s="184">
        <v>45152</v>
      </c>
      <c r="G5240" s="184"/>
      <c r="I5240" s="184"/>
      <c r="K5240" s="184"/>
      <c r="M5240" s="184"/>
      <c r="O5240" s="184"/>
      <c r="P5240" t="s">
        <v>7045</v>
      </c>
      <c r="Q5240" t="s">
        <v>7383</v>
      </c>
      <c r="R5240" s="184">
        <v>19241</v>
      </c>
      <c r="S5240">
        <v>71</v>
      </c>
      <c r="V5240" t="s">
        <v>2821</v>
      </c>
      <c r="W5240" t="s">
        <v>2049</v>
      </c>
      <c r="X5240" t="s">
        <v>37297</v>
      </c>
      <c r="AF5240" t="s">
        <v>37298</v>
      </c>
      <c r="AG5240" t="s">
        <v>2821</v>
      </c>
      <c r="AI5240" t="s">
        <v>37299</v>
      </c>
      <c r="AM5240" t="s">
        <v>37300</v>
      </c>
      <c r="AN5240" t="s">
        <v>2072</v>
      </c>
      <c r="AO5240" t="s">
        <v>37301</v>
      </c>
      <c r="AP5240" t="s">
        <v>7024</v>
      </c>
      <c r="AQ5240" t="s">
        <v>37302</v>
      </c>
      <c r="AT5240" s="184">
        <v>43312</v>
      </c>
      <c r="AU5240" t="s">
        <v>37303</v>
      </c>
      <c r="AV5240">
        <v>25</v>
      </c>
      <c r="AW5240" s="184">
        <v>45028</v>
      </c>
      <c r="AX5240" t="s">
        <v>7832</v>
      </c>
      <c r="AY5240">
        <v>50</v>
      </c>
      <c r="AZ5240" s="184">
        <v>45028</v>
      </c>
      <c r="BA5240" t="s">
        <v>7832</v>
      </c>
      <c r="BB5240">
        <v>50</v>
      </c>
      <c r="BC5240">
        <v>86</v>
      </c>
      <c r="BD5240">
        <v>300</v>
      </c>
      <c r="BE5240">
        <v>2019</v>
      </c>
      <c r="BF5240">
        <v>7</v>
      </c>
      <c r="BG5240">
        <v>2</v>
      </c>
      <c r="BH5240">
        <v>100</v>
      </c>
      <c r="BI5240">
        <v>6</v>
      </c>
      <c r="BJ5240">
        <v>7</v>
      </c>
      <c r="BK5240">
        <v>6</v>
      </c>
      <c r="BP5240" s="184"/>
    </row>
    <row r="5241" spans="1:68">
      <c r="A5241">
        <v>97971394</v>
      </c>
      <c r="B5241">
        <v>97971394</v>
      </c>
      <c r="C5241" t="s">
        <v>7018</v>
      </c>
      <c r="D5241" t="s">
        <v>595</v>
      </c>
      <c r="E5241" s="184">
        <v>45120</v>
      </c>
      <c r="G5241" s="184"/>
      <c r="I5241" s="184"/>
      <c r="K5241" s="184"/>
      <c r="M5241" s="184"/>
      <c r="O5241" s="184"/>
      <c r="P5241" t="s">
        <v>7045</v>
      </c>
      <c r="Q5241" t="s">
        <v>7383</v>
      </c>
      <c r="R5241" s="184">
        <v>19202</v>
      </c>
      <c r="S5241">
        <v>71</v>
      </c>
      <c r="U5241" t="s">
        <v>7130</v>
      </c>
      <c r="V5241" t="s">
        <v>3409</v>
      </c>
      <c r="X5241" t="s">
        <v>3862</v>
      </c>
      <c r="AF5241" t="s">
        <v>37304</v>
      </c>
      <c r="AG5241" t="s">
        <v>3409</v>
      </c>
      <c r="AI5241" t="s">
        <v>37305</v>
      </c>
      <c r="AM5241" t="s">
        <v>19746</v>
      </c>
      <c r="AN5241" t="s">
        <v>2059</v>
      </c>
      <c r="AO5241" t="s">
        <v>37306</v>
      </c>
      <c r="AP5241" t="s">
        <v>7024</v>
      </c>
      <c r="AQ5241" t="s">
        <v>37307</v>
      </c>
      <c r="AT5241" s="184">
        <v>43369</v>
      </c>
      <c r="AU5241" t="s">
        <v>37308</v>
      </c>
      <c r="AV5241">
        <v>25</v>
      </c>
      <c r="AW5241" s="184">
        <v>45210</v>
      </c>
      <c r="AX5241" t="s">
        <v>37309</v>
      </c>
      <c r="AY5241">
        <v>25</v>
      </c>
      <c r="AZ5241" s="184">
        <v>45210</v>
      </c>
      <c r="BA5241" t="s">
        <v>37309</v>
      </c>
      <c r="BB5241">
        <v>25</v>
      </c>
      <c r="BC5241">
        <v>43</v>
      </c>
      <c r="BD5241">
        <v>100</v>
      </c>
      <c r="BE5241">
        <v>2019</v>
      </c>
      <c r="BF5241">
        <v>4</v>
      </c>
      <c r="BG5241">
        <v>3</v>
      </c>
      <c r="BH5241">
        <v>75</v>
      </c>
      <c r="BI5241">
        <v>3</v>
      </c>
      <c r="BJ5241">
        <v>7</v>
      </c>
      <c r="BK5241">
        <v>2</v>
      </c>
      <c r="BN5241" t="s">
        <v>595</v>
      </c>
      <c r="BP5241" s="184"/>
    </row>
    <row r="5242" spans="1:68">
      <c r="A5242">
        <v>97973499</v>
      </c>
      <c r="B5242">
        <v>97973499</v>
      </c>
      <c r="C5242" t="s">
        <v>7018</v>
      </c>
      <c r="D5242" t="s">
        <v>595</v>
      </c>
      <c r="E5242" s="184">
        <v>45160</v>
      </c>
      <c r="G5242" s="184"/>
      <c r="I5242" s="184"/>
      <c r="K5242" s="184"/>
      <c r="M5242" s="184"/>
      <c r="O5242" s="184"/>
      <c r="P5242" t="s">
        <v>7045</v>
      </c>
      <c r="Q5242" t="s">
        <v>7383</v>
      </c>
      <c r="R5242" s="184">
        <v>18688</v>
      </c>
      <c r="S5242">
        <v>73</v>
      </c>
      <c r="V5242" t="s">
        <v>3419</v>
      </c>
      <c r="W5242" t="s">
        <v>4210</v>
      </c>
      <c r="X5242" t="s">
        <v>37310</v>
      </c>
      <c r="AF5242" t="s">
        <v>37311</v>
      </c>
      <c r="AG5242" t="s">
        <v>3419</v>
      </c>
      <c r="AI5242" t="s">
        <v>37312</v>
      </c>
      <c r="AM5242" t="s">
        <v>37313</v>
      </c>
      <c r="AN5242" t="s">
        <v>2162</v>
      </c>
      <c r="AO5242" t="s">
        <v>37314</v>
      </c>
      <c r="AP5242" t="s">
        <v>7024</v>
      </c>
      <c r="AQ5242" t="s">
        <v>37315</v>
      </c>
      <c r="AT5242" s="184">
        <v>43189</v>
      </c>
      <c r="AU5242" t="s">
        <v>37316</v>
      </c>
      <c r="AV5242">
        <v>19.97</v>
      </c>
      <c r="AW5242" s="184">
        <v>45407</v>
      </c>
      <c r="AX5242" t="s">
        <v>10451</v>
      </c>
      <c r="AY5242">
        <v>10</v>
      </c>
      <c r="AZ5242" s="184">
        <v>45289</v>
      </c>
      <c r="BA5242" t="s">
        <v>15609</v>
      </c>
      <c r="BB5242">
        <v>100</v>
      </c>
      <c r="BC5242">
        <v>100</v>
      </c>
      <c r="BD5242">
        <v>1204.97</v>
      </c>
      <c r="BE5242">
        <v>2018</v>
      </c>
      <c r="BF5242">
        <v>97</v>
      </c>
      <c r="BG5242">
        <v>26</v>
      </c>
      <c r="BH5242">
        <v>390</v>
      </c>
      <c r="BI5242">
        <v>7</v>
      </c>
      <c r="BJ5242">
        <v>7</v>
      </c>
      <c r="BK5242">
        <v>7</v>
      </c>
      <c r="BP5242" s="184"/>
    </row>
    <row r="5243" spans="1:68">
      <c r="A5243">
        <v>97975254</v>
      </c>
      <c r="B5243">
        <v>97975254</v>
      </c>
      <c r="C5243" t="s">
        <v>7018</v>
      </c>
      <c r="E5243" s="184"/>
      <c r="G5243" s="184"/>
      <c r="I5243" s="184"/>
      <c r="J5243" t="s">
        <v>595</v>
      </c>
      <c r="K5243" s="184">
        <v>43691</v>
      </c>
      <c r="M5243" s="184"/>
      <c r="O5243" s="184"/>
      <c r="P5243" t="s">
        <v>26463</v>
      </c>
      <c r="Q5243" t="s">
        <v>7454</v>
      </c>
      <c r="R5243" s="184">
        <v>9792</v>
      </c>
      <c r="S5243">
        <v>97</v>
      </c>
      <c r="U5243" t="s">
        <v>15150</v>
      </c>
      <c r="V5243" t="s">
        <v>5735</v>
      </c>
      <c r="W5243" t="s">
        <v>3951</v>
      </c>
      <c r="X5243" t="s">
        <v>37317</v>
      </c>
      <c r="AF5243" t="s">
        <v>37318</v>
      </c>
      <c r="AG5243" t="s">
        <v>5735</v>
      </c>
      <c r="AI5243" t="s">
        <v>37319</v>
      </c>
      <c r="AM5243" t="s">
        <v>3611</v>
      </c>
      <c r="AN5243" t="s">
        <v>2055</v>
      </c>
      <c r="AO5243" t="s">
        <v>37320</v>
      </c>
      <c r="AP5243" t="s">
        <v>7024</v>
      </c>
      <c r="AT5243" s="184">
        <v>43717</v>
      </c>
      <c r="AU5243" t="s">
        <v>8257</v>
      </c>
      <c r="AV5243">
        <v>1503.38</v>
      </c>
      <c r="AW5243" s="184">
        <v>43717</v>
      </c>
      <c r="AX5243" t="s">
        <v>8257</v>
      </c>
      <c r="AY5243">
        <v>1503.38</v>
      </c>
      <c r="AZ5243" s="184">
        <v>43717</v>
      </c>
      <c r="BA5243" t="s">
        <v>8257</v>
      </c>
      <c r="BB5243">
        <v>1503.38</v>
      </c>
      <c r="BC5243">
        <v>17</v>
      </c>
      <c r="BD5243">
        <v>1503.38</v>
      </c>
      <c r="BE5243">
        <v>2020</v>
      </c>
      <c r="BF5243">
        <v>1</v>
      </c>
      <c r="BI5243">
        <v>1</v>
      </c>
      <c r="BJ5243">
        <v>6</v>
      </c>
      <c r="BK5243">
        <v>1</v>
      </c>
      <c r="BO5243" t="s">
        <v>595</v>
      </c>
      <c r="BP5243" s="184">
        <v>42859</v>
      </c>
    </row>
    <row r="5244" spans="1:68">
      <c r="A5244">
        <v>98229552</v>
      </c>
      <c r="B5244">
        <v>98229552</v>
      </c>
      <c r="C5244" t="s">
        <v>7018</v>
      </c>
      <c r="D5244" t="s">
        <v>595</v>
      </c>
      <c r="E5244" s="184">
        <v>45181</v>
      </c>
      <c r="G5244" s="184"/>
      <c r="I5244" s="184"/>
      <c r="K5244" s="184"/>
      <c r="M5244" s="184"/>
      <c r="O5244" s="184"/>
      <c r="P5244" t="s">
        <v>7045</v>
      </c>
      <c r="Q5244" t="s">
        <v>7454</v>
      </c>
      <c r="R5244" s="184">
        <v>13239</v>
      </c>
      <c r="S5244">
        <v>88</v>
      </c>
      <c r="V5244" t="s">
        <v>2671</v>
      </c>
      <c r="X5244" t="s">
        <v>37321</v>
      </c>
      <c r="AF5244" t="s">
        <v>37322</v>
      </c>
      <c r="AG5244" t="s">
        <v>2671</v>
      </c>
      <c r="AI5244" t="s">
        <v>37323</v>
      </c>
      <c r="AM5244" t="s">
        <v>37324</v>
      </c>
      <c r="AN5244" t="s">
        <v>2055</v>
      </c>
      <c r="AO5244" t="s">
        <v>37325</v>
      </c>
      <c r="AP5244" t="s">
        <v>7024</v>
      </c>
      <c r="AT5244" s="184">
        <v>32993</v>
      </c>
      <c r="AU5244" t="s">
        <v>9838</v>
      </c>
      <c r="AV5244">
        <v>15</v>
      </c>
      <c r="AW5244" s="184">
        <v>45345</v>
      </c>
      <c r="AX5244" t="s">
        <v>25586</v>
      </c>
      <c r="AY5244">
        <v>25</v>
      </c>
      <c r="AZ5244" s="184">
        <v>45345</v>
      </c>
      <c r="BA5244" t="s">
        <v>25586</v>
      </c>
      <c r="BB5244">
        <v>25</v>
      </c>
      <c r="BC5244">
        <v>23</v>
      </c>
      <c r="BD5244">
        <v>210</v>
      </c>
      <c r="BE5244">
        <v>1990</v>
      </c>
      <c r="BF5244">
        <v>9</v>
      </c>
      <c r="BG5244">
        <v>2</v>
      </c>
      <c r="BH5244">
        <v>50</v>
      </c>
      <c r="BI5244">
        <v>8</v>
      </c>
      <c r="BJ5244">
        <v>35</v>
      </c>
      <c r="BK5244">
        <v>4</v>
      </c>
      <c r="BP5244" s="184"/>
    </row>
    <row r="5245" spans="1:68">
      <c r="A5245">
        <v>98245376</v>
      </c>
      <c r="B5245">
        <v>98245376</v>
      </c>
      <c r="C5245" t="s">
        <v>7018</v>
      </c>
      <c r="D5245" t="s">
        <v>595</v>
      </c>
      <c r="E5245" s="184">
        <v>45196</v>
      </c>
      <c r="G5245" s="184"/>
      <c r="I5245" s="184"/>
      <c r="K5245" s="184"/>
      <c r="M5245" s="184"/>
      <c r="O5245" s="184"/>
      <c r="P5245" t="s">
        <v>7045</v>
      </c>
      <c r="Q5245" t="s">
        <v>7374</v>
      </c>
      <c r="R5245" s="184">
        <v>19834</v>
      </c>
      <c r="S5245">
        <v>70</v>
      </c>
      <c r="V5245" t="s">
        <v>3317</v>
      </c>
      <c r="X5245" t="s">
        <v>37326</v>
      </c>
      <c r="AF5245" t="s">
        <v>37327</v>
      </c>
      <c r="AG5245" t="s">
        <v>3317</v>
      </c>
      <c r="AI5245" t="s">
        <v>37328</v>
      </c>
      <c r="AM5245" t="s">
        <v>37329</v>
      </c>
      <c r="AN5245" t="s">
        <v>2081</v>
      </c>
      <c r="AO5245" t="s">
        <v>37330</v>
      </c>
      <c r="AP5245" t="s">
        <v>7024</v>
      </c>
      <c r="AQ5245" t="s">
        <v>37331</v>
      </c>
      <c r="AT5245" s="184">
        <v>43194</v>
      </c>
      <c r="AU5245" t="s">
        <v>37332</v>
      </c>
      <c r="AV5245">
        <v>25</v>
      </c>
      <c r="AW5245" s="184">
        <v>44872</v>
      </c>
      <c r="AX5245" t="s">
        <v>36130</v>
      </c>
      <c r="AY5245">
        <v>25</v>
      </c>
      <c r="AZ5245" s="184">
        <v>44872</v>
      </c>
      <c r="BA5245" t="s">
        <v>36130</v>
      </c>
      <c r="BB5245">
        <v>25</v>
      </c>
      <c r="BC5245">
        <v>43</v>
      </c>
      <c r="BD5245">
        <v>100</v>
      </c>
      <c r="BE5245">
        <v>2018</v>
      </c>
      <c r="BF5245">
        <v>4</v>
      </c>
      <c r="BG5245">
        <v>1</v>
      </c>
      <c r="BH5245">
        <v>25</v>
      </c>
      <c r="BI5245">
        <v>3</v>
      </c>
      <c r="BJ5245">
        <v>7</v>
      </c>
      <c r="BK5245">
        <v>1</v>
      </c>
      <c r="BP5245" s="184"/>
    </row>
    <row r="5246" spans="1:68">
      <c r="A5246">
        <v>98246705</v>
      </c>
      <c r="B5246">
        <v>98246705</v>
      </c>
      <c r="C5246" t="s">
        <v>7018</v>
      </c>
      <c r="D5246" t="s">
        <v>595</v>
      </c>
      <c r="E5246" s="184">
        <v>45174</v>
      </c>
      <c r="G5246" s="184"/>
      <c r="I5246" s="184"/>
      <c r="K5246" s="184"/>
      <c r="M5246" s="184"/>
      <c r="O5246" s="184"/>
      <c r="P5246" t="s">
        <v>7045</v>
      </c>
      <c r="Q5246" t="s">
        <v>7383</v>
      </c>
      <c r="R5246" s="184">
        <v>22600</v>
      </c>
      <c r="S5246">
        <v>62</v>
      </c>
      <c r="V5246" t="s">
        <v>5772</v>
      </c>
      <c r="X5246" t="s">
        <v>37333</v>
      </c>
      <c r="AF5246" t="s">
        <v>37334</v>
      </c>
      <c r="AG5246" t="s">
        <v>5772</v>
      </c>
      <c r="AI5246" t="s">
        <v>37335</v>
      </c>
      <c r="AM5246" t="s">
        <v>13175</v>
      </c>
      <c r="AN5246" t="s">
        <v>2064</v>
      </c>
      <c r="AO5246" t="s">
        <v>37336</v>
      </c>
      <c r="AP5246" t="s">
        <v>7024</v>
      </c>
      <c r="AQ5246" t="s">
        <v>37337</v>
      </c>
      <c r="AR5246" t="s">
        <v>37338</v>
      </c>
      <c r="AT5246" s="184">
        <v>43194</v>
      </c>
      <c r="AU5246" t="s">
        <v>37339</v>
      </c>
      <c r="AV5246">
        <v>15</v>
      </c>
      <c r="AW5246" s="184">
        <v>44858</v>
      </c>
      <c r="AX5246" t="s">
        <v>37174</v>
      </c>
      <c r="AY5246">
        <v>15</v>
      </c>
      <c r="AZ5246" s="184">
        <v>44858</v>
      </c>
      <c r="BA5246" t="s">
        <v>37174</v>
      </c>
      <c r="BB5246">
        <v>15</v>
      </c>
      <c r="BC5246">
        <v>29</v>
      </c>
      <c r="BD5246">
        <v>30</v>
      </c>
      <c r="BE5246">
        <v>2018</v>
      </c>
      <c r="BF5246">
        <v>2</v>
      </c>
      <c r="BG5246">
        <v>1</v>
      </c>
      <c r="BH5246">
        <v>15</v>
      </c>
      <c r="BI5246">
        <v>2</v>
      </c>
      <c r="BJ5246">
        <v>7</v>
      </c>
      <c r="BK5246">
        <v>1</v>
      </c>
      <c r="BP5246" s="184"/>
    </row>
    <row r="5247" spans="1:68">
      <c r="A5247">
        <v>98251499</v>
      </c>
      <c r="B5247">
        <v>98251499</v>
      </c>
      <c r="C5247" t="s">
        <v>7018</v>
      </c>
      <c r="E5247" s="184"/>
      <c r="F5247" t="s">
        <v>595</v>
      </c>
      <c r="G5247" s="184">
        <v>44438</v>
      </c>
      <c r="I5247" s="184"/>
      <c r="K5247" s="184"/>
      <c r="M5247" s="184"/>
      <c r="O5247" s="184"/>
      <c r="P5247" t="s">
        <v>7045</v>
      </c>
      <c r="Q5247" t="s">
        <v>7383</v>
      </c>
      <c r="R5247" s="184">
        <v>18719</v>
      </c>
      <c r="S5247">
        <v>73</v>
      </c>
      <c r="T5247" t="s">
        <v>2554</v>
      </c>
      <c r="U5247" t="s">
        <v>7031</v>
      </c>
      <c r="V5247" t="s">
        <v>5414</v>
      </c>
      <c r="W5247" t="s">
        <v>2771</v>
      </c>
      <c r="X5247" t="s">
        <v>37340</v>
      </c>
      <c r="Y5247" t="s">
        <v>7941</v>
      </c>
      <c r="AF5247" t="s">
        <v>37341</v>
      </c>
      <c r="AG5247" t="s">
        <v>5414</v>
      </c>
      <c r="AI5247" t="s">
        <v>37342</v>
      </c>
      <c r="AM5247" t="s">
        <v>2703</v>
      </c>
      <c r="AN5247" t="s">
        <v>2064</v>
      </c>
      <c r="AO5247" t="s">
        <v>37343</v>
      </c>
      <c r="AP5247" t="s">
        <v>7024</v>
      </c>
      <c r="AQ5247" t="s">
        <v>37344</v>
      </c>
      <c r="AT5247" s="184">
        <v>43197</v>
      </c>
      <c r="AU5247" t="s">
        <v>36096</v>
      </c>
      <c r="AV5247">
        <v>10</v>
      </c>
      <c r="AW5247" s="184">
        <v>44944</v>
      </c>
      <c r="AX5247" t="s">
        <v>22275</v>
      </c>
      <c r="AY5247">
        <v>100</v>
      </c>
      <c r="AZ5247" s="184">
        <v>44600</v>
      </c>
      <c r="BA5247" t="s">
        <v>37345</v>
      </c>
      <c r="BB5247">
        <v>250</v>
      </c>
      <c r="BC5247">
        <v>72</v>
      </c>
      <c r="BD5247">
        <v>810</v>
      </c>
      <c r="BE5247">
        <v>2018</v>
      </c>
      <c r="BF5247">
        <v>24</v>
      </c>
      <c r="BG5247">
        <v>1</v>
      </c>
      <c r="BH5247">
        <v>100</v>
      </c>
      <c r="BI5247">
        <v>5</v>
      </c>
      <c r="BJ5247">
        <v>7</v>
      </c>
      <c r="BK5247">
        <v>3</v>
      </c>
      <c r="BP5247" s="184"/>
    </row>
    <row r="5248" spans="1:68">
      <c r="A5248">
        <v>98258049</v>
      </c>
      <c r="B5248">
        <v>98258049</v>
      </c>
      <c r="C5248" t="s">
        <v>7018</v>
      </c>
      <c r="E5248" s="184"/>
      <c r="G5248" s="184"/>
      <c r="H5248" t="s">
        <v>595</v>
      </c>
      <c r="I5248" s="184">
        <v>44141</v>
      </c>
      <c r="K5248" s="184"/>
      <c r="M5248" s="184"/>
      <c r="O5248" s="184"/>
      <c r="P5248" t="s">
        <v>7045</v>
      </c>
      <c r="Q5248" t="s">
        <v>7160</v>
      </c>
      <c r="R5248" s="184">
        <v>23012</v>
      </c>
      <c r="S5248">
        <v>61</v>
      </c>
      <c r="V5248" t="s">
        <v>37346</v>
      </c>
      <c r="X5248" t="s">
        <v>3092</v>
      </c>
      <c r="Z5248">
        <v>100551606</v>
      </c>
      <c r="AB5248" t="s">
        <v>2541</v>
      </c>
      <c r="AD5248" t="s">
        <v>3092</v>
      </c>
      <c r="AF5248" t="s">
        <v>37347</v>
      </c>
      <c r="AG5248" t="s">
        <v>37348</v>
      </c>
      <c r="AI5248" t="s">
        <v>37349</v>
      </c>
      <c r="AM5248" t="s">
        <v>2674</v>
      </c>
      <c r="AN5248" t="s">
        <v>2675</v>
      </c>
      <c r="AO5248" t="s">
        <v>37350</v>
      </c>
      <c r="AP5248" t="s">
        <v>7024</v>
      </c>
      <c r="AQ5248" t="s">
        <v>37351</v>
      </c>
      <c r="AT5248" s="184">
        <v>43195</v>
      </c>
      <c r="AU5248" t="s">
        <v>19015</v>
      </c>
      <c r="AV5248">
        <v>25</v>
      </c>
      <c r="AW5248" s="184">
        <v>43195</v>
      </c>
      <c r="AX5248" t="s">
        <v>19015</v>
      </c>
      <c r="AY5248">
        <v>25</v>
      </c>
      <c r="AZ5248" s="184">
        <v>43195</v>
      </c>
      <c r="BA5248" t="s">
        <v>19015</v>
      </c>
      <c r="BB5248">
        <v>25</v>
      </c>
      <c r="BC5248">
        <v>15</v>
      </c>
      <c r="BD5248">
        <v>25</v>
      </c>
      <c r="BE5248">
        <v>2018</v>
      </c>
      <c r="BF5248">
        <v>1</v>
      </c>
      <c r="BI5248">
        <v>1</v>
      </c>
      <c r="BJ5248">
        <v>7</v>
      </c>
      <c r="BK5248">
        <v>1</v>
      </c>
      <c r="BP5248" s="184"/>
    </row>
    <row r="5249" spans="1:68">
      <c r="A5249">
        <v>100551606</v>
      </c>
      <c r="B5249">
        <v>98258049</v>
      </c>
      <c r="C5249" t="s">
        <v>7018</v>
      </c>
      <c r="E5249" s="184"/>
      <c r="G5249" s="184"/>
      <c r="H5249" t="s">
        <v>595</v>
      </c>
      <c r="I5249" s="184">
        <v>44141</v>
      </c>
      <c r="K5249" s="184"/>
      <c r="M5249" s="184"/>
      <c r="O5249" s="184"/>
      <c r="P5249" t="s">
        <v>7045</v>
      </c>
      <c r="Q5249" t="s">
        <v>7160</v>
      </c>
      <c r="R5249" s="184">
        <v>17899</v>
      </c>
      <c r="S5249">
        <v>75</v>
      </c>
      <c r="V5249" t="s">
        <v>2541</v>
      </c>
      <c r="X5249" t="s">
        <v>3092</v>
      </c>
      <c r="Z5249">
        <v>98258049</v>
      </c>
      <c r="AB5249" t="s">
        <v>37346</v>
      </c>
      <c r="AD5249" t="s">
        <v>3092</v>
      </c>
      <c r="AF5249" t="s">
        <v>37347</v>
      </c>
      <c r="AG5249" t="s">
        <v>37348</v>
      </c>
      <c r="AI5249" t="s">
        <v>37349</v>
      </c>
      <c r="AM5249" t="s">
        <v>2674</v>
      </c>
      <c r="AN5249" t="s">
        <v>2675</v>
      </c>
      <c r="AO5249" t="s">
        <v>37350</v>
      </c>
      <c r="AP5249" t="s">
        <v>7024</v>
      </c>
      <c r="AQ5249" t="s">
        <v>37352</v>
      </c>
      <c r="AT5249" s="184"/>
      <c r="AW5249" s="184"/>
      <c r="AZ5249" s="184"/>
      <c r="BP5249" s="184"/>
    </row>
    <row r="5250" spans="1:68">
      <c r="A5250">
        <v>98263650</v>
      </c>
      <c r="B5250">
        <v>98263650</v>
      </c>
      <c r="C5250" t="s">
        <v>7018</v>
      </c>
      <c r="E5250" s="184"/>
      <c r="G5250" s="184"/>
      <c r="I5250" s="184"/>
      <c r="K5250" s="184"/>
      <c r="L5250" t="s">
        <v>595</v>
      </c>
      <c r="M5250" s="184">
        <v>43923</v>
      </c>
      <c r="O5250" s="184"/>
      <c r="P5250" t="s">
        <v>7045</v>
      </c>
      <c r="Q5250" t="s">
        <v>7383</v>
      </c>
      <c r="R5250" s="184">
        <v>17432</v>
      </c>
      <c r="S5250">
        <v>76</v>
      </c>
      <c r="V5250" t="s">
        <v>3683</v>
      </c>
      <c r="X5250" t="s">
        <v>37353</v>
      </c>
      <c r="AF5250" t="s">
        <v>37354</v>
      </c>
      <c r="AG5250" t="s">
        <v>3683</v>
      </c>
      <c r="AI5250" t="s">
        <v>37355</v>
      </c>
      <c r="AM5250" t="s">
        <v>30738</v>
      </c>
      <c r="AN5250" t="s">
        <v>2274</v>
      </c>
      <c r="AO5250" t="s">
        <v>37356</v>
      </c>
      <c r="AP5250" t="s">
        <v>7024</v>
      </c>
      <c r="AT5250" s="184">
        <v>43196</v>
      </c>
      <c r="AU5250" t="s">
        <v>37357</v>
      </c>
      <c r="AV5250">
        <v>50</v>
      </c>
      <c r="AW5250" s="184">
        <v>44634</v>
      </c>
      <c r="AX5250" t="s">
        <v>37358</v>
      </c>
      <c r="AY5250">
        <v>250</v>
      </c>
      <c r="AZ5250" s="184">
        <v>44634</v>
      </c>
      <c r="BA5250" t="s">
        <v>37358</v>
      </c>
      <c r="BB5250">
        <v>250</v>
      </c>
      <c r="BC5250">
        <v>58</v>
      </c>
      <c r="BD5250">
        <v>500</v>
      </c>
      <c r="BE5250">
        <v>2018</v>
      </c>
      <c r="BF5250">
        <v>4</v>
      </c>
      <c r="BI5250">
        <v>4</v>
      </c>
      <c r="BJ5250">
        <v>7</v>
      </c>
      <c r="BK5250">
        <v>3</v>
      </c>
      <c r="BP5250" s="184"/>
    </row>
    <row r="5251" spans="1:68">
      <c r="A5251">
        <v>98271000</v>
      </c>
      <c r="B5251">
        <v>98271000</v>
      </c>
      <c r="C5251" t="s">
        <v>7018</v>
      </c>
      <c r="D5251" t="s">
        <v>595</v>
      </c>
      <c r="E5251" s="184">
        <v>45195</v>
      </c>
      <c r="G5251" s="184"/>
      <c r="I5251" s="184"/>
      <c r="K5251" s="184"/>
      <c r="M5251" s="184"/>
      <c r="O5251" s="184"/>
      <c r="P5251" t="s">
        <v>7045</v>
      </c>
      <c r="Q5251" t="s">
        <v>7454</v>
      </c>
      <c r="R5251" s="184">
        <v>19391</v>
      </c>
      <c r="S5251">
        <v>71</v>
      </c>
      <c r="V5251" t="s">
        <v>3898</v>
      </c>
      <c r="W5251" t="s">
        <v>7407</v>
      </c>
      <c r="X5251" t="s">
        <v>37359</v>
      </c>
      <c r="AF5251" t="s">
        <v>37360</v>
      </c>
      <c r="AG5251" t="s">
        <v>3898</v>
      </c>
      <c r="AI5251" t="s">
        <v>37361</v>
      </c>
      <c r="AM5251" t="s">
        <v>37362</v>
      </c>
      <c r="AN5251" t="s">
        <v>2299</v>
      </c>
      <c r="AO5251" t="s">
        <v>37363</v>
      </c>
      <c r="AP5251" t="s">
        <v>7024</v>
      </c>
      <c r="AQ5251" t="s">
        <v>37364</v>
      </c>
      <c r="AT5251" s="184">
        <v>43199</v>
      </c>
      <c r="AU5251" t="s">
        <v>37365</v>
      </c>
      <c r="AV5251">
        <v>20</v>
      </c>
      <c r="AW5251" s="184">
        <v>45267</v>
      </c>
      <c r="AX5251" t="s">
        <v>22710</v>
      </c>
      <c r="AY5251">
        <v>60</v>
      </c>
      <c r="AZ5251" s="184">
        <v>45267</v>
      </c>
      <c r="BA5251" t="s">
        <v>22710</v>
      </c>
      <c r="BB5251">
        <v>60</v>
      </c>
      <c r="BC5251">
        <v>86</v>
      </c>
      <c r="BD5251">
        <v>780</v>
      </c>
      <c r="BE5251">
        <v>2018</v>
      </c>
      <c r="BF5251">
        <v>15</v>
      </c>
      <c r="BG5251">
        <v>5</v>
      </c>
      <c r="BH5251">
        <v>290</v>
      </c>
      <c r="BI5251">
        <v>6</v>
      </c>
      <c r="BJ5251">
        <v>7</v>
      </c>
      <c r="BK5251">
        <v>6</v>
      </c>
      <c r="BP5251" s="184"/>
    </row>
    <row r="5252" spans="1:68">
      <c r="A5252">
        <v>98283310</v>
      </c>
      <c r="B5252">
        <v>98283310</v>
      </c>
      <c r="C5252" t="s">
        <v>7018</v>
      </c>
      <c r="D5252" t="s">
        <v>595</v>
      </c>
      <c r="E5252" s="184">
        <v>45195</v>
      </c>
      <c r="G5252" s="184"/>
      <c r="I5252" s="184"/>
      <c r="K5252" s="184"/>
      <c r="M5252" s="184"/>
      <c r="O5252" s="184"/>
      <c r="P5252" t="s">
        <v>7045</v>
      </c>
      <c r="Q5252" t="s">
        <v>7383</v>
      </c>
      <c r="R5252" s="184">
        <v>18994</v>
      </c>
      <c r="S5252">
        <v>72</v>
      </c>
      <c r="U5252" t="s">
        <v>7031</v>
      </c>
      <c r="V5252" t="s">
        <v>3373</v>
      </c>
      <c r="X5252" t="s">
        <v>37366</v>
      </c>
      <c r="AF5252" t="s">
        <v>37367</v>
      </c>
      <c r="AG5252" t="s">
        <v>3373</v>
      </c>
      <c r="AI5252" t="s">
        <v>37368</v>
      </c>
      <c r="AM5252" t="s">
        <v>37369</v>
      </c>
      <c r="AN5252" t="s">
        <v>2185</v>
      </c>
      <c r="AO5252" t="s">
        <v>37370</v>
      </c>
      <c r="AP5252" t="s">
        <v>7024</v>
      </c>
      <c r="AQ5252" t="s">
        <v>37371</v>
      </c>
      <c r="AT5252" s="184">
        <v>43201</v>
      </c>
      <c r="AU5252" t="s">
        <v>37372</v>
      </c>
      <c r="AV5252">
        <v>25</v>
      </c>
      <c r="AW5252" s="184">
        <v>45322</v>
      </c>
      <c r="AX5252" t="s">
        <v>12049</v>
      </c>
      <c r="AY5252">
        <v>100</v>
      </c>
      <c r="AZ5252" s="184">
        <v>45322</v>
      </c>
      <c r="BA5252" t="s">
        <v>12049</v>
      </c>
      <c r="BB5252">
        <v>100</v>
      </c>
      <c r="BC5252">
        <v>100</v>
      </c>
      <c r="BD5252">
        <v>775</v>
      </c>
      <c r="BE5252">
        <v>2018</v>
      </c>
      <c r="BF5252">
        <v>12</v>
      </c>
      <c r="BG5252">
        <v>2</v>
      </c>
      <c r="BH5252">
        <v>200</v>
      </c>
      <c r="BI5252">
        <v>7</v>
      </c>
      <c r="BJ5252">
        <v>7</v>
      </c>
      <c r="BK5252">
        <v>7</v>
      </c>
      <c r="BP5252" s="184"/>
    </row>
    <row r="5253" spans="1:68">
      <c r="A5253">
        <v>98317944</v>
      </c>
      <c r="B5253">
        <v>98317944</v>
      </c>
      <c r="C5253" t="s">
        <v>7018</v>
      </c>
      <c r="D5253" t="s">
        <v>595</v>
      </c>
      <c r="E5253" s="184">
        <v>45138</v>
      </c>
      <c r="G5253" s="184"/>
      <c r="I5253" s="184"/>
      <c r="K5253" s="184"/>
      <c r="M5253" s="184"/>
      <c r="O5253" s="184"/>
      <c r="P5253" t="s">
        <v>7045</v>
      </c>
      <c r="Q5253" t="s">
        <v>7383</v>
      </c>
      <c r="R5253" s="184">
        <v>19998</v>
      </c>
      <c r="S5253">
        <v>69</v>
      </c>
      <c r="U5253" t="s">
        <v>7031</v>
      </c>
      <c r="V5253" t="s">
        <v>2863</v>
      </c>
      <c r="W5253" t="s">
        <v>3830</v>
      </c>
      <c r="X5253" t="s">
        <v>12794</v>
      </c>
      <c r="AF5253" t="s">
        <v>37373</v>
      </c>
      <c r="AG5253" t="s">
        <v>2863</v>
      </c>
      <c r="AI5253" t="s">
        <v>37374</v>
      </c>
      <c r="AM5253" t="s">
        <v>3153</v>
      </c>
      <c r="AN5253" t="s">
        <v>2313</v>
      </c>
      <c r="AO5253" t="s">
        <v>37375</v>
      </c>
      <c r="AP5253" t="s">
        <v>7024</v>
      </c>
      <c r="AQ5253" t="s">
        <v>37376</v>
      </c>
      <c r="AT5253" s="184">
        <v>43206</v>
      </c>
      <c r="AU5253" t="s">
        <v>37372</v>
      </c>
      <c r="AV5253">
        <v>50</v>
      </c>
      <c r="AW5253" s="184">
        <v>45376</v>
      </c>
      <c r="AX5253" t="s">
        <v>22799</v>
      </c>
      <c r="AY5253">
        <v>50</v>
      </c>
      <c r="AZ5253" s="184">
        <v>45376</v>
      </c>
      <c r="BA5253" t="s">
        <v>22799</v>
      </c>
      <c r="BB5253">
        <v>50</v>
      </c>
      <c r="BC5253">
        <v>100</v>
      </c>
      <c r="BD5253">
        <v>450</v>
      </c>
      <c r="BE5253">
        <v>2018</v>
      </c>
      <c r="BF5253">
        <v>9</v>
      </c>
      <c r="BG5253">
        <v>3</v>
      </c>
      <c r="BH5253">
        <v>150</v>
      </c>
      <c r="BI5253">
        <v>7</v>
      </c>
      <c r="BJ5253">
        <v>7</v>
      </c>
      <c r="BK5253">
        <v>7</v>
      </c>
      <c r="BP5253" s="184"/>
    </row>
    <row r="5254" spans="1:68">
      <c r="A5254">
        <v>98320708</v>
      </c>
      <c r="B5254">
        <v>98320708</v>
      </c>
      <c r="C5254" t="s">
        <v>7018</v>
      </c>
      <c r="D5254" t="s">
        <v>595</v>
      </c>
      <c r="E5254" s="184">
        <v>45026</v>
      </c>
      <c r="G5254" s="184"/>
      <c r="I5254" s="184"/>
      <c r="K5254" s="184"/>
      <c r="M5254" s="184"/>
      <c r="P5254" t="s">
        <v>7045</v>
      </c>
      <c r="Q5254" t="s">
        <v>7160</v>
      </c>
      <c r="R5254" s="184">
        <v>22971</v>
      </c>
      <c r="S5254">
        <v>61</v>
      </c>
      <c r="V5254" t="s">
        <v>3228</v>
      </c>
      <c r="X5254" t="s">
        <v>37377</v>
      </c>
      <c r="AF5254" t="s">
        <v>37378</v>
      </c>
      <c r="AG5254" t="s">
        <v>3228</v>
      </c>
      <c r="AI5254" t="s">
        <v>37379</v>
      </c>
      <c r="AM5254" t="s">
        <v>37380</v>
      </c>
      <c r="AN5254" t="s">
        <v>2176</v>
      </c>
      <c r="AO5254" t="s">
        <v>37381</v>
      </c>
      <c r="AP5254" t="s">
        <v>7024</v>
      </c>
      <c r="AQ5254" t="s">
        <v>37382</v>
      </c>
      <c r="AT5254" s="184">
        <v>43206</v>
      </c>
      <c r="AU5254" t="s">
        <v>37383</v>
      </c>
      <c r="AV5254">
        <v>25</v>
      </c>
      <c r="AW5254" s="184">
        <v>45259</v>
      </c>
      <c r="AX5254" t="s">
        <v>28971</v>
      </c>
      <c r="AY5254">
        <v>35</v>
      </c>
      <c r="AZ5254" s="184">
        <v>45259</v>
      </c>
      <c r="BA5254" t="s">
        <v>28971</v>
      </c>
      <c r="BB5254">
        <v>35</v>
      </c>
      <c r="BC5254">
        <v>43</v>
      </c>
      <c r="BD5254">
        <v>110</v>
      </c>
      <c r="BE5254">
        <v>2018</v>
      </c>
      <c r="BF5254">
        <v>4</v>
      </c>
      <c r="BG5254">
        <v>2</v>
      </c>
      <c r="BH5254">
        <v>60</v>
      </c>
      <c r="BI5254">
        <v>3</v>
      </c>
      <c r="BJ5254">
        <v>7</v>
      </c>
      <c r="BK5254">
        <v>2</v>
      </c>
      <c r="BP5254" s="184"/>
    </row>
    <row r="5255" spans="1:68">
      <c r="A5255">
        <v>98332489</v>
      </c>
      <c r="B5255">
        <v>98332489</v>
      </c>
      <c r="C5255" t="s">
        <v>7018</v>
      </c>
      <c r="E5255" s="184"/>
      <c r="G5255" s="184"/>
      <c r="H5255" t="s">
        <v>595</v>
      </c>
      <c r="I5255" s="184">
        <v>45022</v>
      </c>
      <c r="K5255" s="184"/>
      <c r="M5255" s="184"/>
      <c r="O5255" s="184"/>
      <c r="P5255" t="s">
        <v>7019</v>
      </c>
      <c r="Q5255" t="s">
        <v>7374</v>
      </c>
      <c r="R5255" s="184">
        <v>18960</v>
      </c>
      <c r="S5255">
        <v>72</v>
      </c>
      <c r="V5255" t="s">
        <v>2758</v>
      </c>
      <c r="X5255" t="s">
        <v>37384</v>
      </c>
      <c r="AF5255" t="s">
        <v>37385</v>
      </c>
      <c r="AG5255" t="s">
        <v>2758</v>
      </c>
      <c r="AI5255" t="s">
        <v>19745</v>
      </c>
      <c r="AJ5255" t="s">
        <v>37386</v>
      </c>
      <c r="AM5255" t="s">
        <v>37387</v>
      </c>
      <c r="AN5255" t="s">
        <v>2081</v>
      </c>
      <c r="AO5255" t="s">
        <v>37388</v>
      </c>
      <c r="AP5255" t="s">
        <v>7024</v>
      </c>
      <c r="AQ5255" t="s">
        <v>37389</v>
      </c>
      <c r="AT5255" s="184">
        <v>43208</v>
      </c>
      <c r="AU5255" t="s">
        <v>37390</v>
      </c>
      <c r="AV5255">
        <v>25</v>
      </c>
      <c r="AW5255" s="184">
        <v>44680</v>
      </c>
      <c r="AX5255" t="s">
        <v>29360</v>
      </c>
      <c r="AY5255">
        <v>60</v>
      </c>
      <c r="AZ5255" s="184">
        <v>44680</v>
      </c>
      <c r="BA5255" t="s">
        <v>29360</v>
      </c>
      <c r="BB5255">
        <v>60</v>
      </c>
      <c r="BC5255">
        <v>58</v>
      </c>
      <c r="BD5255">
        <v>135</v>
      </c>
      <c r="BE5255">
        <v>2018</v>
      </c>
      <c r="BF5255">
        <v>4</v>
      </c>
      <c r="BG5255">
        <v>1</v>
      </c>
      <c r="BH5255">
        <v>60</v>
      </c>
      <c r="BI5255">
        <v>4</v>
      </c>
      <c r="BJ5255">
        <v>7</v>
      </c>
      <c r="BK5255">
        <v>2</v>
      </c>
      <c r="BP5255" s="184"/>
    </row>
    <row r="5256" spans="1:68">
      <c r="A5256">
        <v>98334659</v>
      </c>
      <c r="B5256">
        <v>98334659</v>
      </c>
      <c r="C5256" t="s">
        <v>7018</v>
      </c>
      <c r="E5256" s="184"/>
      <c r="G5256" s="184"/>
      <c r="H5256" t="s">
        <v>595</v>
      </c>
      <c r="I5256" s="184">
        <v>44984</v>
      </c>
      <c r="K5256" s="184"/>
      <c r="M5256" s="184"/>
      <c r="O5256" s="184"/>
      <c r="P5256" t="s">
        <v>7045</v>
      </c>
      <c r="Q5256" t="s">
        <v>7454</v>
      </c>
      <c r="R5256" s="184">
        <v>18933</v>
      </c>
      <c r="S5256">
        <v>72</v>
      </c>
      <c r="V5256" t="s">
        <v>3400</v>
      </c>
      <c r="W5256" t="s">
        <v>4139</v>
      </c>
      <c r="X5256" t="s">
        <v>2758</v>
      </c>
      <c r="Z5256">
        <v>101087370</v>
      </c>
      <c r="AB5256" t="s">
        <v>2541</v>
      </c>
      <c r="AC5256" t="s">
        <v>2049</v>
      </c>
      <c r="AD5256" t="s">
        <v>37391</v>
      </c>
      <c r="AF5256" t="s">
        <v>37392</v>
      </c>
      <c r="AG5256" t="s">
        <v>37393</v>
      </c>
      <c r="AI5256" t="s">
        <v>37394</v>
      </c>
      <c r="AM5256" t="s">
        <v>3010</v>
      </c>
      <c r="AN5256" t="s">
        <v>2055</v>
      </c>
      <c r="AO5256" t="s">
        <v>37395</v>
      </c>
      <c r="AP5256" t="s">
        <v>7024</v>
      </c>
      <c r="AQ5256" t="s">
        <v>37396</v>
      </c>
      <c r="AR5256" t="s">
        <v>37397</v>
      </c>
      <c r="AT5256" s="184">
        <v>43208</v>
      </c>
      <c r="AU5256" t="s">
        <v>37398</v>
      </c>
      <c r="AV5256">
        <v>15</v>
      </c>
      <c r="AW5256" s="184">
        <v>44768</v>
      </c>
      <c r="AX5256" t="s">
        <v>37399</v>
      </c>
      <c r="AY5256">
        <v>50</v>
      </c>
      <c r="AZ5256" s="184">
        <v>44299</v>
      </c>
      <c r="BA5256" t="s">
        <v>37400</v>
      </c>
      <c r="BB5256">
        <v>90</v>
      </c>
      <c r="BC5256">
        <v>72</v>
      </c>
      <c r="BD5256">
        <v>275</v>
      </c>
      <c r="BE5256">
        <v>2018</v>
      </c>
      <c r="BF5256">
        <v>5</v>
      </c>
      <c r="BG5256">
        <v>1</v>
      </c>
      <c r="BH5256">
        <v>50</v>
      </c>
      <c r="BI5256">
        <v>5</v>
      </c>
      <c r="BJ5256">
        <v>7</v>
      </c>
      <c r="BK5256">
        <v>5</v>
      </c>
      <c r="BP5256" s="184"/>
    </row>
    <row r="5257" spans="1:68">
      <c r="A5257">
        <v>101087370</v>
      </c>
      <c r="B5257">
        <v>98334659</v>
      </c>
      <c r="C5257" t="s">
        <v>7018</v>
      </c>
      <c r="E5257" s="184"/>
      <c r="G5257" s="184"/>
      <c r="H5257" t="s">
        <v>595</v>
      </c>
      <c r="I5257" s="184">
        <v>44984</v>
      </c>
      <c r="K5257" s="184"/>
      <c r="O5257" s="184"/>
      <c r="P5257" t="s">
        <v>7045</v>
      </c>
      <c r="Q5257" t="s">
        <v>7454</v>
      </c>
      <c r="R5257" s="184">
        <v>17298</v>
      </c>
      <c r="S5257">
        <v>77</v>
      </c>
      <c r="V5257" t="s">
        <v>2541</v>
      </c>
      <c r="W5257" t="s">
        <v>2049</v>
      </c>
      <c r="X5257" t="s">
        <v>37391</v>
      </c>
      <c r="Z5257">
        <v>98334659</v>
      </c>
      <c r="AB5257" t="s">
        <v>3400</v>
      </c>
      <c r="AC5257" t="s">
        <v>4139</v>
      </c>
      <c r="AD5257" t="s">
        <v>2758</v>
      </c>
      <c r="AF5257" t="s">
        <v>37392</v>
      </c>
      <c r="AG5257" t="s">
        <v>37393</v>
      </c>
      <c r="AI5257" t="s">
        <v>37394</v>
      </c>
      <c r="AM5257" t="s">
        <v>3010</v>
      </c>
      <c r="AN5257" t="s">
        <v>2055</v>
      </c>
      <c r="AO5257" t="s">
        <v>37395</v>
      </c>
      <c r="AP5257" t="s">
        <v>7024</v>
      </c>
      <c r="AQ5257" t="s">
        <v>37401</v>
      </c>
      <c r="AT5257" s="184">
        <v>44992</v>
      </c>
      <c r="AU5257" t="s">
        <v>37402</v>
      </c>
      <c r="AV5257">
        <v>100</v>
      </c>
      <c r="AW5257" s="184">
        <v>44992</v>
      </c>
      <c r="AX5257" t="s">
        <v>37402</v>
      </c>
      <c r="AY5257">
        <v>100</v>
      </c>
      <c r="AZ5257" s="184">
        <v>44992</v>
      </c>
      <c r="BA5257" t="s">
        <v>37402</v>
      </c>
      <c r="BB5257">
        <v>100</v>
      </c>
      <c r="BC5257">
        <v>50</v>
      </c>
      <c r="BD5257">
        <v>100</v>
      </c>
      <c r="BE5257">
        <v>2023</v>
      </c>
      <c r="BF5257">
        <v>1</v>
      </c>
      <c r="BG5257">
        <v>1</v>
      </c>
      <c r="BH5257">
        <v>100</v>
      </c>
      <c r="BI5257">
        <v>1</v>
      </c>
      <c r="BJ5257">
        <v>2</v>
      </c>
      <c r="BK5257">
        <v>1</v>
      </c>
      <c r="BP5257" s="184"/>
    </row>
    <row r="5258" spans="1:68">
      <c r="A5258">
        <v>98374473</v>
      </c>
      <c r="B5258">
        <v>98374473</v>
      </c>
      <c r="C5258" t="s">
        <v>7018</v>
      </c>
      <c r="D5258" t="s">
        <v>595</v>
      </c>
      <c r="E5258" s="184">
        <v>45120</v>
      </c>
      <c r="G5258" s="184"/>
      <c r="I5258" s="184"/>
      <c r="K5258" s="184"/>
      <c r="O5258" s="184"/>
      <c r="P5258" t="s">
        <v>7045</v>
      </c>
      <c r="Q5258" t="s">
        <v>7383</v>
      </c>
      <c r="R5258" s="184">
        <v>16589</v>
      </c>
      <c r="S5258">
        <v>78</v>
      </c>
      <c r="U5258" t="s">
        <v>7076</v>
      </c>
      <c r="V5258" t="s">
        <v>2648</v>
      </c>
      <c r="X5258" t="s">
        <v>37403</v>
      </c>
      <c r="AF5258" t="s">
        <v>37404</v>
      </c>
      <c r="AG5258" t="s">
        <v>2648</v>
      </c>
      <c r="AI5258" t="s">
        <v>37405</v>
      </c>
      <c r="AM5258" t="s">
        <v>3488</v>
      </c>
      <c r="AN5258" t="s">
        <v>2072</v>
      </c>
      <c r="AO5258" t="s">
        <v>37406</v>
      </c>
      <c r="AP5258" t="s">
        <v>7024</v>
      </c>
      <c r="AQ5258" t="s">
        <v>37407</v>
      </c>
      <c r="AT5258" s="184">
        <v>43213</v>
      </c>
      <c r="AU5258" t="s">
        <v>37372</v>
      </c>
      <c r="AV5258">
        <v>25</v>
      </c>
      <c r="AW5258" s="184">
        <v>45320</v>
      </c>
      <c r="AX5258" t="s">
        <v>17940</v>
      </c>
      <c r="AY5258">
        <v>50</v>
      </c>
      <c r="AZ5258" s="184">
        <v>44046</v>
      </c>
      <c r="BA5258" t="s">
        <v>37408</v>
      </c>
      <c r="BB5258">
        <v>100</v>
      </c>
      <c r="BC5258">
        <v>100</v>
      </c>
      <c r="BD5258">
        <v>985</v>
      </c>
      <c r="BE5258">
        <v>2018</v>
      </c>
      <c r="BF5258">
        <v>15</v>
      </c>
      <c r="BG5258">
        <v>3</v>
      </c>
      <c r="BH5258">
        <v>175</v>
      </c>
      <c r="BI5258">
        <v>7</v>
      </c>
      <c r="BJ5258">
        <v>7</v>
      </c>
      <c r="BK5258">
        <v>7</v>
      </c>
      <c r="BP5258" s="184"/>
    </row>
    <row r="5259" spans="1:68">
      <c r="A5259">
        <v>98377914</v>
      </c>
      <c r="B5259">
        <v>98377914</v>
      </c>
      <c r="C5259" t="s">
        <v>7018</v>
      </c>
      <c r="D5259" t="s">
        <v>595</v>
      </c>
      <c r="E5259" s="184">
        <v>45124</v>
      </c>
      <c r="G5259" s="184"/>
      <c r="I5259" s="184"/>
      <c r="K5259" s="184"/>
      <c r="M5259" s="184"/>
      <c r="O5259" s="184"/>
      <c r="P5259" t="s">
        <v>7045</v>
      </c>
      <c r="Q5259" t="s">
        <v>7262</v>
      </c>
      <c r="R5259" s="184">
        <v>15858</v>
      </c>
      <c r="S5259">
        <v>80</v>
      </c>
      <c r="V5259" t="s">
        <v>2541</v>
      </c>
      <c r="X5259" t="s">
        <v>13833</v>
      </c>
      <c r="AF5259" t="s">
        <v>37409</v>
      </c>
      <c r="AG5259" t="s">
        <v>2541</v>
      </c>
      <c r="AI5259" t="s">
        <v>37410</v>
      </c>
      <c r="AM5259" t="s">
        <v>4738</v>
      </c>
      <c r="AN5259" t="s">
        <v>2069</v>
      </c>
      <c r="AO5259" t="s">
        <v>37411</v>
      </c>
      <c r="AP5259" t="s">
        <v>7024</v>
      </c>
      <c r="AQ5259" t="s">
        <v>37412</v>
      </c>
      <c r="AT5259" s="184">
        <v>43213</v>
      </c>
      <c r="AU5259" t="s">
        <v>37413</v>
      </c>
      <c r="AV5259">
        <v>50</v>
      </c>
      <c r="AW5259" s="184">
        <v>45048</v>
      </c>
      <c r="AX5259" t="s">
        <v>37414</v>
      </c>
      <c r="AY5259">
        <v>100</v>
      </c>
      <c r="AZ5259" s="184">
        <v>44967</v>
      </c>
      <c r="BA5259" t="s">
        <v>37415</v>
      </c>
      <c r="BB5259">
        <v>200</v>
      </c>
      <c r="BC5259">
        <v>72</v>
      </c>
      <c r="BD5259">
        <v>550</v>
      </c>
      <c r="BE5259">
        <v>2018</v>
      </c>
      <c r="BF5259">
        <v>6</v>
      </c>
      <c r="BG5259">
        <v>2</v>
      </c>
      <c r="BH5259">
        <v>300</v>
      </c>
      <c r="BI5259">
        <v>5</v>
      </c>
      <c r="BJ5259">
        <v>7</v>
      </c>
      <c r="BK5259">
        <v>4</v>
      </c>
      <c r="BP5259" s="184"/>
    </row>
    <row r="5260" spans="1:68">
      <c r="A5260">
        <v>98504434</v>
      </c>
      <c r="B5260">
        <v>98504434</v>
      </c>
      <c r="C5260" t="s">
        <v>7018</v>
      </c>
      <c r="E5260" s="184"/>
      <c r="F5260" t="s">
        <v>595</v>
      </c>
      <c r="G5260" s="184">
        <v>45167</v>
      </c>
      <c r="I5260" s="184"/>
      <c r="K5260" s="184"/>
      <c r="O5260" s="184"/>
      <c r="P5260" t="s">
        <v>7045</v>
      </c>
      <c r="Q5260" t="s">
        <v>7383</v>
      </c>
      <c r="R5260" s="184">
        <v>18841</v>
      </c>
      <c r="S5260">
        <v>72</v>
      </c>
      <c r="V5260" t="s">
        <v>12301</v>
      </c>
      <c r="X5260" t="s">
        <v>37416</v>
      </c>
      <c r="AF5260" t="s">
        <v>37417</v>
      </c>
      <c r="AG5260" t="s">
        <v>12301</v>
      </c>
      <c r="AI5260" t="s">
        <v>37418</v>
      </c>
      <c r="AM5260" t="s">
        <v>3437</v>
      </c>
      <c r="AN5260" t="s">
        <v>2313</v>
      </c>
      <c r="AO5260" t="s">
        <v>37419</v>
      </c>
      <c r="AP5260" t="s">
        <v>7024</v>
      </c>
      <c r="AQ5260" t="s">
        <v>37420</v>
      </c>
      <c r="AT5260" s="184">
        <v>43236</v>
      </c>
      <c r="AU5260" t="s">
        <v>37421</v>
      </c>
      <c r="AV5260">
        <v>25</v>
      </c>
      <c r="AW5260" s="184">
        <v>45338</v>
      </c>
      <c r="AX5260" t="s">
        <v>20233</v>
      </c>
      <c r="AY5260">
        <v>100</v>
      </c>
      <c r="AZ5260" s="184">
        <v>45338</v>
      </c>
      <c r="BA5260" t="s">
        <v>20233</v>
      </c>
      <c r="BB5260">
        <v>100</v>
      </c>
      <c r="BC5260">
        <v>100</v>
      </c>
      <c r="BD5260">
        <v>975</v>
      </c>
      <c r="BE5260">
        <v>2018</v>
      </c>
      <c r="BF5260">
        <v>11</v>
      </c>
      <c r="BG5260">
        <v>3</v>
      </c>
      <c r="BH5260">
        <v>300</v>
      </c>
      <c r="BI5260">
        <v>7</v>
      </c>
      <c r="BJ5260">
        <v>7</v>
      </c>
      <c r="BK5260">
        <v>7</v>
      </c>
      <c r="BP5260" s="184"/>
    </row>
    <row r="5261" spans="1:68">
      <c r="A5261">
        <v>98538069</v>
      </c>
      <c r="B5261">
        <v>98538069</v>
      </c>
      <c r="C5261" t="s">
        <v>7018</v>
      </c>
      <c r="E5261" s="184"/>
      <c r="G5261" s="184"/>
      <c r="I5261" s="184"/>
      <c r="J5261" t="s">
        <v>595</v>
      </c>
      <c r="K5261" s="184">
        <v>44097</v>
      </c>
      <c r="O5261" s="184"/>
      <c r="P5261" t="s">
        <v>7019</v>
      </c>
      <c r="Q5261" t="s">
        <v>7383</v>
      </c>
      <c r="R5261" s="184">
        <v>18816</v>
      </c>
      <c r="S5261">
        <v>72</v>
      </c>
      <c r="V5261" t="s">
        <v>28888</v>
      </c>
      <c r="X5261" t="s">
        <v>37422</v>
      </c>
      <c r="AF5261" t="s">
        <v>37423</v>
      </c>
      <c r="AG5261" t="s">
        <v>28888</v>
      </c>
      <c r="AI5261" t="s">
        <v>37424</v>
      </c>
      <c r="AM5261" t="s">
        <v>37425</v>
      </c>
      <c r="AN5261" t="s">
        <v>2139</v>
      </c>
      <c r="AO5261" t="s">
        <v>37426</v>
      </c>
      <c r="AP5261" t="s">
        <v>7024</v>
      </c>
      <c r="AQ5261" t="s">
        <v>37427</v>
      </c>
      <c r="AT5261" s="184">
        <v>43250</v>
      </c>
      <c r="AU5261" t="s">
        <v>37428</v>
      </c>
      <c r="AV5261">
        <v>25</v>
      </c>
      <c r="AW5261" s="184">
        <v>44704</v>
      </c>
      <c r="AX5261" t="s">
        <v>37429</v>
      </c>
      <c r="AY5261">
        <v>240</v>
      </c>
      <c r="AZ5261" s="184">
        <v>44704</v>
      </c>
      <c r="BA5261" t="s">
        <v>37429</v>
      </c>
      <c r="BB5261">
        <v>240</v>
      </c>
      <c r="BC5261">
        <v>58</v>
      </c>
      <c r="BD5261">
        <v>645</v>
      </c>
      <c r="BE5261">
        <v>2018</v>
      </c>
      <c r="BF5261">
        <v>7</v>
      </c>
      <c r="BG5261">
        <v>1</v>
      </c>
      <c r="BH5261">
        <v>240</v>
      </c>
      <c r="BI5261">
        <v>4</v>
      </c>
      <c r="BJ5261">
        <v>7</v>
      </c>
      <c r="BK5261">
        <v>3</v>
      </c>
      <c r="BP5261" s="184"/>
    </row>
    <row r="5262" spans="1:68">
      <c r="A5262">
        <v>98680366</v>
      </c>
      <c r="B5262">
        <v>98680366</v>
      </c>
      <c r="C5262" t="s">
        <v>7018</v>
      </c>
      <c r="D5262" t="s">
        <v>595</v>
      </c>
      <c r="E5262" s="184">
        <v>45174</v>
      </c>
      <c r="G5262" s="184"/>
      <c r="I5262" s="184"/>
      <c r="K5262" s="184"/>
      <c r="M5262" s="184"/>
      <c r="O5262" s="184"/>
      <c r="P5262" t="s">
        <v>7045</v>
      </c>
      <c r="Q5262" t="s">
        <v>7383</v>
      </c>
      <c r="R5262" s="184">
        <v>24807</v>
      </c>
      <c r="S5262">
        <v>56</v>
      </c>
      <c r="V5262" t="s">
        <v>36518</v>
      </c>
      <c r="X5262" t="s">
        <v>37430</v>
      </c>
      <c r="AF5262" t="s">
        <v>37431</v>
      </c>
      <c r="AG5262" t="s">
        <v>36518</v>
      </c>
      <c r="AI5262" t="s">
        <v>37432</v>
      </c>
      <c r="AM5262" t="s">
        <v>37433</v>
      </c>
      <c r="AN5262" t="s">
        <v>2064</v>
      </c>
      <c r="AO5262" t="s">
        <v>37434</v>
      </c>
      <c r="AP5262" t="s">
        <v>7024</v>
      </c>
      <c r="AQ5262" t="s">
        <v>37435</v>
      </c>
      <c r="AT5262" s="184">
        <v>43259</v>
      </c>
      <c r="AU5262" t="s">
        <v>37339</v>
      </c>
      <c r="AV5262">
        <v>25</v>
      </c>
      <c r="AW5262" s="184">
        <v>45244</v>
      </c>
      <c r="AX5262" t="s">
        <v>10022</v>
      </c>
      <c r="AY5262">
        <v>35</v>
      </c>
      <c r="AZ5262" s="184">
        <v>44271</v>
      </c>
      <c r="BA5262" t="s">
        <v>8534</v>
      </c>
      <c r="BB5262">
        <v>40</v>
      </c>
      <c r="BC5262">
        <v>86</v>
      </c>
      <c r="BD5262">
        <v>325</v>
      </c>
      <c r="BE5262">
        <v>2018</v>
      </c>
      <c r="BF5262">
        <v>9</v>
      </c>
      <c r="BG5262">
        <v>2</v>
      </c>
      <c r="BH5262">
        <v>70</v>
      </c>
      <c r="BI5262">
        <v>6</v>
      </c>
      <c r="BJ5262">
        <v>7</v>
      </c>
      <c r="BK5262">
        <v>6</v>
      </c>
      <c r="BN5262" t="s">
        <v>595</v>
      </c>
      <c r="BP5262" s="184"/>
    </row>
    <row r="5263" spans="1:68">
      <c r="A5263">
        <v>98702558</v>
      </c>
      <c r="B5263">
        <v>98702558</v>
      </c>
      <c r="C5263" t="s">
        <v>7018</v>
      </c>
      <c r="E5263" s="184"/>
      <c r="G5263" s="184"/>
      <c r="H5263" t="s">
        <v>595</v>
      </c>
      <c r="I5263" s="184">
        <v>43948</v>
      </c>
      <c r="K5263" s="184"/>
      <c r="M5263" s="184"/>
      <c r="O5263" s="184"/>
      <c r="P5263" t="s">
        <v>7045</v>
      </c>
      <c r="Q5263" t="s">
        <v>7020</v>
      </c>
      <c r="R5263" s="184">
        <v>21894</v>
      </c>
      <c r="S5263">
        <v>64</v>
      </c>
      <c r="U5263" t="s">
        <v>7130</v>
      </c>
      <c r="V5263" t="s">
        <v>2660</v>
      </c>
      <c r="W5263" t="s">
        <v>7356</v>
      </c>
      <c r="X5263" t="s">
        <v>37436</v>
      </c>
      <c r="Z5263">
        <v>100376622</v>
      </c>
      <c r="AA5263" t="s">
        <v>7031</v>
      </c>
      <c r="AB5263" t="s">
        <v>4044</v>
      </c>
      <c r="AD5263" t="s">
        <v>37436</v>
      </c>
      <c r="AF5263" t="s">
        <v>37437</v>
      </c>
      <c r="AG5263" t="s">
        <v>37438</v>
      </c>
      <c r="AI5263" t="s">
        <v>37439</v>
      </c>
      <c r="AM5263" t="s">
        <v>37440</v>
      </c>
      <c r="AN5263" t="s">
        <v>2112</v>
      </c>
      <c r="AO5263" t="s">
        <v>37441</v>
      </c>
      <c r="AP5263" t="s">
        <v>7024</v>
      </c>
      <c r="AQ5263" t="s">
        <v>37442</v>
      </c>
      <c r="AT5263" s="184">
        <v>43273</v>
      </c>
      <c r="AU5263" t="s">
        <v>37443</v>
      </c>
      <c r="AV5263">
        <v>25</v>
      </c>
      <c r="AW5263" s="184">
        <v>45425</v>
      </c>
      <c r="AX5263" t="s">
        <v>7112</v>
      </c>
      <c r="AY5263">
        <v>5</v>
      </c>
      <c r="AZ5263" s="184">
        <v>43807</v>
      </c>
      <c r="BA5263" t="s">
        <v>9677</v>
      </c>
      <c r="BB5263">
        <v>25</v>
      </c>
      <c r="BC5263">
        <v>100</v>
      </c>
      <c r="BD5263">
        <v>330</v>
      </c>
      <c r="BE5263">
        <v>2018</v>
      </c>
      <c r="BF5263">
        <v>58</v>
      </c>
      <c r="BG5263">
        <v>24</v>
      </c>
      <c r="BH5263">
        <v>120</v>
      </c>
      <c r="BI5263">
        <v>7</v>
      </c>
      <c r="BJ5263">
        <v>7</v>
      </c>
      <c r="BK5263">
        <v>7</v>
      </c>
      <c r="BP5263" s="184"/>
    </row>
    <row r="5264" spans="1:68">
      <c r="A5264">
        <v>100376622</v>
      </c>
      <c r="B5264">
        <v>98702558</v>
      </c>
      <c r="C5264" t="s">
        <v>7018</v>
      </c>
      <c r="E5264" s="184"/>
      <c r="G5264" s="184"/>
      <c r="H5264" t="s">
        <v>595</v>
      </c>
      <c r="I5264" s="184">
        <v>43951</v>
      </c>
      <c r="K5264" s="184"/>
      <c r="O5264" s="184"/>
      <c r="P5264" t="s">
        <v>7045</v>
      </c>
      <c r="Q5264" t="s">
        <v>7020</v>
      </c>
      <c r="R5264" s="184">
        <v>21926</v>
      </c>
      <c r="S5264">
        <v>64</v>
      </c>
      <c r="U5264" t="s">
        <v>7031</v>
      </c>
      <c r="V5264" t="s">
        <v>4044</v>
      </c>
      <c r="X5264" t="s">
        <v>37436</v>
      </c>
      <c r="Z5264">
        <v>98702558</v>
      </c>
      <c r="AA5264" t="s">
        <v>7130</v>
      </c>
      <c r="AB5264" t="s">
        <v>2660</v>
      </c>
      <c r="AC5264" t="s">
        <v>7356</v>
      </c>
      <c r="AD5264" t="s">
        <v>37436</v>
      </c>
      <c r="AF5264" t="s">
        <v>37437</v>
      </c>
      <c r="AG5264" t="s">
        <v>37438</v>
      </c>
      <c r="AI5264" t="s">
        <v>37439</v>
      </c>
      <c r="AM5264" t="s">
        <v>37440</v>
      </c>
      <c r="AN5264" t="s">
        <v>2112</v>
      </c>
      <c r="AO5264" t="s">
        <v>37441</v>
      </c>
      <c r="AP5264" t="s">
        <v>7024</v>
      </c>
      <c r="AQ5264" t="s">
        <v>37442</v>
      </c>
      <c r="AT5264" s="184"/>
      <c r="AW5264" s="184"/>
      <c r="AZ5264" s="184"/>
      <c r="BP5264" s="184"/>
    </row>
    <row r="5265" spans="1:68">
      <c r="A5265">
        <v>98738081</v>
      </c>
      <c r="B5265">
        <v>98738081</v>
      </c>
      <c r="C5265" t="s">
        <v>7018</v>
      </c>
      <c r="D5265" t="s">
        <v>595</v>
      </c>
      <c r="E5265" s="184">
        <v>45195</v>
      </c>
      <c r="G5265" s="184"/>
      <c r="I5265" s="184"/>
      <c r="K5265" s="184"/>
      <c r="O5265" s="184"/>
      <c r="P5265" t="s">
        <v>7045</v>
      </c>
      <c r="Q5265" t="s">
        <v>7374</v>
      </c>
      <c r="R5265" s="184">
        <v>19664</v>
      </c>
      <c r="S5265">
        <v>70</v>
      </c>
      <c r="V5265" t="s">
        <v>2586</v>
      </c>
      <c r="W5265" t="s">
        <v>7396</v>
      </c>
      <c r="X5265" t="s">
        <v>37444</v>
      </c>
      <c r="AF5265" t="s">
        <v>37445</v>
      </c>
      <c r="AG5265" t="s">
        <v>2586</v>
      </c>
      <c r="AI5265" t="s">
        <v>37446</v>
      </c>
      <c r="AM5265" t="s">
        <v>2525</v>
      </c>
      <c r="AN5265" t="s">
        <v>2526</v>
      </c>
      <c r="AO5265" t="s">
        <v>37447</v>
      </c>
      <c r="AP5265" t="s">
        <v>7024</v>
      </c>
      <c r="AQ5265" t="s">
        <v>37448</v>
      </c>
      <c r="AR5265" t="s">
        <v>37449</v>
      </c>
      <c r="AT5265" s="184">
        <v>43297</v>
      </c>
      <c r="AU5265" t="s">
        <v>37450</v>
      </c>
      <c r="AV5265">
        <v>50</v>
      </c>
      <c r="AW5265" s="184">
        <v>45166</v>
      </c>
      <c r="AX5265" t="s">
        <v>37451</v>
      </c>
      <c r="AY5265">
        <v>100</v>
      </c>
      <c r="AZ5265" s="184">
        <v>45065</v>
      </c>
      <c r="BA5265" t="s">
        <v>22771</v>
      </c>
      <c r="BB5265">
        <v>175</v>
      </c>
      <c r="BC5265">
        <v>86</v>
      </c>
      <c r="BD5265">
        <v>980</v>
      </c>
      <c r="BE5265">
        <v>2019</v>
      </c>
      <c r="BF5265">
        <v>8</v>
      </c>
      <c r="BG5265">
        <v>2</v>
      </c>
      <c r="BH5265">
        <v>275</v>
      </c>
      <c r="BI5265">
        <v>6</v>
      </c>
      <c r="BJ5265">
        <v>7</v>
      </c>
      <c r="BK5265">
        <v>6</v>
      </c>
      <c r="BP5265" s="184"/>
    </row>
    <row r="5266" spans="1:68">
      <c r="A5266">
        <v>98752801</v>
      </c>
      <c r="B5266">
        <v>98752801</v>
      </c>
      <c r="C5266" t="s">
        <v>7018</v>
      </c>
      <c r="D5266" t="s">
        <v>595</v>
      </c>
      <c r="E5266" s="184">
        <v>45147</v>
      </c>
      <c r="G5266" s="184"/>
      <c r="I5266" s="184"/>
      <c r="K5266" s="184"/>
      <c r="O5266" s="184"/>
      <c r="P5266" t="s">
        <v>7045</v>
      </c>
      <c r="Q5266" t="s">
        <v>7194</v>
      </c>
      <c r="R5266" s="184">
        <v>17380</v>
      </c>
      <c r="S5266">
        <v>76</v>
      </c>
      <c r="V5266" t="s">
        <v>37452</v>
      </c>
      <c r="W5266" t="s">
        <v>3522</v>
      </c>
      <c r="X5266" t="s">
        <v>37453</v>
      </c>
      <c r="AF5266" t="s">
        <v>37454</v>
      </c>
      <c r="AG5266" t="s">
        <v>37452</v>
      </c>
      <c r="AI5266" t="s">
        <v>37455</v>
      </c>
      <c r="AM5266" t="s">
        <v>29874</v>
      </c>
      <c r="AN5266" t="s">
        <v>2046</v>
      </c>
      <c r="AO5266" t="s">
        <v>37456</v>
      </c>
      <c r="AP5266" t="s">
        <v>7024</v>
      </c>
      <c r="AQ5266" t="s">
        <v>37457</v>
      </c>
      <c r="AT5266" s="184">
        <v>43299</v>
      </c>
      <c r="AU5266" t="s">
        <v>37458</v>
      </c>
      <c r="AV5266">
        <v>25</v>
      </c>
      <c r="AW5266" s="184">
        <v>45363</v>
      </c>
      <c r="AX5266" t="s">
        <v>25518</v>
      </c>
      <c r="AY5266">
        <v>50</v>
      </c>
      <c r="AZ5266" s="184">
        <v>45363</v>
      </c>
      <c r="BA5266" t="s">
        <v>25518</v>
      </c>
      <c r="BB5266">
        <v>50</v>
      </c>
      <c r="BC5266">
        <v>86</v>
      </c>
      <c r="BD5266">
        <v>400</v>
      </c>
      <c r="BE5266">
        <v>2019</v>
      </c>
      <c r="BF5266">
        <v>12</v>
      </c>
      <c r="BG5266">
        <v>5</v>
      </c>
      <c r="BH5266">
        <v>225</v>
      </c>
      <c r="BI5266">
        <v>6</v>
      </c>
      <c r="BJ5266">
        <v>7</v>
      </c>
      <c r="BK5266">
        <v>3</v>
      </c>
      <c r="BP5266" s="184"/>
    </row>
    <row r="5267" spans="1:68">
      <c r="A5267">
        <v>98754476</v>
      </c>
      <c r="B5267">
        <v>98754476</v>
      </c>
      <c r="C5267" t="s">
        <v>7018</v>
      </c>
      <c r="D5267" t="s">
        <v>595</v>
      </c>
      <c r="E5267" s="184">
        <v>43782</v>
      </c>
      <c r="G5267" s="184"/>
      <c r="I5267" s="184"/>
      <c r="K5267" s="184"/>
      <c r="O5267" s="184"/>
      <c r="P5267" t="s">
        <v>7045</v>
      </c>
      <c r="Q5267" t="s">
        <v>7494</v>
      </c>
      <c r="R5267" s="184">
        <v>33217</v>
      </c>
      <c r="S5267">
        <v>33</v>
      </c>
      <c r="V5267" t="s">
        <v>37459</v>
      </c>
      <c r="X5267" t="s">
        <v>37460</v>
      </c>
      <c r="AF5267" t="s">
        <v>37461</v>
      </c>
      <c r="AG5267" t="s">
        <v>37459</v>
      </c>
      <c r="AI5267" t="s">
        <v>37462</v>
      </c>
      <c r="AM5267" t="s">
        <v>37463</v>
      </c>
      <c r="AN5267" t="s">
        <v>2174</v>
      </c>
      <c r="AO5267" t="s">
        <v>37464</v>
      </c>
      <c r="AP5267" t="s">
        <v>7024</v>
      </c>
      <c r="AQ5267" t="s">
        <v>37465</v>
      </c>
      <c r="AT5267" s="184">
        <v>43299</v>
      </c>
      <c r="AU5267" t="s">
        <v>37466</v>
      </c>
      <c r="AV5267">
        <v>25</v>
      </c>
      <c r="AW5267" s="184">
        <v>45065</v>
      </c>
      <c r="AX5267" t="s">
        <v>37467</v>
      </c>
      <c r="AY5267">
        <v>15</v>
      </c>
      <c r="AZ5267" s="184">
        <v>43700</v>
      </c>
      <c r="BA5267" t="s">
        <v>37468</v>
      </c>
      <c r="BB5267">
        <v>25</v>
      </c>
      <c r="BC5267">
        <v>72</v>
      </c>
      <c r="BD5267">
        <v>200</v>
      </c>
      <c r="BE5267">
        <v>2019</v>
      </c>
      <c r="BF5267">
        <v>12</v>
      </c>
      <c r="BG5267">
        <v>8</v>
      </c>
      <c r="BH5267">
        <v>120</v>
      </c>
      <c r="BI5267">
        <v>5</v>
      </c>
      <c r="BJ5267">
        <v>7</v>
      </c>
      <c r="BK5267">
        <v>3</v>
      </c>
      <c r="BP5267" s="184"/>
    </row>
    <row r="5268" spans="1:68">
      <c r="A5268">
        <v>98757297</v>
      </c>
      <c r="B5268">
        <v>98757297</v>
      </c>
      <c r="C5268" t="s">
        <v>7018</v>
      </c>
      <c r="D5268" t="s">
        <v>595</v>
      </c>
      <c r="E5268" s="184">
        <v>43868</v>
      </c>
      <c r="G5268" s="184"/>
      <c r="I5268" s="184"/>
      <c r="K5268" s="184"/>
      <c r="M5268" s="184"/>
      <c r="O5268" s="184"/>
      <c r="P5268" t="s">
        <v>7045</v>
      </c>
      <c r="Q5268" t="s">
        <v>7262</v>
      </c>
      <c r="R5268" s="184">
        <v>20637</v>
      </c>
      <c r="S5268">
        <v>67</v>
      </c>
      <c r="U5268" t="s">
        <v>7076</v>
      </c>
      <c r="V5268" t="s">
        <v>3232</v>
      </c>
      <c r="W5268" t="s">
        <v>2049</v>
      </c>
      <c r="X5268" t="s">
        <v>37469</v>
      </c>
      <c r="AF5268" t="s">
        <v>37470</v>
      </c>
      <c r="AG5268" t="s">
        <v>3232</v>
      </c>
      <c r="AI5268" t="s">
        <v>37471</v>
      </c>
      <c r="AM5268" t="s">
        <v>4657</v>
      </c>
      <c r="AN5268" t="s">
        <v>2069</v>
      </c>
      <c r="AO5268" t="s">
        <v>37472</v>
      </c>
      <c r="AP5268" t="s">
        <v>7024</v>
      </c>
      <c r="AQ5268" t="s">
        <v>37473</v>
      </c>
      <c r="AR5268" t="s">
        <v>37474</v>
      </c>
      <c r="AT5268" s="184">
        <v>43301</v>
      </c>
      <c r="AU5268" t="s">
        <v>7765</v>
      </c>
      <c r="AV5268">
        <v>25</v>
      </c>
      <c r="AW5268" s="184">
        <v>44735</v>
      </c>
      <c r="AX5268" t="s">
        <v>25209</v>
      </c>
      <c r="AY5268">
        <v>25</v>
      </c>
      <c r="AZ5268" s="184">
        <v>44071</v>
      </c>
      <c r="BA5268" t="s">
        <v>9633</v>
      </c>
      <c r="BB5268">
        <v>35</v>
      </c>
      <c r="BC5268">
        <v>58</v>
      </c>
      <c r="BD5268">
        <v>120</v>
      </c>
      <c r="BE5268">
        <v>2019</v>
      </c>
      <c r="BF5268">
        <v>4</v>
      </c>
      <c r="BG5268">
        <v>1</v>
      </c>
      <c r="BH5268">
        <v>25</v>
      </c>
      <c r="BI5268">
        <v>4</v>
      </c>
      <c r="BJ5268">
        <v>7</v>
      </c>
      <c r="BK5268">
        <v>3</v>
      </c>
      <c r="BP5268" s="184"/>
    </row>
    <row r="5269" spans="1:68">
      <c r="A5269">
        <v>98769144</v>
      </c>
      <c r="B5269">
        <v>98769144</v>
      </c>
      <c r="C5269" t="s">
        <v>7018</v>
      </c>
      <c r="D5269" t="s">
        <v>595</v>
      </c>
      <c r="E5269" s="184">
        <v>45125</v>
      </c>
      <c r="I5269" s="184"/>
      <c r="K5269" s="184"/>
      <c r="M5269" s="184"/>
      <c r="O5269" s="184"/>
      <c r="P5269" t="s">
        <v>7045</v>
      </c>
      <c r="Q5269" t="s">
        <v>7383</v>
      </c>
      <c r="R5269" s="184">
        <v>17288</v>
      </c>
      <c r="S5269">
        <v>77</v>
      </c>
      <c r="V5269" t="s">
        <v>5057</v>
      </c>
      <c r="X5269" t="s">
        <v>37475</v>
      </c>
      <c r="Z5269">
        <v>100172801</v>
      </c>
      <c r="AB5269" t="s">
        <v>4916</v>
      </c>
      <c r="AD5269" t="s">
        <v>37475</v>
      </c>
      <c r="AF5269" t="s">
        <v>37476</v>
      </c>
      <c r="AG5269" t="s">
        <v>5057</v>
      </c>
      <c r="AI5269" t="s">
        <v>37477</v>
      </c>
      <c r="AM5269" t="s">
        <v>3973</v>
      </c>
      <c r="AN5269" t="s">
        <v>2059</v>
      </c>
      <c r="AO5269" t="s">
        <v>37478</v>
      </c>
      <c r="AP5269" t="s">
        <v>7024</v>
      </c>
      <c r="AQ5269" t="s">
        <v>37479</v>
      </c>
      <c r="AT5269" s="184">
        <v>43301</v>
      </c>
      <c r="AU5269" t="s">
        <v>37480</v>
      </c>
      <c r="AV5269">
        <v>20</v>
      </c>
      <c r="AW5269" s="184">
        <v>45411</v>
      </c>
      <c r="AX5269" t="s">
        <v>21384</v>
      </c>
      <c r="AY5269">
        <v>50</v>
      </c>
      <c r="AZ5269" s="184">
        <v>45316</v>
      </c>
      <c r="BA5269" t="s">
        <v>37481</v>
      </c>
      <c r="BB5269">
        <v>100</v>
      </c>
      <c r="BC5269">
        <v>100</v>
      </c>
      <c r="BD5269">
        <v>1260</v>
      </c>
      <c r="BE5269">
        <v>2019</v>
      </c>
      <c r="BF5269">
        <v>35</v>
      </c>
      <c r="BG5269">
        <v>12</v>
      </c>
      <c r="BH5269">
        <v>610</v>
      </c>
      <c r="BI5269">
        <v>7</v>
      </c>
      <c r="BJ5269">
        <v>7</v>
      </c>
      <c r="BK5269">
        <v>7</v>
      </c>
      <c r="BN5269" t="s">
        <v>595</v>
      </c>
      <c r="BP5269" s="184"/>
    </row>
    <row r="5270" spans="1:68">
      <c r="A5270">
        <v>100172801</v>
      </c>
      <c r="B5270">
        <v>98769144</v>
      </c>
      <c r="C5270" t="s">
        <v>7018</v>
      </c>
      <c r="D5270" t="s">
        <v>595</v>
      </c>
      <c r="E5270" s="184">
        <v>45125</v>
      </c>
      <c r="G5270" s="184"/>
      <c r="I5270" s="184"/>
      <c r="K5270" s="184"/>
      <c r="O5270" s="184"/>
      <c r="P5270" t="s">
        <v>7045</v>
      </c>
      <c r="Q5270" t="s">
        <v>7383</v>
      </c>
      <c r="R5270" s="184">
        <v>17807</v>
      </c>
      <c r="S5270">
        <v>75</v>
      </c>
      <c r="V5270" t="s">
        <v>4916</v>
      </c>
      <c r="X5270" t="s">
        <v>37475</v>
      </c>
      <c r="Z5270">
        <v>98769144</v>
      </c>
      <c r="AB5270" t="s">
        <v>5057</v>
      </c>
      <c r="AD5270" t="s">
        <v>37475</v>
      </c>
      <c r="AF5270" t="s">
        <v>37476</v>
      </c>
      <c r="AG5270" t="s">
        <v>5057</v>
      </c>
      <c r="AI5270" t="s">
        <v>37477</v>
      </c>
      <c r="AM5270" t="s">
        <v>3973</v>
      </c>
      <c r="AN5270" t="s">
        <v>2059</v>
      </c>
      <c r="AO5270" t="s">
        <v>37478</v>
      </c>
      <c r="AP5270" t="s">
        <v>7024</v>
      </c>
      <c r="AT5270" s="184"/>
      <c r="AW5270" s="184"/>
      <c r="AZ5270" s="184"/>
      <c r="BO5270" t="s">
        <v>595</v>
      </c>
      <c r="BP5270" s="184"/>
    </row>
    <row r="5271" spans="1:68">
      <c r="A5271">
        <v>98789472</v>
      </c>
      <c r="B5271">
        <v>98789472</v>
      </c>
      <c r="C5271" t="s">
        <v>7018</v>
      </c>
      <c r="E5271" s="184"/>
      <c r="I5271" s="184"/>
      <c r="J5271" t="s">
        <v>595</v>
      </c>
      <c r="K5271" s="184">
        <v>43607</v>
      </c>
      <c r="O5271" s="184"/>
      <c r="P5271" t="s">
        <v>7045</v>
      </c>
      <c r="Q5271" t="s">
        <v>7020</v>
      </c>
      <c r="R5271" s="184">
        <v>32893</v>
      </c>
      <c r="S5271">
        <v>34</v>
      </c>
      <c r="U5271" t="s">
        <v>7031</v>
      </c>
      <c r="V5271" t="s">
        <v>2510</v>
      </c>
      <c r="X5271" t="s">
        <v>37482</v>
      </c>
      <c r="Z5271">
        <v>100302240</v>
      </c>
      <c r="AB5271" t="s">
        <v>37483</v>
      </c>
      <c r="AD5271" t="s">
        <v>37484</v>
      </c>
      <c r="AF5271" t="s">
        <v>37485</v>
      </c>
      <c r="AG5271" t="s">
        <v>37486</v>
      </c>
      <c r="AI5271" t="s">
        <v>37487</v>
      </c>
      <c r="AM5271" t="s">
        <v>37488</v>
      </c>
      <c r="AN5271" t="s">
        <v>2129</v>
      </c>
      <c r="AO5271" t="s">
        <v>37489</v>
      </c>
      <c r="AP5271" t="s">
        <v>7024</v>
      </c>
      <c r="AQ5271" t="s">
        <v>37490</v>
      </c>
      <c r="AT5271" s="184">
        <v>43306</v>
      </c>
      <c r="AU5271" t="s">
        <v>17745</v>
      </c>
      <c r="AV5271">
        <v>25</v>
      </c>
      <c r="AW5271" s="184">
        <v>45258</v>
      </c>
      <c r="AX5271" t="s">
        <v>19868</v>
      </c>
      <c r="AY5271">
        <v>52.5</v>
      </c>
      <c r="AZ5271" s="184">
        <v>45258</v>
      </c>
      <c r="BA5271" t="s">
        <v>19868</v>
      </c>
      <c r="BB5271">
        <v>52.5</v>
      </c>
      <c r="BC5271">
        <v>72</v>
      </c>
      <c r="BD5271">
        <v>232.5</v>
      </c>
      <c r="BE5271">
        <v>2019</v>
      </c>
      <c r="BF5271">
        <v>7</v>
      </c>
      <c r="BG5271">
        <v>2</v>
      </c>
      <c r="BH5271">
        <v>87.5</v>
      </c>
      <c r="BI5271">
        <v>5</v>
      </c>
      <c r="BJ5271">
        <v>7</v>
      </c>
      <c r="BK5271">
        <v>3</v>
      </c>
      <c r="BP5271" s="184"/>
    </row>
    <row r="5272" spans="1:68">
      <c r="A5272">
        <v>98816325</v>
      </c>
      <c r="B5272">
        <v>98816325</v>
      </c>
      <c r="C5272" t="s">
        <v>7018</v>
      </c>
      <c r="E5272" s="184"/>
      <c r="G5272" s="184"/>
      <c r="H5272" t="s">
        <v>595</v>
      </c>
      <c r="I5272" s="184">
        <v>44774</v>
      </c>
      <c r="K5272" s="184"/>
      <c r="O5272" s="184"/>
      <c r="P5272" t="s">
        <v>7045</v>
      </c>
      <c r="Q5272" t="s">
        <v>7374</v>
      </c>
      <c r="R5272" s="184">
        <v>15950</v>
      </c>
      <c r="S5272">
        <v>80</v>
      </c>
      <c r="V5272" t="s">
        <v>3061</v>
      </c>
      <c r="X5272" t="s">
        <v>3684</v>
      </c>
      <c r="AF5272" t="s">
        <v>37491</v>
      </c>
      <c r="AG5272" t="s">
        <v>3061</v>
      </c>
      <c r="AI5272" t="s">
        <v>37492</v>
      </c>
      <c r="AM5272" t="s">
        <v>4312</v>
      </c>
      <c r="AN5272" t="s">
        <v>2081</v>
      </c>
      <c r="AO5272" t="s">
        <v>37493</v>
      </c>
      <c r="AP5272" t="s">
        <v>7024</v>
      </c>
      <c r="AQ5272" t="s">
        <v>37494</v>
      </c>
      <c r="AT5272" s="184">
        <v>43307</v>
      </c>
      <c r="AU5272" t="s">
        <v>37495</v>
      </c>
      <c r="AV5272">
        <v>25</v>
      </c>
      <c r="AW5272" s="184">
        <v>44959</v>
      </c>
      <c r="AX5272" t="s">
        <v>37496</v>
      </c>
      <c r="AY5272">
        <v>90</v>
      </c>
      <c r="AZ5272" s="184">
        <v>44959</v>
      </c>
      <c r="BA5272" t="s">
        <v>37496</v>
      </c>
      <c r="BB5272">
        <v>90</v>
      </c>
      <c r="BC5272">
        <v>58</v>
      </c>
      <c r="BD5272">
        <v>265</v>
      </c>
      <c r="BE5272">
        <v>2019</v>
      </c>
      <c r="BF5272">
        <v>4</v>
      </c>
      <c r="BG5272">
        <v>1</v>
      </c>
      <c r="BH5272">
        <v>90</v>
      </c>
      <c r="BI5272">
        <v>4</v>
      </c>
      <c r="BJ5272">
        <v>7</v>
      </c>
      <c r="BK5272">
        <v>2</v>
      </c>
      <c r="BP5272" s="184"/>
    </row>
    <row r="5273" spans="1:68">
      <c r="A5273">
        <v>98823461</v>
      </c>
      <c r="B5273">
        <v>98823461</v>
      </c>
      <c r="C5273" t="s">
        <v>7018</v>
      </c>
      <c r="D5273" t="s">
        <v>595</v>
      </c>
      <c r="E5273" s="184">
        <v>45112</v>
      </c>
      <c r="G5273" s="184"/>
      <c r="I5273" s="184"/>
      <c r="K5273" s="184"/>
      <c r="M5273" s="184"/>
      <c r="O5273" s="184"/>
      <c r="P5273" t="s">
        <v>7045</v>
      </c>
      <c r="Q5273" t="s">
        <v>7494</v>
      </c>
      <c r="R5273" s="184">
        <v>16316</v>
      </c>
      <c r="S5273">
        <v>79</v>
      </c>
      <c r="U5273" t="s">
        <v>7031</v>
      </c>
      <c r="V5273" t="s">
        <v>8754</v>
      </c>
      <c r="X5273" t="s">
        <v>37497</v>
      </c>
      <c r="AF5273" t="s">
        <v>37498</v>
      </c>
      <c r="AG5273" t="s">
        <v>8754</v>
      </c>
      <c r="AI5273" t="s">
        <v>37499</v>
      </c>
      <c r="AM5273" t="s">
        <v>4006</v>
      </c>
      <c r="AN5273" t="s">
        <v>2174</v>
      </c>
      <c r="AO5273" t="s">
        <v>37500</v>
      </c>
      <c r="AP5273" t="s">
        <v>7024</v>
      </c>
      <c r="AQ5273" t="s">
        <v>37501</v>
      </c>
      <c r="AT5273" s="184">
        <v>43308</v>
      </c>
      <c r="AU5273" t="s">
        <v>37502</v>
      </c>
      <c r="AV5273">
        <v>15</v>
      </c>
      <c r="AW5273" s="184">
        <v>45358</v>
      </c>
      <c r="AX5273" t="s">
        <v>37503</v>
      </c>
      <c r="AY5273">
        <v>20</v>
      </c>
      <c r="AZ5273" s="184">
        <v>44301</v>
      </c>
      <c r="BA5273" t="s">
        <v>9333</v>
      </c>
      <c r="BB5273">
        <v>60</v>
      </c>
      <c r="BC5273">
        <v>100</v>
      </c>
      <c r="BD5273">
        <v>842</v>
      </c>
      <c r="BE5273">
        <v>2019</v>
      </c>
      <c r="BF5273">
        <v>44</v>
      </c>
      <c r="BG5273">
        <v>16</v>
      </c>
      <c r="BH5273">
        <v>310</v>
      </c>
      <c r="BI5273">
        <v>7</v>
      </c>
      <c r="BJ5273">
        <v>7</v>
      </c>
      <c r="BK5273">
        <v>7</v>
      </c>
      <c r="BP5273" s="184"/>
    </row>
    <row r="5274" spans="1:68">
      <c r="A5274">
        <v>98831829</v>
      </c>
      <c r="B5274">
        <v>98831829</v>
      </c>
      <c r="C5274" t="s">
        <v>7018</v>
      </c>
      <c r="D5274" t="s">
        <v>595</v>
      </c>
      <c r="E5274" s="184">
        <v>45104</v>
      </c>
      <c r="G5274" s="184"/>
      <c r="I5274" s="184"/>
      <c r="K5274" s="184"/>
      <c r="M5274" s="184"/>
      <c r="O5274" s="184"/>
      <c r="P5274" t="s">
        <v>7045</v>
      </c>
      <c r="Q5274" t="s">
        <v>7383</v>
      </c>
      <c r="R5274" s="184">
        <v>11871</v>
      </c>
      <c r="S5274">
        <v>91</v>
      </c>
      <c r="U5274" t="s">
        <v>7130</v>
      </c>
      <c r="V5274" t="s">
        <v>7246</v>
      </c>
      <c r="W5274" t="s">
        <v>4013</v>
      </c>
      <c r="X5274" t="s">
        <v>37504</v>
      </c>
      <c r="AF5274" t="s">
        <v>37505</v>
      </c>
      <c r="AG5274" t="s">
        <v>37506</v>
      </c>
      <c r="AI5274" t="s">
        <v>37507</v>
      </c>
      <c r="AM5274" t="s">
        <v>37508</v>
      </c>
      <c r="AN5274" t="s">
        <v>2185</v>
      </c>
      <c r="AO5274" t="s">
        <v>37509</v>
      </c>
      <c r="AP5274" t="s">
        <v>7024</v>
      </c>
      <c r="AQ5274" t="s">
        <v>37510</v>
      </c>
      <c r="AT5274" s="184">
        <v>43311</v>
      </c>
      <c r="AU5274" t="s">
        <v>37511</v>
      </c>
      <c r="AV5274">
        <v>25</v>
      </c>
      <c r="AW5274" s="184">
        <v>45012</v>
      </c>
      <c r="AX5274" t="s">
        <v>36632</v>
      </c>
      <c r="AY5274">
        <v>50</v>
      </c>
      <c r="AZ5274" s="184">
        <v>45012</v>
      </c>
      <c r="BA5274" t="s">
        <v>36632</v>
      </c>
      <c r="BB5274">
        <v>50</v>
      </c>
      <c r="BC5274">
        <v>86</v>
      </c>
      <c r="BD5274">
        <v>350</v>
      </c>
      <c r="BE5274">
        <v>2019</v>
      </c>
      <c r="BF5274">
        <v>10</v>
      </c>
      <c r="BG5274">
        <v>3</v>
      </c>
      <c r="BH5274">
        <v>150</v>
      </c>
      <c r="BI5274">
        <v>6</v>
      </c>
      <c r="BJ5274">
        <v>7</v>
      </c>
      <c r="BK5274">
        <v>6</v>
      </c>
      <c r="BP5274" s="184"/>
    </row>
    <row r="5275" spans="1:68">
      <c r="A5275">
        <v>98852551</v>
      </c>
      <c r="B5275">
        <v>98852551</v>
      </c>
      <c r="C5275" t="s">
        <v>7018</v>
      </c>
      <c r="D5275" t="s">
        <v>595</v>
      </c>
      <c r="E5275" s="184">
        <v>45180</v>
      </c>
      <c r="G5275" s="184"/>
      <c r="I5275" s="184"/>
      <c r="K5275" s="184"/>
      <c r="M5275" s="184"/>
      <c r="O5275" s="184"/>
      <c r="P5275" t="s">
        <v>7019</v>
      </c>
      <c r="Q5275" t="s">
        <v>7030</v>
      </c>
      <c r="R5275" s="184">
        <v>14336</v>
      </c>
      <c r="S5275">
        <v>85</v>
      </c>
      <c r="V5275" t="s">
        <v>2982</v>
      </c>
      <c r="X5275" t="s">
        <v>3716</v>
      </c>
      <c r="Z5275">
        <v>100172939</v>
      </c>
      <c r="AB5275" t="s">
        <v>3317</v>
      </c>
      <c r="AD5275" t="s">
        <v>3716</v>
      </c>
      <c r="AF5275" t="s">
        <v>37512</v>
      </c>
      <c r="AG5275" t="s">
        <v>37513</v>
      </c>
      <c r="AI5275" t="s">
        <v>37514</v>
      </c>
      <c r="AM5275" t="s">
        <v>3415</v>
      </c>
      <c r="AN5275" t="s">
        <v>2094</v>
      </c>
      <c r="AO5275" t="s">
        <v>37515</v>
      </c>
      <c r="AP5275" t="s">
        <v>7024</v>
      </c>
      <c r="AQ5275" t="s">
        <v>37516</v>
      </c>
      <c r="AT5275" s="184">
        <v>43314</v>
      </c>
      <c r="AU5275" t="s">
        <v>37517</v>
      </c>
      <c r="AV5275">
        <v>25</v>
      </c>
      <c r="AW5275" s="184">
        <v>44944</v>
      </c>
      <c r="AX5275" t="s">
        <v>37518</v>
      </c>
      <c r="AY5275">
        <v>50</v>
      </c>
      <c r="AZ5275" s="184">
        <v>44769</v>
      </c>
      <c r="BA5275" t="s">
        <v>37519</v>
      </c>
      <c r="BB5275">
        <v>60</v>
      </c>
      <c r="BC5275">
        <v>86</v>
      </c>
      <c r="BD5275">
        <v>370</v>
      </c>
      <c r="BE5275">
        <v>2019</v>
      </c>
      <c r="BF5275">
        <v>10</v>
      </c>
      <c r="BG5275">
        <v>2</v>
      </c>
      <c r="BH5275">
        <v>110</v>
      </c>
      <c r="BI5275">
        <v>6</v>
      </c>
      <c r="BJ5275">
        <v>7</v>
      </c>
      <c r="BK5275">
        <v>6</v>
      </c>
      <c r="BP5275" s="184"/>
    </row>
    <row r="5276" spans="1:68">
      <c r="A5276">
        <v>100172939</v>
      </c>
      <c r="B5276">
        <v>98852551</v>
      </c>
      <c r="C5276" t="s">
        <v>7018</v>
      </c>
      <c r="D5276" t="s">
        <v>595</v>
      </c>
      <c r="E5276" s="184">
        <v>45180</v>
      </c>
      <c r="G5276" s="184"/>
      <c r="I5276" s="184"/>
      <c r="K5276" s="184"/>
      <c r="O5276" s="184"/>
      <c r="P5276" t="s">
        <v>7019</v>
      </c>
      <c r="Q5276" t="s">
        <v>7030</v>
      </c>
      <c r="R5276" s="184">
        <v>15250</v>
      </c>
      <c r="S5276">
        <v>82</v>
      </c>
      <c r="V5276" t="s">
        <v>3317</v>
      </c>
      <c r="X5276" t="s">
        <v>3716</v>
      </c>
      <c r="Z5276">
        <v>98852551</v>
      </c>
      <c r="AB5276" t="s">
        <v>2982</v>
      </c>
      <c r="AD5276" t="s">
        <v>3716</v>
      </c>
      <c r="AF5276" t="s">
        <v>37512</v>
      </c>
      <c r="AG5276" t="s">
        <v>37513</v>
      </c>
      <c r="AI5276" t="s">
        <v>37514</v>
      </c>
      <c r="AM5276" t="s">
        <v>3415</v>
      </c>
      <c r="AN5276" t="s">
        <v>2094</v>
      </c>
      <c r="AO5276" t="s">
        <v>37515</v>
      </c>
      <c r="AP5276" t="s">
        <v>7024</v>
      </c>
      <c r="AQ5276" t="s">
        <v>37520</v>
      </c>
      <c r="AT5276" s="184"/>
      <c r="AW5276" s="184"/>
      <c r="AZ5276" s="184"/>
      <c r="BP5276" s="184"/>
    </row>
    <row r="5277" spans="1:68">
      <c r="A5277">
        <v>98865876</v>
      </c>
      <c r="B5277">
        <v>98865876</v>
      </c>
      <c r="C5277" t="s">
        <v>7018</v>
      </c>
      <c r="D5277" t="s">
        <v>595</v>
      </c>
      <c r="E5277" s="184">
        <v>45117</v>
      </c>
      <c r="G5277" s="184"/>
      <c r="I5277" s="184"/>
      <c r="K5277" s="184"/>
      <c r="O5277" s="184"/>
      <c r="P5277" t="s">
        <v>7045</v>
      </c>
      <c r="Q5277" t="s">
        <v>7383</v>
      </c>
      <c r="R5277" s="184">
        <v>16011</v>
      </c>
      <c r="S5277">
        <v>80</v>
      </c>
      <c r="V5277" t="s">
        <v>37521</v>
      </c>
      <c r="X5277" t="s">
        <v>3639</v>
      </c>
      <c r="AF5277" t="s">
        <v>37522</v>
      </c>
      <c r="AG5277" t="s">
        <v>37521</v>
      </c>
      <c r="AI5277" t="s">
        <v>37523</v>
      </c>
      <c r="AM5277" t="s">
        <v>2755</v>
      </c>
      <c r="AN5277" t="s">
        <v>2072</v>
      </c>
      <c r="AO5277" t="s">
        <v>37524</v>
      </c>
      <c r="AP5277" t="s">
        <v>7024</v>
      </c>
      <c r="AQ5277" t="s">
        <v>37525</v>
      </c>
      <c r="AT5277" s="184">
        <v>43318</v>
      </c>
      <c r="AU5277" t="s">
        <v>37450</v>
      </c>
      <c r="AV5277">
        <v>25</v>
      </c>
      <c r="AW5277" s="184">
        <v>44826</v>
      </c>
      <c r="AX5277" t="s">
        <v>37526</v>
      </c>
      <c r="AY5277">
        <v>25</v>
      </c>
      <c r="AZ5277" s="184">
        <v>44826</v>
      </c>
      <c r="BA5277" t="s">
        <v>37526</v>
      </c>
      <c r="BB5277">
        <v>25</v>
      </c>
      <c r="BC5277">
        <v>29</v>
      </c>
      <c r="BD5277">
        <v>50</v>
      </c>
      <c r="BE5277">
        <v>2019</v>
      </c>
      <c r="BF5277">
        <v>2</v>
      </c>
      <c r="BG5277">
        <v>1</v>
      </c>
      <c r="BH5277">
        <v>25</v>
      </c>
      <c r="BI5277">
        <v>2</v>
      </c>
      <c r="BJ5277">
        <v>7</v>
      </c>
      <c r="BK5277">
        <v>1</v>
      </c>
      <c r="BP5277" s="184"/>
    </row>
    <row r="5278" spans="1:68">
      <c r="A5278">
        <v>98868466</v>
      </c>
      <c r="B5278">
        <v>98868466</v>
      </c>
      <c r="C5278" t="s">
        <v>7018</v>
      </c>
      <c r="D5278" t="s">
        <v>595</v>
      </c>
      <c r="E5278" s="184">
        <v>45124</v>
      </c>
      <c r="I5278" s="184"/>
      <c r="K5278" s="184"/>
      <c r="M5278" s="184"/>
      <c r="O5278" s="184"/>
      <c r="P5278" t="s">
        <v>7045</v>
      </c>
      <c r="Q5278" t="s">
        <v>7262</v>
      </c>
      <c r="R5278" s="184">
        <v>16742</v>
      </c>
      <c r="S5278">
        <v>78</v>
      </c>
      <c r="U5278" t="s">
        <v>7031</v>
      </c>
      <c r="V5278" t="s">
        <v>37527</v>
      </c>
      <c r="X5278" t="s">
        <v>37528</v>
      </c>
      <c r="AF5278" t="s">
        <v>37529</v>
      </c>
      <c r="AG5278" t="s">
        <v>37527</v>
      </c>
      <c r="AI5278" t="s">
        <v>37530</v>
      </c>
      <c r="AM5278" t="s">
        <v>4126</v>
      </c>
      <c r="AN5278" t="s">
        <v>2069</v>
      </c>
      <c r="AO5278" t="s">
        <v>37531</v>
      </c>
      <c r="AP5278" t="s">
        <v>7024</v>
      </c>
      <c r="AQ5278" t="s">
        <v>37532</v>
      </c>
      <c r="AT5278" s="184">
        <v>43319</v>
      </c>
      <c r="AU5278" t="s">
        <v>21102</v>
      </c>
      <c r="AV5278">
        <v>15</v>
      </c>
      <c r="AW5278" s="184">
        <v>45407</v>
      </c>
      <c r="AX5278" t="s">
        <v>25194</v>
      </c>
      <c r="AY5278">
        <v>25</v>
      </c>
      <c r="AZ5278" s="184">
        <v>45407</v>
      </c>
      <c r="BA5278" t="s">
        <v>25194</v>
      </c>
      <c r="BB5278">
        <v>25</v>
      </c>
      <c r="BC5278">
        <v>100</v>
      </c>
      <c r="BD5278">
        <v>285</v>
      </c>
      <c r="BE5278">
        <v>2019</v>
      </c>
      <c r="BF5278">
        <v>17</v>
      </c>
      <c r="BG5278">
        <v>6</v>
      </c>
      <c r="BH5278">
        <v>100</v>
      </c>
      <c r="BI5278">
        <v>7</v>
      </c>
      <c r="BJ5278">
        <v>7</v>
      </c>
      <c r="BK5278">
        <v>7</v>
      </c>
      <c r="BP5278" s="184"/>
    </row>
    <row r="5279" spans="1:68">
      <c r="A5279">
        <v>98869597</v>
      </c>
      <c r="B5279">
        <v>98869597</v>
      </c>
      <c r="C5279" t="s">
        <v>7018</v>
      </c>
      <c r="E5279" s="184"/>
      <c r="G5279" s="184"/>
      <c r="H5279" t="s">
        <v>595</v>
      </c>
      <c r="I5279" s="184">
        <v>44671</v>
      </c>
      <c r="K5279" s="184"/>
      <c r="M5279" s="184"/>
      <c r="N5279" t="s">
        <v>595</v>
      </c>
      <c r="O5279" s="184">
        <v>44708</v>
      </c>
      <c r="P5279" t="s">
        <v>7045</v>
      </c>
      <c r="Q5279" t="s">
        <v>7262</v>
      </c>
      <c r="R5279" s="184">
        <v>34604</v>
      </c>
      <c r="S5279">
        <v>29</v>
      </c>
      <c r="V5279" t="s">
        <v>4210</v>
      </c>
      <c r="W5279" t="s">
        <v>7469</v>
      </c>
      <c r="X5279" t="s">
        <v>37533</v>
      </c>
      <c r="AF5279" t="s">
        <v>2473</v>
      </c>
      <c r="AG5279" t="s">
        <v>4210</v>
      </c>
      <c r="AI5279" t="s">
        <v>37534</v>
      </c>
      <c r="AM5279" t="s">
        <v>37535</v>
      </c>
      <c r="AN5279" t="s">
        <v>2219</v>
      </c>
      <c r="AO5279" t="s">
        <v>37536</v>
      </c>
      <c r="AP5279" t="s">
        <v>7024</v>
      </c>
      <c r="AQ5279" t="s">
        <v>37537</v>
      </c>
      <c r="AR5279" t="s">
        <v>37538</v>
      </c>
      <c r="AT5279" s="184">
        <v>43319</v>
      </c>
      <c r="AU5279" t="s">
        <v>13258</v>
      </c>
      <c r="AV5279">
        <v>25</v>
      </c>
      <c r="AW5279" s="184">
        <v>44781</v>
      </c>
      <c r="AX5279" t="s">
        <v>19665</v>
      </c>
      <c r="AY5279">
        <v>100</v>
      </c>
      <c r="AZ5279" s="184">
        <v>44697</v>
      </c>
      <c r="BA5279" t="s">
        <v>20234</v>
      </c>
      <c r="BB5279">
        <v>10000</v>
      </c>
      <c r="BC5279">
        <v>72</v>
      </c>
      <c r="BD5279">
        <v>10198</v>
      </c>
      <c r="BE5279">
        <v>2019</v>
      </c>
      <c r="BF5279">
        <v>6</v>
      </c>
      <c r="BG5279">
        <v>2</v>
      </c>
      <c r="BH5279">
        <v>10100</v>
      </c>
      <c r="BI5279">
        <v>5</v>
      </c>
      <c r="BJ5279">
        <v>7</v>
      </c>
      <c r="BK5279">
        <v>5</v>
      </c>
      <c r="BP5279" s="184"/>
    </row>
    <row r="5280" spans="1:68">
      <c r="A5280">
        <v>98870363</v>
      </c>
      <c r="B5280">
        <v>98870363</v>
      </c>
      <c r="C5280" t="s">
        <v>7018</v>
      </c>
      <c r="D5280" t="s">
        <v>595</v>
      </c>
      <c r="E5280" s="184">
        <v>45147</v>
      </c>
      <c r="G5280" s="184"/>
      <c r="I5280" s="184"/>
      <c r="K5280" s="184"/>
      <c r="O5280" s="184"/>
      <c r="P5280" t="s">
        <v>7045</v>
      </c>
      <c r="Q5280" t="s">
        <v>7383</v>
      </c>
      <c r="R5280" s="184">
        <v>22282</v>
      </c>
      <c r="S5280">
        <v>63</v>
      </c>
      <c r="U5280" t="s">
        <v>7031</v>
      </c>
      <c r="V5280" t="s">
        <v>4608</v>
      </c>
      <c r="X5280" t="s">
        <v>22604</v>
      </c>
      <c r="AF5280" t="s">
        <v>37539</v>
      </c>
      <c r="AG5280" t="s">
        <v>4608</v>
      </c>
      <c r="AI5280" t="s">
        <v>37540</v>
      </c>
      <c r="AM5280" t="s">
        <v>37541</v>
      </c>
      <c r="AN5280" t="s">
        <v>2064</v>
      </c>
      <c r="AO5280" t="s">
        <v>37542</v>
      </c>
      <c r="AP5280" t="s">
        <v>7024</v>
      </c>
      <c r="AQ5280" t="s">
        <v>37543</v>
      </c>
      <c r="AT5280" s="184">
        <v>43319</v>
      </c>
      <c r="AU5280" t="s">
        <v>37544</v>
      </c>
      <c r="AV5280">
        <v>25</v>
      </c>
      <c r="AW5280" s="184">
        <v>45411</v>
      </c>
      <c r="AX5280" t="s">
        <v>23272</v>
      </c>
      <c r="AY5280">
        <v>25</v>
      </c>
      <c r="AZ5280" s="184">
        <v>45411</v>
      </c>
      <c r="BA5280" t="s">
        <v>23272</v>
      </c>
      <c r="BB5280">
        <v>25</v>
      </c>
      <c r="BC5280">
        <v>100</v>
      </c>
      <c r="BD5280">
        <v>395</v>
      </c>
      <c r="BE5280">
        <v>2019</v>
      </c>
      <c r="BF5280">
        <v>18</v>
      </c>
      <c r="BG5280">
        <v>3</v>
      </c>
      <c r="BH5280">
        <v>60</v>
      </c>
      <c r="BI5280">
        <v>7</v>
      </c>
      <c r="BJ5280">
        <v>7</v>
      </c>
      <c r="BK5280">
        <v>7</v>
      </c>
      <c r="BP5280" s="184"/>
    </row>
    <row r="5281" spans="1:68">
      <c r="A5281">
        <v>98881964</v>
      </c>
      <c r="B5281">
        <v>98881964</v>
      </c>
      <c r="C5281" t="s">
        <v>7018</v>
      </c>
      <c r="E5281" s="184"/>
      <c r="G5281" s="184"/>
      <c r="H5281" t="s">
        <v>595</v>
      </c>
      <c r="I5281" s="184">
        <v>44194</v>
      </c>
      <c r="K5281" s="184"/>
      <c r="M5281" s="184"/>
      <c r="O5281" s="184"/>
      <c r="P5281" t="s">
        <v>7045</v>
      </c>
      <c r="Q5281" t="s">
        <v>7194</v>
      </c>
      <c r="R5281" s="184"/>
      <c r="V5281" t="s">
        <v>37545</v>
      </c>
      <c r="W5281" t="s">
        <v>7836</v>
      </c>
      <c r="X5281" t="s">
        <v>37546</v>
      </c>
      <c r="AF5281" t="s">
        <v>37547</v>
      </c>
      <c r="AG5281" t="s">
        <v>37545</v>
      </c>
      <c r="AI5281" t="s">
        <v>37548</v>
      </c>
      <c r="AM5281" t="s">
        <v>37549</v>
      </c>
      <c r="AN5281" t="s">
        <v>2046</v>
      </c>
      <c r="AO5281" t="s">
        <v>37550</v>
      </c>
      <c r="AP5281" t="s">
        <v>7024</v>
      </c>
      <c r="AQ5281" t="s">
        <v>37551</v>
      </c>
      <c r="AT5281" s="184">
        <v>43321</v>
      </c>
      <c r="AU5281" t="s">
        <v>37552</v>
      </c>
      <c r="AV5281">
        <v>25</v>
      </c>
      <c r="AW5281" s="184">
        <v>43923</v>
      </c>
      <c r="AX5281" t="s">
        <v>37553</v>
      </c>
      <c r="AY5281">
        <v>25</v>
      </c>
      <c r="AZ5281" s="184">
        <v>43923</v>
      </c>
      <c r="BA5281" t="s">
        <v>37553</v>
      </c>
      <c r="BB5281">
        <v>25</v>
      </c>
      <c r="BC5281">
        <v>43</v>
      </c>
      <c r="BD5281">
        <v>100</v>
      </c>
      <c r="BE5281">
        <v>2019</v>
      </c>
      <c r="BF5281">
        <v>4</v>
      </c>
      <c r="BI5281">
        <v>3</v>
      </c>
      <c r="BJ5281">
        <v>7</v>
      </c>
      <c r="BK5281">
        <v>3</v>
      </c>
      <c r="BP5281" s="184"/>
    </row>
    <row r="5282" spans="1:68">
      <c r="A5282">
        <v>98889256</v>
      </c>
      <c r="B5282">
        <v>98889256</v>
      </c>
      <c r="C5282" t="s">
        <v>7018</v>
      </c>
      <c r="D5282" t="s">
        <v>595</v>
      </c>
      <c r="E5282" s="184">
        <v>45195</v>
      </c>
      <c r="G5282" s="184"/>
      <c r="I5282" s="184"/>
      <c r="K5282" s="184"/>
      <c r="O5282" s="184"/>
      <c r="P5282" t="s">
        <v>7045</v>
      </c>
      <c r="Q5282" t="s">
        <v>7383</v>
      </c>
      <c r="R5282" s="184">
        <v>21064</v>
      </c>
      <c r="S5282">
        <v>66</v>
      </c>
      <c r="V5282" t="s">
        <v>4022</v>
      </c>
      <c r="X5282" t="s">
        <v>31882</v>
      </c>
      <c r="AF5282" t="s">
        <v>37554</v>
      </c>
      <c r="AG5282" t="s">
        <v>4022</v>
      </c>
      <c r="AI5282" t="s">
        <v>37555</v>
      </c>
      <c r="AM5282" t="s">
        <v>37556</v>
      </c>
      <c r="AN5282" t="s">
        <v>2185</v>
      </c>
      <c r="AO5282" t="s">
        <v>37557</v>
      </c>
      <c r="AP5282" t="s">
        <v>7024</v>
      </c>
      <c r="AQ5282" t="s">
        <v>37558</v>
      </c>
      <c r="AT5282" s="184">
        <v>43322</v>
      </c>
      <c r="AU5282" t="s">
        <v>37559</v>
      </c>
      <c r="AV5282">
        <v>25</v>
      </c>
      <c r="AW5282" s="184">
        <v>45042</v>
      </c>
      <c r="AX5282" t="s">
        <v>10966</v>
      </c>
      <c r="AY5282">
        <v>35</v>
      </c>
      <c r="AZ5282" s="184">
        <v>45042</v>
      </c>
      <c r="BA5282" t="s">
        <v>10966</v>
      </c>
      <c r="BB5282">
        <v>35</v>
      </c>
      <c r="BC5282">
        <v>86</v>
      </c>
      <c r="BD5282">
        <v>295</v>
      </c>
      <c r="BE5282">
        <v>2019</v>
      </c>
      <c r="BF5282">
        <v>9</v>
      </c>
      <c r="BG5282">
        <v>2</v>
      </c>
      <c r="BH5282">
        <v>70</v>
      </c>
      <c r="BI5282">
        <v>6</v>
      </c>
      <c r="BJ5282">
        <v>7</v>
      </c>
      <c r="BK5282">
        <v>6</v>
      </c>
      <c r="BP5282" s="184"/>
    </row>
    <row r="5283" spans="1:68">
      <c r="A5283">
        <v>98890171</v>
      </c>
      <c r="B5283">
        <v>98890171</v>
      </c>
      <c r="C5283" t="s">
        <v>7018</v>
      </c>
      <c r="D5283" t="s">
        <v>595</v>
      </c>
      <c r="E5283" s="184">
        <v>45195</v>
      </c>
      <c r="G5283" s="184"/>
      <c r="I5283" s="184"/>
      <c r="K5283" s="184"/>
      <c r="O5283" s="184"/>
      <c r="P5283" t="s">
        <v>7019</v>
      </c>
      <c r="Q5283" t="s">
        <v>7494</v>
      </c>
      <c r="R5283" s="184">
        <v>21033</v>
      </c>
      <c r="S5283">
        <v>66</v>
      </c>
      <c r="U5283" t="s">
        <v>7076</v>
      </c>
      <c r="V5283" t="s">
        <v>10804</v>
      </c>
      <c r="X5283" t="s">
        <v>8258</v>
      </c>
      <c r="AF5283" t="s">
        <v>37560</v>
      </c>
      <c r="AG5283" t="s">
        <v>10804</v>
      </c>
      <c r="AI5283" t="s">
        <v>37561</v>
      </c>
      <c r="AM5283" t="s">
        <v>37562</v>
      </c>
      <c r="AN5283" t="s">
        <v>2174</v>
      </c>
      <c r="AO5283" t="s">
        <v>37563</v>
      </c>
      <c r="AP5283" t="s">
        <v>7024</v>
      </c>
      <c r="AQ5283" t="s">
        <v>37564</v>
      </c>
      <c r="AT5283" s="184">
        <v>43322</v>
      </c>
      <c r="AU5283" t="s">
        <v>37458</v>
      </c>
      <c r="AV5283">
        <v>15</v>
      </c>
      <c r="AW5283" s="184">
        <v>44838</v>
      </c>
      <c r="AX5283" t="s">
        <v>37565</v>
      </c>
      <c r="AY5283">
        <v>60</v>
      </c>
      <c r="AZ5283" s="184">
        <v>44838</v>
      </c>
      <c r="BA5283" t="s">
        <v>37565</v>
      </c>
      <c r="BB5283">
        <v>60</v>
      </c>
      <c r="BC5283">
        <v>58</v>
      </c>
      <c r="BD5283">
        <v>190</v>
      </c>
      <c r="BE5283">
        <v>2019</v>
      </c>
      <c r="BF5283">
        <v>6</v>
      </c>
      <c r="BG5283">
        <v>2</v>
      </c>
      <c r="BH5283">
        <v>80</v>
      </c>
      <c r="BI5283">
        <v>4</v>
      </c>
      <c r="BJ5283">
        <v>7</v>
      </c>
      <c r="BK5283">
        <v>2</v>
      </c>
      <c r="BP5283" s="184"/>
    </row>
    <row r="5284" spans="1:68">
      <c r="A5284">
        <v>98920044</v>
      </c>
      <c r="B5284">
        <v>98920044</v>
      </c>
      <c r="C5284" t="s">
        <v>7018</v>
      </c>
      <c r="E5284" s="184"/>
      <c r="G5284" s="184"/>
      <c r="H5284" t="s">
        <v>595</v>
      </c>
      <c r="I5284" s="184">
        <v>44867</v>
      </c>
      <c r="K5284" s="184"/>
      <c r="M5284" s="184"/>
      <c r="O5284" s="184"/>
      <c r="P5284" t="s">
        <v>7045</v>
      </c>
      <c r="Q5284" t="s">
        <v>7383</v>
      </c>
      <c r="R5284" s="184">
        <v>21033</v>
      </c>
      <c r="S5284">
        <v>66</v>
      </c>
      <c r="V5284" t="s">
        <v>3435</v>
      </c>
      <c r="X5284" t="s">
        <v>37566</v>
      </c>
      <c r="AF5284" t="s">
        <v>37567</v>
      </c>
      <c r="AG5284" t="s">
        <v>3435</v>
      </c>
      <c r="AI5284" t="s">
        <v>37568</v>
      </c>
      <c r="AM5284" t="s">
        <v>37569</v>
      </c>
      <c r="AN5284" t="s">
        <v>2274</v>
      </c>
      <c r="AO5284" t="s">
        <v>37570</v>
      </c>
      <c r="AP5284" t="s">
        <v>7024</v>
      </c>
      <c r="AQ5284" t="s">
        <v>37571</v>
      </c>
      <c r="AT5284" s="184">
        <v>43326</v>
      </c>
      <c r="AU5284" t="s">
        <v>37572</v>
      </c>
      <c r="AV5284">
        <v>25</v>
      </c>
      <c r="AW5284" s="184">
        <v>44613</v>
      </c>
      <c r="AX5284" t="s">
        <v>25526</v>
      </c>
      <c r="AY5284">
        <v>100</v>
      </c>
      <c r="AZ5284" s="184">
        <v>44613</v>
      </c>
      <c r="BA5284" t="s">
        <v>25526</v>
      </c>
      <c r="BB5284">
        <v>100</v>
      </c>
      <c r="BC5284">
        <v>43</v>
      </c>
      <c r="BD5284">
        <v>150</v>
      </c>
      <c r="BE5284">
        <v>2019</v>
      </c>
      <c r="BF5284">
        <v>3</v>
      </c>
      <c r="BI5284">
        <v>3</v>
      </c>
      <c r="BJ5284">
        <v>7</v>
      </c>
      <c r="BK5284">
        <v>1</v>
      </c>
      <c r="BP5284" s="184"/>
    </row>
    <row r="5285" spans="1:68">
      <c r="A5285">
        <v>98923519</v>
      </c>
      <c r="B5285">
        <v>98923519</v>
      </c>
      <c r="C5285" t="s">
        <v>7018</v>
      </c>
      <c r="D5285" t="s">
        <v>595</v>
      </c>
      <c r="E5285" s="184">
        <v>45141</v>
      </c>
      <c r="G5285" s="184"/>
      <c r="I5285" s="184"/>
      <c r="K5285" s="184"/>
      <c r="O5285" s="184"/>
      <c r="P5285" t="s">
        <v>7045</v>
      </c>
      <c r="Q5285" t="s">
        <v>7383</v>
      </c>
      <c r="R5285" s="184">
        <v>17685</v>
      </c>
      <c r="S5285">
        <v>75</v>
      </c>
      <c r="V5285" t="s">
        <v>3496</v>
      </c>
      <c r="W5285" t="s">
        <v>8224</v>
      </c>
      <c r="X5285" t="s">
        <v>37573</v>
      </c>
      <c r="AF5285" t="s">
        <v>37574</v>
      </c>
      <c r="AG5285" t="s">
        <v>3496</v>
      </c>
      <c r="AI5285" t="s">
        <v>37575</v>
      </c>
      <c r="AM5285" t="s">
        <v>3176</v>
      </c>
      <c r="AN5285" t="s">
        <v>2313</v>
      </c>
      <c r="AO5285" t="s">
        <v>37576</v>
      </c>
      <c r="AP5285" t="s">
        <v>7024</v>
      </c>
      <c r="AQ5285" t="s">
        <v>37577</v>
      </c>
      <c r="AR5285" t="s">
        <v>37578</v>
      </c>
      <c r="AT5285" s="184">
        <v>43327</v>
      </c>
      <c r="AU5285" t="s">
        <v>37579</v>
      </c>
      <c r="AV5285">
        <v>25</v>
      </c>
      <c r="AW5285" s="184">
        <v>45304</v>
      </c>
      <c r="AX5285" t="s">
        <v>7832</v>
      </c>
      <c r="AY5285">
        <v>25</v>
      </c>
      <c r="AZ5285" s="184">
        <v>43574</v>
      </c>
      <c r="BA5285" t="s">
        <v>37580</v>
      </c>
      <c r="BB5285">
        <v>60</v>
      </c>
      <c r="BC5285">
        <v>72</v>
      </c>
      <c r="BD5285">
        <v>160</v>
      </c>
      <c r="BE5285">
        <v>2019</v>
      </c>
      <c r="BF5285">
        <v>5</v>
      </c>
      <c r="BG5285">
        <v>2</v>
      </c>
      <c r="BH5285">
        <v>50</v>
      </c>
      <c r="BI5285">
        <v>5</v>
      </c>
      <c r="BJ5285">
        <v>7</v>
      </c>
      <c r="BK5285">
        <v>3</v>
      </c>
      <c r="BP5285" s="184"/>
    </row>
    <row r="5286" spans="1:68">
      <c r="A5286">
        <v>98941370</v>
      </c>
      <c r="B5286">
        <v>98941370</v>
      </c>
      <c r="C5286" t="s">
        <v>7018</v>
      </c>
      <c r="D5286" t="s">
        <v>595</v>
      </c>
      <c r="E5286" s="184">
        <v>45195</v>
      </c>
      <c r="G5286" s="184"/>
      <c r="I5286" s="184"/>
      <c r="K5286" s="184"/>
      <c r="O5286" s="184"/>
      <c r="P5286" t="s">
        <v>7045</v>
      </c>
      <c r="Q5286" t="s">
        <v>7494</v>
      </c>
      <c r="R5286" s="184">
        <v>15797</v>
      </c>
      <c r="S5286">
        <v>81</v>
      </c>
      <c r="V5286" t="s">
        <v>2982</v>
      </c>
      <c r="W5286" t="s">
        <v>7246</v>
      </c>
      <c r="X5286" t="s">
        <v>37581</v>
      </c>
      <c r="AF5286" t="s">
        <v>37582</v>
      </c>
      <c r="AG5286" t="s">
        <v>2982</v>
      </c>
      <c r="AI5286" t="s">
        <v>37583</v>
      </c>
      <c r="AM5286" t="s">
        <v>4015</v>
      </c>
      <c r="AN5286" t="s">
        <v>2174</v>
      </c>
      <c r="AO5286" t="s">
        <v>37584</v>
      </c>
      <c r="AP5286" t="s">
        <v>7024</v>
      </c>
      <c r="AQ5286" t="s">
        <v>37585</v>
      </c>
      <c r="AT5286" s="184">
        <v>43332</v>
      </c>
      <c r="AU5286" t="s">
        <v>37586</v>
      </c>
      <c r="AV5286">
        <v>100</v>
      </c>
      <c r="AW5286" s="184">
        <v>45288</v>
      </c>
      <c r="AX5286" t="s">
        <v>21781</v>
      </c>
      <c r="AY5286">
        <v>100</v>
      </c>
      <c r="AZ5286" s="184">
        <v>44057</v>
      </c>
      <c r="BA5286" t="s">
        <v>26828</v>
      </c>
      <c r="BB5286">
        <v>400</v>
      </c>
      <c r="BC5286">
        <v>72</v>
      </c>
      <c r="BD5286">
        <v>1600</v>
      </c>
      <c r="BE5286">
        <v>2019</v>
      </c>
      <c r="BF5286">
        <v>9</v>
      </c>
      <c r="BG5286">
        <v>3</v>
      </c>
      <c r="BH5286">
        <v>400</v>
      </c>
      <c r="BI5286">
        <v>5</v>
      </c>
      <c r="BJ5286">
        <v>7</v>
      </c>
      <c r="BK5286">
        <v>4</v>
      </c>
      <c r="BP5286" s="184"/>
    </row>
    <row r="5287" spans="1:68">
      <c r="A5287">
        <v>98960891</v>
      </c>
      <c r="B5287">
        <v>98960891</v>
      </c>
      <c r="C5287" t="s">
        <v>7018</v>
      </c>
      <c r="D5287" t="s">
        <v>595</v>
      </c>
      <c r="E5287" s="184">
        <v>45124</v>
      </c>
      <c r="G5287" s="184"/>
      <c r="I5287" s="184"/>
      <c r="K5287" s="184"/>
      <c r="O5287" s="184"/>
      <c r="P5287" t="s">
        <v>7045</v>
      </c>
      <c r="Q5287" t="s">
        <v>7262</v>
      </c>
      <c r="R5287" s="184">
        <v>13028</v>
      </c>
      <c r="S5287">
        <v>88</v>
      </c>
      <c r="U5287" t="s">
        <v>7031</v>
      </c>
      <c r="V5287" t="s">
        <v>2316</v>
      </c>
      <c r="W5287" t="s">
        <v>2058</v>
      </c>
      <c r="X5287" t="s">
        <v>2883</v>
      </c>
      <c r="AF5287" t="s">
        <v>37587</v>
      </c>
      <c r="AG5287" t="s">
        <v>37588</v>
      </c>
      <c r="AI5287" t="s">
        <v>37589</v>
      </c>
      <c r="AM5287" t="s">
        <v>35883</v>
      </c>
      <c r="AN5287" t="s">
        <v>2069</v>
      </c>
      <c r="AO5287" t="s">
        <v>37590</v>
      </c>
      <c r="AP5287" t="s">
        <v>7024</v>
      </c>
      <c r="AT5287" s="184">
        <v>43335</v>
      </c>
      <c r="AU5287" t="s">
        <v>37591</v>
      </c>
      <c r="AV5287">
        <v>35</v>
      </c>
      <c r="AW5287" s="184">
        <v>45001</v>
      </c>
      <c r="AX5287" t="s">
        <v>37592</v>
      </c>
      <c r="AY5287">
        <v>50</v>
      </c>
      <c r="AZ5287" s="184">
        <v>45001</v>
      </c>
      <c r="BA5287" t="s">
        <v>37592</v>
      </c>
      <c r="BB5287">
        <v>50</v>
      </c>
      <c r="BC5287">
        <v>86</v>
      </c>
      <c r="BD5287">
        <v>245</v>
      </c>
      <c r="BE5287">
        <v>2019</v>
      </c>
      <c r="BF5287">
        <v>6</v>
      </c>
      <c r="BG5287">
        <v>2</v>
      </c>
      <c r="BH5287">
        <v>100</v>
      </c>
      <c r="BI5287">
        <v>6</v>
      </c>
      <c r="BJ5287">
        <v>7</v>
      </c>
      <c r="BK5287">
        <v>6</v>
      </c>
      <c r="BP5287" s="184"/>
    </row>
    <row r="5288" spans="1:68">
      <c r="A5288">
        <v>98961089</v>
      </c>
      <c r="B5288">
        <v>98961089</v>
      </c>
      <c r="C5288" t="s">
        <v>7018</v>
      </c>
      <c r="E5288" s="184"/>
      <c r="G5288" s="184"/>
      <c r="H5288" t="s">
        <v>595</v>
      </c>
      <c r="I5288" s="184">
        <v>44109</v>
      </c>
      <c r="K5288" s="184"/>
      <c r="O5288" s="184"/>
      <c r="P5288" t="s">
        <v>7045</v>
      </c>
      <c r="Q5288" t="s">
        <v>7262</v>
      </c>
      <c r="R5288" s="184">
        <v>19694</v>
      </c>
      <c r="S5288">
        <v>70</v>
      </c>
      <c r="V5288" t="s">
        <v>4131</v>
      </c>
      <c r="X5288" t="s">
        <v>4971</v>
      </c>
      <c r="AF5288" t="s">
        <v>37593</v>
      </c>
      <c r="AG5288" t="s">
        <v>4131</v>
      </c>
      <c r="AI5288" t="s">
        <v>37594</v>
      </c>
      <c r="AM5288" t="s">
        <v>37595</v>
      </c>
      <c r="AN5288" t="s">
        <v>2069</v>
      </c>
      <c r="AO5288" t="s">
        <v>37596</v>
      </c>
      <c r="AP5288" t="s">
        <v>7024</v>
      </c>
      <c r="AQ5288" t="s">
        <v>37597</v>
      </c>
      <c r="AR5288" t="s">
        <v>37598</v>
      </c>
      <c r="AT5288" s="184">
        <v>43335</v>
      </c>
      <c r="AU5288" t="s">
        <v>37599</v>
      </c>
      <c r="AV5288">
        <v>25</v>
      </c>
      <c r="AW5288" s="184">
        <v>45072</v>
      </c>
      <c r="AX5288" t="s">
        <v>37600</v>
      </c>
      <c r="AY5288">
        <v>100</v>
      </c>
      <c r="AZ5288" s="184">
        <v>45054</v>
      </c>
      <c r="BA5288" t="s">
        <v>37601</v>
      </c>
      <c r="BB5288">
        <v>200</v>
      </c>
      <c r="BC5288">
        <v>72</v>
      </c>
      <c r="BD5288">
        <v>675</v>
      </c>
      <c r="BE5288">
        <v>2019</v>
      </c>
      <c r="BF5288">
        <v>10</v>
      </c>
      <c r="BG5288">
        <v>2</v>
      </c>
      <c r="BH5288">
        <v>300</v>
      </c>
      <c r="BI5288">
        <v>5</v>
      </c>
      <c r="BJ5288">
        <v>7</v>
      </c>
      <c r="BK5288">
        <v>4</v>
      </c>
      <c r="BP5288" s="184"/>
    </row>
    <row r="5289" spans="1:68">
      <c r="A5289">
        <v>98965627</v>
      </c>
      <c r="B5289">
        <v>98965627</v>
      </c>
      <c r="C5289" t="s">
        <v>7018</v>
      </c>
      <c r="D5289" t="s">
        <v>595</v>
      </c>
      <c r="E5289" s="184">
        <v>45195</v>
      </c>
      <c r="G5289" s="184"/>
      <c r="I5289" s="184"/>
      <c r="K5289" s="184"/>
      <c r="M5289" s="184"/>
      <c r="O5289" s="184"/>
      <c r="P5289" t="s">
        <v>7045</v>
      </c>
      <c r="Q5289" t="s">
        <v>7374</v>
      </c>
      <c r="R5289" s="184">
        <v>13394</v>
      </c>
      <c r="S5289">
        <v>87</v>
      </c>
      <c r="V5289" t="s">
        <v>3134</v>
      </c>
      <c r="X5289" t="s">
        <v>37602</v>
      </c>
      <c r="AF5289" t="s">
        <v>37603</v>
      </c>
      <c r="AG5289" t="s">
        <v>3134</v>
      </c>
      <c r="AI5289" t="s">
        <v>37604</v>
      </c>
      <c r="AM5289" t="s">
        <v>8234</v>
      </c>
      <c r="AN5289" t="s">
        <v>2081</v>
      </c>
      <c r="AO5289" t="s">
        <v>37605</v>
      </c>
      <c r="AP5289" t="s">
        <v>7024</v>
      </c>
      <c r="AQ5289" t="s">
        <v>37606</v>
      </c>
      <c r="AT5289" s="184">
        <v>43336</v>
      </c>
      <c r="AU5289" t="s">
        <v>37607</v>
      </c>
      <c r="AV5289">
        <v>25</v>
      </c>
      <c r="AW5289" s="184">
        <v>45337</v>
      </c>
      <c r="AX5289" t="s">
        <v>9213</v>
      </c>
      <c r="AY5289">
        <v>50</v>
      </c>
      <c r="AZ5289" s="184">
        <v>45337</v>
      </c>
      <c r="BA5289" t="s">
        <v>9213</v>
      </c>
      <c r="BB5289">
        <v>50</v>
      </c>
      <c r="BC5289">
        <v>100</v>
      </c>
      <c r="BD5289">
        <v>325</v>
      </c>
      <c r="BE5289">
        <v>2019</v>
      </c>
      <c r="BF5289">
        <v>10</v>
      </c>
      <c r="BG5289">
        <v>5</v>
      </c>
      <c r="BH5289">
        <v>200</v>
      </c>
      <c r="BI5289">
        <v>7</v>
      </c>
      <c r="BJ5289">
        <v>7</v>
      </c>
      <c r="BK5289">
        <v>7</v>
      </c>
      <c r="BP5289" s="184"/>
    </row>
    <row r="5290" spans="1:68">
      <c r="A5290">
        <v>99076416</v>
      </c>
      <c r="B5290">
        <v>99076416</v>
      </c>
      <c r="C5290" t="s">
        <v>7018</v>
      </c>
      <c r="E5290" s="184"/>
      <c r="G5290" s="184"/>
      <c r="I5290" s="184"/>
      <c r="J5290" t="s">
        <v>595</v>
      </c>
      <c r="K5290" s="184">
        <v>45321</v>
      </c>
      <c r="M5290" s="184"/>
      <c r="O5290" s="184"/>
      <c r="P5290" t="s">
        <v>7084</v>
      </c>
      <c r="Q5290" t="s">
        <v>7374</v>
      </c>
      <c r="R5290" s="184"/>
      <c r="U5290" t="s">
        <v>7076</v>
      </c>
      <c r="V5290" t="s">
        <v>20836</v>
      </c>
      <c r="X5290" t="s">
        <v>2706</v>
      </c>
      <c r="AF5290" t="s">
        <v>37608</v>
      </c>
      <c r="AG5290" t="s">
        <v>20836</v>
      </c>
      <c r="AI5290" t="s">
        <v>37609</v>
      </c>
      <c r="AM5290" t="s">
        <v>4312</v>
      </c>
      <c r="AN5290" t="s">
        <v>2081</v>
      </c>
      <c r="AO5290" t="s">
        <v>37610</v>
      </c>
      <c r="AP5290" t="s">
        <v>7024</v>
      </c>
      <c r="AQ5290" t="s">
        <v>37611</v>
      </c>
      <c r="AT5290" s="184">
        <v>45289</v>
      </c>
      <c r="AU5290" t="s">
        <v>7296</v>
      </c>
      <c r="AV5290">
        <v>67510</v>
      </c>
      <c r="AW5290" s="184">
        <v>45289</v>
      </c>
      <c r="AX5290" t="s">
        <v>7296</v>
      </c>
      <c r="AY5290">
        <v>67510</v>
      </c>
      <c r="AZ5290" s="184">
        <v>45289</v>
      </c>
      <c r="BA5290" t="s">
        <v>7296</v>
      </c>
      <c r="BB5290">
        <v>67510</v>
      </c>
      <c r="BC5290">
        <v>50</v>
      </c>
      <c r="BD5290">
        <v>67510</v>
      </c>
      <c r="BE5290">
        <v>2024</v>
      </c>
      <c r="BF5290">
        <v>1</v>
      </c>
      <c r="BG5290">
        <v>1</v>
      </c>
      <c r="BH5290">
        <v>67510</v>
      </c>
      <c r="BI5290">
        <v>1</v>
      </c>
      <c r="BJ5290">
        <v>2</v>
      </c>
      <c r="BK5290">
        <v>1</v>
      </c>
      <c r="BO5290" t="s">
        <v>595</v>
      </c>
      <c r="BP5290" s="184">
        <v>44985</v>
      </c>
    </row>
    <row r="5291" spans="1:68">
      <c r="A5291">
        <v>99458549</v>
      </c>
      <c r="B5291">
        <v>99458549</v>
      </c>
      <c r="C5291" t="s">
        <v>7018</v>
      </c>
      <c r="D5291" t="s">
        <v>595</v>
      </c>
      <c r="E5291" s="184">
        <v>45147</v>
      </c>
      <c r="I5291" s="184"/>
      <c r="K5291" s="184"/>
      <c r="O5291" s="184"/>
      <c r="P5291" t="s">
        <v>7045</v>
      </c>
      <c r="Q5291" t="s">
        <v>7383</v>
      </c>
      <c r="R5291" s="184">
        <v>19391</v>
      </c>
      <c r="S5291">
        <v>71</v>
      </c>
      <c r="V5291" t="s">
        <v>2903</v>
      </c>
      <c r="X5291" t="s">
        <v>37612</v>
      </c>
      <c r="AF5291" t="s">
        <v>37613</v>
      </c>
      <c r="AG5291" t="s">
        <v>2903</v>
      </c>
      <c r="AI5291" t="s">
        <v>37614</v>
      </c>
      <c r="AM5291" t="s">
        <v>37615</v>
      </c>
      <c r="AN5291" t="s">
        <v>2274</v>
      </c>
      <c r="AO5291" t="s">
        <v>37616</v>
      </c>
      <c r="AP5291" t="s">
        <v>7024</v>
      </c>
      <c r="AQ5291" t="s">
        <v>37617</v>
      </c>
      <c r="AT5291" s="184">
        <v>43347</v>
      </c>
      <c r="AU5291" t="s">
        <v>37618</v>
      </c>
      <c r="AV5291">
        <v>25</v>
      </c>
      <c r="AW5291" s="184">
        <v>45190</v>
      </c>
      <c r="AX5291" t="s">
        <v>29036</v>
      </c>
      <c r="AY5291">
        <v>25</v>
      </c>
      <c r="AZ5291" s="184">
        <v>45190</v>
      </c>
      <c r="BA5291" t="s">
        <v>29036</v>
      </c>
      <c r="BB5291">
        <v>25</v>
      </c>
      <c r="BC5291">
        <v>86</v>
      </c>
      <c r="BD5291">
        <v>175</v>
      </c>
      <c r="BE5291">
        <v>2019</v>
      </c>
      <c r="BF5291">
        <v>7</v>
      </c>
      <c r="BG5291">
        <v>2</v>
      </c>
      <c r="BH5291">
        <v>50</v>
      </c>
      <c r="BI5291">
        <v>6</v>
      </c>
      <c r="BJ5291">
        <v>7</v>
      </c>
      <c r="BK5291">
        <v>6</v>
      </c>
      <c r="BP5291" s="184"/>
    </row>
    <row r="5292" spans="1:68">
      <c r="A5292">
        <v>100340182</v>
      </c>
      <c r="B5292">
        <v>99533325</v>
      </c>
      <c r="C5292" t="s">
        <v>7018</v>
      </c>
      <c r="E5292" s="184"/>
      <c r="F5292" t="s">
        <v>595</v>
      </c>
      <c r="G5292" s="184">
        <v>44073</v>
      </c>
      <c r="I5292" s="184"/>
      <c r="K5292" s="184"/>
      <c r="O5292" s="184"/>
      <c r="P5292" t="s">
        <v>7045</v>
      </c>
      <c r="Q5292" t="s">
        <v>7020</v>
      </c>
      <c r="R5292" s="184">
        <v>10756</v>
      </c>
      <c r="S5292">
        <v>94</v>
      </c>
      <c r="U5292" t="s">
        <v>7076</v>
      </c>
      <c r="V5292" t="s">
        <v>2958</v>
      </c>
      <c r="X5292" t="s">
        <v>37619</v>
      </c>
      <c r="Z5292">
        <v>99533325</v>
      </c>
      <c r="AB5292" t="s">
        <v>3411</v>
      </c>
      <c r="AC5292" t="s">
        <v>2058</v>
      </c>
      <c r="AD5292" t="s">
        <v>4442</v>
      </c>
      <c r="AF5292" t="s">
        <v>37620</v>
      </c>
      <c r="AG5292" t="s">
        <v>37621</v>
      </c>
      <c r="AI5292" t="s">
        <v>37622</v>
      </c>
      <c r="AM5292" t="s">
        <v>26925</v>
      </c>
      <c r="AN5292" t="s">
        <v>2129</v>
      </c>
      <c r="AO5292" t="s">
        <v>37623</v>
      </c>
      <c r="AP5292" t="s">
        <v>7024</v>
      </c>
      <c r="AT5292" s="184">
        <v>35171</v>
      </c>
      <c r="AU5292" t="s">
        <v>37624</v>
      </c>
      <c r="AV5292">
        <v>25</v>
      </c>
      <c r="AW5292" s="184">
        <v>44251</v>
      </c>
      <c r="AX5292" t="s">
        <v>37625</v>
      </c>
      <c r="AY5292">
        <v>35</v>
      </c>
      <c r="AZ5292" s="184">
        <v>44251</v>
      </c>
      <c r="BA5292" t="s">
        <v>37625</v>
      </c>
      <c r="BB5292">
        <v>35</v>
      </c>
      <c r="BC5292">
        <v>80</v>
      </c>
      <c r="BD5292">
        <v>661</v>
      </c>
      <c r="BE5292">
        <v>1996</v>
      </c>
      <c r="BF5292">
        <v>23</v>
      </c>
      <c r="BI5292">
        <v>23</v>
      </c>
      <c r="BJ5292">
        <v>29</v>
      </c>
      <c r="BK5292">
        <v>21</v>
      </c>
      <c r="BP5292" s="184"/>
    </row>
    <row r="5293" spans="1:68">
      <c r="A5293">
        <v>99538142</v>
      </c>
      <c r="B5293">
        <v>99538142</v>
      </c>
      <c r="C5293" t="s">
        <v>7018</v>
      </c>
      <c r="D5293" t="s">
        <v>595</v>
      </c>
      <c r="E5293" s="184">
        <v>45148</v>
      </c>
      <c r="G5293" s="184"/>
      <c r="I5293" s="184"/>
      <c r="K5293" s="184"/>
      <c r="M5293" s="184"/>
      <c r="O5293" s="184"/>
      <c r="P5293" t="s">
        <v>7045</v>
      </c>
      <c r="Q5293" t="s">
        <v>7020</v>
      </c>
      <c r="R5293" s="184">
        <v>17319</v>
      </c>
      <c r="S5293">
        <v>76</v>
      </c>
      <c r="V5293" t="s">
        <v>3377</v>
      </c>
      <c r="X5293" t="s">
        <v>37626</v>
      </c>
      <c r="Z5293">
        <v>100173410</v>
      </c>
      <c r="AB5293" t="s">
        <v>14326</v>
      </c>
      <c r="AD5293" t="s">
        <v>37626</v>
      </c>
      <c r="AF5293" t="s">
        <v>37627</v>
      </c>
      <c r="AG5293" t="s">
        <v>37628</v>
      </c>
      <c r="AI5293" t="s">
        <v>37629</v>
      </c>
      <c r="AM5293" t="s">
        <v>37630</v>
      </c>
      <c r="AN5293" t="s">
        <v>2255</v>
      </c>
      <c r="AO5293" t="s">
        <v>37631</v>
      </c>
      <c r="AP5293" t="s">
        <v>7024</v>
      </c>
      <c r="AQ5293" t="s">
        <v>37632</v>
      </c>
      <c r="AT5293" s="184">
        <v>40707</v>
      </c>
      <c r="AU5293" t="s">
        <v>37633</v>
      </c>
      <c r="AV5293">
        <v>25</v>
      </c>
      <c r="AW5293" s="184">
        <v>45404</v>
      </c>
      <c r="AX5293" t="s">
        <v>23454</v>
      </c>
      <c r="AY5293">
        <v>35</v>
      </c>
      <c r="AZ5293" s="184">
        <v>44180</v>
      </c>
      <c r="BA5293" t="s">
        <v>37634</v>
      </c>
      <c r="BB5293">
        <v>50</v>
      </c>
      <c r="BC5293">
        <v>50</v>
      </c>
      <c r="BD5293">
        <v>362</v>
      </c>
      <c r="BE5293">
        <v>2011</v>
      </c>
      <c r="BF5293">
        <v>11</v>
      </c>
      <c r="BG5293">
        <v>3</v>
      </c>
      <c r="BH5293">
        <v>105</v>
      </c>
      <c r="BI5293">
        <v>7</v>
      </c>
      <c r="BJ5293">
        <v>14</v>
      </c>
      <c r="BK5293">
        <v>3</v>
      </c>
      <c r="BP5293" s="184"/>
    </row>
    <row r="5294" spans="1:68">
      <c r="A5294">
        <v>100173410</v>
      </c>
      <c r="B5294">
        <v>99538142</v>
      </c>
      <c r="C5294" t="s">
        <v>7018</v>
      </c>
      <c r="D5294" t="s">
        <v>595</v>
      </c>
      <c r="E5294" s="184">
        <v>45148</v>
      </c>
      <c r="G5294" s="184"/>
      <c r="I5294" s="184"/>
      <c r="K5294" s="184"/>
      <c r="M5294" s="184"/>
      <c r="O5294" s="184"/>
      <c r="P5294" t="s">
        <v>7045</v>
      </c>
      <c r="Q5294" t="s">
        <v>7020</v>
      </c>
      <c r="R5294" s="184">
        <v>17319</v>
      </c>
      <c r="S5294">
        <v>76</v>
      </c>
      <c r="V5294" t="s">
        <v>14326</v>
      </c>
      <c r="X5294" t="s">
        <v>37626</v>
      </c>
      <c r="Z5294">
        <v>99538142</v>
      </c>
      <c r="AB5294" t="s">
        <v>3377</v>
      </c>
      <c r="AD5294" t="s">
        <v>37626</v>
      </c>
      <c r="AF5294" t="s">
        <v>37627</v>
      </c>
      <c r="AG5294" t="s">
        <v>37628</v>
      </c>
      <c r="AI5294" t="s">
        <v>37629</v>
      </c>
      <c r="AM5294" t="s">
        <v>37630</v>
      </c>
      <c r="AN5294" t="s">
        <v>2255</v>
      </c>
      <c r="AO5294" t="s">
        <v>37631</v>
      </c>
      <c r="AP5294" t="s">
        <v>7024</v>
      </c>
      <c r="AT5294" s="184"/>
      <c r="AW5294" s="184"/>
      <c r="AZ5294" s="184"/>
      <c r="BP5294" s="184"/>
    </row>
    <row r="5295" spans="1:68">
      <c r="A5295">
        <v>99559221</v>
      </c>
      <c r="B5295">
        <v>99559221</v>
      </c>
      <c r="C5295" t="s">
        <v>7018</v>
      </c>
      <c r="D5295" t="s">
        <v>595</v>
      </c>
      <c r="E5295" s="184">
        <v>43782</v>
      </c>
      <c r="G5295" s="184"/>
      <c r="I5295" s="184"/>
      <c r="K5295" s="184"/>
      <c r="M5295" s="184"/>
      <c r="O5295" s="184"/>
      <c r="P5295" t="s">
        <v>7045</v>
      </c>
      <c r="Q5295" t="s">
        <v>7494</v>
      </c>
      <c r="R5295" s="184">
        <v>20941</v>
      </c>
      <c r="S5295">
        <v>67</v>
      </c>
      <c r="U5295" t="s">
        <v>7031</v>
      </c>
      <c r="V5295" t="s">
        <v>3411</v>
      </c>
      <c r="X5295" t="s">
        <v>3932</v>
      </c>
      <c r="AF5295" t="s">
        <v>37635</v>
      </c>
      <c r="AG5295" t="s">
        <v>3411</v>
      </c>
      <c r="AI5295" t="s">
        <v>37636</v>
      </c>
      <c r="AM5295" t="s">
        <v>2730</v>
      </c>
      <c r="AN5295" t="s">
        <v>2174</v>
      </c>
      <c r="AO5295" t="s">
        <v>37637</v>
      </c>
      <c r="AP5295" t="s">
        <v>7024</v>
      </c>
      <c r="AQ5295" t="s">
        <v>37638</v>
      </c>
      <c r="AR5295" t="s">
        <v>37639</v>
      </c>
      <c r="AT5295" s="184">
        <v>43382</v>
      </c>
      <c r="AU5295" t="s">
        <v>37640</v>
      </c>
      <c r="AV5295">
        <v>25</v>
      </c>
      <c r="AW5295" s="184">
        <v>44474</v>
      </c>
      <c r="AX5295" t="s">
        <v>37641</v>
      </c>
      <c r="AY5295">
        <v>40</v>
      </c>
      <c r="AZ5295" s="184">
        <v>44474</v>
      </c>
      <c r="BA5295" t="s">
        <v>37641</v>
      </c>
      <c r="BB5295">
        <v>40</v>
      </c>
      <c r="BC5295">
        <v>43</v>
      </c>
      <c r="BD5295">
        <v>165</v>
      </c>
      <c r="BE5295">
        <v>2019</v>
      </c>
      <c r="BF5295">
        <v>6</v>
      </c>
      <c r="BI5295">
        <v>3</v>
      </c>
      <c r="BJ5295">
        <v>7</v>
      </c>
      <c r="BK5295">
        <v>2</v>
      </c>
      <c r="BP5295" s="184"/>
    </row>
    <row r="5296" spans="1:68">
      <c r="A5296">
        <v>99591638</v>
      </c>
      <c r="B5296">
        <v>99591638</v>
      </c>
      <c r="C5296" t="s">
        <v>7018</v>
      </c>
      <c r="D5296" t="s">
        <v>595</v>
      </c>
      <c r="E5296" s="184">
        <v>45112</v>
      </c>
      <c r="G5296" s="184"/>
      <c r="I5296" s="184"/>
      <c r="K5296" s="184"/>
      <c r="O5296" s="184"/>
      <c r="P5296" t="s">
        <v>7045</v>
      </c>
      <c r="Q5296" t="s">
        <v>7383</v>
      </c>
      <c r="R5296" s="184">
        <v>20972</v>
      </c>
      <c r="S5296">
        <v>66</v>
      </c>
      <c r="V5296" t="s">
        <v>4587</v>
      </c>
      <c r="X5296" t="s">
        <v>37642</v>
      </c>
      <c r="AF5296" t="s">
        <v>37643</v>
      </c>
      <c r="AG5296" t="s">
        <v>4587</v>
      </c>
      <c r="AI5296" t="s">
        <v>37644</v>
      </c>
      <c r="AM5296" t="s">
        <v>23097</v>
      </c>
      <c r="AN5296" t="s">
        <v>2144</v>
      </c>
      <c r="AO5296" t="s">
        <v>37645</v>
      </c>
      <c r="AP5296" t="s">
        <v>7024</v>
      </c>
      <c r="AQ5296" t="s">
        <v>37646</v>
      </c>
      <c r="AT5296" s="184">
        <v>43391</v>
      </c>
      <c r="AU5296" t="s">
        <v>37647</v>
      </c>
      <c r="AV5296">
        <v>25</v>
      </c>
      <c r="AW5296" s="184">
        <v>45245</v>
      </c>
      <c r="AX5296" t="s">
        <v>37648</v>
      </c>
      <c r="AY5296">
        <v>100</v>
      </c>
      <c r="AZ5296" s="184">
        <v>45245</v>
      </c>
      <c r="BA5296" t="s">
        <v>37648</v>
      </c>
      <c r="BB5296">
        <v>100</v>
      </c>
      <c r="BC5296">
        <v>86</v>
      </c>
      <c r="BD5296">
        <v>675</v>
      </c>
      <c r="BE5296">
        <v>2019</v>
      </c>
      <c r="BF5296">
        <v>11</v>
      </c>
      <c r="BG5296">
        <v>4</v>
      </c>
      <c r="BH5296">
        <v>350</v>
      </c>
      <c r="BI5296">
        <v>6</v>
      </c>
      <c r="BJ5296">
        <v>7</v>
      </c>
      <c r="BK5296">
        <v>6</v>
      </c>
      <c r="BP5296" s="184"/>
    </row>
    <row r="5297" spans="1:68">
      <c r="A5297">
        <v>99592834</v>
      </c>
      <c r="B5297">
        <v>99592834</v>
      </c>
      <c r="C5297" t="s">
        <v>7018</v>
      </c>
      <c r="E5297" s="184"/>
      <c r="G5297" s="184"/>
      <c r="I5297" s="184"/>
      <c r="K5297" s="184"/>
      <c r="N5297" t="s">
        <v>595</v>
      </c>
      <c r="O5297" s="184">
        <v>43382</v>
      </c>
      <c r="P5297" t="s">
        <v>7045</v>
      </c>
      <c r="Q5297" t="s">
        <v>7383</v>
      </c>
      <c r="R5297" s="184">
        <v>17253</v>
      </c>
      <c r="S5297">
        <v>77</v>
      </c>
      <c r="V5297" t="s">
        <v>2536</v>
      </c>
      <c r="W5297" t="s">
        <v>7107</v>
      </c>
      <c r="X5297" t="s">
        <v>2537</v>
      </c>
      <c r="Z5297">
        <v>100173496</v>
      </c>
      <c r="AB5297" t="s">
        <v>3652</v>
      </c>
      <c r="AC5297" t="s">
        <v>3332</v>
      </c>
      <c r="AD5297" t="s">
        <v>2537</v>
      </c>
      <c r="AF5297" t="s">
        <v>37649</v>
      </c>
      <c r="AG5297" t="s">
        <v>37650</v>
      </c>
      <c r="AI5297" t="s">
        <v>37651</v>
      </c>
      <c r="AM5297" t="s">
        <v>2974</v>
      </c>
      <c r="AN5297" t="s">
        <v>2072</v>
      </c>
      <c r="AO5297" t="s">
        <v>37652</v>
      </c>
      <c r="AP5297" t="s">
        <v>7024</v>
      </c>
      <c r="AQ5297" t="s">
        <v>37653</v>
      </c>
      <c r="AT5297" s="184">
        <v>37613</v>
      </c>
      <c r="AU5297" t="s">
        <v>37654</v>
      </c>
      <c r="AV5297">
        <v>15</v>
      </c>
      <c r="AW5297" s="184">
        <v>44602</v>
      </c>
      <c r="AX5297" t="s">
        <v>37655</v>
      </c>
      <c r="AY5297">
        <v>50</v>
      </c>
      <c r="AZ5297" s="184">
        <v>43382</v>
      </c>
      <c r="BA5297" t="s">
        <v>9427</v>
      </c>
      <c r="BB5297">
        <v>15000</v>
      </c>
      <c r="BC5297">
        <v>92</v>
      </c>
      <c r="BD5297">
        <v>15880</v>
      </c>
      <c r="BE5297">
        <v>2003</v>
      </c>
      <c r="BF5297">
        <v>31</v>
      </c>
      <c r="BI5297">
        <v>21</v>
      </c>
      <c r="BJ5297">
        <v>23</v>
      </c>
      <c r="BK5297">
        <v>21</v>
      </c>
      <c r="BP5297" s="184"/>
    </row>
    <row r="5298" spans="1:68">
      <c r="A5298">
        <v>100173496</v>
      </c>
      <c r="B5298">
        <v>99592834</v>
      </c>
      <c r="C5298" t="s">
        <v>7018</v>
      </c>
      <c r="E5298" s="184"/>
      <c r="I5298" s="184"/>
      <c r="K5298" s="184"/>
      <c r="N5298" t="s">
        <v>595</v>
      </c>
      <c r="O5298" s="184">
        <v>43382</v>
      </c>
      <c r="P5298" t="s">
        <v>7045</v>
      </c>
      <c r="Q5298" t="s">
        <v>7383</v>
      </c>
      <c r="R5298" s="184">
        <v>17889</v>
      </c>
      <c r="S5298">
        <v>75</v>
      </c>
      <c r="V5298" t="s">
        <v>3652</v>
      </c>
      <c r="W5298" t="s">
        <v>3332</v>
      </c>
      <c r="X5298" t="s">
        <v>2537</v>
      </c>
      <c r="Z5298">
        <v>99592834</v>
      </c>
      <c r="AB5298" t="s">
        <v>2536</v>
      </c>
      <c r="AC5298" t="s">
        <v>7107</v>
      </c>
      <c r="AD5298" t="s">
        <v>2537</v>
      </c>
      <c r="AF5298" t="s">
        <v>37649</v>
      </c>
      <c r="AG5298" t="s">
        <v>37650</v>
      </c>
      <c r="AI5298" t="s">
        <v>37651</v>
      </c>
      <c r="AM5298" t="s">
        <v>2974</v>
      </c>
      <c r="AN5298" t="s">
        <v>2072</v>
      </c>
      <c r="AO5298" t="s">
        <v>37652</v>
      </c>
      <c r="AP5298" t="s">
        <v>7024</v>
      </c>
      <c r="AT5298" s="184"/>
      <c r="AW5298" s="184"/>
      <c r="AZ5298" s="184"/>
      <c r="BP5298" s="184"/>
    </row>
    <row r="5299" spans="1:68">
      <c r="A5299">
        <v>99613192</v>
      </c>
      <c r="B5299">
        <v>99613192</v>
      </c>
      <c r="C5299" t="s">
        <v>7018</v>
      </c>
      <c r="D5299" t="s">
        <v>595</v>
      </c>
      <c r="E5299" s="184">
        <v>45146</v>
      </c>
      <c r="I5299" s="184"/>
      <c r="K5299" s="184"/>
      <c r="M5299" s="184"/>
      <c r="O5299" s="184"/>
      <c r="P5299" t="s">
        <v>7045</v>
      </c>
      <c r="Q5299" t="s">
        <v>7383</v>
      </c>
      <c r="R5299" s="184">
        <v>17288</v>
      </c>
      <c r="S5299">
        <v>77</v>
      </c>
      <c r="U5299" t="s">
        <v>7076</v>
      </c>
      <c r="V5299" t="s">
        <v>21509</v>
      </c>
      <c r="X5299" t="s">
        <v>27092</v>
      </c>
      <c r="AF5299" t="s">
        <v>37656</v>
      </c>
      <c r="AG5299" t="s">
        <v>21509</v>
      </c>
      <c r="AI5299" t="s">
        <v>37657</v>
      </c>
      <c r="AM5299" t="s">
        <v>4528</v>
      </c>
      <c r="AN5299" t="s">
        <v>2139</v>
      </c>
      <c r="AO5299" t="s">
        <v>37658</v>
      </c>
      <c r="AP5299" t="s">
        <v>7024</v>
      </c>
      <c r="AQ5299" t="s">
        <v>37659</v>
      </c>
      <c r="AT5299" s="184">
        <v>43397</v>
      </c>
      <c r="AU5299" t="s">
        <v>37640</v>
      </c>
      <c r="AV5299">
        <v>50</v>
      </c>
      <c r="AW5299" s="184">
        <v>45411</v>
      </c>
      <c r="AX5299" t="s">
        <v>23349</v>
      </c>
      <c r="AY5299">
        <v>100</v>
      </c>
      <c r="AZ5299" s="184">
        <v>45411</v>
      </c>
      <c r="BA5299" t="s">
        <v>23349</v>
      </c>
      <c r="BB5299">
        <v>100</v>
      </c>
      <c r="BC5299">
        <v>100</v>
      </c>
      <c r="BD5299">
        <v>850</v>
      </c>
      <c r="BE5299">
        <v>2019</v>
      </c>
      <c r="BF5299">
        <v>12</v>
      </c>
      <c r="BG5299">
        <v>3</v>
      </c>
      <c r="BH5299">
        <v>300</v>
      </c>
      <c r="BI5299">
        <v>7</v>
      </c>
      <c r="BJ5299">
        <v>7</v>
      </c>
      <c r="BK5299">
        <v>7</v>
      </c>
      <c r="BP5299" s="184"/>
    </row>
    <row r="5300" spans="1:68">
      <c r="A5300">
        <v>99616435</v>
      </c>
      <c r="B5300">
        <v>99616435</v>
      </c>
      <c r="C5300" t="s">
        <v>7018</v>
      </c>
      <c r="D5300" t="s">
        <v>595</v>
      </c>
      <c r="E5300" s="184">
        <v>45195</v>
      </c>
      <c r="I5300" s="184"/>
      <c r="K5300" s="184"/>
      <c r="O5300" s="184"/>
      <c r="P5300" t="s">
        <v>7045</v>
      </c>
      <c r="Q5300" t="s">
        <v>7494</v>
      </c>
      <c r="R5300" s="184">
        <v>19603</v>
      </c>
      <c r="S5300">
        <v>70</v>
      </c>
      <c r="V5300" t="s">
        <v>7952</v>
      </c>
      <c r="X5300" t="s">
        <v>11040</v>
      </c>
      <c r="AF5300" t="s">
        <v>37660</v>
      </c>
      <c r="AG5300" t="s">
        <v>7952</v>
      </c>
      <c r="AI5300" t="s">
        <v>37661</v>
      </c>
      <c r="AM5300" t="s">
        <v>37662</v>
      </c>
      <c r="AN5300" t="s">
        <v>2174</v>
      </c>
      <c r="AO5300" t="s">
        <v>37663</v>
      </c>
      <c r="AP5300" t="s">
        <v>7024</v>
      </c>
      <c r="AQ5300" t="s">
        <v>37664</v>
      </c>
      <c r="AT5300" s="184">
        <v>43398</v>
      </c>
      <c r="AU5300" t="s">
        <v>37665</v>
      </c>
      <c r="AV5300">
        <v>25</v>
      </c>
      <c r="AW5300" s="184">
        <v>45317</v>
      </c>
      <c r="AX5300" t="s">
        <v>33002</v>
      </c>
      <c r="AY5300">
        <v>25</v>
      </c>
      <c r="AZ5300" s="184">
        <v>45317</v>
      </c>
      <c r="BA5300" t="s">
        <v>33002</v>
      </c>
      <c r="BB5300">
        <v>25</v>
      </c>
      <c r="BC5300">
        <v>72</v>
      </c>
      <c r="BD5300">
        <v>125</v>
      </c>
      <c r="BE5300">
        <v>2019</v>
      </c>
      <c r="BF5300">
        <v>5</v>
      </c>
      <c r="BG5300">
        <v>2</v>
      </c>
      <c r="BH5300">
        <v>50</v>
      </c>
      <c r="BI5300">
        <v>5</v>
      </c>
      <c r="BJ5300">
        <v>7</v>
      </c>
      <c r="BK5300">
        <v>2</v>
      </c>
      <c r="BP5300" s="184"/>
    </row>
    <row r="5301" spans="1:68">
      <c r="A5301">
        <v>99627986</v>
      </c>
      <c r="B5301">
        <v>99627986</v>
      </c>
      <c r="C5301" t="s">
        <v>7018</v>
      </c>
      <c r="D5301" t="s">
        <v>595</v>
      </c>
      <c r="E5301" s="184">
        <v>45120</v>
      </c>
      <c r="G5301" s="184"/>
      <c r="I5301" s="184"/>
      <c r="K5301" s="184"/>
      <c r="O5301" s="184"/>
      <c r="P5301" t="s">
        <v>7029</v>
      </c>
      <c r="Q5301" t="s">
        <v>7383</v>
      </c>
      <c r="R5301" s="184">
        <v>25324</v>
      </c>
      <c r="S5301">
        <v>55</v>
      </c>
      <c r="V5301" t="s">
        <v>29774</v>
      </c>
      <c r="X5301" t="s">
        <v>3277</v>
      </c>
      <c r="Z5301">
        <v>100723888</v>
      </c>
      <c r="AB5301" t="s">
        <v>2697</v>
      </c>
      <c r="AD5301" t="s">
        <v>3277</v>
      </c>
      <c r="AF5301" t="s">
        <v>37666</v>
      </c>
      <c r="AG5301" t="s">
        <v>37667</v>
      </c>
      <c r="AI5301" t="s">
        <v>37668</v>
      </c>
      <c r="AM5301" t="s">
        <v>3415</v>
      </c>
      <c r="AN5301" t="s">
        <v>2059</v>
      </c>
      <c r="AO5301" t="s">
        <v>37669</v>
      </c>
      <c r="AP5301" t="s">
        <v>7024</v>
      </c>
      <c r="AQ5301" t="s">
        <v>37670</v>
      </c>
      <c r="AT5301" s="184">
        <v>43403</v>
      </c>
      <c r="AU5301" t="s">
        <v>37671</v>
      </c>
      <c r="AV5301">
        <v>50</v>
      </c>
      <c r="AW5301" s="184">
        <v>45076</v>
      </c>
      <c r="AX5301" t="s">
        <v>37672</v>
      </c>
      <c r="AY5301">
        <v>500</v>
      </c>
      <c r="AZ5301" s="184">
        <v>45076</v>
      </c>
      <c r="BA5301" t="s">
        <v>37672</v>
      </c>
      <c r="BB5301">
        <v>500</v>
      </c>
      <c r="BC5301">
        <v>86</v>
      </c>
      <c r="BD5301">
        <v>2550</v>
      </c>
      <c r="BE5301">
        <v>2019</v>
      </c>
      <c r="BF5301">
        <v>6</v>
      </c>
      <c r="BG5301">
        <v>2</v>
      </c>
      <c r="BH5301">
        <v>1000</v>
      </c>
      <c r="BI5301">
        <v>6</v>
      </c>
      <c r="BJ5301">
        <v>7</v>
      </c>
      <c r="BK5301">
        <v>6</v>
      </c>
      <c r="BP5301" s="184"/>
    </row>
    <row r="5302" spans="1:68">
      <c r="A5302">
        <v>100723888</v>
      </c>
      <c r="B5302">
        <v>99627986</v>
      </c>
      <c r="C5302" t="s">
        <v>7018</v>
      </c>
      <c r="D5302" t="s">
        <v>595</v>
      </c>
      <c r="E5302" s="184">
        <v>45120</v>
      </c>
      <c r="I5302" s="184"/>
      <c r="K5302" s="184"/>
      <c r="O5302" s="184"/>
      <c r="P5302" t="s">
        <v>7029</v>
      </c>
      <c r="Q5302" t="s">
        <v>7383</v>
      </c>
      <c r="R5302" s="184">
        <v>24664</v>
      </c>
      <c r="S5302">
        <v>56</v>
      </c>
      <c r="V5302" t="s">
        <v>2697</v>
      </c>
      <c r="X5302" t="s">
        <v>3277</v>
      </c>
      <c r="Z5302">
        <v>99627986</v>
      </c>
      <c r="AB5302" t="s">
        <v>29774</v>
      </c>
      <c r="AD5302" t="s">
        <v>3277</v>
      </c>
      <c r="AF5302" t="s">
        <v>37666</v>
      </c>
      <c r="AG5302" t="s">
        <v>37667</v>
      </c>
      <c r="AI5302" t="s">
        <v>37668</v>
      </c>
      <c r="AM5302" t="s">
        <v>3415</v>
      </c>
      <c r="AN5302" t="s">
        <v>2059</v>
      </c>
      <c r="AO5302" t="s">
        <v>37669</v>
      </c>
      <c r="AP5302" t="s">
        <v>7024</v>
      </c>
      <c r="AT5302" s="184"/>
      <c r="AW5302" s="184"/>
      <c r="AZ5302" s="184"/>
      <c r="BP5302" s="184"/>
    </row>
    <row r="5303" spans="1:68">
      <c r="A5303">
        <v>99663304</v>
      </c>
      <c r="B5303">
        <v>99663304</v>
      </c>
      <c r="C5303" t="s">
        <v>7018</v>
      </c>
      <c r="D5303" t="s">
        <v>595</v>
      </c>
      <c r="E5303" s="184">
        <v>44167</v>
      </c>
      <c r="I5303" s="184"/>
      <c r="K5303" s="184"/>
      <c r="P5303" t="s">
        <v>7045</v>
      </c>
      <c r="Q5303" t="s">
        <v>7030</v>
      </c>
      <c r="R5303" s="184">
        <v>11354</v>
      </c>
      <c r="S5303">
        <v>93</v>
      </c>
      <c r="U5303" t="s">
        <v>7032</v>
      </c>
      <c r="V5303" t="s">
        <v>3246</v>
      </c>
      <c r="X5303" t="s">
        <v>37673</v>
      </c>
      <c r="Z5303">
        <v>100312732</v>
      </c>
      <c r="AA5303" t="s">
        <v>7130</v>
      </c>
      <c r="AB5303" t="s">
        <v>2845</v>
      </c>
      <c r="AD5303" t="s">
        <v>37673</v>
      </c>
      <c r="AF5303" t="s">
        <v>37674</v>
      </c>
      <c r="AG5303" t="s">
        <v>37675</v>
      </c>
      <c r="AI5303" t="s">
        <v>37676</v>
      </c>
      <c r="AM5303" t="s">
        <v>2564</v>
      </c>
      <c r="AN5303" t="s">
        <v>2089</v>
      </c>
      <c r="AO5303" t="s">
        <v>37677</v>
      </c>
      <c r="AP5303" t="s">
        <v>7024</v>
      </c>
      <c r="AQ5303" t="s">
        <v>37678</v>
      </c>
      <c r="AT5303" s="184">
        <v>30827</v>
      </c>
      <c r="AU5303" t="s">
        <v>7073</v>
      </c>
      <c r="AV5303">
        <v>18</v>
      </c>
      <c r="AW5303" s="184">
        <v>45384</v>
      </c>
      <c r="AX5303" t="s">
        <v>10444</v>
      </c>
      <c r="AY5303">
        <v>25</v>
      </c>
      <c r="AZ5303" s="184">
        <v>45384</v>
      </c>
      <c r="BA5303" t="s">
        <v>10444</v>
      </c>
      <c r="BB5303">
        <v>25</v>
      </c>
      <c r="BC5303">
        <v>59</v>
      </c>
      <c r="BD5303">
        <v>561</v>
      </c>
      <c r="BE5303">
        <v>1984</v>
      </c>
      <c r="BF5303">
        <v>25</v>
      </c>
      <c r="BG5303">
        <v>2</v>
      </c>
      <c r="BH5303">
        <v>50</v>
      </c>
      <c r="BI5303">
        <v>24</v>
      </c>
      <c r="BJ5303">
        <v>41</v>
      </c>
      <c r="BK5303">
        <v>11</v>
      </c>
      <c r="BP5303" s="184"/>
    </row>
    <row r="5304" spans="1:68">
      <c r="A5304">
        <v>100312732</v>
      </c>
      <c r="B5304">
        <v>99663304</v>
      </c>
      <c r="C5304" t="s">
        <v>7018</v>
      </c>
      <c r="D5304" t="s">
        <v>595</v>
      </c>
      <c r="E5304" s="184">
        <v>44167</v>
      </c>
      <c r="I5304" s="184"/>
      <c r="K5304" s="184"/>
      <c r="O5304" s="184"/>
      <c r="P5304" t="s">
        <v>7045</v>
      </c>
      <c r="Q5304" t="s">
        <v>7030</v>
      </c>
      <c r="R5304" s="184">
        <v>13150</v>
      </c>
      <c r="S5304">
        <v>88</v>
      </c>
      <c r="U5304" t="s">
        <v>7130</v>
      </c>
      <c r="V5304" t="s">
        <v>2845</v>
      </c>
      <c r="X5304" t="s">
        <v>37673</v>
      </c>
      <c r="Z5304">
        <v>99663304</v>
      </c>
      <c r="AA5304" t="s">
        <v>7032</v>
      </c>
      <c r="AB5304" t="s">
        <v>3246</v>
      </c>
      <c r="AD5304" t="s">
        <v>37673</v>
      </c>
      <c r="AF5304" t="s">
        <v>37674</v>
      </c>
      <c r="AG5304" t="s">
        <v>37675</v>
      </c>
      <c r="AI5304" t="s">
        <v>37676</v>
      </c>
      <c r="AM5304" t="s">
        <v>2564</v>
      </c>
      <c r="AN5304" t="s">
        <v>2089</v>
      </c>
      <c r="AO5304" t="s">
        <v>37677</v>
      </c>
      <c r="AP5304" t="s">
        <v>7024</v>
      </c>
      <c r="AT5304" s="184"/>
      <c r="AW5304" s="184"/>
      <c r="AZ5304" s="184"/>
      <c r="BP5304" s="184"/>
    </row>
    <row r="5305" spans="1:68">
      <c r="A5305">
        <v>99670606</v>
      </c>
      <c r="B5305">
        <v>99670606</v>
      </c>
      <c r="C5305" t="s">
        <v>7018</v>
      </c>
      <c r="D5305" t="s">
        <v>595</v>
      </c>
      <c r="E5305" s="184">
        <v>45195</v>
      </c>
      <c r="I5305" s="184"/>
      <c r="K5305" s="184"/>
      <c r="M5305" s="184"/>
      <c r="O5305" s="184"/>
      <c r="P5305" t="s">
        <v>7045</v>
      </c>
      <c r="Q5305" t="s">
        <v>7020</v>
      </c>
      <c r="R5305" s="184">
        <v>17899</v>
      </c>
      <c r="S5305">
        <v>75</v>
      </c>
      <c r="V5305" t="s">
        <v>37679</v>
      </c>
      <c r="X5305" t="s">
        <v>37680</v>
      </c>
      <c r="AF5305" t="s">
        <v>37681</v>
      </c>
      <c r="AG5305" t="s">
        <v>37679</v>
      </c>
      <c r="AI5305" t="s">
        <v>37682</v>
      </c>
      <c r="AM5305" t="s">
        <v>18431</v>
      </c>
      <c r="AN5305" t="s">
        <v>2112</v>
      </c>
      <c r="AO5305" t="s">
        <v>37683</v>
      </c>
      <c r="AP5305" t="s">
        <v>7024</v>
      </c>
      <c r="AT5305" s="184">
        <v>43411</v>
      </c>
      <c r="AU5305" t="s">
        <v>37684</v>
      </c>
      <c r="AV5305">
        <v>20</v>
      </c>
      <c r="AW5305" s="184">
        <v>45145</v>
      </c>
      <c r="AX5305" t="s">
        <v>18695</v>
      </c>
      <c r="AY5305">
        <v>15</v>
      </c>
      <c r="AZ5305" s="184">
        <v>45041</v>
      </c>
      <c r="BA5305" t="s">
        <v>37685</v>
      </c>
      <c r="BB5305">
        <v>50</v>
      </c>
      <c r="BC5305">
        <v>86</v>
      </c>
      <c r="BD5305">
        <v>720</v>
      </c>
      <c r="BE5305">
        <v>2019</v>
      </c>
      <c r="BF5305">
        <v>31</v>
      </c>
      <c r="BG5305">
        <v>8</v>
      </c>
      <c r="BH5305">
        <v>220</v>
      </c>
      <c r="BI5305">
        <v>6</v>
      </c>
      <c r="BJ5305">
        <v>7</v>
      </c>
      <c r="BK5305">
        <v>6</v>
      </c>
      <c r="BP5305" s="184"/>
    </row>
    <row r="5306" spans="1:68">
      <c r="A5306">
        <v>99673014</v>
      </c>
      <c r="B5306">
        <v>99673014</v>
      </c>
      <c r="C5306" t="s">
        <v>7018</v>
      </c>
      <c r="D5306" t="s">
        <v>595</v>
      </c>
      <c r="E5306" s="184">
        <v>44123</v>
      </c>
      <c r="I5306" s="184"/>
      <c r="K5306" s="184"/>
      <c r="O5306" s="184"/>
      <c r="P5306" t="s">
        <v>7045</v>
      </c>
      <c r="Q5306" t="s">
        <v>7494</v>
      </c>
      <c r="R5306" s="184">
        <v>21186</v>
      </c>
      <c r="S5306">
        <v>66</v>
      </c>
      <c r="V5306" t="s">
        <v>3740</v>
      </c>
      <c r="W5306" t="s">
        <v>4139</v>
      </c>
      <c r="X5306" t="s">
        <v>12788</v>
      </c>
      <c r="AF5306" t="s">
        <v>37686</v>
      </c>
      <c r="AG5306" t="s">
        <v>3740</v>
      </c>
      <c r="AI5306" t="s">
        <v>37687</v>
      </c>
      <c r="AM5306" t="s">
        <v>3763</v>
      </c>
      <c r="AN5306" t="s">
        <v>2484</v>
      </c>
      <c r="AO5306" t="s">
        <v>37688</v>
      </c>
      <c r="AP5306" t="s">
        <v>7024</v>
      </c>
      <c r="AQ5306" t="s">
        <v>37689</v>
      </c>
      <c r="AT5306" s="184">
        <v>43411</v>
      </c>
      <c r="AU5306" t="s">
        <v>37690</v>
      </c>
      <c r="AV5306">
        <v>15</v>
      </c>
      <c r="AW5306" s="184">
        <v>44529</v>
      </c>
      <c r="AX5306" t="s">
        <v>37691</v>
      </c>
      <c r="AY5306">
        <v>35</v>
      </c>
      <c r="AZ5306" s="184">
        <v>44133</v>
      </c>
      <c r="BA5306" t="s">
        <v>37692</v>
      </c>
      <c r="BB5306">
        <v>40</v>
      </c>
      <c r="BC5306">
        <v>58</v>
      </c>
      <c r="BD5306">
        <v>150</v>
      </c>
      <c r="BE5306">
        <v>2019</v>
      </c>
      <c r="BF5306">
        <v>5</v>
      </c>
      <c r="BI5306">
        <v>4</v>
      </c>
      <c r="BJ5306">
        <v>7</v>
      </c>
      <c r="BK5306">
        <v>4</v>
      </c>
      <c r="BP5306" s="184"/>
    </row>
    <row r="5307" spans="1:68">
      <c r="A5307">
        <v>99677023</v>
      </c>
      <c r="B5307">
        <v>99677023</v>
      </c>
      <c r="C5307" t="s">
        <v>7018</v>
      </c>
      <c r="E5307" s="184"/>
      <c r="H5307" t="s">
        <v>595</v>
      </c>
      <c r="I5307" s="184">
        <v>44428</v>
      </c>
      <c r="K5307" s="184"/>
      <c r="O5307" s="184"/>
      <c r="P5307" t="s">
        <v>7045</v>
      </c>
      <c r="Q5307" t="s">
        <v>7194</v>
      </c>
      <c r="R5307" s="184">
        <v>18709</v>
      </c>
      <c r="S5307">
        <v>73</v>
      </c>
      <c r="V5307" t="s">
        <v>3872</v>
      </c>
      <c r="X5307" t="s">
        <v>37693</v>
      </c>
      <c r="AF5307" t="s">
        <v>37694</v>
      </c>
      <c r="AG5307" t="s">
        <v>3872</v>
      </c>
      <c r="AI5307" t="s">
        <v>37695</v>
      </c>
      <c r="AM5307" t="s">
        <v>12002</v>
      </c>
      <c r="AN5307" t="s">
        <v>2046</v>
      </c>
      <c r="AO5307" t="s">
        <v>37696</v>
      </c>
      <c r="AP5307" t="s">
        <v>7024</v>
      </c>
      <c r="AQ5307" t="s">
        <v>37697</v>
      </c>
      <c r="AT5307" s="184">
        <v>43412</v>
      </c>
      <c r="AU5307" t="s">
        <v>37698</v>
      </c>
      <c r="AV5307">
        <v>15</v>
      </c>
      <c r="AW5307" s="184">
        <v>45256</v>
      </c>
      <c r="AX5307" t="s">
        <v>22140</v>
      </c>
      <c r="AY5307">
        <v>10</v>
      </c>
      <c r="AZ5307" s="184">
        <v>44298</v>
      </c>
      <c r="BA5307" t="s">
        <v>37699</v>
      </c>
      <c r="BB5307">
        <v>15</v>
      </c>
      <c r="BC5307">
        <v>43</v>
      </c>
      <c r="BD5307">
        <v>40</v>
      </c>
      <c r="BE5307">
        <v>2019</v>
      </c>
      <c r="BF5307">
        <v>3</v>
      </c>
      <c r="BG5307">
        <v>1</v>
      </c>
      <c r="BH5307">
        <v>10</v>
      </c>
      <c r="BI5307">
        <v>3</v>
      </c>
      <c r="BJ5307">
        <v>7</v>
      </c>
      <c r="BK5307">
        <v>1</v>
      </c>
      <c r="BP5307" s="184"/>
    </row>
    <row r="5308" spans="1:68">
      <c r="A5308">
        <v>99683708</v>
      </c>
      <c r="B5308">
        <v>99683708</v>
      </c>
      <c r="C5308" t="s">
        <v>7018</v>
      </c>
      <c r="D5308" t="s">
        <v>595</v>
      </c>
      <c r="E5308" s="184">
        <v>45153</v>
      </c>
      <c r="G5308" s="184"/>
      <c r="I5308" s="184"/>
      <c r="K5308" s="184"/>
      <c r="O5308" s="184"/>
      <c r="P5308" t="s">
        <v>7045</v>
      </c>
      <c r="Q5308" t="s">
        <v>7160</v>
      </c>
      <c r="R5308" s="184">
        <v>21641</v>
      </c>
      <c r="S5308">
        <v>65</v>
      </c>
      <c r="U5308" t="s">
        <v>7031</v>
      </c>
      <c r="V5308" t="s">
        <v>3363</v>
      </c>
      <c r="X5308" t="s">
        <v>3539</v>
      </c>
      <c r="AF5308" t="s">
        <v>37700</v>
      </c>
      <c r="AG5308" t="s">
        <v>3363</v>
      </c>
      <c r="AI5308" t="s">
        <v>37701</v>
      </c>
      <c r="AM5308" t="s">
        <v>37702</v>
      </c>
      <c r="AN5308" t="s">
        <v>2413</v>
      </c>
      <c r="AO5308" t="s">
        <v>37703</v>
      </c>
      <c r="AP5308" t="s">
        <v>7024</v>
      </c>
      <c r="AQ5308" t="s">
        <v>37704</v>
      </c>
      <c r="AR5308" t="s">
        <v>37705</v>
      </c>
      <c r="AT5308" s="184">
        <v>43416</v>
      </c>
      <c r="AU5308" t="s">
        <v>36947</v>
      </c>
      <c r="AV5308">
        <v>100</v>
      </c>
      <c r="AW5308" s="184">
        <v>45016</v>
      </c>
      <c r="AX5308" t="s">
        <v>37706</v>
      </c>
      <c r="AY5308">
        <v>100</v>
      </c>
      <c r="AZ5308" s="184">
        <v>44238</v>
      </c>
      <c r="BA5308" t="s">
        <v>10571</v>
      </c>
      <c r="BB5308">
        <v>150</v>
      </c>
      <c r="BC5308">
        <v>72</v>
      </c>
      <c r="BD5308">
        <v>550</v>
      </c>
      <c r="BE5308">
        <v>2019</v>
      </c>
      <c r="BF5308">
        <v>5</v>
      </c>
      <c r="BG5308">
        <v>1</v>
      </c>
      <c r="BH5308">
        <v>100</v>
      </c>
      <c r="BI5308">
        <v>5</v>
      </c>
      <c r="BJ5308">
        <v>7</v>
      </c>
      <c r="BK5308">
        <v>4</v>
      </c>
      <c r="BP5308" s="184"/>
    </row>
    <row r="5309" spans="1:68">
      <c r="A5309">
        <v>99700833</v>
      </c>
      <c r="B5309">
        <v>99700833</v>
      </c>
      <c r="C5309" t="s">
        <v>7018</v>
      </c>
      <c r="E5309" s="184"/>
      <c r="G5309" s="184"/>
      <c r="I5309" s="184"/>
      <c r="J5309" t="s">
        <v>595</v>
      </c>
      <c r="K5309" s="184">
        <v>44073</v>
      </c>
      <c r="O5309" s="184"/>
      <c r="P5309" t="s">
        <v>7029</v>
      </c>
      <c r="Q5309" t="s">
        <v>7020</v>
      </c>
      <c r="R5309" s="184">
        <v>20684</v>
      </c>
      <c r="S5309">
        <v>67</v>
      </c>
      <c r="V5309" t="s">
        <v>2586</v>
      </c>
      <c r="X5309" t="s">
        <v>2832</v>
      </c>
      <c r="Z5309">
        <v>100173652</v>
      </c>
      <c r="AB5309" t="s">
        <v>2511</v>
      </c>
      <c r="AD5309" t="s">
        <v>2832</v>
      </c>
      <c r="AF5309" t="s">
        <v>37707</v>
      </c>
      <c r="AG5309" t="s">
        <v>37708</v>
      </c>
      <c r="AI5309" t="s">
        <v>37709</v>
      </c>
      <c r="AM5309" t="s">
        <v>3167</v>
      </c>
      <c r="AN5309" t="s">
        <v>2363</v>
      </c>
      <c r="AO5309" t="s">
        <v>37710</v>
      </c>
      <c r="AP5309" t="s">
        <v>7024</v>
      </c>
      <c r="AQ5309" t="s">
        <v>37711</v>
      </c>
      <c r="AR5309" t="s">
        <v>37712</v>
      </c>
      <c r="AT5309" s="184">
        <v>43427</v>
      </c>
      <c r="AU5309" t="s">
        <v>37145</v>
      </c>
      <c r="AV5309">
        <v>400</v>
      </c>
      <c r="AW5309" s="184">
        <v>45295</v>
      </c>
      <c r="AX5309" t="s">
        <v>7092</v>
      </c>
      <c r="AY5309">
        <v>1200</v>
      </c>
      <c r="AZ5309" s="184">
        <v>45295</v>
      </c>
      <c r="BA5309" t="s">
        <v>7092</v>
      </c>
      <c r="BB5309">
        <v>1200</v>
      </c>
      <c r="BC5309">
        <v>100</v>
      </c>
      <c r="BD5309">
        <v>4200</v>
      </c>
      <c r="BE5309">
        <v>2019</v>
      </c>
      <c r="BF5309">
        <v>9</v>
      </c>
      <c r="BG5309">
        <v>4</v>
      </c>
      <c r="BH5309">
        <v>2000</v>
      </c>
      <c r="BI5309">
        <v>7</v>
      </c>
      <c r="BJ5309">
        <v>7</v>
      </c>
      <c r="BK5309">
        <v>7</v>
      </c>
      <c r="BP5309" s="184"/>
    </row>
    <row r="5310" spans="1:68">
      <c r="A5310">
        <v>100173652</v>
      </c>
      <c r="B5310">
        <v>99700833</v>
      </c>
      <c r="C5310" t="s">
        <v>7018</v>
      </c>
      <c r="E5310" s="184"/>
      <c r="I5310" s="184"/>
      <c r="J5310" t="s">
        <v>595</v>
      </c>
      <c r="K5310" s="184">
        <v>44073</v>
      </c>
      <c r="M5310" s="184"/>
      <c r="P5310" t="s">
        <v>7029</v>
      </c>
      <c r="Q5310" t="s">
        <v>7020</v>
      </c>
      <c r="R5310" s="184">
        <v>19302</v>
      </c>
      <c r="S5310">
        <v>71</v>
      </c>
      <c r="V5310" t="s">
        <v>2511</v>
      </c>
      <c r="X5310" t="s">
        <v>2832</v>
      </c>
      <c r="Z5310">
        <v>99700833</v>
      </c>
      <c r="AB5310" t="s">
        <v>2586</v>
      </c>
      <c r="AD5310" t="s">
        <v>2832</v>
      </c>
      <c r="AF5310" t="s">
        <v>37707</v>
      </c>
      <c r="AG5310" t="s">
        <v>37708</v>
      </c>
      <c r="AI5310" t="s">
        <v>37709</v>
      </c>
      <c r="AM5310" t="s">
        <v>3167</v>
      </c>
      <c r="AN5310" t="s">
        <v>2363</v>
      </c>
      <c r="AO5310" t="s">
        <v>37710</v>
      </c>
      <c r="AP5310" t="s">
        <v>7024</v>
      </c>
      <c r="AQ5310" t="s">
        <v>37713</v>
      </c>
      <c r="AT5310" s="184"/>
      <c r="AW5310" s="184"/>
      <c r="AZ5310" s="184"/>
      <c r="BP5310" s="184"/>
    </row>
    <row r="5311" spans="1:68">
      <c r="A5311">
        <v>99705238</v>
      </c>
      <c r="B5311">
        <v>99705238</v>
      </c>
      <c r="C5311" t="s">
        <v>7018</v>
      </c>
      <c r="D5311" t="s">
        <v>595</v>
      </c>
      <c r="E5311" s="184">
        <v>44428</v>
      </c>
      <c r="G5311" s="184"/>
      <c r="I5311" s="184"/>
      <c r="K5311" s="184"/>
      <c r="P5311" t="s">
        <v>7045</v>
      </c>
      <c r="Q5311" t="s">
        <v>7383</v>
      </c>
      <c r="R5311" s="184">
        <v>19859</v>
      </c>
      <c r="S5311">
        <v>70</v>
      </c>
      <c r="V5311" t="s">
        <v>3702</v>
      </c>
      <c r="W5311" t="s">
        <v>2058</v>
      </c>
      <c r="X5311" t="s">
        <v>37714</v>
      </c>
      <c r="AF5311" t="s">
        <v>37715</v>
      </c>
      <c r="AG5311" t="s">
        <v>3702</v>
      </c>
      <c r="AI5311" t="s">
        <v>37716</v>
      </c>
      <c r="AM5311" t="s">
        <v>20411</v>
      </c>
      <c r="AN5311" t="s">
        <v>2059</v>
      </c>
      <c r="AO5311" t="s">
        <v>37717</v>
      </c>
      <c r="AP5311" t="s">
        <v>7024</v>
      </c>
      <c r="AQ5311" t="s">
        <v>37718</v>
      </c>
      <c r="AT5311" s="184">
        <v>43423</v>
      </c>
      <c r="AU5311" t="s">
        <v>37719</v>
      </c>
      <c r="AV5311">
        <v>25</v>
      </c>
      <c r="AW5311" s="184">
        <v>45209</v>
      </c>
      <c r="AX5311" t="s">
        <v>30952</v>
      </c>
      <c r="AY5311">
        <v>115</v>
      </c>
      <c r="AZ5311" s="184">
        <v>45209</v>
      </c>
      <c r="BA5311" t="s">
        <v>30952</v>
      </c>
      <c r="BB5311">
        <v>115</v>
      </c>
      <c r="BC5311">
        <v>86</v>
      </c>
      <c r="BD5311">
        <v>845</v>
      </c>
      <c r="BE5311">
        <v>2019</v>
      </c>
      <c r="BF5311">
        <v>13</v>
      </c>
      <c r="BG5311">
        <v>2</v>
      </c>
      <c r="BH5311">
        <v>215</v>
      </c>
      <c r="BI5311">
        <v>6</v>
      </c>
      <c r="BJ5311">
        <v>7</v>
      </c>
      <c r="BK5311">
        <v>6</v>
      </c>
      <c r="BP5311" s="184"/>
    </row>
    <row r="5312" spans="1:68">
      <c r="A5312">
        <v>99746521</v>
      </c>
      <c r="B5312">
        <v>99746521</v>
      </c>
      <c r="C5312" t="s">
        <v>7018</v>
      </c>
      <c r="D5312" t="s">
        <v>595</v>
      </c>
      <c r="E5312" s="184">
        <v>45148</v>
      </c>
      <c r="I5312" s="184"/>
      <c r="K5312" s="184"/>
      <c r="O5312" s="184"/>
      <c r="P5312" t="s">
        <v>7045</v>
      </c>
      <c r="Q5312" t="s">
        <v>7494</v>
      </c>
      <c r="R5312" s="184">
        <v>17168</v>
      </c>
      <c r="S5312">
        <v>77</v>
      </c>
      <c r="V5312" t="s">
        <v>3101</v>
      </c>
      <c r="X5312" t="s">
        <v>5357</v>
      </c>
      <c r="AF5312" t="s">
        <v>37720</v>
      </c>
      <c r="AG5312" t="s">
        <v>3101</v>
      </c>
      <c r="AI5312" t="s">
        <v>37721</v>
      </c>
      <c r="AM5312" t="s">
        <v>4006</v>
      </c>
      <c r="AN5312" t="s">
        <v>2174</v>
      </c>
      <c r="AO5312" t="s">
        <v>37722</v>
      </c>
      <c r="AP5312" t="s">
        <v>7024</v>
      </c>
      <c r="AQ5312" t="s">
        <v>37723</v>
      </c>
      <c r="AT5312" s="184">
        <v>43433</v>
      </c>
      <c r="AU5312" t="s">
        <v>37724</v>
      </c>
      <c r="AV5312">
        <v>25</v>
      </c>
      <c r="AW5312" s="184">
        <v>45243</v>
      </c>
      <c r="AX5312" t="s">
        <v>37725</v>
      </c>
      <c r="AY5312">
        <v>50</v>
      </c>
      <c r="AZ5312" s="184">
        <v>45243</v>
      </c>
      <c r="BA5312" t="s">
        <v>37725</v>
      </c>
      <c r="BB5312">
        <v>50</v>
      </c>
      <c r="BC5312">
        <v>86</v>
      </c>
      <c r="BD5312">
        <v>425</v>
      </c>
      <c r="BE5312">
        <v>2019</v>
      </c>
      <c r="BF5312">
        <v>9</v>
      </c>
      <c r="BG5312">
        <v>3</v>
      </c>
      <c r="BH5312">
        <v>150</v>
      </c>
      <c r="BI5312">
        <v>6</v>
      </c>
      <c r="BJ5312">
        <v>7</v>
      </c>
      <c r="BK5312">
        <v>6</v>
      </c>
      <c r="BP5312" s="184"/>
    </row>
    <row r="5313" spans="1:68">
      <c r="A5313">
        <v>99791147</v>
      </c>
      <c r="B5313">
        <v>99791147</v>
      </c>
      <c r="C5313" t="s">
        <v>7018</v>
      </c>
      <c r="D5313" t="s">
        <v>595</v>
      </c>
      <c r="E5313" s="184">
        <v>44648</v>
      </c>
      <c r="G5313" s="184"/>
      <c r="I5313" s="184"/>
      <c r="K5313" s="184"/>
      <c r="P5313" t="s">
        <v>7045</v>
      </c>
      <c r="Q5313" t="s">
        <v>7374</v>
      </c>
      <c r="R5313" s="184">
        <v>23043</v>
      </c>
      <c r="S5313">
        <v>61</v>
      </c>
      <c r="U5313" t="s">
        <v>7031</v>
      </c>
      <c r="V5313" t="s">
        <v>3114</v>
      </c>
      <c r="X5313" t="s">
        <v>37726</v>
      </c>
      <c r="AF5313" t="s">
        <v>37727</v>
      </c>
      <c r="AG5313" t="s">
        <v>3114</v>
      </c>
      <c r="AI5313" t="s">
        <v>37728</v>
      </c>
      <c r="AM5313" t="s">
        <v>27395</v>
      </c>
      <c r="AN5313" t="s">
        <v>2081</v>
      </c>
      <c r="AO5313" t="s">
        <v>37729</v>
      </c>
      <c r="AP5313" t="s">
        <v>7024</v>
      </c>
      <c r="AQ5313" t="s">
        <v>37730</v>
      </c>
      <c r="AR5313" t="s">
        <v>37731</v>
      </c>
      <c r="AT5313" s="184">
        <v>43448</v>
      </c>
      <c r="AU5313" t="s">
        <v>24821</v>
      </c>
      <c r="AV5313">
        <v>50</v>
      </c>
      <c r="AW5313" s="184">
        <v>44300</v>
      </c>
      <c r="AX5313" t="s">
        <v>7137</v>
      </c>
      <c r="AY5313">
        <v>25</v>
      </c>
      <c r="AZ5313" s="184">
        <v>43448</v>
      </c>
      <c r="BA5313" t="s">
        <v>24821</v>
      </c>
      <c r="BB5313">
        <v>50</v>
      </c>
      <c r="BC5313">
        <v>29</v>
      </c>
      <c r="BD5313">
        <v>75</v>
      </c>
      <c r="BE5313">
        <v>2019</v>
      </c>
      <c r="BF5313">
        <v>2</v>
      </c>
      <c r="BI5313">
        <v>2</v>
      </c>
      <c r="BJ5313">
        <v>7</v>
      </c>
      <c r="BK5313">
        <v>1</v>
      </c>
      <c r="BP5313" s="184"/>
    </row>
    <row r="5314" spans="1:68">
      <c r="A5314">
        <v>99809741</v>
      </c>
      <c r="B5314">
        <v>99809741</v>
      </c>
      <c r="C5314" t="s">
        <v>7018</v>
      </c>
      <c r="D5314" t="s">
        <v>595</v>
      </c>
      <c r="E5314" s="184">
        <v>44180</v>
      </c>
      <c r="I5314" s="184"/>
      <c r="K5314" s="184"/>
      <c r="O5314" s="184"/>
      <c r="P5314" t="s">
        <v>7019</v>
      </c>
      <c r="Q5314" t="s">
        <v>7383</v>
      </c>
      <c r="R5314" s="184">
        <v>19268</v>
      </c>
      <c r="S5314">
        <v>71</v>
      </c>
      <c r="V5314" t="s">
        <v>3223</v>
      </c>
      <c r="X5314" t="s">
        <v>26385</v>
      </c>
      <c r="AF5314" t="s">
        <v>37732</v>
      </c>
      <c r="AG5314" t="s">
        <v>3223</v>
      </c>
      <c r="AI5314" t="s">
        <v>37733</v>
      </c>
      <c r="AM5314" t="s">
        <v>37734</v>
      </c>
      <c r="AN5314" t="s">
        <v>2059</v>
      </c>
      <c r="AO5314" t="s">
        <v>37735</v>
      </c>
      <c r="AP5314" t="s">
        <v>7024</v>
      </c>
      <c r="AQ5314" t="s">
        <v>37736</v>
      </c>
      <c r="AT5314" s="184">
        <v>43454</v>
      </c>
      <c r="AU5314" t="s">
        <v>37737</v>
      </c>
      <c r="AV5314">
        <v>25</v>
      </c>
      <c r="AW5314" s="184">
        <v>45349</v>
      </c>
      <c r="AX5314" t="s">
        <v>15296</v>
      </c>
      <c r="AY5314">
        <v>50</v>
      </c>
      <c r="AZ5314" s="184">
        <v>44757</v>
      </c>
      <c r="BA5314" t="s">
        <v>37738</v>
      </c>
      <c r="BB5314">
        <v>60</v>
      </c>
      <c r="BC5314">
        <v>86</v>
      </c>
      <c r="BD5314">
        <v>370</v>
      </c>
      <c r="BE5314">
        <v>2019</v>
      </c>
      <c r="BF5314">
        <v>9</v>
      </c>
      <c r="BG5314">
        <v>4</v>
      </c>
      <c r="BH5314">
        <v>210</v>
      </c>
      <c r="BI5314">
        <v>6</v>
      </c>
      <c r="BJ5314">
        <v>7</v>
      </c>
      <c r="BK5314">
        <v>3</v>
      </c>
      <c r="BP5314" s="184"/>
    </row>
    <row r="5315" spans="1:68">
      <c r="A5315">
        <v>99846305</v>
      </c>
      <c r="B5315">
        <v>99846305</v>
      </c>
      <c r="C5315" t="s">
        <v>7018</v>
      </c>
      <c r="E5315" s="184"/>
      <c r="G5315" s="184"/>
      <c r="H5315" t="s">
        <v>595</v>
      </c>
      <c r="I5315" s="184">
        <v>44145</v>
      </c>
      <c r="K5315" s="184"/>
      <c r="O5315" s="184"/>
      <c r="P5315" t="s">
        <v>7029</v>
      </c>
      <c r="Q5315" t="s">
        <v>7020</v>
      </c>
      <c r="R5315" s="184">
        <v>24624</v>
      </c>
      <c r="S5315">
        <v>56</v>
      </c>
      <c r="U5315" t="s">
        <v>7076</v>
      </c>
      <c r="V5315" t="s">
        <v>5053</v>
      </c>
      <c r="X5315" t="s">
        <v>5054</v>
      </c>
      <c r="AF5315" t="s">
        <v>37739</v>
      </c>
      <c r="AG5315" t="s">
        <v>5053</v>
      </c>
      <c r="AI5315" t="s">
        <v>37740</v>
      </c>
      <c r="AM5315" t="s">
        <v>5055</v>
      </c>
      <c r="AN5315" t="s">
        <v>2255</v>
      </c>
      <c r="AO5315" t="s">
        <v>37741</v>
      </c>
      <c r="AP5315" t="s">
        <v>7024</v>
      </c>
      <c r="AT5315" s="184">
        <v>43468</v>
      </c>
      <c r="AU5315" t="s">
        <v>37742</v>
      </c>
      <c r="AV5315">
        <v>100</v>
      </c>
      <c r="AW5315" s="184">
        <v>45406</v>
      </c>
      <c r="AX5315" t="s">
        <v>11949</v>
      </c>
      <c r="AY5315">
        <v>500</v>
      </c>
      <c r="AZ5315" s="184">
        <v>44614</v>
      </c>
      <c r="BA5315" t="s">
        <v>37743</v>
      </c>
      <c r="BB5315">
        <v>1000</v>
      </c>
      <c r="BC5315">
        <v>100</v>
      </c>
      <c r="BD5315">
        <v>3520</v>
      </c>
      <c r="BE5315">
        <v>2019</v>
      </c>
      <c r="BF5315">
        <v>8</v>
      </c>
      <c r="BG5315">
        <v>2</v>
      </c>
      <c r="BH5315">
        <v>1000</v>
      </c>
      <c r="BI5315">
        <v>6</v>
      </c>
      <c r="BJ5315">
        <v>6</v>
      </c>
      <c r="BK5315">
        <v>6</v>
      </c>
      <c r="BP5315" s="184"/>
    </row>
    <row r="5316" spans="1:68">
      <c r="A5316">
        <v>101272159</v>
      </c>
      <c r="B5316">
        <v>99855876</v>
      </c>
      <c r="C5316" t="s">
        <v>7018</v>
      </c>
      <c r="E5316" s="184"/>
      <c r="G5316" s="184"/>
      <c r="I5316" s="184"/>
      <c r="J5316" t="s">
        <v>595</v>
      </c>
      <c r="K5316" s="184">
        <v>45274</v>
      </c>
      <c r="M5316" s="184"/>
      <c r="P5316" t="s">
        <v>7045</v>
      </c>
      <c r="Q5316" t="s">
        <v>7383</v>
      </c>
      <c r="R5316" s="184"/>
      <c r="V5316" t="s">
        <v>3384</v>
      </c>
      <c r="X5316" t="s">
        <v>30140</v>
      </c>
      <c r="Z5316">
        <v>99855876</v>
      </c>
      <c r="AB5316" t="s">
        <v>2911</v>
      </c>
      <c r="AD5316" t="s">
        <v>30140</v>
      </c>
      <c r="AF5316" t="s">
        <v>37744</v>
      </c>
      <c r="AG5316" t="s">
        <v>2911</v>
      </c>
      <c r="AI5316" t="s">
        <v>37745</v>
      </c>
      <c r="AM5316" t="s">
        <v>3926</v>
      </c>
      <c r="AN5316" t="s">
        <v>2059</v>
      </c>
      <c r="AO5316" t="s">
        <v>37746</v>
      </c>
      <c r="AP5316" t="s">
        <v>7024</v>
      </c>
      <c r="AT5316" s="184"/>
      <c r="AW5316" s="184"/>
      <c r="AZ5316" s="184"/>
      <c r="BO5316" t="s">
        <v>595</v>
      </c>
      <c r="BP5316" s="184">
        <v>44750</v>
      </c>
    </row>
    <row r="5317" spans="1:68">
      <c r="A5317">
        <v>99863540</v>
      </c>
      <c r="B5317">
        <v>99863540</v>
      </c>
      <c r="C5317" t="s">
        <v>7018</v>
      </c>
      <c r="E5317" s="184"/>
      <c r="H5317" t="s">
        <v>595</v>
      </c>
      <c r="I5317" s="184">
        <v>44843</v>
      </c>
      <c r="K5317" s="184"/>
      <c r="P5317" t="s">
        <v>7045</v>
      </c>
      <c r="Q5317" t="s">
        <v>7374</v>
      </c>
      <c r="R5317" s="184">
        <v>19115</v>
      </c>
      <c r="S5317">
        <v>72</v>
      </c>
      <c r="V5317" t="s">
        <v>2697</v>
      </c>
      <c r="X5317" t="s">
        <v>37747</v>
      </c>
      <c r="AF5317" t="s">
        <v>37748</v>
      </c>
      <c r="AG5317" t="s">
        <v>2697</v>
      </c>
      <c r="AI5317" t="s">
        <v>37749</v>
      </c>
      <c r="AM5317" t="s">
        <v>37750</v>
      </c>
      <c r="AN5317" t="s">
        <v>2066</v>
      </c>
      <c r="AO5317" t="s">
        <v>37751</v>
      </c>
      <c r="AP5317" t="s">
        <v>7024</v>
      </c>
      <c r="AT5317" s="184">
        <v>43473</v>
      </c>
      <c r="AU5317" t="s">
        <v>37752</v>
      </c>
      <c r="AV5317">
        <v>25</v>
      </c>
      <c r="AW5317" s="184">
        <v>45072</v>
      </c>
      <c r="AX5317" t="s">
        <v>27497</v>
      </c>
      <c r="AY5317">
        <v>25</v>
      </c>
      <c r="AZ5317" s="184">
        <v>45072</v>
      </c>
      <c r="BA5317" t="s">
        <v>27497</v>
      </c>
      <c r="BB5317">
        <v>25</v>
      </c>
      <c r="BC5317">
        <v>84</v>
      </c>
      <c r="BD5317">
        <v>150</v>
      </c>
      <c r="BE5317">
        <v>2019</v>
      </c>
      <c r="BF5317">
        <v>6</v>
      </c>
      <c r="BG5317">
        <v>1</v>
      </c>
      <c r="BH5317">
        <v>25</v>
      </c>
      <c r="BI5317">
        <v>5</v>
      </c>
      <c r="BJ5317">
        <v>6</v>
      </c>
      <c r="BK5317">
        <v>5</v>
      </c>
      <c r="BP5317" s="184"/>
    </row>
    <row r="5318" spans="1:68">
      <c r="A5318">
        <v>99871832</v>
      </c>
      <c r="B5318">
        <v>99871832</v>
      </c>
      <c r="C5318" t="s">
        <v>7018</v>
      </c>
      <c r="E5318" s="184"/>
      <c r="G5318" s="184"/>
      <c r="I5318" s="184"/>
      <c r="J5318" t="s">
        <v>595</v>
      </c>
      <c r="K5318" s="184">
        <v>43584</v>
      </c>
      <c r="M5318" s="184"/>
      <c r="O5318" s="184"/>
      <c r="P5318" t="s">
        <v>7029</v>
      </c>
      <c r="Q5318" t="s">
        <v>7383</v>
      </c>
      <c r="R5318" s="184">
        <v>10913</v>
      </c>
      <c r="S5318">
        <v>94</v>
      </c>
      <c r="V5318" t="s">
        <v>3400</v>
      </c>
      <c r="W5318" t="s">
        <v>7356</v>
      </c>
      <c r="X5318" t="s">
        <v>37753</v>
      </c>
      <c r="AF5318" t="s">
        <v>37754</v>
      </c>
      <c r="AG5318" t="s">
        <v>3400</v>
      </c>
      <c r="AI5318" t="s">
        <v>37755</v>
      </c>
      <c r="AJ5318" t="s">
        <v>37756</v>
      </c>
      <c r="AM5318" t="s">
        <v>4994</v>
      </c>
      <c r="AN5318" t="s">
        <v>2139</v>
      </c>
      <c r="AO5318">
        <v>66217</v>
      </c>
      <c r="AP5318" t="s">
        <v>7024</v>
      </c>
      <c r="AQ5318" t="s">
        <v>1576</v>
      </c>
      <c r="AT5318" s="184">
        <v>43542</v>
      </c>
      <c r="AU5318" t="s">
        <v>7348</v>
      </c>
      <c r="AV5318">
        <v>1537.12</v>
      </c>
      <c r="AW5318" s="184">
        <v>43542</v>
      </c>
      <c r="AX5318" t="s">
        <v>7348</v>
      </c>
      <c r="AY5318">
        <v>1537.12</v>
      </c>
      <c r="AZ5318" s="184">
        <v>43542</v>
      </c>
      <c r="BA5318" t="s">
        <v>7348</v>
      </c>
      <c r="BB5318">
        <v>1537.12</v>
      </c>
      <c r="BC5318">
        <v>17</v>
      </c>
      <c r="BD5318">
        <v>1537.12</v>
      </c>
      <c r="BE5318">
        <v>2019</v>
      </c>
      <c r="BF5318">
        <v>1</v>
      </c>
      <c r="BI5318">
        <v>1</v>
      </c>
      <c r="BJ5318">
        <v>6</v>
      </c>
      <c r="BK5318">
        <v>1</v>
      </c>
      <c r="BO5318" t="s">
        <v>595</v>
      </c>
      <c r="BP5318" s="184">
        <v>41923</v>
      </c>
    </row>
    <row r="5319" spans="1:68">
      <c r="A5319">
        <v>99905259</v>
      </c>
      <c r="B5319">
        <v>99905259</v>
      </c>
      <c r="C5319" t="s">
        <v>7018</v>
      </c>
      <c r="D5319" t="s">
        <v>595</v>
      </c>
      <c r="E5319" s="184">
        <v>45148</v>
      </c>
      <c r="G5319" s="184"/>
      <c r="I5319" s="184"/>
      <c r="K5319" s="184"/>
      <c r="M5319" s="184"/>
      <c r="O5319" s="184"/>
      <c r="P5319" t="s">
        <v>7045</v>
      </c>
      <c r="Q5319" t="s">
        <v>7383</v>
      </c>
      <c r="R5319" s="184">
        <v>15919</v>
      </c>
      <c r="S5319">
        <v>80</v>
      </c>
      <c r="V5319" t="s">
        <v>2871</v>
      </c>
      <c r="X5319" t="s">
        <v>37757</v>
      </c>
      <c r="AF5319" t="s">
        <v>37758</v>
      </c>
      <c r="AG5319" t="s">
        <v>2871</v>
      </c>
      <c r="AI5319" t="s">
        <v>37759</v>
      </c>
      <c r="AM5319" t="s">
        <v>11022</v>
      </c>
      <c r="AN5319" t="s">
        <v>2274</v>
      </c>
      <c r="AO5319" t="s">
        <v>37760</v>
      </c>
      <c r="AP5319" t="s">
        <v>7024</v>
      </c>
      <c r="AQ5319" t="s">
        <v>37761</v>
      </c>
      <c r="AT5319" s="184">
        <v>43490</v>
      </c>
      <c r="AU5319" t="s">
        <v>37762</v>
      </c>
      <c r="AV5319">
        <v>25</v>
      </c>
      <c r="AW5319" s="184">
        <v>45407</v>
      </c>
      <c r="AX5319" t="s">
        <v>37763</v>
      </c>
      <c r="AY5319">
        <v>25</v>
      </c>
      <c r="AZ5319" s="184">
        <v>45407</v>
      </c>
      <c r="BA5319" t="s">
        <v>37763</v>
      </c>
      <c r="BB5319">
        <v>25</v>
      </c>
      <c r="BC5319">
        <v>100</v>
      </c>
      <c r="BD5319">
        <v>175</v>
      </c>
      <c r="BE5319">
        <v>2019</v>
      </c>
      <c r="BF5319">
        <v>7</v>
      </c>
      <c r="BG5319">
        <v>2</v>
      </c>
      <c r="BH5319">
        <v>50</v>
      </c>
      <c r="BI5319">
        <v>6</v>
      </c>
      <c r="BJ5319">
        <v>6</v>
      </c>
      <c r="BK5319">
        <v>6</v>
      </c>
      <c r="BP5319" s="184"/>
    </row>
    <row r="5320" spans="1:68">
      <c r="A5320">
        <v>99931297</v>
      </c>
      <c r="B5320">
        <v>99931297</v>
      </c>
      <c r="C5320" t="s">
        <v>7018</v>
      </c>
      <c r="D5320" t="s">
        <v>595</v>
      </c>
      <c r="E5320" s="184">
        <v>45147</v>
      </c>
      <c r="G5320" s="184"/>
      <c r="I5320" s="184"/>
      <c r="K5320" s="184"/>
      <c r="O5320" s="184"/>
      <c r="P5320" t="s">
        <v>7045</v>
      </c>
      <c r="Q5320" t="s">
        <v>7494</v>
      </c>
      <c r="R5320" s="184">
        <v>20210</v>
      </c>
      <c r="S5320">
        <v>69</v>
      </c>
      <c r="V5320" t="s">
        <v>3923</v>
      </c>
      <c r="X5320" t="s">
        <v>37764</v>
      </c>
      <c r="AF5320" t="s">
        <v>37765</v>
      </c>
      <c r="AG5320" t="s">
        <v>3923</v>
      </c>
      <c r="AI5320" t="s">
        <v>37766</v>
      </c>
      <c r="AM5320" t="s">
        <v>37767</v>
      </c>
      <c r="AN5320" t="s">
        <v>2174</v>
      </c>
      <c r="AO5320" t="s">
        <v>37768</v>
      </c>
      <c r="AP5320" t="s">
        <v>7024</v>
      </c>
      <c r="AQ5320" t="s">
        <v>37769</v>
      </c>
      <c r="AT5320" s="184">
        <v>43496</v>
      </c>
      <c r="AU5320" t="s">
        <v>37770</v>
      </c>
      <c r="AV5320">
        <v>50</v>
      </c>
      <c r="AW5320" s="184">
        <v>45315</v>
      </c>
      <c r="AX5320" t="s">
        <v>9445</v>
      </c>
      <c r="AY5320">
        <v>50</v>
      </c>
      <c r="AZ5320" s="184">
        <v>45315</v>
      </c>
      <c r="BA5320" t="s">
        <v>9445</v>
      </c>
      <c r="BB5320">
        <v>50</v>
      </c>
      <c r="BC5320">
        <v>67</v>
      </c>
      <c r="BD5320">
        <v>200</v>
      </c>
      <c r="BE5320">
        <v>2019</v>
      </c>
      <c r="BF5320">
        <v>4</v>
      </c>
      <c r="BG5320">
        <v>2</v>
      </c>
      <c r="BH5320">
        <v>100</v>
      </c>
      <c r="BI5320">
        <v>4</v>
      </c>
      <c r="BJ5320">
        <v>6</v>
      </c>
      <c r="BK5320">
        <v>3</v>
      </c>
      <c r="BP5320" s="184"/>
    </row>
    <row r="5321" spans="1:68">
      <c r="A5321">
        <v>99946162</v>
      </c>
      <c r="B5321">
        <v>99946162</v>
      </c>
      <c r="C5321" t="s">
        <v>7018</v>
      </c>
      <c r="D5321" t="s">
        <v>595</v>
      </c>
      <c r="E5321" s="184">
        <v>43969</v>
      </c>
      <c r="H5321" t="s">
        <v>595</v>
      </c>
      <c r="I5321" s="184">
        <v>43966</v>
      </c>
      <c r="K5321" s="184"/>
      <c r="M5321" s="184"/>
      <c r="O5321" s="184"/>
      <c r="P5321" t="s">
        <v>7045</v>
      </c>
      <c r="Q5321" t="s">
        <v>7160</v>
      </c>
      <c r="R5321" s="184">
        <v>24571</v>
      </c>
      <c r="S5321">
        <v>57</v>
      </c>
      <c r="U5321" t="s">
        <v>7076</v>
      </c>
      <c r="V5321" t="s">
        <v>2602</v>
      </c>
      <c r="W5321" t="s">
        <v>4013</v>
      </c>
      <c r="X5321" t="s">
        <v>7319</v>
      </c>
      <c r="AF5321" t="s">
        <v>37771</v>
      </c>
      <c r="AG5321" t="s">
        <v>2602</v>
      </c>
      <c r="AI5321" t="s">
        <v>37772</v>
      </c>
      <c r="AM5321" t="s">
        <v>37773</v>
      </c>
      <c r="AN5321" t="s">
        <v>2395</v>
      </c>
      <c r="AO5321" t="s">
        <v>37774</v>
      </c>
      <c r="AP5321" t="s">
        <v>7024</v>
      </c>
      <c r="AQ5321" t="s">
        <v>37775</v>
      </c>
      <c r="AT5321" s="184">
        <v>43500</v>
      </c>
      <c r="AU5321" t="s">
        <v>37776</v>
      </c>
      <c r="AV5321">
        <v>19.95</v>
      </c>
      <c r="AW5321" s="184">
        <v>45415</v>
      </c>
      <c r="AX5321" t="s">
        <v>7112</v>
      </c>
      <c r="AY5321">
        <v>10</v>
      </c>
      <c r="AZ5321" s="184">
        <v>43500</v>
      </c>
      <c r="BA5321" t="s">
        <v>37776</v>
      </c>
      <c r="BB5321">
        <v>19.95</v>
      </c>
      <c r="BC5321">
        <v>100</v>
      </c>
      <c r="BD5321">
        <v>449.95</v>
      </c>
      <c r="BE5321">
        <v>2019</v>
      </c>
      <c r="BF5321">
        <v>37</v>
      </c>
      <c r="BG5321">
        <v>18</v>
      </c>
      <c r="BH5321">
        <v>180</v>
      </c>
      <c r="BI5321">
        <v>6</v>
      </c>
      <c r="BJ5321">
        <v>6</v>
      </c>
      <c r="BK5321">
        <v>6</v>
      </c>
      <c r="BP5321" s="184"/>
    </row>
    <row r="5322" spans="1:68">
      <c r="A5322">
        <v>99951865</v>
      </c>
      <c r="B5322">
        <v>99951865</v>
      </c>
      <c r="C5322" t="s">
        <v>7018</v>
      </c>
      <c r="E5322" s="184"/>
      <c r="G5322" s="184"/>
      <c r="H5322" t="s">
        <v>595</v>
      </c>
      <c r="I5322" s="184">
        <v>43829</v>
      </c>
      <c r="K5322" s="184"/>
      <c r="P5322" t="s">
        <v>7045</v>
      </c>
      <c r="Q5322" t="s">
        <v>7454</v>
      </c>
      <c r="R5322" s="184">
        <v>17441</v>
      </c>
      <c r="S5322">
        <v>76</v>
      </c>
      <c r="U5322" t="s">
        <v>7031</v>
      </c>
      <c r="V5322" t="s">
        <v>2979</v>
      </c>
      <c r="X5322" t="s">
        <v>4493</v>
      </c>
      <c r="Z5322">
        <v>100333150</v>
      </c>
      <c r="AB5322" t="s">
        <v>2989</v>
      </c>
      <c r="AD5322" t="s">
        <v>37777</v>
      </c>
      <c r="AF5322" t="s">
        <v>37778</v>
      </c>
      <c r="AG5322" t="s">
        <v>37779</v>
      </c>
      <c r="AI5322" t="s">
        <v>37780</v>
      </c>
      <c r="AM5322" t="s">
        <v>4494</v>
      </c>
      <c r="AN5322" t="s">
        <v>2055</v>
      </c>
      <c r="AO5322" t="s">
        <v>37781</v>
      </c>
      <c r="AP5322" t="s">
        <v>7024</v>
      </c>
      <c r="AQ5322" t="s">
        <v>37782</v>
      </c>
      <c r="AT5322" s="184">
        <v>43506</v>
      </c>
      <c r="AU5322" t="s">
        <v>7765</v>
      </c>
      <c r="AV5322">
        <v>50</v>
      </c>
      <c r="AW5322" s="184">
        <v>45280</v>
      </c>
      <c r="AX5322" t="s">
        <v>37783</v>
      </c>
      <c r="AY5322">
        <v>52.5</v>
      </c>
      <c r="AZ5322" s="184">
        <v>45280</v>
      </c>
      <c r="BA5322" t="s">
        <v>37783</v>
      </c>
      <c r="BB5322">
        <v>52.5</v>
      </c>
      <c r="BC5322">
        <v>84</v>
      </c>
      <c r="BD5322">
        <v>394.5</v>
      </c>
      <c r="BE5322">
        <v>2019</v>
      </c>
      <c r="BF5322">
        <v>9</v>
      </c>
      <c r="BG5322">
        <v>2</v>
      </c>
      <c r="BH5322">
        <v>102.5</v>
      </c>
      <c r="BI5322">
        <v>5</v>
      </c>
      <c r="BJ5322">
        <v>6</v>
      </c>
      <c r="BK5322">
        <v>5</v>
      </c>
      <c r="BP5322" s="184"/>
    </row>
    <row r="5323" spans="1:68">
      <c r="A5323">
        <v>100333150</v>
      </c>
      <c r="B5323">
        <v>99951865</v>
      </c>
      <c r="C5323" t="s">
        <v>7018</v>
      </c>
      <c r="E5323" s="184"/>
      <c r="G5323" s="184"/>
      <c r="H5323" t="s">
        <v>595</v>
      </c>
      <c r="I5323" s="184">
        <v>43829</v>
      </c>
      <c r="K5323" s="184"/>
      <c r="O5323" s="184"/>
      <c r="P5323" t="s">
        <v>7045</v>
      </c>
      <c r="Q5323" t="s">
        <v>7454</v>
      </c>
      <c r="R5323" s="184">
        <v>18872</v>
      </c>
      <c r="S5323">
        <v>72</v>
      </c>
      <c r="V5323" t="s">
        <v>2989</v>
      </c>
      <c r="X5323" t="s">
        <v>37777</v>
      </c>
      <c r="Z5323">
        <v>99951865</v>
      </c>
      <c r="AA5323" t="s">
        <v>7031</v>
      </c>
      <c r="AB5323" t="s">
        <v>2979</v>
      </c>
      <c r="AD5323" t="s">
        <v>4493</v>
      </c>
      <c r="AF5323" t="s">
        <v>37778</v>
      </c>
      <c r="AG5323" t="s">
        <v>37779</v>
      </c>
      <c r="AI5323" t="s">
        <v>37780</v>
      </c>
      <c r="AM5323" t="s">
        <v>4494</v>
      </c>
      <c r="AN5323" t="s">
        <v>2055</v>
      </c>
      <c r="AO5323" t="s">
        <v>37781</v>
      </c>
      <c r="AP5323" t="s">
        <v>7024</v>
      </c>
      <c r="AT5323" s="184"/>
      <c r="AW5323" s="184"/>
      <c r="AZ5323" s="184"/>
      <c r="BP5323" s="184"/>
    </row>
    <row r="5324" spans="1:68">
      <c r="A5324">
        <v>100003858</v>
      </c>
      <c r="B5324">
        <v>100003858</v>
      </c>
      <c r="C5324" t="s">
        <v>7018</v>
      </c>
      <c r="E5324" s="184"/>
      <c r="G5324" s="184"/>
      <c r="I5324" s="184"/>
      <c r="J5324" t="s">
        <v>595</v>
      </c>
      <c r="K5324" s="184">
        <v>41166</v>
      </c>
      <c r="O5324" s="184"/>
      <c r="P5324" t="s">
        <v>7045</v>
      </c>
      <c r="Q5324" t="s">
        <v>7454</v>
      </c>
      <c r="R5324" s="184"/>
      <c r="U5324" t="s">
        <v>7130</v>
      </c>
      <c r="V5324" t="s">
        <v>37784</v>
      </c>
      <c r="X5324" t="s">
        <v>37785</v>
      </c>
      <c r="Z5324">
        <v>100174591</v>
      </c>
      <c r="AA5324" t="s">
        <v>7031</v>
      </c>
      <c r="AB5324" t="s">
        <v>32377</v>
      </c>
      <c r="AC5324" t="s">
        <v>7469</v>
      </c>
      <c r="AD5324" t="s">
        <v>37786</v>
      </c>
      <c r="AF5324" t="s">
        <v>6352</v>
      </c>
      <c r="AG5324" t="s">
        <v>37784</v>
      </c>
      <c r="AI5324" t="s">
        <v>37787</v>
      </c>
      <c r="AM5324" t="s">
        <v>3551</v>
      </c>
      <c r="AN5324" t="s">
        <v>2299</v>
      </c>
      <c r="AO5324" t="s">
        <v>37788</v>
      </c>
      <c r="AP5324" t="s">
        <v>7024</v>
      </c>
      <c r="AT5324" s="184">
        <v>33129</v>
      </c>
      <c r="AU5324" t="s">
        <v>11513</v>
      </c>
      <c r="AV5324">
        <v>15</v>
      </c>
      <c r="AW5324" s="184">
        <v>41166</v>
      </c>
      <c r="AX5324" t="s">
        <v>13035</v>
      </c>
      <c r="AY5324">
        <v>1000</v>
      </c>
      <c r="AZ5324" s="184">
        <v>41166</v>
      </c>
      <c r="BA5324" t="s">
        <v>13035</v>
      </c>
      <c r="BB5324">
        <v>1000</v>
      </c>
      <c r="BC5324">
        <v>52</v>
      </c>
      <c r="BD5324">
        <v>1389</v>
      </c>
      <c r="BE5324">
        <v>1991</v>
      </c>
      <c r="BF5324">
        <v>21</v>
      </c>
      <c r="BI5324">
        <v>18</v>
      </c>
      <c r="BJ5324">
        <v>35</v>
      </c>
      <c r="BK5324">
        <v>4</v>
      </c>
      <c r="BP5324" s="184"/>
    </row>
    <row r="5325" spans="1:68">
      <c r="A5325">
        <v>100004313</v>
      </c>
      <c r="B5325">
        <v>100004313</v>
      </c>
      <c r="C5325" t="s">
        <v>7018</v>
      </c>
      <c r="E5325" s="184"/>
      <c r="G5325" s="184"/>
      <c r="I5325" s="184"/>
      <c r="J5325" t="s">
        <v>595</v>
      </c>
      <c r="K5325" s="184">
        <v>42912</v>
      </c>
      <c r="O5325" s="184"/>
      <c r="Q5325" t="s">
        <v>7494</v>
      </c>
      <c r="R5325" s="184">
        <v>12724</v>
      </c>
      <c r="S5325">
        <v>89</v>
      </c>
      <c r="U5325" t="s">
        <v>8046</v>
      </c>
      <c r="V5325" t="s">
        <v>3908</v>
      </c>
      <c r="W5325" t="s">
        <v>7355</v>
      </c>
      <c r="X5325" t="s">
        <v>13929</v>
      </c>
      <c r="AF5325" t="s">
        <v>37789</v>
      </c>
      <c r="AG5325" t="s">
        <v>3908</v>
      </c>
      <c r="AI5325" t="s">
        <v>37790</v>
      </c>
      <c r="AM5325" t="s">
        <v>3694</v>
      </c>
      <c r="AN5325" t="s">
        <v>2174</v>
      </c>
      <c r="AO5325" t="s">
        <v>37791</v>
      </c>
      <c r="AP5325" t="s">
        <v>7024</v>
      </c>
      <c r="AQ5325" t="s">
        <v>37792</v>
      </c>
      <c r="AR5325" t="s">
        <v>37793</v>
      </c>
      <c r="AT5325" s="184">
        <v>32266</v>
      </c>
      <c r="AU5325" t="s">
        <v>37794</v>
      </c>
      <c r="AV5325">
        <v>22</v>
      </c>
      <c r="AW5325" s="184">
        <v>42912</v>
      </c>
      <c r="AX5325" t="s">
        <v>19550</v>
      </c>
      <c r="AY5325">
        <v>10000</v>
      </c>
      <c r="AZ5325" s="184">
        <v>42912</v>
      </c>
      <c r="BA5325" t="s">
        <v>19550</v>
      </c>
      <c r="BB5325">
        <v>10000</v>
      </c>
      <c r="BC5325">
        <v>76</v>
      </c>
      <c r="BD5325">
        <v>11312</v>
      </c>
      <c r="BE5325">
        <v>1988</v>
      </c>
      <c r="BF5325">
        <v>58</v>
      </c>
      <c r="BI5325">
        <v>28</v>
      </c>
      <c r="BJ5325">
        <v>37</v>
      </c>
      <c r="BK5325">
        <v>26</v>
      </c>
      <c r="BL5325" t="s">
        <v>595</v>
      </c>
      <c r="BM5325" t="s">
        <v>595</v>
      </c>
      <c r="BN5325" t="s">
        <v>595</v>
      </c>
      <c r="BO5325" t="s">
        <v>595</v>
      </c>
      <c r="BP5325" s="184">
        <v>42590</v>
      </c>
    </row>
    <row r="5326" spans="1:68">
      <c r="A5326">
        <v>100004318</v>
      </c>
      <c r="B5326">
        <v>100004318</v>
      </c>
      <c r="C5326" t="s">
        <v>7018</v>
      </c>
      <c r="E5326" s="184"/>
      <c r="G5326" s="184"/>
      <c r="I5326" s="184"/>
      <c r="J5326" t="s">
        <v>595</v>
      </c>
      <c r="K5326" s="184">
        <v>30865</v>
      </c>
      <c r="M5326" s="184"/>
      <c r="O5326" s="184"/>
      <c r="Q5326" t="s">
        <v>7020</v>
      </c>
      <c r="R5326" s="184"/>
      <c r="V5326" t="s">
        <v>2669</v>
      </c>
      <c r="X5326" t="s">
        <v>5309</v>
      </c>
      <c r="AI5326" t="s">
        <v>37795</v>
      </c>
      <c r="AK5326" t="s">
        <v>37796</v>
      </c>
      <c r="AM5326" t="s">
        <v>2788</v>
      </c>
      <c r="AN5326" t="s">
        <v>2465</v>
      </c>
      <c r="AO5326" t="s">
        <v>37797</v>
      </c>
      <c r="AP5326" t="s">
        <v>7024</v>
      </c>
      <c r="AT5326" s="184">
        <v>30721</v>
      </c>
      <c r="AU5326" t="s">
        <v>7073</v>
      </c>
      <c r="AV5326">
        <v>16995.36</v>
      </c>
      <c r="AW5326" s="184">
        <v>30865</v>
      </c>
      <c r="AX5326" t="s">
        <v>37798</v>
      </c>
      <c r="AY5326">
        <v>227.78</v>
      </c>
      <c r="AZ5326" s="184">
        <v>30721</v>
      </c>
      <c r="BA5326" t="s">
        <v>7073</v>
      </c>
      <c r="BB5326">
        <v>16995.36</v>
      </c>
      <c r="BC5326">
        <v>3</v>
      </c>
      <c r="BD5326">
        <v>17223.14</v>
      </c>
      <c r="BE5326">
        <v>1984</v>
      </c>
      <c r="BF5326">
        <v>2</v>
      </c>
      <c r="BI5326">
        <v>1</v>
      </c>
      <c r="BJ5326">
        <v>41</v>
      </c>
      <c r="BK5326">
        <v>1</v>
      </c>
      <c r="BO5326" t="s">
        <v>595</v>
      </c>
      <c r="BP5326" s="184"/>
    </row>
    <row r="5327" spans="1:68">
      <c r="A5327">
        <v>100004333</v>
      </c>
      <c r="B5327">
        <v>100004333</v>
      </c>
      <c r="C5327" t="s">
        <v>7018</v>
      </c>
      <c r="E5327" s="184"/>
      <c r="I5327" s="184"/>
      <c r="J5327" t="s">
        <v>595</v>
      </c>
      <c r="K5327" s="184">
        <v>38070</v>
      </c>
      <c r="M5327" s="184"/>
      <c r="O5327" s="184"/>
      <c r="Q5327" t="s">
        <v>7383</v>
      </c>
      <c r="R5327" s="184">
        <v>1644</v>
      </c>
      <c r="S5327">
        <v>119</v>
      </c>
      <c r="U5327" t="s">
        <v>7031</v>
      </c>
      <c r="V5327" t="s">
        <v>2532</v>
      </c>
      <c r="X5327" t="s">
        <v>5378</v>
      </c>
      <c r="AF5327" t="s">
        <v>5990</v>
      </c>
      <c r="AG5327" t="s">
        <v>5990</v>
      </c>
      <c r="AI5327" t="s">
        <v>37799</v>
      </c>
      <c r="AM5327" t="s">
        <v>5379</v>
      </c>
      <c r="AN5327" t="s">
        <v>2072</v>
      </c>
      <c r="AO5327" t="s">
        <v>37800</v>
      </c>
      <c r="AP5327" t="s">
        <v>7024</v>
      </c>
      <c r="AT5327" s="184">
        <v>32273</v>
      </c>
      <c r="AU5327" t="s">
        <v>7073</v>
      </c>
      <c r="AV5327">
        <v>15</v>
      </c>
      <c r="AW5327" s="184">
        <v>38070</v>
      </c>
      <c r="AX5327" t="s">
        <v>7760</v>
      </c>
      <c r="AY5327">
        <v>1113.81</v>
      </c>
      <c r="AZ5327" s="184">
        <v>37368</v>
      </c>
      <c r="BA5327" t="s">
        <v>37801</v>
      </c>
      <c r="BB5327">
        <v>100000</v>
      </c>
      <c r="BC5327">
        <v>44</v>
      </c>
      <c r="BD5327">
        <v>186708.81</v>
      </c>
      <c r="BE5327">
        <v>1988</v>
      </c>
      <c r="BF5327">
        <v>67</v>
      </c>
      <c r="BI5327">
        <v>16</v>
      </c>
      <c r="BJ5327">
        <v>37</v>
      </c>
      <c r="BK5327">
        <v>12</v>
      </c>
      <c r="BM5327" t="s">
        <v>595</v>
      </c>
      <c r="BO5327" t="s">
        <v>595</v>
      </c>
      <c r="BP5327" s="184">
        <v>36946</v>
      </c>
    </row>
    <row r="5328" spans="1:68">
      <c r="A5328">
        <v>100004339</v>
      </c>
      <c r="B5328">
        <v>100004339</v>
      </c>
      <c r="C5328" t="s">
        <v>7018</v>
      </c>
      <c r="E5328" s="184"/>
      <c r="G5328" s="184"/>
      <c r="I5328" s="184"/>
      <c r="J5328" t="s">
        <v>595</v>
      </c>
      <c r="K5328" s="184">
        <v>36703</v>
      </c>
      <c r="O5328" s="184"/>
      <c r="Q5328" t="s">
        <v>7194</v>
      </c>
      <c r="R5328" s="184">
        <v>2892</v>
      </c>
      <c r="S5328">
        <v>116</v>
      </c>
      <c r="V5328" t="s">
        <v>3722</v>
      </c>
      <c r="W5328" t="s">
        <v>2963</v>
      </c>
      <c r="X5328" t="s">
        <v>37802</v>
      </c>
      <c r="AI5328" t="s">
        <v>37803</v>
      </c>
      <c r="AM5328" t="s">
        <v>7473</v>
      </c>
      <c r="AN5328" t="s">
        <v>2046</v>
      </c>
      <c r="AO5328" t="s">
        <v>37804</v>
      </c>
      <c r="AP5328" t="s">
        <v>7024</v>
      </c>
      <c r="AT5328" s="184">
        <v>30517</v>
      </c>
      <c r="AU5328" t="s">
        <v>37805</v>
      </c>
      <c r="AV5328">
        <v>15</v>
      </c>
      <c r="AW5328" s="184">
        <v>36703</v>
      </c>
      <c r="AX5328" t="s">
        <v>37806</v>
      </c>
      <c r="AY5328">
        <v>500</v>
      </c>
      <c r="AZ5328" s="184">
        <v>36703</v>
      </c>
      <c r="BA5328" t="s">
        <v>37806</v>
      </c>
      <c r="BB5328">
        <v>500</v>
      </c>
      <c r="BC5328">
        <v>34</v>
      </c>
      <c r="BD5328">
        <v>1504</v>
      </c>
      <c r="BE5328">
        <v>1984</v>
      </c>
      <c r="BF5328">
        <v>18</v>
      </c>
      <c r="BI5328">
        <v>14</v>
      </c>
      <c r="BJ5328">
        <v>42</v>
      </c>
      <c r="BK5328">
        <v>9</v>
      </c>
      <c r="BO5328" t="s">
        <v>595</v>
      </c>
      <c r="BP5328" s="184"/>
    </row>
    <row r="5329" spans="1:68">
      <c r="A5329">
        <v>100004347</v>
      </c>
      <c r="B5329">
        <v>100004347</v>
      </c>
      <c r="C5329" t="s">
        <v>7018</v>
      </c>
      <c r="E5329" s="184"/>
      <c r="G5329" s="184"/>
      <c r="I5329" s="184"/>
      <c r="J5329" t="s">
        <v>595</v>
      </c>
      <c r="K5329" s="184">
        <v>38992</v>
      </c>
      <c r="O5329" s="184"/>
      <c r="Q5329" t="s">
        <v>7383</v>
      </c>
      <c r="R5329" s="184">
        <v>5605</v>
      </c>
      <c r="S5329">
        <v>109</v>
      </c>
      <c r="U5329" t="s">
        <v>15150</v>
      </c>
      <c r="V5329" t="s">
        <v>2669</v>
      </c>
      <c r="W5329" t="s">
        <v>7268</v>
      </c>
      <c r="X5329" t="s">
        <v>37807</v>
      </c>
      <c r="AF5329" t="s">
        <v>37808</v>
      </c>
      <c r="AG5329" t="s">
        <v>2669</v>
      </c>
      <c r="AI5329" t="s">
        <v>37809</v>
      </c>
      <c r="AM5329" t="s">
        <v>14850</v>
      </c>
      <c r="AN5329" t="s">
        <v>2274</v>
      </c>
      <c r="AO5329" t="s">
        <v>37810</v>
      </c>
      <c r="AP5329" t="s">
        <v>7024</v>
      </c>
      <c r="AT5329" s="184">
        <v>31345</v>
      </c>
      <c r="AU5329" t="s">
        <v>37811</v>
      </c>
      <c r="AV5329">
        <v>18</v>
      </c>
      <c r="AW5329" s="184">
        <v>38992</v>
      </c>
      <c r="AX5329" t="s">
        <v>37812</v>
      </c>
      <c r="AY5329">
        <v>1000</v>
      </c>
      <c r="AZ5329" s="184">
        <v>38992</v>
      </c>
      <c r="BA5329" t="s">
        <v>37812</v>
      </c>
      <c r="BB5329">
        <v>1000</v>
      </c>
      <c r="BC5329">
        <v>35</v>
      </c>
      <c r="BD5329">
        <v>1720</v>
      </c>
      <c r="BE5329">
        <v>1986</v>
      </c>
      <c r="BF5329">
        <v>28</v>
      </c>
      <c r="BI5329">
        <v>14</v>
      </c>
      <c r="BJ5329">
        <v>40</v>
      </c>
      <c r="BK5329">
        <v>8</v>
      </c>
      <c r="BO5329" t="s">
        <v>595</v>
      </c>
      <c r="BP5329" s="184"/>
    </row>
    <row r="5330" spans="1:68">
      <c r="A5330">
        <v>100004387</v>
      </c>
      <c r="B5330">
        <v>100004387</v>
      </c>
      <c r="C5330" t="s">
        <v>7018</v>
      </c>
      <c r="E5330" s="184"/>
      <c r="I5330" s="184"/>
      <c r="J5330" t="s">
        <v>595</v>
      </c>
      <c r="K5330" s="184">
        <v>36060</v>
      </c>
      <c r="O5330" s="184"/>
      <c r="Q5330" t="s">
        <v>7020</v>
      </c>
      <c r="R5330" s="184"/>
      <c r="V5330" t="s">
        <v>3400</v>
      </c>
      <c r="W5330" t="s">
        <v>37813</v>
      </c>
      <c r="X5330" t="s">
        <v>37814</v>
      </c>
      <c r="AF5330" t="s">
        <v>37815</v>
      </c>
      <c r="AG5330" t="s">
        <v>3400</v>
      </c>
      <c r="AI5330" t="s">
        <v>37816</v>
      </c>
      <c r="AK5330" t="s">
        <v>37817</v>
      </c>
      <c r="AM5330" t="s">
        <v>3004</v>
      </c>
      <c r="AN5330" t="s">
        <v>2112</v>
      </c>
      <c r="AO5330" t="s">
        <v>37818</v>
      </c>
      <c r="AP5330" t="s">
        <v>7024</v>
      </c>
      <c r="AT5330" s="184">
        <v>32408</v>
      </c>
      <c r="AU5330" t="s">
        <v>37798</v>
      </c>
      <c r="AV5330">
        <v>200</v>
      </c>
      <c r="AW5330" s="184">
        <v>32408</v>
      </c>
      <c r="AX5330" t="s">
        <v>37798</v>
      </c>
      <c r="AY5330">
        <v>200</v>
      </c>
      <c r="AZ5330" s="184">
        <v>32408</v>
      </c>
      <c r="BA5330" t="s">
        <v>37798</v>
      </c>
      <c r="BB5330">
        <v>200</v>
      </c>
      <c r="BC5330">
        <v>3</v>
      </c>
      <c r="BD5330">
        <v>200</v>
      </c>
      <c r="BE5330">
        <v>1989</v>
      </c>
      <c r="BF5330">
        <v>1</v>
      </c>
      <c r="BI5330">
        <v>1</v>
      </c>
      <c r="BJ5330">
        <v>37</v>
      </c>
      <c r="BK5330">
        <v>1</v>
      </c>
      <c r="BO5330" t="s">
        <v>595</v>
      </c>
      <c r="BP5330" s="184"/>
    </row>
    <row r="5331" spans="1:68">
      <c r="A5331">
        <v>100004396</v>
      </c>
      <c r="B5331">
        <v>100004396</v>
      </c>
      <c r="C5331" t="s">
        <v>7018</v>
      </c>
      <c r="E5331" s="184"/>
      <c r="I5331" s="184"/>
      <c r="J5331" t="s">
        <v>595</v>
      </c>
      <c r="K5331" s="184">
        <v>37599</v>
      </c>
      <c r="O5331" s="184"/>
      <c r="Q5331" t="s">
        <v>7374</v>
      </c>
      <c r="R5331" s="184"/>
      <c r="V5331" t="s">
        <v>2609</v>
      </c>
      <c r="X5331" t="s">
        <v>37819</v>
      </c>
      <c r="AI5331" t="s">
        <v>37820</v>
      </c>
      <c r="AM5331" t="s">
        <v>9745</v>
      </c>
      <c r="AN5331" t="s">
        <v>2081</v>
      </c>
      <c r="AO5331" t="s">
        <v>37821</v>
      </c>
      <c r="AP5331" t="s">
        <v>7024</v>
      </c>
      <c r="AT5331" s="184">
        <v>30655</v>
      </c>
      <c r="AU5331" t="s">
        <v>7073</v>
      </c>
      <c r="AV5331">
        <v>50</v>
      </c>
      <c r="AW5331" s="184">
        <v>37599</v>
      </c>
      <c r="AX5331" t="s">
        <v>37822</v>
      </c>
      <c r="AY5331">
        <v>14974.87</v>
      </c>
      <c r="AZ5331" s="184">
        <v>36706</v>
      </c>
      <c r="BA5331" t="s">
        <v>37823</v>
      </c>
      <c r="BB5331">
        <v>260000</v>
      </c>
      <c r="BC5331">
        <v>43</v>
      </c>
      <c r="BD5331">
        <v>491474.87</v>
      </c>
      <c r="BE5331">
        <v>1984</v>
      </c>
      <c r="BF5331">
        <v>29</v>
      </c>
      <c r="BI5331">
        <v>18</v>
      </c>
      <c r="BJ5331">
        <v>42</v>
      </c>
      <c r="BK5331">
        <v>13</v>
      </c>
      <c r="BM5331" t="s">
        <v>595</v>
      </c>
      <c r="BO5331" t="s">
        <v>595</v>
      </c>
      <c r="BP5331" s="184"/>
    </row>
    <row r="5332" spans="1:68">
      <c r="A5332">
        <v>100004414</v>
      </c>
      <c r="B5332">
        <v>100004414</v>
      </c>
      <c r="C5332" t="s">
        <v>7018</v>
      </c>
      <c r="E5332" s="184"/>
      <c r="I5332" s="184"/>
      <c r="J5332" t="s">
        <v>595</v>
      </c>
      <c r="K5332" s="184">
        <v>34220</v>
      </c>
      <c r="O5332" s="184"/>
      <c r="Q5332" t="s">
        <v>7020</v>
      </c>
      <c r="R5332" s="184"/>
      <c r="V5332" t="s">
        <v>2586</v>
      </c>
      <c r="W5332" t="s">
        <v>7107</v>
      </c>
      <c r="X5332" t="s">
        <v>3666</v>
      </c>
      <c r="AF5332" t="s">
        <v>37824</v>
      </c>
      <c r="AG5332" t="s">
        <v>2586</v>
      </c>
      <c r="AI5332" t="s">
        <v>37825</v>
      </c>
      <c r="AK5332" t="s">
        <v>37826</v>
      </c>
      <c r="AM5332" t="s">
        <v>5350</v>
      </c>
      <c r="AN5332" t="s">
        <v>2206</v>
      </c>
      <c r="AO5332">
        <v>2903</v>
      </c>
      <c r="AP5332" t="s">
        <v>7024</v>
      </c>
      <c r="AT5332" s="184">
        <v>34149</v>
      </c>
      <c r="AU5332" t="s">
        <v>37798</v>
      </c>
      <c r="AV5332">
        <v>104524.48</v>
      </c>
      <c r="AW5332" s="184">
        <v>34220</v>
      </c>
      <c r="AX5332" t="s">
        <v>37827</v>
      </c>
      <c r="AY5332">
        <v>10883.2</v>
      </c>
      <c r="AZ5332" s="184">
        <v>34158</v>
      </c>
      <c r="BA5332" t="s">
        <v>37798</v>
      </c>
      <c r="BB5332">
        <v>190994.83</v>
      </c>
      <c r="BC5332">
        <v>4</v>
      </c>
      <c r="BD5332">
        <v>406643.14</v>
      </c>
      <c r="BE5332">
        <v>1993</v>
      </c>
      <c r="BF5332">
        <v>4</v>
      </c>
      <c r="BI5332">
        <v>1</v>
      </c>
      <c r="BJ5332">
        <v>32</v>
      </c>
      <c r="BK5332">
        <v>1</v>
      </c>
      <c r="BO5332" t="s">
        <v>595</v>
      </c>
      <c r="BP5332" s="184"/>
    </row>
    <row r="5333" spans="1:68">
      <c r="A5333">
        <v>100004421</v>
      </c>
      <c r="B5333">
        <v>100004421</v>
      </c>
      <c r="C5333" t="s">
        <v>7018</v>
      </c>
      <c r="E5333" s="184"/>
      <c r="G5333" s="184"/>
      <c r="I5333" s="184"/>
      <c r="J5333" t="s">
        <v>595</v>
      </c>
      <c r="K5333" s="184">
        <v>40574</v>
      </c>
      <c r="Q5333" t="s">
        <v>7030</v>
      </c>
      <c r="R5333" s="184">
        <v>6742</v>
      </c>
      <c r="S5333">
        <v>105</v>
      </c>
      <c r="U5333" t="s">
        <v>7130</v>
      </c>
      <c r="V5333" t="s">
        <v>3510</v>
      </c>
      <c r="W5333" t="s">
        <v>7107</v>
      </c>
      <c r="X5333" t="s">
        <v>5423</v>
      </c>
      <c r="Z5333">
        <v>100174331</v>
      </c>
      <c r="AA5333" t="s">
        <v>7031</v>
      </c>
      <c r="AB5333" t="s">
        <v>16068</v>
      </c>
      <c r="AC5333" t="s">
        <v>7046</v>
      </c>
      <c r="AD5333" t="s">
        <v>5423</v>
      </c>
      <c r="AF5333" t="s">
        <v>37828</v>
      </c>
      <c r="AG5333" t="s">
        <v>3510</v>
      </c>
      <c r="AI5333" t="s">
        <v>37829</v>
      </c>
      <c r="AJ5333" t="s">
        <v>37830</v>
      </c>
      <c r="AM5333" t="s">
        <v>2564</v>
      </c>
      <c r="AN5333" t="s">
        <v>2089</v>
      </c>
      <c r="AO5333">
        <v>85728</v>
      </c>
      <c r="AP5333" t="s">
        <v>7024</v>
      </c>
      <c r="AT5333" s="184">
        <v>30516</v>
      </c>
      <c r="AU5333" t="s">
        <v>7073</v>
      </c>
      <c r="AV5333">
        <v>300</v>
      </c>
      <c r="AW5333" s="184">
        <v>40574</v>
      </c>
      <c r="AX5333" t="s">
        <v>14283</v>
      </c>
      <c r="AY5333">
        <v>243.7</v>
      </c>
      <c r="AZ5333" s="184">
        <v>40540</v>
      </c>
      <c r="BA5333" t="s">
        <v>14283</v>
      </c>
      <c r="BB5333">
        <v>13032.99</v>
      </c>
      <c r="BC5333">
        <v>48</v>
      </c>
      <c r="BD5333">
        <v>104010.69</v>
      </c>
      <c r="BE5333">
        <v>1984</v>
      </c>
      <c r="BF5333">
        <v>30</v>
      </c>
      <c r="BI5333">
        <v>20</v>
      </c>
      <c r="BJ5333">
        <v>42</v>
      </c>
      <c r="BK5333">
        <v>11</v>
      </c>
      <c r="BM5333" t="s">
        <v>595</v>
      </c>
      <c r="BP5333" s="184"/>
    </row>
    <row r="5334" spans="1:68">
      <c r="A5334">
        <v>100004434</v>
      </c>
      <c r="B5334">
        <v>100004434</v>
      </c>
      <c r="C5334" t="s">
        <v>7018</v>
      </c>
      <c r="E5334" s="184"/>
      <c r="I5334" s="184"/>
      <c r="J5334" t="s">
        <v>595</v>
      </c>
      <c r="K5334" s="184">
        <v>38973</v>
      </c>
      <c r="Q5334" t="s">
        <v>7383</v>
      </c>
      <c r="R5334" s="184"/>
      <c r="V5334" t="s">
        <v>5343</v>
      </c>
      <c r="W5334" t="s">
        <v>5006</v>
      </c>
      <c r="X5334" t="s">
        <v>5342</v>
      </c>
      <c r="Z5334">
        <v>100174313</v>
      </c>
      <c r="AA5334" t="s">
        <v>27091</v>
      </c>
      <c r="AD5334" t="s">
        <v>37831</v>
      </c>
      <c r="AF5334" t="s">
        <v>5990</v>
      </c>
      <c r="AG5334" t="s">
        <v>5990</v>
      </c>
      <c r="AI5334" t="s">
        <v>37832</v>
      </c>
      <c r="AM5334" t="s">
        <v>4965</v>
      </c>
      <c r="AN5334" t="s">
        <v>2313</v>
      </c>
      <c r="AO5334" t="s">
        <v>37833</v>
      </c>
      <c r="AP5334" t="s">
        <v>7024</v>
      </c>
      <c r="AT5334" s="184">
        <v>30551</v>
      </c>
      <c r="AU5334" t="s">
        <v>7073</v>
      </c>
      <c r="AV5334">
        <v>18</v>
      </c>
      <c r="AW5334" s="184">
        <v>38973</v>
      </c>
      <c r="AX5334" t="s">
        <v>37812</v>
      </c>
      <c r="AY5334">
        <v>174.46</v>
      </c>
      <c r="AZ5334" s="184">
        <v>35597</v>
      </c>
      <c r="BA5334" t="s">
        <v>37834</v>
      </c>
      <c r="BB5334">
        <v>200000</v>
      </c>
      <c r="BC5334">
        <v>39</v>
      </c>
      <c r="BD5334">
        <v>435969.26</v>
      </c>
      <c r="BE5334">
        <v>1984</v>
      </c>
      <c r="BF5334">
        <v>22</v>
      </c>
      <c r="BI5334">
        <v>16</v>
      </c>
      <c r="BJ5334">
        <v>42</v>
      </c>
      <c r="BK5334">
        <v>8</v>
      </c>
      <c r="BM5334" t="s">
        <v>595</v>
      </c>
      <c r="BO5334" t="s">
        <v>595</v>
      </c>
      <c r="BP5334" s="184"/>
    </row>
    <row r="5335" spans="1:68">
      <c r="A5335">
        <v>100004438</v>
      </c>
      <c r="B5335">
        <v>100004438</v>
      </c>
      <c r="C5335" t="s">
        <v>7018</v>
      </c>
      <c r="E5335" s="184"/>
      <c r="G5335" s="184"/>
      <c r="I5335" s="184"/>
      <c r="J5335" t="s">
        <v>595</v>
      </c>
      <c r="K5335" s="184">
        <v>34150</v>
      </c>
      <c r="O5335" s="184"/>
      <c r="Q5335" t="s">
        <v>7454</v>
      </c>
      <c r="R5335" s="184"/>
      <c r="V5335" t="s">
        <v>3444</v>
      </c>
      <c r="W5335" t="s">
        <v>2963</v>
      </c>
      <c r="X5335" t="s">
        <v>14803</v>
      </c>
      <c r="AI5335" t="s">
        <v>37835</v>
      </c>
      <c r="AM5335" t="s">
        <v>32117</v>
      </c>
      <c r="AN5335" t="s">
        <v>2055</v>
      </c>
      <c r="AO5335" t="s">
        <v>37836</v>
      </c>
      <c r="AP5335" t="s">
        <v>7024</v>
      </c>
      <c r="AT5335" s="184">
        <v>30483</v>
      </c>
      <c r="AU5335" t="s">
        <v>8132</v>
      </c>
      <c r="AV5335">
        <v>25</v>
      </c>
      <c r="AW5335" s="184">
        <v>34150</v>
      </c>
      <c r="AX5335" t="s">
        <v>37837</v>
      </c>
      <c r="AY5335">
        <v>16338.77</v>
      </c>
      <c r="AZ5335" s="184">
        <v>34150</v>
      </c>
      <c r="BA5335" t="s">
        <v>37837</v>
      </c>
      <c r="BB5335">
        <v>16338.77</v>
      </c>
      <c r="BC5335">
        <v>10</v>
      </c>
      <c r="BD5335">
        <v>16588.77</v>
      </c>
      <c r="BE5335">
        <v>1983</v>
      </c>
      <c r="BF5335">
        <v>6</v>
      </c>
      <c r="BI5335">
        <v>4</v>
      </c>
      <c r="BJ5335">
        <v>42</v>
      </c>
      <c r="BK5335">
        <v>3</v>
      </c>
      <c r="BO5335" t="s">
        <v>595</v>
      </c>
      <c r="BP5335" s="184"/>
    </row>
    <row r="5336" spans="1:68">
      <c r="A5336">
        <v>100004457</v>
      </c>
      <c r="B5336">
        <v>100004457</v>
      </c>
      <c r="C5336" t="s">
        <v>7018</v>
      </c>
      <c r="E5336" s="184"/>
      <c r="I5336" s="184"/>
      <c r="J5336" t="s">
        <v>595</v>
      </c>
      <c r="K5336" s="184">
        <v>34995</v>
      </c>
      <c r="M5336" s="184"/>
      <c r="O5336" s="184"/>
      <c r="Q5336" t="s">
        <v>7383</v>
      </c>
      <c r="R5336" s="184"/>
      <c r="V5336" t="s">
        <v>37838</v>
      </c>
      <c r="W5336" t="s">
        <v>5006</v>
      </c>
      <c r="X5336" t="s">
        <v>37839</v>
      </c>
      <c r="AF5336" t="s">
        <v>37840</v>
      </c>
      <c r="AG5336" t="s">
        <v>37838</v>
      </c>
      <c r="AI5336" t="s">
        <v>37841</v>
      </c>
      <c r="AM5336" t="s">
        <v>3579</v>
      </c>
      <c r="AN5336" t="s">
        <v>2072</v>
      </c>
      <c r="AO5336" t="s">
        <v>37842</v>
      </c>
      <c r="AP5336" t="s">
        <v>7024</v>
      </c>
      <c r="AT5336" s="184">
        <v>30722</v>
      </c>
      <c r="AU5336" t="s">
        <v>7173</v>
      </c>
      <c r="AV5336">
        <v>50</v>
      </c>
      <c r="AW5336" s="184">
        <v>34995</v>
      </c>
      <c r="AX5336" t="s">
        <v>37843</v>
      </c>
      <c r="AY5336">
        <v>5000</v>
      </c>
      <c r="AZ5336" s="184">
        <v>34995</v>
      </c>
      <c r="BA5336" t="s">
        <v>37843</v>
      </c>
      <c r="BB5336">
        <v>5000</v>
      </c>
      <c r="BC5336">
        <v>27</v>
      </c>
      <c r="BD5336">
        <v>6180</v>
      </c>
      <c r="BE5336">
        <v>1984</v>
      </c>
      <c r="BF5336">
        <v>18</v>
      </c>
      <c r="BI5336">
        <v>11</v>
      </c>
      <c r="BJ5336">
        <v>41</v>
      </c>
      <c r="BK5336">
        <v>6</v>
      </c>
      <c r="BO5336" t="s">
        <v>595</v>
      </c>
      <c r="BP5336" s="184"/>
    </row>
    <row r="5337" spans="1:68">
      <c r="A5337">
        <v>100004471</v>
      </c>
      <c r="B5337">
        <v>100004471</v>
      </c>
      <c r="C5337" t="s">
        <v>7018</v>
      </c>
      <c r="E5337" s="184"/>
      <c r="I5337" s="184"/>
      <c r="J5337" t="s">
        <v>595</v>
      </c>
      <c r="K5337" s="184">
        <v>38917</v>
      </c>
      <c r="O5337" s="184"/>
      <c r="Q5337" t="s">
        <v>7383</v>
      </c>
      <c r="R5337" s="184">
        <v>11321</v>
      </c>
      <c r="S5337">
        <v>93</v>
      </c>
      <c r="U5337" t="s">
        <v>7076</v>
      </c>
      <c r="V5337" t="s">
        <v>3444</v>
      </c>
      <c r="W5337" t="s">
        <v>3332</v>
      </c>
      <c r="X5337" t="s">
        <v>5645</v>
      </c>
      <c r="AF5337" t="s">
        <v>37844</v>
      </c>
      <c r="AG5337" t="s">
        <v>3444</v>
      </c>
      <c r="AI5337" t="s">
        <v>37845</v>
      </c>
      <c r="AM5337" t="s">
        <v>2737</v>
      </c>
      <c r="AN5337" t="s">
        <v>2059</v>
      </c>
      <c r="AO5337" t="s">
        <v>37846</v>
      </c>
      <c r="AP5337" t="s">
        <v>7024</v>
      </c>
      <c r="AQ5337" t="s">
        <v>37847</v>
      </c>
      <c r="AT5337" s="184">
        <v>34778</v>
      </c>
      <c r="AU5337" t="s">
        <v>37848</v>
      </c>
      <c r="AV5337">
        <v>25</v>
      </c>
      <c r="AW5337" s="184">
        <v>41596</v>
      </c>
      <c r="AX5337" t="s">
        <v>37849</v>
      </c>
      <c r="AY5337">
        <v>25000</v>
      </c>
      <c r="AZ5337" s="184">
        <v>41596</v>
      </c>
      <c r="BA5337" t="s">
        <v>37849</v>
      </c>
      <c r="BB5337">
        <v>25000</v>
      </c>
      <c r="BC5337">
        <v>64</v>
      </c>
      <c r="BD5337">
        <v>26909</v>
      </c>
      <c r="BE5337">
        <v>1995</v>
      </c>
      <c r="BF5337">
        <v>24</v>
      </c>
      <c r="BI5337">
        <v>19</v>
      </c>
      <c r="BJ5337">
        <v>30</v>
      </c>
      <c r="BK5337">
        <v>19</v>
      </c>
      <c r="BN5337" t="s">
        <v>595</v>
      </c>
      <c r="BO5337" t="s">
        <v>595</v>
      </c>
      <c r="BP5337" s="184">
        <v>41481</v>
      </c>
    </row>
    <row r="5338" spans="1:68">
      <c r="A5338">
        <v>100004502</v>
      </c>
      <c r="B5338">
        <v>100004502</v>
      </c>
      <c r="C5338" t="s">
        <v>7018</v>
      </c>
      <c r="E5338" s="184"/>
      <c r="G5338" s="184"/>
      <c r="I5338" s="184"/>
      <c r="J5338" t="s">
        <v>595</v>
      </c>
      <c r="K5338" s="184">
        <v>39013</v>
      </c>
      <c r="Q5338" t="s">
        <v>7030</v>
      </c>
      <c r="R5338" s="184"/>
      <c r="V5338" t="s">
        <v>3683</v>
      </c>
      <c r="X5338" t="s">
        <v>5464</v>
      </c>
      <c r="Z5338">
        <v>100174573</v>
      </c>
      <c r="AA5338" t="s">
        <v>15150</v>
      </c>
      <c r="AB5338" t="s">
        <v>2828</v>
      </c>
      <c r="AC5338" t="s">
        <v>3951</v>
      </c>
      <c r="AD5338" t="s">
        <v>5464</v>
      </c>
      <c r="AF5338" t="s">
        <v>5990</v>
      </c>
      <c r="AG5338" t="s">
        <v>5990</v>
      </c>
      <c r="AI5338" t="s">
        <v>37850</v>
      </c>
      <c r="AM5338" t="s">
        <v>2976</v>
      </c>
      <c r="AN5338" t="s">
        <v>2094</v>
      </c>
      <c r="AO5338">
        <v>80634</v>
      </c>
      <c r="AP5338" t="s">
        <v>7024</v>
      </c>
      <c r="AT5338" s="184">
        <v>32993</v>
      </c>
      <c r="AU5338" t="s">
        <v>37851</v>
      </c>
      <c r="AV5338">
        <v>30</v>
      </c>
      <c r="AW5338" s="184">
        <v>39013</v>
      </c>
      <c r="AX5338" t="s">
        <v>37812</v>
      </c>
      <c r="AY5338">
        <v>36.630000000000003</v>
      </c>
      <c r="AZ5338" s="184">
        <v>37530</v>
      </c>
      <c r="BA5338" t="s">
        <v>37822</v>
      </c>
      <c r="BB5338">
        <v>57196.59</v>
      </c>
      <c r="BC5338">
        <v>26</v>
      </c>
      <c r="BD5338">
        <v>72625.42</v>
      </c>
      <c r="BE5338">
        <v>1990</v>
      </c>
      <c r="BF5338">
        <v>14</v>
      </c>
      <c r="BI5338">
        <v>9</v>
      </c>
      <c r="BJ5338">
        <v>35</v>
      </c>
      <c r="BK5338">
        <v>5</v>
      </c>
      <c r="BO5338" t="s">
        <v>595</v>
      </c>
      <c r="BP5338" s="184"/>
    </row>
    <row r="5339" spans="1:68">
      <c r="A5339">
        <v>100004510</v>
      </c>
      <c r="B5339">
        <v>100004510</v>
      </c>
      <c r="C5339" t="s">
        <v>7018</v>
      </c>
      <c r="E5339" s="184"/>
      <c r="G5339" s="184"/>
      <c r="I5339" s="184"/>
      <c r="J5339" t="s">
        <v>595</v>
      </c>
      <c r="K5339" s="184">
        <v>36599</v>
      </c>
      <c r="O5339" s="184"/>
      <c r="Q5339" t="s">
        <v>7020</v>
      </c>
      <c r="R5339" s="184">
        <v>4166</v>
      </c>
      <c r="S5339">
        <v>112</v>
      </c>
      <c r="V5339" t="s">
        <v>37852</v>
      </c>
      <c r="X5339" t="s">
        <v>37853</v>
      </c>
      <c r="AI5339" t="s">
        <v>37854</v>
      </c>
      <c r="AM5339" t="s">
        <v>32012</v>
      </c>
      <c r="AN5339" t="s">
        <v>2129</v>
      </c>
      <c r="AO5339" t="s">
        <v>37855</v>
      </c>
      <c r="AP5339" t="s">
        <v>7024</v>
      </c>
      <c r="AT5339" s="184">
        <v>30690</v>
      </c>
      <c r="AU5339" t="s">
        <v>7073</v>
      </c>
      <c r="AV5339">
        <v>50</v>
      </c>
      <c r="AW5339" s="184">
        <v>36599</v>
      </c>
      <c r="AX5339" t="s">
        <v>37823</v>
      </c>
      <c r="AY5339">
        <v>88.1</v>
      </c>
      <c r="AZ5339" s="184">
        <v>36581</v>
      </c>
      <c r="BA5339" t="s">
        <v>37823</v>
      </c>
      <c r="BB5339">
        <v>97609.94</v>
      </c>
      <c r="BC5339">
        <v>37</v>
      </c>
      <c r="BD5339">
        <v>113236.52</v>
      </c>
      <c r="BE5339">
        <v>1984</v>
      </c>
      <c r="BF5339">
        <v>64</v>
      </c>
      <c r="BI5339">
        <v>15</v>
      </c>
      <c r="BJ5339">
        <v>41</v>
      </c>
      <c r="BK5339">
        <v>7</v>
      </c>
      <c r="BO5339" t="s">
        <v>595</v>
      </c>
      <c r="BP5339" s="184"/>
    </row>
    <row r="5340" spans="1:68">
      <c r="A5340">
        <v>100004512</v>
      </c>
      <c r="B5340">
        <v>100004512</v>
      </c>
      <c r="C5340" t="s">
        <v>7018</v>
      </c>
      <c r="E5340" s="184"/>
      <c r="G5340" s="184"/>
      <c r="I5340" s="184"/>
      <c r="J5340" t="s">
        <v>595</v>
      </c>
      <c r="K5340" s="184">
        <v>42978</v>
      </c>
      <c r="O5340" s="184"/>
      <c r="Q5340" t="s">
        <v>7374</v>
      </c>
      <c r="R5340" s="184">
        <v>4447</v>
      </c>
      <c r="S5340">
        <v>112</v>
      </c>
      <c r="U5340" t="s">
        <v>7031</v>
      </c>
      <c r="V5340" t="s">
        <v>2511</v>
      </c>
      <c r="W5340" t="s">
        <v>5410</v>
      </c>
      <c r="X5340" t="s">
        <v>5531</v>
      </c>
      <c r="AF5340" t="s">
        <v>5990</v>
      </c>
      <c r="AG5340" t="s">
        <v>5990</v>
      </c>
      <c r="AI5340" t="s">
        <v>37856</v>
      </c>
      <c r="AM5340" t="s">
        <v>4551</v>
      </c>
      <c r="AN5340" t="s">
        <v>2081</v>
      </c>
      <c r="AO5340" t="s">
        <v>37857</v>
      </c>
      <c r="AP5340" t="s">
        <v>7024</v>
      </c>
      <c r="AT5340" s="184">
        <v>33619</v>
      </c>
      <c r="AU5340" t="s">
        <v>37858</v>
      </c>
      <c r="AV5340">
        <v>42</v>
      </c>
      <c r="AW5340" s="184">
        <v>42978</v>
      </c>
      <c r="AX5340" t="s">
        <v>7445</v>
      </c>
      <c r="AY5340">
        <v>0.49</v>
      </c>
      <c r="AZ5340" s="184">
        <v>40562</v>
      </c>
      <c r="BA5340" t="s">
        <v>14283</v>
      </c>
      <c r="BB5340">
        <v>21660.43</v>
      </c>
      <c r="BC5340">
        <v>34</v>
      </c>
      <c r="BD5340">
        <v>45462.18</v>
      </c>
      <c r="BE5340">
        <v>1992</v>
      </c>
      <c r="BF5340">
        <v>16</v>
      </c>
      <c r="BI5340">
        <v>11</v>
      </c>
      <c r="BJ5340">
        <v>33</v>
      </c>
      <c r="BK5340">
        <v>3</v>
      </c>
      <c r="BM5340" t="s">
        <v>595</v>
      </c>
      <c r="BO5340" t="s">
        <v>595</v>
      </c>
      <c r="BP5340" s="184">
        <v>39905</v>
      </c>
    </row>
    <row r="5341" spans="1:68">
      <c r="A5341">
        <v>100004514</v>
      </c>
      <c r="B5341">
        <v>100004514</v>
      </c>
      <c r="C5341" t="s">
        <v>7018</v>
      </c>
      <c r="E5341" s="184"/>
      <c r="G5341" s="184"/>
      <c r="I5341" s="184"/>
      <c r="J5341" t="s">
        <v>595</v>
      </c>
      <c r="K5341" s="184">
        <v>39532</v>
      </c>
      <c r="M5341" s="184"/>
      <c r="Q5341" t="s">
        <v>7262</v>
      </c>
      <c r="R5341" s="184"/>
      <c r="U5341" t="s">
        <v>7130</v>
      </c>
      <c r="V5341" t="s">
        <v>20702</v>
      </c>
      <c r="W5341" t="s">
        <v>7396</v>
      </c>
      <c r="X5341" t="s">
        <v>37859</v>
      </c>
      <c r="AI5341" t="s">
        <v>37860</v>
      </c>
      <c r="AJ5341" t="s">
        <v>37861</v>
      </c>
      <c r="AM5341" t="s">
        <v>8599</v>
      </c>
      <c r="AN5341" t="s">
        <v>2106</v>
      </c>
      <c r="AO5341" t="s">
        <v>8600</v>
      </c>
      <c r="AP5341" t="s">
        <v>7024</v>
      </c>
      <c r="AQ5341" t="s">
        <v>37862</v>
      </c>
      <c r="AR5341" t="s">
        <v>37863</v>
      </c>
      <c r="AT5341" s="184">
        <v>30480</v>
      </c>
      <c r="AU5341" t="s">
        <v>7073</v>
      </c>
      <c r="AV5341">
        <v>100</v>
      </c>
      <c r="AW5341" s="184">
        <v>39532</v>
      </c>
      <c r="AX5341" t="s">
        <v>9864</v>
      </c>
      <c r="AY5341">
        <v>50000</v>
      </c>
      <c r="AZ5341" s="184">
        <v>39532</v>
      </c>
      <c r="BA5341" t="s">
        <v>9864</v>
      </c>
      <c r="BB5341">
        <v>50000</v>
      </c>
      <c r="BC5341">
        <v>60</v>
      </c>
      <c r="BD5341">
        <v>75390.55</v>
      </c>
      <c r="BE5341">
        <v>1983</v>
      </c>
      <c r="BF5341">
        <v>34</v>
      </c>
      <c r="BI5341">
        <v>25</v>
      </c>
      <c r="BJ5341">
        <v>42</v>
      </c>
      <c r="BK5341">
        <v>20</v>
      </c>
      <c r="BO5341" t="s">
        <v>595</v>
      </c>
      <c r="BP5341" s="184">
        <v>39399</v>
      </c>
    </row>
    <row r="5342" spans="1:68">
      <c r="A5342">
        <v>100004518</v>
      </c>
      <c r="B5342">
        <v>100004518</v>
      </c>
      <c r="C5342" t="s">
        <v>7018</v>
      </c>
      <c r="E5342" s="184"/>
      <c r="G5342" s="184"/>
      <c r="I5342" s="184"/>
      <c r="J5342" t="s">
        <v>595</v>
      </c>
      <c r="K5342" s="184">
        <v>38480</v>
      </c>
      <c r="M5342" s="184"/>
      <c r="O5342" s="184"/>
      <c r="Q5342" t="s">
        <v>7160</v>
      </c>
      <c r="R5342" s="184">
        <v>9223</v>
      </c>
      <c r="S5342">
        <v>99</v>
      </c>
      <c r="U5342" t="s">
        <v>7076</v>
      </c>
      <c r="V5342" t="s">
        <v>2918</v>
      </c>
      <c r="W5342" t="s">
        <v>3830</v>
      </c>
      <c r="X5342" t="s">
        <v>2698</v>
      </c>
      <c r="AF5342" t="s">
        <v>37864</v>
      </c>
      <c r="AG5342" t="s">
        <v>2918</v>
      </c>
      <c r="AI5342" t="s">
        <v>37865</v>
      </c>
      <c r="AM5342" t="s">
        <v>5566</v>
      </c>
      <c r="AN5342" t="s">
        <v>2176</v>
      </c>
      <c r="AO5342" t="s">
        <v>37866</v>
      </c>
      <c r="AP5342" t="s">
        <v>7024</v>
      </c>
      <c r="AT5342" s="184">
        <v>36129</v>
      </c>
      <c r="AU5342" t="s">
        <v>37867</v>
      </c>
      <c r="AV5342">
        <v>25</v>
      </c>
      <c r="AW5342" s="184">
        <v>42132</v>
      </c>
      <c r="AX5342" t="s">
        <v>14228</v>
      </c>
      <c r="AY5342">
        <v>5380.66</v>
      </c>
      <c r="AZ5342" s="184">
        <v>41884</v>
      </c>
      <c r="BA5342" t="s">
        <v>14228</v>
      </c>
      <c r="BB5342">
        <v>32000</v>
      </c>
      <c r="BC5342">
        <v>63</v>
      </c>
      <c r="BD5342">
        <v>38595.660000000003</v>
      </c>
      <c r="BE5342">
        <v>1999</v>
      </c>
      <c r="BF5342">
        <v>34</v>
      </c>
      <c r="BI5342">
        <v>17</v>
      </c>
      <c r="BJ5342">
        <v>27</v>
      </c>
      <c r="BK5342">
        <v>11</v>
      </c>
      <c r="BO5342" t="s">
        <v>595</v>
      </c>
      <c r="BP5342" s="184"/>
    </row>
    <row r="5343" spans="1:68">
      <c r="A5343">
        <v>100004520</v>
      </c>
      <c r="B5343">
        <v>100004520</v>
      </c>
      <c r="C5343" t="s">
        <v>7018</v>
      </c>
      <c r="E5343" s="184"/>
      <c r="G5343" s="184"/>
      <c r="I5343" s="184"/>
      <c r="J5343" t="s">
        <v>595</v>
      </c>
      <c r="K5343" s="184">
        <v>38184</v>
      </c>
      <c r="O5343" s="184"/>
      <c r="Q5343" t="s">
        <v>7194</v>
      </c>
      <c r="R5343" s="184"/>
      <c r="U5343" t="s">
        <v>15150</v>
      </c>
      <c r="V5343" t="s">
        <v>37868</v>
      </c>
      <c r="W5343" t="s">
        <v>7046</v>
      </c>
      <c r="X5343" t="s">
        <v>4073</v>
      </c>
      <c r="AF5343" t="s">
        <v>37869</v>
      </c>
      <c r="AG5343" t="s">
        <v>37868</v>
      </c>
      <c r="AI5343" t="s">
        <v>37870</v>
      </c>
      <c r="AM5343" t="s">
        <v>7450</v>
      </c>
      <c r="AN5343" t="s">
        <v>2046</v>
      </c>
      <c r="AO5343" t="s">
        <v>37871</v>
      </c>
      <c r="AP5343" t="s">
        <v>7024</v>
      </c>
      <c r="AT5343" s="184">
        <v>30804</v>
      </c>
      <c r="AU5343" t="s">
        <v>7073</v>
      </c>
      <c r="AV5343">
        <v>25</v>
      </c>
      <c r="AW5343" s="184">
        <v>38184</v>
      </c>
      <c r="AX5343" t="s">
        <v>37872</v>
      </c>
      <c r="AY5343">
        <v>1231.69</v>
      </c>
      <c r="AZ5343" s="184">
        <v>38184</v>
      </c>
      <c r="BA5343" t="s">
        <v>37872</v>
      </c>
      <c r="BB5343">
        <v>1231.69</v>
      </c>
      <c r="BC5343">
        <v>20</v>
      </c>
      <c r="BD5343">
        <v>1656.69</v>
      </c>
      <c r="BE5343">
        <v>1984</v>
      </c>
      <c r="BF5343">
        <v>9</v>
      </c>
      <c r="BI5343">
        <v>8</v>
      </c>
      <c r="BJ5343">
        <v>41</v>
      </c>
      <c r="BK5343">
        <v>4</v>
      </c>
      <c r="BM5343" t="s">
        <v>595</v>
      </c>
      <c r="BO5343" t="s">
        <v>595</v>
      </c>
      <c r="BP5343" s="184"/>
    </row>
    <row r="5344" spans="1:68">
      <c r="A5344">
        <v>100004522</v>
      </c>
      <c r="B5344">
        <v>100004522</v>
      </c>
      <c r="C5344" t="s">
        <v>7018</v>
      </c>
      <c r="E5344" s="184"/>
      <c r="I5344" s="184"/>
      <c r="J5344" t="s">
        <v>595</v>
      </c>
      <c r="K5344" s="184">
        <v>37054</v>
      </c>
      <c r="M5344" s="184"/>
      <c r="Q5344" t="s">
        <v>7020</v>
      </c>
      <c r="R5344" s="184">
        <v>8402</v>
      </c>
      <c r="S5344">
        <v>101</v>
      </c>
      <c r="V5344" t="s">
        <v>3054</v>
      </c>
      <c r="W5344" t="s">
        <v>4152</v>
      </c>
      <c r="X5344" t="s">
        <v>37873</v>
      </c>
      <c r="AI5344" t="s">
        <v>37874</v>
      </c>
      <c r="AJ5344" t="s">
        <v>37875</v>
      </c>
      <c r="AM5344" t="s">
        <v>3592</v>
      </c>
      <c r="AN5344" t="s">
        <v>2240</v>
      </c>
      <c r="AO5344" t="s">
        <v>37876</v>
      </c>
      <c r="AP5344" t="s">
        <v>7024</v>
      </c>
      <c r="AT5344" s="184">
        <v>30663</v>
      </c>
      <c r="AU5344" t="s">
        <v>7073</v>
      </c>
      <c r="AV5344">
        <v>25</v>
      </c>
      <c r="AW5344" s="184">
        <v>37054</v>
      </c>
      <c r="AX5344" t="s">
        <v>37877</v>
      </c>
      <c r="AY5344">
        <v>2500</v>
      </c>
      <c r="AZ5344" s="184">
        <v>37054</v>
      </c>
      <c r="BA5344" t="s">
        <v>37877</v>
      </c>
      <c r="BB5344">
        <v>2500</v>
      </c>
      <c r="BC5344">
        <v>34</v>
      </c>
      <c r="BD5344">
        <v>4278</v>
      </c>
      <c r="BE5344">
        <v>1984</v>
      </c>
      <c r="BF5344">
        <v>21</v>
      </c>
      <c r="BI5344">
        <v>14</v>
      </c>
      <c r="BJ5344">
        <v>42</v>
      </c>
      <c r="BK5344">
        <v>5</v>
      </c>
      <c r="BO5344" t="s">
        <v>595</v>
      </c>
      <c r="BP5344" s="184"/>
    </row>
    <row r="5345" spans="1:68">
      <c r="A5345">
        <v>100004528</v>
      </c>
      <c r="B5345">
        <v>100004528</v>
      </c>
      <c r="C5345" t="s">
        <v>7018</v>
      </c>
      <c r="E5345" s="184"/>
      <c r="G5345" s="184"/>
      <c r="I5345" s="184"/>
      <c r="J5345" t="s">
        <v>595</v>
      </c>
      <c r="K5345" s="184">
        <v>35305</v>
      </c>
      <c r="O5345" s="184"/>
      <c r="Q5345" t="s">
        <v>7383</v>
      </c>
      <c r="R5345" s="184"/>
      <c r="V5345" t="s">
        <v>3470</v>
      </c>
      <c r="X5345" t="s">
        <v>37878</v>
      </c>
      <c r="AF5345" t="s">
        <v>37879</v>
      </c>
      <c r="AG5345" t="s">
        <v>3470</v>
      </c>
      <c r="AI5345" t="s">
        <v>37880</v>
      </c>
      <c r="AJ5345" t="s">
        <v>37881</v>
      </c>
      <c r="AK5345" t="s">
        <v>37882</v>
      </c>
      <c r="AM5345" t="s">
        <v>37883</v>
      </c>
      <c r="AN5345" t="s">
        <v>2185</v>
      </c>
      <c r="AO5345" t="s">
        <v>37884</v>
      </c>
      <c r="AP5345" t="s">
        <v>7024</v>
      </c>
      <c r="AT5345" s="184">
        <v>35102</v>
      </c>
      <c r="AU5345" t="s">
        <v>37885</v>
      </c>
      <c r="AV5345">
        <v>606.66</v>
      </c>
      <c r="AW5345" s="184">
        <v>35305</v>
      </c>
      <c r="AX5345" t="s">
        <v>37834</v>
      </c>
      <c r="AY5345">
        <v>4.18</v>
      </c>
      <c r="AZ5345" s="184">
        <v>35214</v>
      </c>
      <c r="BA5345" t="s">
        <v>37885</v>
      </c>
      <c r="BB5345">
        <v>726.88</v>
      </c>
      <c r="BC5345">
        <v>4</v>
      </c>
      <c r="BD5345">
        <v>1337.72</v>
      </c>
      <c r="BE5345">
        <v>1996</v>
      </c>
      <c r="BF5345">
        <v>3</v>
      </c>
      <c r="BI5345">
        <v>1</v>
      </c>
      <c r="BJ5345">
        <v>29</v>
      </c>
      <c r="BK5345">
        <v>1</v>
      </c>
      <c r="BO5345" t="s">
        <v>595</v>
      </c>
      <c r="BP5345" s="184"/>
    </row>
    <row r="5346" spans="1:68">
      <c r="A5346">
        <v>100004534</v>
      </c>
      <c r="B5346">
        <v>100004534</v>
      </c>
      <c r="C5346" t="s">
        <v>7018</v>
      </c>
      <c r="E5346" s="184"/>
      <c r="G5346" s="184"/>
      <c r="I5346" s="184"/>
      <c r="J5346" t="s">
        <v>595</v>
      </c>
      <c r="K5346" s="184">
        <v>42754</v>
      </c>
      <c r="Q5346" t="s">
        <v>7374</v>
      </c>
      <c r="R5346" s="184"/>
      <c r="U5346" t="s">
        <v>7031</v>
      </c>
      <c r="V5346" t="s">
        <v>3103</v>
      </c>
      <c r="W5346" t="s">
        <v>5006</v>
      </c>
      <c r="X5346" t="s">
        <v>37886</v>
      </c>
      <c r="AF5346" t="s">
        <v>6089</v>
      </c>
      <c r="AG5346" t="s">
        <v>3103</v>
      </c>
      <c r="AI5346" t="s">
        <v>37887</v>
      </c>
      <c r="AM5346" t="s">
        <v>37888</v>
      </c>
      <c r="AN5346" t="s">
        <v>2081</v>
      </c>
      <c r="AO5346" t="s">
        <v>37889</v>
      </c>
      <c r="AP5346" t="s">
        <v>7024</v>
      </c>
      <c r="AT5346" s="184">
        <v>33644</v>
      </c>
      <c r="AU5346" t="s">
        <v>37890</v>
      </c>
      <c r="AV5346">
        <v>15</v>
      </c>
      <c r="AW5346" s="184">
        <v>42754</v>
      </c>
      <c r="AX5346" t="s">
        <v>19550</v>
      </c>
      <c r="AY5346">
        <v>5000</v>
      </c>
      <c r="AZ5346" s="184">
        <v>42754</v>
      </c>
      <c r="BA5346" t="s">
        <v>19550</v>
      </c>
      <c r="BB5346">
        <v>5000</v>
      </c>
      <c r="BC5346">
        <v>52</v>
      </c>
      <c r="BD5346">
        <v>6570</v>
      </c>
      <c r="BE5346">
        <v>1992</v>
      </c>
      <c r="BF5346">
        <v>25</v>
      </c>
      <c r="BI5346">
        <v>17</v>
      </c>
      <c r="BJ5346">
        <v>33</v>
      </c>
      <c r="BK5346">
        <v>12</v>
      </c>
      <c r="BP5346" s="184"/>
    </row>
    <row r="5347" spans="1:68">
      <c r="A5347">
        <v>100004540</v>
      </c>
      <c r="B5347">
        <v>100004540</v>
      </c>
      <c r="C5347" t="s">
        <v>7018</v>
      </c>
      <c r="E5347" s="184"/>
      <c r="I5347" s="184"/>
      <c r="J5347" t="s">
        <v>595</v>
      </c>
      <c r="K5347" s="184">
        <v>35089</v>
      </c>
      <c r="Q5347" t="s">
        <v>7194</v>
      </c>
      <c r="R5347" s="184"/>
      <c r="V5347" t="s">
        <v>9268</v>
      </c>
      <c r="X5347" t="s">
        <v>37891</v>
      </c>
      <c r="AF5347" t="s">
        <v>37892</v>
      </c>
      <c r="AG5347" t="s">
        <v>9268</v>
      </c>
      <c r="AI5347" t="s">
        <v>37893</v>
      </c>
      <c r="AJ5347" t="s">
        <v>37894</v>
      </c>
      <c r="AM5347" t="s">
        <v>37895</v>
      </c>
      <c r="AN5347" t="s">
        <v>4512</v>
      </c>
      <c r="AO5347" t="s">
        <v>37896</v>
      </c>
      <c r="AP5347" t="s">
        <v>7024</v>
      </c>
      <c r="AT5347" s="184">
        <v>35089</v>
      </c>
      <c r="AU5347" t="s">
        <v>37885</v>
      </c>
      <c r="AV5347">
        <v>1000</v>
      </c>
      <c r="AW5347" s="184">
        <v>35089</v>
      </c>
      <c r="AX5347" t="s">
        <v>37885</v>
      </c>
      <c r="AY5347">
        <v>1000</v>
      </c>
      <c r="AZ5347" s="184">
        <v>35089</v>
      </c>
      <c r="BA5347" t="s">
        <v>37885</v>
      </c>
      <c r="BB5347">
        <v>1000</v>
      </c>
      <c r="BC5347">
        <v>4</v>
      </c>
      <c r="BD5347">
        <v>1000</v>
      </c>
      <c r="BE5347">
        <v>1996</v>
      </c>
      <c r="BF5347">
        <v>1</v>
      </c>
      <c r="BI5347">
        <v>1</v>
      </c>
      <c r="BJ5347">
        <v>29</v>
      </c>
      <c r="BK5347">
        <v>1</v>
      </c>
      <c r="BO5347" t="s">
        <v>595</v>
      </c>
      <c r="BP5347" s="184"/>
    </row>
    <row r="5348" spans="1:68">
      <c r="A5348">
        <v>100004543</v>
      </c>
      <c r="B5348">
        <v>100004543</v>
      </c>
      <c r="C5348" t="s">
        <v>7018</v>
      </c>
      <c r="E5348" s="184"/>
      <c r="I5348" s="184"/>
      <c r="J5348" t="s">
        <v>595</v>
      </c>
      <c r="K5348" s="184">
        <v>36102</v>
      </c>
      <c r="O5348" s="184"/>
      <c r="Q5348" t="s">
        <v>7194</v>
      </c>
      <c r="R5348" s="184">
        <v>6701</v>
      </c>
      <c r="S5348">
        <v>106</v>
      </c>
      <c r="V5348" t="s">
        <v>3400</v>
      </c>
      <c r="X5348" t="s">
        <v>5841</v>
      </c>
      <c r="AF5348" t="s">
        <v>5990</v>
      </c>
      <c r="AG5348" t="s">
        <v>5990</v>
      </c>
      <c r="AI5348" t="s">
        <v>37897</v>
      </c>
      <c r="AM5348" t="s">
        <v>4238</v>
      </c>
      <c r="AN5348" t="s">
        <v>2046</v>
      </c>
      <c r="AO5348" t="s">
        <v>37898</v>
      </c>
      <c r="AP5348" t="s">
        <v>7024</v>
      </c>
      <c r="AT5348" s="184">
        <v>33918</v>
      </c>
      <c r="AU5348" t="s">
        <v>37899</v>
      </c>
      <c r="AV5348">
        <v>25</v>
      </c>
      <c r="AW5348" s="184">
        <v>36102</v>
      </c>
      <c r="AX5348" t="s">
        <v>37806</v>
      </c>
      <c r="AY5348">
        <v>1079.29</v>
      </c>
      <c r="AZ5348" s="184">
        <v>36053</v>
      </c>
      <c r="BA5348" t="s">
        <v>37806</v>
      </c>
      <c r="BB5348">
        <v>15750</v>
      </c>
      <c r="BC5348">
        <v>22</v>
      </c>
      <c r="BD5348">
        <v>17114.29</v>
      </c>
      <c r="BE5348">
        <v>1993</v>
      </c>
      <c r="BF5348">
        <v>11</v>
      </c>
      <c r="BI5348">
        <v>7</v>
      </c>
      <c r="BJ5348">
        <v>33</v>
      </c>
      <c r="BK5348">
        <v>7</v>
      </c>
      <c r="BO5348" t="s">
        <v>595</v>
      </c>
      <c r="BP5348" s="184"/>
    </row>
    <row r="5349" spans="1:68">
      <c r="A5349">
        <v>100004578</v>
      </c>
      <c r="B5349">
        <v>100004578</v>
      </c>
      <c r="C5349" t="s">
        <v>7018</v>
      </c>
      <c r="E5349" s="184"/>
      <c r="G5349" s="184"/>
      <c r="I5349" s="184"/>
      <c r="J5349" t="s">
        <v>595</v>
      </c>
      <c r="K5349" s="184">
        <v>36928</v>
      </c>
      <c r="Q5349" t="s">
        <v>7374</v>
      </c>
      <c r="R5349" s="184"/>
      <c r="V5349" t="s">
        <v>3306</v>
      </c>
      <c r="W5349" t="s">
        <v>4327</v>
      </c>
      <c r="X5349" t="s">
        <v>2570</v>
      </c>
      <c r="AI5349" t="s">
        <v>37900</v>
      </c>
      <c r="AK5349" t="s">
        <v>37901</v>
      </c>
      <c r="AM5349" t="s">
        <v>2534</v>
      </c>
      <c r="AN5349" t="s">
        <v>2081</v>
      </c>
      <c r="AO5349" t="s">
        <v>37902</v>
      </c>
      <c r="AP5349" t="s">
        <v>7024</v>
      </c>
      <c r="AT5349" s="184">
        <v>36928</v>
      </c>
      <c r="AU5349" t="s">
        <v>37877</v>
      </c>
      <c r="AV5349">
        <v>10000</v>
      </c>
      <c r="AW5349" s="184">
        <v>36928</v>
      </c>
      <c r="AX5349" t="s">
        <v>37877</v>
      </c>
      <c r="AY5349">
        <v>10000</v>
      </c>
      <c r="AZ5349" s="184">
        <v>36928</v>
      </c>
      <c r="BA5349" t="s">
        <v>37877</v>
      </c>
      <c r="BB5349">
        <v>10000</v>
      </c>
      <c r="BC5349">
        <v>5</v>
      </c>
      <c r="BD5349">
        <v>10000</v>
      </c>
      <c r="BE5349">
        <v>2001</v>
      </c>
      <c r="BF5349">
        <v>1</v>
      </c>
      <c r="BI5349">
        <v>1</v>
      </c>
      <c r="BJ5349">
        <v>24</v>
      </c>
      <c r="BK5349">
        <v>1</v>
      </c>
      <c r="BO5349" t="s">
        <v>595</v>
      </c>
      <c r="BP5349" s="184"/>
    </row>
    <row r="5350" spans="1:68">
      <c r="A5350">
        <v>100004615</v>
      </c>
      <c r="B5350">
        <v>100004615</v>
      </c>
      <c r="C5350" t="s">
        <v>7018</v>
      </c>
      <c r="E5350" s="184"/>
      <c r="I5350" s="184"/>
      <c r="J5350" t="s">
        <v>595</v>
      </c>
      <c r="K5350" s="184">
        <v>35998</v>
      </c>
      <c r="Q5350" t="s">
        <v>7383</v>
      </c>
      <c r="R5350" s="184">
        <v>592</v>
      </c>
      <c r="S5350">
        <v>122</v>
      </c>
      <c r="V5350" t="s">
        <v>37903</v>
      </c>
      <c r="W5350" t="s">
        <v>5006</v>
      </c>
      <c r="X5350" t="s">
        <v>37904</v>
      </c>
      <c r="AF5350" t="s">
        <v>37905</v>
      </c>
      <c r="AG5350" t="s">
        <v>37903</v>
      </c>
      <c r="AI5350" t="s">
        <v>37906</v>
      </c>
      <c r="AM5350" t="s">
        <v>12409</v>
      </c>
      <c r="AN5350" t="s">
        <v>2059</v>
      </c>
      <c r="AO5350" t="s">
        <v>37907</v>
      </c>
      <c r="AP5350" t="s">
        <v>7024</v>
      </c>
      <c r="AT5350" s="184">
        <v>33281</v>
      </c>
      <c r="AU5350" t="s">
        <v>37908</v>
      </c>
      <c r="AV5350">
        <v>15</v>
      </c>
      <c r="AW5350" s="184">
        <v>35998</v>
      </c>
      <c r="AX5350" t="s">
        <v>37806</v>
      </c>
      <c r="AY5350">
        <v>1000</v>
      </c>
      <c r="AZ5350" s="184">
        <v>35998</v>
      </c>
      <c r="BA5350" t="s">
        <v>37806</v>
      </c>
      <c r="BB5350">
        <v>1000</v>
      </c>
      <c r="BC5350">
        <v>18</v>
      </c>
      <c r="BD5350">
        <v>1165</v>
      </c>
      <c r="BE5350">
        <v>1991</v>
      </c>
      <c r="BF5350">
        <v>9</v>
      </c>
      <c r="BI5350">
        <v>6</v>
      </c>
      <c r="BJ5350">
        <v>34</v>
      </c>
      <c r="BK5350">
        <v>4</v>
      </c>
      <c r="BO5350" t="s">
        <v>595</v>
      </c>
      <c r="BP5350" s="184"/>
    </row>
    <row r="5351" spans="1:68">
      <c r="A5351">
        <v>100004636</v>
      </c>
      <c r="B5351">
        <v>100004636</v>
      </c>
      <c r="C5351" t="s">
        <v>7018</v>
      </c>
      <c r="E5351" s="184"/>
      <c r="I5351" s="184"/>
      <c r="J5351" t="s">
        <v>595</v>
      </c>
      <c r="K5351" s="184">
        <v>34450</v>
      </c>
      <c r="O5351" s="184"/>
      <c r="Q5351" t="s">
        <v>7194</v>
      </c>
      <c r="R5351" s="184"/>
      <c r="V5351" t="s">
        <v>2938</v>
      </c>
      <c r="W5351" t="s">
        <v>7107</v>
      </c>
      <c r="X5351" t="s">
        <v>8979</v>
      </c>
      <c r="AI5351" t="s">
        <v>37909</v>
      </c>
      <c r="AK5351" t="s">
        <v>37910</v>
      </c>
      <c r="AM5351" t="s">
        <v>4359</v>
      </c>
      <c r="AN5351" t="s">
        <v>2046</v>
      </c>
      <c r="AO5351">
        <v>32207</v>
      </c>
      <c r="AP5351" t="s">
        <v>7024</v>
      </c>
      <c r="AT5351" s="184">
        <v>34440</v>
      </c>
      <c r="AU5351" t="s">
        <v>37911</v>
      </c>
      <c r="AV5351">
        <v>60</v>
      </c>
      <c r="AW5351" s="184">
        <v>34450</v>
      </c>
      <c r="AX5351" t="s">
        <v>37911</v>
      </c>
      <c r="AY5351">
        <v>2060</v>
      </c>
      <c r="AZ5351" s="184">
        <v>34450</v>
      </c>
      <c r="BA5351" t="s">
        <v>37911</v>
      </c>
      <c r="BB5351">
        <v>2060</v>
      </c>
      <c r="BC5351">
        <v>4</v>
      </c>
      <c r="BD5351">
        <v>2120</v>
      </c>
      <c r="BE5351">
        <v>1994</v>
      </c>
      <c r="BF5351">
        <v>2</v>
      </c>
      <c r="BI5351">
        <v>1</v>
      </c>
      <c r="BJ5351">
        <v>31</v>
      </c>
      <c r="BK5351">
        <v>1</v>
      </c>
      <c r="BO5351" t="s">
        <v>595</v>
      </c>
      <c r="BP5351" s="184"/>
    </row>
    <row r="5352" spans="1:68">
      <c r="A5352">
        <v>100004638</v>
      </c>
      <c r="B5352">
        <v>100004638</v>
      </c>
      <c r="C5352" t="s">
        <v>7018</v>
      </c>
      <c r="E5352" s="184"/>
      <c r="I5352" s="184"/>
      <c r="J5352" t="s">
        <v>595</v>
      </c>
      <c r="K5352" s="184">
        <v>31826</v>
      </c>
      <c r="M5352" s="184"/>
      <c r="Q5352" t="s">
        <v>7262</v>
      </c>
      <c r="R5352" s="184"/>
      <c r="V5352" t="s">
        <v>37912</v>
      </c>
      <c r="W5352" t="s">
        <v>2316</v>
      </c>
      <c r="X5352" t="s">
        <v>9353</v>
      </c>
      <c r="AI5352" t="s">
        <v>37913</v>
      </c>
      <c r="AK5352" t="s">
        <v>37914</v>
      </c>
      <c r="AM5352" t="s">
        <v>2924</v>
      </c>
      <c r="AN5352" t="s">
        <v>65</v>
      </c>
      <c r="AO5352" t="s">
        <v>37915</v>
      </c>
      <c r="AP5352" t="s">
        <v>7024</v>
      </c>
      <c r="AT5352" s="184">
        <v>31826</v>
      </c>
      <c r="AU5352" t="s">
        <v>37798</v>
      </c>
      <c r="AV5352">
        <v>4511.72</v>
      </c>
      <c r="AW5352" s="184">
        <v>31826</v>
      </c>
      <c r="AX5352" t="s">
        <v>37798</v>
      </c>
      <c r="AY5352">
        <v>4511.72</v>
      </c>
      <c r="AZ5352" s="184">
        <v>31826</v>
      </c>
      <c r="BA5352" t="s">
        <v>37798</v>
      </c>
      <c r="BB5352">
        <v>4511.72</v>
      </c>
      <c r="BC5352">
        <v>3</v>
      </c>
      <c r="BD5352">
        <v>4511.72</v>
      </c>
      <c r="BE5352">
        <v>1987</v>
      </c>
      <c r="BF5352">
        <v>1</v>
      </c>
      <c r="BI5352">
        <v>1</v>
      </c>
      <c r="BJ5352">
        <v>38</v>
      </c>
      <c r="BK5352">
        <v>1</v>
      </c>
      <c r="BO5352" t="s">
        <v>595</v>
      </c>
      <c r="BP5352" s="184"/>
    </row>
    <row r="5353" spans="1:68">
      <c r="A5353">
        <v>100004646</v>
      </c>
      <c r="B5353">
        <v>100004646</v>
      </c>
      <c r="C5353" t="s">
        <v>7018</v>
      </c>
      <c r="E5353" s="184"/>
      <c r="I5353" s="184"/>
      <c r="J5353" t="s">
        <v>595</v>
      </c>
      <c r="K5353" s="184">
        <v>35474</v>
      </c>
      <c r="Q5353" t="s">
        <v>7194</v>
      </c>
      <c r="R5353" s="184"/>
      <c r="V5353" t="s">
        <v>3238</v>
      </c>
      <c r="X5353" t="s">
        <v>5365</v>
      </c>
      <c r="Y5353" t="s">
        <v>7431</v>
      </c>
      <c r="AF5353" t="s">
        <v>37916</v>
      </c>
      <c r="AG5353" t="s">
        <v>3238</v>
      </c>
      <c r="AI5353" t="s">
        <v>37917</v>
      </c>
      <c r="AJ5353" t="s">
        <v>37918</v>
      </c>
      <c r="AM5353" t="s">
        <v>5366</v>
      </c>
      <c r="AN5353" t="s">
        <v>2046</v>
      </c>
      <c r="AO5353">
        <v>32402</v>
      </c>
      <c r="AP5353" t="s">
        <v>7024</v>
      </c>
      <c r="AT5353" s="184">
        <v>35422</v>
      </c>
      <c r="AU5353" t="s">
        <v>37919</v>
      </c>
      <c r="AV5353">
        <v>24777.91</v>
      </c>
      <c r="AW5353" s="184">
        <v>35474</v>
      </c>
      <c r="AX5353" t="s">
        <v>37834</v>
      </c>
      <c r="AY5353">
        <v>30.63</v>
      </c>
      <c r="AZ5353" s="184">
        <v>35422</v>
      </c>
      <c r="BA5353" t="s">
        <v>37919</v>
      </c>
      <c r="BB5353">
        <v>24777.91</v>
      </c>
      <c r="BC5353">
        <v>7</v>
      </c>
      <c r="BD5353">
        <v>24808.54</v>
      </c>
      <c r="BE5353">
        <v>1997</v>
      </c>
      <c r="BF5353">
        <v>2</v>
      </c>
      <c r="BI5353">
        <v>2</v>
      </c>
      <c r="BJ5353">
        <v>29</v>
      </c>
      <c r="BK5353">
        <v>2</v>
      </c>
      <c r="BO5353" t="s">
        <v>595</v>
      </c>
      <c r="BP5353" s="184"/>
    </row>
    <row r="5354" spans="1:68">
      <c r="A5354">
        <v>100004655</v>
      </c>
      <c r="B5354">
        <v>100004655</v>
      </c>
      <c r="C5354" t="s">
        <v>7018</v>
      </c>
      <c r="E5354" s="184"/>
      <c r="G5354" s="184"/>
      <c r="I5354" s="184"/>
      <c r="J5354" t="s">
        <v>595</v>
      </c>
      <c r="K5354" s="184">
        <v>34794</v>
      </c>
      <c r="Q5354" t="s">
        <v>7262</v>
      </c>
      <c r="R5354" s="184"/>
      <c r="V5354" t="s">
        <v>4482</v>
      </c>
      <c r="X5354" t="s">
        <v>4482</v>
      </c>
      <c r="AI5354" t="s">
        <v>37920</v>
      </c>
      <c r="AM5354" t="s">
        <v>37921</v>
      </c>
      <c r="AN5354" t="s">
        <v>2106</v>
      </c>
      <c r="AO5354">
        <v>15901</v>
      </c>
      <c r="AP5354" t="s">
        <v>7024</v>
      </c>
      <c r="AT5354" s="184">
        <v>34794</v>
      </c>
      <c r="AU5354" t="s">
        <v>37922</v>
      </c>
      <c r="AV5354">
        <v>1000</v>
      </c>
      <c r="AW5354" s="184">
        <v>34794</v>
      </c>
      <c r="AX5354" t="s">
        <v>37922</v>
      </c>
      <c r="AY5354">
        <v>1000</v>
      </c>
      <c r="AZ5354" s="184">
        <v>34794</v>
      </c>
      <c r="BA5354" t="s">
        <v>37922</v>
      </c>
      <c r="BB5354">
        <v>1000</v>
      </c>
      <c r="BC5354">
        <v>4</v>
      </c>
      <c r="BD5354">
        <v>1000</v>
      </c>
      <c r="BE5354">
        <v>1995</v>
      </c>
      <c r="BF5354">
        <v>1</v>
      </c>
      <c r="BI5354">
        <v>1</v>
      </c>
      <c r="BJ5354">
        <v>30</v>
      </c>
      <c r="BK5354">
        <v>1</v>
      </c>
      <c r="BO5354" t="s">
        <v>595</v>
      </c>
      <c r="BP5354" s="184"/>
    </row>
    <row r="5355" spans="1:68">
      <c r="A5355">
        <v>100004667</v>
      </c>
      <c r="B5355">
        <v>100004667</v>
      </c>
      <c r="C5355" t="s">
        <v>7018</v>
      </c>
      <c r="E5355" s="184"/>
      <c r="I5355" s="184"/>
      <c r="J5355" t="s">
        <v>595</v>
      </c>
      <c r="K5355" s="184">
        <v>41723</v>
      </c>
      <c r="Q5355" t="s">
        <v>7454</v>
      </c>
      <c r="R5355" s="184">
        <v>10163</v>
      </c>
      <c r="S5355">
        <v>96</v>
      </c>
      <c r="U5355" t="s">
        <v>7031</v>
      </c>
      <c r="V5355" t="s">
        <v>3373</v>
      </c>
      <c r="W5355" t="s">
        <v>2058</v>
      </c>
      <c r="X5355" t="s">
        <v>5859</v>
      </c>
      <c r="AF5355" t="s">
        <v>5990</v>
      </c>
      <c r="AG5355" t="s">
        <v>5990</v>
      </c>
      <c r="AI5355" t="s">
        <v>37923</v>
      </c>
      <c r="AM5355" t="s">
        <v>3855</v>
      </c>
      <c r="AN5355" t="s">
        <v>2055</v>
      </c>
      <c r="AO5355" t="s">
        <v>37924</v>
      </c>
      <c r="AP5355" t="s">
        <v>7024</v>
      </c>
      <c r="AT5355" s="184">
        <v>34253</v>
      </c>
      <c r="AU5355" t="s">
        <v>14870</v>
      </c>
      <c r="AV5355">
        <v>10</v>
      </c>
      <c r="AW5355" s="184">
        <v>41723</v>
      </c>
      <c r="AX5355" t="s">
        <v>37849</v>
      </c>
      <c r="AY5355">
        <v>15009</v>
      </c>
      <c r="AZ5355" s="184">
        <v>41723</v>
      </c>
      <c r="BA5355" t="s">
        <v>37849</v>
      </c>
      <c r="BB5355">
        <v>15009</v>
      </c>
      <c r="BC5355">
        <v>60</v>
      </c>
      <c r="BD5355">
        <v>16574</v>
      </c>
      <c r="BE5355">
        <v>1994</v>
      </c>
      <c r="BF5355">
        <v>31</v>
      </c>
      <c r="BI5355">
        <v>19</v>
      </c>
      <c r="BJ5355">
        <v>32</v>
      </c>
      <c r="BK5355">
        <v>13</v>
      </c>
      <c r="BO5355" t="s">
        <v>595</v>
      </c>
      <c r="BP5355" s="184">
        <v>41284</v>
      </c>
    </row>
    <row r="5356" spans="1:68">
      <c r="A5356">
        <v>100004677</v>
      </c>
      <c r="B5356">
        <v>100004677</v>
      </c>
      <c r="C5356" t="s">
        <v>7018</v>
      </c>
      <c r="E5356" s="184"/>
      <c r="I5356" s="184"/>
      <c r="J5356" t="s">
        <v>595</v>
      </c>
      <c r="K5356" s="184">
        <v>36102</v>
      </c>
      <c r="Q5356" t="s">
        <v>7020</v>
      </c>
      <c r="R5356" s="184">
        <v>1037</v>
      </c>
      <c r="S5356">
        <v>121</v>
      </c>
      <c r="V5356" t="s">
        <v>31665</v>
      </c>
      <c r="W5356" t="s">
        <v>3226</v>
      </c>
      <c r="X5356" t="s">
        <v>37925</v>
      </c>
      <c r="AF5356" t="s">
        <v>37926</v>
      </c>
      <c r="AG5356" t="s">
        <v>31665</v>
      </c>
      <c r="AI5356" t="s">
        <v>37927</v>
      </c>
      <c r="AM5356" t="s">
        <v>3049</v>
      </c>
      <c r="AN5356" t="s">
        <v>2112</v>
      </c>
      <c r="AO5356" t="s">
        <v>37928</v>
      </c>
      <c r="AP5356" t="s">
        <v>7024</v>
      </c>
      <c r="AT5356" s="184">
        <v>32422</v>
      </c>
      <c r="AU5356" t="s">
        <v>37929</v>
      </c>
      <c r="AV5356">
        <v>22</v>
      </c>
      <c r="AW5356" s="184">
        <v>36102</v>
      </c>
      <c r="AX5356" t="s">
        <v>37806</v>
      </c>
      <c r="AY5356">
        <v>1000</v>
      </c>
      <c r="AZ5356" s="184">
        <v>36102</v>
      </c>
      <c r="BA5356" t="s">
        <v>37806</v>
      </c>
      <c r="BB5356">
        <v>1000</v>
      </c>
      <c r="BC5356">
        <v>28</v>
      </c>
      <c r="BD5356">
        <v>1585</v>
      </c>
      <c r="BE5356">
        <v>1989</v>
      </c>
      <c r="BF5356">
        <v>22</v>
      </c>
      <c r="BI5356">
        <v>10</v>
      </c>
      <c r="BJ5356">
        <v>37</v>
      </c>
      <c r="BK5356">
        <v>9</v>
      </c>
      <c r="BO5356" t="s">
        <v>595</v>
      </c>
      <c r="BP5356" s="184"/>
    </row>
    <row r="5357" spans="1:68">
      <c r="A5357">
        <v>100004681</v>
      </c>
      <c r="B5357">
        <v>100004681</v>
      </c>
      <c r="C5357" t="s">
        <v>7018</v>
      </c>
      <c r="E5357" s="184"/>
      <c r="I5357" s="184"/>
      <c r="J5357" t="s">
        <v>595</v>
      </c>
      <c r="K5357" s="184">
        <v>33142</v>
      </c>
      <c r="O5357" s="184"/>
      <c r="Q5357" t="s">
        <v>7494</v>
      </c>
      <c r="R5357" s="184"/>
      <c r="V5357" t="s">
        <v>2863</v>
      </c>
      <c r="W5357" t="s">
        <v>7695</v>
      </c>
      <c r="X5357" t="s">
        <v>24528</v>
      </c>
      <c r="AI5357" t="s">
        <v>37930</v>
      </c>
      <c r="AM5357" t="s">
        <v>37931</v>
      </c>
      <c r="AN5357" t="s">
        <v>2174</v>
      </c>
      <c r="AO5357" t="s">
        <v>37932</v>
      </c>
      <c r="AP5357" t="s">
        <v>7024</v>
      </c>
      <c r="AT5357" s="184">
        <v>31842</v>
      </c>
      <c r="AU5357" t="s">
        <v>37933</v>
      </c>
      <c r="AV5357">
        <v>22</v>
      </c>
      <c r="AW5357" s="184">
        <v>33142</v>
      </c>
      <c r="AX5357" t="s">
        <v>37798</v>
      </c>
      <c r="AY5357">
        <v>1545</v>
      </c>
      <c r="AZ5357" s="184">
        <v>33142</v>
      </c>
      <c r="BA5357" t="s">
        <v>37798</v>
      </c>
      <c r="BB5357">
        <v>1545</v>
      </c>
      <c r="BC5357">
        <v>11</v>
      </c>
      <c r="BD5357">
        <v>1674</v>
      </c>
      <c r="BE5357">
        <v>1987</v>
      </c>
      <c r="BF5357">
        <v>5</v>
      </c>
      <c r="BI5357">
        <v>4</v>
      </c>
      <c r="BJ5357">
        <v>38</v>
      </c>
      <c r="BK5357">
        <v>4</v>
      </c>
      <c r="BO5357" t="s">
        <v>595</v>
      </c>
      <c r="BP5357" s="184"/>
    </row>
    <row r="5358" spans="1:68">
      <c r="A5358">
        <v>100004690</v>
      </c>
      <c r="B5358">
        <v>100004690</v>
      </c>
      <c r="C5358" t="s">
        <v>7018</v>
      </c>
      <c r="E5358" s="184"/>
      <c r="G5358" s="184"/>
      <c r="I5358" s="184"/>
      <c r="J5358" t="s">
        <v>595</v>
      </c>
      <c r="K5358" s="184">
        <v>36286</v>
      </c>
      <c r="O5358" s="184"/>
      <c r="Q5358" t="s">
        <v>7194</v>
      </c>
      <c r="R5358" s="184">
        <v>1690</v>
      </c>
      <c r="S5358">
        <v>119</v>
      </c>
      <c r="V5358" t="s">
        <v>12596</v>
      </c>
      <c r="W5358" t="s">
        <v>4327</v>
      </c>
      <c r="X5358" t="s">
        <v>37934</v>
      </c>
      <c r="AI5358" t="s">
        <v>37935</v>
      </c>
      <c r="AK5358" t="s">
        <v>37936</v>
      </c>
      <c r="AM5358" t="s">
        <v>4292</v>
      </c>
      <c r="AN5358" t="s">
        <v>2046</v>
      </c>
      <c r="AO5358" t="s">
        <v>37937</v>
      </c>
      <c r="AP5358" t="s">
        <v>7024</v>
      </c>
      <c r="AT5358" s="184">
        <v>33750</v>
      </c>
      <c r="AU5358" t="s">
        <v>37938</v>
      </c>
      <c r="AV5358">
        <v>15</v>
      </c>
      <c r="AW5358" s="184">
        <v>36286</v>
      </c>
      <c r="AX5358" t="s">
        <v>37806</v>
      </c>
      <c r="AY5358">
        <v>1463.46</v>
      </c>
      <c r="AZ5358" s="184">
        <v>36286</v>
      </c>
      <c r="BA5358" t="s">
        <v>37806</v>
      </c>
      <c r="BB5358">
        <v>1463.46</v>
      </c>
      <c r="BC5358">
        <v>25</v>
      </c>
      <c r="BD5358">
        <v>1573.46</v>
      </c>
      <c r="BE5358">
        <v>1992</v>
      </c>
      <c r="BF5358">
        <v>9</v>
      </c>
      <c r="BI5358">
        <v>8</v>
      </c>
      <c r="BJ5358">
        <v>33</v>
      </c>
      <c r="BK5358">
        <v>8</v>
      </c>
      <c r="BO5358" t="s">
        <v>595</v>
      </c>
      <c r="BP5358" s="184"/>
    </row>
    <row r="5359" spans="1:68">
      <c r="A5359">
        <v>100004695</v>
      </c>
      <c r="B5359">
        <v>100004695</v>
      </c>
      <c r="C5359" t="s">
        <v>7018</v>
      </c>
      <c r="E5359" s="184"/>
      <c r="I5359" s="184"/>
      <c r="J5359" t="s">
        <v>595</v>
      </c>
      <c r="K5359" s="184">
        <v>37516</v>
      </c>
      <c r="Q5359" t="s">
        <v>7020</v>
      </c>
      <c r="R5359" s="184">
        <v>4698</v>
      </c>
      <c r="S5359">
        <v>111</v>
      </c>
      <c r="V5359" t="s">
        <v>5355</v>
      </c>
      <c r="W5359" t="s">
        <v>4327</v>
      </c>
      <c r="X5359" t="s">
        <v>4863</v>
      </c>
      <c r="AF5359" t="s">
        <v>5990</v>
      </c>
      <c r="AG5359" t="s">
        <v>5990</v>
      </c>
      <c r="AI5359" t="s">
        <v>37939</v>
      </c>
      <c r="AM5359" t="s">
        <v>5356</v>
      </c>
      <c r="AN5359" t="s">
        <v>2240</v>
      </c>
      <c r="AO5359" t="s">
        <v>37940</v>
      </c>
      <c r="AP5359" t="s">
        <v>7024</v>
      </c>
      <c r="AT5359" s="184">
        <v>30601</v>
      </c>
      <c r="AU5359" t="s">
        <v>7073</v>
      </c>
      <c r="AV5359">
        <v>25</v>
      </c>
      <c r="AW5359" s="184">
        <v>37516</v>
      </c>
      <c r="AX5359" t="s">
        <v>37822</v>
      </c>
      <c r="AY5359">
        <v>23636.32</v>
      </c>
      <c r="AZ5359" s="184">
        <v>37231</v>
      </c>
      <c r="BA5359" t="s">
        <v>37823</v>
      </c>
      <c r="BB5359">
        <v>206828.56</v>
      </c>
      <c r="BC5359">
        <v>43</v>
      </c>
      <c r="BD5359">
        <v>322019.31</v>
      </c>
      <c r="BE5359">
        <v>1984</v>
      </c>
      <c r="BF5359">
        <v>32</v>
      </c>
      <c r="BI5359">
        <v>18</v>
      </c>
      <c r="BJ5359">
        <v>42</v>
      </c>
      <c r="BK5359">
        <v>8</v>
      </c>
      <c r="BO5359" t="s">
        <v>595</v>
      </c>
      <c r="BP5359" s="184"/>
    </row>
    <row r="5360" spans="1:68">
      <c r="A5360">
        <v>100004719</v>
      </c>
      <c r="B5360">
        <v>100004719</v>
      </c>
      <c r="C5360" t="s">
        <v>7018</v>
      </c>
      <c r="E5360" s="184"/>
      <c r="G5360" s="184"/>
      <c r="I5360" s="184"/>
      <c r="J5360" t="s">
        <v>595</v>
      </c>
      <c r="K5360" s="184">
        <v>36104</v>
      </c>
      <c r="O5360" s="184"/>
      <c r="Q5360" t="s">
        <v>7262</v>
      </c>
      <c r="R5360" s="184"/>
      <c r="V5360" t="s">
        <v>37941</v>
      </c>
      <c r="W5360" t="s">
        <v>7407</v>
      </c>
      <c r="X5360" t="s">
        <v>22611</v>
      </c>
      <c r="AI5360" t="s">
        <v>37942</v>
      </c>
      <c r="AK5360" t="s">
        <v>37943</v>
      </c>
      <c r="AM5360" t="s">
        <v>37944</v>
      </c>
      <c r="AN5360" t="s">
        <v>2069</v>
      </c>
      <c r="AO5360" t="s">
        <v>37945</v>
      </c>
      <c r="AP5360" t="s">
        <v>7024</v>
      </c>
      <c r="AT5360" s="184">
        <v>36104</v>
      </c>
      <c r="AU5360" t="s">
        <v>37806</v>
      </c>
      <c r="AV5360">
        <v>14950.41</v>
      </c>
      <c r="AW5360" s="184">
        <v>36104</v>
      </c>
      <c r="AX5360" t="s">
        <v>37806</v>
      </c>
      <c r="AY5360">
        <v>14950.41</v>
      </c>
      <c r="AZ5360" s="184">
        <v>36104</v>
      </c>
      <c r="BA5360" t="s">
        <v>37806</v>
      </c>
      <c r="BB5360">
        <v>14950.41</v>
      </c>
      <c r="BC5360">
        <v>4</v>
      </c>
      <c r="BD5360">
        <v>14950.41</v>
      </c>
      <c r="BE5360">
        <v>1999</v>
      </c>
      <c r="BF5360">
        <v>1</v>
      </c>
      <c r="BI5360">
        <v>1</v>
      </c>
      <c r="BJ5360">
        <v>27</v>
      </c>
      <c r="BK5360">
        <v>1</v>
      </c>
      <c r="BO5360" t="s">
        <v>595</v>
      </c>
      <c r="BP5360" s="184"/>
    </row>
    <row r="5361" spans="1:68">
      <c r="A5361">
        <v>100004723</v>
      </c>
      <c r="B5361">
        <v>100004723</v>
      </c>
      <c r="C5361" t="s">
        <v>7018</v>
      </c>
      <c r="E5361" s="184"/>
      <c r="I5361" s="184"/>
      <c r="J5361" t="s">
        <v>595</v>
      </c>
      <c r="K5361" s="184">
        <v>35389</v>
      </c>
      <c r="O5361" s="184"/>
      <c r="Q5361" t="s">
        <v>7374</v>
      </c>
      <c r="R5361" s="184"/>
      <c r="V5361" t="s">
        <v>37946</v>
      </c>
      <c r="X5361" t="s">
        <v>4786</v>
      </c>
      <c r="AI5361" t="s">
        <v>37947</v>
      </c>
      <c r="AM5361" t="s">
        <v>2534</v>
      </c>
      <c r="AN5361" t="s">
        <v>2081</v>
      </c>
      <c r="AO5361">
        <v>94111</v>
      </c>
      <c r="AP5361" t="s">
        <v>7024</v>
      </c>
      <c r="AT5361" s="184">
        <v>35271</v>
      </c>
      <c r="AU5361" t="s">
        <v>37834</v>
      </c>
      <c r="AV5361">
        <v>75000</v>
      </c>
      <c r="AW5361" s="184">
        <v>35389</v>
      </c>
      <c r="AX5361" t="s">
        <v>37834</v>
      </c>
      <c r="AY5361">
        <v>140263.87</v>
      </c>
      <c r="AZ5361" s="184">
        <v>35389</v>
      </c>
      <c r="BA5361" t="s">
        <v>37834</v>
      </c>
      <c r="BB5361">
        <v>140263.87</v>
      </c>
      <c r="BC5361">
        <v>4</v>
      </c>
      <c r="BD5361">
        <v>230186.15</v>
      </c>
      <c r="BE5361">
        <v>1997</v>
      </c>
      <c r="BF5361">
        <v>3</v>
      </c>
      <c r="BI5361">
        <v>1</v>
      </c>
      <c r="BJ5361">
        <v>29</v>
      </c>
      <c r="BK5361">
        <v>1</v>
      </c>
      <c r="BO5361" t="s">
        <v>595</v>
      </c>
      <c r="BP5361" s="184"/>
    </row>
    <row r="5362" spans="1:68">
      <c r="A5362">
        <v>100004730</v>
      </c>
      <c r="B5362">
        <v>100004730</v>
      </c>
      <c r="C5362" t="s">
        <v>7018</v>
      </c>
      <c r="E5362" s="184"/>
      <c r="I5362" s="184"/>
      <c r="J5362" t="s">
        <v>595</v>
      </c>
      <c r="K5362" s="184">
        <v>35129</v>
      </c>
      <c r="O5362" s="184"/>
      <c r="Q5362" t="s">
        <v>7383</v>
      </c>
      <c r="R5362" s="184"/>
      <c r="V5362" t="s">
        <v>37948</v>
      </c>
      <c r="W5362" t="s">
        <v>7107</v>
      </c>
      <c r="X5362" t="s">
        <v>37949</v>
      </c>
      <c r="AF5362" t="s">
        <v>37950</v>
      </c>
      <c r="AG5362" t="s">
        <v>37948</v>
      </c>
      <c r="AI5362" t="s">
        <v>37951</v>
      </c>
      <c r="AK5362" t="s">
        <v>37952</v>
      </c>
      <c r="AM5362" t="s">
        <v>5577</v>
      </c>
      <c r="AN5362" t="s">
        <v>2072</v>
      </c>
      <c r="AO5362" t="s">
        <v>37953</v>
      </c>
      <c r="AP5362" t="s">
        <v>7024</v>
      </c>
      <c r="AT5362" s="184">
        <v>30638</v>
      </c>
      <c r="AU5362" t="s">
        <v>37954</v>
      </c>
      <c r="AV5362">
        <v>25</v>
      </c>
      <c r="AW5362" s="184">
        <v>35129</v>
      </c>
      <c r="AX5362" t="s">
        <v>37885</v>
      </c>
      <c r="AY5362">
        <v>2.39</v>
      </c>
      <c r="AZ5362" s="184">
        <v>35017</v>
      </c>
      <c r="BA5362" t="s">
        <v>37885</v>
      </c>
      <c r="BB5362">
        <v>2559.2600000000002</v>
      </c>
      <c r="BC5362">
        <v>20</v>
      </c>
      <c r="BD5362">
        <v>2761.65</v>
      </c>
      <c r="BE5362">
        <v>1984</v>
      </c>
      <c r="BF5362">
        <v>12</v>
      </c>
      <c r="BI5362">
        <v>8</v>
      </c>
      <c r="BJ5362">
        <v>42</v>
      </c>
      <c r="BK5362">
        <v>6</v>
      </c>
      <c r="BO5362" t="s">
        <v>595</v>
      </c>
      <c r="BP5362" s="184"/>
    </row>
    <row r="5363" spans="1:68">
      <c r="A5363">
        <v>100004735</v>
      </c>
      <c r="B5363">
        <v>100004735</v>
      </c>
      <c r="C5363" t="s">
        <v>7018</v>
      </c>
      <c r="E5363" s="184"/>
      <c r="I5363" s="184"/>
      <c r="J5363" t="s">
        <v>595</v>
      </c>
      <c r="K5363" s="184">
        <v>35821</v>
      </c>
      <c r="O5363" s="184"/>
      <c r="Q5363" t="s">
        <v>7020</v>
      </c>
      <c r="R5363" s="184"/>
      <c r="V5363" t="s">
        <v>3393</v>
      </c>
      <c r="W5363" t="s">
        <v>7356</v>
      </c>
      <c r="X5363" t="s">
        <v>3175</v>
      </c>
      <c r="AI5363" t="s">
        <v>37955</v>
      </c>
      <c r="AJ5363" t="s">
        <v>37956</v>
      </c>
      <c r="AK5363" t="s">
        <v>37957</v>
      </c>
      <c r="AM5363" t="s">
        <v>5415</v>
      </c>
      <c r="AN5363" t="s">
        <v>2129</v>
      </c>
      <c r="AO5363">
        <v>7102</v>
      </c>
      <c r="AP5363" t="s">
        <v>7024</v>
      </c>
      <c r="AT5363" s="184">
        <v>35257</v>
      </c>
      <c r="AU5363" t="s">
        <v>37834</v>
      </c>
      <c r="AV5363">
        <v>5143.1499999999996</v>
      </c>
      <c r="AW5363" s="184">
        <v>35821</v>
      </c>
      <c r="AX5363" t="s">
        <v>37958</v>
      </c>
      <c r="AY5363">
        <v>15450</v>
      </c>
      <c r="AZ5363" s="184">
        <v>35821</v>
      </c>
      <c r="BA5363" t="s">
        <v>37958</v>
      </c>
      <c r="BB5363">
        <v>15450</v>
      </c>
      <c r="BC5363">
        <v>7</v>
      </c>
      <c r="BD5363">
        <v>20593.150000000001</v>
      </c>
      <c r="BE5363">
        <v>1997</v>
      </c>
      <c r="BF5363">
        <v>2</v>
      </c>
      <c r="BI5363">
        <v>2</v>
      </c>
      <c r="BJ5363">
        <v>29</v>
      </c>
      <c r="BK5363">
        <v>1</v>
      </c>
      <c r="BO5363" t="s">
        <v>595</v>
      </c>
      <c r="BP5363" s="184"/>
    </row>
    <row r="5364" spans="1:68">
      <c r="A5364">
        <v>100004758</v>
      </c>
      <c r="B5364">
        <v>100004758</v>
      </c>
      <c r="C5364" t="s">
        <v>7018</v>
      </c>
      <c r="E5364" s="184"/>
      <c r="I5364" s="184"/>
      <c r="J5364" t="s">
        <v>595</v>
      </c>
      <c r="K5364" s="184">
        <v>37057</v>
      </c>
      <c r="M5364" s="184"/>
      <c r="O5364" s="184"/>
      <c r="Q5364" t="s">
        <v>7020</v>
      </c>
      <c r="R5364" s="184"/>
      <c r="V5364" t="s">
        <v>4136</v>
      </c>
      <c r="W5364" t="s">
        <v>2963</v>
      </c>
      <c r="X5364" t="s">
        <v>4003</v>
      </c>
      <c r="AF5364" t="s">
        <v>37959</v>
      </c>
      <c r="AG5364" t="s">
        <v>4136</v>
      </c>
      <c r="AI5364" t="s">
        <v>37960</v>
      </c>
      <c r="AJ5364" t="s">
        <v>37961</v>
      </c>
      <c r="AK5364" t="s">
        <v>37962</v>
      </c>
      <c r="AM5364" t="s">
        <v>5519</v>
      </c>
      <c r="AN5364" t="s">
        <v>2112</v>
      </c>
      <c r="AO5364">
        <v>10506</v>
      </c>
      <c r="AP5364" t="s">
        <v>7024</v>
      </c>
      <c r="AT5364" s="184">
        <v>37057</v>
      </c>
      <c r="AU5364" t="s">
        <v>37877</v>
      </c>
      <c r="AV5364">
        <v>50000</v>
      </c>
      <c r="AW5364" s="184">
        <v>37057</v>
      </c>
      <c r="AX5364" t="s">
        <v>37877</v>
      </c>
      <c r="AY5364">
        <v>50000</v>
      </c>
      <c r="AZ5364" s="184">
        <v>37057</v>
      </c>
      <c r="BA5364" t="s">
        <v>37877</v>
      </c>
      <c r="BB5364">
        <v>50000</v>
      </c>
      <c r="BC5364">
        <v>5</v>
      </c>
      <c r="BD5364">
        <v>50000</v>
      </c>
      <c r="BE5364">
        <v>2001</v>
      </c>
      <c r="BF5364">
        <v>1</v>
      </c>
      <c r="BI5364">
        <v>1</v>
      </c>
      <c r="BJ5364">
        <v>24</v>
      </c>
      <c r="BK5364">
        <v>1</v>
      </c>
      <c r="BO5364" t="s">
        <v>595</v>
      </c>
      <c r="BP5364" s="184"/>
    </row>
    <row r="5365" spans="1:68">
      <c r="A5365">
        <v>100004775</v>
      </c>
      <c r="B5365">
        <v>100004775</v>
      </c>
      <c r="C5365" t="s">
        <v>7018</v>
      </c>
      <c r="E5365" s="184"/>
      <c r="I5365" s="184"/>
      <c r="J5365" t="s">
        <v>595</v>
      </c>
      <c r="K5365" s="184">
        <v>36312</v>
      </c>
      <c r="O5365" s="184"/>
      <c r="Q5365" t="s">
        <v>7383</v>
      </c>
      <c r="R5365" s="184"/>
      <c r="V5365" t="s">
        <v>3510</v>
      </c>
      <c r="X5365" t="s">
        <v>37963</v>
      </c>
      <c r="AI5365" t="s">
        <v>37964</v>
      </c>
      <c r="AJ5365" t="s">
        <v>37965</v>
      </c>
      <c r="AK5365" t="s">
        <v>37966</v>
      </c>
      <c r="AM5365" t="s">
        <v>4965</v>
      </c>
      <c r="AN5365" t="s">
        <v>2313</v>
      </c>
      <c r="AO5365" t="s">
        <v>37967</v>
      </c>
      <c r="AP5365" t="s">
        <v>7024</v>
      </c>
      <c r="AT5365" s="184">
        <v>35223</v>
      </c>
      <c r="AU5365" t="s">
        <v>37885</v>
      </c>
      <c r="AV5365">
        <v>33333.300000000003</v>
      </c>
      <c r="AW5365" s="184">
        <v>36312</v>
      </c>
      <c r="AX5365" t="s">
        <v>37806</v>
      </c>
      <c r="AY5365">
        <v>54171.74</v>
      </c>
      <c r="AZ5365" s="184">
        <v>36312</v>
      </c>
      <c r="BA5365" t="s">
        <v>37806</v>
      </c>
      <c r="BB5365">
        <v>54171.74</v>
      </c>
      <c r="BC5365">
        <v>14</v>
      </c>
      <c r="BD5365">
        <v>137860.74</v>
      </c>
      <c r="BE5365">
        <v>1996</v>
      </c>
      <c r="BF5365">
        <v>4</v>
      </c>
      <c r="BI5365">
        <v>4</v>
      </c>
      <c r="BJ5365">
        <v>29</v>
      </c>
      <c r="BK5365">
        <v>4</v>
      </c>
      <c r="BO5365" t="s">
        <v>595</v>
      </c>
      <c r="BP5365" s="184"/>
    </row>
    <row r="5366" spans="1:68">
      <c r="A5366">
        <v>100004783</v>
      </c>
      <c r="B5366">
        <v>100004783</v>
      </c>
      <c r="C5366" t="s">
        <v>7018</v>
      </c>
      <c r="E5366" s="184"/>
      <c r="I5366" s="184"/>
      <c r="J5366" t="s">
        <v>595</v>
      </c>
      <c r="K5366" s="184">
        <v>36378</v>
      </c>
      <c r="Q5366" t="s">
        <v>7262</v>
      </c>
      <c r="R5366" s="184">
        <v>8779</v>
      </c>
      <c r="S5366">
        <v>100</v>
      </c>
      <c r="V5366" t="s">
        <v>2724</v>
      </c>
      <c r="W5366" t="s">
        <v>5006</v>
      </c>
      <c r="X5366" t="s">
        <v>37968</v>
      </c>
      <c r="AI5366" t="s">
        <v>37969</v>
      </c>
      <c r="AM5366" t="s">
        <v>3079</v>
      </c>
      <c r="AN5366" t="s">
        <v>2106</v>
      </c>
      <c r="AO5366" t="s">
        <v>37970</v>
      </c>
      <c r="AP5366" t="s">
        <v>7024</v>
      </c>
      <c r="AT5366" s="184">
        <v>31853</v>
      </c>
      <c r="AU5366" t="s">
        <v>37971</v>
      </c>
      <c r="AV5366">
        <v>22</v>
      </c>
      <c r="AW5366" s="184">
        <v>36378</v>
      </c>
      <c r="AX5366" t="s">
        <v>37823</v>
      </c>
      <c r="AY5366">
        <v>2000</v>
      </c>
      <c r="AZ5366" s="184">
        <v>36378</v>
      </c>
      <c r="BA5366" t="s">
        <v>37823</v>
      </c>
      <c r="BB5366">
        <v>2000</v>
      </c>
      <c r="BC5366">
        <v>27</v>
      </c>
      <c r="BD5366">
        <v>2852</v>
      </c>
      <c r="BE5366">
        <v>1987</v>
      </c>
      <c r="BF5366">
        <v>13</v>
      </c>
      <c r="BI5366">
        <v>10</v>
      </c>
      <c r="BJ5366">
        <v>38</v>
      </c>
      <c r="BK5366">
        <v>5</v>
      </c>
      <c r="BO5366" t="s">
        <v>595</v>
      </c>
      <c r="BP5366" s="184"/>
    </row>
    <row r="5367" spans="1:68">
      <c r="A5367">
        <v>100004784</v>
      </c>
      <c r="B5367">
        <v>100004784</v>
      </c>
      <c r="C5367" t="s">
        <v>7018</v>
      </c>
      <c r="E5367" s="184"/>
      <c r="G5367" s="184"/>
      <c r="I5367" s="184"/>
      <c r="J5367" t="s">
        <v>595</v>
      </c>
      <c r="K5367" s="184">
        <v>34796</v>
      </c>
      <c r="M5367" s="184"/>
      <c r="Q5367" t="s">
        <v>7194</v>
      </c>
      <c r="R5367" s="184"/>
      <c r="V5367" t="s">
        <v>5364</v>
      </c>
      <c r="X5367" t="s">
        <v>5365</v>
      </c>
      <c r="AF5367" t="s">
        <v>37972</v>
      </c>
      <c r="AG5367" t="s">
        <v>5364</v>
      </c>
      <c r="AI5367" t="s">
        <v>37973</v>
      </c>
      <c r="AM5367" t="s">
        <v>5366</v>
      </c>
      <c r="AN5367" t="s">
        <v>2046</v>
      </c>
      <c r="AO5367" t="s">
        <v>37974</v>
      </c>
      <c r="AP5367" t="s">
        <v>7024</v>
      </c>
      <c r="AT5367" s="184">
        <v>30480</v>
      </c>
      <c r="AU5367" t="s">
        <v>7073</v>
      </c>
      <c r="AV5367">
        <v>59816</v>
      </c>
      <c r="AW5367" s="184">
        <v>34796</v>
      </c>
      <c r="AX5367" t="s">
        <v>37922</v>
      </c>
      <c r="AY5367">
        <v>9459</v>
      </c>
      <c r="AZ5367" s="184">
        <v>34680</v>
      </c>
      <c r="BA5367" t="s">
        <v>37922</v>
      </c>
      <c r="BB5367">
        <v>100000</v>
      </c>
      <c r="BC5367">
        <v>20</v>
      </c>
      <c r="BD5367">
        <v>274222.38</v>
      </c>
      <c r="BE5367">
        <v>1983</v>
      </c>
      <c r="BF5367">
        <v>22</v>
      </c>
      <c r="BI5367">
        <v>8</v>
      </c>
      <c r="BJ5367">
        <v>42</v>
      </c>
      <c r="BK5367">
        <v>6</v>
      </c>
      <c r="BO5367" t="s">
        <v>595</v>
      </c>
      <c r="BP5367" s="184"/>
    </row>
    <row r="5368" spans="1:68">
      <c r="A5368">
        <v>100004788</v>
      </c>
      <c r="B5368">
        <v>100004788</v>
      </c>
      <c r="C5368" t="s">
        <v>7018</v>
      </c>
      <c r="E5368" s="184"/>
      <c r="G5368" s="184"/>
      <c r="I5368" s="184"/>
      <c r="J5368" t="s">
        <v>595</v>
      </c>
      <c r="K5368" s="184">
        <v>36682</v>
      </c>
      <c r="Q5368" t="s">
        <v>7374</v>
      </c>
      <c r="R5368" s="184">
        <v>6214</v>
      </c>
      <c r="S5368">
        <v>107</v>
      </c>
      <c r="V5368" t="s">
        <v>5849</v>
      </c>
      <c r="X5368" t="s">
        <v>2706</v>
      </c>
      <c r="AI5368" t="s">
        <v>37975</v>
      </c>
      <c r="AM5368" t="s">
        <v>37976</v>
      </c>
      <c r="AN5368" t="s">
        <v>2081</v>
      </c>
      <c r="AO5368" t="s">
        <v>37977</v>
      </c>
      <c r="AP5368" t="s">
        <v>7024</v>
      </c>
      <c r="AT5368" s="184">
        <v>33402</v>
      </c>
      <c r="AU5368" t="s">
        <v>37978</v>
      </c>
      <c r="AV5368">
        <v>15</v>
      </c>
      <c r="AW5368" s="184">
        <v>36682</v>
      </c>
      <c r="AX5368" t="s">
        <v>37823</v>
      </c>
      <c r="AY5368">
        <v>500</v>
      </c>
      <c r="AZ5368" s="184">
        <v>36682</v>
      </c>
      <c r="BA5368" t="s">
        <v>37823</v>
      </c>
      <c r="BB5368">
        <v>500</v>
      </c>
      <c r="BC5368">
        <v>15</v>
      </c>
      <c r="BD5368">
        <v>632</v>
      </c>
      <c r="BE5368">
        <v>1991</v>
      </c>
      <c r="BF5368">
        <v>8</v>
      </c>
      <c r="BI5368">
        <v>5</v>
      </c>
      <c r="BJ5368">
        <v>34</v>
      </c>
      <c r="BK5368">
        <v>3</v>
      </c>
      <c r="BO5368" t="s">
        <v>595</v>
      </c>
      <c r="BP5368" s="184"/>
    </row>
    <row r="5369" spans="1:68">
      <c r="A5369">
        <v>100004796</v>
      </c>
      <c r="B5369">
        <v>100004796</v>
      </c>
      <c r="C5369" t="s">
        <v>7018</v>
      </c>
      <c r="E5369" s="184"/>
      <c r="G5369" s="184"/>
      <c r="I5369" s="184"/>
      <c r="J5369" t="s">
        <v>595</v>
      </c>
      <c r="K5369" s="184">
        <v>31489</v>
      </c>
      <c r="O5369" s="184"/>
      <c r="Q5369" t="s">
        <v>7383</v>
      </c>
      <c r="R5369" s="184"/>
      <c r="V5369" t="s">
        <v>7375</v>
      </c>
      <c r="W5369" t="s">
        <v>5281</v>
      </c>
      <c r="X5369" t="s">
        <v>37979</v>
      </c>
      <c r="AF5369" t="s">
        <v>5997</v>
      </c>
      <c r="AG5369" t="s">
        <v>5990</v>
      </c>
      <c r="AI5369" t="s">
        <v>37980</v>
      </c>
      <c r="AK5369" t="s">
        <v>37981</v>
      </c>
      <c r="AM5369" t="s">
        <v>12409</v>
      </c>
      <c r="AN5369" t="s">
        <v>2059</v>
      </c>
      <c r="AO5369" t="s">
        <v>37982</v>
      </c>
      <c r="AP5369" t="s">
        <v>7024</v>
      </c>
      <c r="AT5369" s="184">
        <v>31489</v>
      </c>
      <c r="AU5369" t="s">
        <v>37798</v>
      </c>
      <c r="AV5369">
        <v>11200</v>
      </c>
      <c r="AW5369" s="184">
        <v>34387</v>
      </c>
      <c r="AX5369" t="s">
        <v>37983</v>
      </c>
      <c r="AY5369">
        <v>10</v>
      </c>
      <c r="AZ5369" s="184">
        <v>31489</v>
      </c>
      <c r="BA5369" t="s">
        <v>37798</v>
      </c>
      <c r="BB5369">
        <v>11200</v>
      </c>
      <c r="BC5369">
        <v>6</v>
      </c>
      <c r="BD5369">
        <v>11210</v>
      </c>
      <c r="BE5369">
        <v>1986</v>
      </c>
      <c r="BF5369">
        <v>2</v>
      </c>
      <c r="BI5369">
        <v>2</v>
      </c>
      <c r="BJ5369">
        <v>39</v>
      </c>
      <c r="BK5369">
        <v>1</v>
      </c>
      <c r="BO5369" t="s">
        <v>595</v>
      </c>
      <c r="BP5369" s="184"/>
    </row>
    <row r="5370" spans="1:68">
      <c r="A5370">
        <v>100004798</v>
      </c>
      <c r="B5370">
        <v>100004798</v>
      </c>
      <c r="C5370" t="s">
        <v>7018</v>
      </c>
      <c r="E5370" s="184"/>
      <c r="I5370" s="184"/>
      <c r="J5370" t="s">
        <v>595</v>
      </c>
      <c r="K5370" s="184">
        <v>36878</v>
      </c>
      <c r="O5370" s="184"/>
      <c r="Q5370" t="s">
        <v>7160</v>
      </c>
      <c r="R5370" s="184">
        <v>14840</v>
      </c>
      <c r="S5370">
        <v>83</v>
      </c>
      <c r="V5370" t="s">
        <v>2825</v>
      </c>
      <c r="W5370" t="s">
        <v>7268</v>
      </c>
      <c r="X5370" t="s">
        <v>25799</v>
      </c>
      <c r="AI5370" t="s">
        <v>37984</v>
      </c>
      <c r="AM5370" t="s">
        <v>3924</v>
      </c>
      <c r="AN5370" t="s">
        <v>2413</v>
      </c>
      <c r="AO5370">
        <v>37830</v>
      </c>
      <c r="AP5370" t="s">
        <v>7024</v>
      </c>
      <c r="AT5370" s="184">
        <v>34403</v>
      </c>
      <c r="AU5370" t="s">
        <v>37985</v>
      </c>
      <c r="AV5370">
        <v>15</v>
      </c>
      <c r="AW5370" s="184">
        <v>36878</v>
      </c>
      <c r="AX5370" t="s">
        <v>37823</v>
      </c>
      <c r="AY5370">
        <v>1000</v>
      </c>
      <c r="AZ5370" s="184">
        <v>36878</v>
      </c>
      <c r="BA5370" t="s">
        <v>37823</v>
      </c>
      <c r="BB5370">
        <v>1000</v>
      </c>
      <c r="BC5370">
        <v>20</v>
      </c>
      <c r="BD5370">
        <v>1180</v>
      </c>
      <c r="BE5370">
        <v>1994</v>
      </c>
      <c r="BF5370">
        <v>10</v>
      </c>
      <c r="BI5370">
        <v>6</v>
      </c>
      <c r="BJ5370">
        <v>31</v>
      </c>
      <c r="BK5370">
        <v>5</v>
      </c>
      <c r="BO5370" t="s">
        <v>595</v>
      </c>
      <c r="BP5370" s="184"/>
    </row>
    <row r="5371" spans="1:68">
      <c r="A5371">
        <v>100004808</v>
      </c>
      <c r="B5371">
        <v>100004808</v>
      </c>
      <c r="C5371" t="s">
        <v>7018</v>
      </c>
      <c r="E5371" s="184"/>
      <c r="I5371" s="184"/>
      <c r="J5371" t="s">
        <v>595</v>
      </c>
      <c r="K5371" s="184">
        <v>33730</v>
      </c>
      <c r="Q5371" t="s">
        <v>7374</v>
      </c>
      <c r="R5371" s="184"/>
      <c r="V5371" t="s">
        <v>2858</v>
      </c>
      <c r="W5371" t="s">
        <v>7355</v>
      </c>
      <c r="X5371" t="s">
        <v>4184</v>
      </c>
      <c r="AI5371" t="s">
        <v>37986</v>
      </c>
      <c r="AM5371" t="s">
        <v>31669</v>
      </c>
      <c r="AN5371" t="s">
        <v>2081</v>
      </c>
      <c r="AO5371" t="s">
        <v>37987</v>
      </c>
      <c r="AP5371" t="s">
        <v>7024</v>
      </c>
      <c r="AT5371" s="184">
        <v>32377</v>
      </c>
      <c r="AU5371" t="s">
        <v>9321</v>
      </c>
      <c r="AV5371">
        <v>19.95</v>
      </c>
      <c r="AW5371" s="184">
        <v>33730</v>
      </c>
      <c r="AX5371" t="s">
        <v>37798</v>
      </c>
      <c r="AY5371">
        <v>31901.99</v>
      </c>
      <c r="AZ5371" s="184">
        <v>33730</v>
      </c>
      <c r="BA5371" t="s">
        <v>37798</v>
      </c>
      <c r="BB5371">
        <v>31901.99</v>
      </c>
      <c r="BC5371">
        <v>6</v>
      </c>
      <c r="BD5371">
        <v>31921.94</v>
      </c>
      <c r="BE5371">
        <v>1989</v>
      </c>
      <c r="BF5371">
        <v>2</v>
      </c>
      <c r="BI5371">
        <v>2</v>
      </c>
      <c r="BJ5371">
        <v>37</v>
      </c>
      <c r="BK5371">
        <v>1</v>
      </c>
      <c r="BO5371" t="s">
        <v>595</v>
      </c>
      <c r="BP5371" s="184"/>
    </row>
    <row r="5372" spans="1:68">
      <c r="A5372">
        <v>100004809</v>
      </c>
      <c r="B5372">
        <v>100004809</v>
      </c>
      <c r="C5372" t="s">
        <v>7018</v>
      </c>
      <c r="E5372" s="184"/>
      <c r="G5372" s="184"/>
      <c r="I5372" s="184"/>
      <c r="J5372" t="s">
        <v>595</v>
      </c>
      <c r="K5372" s="184">
        <v>37937</v>
      </c>
      <c r="O5372" s="184"/>
      <c r="Q5372" t="s">
        <v>7383</v>
      </c>
      <c r="R5372" s="184">
        <v>15720</v>
      </c>
      <c r="S5372">
        <v>81</v>
      </c>
      <c r="V5372" t="s">
        <v>5636</v>
      </c>
      <c r="X5372" t="s">
        <v>5637</v>
      </c>
      <c r="AF5372" t="s">
        <v>37988</v>
      </c>
      <c r="AG5372" t="s">
        <v>5636</v>
      </c>
      <c r="AI5372" t="s">
        <v>37989</v>
      </c>
      <c r="AM5372" t="s">
        <v>3356</v>
      </c>
      <c r="AN5372" t="s">
        <v>2313</v>
      </c>
      <c r="AO5372" t="s">
        <v>37990</v>
      </c>
      <c r="AP5372" t="s">
        <v>7024</v>
      </c>
      <c r="AT5372" s="184">
        <v>34703</v>
      </c>
      <c r="AU5372" t="s">
        <v>37991</v>
      </c>
      <c r="AV5372">
        <v>15</v>
      </c>
      <c r="AW5372" s="184">
        <v>37937</v>
      </c>
      <c r="AX5372" t="s">
        <v>7760</v>
      </c>
      <c r="AY5372">
        <v>2700</v>
      </c>
      <c r="AZ5372" s="184">
        <v>37635</v>
      </c>
      <c r="BA5372" t="s">
        <v>37822</v>
      </c>
      <c r="BB5372">
        <v>25000</v>
      </c>
      <c r="BC5372">
        <v>10</v>
      </c>
      <c r="BD5372">
        <v>27755</v>
      </c>
      <c r="BE5372">
        <v>1995</v>
      </c>
      <c r="BF5372">
        <v>5</v>
      </c>
      <c r="BI5372">
        <v>3</v>
      </c>
      <c r="BJ5372">
        <v>30</v>
      </c>
      <c r="BK5372">
        <v>1</v>
      </c>
      <c r="BM5372" t="s">
        <v>595</v>
      </c>
      <c r="BO5372" t="s">
        <v>595</v>
      </c>
      <c r="BP5372" s="184"/>
    </row>
    <row r="5373" spans="1:68">
      <c r="A5373">
        <v>100004813</v>
      </c>
      <c r="B5373">
        <v>100004813</v>
      </c>
      <c r="C5373" t="s">
        <v>7018</v>
      </c>
      <c r="E5373" s="184"/>
      <c r="G5373" s="184"/>
      <c r="J5373" t="s">
        <v>595</v>
      </c>
      <c r="K5373" s="184">
        <v>36928</v>
      </c>
      <c r="M5373" s="184"/>
      <c r="Q5373" t="s">
        <v>7194</v>
      </c>
      <c r="R5373" s="184"/>
      <c r="V5373" t="s">
        <v>37992</v>
      </c>
      <c r="X5373" t="s">
        <v>3639</v>
      </c>
      <c r="AI5373" t="s">
        <v>37993</v>
      </c>
      <c r="AK5373" t="s">
        <v>37994</v>
      </c>
      <c r="AM5373" t="s">
        <v>17840</v>
      </c>
      <c r="AN5373" t="s">
        <v>2046</v>
      </c>
      <c r="AO5373">
        <v>34711</v>
      </c>
      <c r="AP5373" t="s">
        <v>7024</v>
      </c>
      <c r="AT5373" s="184">
        <v>36374</v>
      </c>
      <c r="AU5373" t="s">
        <v>37995</v>
      </c>
      <c r="AV5373">
        <v>650000</v>
      </c>
      <c r="AW5373" s="184">
        <v>36928</v>
      </c>
      <c r="AX5373" t="s">
        <v>37877</v>
      </c>
      <c r="AY5373">
        <v>2853.54</v>
      </c>
      <c r="AZ5373" s="184">
        <v>36374</v>
      </c>
      <c r="BA5373" t="s">
        <v>37995</v>
      </c>
      <c r="BB5373">
        <v>650000</v>
      </c>
      <c r="BC5373">
        <v>12</v>
      </c>
      <c r="BD5373">
        <v>1377232.15</v>
      </c>
      <c r="BE5373">
        <v>2000</v>
      </c>
      <c r="BF5373">
        <v>5</v>
      </c>
      <c r="BI5373">
        <v>3</v>
      </c>
      <c r="BJ5373">
        <v>26</v>
      </c>
      <c r="BK5373">
        <v>3</v>
      </c>
      <c r="BO5373" t="s">
        <v>595</v>
      </c>
      <c r="BP5373" s="184"/>
    </row>
    <row r="5374" spans="1:68">
      <c r="A5374">
        <v>100004830</v>
      </c>
      <c r="B5374">
        <v>100004830</v>
      </c>
      <c r="C5374" t="s">
        <v>7018</v>
      </c>
      <c r="E5374" s="184"/>
      <c r="G5374" s="184"/>
      <c r="I5374" s="184"/>
      <c r="J5374" t="s">
        <v>595</v>
      </c>
      <c r="K5374" s="184">
        <v>36137</v>
      </c>
      <c r="O5374" s="184"/>
      <c r="Q5374" t="s">
        <v>7020</v>
      </c>
      <c r="R5374" s="184"/>
      <c r="V5374" t="s">
        <v>2593</v>
      </c>
      <c r="X5374" t="s">
        <v>37996</v>
      </c>
      <c r="AI5374" t="s">
        <v>37997</v>
      </c>
      <c r="AM5374" t="s">
        <v>10682</v>
      </c>
      <c r="AN5374" t="s">
        <v>2112</v>
      </c>
      <c r="AO5374" t="s">
        <v>37998</v>
      </c>
      <c r="AP5374" t="s">
        <v>7024</v>
      </c>
      <c r="AT5374" s="184">
        <v>34584</v>
      </c>
      <c r="AU5374" t="s">
        <v>37999</v>
      </c>
      <c r="AV5374">
        <v>15</v>
      </c>
      <c r="AW5374" s="184">
        <v>36137</v>
      </c>
      <c r="AX5374" t="s">
        <v>37806</v>
      </c>
      <c r="AY5374">
        <v>500</v>
      </c>
      <c r="AZ5374" s="184">
        <v>36137</v>
      </c>
      <c r="BA5374" t="s">
        <v>37806</v>
      </c>
      <c r="BB5374">
        <v>500</v>
      </c>
      <c r="BC5374">
        <v>7</v>
      </c>
      <c r="BD5374">
        <v>515</v>
      </c>
      <c r="BE5374">
        <v>1995</v>
      </c>
      <c r="BF5374">
        <v>2</v>
      </c>
      <c r="BI5374">
        <v>2</v>
      </c>
      <c r="BJ5374">
        <v>31</v>
      </c>
      <c r="BK5374">
        <v>1</v>
      </c>
      <c r="BO5374" t="s">
        <v>595</v>
      </c>
      <c r="BP5374" s="184"/>
    </row>
    <row r="5375" spans="1:68">
      <c r="A5375">
        <v>100004840</v>
      </c>
      <c r="B5375">
        <v>100004840</v>
      </c>
      <c r="C5375" t="s">
        <v>7018</v>
      </c>
      <c r="E5375" s="184"/>
      <c r="G5375" s="184"/>
      <c r="I5375" s="184"/>
      <c r="J5375" t="s">
        <v>595</v>
      </c>
      <c r="K5375" s="184">
        <v>37264</v>
      </c>
      <c r="O5375" s="184"/>
      <c r="Q5375" t="s">
        <v>7020</v>
      </c>
      <c r="R5375" s="184"/>
      <c r="V5375" t="s">
        <v>9826</v>
      </c>
      <c r="X5375" t="s">
        <v>38000</v>
      </c>
      <c r="AF5375" t="s">
        <v>38001</v>
      </c>
      <c r="AG5375" t="s">
        <v>9826</v>
      </c>
      <c r="AI5375" t="s">
        <v>38002</v>
      </c>
      <c r="AJ5375" t="s">
        <v>38003</v>
      </c>
      <c r="AK5375" t="s">
        <v>38004</v>
      </c>
      <c r="AM5375" t="s">
        <v>5788</v>
      </c>
      <c r="AN5375" t="s">
        <v>2363</v>
      </c>
      <c r="AO5375">
        <v>4609</v>
      </c>
      <c r="AP5375" t="s">
        <v>7024</v>
      </c>
      <c r="AT5375" s="184">
        <v>34368</v>
      </c>
      <c r="AU5375" t="s">
        <v>38005</v>
      </c>
      <c r="AV5375">
        <v>3898</v>
      </c>
      <c r="AW5375" s="184">
        <v>37264</v>
      </c>
      <c r="AX5375" t="s">
        <v>37801</v>
      </c>
      <c r="AY5375">
        <v>800</v>
      </c>
      <c r="AZ5375" s="184">
        <v>34368</v>
      </c>
      <c r="BA5375" t="s">
        <v>38005</v>
      </c>
      <c r="BB5375">
        <v>3898</v>
      </c>
      <c r="BC5375">
        <v>20</v>
      </c>
      <c r="BD5375">
        <v>11818</v>
      </c>
      <c r="BE5375">
        <v>1994</v>
      </c>
      <c r="BF5375">
        <v>7</v>
      </c>
      <c r="BI5375">
        <v>6</v>
      </c>
      <c r="BJ5375">
        <v>31</v>
      </c>
      <c r="BK5375">
        <v>2</v>
      </c>
      <c r="BM5375" t="s">
        <v>595</v>
      </c>
      <c r="BO5375" t="s">
        <v>595</v>
      </c>
      <c r="BP5375" s="184">
        <v>37439</v>
      </c>
    </row>
    <row r="5376" spans="1:68">
      <c r="A5376">
        <v>100004845</v>
      </c>
      <c r="B5376">
        <v>100004845</v>
      </c>
      <c r="C5376" t="s">
        <v>7018</v>
      </c>
      <c r="E5376" s="184"/>
      <c r="I5376" s="184"/>
      <c r="J5376" t="s">
        <v>595</v>
      </c>
      <c r="K5376" s="184">
        <v>39346</v>
      </c>
      <c r="M5376" s="184"/>
      <c r="O5376" s="184"/>
      <c r="Q5376" t="s">
        <v>7020</v>
      </c>
      <c r="R5376" s="184"/>
      <c r="U5376" t="s">
        <v>15150</v>
      </c>
      <c r="V5376" t="s">
        <v>38006</v>
      </c>
      <c r="W5376" t="s">
        <v>3237</v>
      </c>
      <c r="X5376" t="s">
        <v>19711</v>
      </c>
      <c r="AF5376" t="s">
        <v>38007</v>
      </c>
      <c r="AG5376" t="s">
        <v>38006</v>
      </c>
      <c r="AI5376" t="s">
        <v>38008</v>
      </c>
      <c r="AM5376" t="s">
        <v>11647</v>
      </c>
      <c r="AN5376" t="s">
        <v>2240</v>
      </c>
      <c r="AO5376" t="s">
        <v>38009</v>
      </c>
      <c r="AP5376" t="s">
        <v>7024</v>
      </c>
      <c r="AT5376" s="184">
        <v>30664</v>
      </c>
      <c r="AU5376" t="s">
        <v>8356</v>
      </c>
      <c r="AV5376">
        <v>500</v>
      </c>
      <c r="AW5376" s="184">
        <v>39346</v>
      </c>
      <c r="AX5376" t="s">
        <v>9864</v>
      </c>
      <c r="AY5376">
        <v>18508.23</v>
      </c>
      <c r="AZ5376" s="184">
        <v>39346</v>
      </c>
      <c r="BA5376" t="s">
        <v>9864</v>
      </c>
      <c r="BB5376">
        <v>18508.23</v>
      </c>
      <c r="BC5376">
        <v>55</v>
      </c>
      <c r="BD5376">
        <v>21158.23</v>
      </c>
      <c r="BE5376">
        <v>1984</v>
      </c>
      <c r="BF5376">
        <v>24</v>
      </c>
      <c r="BI5376">
        <v>23</v>
      </c>
      <c r="BJ5376">
        <v>42</v>
      </c>
      <c r="BK5376">
        <v>13</v>
      </c>
      <c r="BO5376" t="s">
        <v>595</v>
      </c>
      <c r="BP5376" s="184"/>
    </row>
    <row r="5377" spans="1:68">
      <c r="A5377">
        <v>100004857</v>
      </c>
      <c r="B5377">
        <v>100004857</v>
      </c>
      <c r="C5377" t="s">
        <v>7018</v>
      </c>
      <c r="E5377" s="184"/>
      <c r="I5377" s="184"/>
      <c r="J5377" t="s">
        <v>595</v>
      </c>
      <c r="K5377" s="184">
        <v>36349</v>
      </c>
      <c r="O5377" s="184"/>
      <c r="Q5377" t="s">
        <v>7383</v>
      </c>
      <c r="R5377" s="184"/>
      <c r="V5377" t="s">
        <v>2838</v>
      </c>
      <c r="X5377" t="s">
        <v>38010</v>
      </c>
      <c r="AF5377" t="s">
        <v>38011</v>
      </c>
      <c r="AG5377" t="s">
        <v>2838</v>
      </c>
      <c r="AI5377" t="s">
        <v>38012</v>
      </c>
      <c r="AK5377" t="s">
        <v>38013</v>
      </c>
      <c r="AM5377" t="s">
        <v>20702</v>
      </c>
      <c r="AN5377" t="s">
        <v>2139</v>
      </c>
      <c r="AO5377">
        <v>66861</v>
      </c>
      <c r="AP5377" t="s">
        <v>7024</v>
      </c>
      <c r="AT5377" s="184">
        <v>36102</v>
      </c>
      <c r="AU5377" t="s">
        <v>37806</v>
      </c>
      <c r="AV5377">
        <v>11075.87</v>
      </c>
      <c r="AW5377" s="184">
        <v>36349</v>
      </c>
      <c r="AX5377" t="s">
        <v>37806</v>
      </c>
      <c r="AY5377">
        <v>73.86</v>
      </c>
      <c r="AZ5377" s="184">
        <v>36102</v>
      </c>
      <c r="BA5377" t="s">
        <v>37806</v>
      </c>
      <c r="BB5377">
        <v>11075.87</v>
      </c>
      <c r="BC5377">
        <v>8</v>
      </c>
      <c r="BD5377">
        <v>11149.73</v>
      </c>
      <c r="BE5377">
        <v>1999</v>
      </c>
      <c r="BF5377">
        <v>2</v>
      </c>
      <c r="BI5377">
        <v>2</v>
      </c>
      <c r="BJ5377">
        <v>27</v>
      </c>
      <c r="BK5377">
        <v>2</v>
      </c>
      <c r="BO5377" t="s">
        <v>595</v>
      </c>
      <c r="BP5377" s="184"/>
    </row>
    <row r="5378" spans="1:68">
      <c r="A5378">
        <v>100004861</v>
      </c>
      <c r="B5378">
        <v>100004861</v>
      </c>
      <c r="C5378" t="s">
        <v>7018</v>
      </c>
      <c r="E5378" s="184"/>
      <c r="I5378" s="184"/>
      <c r="J5378" t="s">
        <v>595</v>
      </c>
      <c r="K5378" s="184">
        <v>35353</v>
      </c>
      <c r="M5378" s="184"/>
      <c r="Q5378" t="s">
        <v>7194</v>
      </c>
      <c r="R5378" s="184">
        <v>3761</v>
      </c>
      <c r="S5378">
        <v>114</v>
      </c>
      <c r="V5378" t="s">
        <v>2669</v>
      </c>
      <c r="X5378" t="s">
        <v>38014</v>
      </c>
      <c r="AI5378" t="s">
        <v>38015</v>
      </c>
      <c r="AK5378" t="s">
        <v>38016</v>
      </c>
      <c r="AM5378" t="s">
        <v>25756</v>
      </c>
      <c r="AN5378" t="s">
        <v>2046</v>
      </c>
      <c r="AO5378" t="s">
        <v>38017</v>
      </c>
      <c r="AP5378" t="s">
        <v>7024</v>
      </c>
      <c r="AT5378" s="184">
        <v>33333</v>
      </c>
      <c r="AU5378" t="s">
        <v>12006</v>
      </c>
      <c r="AV5378">
        <v>15</v>
      </c>
      <c r="AW5378" s="184">
        <v>35353</v>
      </c>
      <c r="AX5378" t="s">
        <v>38018</v>
      </c>
      <c r="AY5378">
        <v>500</v>
      </c>
      <c r="AZ5378" s="184">
        <v>35353</v>
      </c>
      <c r="BA5378" t="s">
        <v>38018</v>
      </c>
      <c r="BB5378">
        <v>500</v>
      </c>
      <c r="BC5378">
        <v>18</v>
      </c>
      <c r="BD5378">
        <v>825</v>
      </c>
      <c r="BE5378">
        <v>1991</v>
      </c>
      <c r="BF5378">
        <v>15</v>
      </c>
      <c r="BI5378">
        <v>6</v>
      </c>
      <c r="BJ5378">
        <v>34</v>
      </c>
      <c r="BK5378">
        <v>6</v>
      </c>
      <c r="BO5378" t="s">
        <v>595</v>
      </c>
      <c r="BP5378" s="184"/>
    </row>
    <row r="5379" spans="1:68">
      <c r="A5379">
        <v>100004874</v>
      </c>
      <c r="B5379">
        <v>100004874</v>
      </c>
      <c r="C5379" t="s">
        <v>7018</v>
      </c>
      <c r="E5379" s="184"/>
      <c r="I5379" s="184"/>
      <c r="J5379" t="s">
        <v>595</v>
      </c>
      <c r="K5379" s="184">
        <v>35192</v>
      </c>
      <c r="Q5379" t="s">
        <v>7383</v>
      </c>
      <c r="R5379" s="184"/>
      <c r="V5379" t="s">
        <v>4136</v>
      </c>
      <c r="X5379" t="s">
        <v>38019</v>
      </c>
      <c r="AI5379" t="s">
        <v>38020</v>
      </c>
      <c r="AK5379" t="s">
        <v>38021</v>
      </c>
      <c r="AM5379" t="s">
        <v>3082</v>
      </c>
      <c r="AN5379" t="s">
        <v>2313</v>
      </c>
      <c r="AO5379" t="s">
        <v>38022</v>
      </c>
      <c r="AP5379" t="s">
        <v>7024</v>
      </c>
      <c r="AT5379" s="184">
        <v>30980</v>
      </c>
      <c r="AU5379" t="s">
        <v>37798</v>
      </c>
      <c r="AV5379">
        <v>5371.25</v>
      </c>
      <c r="AW5379" s="184">
        <v>35192</v>
      </c>
      <c r="AX5379" t="s">
        <v>37885</v>
      </c>
      <c r="AY5379">
        <v>96.25</v>
      </c>
      <c r="AZ5379" s="184">
        <v>30980</v>
      </c>
      <c r="BA5379" t="s">
        <v>37798</v>
      </c>
      <c r="BB5379">
        <v>5371.25</v>
      </c>
      <c r="BC5379">
        <v>8</v>
      </c>
      <c r="BD5379">
        <v>7197.99</v>
      </c>
      <c r="BE5379">
        <v>1985</v>
      </c>
      <c r="BF5379">
        <v>4</v>
      </c>
      <c r="BI5379">
        <v>3</v>
      </c>
      <c r="BJ5379">
        <v>41</v>
      </c>
      <c r="BK5379">
        <v>1</v>
      </c>
      <c r="BO5379" t="s">
        <v>595</v>
      </c>
      <c r="BP5379" s="184"/>
    </row>
    <row r="5380" spans="1:68">
      <c r="A5380">
        <v>100004880</v>
      </c>
      <c r="B5380">
        <v>100004880</v>
      </c>
      <c r="C5380" t="s">
        <v>7018</v>
      </c>
      <c r="E5380" s="184"/>
      <c r="G5380" s="184"/>
      <c r="I5380" s="184"/>
      <c r="J5380" t="s">
        <v>595</v>
      </c>
      <c r="K5380" s="184">
        <v>37657</v>
      </c>
      <c r="O5380" s="184"/>
      <c r="Q5380" t="s">
        <v>7494</v>
      </c>
      <c r="R5380" s="184"/>
      <c r="U5380" t="s">
        <v>7094</v>
      </c>
      <c r="V5380" t="s">
        <v>5648</v>
      </c>
      <c r="X5380" t="s">
        <v>5649</v>
      </c>
      <c r="AF5380" t="s">
        <v>38023</v>
      </c>
      <c r="AG5380" t="s">
        <v>5648</v>
      </c>
      <c r="AI5380" t="s">
        <v>38024</v>
      </c>
      <c r="AM5380" t="s">
        <v>2582</v>
      </c>
      <c r="AN5380" t="s">
        <v>2174</v>
      </c>
      <c r="AO5380" t="s">
        <v>38025</v>
      </c>
      <c r="AP5380" t="s">
        <v>7024</v>
      </c>
      <c r="AT5380" s="184">
        <v>31149</v>
      </c>
      <c r="AU5380" t="s">
        <v>7073</v>
      </c>
      <c r="AV5380">
        <v>25</v>
      </c>
      <c r="AW5380" s="184">
        <v>37657</v>
      </c>
      <c r="AX5380" t="s">
        <v>38026</v>
      </c>
      <c r="AY5380">
        <v>25000</v>
      </c>
      <c r="AZ5380" s="184">
        <v>37657</v>
      </c>
      <c r="BA5380" t="s">
        <v>38026</v>
      </c>
      <c r="BB5380">
        <v>25000</v>
      </c>
      <c r="BC5380">
        <v>38</v>
      </c>
      <c r="BD5380">
        <v>26375</v>
      </c>
      <c r="BE5380">
        <v>1985</v>
      </c>
      <c r="BF5380">
        <v>28</v>
      </c>
      <c r="BI5380">
        <v>15</v>
      </c>
      <c r="BJ5380">
        <v>40</v>
      </c>
      <c r="BK5380">
        <v>11</v>
      </c>
      <c r="BO5380" t="s">
        <v>595</v>
      </c>
      <c r="BP5380" s="184"/>
    </row>
    <row r="5381" spans="1:68">
      <c r="A5381">
        <v>100004886</v>
      </c>
      <c r="B5381">
        <v>100004886</v>
      </c>
      <c r="C5381" t="s">
        <v>7018</v>
      </c>
      <c r="E5381" s="184"/>
      <c r="G5381" s="184"/>
      <c r="J5381" t="s">
        <v>595</v>
      </c>
      <c r="K5381" s="184">
        <v>34248</v>
      </c>
      <c r="M5381" s="184"/>
      <c r="O5381" s="184"/>
      <c r="Q5381" t="s">
        <v>7374</v>
      </c>
      <c r="R5381" s="184"/>
      <c r="V5381" t="s">
        <v>2669</v>
      </c>
      <c r="W5381" t="s">
        <v>7356</v>
      </c>
      <c r="X5381" t="s">
        <v>4275</v>
      </c>
      <c r="AF5381" t="s">
        <v>38027</v>
      </c>
      <c r="AG5381" t="s">
        <v>2669</v>
      </c>
      <c r="AI5381" t="s">
        <v>38028</v>
      </c>
      <c r="AM5381" t="s">
        <v>5817</v>
      </c>
      <c r="AN5381" t="s">
        <v>2081</v>
      </c>
      <c r="AO5381" t="s">
        <v>38029</v>
      </c>
      <c r="AP5381" t="s">
        <v>7024</v>
      </c>
      <c r="AT5381" s="184">
        <v>30578</v>
      </c>
      <c r="AU5381" t="s">
        <v>7586</v>
      </c>
      <c r="AV5381">
        <v>10</v>
      </c>
      <c r="AW5381" s="184">
        <v>34248</v>
      </c>
      <c r="AX5381" t="s">
        <v>37911</v>
      </c>
      <c r="AY5381">
        <v>14624.59</v>
      </c>
      <c r="AZ5381" s="184">
        <v>34248</v>
      </c>
      <c r="BA5381" t="s">
        <v>37911</v>
      </c>
      <c r="BB5381">
        <v>14624.59</v>
      </c>
      <c r="BC5381">
        <v>15</v>
      </c>
      <c r="BD5381">
        <v>14878.59</v>
      </c>
      <c r="BE5381">
        <v>1984</v>
      </c>
      <c r="BF5381">
        <v>16</v>
      </c>
      <c r="BI5381">
        <v>6</v>
      </c>
      <c r="BJ5381">
        <v>42</v>
      </c>
      <c r="BK5381">
        <v>5</v>
      </c>
      <c r="BO5381" t="s">
        <v>595</v>
      </c>
      <c r="BP5381" s="184"/>
    </row>
    <row r="5382" spans="1:68">
      <c r="A5382">
        <v>100004889</v>
      </c>
      <c r="B5382">
        <v>100004889</v>
      </c>
      <c r="C5382" t="s">
        <v>7018</v>
      </c>
      <c r="E5382" s="184"/>
      <c r="J5382" t="s">
        <v>595</v>
      </c>
      <c r="K5382" s="184">
        <v>38406</v>
      </c>
      <c r="O5382" s="184"/>
      <c r="Q5382" t="s">
        <v>7262</v>
      </c>
      <c r="R5382" s="184">
        <v>5174</v>
      </c>
      <c r="S5382">
        <v>110</v>
      </c>
      <c r="U5382" t="s">
        <v>15150</v>
      </c>
      <c r="V5382" t="s">
        <v>2541</v>
      </c>
      <c r="W5382" t="s">
        <v>205</v>
      </c>
      <c r="X5382" t="s">
        <v>3247</v>
      </c>
      <c r="AI5382" t="s">
        <v>38030</v>
      </c>
      <c r="AJ5382" t="s">
        <v>38031</v>
      </c>
      <c r="AK5382" t="s">
        <v>38032</v>
      </c>
      <c r="AM5382" t="s">
        <v>38033</v>
      </c>
      <c r="AN5382" t="s">
        <v>2106</v>
      </c>
      <c r="AO5382" t="s">
        <v>38034</v>
      </c>
      <c r="AP5382" t="s">
        <v>7024</v>
      </c>
      <c r="AT5382" s="184">
        <v>35534</v>
      </c>
      <c r="AU5382" t="s">
        <v>38035</v>
      </c>
      <c r="AV5382">
        <v>10</v>
      </c>
      <c r="AW5382" s="184">
        <v>38406</v>
      </c>
      <c r="AX5382" t="s">
        <v>38036</v>
      </c>
      <c r="AY5382">
        <v>5000</v>
      </c>
      <c r="AZ5382" s="184">
        <v>38406</v>
      </c>
      <c r="BA5382" t="s">
        <v>38036</v>
      </c>
      <c r="BB5382">
        <v>5000</v>
      </c>
      <c r="BC5382">
        <v>25</v>
      </c>
      <c r="BD5382">
        <v>5111</v>
      </c>
      <c r="BE5382">
        <v>1997</v>
      </c>
      <c r="BF5382">
        <v>10</v>
      </c>
      <c r="BI5382">
        <v>7</v>
      </c>
      <c r="BJ5382">
        <v>28</v>
      </c>
      <c r="BK5382">
        <v>6</v>
      </c>
      <c r="BO5382" t="s">
        <v>595</v>
      </c>
      <c r="BP5382" s="184">
        <v>37944</v>
      </c>
    </row>
    <row r="5383" spans="1:68">
      <c r="A5383">
        <v>100004898</v>
      </c>
      <c r="B5383">
        <v>100004898</v>
      </c>
      <c r="C5383" t="s">
        <v>7018</v>
      </c>
      <c r="E5383" s="184"/>
      <c r="G5383" s="184"/>
      <c r="I5383" s="184"/>
      <c r="J5383" t="s">
        <v>595</v>
      </c>
      <c r="K5383" s="184">
        <v>35614</v>
      </c>
      <c r="O5383" s="184"/>
      <c r="Q5383" t="s">
        <v>7020</v>
      </c>
      <c r="R5383" s="184"/>
      <c r="V5383" t="s">
        <v>38037</v>
      </c>
      <c r="X5383" t="s">
        <v>21647</v>
      </c>
      <c r="AI5383" t="s">
        <v>38038</v>
      </c>
      <c r="AJ5383" t="s">
        <v>38039</v>
      </c>
      <c r="AM5383" t="s">
        <v>38040</v>
      </c>
      <c r="AN5383" t="s">
        <v>2129</v>
      </c>
      <c r="AO5383" t="s">
        <v>38041</v>
      </c>
      <c r="AP5383" t="s">
        <v>7024</v>
      </c>
      <c r="AT5383" s="184">
        <v>35062</v>
      </c>
      <c r="AU5383" t="s">
        <v>37885</v>
      </c>
      <c r="AV5383">
        <v>428.4</v>
      </c>
      <c r="AW5383" s="184">
        <v>35614</v>
      </c>
      <c r="AX5383" t="s">
        <v>37798</v>
      </c>
      <c r="AY5383">
        <v>1231.5</v>
      </c>
      <c r="AZ5383" s="184">
        <v>35614</v>
      </c>
      <c r="BA5383" t="s">
        <v>37798</v>
      </c>
      <c r="BB5383">
        <v>1231.5</v>
      </c>
      <c r="BC5383">
        <v>7</v>
      </c>
      <c r="BD5383">
        <v>1659.9</v>
      </c>
      <c r="BE5383">
        <v>1996</v>
      </c>
      <c r="BF5383">
        <v>2</v>
      </c>
      <c r="BI5383">
        <v>2</v>
      </c>
      <c r="BJ5383">
        <v>30</v>
      </c>
      <c r="BK5383">
        <v>1</v>
      </c>
      <c r="BO5383" t="s">
        <v>595</v>
      </c>
      <c r="BP5383" s="184"/>
    </row>
    <row r="5384" spans="1:68">
      <c r="A5384">
        <v>100004929</v>
      </c>
      <c r="B5384">
        <v>100004929</v>
      </c>
      <c r="C5384" t="s">
        <v>7018</v>
      </c>
      <c r="E5384" s="184"/>
      <c r="I5384" s="184"/>
      <c r="J5384" t="s">
        <v>595</v>
      </c>
      <c r="K5384" s="184">
        <v>37819</v>
      </c>
      <c r="O5384" s="184"/>
      <c r="Q5384" t="s">
        <v>7262</v>
      </c>
      <c r="R5384" s="184">
        <v>7672</v>
      </c>
      <c r="S5384">
        <v>103</v>
      </c>
      <c r="U5384" t="s">
        <v>15150</v>
      </c>
      <c r="V5384" t="s">
        <v>2669</v>
      </c>
      <c r="W5384" t="s">
        <v>4139</v>
      </c>
      <c r="X5384" t="s">
        <v>38042</v>
      </c>
      <c r="AF5384" t="s">
        <v>38043</v>
      </c>
      <c r="AG5384" t="s">
        <v>2669</v>
      </c>
      <c r="AI5384" t="s">
        <v>38044</v>
      </c>
      <c r="AM5384" t="s">
        <v>2679</v>
      </c>
      <c r="AN5384" t="s">
        <v>2318</v>
      </c>
      <c r="AO5384" t="s">
        <v>38045</v>
      </c>
      <c r="AP5384" t="s">
        <v>7024</v>
      </c>
      <c r="AT5384" s="184">
        <v>32511</v>
      </c>
      <c r="AU5384" t="s">
        <v>38046</v>
      </c>
      <c r="AV5384">
        <v>22</v>
      </c>
      <c r="AW5384" s="184">
        <v>37819</v>
      </c>
      <c r="AX5384" t="s">
        <v>38047</v>
      </c>
      <c r="AY5384">
        <v>500</v>
      </c>
      <c r="AZ5384" s="184">
        <v>37819</v>
      </c>
      <c r="BA5384" t="s">
        <v>38047</v>
      </c>
      <c r="BB5384">
        <v>500</v>
      </c>
      <c r="BC5384">
        <v>28</v>
      </c>
      <c r="BD5384">
        <v>738</v>
      </c>
      <c r="BE5384">
        <v>1989</v>
      </c>
      <c r="BF5384">
        <v>14</v>
      </c>
      <c r="BI5384">
        <v>10</v>
      </c>
      <c r="BJ5384">
        <v>36</v>
      </c>
      <c r="BK5384">
        <v>4</v>
      </c>
      <c r="BO5384" t="s">
        <v>595</v>
      </c>
      <c r="BP5384" s="184">
        <v>37591</v>
      </c>
    </row>
    <row r="5385" spans="1:68">
      <c r="A5385">
        <v>100005005</v>
      </c>
      <c r="B5385">
        <v>100005005</v>
      </c>
      <c r="C5385" t="s">
        <v>7018</v>
      </c>
      <c r="E5385" s="184"/>
      <c r="I5385" s="184"/>
      <c r="J5385" t="s">
        <v>595</v>
      </c>
      <c r="K5385" s="184">
        <v>37795</v>
      </c>
      <c r="O5385" s="184"/>
      <c r="Q5385" t="s">
        <v>7383</v>
      </c>
      <c r="R5385" s="184"/>
      <c r="U5385" t="s">
        <v>7076</v>
      </c>
      <c r="V5385" t="s">
        <v>2593</v>
      </c>
      <c r="X5385" t="s">
        <v>5584</v>
      </c>
      <c r="AF5385" t="s">
        <v>38048</v>
      </c>
      <c r="AG5385" t="s">
        <v>2593</v>
      </c>
      <c r="AI5385" t="s">
        <v>38049</v>
      </c>
      <c r="AJ5385" t="s">
        <v>38050</v>
      </c>
      <c r="AM5385" t="s">
        <v>5585</v>
      </c>
      <c r="AN5385" t="s">
        <v>2064</v>
      </c>
      <c r="AO5385" t="s">
        <v>38051</v>
      </c>
      <c r="AP5385" t="s">
        <v>7024</v>
      </c>
      <c r="AT5385" s="184">
        <v>37565</v>
      </c>
      <c r="AU5385" t="s">
        <v>37822</v>
      </c>
      <c r="AV5385">
        <v>32760</v>
      </c>
      <c r="AW5385" s="184">
        <v>37795</v>
      </c>
      <c r="AX5385" t="s">
        <v>37822</v>
      </c>
      <c r="AY5385">
        <v>2.13</v>
      </c>
      <c r="AZ5385" s="184">
        <v>37565</v>
      </c>
      <c r="BA5385" t="s">
        <v>37822</v>
      </c>
      <c r="BB5385">
        <v>32760</v>
      </c>
      <c r="BC5385">
        <v>9</v>
      </c>
      <c r="BD5385">
        <v>34305.629999999997</v>
      </c>
      <c r="BE5385">
        <v>2003</v>
      </c>
      <c r="BF5385">
        <v>3</v>
      </c>
      <c r="BI5385">
        <v>2</v>
      </c>
      <c r="BJ5385">
        <v>23</v>
      </c>
      <c r="BK5385">
        <v>2</v>
      </c>
      <c r="BO5385" t="s">
        <v>595</v>
      </c>
      <c r="BP5385" s="184"/>
    </row>
    <row r="5386" spans="1:68">
      <c r="A5386">
        <v>100005044</v>
      </c>
      <c r="B5386">
        <v>100005044</v>
      </c>
      <c r="C5386" t="s">
        <v>7018</v>
      </c>
      <c r="E5386" s="184"/>
      <c r="G5386" s="184"/>
      <c r="I5386" s="184"/>
      <c r="J5386" t="s">
        <v>595</v>
      </c>
      <c r="K5386" s="184">
        <v>35776</v>
      </c>
      <c r="O5386" s="184"/>
      <c r="Q5386" t="s">
        <v>7374</v>
      </c>
      <c r="R5386" s="184"/>
      <c r="V5386" t="s">
        <v>5744</v>
      </c>
      <c r="W5386" t="s">
        <v>4327</v>
      </c>
      <c r="X5386" t="s">
        <v>5745</v>
      </c>
      <c r="AF5386" t="s">
        <v>38052</v>
      </c>
      <c r="AG5386" t="s">
        <v>5744</v>
      </c>
      <c r="AI5386" t="s">
        <v>38053</v>
      </c>
      <c r="AM5386" t="s">
        <v>5746</v>
      </c>
      <c r="AN5386" t="s">
        <v>2081</v>
      </c>
      <c r="AO5386" t="s">
        <v>38054</v>
      </c>
      <c r="AP5386" t="s">
        <v>7024</v>
      </c>
      <c r="AT5386" s="184">
        <v>35214</v>
      </c>
      <c r="AU5386" t="s">
        <v>17881</v>
      </c>
      <c r="AV5386">
        <v>30</v>
      </c>
      <c r="AW5386" s="184">
        <v>35776</v>
      </c>
      <c r="AX5386" t="s">
        <v>37958</v>
      </c>
      <c r="AY5386">
        <v>21318.7</v>
      </c>
      <c r="AZ5386" s="184">
        <v>35776</v>
      </c>
      <c r="BA5386" t="s">
        <v>37958</v>
      </c>
      <c r="BB5386">
        <v>21318.7</v>
      </c>
      <c r="BC5386">
        <v>7</v>
      </c>
      <c r="BD5386">
        <v>21468.7</v>
      </c>
      <c r="BE5386">
        <v>1996</v>
      </c>
      <c r="BF5386">
        <v>6</v>
      </c>
      <c r="BI5386">
        <v>2</v>
      </c>
      <c r="BJ5386">
        <v>29</v>
      </c>
      <c r="BK5386">
        <v>2</v>
      </c>
      <c r="BO5386" t="s">
        <v>595</v>
      </c>
      <c r="BP5386" s="184"/>
    </row>
    <row r="5387" spans="1:68">
      <c r="A5387">
        <v>100005047</v>
      </c>
      <c r="B5387">
        <v>100005047</v>
      </c>
      <c r="C5387" t="s">
        <v>7018</v>
      </c>
      <c r="E5387" s="184"/>
      <c r="I5387" s="184"/>
      <c r="J5387" t="s">
        <v>595</v>
      </c>
      <c r="K5387" s="184">
        <v>40574</v>
      </c>
      <c r="M5387" s="184"/>
      <c r="O5387" s="184"/>
      <c r="Q5387" t="s">
        <v>7374</v>
      </c>
      <c r="R5387" s="184"/>
      <c r="U5387" t="s">
        <v>7031</v>
      </c>
      <c r="V5387" t="s">
        <v>2511</v>
      </c>
      <c r="W5387" t="s">
        <v>7560</v>
      </c>
      <c r="X5387" t="s">
        <v>38055</v>
      </c>
      <c r="Z5387">
        <v>100176478</v>
      </c>
      <c r="AB5387" t="s">
        <v>2511</v>
      </c>
      <c r="AD5387" t="s">
        <v>38055</v>
      </c>
      <c r="AI5387" t="s">
        <v>38056</v>
      </c>
      <c r="AM5387" t="s">
        <v>4431</v>
      </c>
      <c r="AN5387" t="s">
        <v>2081</v>
      </c>
      <c r="AO5387" t="s">
        <v>38057</v>
      </c>
      <c r="AP5387" t="s">
        <v>7024</v>
      </c>
      <c r="AQ5387" t="s">
        <v>38058</v>
      </c>
      <c r="AR5387" t="s">
        <v>38059</v>
      </c>
      <c r="AT5387" s="184">
        <v>38622</v>
      </c>
      <c r="AU5387" t="s">
        <v>38060</v>
      </c>
      <c r="AV5387">
        <v>15</v>
      </c>
      <c r="AW5387" s="184">
        <v>40574</v>
      </c>
      <c r="AX5387" t="s">
        <v>14283</v>
      </c>
      <c r="AY5387">
        <v>29393.73</v>
      </c>
      <c r="AZ5387" s="184">
        <v>40574</v>
      </c>
      <c r="BA5387" t="s">
        <v>14283</v>
      </c>
      <c r="BB5387">
        <v>29393.73</v>
      </c>
      <c r="BC5387">
        <v>25</v>
      </c>
      <c r="BD5387">
        <v>29533.73</v>
      </c>
      <c r="BE5387">
        <v>2006</v>
      </c>
      <c r="BF5387">
        <v>7</v>
      </c>
      <c r="BI5387">
        <v>5</v>
      </c>
      <c r="BJ5387">
        <v>20</v>
      </c>
      <c r="BK5387">
        <v>4</v>
      </c>
      <c r="BO5387" t="s">
        <v>595</v>
      </c>
      <c r="BP5387" s="184"/>
    </row>
    <row r="5388" spans="1:68">
      <c r="A5388">
        <v>100005053</v>
      </c>
      <c r="B5388">
        <v>100005053</v>
      </c>
      <c r="C5388" t="s">
        <v>7018</v>
      </c>
      <c r="E5388" s="184"/>
      <c r="I5388" s="184"/>
      <c r="J5388" t="s">
        <v>595</v>
      </c>
      <c r="K5388" s="184">
        <v>42321</v>
      </c>
      <c r="O5388" s="184"/>
      <c r="Q5388" t="s">
        <v>7020</v>
      </c>
      <c r="R5388" s="184"/>
      <c r="U5388" t="s">
        <v>7031</v>
      </c>
      <c r="V5388" t="s">
        <v>2771</v>
      </c>
      <c r="X5388" t="s">
        <v>5728</v>
      </c>
      <c r="AF5388" t="s">
        <v>5990</v>
      </c>
      <c r="AG5388" t="s">
        <v>5990</v>
      </c>
      <c r="AI5388" t="s">
        <v>38061</v>
      </c>
      <c r="AM5388" t="s">
        <v>5729</v>
      </c>
      <c r="AN5388" t="s">
        <v>2112</v>
      </c>
      <c r="AO5388">
        <v>11570</v>
      </c>
      <c r="AP5388" t="s">
        <v>7024</v>
      </c>
      <c r="AT5388" s="184">
        <v>42321</v>
      </c>
      <c r="AU5388" t="s">
        <v>11622</v>
      </c>
      <c r="AV5388">
        <v>22090.43</v>
      </c>
      <c r="AW5388" s="184">
        <v>42321</v>
      </c>
      <c r="AX5388" t="s">
        <v>11622</v>
      </c>
      <c r="AY5388">
        <v>22090.43</v>
      </c>
      <c r="AZ5388" s="184">
        <v>42321</v>
      </c>
      <c r="BA5388" t="s">
        <v>11622</v>
      </c>
      <c r="BB5388">
        <v>22090.43</v>
      </c>
      <c r="BC5388">
        <v>10</v>
      </c>
      <c r="BD5388">
        <v>22090.43</v>
      </c>
      <c r="BE5388">
        <v>2016</v>
      </c>
      <c r="BF5388">
        <v>1</v>
      </c>
      <c r="BI5388">
        <v>1</v>
      </c>
      <c r="BJ5388">
        <v>10</v>
      </c>
      <c r="BK5388">
        <v>1</v>
      </c>
      <c r="BO5388" t="s">
        <v>595</v>
      </c>
      <c r="BP5388" s="184"/>
    </row>
    <row r="5389" spans="1:68">
      <c r="A5389">
        <v>100005096</v>
      </c>
      <c r="B5389">
        <v>100005096</v>
      </c>
      <c r="C5389" t="s">
        <v>7018</v>
      </c>
      <c r="E5389" s="184"/>
      <c r="I5389" s="184"/>
      <c r="J5389" t="s">
        <v>595</v>
      </c>
      <c r="K5389" s="184">
        <v>36552</v>
      </c>
      <c r="O5389" s="184"/>
      <c r="Q5389" t="s">
        <v>7374</v>
      </c>
      <c r="R5389" s="184"/>
      <c r="V5389" t="s">
        <v>3801</v>
      </c>
      <c r="W5389" t="s">
        <v>38062</v>
      </c>
      <c r="X5389" t="s">
        <v>38063</v>
      </c>
      <c r="AF5389" t="s">
        <v>38064</v>
      </c>
      <c r="AG5389" t="s">
        <v>3801</v>
      </c>
      <c r="AI5389" t="s">
        <v>38065</v>
      </c>
      <c r="AK5389" t="s">
        <v>38066</v>
      </c>
      <c r="AM5389" t="s">
        <v>3109</v>
      </c>
      <c r="AN5389" t="s">
        <v>2081</v>
      </c>
      <c r="AO5389">
        <v>92127</v>
      </c>
      <c r="AP5389" t="s">
        <v>7024</v>
      </c>
      <c r="AT5389" s="184">
        <v>35321</v>
      </c>
      <c r="AU5389" t="s">
        <v>38067</v>
      </c>
      <c r="AV5389">
        <v>1200</v>
      </c>
      <c r="AW5389" s="184">
        <v>36552</v>
      </c>
      <c r="AX5389" t="s">
        <v>37823</v>
      </c>
      <c r="AY5389">
        <v>300</v>
      </c>
      <c r="AZ5389" s="184">
        <v>35321</v>
      </c>
      <c r="BA5389" t="s">
        <v>38067</v>
      </c>
      <c r="BB5389">
        <v>1200</v>
      </c>
      <c r="BC5389">
        <v>18</v>
      </c>
      <c r="BD5389">
        <v>2400</v>
      </c>
      <c r="BE5389">
        <v>1997</v>
      </c>
      <c r="BF5389">
        <v>5</v>
      </c>
      <c r="BI5389">
        <v>5</v>
      </c>
      <c r="BJ5389">
        <v>29</v>
      </c>
      <c r="BK5389">
        <v>5</v>
      </c>
      <c r="BO5389" t="s">
        <v>595</v>
      </c>
      <c r="BP5389" s="184"/>
    </row>
    <row r="5390" spans="1:68">
      <c r="A5390">
        <v>100005098</v>
      </c>
      <c r="B5390">
        <v>100005098</v>
      </c>
      <c r="C5390" t="s">
        <v>7018</v>
      </c>
      <c r="E5390" s="184"/>
      <c r="G5390" s="184"/>
      <c r="I5390" s="184"/>
      <c r="J5390" t="s">
        <v>595</v>
      </c>
      <c r="K5390" s="184">
        <v>41836</v>
      </c>
      <c r="O5390" s="184"/>
      <c r="Q5390" t="s">
        <v>7494</v>
      </c>
      <c r="R5390" s="184">
        <v>7031</v>
      </c>
      <c r="S5390">
        <v>105</v>
      </c>
      <c r="U5390" t="s">
        <v>7076</v>
      </c>
      <c r="V5390" t="s">
        <v>3400</v>
      </c>
      <c r="W5390" t="s">
        <v>4013</v>
      </c>
      <c r="X5390" t="s">
        <v>38068</v>
      </c>
      <c r="AF5390" t="s">
        <v>38069</v>
      </c>
      <c r="AG5390" t="s">
        <v>3400</v>
      </c>
      <c r="AI5390" t="s">
        <v>38070</v>
      </c>
      <c r="AM5390" t="s">
        <v>2889</v>
      </c>
      <c r="AN5390" t="s">
        <v>2484</v>
      </c>
      <c r="AO5390" t="s">
        <v>38071</v>
      </c>
      <c r="AP5390" t="s">
        <v>7024</v>
      </c>
      <c r="AQ5390" t="s">
        <v>38072</v>
      </c>
      <c r="AR5390" t="s">
        <v>38073</v>
      </c>
      <c r="AT5390" s="184">
        <v>32294</v>
      </c>
      <c r="AU5390" t="s">
        <v>9311</v>
      </c>
      <c r="AV5390">
        <v>22</v>
      </c>
      <c r="AW5390" s="184">
        <v>41836</v>
      </c>
      <c r="AX5390" t="s">
        <v>14228</v>
      </c>
      <c r="AY5390">
        <v>200</v>
      </c>
      <c r="AZ5390" s="184">
        <v>40535</v>
      </c>
      <c r="BA5390" t="s">
        <v>38074</v>
      </c>
      <c r="BB5390">
        <v>300</v>
      </c>
      <c r="BC5390">
        <v>52</v>
      </c>
      <c r="BD5390">
        <v>1797</v>
      </c>
      <c r="BE5390">
        <v>1988</v>
      </c>
      <c r="BF5390">
        <v>21</v>
      </c>
      <c r="BI5390">
        <v>19</v>
      </c>
      <c r="BJ5390">
        <v>37</v>
      </c>
      <c r="BK5390">
        <v>12</v>
      </c>
      <c r="BN5390" t="s">
        <v>595</v>
      </c>
      <c r="BO5390" t="s">
        <v>595</v>
      </c>
      <c r="BP5390" s="184">
        <v>41508</v>
      </c>
    </row>
    <row r="5391" spans="1:68">
      <c r="A5391">
        <v>100005099</v>
      </c>
      <c r="B5391">
        <v>100005099</v>
      </c>
      <c r="C5391" t="s">
        <v>7018</v>
      </c>
      <c r="E5391" s="184"/>
      <c r="I5391" s="184"/>
      <c r="J5391" t="s">
        <v>595</v>
      </c>
      <c r="K5391" s="184">
        <v>38813</v>
      </c>
      <c r="M5391" s="184"/>
      <c r="O5391" s="184"/>
      <c r="Q5391" t="s">
        <v>7262</v>
      </c>
      <c r="R5391" s="184">
        <v>5419</v>
      </c>
      <c r="S5391">
        <v>109</v>
      </c>
      <c r="V5391" t="s">
        <v>3141</v>
      </c>
      <c r="W5391" t="s">
        <v>2049</v>
      </c>
      <c r="X5391" t="s">
        <v>38075</v>
      </c>
      <c r="Z5391">
        <v>100174979</v>
      </c>
      <c r="AA5391" t="s">
        <v>15150</v>
      </c>
      <c r="AB5391" t="s">
        <v>5400</v>
      </c>
      <c r="AD5391" t="s">
        <v>38075</v>
      </c>
      <c r="AI5391" t="s">
        <v>38076</v>
      </c>
      <c r="AM5391" t="s">
        <v>2924</v>
      </c>
      <c r="AN5391" t="s">
        <v>65</v>
      </c>
      <c r="AO5391" t="s">
        <v>38077</v>
      </c>
      <c r="AP5391" t="s">
        <v>7024</v>
      </c>
      <c r="AT5391" s="184">
        <v>35061</v>
      </c>
      <c r="AU5391" t="s">
        <v>17457</v>
      </c>
      <c r="AV5391">
        <v>50</v>
      </c>
      <c r="AW5391" s="184">
        <v>38813</v>
      </c>
      <c r="AX5391" t="s">
        <v>15155</v>
      </c>
      <c r="AY5391">
        <v>1000</v>
      </c>
      <c r="AZ5391" s="184">
        <v>38813</v>
      </c>
      <c r="BA5391" t="s">
        <v>15155</v>
      </c>
      <c r="BB5391">
        <v>1000</v>
      </c>
      <c r="BC5391">
        <v>34</v>
      </c>
      <c r="BD5391">
        <v>1755</v>
      </c>
      <c r="BE5391">
        <v>1996</v>
      </c>
      <c r="BF5391">
        <v>12</v>
      </c>
      <c r="BI5391">
        <v>10</v>
      </c>
      <c r="BJ5391">
        <v>30</v>
      </c>
      <c r="BK5391">
        <v>4</v>
      </c>
      <c r="BO5391" t="s">
        <v>595</v>
      </c>
      <c r="BP5391" s="184"/>
    </row>
    <row r="5392" spans="1:68">
      <c r="A5392">
        <v>100005110</v>
      </c>
      <c r="B5392">
        <v>100005110</v>
      </c>
      <c r="C5392" t="s">
        <v>7018</v>
      </c>
      <c r="E5392" s="184"/>
      <c r="G5392" s="184"/>
      <c r="I5392" s="184"/>
      <c r="J5392" t="s">
        <v>595</v>
      </c>
      <c r="K5392" s="184">
        <v>37459</v>
      </c>
      <c r="O5392" s="184"/>
      <c r="Q5392" t="s">
        <v>7383</v>
      </c>
      <c r="R5392" s="184">
        <v>5814</v>
      </c>
      <c r="S5392">
        <v>108</v>
      </c>
      <c r="U5392" t="s">
        <v>7076</v>
      </c>
      <c r="V5392" t="s">
        <v>5466</v>
      </c>
      <c r="W5392" t="s">
        <v>3332</v>
      </c>
      <c r="X5392" t="s">
        <v>3371</v>
      </c>
      <c r="AF5392" t="s">
        <v>38078</v>
      </c>
      <c r="AG5392" t="s">
        <v>5466</v>
      </c>
      <c r="AI5392" t="s">
        <v>38079</v>
      </c>
      <c r="AM5392" t="s">
        <v>3245</v>
      </c>
      <c r="AN5392" t="s">
        <v>2274</v>
      </c>
      <c r="AO5392" t="s">
        <v>38080</v>
      </c>
      <c r="AP5392" t="s">
        <v>7024</v>
      </c>
      <c r="AT5392" s="184">
        <v>33039</v>
      </c>
      <c r="AU5392" t="s">
        <v>10753</v>
      </c>
      <c r="AV5392">
        <v>15</v>
      </c>
      <c r="AW5392" s="184">
        <v>37459</v>
      </c>
      <c r="AX5392" t="s">
        <v>38026</v>
      </c>
      <c r="AY5392">
        <v>372.11</v>
      </c>
      <c r="AZ5392" s="184">
        <v>37167</v>
      </c>
      <c r="BA5392" t="s">
        <v>37801</v>
      </c>
      <c r="BB5392">
        <v>2250</v>
      </c>
      <c r="BC5392">
        <v>35</v>
      </c>
      <c r="BD5392">
        <v>3232.11</v>
      </c>
      <c r="BE5392">
        <v>1990</v>
      </c>
      <c r="BF5392">
        <v>36</v>
      </c>
      <c r="BI5392">
        <v>12</v>
      </c>
      <c r="BJ5392">
        <v>35</v>
      </c>
      <c r="BK5392">
        <v>9</v>
      </c>
      <c r="BO5392" t="s">
        <v>595</v>
      </c>
      <c r="BP5392" s="184"/>
    </row>
    <row r="5393" spans="1:68">
      <c r="A5393">
        <v>100005126</v>
      </c>
      <c r="B5393">
        <v>100005126</v>
      </c>
      <c r="C5393" t="s">
        <v>7018</v>
      </c>
      <c r="E5393" s="184"/>
      <c r="I5393" s="184"/>
      <c r="J5393" t="s">
        <v>595</v>
      </c>
      <c r="K5393" s="184">
        <v>42384</v>
      </c>
      <c r="M5393" s="184"/>
      <c r="O5393" s="184"/>
      <c r="Q5393" t="s">
        <v>7374</v>
      </c>
      <c r="R5393" s="184">
        <v>12770</v>
      </c>
      <c r="S5393">
        <v>89</v>
      </c>
      <c r="U5393" t="s">
        <v>7031</v>
      </c>
      <c r="V5393" t="s">
        <v>3689</v>
      </c>
      <c r="W5393" t="s">
        <v>7407</v>
      </c>
      <c r="X5393" t="s">
        <v>5951</v>
      </c>
      <c r="AF5393" t="s">
        <v>5990</v>
      </c>
      <c r="AG5393" t="s">
        <v>5990</v>
      </c>
      <c r="AI5393" t="s">
        <v>38081</v>
      </c>
      <c r="AM5393" t="s">
        <v>3109</v>
      </c>
      <c r="AN5393" t="s">
        <v>2081</v>
      </c>
      <c r="AO5393" t="s">
        <v>38082</v>
      </c>
      <c r="AP5393" t="s">
        <v>7024</v>
      </c>
      <c r="AQ5393" t="s">
        <v>38083</v>
      </c>
      <c r="AT5393" s="184">
        <v>32983</v>
      </c>
      <c r="AU5393" t="s">
        <v>10508</v>
      </c>
      <c r="AV5393">
        <v>15</v>
      </c>
      <c r="AW5393" s="184">
        <v>42384</v>
      </c>
      <c r="AX5393" t="s">
        <v>11622</v>
      </c>
      <c r="AY5393">
        <v>10000</v>
      </c>
      <c r="AZ5393" s="184">
        <v>42384</v>
      </c>
      <c r="BA5393" t="s">
        <v>11622</v>
      </c>
      <c r="BB5393">
        <v>10000</v>
      </c>
      <c r="BC5393">
        <v>69</v>
      </c>
      <c r="BD5393">
        <v>12925</v>
      </c>
      <c r="BE5393">
        <v>1990</v>
      </c>
      <c r="BF5393">
        <v>42</v>
      </c>
      <c r="BI5393">
        <v>24</v>
      </c>
      <c r="BJ5393">
        <v>35</v>
      </c>
      <c r="BK5393">
        <v>18</v>
      </c>
      <c r="BN5393" t="s">
        <v>595</v>
      </c>
      <c r="BO5393" t="s">
        <v>595</v>
      </c>
      <c r="BP5393" s="184">
        <v>42063</v>
      </c>
    </row>
    <row r="5394" spans="1:68">
      <c r="A5394">
        <v>100005134</v>
      </c>
      <c r="B5394">
        <v>100005134</v>
      </c>
      <c r="C5394" t="s">
        <v>7018</v>
      </c>
      <c r="E5394" s="184"/>
      <c r="I5394" s="184"/>
      <c r="J5394" t="s">
        <v>595</v>
      </c>
      <c r="K5394" s="184">
        <v>41964</v>
      </c>
      <c r="O5394" s="184"/>
      <c r="Q5394" t="s">
        <v>7194</v>
      </c>
      <c r="R5394" s="184">
        <v>20510</v>
      </c>
      <c r="S5394">
        <v>68</v>
      </c>
      <c r="U5394" t="s">
        <v>7076</v>
      </c>
      <c r="V5394" t="s">
        <v>13505</v>
      </c>
      <c r="W5394" t="s">
        <v>3235</v>
      </c>
      <c r="X5394" t="s">
        <v>38084</v>
      </c>
      <c r="AF5394" t="s">
        <v>38085</v>
      </c>
      <c r="AG5394" t="s">
        <v>13505</v>
      </c>
      <c r="AI5394" t="s">
        <v>38086</v>
      </c>
      <c r="AM5394" t="s">
        <v>5073</v>
      </c>
      <c r="AN5394" t="s">
        <v>2046</v>
      </c>
      <c r="AO5394" t="s">
        <v>38087</v>
      </c>
      <c r="AP5394" t="s">
        <v>7024</v>
      </c>
      <c r="AQ5394" t="s">
        <v>38088</v>
      </c>
      <c r="AT5394" s="184">
        <v>40078</v>
      </c>
      <c r="AU5394" t="s">
        <v>38089</v>
      </c>
      <c r="AV5394">
        <v>25</v>
      </c>
      <c r="AW5394" s="184">
        <v>43004</v>
      </c>
      <c r="AX5394" t="s">
        <v>7445</v>
      </c>
      <c r="AY5394">
        <v>15.89</v>
      </c>
      <c r="AZ5394" s="184">
        <v>42983</v>
      </c>
      <c r="BA5394" t="s">
        <v>7445</v>
      </c>
      <c r="BB5394">
        <v>9362.86</v>
      </c>
      <c r="BC5394">
        <v>44</v>
      </c>
      <c r="BD5394">
        <v>9723.75</v>
      </c>
      <c r="BE5394">
        <v>2010</v>
      </c>
      <c r="BF5394">
        <v>12</v>
      </c>
      <c r="BI5394">
        <v>7</v>
      </c>
      <c r="BJ5394">
        <v>16</v>
      </c>
      <c r="BK5394">
        <v>5</v>
      </c>
      <c r="BN5394" t="s">
        <v>595</v>
      </c>
      <c r="BO5394" t="s">
        <v>595</v>
      </c>
      <c r="BP5394" s="184">
        <v>42762</v>
      </c>
    </row>
    <row r="5395" spans="1:68">
      <c r="A5395">
        <v>100005161</v>
      </c>
      <c r="B5395">
        <v>100005161</v>
      </c>
      <c r="C5395" t="s">
        <v>7018</v>
      </c>
      <c r="E5395" s="184"/>
      <c r="I5395" s="184"/>
      <c r="J5395" t="s">
        <v>595</v>
      </c>
      <c r="K5395" s="184">
        <v>38350</v>
      </c>
      <c r="O5395" s="184"/>
      <c r="Q5395" t="s">
        <v>7262</v>
      </c>
      <c r="R5395" s="184"/>
      <c r="U5395" t="s">
        <v>15150</v>
      </c>
      <c r="V5395" t="s">
        <v>38090</v>
      </c>
      <c r="X5395" t="s">
        <v>9268</v>
      </c>
      <c r="AI5395" t="s">
        <v>38091</v>
      </c>
      <c r="AM5395" t="s">
        <v>3205</v>
      </c>
      <c r="AN5395" t="s">
        <v>2106</v>
      </c>
      <c r="AO5395" t="s">
        <v>38092</v>
      </c>
      <c r="AP5395" t="s">
        <v>7024</v>
      </c>
      <c r="AT5395" s="184">
        <v>30826</v>
      </c>
      <c r="AU5395" t="s">
        <v>7073</v>
      </c>
      <c r="AV5395">
        <v>25</v>
      </c>
      <c r="AW5395" s="184">
        <v>38350</v>
      </c>
      <c r="AX5395" t="s">
        <v>37872</v>
      </c>
      <c r="AY5395">
        <v>160.5</v>
      </c>
      <c r="AZ5395" s="184">
        <v>36703</v>
      </c>
      <c r="BA5395" t="s">
        <v>37823</v>
      </c>
      <c r="BB5395">
        <v>19691.43</v>
      </c>
      <c r="BC5395">
        <v>40</v>
      </c>
      <c r="BD5395">
        <v>31234.15</v>
      </c>
      <c r="BE5395">
        <v>1984</v>
      </c>
      <c r="BF5395">
        <v>25</v>
      </c>
      <c r="BI5395">
        <v>16</v>
      </c>
      <c r="BJ5395">
        <v>41</v>
      </c>
      <c r="BK5395">
        <v>10</v>
      </c>
      <c r="BO5395" t="s">
        <v>595</v>
      </c>
      <c r="BP5395" s="184"/>
    </row>
    <row r="5396" spans="1:68">
      <c r="A5396">
        <v>100005167</v>
      </c>
      <c r="B5396">
        <v>100005167</v>
      </c>
      <c r="C5396" t="s">
        <v>7018</v>
      </c>
      <c r="E5396" s="184"/>
      <c r="I5396" s="184"/>
      <c r="J5396" t="s">
        <v>595</v>
      </c>
      <c r="K5396" s="184">
        <v>34590</v>
      </c>
      <c r="Q5396" t="s">
        <v>7383</v>
      </c>
      <c r="R5396" s="184"/>
      <c r="V5396" t="s">
        <v>3400</v>
      </c>
      <c r="X5396" t="s">
        <v>14917</v>
      </c>
      <c r="AF5396" t="s">
        <v>38093</v>
      </c>
      <c r="AG5396" t="s">
        <v>3400</v>
      </c>
      <c r="AI5396" t="s">
        <v>38094</v>
      </c>
      <c r="AM5396" t="s">
        <v>38095</v>
      </c>
      <c r="AN5396" t="s">
        <v>2313</v>
      </c>
      <c r="AO5396" t="s">
        <v>38096</v>
      </c>
      <c r="AP5396" t="s">
        <v>7024</v>
      </c>
      <c r="AT5396" s="184">
        <v>30515</v>
      </c>
      <c r="AU5396" t="s">
        <v>38097</v>
      </c>
      <c r="AV5396">
        <v>50</v>
      </c>
      <c r="AW5396" s="184">
        <v>34590</v>
      </c>
      <c r="AX5396" t="s">
        <v>37922</v>
      </c>
      <c r="AY5396">
        <v>5000</v>
      </c>
      <c r="AZ5396" s="184">
        <v>34590</v>
      </c>
      <c r="BA5396" t="s">
        <v>37922</v>
      </c>
      <c r="BB5396">
        <v>5000</v>
      </c>
      <c r="BC5396">
        <v>24</v>
      </c>
      <c r="BD5396">
        <v>6825</v>
      </c>
      <c r="BE5396">
        <v>1984</v>
      </c>
      <c r="BF5396">
        <v>14</v>
      </c>
      <c r="BI5396">
        <v>10</v>
      </c>
      <c r="BJ5396">
        <v>42</v>
      </c>
      <c r="BK5396">
        <v>6</v>
      </c>
      <c r="BO5396" t="s">
        <v>595</v>
      </c>
      <c r="BP5396" s="184"/>
    </row>
    <row r="5397" spans="1:68">
      <c r="A5397">
        <v>100005186</v>
      </c>
      <c r="B5397">
        <v>100005186</v>
      </c>
      <c r="C5397" t="s">
        <v>7018</v>
      </c>
      <c r="E5397" s="184"/>
      <c r="G5397" s="184"/>
      <c r="I5397" s="184"/>
      <c r="J5397" t="s">
        <v>595</v>
      </c>
      <c r="K5397" s="184">
        <v>31392</v>
      </c>
      <c r="Q5397" t="s">
        <v>7374</v>
      </c>
      <c r="R5397" s="184"/>
      <c r="V5397" t="s">
        <v>2669</v>
      </c>
      <c r="W5397" t="s">
        <v>7067</v>
      </c>
      <c r="X5397" t="s">
        <v>5544</v>
      </c>
      <c r="AI5397" t="s">
        <v>38098</v>
      </c>
      <c r="AM5397" t="s">
        <v>4268</v>
      </c>
      <c r="AN5397" t="s">
        <v>2081</v>
      </c>
      <c r="AO5397" t="s">
        <v>38099</v>
      </c>
      <c r="AP5397" t="s">
        <v>7024</v>
      </c>
      <c r="AT5397" s="184">
        <v>31392</v>
      </c>
      <c r="AU5397" t="s">
        <v>37798</v>
      </c>
      <c r="AV5397">
        <v>500</v>
      </c>
      <c r="AW5397" s="184">
        <v>31392</v>
      </c>
      <c r="AX5397" t="s">
        <v>37798</v>
      </c>
      <c r="AY5397">
        <v>500</v>
      </c>
      <c r="AZ5397" s="184">
        <v>31392</v>
      </c>
      <c r="BA5397" t="s">
        <v>37798</v>
      </c>
      <c r="BB5397">
        <v>500</v>
      </c>
      <c r="BC5397">
        <v>3</v>
      </c>
      <c r="BD5397">
        <v>500</v>
      </c>
      <c r="BE5397">
        <v>1986</v>
      </c>
      <c r="BF5397">
        <v>1</v>
      </c>
      <c r="BI5397">
        <v>1</v>
      </c>
      <c r="BJ5397">
        <v>40</v>
      </c>
      <c r="BK5397">
        <v>1</v>
      </c>
      <c r="BO5397" t="s">
        <v>595</v>
      </c>
      <c r="BP5397" s="184"/>
    </row>
    <row r="5398" spans="1:68">
      <c r="A5398">
        <v>100005201</v>
      </c>
      <c r="B5398">
        <v>100005201</v>
      </c>
      <c r="C5398" t="s">
        <v>23153</v>
      </c>
      <c r="E5398" s="184"/>
      <c r="I5398" s="184"/>
      <c r="J5398" t="s">
        <v>595</v>
      </c>
      <c r="K5398" s="184">
        <v>43691</v>
      </c>
      <c r="M5398" s="184"/>
      <c r="O5398" s="184"/>
      <c r="P5398" t="s">
        <v>7045</v>
      </c>
      <c r="Q5398" t="s">
        <v>7030</v>
      </c>
      <c r="R5398" s="184" t="s">
        <v>38100</v>
      </c>
      <c r="S5398">
        <v>149</v>
      </c>
      <c r="V5398" t="s">
        <v>2551</v>
      </c>
      <c r="X5398" t="s">
        <v>5589</v>
      </c>
      <c r="Z5398">
        <v>100174407</v>
      </c>
      <c r="AB5398" t="s">
        <v>2586</v>
      </c>
      <c r="AC5398" t="s">
        <v>38101</v>
      </c>
      <c r="AD5398" t="s">
        <v>5589</v>
      </c>
      <c r="AF5398" t="s">
        <v>38102</v>
      </c>
      <c r="AG5398" t="s">
        <v>38103</v>
      </c>
      <c r="AI5398" t="s">
        <v>38104</v>
      </c>
      <c r="AJ5398" t="s">
        <v>38105</v>
      </c>
      <c r="AM5398" t="s">
        <v>16241</v>
      </c>
      <c r="AN5398" t="s">
        <v>2089</v>
      </c>
      <c r="AO5398">
        <v>85285</v>
      </c>
      <c r="AP5398" t="s">
        <v>7024</v>
      </c>
      <c r="AT5398" s="184">
        <v>30868</v>
      </c>
      <c r="AU5398" t="s">
        <v>37798</v>
      </c>
      <c r="AV5398">
        <v>8619.85</v>
      </c>
      <c r="AW5398" s="184">
        <v>45107</v>
      </c>
      <c r="AX5398" t="s">
        <v>7721</v>
      </c>
      <c r="AY5398">
        <v>96.51</v>
      </c>
      <c r="AZ5398" s="184">
        <v>30868</v>
      </c>
      <c r="BA5398" t="s">
        <v>37798</v>
      </c>
      <c r="BB5398">
        <v>8619.85</v>
      </c>
      <c r="BC5398">
        <v>88</v>
      </c>
      <c r="BD5398">
        <v>33759.51</v>
      </c>
      <c r="BE5398">
        <v>1985</v>
      </c>
      <c r="BF5398">
        <v>107</v>
      </c>
      <c r="BG5398">
        <v>1</v>
      </c>
      <c r="BH5398">
        <v>96.51</v>
      </c>
      <c r="BI5398">
        <v>36</v>
      </c>
      <c r="BJ5398">
        <v>41</v>
      </c>
      <c r="BK5398">
        <v>30</v>
      </c>
      <c r="BO5398" t="s">
        <v>595</v>
      </c>
      <c r="BP5398" s="184">
        <v>24298</v>
      </c>
    </row>
    <row r="5399" spans="1:68">
      <c r="A5399">
        <v>100174407</v>
      </c>
      <c r="B5399">
        <v>100005201</v>
      </c>
      <c r="C5399" t="s">
        <v>23153</v>
      </c>
      <c r="E5399" s="184"/>
      <c r="I5399" s="184"/>
      <c r="J5399" t="s">
        <v>595</v>
      </c>
      <c r="K5399" s="184">
        <v>43691</v>
      </c>
      <c r="M5399" s="184"/>
      <c r="O5399" s="184"/>
      <c r="P5399" t="s">
        <v>7045</v>
      </c>
      <c r="Q5399" t="s">
        <v>7030</v>
      </c>
      <c r="R5399" s="184"/>
      <c r="V5399" t="s">
        <v>2586</v>
      </c>
      <c r="W5399" t="s">
        <v>38101</v>
      </c>
      <c r="X5399" t="s">
        <v>5589</v>
      </c>
      <c r="Z5399">
        <v>100005201</v>
      </c>
      <c r="AB5399" t="s">
        <v>2551</v>
      </c>
      <c r="AD5399" t="s">
        <v>5589</v>
      </c>
      <c r="AF5399" t="s">
        <v>38102</v>
      </c>
      <c r="AG5399" t="s">
        <v>38103</v>
      </c>
      <c r="AI5399" t="s">
        <v>38104</v>
      </c>
      <c r="AJ5399" t="s">
        <v>38105</v>
      </c>
      <c r="AM5399" t="s">
        <v>16241</v>
      </c>
      <c r="AN5399" t="s">
        <v>2089</v>
      </c>
      <c r="AO5399">
        <v>85285</v>
      </c>
      <c r="AP5399" t="s">
        <v>7024</v>
      </c>
      <c r="AT5399" s="184"/>
      <c r="AW5399" s="184"/>
      <c r="AZ5399" s="184"/>
      <c r="BO5399" t="s">
        <v>595</v>
      </c>
      <c r="BP5399" s="184"/>
    </row>
    <row r="5400" spans="1:68">
      <c r="A5400">
        <v>100174409</v>
      </c>
      <c r="B5400">
        <v>100005201</v>
      </c>
      <c r="C5400" t="s">
        <v>23153</v>
      </c>
      <c r="E5400" s="184"/>
      <c r="I5400" s="184"/>
      <c r="J5400" t="s">
        <v>595</v>
      </c>
      <c r="K5400" s="184">
        <v>43691</v>
      </c>
      <c r="O5400" s="184"/>
      <c r="P5400" t="s">
        <v>7045</v>
      </c>
      <c r="Q5400" t="s">
        <v>7030</v>
      </c>
      <c r="R5400" s="184"/>
      <c r="X5400" t="s">
        <v>38106</v>
      </c>
      <c r="Z5400">
        <v>100005201</v>
      </c>
      <c r="AB5400" t="s">
        <v>2551</v>
      </c>
      <c r="AD5400" t="s">
        <v>5589</v>
      </c>
      <c r="AF5400" t="s">
        <v>38102</v>
      </c>
      <c r="AG5400" t="s">
        <v>38103</v>
      </c>
      <c r="AI5400" t="s">
        <v>38104</v>
      </c>
      <c r="AJ5400" t="s">
        <v>38105</v>
      </c>
      <c r="AM5400" t="s">
        <v>16241</v>
      </c>
      <c r="AN5400" t="s">
        <v>2089</v>
      </c>
      <c r="AO5400">
        <v>85285</v>
      </c>
      <c r="AP5400" t="s">
        <v>7024</v>
      </c>
      <c r="AT5400" s="184"/>
      <c r="AW5400" s="184"/>
      <c r="AZ5400" s="184"/>
      <c r="BP5400" s="184"/>
    </row>
    <row r="5401" spans="1:68">
      <c r="A5401">
        <v>100174410</v>
      </c>
      <c r="B5401">
        <v>100005201</v>
      </c>
      <c r="C5401" t="s">
        <v>23153</v>
      </c>
      <c r="E5401" s="184"/>
      <c r="G5401" s="184"/>
      <c r="I5401" s="184"/>
      <c r="J5401" t="s">
        <v>595</v>
      </c>
      <c r="K5401" s="184">
        <v>43691</v>
      </c>
      <c r="O5401" s="184"/>
      <c r="P5401" t="s">
        <v>7045</v>
      </c>
      <c r="Q5401" t="s">
        <v>7030</v>
      </c>
      <c r="R5401" s="184"/>
      <c r="X5401" t="s">
        <v>38107</v>
      </c>
      <c r="Z5401">
        <v>100005201</v>
      </c>
      <c r="AB5401" t="s">
        <v>2551</v>
      </c>
      <c r="AD5401" t="s">
        <v>5589</v>
      </c>
      <c r="AF5401" t="s">
        <v>38102</v>
      </c>
      <c r="AG5401" t="s">
        <v>38103</v>
      </c>
      <c r="AI5401" t="s">
        <v>38104</v>
      </c>
      <c r="AJ5401" t="s">
        <v>38105</v>
      </c>
      <c r="AM5401" t="s">
        <v>16241</v>
      </c>
      <c r="AN5401" t="s">
        <v>2089</v>
      </c>
      <c r="AO5401">
        <v>85285</v>
      </c>
      <c r="AP5401" t="s">
        <v>7024</v>
      </c>
      <c r="AT5401" s="184"/>
      <c r="AW5401" s="184"/>
      <c r="AZ5401" s="184"/>
      <c r="BP5401" s="184"/>
    </row>
    <row r="5402" spans="1:68">
      <c r="A5402">
        <v>100005203</v>
      </c>
      <c r="B5402">
        <v>100005203</v>
      </c>
      <c r="C5402" t="s">
        <v>7018</v>
      </c>
      <c r="E5402" s="184"/>
      <c r="G5402" s="184"/>
      <c r="I5402" s="184"/>
      <c r="J5402" t="s">
        <v>595</v>
      </c>
      <c r="K5402" s="184">
        <v>37819</v>
      </c>
      <c r="O5402" s="184"/>
      <c r="Q5402" t="s">
        <v>7030</v>
      </c>
      <c r="R5402" s="184">
        <v>5205</v>
      </c>
      <c r="S5402">
        <v>110</v>
      </c>
      <c r="U5402" t="s">
        <v>15150</v>
      </c>
      <c r="V5402" t="s">
        <v>20702</v>
      </c>
      <c r="W5402" t="s">
        <v>3830</v>
      </c>
      <c r="X5402" t="s">
        <v>10421</v>
      </c>
      <c r="AF5402" t="s">
        <v>38108</v>
      </c>
      <c r="AG5402" t="s">
        <v>20702</v>
      </c>
      <c r="AI5402" t="s">
        <v>38109</v>
      </c>
      <c r="AM5402" t="s">
        <v>3189</v>
      </c>
      <c r="AN5402" t="s">
        <v>2638</v>
      </c>
      <c r="AO5402" t="s">
        <v>38110</v>
      </c>
      <c r="AP5402" t="s">
        <v>7024</v>
      </c>
      <c r="AT5402" s="184">
        <v>34232</v>
      </c>
      <c r="AU5402" t="s">
        <v>38111</v>
      </c>
      <c r="AV5402">
        <v>25</v>
      </c>
      <c r="AW5402" s="184">
        <v>37819</v>
      </c>
      <c r="AX5402" t="s">
        <v>7760</v>
      </c>
      <c r="AY5402">
        <v>5925.93</v>
      </c>
      <c r="AZ5402" s="184">
        <v>37819</v>
      </c>
      <c r="BA5402" t="s">
        <v>7760</v>
      </c>
      <c r="BB5402">
        <v>5925.93</v>
      </c>
      <c r="BC5402">
        <v>16</v>
      </c>
      <c r="BD5402">
        <v>6210.93</v>
      </c>
      <c r="BE5402">
        <v>1994</v>
      </c>
      <c r="BF5402">
        <v>7</v>
      </c>
      <c r="BI5402">
        <v>5</v>
      </c>
      <c r="BJ5402">
        <v>32</v>
      </c>
      <c r="BK5402">
        <v>2</v>
      </c>
      <c r="BO5402" t="s">
        <v>595</v>
      </c>
      <c r="BP5402" s="184"/>
    </row>
    <row r="5403" spans="1:68">
      <c r="A5403">
        <v>100005233</v>
      </c>
      <c r="B5403">
        <v>100005233</v>
      </c>
      <c r="C5403" t="s">
        <v>7018</v>
      </c>
      <c r="E5403" s="184"/>
      <c r="G5403" s="184"/>
      <c r="I5403" s="184"/>
      <c r="J5403" t="s">
        <v>595</v>
      </c>
      <c r="K5403" s="184">
        <v>35363</v>
      </c>
      <c r="O5403" s="184"/>
      <c r="Q5403" t="s">
        <v>7374</v>
      </c>
      <c r="R5403" s="184"/>
      <c r="V5403" t="s">
        <v>38112</v>
      </c>
      <c r="X5403" t="s">
        <v>11602</v>
      </c>
      <c r="AI5403" t="s">
        <v>38113</v>
      </c>
      <c r="AK5403" t="s">
        <v>38114</v>
      </c>
      <c r="AM5403" t="s">
        <v>2797</v>
      </c>
      <c r="AN5403" t="s">
        <v>2081</v>
      </c>
      <c r="AO5403">
        <v>95404</v>
      </c>
      <c r="AP5403" t="s">
        <v>7024</v>
      </c>
      <c r="AT5403" s="184">
        <v>35363</v>
      </c>
      <c r="AU5403" t="s">
        <v>37834</v>
      </c>
      <c r="AV5403">
        <v>100</v>
      </c>
      <c r="AW5403" s="184">
        <v>35363</v>
      </c>
      <c r="AX5403" t="s">
        <v>37834</v>
      </c>
      <c r="AY5403">
        <v>100</v>
      </c>
      <c r="AZ5403" s="184">
        <v>35363</v>
      </c>
      <c r="BA5403" t="s">
        <v>37834</v>
      </c>
      <c r="BB5403">
        <v>100</v>
      </c>
      <c r="BC5403">
        <v>4</v>
      </c>
      <c r="BD5403">
        <v>100</v>
      </c>
      <c r="BE5403">
        <v>1997</v>
      </c>
      <c r="BF5403">
        <v>1</v>
      </c>
      <c r="BI5403">
        <v>1</v>
      </c>
      <c r="BJ5403">
        <v>29</v>
      </c>
      <c r="BK5403">
        <v>1</v>
      </c>
      <c r="BO5403" t="s">
        <v>595</v>
      </c>
      <c r="BP5403" s="184"/>
    </row>
    <row r="5404" spans="1:68">
      <c r="A5404">
        <v>100005241</v>
      </c>
      <c r="B5404">
        <v>100005241</v>
      </c>
      <c r="C5404" t="s">
        <v>7018</v>
      </c>
      <c r="E5404" s="184"/>
      <c r="I5404" s="184"/>
      <c r="J5404" t="s">
        <v>595</v>
      </c>
      <c r="K5404" s="184">
        <v>36718</v>
      </c>
      <c r="M5404" s="184"/>
      <c r="O5404" s="184"/>
      <c r="Q5404" t="s">
        <v>7374</v>
      </c>
      <c r="R5404" s="184"/>
      <c r="V5404" t="s">
        <v>2541</v>
      </c>
      <c r="W5404" t="s">
        <v>3237</v>
      </c>
      <c r="X5404" t="s">
        <v>38115</v>
      </c>
      <c r="AI5404" t="s">
        <v>38116</v>
      </c>
      <c r="AM5404" t="s">
        <v>38117</v>
      </c>
      <c r="AN5404" t="s">
        <v>2081</v>
      </c>
      <c r="AO5404" t="s">
        <v>38118</v>
      </c>
      <c r="AP5404" t="s">
        <v>7024</v>
      </c>
      <c r="AT5404" s="184">
        <v>34150</v>
      </c>
      <c r="AU5404" t="s">
        <v>37837</v>
      </c>
      <c r="AV5404">
        <v>16170.39</v>
      </c>
      <c r="AW5404" s="184">
        <v>36718</v>
      </c>
      <c r="AX5404" t="s">
        <v>37877</v>
      </c>
      <c r="AY5404">
        <v>92.34</v>
      </c>
      <c r="AZ5404" s="184">
        <v>34150</v>
      </c>
      <c r="BA5404" t="s">
        <v>37837</v>
      </c>
      <c r="BB5404">
        <v>16170.39</v>
      </c>
      <c r="BC5404">
        <v>19</v>
      </c>
      <c r="BD5404">
        <v>31758.84</v>
      </c>
      <c r="BE5404">
        <v>1993</v>
      </c>
      <c r="BF5404">
        <v>6</v>
      </c>
      <c r="BI5404">
        <v>6</v>
      </c>
      <c r="BJ5404">
        <v>32</v>
      </c>
      <c r="BK5404">
        <v>3</v>
      </c>
      <c r="BO5404" t="s">
        <v>595</v>
      </c>
      <c r="BP5404" s="184"/>
    </row>
    <row r="5405" spans="1:68">
      <c r="A5405">
        <v>100005250</v>
      </c>
      <c r="B5405">
        <v>100005250</v>
      </c>
      <c r="C5405" t="s">
        <v>7018</v>
      </c>
      <c r="E5405" s="184"/>
      <c r="G5405" s="184"/>
      <c r="I5405" s="184"/>
      <c r="J5405" t="s">
        <v>595</v>
      </c>
      <c r="K5405" s="184">
        <v>38100</v>
      </c>
      <c r="O5405" s="184"/>
      <c r="Q5405" t="s">
        <v>7020</v>
      </c>
      <c r="R5405" s="184">
        <v>7122</v>
      </c>
      <c r="S5405">
        <v>104</v>
      </c>
      <c r="U5405" t="s">
        <v>15150</v>
      </c>
      <c r="V5405" t="s">
        <v>38119</v>
      </c>
      <c r="W5405" t="s">
        <v>7560</v>
      </c>
      <c r="X5405" t="s">
        <v>25799</v>
      </c>
      <c r="AF5405" t="s">
        <v>38120</v>
      </c>
      <c r="AG5405" t="s">
        <v>38119</v>
      </c>
      <c r="AI5405" t="s">
        <v>38121</v>
      </c>
      <c r="AM5405" t="s">
        <v>4026</v>
      </c>
      <c r="AN5405" t="s">
        <v>2363</v>
      </c>
      <c r="AO5405">
        <v>4210</v>
      </c>
      <c r="AP5405" t="s">
        <v>7024</v>
      </c>
      <c r="AT5405" s="184">
        <v>30608</v>
      </c>
      <c r="AU5405" t="s">
        <v>7073</v>
      </c>
      <c r="AV5405">
        <v>18</v>
      </c>
      <c r="AW5405" s="184">
        <v>38100</v>
      </c>
      <c r="AX5405" t="s">
        <v>7760</v>
      </c>
      <c r="AY5405">
        <v>46800.9</v>
      </c>
      <c r="AZ5405" s="184">
        <v>38100</v>
      </c>
      <c r="BA5405" t="s">
        <v>7760</v>
      </c>
      <c r="BB5405">
        <v>46800.9</v>
      </c>
      <c r="BC5405">
        <v>39</v>
      </c>
      <c r="BD5405">
        <v>47261.9</v>
      </c>
      <c r="BE5405">
        <v>1984</v>
      </c>
      <c r="BF5405">
        <v>19</v>
      </c>
      <c r="BI5405">
        <v>16</v>
      </c>
      <c r="BJ5405">
        <v>42</v>
      </c>
      <c r="BK5405">
        <v>6</v>
      </c>
      <c r="BO5405" t="s">
        <v>595</v>
      </c>
      <c r="BP5405" s="184">
        <v>37712</v>
      </c>
    </row>
    <row r="5406" spans="1:68">
      <c r="A5406">
        <v>100005255</v>
      </c>
      <c r="B5406">
        <v>100005255</v>
      </c>
      <c r="C5406" t="s">
        <v>7018</v>
      </c>
      <c r="E5406" s="184"/>
      <c r="G5406" s="184"/>
      <c r="I5406" s="184"/>
      <c r="J5406" t="s">
        <v>595</v>
      </c>
      <c r="K5406" s="184">
        <v>34289</v>
      </c>
      <c r="O5406" s="184"/>
      <c r="Q5406" t="s">
        <v>7383</v>
      </c>
      <c r="R5406" s="184"/>
      <c r="V5406" t="s">
        <v>2593</v>
      </c>
      <c r="W5406" t="s">
        <v>7384</v>
      </c>
      <c r="X5406" t="s">
        <v>5417</v>
      </c>
      <c r="AF5406" t="s">
        <v>38122</v>
      </c>
      <c r="AG5406" t="s">
        <v>2593</v>
      </c>
      <c r="AI5406" t="s">
        <v>38123</v>
      </c>
      <c r="AK5406" t="s">
        <v>38124</v>
      </c>
      <c r="AM5406" t="s">
        <v>4031</v>
      </c>
      <c r="AN5406" t="s">
        <v>2059</v>
      </c>
      <c r="AO5406">
        <v>44113</v>
      </c>
      <c r="AP5406" t="s">
        <v>7024</v>
      </c>
      <c r="AT5406" s="184">
        <v>34226</v>
      </c>
      <c r="AU5406" t="s">
        <v>37798</v>
      </c>
      <c r="AV5406">
        <v>83773.66</v>
      </c>
      <c r="AW5406" s="184">
        <v>34289</v>
      </c>
      <c r="AX5406" t="s">
        <v>37798</v>
      </c>
      <c r="AY5406">
        <v>23422.15</v>
      </c>
      <c r="AZ5406" s="184">
        <v>34226</v>
      </c>
      <c r="BA5406" t="s">
        <v>37798</v>
      </c>
      <c r="BB5406">
        <v>83773.66</v>
      </c>
      <c r="BC5406">
        <v>4</v>
      </c>
      <c r="BD5406">
        <v>107195.81</v>
      </c>
      <c r="BE5406">
        <v>1994</v>
      </c>
      <c r="BF5406">
        <v>2</v>
      </c>
      <c r="BI5406">
        <v>1</v>
      </c>
      <c r="BJ5406">
        <v>32</v>
      </c>
      <c r="BK5406">
        <v>1</v>
      </c>
      <c r="BO5406" t="s">
        <v>595</v>
      </c>
      <c r="BP5406" s="184"/>
    </row>
    <row r="5407" spans="1:68">
      <c r="A5407">
        <v>100005260</v>
      </c>
      <c r="B5407">
        <v>100005260</v>
      </c>
      <c r="C5407" t="s">
        <v>7018</v>
      </c>
      <c r="E5407" s="184"/>
      <c r="G5407" s="184"/>
      <c r="I5407" s="184"/>
      <c r="J5407" t="s">
        <v>595</v>
      </c>
      <c r="K5407" s="184">
        <v>36551</v>
      </c>
      <c r="O5407" s="184"/>
      <c r="Q5407" t="s">
        <v>7262</v>
      </c>
      <c r="R5407" s="184"/>
      <c r="V5407" t="s">
        <v>5450</v>
      </c>
      <c r="W5407" t="s">
        <v>3332</v>
      </c>
      <c r="X5407" t="s">
        <v>5451</v>
      </c>
      <c r="AF5407" t="s">
        <v>38125</v>
      </c>
      <c r="AG5407" t="s">
        <v>5450</v>
      </c>
      <c r="AI5407" t="s">
        <v>38126</v>
      </c>
      <c r="AM5407" t="s">
        <v>5452</v>
      </c>
      <c r="AN5407" t="s">
        <v>65</v>
      </c>
      <c r="AO5407" t="s">
        <v>38127</v>
      </c>
      <c r="AP5407" t="s">
        <v>7024</v>
      </c>
      <c r="AT5407" s="184">
        <v>31408</v>
      </c>
      <c r="AU5407" t="s">
        <v>38128</v>
      </c>
      <c r="AV5407">
        <v>18</v>
      </c>
      <c r="AW5407" s="184">
        <v>36551</v>
      </c>
      <c r="AX5407" t="s">
        <v>37823</v>
      </c>
      <c r="AY5407">
        <v>95107.95</v>
      </c>
      <c r="AZ5407" s="184">
        <v>36551</v>
      </c>
      <c r="BA5407" t="s">
        <v>37823</v>
      </c>
      <c r="BB5407">
        <v>95107.95</v>
      </c>
      <c r="BC5407">
        <v>10</v>
      </c>
      <c r="BD5407">
        <v>95155.95</v>
      </c>
      <c r="BE5407">
        <v>1986</v>
      </c>
      <c r="BF5407">
        <v>4</v>
      </c>
      <c r="BI5407">
        <v>4</v>
      </c>
      <c r="BJ5407">
        <v>40</v>
      </c>
      <c r="BK5407">
        <v>2</v>
      </c>
      <c r="BO5407" t="s">
        <v>595</v>
      </c>
      <c r="BP5407" s="184"/>
    </row>
    <row r="5408" spans="1:68">
      <c r="A5408">
        <v>100005275</v>
      </c>
      <c r="B5408">
        <v>100005275</v>
      </c>
      <c r="C5408" t="s">
        <v>7018</v>
      </c>
      <c r="E5408" s="184"/>
      <c r="G5408" s="184"/>
      <c r="I5408" s="184"/>
      <c r="J5408" t="s">
        <v>595</v>
      </c>
      <c r="K5408" s="184">
        <v>35534</v>
      </c>
      <c r="O5408" s="184"/>
      <c r="Q5408" t="s">
        <v>7494</v>
      </c>
      <c r="R5408" s="184"/>
      <c r="V5408" t="s">
        <v>3095</v>
      </c>
      <c r="W5408" t="s">
        <v>3951</v>
      </c>
      <c r="X5408" t="s">
        <v>38129</v>
      </c>
      <c r="AI5408" t="s">
        <v>38130</v>
      </c>
      <c r="AK5408" t="s">
        <v>38131</v>
      </c>
      <c r="AM5408" t="s">
        <v>38132</v>
      </c>
      <c r="AN5408" t="s">
        <v>2174</v>
      </c>
      <c r="AO5408">
        <v>79336</v>
      </c>
      <c r="AP5408" t="s">
        <v>7024</v>
      </c>
      <c r="AT5408" s="184">
        <v>35534</v>
      </c>
      <c r="AU5408" t="s">
        <v>37834</v>
      </c>
      <c r="AV5408">
        <v>10000</v>
      </c>
      <c r="AW5408" s="184">
        <v>35534</v>
      </c>
      <c r="AX5408" t="s">
        <v>37834</v>
      </c>
      <c r="AY5408">
        <v>10000</v>
      </c>
      <c r="AZ5408" s="184">
        <v>35534</v>
      </c>
      <c r="BA5408" t="s">
        <v>37834</v>
      </c>
      <c r="BB5408">
        <v>10000</v>
      </c>
      <c r="BC5408">
        <v>4</v>
      </c>
      <c r="BD5408">
        <v>10000</v>
      </c>
      <c r="BE5408">
        <v>1997</v>
      </c>
      <c r="BF5408">
        <v>1</v>
      </c>
      <c r="BI5408">
        <v>1</v>
      </c>
      <c r="BJ5408">
        <v>28</v>
      </c>
      <c r="BK5408">
        <v>1</v>
      </c>
      <c r="BO5408" t="s">
        <v>595</v>
      </c>
      <c r="BP5408" s="184"/>
    </row>
    <row r="5409" spans="1:68">
      <c r="A5409">
        <v>100005282</v>
      </c>
      <c r="B5409">
        <v>100005282</v>
      </c>
      <c r="C5409" t="s">
        <v>7018</v>
      </c>
      <c r="E5409" s="184"/>
      <c r="G5409" s="184"/>
      <c r="I5409" s="184"/>
      <c r="J5409" t="s">
        <v>595</v>
      </c>
      <c r="K5409" s="184">
        <v>37694</v>
      </c>
      <c r="O5409" s="184"/>
      <c r="Q5409" t="s">
        <v>7020</v>
      </c>
      <c r="R5409" s="184"/>
      <c r="U5409" t="s">
        <v>7076</v>
      </c>
      <c r="V5409" t="s">
        <v>4365</v>
      </c>
      <c r="X5409" t="s">
        <v>3569</v>
      </c>
      <c r="AI5409" t="s">
        <v>38133</v>
      </c>
      <c r="AM5409" t="s">
        <v>5478</v>
      </c>
      <c r="AN5409" t="s">
        <v>2112</v>
      </c>
      <c r="AO5409" t="s">
        <v>38134</v>
      </c>
      <c r="AP5409" t="s">
        <v>7024</v>
      </c>
      <c r="AT5409" s="184">
        <v>33721</v>
      </c>
      <c r="AU5409" t="s">
        <v>38135</v>
      </c>
      <c r="AV5409">
        <v>25</v>
      </c>
      <c r="AW5409" s="184">
        <v>37694</v>
      </c>
      <c r="AX5409" t="s">
        <v>38026</v>
      </c>
      <c r="AY5409">
        <v>9815</v>
      </c>
      <c r="AZ5409" s="184">
        <v>37694</v>
      </c>
      <c r="BA5409" t="s">
        <v>38026</v>
      </c>
      <c r="BB5409">
        <v>9815</v>
      </c>
      <c r="BC5409">
        <v>34</v>
      </c>
      <c r="BD5409">
        <v>10235.32</v>
      </c>
      <c r="BE5409">
        <v>1992</v>
      </c>
      <c r="BF5409">
        <v>21</v>
      </c>
      <c r="BI5409">
        <v>11</v>
      </c>
      <c r="BJ5409">
        <v>33</v>
      </c>
      <c r="BK5409">
        <v>9</v>
      </c>
      <c r="BM5409" t="s">
        <v>595</v>
      </c>
      <c r="BO5409" t="s">
        <v>595</v>
      </c>
      <c r="BP5409" s="184"/>
    </row>
    <row r="5410" spans="1:68">
      <c r="A5410">
        <v>100005324</v>
      </c>
      <c r="B5410">
        <v>100005324</v>
      </c>
      <c r="C5410" t="s">
        <v>7018</v>
      </c>
      <c r="E5410" s="184"/>
      <c r="G5410" s="184"/>
      <c r="I5410" s="184"/>
      <c r="J5410" t="s">
        <v>595</v>
      </c>
      <c r="K5410" s="184">
        <v>35415</v>
      </c>
      <c r="O5410" s="184"/>
      <c r="Q5410" t="s">
        <v>7020</v>
      </c>
      <c r="R5410" s="184"/>
      <c r="V5410" t="s">
        <v>24568</v>
      </c>
      <c r="X5410" t="s">
        <v>37853</v>
      </c>
      <c r="AI5410" t="s">
        <v>38136</v>
      </c>
      <c r="AJ5410" t="s">
        <v>38137</v>
      </c>
      <c r="AK5410" t="s">
        <v>38138</v>
      </c>
      <c r="AM5410" t="s">
        <v>32012</v>
      </c>
      <c r="AN5410" t="s">
        <v>2129</v>
      </c>
      <c r="AO5410">
        <v>8754</v>
      </c>
      <c r="AP5410" t="s">
        <v>7024</v>
      </c>
      <c r="AT5410" s="184">
        <v>35415</v>
      </c>
      <c r="AU5410" t="s">
        <v>37834</v>
      </c>
      <c r="AV5410">
        <v>2117.64</v>
      </c>
      <c r="AW5410" s="184">
        <v>35415</v>
      </c>
      <c r="AX5410" t="s">
        <v>37834</v>
      </c>
      <c r="AY5410">
        <v>2117.64</v>
      </c>
      <c r="AZ5410" s="184">
        <v>35415</v>
      </c>
      <c r="BA5410" t="s">
        <v>37834</v>
      </c>
      <c r="BB5410">
        <v>2117.64</v>
      </c>
      <c r="BC5410">
        <v>4</v>
      </c>
      <c r="BD5410">
        <v>2117.64</v>
      </c>
      <c r="BE5410">
        <v>1997</v>
      </c>
      <c r="BF5410">
        <v>1</v>
      </c>
      <c r="BI5410">
        <v>1</v>
      </c>
      <c r="BJ5410">
        <v>29</v>
      </c>
      <c r="BK5410">
        <v>1</v>
      </c>
      <c r="BO5410" t="s">
        <v>595</v>
      </c>
      <c r="BP5410" s="184"/>
    </row>
    <row r="5411" spans="1:68">
      <c r="A5411">
        <v>100005331</v>
      </c>
      <c r="B5411">
        <v>100005331</v>
      </c>
      <c r="C5411" t="s">
        <v>7018</v>
      </c>
      <c r="E5411" s="184"/>
      <c r="I5411" s="184"/>
      <c r="J5411" t="s">
        <v>595</v>
      </c>
      <c r="K5411" s="184">
        <v>42083</v>
      </c>
      <c r="M5411" s="184"/>
      <c r="O5411" s="184"/>
      <c r="Q5411" t="s">
        <v>7020</v>
      </c>
      <c r="R5411" s="184">
        <v>16327</v>
      </c>
      <c r="S5411">
        <v>79</v>
      </c>
      <c r="U5411" t="s">
        <v>7076</v>
      </c>
      <c r="V5411" t="s">
        <v>2742</v>
      </c>
      <c r="W5411" t="s">
        <v>7356</v>
      </c>
      <c r="X5411" t="s">
        <v>5967</v>
      </c>
      <c r="Y5411" t="s">
        <v>7047</v>
      </c>
      <c r="AF5411" t="s">
        <v>5990</v>
      </c>
      <c r="AG5411" t="s">
        <v>5990</v>
      </c>
      <c r="AI5411" t="s">
        <v>38139</v>
      </c>
      <c r="AM5411" t="s">
        <v>5968</v>
      </c>
      <c r="AN5411" t="s">
        <v>2052</v>
      </c>
      <c r="AO5411" t="s">
        <v>38140</v>
      </c>
      <c r="AP5411" t="s">
        <v>7024</v>
      </c>
      <c r="AQ5411" t="s">
        <v>38141</v>
      </c>
      <c r="AR5411" t="s">
        <v>38142</v>
      </c>
      <c r="AT5411" s="184">
        <v>31366</v>
      </c>
      <c r="AU5411" t="s">
        <v>38143</v>
      </c>
      <c r="AV5411">
        <v>18</v>
      </c>
      <c r="AW5411" s="184">
        <v>42083</v>
      </c>
      <c r="AX5411" t="s">
        <v>14228</v>
      </c>
      <c r="AY5411">
        <v>5000</v>
      </c>
      <c r="AZ5411" s="184">
        <v>42083</v>
      </c>
      <c r="BA5411" t="s">
        <v>14228</v>
      </c>
      <c r="BB5411">
        <v>5000</v>
      </c>
      <c r="BC5411">
        <v>75</v>
      </c>
      <c r="BD5411">
        <v>12557</v>
      </c>
      <c r="BE5411">
        <v>1986</v>
      </c>
      <c r="BF5411">
        <v>56</v>
      </c>
      <c r="BI5411">
        <v>30</v>
      </c>
      <c r="BJ5411">
        <v>40</v>
      </c>
      <c r="BK5411">
        <v>29</v>
      </c>
      <c r="BN5411" t="s">
        <v>595</v>
      </c>
      <c r="BO5411" t="s">
        <v>595</v>
      </c>
      <c r="BP5411" s="184">
        <v>41695</v>
      </c>
    </row>
    <row r="5412" spans="1:68">
      <c r="A5412">
        <v>100005340</v>
      </c>
      <c r="B5412">
        <v>100005340</v>
      </c>
      <c r="C5412" t="s">
        <v>7018</v>
      </c>
      <c r="E5412" s="184"/>
      <c r="G5412" s="184"/>
      <c r="I5412" s="184"/>
      <c r="J5412" t="s">
        <v>595</v>
      </c>
      <c r="K5412" s="184">
        <v>36395</v>
      </c>
      <c r="O5412" s="184"/>
      <c r="Q5412" t="s">
        <v>7020</v>
      </c>
      <c r="R5412" s="184">
        <v>2509</v>
      </c>
      <c r="S5412">
        <v>117</v>
      </c>
      <c r="V5412" t="s">
        <v>3764</v>
      </c>
      <c r="W5412" t="s">
        <v>3332</v>
      </c>
      <c r="X5412" t="s">
        <v>5815</v>
      </c>
      <c r="AF5412" t="s">
        <v>5990</v>
      </c>
      <c r="AG5412" t="s">
        <v>5990</v>
      </c>
      <c r="AI5412" t="s">
        <v>38144</v>
      </c>
      <c r="AM5412" t="s">
        <v>5816</v>
      </c>
      <c r="AN5412" t="s">
        <v>2240</v>
      </c>
      <c r="AO5412" t="s">
        <v>38145</v>
      </c>
      <c r="AP5412" t="s">
        <v>7024</v>
      </c>
      <c r="AT5412" s="184">
        <v>33304</v>
      </c>
      <c r="AU5412" t="s">
        <v>11400</v>
      </c>
      <c r="AV5412">
        <v>50</v>
      </c>
      <c r="AW5412" s="184">
        <v>36395</v>
      </c>
      <c r="AX5412" t="s">
        <v>37806</v>
      </c>
      <c r="AY5412">
        <v>76.180000000000007</v>
      </c>
      <c r="AZ5412" s="184">
        <v>35968</v>
      </c>
      <c r="BA5412" t="s">
        <v>37958</v>
      </c>
      <c r="BB5412">
        <v>15375</v>
      </c>
      <c r="BC5412">
        <v>27</v>
      </c>
      <c r="BD5412">
        <v>18626.740000000002</v>
      </c>
      <c r="BE5412">
        <v>1991</v>
      </c>
      <c r="BF5412">
        <v>11</v>
      </c>
      <c r="BI5412">
        <v>9</v>
      </c>
      <c r="BJ5412">
        <v>34</v>
      </c>
      <c r="BK5412">
        <v>9</v>
      </c>
      <c r="BO5412" t="s">
        <v>595</v>
      </c>
      <c r="BP5412" s="184"/>
    </row>
    <row r="5413" spans="1:68">
      <c r="A5413">
        <v>100005341</v>
      </c>
      <c r="B5413">
        <v>100005341</v>
      </c>
      <c r="C5413" t="s">
        <v>7018</v>
      </c>
      <c r="E5413" s="184"/>
      <c r="I5413" s="184"/>
      <c r="J5413" t="s">
        <v>595</v>
      </c>
      <c r="K5413" s="184">
        <v>35723</v>
      </c>
      <c r="O5413" s="184"/>
      <c r="Q5413" t="s">
        <v>7262</v>
      </c>
      <c r="R5413" s="184"/>
      <c r="V5413" t="s">
        <v>3290</v>
      </c>
      <c r="X5413" t="s">
        <v>38146</v>
      </c>
      <c r="AI5413" t="s">
        <v>38147</v>
      </c>
      <c r="AJ5413" t="s">
        <v>38148</v>
      </c>
      <c r="AK5413" t="s">
        <v>38149</v>
      </c>
      <c r="AM5413" t="s">
        <v>3100</v>
      </c>
      <c r="AN5413" t="s">
        <v>2106</v>
      </c>
      <c r="AO5413">
        <v>19381</v>
      </c>
      <c r="AP5413" t="s">
        <v>7024</v>
      </c>
      <c r="AT5413" s="184">
        <v>35453</v>
      </c>
      <c r="AU5413" t="s">
        <v>37834</v>
      </c>
      <c r="AV5413">
        <v>40000</v>
      </c>
      <c r="AW5413" s="184">
        <v>35723</v>
      </c>
      <c r="AX5413" t="s">
        <v>38150</v>
      </c>
      <c r="AY5413">
        <v>8990</v>
      </c>
      <c r="AZ5413" s="184">
        <v>35453</v>
      </c>
      <c r="BA5413" t="s">
        <v>37834</v>
      </c>
      <c r="BB5413">
        <v>40000</v>
      </c>
      <c r="BC5413">
        <v>4</v>
      </c>
      <c r="BD5413">
        <v>48990</v>
      </c>
      <c r="BE5413">
        <v>1997</v>
      </c>
      <c r="BF5413">
        <v>2</v>
      </c>
      <c r="BI5413">
        <v>1</v>
      </c>
      <c r="BJ5413">
        <v>28</v>
      </c>
      <c r="BK5413">
        <v>1</v>
      </c>
      <c r="BO5413" t="s">
        <v>595</v>
      </c>
      <c r="BP5413" s="184"/>
    </row>
    <row r="5414" spans="1:68">
      <c r="A5414">
        <v>100005345</v>
      </c>
      <c r="B5414">
        <v>100005345</v>
      </c>
      <c r="C5414" t="s">
        <v>7018</v>
      </c>
      <c r="E5414" s="184"/>
      <c r="I5414" s="184"/>
      <c r="J5414" t="s">
        <v>595</v>
      </c>
      <c r="K5414" s="184">
        <v>37571</v>
      </c>
      <c r="M5414" s="184"/>
      <c r="O5414" s="184"/>
      <c r="Q5414" t="s">
        <v>7374</v>
      </c>
      <c r="R5414" s="184">
        <v>2514</v>
      </c>
      <c r="S5414">
        <v>117</v>
      </c>
      <c r="V5414" t="s">
        <v>3095</v>
      </c>
      <c r="X5414" t="s">
        <v>4158</v>
      </c>
      <c r="AI5414" t="s">
        <v>38151</v>
      </c>
      <c r="AM5414" t="s">
        <v>5817</v>
      </c>
      <c r="AN5414" t="s">
        <v>2081</v>
      </c>
      <c r="AO5414" t="s">
        <v>38152</v>
      </c>
      <c r="AP5414" t="s">
        <v>7024</v>
      </c>
      <c r="AT5414" s="184">
        <v>34667</v>
      </c>
      <c r="AU5414" t="s">
        <v>38153</v>
      </c>
      <c r="AV5414">
        <v>50</v>
      </c>
      <c r="AW5414" s="184">
        <v>37571</v>
      </c>
      <c r="AX5414" t="s">
        <v>37822</v>
      </c>
      <c r="AY5414">
        <v>5986.31</v>
      </c>
      <c r="AZ5414" s="184">
        <v>37571</v>
      </c>
      <c r="BA5414" t="s">
        <v>37822</v>
      </c>
      <c r="BB5414">
        <v>5986.31</v>
      </c>
      <c r="BC5414">
        <v>23</v>
      </c>
      <c r="BD5414">
        <v>6496.31</v>
      </c>
      <c r="BE5414">
        <v>1995</v>
      </c>
      <c r="BF5414">
        <v>10</v>
      </c>
      <c r="BI5414">
        <v>7</v>
      </c>
      <c r="BJ5414">
        <v>31</v>
      </c>
      <c r="BK5414">
        <v>4</v>
      </c>
      <c r="BM5414" t="s">
        <v>595</v>
      </c>
      <c r="BO5414" t="s">
        <v>595</v>
      </c>
      <c r="BP5414" s="184">
        <v>37530</v>
      </c>
    </row>
    <row r="5415" spans="1:68">
      <c r="A5415">
        <v>100005366</v>
      </c>
      <c r="B5415">
        <v>100005366</v>
      </c>
      <c r="C5415" t="s">
        <v>7018</v>
      </c>
      <c r="E5415" s="184"/>
      <c r="I5415" s="184"/>
      <c r="J5415" t="s">
        <v>595</v>
      </c>
      <c r="K5415" s="184">
        <v>40983</v>
      </c>
      <c r="O5415" s="184"/>
      <c r="Q5415" t="s">
        <v>7030</v>
      </c>
      <c r="R5415" s="184"/>
      <c r="U5415" t="s">
        <v>7076</v>
      </c>
      <c r="V5415" t="s">
        <v>2742</v>
      </c>
      <c r="W5415" t="s">
        <v>7407</v>
      </c>
      <c r="X5415" t="s">
        <v>5433</v>
      </c>
      <c r="AF5415" t="s">
        <v>38154</v>
      </c>
      <c r="AG5415" t="s">
        <v>2742</v>
      </c>
      <c r="AI5415" t="s">
        <v>38155</v>
      </c>
      <c r="AM5415" t="s">
        <v>2897</v>
      </c>
      <c r="AN5415" t="s">
        <v>2089</v>
      </c>
      <c r="AO5415" t="s">
        <v>38156</v>
      </c>
      <c r="AP5415" t="s">
        <v>7024</v>
      </c>
      <c r="AQ5415" t="s">
        <v>38157</v>
      </c>
      <c r="AT5415" s="184">
        <v>39049</v>
      </c>
      <c r="AU5415" t="s">
        <v>38158</v>
      </c>
      <c r="AV5415">
        <v>25</v>
      </c>
      <c r="AW5415" s="184">
        <v>42262</v>
      </c>
      <c r="AX5415" t="s">
        <v>11622</v>
      </c>
      <c r="AY5415">
        <v>50000</v>
      </c>
      <c r="AZ5415" s="184">
        <v>42262</v>
      </c>
      <c r="BA5415" t="s">
        <v>11622</v>
      </c>
      <c r="BB5415">
        <v>50000</v>
      </c>
      <c r="BC5415">
        <v>48</v>
      </c>
      <c r="BD5415">
        <v>101393.54</v>
      </c>
      <c r="BE5415">
        <v>2007</v>
      </c>
      <c r="BF5415">
        <v>16</v>
      </c>
      <c r="BI5415">
        <v>9</v>
      </c>
      <c r="BJ5415">
        <v>19</v>
      </c>
      <c r="BK5415">
        <v>8</v>
      </c>
      <c r="BN5415" t="s">
        <v>595</v>
      </c>
      <c r="BO5415" t="s">
        <v>595</v>
      </c>
      <c r="BP5415" s="184">
        <v>42123</v>
      </c>
    </row>
    <row r="5416" spans="1:68">
      <c r="A5416">
        <v>100005370</v>
      </c>
      <c r="B5416">
        <v>100005370</v>
      </c>
      <c r="C5416" t="s">
        <v>7018</v>
      </c>
      <c r="E5416" s="184"/>
      <c r="I5416" s="184"/>
      <c r="J5416" t="s">
        <v>595</v>
      </c>
      <c r="K5416" s="184">
        <v>35508</v>
      </c>
      <c r="O5416" s="184"/>
      <c r="Q5416" t="s">
        <v>7262</v>
      </c>
      <c r="R5416" s="184">
        <v>25204</v>
      </c>
      <c r="S5416">
        <v>55</v>
      </c>
      <c r="V5416" t="s">
        <v>2586</v>
      </c>
      <c r="W5416" t="s">
        <v>7743</v>
      </c>
      <c r="X5416" t="s">
        <v>18275</v>
      </c>
      <c r="AI5416" t="s">
        <v>38159</v>
      </c>
      <c r="AM5416" t="s">
        <v>4738</v>
      </c>
      <c r="AN5416" t="s">
        <v>2069</v>
      </c>
      <c r="AO5416" t="s">
        <v>38160</v>
      </c>
      <c r="AP5416" t="s">
        <v>7024</v>
      </c>
      <c r="AT5416" s="184">
        <v>31001</v>
      </c>
      <c r="AU5416" t="s">
        <v>38161</v>
      </c>
      <c r="AV5416">
        <v>18</v>
      </c>
      <c r="AW5416" s="184">
        <v>35508</v>
      </c>
      <c r="AX5416" t="s">
        <v>37834</v>
      </c>
      <c r="AY5416">
        <v>200</v>
      </c>
      <c r="AZ5416" s="184">
        <v>35508</v>
      </c>
      <c r="BA5416" t="s">
        <v>37834</v>
      </c>
      <c r="BB5416">
        <v>200</v>
      </c>
      <c r="BC5416">
        <v>30</v>
      </c>
      <c r="BD5416">
        <v>1238</v>
      </c>
      <c r="BE5416">
        <v>1985</v>
      </c>
      <c r="BF5416">
        <v>20</v>
      </c>
      <c r="BI5416">
        <v>12</v>
      </c>
      <c r="BJ5416">
        <v>41</v>
      </c>
      <c r="BK5416">
        <v>11</v>
      </c>
      <c r="BO5416" t="s">
        <v>595</v>
      </c>
      <c r="BP5416" s="184"/>
    </row>
    <row r="5417" spans="1:68">
      <c r="A5417">
        <v>100005392</v>
      </c>
      <c r="B5417">
        <v>100005392</v>
      </c>
      <c r="C5417" t="s">
        <v>7018</v>
      </c>
      <c r="E5417" s="184"/>
      <c r="G5417" s="184"/>
      <c r="I5417" s="184"/>
      <c r="J5417" t="s">
        <v>595</v>
      </c>
      <c r="K5417" s="184">
        <v>34368</v>
      </c>
      <c r="M5417" s="184"/>
      <c r="O5417" s="184"/>
      <c r="Q5417" t="s">
        <v>7020</v>
      </c>
      <c r="R5417" s="184"/>
      <c r="V5417" t="s">
        <v>2775</v>
      </c>
      <c r="X5417" t="s">
        <v>5415</v>
      </c>
      <c r="AF5417" t="s">
        <v>38162</v>
      </c>
      <c r="AG5417" t="s">
        <v>2775</v>
      </c>
      <c r="AI5417" t="s">
        <v>38163</v>
      </c>
      <c r="AK5417" t="s">
        <v>38164</v>
      </c>
      <c r="AM5417" t="s">
        <v>5416</v>
      </c>
      <c r="AN5417" t="s">
        <v>2112</v>
      </c>
      <c r="AO5417">
        <v>11374</v>
      </c>
      <c r="AP5417" t="s">
        <v>7024</v>
      </c>
      <c r="AT5417" s="184">
        <v>34276</v>
      </c>
      <c r="AU5417" t="s">
        <v>37911</v>
      </c>
      <c r="AV5417">
        <v>113622.51</v>
      </c>
      <c r="AW5417" s="184">
        <v>34368</v>
      </c>
      <c r="AX5417" t="s">
        <v>37911</v>
      </c>
      <c r="AY5417">
        <v>164.17</v>
      </c>
      <c r="AZ5417" s="184">
        <v>34276</v>
      </c>
      <c r="BA5417" t="s">
        <v>37911</v>
      </c>
      <c r="BB5417">
        <v>113622.51</v>
      </c>
      <c r="BC5417">
        <v>7</v>
      </c>
      <c r="BD5417">
        <v>113786.68</v>
      </c>
      <c r="BE5417">
        <v>1994</v>
      </c>
      <c r="BF5417">
        <v>2</v>
      </c>
      <c r="BI5417">
        <v>2</v>
      </c>
      <c r="BJ5417">
        <v>32</v>
      </c>
      <c r="BK5417">
        <v>2</v>
      </c>
      <c r="BO5417" t="s">
        <v>595</v>
      </c>
      <c r="BP5417" s="184"/>
    </row>
    <row r="5418" spans="1:68">
      <c r="A5418">
        <v>100005404</v>
      </c>
      <c r="B5418">
        <v>100005404</v>
      </c>
      <c r="C5418" t="s">
        <v>7018</v>
      </c>
      <c r="E5418" s="184"/>
      <c r="I5418" s="184"/>
      <c r="J5418" t="s">
        <v>595</v>
      </c>
      <c r="K5418" s="184">
        <v>43717</v>
      </c>
      <c r="N5418" t="s">
        <v>595</v>
      </c>
      <c r="O5418" s="184">
        <v>36111</v>
      </c>
      <c r="Q5418" t="s">
        <v>7383</v>
      </c>
      <c r="R5418" s="184">
        <v>6243</v>
      </c>
      <c r="S5418">
        <v>107</v>
      </c>
      <c r="U5418" t="s">
        <v>7031</v>
      </c>
      <c r="V5418" t="s">
        <v>3825</v>
      </c>
      <c r="W5418" t="s">
        <v>3226</v>
      </c>
      <c r="X5418" t="s">
        <v>5406</v>
      </c>
      <c r="Z5418">
        <v>100174729</v>
      </c>
      <c r="AA5418" t="s">
        <v>7130</v>
      </c>
      <c r="AB5418" t="s">
        <v>4365</v>
      </c>
      <c r="AD5418" t="s">
        <v>5406</v>
      </c>
      <c r="AF5418" t="s">
        <v>38165</v>
      </c>
      <c r="AG5418" t="s">
        <v>38166</v>
      </c>
      <c r="AI5418" t="s">
        <v>38167</v>
      </c>
      <c r="AM5418" t="s">
        <v>5408</v>
      </c>
      <c r="AN5418" t="s">
        <v>2059</v>
      </c>
      <c r="AO5418" t="s">
        <v>38168</v>
      </c>
      <c r="AP5418" t="s">
        <v>7024</v>
      </c>
      <c r="AQ5418" t="s">
        <v>38169</v>
      </c>
      <c r="AT5418" s="184">
        <v>33765</v>
      </c>
      <c r="AU5418" t="s">
        <v>38170</v>
      </c>
      <c r="AV5418">
        <v>30</v>
      </c>
      <c r="AW5418" s="184">
        <v>43717</v>
      </c>
      <c r="AX5418" t="s">
        <v>8257</v>
      </c>
      <c r="AY5418">
        <v>34793.19</v>
      </c>
      <c r="AZ5418" s="184">
        <v>41525</v>
      </c>
      <c r="BA5418" t="s">
        <v>37849</v>
      </c>
      <c r="BB5418">
        <v>60000</v>
      </c>
      <c r="BC5418">
        <v>40</v>
      </c>
      <c r="BD5418">
        <v>136453.19</v>
      </c>
      <c r="BE5418">
        <v>1992</v>
      </c>
      <c r="BF5418">
        <v>26</v>
      </c>
      <c r="BI5418">
        <v>13</v>
      </c>
      <c r="BJ5418">
        <v>33</v>
      </c>
      <c r="BK5418">
        <v>7</v>
      </c>
      <c r="BM5418" t="s">
        <v>595</v>
      </c>
      <c r="BN5418" t="s">
        <v>595</v>
      </c>
      <c r="BO5418" t="s">
        <v>595</v>
      </c>
      <c r="BP5418" s="184">
        <v>41353</v>
      </c>
    </row>
    <row r="5419" spans="1:68">
      <c r="A5419">
        <v>100174729</v>
      </c>
      <c r="B5419">
        <v>100005404</v>
      </c>
      <c r="C5419" t="s">
        <v>7018</v>
      </c>
      <c r="E5419" s="184"/>
      <c r="G5419" s="184"/>
      <c r="I5419" s="184"/>
      <c r="K5419" s="184"/>
      <c r="N5419" t="s">
        <v>595</v>
      </c>
      <c r="O5419" s="184">
        <v>36111</v>
      </c>
      <c r="Q5419" t="s">
        <v>7383</v>
      </c>
      <c r="R5419" s="184">
        <v>5010</v>
      </c>
      <c r="S5419">
        <v>110</v>
      </c>
      <c r="U5419" t="s">
        <v>7130</v>
      </c>
      <c r="V5419" t="s">
        <v>4365</v>
      </c>
      <c r="X5419" t="s">
        <v>5406</v>
      </c>
      <c r="Z5419">
        <v>100005404</v>
      </c>
      <c r="AA5419" t="s">
        <v>7031</v>
      </c>
      <c r="AB5419" t="s">
        <v>3825</v>
      </c>
      <c r="AC5419" t="s">
        <v>3226</v>
      </c>
      <c r="AD5419" t="s">
        <v>5406</v>
      </c>
      <c r="AF5419" t="s">
        <v>38165</v>
      </c>
      <c r="AG5419" t="s">
        <v>38166</v>
      </c>
      <c r="AI5419" t="s">
        <v>38167</v>
      </c>
      <c r="AM5419" t="s">
        <v>5408</v>
      </c>
      <c r="AN5419" t="s">
        <v>2059</v>
      </c>
      <c r="AO5419" t="s">
        <v>38168</v>
      </c>
      <c r="AP5419" t="s">
        <v>7024</v>
      </c>
      <c r="AT5419" s="184"/>
      <c r="AW5419" s="184"/>
      <c r="AZ5419" s="184"/>
      <c r="BO5419" t="s">
        <v>595</v>
      </c>
      <c r="BP5419" s="184">
        <v>39355</v>
      </c>
    </row>
    <row r="5420" spans="1:68">
      <c r="A5420">
        <v>100005410</v>
      </c>
      <c r="B5420">
        <v>100005410</v>
      </c>
      <c r="C5420" t="s">
        <v>7018</v>
      </c>
      <c r="E5420" s="184"/>
      <c r="G5420" s="184"/>
      <c r="I5420" s="184"/>
      <c r="J5420" t="s">
        <v>595</v>
      </c>
      <c r="K5420" s="184">
        <v>37754</v>
      </c>
      <c r="O5420" s="184"/>
      <c r="Q5420" t="s">
        <v>7020</v>
      </c>
      <c r="R5420" s="184">
        <v>4265</v>
      </c>
      <c r="S5420">
        <v>112</v>
      </c>
      <c r="U5420" t="s">
        <v>7130</v>
      </c>
      <c r="V5420" t="s">
        <v>3220</v>
      </c>
      <c r="X5420" t="s">
        <v>38171</v>
      </c>
      <c r="AI5420" t="s">
        <v>38172</v>
      </c>
      <c r="AM5420" t="s">
        <v>38173</v>
      </c>
      <c r="AN5420" t="s">
        <v>2052</v>
      </c>
      <c r="AO5420">
        <v>1260</v>
      </c>
      <c r="AP5420" t="s">
        <v>7024</v>
      </c>
      <c r="AT5420" s="184">
        <v>34722</v>
      </c>
      <c r="AU5420" t="s">
        <v>38174</v>
      </c>
      <c r="AV5420">
        <v>15</v>
      </c>
      <c r="AW5420" s="184">
        <v>37754</v>
      </c>
      <c r="AX5420" t="s">
        <v>37822</v>
      </c>
      <c r="AY5420">
        <v>10550.1</v>
      </c>
      <c r="AZ5420" s="184">
        <v>37435</v>
      </c>
      <c r="BA5420" t="s">
        <v>7984</v>
      </c>
      <c r="BB5420">
        <v>40000</v>
      </c>
      <c r="BC5420">
        <v>27</v>
      </c>
      <c r="BD5420">
        <v>50785.1</v>
      </c>
      <c r="BE5420">
        <v>1995</v>
      </c>
      <c r="BF5420">
        <v>15</v>
      </c>
      <c r="BI5420">
        <v>8</v>
      </c>
      <c r="BJ5420">
        <v>30</v>
      </c>
      <c r="BK5420">
        <v>6</v>
      </c>
      <c r="BM5420" t="s">
        <v>595</v>
      </c>
      <c r="BO5420" t="s">
        <v>595</v>
      </c>
      <c r="BP5420" s="184"/>
    </row>
    <row r="5421" spans="1:68">
      <c r="A5421">
        <v>100005413</v>
      </c>
      <c r="B5421">
        <v>100005413</v>
      </c>
      <c r="C5421" t="s">
        <v>7018</v>
      </c>
      <c r="E5421" s="184"/>
      <c r="I5421" s="184"/>
      <c r="J5421" t="s">
        <v>595</v>
      </c>
      <c r="K5421" s="184">
        <v>31982</v>
      </c>
      <c r="O5421" s="184"/>
      <c r="Q5421" t="s">
        <v>7383</v>
      </c>
      <c r="R5421" s="184">
        <v>1545</v>
      </c>
      <c r="S5421">
        <v>120</v>
      </c>
      <c r="V5421" t="s">
        <v>2669</v>
      </c>
      <c r="W5421" t="s">
        <v>2308</v>
      </c>
      <c r="X5421" t="s">
        <v>3216</v>
      </c>
      <c r="AI5421" t="s">
        <v>38175</v>
      </c>
      <c r="AM5421" t="s">
        <v>3865</v>
      </c>
      <c r="AN5421" t="s">
        <v>2059</v>
      </c>
      <c r="AO5421" t="s">
        <v>38176</v>
      </c>
      <c r="AP5421" t="s">
        <v>7024</v>
      </c>
      <c r="AT5421" s="184">
        <v>30567</v>
      </c>
      <c r="AU5421" t="s">
        <v>38177</v>
      </c>
      <c r="AV5421">
        <v>18</v>
      </c>
      <c r="AW5421" s="184">
        <v>31982</v>
      </c>
      <c r="AX5421" t="s">
        <v>37798</v>
      </c>
      <c r="AY5421">
        <v>26.72</v>
      </c>
      <c r="AZ5421" s="184">
        <v>31348</v>
      </c>
      <c r="BA5421" t="s">
        <v>37798</v>
      </c>
      <c r="BB5421">
        <v>8000</v>
      </c>
      <c r="BC5421">
        <v>12</v>
      </c>
      <c r="BD5421">
        <v>13720.37</v>
      </c>
      <c r="BE5421">
        <v>1984</v>
      </c>
      <c r="BF5421">
        <v>6</v>
      </c>
      <c r="BI5421">
        <v>5</v>
      </c>
      <c r="BJ5421">
        <v>42</v>
      </c>
      <c r="BK5421">
        <v>5</v>
      </c>
      <c r="BO5421" t="s">
        <v>595</v>
      </c>
      <c r="BP5421" s="184"/>
    </row>
    <row r="5422" spans="1:68">
      <c r="A5422">
        <v>100005441</v>
      </c>
      <c r="B5422">
        <v>100005441</v>
      </c>
      <c r="C5422" t="s">
        <v>7018</v>
      </c>
      <c r="E5422" s="184"/>
      <c r="I5422" s="184"/>
      <c r="J5422" t="s">
        <v>595</v>
      </c>
      <c r="K5422" s="184">
        <v>36293</v>
      </c>
      <c r="O5422" s="184"/>
      <c r="Q5422" t="s">
        <v>7383</v>
      </c>
      <c r="R5422" s="184"/>
      <c r="V5422" t="s">
        <v>4169</v>
      </c>
      <c r="W5422" t="s">
        <v>3951</v>
      </c>
      <c r="X5422" t="s">
        <v>38178</v>
      </c>
      <c r="AI5422" t="s">
        <v>38179</v>
      </c>
      <c r="AM5422" t="s">
        <v>38180</v>
      </c>
      <c r="AN5422" t="s">
        <v>2118</v>
      </c>
      <c r="AO5422" t="s">
        <v>38181</v>
      </c>
      <c r="AP5422" t="s">
        <v>7024</v>
      </c>
      <c r="AT5422" s="184">
        <v>30722</v>
      </c>
      <c r="AU5422" t="s">
        <v>7173</v>
      </c>
      <c r="AV5422">
        <v>18</v>
      </c>
      <c r="AW5422" s="184">
        <v>36293</v>
      </c>
      <c r="AX5422" t="s">
        <v>37806</v>
      </c>
      <c r="AY5422">
        <v>345.3</v>
      </c>
      <c r="AZ5422" s="184">
        <v>35171</v>
      </c>
      <c r="BA5422" t="s">
        <v>37885</v>
      </c>
      <c r="BB5422">
        <v>10416.67</v>
      </c>
      <c r="BC5422">
        <v>27</v>
      </c>
      <c r="BD5422">
        <v>22068.03</v>
      </c>
      <c r="BE5422">
        <v>1984</v>
      </c>
      <c r="BF5422">
        <v>15</v>
      </c>
      <c r="BI5422">
        <v>11</v>
      </c>
      <c r="BJ5422">
        <v>41</v>
      </c>
      <c r="BK5422">
        <v>4</v>
      </c>
      <c r="BO5422" t="s">
        <v>595</v>
      </c>
      <c r="BP5422" s="184"/>
    </row>
    <row r="5423" spans="1:68">
      <c r="A5423">
        <v>100005492</v>
      </c>
      <c r="B5423">
        <v>100005492</v>
      </c>
      <c r="C5423" t="s">
        <v>7018</v>
      </c>
      <c r="E5423" s="184"/>
      <c r="I5423" s="184"/>
      <c r="J5423" t="s">
        <v>595</v>
      </c>
      <c r="K5423" s="184">
        <v>41138</v>
      </c>
      <c r="O5423" s="184"/>
      <c r="Q5423" t="s">
        <v>7262</v>
      </c>
      <c r="R5423" s="184">
        <v>9602</v>
      </c>
      <c r="S5423">
        <v>98</v>
      </c>
      <c r="U5423" t="s">
        <v>7076</v>
      </c>
      <c r="V5423" t="s">
        <v>3801</v>
      </c>
      <c r="W5423" t="s">
        <v>4327</v>
      </c>
      <c r="X5423" t="s">
        <v>38182</v>
      </c>
      <c r="AF5423" t="s">
        <v>38183</v>
      </c>
      <c r="AG5423" t="s">
        <v>3801</v>
      </c>
      <c r="AI5423" t="s">
        <v>38184</v>
      </c>
      <c r="AM5423" t="s">
        <v>26897</v>
      </c>
      <c r="AN5423" t="s">
        <v>2069</v>
      </c>
      <c r="AO5423" t="s">
        <v>38185</v>
      </c>
      <c r="AP5423" t="s">
        <v>7024</v>
      </c>
      <c r="AQ5423" t="s">
        <v>38186</v>
      </c>
      <c r="AR5423" t="s">
        <v>38187</v>
      </c>
      <c r="AT5423" s="184">
        <v>30615</v>
      </c>
      <c r="AU5423" t="s">
        <v>7073</v>
      </c>
      <c r="AV5423">
        <v>25</v>
      </c>
      <c r="AW5423" s="184">
        <v>41138</v>
      </c>
      <c r="AX5423" t="s">
        <v>13035</v>
      </c>
      <c r="AY5423">
        <v>500</v>
      </c>
      <c r="AZ5423" s="184">
        <v>41138</v>
      </c>
      <c r="BA5423" t="s">
        <v>13035</v>
      </c>
      <c r="BB5423">
        <v>500</v>
      </c>
      <c r="BC5423">
        <v>65</v>
      </c>
      <c r="BD5423">
        <v>1700</v>
      </c>
      <c r="BE5423">
        <v>1984</v>
      </c>
      <c r="BF5423">
        <v>42</v>
      </c>
      <c r="BI5423">
        <v>27</v>
      </c>
      <c r="BJ5423">
        <v>42</v>
      </c>
      <c r="BK5423">
        <v>23</v>
      </c>
      <c r="BN5423" t="s">
        <v>595</v>
      </c>
      <c r="BO5423" t="s">
        <v>595</v>
      </c>
      <c r="BP5423" s="184">
        <v>41068</v>
      </c>
    </row>
    <row r="5424" spans="1:68">
      <c r="A5424">
        <v>100005497</v>
      </c>
      <c r="B5424">
        <v>100005497</v>
      </c>
      <c r="C5424" t="s">
        <v>7018</v>
      </c>
      <c r="E5424" s="184"/>
      <c r="G5424" s="184"/>
      <c r="J5424" t="s">
        <v>595</v>
      </c>
      <c r="K5424" s="184">
        <v>36928</v>
      </c>
      <c r="M5424" s="184"/>
      <c r="Q5424" t="s">
        <v>7262</v>
      </c>
      <c r="R5424" s="184"/>
      <c r="V5424" t="s">
        <v>5320</v>
      </c>
      <c r="X5424" t="s">
        <v>2977</v>
      </c>
      <c r="Z5424">
        <v>100174263</v>
      </c>
      <c r="AB5424" t="s">
        <v>2551</v>
      </c>
      <c r="AD5424" t="s">
        <v>2977</v>
      </c>
      <c r="AI5424" t="s">
        <v>38188</v>
      </c>
      <c r="AM5424" t="s">
        <v>38189</v>
      </c>
      <c r="AN5424" t="s">
        <v>2069</v>
      </c>
      <c r="AO5424" t="s">
        <v>38190</v>
      </c>
      <c r="AP5424" t="s">
        <v>7024</v>
      </c>
      <c r="AT5424" s="184">
        <v>30791</v>
      </c>
      <c r="AU5424" t="s">
        <v>7073</v>
      </c>
      <c r="AV5424">
        <v>18</v>
      </c>
      <c r="AW5424" s="184">
        <v>36928</v>
      </c>
      <c r="AX5424" t="s">
        <v>37823</v>
      </c>
      <c r="AY5424">
        <v>2100.7800000000002</v>
      </c>
      <c r="AZ5424" s="184">
        <v>36928</v>
      </c>
      <c r="BA5424" t="s">
        <v>37823</v>
      </c>
      <c r="BB5424">
        <v>2100.7800000000002</v>
      </c>
      <c r="BC5424">
        <v>35</v>
      </c>
      <c r="BD5424">
        <v>2589.7800000000002</v>
      </c>
      <c r="BE5424">
        <v>1984</v>
      </c>
      <c r="BF5424">
        <v>31</v>
      </c>
      <c r="BI5424">
        <v>14</v>
      </c>
      <c r="BJ5424">
        <v>41</v>
      </c>
      <c r="BK5424">
        <v>13</v>
      </c>
      <c r="BO5424" t="s">
        <v>595</v>
      </c>
      <c r="BP5424" s="184"/>
    </row>
    <row r="5425" spans="1:68">
      <c r="A5425">
        <v>100005516</v>
      </c>
      <c r="B5425">
        <v>100005516</v>
      </c>
      <c r="C5425" t="s">
        <v>7018</v>
      </c>
      <c r="E5425" s="184"/>
      <c r="I5425" s="184"/>
      <c r="J5425" t="s">
        <v>595</v>
      </c>
      <c r="K5425" s="184">
        <v>38518</v>
      </c>
      <c r="O5425" s="184"/>
      <c r="Q5425" t="s">
        <v>7383</v>
      </c>
      <c r="R5425" s="184"/>
      <c r="U5425" t="s">
        <v>15150</v>
      </c>
      <c r="V5425" t="s">
        <v>3745</v>
      </c>
      <c r="W5425" t="s">
        <v>4382</v>
      </c>
      <c r="X5425" t="s">
        <v>35499</v>
      </c>
      <c r="AF5425" t="s">
        <v>38191</v>
      </c>
      <c r="AG5425" t="s">
        <v>3745</v>
      </c>
      <c r="AI5425" t="s">
        <v>38192</v>
      </c>
      <c r="AM5425" t="s">
        <v>3121</v>
      </c>
      <c r="AN5425" t="s">
        <v>2144</v>
      </c>
      <c r="AO5425" t="s">
        <v>38193</v>
      </c>
      <c r="AP5425" t="s">
        <v>7024</v>
      </c>
      <c r="AT5425" s="184">
        <v>30812</v>
      </c>
      <c r="AU5425" t="s">
        <v>7073</v>
      </c>
      <c r="AV5425">
        <v>18</v>
      </c>
      <c r="AW5425" s="184">
        <v>38518</v>
      </c>
      <c r="AX5425" t="s">
        <v>37872</v>
      </c>
      <c r="AY5425">
        <v>492.29</v>
      </c>
      <c r="AZ5425" s="184">
        <v>38239</v>
      </c>
      <c r="BA5425" t="s">
        <v>37872</v>
      </c>
      <c r="BB5425">
        <v>55777.2</v>
      </c>
      <c r="BC5425">
        <v>49</v>
      </c>
      <c r="BD5425">
        <v>58698.49</v>
      </c>
      <c r="BE5425">
        <v>1984</v>
      </c>
      <c r="BF5425">
        <v>28</v>
      </c>
      <c r="BI5425">
        <v>20</v>
      </c>
      <c r="BJ5425">
        <v>41</v>
      </c>
      <c r="BK5425">
        <v>17</v>
      </c>
      <c r="BO5425" t="s">
        <v>595</v>
      </c>
      <c r="BP5425" s="184">
        <v>37681</v>
      </c>
    </row>
    <row r="5426" spans="1:68">
      <c r="A5426">
        <v>100005541</v>
      </c>
      <c r="B5426">
        <v>100005541</v>
      </c>
      <c r="C5426" t="s">
        <v>7018</v>
      </c>
      <c r="E5426" s="184"/>
      <c r="I5426" s="184"/>
      <c r="J5426" t="s">
        <v>595</v>
      </c>
      <c r="K5426" s="184">
        <v>34255</v>
      </c>
      <c r="M5426" s="184"/>
      <c r="O5426" s="184"/>
      <c r="Q5426" t="s">
        <v>7374</v>
      </c>
      <c r="R5426" s="184"/>
      <c r="V5426" t="s">
        <v>38194</v>
      </c>
      <c r="W5426" t="s">
        <v>3226</v>
      </c>
      <c r="X5426" t="s">
        <v>38195</v>
      </c>
      <c r="AI5426" t="s">
        <v>38196</v>
      </c>
      <c r="AM5426" t="s">
        <v>4312</v>
      </c>
      <c r="AN5426" t="s">
        <v>2081</v>
      </c>
      <c r="AO5426" t="s">
        <v>38197</v>
      </c>
      <c r="AP5426" t="s">
        <v>7024</v>
      </c>
      <c r="AT5426" s="184">
        <v>33129</v>
      </c>
      <c r="AU5426" t="s">
        <v>11519</v>
      </c>
      <c r="AV5426">
        <v>15</v>
      </c>
      <c r="AW5426" s="184">
        <v>34255</v>
      </c>
      <c r="AX5426" t="s">
        <v>37911</v>
      </c>
      <c r="AY5426">
        <v>9074</v>
      </c>
      <c r="AZ5426" s="184">
        <v>34255</v>
      </c>
      <c r="BA5426" t="s">
        <v>37911</v>
      </c>
      <c r="BB5426">
        <v>9074</v>
      </c>
      <c r="BC5426">
        <v>9</v>
      </c>
      <c r="BD5426">
        <v>9114</v>
      </c>
      <c r="BE5426">
        <v>1991</v>
      </c>
      <c r="BF5426">
        <v>3</v>
      </c>
      <c r="BI5426">
        <v>3</v>
      </c>
      <c r="BJ5426">
        <v>35</v>
      </c>
      <c r="BK5426">
        <v>2</v>
      </c>
      <c r="BO5426" t="s">
        <v>595</v>
      </c>
      <c r="BP5426" s="184"/>
    </row>
    <row r="5427" spans="1:68">
      <c r="A5427">
        <v>100005546</v>
      </c>
      <c r="B5427">
        <v>100005546</v>
      </c>
      <c r="C5427" t="s">
        <v>7018</v>
      </c>
      <c r="E5427" s="184"/>
      <c r="G5427" s="184"/>
      <c r="I5427" s="184"/>
      <c r="J5427" t="s">
        <v>595</v>
      </c>
      <c r="K5427" s="184">
        <v>37167</v>
      </c>
      <c r="Q5427" t="s">
        <v>7030</v>
      </c>
      <c r="R5427" s="184"/>
      <c r="V5427" t="s">
        <v>3663</v>
      </c>
      <c r="W5427" t="s">
        <v>7375</v>
      </c>
      <c r="X5427" t="s">
        <v>2571</v>
      </c>
      <c r="Y5427" t="s">
        <v>7431</v>
      </c>
      <c r="AF5427" t="s">
        <v>38198</v>
      </c>
      <c r="AG5427" t="s">
        <v>3663</v>
      </c>
      <c r="AI5427" t="s">
        <v>38199</v>
      </c>
      <c r="AM5427" t="s">
        <v>38200</v>
      </c>
      <c r="AN5427" t="s">
        <v>2094</v>
      </c>
      <c r="AO5427" t="s">
        <v>38201</v>
      </c>
      <c r="AP5427" t="s">
        <v>7024</v>
      </c>
      <c r="AT5427" s="184">
        <v>34267</v>
      </c>
      <c r="AU5427" t="s">
        <v>14796</v>
      </c>
      <c r="AV5427">
        <v>20</v>
      </c>
      <c r="AW5427" s="184">
        <v>37167</v>
      </c>
      <c r="AX5427" t="s">
        <v>37801</v>
      </c>
      <c r="AY5427">
        <v>11.21</v>
      </c>
      <c r="AZ5427" s="184">
        <v>36515</v>
      </c>
      <c r="BA5427" t="s">
        <v>37823</v>
      </c>
      <c r="BB5427">
        <v>8177.48</v>
      </c>
      <c r="BC5427">
        <v>22</v>
      </c>
      <c r="BD5427">
        <v>8370.99</v>
      </c>
      <c r="BE5427">
        <v>1994</v>
      </c>
      <c r="BF5427">
        <v>11</v>
      </c>
      <c r="BI5427">
        <v>7</v>
      </c>
      <c r="BJ5427">
        <v>32</v>
      </c>
      <c r="BK5427">
        <v>3</v>
      </c>
      <c r="BO5427" t="s">
        <v>595</v>
      </c>
      <c r="BP5427" s="184"/>
    </row>
    <row r="5428" spans="1:68">
      <c r="A5428">
        <v>100005557</v>
      </c>
      <c r="B5428">
        <v>100005557</v>
      </c>
      <c r="C5428" t="s">
        <v>7018</v>
      </c>
      <c r="E5428" s="184"/>
      <c r="I5428" s="184"/>
      <c r="J5428" t="s">
        <v>595</v>
      </c>
      <c r="K5428" s="184">
        <v>36777</v>
      </c>
      <c r="M5428" s="184"/>
      <c r="O5428" s="184"/>
      <c r="Q5428" t="s">
        <v>7262</v>
      </c>
      <c r="R5428" s="184">
        <v>7111</v>
      </c>
      <c r="S5428">
        <v>104</v>
      </c>
      <c r="V5428" t="s">
        <v>2918</v>
      </c>
      <c r="W5428" t="s">
        <v>3332</v>
      </c>
      <c r="X5428" t="s">
        <v>2916</v>
      </c>
      <c r="AF5428" t="s">
        <v>38202</v>
      </c>
      <c r="AG5428" t="s">
        <v>2918</v>
      </c>
      <c r="AI5428" t="s">
        <v>38203</v>
      </c>
      <c r="AM5428" t="s">
        <v>38204</v>
      </c>
      <c r="AN5428" t="s">
        <v>2106</v>
      </c>
      <c r="AO5428" t="s">
        <v>38205</v>
      </c>
      <c r="AP5428" t="s">
        <v>7024</v>
      </c>
      <c r="AT5428" s="184">
        <v>32902</v>
      </c>
      <c r="AU5428" t="s">
        <v>38206</v>
      </c>
      <c r="AV5428">
        <v>17</v>
      </c>
      <c r="AW5428" s="184">
        <v>36777</v>
      </c>
      <c r="AX5428" t="s">
        <v>37823</v>
      </c>
      <c r="AY5428">
        <v>4000</v>
      </c>
      <c r="AZ5428" s="184">
        <v>36777</v>
      </c>
      <c r="BA5428" t="s">
        <v>37823</v>
      </c>
      <c r="BB5428">
        <v>4000</v>
      </c>
      <c r="BC5428">
        <v>29</v>
      </c>
      <c r="BD5428">
        <v>5219</v>
      </c>
      <c r="BE5428">
        <v>1990</v>
      </c>
      <c r="BF5428">
        <v>47</v>
      </c>
      <c r="BI5428">
        <v>10</v>
      </c>
      <c r="BJ5428">
        <v>35</v>
      </c>
      <c r="BK5428">
        <v>9</v>
      </c>
      <c r="BO5428" t="s">
        <v>595</v>
      </c>
      <c r="BP5428" s="184"/>
    </row>
    <row r="5429" spans="1:68">
      <c r="A5429">
        <v>100005576</v>
      </c>
      <c r="B5429">
        <v>100005576</v>
      </c>
      <c r="C5429" t="s">
        <v>7018</v>
      </c>
      <c r="E5429" s="184"/>
      <c r="I5429" s="184"/>
      <c r="J5429" t="s">
        <v>595</v>
      </c>
      <c r="K5429" s="184">
        <v>38222</v>
      </c>
      <c r="M5429" s="184"/>
      <c r="Q5429" t="s">
        <v>7262</v>
      </c>
      <c r="R5429" s="184"/>
      <c r="V5429" t="s">
        <v>3053</v>
      </c>
      <c r="W5429" t="s">
        <v>2963</v>
      </c>
      <c r="X5429" t="s">
        <v>4705</v>
      </c>
      <c r="AI5429" t="s">
        <v>38207</v>
      </c>
      <c r="AM5429" t="s">
        <v>4683</v>
      </c>
      <c r="AN5429" t="s">
        <v>65</v>
      </c>
      <c r="AO5429">
        <v>20878</v>
      </c>
      <c r="AP5429" t="s">
        <v>7024</v>
      </c>
      <c r="AT5429" s="184">
        <v>30537</v>
      </c>
      <c r="AU5429" t="s">
        <v>38208</v>
      </c>
      <c r="AV5429">
        <v>20</v>
      </c>
      <c r="AW5429" s="184">
        <v>38222</v>
      </c>
      <c r="AX5429" t="s">
        <v>37872</v>
      </c>
      <c r="AY5429">
        <v>853.27</v>
      </c>
      <c r="AZ5429" s="184">
        <v>37133</v>
      </c>
      <c r="BA5429" t="s">
        <v>37801</v>
      </c>
      <c r="BB5429">
        <v>25000</v>
      </c>
      <c r="BC5429">
        <v>29</v>
      </c>
      <c r="BD5429">
        <v>50935.78</v>
      </c>
      <c r="BE5429">
        <v>1984</v>
      </c>
      <c r="BF5429">
        <v>25</v>
      </c>
      <c r="BI5429">
        <v>12</v>
      </c>
      <c r="BJ5429">
        <v>42</v>
      </c>
      <c r="BK5429">
        <v>8</v>
      </c>
      <c r="BO5429" t="s">
        <v>595</v>
      </c>
      <c r="BP5429" s="184"/>
    </row>
    <row r="5430" spans="1:68">
      <c r="A5430">
        <v>100005579</v>
      </c>
      <c r="B5430">
        <v>100005579</v>
      </c>
      <c r="C5430" t="s">
        <v>7018</v>
      </c>
      <c r="E5430" s="184"/>
      <c r="I5430" s="184"/>
      <c r="J5430" t="s">
        <v>595</v>
      </c>
      <c r="K5430" s="184">
        <v>35453</v>
      </c>
      <c r="Q5430" t="s">
        <v>7374</v>
      </c>
      <c r="R5430" s="184"/>
      <c r="V5430" t="s">
        <v>38209</v>
      </c>
      <c r="X5430" t="s">
        <v>38210</v>
      </c>
      <c r="AI5430" t="s">
        <v>38211</v>
      </c>
      <c r="AJ5430" t="s">
        <v>38212</v>
      </c>
      <c r="AK5430" t="s">
        <v>38213</v>
      </c>
      <c r="AM5430" t="s">
        <v>11463</v>
      </c>
      <c r="AN5430" t="s">
        <v>2081</v>
      </c>
      <c r="AO5430">
        <v>93923</v>
      </c>
      <c r="AP5430" t="s">
        <v>7024</v>
      </c>
      <c r="AT5430" s="184">
        <v>35453</v>
      </c>
      <c r="AU5430" t="s">
        <v>37834</v>
      </c>
      <c r="AV5430">
        <v>1000</v>
      </c>
      <c r="AW5430" s="184">
        <v>35453</v>
      </c>
      <c r="AX5430" t="s">
        <v>37834</v>
      </c>
      <c r="AY5430">
        <v>1000</v>
      </c>
      <c r="AZ5430" s="184">
        <v>35453</v>
      </c>
      <c r="BA5430" t="s">
        <v>37834</v>
      </c>
      <c r="BB5430">
        <v>1000</v>
      </c>
      <c r="BC5430">
        <v>4</v>
      </c>
      <c r="BD5430">
        <v>1000</v>
      </c>
      <c r="BE5430">
        <v>1997</v>
      </c>
      <c r="BF5430">
        <v>1</v>
      </c>
      <c r="BI5430">
        <v>1</v>
      </c>
      <c r="BJ5430">
        <v>28</v>
      </c>
      <c r="BK5430">
        <v>1</v>
      </c>
      <c r="BO5430" t="s">
        <v>595</v>
      </c>
      <c r="BP5430" s="184"/>
    </row>
    <row r="5431" spans="1:68">
      <c r="A5431">
        <v>100005582</v>
      </c>
      <c r="B5431">
        <v>100005582</v>
      </c>
      <c r="C5431" t="s">
        <v>7018</v>
      </c>
      <c r="E5431" s="184"/>
      <c r="I5431" s="184"/>
      <c r="J5431" t="s">
        <v>595</v>
      </c>
      <c r="K5431" s="184">
        <v>34324</v>
      </c>
      <c r="O5431" s="184"/>
      <c r="Q5431" t="s">
        <v>7374</v>
      </c>
      <c r="R5431" s="184"/>
      <c r="V5431" t="s">
        <v>4502</v>
      </c>
      <c r="W5431" t="s">
        <v>7046</v>
      </c>
      <c r="X5431" t="s">
        <v>3528</v>
      </c>
      <c r="AI5431" t="s">
        <v>38214</v>
      </c>
      <c r="AM5431" t="s">
        <v>4312</v>
      </c>
      <c r="AN5431" t="s">
        <v>2081</v>
      </c>
      <c r="AO5431" t="s">
        <v>38215</v>
      </c>
      <c r="AP5431" t="s">
        <v>7024</v>
      </c>
      <c r="AT5431" s="184">
        <v>30512</v>
      </c>
      <c r="AU5431" t="s">
        <v>7091</v>
      </c>
      <c r="AV5431">
        <v>25</v>
      </c>
      <c r="AW5431" s="184">
        <v>34324</v>
      </c>
      <c r="AX5431" t="s">
        <v>37911</v>
      </c>
      <c r="AY5431">
        <v>100000</v>
      </c>
      <c r="AZ5431" s="184">
        <v>34324</v>
      </c>
      <c r="BA5431" t="s">
        <v>37911</v>
      </c>
      <c r="BB5431">
        <v>100000</v>
      </c>
      <c r="BC5431">
        <v>27</v>
      </c>
      <c r="BD5431">
        <v>100647</v>
      </c>
      <c r="BE5431">
        <v>1984</v>
      </c>
      <c r="BF5431">
        <v>19</v>
      </c>
      <c r="BI5431">
        <v>11</v>
      </c>
      <c r="BJ5431">
        <v>42</v>
      </c>
      <c r="BK5431">
        <v>11</v>
      </c>
      <c r="BO5431" t="s">
        <v>595</v>
      </c>
      <c r="BP5431" s="184"/>
    </row>
    <row r="5432" spans="1:68">
      <c r="A5432">
        <v>100005613</v>
      </c>
      <c r="B5432">
        <v>100005613</v>
      </c>
      <c r="C5432" t="s">
        <v>7018</v>
      </c>
      <c r="E5432" s="184"/>
      <c r="G5432" s="184"/>
      <c r="I5432" s="184"/>
      <c r="J5432" t="s">
        <v>595</v>
      </c>
      <c r="K5432" s="184">
        <v>31833</v>
      </c>
      <c r="O5432" s="184"/>
      <c r="Q5432" t="s">
        <v>7194</v>
      </c>
      <c r="R5432" s="184"/>
      <c r="V5432" t="s">
        <v>3000</v>
      </c>
      <c r="W5432" t="s">
        <v>2049</v>
      </c>
      <c r="X5432" t="s">
        <v>38216</v>
      </c>
      <c r="AI5432" t="s">
        <v>38217</v>
      </c>
      <c r="AM5432" t="s">
        <v>38218</v>
      </c>
      <c r="AN5432" t="s">
        <v>2046</v>
      </c>
      <c r="AO5432" t="s">
        <v>38219</v>
      </c>
      <c r="AP5432" t="s">
        <v>7024</v>
      </c>
      <c r="AT5432" s="184">
        <v>30621</v>
      </c>
      <c r="AU5432" t="s">
        <v>7073</v>
      </c>
      <c r="AV5432">
        <v>100</v>
      </c>
      <c r="AW5432" s="184">
        <v>31833</v>
      </c>
      <c r="AX5432" t="s">
        <v>37798</v>
      </c>
      <c r="AY5432">
        <v>5932.42</v>
      </c>
      <c r="AZ5432" s="184">
        <v>31833</v>
      </c>
      <c r="BA5432" t="s">
        <v>37798</v>
      </c>
      <c r="BB5432">
        <v>5932.42</v>
      </c>
      <c r="BC5432">
        <v>8</v>
      </c>
      <c r="BD5432">
        <v>6162.42</v>
      </c>
      <c r="BE5432">
        <v>1984</v>
      </c>
      <c r="BF5432">
        <v>5</v>
      </c>
      <c r="BI5432">
        <v>3</v>
      </c>
      <c r="BJ5432">
        <v>42</v>
      </c>
      <c r="BK5432">
        <v>2</v>
      </c>
      <c r="BO5432" t="s">
        <v>595</v>
      </c>
      <c r="BP5432" s="184"/>
    </row>
    <row r="5433" spans="1:68">
      <c r="A5433">
        <v>100005644</v>
      </c>
      <c r="B5433">
        <v>100005644</v>
      </c>
      <c r="C5433" t="s">
        <v>7018</v>
      </c>
      <c r="E5433" s="184"/>
      <c r="I5433" s="184"/>
      <c r="J5433" t="s">
        <v>595</v>
      </c>
      <c r="K5433" s="184">
        <v>36539</v>
      </c>
      <c r="Q5433" t="s">
        <v>7160</v>
      </c>
      <c r="R5433" s="184"/>
      <c r="V5433" t="s">
        <v>38220</v>
      </c>
      <c r="W5433" t="s">
        <v>5648</v>
      </c>
      <c r="X5433" t="s">
        <v>24393</v>
      </c>
      <c r="AI5433" t="s">
        <v>38221</v>
      </c>
      <c r="AJ5433" t="s">
        <v>38222</v>
      </c>
      <c r="AM5433" t="s">
        <v>9318</v>
      </c>
      <c r="AN5433" t="s">
        <v>4637</v>
      </c>
      <c r="AO5433" t="s">
        <v>38223</v>
      </c>
      <c r="AP5433" t="s">
        <v>7024</v>
      </c>
      <c r="AT5433" s="184">
        <v>36539</v>
      </c>
      <c r="AU5433" t="s">
        <v>37823</v>
      </c>
      <c r="AV5433">
        <v>1000</v>
      </c>
      <c r="AW5433" s="184">
        <v>36539</v>
      </c>
      <c r="AX5433" t="s">
        <v>37823</v>
      </c>
      <c r="AY5433">
        <v>1000</v>
      </c>
      <c r="AZ5433" s="184">
        <v>36539</v>
      </c>
      <c r="BA5433" t="s">
        <v>37823</v>
      </c>
      <c r="BB5433">
        <v>1000</v>
      </c>
      <c r="BC5433">
        <v>4</v>
      </c>
      <c r="BD5433">
        <v>1000</v>
      </c>
      <c r="BE5433">
        <v>2000</v>
      </c>
      <c r="BF5433">
        <v>1</v>
      </c>
      <c r="BI5433">
        <v>1</v>
      </c>
      <c r="BJ5433">
        <v>25</v>
      </c>
      <c r="BK5433">
        <v>1</v>
      </c>
      <c r="BO5433" t="s">
        <v>595</v>
      </c>
      <c r="BP5433" s="184"/>
    </row>
    <row r="5434" spans="1:68">
      <c r="A5434">
        <v>100005680</v>
      </c>
      <c r="B5434">
        <v>100005680</v>
      </c>
      <c r="C5434" t="s">
        <v>7018</v>
      </c>
      <c r="E5434" s="184"/>
      <c r="J5434" t="s">
        <v>595</v>
      </c>
      <c r="K5434" s="184">
        <v>35888</v>
      </c>
      <c r="M5434" s="184"/>
      <c r="O5434" s="184"/>
      <c r="Q5434" t="s">
        <v>7374</v>
      </c>
      <c r="R5434" s="184">
        <v>7957</v>
      </c>
      <c r="S5434">
        <v>102</v>
      </c>
      <c r="V5434" t="s">
        <v>5554</v>
      </c>
      <c r="W5434" t="s">
        <v>7695</v>
      </c>
      <c r="X5434" t="s">
        <v>3949</v>
      </c>
      <c r="AF5434" t="s">
        <v>38224</v>
      </c>
      <c r="AG5434" t="s">
        <v>5554</v>
      </c>
      <c r="AI5434" t="s">
        <v>38225</v>
      </c>
      <c r="AM5434" t="s">
        <v>5555</v>
      </c>
      <c r="AN5434" t="s">
        <v>2081</v>
      </c>
      <c r="AO5434" t="s">
        <v>38226</v>
      </c>
      <c r="AP5434" t="s">
        <v>7024</v>
      </c>
      <c r="AT5434" s="184">
        <v>30747</v>
      </c>
      <c r="AU5434" t="s">
        <v>7073</v>
      </c>
      <c r="AV5434">
        <v>18</v>
      </c>
      <c r="AW5434" s="184">
        <v>35888</v>
      </c>
      <c r="AX5434" t="s">
        <v>37958</v>
      </c>
      <c r="AY5434">
        <v>25000</v>
      </c>
      <c r="AZ5434" s="184">
        <v>35888</v>
      </c>
      <c r="BA5434" t="s">
        <v>37958</v>
      </c>
      <c r="BB5434">
        <v>25000</v>
      </c>
      <c r="BC5434">
        <v>37</v>
      </c>
      <c r="BD5434">
        <v>41181</v>
      </c>
      <c r="BE5434">
        <v>1984</v>
      </c>
      <c r="BF5434">
        <v>44</v>
      </c>
      <c r="BI5434">
        <v>15</v>
      </c>
      <c r="BJ5434">
        <v>41</v>
      </c>
      <c r="BK5434">
        <v>15</v>
      </c>
      <c r="BO5434" t="s">
        <v>595</v>
      </c>
      <c r="BP5434" s="184"/>
    </row>
    <row r="5435" spans="1:68">
      <c r="A5435">
        <v>100005691</v>
      </c>
      <c r="B5435">
        <v>100005691</v>
      </c>
      <c r="C5435" t="s">
        <v>7018</v>
      </c>
      <c r="E5435" s="184"/>
      <c r="I5435" s="184"/>
      <c r="J5435" t="s">
        <v>595</v>
      </c>
      <c r="K5435" s="184">
        <v>31554</v>
      </c>
      <c r="O5435" s="184"/>
      <c r="Q5435" t="s">
        <v>7374</v>
      </c>
      <c r="R5435" s="184"/>
      <c r="V5435" t="s">
        <v>3053</v>
      </c>
      <c r="W5435" t="s">
        <v>7407</v>
      </c>
      <c r="X5435" t="s">
        <v>3902</v>
      </c>
      <c r="AF5435" t="s">
        <v>38227</v>
      </c>
      <c r="AG5435" t="s">
        <v>3053</v>
      </c>
      <c r="AI5435" t="s">
        <v>38228</v>
      </c>
      <c r="AK5435" t="s">
        <v>38229</v>
      </c>
      <c r="AM5435" t="s">
        <v>4233</v>
      </c>
      <c r="AN5435" t="s">
        <v>2081</v>
      </c>
      <c r="AO5435" t="s">
        <v>38230</v>
      </c>
      <c r="AP5435" t="s">
        <v>7024</v>
      </c>
      <c r="AT5435" s="184">
        <v>31554</v>
      </c>
      <c r="AU5435" t="s">
        <v>37798</v>
      </c>
      <c r="AV5435">
        <v>2000</v>
      </c>
      <c r="AW5435" s="184">
        <v>31554</v>
      </c>
      <c r="AX5435" t="s">
        <v>37798</v>
      </c>
      <c r="AY5435">
        <v>2000</v>
      </c>
      <c r="AZ5435" s="184">
        <v>31554</v>
      </c>
      <c r="BA5435" t="s">
        <v>37798</v>
      </c>
      <c r="BB5435">
        <v>2000</v>
      </c>
      <c r="BC5435">
        <v>3</v>
      </c>
      <c r="BD5435">
        <v>2000</v>
      </c>
      <c r="BE5435">
        <v>1986</v>
      </c>
      <c r="BF5435">
        <v>1</v>
      </c>
      <c r="BI5435">
        <v>1</v>
      </c>
      <c r="BJ5435">
        <v>39</v>
      </c>
      <c r="BK5435">
        <v>1</v>
      </c>
      <c r="BO5435" t="s">
        <v>595</v>
      </c>
      <c r="BP5435" s="184"/>
    </row>
    <row r="5436" spans="1:68">
      <c r="A5436">
        <v>100005695</v>
      </c>
      <c r="B5436">
        <v>100005695</v>
      </c>
      <c r="C5436" t="s">
        <v>7018</v>
      </c>
      <c r="E5436" s="184"/>
      <c r="G5436" s="184"/>
      <c r="I5436" s="184"/>
      <c r="J5436" t="s">
        <v>595</v>
      </c>
      <c r="K5436" s="184">
        <v>36955</v>
      </c>
      <c r="O5436" s="184"/>
      <c r="Q5436" t="s">
        <v>7383</v>
      </c>
      <c r="R5436" s="184"/>
      <c r="V5436" t="s">
        <v>2838</v>
      </c>
      <c r="X5436" t="s">
        <v>4705</v>
      </c>
      <c r="AI5436" t="s">
        <v>38012</v>
      </c>
      <c r="AJ5436" t="s">
        <v>38231</v>
      </c>
      <c r="AK5436" t="s">
        <v>38232</v>
      </c>
      <c r="AM5436" t="s">
        <v>20702</v>
      </c>
      <c r="AN5436" t="s">
        <v>2139</v>
      </c>
      <c r="AO5436">
        <v>66861</v>
      </c>
      <c r="AP5436" t="s">
        <v>7024</v>
      </c>
      <c r="AT5436" s="184">
        <v>36132</v>
      </c>
      <c r="AU5436" t="s">
        <v>37806</v>
      </c>
      <c r="AV5436">
        <v>951.28</v>
      </c>
      <c r="AW5436" s="184">
        <v>36955</v>
      </c>
      <c r="AX5436" t="s">
        <v>37877</v>
      </c>
      <c r="AY5436">
        <v>70.23</v>
      </c>
      <c r="AZ5436" s="184">
        <v>36132</v>
      </c>
      <c r="BA5436" t="s">
        <v>37806</v>
      </c>
      <c r="BB5436">
        <v>951.28</v>
      </c>
      <c r="BC5436">
        <v>8</v>
      </c>
      <c r="BD5436">
        <v>1021.51</v>
      </c>
      <c r="BE5436">
        <v>1999</v>
      </c>
      <c r="BF5436">
        <v>2</v>
      </c>
      <c r="BI5436">
        <v>2</v>
      </c>
      <c r="BJ5436">
        <v>27</v>
      </c>
      <c r="BK5436">
        <v>1</v>
      </c>
      <c r="BO5436" t="s">
        <v>595</v>
      </c>
      <c r="BP5436" s="184"/>
    </row>
    <row r="5437" spans="1:68">
      <c r="A5437">
        <v>100005700</v>
      </c>
      <c r="B5437">
        <v>100005700</v>
      </c>
      <c r="C5437" t="s">
        <v>7018</v>
      </c>
      <c r="E5437" s="184"/>
      <c r="I5437" s="184"/>
      <c r="J5437" t="s">
        <v>595</v>
      </c>
      <c r="K5437" s="184">
        <v>30802</v>
      </c>
      <c r="O5437" s="184"/>
      <c r="Q5437" t="s">
        <v>7020</v>
      </c>
      <c r="R5437" s="184"/>
      <c r="V5437" t="s">
        <v>38233</v>
      </c>
      <c r="W5437" t="s">
        <v>5006</v>
      </c>
      <c r="X5437" t="s">
        <v>3163</v>
      </c>
      <c r="AI5437" t="s">
        <v>38234</v>
      </c>
      <c r="AK5437" t="s">
        <v>38235</v>
      </c>
      <c r="AM5437" t="s">
        <v>38236</v>
      </c>
      <c r="AN5437" t="s">
        <v>2129</v>
      </c>
      <c r="AO5437">
        <v>8830</v>
      </c>
      <c r="AP5437" t="s">
        <v>7024</v>
      </c>
      <c r="AT5437" s="184">
        <v>30802</v>
      </c>
      <c r="AU5437" t="s">
        <v>37798</v>
      </c>
      <c r="AV5437">
        <v>100</v>
      </c>
      <c r="AW5437" s="184">
        <v>30802</v>
      </c>
      <c r="AX5437" t="s">
        <v>37798</v>
      </c>
      <c r="AY5437">
        <v>100</v>
      </c>
      <c r="AZ5437" s="184">
        <v>30802</v>
      </c>
      <c r="BA5437" t="s">
        <v>37798</v>
      </c>
      <c r="BB5437">
        <v>100</v>
      </c>
      <c r="BC5437">
        <v>3</v>
      </c>
      <c r="BD5437">
        <v>100</v>
      </c>
      <c r="BE5437">
        <v>1984</v>
      </c>
      <c r="BF5437">
        <v>1</v>
      </c>
      <c r="BI5437">
        <v>1</v>
      </c>
      <c r="BJ5437">
        <v>41</v>
      </c>
      <c r="BK5437">
        <v>1</v>
      </c>
      <c r="BO5437" t="s">
        <v>595</v>
      </c>
      <c r="BP5437" s="184"/>
    </row>
    <row r="5438" spans="1:68">
      <c r="A5438">
        <v>100005703</v>
      </c>
      <c r="B5438">
        <v>100005703</v>
      </c>
      <c r="C5438" t="s">
        <v>7018</v>
      </c>
      <c r="G5438" s="184"/>
      <c r="I5438" s="184"/>
      <c r="J5438" t="s">
        <v>595</v>
      </c>
      <c r="K5438" s="184">
        <v>33807</v>
      </c>
      <c r="O5438" s="184"/>
      <c r="Q5438" t="s">
        <v>7374</v>
      </c>
      <c r="R5438" s="184"/>
      <c r="V5438" t="s">
        <v>5638</v>
      </c>
      <c r="W5438" t="s">
        <v>7046</v>
      </c>
      <c r="X5438" t="s">
        <v>38237</v>
      </c>
      <c r="AI5438" t="s">
        <v>38238</v>
      </c>
      <c r="AM5438" t="s">
        <v>38239</v>
      </c>
      <c r="AN5438" t="s">
        <v>2081</v>
      </c>
      <c r="AO5438" t="s">
        <v>38240</v>
      </c>
      <c r="AP5438" t="s">
        <v>7024</v>
      </c>
      <c r="AT5438" s="184">
        <v>30522</v>
      </c>
      <c r="AU5438" t="s">
        <v>38241</v>
      </c>
      <c r="AV5438">
        <v>50</v>
      </c>
      <c r="AW5438" s="184">
        <v>33807</v>
      </c>
      <c r="AX5438" t="s">
        <v>38242</v>
      </c>
      <c r="AY5438">
        <v>2000</v>
      </c>
      <c r="AZ5438" s="184">
        <v>33807</v>
      </c>
      <c r="BA5438" t="s">
        <v>38242</v>
      </c>
      <c r="BB5438">
        <v>2000</v>
      </c>
      <c r="BC5438">
        <v>24</v>
      </c>
      <c r="BD5438">
        <v>2829</v>
      </c>
      <c r="BE5438">
        <v>1984</v>
      </c>
      <c r="BF5438">
        <v>25</v>
      </c>
      <c r="BI5438">
        <v>10</v>
      </c>
      <c r="BJ5438">
        <v>42</v>
      </c>
      <c r="BK5438">
        <v>10</v>
      </c>
      <c r="BO5438" t="s">
        <v>595</v>
      </c>
      <c r="BP5438" s="184"/>
    </row>
    <row r="5439" spans="1:68">
      <c r="A5439">
        <v>100005730</v>
      </c>
      <c r="B5439">
        <v>100005730</v>
      </c>
      <c r="C5439" t="s">
        <v>7018</v>
      </c>
      <c r="E5439" s="184"/>
      <c r="G5439" s="184"/>
      <c r="J5439" t="s">
        <v>595</v>
      </c>
      <c r="K5439" s="184">
        <v>41913</v>
      </c>
      <c r="O5439" s="184"/>
      <c r="Q5439" t="s">
        <v>7160</v>
      </c>
      <c r="R5439" s="184"/>
      <c r="U5439" t="s">
        <v>7031</v>
      </c>
      <c r="V5439" t="s">
        <v>3363</v>
      </c>
      <c r="W5439" t="s">
        <v>4139</v>
      </c>
      <c r="X5439" t="s">
        <v>38243</v>
      </c>
      <c r="AF5439" t="s">
        <v>6092</v>
      </c>
      <c r="AG5439" t="s">
        <v>3363</v>
      </c>
      <c r="AI5439" t="s">
        <v>38244</v>
      </c>
      <c r="AM5439" t="s">
        <v>22237</v>
      </c>
      <c r="AN5439" t="s">
        <v>2203</v>
      </c>
      <c r="AO5439" t="s">
        <v>38245</v>
      </c>
      <c r="AP5439" t="s">
        <v>7024</v>
      </c>
      <c r="AT5439" s="184">
        <v>35166</v>
      </c>
      <c r="AU5439" t="s">
        <v>38246</v>
      </c>
      <c r="AV5439">
        <v>15</v>
      </c>
      <c r="AW5439" s="184">
        <v>41913</v>
      </c>
      <c r="AX5439" t="s">
        <v>14228</v>
      </c>
      <c r="AY5439">
        <v>6382</v>
      </c>
      <c r="AZ5439" s="184">
        <v>41913</v>
      </c>
      <c r="BA5439" t="s">
        <v>14228</v>
      </c>
      <c r="BB5439">
        <v>6382</v>
      </c>
      <c r="BC5439">
        <v>14</v>
      </c>
      <c r="BD5439">
        <v>6432</v>
      </c>
      <c r="BE5439">
        <v>1996</v>
      </c>
      <c r="BF5439">
        <v>4</v>
      </c>
      <c r="BI5439">
        <v>4</v>
      </c>
      <c r="BJ5439">
        <v>29</v>
      </c>
      <c r="BK5439">
        <v>1</v>
      </c>
      <c r="BP5439" s="184"/>
    </row>
    <row r="5440" spans="1:68">
      <c r="A5440">
        <v>100005736</v>
      </c>
      <c r="B5440">
        <v>100005736</v>
      </c>
      <c r="C5440" t="s">
        <v>7018</v>
      </c>
      <c r="E5440" s="184"/>
      <c r="I5440" s="184"/>
      <c r="J5440" t="s">
        <v>595</v>
      </c>
      <c r="K5440" s="184">
        <v>37315</v>
      </c>
      <c r="M5440" s="184"/>
      <c r="O5440" s="184"/>
      <c r="Q5440" t="s">
        <v>7383</v>
      </c>
      <c r="R5440" s="184">
        <v>732</v>
      </c>
      <c r="S5440">
        <v>122</v>
      </c>
      <c r="V5440" t="s">
        <v>2922</v>
      </c>
      <c r="W5440" t="s">
        <v>8146</v>
      </c>
      <c r="X5440" t="s">
        <v>38247</v>
      </c>
      <c r="AI5440" t="s">
        <v>38248</v>
      </c>
      <c r="AM5440" t="s">
        <v>38249</v>
      </c>
      <c r="AN5440" t="s">
        <v>2313</v>
      </c>
      <c r="AO5440" t="s">
        <v>38250</v>
      </c>
      <c r="AP5440" t="s">
        <v>7024</v>
      </c>
      <c r="AT5440" s="184">
        <v>30516</v>
      </c>
      <c r="AU5440" t="s">
        <v>38251</v>
      </c>
      <c r="AV5440">
        <v>25</v>
      </c>
      <c r="AW5440" s="184">
        <v>37315</v>
      </c>
      <c r="AX5440" t="s">
        <v>37801</v>
      </c>
      <c r="AY5440">
        <v>8.56</v>
      </c>
      <c r="AZ5440" s="184">
        <v>36959</v>
      </c>
      <c r="BA5440" t="s">
        <v>37877</v>
      </c>
      <c r="BB5440">
        <v>60000</v>
      </c>
      <c r="BC5440">
        <v>36</v>
      </c>
      <c r="BD5440">
        <v>90414.33</v>
      </c>
      <c r="BE5440">
        <v>1984</v>
      </c>
      <c r="BF5440">
        <v>29</v>
      </c>
      <c r="BI5440">
        <v>15</v>
      </c>
      <c r="BJ5440">
        <v>42</v>
      </c>
      <c r="BK5440">
        <v>11</v>
      </c>
      <c r="BO5440" t="s">
        <v>595</v>
      </c>
      <c r="BP5440" s="184"/>
    </row>
    <row r="5441" spans="1:68">
      <c r="A5441">
        <v>100005743</v>
      </c>
      <c r="B5441">
        <v>100005743</v>
      </c>
      <c r="C5441" t="s">
        <v>7018</v>
      </c>
      <c r="E5441" s="184"/>
      <c r="I5441" s="184"/>
      <c r="J5441" t="s">
        <v>595</v>
      </c>
      <c r="K5441" s="184">
        <v>35648</v>
      </c>
      <c r="M5441" s="184"/>
      <c r="O5441" s="184"/>
      <c r="Q5441" t="s">
        <v>7020</v>
      </c>
      <c r="R5441" s="184"/>
      <c r="V5441" t="s">
        <v>4210</v>
      </c>
      <c r="W5441" t="s">
        <v>8146</v>
      </c>
      <c r="X5441" t="s">
        <v>23032</v>
      </c>
      <c r="AI5441" t="s">
        <v>38252</v>
      </c>
      <c r="AK5441" t="s">
        <v>38253</v>
      </c>
      <c r="AM5441" t="s">
        <v>38254</v>
      </c>
      <c r="AN5441" t="s">
        <v>2129</v>
      </c>
      <c r="AO5441">
        <v>7960</v>
      </c>
      <c r="AP5441" t="s">
        <v>7024</v>
      </c>
      <c r="AT5441" s="184">
        <v>35088</v>
      </c>
      <c r="AU5441" t="s">
        <v>37885</v>
      </c>
      <c r="AV5441">
        <v>9577.4699999999993</v>
      </c>
      <c r="AW5441" s="184">
        <v>35648</v>
      </c>
      <c r="AX5441" t="s">
        <v>38150</v>
      </c>
      <c r="AY5441">
        <v>4578.53</v>
      </c>
      <c r="AZ5441" s="184">
        <v>35088</v>
      </c>
      <c r="BA5441" t="s">
        <v>37885</v>
      </c>
      <c r="BB5441">
        <v>9577.4699999999993</v>
      </c>
      <c r="BC5441">
        <v>7</v>
      </c>
      <c r="BD5441">
        <v>14156</v>
      </c>
      <c r="BE5441">
        <v>1996</v>
      </c>
      <c r="BF5441">
        <v>2</v>
      </c>
      <c r="BI5441">
        <v>2</v>
      </c>
      <c r="BJ5441">
        <v>29</v>
      </c>
      <c r="BK5441">
        <v>2</v>
      </c>
      <c r="BO5441" t="s">
        <v>595</v>
      </c>
      <c r="BP5441" s="184"/>
    </row>
    <row r="5442" spans="1:68">
      <c r="A5442">
        <v>100005751</v>
      </c>
      <c r="B5442">
        <v>100005751</v>
      </c>
      <c r="C5442" t="s">
        <v>7018</v>
      </c>
      <c r="E5442" s="184"/>
      <c r="I5442" s="184"/>
      <c r="J5442" t="s">
        <v>595</v>
      </c>
      <c r="K5442" s="184">
        <v>40364</v>
      </c>
      <c r="M5442" s="184"/>
      <c r="O5442" s="184"/>
      <c r="Q5442" t="s">
        <v>7374</v>
      </c>
      <c r="R5442" s="184">
        <v>23864</v>
      </c>
      <c r="S5442">
        <v>59</v>
      </c>
      <c r="U5442" t="s">
        <v>7076</v>
      </c>
      <c r="V5442" t="s">
        <v>2718</v>
      </c>
      <c r="X5442" t="s">
        <v>5758</v>
      </c>
      <c r="AF5442" t="s">
        <v>38255</v>
      </c>
      <c r="AG5442" t="s">
        <v>2718</v>
      </c>
      <c r="AI5442" t="s">
        <v>38256</v>
      </c>
      <c r="AM5442" t="s">
        <v>2913</v>
      </c>
      <c r="AN5442" t="s">
        <v>2081</v>
      </c>
      <c r="AO5442" t="s">
        <v>38257</v>
      </c>
      <c r="AP5442" t="s">
        <v>7024</v>
      </c>
      <c r="AQ5442" t="s">
        <v>38258</v>
      </c>
      <c r="AT5442" s="184">
        <v>34925</v>
      </c>
      <c r="AU5442" t="s">
        <v>38259</v>
      </c>
      <c r="AV5442">
        <v>15</v>
      </c>
      <c r="AW5442" s="184">
        <v>41680</v>
      </c>
      <c r="AX5442" t="s">
        <v>37849</v>
      </c>
      <c r="AY5442">
        <v>18875</v>
      </c>
      <c r="AZ5442" s="184">
        <v>41680</v>
      </c>
      <c r="BA5442" t="s">
        <v>37849</v>
      </c>
      <c r="BB5442">
        <v>18875</v>
      </c>
      <c r="BC5442">
        <v>60</v>
      </c>
      <c r="BD5442">
        <v>21301</v>
      </c>
      <c r="BE5442">
        <v>1996</v>
      </c>
      <c r="BF5442">
        <v>65</v>
      </c>
      <c r="BI5442">
        <v>18</v>
      </c>
      <c r="BJ5442">
        <v>30</v>
      </c>
      <c r="BK5442">
        <v>10</v>
      </c>
      <c r="BN5442" t="s">
        <v>595</v>
      </c>
      <c r="BO5442" t="s">
        <v>595</v>
      </c>
      <c r="BP5442" s="184">
        <v>41275</v>
      </c>
    </row>
    <row r="5443" spans="1:68">
      <c r="A5443">
        <v>100005757</v>
      </c>
      <c r="B5443">
        <v>100005757</v>
      </c>
      <c r="C5443" t="s">
        <v>7018</v>
      </c>
      <c r="E5443" s="184"/>
      <c r="I5443" s="184"/>
      <c r="J5443" t="s">
        <v>595</v>
      </c>
      <c r="K5443" s="184">
        <v>36294</v>
      </c>
      <c r="M5443" s="184"/>
      <c r="O5443" s="184"/>
      <c r="Q5443" t="s">
        <v>7194</v>
      </c>
      <c r="R5443" s="184">
        <v>9137</v>
      </c>
      <c r="S5443">
        <v>99</v>
      </c>
      <c r="V5443" t="s">
        <v>2697</v>
      </c>
      <c r="W5443" t="s">
        <v>7384</v>
      </c>
      <c r="X5443" t="s">
        <v>38260</v>
      </c>
      <c r="AI5443" t="s">
        <v>38261</v>
      </c>
      <c r="AM5443" t="s">
        <v>11015</v>
      </c>
      <c r="AN5443" t="s">
        <v>2046</v>
      </c>
      <c r="AO5443" t="s">
        <v>38262</v>
      </c>
      <c r="AP5443" t="s">
        <v>7024</v>
      </c>
      <c r="AT5443" s="184">
        <v>31222</v>
      </c>
      <c r="AU5443" t="s">
        <v>38263</v>
      </c>
      <c r="AV5443">
        <v>18</v>
      </c>
      <c r="AW5443" s="184">
        <v>36294</v>
      </c>
      <c r="AX5443" t="s">
        <v>37806</v>
      </c>
      <c r="AY5443">
        <v>800</v>
      </c>
      <c r="AZ5443" s="184">
        <v>35941</v>
      </c>
      <c r="BA5443" t="s">
        <v>37958</v>
      </c>
      <c r="BB5443">
        <v>16200</v>
      </c>
      <c r="BC5443">
        <v>23</v>
      </c>
      <c r="BD5443">
        <v>18703</v>
      </c>
      <c r="BE5443">
        <v>1985</v>
      </c>
      <c r="BF5443">
        <v>16</v>
      </c>
      <c r="BI5443">
        <v>9</v>
      </c>
      <c r="BJ5443">
        <v>40</v>
      </c>
      <c r="BK5443">
        <v>7</v>
      </c>
      <c r="BO5443" t="s">
        <v>595</v>
      </c>
      <c r="BP5443" s="184"/>
    </row>
    <row r="5444" spans="1:68">
      <c r="A5444">
        <v>100005761</v>
      </c>
      <c r="B5444">
        <v>100005761</v>
      </c>
      <c r="C5444" t="s">
        <v>7018</v>
      </c>
      <c r="E5444" s="184"/>
      <c r="I5444" s="184"/>
      <c r="J5444" t="s">
        <v>595</v>
      </c>
      <c r="K5444" s="184">
        <v>37018</v>
      </c>
      <c r="M5444" s="184"/>
      <c r="O5444" s="184"/>
      <c r="Q5444" t="s">
        <v>7374</v>
      </c>
      <c r="R5444" s="184"/>
      <c r="V5444" t="s">
        <v>4210</v>
      </c>
      <c r="X5444" t="s">
        <v>5525</v>
      </c>
      <c r="AF5444" t="s">
        <v>38264</v>
      </c>
      <c r="AG5444" t="s">
        <v>4210</v>
      </c>
      <c r="AI5444" t="s">
        <v>38265</v>
      </c>
      <c r="AM5444" t="s">
        <v>5526</v>
      </c>
      <c r="AN5444" t="s">
        <v>2081</v>
      </c>
      <c r="AO5444" t="s">
        <v>38266</v>
      </c>
      <c r="AP5444" t="s">
        <v>7024</v>
      </c>
      <c r="AT5444" s="184">
        <v>33098</v>
      </c>
      <c r="AU5444" t="s">
        <v>11141</v>
      </c>
      <c r="AV5444">
        <v>15</v>
      </c>
      <c r="AW5444" s="184">
        <v>37018</v>
      </c>
      <c r="AX5444" t="s">
        <v>37877</v>
      </c>
      <c r="AY5444">
        <v>54.9</v>
      </c>
      <c r="AZ5444" s="184">
        <v>36552</v>
      </c>
      <c r="BA5444" t="s">
        <v>37823</v>
      </c>
      <c r="BB5444">
        <v>39872.559999999998</v>
      </c>
      <c r="BC5444">
        <v>32</v>
      </c>
      <c r="BD5444">
        <v>46905.46</v>
      </c>
      <c r="BE5444">
        <v>1991</v>
      </c>
      <c r="BF5444">
        <v>12</v>
      </c>
      <c r="BI5444">
        <v>11</v>
      </c>
      <c r="BJ5444">
        <v>35</v>
      </c>
      <c r="BK5444">
        <v>9</v>
      </c>
      <c r="BO5444" t="s">
        <v>595</v>
      </c>
      <c r="BP5444" s="184"/>
    </row>
    <row r="5445" spans="1:68">
      <c r="A5445">
        <v>100005802</v>
      </c>
      <c r="B5445">
        <v>100005802</v>
      </c>
      <c r="C5445" t="s">
        <v>7018</v>
      </c>
      <c r="E5445" s="184"/>
      <c r="I5445" s="184"/>
      <c r="J5445" t="s">
        <v>595</v>
      </c>
      <c r="K5445" s="184">
        <v>35430</v>
      </c>
      <c r="O5445" s="184"/>
      <c r="Q5445" t="s">
        <v>7374</v>
      </c>
      <c r="R5445" s="184"/>
      <c r="V5445" t="s">
        <v>2918</v>
      </c>
      <c r="W5445" t="s">
        <v>3377</v>
      </c>
      <c r="X5445" t="s">
        <v>5591</v>
      </c>
      <c r="AI5445" t="s">
        <v>38267</v>
      </c>
      <c r="AJ5445" t="s">
        <v>38268</v>
      </c>
      <c r="AK5445" t="s">
        <v>38269</v>
      </c>
      <c r="AM5445" t="s">
        <v>38270</v>
      </c>
      <c r="AN5445" t="s">
        <v>2081</v>
      </c>
      <c r="AO5445">
        <v>93003</v>
      </c>
      <c r="AP5445" t="s">
        <v>7024</v>
      </c>
      <c r="AT5445" s="184">
        <v>35430</v>
      </c>
      <c r="AU5445" t="s">
        <v>37834</v>
      </c>
      <c r="AV5445">
        <v>33397.019999999997</v>
      </c>
      <c r="AW5445" s="184">
        <v>35430</v>
      </c>
      <c r="AX5445" t="s">
        <v>37834</v>
      </c>
      <c r="AY5445">
        <v>33397.019999999997</v>
      </c>
      <c r="AZ5445" s="184">
        <v>35430</v>
      </c>
      <c r="BA5445" t="s">
        <v>37834</v>
      </c>
      <c r="BB5445">
        <v>33397.019999999997</v>
      </c>
      <c r="BC5445">
        <v>4</v>
      </c>
      <c r="BD5445">
        <v>33397.019999999997</v>
      </c>
      <c r="BE5445">
        <v>1997</v>
      </c>
      <c r="BF5445">
        <v>1</v>
      </c>
      <c r="BI5445">
        <v>1</v>
      </c>
      <c r="BJ5445">
        <v>29</v>
      </c>
      <c r="BK5445">
        <v>1</v>
      </c>
      <c r="BO5445" t="s">
        <v>595</v>
      </c>
      <c r="BP5445" s="184"/>
    </row>
    <row r="5446" spans="1:68">
      <c r="A5446">
        <v>100005831</v>
      </c>
      <c r="B5446">
        <v>100005831</v>
      </c>
      <c r="C5446" t="s">
        <v>7018</v>
      </c>
      <c r="E5446" s="184"/>
      <c r="I5446" s="184"/>
      <c r="J5446" t="s">
        <v>595</v>
      </c>
      <c r="K5446" s="184">
        <v>36467</v>
      </c>
      <c r="O5446" s="184"/>
      <c r="Q5446" t="s">
        <v>7383</v>
      </c>
      <c r="R5446" s="184">
        <v>2048</v>
      </c>
      <c r="S5446">
        <v>118</v>
      </c>
      <c r="V5446" t="s">
        <v>2705</v>
      </c>
      <c r="X5446" t="s">
        <v>2768</v>
      </c>
      <c r="AF5446" t="s">
        <v>38271</v>
      </c>
      <c r="AG5446" t="s">
        <v>2705</v>
      </c>
      <c r="AI5446" t="s">
        <v>38272</v>
      </c>
      <c r="AM5446" t="s">
        <v>3524</v>
      </c>
      <c r="AN5446" t="s">
        <v>2162</v>
      </c>
      <c r="AO5446" t="s">
        <v>38273</v>
      </c>
      <c r="AP5446" t="s">
        <v>7024</v>
      </c>
      <c r="AT5446" s="184">
        <v>32549</v>
      </c>
      <c r="AU5446" t="s">
        <v>9605</v>
      </c>
      <c r="AV5446">
        <v>15</v>
      </c>
      <c r="AW5446" s="184">
        <v>36467</v>
      </c>
      <c r="AX5446" t="s">
        <v>37823</v>
      </c>
      <c r="AY5446">
        <v>1500</v>
      </c>
      <c r="AZ5446" s="184">
        <v>36467</v>
      </c>
      <c r="BA5446" t="s">
        <v>37823</v>
      </c>
      <c r="BB5446">
        <v>1500</v>
      </c>
      <c r="BC5446">
        <v>28</v>
      </c>
      <c r="BD5446">
        <v>1710</v>
      </c>
      <c r="BE5446">
        <v>1989</v>
      </c>
      <c r="BF5446">
        <v>11</v>
      </c>
      <c r="BI5446">
        <v>10</v>
      </c>
      <c r="BJ5446">
        <v>36</v>
      </c>
      <c r="BK5446">
        <v>9</v>
      </c>
      <c r="BO5446" t="s">
        <v>595</v>
      </c>
      <c r="BP5446" s="184"/>
    </row>
    <row r="5447" spans="1:68">
      <c r="A5447">
        <v>100005847</v>
      </c>
      <c r="B5447">
        <v>100005847</v>
      </c>
      <c r="C5447" t="s">
        <v>7018</v>
      </c>
      <c r="E5447" s="184"/>
      <c r="I5447" s="184"/>
      <c r="J5447" t="s">
        <v>595</v>
      </c>
      <c r="K5447" s="184">
        <v>36320</v>
      </c>
      <c r="O5447" s="184"/>
      <c r="Q5447" t="s">
        <v>7020</v>
      </c>
      <c r="R5447" s="184"/>
      <c r="V5447" t="s">
        <v>2742</v>
      </c>
      <c r="W5447" t="s">
        <v>2977</v>
      </c>
      <c r="X5447" t="s">
        <v>38274</v>
      </c>
      <c r="AI5447" t="s">
        <v>38275</v>
      </c>
      <c r="AK5447" t="s">
        <v>38276</v>
      </c>
      <c r="AM5447" t="s">
        <v>3171</v>
      </c>
      <c r="AN5447" t="s">
        <v>2240</v>
      </c>
      <c r="AO5447" t="s">
        <v>38277</v>
      </c>
      <c r="AP5447" t="s">
        <v>7024</v>
      </c>
      <c r="AT5447" s="184">
        <v>36320</v>
      </c>
      <c r="AU5447" t="s">
        <v>37806</v>
      </c>
      <c r="AV5447">
        <v>12500</v>
      </c>
      <c r="AW5447" s="184">
        <v>36320</v>
      </c>
      <c r="AX5447" t="s">
        <v>37806</v>
      </c>
      <c r="AY5447">
        <v>12500</v>
      </c>
      <c r="AZ5447" s="184">
        <v>36320</v>
      </c>
      <c r="BA5447" t="s">
        <v>37806</v>
      </c>
      <c r="BB5447">
        <v>12500</v>
      </c>
      <c r="BC5447">
        <v>4</v>
      </c>
      <c r="BD5447">
        <v>12500</v>
      </c>
      <c r="BE5447">
        <v>1999</v>
      </c>
      <c r="BF5447">
        <v>1</v>
      </c>
      <c r="BI5447">
        <v>1</v>
      </c>
      <c r="BJ5447">
        <v>26</v>
      </c>
      <c r="BK5447">
        <v>1</v>
      </c>
      <c r="BO5447" t="s">
        <v>595</v>
      </c>
      <c r="BP5447" s="184"/>
    </row>
    <row r="5448" spans="1:68">
      <c r="A5448">
        <v>100005856</v>
      </c>
      <c r="B5448">
        <v>100005856</v>
      </c>
      <c r="C5448" t="s">
        <v>7018</v>
      </c>
      <c r="E5448" s="184"/>
      <c r="G5448" s="184"/>
      <c r="I5448" s="184"/>
      <c r="J5448" t="s">
        <v>595</v>
      </c>
      <c r="K5448" s="184">
        <v>42272</v>
      </c>
      <c r="O5448" s="184"/>
      <c r="Q5448" t="s">
        <v>7030</v>
      </c>
      <c r="R5448" s="184">
        <v>5790</v>
      </c>
      <c r="S5448">
        <v>108</v>
      </c>
      <c r="U5448" t="s">
        <v>7076</v>
      </c>
      <c r="V5448" t="s">
        <v>3478</v>
      </c>
      <c r="W5448" t="s">
        <v>4327</v>
      </c>
      <c r="X5448" t="s">
        <v>5391</v>
      </c>
      <c r="AF5448" t="s">
        <v>5990</v>
      </c>
      <c r="AG5448" t="s">
        <v>5990</v>
      </c>
      <c r="AI5448" t="s">
        <v>38278</v>
      </c>
      <c r="AM5448" t="s">
        <v>3601</v>
      </c>
      <c r="AN5448" t="s">
        <v>2201</v>
      </c>
      <c r="AO5448" t="s">
        <v>38279</v>
      </c>
      <c r="AP5448" t="s">
        <v>7024</v>
      </c>
      <c r="AQ5448" t="s">
        <v>38280</v>
      </c>
      <c r="AT5448" s="184">
        <v>33410</v>
      </c>
      <c r="AU5448" t="s">
        <v>38281</v>
      </c>
      <c r="AV5448">
        <v>25</v>
      </c>
      <c r="AW5448" s="184">
        <v>42272</v>
      </c>
      <c r="AX5448" t="s">
        <v>11622</v>
      </c>
      <c r="AY5448">
        <v>77890</v>
      </c>
      <c r="AZ5448" s="184">
        <v>42272</v>
      </c>
      <c r="BA5448" t="s">
        <v>11622</v>
      </c>
      <c r="BB5448">
        <v>77890</v>
      </c>
      <c r="BC5448">
        <v>71</v>
      </c>
      <c r="BD5448">
        <v>161070</v>
      </c>
      <c r="BE5448">
        <v>1991</v>
      </c>
      <c r="BF5448">
        <v>38</v>
      </c>
      <c r="BI5448">
        <v>24</v>
      </c>
      <c r="BJ5448">
        <v>34</v>
      </c>
      <c r="BK5448">
        <v>23</v>
      </c>
      <c r="BN5448" t="s">
        <v>595</v>
      </c>
      <c r="BO5448" t="s">
        <v>595</v>
      </c>
      <c r="BP5448" s="184">
        <v>41868</v>
      </c>
    </row>
    <row r="5449" spans="1:68">
      <c r="A5449">
        <v>100005867</v>
      </c>
      <c r="B5449">
        <v>100005867</v>
      </c>
      <c r="C5449" t="s">
        <v>7018</v>
      </c>
      <c r="E5449" s="184"/>
      <c r="I5449" s="184"/>
      <c r="J5449" t="s">
        <v>595</v>
      </c>
      <c r="K5449" s="184">
        <v>42550</v>
      </c>
      <c r="O5449" s="184"/>
      <c r="Q5449" t="s">
        <v>7383</v>
      </c>
      <c r="R5449" s="184"/>
      <c r="U5449" t="s">
        <v>7076</v>
      </c>
      <c r="V5449" t="s">
        <v>3504</v>
      </c>
      <c r="W5449" t="s">
        <v>2918</v>
      </c>
      <c r="X5449" t="s">
        <v>5574</v>
      </c>
      <c r="AF5449" t="s">
        <v>5990</v>
      </c>
      <c r="AG5449" t="s">
        <v>5990</v>
      </c>
      <c r="AI5449" t="s">
        <v>38282</v>
      </c>
      <c r="AM5449" t="s">
        <v>5575</v>
      </c>
      <c r="AN5449" t="s">
        <v>2144</v>
      </c>
      <c r="AO5449" t="s">
        <v>38283</v>
      </c>
      <c r="AP5449" t="s">
        <v>7024</v>
      </c>
      <c r="AQ5449" t="s">
        <v>38284</v>
      </c>
      <c r="AT5449" s="184">
        <v>40596</v>
      </c>
      <c r="AU5449" t="s">
        <v>38285</v>
      </c>
      <c r="AV5449">
        <v>25</v>
      </c>
      <c r="AW5449" s="184">
        <v>42550</v>
      </c>
      <c r="AX5449" t="s">
        <v>11622</v>
      </c>
      <c r="AY5449">
        <v>5400</v>
      </c>
      <c r="AZ5449" s="184">
        <v>42346</v>
      </c>
      <c r="BA5449" t="s">
        <v>11622</v>
      </c>
      <c r="BB5449">
        <v>30000</v>
      </c>
      <c r="BC5449">
        <v>36</v>
      </c>
      <c r="BD5449">
        <v>35675</v>
      </c>
      <c r="BE5449">
        <v>2011</v>
      </c>
      <c r="BF5449">
        <v>6</v>
      </c>
      <c r="BI5449">
        <v>5</v>
      </c>
      <c r="BJ5449">
        <v>14</v>
      </c>
      <c r="BK5449">
        <v>3</v>
      </c>
      <c r="BN5449" t="s">
        <v>595</v>
      </c>
      <c r="BO5449" t="s">
        <v>595</v>
      </c>
      <c r="BP5449" s="184">
        <v>42167</v>
      </c>
    </row>
    <row r="5450" spans="1:68">
      <c r="A5450">
        <v>100005871</v>
      </c>
      <c r="B5450">
        <v>100005871</v>
      </c>
      <c r="C5450" t="s">
        <v>7018</v>
      </c>
      <c r="E5450" s="184"/>
      <c r="G5450" s="184"/>
      <c r="I5450" s="184"/>
      <c r="J5450" t="s">
        <v>595</v>
      </c>
      <c r="K5450" s="184">
        <v>33008</v>
      </c>
      <c r="O5450" s="184"/>
      <c r="Q5450" t="s">
        <v>7020</v>
      </c>
      <c r="R5450" s="184"/>
      <c r="V5450" t="s">
        <v>38286</v>
      </c>
      <c r="X5450" t="s">
        <v>18560</v>
      </c>
      <c r="AI5450" t="s">
        <v>38287</v>
      </c>
      <c r="AM5450" t="s">
        <v>20702</v>
      </c>
      <c r="AN5450" t="s">
        <v>2052</v>
      </c>
      <c r="AO5450" t="s">
        <v>38288</v>
      </c>
      <c r="AP5450" t="s">
        <v>7024</v>
      </c>
      <c r="AT5450" s="184">
        <v>31061</v>
      </c>
      <c r="AU5450" t="s">
        <v>7674</v>
      </c>
      <c r="AV5450">
        <v>400</v>
      </c>
      <c r="AW5450" s="184">
        <v>33008</v>
      </c>
      <c r="AX5450" t="s">
        <v>37798</v>
      </c>
      <c r="AY5450">
        <v>25000</v>
      </c>
      <c r="AZ5450" s="184">
        <v>33008</v>
      </c>
      <c r="BA5450" t="s">
        <v>37798</v>
      </c>
      <c r="BB5450">
        <v>25000</v>
      </c>
      <c r="BC5450">
        <v>8</v>
      </c>
      <c r="BD5450">
        <v>25425</v>
      </c>
      <c r="BE5450">
        <v>1985</v>
      </c>
      <c r="BF5450">
        <v>3</v>
      </c>
      <c r="BI5450">
        <v>3</v>
      </c>
      <c r="BJ5450">
        <v>40</v>
      </c>
      <c r="BK5450">
        <v>2</v>
      </c>
      <c r="BO5450" t="s">
        <v>595</v>
      </c>
      <c r="BP5450" s="184"/>
    </row>
    <row r="5451" spans="1:68">
      <c r="A5451">
        <v>100005904</v>
      </c>
      <c r="B5451">
        <v>100005904</v>
      </c>
      <c r="C5451" t="s">
        <v>7018</v>
      </c>
      <c r="E5451" s="184"/>
      <c r="I5451" s="184"/>
      <c r="J5451" t="s">
        <v>595</v>
      </c>
      <c r="K5451" s="184">
        <v>36146</v>
      </c>
      <c r="M5451" s="184"/>
      <c r="O5451" s="184"/>
      <c r="Q5451" t="s">
        <v>7383</v>
      </c>
      <c r="R5451" s="184"/>
      <c r="V5451" t="s">
        <v>3444</v>
      </c>
      <c r="X5451" t="s">
        <v>38289</v>
      </c>
      <c r="AI5451" t="s">
        <v>38290</v>
      </c>
      <c r="AM5451" t="s">
        <v>2737</v>
      </c>
      <c r="AN5451" t="s">
        <v>2059</v>
      </c>
      <c r="AO5451">
        <v>43224</v>
      </c>
      <c r="AP5451" t="s">
        <v>7024</v>
      </c>
      <c r="AT5451" s="184">
        <v>36146</v>
      </c>
      <c r="AU5451" t="s">
        <v>37806</v>
      </c>
      <c r="AV5451">
        <v>2524.81</v>
      </c>
      <c r="AW5451" s="184">
        <v>36146</v>
      </c>
      <c r="AX5451" t="s">
        <v>37806</v>
      </c>
      <c r="AY5451">
        <v>2524.81</v>
      </c>
      <c r="AZ5451" s="184">
        <v>36146</v>
      </c>
      <c r="BA5451" t="s">
        <v>37806</v>
      </c>
      <c r="BB5451">
        <v>2524.81</v>
      </c>
      <c r="BC5451">
        <v>4</v>
      </c>
      <c r="BD5451">
        <v>2524.81</v>
      </c>
      <c r="BE5451">
        <v>1999</v>
      </c>
      <c r="BF5451">
        <v>1</v>
      </c>
      <c r="BI5451">
        <v>1</v>
      </c>
      <c r="BJ5451">
        <v>27</v>
      </c>
      <c r="BK5451">
        <v>1</v>
      </c>
      <c r="BO5451" t="s">
        <v>595</v>
      </c>
      <c r="BP5451" s="184"/>
    </row>
    <row r="5452" spans="1:68">
      <c r="A5452">
        <v>100005906</v>
      </c>
      <c r="B5452">
        <v>100005906</v>
      </c>
      <c r="C5452" t="s">
        <v>7018</v>
      </c>
      <c r="E5452" s="184"/>
      <c r="I5452" s="184"/>
      <c r="J5452" t="s">
        <v>595</v>
      </c>
      <c r="K5452" s="184">
        <v>36928</v>
      </c>
      <c r="O5452" s="184"/>
      <c r="Q5452" t="s">
        <v>7374</v>
      </c>
      <c r="R5452" s="184"/>
      <c r="V5452" t="s">
        <v>3220</v>
      </c>
      <c r="W5452" t="s">
        <v>3332</v>
      </c>
      <c r="X5452" t="s">
        <v>5586</v>
      </c>
      <c r="AF5452" t="s">
        <v>38291</v>
      </c>
      <c r="AG5452" t="s">
        <v>3220</v>
      </c>
      <c r="AI5452" t="s">
        <v>38292</v>
      </c>
      <c r="AM5452" t="s">
        <v>2797</v>
      </c>
      <c r="AN5452" t="s">
        <v>2081</v>
      </c>
      <c r="AO5452" t="s">
        <v>38293</v>
      </c>
      <c r="AP5452" t="s">
        <v>7024</v>
      </c>
      <c r="AT5452" s="184">
        <v>35471</v>
      </c>
      <c r="AU5452" t="s">
        <v>18602</v>
      </c>
      <c r="AV5452">
        <v>5</v>
      </c>
      <c r="AW5452" s="184">
        <v>36928</v>
      </c>
      <c r="AX5452" t="s">
        <v>37877</v>
      </c>
      <c r="AY5452">
        <v>2500</v>
      </c>
      <c r="AZ5452" s="184">
        <v>36928</v>
      </c>
      <c r="BA5452" t="s">
        <v>37877</v>
      </c>
      <c r="BB5452">
        <v>2500</v>
      </c>
      <c r="BC5452">
        <v>11</v>
      </c>
      <c r="BD5452">
        <v>2523</v>
      </c>
      <c r="BE5452">
        <v>1997</v>
      </c>
      <c r="BF5452">
        <v>4</v>
      </c>
      <c r="BI5452">
        <v>3</v>
      </c>
      <c r="BJ5452">
        <v>28</v>
      </c>
      <c r="BK5452">
        <v>1</v>
      </c>
      <c r="BO5452" t="s">
        <v>595</v>
      </c>
      <c r="BP5452" s="184"/>
    </row>
    <row r="5453" spans="1:68">
      <c r="A5453">
        <v>100005950</v>
      </c>
      <c r="B5453">
        <v>100005950</v>
      </c>
      <c r="C5453" t="s">
        <v>7018</v>
      </c>
      <c r="E5453" s="184"/>
      <c r="I5453" s="184"/>
      <c r="J5453" t="s">
        <v>595</v>
      </c>
      <c r="K5453" s="184">
        <v>30981</v>
      </c>
      <c r="M5453" s="184"/>
      <c r="O5453" s="184"/>
      <c r="Q5453" t="s">
        <v>7454</v>
      </c>
      <c r="R5453" s="184"/>
      <c r="V5453" t="s">
        <v>2511</v>
      </c>
      <c r="W5453" t="s">
        <v>7407</v>
      </c>
      <c r="X5453" t="s">
        <v>38294</v>
      </c>
      <c r="AF5453" t="s">
        <v>6443</v>
      </c>
      <c r="AG5453" t="s">
        <v>2511</v>
      </c>
      <c r="AI5453" t="s">
        <v>31369</v>
      </c>
      <c r="AK5453" t="s">
        <v>38295</v>
      </c>
      <c r="AM5453" t="s">
        <v>4126</v>
      </c>
      <c r="AN5453" t="s">
        <v>2299</v>
      </c>
      <c r="AO5453" t="s">
        <v>38296</v>
      </c>
      <c r="AP5453" t="s">
        <v>7024</v>
      </c>
      <c r="AT5453" s="184">
        <v>30981</v>
      </c>
      <c r="AU5453" t="s">
        <v>37798</v>
      </c>
      <c r="AV5453">
        <v>1000</v>
      </c>
      <c r="AW5453" s="184">
        <v>30981</v>
      </c>
      <c r="AX5453" t="s">
        <v>37798</v>
      </c>
      <c r="AY5453">
        <v>1000</v>
      </c>
      <c r="AZ5453" s="184">
        <v>30981</v>
      </c>
      <c r="BA5453" t="s">
        <v>37798</v>
      </c>
      <c r="BB5453">
        <v>1000</v>
      </c>
      <c r="BC5453">
        <v>3</v>
      </c>
      <c r="BD5453">
        <v>1000</v>
      </c>
      <c r="BE5453">
        <v>1985</v>
      </c>
      <c r="BF5453">
        <v>1</v>
      </c>
      <c r="BI5453">
        <v>1</v>
      </c>
      <c r="BJ5453">
        <v>41</v>
      </c>
      <c r="BK5453">
        <v>1</v>
      </c>
      <c r="BO5453" t="s">
        <v>595</v>
      </c>
      <c r="BP5453" s="184"/>
    </row>
    <row r="5454" spans="1:68">
      <c r="A5454">
        <v>100005951</v>
      </c>
      <c r="B5454">
        <v>100005951</v>
      </c>
      <c r="C5454" t="s">
        <v>7018</v>
      </c>
      <c r="E5454" s="184"/>
      <c r="G5454" s="184"/>
      <c r="I5454" s="184"/>
      <c r="J5454" t="s">
        <v>595</v>
      </c>
      <c r="K5454" s="184">
        <v>36389</v>
      </c>
      <c r="M5454" s="184"/>
      <c r="O5454" s="184"/>
      <c r="Q5454" t="s">
        <v>7020</v>
      </c>
      <c r="R5454" s="184"/>
      <c r="V5454" t="s">
        <v>5520</v>
      </c>
      <c r="X5454" t="s">
        <v>5521</v>
      </c>
      <c r="AF5454" t="s">
        <v>38297</v>
      </c>
      <c r="AG5454" t="s">
        <v>5520</v>
      </c>
      <c r="AI5454" t="s">
        <v>38298</v>
      </c>
      <c r="AK5454" t="s">
        <v>38299</v>
      </c>
      <c r="AM5454" t="s">
        <v>2788</v>
      </c>
      <c r="AN5454" t="s">
        <v>2465</v>
      </c>
      <c r="AO5454" t="s">
        <v>38300</v>
      </c>
      <c r="AP5454" t="s">
        <v>7024</v>
      </c>
      <c r="AT5454" s="184">
        <v>36389</v>
      </c>
      <c r="AU5454" t="s">
        <v>37806</v>
      </c>
      <c r="AV5454">
        <v>50000</v>
      </c>
      <c r="AW5454" s="184">
        <v>36389</v>
      </c>
      <c r="AX5454" t="s">
        <v>37806</v>
      </c>
      <c r="AY5454">
        <v>50000</v>
      </c>
      <c r="AZ5454" s="184">
        <v>36389</v>
      </c>
      <c r="BA5454" t="s">
        <v>37806</v>
      </c>
      <c r="BB5454">
        <v>50000</v>
      </c>
      <c r="BC5454">
        <v>4</v>
      </c>
      <c r="BD5454">
        <v>50000</v>
      </c>
      <c r="BE5454">
        <v>2000</v>
      </c>
      <c r="BF5454">
        <v>1</v>
      </c>
      <c r="BI5454">
        <v>1</v>
      </c>
      <c r="BJ5454">
        <v>26</v>
      </c>
      <c r="BK5454">
        <v>1</v>
      </c>
      <c r="BO5454" t="s">
        <v>595</v>
      </c>
      <c r="BP5454" s="184"/>
    </row>
    <row r="5455" spans="1:68">
      <c r="A5455">
        <v>100005953</v>
      </c>
      <c r="B5455">
        <v>100005953</v>
      </c>
      <c r="C5455" t="s">
        <v>7018</v>
      </c>
      <c r="E5455" s="184"/>
      <c r="G5455" s="184"/>
      <c r="I5455" s="184"/>
      <c r="J5455" t="s">
        <v>595</v>
      </c>
      <c r="K5455" s="184">
        <v>38567</v>
      </c>
      <c r="M5455" s="184"/>
      <c r="O5455" s="184"/>
      <c r="Q5455" t="s">
        <v>7160</v>
      </c>
      <c r="R5455" s="184">
        <v>3261</v>
      </c>
      <c r="S5455">
        <v>115</v>
      </c>
      <c r="U5455" t="s">
        <v>15150</v>
      </c>
      <c r="V5455" t="s">
        <v>3516</v>
      </c>
      <c r="W5455" t="s">
        <v>4136</v>
      </c>
      <c r="X5455" t="s">
        <v>2594</v>
      </c>
      <c r="AI5455" t="s">
        <v>38301</v>
      </c>
      <c r="AM5455" t="s">
        <v>38302</v>
      </c>
      <c r="AN5455" t="s">
        <v>2395</v>
      </c>
      <c r="AO5455" t="s">
        <v>38303</v>
      </c>
      <c r="AP5455" t="s">
        <v>7024</v>
      </c>
      <c r="AT5455" s="184">
        <v>35051</v>
      </c>
      <c r="AU5455" t="s">
        <v>38304</v>
      </c>
      <c r="AV5455">
        <v>15</v>
      </c>
      <c r="AW5455" s="184">
        <v>38567</v>
      </c>
      <c r="AX5455" t="s">
        <v>15155</v>
      </c>
      <c r="AY5455">
        <v>512.6</v>
      </c>
      <c r="AZ5455" s="184">
        <v>38567</v>
      </c>
      <c r="BA5455" t="s">
        <v>15155</v>
      </c>
      <c r="BB5455">
        <v>512.6</v>
      </c>
      <c r="BC5455">
        <v>14</v>
      </c>
      <c r="BD5455">
        <v>612.6</v>
      </c>
      <c r="BE5455">
        <v>1996</v>
      </c>
      <c r="BF5455">
        <v>7</v>
      </c>
      <c r="BI5455">
        <v>4</v>
      </c>
      <c r="BJ5455">
        <v>30</v>
      </c>
      <c r="BK5455">
        <v>3</v>
      </c>
      <c r="BO5455" t="s">
        <v>595</v>
      </c>
      <c r="BP5455" s="184"/>
    </row>
    <row r="5456" spans="1:68">
      <c r="A5456">
        <v>100005976</v>
      </c>
      <c r="B5456">
        <v>100005976</v>
      </c>
      <c r="C5456" t="s">
        <v>7018</v>
      </c>
      <c r="E5456" s="184"/>
      <c r="I5456" s="184"/>
      <c r="J5456" t="s">
        <v>595</v>
      </c>
      <c r="K5456" s="184">
        <v>32773</v>
      </c>
      <c r="O5456" s="184"/>
      <c r="Q5456" t="s">
        <v>7020</v>
      </c>
      <c r="R5456" s="184"/>
      <c r="V5456" t="s">
        <v>2541</v>
      </c>
      <c r="W5456" t="s">
        <v>7469</v>
      </c>
      <c r="X5456" t="s">
        <v>38305</v>
      </c>
      <c r="AI5456" t="s">
        <v>15812</v>
      </c>
      <c r="AM5456" t="s">
        <v>38306</v>
      </c>
      <c r="AN5456" t="s">
        <v>2129</v>
      </c>
      <c r="AO5456" t="s">
        <v>38307</v>
      </c>
      <c r="AP5456" t="s">
        <v>7024</v>
      </c>
      <c r="AT5456" s="184">
        <v>30603</v>
      </c>
      <c r="AU5456" t="s">
        <v>7586</v>
      </c>
      <c r="AV5456">
        <v>25</v>
      </c>
      <c r="AW5456" s="184">
        <v>32773</v>
      </c>
      <c r="AX5456" t="s">
        <v>37798</v>
      </c>
      <c r="AY5456">
        <v>59204.47</v>
      </c>
      <c r="AZ5456" s="184">
        <v>32773</v>
      </c>
      <c r="BA5456" t="s">
        <v>37798</v>
      </c>
      <c r="BB5456">
        <v>59204.47</v>
      </c>
      <c r="BC5456">
        <v>12</v>
      </c>
      <c r="BD5456">
        <v>59804.47</v>
      </c>
      <c r="BE5456">
        <v>1984</v>
      </c>
      <c r="BF5456">
        <v>9</v>
      </c>
      <c r="BI5456">
        <v>5</v>
      </c>
      <c r="BJ5456">
        <v>42</v>
      </c>
      <c r="BK5456">
        <v>4</v>
      </c>
      <c r="BO5456" t="s">
        <v>595</v>
      </c>
      <c r="BP5456" s="184"/>
    </row>
    <row r="5457" spans="1:68">
      <c r="A5457">
        <v>100005979</v>
      </c>
      <c r="B5457">
        <v>100005979</v>
      </c>
      <c r="C5457" t="s">
        <v>7018</v>
      </c>
      <c r="E5457" s="184"/>
      <c r="G5457" s="184"/>
      <c r="I5457" s="184"/>
      <c r="J5457" t="s">
        <v>595</v>
      </c>
      <c r="K5457" s="184">
        <v>37235</v>
      </c>
      <c r="O5457" s="184"/>
      <c r="P5457" t="s">
        <v>7045</v>
      </c>
      <c r="Q5457" t="s">
        <v>7374</v>
      </c>
      <c r="R5457" s="184">
        <v>4810</v>
      </c>
      <c r="S5457">
        <v>111</v>
      </c>
      <c r="V5457" t="s">
        <v>8754</v>
      </c>
      <c r="W5457" t="s">
        <v>7268</v>
      </c>
      <c r="X5457" t="s">
        <v>38308</v>
      </c>
      <c r="AI5457" t="s">
        <v>38309</v>
      </c>
      <c r="AM5457" t="s">
        <v>27951</v>
      </c>
      <c r="AN5457" t="s">
        <v>2081</v>
      </c>
      <c r="AO5457" t="s">
        <v>38310</v>
      </c>
      <c r="AP5457" t="s">
        <v>7024</v>
      </c>
      <c r="AT5457" s="184">
        <v>34198</v>
      </c>
      <c r="AU5457" t="s">
        <v>38311</v>
      </c>
      <c r="AV5457">
        <v>15</v>
      </c>
      <c r="AW5457" s="184">
        <v>45152</v>
      </c>
      <c r="AX5457" t="s">
        <v>38312</v>
      </c>
      <c r="AY5457">
        <v>50</v>
      </c>
      <c r="AZ5457" s="184">
        <v>36579</v>
      </c>
      <c r="BA5457" t="s">
        <v>37823</v>
      </c>
      <c r="BB5457">
        <v>27600</v>
      </c>
      <c r="BC5457">
        <v>16</v>
      </c>
      <c r="BD5457">
        <v>29100</v>
      </c>
      <c r="BE5457">
        <v>1994</v>
      </c>
      <c r="BF5457">
        <v>6</v>
      </c>
      <c r="BG5457">
        <v>1</v>
      </c>
      <c r="BH5457">
        <v>50</v>
      </c>
      <c r="BI5457">
        <v>5</v>
      </c>
      <c r="BJ5457">
        <v>32</v>
      </c>
      <c r="BK5457">
        <v>2</v>
      </c>
      <c r="BO5457" t="s">
        <v>595</v>
      </c>
      <c r="BP5457" s="184"/>
    </row>
    <row r="5458" spans="1:68">
      <c r="A5458">
        <v>100005983</v>
      </c>
      <c r="B5458">
        <v>100005983</v>
      </c>
      <c r="C5458" t="s">
        <v>7018</v>
      </c>
      <c r="E5458" s="184"/>
      <c r="G5458" s="184"/>
      <c r="I5458" s="184"/>
      <c r="J5458" t="s">
        <v>595</v>
      </c>
      <c r="K5458" s="184">
        <v>36482</v>
      </c>
      <c r="M5458" s="184"/>
      <c r="O5458" s="184"/>
      <c r="Q5458" t="s">
        <v>7020</v>
      </c>
      <c r="R5458" s="184"/>
      <c r="V5458" t="s">
        <v>38006</v>
      </c>
      <c r="X5458" t="s">
        <v>38313</v>
      </c>
      <c r="AF5458" t="s">
        <v>38314</v>
      </c>
      <c r="AG5458" t="s">
        <v>38006</v>
      </c>
      <c r="AI5458" t="s">
        <v>38315</v>
      </c>
      <c r="AM5458" t="s">
        <v>4622</v>
      </c>
      <c r="AN5458" t="s">
        <v>2112</v>
      </c>
      <c r="AO5458" t="s">
        <v>38316</v>
      </c>
      <c r="AP5458" t="s">
        <v>7024</v>
      </c>
      <c r="AT5458" s="184">
        <v>30511</v>
      </c>
      <c r="AU5458" t="s">
        <v>7119</v>
      </c>
      <c r="AV5458">
        <v>25</v>
      </c>
      <c r="AW5458" s="184">
        <v>36482</v>
      </c>
      <c r="AX5458" t="s">
        <v>37823</v>
      </c>
      <c r="AY5458">
        <v>506.74</v>
      </c>
      <c r="AZ5458" s="184">
        <v>36111</v>
      </c>
      <c r="BA5458" t="s">
        <v>37806</v>
      </c>
      <c r="BB5458">
        <v>9853.2199999999993</v>
      </c>
      <c r="BC5458">
        <v>34</v>
      </c>
      <c r="BD5458">
        <v>10828.96</v>
      </c>
      <c r="BE5458">
        <v>1984</v>
      </c>
      <c r="BF5458">
        <v>17</v>
      </c>
      <c r="BI5458">
        <v>14</v>
      </c>
      <c r="BJ5458">
        <v>42</v>
      </c>
      <c r="BK5458">
        <v>11</v>
      </c>
      <c r="BO5458" t="s">
        <v>595</v>
      </c>
      <c r="BP5458" s="184"/>
    </row>
    <row r="5459" spans="1:68">
      <c r="A5459">
        <v>100005992</v>
      </c>
      <c r="B5459">
        <v>100005992</v>
      </c>
      <c r="C5459" t="s">
        <v>7018</v>
      </c>
      <c r="E5459" s="184"/>
      <c r="G5459" s="184"/>
      <c r="I5459" s="184"/>
      <c r="J5459" t="s">
        <v>595</v>
      </c>
      <c r="K5459" s="184">
        <v>31713</v>
      </c>
      <c r="M5459" s="184"/>
      <c r="O5459" s="184"/>
      <c r="Q5459" t="s">
        <v>7262</v>
      </c>
      <c r="R5459" s="184"/>
      <c r="V5459" t="s">
        <v>3470</v>
      </c>
      <c r="W5459" t="s">
        <v>7560</v>
      </c>
      <c r="X5459" t="s">
        <v>32602</v>
      </c>
      <c r="AF5459" t="s">
        <v>6268</v>
      </c>
      <c r="AG5459" t="s">
        <v>3470</v>
      </c>
      <c r="AI5459" t="s">
        <v>38317</v>
      </c>
      <c r="AK5459" t="s">
        <v>38318</v>
      </c>
      <c r="AM5459" t="s">
        <v>2679</v>
      </c>
      <c r="AN5459" t="s">
        <v>2318</v>
      </c>
      <c r="AO5459" t="s">
        <v>38319</v>
      </c>
      <c r="AP5459" t="s">
        <v>7024</v>
      </c>
      <c r="AT5459" s="184">
        <v>31713</v>
      </c>
      <c r="AU5459" t="s">
        <v>37798</v>
      </c>
      <c r="AV5459">
        <v>2000</v>
      </c>
      <c r="AW5459" s="184">
        <v>31713</v>
      </c>
      <c r="AX5459" t="s">
        <v>37798</v>
      </c>
      <c r="AY5459">
        <v>2000</v>
      </c>
      <c r="AZ5459" s="184">
        <v>31713</v>
      </c>
      <c r="BA5459" t="s">
        <v>37798</v>
      </c>
      <c r="BB5459">
        <v>2000</v>
      </c>
      <c r="BC5459">
        <v>3</v>
      </c>
      <c r="BD5459">
        <v>2000</v>
      </c>
      <c r="BE5459">
        <v>1987</v>
      </c>
      <c r="BF5459">
        <v>1</v>
      </c>
      <c r="BI5459">
        <v>1</v>
      </c>
      <c r="BJ5459">
        <v>39</v>
      </c>
      <c r="BK5459">
        <v>1</v>
      </c>
      <c r="BO5459" t="s">
        <v>595</v>
      </c>
      <c r="BP5459" s="184"/>
    </row>
    <row r="5460" spans="1:68">
      <c r="A5460">
        <v>100006003</v>
      </c>
      <c r="B5460">
        <v>100006003</v>
      </c>
      <c r="C5460" t="s">
        <v>7018</v>
      </c>
      <c r="E5460" s="184"/>
      <c r="I5460" s="184"/>
      <c r="J5460" t="s">
        <v>595</v>
      </c>
      <c r="K5460" s="184">
        <v>42611</v>
      </c>
      <c r="M5460" s="184"/>
      <c r="O5460" s="184"/>
      <c r="Q5460" t="s">
        <v>7383</v>
      </c>
      <c r="R5460" s="184">
        <v>18064</v>
      </c>
      <c r="S5460">
        <v>74</v>
      </c>
      <c r="V5460" t="s">
        <v>3235</v>
      </c>
      <c r="W5460" t="s">
        <v>3830</v>
      </c>
      <c r="X5460" t="s">
        <v>38320</v>
      </c>
      <c r="AF5460" t="s">
        <v>38321</v>
      </c>
      <c r="AG5460" t="s">
        <v>3235</v>
      </c>
      <c r="AI5460" t="s">
        <v>38322</v>
      </c>
      <c r="AM5460" t="s">
        <v>31033</v>
      </c>
      <c r="AN5460" t="s">
        <v>2064</v>
      </c>
      <c r="AO5460" t="s">
        <v>38323</v>
      </c>
      <c r="AP5460" t="s">
        <v>7024</v>
      </c>
      <c r="AQ5460" t="s">
        <v>38324</v>
      </c>
      <c r="AT5460" s="184">
        <v>32993</v>
      </c>
      <c r="AU5460" t="s">
        <v>10192</v>
      </c>
      <c r="AV5460">
        <v>15</v>
      </c>
      <c r="AW5460" s="184">
        <v>42611</v>
      </c>
      <c r="AX5460" t="s">
        <v>19550</v>
      </c>
      <c r="AY5460">
        <v>10000</v>
      </c>
      <c r="AZ5460" s="184">
        <v>42611</v>
      </c>
      <c r="BA5460" t="s">
        <v>19550</v>
      </c>
      <c r="BB5460">
        <v>10000</v>
      </c>
      <c r="BC5460">
        <v>40</v>
      </c>
      <c r="BD5460">
        <v>10430</v>
      </c>
      <c r="BE5460">
        <v>1990</v>
      </c>
      <c r="BF5460">
        <v>16</v>
      </c>
      <c r="BI5460">
        <v>14</v>
      </c>
      <c r="BJ5460">
        <v>35</v>
      </c>
      <c r="BK5460">
        <v>4</v>
      </c>
      <c r="BO5460" t="s">
        <v>595</v>
      </c>
      <c r="BP5460" s="184">
        <v>42183</v>
      </c>
    </row>
    <row r="5461" spans="1:68">
      <c r="A5461">
        <v>100006019</v>
      </c>
      <c r="B5461">
        <v>100006019</v>
      </c>
      <c r="C5461" t="s">
        <v>7018</v>
      </c>
      <c r="E5461" s="184"/>
      <c r="G5461" s="184"/>
      <c r="I5461" s="184"/>
      <c r="J5461" t="s">
        <v>595</v>
      </c>
      <c r="K5461" s="184">
        <v>37684</v>
      </c>
      <c r="M5461" s="184"/>
      <c r="O5461" s="184"/>
      <c r="Q5461" t="s">
        <v>7262</v>
      </c>
      <c r="R5461" s="184">
        <v>4880</v>
      </c>
      <c r="S5461">
        <v>111</v>
      </c>
      <c r="U5461" t="s">
        <v>7076</v>
      </c>
      <c r="V5461" t="s">
        <v>2593</v>
      </c>
      <c r="W5461" t="s">
        <v>7396</v>
      </c>
      <c r="X5461" t="s">
        <v>5816</v>
      </c>
      <c r="AF5461" t="s">
        <v>6177</v>
      </c>
      <c r="AG5461" t="s">
        <v>2593</v>
      </c>
      <c r="AI5461" t="s">
        <v>38325</v>
      </c>
      <c r="AM5461" t="s">
        <v>2679</v>
      </c>
      <c r="AN5461" t="s">
        <v>2318</v>
      </c>
      <c r="AO5461" t="s">
        <v>38326</v>
      </c>
      <c r="AP5461" t="s">
        <v>7024</v>
      </c>
      <c r="AT5461" s="184">
        <v>30845</v>
      </c>
      <c r="AU5461" t="s">
        <v>38327</v>
      </c>
      <c r="AV5461">
        <v>18</v>
      </c>
      <c r="AW5461" s="184">
        <v>37684</v>
      </c>
      <c r="AX5461" t="s">
        <v>37822</v>
      </c>
      <c r="AY5461">
        <v>2500</v>
      </c>
      <c r="AZ5461" s="184">
        <v>37684</v>
      </c>
      <c r="BA5461" t="s">
        <v>37822</v>
      </c>
      <c r="BB5461">
        <v>2500</v>
      </c>
      <c r="BC5461">
        <v>44</v>
      </c>
      <c r="BD5461">
        <v>3135.5</v>
      </c>
      <c r="BE5461">
        <v>1984</v>
      </c>
      <c r="BF5461">
        <v>25</v>
      </c>
      <c r="BI5461">
        <v>18</v>
      </c>
      <c r="BJ5461">
        <v>41</v>
      </c>
      <c r="BK5461">
        <v>9</v>
      </c>
      <c r="BO5461" t="s">
        <v>595</v>
      </c>
      <c r="BP5461" s="184"/>
    </row>
    <row r="5462" spans="1:68">
      <c r="A5462">
        <v>100006037</v>
      </c>
      <c r="B5462">
        <v>100006037</v>
      </c>
      <c r="C5462" t="s">
        <v>7018</v>
      </c>
      <c r="E5462" s="184"/>
      <c r="G5462" s="184"/>
      <c r="I5462" s="184"/>
      <c r="J5462" t="s">
        <v>595</v>
      </c>
      <c r="K5462" s="184">
        <v>42551</v>
      </c>
      <c r="M5462" s="184"/>
      <c r="O5462" s="184"/>
      <c r="Q5462" t="s">
        <v>7262</v>
      </c>
      <c r="R5462" s="184">
        <v>10649</v>
      </c>
      <c r="S5462">
        <v>95</v>
      </c>
      <c r="U5462" t="s">
        <v>7031</v>
      </c>
      <c r="V5462" t="s">
        <v>205</v>
      </c>
      <c r="W5462" t="s">
        <v>7046</v>
      </c>
      <c r="X5462" t="s">
        <v>2706</v>
      </c>
      <c r="Y5462" t="s">
        <v>18166</v>
      </c>
      <c r="AF5462" t="s">
        <v>38328</v>
      </c>
      <c r="AG5462" t="s">
        <v>38328</v>
      </c>
      <c r="AI5462" t="s">
        <v>38329</v>
      </c>
      <c r="AM5462" t="s">
        <v>5372</v>
      </c>
      <c r="AN5462" t="s">
        <v>2106</v>
      </c>
      <c r="AO5462" t="s">
        <v>38330</v>
      </c>
      <c r="AP5462" t="s">
        <v>7024</v>
      </c>
      <c r="AQ5462" t="s">
        <v>38331</v>
      </c>
      <c r="AT5462" s="184">
        <v>30704</v>
      </c>
      <c r="AU5462" t="s">
        <v>7073</v>
      </c>
      <c r="AV5462">
        <v>25</v>
      </c>
      <c r="AW5462" s="184">
        <v>42551</v>
      </c>
      <c r="AX5462" t="s">
        <v>11622</v>
      </c>
      <c r="AY5462">
        <v>3217.59</v>
      </c>
      <c r="AZ5462" s="184">
        <v>41911</v>
      </c>
      <c r="BA5462" t="s">
        <v>14228</v>
      </c>
      <c r="BB5462">
        <v>108524.12</v>
      </c>
      <c r="BC5462">
        <v>54</v>
      </c>
      <c r="BD5462">
        <v>214637.05</v>
      </c>
      <c r="BE5462">
        <v>1984</v>
      </c>
      <c r="BF5462">
        <v>27</v>
      </c>
      <c r="BI5462">
        <v>22</v>
      </c>
      <c r="BJ5462">
        <v>41</v>
      </c>
      <c r="BK5462">
        <v>10</v>
      </c>
      <c r="BN5462" t="s">
        <v>595</v>
      </c>
      <c r="BO5462" t="s">
        <v>595</v>
      </c>
      <c r="BP5462" s="184">
        <v>41751</v>
      </c>
    </row>
    <row r="5463" spans="1:68">
      <c r="A5463">
        <v>100006040</v>
      </c>
      <c r="B5463">
        <v>100006040</v>
      </c>
      <c r="C5463" t="s">
        <v>7018</v>
      </c>
      <c r="E5463" s="184"/>
      <c r="G5463" s="184"/>
      <c r="I5463" s="184"/>
      <c r="J5463" t="s">
        <v>595</v>
      </c>
      <c r="K5463" s="184">
        <v>36053</v>
      </c>
      <c r="M5463" s="184"/>
      <c r="O5463" s="184"/>
      <c r="Q5463" t="s">
        <v>7454</v>
      </c>
      <c r="R5463" s="184"/>
      <c r="V5463" t="s">
        <v>38332</v>
      </c>
      <c r="X5463" t="s">
        <v>38333</v>
      </c>
      <c r="AI5463" t="s">
        <v>38334</v>
      </c>
      <c r="AM5463" t="s">
        <v>3750</v>
      </c>
      <c r="AN5463" t="s">
        <v>2055</v>
      </c>
      <c r="AO5463" t="s">
        <v>38335</v>
      </c>
      <c r="AP5463" t="s">
        <v>7024</v>
      </c>
      <c r="AT5463" s="184">
        <v>33134</v>
      </c>
      <c r="AU5463" t="s">
        <v>38336</v>
      </c>
      <c r="AV5463">
        <v>25</v>
      </c>
      <c r="AW5463" s="184">
        <v>36053</v>
      </c>
      <c r="AX5463" t="s">
        <v>37806</v>
      </c>
      <c r="AY5463">
        <v>121.39</v>
      </c>
      <c r="AZ5463" s="184">
        <v>35415</v>
      </c>
      <c r="BA5463" t="s">
        <v>37834</v>
      </c>
      <c r="BB5463">
        <v>34000</v>
      </c>
      <c r="BC5463">
        <v>20</v>
      </c>
      <c r="BD5463">
        <v>51106.39</v>
      </c>
      <c r="BE5463">
        <v>1991</v>
      </c>
      <c r="BF5463">
        <v>13</v>
      </c>
      <c r="BI5463">
        <v>7</v>
      </c>
      <c r="BJ5463">
        <v>35</v>
      </c>
      <c r="BK5463">
        <v>4</v>
      </c>
      <c r="BO5463" t="s">
        <v>595</v>
      </c>
      <c r="BP5463" s="184"/>
    </row>
    <row r="5464" spans="1:68">
      <c r="A5464">
        <v>100006052</v>
      </c>
      <c r="B5464">
        <v>100006052</v>
      </c>
      <c r="C5464" t="s">
        <v>7018</v>
      </c>
      <c r="E5464" s="184"/>
      <c r="I5464" s="184"/>
      <c r="J5464" t="s">
        <v>595</v>
      </c>
      <c r="K5464" s="184">
        <v>31009</v>
      </c>
      <c r="M5464" s="184"/>
      <c r="O5464" s="184"/>
      <c r="Q5464" t="s">
        <v>7020</v>
      </c>
      <c r="R5464" s="184"/>
      <c r="V5464" t="s">
        <v>3745</v>
      </c>
      <c r="W5464" t="s">
        <v>7407</v>
      </c>
      <c r="X5464" t="s">
        <v>3318</v>
      </c>
      <c r="AI5464" t="s">
        <v>38337</v>
      </c>
      <c r="AK5464" t="s">
        <v>38338</v>
      </c>
      <c r="AM5464" t="s">
        <v>38339</v>
      </c>
      <c r="AN5464" t="s">
        <v>2112</v>
      </c>
      <c r="AO5464" t="s">
        <v>38340</v>
      </c>
      <c r="AP5464" t="s">
        <v>7024</v>
      </c>
      <c r="AT5464" s="184">
        <v>31009</v>
      </c>
      <c r="AU5464" t="s">
        <v>37798</v>
      </c>
      <c r="AV5464">
        <v>12897.37</v>
      </c>
      <c r="AW5464" s="184">
        <v>31009</v>
      </c>
      <c r="AX5464" t="s">
        <v>37798</v>
      </c>
      <c r="AY5464">
        <v>12897.37</v>
      </c>
      <c r="AZ5464" s="184">
        <v>31009</v>
      </c>
      <c r="BA5464" t="s">
        <v>37798</v>
      </c>
      <c r="BB5464">
        <v>12897.37</v>
      </c>
      <c r="BC5464">
        <v>3</v>
      </c>
      <c r="BD5464">
        <v>12897.37</v>
      </c>
      <c r="BE5464">
        <v>1985</v>
      </c>
      <c r="BF5464">
        <v>1</v>
      </c>
      <c r="BI5464">
        <v>1</v>
      </c>
      <c r="BJ5464">
        <v>41</v>
      </c>
      <c r="BK5464">
        <v>1</v>
      </c>
      <c r="BO5464" t="s">
        <v>595</v>
      </c>
      <c r="BP5464" s="184"/>
    </row>
    <row r="5465" spans="1:68">
      <c r="A5465">
        <v>100006073</v>
      </c>
      <c r="B5465">
        <v>100006073</v>
      </c>
      <c r="C5465" t="s">
        <v>7018</v>
      </c>
      <c r="E5465" s="184"/>
      <c r="G5465" s="184"/>
      <c r="I5465" s="184"/>
      <c r="J5465" t="s">
        <v>595</v>
      </c>
      <c r="K5465" s="184">
        <v>42657</v>
      </c>
      <c r="M5465" s="184"/>
      <c r="O5465" s="184"/>
      <c r="Q5465" t="s">
        <v>7374</v>
      </c>
      <c r="R5465" s="184">
        <v>15744</v>
      </c>
      <c r="S5465">
        <v>81</v>
      </c>
      <c r="U5465" t="s">
        <v>7076</v>
      </c>
      <c r="V5465" t="s">
        <v>2742</v>
      </c>
      <c r="W5465" t="s">
        <v>4139</v>
      </c>
      <c r="X5465" t="s">
        <v>3852</v>
      </c>
      <c r="AF5465" t="s">
        <v>5990</v>
      </c>
      <c r="AG5465" t="s">
        <v>5990</v>
      </c>
      <c r="AI5465" t="s">
        <v>38341</v>
      </c>
      <c r="AM5465" t="s">
        <v>38239</v>
      </c>
      <c r="AN5465" t="s">
        <v>2081</v>
      </c>
      <c r="AO5465">
        <v>93386</v>
      </c>
      <c r="AP5465" t="s">
        <v>7024</v>
      </c>
      <c r="AQ5465" t="s">
        <v>38342</v>
      </c>
      <c r="AT5465" s="184">
        <v>41603</v>
      </c>
      <c r="AU5465" t="s">
        <v>38343</v>
      </c>
      <c r="AV5465">
        <v>40</v>
      </c>
      <c r="AW5465" s="184">
        <v>43333</v>
      </c>
      <c r="AX5465" t="s">
        <v>7348</v>
      </c>
      <c r="AY5465">
        <v>265.39</v>
      </c>
      <c r="AZ5465" s="184">
        <v>42657</v>
      </c>
      <c r="BA5465" t="s">
        <v>19550</v>
      </c>
      <c r="BB5465">
        <v>9783.51</v>
      </c>
      <c r="BC5465">
        <v>34</v>
      </c>
      <c r="BD5465">
        <v>10128.9</v>
      </c>
      <c r="BE5465">
        <v>2014</v>
      </c>
      <c r="BF5465">
        <v>4</v>
      </c>
      <c r="BI5465">
        <v>4</v>
      </c>
      <c r="BJ5465">
        <v>12</v>
      </c>
      <c r="BK5465">
        <v>2</v>
      </c>
      <c r="BN5465" t="s">
        <v>595</v>
      </c>
      <c r="BO5465" t="s">
        <v>595</v>
      </c>
      <c r="BP5465" s="184">
        <v>42106</v>
      </c>
    </row>
    <row r="5466" spans="1:68">
      <c r="A5466">
        <v>100006094</v>
      </c>
      <c r="B5466">
        <v>100006094</v>
      </c>
      <c r="C5466" t="s">
        <v>7018</v>
      </c>
      <c r="E5466" s="184"/>
      <c r="I5466" s="184"/>
      <c r="J5466" t="s">
        <v>595</v>
      </c>
      <c r="K5466" s="184">
        <v>31387</v>
      </c>
      <c r="M5466" s="184"/>
      <c r="O5466" s="184"/>
      <c r="Q5466" t="s">
        <v>7383</v>
      </c>
      <c r="R5466" s="184"/>
      <c r="V5466" t="s">
        <v>10813</v>
      </c>
      <c r="W5466" t="s">
        <v>205</v>
      </c>
      <c r="X5466" t="s">
        <v>38344</v>
      </c>
      <c r="AI5466" t="s">
        <v>38345</v>
      </c>
      <c r="AK5466" t="s">
        <v>38346</v>
      </c>
      <c r="AM5466" t="s">
        <v>18257</v>
      </c>
      <c r="AN5466" t="s">
        <v>2144</v>
      </c>
      <c r="AO5466" t="s">
        <v>38347</v>
      </c>
      <c r="AP5466" t="s">
        <v>7024</v>
      </c>
      <c r="AT5466" s="184">
        <v>31387</v>
      </c>
      <c r="AU5466" t="s">
        <v>37798</v>
      </c>
      <c r="AV5466">
        <v>11897.27</v>
      </c>
      <c r="AW5466" s="184">
        <v>31387</v>
      </c>
      <c r="AX5466" t="s">
        <v>37798</v>
      </c>
      <c r="AY5466">
        <v>11897.27</v>
      </c>
      <c r="AZ5466" s="184">
        <v>31387</v>
      </c>
      <c r="BA5466" t="s">
        <v>37798</v>
      </c>
      <c r="BB5466">
        <v>11897.27</v>
      </c>
      <c r="BC5466">
        <v>3</v>
      </c>
      <c r="BD5466">
        <v>11897.27</v>
      </c>
      <c r="BE5466">
        <v>1986</v>
      </c>
      <c r="BF5466">
        <v>1</v>
      </c>
      <c r="BI5466">
        <v>1</v>
      </c>
      <c r="BJ5466">
        <v>40</v>
      </c>
      <c r="BK5466">
        <v>1</v>
      </c>
      <c r="BO5466" t="s">
        <v>595</v>
      </c>
      <c r="BP5466" s="184"/>
    </row>
    <row r="5467" spans="1:68">
      <c r="A5467">
        <v>100006098</v>
      </c>
      <c r="B5467">
        <v>100006098</v>
      </c>
      <c r="C5467" t="s">
        <v>7018</v>
      </c>
      <c r="E5467" s="184"/>
      <c r="G5467" s="184"/>
      <c r="I5467" s="184"/>
      <c r="J5467" t="s">
        <v>595</v>
      </c>
      <c r="K5467" s="184">
        <v>37768</v>
      </c>
      <c r="M5467" s="184"/>
      <c r="O5467" s="184"/>
      <c r="Q5467" t="s">
        <v>7374</v>
      </c>
      <c r="R5467" s="184">
        <v>6576</v>
      </c>
      <c r="S5467">
        <v>106</v>
      </c>
      <c r="V5467" t="s">
        <v>38348</v>
      </c>
      <c r="W5467" t="s">
        <v>7356</v>
      </c>
      <c r="X5467" t="s">
        <v>32050</v>
      </c>
      <c r="AI5467" t="s">
        <v>38349</v>
      </c>
      <c r="AM5467" t="s">
        <v>38350</v>
      </c>
      <c r="AN5467" t="s">
        <v>2081</v>
      </c>
      <c r="AO5467" t="s">
        <v>38351</v>
      </c>
      <c r="AP5467" t="s">
        <v>7024</v>
      </c>
      <c r="AT5467" s="184">
        <v>34295</v>
      </c>
      <c r="AU5467" t="s">
        <v>38352</v>
      </c>
      <c r="AV5467">
        <v>15</v>
      </c>
      <c r="AW5467" s="184">
        <v>37768</v>
      </c>
      <c r="AX5467" t="s">
        <v>38047</v>
      </c>
      <c r="AY5467">
        <v>1000</v>
      </c>
      <c r="AZ5467" s="184">
        <v>37768</v>
      </c>
      <c r="BA5467" t="s">
        <v>38047</v>
      </c>
      <c r="BB5467">
        <v>1000</v>
      </c>
      <c r="BC5467">
        <v>13</v>
      </c>
      <c r="BD5467">
        <v>1045</v>
      </c>
      <c r="BE5467">
        <v>1994</v>
      </c>
      <c r="BF5467">
        <v>4</v>
      </c>
      <c r="BI5467">
        <v>4</v>
      </c>
      <c r="BJ5467">
        <v>32</v>
      </c>
      <c r="BK5467">
        <v>1</v>
      </c>
      <c r="BO5467" t="s">
        <v>595</v>
      </c>
      <c r="BP5467" s="184">
        <v>37268</v>
      </c>
    </row>
    <row r="5468" spans="1:68">
      <c r="A5468">
        <v>100006121</v>
      </c>
      <c r="B5468">
        <v>100006121</v>
      </c>
      <c r="C5468" t="s">
        <v>7018</v>
      </c>
      <c r="E5468" s="184"/>
      <c r="I5468" s="184"/>
      <c r="J5468" t="s">
        <v>595</v>
      </c>
      <c r="K5468" s="184">
        <v>35305</v>
      </c>
      <c r="M5468" s="184"/>
      <c r="O5468" s="184"/>
      <c r="Q5468" t="s">
        <v>7020</v>
      </c>
      <c r="R5468" s="184"/>
      <c r="V5468" t="s">
        <v>3431</v>
      </c>
      <c r="X5468" t="s">
        <v>5419</v>
      </c>
      <c r="AF5468" t="s">
        <v>38353</v>
      </c>
      <c r="AG5468" t="s">
        <v>3431</v>
      </c>
      <c r="AI5468" t="s">
        <v>38354</v>
      </c>
      <c r="AK5468" t="s">
        <v>38355</v>
      </c>
      <c r="AM5468" t="s">
        <v>5420</v>
      </c>
      <c r="AN5468" t="s">
        <v>2129</v>
      </c>
      <c r="AO5468" t="s">
        <v>38356</v>
      </c>
      <c r="AP5468" t="s">
        <v>7024</v>
      </c>
      <c r="AT5468" s="184">
        <v>30596</v>
      </c>
      <c r="AU5468" t="s">
        <v>7586</v>
      </c>
      <c r="AV5468">
        <v>40</v>
      </c>
      <c r="AW5468" s="184">
        <v>35305</v>
      </c>
      <c r="AX5468" t="s">
        <v>37834</v>
      </c>
      <c r="AY5468">
        <v>6059.55</v>
      </c>
      <c r="AZ5468" s="184">
        <v>34624</v>
      </c>
      <c r="BA5468" t="s">
        <v>37798</v>
      </c>
      <c r="BB5468">
        <v>98965.53</v>
      </c>
      <c r="BC5468">
        <v>29</v>
      </c>
      <c r="BD5468">
        <v>105840.08</v>
      </c>
      <c r="BE5468">
        <v>1984</v>
      </c>
      <c r="BF5468">
        <v>18</v>
      </c>
      <c r="BI5468">
        <v>12</v>
      </c>
      <c r="BJ5468">
        <v>42</v>
      </c>
      <c r="BK5468">
        <v>10</v>
      </c>
      <c r="BO5468" t="s">
        <v>595</v>
      </c>
      <c r="BP5468" s="184"/>
    </row>
    <row r="5469" spans="1:68">
      <c r="A5469">
        <v>100006162</v>
      </c>
      <c r="B5469">
        <v>100006162</v>
      </c>
      <c r="C5469" t="s">
        <v>7018</v>
      </c>
      <c r="E5469" s="184"/>
      <c r="I5469" s="184"/>
      <c r="J5469" t="s">
        <v>595</v>
      </c>
      <c r="K5469" s="184">
        <v>37802</v>
      </c>
      <c r="M5469" s="184"/>
      <c r="O5469" s="184"/>
      <c r="Q5469" t="s">
        <v>7374</v>
      </c>
      <c r="R5469" s="184">
        <v>11171</v>
      </c>
      <c r="S5469">
        <v>93</v>
      </c>
      <c r="U5469" t="s">
        <v>7031</v>
      </c>
      <c r="V5469" t="s">
        <v>4847</v>
      </c>
      <c r="W5469" t="s">
        <v>7407</v>
      </c>
      <c r="X5469" t="s">
        <v>3794</v>
      </c>
      <c r="AF5469" t="s">
        <v>38357</v>
      </c>
      <c r="AG5469" t="s">
        <v>4847</v>
      </c>
      <c r="AI5469" t="s">
        <v>38358</v>
      </c>
      <c r="AM5469" t="s">
        <v>5483</v>
      </c>
      <c r="AN5469" t="s">
        <v>2081</v>
      </c>
      <c r="AO5469" t="s">
        <v>38359</v>
      </c>
      <c r="AP5469" t="s">
        <v>7024</v>
      </c>
      <c r="AT5469" s="184">
        <v>34221</v>
      </c>
      <c r="AU5469" t="s">
        <v>14029</v>
      </c>
      <c r="AV5469">
        <v>19.95</v>
      </c>
      <c r="AW5469" s="184">
        <v>37802</v>
      </c>
      <c r="AX5469" t="s">
        <v>37822</v>
      </c>
      <c r="AY5469">
        <v>3.78</v>
      </c>
      <c r="AZ5469" s="184">
        <v>37791</v>
      </c>
      <c r="BA5469" t="s">
        <v>37822</v>
      </c>
      <c r="BB5469">
        <v>59609.17</v>
      </c>
      <c r="BC5469">
        <v>29</v>
      </c>
      <c r="BD5469">
        <v>59882.9</v>
      </c>
      <c r="BE5469">
        <v>1994</v>
      </c>
      <c r="BF5469">
        <v>11</v>
      </c>
      <c r="BI5469">
        <v>9</v>
      </c>
      <c r="BJ5469">
        <v>32</v>
      </c>
      <c r="BK5469">
        <v>7</v>
      </c>
      <c r="BO5469" t="s">
        <v>595</v>
      </c>
      <c r="BP5469" s="184"/>
    </row>
    <row r="5470" spans="1:68">
      <c r="A5470">
        <v>100006184</v>
      </c>
      <c r="B5470">
        <v>100006184</v>
      </c>
      <c r="C5470" t="s">
        <v>7018</v>
      </c>
      <c r="E5470" s="184"/>
      <c r="G5470" s="184"/>
      <c r="I5470" s="184"/>
      <c r="J5470" t="s">
        <v>595</v>
      </c>
      <c r="K5470" s="184">
        <v>37739</v>
      </c>
      <c r="M5470" s="184"/>
      <c r="O5470" s="184"/>
      <c r="Q5470" t="s">
        <v>7383</v>
      </c>
      <c r="R5470" s="184">
        <v>2374</v>
      </c>
      <c r="S5470">
        <v>117</v>
      </c>
      <c r="U5470" t="s">
        <v>7076</v>
      </c>
      <c r="V5470" t="s">
        <v>38360</v>
      </c>
      <c r="W5470" t="s">
        <v>3332</v>
      </c>
      <c r="X5470" t="s">
        <v>38361</v>
      </c>
      <c r="AI5470" t="s">
        <v>38362</v>
      </c>
      <c r="AM5470" t="s">
        <v>38363</v>
      </c>
      <c r="AN5470" t="s">
        <v>2185</v>
      </c>
      <c r="AO5470" t="s">
        <v>38364</v>
      </c>
      <c r="AP5470" t="s">
        <v>7024</v>
      </c>
      <c r="AT5470" s="184">
        <v>32884</v>
      </c>
      <c r="AU5470" t="s">
        <v>9869</v>
      </c>
      <c r="AV5470">
        <v>15</v>
      </c>
      <c r="AW5470" s="184">
        <v>37739</v>
      </c>
      <c r="AX5470" t="s">
        <v>37822</v>
      </c>
      <c r="AY5470">
        <v>30771.61</v>
      </c>
      <c r="AZ5470" s="184">
        <v>37739</v>
      </c>
      <c r="BA5470" t="s">
        <v>37822</v>
      </c>
      <c r="BB5470">
        <v>30771.61</v>
      </c>
      <c r="BC5470">
        <v>40</v>
      </c>
      <c r="BD5470">
        <v>59919.61</v>
      </c>
      <c r="BE5470">
        <v>1990</v>
      </c>
      <c r="BF5470">
        <v>52</v>
      </c>
      <c r="BI5470">
        <v>14</v>
      </c>
      <c r="BJ5470">
        <v>35</v>
      </c>
      <c r="BK5470">
        <v>14</v>
      </c>
      <c r="BM5470" t="s">
        <v>595</v>
      </c>
      <c r="BO5470" t="s">
        <v>595</v>
      </c>
      <c r="BP5470" s="184">
        <v>37280</v>
      </c>
    </row>
    <row r="5471" spans="1:68">
      <c r="A5471">
        <v>100006187</v>
      </c>
      <c r="B5471">
        <v>100006187</v>
      </c>
      <c r="C5471" t="s">
        <v>7018</v>
      </c>
      <c r="E5471" s="184"/>
      <c r="I5471" s="184"/>
      <c r="J5471" t="s">
        <v>595</v>
      </c>
      <c r="K5471" s="184">
        <v>38086</v>
      </c>
      <c r="M5471" s="184"/>
      <c r="O5471" s="184"/>
      <c r="Q5471" t="s">
        <v>7383</v>
      </c>
      <c r="R5471" s="184">
        <v>11388</v>
      </c>
      <c r="S5471">
        <v>93</v>
      </c>
      <c r="V5471" t="s">
        <v>4254</v>
      </c>
      <c r="W5471" t="s">
        <v>5006</v>
      </c>
      <c r="X5471" t="s">
        <v>5596</v>
      </c>
      <c r="AI5471" t="s">
        <v>38365</v>
      </c>
      <c r="AM5471" t="s">
        <v>3082</v>
      </c>
      <c r="AN5471" t="s">
        <v>2313</v>
      </c>
      <c r="AO5471" t="s">
        <v>38366</v>
      </c>
      <c r="AP5471" t="s">
        <v>7024</v>
      </c>
      <c r="AT5471" s="184">
        <v>33924</v>
      </c>
      <c r="AU5471" t="s">
        <v>13886</v>
      </c>
      <c r="AV5471">
        <v>15</v>
      </c>
      <c r="AW5471" s="184">
        <v>38086</v>
      </c>
      <c r="AX5471" t="s">
        <v>7760</v>
      </c>
      <c r="AY5471">
        <v>6.48</v>
      </c>
      <c r="AZ5471" s="184">
        <v>37298</v>
      </c>
      <c r="BA5471" t="s">
        <v>37877</v>
      </c>
      <c r="BB5471">
        <v>125000</v>
      </c>
      <c r="BC5471">
        <v>22</v>
      </c>
      <c r="BD5471">
        <v>470780.7</v>
      </c>
      <c r="BE5471">
        <v>1993</v>
      </c>
      <c r="BF5471">
        <v>17</v>
      </c>
      <c r="BI5471">
        <v>7</v>
      </c>
      <c r="BJ5471">
        <v>33</v>
      </c>
      <c r="BK5471">
        <v>4</v>
      </c>
      <c r="BM5471" t="s">
        <v>595</v>
      </c>
      <c r="BO5471" t="s">
        <v>595</v>
      </c>
      <c r="BP5471" s="184"/>
    </row>
    <row r="5472" spans="1:68">
      <c r="A5472">
        <v>100006210</v>
      </c>
      <c r="B5472">
        <v>100006210</v>
      </c>
      <c r="C5472" t="s">
        <v>7018</v>
      </c>
      <c r="E5472" s="184"/>
      <c r="I5472" s="184"/>
      <c r="J5472" t="s">
        <v>595</v>
      </c>
      <c r="K5472" s="184">
        <v>31085</v>
      </c>
      <c r="M5472" s="184"/>
      <c r="O5472" s="184"/>
      <c r="Q5472" t="s">
        <v>7454</v>
      </c>
      <c r="R5472" s="184"/>
      <c r="V5472" t="s">
        <v>3053</v>
      </c>
      <c r="W5472" t="s">
        <v>3830</v>
      </c>
      <c r="X5472" t="s">
        <v>38367</v>
      </c>
      <c r="AF5472" t="s">
        <v>38368</v>
      </c>
      <c r="AG5472" t="s">
        <v>3053</v>
      </c>
      <c r="AI5472" t="s">
        <v>38369</v>
      </c>
      <c r="AK5472" t="s">
        <v>38370</v>
      </c>
      <c r="AM5472" t="s">
        <v>3855</v>
      </c>
      <c r="AN5472" t="s">
        <v>2055</v>
      </c>
      <c r="AO5472" t="s">
        <v>38371</v>
      </c>
      <c r="AP5472" t="s">
        <v>7024</v>
      </c>
      <c r="AT5472" s="184">
        <v>31085</v>
      </c>
      <c r="AU5472" t="s">
        <v>37798</v>
      </c>
      <c r="AV5472">
        <v>500</v>
      </c>
      <c r="AW5472" s="184">
        <v>31085</v>
      </c>
      <c r="AX5472" t="s">
        <v>37798</v>
      </c>
      <c r="AY5472">
        <v>500</v>
      </c>
      <c r="AZ5472" s="184">
        <v>31085</v>
      </c>
      <c r="BA5472" t="s">
        <v>37798</v>
      </c>
      <c r="BB5472">
        <v>500</v>
      </c>
      <c r="BC5472">
        <v>3</v>
      </c>
      <c r="BD5472">
        <v>500</v>
      </c>
      <c r="BE5472">
        <v>1985</v>
      </c>
      <c r="BF5472">
        <v>1</v>
      </c>
      <c r="BI5472">
        <v>1</v>
      </c>
      <c r="BJ5472">
        <v>40</v>
      </c>
      <c r="BK5472">
        <v>1</v>
      </c>
      <c r="BO5472" t="s">
        <v>595</v>
      </c>
      <c r="BP5472" s="184"/>
    </row>
    <row r="5473" spans="1:68">
      <c r="A5473">
        <v>111641</v>
      </c>
      <c r="B5473">
        <v>100006698</v>
      </c>
      <c r="C5473" t="s">
        <v>7018</v>
      </c>
      <c r="E5473" s="184"/>
      <c r="G5473" s="184"/>
      <c r="I5473" s="184"/>
      <c r="J5473" t="s">
        <v>595</v>
      </c>
      <c r="K5473" s="184">
        <v>45229</v>
      </c>
      <c r="M5473" s="184"/>
      <c r="O5473" s="184"/>
      <c r="P5473" t="s">
        <v>7045</v>
      </c>
      <c r="Q5473" t="s">
        <v>7020</v>
      </c>
      <c r="R5473" s="184">
        <v>12692</v>
      </c>
      <c r="S5473">
        <v>89</v>
      </c>
      <c r="V5473" t="s">
        <v>3246</v>
      </c>
      <c r="X5473" t="s">
        <v>38372</v>
      </c>
      <c r="Z5473">
        <v>100006698</v>
      </c>
      <c r="AB5473" t="s">
        <v>16180</v>
      </c>
      <c r="AD5473" t="s">
        <v>38372</v>
      </c>
      <c r="AF5473" t="s">
        <v>38373</v>
      </c>
      <c r="AG5473" t="s">
        <v>16180</v>
      </c>
      <c r="AI5473" t="s">
        <v>38374</v>
      </c>
      <c r="AM5473" t="s">
        <v>24494</v>
      </c>
      <c r="AN5473" t="s">
        <v>2112</v>
      </c>
      <c r="AO5473" t="s">
        <v>38375</v>
      </c>
      <c r="AP5473" t="s">
        <v>7024</v>
      </c>
      <c r="AQ5473" t="s">
        <v>38376</v>
      </c>
      <c r="AR5473" t="s">
        <v>38377</v>
      </c>
      <c r="AT5473" s="184">
        <v>30718</v>
      </c>
      <c r="AU5473" t="s">
        <v>7173</v>
      </c>
      <c r="AV5473">
        <v>18</v>
      </c>
      <c r="AW5473" s="184">
        <v>44643</v>
      </c>
      <c r="AX5473" t="s">
        <v>38378</v>
      </c>
      <c r="AY5473">
        <v>100</v>
      </c>
      <c r="AZ5473" s="184">
        <v>35828</v>
      </c>
      <c r="BA5473" t="s">
        <v>8922</v>
      </c>
      <c r="BB5473">
        <v>150</v>
      </c>
      <c r="BC5473">
        <v>96</v>
      </c>
      <c r="BD5473">
        <v>8364</v>
      </c>
      <c r="BE5473">
        <v>1984</v>
      </c>
      <c r="BF5473">
        <v>127</v>
      </c>
      <c r="BI5473">
        <v>39</v>
      </c>
      <c r="BJ5473">
        <v>41</v>
      </c>
      <c r="BK5473">
        <v>39</v>
      </c>
      <c r="BO5473" t="s">
        <v>595</v>
      </c>
      <c r="BP5473" s="184">
        <v>45210</v>
      </c>
    </row>
    <row r="5474" spans="1:68">
      <c r="A5474">
        <v>100006698</v>
      </c>
      <c r="B5474">
        <v>100006698</v>
      </c>
      <c r="C5474" t="s">
        <v>7018</v>
      </c>
      <c r="E5474" s="184"/>
      <c r="I5474" s="184"/>
      <c r="J5474" t="s">
        <v>595</v>
      </c>
      <c r="K5474" s="184">
        <v>45229</v>
      </c>
      <c r="M5474" s="184"/>
      <c r="O5474" s="184"/>
      <c r="P5474" t="s">
        <v>7045</v>
      </c>
      <c r="Q5474" t="s">
        <v>7020</v>
      </c>
      <c r="R5474" s="184">
        <v>11555</v>
      </c>
      <c r="S5474">
        <v>92</v>
      </c>
      <c r="V5474" t="s">
        <v>16180</v>
      </c>
      <c r="X5474" t="s">
        <v>38372</v>
      </c>
      <c r="Z5474">
        <v>111641</v>
      </c>
      <c r="AB5474" t="s">
        <v>3246</v>
      </c>
      <c r="AD5474" t="s">
        <v>38372</v>
      </c>
      <c r="AF5474" t="s">
        <v>38373</v>
      </c>
      <c r="AG5474" t="s">
        <v>16180</v>
      </c>
      <c r="AI5474" t="s">
        <v>38374</v>
      </c>
      <c r="AM5474" t="s">
        <v>24494</v>
      </c>
      <c r="AN5474" t="s">
        <v>2112</v>
      </c>
      <c r="AO5474" t="s">
        <v>38375</v>
      </c>
      <c r="AP5474" t="s">
        <v>7024</v>
      </c>
      <c r="AT5474" s="184"/>
      <c r="AW5474" s="184"/>
      <c r="AZ5474" s="184"/>
      <c r="BP5474" s="184"/>
    </row>
    <row r="5475" spans="1:68">
      <c r="A5475">
        <v>929802</v>
      </c>
      <c r="B5475">
        <v>100010170</v>
      </c>
      <c r="C5475" t="s">
        <v>7018</v>
      </c>
      <c r="E5475" s="184"/>
      <c r="I5475" s="184"/>
      <c r="K5475" s="184"/>
      <c r="M5475" s="184"/>
      <c r="N5475" t="s">
        <v>595</v>
      </c>
      <c r="O5475" s="184">
        <v>37316</v>
      </c>
      <c r="P5475" t="s">
        <v>7045</v>
      </c>
      <c r="Q5475" t="s">
        <v>7374</v>
      </c>
      <c r="R5475" s="184">
        <v>11849</v>
      </c>
      <c r="S5475">
        <v>91</v>
      </c>
      <c r="V5475" t="s">
        <v>2541</v>
      </c>
      <c r="X5475" t="s">
        <v>38379</v>
      </c>
      <c r="Z5475">
        <v>100010170</v>
      </c>
      <c r="AB5475" t="s">
        <v>38380</v>
      </c>
      <c r="AD5475" t="s">
        <v>38379</v>
      </c>
      <c r="AF5475" t="s">
        <v>38381</v>
      </c>
      <c r="AG5475" t="s">
        <v>38380</v>
      </c>
      <c r="AI5475" t="s">
        <v>38382</v>
      </c>
      <c r="AM5475" t="s">
        <v>3109</v>
      </c>
      <c r="AN5475" t="s">
        <v>2081</v>
      </c>
      <c r="AO5475">
        <v>92122</v>
      </c>
      <c r="AP5475" t="s">
        <v>7024</v>
      </c>
      <c r="AT5475" s="184">
        <v>31601</v>
      </c>
      <c r="AU5475" t="s">
        <v>38383</v>
      </c>
      <c r="AV5475">
        <v>22</v>
      </c>
      <c r="AW5475" s="184">
        <v>44516</v>
      </c>
      <c r="AX5475" t="s">
        <v>14359</v>
      </c>
      <c r="AY5475">
        <v>35</v>
      </c>
      <c r="AZ5475" s="184">
        <v>44516</v>
      </c>
      <c r="BA5475" t="s">
        <v>14359</v>
      </c>
      <c r="BB5475">
        <v>35</v>
      </c>
      <c r="BC5475">
        <v>77</v>
      </c>
      <c r="BD5475">
        <v>925.97</v>
      </c>
      <c r="BE5475">
        <v>1987</v>
      </c>
      <c r="BF5475">
        <v>35</v>
      </c>
      <c r="BI5475">
        <v>30</v>
      </c>
      <c r="BJ5475">
        <v>39</v>
      </c>
      <c r="BK5475">
        <v>15</v>
      </c>
      <c r="BO5475" t="s">
        <v>595</v>
      </c>
      <c r="BP5475" s="184">
        <v>44752</v>
      </c>
    </row>
    <row r="5476" spans="1:68">
      <c r="A5476">
        <v>100010170</v>
      </c>
      <c r="B5476">
        <v>100010170</v>
      </c>
      <c r="C5476" t="s">
        <v>7018</v>
      </c>
      <c r="E5476" s="184"/>
      <c r="G5476" s="184"/>
      <c r="I5476" s="184"/>
      <c r="K5476" s="184"/>
      <c r="M5476" s="184"/>
      <c r="N5476" t="s">
        <v>595</v>
      </c>
      <c r="O5476" s="184">
        <v>37316</v>
      </c>
      <c r="P5476" t="s">
        <v>7045</v>
      </c>
      <c r="Q5476" t="s">
        <v>7374</v>
      </c>
      <c r="R5476" s="184">
        <v>12395</v>
      </c>
      <c r="S5476">
        <v>90</v>
      </c>
      <c r="V5476" t="s">
        <v>38380</v>
      </c>
      <c r="X5476" t="s">
        <v>38379</v>
      </c>
      <c r="Z5476">
        <v>929802</v>
      </c>
      <c r="AB5476" t="s">
        <v>2541</v>
      </c>
      <c r="AD5476" t="s">
        <v>38379</v>
      </c>
      <c r="AF5476" t="s">
        <v>38381</v>
      </c>
      <c r="AG5476" t="s">
        <v>38380</v>
      </c>
      <c r="AI5476" t="s">
        <v>38382</v>
      </c>
      <c r="AM5476" t="s">
        <v>3109</v>
      </c>
      <c r="AN5476" t="s">
        <v>2081</v>
      </c>
      <c r="AO5476">
        <v>92122</v>
      </c>
      <c r="AP5476" t="s">
        <v>7024</v>
      </c>
      <c r="AQ5476" t="s">
        <v>38384</v>
      </c>
      <c r="AT5476" s="184"/>
      <c r="AW5476" s="184"/>
      <c r="AZ5476" s="184"/>
      <c r="BP5476" s="184"/>
    </row>
    <row r="5477" spans="1:68">
      <c r="A5477">
        <v>1360668</v>
      </c>
      <c r="B5477">
        <v>100012204</v>
      </c>
      <c r="C5477" t="s">
        <v>7018</v>
      </c>
      <c r="E5477" s="184"/>
      <c r="G5477" s="184"/>
      <c r="I5477" s="184"/>
      <c r="J5477" t="s">
        <v>595</v>
      </c>
      <c r="K5477" s="184">
        <v>41712</v>
      </c>
      <c r="M5477" s="184"/>
      <c r="O5477" s="184"/>
      <c r="P5477" t="s">
        <v>7045</v>
      </c>
      <c r="Q5477" t="s">
        <v>7774</v>
      </c>
      <c r="R5477" s="184">
        <v>17012</v>
      </c>
      <c r="S5477">
        <v>77</v>
      </c>
      <c r="U5477" t="s">
        <v>7031</v>
      </c>
      <c r="V5477" t="s">
        <v>9848</v>
      </c>
      <c r="X5477" t="s">
        <v>7086</v>
      </c>
      <c r="Z5477">
        <v>100012204</v>
      </c>
      <c r="AA5477" t="s">
        <v>7130</v>
      </c>
      <c r="AB5477" t="s">
        <v>2586</v>
      </c>
      <c r="AC5477" t="s">
        <v>7469</v>
      </c>
      <c r="AD5477" t="s">
        <v>7086</v>
      </c>
      <c r="AF5477" t="s">
        <v>38385</v>
      </c>
      <c r="AG5477" t="s">
        <v>2586</v>
      </c>
      <c r="AI5477" t="s">
        <v>38386</v>
      </c>
      <c r="AM5477" t="s">
        <v>3091</v>
      </c>
      <c r="AN5477" t="s">
        <v>2290</v>
      </c>
      <c r="AO5477" t="s">
        <v>38387</v>
      </c>
      <c r="AP5477" t="s">
        <v>7024</v>
      </c>
      <c r="AQ5477" t="s">
        <v>38388</v>
      </c>
      <c r="AT5477" s="184">
        <v>32276</v>
      </c>
      <c r="AU5477" t="s">
        <v>9191</v>
      </c>
      <c r="AV5477">
        <v>22</v>
      </c>
      <c r="AW5477" s="184">
        <v>44184</v>
      </c>
      <c r="AX5477" t="s">
        <v>38389</v>
      </c>
      <c r="AY5477">
        <v>300</v>
      </c>
      <c r="AZ5477" s="184">
        <v>44184</v>
      </c>
      <c r="BA5477" t="s">
        <v>38389</v>
      </c>
      <c r="BB5477">
        <v>300</v>
      </c>
      <c r="BC5477">
        <v>65</v>
      </c>
      <c r="BD5477">
        <v>1827</v>
      </c>
      <c r="BE5477">
        <v>1988</v>
      </c>
      <c r="BF5477">
        <v>27</v>
      </c>
      <c r="BI5477">
        <v>24</v>
      </c>
      <c r="BJ5477">
        <v>37</v>
      </c>
      <c r="BK5477">
        <v>7</v>
      </c>
      <c r="BL5477" t="s">
        <v>595</v>
      </c>
      <c r="BM5477" t="s">
        <v>595</v>
      </c>
      <c r="BO5477" t="s">
        <v>595</v>
      </c>
      <c r="BP5477" s="184"/>
    </row>
    <row r="5478" spans="1:68">
      <c r="A5478">
        <v>100012204</v>
      </c>
      <c r="B5478">
        <v>100012204</v>
      </c>
      <c r="C5478" t="s">
        <v>7018</v>
      </c>
      <c r="E5478" s="184"/>
      <c r="I5478" s="184"/>
      <c r="J5478" t="s">
        <v>595</v>
      </c>
      <c r="K5478" s="184">
        <v>43691</v>
      </c>
      <c r="M5478" s="184"/>
      <c r="O5478" s="184"/>
      <c r="P5478" t="s">
        <v>7045</v>
      </c>
      <c r="Q5478" t="s">
        <v>7774</v>
      </c>
      <c r="R5478" s="184">
        <v>17288</v>
      </c>
      <c r="S5478">
        <v>77</v>
      </c>
      <c r="U5478" t="s">
        <v>7130</v>
      </c>
      <c r="V5478" t="s">
        <v>2586</v>
      </c>
      <c r="W5478" t="s">
        <v>7469</v>
      </c>
      <c r="X5478" t="s">
        <v>7086</v>
      </c>
      <c r="Z5478">
        <v>1360668</v>
      </c>
      <c r="AA5478" t="s">
        <v>7031</v>
      </c>
      <c r="AB5478" t="s">
        <v>9848</v>
      </c>
      <c r="AD5478" t="s">
        <v>7086</v>
      </c>
      <c r="AF5478" t="s">
        <v>38385</v>
      </c>
      <c r="AG5478" t="s">
        <v>2586</v>
      </c>
      <c r="AI5478" t="s">
        <v>38386</v>
      </c>
      <c r="AM5478" t="s">
        <v>3091</v>
      </c>
      <c r="AN5478" t="s">
        <v>2290</v>
      </c>
      <c r="AO5478" t="s">
        <v>38387</v>
      </c>
      <c r="AP5478" t="s">
        <v>7024</v>
      </c>
      <c r="AT5478" s="184">
        <v>44883</v>
      </c>
      <c r="AU5478" t="s">
        <v>38390</v>
      </c>
      <c r="AV5478">
        <v>250</v>
      </c>
      <c r="AW5478" s="184">
        <v>45287</v>
      </c>
      <c r="AX5478" t="s">
        <v>7742</v>
      </c>
      <c r="AY5478">
        <v>200</v>
      </c>
      <c r="AZ5478" s="184">
        <v>44883</v>
      </c>
      <c r="BA5478" t="s">
        <v>38390</v>
      </c>
      <c r="BB5478">
        <v>250</v>
      </c>
      <c r="BC5478">
        <v>67</v>
      </c>
      <c r="BD5478">
        <v>450</v>
      </c>
      <c r="BE5478">
        <v>2023</v>
      </c>
      <c r="BF5478">
        <v>2</v>
      </c>
      <c r="BG5478">
        <v>2</v>
      </c>
      <c r="BH5478">
        <v>450</v>
      </c>
      <c r="BI5478">
        <v>2</v>
      </c>
      <c r="BJ5478">
        <v>3</v>
      </c>
      <c r="BK5478">
        <v>2</v>
      </c>
      <c r="BP5478" s="184"/>
    </row>
    <row r="5479" spans="1:68">
      <c r="A5479">
        <v>1860774</v>
      </c>
      <c r="B5479">
        <v>100013421</v>
      </c>
      <c r="C5479" t="s">
        <v>7018</v>
      </c>
      <c r="E5479" s="184"/>
      <c r="G5479" s="184"/>
      <c r="I5479" s="184"/>
      <c r="J5479" t="s">
        <v>595</v>
      </c>
      <c r="K5479" s="184">
        <v>43970</v>
      </c>
      <c r="M5479" s="184"/>
      <c r="O5479" s="184"/>
      <c r="P5479" t="s">
        <v>7029</v>
      </c>
      <c r="Q5479" t="s">
        <v>7262</v>
      </c>
      <c r="R5479" s="184">
        <v>17414</v>
      </c>
      <c r="S5479">
        <v>76</v>
      </c>
      <c r="V5479" t="s">
        <v>2828</v>
      </c>
      <c r="W5479" t="s">
        <v>2316</v>
      </c>
      <c r="X5479" t="s">
        <v>2977</v>
      </c>
      <c r="Z5479">
        <v>100013421</v>
      </c>
      <c r="AB5479" t="s">
        <v>26159</v>
      </c>
      <c r="AC5479" t="s">
        <v>4139</v>
      </c>
      <c r="AD5479" t="s">
        <v>2962</v>
      </c>
      <c r="AF5479" t="s">
        <v>38391</v>
      </c>
      <c r="AG5479" t="s">
        <v>26159</v>
      </c>
      <c r="AI5479" t="s">
        <v>38392</v>
      </c>
      <c r="AM5479" t="s">
        <v>2730</v>
      </c>
      <c r="AN5479" t="s">
        <v>2069</v>
      </c>
      <c r="AO5479" t="s">
        <v>38393</v>
      </c>
      <c r="AP5479" t="s">
        <v>7024</v>
      </c>
      <c r="AQ5479" t="s">
        <v>38394</v>
      </c>
      <c r="AT5479" s="184">
        <v>32506</v>
      </c>
      <c r="AU5479" t="s">
        <v>7073</v>
      </c>
      <c r="AV5479">
        <v>25</v>
      </c>
      <c r="AW5479" s="184">
        <v>44852</v>
      </c>
      <c r="AX5479" t="s">
        <v>38395</v>
      </c>
      <c r="AY5479">
        <v>3000</v>
      </c>
      <c r="AZ5479" s="184">
        <v>44852</v>
      </c>
      <c r="BA5479" t="s">
        <v>38395</v>
      </c>
      <c r="BB5479">
        <v>3000</v>
      </c>
      <c r="BC5479">
        <v>87</v>
      </c>
      <c r="BD5479">
        <v>18626</v>
      </c>
      <c r="BE5479">
        <v>1989</v>
      </c>
      <c r="BF5479">
        <v>34</v>
      </c>
      <c r="BG5479">
        <v>1</v>
      </c>
      <c r="BH5479">
        <v>3000</v>
      </c>
      <c r="BI5479">
        <v>32</v>
      </c>
      <c r="BJ5479">
        <v>37</v>
      </c>
      <c r="BK5479">
        <v>29</v>
      </c>
      <c r="BO5479" t="s">
        <v>595</v>
      </c>
      <c r="BP5479" s="184"/>
    </row>
    <row r="5480" spans="1:68">
      <c r="A5480">
        <v>100013421</v>
      </c>
      <c r="B5480">
        <v>100013421</v>
      </c>
      <c r="C5480" t="s">
        <v>7018</v>
      </c>
      <c r="E5480" s="184"/>
      <c r="G5480" s="184"/>
      <c r="I5480" s="184"/>
      <c r="J5480" t="s">
        <v>595</v>
      </c>
      <c r="K5480" s="184">
        <v>43970</v>
      </c>
      <c r="M5480" s="184"/>
      <c r="O5480" s="184"/>
      <c r="P5480" t="s">
        <v>7029</v>
      </c>
      <c r="Q5480" t="s">
        <v>7262</v>
      </c>
      <c r="R5480" s="184">
        <v>19511</v>
      </c>
      <c r="S5480">
        <v>70</v>
      </c>
      <c r="V5480" t="s">
        <v>26159</v>
      </c>
      <c r="W5480" t="s">
        <v>4139</v>
      </c>
      <c r="X5480" t="s">
        <v>2962</v>
      </c>
      <c r="Z5480">
        <v>1860774</v>
      </c>
      <c r="AB5480" t="s">
        <v>2828</v>
      </c>
      <c r="AC5480" t="s">
        <v>2316</v>
      </c>
      <c r="AD5480" t="s">
        <v>2977</v>
      </c>
      <c r="AF5480" t="s">
        <v>38391</v>
      </c>
      <c r="AG5480" t="s">
        <v>26159</v>
      </c>
      <c r="AI5480" t="s">
        <v>38392</v>
      </c>
      <c r="AM5480" t="s">
        <v>2730</v>
      </c>
      <c r="AN5480" t="s">
        <v>2069</v>
      </c>
      <c r="AO5480" t="s">
        <v>38393</v>
      </c>
      <c r="AP5480" t="s">
        <v>7024</v>
      </c>
      <c r="AQ5480" t="s">
        <v>38394</v>
      </c>
      <c r="AT5480" s="184">
        <v>45229</v>
      </c>
      <c r="AU5480" t="s">
        <v>7382</v>
      </c>
      <c r="AV5480">
        <v>3000</v>
      </c>
      <c r="AW5480" s="184">
        <v>45229</v>
      </c>
      <c r="AX5480" t="s">
        <v>7382</v>
      </c>
      <c r="AY5480">
        <v>3000</v>
      </c>
      <c r="AZ5480" s="184">
        <v>45229</v>
      </c>
      <c r="BA5480" t="s">
        <v>7382</v>
      </c>
      <c r="BB5480">
        <v>3000</v>
      </c>
      <c r="BC5480">
        <v>50</v>
      </c>
      <c r="BD5480">
        <v>3000</v>
      </c>
      <c r="BE5480">
        <v>2024</v>
      </c>
      <c r="BF5480">
        <v>1</v>
      </c>
      <c r="BG5480">
        <v>1</v>
      </c>
      <c r="BH5480">
        <v>3000</v>
      </c>
      <c r="BI5480">
        <v>1</v>
      </c>
      <c r="BJ5480">
        <v>2</v>
      </c>
      <c r="BK5480">
        <v>1</v>
      </c>
      <c r="BP5480" s="184"/>
    </row>
    <row r="5481" spans="1:68">
      <c r="A5481">
        <v>1924679</v>
      </c>
      <c r="B5481">
        <v>100013705</v>
      </c>
      <c r="C5481" t="s">
        <v>7018</v>
      </c>
      <c r="E5481" s="184"/>
      <c r="G5481" s="184"/>
      <c r="I5481" s="184"/>
      <c r="J5481" t="s">
        <v>595</v>
      </c>
      <c r="K5481" s="184">
        <v>38231</v>
      </c>
      <c r="M5481" s="184"/>
      <c r="N5481" t="s">
        <v>595</v>
      </c>
      <c r="O5481" s="184">
        <v>40306</v>
      </c>
      <c r="P5481" t="s">
        <v>7045</v>
      </c>
      <c r="Q5481" t="s">
        <v>7383</v>
      </c>
      <c r="R5481" s="184">
        <v>10690</v>
      </c>
      <c r="S5481">
        <v>95</v>
      </c>
      <c r="U5481" t="s">
        <v>7031</v>
      </c>
      <c r="V5481" t="s">
        <v>4024</v>
      </c>
      <c r="X5481" t="s">
        <v>5441</v>
      </c>
      <c r="Z5481">
        <v>100013705</v>
      </c>
      <c r="AA5481" t="s">
        <v>7130</v>
      </c>
      <c r="AB5481" t="s">
        <v>2586</v>
      </c>
      <c r="AD5481" t="s">
        <v>5441</v>
      </c>
      <c r="AF5481" t="s">
        <v>38396</v>
      </c>
      <c r="AG5481" t="s">
        <v>2586</v>
      </c>
      <c r="AI5481" t="s">
        <v>38397</v>
      </c>
      <c r="AM5481" t="s">
        <v>5442</v>
      </c>
      <c r="AN5481" t="s">
        <v>2059</v>
      </c>
      <c r="AO5481" t="s">
        <v>38398</v>
      </c>
      <c r="AP5481" t="s">
        <v>7024</v>
      </c>
      <c r="AT5481" s="184">
        <v>32567</v>
      </c>
      <c r="AU5481" t="s">
        <v>38399</v>
      </c>
      <c r="AV5481">
        <v>25</v>
      </c>
      <c r="AW5481" s="184">
        <v>40428</v>
      </c>
      <c r="AX5481" t="s">
        <v>7415</v>
      </c>
      <c r="AY5481">
        <v>40000</v>
      </c>
      <c r="AZ5481" s="184">
        <v>40306</v>
      </c>
      <c r="BA5481" t="s">
        <v>20993</v>
      </c>
      <c r="BB5481">
        <v>50000</v>
      </c>
      <c r="BC5481">
        <v>34</v>
      </c>
      <c r="BD5481">
        <v>100800</v>
      </c>
      <c r="BE5481">
        <v>1989</v>
      </c>
      <c r="BF5481">
        <v>15</v>
      </c>
      <c r="BI5481">
        <v>12</v>
      </c>
      <c r="BJ5481">
        <v>36</v>
      </c>
      <c r="BK5481">
        <v>7</v>
      </c>
      <c r="BO5481" t="s">
        <v>595</v>
      </c>
      <c r="BP5481" s="184">
        <v>43852</v>
      </c>
    </row>
    <row r="5482" spans="1:68">
      <c r="A5482">
        <v>100013705</v>
      </c>
      <c r="B5482">
        <v>100013705</v>
      </c>
      <c r="C5482" t="s">
        <v>7018</v>
      </c>
      <c r="E5482" s="184"/>
      <c r="G5482" s="184"/>
      <c r="I5482" s="184"/>
      <c r="J5482" t="s">
        <v>595</v>
      </c>
      <c r="K5482" s="184">
        <v>38231</v>
      </c>
      <c r="M5482" s="184"/>
      <c r="O5482" s="184"/>
      <c r="P5482" t="s">
        <v>7045</v>
      </c>
      <c r="Q5482" t="s">
        <v>7383</v>
      </c>
      <c r="R5482" s="184">
        <v>14929</v>
      </c>
      <c r="S5482">
        <v>83</v>
      </c>
      <c r="U5482" t="s">
        <v>7130</v>
      </c>
      <c r="V5482" t="s">
        <v>2586</v>
      </c>
      <c r="X5482" t="s">
        <v>5441</v>
      </c>
      <c r="Z5482">
        <v>1924679</v>
      </c>
      <c r="AA5482" t="s">
        <v>7031</v>
      </c>
      <c r="AB5482" t="s">
        <v>4024</v>
      </c>
      <c r="AD5482" t="s">
        <v>5441</v>
      </c>
      <c r="AF5482" t="s">
        <v>38396</v>
      </c>
      <c r="AG5482" t="s">
        <v>2586</v>
      </c>
      <c r="AI5482" t="s">
        <v>38397</v>
      </c>
      <c r="AM5482" t="s">
        <v>5442</v>
      </c>
      <c r="AN5482" t="s">
        <v>2059</v>
      </c>
      <c r="AO5482" t="s">
        <v>38398</v>
      </c>
      <c r="AP5482" t="s">
        <v>7024</v>
      </c>
      <c r="AQ5482" t="s">
        <v>38400</v>
      </c>
      <c r="AT5482" s="184">
        <v>44172</v>
      </c>
      <c r="AU5482" t="s">
        <v>7309</v>
      </c>
      <c r="AV5482">
        <v>191778.58</v>
      </c>
      <c r="AW5482" s="184">
        <v>44424</v>
      </c>
      <c r="AX5482" t="s">
        <v>7093</v>
      </c>
      <c r="AY5482">
        <v>3696.75</v>
      </c>
      <c r="AZ5482" s="184">
        <v>44172</v>
      </c>
      <c r="BA5482" t="s">
        <v>7309</v>
      </c>
      <c r="BB5482">
        <v>191778.58</v>
      </c>
      <c r="BC5482">
        <v>40</v>
      </c>
      <c r="BD5482">
        <v>195576.08</v>
      </c>
      <c r="BE5482">
        <v>2021</v>
      </c>
      <c r="BF5482">
        <v>3</v>
      </c>
      <c r="BI5482">
        <v>2</v>
      </c>
      <c r="BJ5482">
        <v>5</v>
      </c>
      <c r="BK5482">
        <v>2</v>
      </c>
      <c r="BP5482" s="184"/>
    </row>
    <row r="5483" spans="1:68">
      <c r="A5483">
        <v>100014429</v>
      </c>
      <c r="B5483">
        <v>100014429</v>
      </c>
      <c r="C5483" t="s">
        <v>7018</v>
      </c>
      <c r="E5483" s="184"/>
      <c r="G5483" s="184"/>
      <c r="I5483" s="184"/>
      <c r="J5483" t="s">
        <v>595</v>
      </c>
      <c r="K5483" s="184">
        <v>43654</v>
      </c>
      <c r="M5483" s="184"/>
      <c r="O5483" s="184"/>
      <c r="P5483" t="s">
        <v>7029</v>
      </c>
      <c r="Q5483" t="s">
        <v>7262</v>
      </c>
      <c r="R5483" s="184">
        <v>14580</v>
      </c>
      <c r="S5483">
        <v>84</v>
      </c>
      <c r="U5483" t="s">
        <v>7076</v>
      </c>
      <c r="V5483" t="s">
        <v>3043</v>
      </c>
      <c r="W5483" t="s">
        <v>7588</v>
      </c>
      <c r="X5483" t="s">
        <v>5582</v>
      </c>
      <c r="Z5483">
        <v>2220432</v>
      </c>
      <c r="AA5483" t="s">
        <v>7031</v>
      </c>
      <c r="AB5483" t="s">
        <v>3783</v>
      </c>
      <c r="AD5483" t="s">
        <v>5582</v>
      </c>
      <c r="AF5483" t="s">
        <v>38401</v>
      </c>
      <c r="AG5483" t="s">
        <v>3043</v>
      </c>
      <c r="AI5483" t="s">
        <v>38402</v>
      </c>
      <c r="AM5483" t="s">
        <v>2679</v>
      </c>
      <c r="AN5483" t="s">
        <v>2318</v>
      </c>
      <c r="AO5483" t="s">
        <v>38403</v>
      </c>
      <c r="AP5483" t="s">
        <v>7024</v>
      </c>
      <c r="AQ5483" t="s">
        <v>38404</v>
      </c>
      <c r="AT5483" s="184">
        <v>43818</v>
      </c>
      <c r="AU5483" t="s">
        <v>38405</v>
      </c>
      <c r="AV5483">
        <v>1000</v>
      </c>
      <c r="AW5483" s="184">
        <v>45260</v>
      </c>
      <c r="AX5483" t="s">
        <v>7749</v>
      </c>
      <c r="AY5483">
        <v>1044.73</v>
      </c>
      <c r="AZ5483" s="184">
        <v>44181</v>
      </c>
      <c r="BA5483" t="s">
        <v>8325</v>
      </c>
      <c r="BB5483">
        <v>1069.1500000000001</v>
      </c>
      <c r="BC5483">
        <v>67</v>
      </c>
      <c r="BD5483">
        <v>5113.88</v>
      </c>
      <c r="BE5483">
        <v>2020</v>
      </c>
      <c r="BF5483">
        <v>5</v>
      </c>
      <c r="BG5483">
        <v>2</v>
      </c>
      <c r="BH5483">
        <v>2044.73</v>
      </c>
      <c r="BI5483">
        <v>4</v>
      </c>
      <c r="BJ5483">
        <v>6</v>
      </c>
      <c r="BK5483">
        <v>2</v>
      </c>
      <c r="BP5483" s="184"/>
    </row>
    <row r="5484" spans="1:68">
      <c r="A5484">
        <v>2445740</v>
      </c>
      <c r="B5484">
        <v>100015173</v>
      </c>
      <c r="C5484" t="s">
        <v>7018</v>
      </c>
      <c r="E5484" s="184"/>
      <c r="G5484" s="184"/>
      <c r="I5484" s="184"/>
      <c r="J5484" t="s">
        <v>595</v>
      </c>
      <c r="K5484" s="184">
        <v>38134</v>
      </c>
      <c r="M5484" s="184"/>
      <c r="N5484" t="s">
        <v>595</v>
      </c>
      <c r="O5484" s="184">
        <v>38131</v>
      </c>
      <c r="P5484" t="s">
        <v>7045</v>
      </c>
      <c r="Q5484" t="s">
        <v>7374</v>
      </c>
      <c r="R5484" s="184">
        <v>10582</v>
      </c>
      <c r="S5484">
        <v>95</v>
      </c>
      <c r="U5484" t="s">
        <v>7032</v>
      </c>
      <c r="V5484" t="s">
        <v>3400</v>
      </c>
      <c r="W5484" t="s">
        <v>3226</v>
      </c>
      <c r="X5484" t="s">
        <v>5944</v>
      </c>
      <c r="Z5484">
        <v>100015173</v>
      </c>
      <c r="AA5484" t="s">
        <v>7031</v>
      </c>
      <c r="AB5484" t="s">
        <v>2511</v>
      </c>
      <c r="AD5484" t="s">
        <v>5947</v>
      </c>
      <c r="AF5484" t="s">
        <v>38406</v>
      </c>
      <c r="AG5484" t="s">
        <v>2511</v>
      </c>
      <c r="AI5484" t="s">
        <v>38407</v>
      </c>
      <c r="AJ5484" t="s">
        <v>38408</v>
      </c>
      <c r="AM5484" t="s">
        <v>4354</v>
      </c>
      <c r="AN5484" t="s">
        <v>2081</v>
      </c>
      <c r="AO5484" t="s">
        <v>38409</v>
      </c>
      <c r="AP5484" t="s">
        <v>7024</v>
      </c>
      <c r="AQ5484" t="s">
        <v>38410</v>
      </c>
      <c r="AR5484" t="s">
        <v>38411</v>
      </c>
      <c r="AT5484" s="184">
        <v>32892</v>
      </c>
      <c r="AU5484" t="s">
        <v>38412</v>
      </c>
      <c r="AV5484">
        <v>15</v>
      </c>
      <c r="AW5484" s="184">
        <v>42864</v>
      </c>
      <c r="AX5484" t="s">
        <v>38413</v>
      </c>
      <c r="AY5484">
        <v>15</v>
      </c>
      <c r="AZ5484" s="184">
        <v>38135</v>
      </c>
      <c r="BA5484" t="s">
        <v>10310</v>
      </c>
      <c r="BB5484">
        <v>10000</v>
      </c>
      <c r="BC5484">
        <v>78</v>
      </c>
      <c r="BD5484">
        <v>13085</v>
      </c>
      <c r="BE5484">
        <v>1990</v>
      </c>
      <c r="BF5484">
        <v>215</v>
      </c>
      <c r="BI5484">
        <v>27</v>
      </c>
      <c r="BJ5484">
        <v>35</v>
      </c>
      <c r="BK5484">
        <v>26</v>
      </c>
      <c r="BO5484" t="s">
        <v>595</v>
      </c>
      <c r="BP5484" s="184">
        <v>43516</v>
      </c>
    </row>
    <row r="5485" spans="1:68">
      <c r="A5485">
        <v>100015173</v>
      </c>
      <c r="B5485">
        <v>100015173</v>
      </c>
      <c r="C5485" t="s">
        <v>7018</v>
      </c>
      <c r="E5485" s="184"/>
      <c r="G5485" s="184"/>
      <c r="I5485" s="184"/>
      <c r="J5485" t="s">
        <v>595</v>
      </c>
      <c r="K5485" s="184">
        <v>38134</v>
      </c>
      <c r="M5485" s="184"/>
      <c r="O5485" s="184"/>
      <c r="P5485" t="s">
        <v>7045</v>
      </c>
      <c r="Q5485" t="s">
        <v>7374</v>
      </c>
      <c r="R5485" s="184">
        <v>9253</v>
      </c>
      <c r="S5485">
        <v>99</v>
      </c>
      <c r="U5485" t="s">
        <v>7031</v>
      </c>
      <c r="V5485" t="s">
        <v>2511</v>
      </c>
      <c r="X5485" t="s">
        <v>5947</v>
      </c>
      <c r="Z5485">
        <v>2445740</v>
      </c>
      <c r="AA5485" t="s">
        <v>7032</v>
      </c>
      <c r="AB5485" t="s">
        <v>3400</v>
      </c>
      <c r="AC5485" t="s">
        <v>3226</v>
      </c>
      <c r="AD5485" t="s">
        <v>5944</v>
      </c>
      <c r="AF5485" t="s">
        <v>38406</v>
      </c>
      <c r="AG5485" t="s">
        <v>2511</v>
      </c>
      <c r="AI5485" t="s">
        <v>38407</v>
      </c>
      <c r="AJ5485" t="s">
        <v>38408</v>
      </c>
      <c r="AM5485" t="s">
        <v>4354</v>
      </c>
      <c r="AN5485" t="s">
        <v>2081</v>
      </c>
      <c r="AO5485" t="s">
        <v>38409</v>
      </c>
      <c r="AP5485" t="s">
        <v>7024</v>
      </c>
      <c r="AT5485" s="184"/>
      <c r="AW5485" s="184"/>
      <c r="AZ5485" s="184"/>
      <c r="BP5485" s="184"/>
    </row>
    <row r="5486" spans="1:68">
      <c r="A5486">
        <v>4759700</v>
      </c>
      <c r="B5486">
        <v>100021769</v>
      </c>
      <c r="C5486" t="s">
        <v>7018</v>
      </c>
      <c r="E5486" s="184"/>
      <c r="G5486" s="184"/>
      <c r="I5486" s="184"/>
      <c r="J5486" t="s">
        <v>595</v>
      </c>
      <c r="K5486" s="184">
        <v>38848</v>
      </c>
      <c r="M5486" s="184"/>
      <c r="O5486" s="184"/>
      <c r="P5486" t="s">
        <v>7084</v>
      </c>
      <c r="Q5486" t="s">
        <v>7020</v>
      </c>
      <c r="R5486" s="184">
        <v>11139</v>
      </c>
      <c r="S5486">
        <v>93</v>
      </c>
      <c r="V5486" t="s">
        <v>38414</v>
      </c>
      <c r="X5486" t="s">
        <v>38415</v>
      </c>
      <c r="Z5486">
        <v>100021769</v>
      </c>
      <c r="AB5486" t="s">
        <v>15040</v>
      </c>
      <c r="AD5486" t="s">
        <v>38416</v>
      </c>
      <c r="AF5486" t="s">
        <v>6491</v>
      </c>
      <c r="AG5486" t="s">
        <v>15040</v>
      </c>
      <c r="AI5486" t="s">
        <v>38417</v>
      </c>
      <c r="AM5486" t="s">
        <v>3146</v>
      </c>
      <c r="AN5486" t="s">
        <v>2112</v>
      </c>
      <c r="AO5486" t="s">
        <v>38418</v>
      </c>
      <c r="AP5486" t="s">
        <v>7024</v>
      </c>
      <c r="AT5486" s="184">
        <v>33190</v>
      </c>
      <c r="AU5486" t="s">
        <v>38419</v>
      </c>
      <c r="AV5486">
        <v>15</v>
      </c>
      <c r="AW5486" s="184">
        <v>44260</v>
      </c>
      <c r="AX5486" t="s">
        <v>7309</v>
      </c>
      <c r="AY5486">
        <v>23.29</v>
      </c>
      <c r="AZ5486" s="184">
        <v>44006</v>
      </c>
      <c r="BA5486" t="s">
        <v>8257</v>
      </c>
      <c r="BB5486">
        <v>15000</v>
      </c>
      <c r="BC5486">
        <v>38</v>
      </c>
      <c r="BD5486">
        <v>26898.17</v>
      </c>
      <c r="BE5486">
        <v>1991</v>
      </c>
      <c r="BF5486">
        <v>17</v>
      </c>
      <c r="BI5486">
        <v>13</v>
      </c>
      <c r="BJ5486">
        <v>35</v>
      </c>
      <c r="BK5486">
        <v>3</v>
      </c>
      <c r="BO5486" t="s">
        <v>595</v>
      </c>
      <c r="BP5486" s="184">
        <v>43900</v>
      </c>
    </row>
    <row r="5487" spans="1:68">
      <c r="A5487">
        <v>100021769</v>
      </c>
      <c r="B5487">
        <v>100021769</v>
      </c>
      <c r="C5487" t="s">
        <v>7018</v>
      </c>
      <c r="E5487" s="184"/>
      <c r="G5487" s="184"/>
      <c r="I5487" s="184"/>
      <c r="J5487" t="s">
        <v>595</v>
      </c>
      <c r="K5487" s="184">
        <v>43704</v>
      </c>
      <c r="M5487" s="184"/>
      <c r="O5487" s="184"/>
      <c r="P5487" t="s">
        <v>7084</v>
      </c>
      <c r="Q5487" t="s">
        <v>7020</v>
      </c>
      <c r="R5487" s="184"/>
      <c r="V5487" t="s">
        <v>15040</v>
      </c>
      <c r="X5487" t="s">
        <v>38416</v>
      </c>
      <c r="Z5487">
        <v>4759700</v>
      </c>
      <c r="AB5487" t="s">
        <v>38414</v>
      </c>
      <c r="AD5487" t="s">
        <v>38415</v>
      </c>
      <c r="AF5487" t="s">
        <v>6491</v>
      </c>
      <c r="AG5487" t="s">
        <v>15040</v>
      </c>
      <c r="AI5487" t="s">
        <v>38417</v>
      </c>
      <c r="AM5487" t="s">
        <v>3146</v>
      </c>
      <c r="AN5487" t="s">
        <v>2112</v>
      </c>
      <c r="AO5487" t="s">
        <v>38418</v>
      </c>
      <c r="AP5487" t="s">
        <v>7024</v>
      </c>
      <c r="AT5487" s="184">
        <v>44225</v>
      </c>
      <c r="AU5487" t="s">
        <v>7309</v>
      </c>
      <c r="AV5487">
        <v>7013.9</v>
      </c>
      <c r="AW5487" s="184">
        <v>44225</v>
      </c>
      <c r="AX5487" t="s">
        <v>7309</v>
      </c>
      <c r="AY5487">
        <v>7013.9</v>
      </c>
      <c r="AZ5487" s="184">
        <v>44225</v>
      </c>
      <c r="BA5487" t="s">
        <v>7309</v>
      </c>
      <c r="BB5487">
        <v>7013.9</v>
      </c>
      <c r="BC5487">
        <v>25</v>
      </c>
      <c r="BD5487">
        <v>7013.9</v>
      </c>
      <c r="BE5487">
        <v>2021</v>
      </c>
      <c r="BF5487">
        <v>1</v>
      </c>
      <c r="BI5487">
        <v>1</v>
      </c>
      <c r="BJ5487">
        <v>4</v>
      </c>
      <c r="BK5487">
        <v>1</v>
      </c>
      <c r="BO5487" t="s">
        <v>595</v>
      </c>
      <c r="BP5487" s="184">
        <v>40774</v>
      </c>
    </row>
    <row r="5488" spans="1:68">
      <c r="A5488">
        <v>4950523</v>
      </c>
      <c r="B5488">
        <v>100022621</v>
      </c>
      <c r="C5488" t="s">
        <v>7018</v>
      </c>
      <c r="D5488" t="s">
        <v>595</v>
      </c>
      <c r="E5488" s="184">
        <v>43647</v>
      </c>
      <c r="G5488" s="184"/>
      <c r="I5488" s="184"/>
      <c r="K5488" s="184"/>
      <c r="M5488" s="184"/>
      <c r="O5488" s="184"/>
      <c r="P5488" t="s">
        <v>7045</v>
      </c>
      <c r="Q5488" t="s">
        <v>7383</v>
      </c>
      <c r="R5488" s="184">
        <v>13241</v>
      </c>
      <c r="S5488">
        <v>88</v>
      </c>
      <c r="U5488" t="s">
        <v>7031</v>
      </c>
      <c r="V5488" t="s">
        <v>3496</v>
      </c>
      <c r="X5488" t="s">
        <v>3497</v>
      </c>
      <c r="Z5488">
        <v>100022621</v>
      </c>
      <c r="AA5488" t="s">
        <v>7130</v>
      </c>
      <c r="AB5488" t="s">
        <v>2932</v>
      </c>
      <c r="AD5488" t="s">
        <v>3497</v>
      </c>
      <c r="AF5488" t="s">
        <v>38420</v>
      </c>
      <c r="AG5488" t="s">
        <v>2932</v>
      </c>
      <c r="AI5488" t="s">
        <v>38421</v>
      </c>
      <c r="AM5488" t="s">
        <v>3498</v>
      </c>
      <c r="AN5488" t="s">
        <v>2162</v>
      </c>
      <c r="AO5488" t="s">
        <v>38422</v>
      </c>
      <c r="AP5488" t="s">
        <v>7024</v>
      </c>
      <c r="AT5488" s="184">
        <v>33211</v>
      </c>
      <c r="AU5488" t="s">
        <v>38423</v>
      </c>
      <c r="AV5488">
        <v>15</v>
      </c>
      <c r="AW5488" s="184">
        <v>44369</v>
      </c>
      <c r="AX5488" t="s">
        <v>29130</v>
      </c>
      <c r="AY5488">
        <v>35</v>
      </c>
      <c r="AZ5488" s="184">
        <v>43095</v>
      </c>
      <c r="BA5488" t="s">
        <v>22711</v>
      </c>
      <c r="BB5488">
        <v>87</v>
      </c>
      <c r="BC5488">
        <v>43</v>
      </c>
      <c r="BD5488">
        <v>632</v>
      </c>
      <c r="BE5488">
        <v>1991</v>
      </c>
      <c r="BF5488">
        <v>20</v>
      </c>
      <c r="BI5488">
        <v>15</v>
      </c>
      <c r="BJ5488">
        <v>35</v>
      </c>
      <c r="BK5488">
        <v>10</v>
      </c>
      <c r="BO5488" t="s">
        <v>595</v>
      </c>
      <c r="BP5488" s="184"/>
    </row>
    <row r="5489" spans="1:68">
      <c r="A5489">
        <v>100022621</v>
      </c>
      <c r="B5489">
        <v>100022621</v>
      </c>
      <c r="C5489" t="s">
        <v>7018</v>
      </c>
      <c r="D5489" t="s">
        <v>595</v>
      </c>
      <c r="E5489" s="184">
        <v>43647</v>
      </c>
      <c r="G5489" s="184"/>
      <c r="I5489" s="184"/>
      <c r="K5489" s="184"/>
      <c r="M5489" s="184"/>
      <c r="O5489" s="184"/>
      <c r="P5489" t="s">
        <v>7045</v>
      </c>
      <c r="Q5489" t="s">
        <v>7383</v>
      </c>
      <c r="R5489" s="184">
        <v>14702</v>
      </c>
      <c r="S5489">
        <v>84</v>
      </c>
      <c r="U5489" t="s">
        <v>7130</v>
      </c>
      <c r="V5489" t="s">
        <v>2932</v>
      </c>
      <c r="X5489" t="s">
        <v>3497</v>
      </c>
      <c r="Z5489">
        <v>4950523</v>
      </c>
      <c r="AA5489" t="s">
        <v>7031</v>
      </c>
      <c r="AB5489" t="s">
        <v>3496</v>
      </c>
      <c r="AD5489" t="s">
        <v>3497</v>
      </c>
      <c r="AF5489" t="s">
        <v>38420</v>
      </c>
      <c r="AG5489" t="s">
        <v>2932</v>
      </c>
      <c r="AI5489" t="s">
        <v>38421</v>
      </c>
      <c r="AM5489" t="s">
        <v>3498</v>
      </c>
      <c r="AN5489" t="s">
        <v>2162</v>
      </c>
      <c r="AO5489" t="s">
        <v>38422</v>
      </c>
      <c r="AP5489" t="s">
        <v>7024</v>
      </c>
      <c r="AT5489" s="184"/>
      <c r="AW5489" s="184"/>
      <c r="AZ5489" s="184"/>
      <c r="BP5489" s="184"/>
    </row>
    <row r="5490" spans="1:68">
      <c r="A5490">
        <v>5018593</v>
      </c>
      <c r="B5490">
        <v>100023021</v>
      </c>
      <c r="C5490" t="s">
        <v>7018</v>
      </c>
      <c r="E5490" s="184"/>
      <c r="G5490" s="184"/>
      <c r="I5490" s="184"/>
      <c r="J5490" t="s">
        <v>595</v>
      </c>
      <c r="K5490" s="184">
        <v>44676</v>
      </c>
      <c r="M5490" s="184"/>
      <c r="O5490" s="184"/>
      <c r="P5490" t="s">
        <v>7045</v>
      </c>
      <c r="Q5490" t="s">
        <v>7262</v>
      </c>
      <c r="R5490" s="184">
        <v>14977</v>
      </c>
      <c r="S5490">
        <v>83</v>
      </c>
      <c r="V5490" t="s">
        <v>3603</v>
      </c>
      <c r="X5490" t="s">
        <v>38424</v>
      </c>
      <c r="Z5490">
        <v>100023021</v>
      </c>
      <c r="AB5490" t="s">
        <v>38119</v>
      </c>
      <c r="AD5490" t="s">
        <v>38424</v>
      </c>
      <c r="AF5490" t="s">
        <v>38425</v>
      </c>
      <c r="AG5490" t="s">
        <v>38119</v>
      </c>
      <c r="AI5490" t="s">
        <v>38426</v>
      </c>
      <c r="AM5490" t="s">
        <v>5334</v>
      </c>
      <c r="AN5490" t="s">
        <v>2106</v>
      </c>
      <c r="AO5490" t="s">
        <v>38427</v>
      </c>
      <c r="AP5490" t="s">
        <v>7024</v>
      </c>
      <c r="AT5490" s="184">
        <v>33245</v>
      </c>
      <c r="AU5490" t="s">
        <v>38428</v>
      </c>
      <c r="AV5490">
        <v>20</v>
      </c>
      <c r="AW5490" s="184">
        <v>42611</v>
      </c>
      <c r="AX5490" t="s">
        <v>38429</v>
      </c>
      <c r="AY5490">
        <v>150</v>
      </c>
      <c r="AZ5490" s="184">
        <v>41913</v>
      </c>
      <c r="BA5490" t="s">
        <v>38430</v>
      </c>
      <c r="BB5490">
        <v>200</v>
      </c>
      <c r="BC5490">
        <v>68</v>
      </c>
      <c r="BD5490">
        <v>4040</v>
      </c>
      <c r="BE5490">
        <v>1991</v>
      </c>
      <c r="BF5490">
        <v>38</v>
      </c>
      <c r="BI5490">
        <v>23</v>
      </c>
      <c r="BJ5490">
        <v>34</v>
      </c>
      <c r="BK5490">
        <v>17</v>
      </c>
      <c r="BO5490" t="s">
        <v>595</v>
      </c>
      <c r="BP5490" s="184">
        <v>44340</v>
      </c>
    </row>
    <row r="5491" spans="1:68">
      <c r="A5491">
        <v>100023021</v>
      </c>
      <c r="B5491">
        <v>100023021</v>
      </c>
      <c r="C5491" t="s">
        <v>7018</v>
      </c>
      <c r="E5491" s="184"/>
      <c r="G5491" s="184"/>
      <c r="I5491" s="184"/>
      <c r="J5491" t="s">
        <v>595</v>
      </c>
      <c r="K5491" s="184">
        <v>44676</v>
      </c>
      <c r="M5491" s="184"/>
      <c r="O5491" s="184"/>
      <c r="P5491" t="s">
        <v>7045</v>
      </c>
      <c r="Q5491" t="s">
        <v>7262</v>
      </c>
      <c r="R5491" s="184">
        <v>14977</v>
      </c>
      <c r="S5491">
        <v>83</v>
      </c>
      <c r="V5491" t="s">
        <v>38119</v>
      </c>
      <c r="X5491" t="s">
        <v>38424</v>
      </c>
      <c r="Z5491">
        <v>5018593</v>
      </c>
      <c r="AB5491" t="s">
        <v>3603</v>
      </c>
      <c r="AD5491" t="s">
        <v>38424</v>
      </c>
      <c r="AF5491" t="s">
        <v>38425</v>
      </c>
      <c r="AG5491" t="s">
        <v>38119</v>
      </c>
      <c r="AI5491" t="s">
        <v>38426</v>
      </c>
      <c r="AM5491" t="s">
        <v>5334</v>
      </c>
      <c r="AN5491" t="s">
        <v>2106</v>
      </c>
      <c r="AO5491" t="s">
        <v>38427</v>
      </c>
      <c r="AP5491" t="s">
        <v>7024</v>
      </c>
      <c r="AT5491" s="184"/>
      <c r="AW5491" s="184"/>
      <c r="AZ5491" s="184"/>
      <c r="BP5491" s="184"/>
    </row>
    <row r="5492" spans="1:68">
      <c r="A5492">
        <v>5044573</v>
      </c>
      <c r="B5492">
        <v>100023143</v>
      </c>
      <c r="C5492" t="s">
        <v>7018</v>
      </c>
      <c r="D5492" t="s">
        <v>595</v>
      </c>
      <c r="E5492" s="184">
        <v>44167</v>
      </c>
      <c r="G5492" s="184"/>
      <c r="I5492" s="184"/>
      <c r="K5492" s="184"/>
      <c r="M5492" s="184"/>
      <c r="O5492" s="184"/>
      <c r="P5492" t="s">
        <v>7045</v>
      </c>
      <c r="Q5492" t="s">
        <v>7383</v>
      </c>
      <c r="R5492" s="184">
        <v>15050</v>
      </c>
      <c r="S5492">
        <v>83</v>
      </c>
      <c r="V5492" t="s">
        <v>4613</v>
      </c>
      <c r="X5492" t="s">
        <v>5896</v>
      </c>
      <c r="Z5492">
        <v>100023143</v>
      </c>
      <c r="AB5492" t="s">
        <v>4152</v>
      </c>
      <c r="AD5492" t="s">
        <v>5896</v>
      </c>
      <c r="AF5492" t="s">
        <v>38431</v>
      </c>
      <c r="AG5492" t="s">
        <v>38432</v>
      </c>
      <c r="AI5492" t="s">
        <v>38433</v>
      </c>
      <c r="AM5492" t="s">
        <v>4091</v>
      </c>
      <c r="AN5492" t="s">
        <v>2064</v>
      </c>
      <c r="AO5492">
        <v>65203</v>
      </c>
      <c r="AP5492" t="s">
        <v>7024</v>
      </c>
      <c r="AQ5492" t="s">
        <v>38434</v>
      </c>
      <c r="AT5492" s="184">
        <v>33255</v>
      </c>
      <c r="AU5492" t="s">
        <v>11855</v>
      </c>
      <c r="AV5492">
        <v>30</v>
      </c>
      <c r="AW5492" s="184">
        <v>45343</v>
      </c>
      <c r="AX5492" t="s">
        <v>38435</v>
      </c>
      <c r="AY5492">
        <v>25</v>
      </c>
      <c r="AZ5492" s="184">
        <v>44558</v>
      </c>
      <c r="BA5492" t="s">
        <v>37345</v>
      </c>
      <c r="BB5492">
        <v>1000</v>
      </c>
      <c r="BC5492">
        <v>27</v>
      </c>
      <c r="BD5492">
        <v>2940</v>
      </c>
      <c r="BE5492">
        <v>1991</v>
      </c>
      <c r="BF5492">
        <v>10</v>
      </c>
      <c r="BG5492">
        <v>1</v>
      </c>
      <c r="BH5492">
        <v>25</v>
      </c>
      <c r="BI5492">
        <v>9</v>
      </c>
      <c r="BJ5492">
        <v>34</v>
      </c>
      <c r="BK5492">
        <v>3</v>
      </c>
      <c r="BO5492" t="s">
        <v>595</v>
      </c>
      <c r="BP5492" s="184"/>
    </row>
    <row r="5493" spans="1:68">
      <c r="A5493">
        <v>100023143</v>
      </c>
      <c r="B5493">
        <v>100023143</v>
      </c>
      <c r="C5493" t="s">
        <v>7018</v>
      </c>
      <c r="D5493" t="s">
        <v>595</v>
      </c>
      <c r="E5493" s="184">
        <v>44167</v>
      </c>
      <c r="G5493" s="184"/>
      <c r="I5493" s="184"/>
      <c r="K5493" s="184"/>
      <c r="M5493" s="184"/>
      <c r="O5493" s="184"/>
      <c r="P5493" t="s">
        <v>7045</v>
      </c>
      <c r="Q5493" t="s">
        <v>7383</v>
      </c>
      <c r="R5493" s="184">
        <v>15364</v>
      </c>
      <c r="S5493">
        <v>82</v>
      </c>
      <c r="V5493" t="s">
        <v>4152</v>
      </c>
      <c r="X5493" t="s">
        <v>5896</v>
      </c>
      <c r="Z5493">
        <v>5044573</v>
      </c>
      <c r="AB5493" t="s">
        <v>4613</v>
      </c>
      <c r="AD5493" t="s">
        <v>5896</v>
      </c>
      <c r="AF5493" t="s">
        <v>38431</v>
      </c>
      <c r="AG5493" t="s">
        <v>38432</v>
      </c>
      <c r="AI5493" t="s">
        <v>38433</v>
      </c>
      <c r="AM5493" t="s">
        <v>4091</v>
      </c>
      <c r="AN5493" t="s">
        <v>2064</v>
      </c>
      <c r="AO5493">
        <v>65203</v>
      </c>
      <c r="AP5493" t="s">
        <v>7024</v>
      </c>
      <c r="AQ5493" t="s">
        <v>38436</v>
      </c>
      <c r="AT5493" s="184"/>
      <c r="AW5493" s="184"/>
      <c r="AZ5493" s="184"/>
      <c r="BP5493" s="184"/>
    </row>
    <row r="5494" spans="1:68">
      <c r="A5494">
        <v>6440648</v>
      </c>
      <c r="B5494">
        <v>100028056</v>
      </c>
      <c r="C5494" t="s">
        <v>7018</v>
      </c>
      <c r="E5494" s="184"/>
      <c r="G5494" s="184"/>
      <c r="I5494" s="184"/>
      <c r="J5494" t="s">
        <v>595</v>
      </c>
      <c r="K5494" s="184">
        <v>38124</v>
      </c>
      <c r="M5494" s="184"/>
      <c r="O5494" s="184"/>
      <c r="P5494" t="s">
        <v>7686</v>
      </c>
      <c r="Q5494" t="s">
        <v>7774</v>
      </c>
      <c r="R5494" s="184">
        <v>9238</v>
      </c>
      <c r="S5494">
        <v>99</v>
      </c>
      <c r="U5494" t="s">
        <v>7130</v>
      </c>
      <c r="V5494" t="s">
        <v>3745</v>
      </c>
      <c r="W5494" t="s">
        <v>115</v>
      </c>
      <c r="X5494" t="s">
        <v>2653</v>
      </c>
      <c r="Z5494">
        <v>100028056</v>
      </c>
      <c r="AA5494" t="s">
        <v>7031</v>
      </c>
      <c r="AB5494" t="s">
        <v>3825</v>
      </c>
      <c r="AC5494" t="s">
        <v>2058</v>
      </c>
      <c r="AD5494" t="s">
        <v>2653</v>
      </c>
      <c r="AF5494" t="s">
        <v>38437</v>
      </c>
      <c r="AG5494" t="s">
        <v>3825</v>
      </c>
      <c r="AI5494" t="s">
        <v>38438</v>
      </c>
      <c r="AJ5494" t="s">
        <v>38439</v>
      </c>
      <c r="AM5494" t="s">
        <v>2853</v>
      </c>
      <c r="AN5494" t="s">
        <v>2077</v>
      </c>
      <c r="AO5494" t="s">
        <v>38440</v>
      </c>
      <c r="AP5494" t="s">
        <v>7024</v>
      </c>
      <c r="AT5494" s="184">
        <v>33560</v>
      </c>
      <c r="AU5494" t="s">
        <v>12749</v>
      </c>
      <c r="AV5494">
        <v>50</v>
      </c>
      <c r="AW5494" s="184">
        <v>44187</v>
      </c>
      <c r="AX5494" t="s">
        <v>8325</v>
      </c>
      <c r="AY5494">
        <v>5000</v>
      </c>
      <c r="AZ5494" s="184">
        <v>40512</v>
      </c>
      <c r="BA5494" t="s">
        <v>38441</v>
      </c>
      <c r="BB5494">
        <v>10000</v>
      </c>
      <c r="BC5494">
        <v>71</v>
      </c>
      <c r="BD5494">
        <v>51216</v>
      </c>
      <c r="BE5494">
        <v>1992</v>
      </c>
      <c r="BF5494">
        <v>33</v>
      </c>
      <c r="BI5494">
        <v>24</v>
      </c>
      <c r="BJ5494">
        <v>34</v>
      </c>
      <c r="BK5494">
        <v>15</v>
      </c>
      <c r="BO5494" t="s">
        <v>595</v>
      </c>
      <c r="BP5494" s="184">
        <v>43898</v>
      </c>
    </row>
    <row r="5495" spans="1:68">
      <c r="A5495">
        <v>100028056</v>
      </c>
      <c r="B5495">
        <v>100028056</v>
      </c>
      <c r="C5495" t="s">
        <v>7018</v>
      </c>
      <c r="E5495" s="184"/>
      <c r="G5495" s="184"/>
      <c r="I5495" s="184"/>
      <c r="J5495" t="s">
        <v>595</v>
      </c>
      <c r="K5495" s="184">
        <v>38124</v>
      </c>
      <c r="M5495" s="184"/>
      <c r="O5495" s="184"/>
      <c r="P5495" t="s">
        <v>7686</v>
      </c>
      <c r="Q5495" t="s">
        <v>7774</v>
      </c>
      <c r="R5495" s="184">
        <v>8583</v>
      </c>
      <c r="S5495">
        <v>100</v>
      </c>
      <c r="U5495" t="s">
        <v>7031</v>
      </c>
      <c r="V5495" t="s">
        <v>3825</v>
      </c>
      <c r="W5495" t="s">
        <v>2058</v>
      </c>
      <c r="X5495" t="s">
        <v>2653</v>
      </c>
      <c r="Z5495">
        <v>6440648</v>
      </c>
      <c r="AA5495" t="s">
        <v>7130</v>
      </c>
      <c r="AB5495" t="s">
        <v>3745</v>
      </c>
      <c r="AC5495" t="s">
        <v>115</v>
      </c>
      <c r="AD5495" t="s">
        <v>2653</v>
      </c>
      <c r="AF5495" t="s">
        <v>38437</v>
      </c>
      <c r="AG5495" t="s">
        <v>3825</v>
      </c>
      <c r="AI5495" t="s">
        <v>38438</v>
      </c>
      <c r="AJ5495" t="s">
        <v>38439</v>
      </c>
      <c r="AM5495" t="s">
        <v>2853</v>
      </c>
      <c r="AN5495" t="s">
        <v>2077</v>
      </c>
      <c r="AO5495" t="s">
        <v>38440</v>
      </c>
      <c r="AP5495" t="s">
        <v>7024</v>
      </c>
      <c r="AT5495" s="184">
        <v>44558</v>
      </c>
      <c r="AU5495" t="s">
        <v>7867</v>
      </c>
      <c r="AV5495">
        <v>5000</v>
      </c>
      <c r="AW5495" s="184">
        <v>45301</v>
      </c>
      <c r="AX5495" t="s">
        <v>7749</v>
      </c>
      <c r="AY5495">
        <v>7500</v>
      </c>
      <c r="AZ5495" s="184">
        <v>45301</v>
      </c>
      <c r="BA5495" t="s">
        <v>7749</v>
      </c>
      <c r="BB5495">
        <v>7500</v>
      </c>
      <c r="BC5495">
        <v>75</v>
      </c>
      <c r="BD5495">
        <v>17500</v>
      </c>
      <c r="BE5495">
        <v>2022</v>
      </c>
      <c r="BF5495">
        <v>3</v>
      </c>
      <c r="BG5495">
        <v>2</v>
      </c>
      <c r="BH5495">
        <v>12500</v>
      </c>
      <c r="BI5495">
        <v>3</v>
      </c>
      <c r="BJ5495">
        <v>4</v>
      </c>
      <c r="BK5495">
        <v>2</v>
      </c>
      <c r="BP5495" s="184"/>
    </row>
    <row r="5496" spans="1:68">
      <c r="A5496">
        <v>10074300</v>
      </c>
      <c r="B5496">
        <v>100037794</v>
      </c>
      <c r="C5496" t="s">
        <v>7018</v>
      </c>
      <c r="E5496" s="184"/>
      <c r="G5496" s="184"/>
      <c r="I5496" s="184"/>
      <c r="J5496" t="s">
        <v>595</v>
      </c>
      <c r="K5496" s="184">
        <v>37438</v>
      </c>
      <c r="M5496" s="184"/>
      <c r="O5496" s="184"/>
      <c r="P5496" t="s">
        <v>7045</v>
      </c>
      <c r="Q5496" t="s">
        <v>7262</v>
      </c>
      <c r="R5496" s="184">
        <v>22782</v>
      </c>
      <c r="S5496">
        <v>61</v>
      </c>
      <c r="U5496" t="s">
        <v>14285</v>
      </c>
      <c r="V5496" t="s">
        <v>2863</v>
      </c>
      <c r="X5496" t="s">
        <v>38442</v>
      </c>
      <c r="Z5496">
        <v>100037794</v>
      </c>
      <c r="AA5496" t="s">
        <v>7130</v>
      </c>
      <c r="AB5496" t="s">
        <v>33907</v>
      </c>
      <c r="AC5496" t="s">
        <v>3237</v>
      </c>
      <c r="AD5496" t="s">
        <v>38442</v>
      </c>
      <c r="AF5496" t="s">
        <v>6555</v>
      </c>
      <c r="AG5496" t="s">
        <v>33907</v>
      </c>
      <c r="AI5496" t="s">
        <v>38443</v>
      </c>
      <c r="AM5496" t="s">
        <v>5836</v>
      </c>
      <c r="AN5496" t="s">
        <v>65</v>
      </c>
      <c r="AO5496" t="s">
        <v>38444</v>
      </c>
      <c r="AP5496" t="s">
        <v>7024</v>
      </c>
      <c r="AQ5496" t="s">
        <v>38445</v>
      </c>
      <c r="AT5496" s="184">
        <v>34192</v>
      </c>
      <c r="AU5496" t="s">
        <v>38446</v>
      </c>
      <c r="AV5496">
        <v>15</v>
      </c>
      <c r="AW5496" s="184">
        <v>42257</v>
      </c>
      <c r="AX5496" t="s">
        <v>33915</v>
      </c>
      <c r="AY5496">
        <v>87</v>
      </c>
      <c r="AZ5496" s="184">
        <v>42257</v>
      </c>
      <c r="BA5496" t="s">
        <v>33915</v>
      </c>
      <c r="BB5496">
        <v>87</v>
      </c>
      <c r="BC5496">
        <v>41</v>
      </c>
      <c r="BD5496">
        <v>599</v>
      </c>
      <c r="BE5496">
        <v>1994</v>
      </c>
      <c r="BF5496">
        <v>14</v>
      </c>
      <c r="BI5496">
        <v>13</v>
      </c>
      <c r="BJ5496">
        <v>32</v>
      </c>
      <c r="BK5496">
        <v>4</v>
      </c>
      <c r="BN5496" t="s">
        <v>595</v>
      </c>
      <c r="BO5496" t="s">
        <v>595</v>
      </c>
      <c r="BP5496" s="184">
        <v>43857</v>
      </c>
    </row>
    <row r="5497" spans="1:68">
      <c r="A5497">
        <v>100037794</v>
      </c>
      <c r="B5497">
        <v>100037794</v>
      </c>
      <c r="C5497" t="s">
        <v>7018</v>
      </c>
      <c r="E5497" s="184"/>
      <c r="G5497" s="184"/>
      <c r="I5497" s="184"/>
      <c r="J5497" t="s">
        <v>595</v>
      </c>
      <c r="K5497" s="184">
        <v>37438</v>
      </c>
      <c r="M5497" s="184"/>
      <c r="O5497" s="184"/>
      <c r="P5497" t="s">
        <v>7045</v>
      </c>
      <c r="Q5497" t="s">
        <v>7262</v>
      </c>
      <c r="R5497" s="184">
        <v>15659</v>
      </c>
      <c r="S5497">
        <v>81</v>
      </c>
      <c r="U5497" t="s">
        <v>7130</v>
      </c>
      <c r="V5497" t="s">
        <v>33907</v>
      </c>
      <c r="W5497" t="s">
        <v>3237</v>
      </c>
      <c r="X5497" t="s">
        <v>38442</v>
      </c>
      <c r="Z5497">
        <v>10074300</v>
      </c>
      <c r="AA5497" t="s">
        <v>14285</v>
      </c>
      <c r="AB5497" t="s">
        <v>2863</v>
      </c>
      <c r="AD5497" t="s">
        <v>38442</v>
      </c>
      <c r="AF5497" t="s">
        <v>6555</v>
      </c>
      <c r="AG5497" t="s">
        <v>33907</v>
      </c>
      <c r="AI5497" t="s">
        <v>38443</v>
      </c>
      <c r="AM5497" t="s">
        <v>5836</v>
      </c>
      <c r="AN5497" t="s">
        <v>65</v>
      </c>
      <c r="AO5497" t="s">
        <v>38444</v>
      </c>
      <c r="AP5497" t="s">
        <v>7024</v>
      </c>
      <c r="AQ5497" t="s">
        <v>38447</v>
      </c>
      <c r="AR5497" t="s">
        <v>38448</v>
      </c>
      <c r="AT5497" s="184">
        <v>43692</v>
      </c>
      <c r="AU5497" t="s">
        <v>7959</v>
      </c>
      <c r="AV5497">
        <v>25</v>
      </c>
      <c r="AW5497" s="184">
        <v>43692</v>
      </c>
      <c r="AX5497" t="s">
        <v>7959</v>
      </c>
      <c r="AY5497">
        <v>25</v>
      </c>
      <c r="AZ5497" s="184">
        <v>43692</v>
      </c>
      <c r="BA5497" t="s">
        <v>7959</v>
      </c>
      <c r="BB5497">
        <v>25</v>
      </c>
      <c r="BC5497">
        <v>17</v>
      </c>
      <c r="BD5497">
        <v>25</v>
      </c>
      <c r="BE5497">
        <v>2020</v>
      </c>
      <c r="BF5497">
        <v>1</v>
      </c>
      <c r="BI5497">
        <v>1</v>
      </c>
      <c r="BJ5497">
        <v>6</v>
      </c>
      <c r="BK5497">
        <v>1</v>
      </c>
      <c r="BP5497" s="184"/>
    </row>
    <row r="5498" spans="1:68">
      <c r="A5498">
        <v>11400553</v>
      </c>
      <c r="B5498">
        <v>100040176</v>
      </c>
      <c r="C5498" t="s">
        <v>7018</v>
      </c>
      <c r="E5498" s="184"/>
      <c r="G5498" s="184"/>
      <c r="I5498" s="184"/>
      <c r="K5498" s="184"/>
      <c r="L5498" t="s">
        <v>595</v>
      </c>
      <c r="M5498" s="184">
        <v>43899</v>
      </c>
      <c r="O5498" s="184"/>
      <c r="P5498" t="s">
        <v>7084</v>
      </c>
      <c r="Q5498" t="s">
        <v>7454</v>
      </c>
      <c r="R5498" s="184">
        <v>10408</v>
      </c>
      <c r="S5498">
        <v>95</v>
      </c>
      <c r="U5498" t="s">
        <v>7031</v>
      </c>
      <c r="V5498" t="s">
        <v>3663</v>
      </c>
      <c r="W5498" t="s">
        <v>2541</v>
      </c>
      <c r="X5498" t="s">
        <v>38449</v>
      </c>
      <c r="Z5498">
        <v>100040176</v>
      </c>
      <c r="AA5498" t="s">
        <v>7076</v>
      </c>
      <c r="AB5498" t="s">
        <v>38450</v>
      </c>
      <c r="AC5498" t="s">
        <v>3438</v>
      </c>
      <c r="AD5498" t="s">
        <v>38449</v>
      </c>
      <c r="AF5498" t="s">
        <v>38451</v>
      </c>
      <c r="AG5498" t="s">
        <v>38452</v>
      </c>
      <c r="AI5498" t="s">
        <v>38453</v>
      </c>
      <c r="AM5498" t="s">
        <v>2741</v>
      </c>
      <c r="AN5498" t="s">
        <v>2055</v>
      </c>
      <c r="AO5498" t="s">
        <v>38454</v>
      </c>
      <c r="AP5498" t="s">
        <v>7024</v>
      </c>
      <c r="AQ5498" t="s">
        <v>38455</v>
      </c>
      <c r="AT5498" s="184">
        <v>34302</v>
      </c>
      <c r="AU5498" t="s">
        <v>14845</v>
      </c>
      <c r="AV5498">
        <v>15</v>
      </c>
      <c r="AW5498" s="184">
        <v>44265</v>
      </c>
      <c r="AX5498" t="s">
        <v>38456</v>
      </c>
      <c r="AY5498">
        <v>2000</v>
      </c>
      <c r="AZ5498" s="184">
        <v>44265</v>
      </c>
      <c r="BA5498" t="s">
        <v>38456</v>
      </c>
      <c r="BB5498">
        <v>2000</v>
      </c>
      <c r="BC5498">
        <v>79</v>
      </c>
      <c r="BD5498">
        <v>12930</v>
      </c>
      <c r="BE5498">
        <v>1994</v>
      </c>
      <c r="BF5498">
        <v>33</v>
      </c>
      <c r="BI5498">
        <v>25</v>
      </c>
      <c r="BJ5498">
        <v>32</v>
      </c>
      <c r="BK5498">
        <v>15</v>
      </c>
      <c r="BO5498" t="s">
        <v>595</v>
      </c>
      <c r="BP5498" s="184">
        <v>44646</v>
      </c>
    </row>
    <row r="5499" spans="1:68">
      <c r="A5499">
        <v>100040176</v>
      </c>
      <c r="B5499">
        <v>100040176</v>
      </c>
      <c r="C5499" t="s">
        <v>7018</v>
      </c>
      <c r="E5499" s="184"/>
      <c r="G5499" s="184"/>
      <c r="I5499" s="184"/>
      <c r="K5499" s="184"/>
      <c r="L5499" t="s">
        <v>595</v>
      </c>
      <c r="M5499" s="184">
        <v>43899</v>
      </c>
      <c r="O5499" s="184"/>
      <c r="P5499" t="s">
        <v>7084</v>
      </c>
      <c r="Q5499" t="s">
        <v>7454</v>
      </c>
      <c r="R5499" s="184">
        <v>10380</v>
      </c>
      <c r="S5499">
        <v>95</v>
      </c>
      <c r="U5499" t="s">
        <v>7076</v>
      </c>
      <c r="V5499" t="s">
        <v>38450</v>
      </c>
      <c r="W5499" t="s">
        <v>3438</v>
      </c>
      <c r="X5499" t="s">
        <v>38449</v>
      </c>
      <c r="Z5499">
        <v>11400553</v>
      </c>
      <c r="AA5499" t="s">
        <v>7031</v>
      </c>
      <c r="AB5499" t="s">
        <v>3663</v>
      </c>
      <c r="AC5499" t="s">
        <v>2541</v>
      </c>
      <c r="AD5499" t="s">
        <v>38449</v>
      </c>
      <c r="AF5499" t="s">
        <v>38451</v>
      </c>
      <c r="AG5499" t="s">
        <v>38452</v>
      </c>
      <c r="AI5499" t="s">
        <v>38453</v>
      </c>
      <c r="AM5499" t="s">
        <v>2741</v>
      </c>
      <c r="AN5499" t="s">
        <v>2055</v>
      </c>
      <c r="AO5499" t="s">
        <v>38454</v>
      </c>
      <c r="AP5499" t="s">
        <v>7024</v>
      </c>
      <c r="AT5499" s="184">
        <v>44823</v>
      </c>
      <c r="AU5499" t="s">
        <v>7721</v>
      </c>
      <c r="AV5499">
        <v>150000</v>
      </c>
      <c r="AW5499" s="184">
        <v>44823</v>
      </c>
      <c r="AX5499" t="s">
        <v>7721</v>
      </c>
      <c r="AY5499">
        <v>150000</v>
      </c>
      <c r="AZ5499" s="184">
        <v>44823</v>
      </c>
      <c r="BA5499" t="s">
        <v>7721</v>
      </c>
      <c r="BB5499">
        <v>150000</v>
      </c>
      <c r="BC5499">
        <v>34</v>
      </c>
      <c r="BD5499">
        <v>300000</v>
      </c>
      <c r="BE5499">
        <v>2023</v>
      </c>
      <c r="BF5499">
        <v>2</v>
      </c>
      <c r="BG5499">
        <v>2</v>
      </c>
      <c r="BH5499">
        <v>300000</v>
      </c>
      <c r="BI5499">
        <v>1</v>
      </c>
      <c r="BJ5499">
        <v>3</v>
      </c>
      <c r="BK5499">
        <v>1</v>
      </c>
      <c r="BO5499" t="s">
        <v>595</v>
      </c>
      <c r="BP5499" s="184">
        <v>44651</v>
      </c>
    </row>
    <row r="5500" spans="1:68">
      <c r="A5500">
        <v>14073290</v>
      </c>
      <c r="B5500">
        <v>100042435</v>
      </c>
      <c r="C5500" t="s">
        <v>7018</v>
      </c>
      <c r="D5500" t="s">
        <v>595</v>
      </c>
      <c r="E5500" s="184">
        <v>44167</v>
      </c>
      <c r="G5500" s="184"/>
      <c r="H5500" t="s">
        <v>595</v>
      </c>
      <c r="I5500" s="184">
        <v>44167</v>
      </c>
      <c r="K5500" s="184"/>
      <c r="M5500" s="184"/>
      <c r="O5500" s="184"/>
      <c r="P5500" t="s">
        <v>7045</v>
      </c>
      <c r="Q5500" t="s">
        <v>7262</v>
      </c>
      <c r="R5500" s="184">
        <v>14273</v>
      </c>
      <c r="S5500">
        <v>85</v>
      </c>
      <c r="V5500" t="s">
        <v>2511</v>
      </c>
      <c r="X5500" t="s">
        <v>38457</v>
      </c>
      <c r="Z5500">
        <v>100042435</v>
      </c>
      <c r="AA5500" t="s">
        <v>7076</v>
      </c>
      <c r="AB5500" t="s">
        <v>3192</v>
      </c>
      <c r="AD5500" t="s">
        <v>2839</v>
      </c>
      <c r="AF5500" t="s">
        <v>38458</v>
      </c>
      <c r="AG5500" t="s">
        <v>3192</v>
      </c>
      <c r="AI5500" t="s">
        <v>38459</v>
      </c>
      <c r="AM5500" t="s">
        <v>5836</v>
      </c>
      <c r="AN5500" t="s">
        <v>65</v>
      </c>
      <c r="AO5500" t="s">
        <v>38460</v>
      </c>
      <c r="AP5500" t="s">
        <v>7024</v>
      </c>
      <c r="AQ5500" t="s">
        <v>38461</v>
      </c>
      <c r="AT5500" s="184">
        <v>34355</v>
      </c>
      <c r="AU5500" t="s">
        <v>15136</v>
      </c>
      <c r="AV5500">
        <v>10</v>
      </c>
      <c r="AW5500" s="184">
        <v>45091</v>
      </c>
      <c r="AX5500" t="s">
        <v>38462</v>
      </c>
      <c r="AY5500">
        <v>25</v>
      </c>
      <c r="AZ5500" s="184">
        <v>45030</v>
      </c>
      <c r="BA5500" t="s">
        <v>17096</v>
      </c>
      <c r="BB5500">
        <v>60</v>
      </c>
      <c r="BC5500">
        <v>55</v>
      </c>
      <c r="BD5500">
        <v>590</v>
      </c>
      <c r="BE5500">
        <v>1994</v>
      </c>
      <c r="BF5500">
        <v>24</v>
      </c>
      <c r="BG5500">
        <v>3</v>
      </c>
      <c r="BH5500">
        <v>110</v>
      </c>
      <c r="BI5500">
        <v>17</v>
      </c>
      <c r="BJ5500">
        <v>31</v>
      </c>
      <c r="BK5500">
        <v>4</v>
      </c>
      <c r="BO5500" t="s">
        <v>595</v>
      </c>
      <c r="BP5500" s="184"/>
    </row>
    <row r="5501" spans="1:68">
      <c r="A5501">
        <v>100042435</v>
      </c>
      <c r="B5501">
        <v>100042435</v>
      </c>
      <c r="C5501" t="s">
        <v>7018</v>
      </c>
      <c r="D5501" t="s">
        <v>595</v>
      </c>
      <c r="E5501" s="184">
        <v>44167</v>
      </c>
      <c r="G5501" s="184"/>
      <c r="H5501" t="s">
        <v>595</v>
      </c>
      <c r="I5501" s="184">
        <v>44167</v>
      </c>
      <c r="K5501" s="184"/>
      <c r="M5501" s="184"/>
      <c r="O5501" s="184"/>
      <c r="P5501" t="s">
        <v>7045</v>
      </c>
      <c r="Q5501" t="s">
        <v>7262</v>
      </c>
      <c r="R5501" s="184">
        <v>16803</v>
      </c>
      <c r="S5501">
        <v>78</v>
      </c>
      <c r="U5501" t="s">
        <v>7076</v>
      </c>
      <c r="V5501" t="s">
        <v>3192</v>
      </c>
      <c r="X5501" t="s">
        <v>2839</v>
      </c>
      <c r="Z5501">
        <v>14073290</v>
      </c>
      <c r="AB5501" t="s">
        <v>2511</v>
      </c>
      <c r="AD5501" t="s">
        <v>38457</v>
      </c>
      <c r="AF5501" t="s">
        <v>38458</v>
      </c>
      <c r="AG5501" t="s">
        <v>3192</v>
      </c>
      <c r="AI5501" t="s">
        <v>38459</v>
      </c>
      <c r="AM5501" t="s">
        <v>5836</v>
      </c>
      <c r="AN5501" t="s">
        <v>65</v>
      </c>
      <c r="AO5501" t="s">
        <v>38460</v>
      </c>
      <c r="AP5501" t="s">
        <v>7024</v>
      </c>
      <c r="AQ5501" t="s">
        <v>38463</v>
      </c>
      <c r="AT5501" s="184"/>
      <c r="AW5501" s="184"/>
      <c r="AZ5501" s="184"/>
      <c r="BP5501" s="184"/>
    </row>
    <row r="5502" spans="1:68">
      <c r="A5502">
        <v>15824832</v>
      </c>
      <c r="B5502">
        <v>100043144</v>
      </c>
      <c r="C5502" t="s">
        <v>7018</v>
      </c>
      <c r="E5502" s="184"/>
      <c r="G5502" s="184"/>
      <c r="I5502" s="184"/>
      <c r="J5502" t="s">
        <v>595</v>
      </c>
      <c r="K5502" s="184">
        <v>44642</v>
      </c>
      <c r="M5502" s="184"/>
      <c r="O5502" s="184"/>
      <c r="P5502" t="s">
        <v>7029</v>
      </c>
      <c r="Q5502" t="s">
        <v>7030</v>
      </c>
      <c r="R5502" s="184">
        <v>19664</v>
      </c>
      <c r="S5502">
        <v>70</v>
      </c>
      <c r="U5502" t="s">
        <v>7032</v>
      </c>
      <c r="V5502" t="s">
        <v>3304</v>
      </c>
      <c r="W5502" t="s">
        <v>3830</v>
      </c>
      <c r="X5502" t="s">
        <v>38464</v>
      </c>
      <c r="Z5502">
        <v>100043144</v>
      </c>
      <c r="AA5502" t="s">
        <v>7032</v>
      </c>
      <c r="AB5502" t="s">
        <v>5057</v>
      </c>
      <c r="AC5502" t="s">
        <v>3830</v>
      </c>
      <c r="AD5502" t="s">
        <v>38465</v>
      </c>
      <c r="AF5502" t="s">
        <v>38466</v>
      </c>
      <c r="AG5502" t="s">
        <v>38467</v>
      </c>
      <c r="AI5502" t="s">
        <v>38468</v>
      </c>
      <c r="AM5502" t="s">
        <v>12381</v>
      </c>
      <c r="AN5502" t="s">
        <v>2638</v>
      </c>
      <c r="AO5502" t="s">
        <v>38469</v>
      </c>
      <c r="AP5502" t="s">
        <v>7024</v>
      </c>
      <c r="AQ5502" t="s">
        <v>38470</v>
      </c>
      <c r="AR5502" t="s">
        <v>38471</v>
      </c>
      <c r="AT5502" s="184">
        <v>34380</v>
      </c>
      <c r="AU5502" t="s">
        <v>15321</v>
      </c>
      <c r="AV5502">
        <v>25</v>
      </c>
      <c r="AW5502" s="184">
        <v>45064</v>
      </c>
      <c r="AX5502" t="s">
        <v>9057</v>
      </c>
      <c r="AY5502">
        <v>1000</v>
      </c>
      <c r="AZ5502" s="184">
        <v>44300</v>
      </c>
      <c r="BA5502" t="s">
        <v>38472</v>
      </c>
      <c r="BB5502">
        <v>1600</v>
      </c>
      <c r="BC5502">
        <v>97</v>
      </c>
      <c r="BD5502">
        <v>20325</v>
      </c>
      <c r="BE5502">
        <v>1994</v>
      </c>
      <c r="BF5502">
        <v>67</v>
      </c>
      <c r="BG5502">
        <v>4</v>
      </c>
      <c r="BH5502">
        <v>2150</v>
      </c>
      <c r="BI5502">
        <v>30</v>
      </c>
      <c r="BJ5502">
        <v>31</v>
      </c>
      <c r="BK5502">
        <v>30</v>
      </c>
      <c r="BP5502" s="184"/>
    </row>
    <row r="5503" spans="1:68">
      <c r="A5503">
        <v>100043144</v>
      </c>
      <c r="B5503">
        <v>100043144</v>
      </c>
      <c r="C5503" t="s">
        <v>7018</v>
      </c>
      <c r="E5503" s="184"/>
      <c r="G5503" s="184"/>
      <c r="I5503" s="184"/>
      <c r="J5503" t="s">
        <v>595</v>
      </c>
      <c r="K5503" s="184">
        <v>44642</v>
      </c>
      <c r="M5503" s="184"/>
      <c r="O5503" s="184"/>
      <c r="P5503" t="s">
        <v>7029</v>
      </c>
      <c r="Q5503" t="s">
        <v>7030</v>
      </c>
      <c r="R5503" s="184">
        <v>19664</v>
      </c>
      <c r="S5503">
        <v>70</v>
      </c>
      <c r="U5503" t="s">
        <v>7032</v>
      </c>
      <c r="V5503" t="s">
        <v>5057</v>
      </c>
      <c r="W5503" t="s">
        <v>3830</v>
      </c>
      <c r="X5503" t="s">
        <v>38465</v>
      </c>
      <c r="Z5503">
        <v>15824832</v>
      </c>
      <c r="AA5503" t="s">
        <v>7032</v>
      </c>
      <c r="AB5503" t="s">
        <v>3304</v>
      </c>
      <c r="AC5503" t="s">
        <v>3830</v>
      </c>
      <c r="AD5503" t="s">
        <v>38464</v>
      </c>
      <c r="AF5503" t="s">
        <v>38466</v>
      </c>
      <c r="AG5503" t="s">
        <v>38467</v>
      </c>
      <c r="AI5503" t="s">
        <v>38468</v>
      </c>
      <c r="AM5503" t="s">
        <v>12381</v>
      </c>
      <c r="AN5503" t="s">
        <v>2638</v>
      </c>
      <c r="AO5503" t="s">
        <v>38469</v>
      </c>
      <c r="AP5503" t="s">
        <v>7024</v>
      </c>
      <c r="AQ5503" t="s">
        <v>38473</v>
      </c>
      <c r="AR5503" t="s">
        <v>38474</v>
      </c>
      <c r="AT5503" s="184">
        <v>44960</v>
      </c>
      <c r="AU5503" t="s">
        <v>38475</v>
      </c>
      <c r="AV5503">
        <v>50</v>
      </c>
      <c r="AW5503" s="184">
        <v>45355</v>
      </c>
      <c r="AX5503" t="s">
        <v>37503</v>
      </c>
      <c r="AY5503">
        <v>1000</v>
      </c>
      <c r="AZ5503" s="184">
        <v>45355</v>
      </c>
      <c r="BA5503" t="s">
        <v>37503</v>
      </c>
      <c r="BB5503">
        <v>1000</v>
      </c>
      <c r="BC5503">
        <v>100</v>
      </c>
      <c r="BD5503">
        <v>1050</v>
      </c>
      <c r="BE5503">
        <v>2023</v>
      </c>
      <c r="BF5503">
        <v>2</v>
      </c>
      <c r="BG5503">
        <v>2</v>
      </c>
      <c r="BH5503">
        <v>1050</v>
      </c>
      <c r="BI5503">
        <v>2</v>
      </c>
      <c r="BJ5503">
        <v>2</v>
      </c>
      <c r="BK5503">
        <v>2</v>
      </c>
      <c r="BP5503" s="184"/>
    </row>
    <row r="5504" spans="1:68">
      <c r="A5504">
        <v>17171018</v>
      </c>
      <c r="B5504">
        <v>100046329</v>
      </c>
      <c r="C5504" t="s">
        <v>7018</v>
      </c>
      <c r="D5504" t="s">
        <v>595</v>
      </c>
      <c r="E5504" s="184">
        <v>45138</v>
      </c>
      <c r="G5504" s="184"/>
      <c r="I5504" s="184"/>
      <c r="K5504" s="184"/>
      <c r="M5504" s="184"/>
      <c r="O5504" s="184"/>
      <c r="P5504" t="s">
        <v>7045</v>
      </c>
      <c r="Q5504" t="s">
        <v>7160</v>
      </c>
      <c r="R5504" s="184">
        <v>17411</v>
      </c>
      <c r="S5504">
        <v>76</v>
      </c>
      <c r="V5504" t="s">
        <v>38476</v>
      </c>
      <c r="X5504" t="s">
        <v>3349</v>
      </c>
      <c r="Z5504">
        <v>100046329</v>
      </c>
      <c r="AB5504" t="s">
        <v>23541</v>
      </c>
      <c r="AD5504" t="s">
        <v>3349</v>
      </c>
      <c r="AF5504" t="s">
        <v>38477</v>
      </c>
      <c r="AG5504" t="s">
        <v>23541</v>
      </c>
      <c r="AI5504" t="s">
        <v>38478</v>
      </c>
      <c r="AM5504" t="s">
        <v>16313</v>
      </c>
      <c r="AN5504" t="s">
        <v>2675</v>
      </c>
      <c r="AO5504" t="s">
        <v>38479</v>
      </c>
      <c r="AP5504" t="s">
        <v>7024</v>
      </c>
      <c r="AT5504" s="184">
        <v>34540</v>
      </c>
      <c r="AU5504" t="s">
        <v>38480</v>
      </c>
      <c r="AV5504">
        <v>25</v>
      </c>
      <c r="AW5504" s="184">
        <v>43003</v>
      </c>
      <c r="AX5504" t="s">
        <v>38481</v>
      </c>
      <c r="AY5504">
        <v>20</v>
      </c>
      <c r="AZ5504" s="184">
        <v>42936</v>
      </c>
      <c r="BA5504" t="s">
        <v>38482</v>
      </c>
      <c r="BB5504">
        <v>25</v>
      </c>
      <c r="BC5504">
        <v>20</v>
      </c>
      <c r="BD5504">
        <v>145</v>
      </c>
      <c r="BE5504">
        <v>1995</v>
      </c>
      <c r="BF5504">
        <v>7</v>
      </c>
      <c r="BI5504">
        <v>6</v>
      </c>
      <c r="BJ5504">
        <v>31</v>
      </c>
      <c r="BK5504">
        <v>2</v>
      </c>
      <c r="BO5504" t="s">
        <v>595</v>
      </c>
      <c r="BP5504" s="184"/>
    </row>
    <row r="5505" spans="1:68">
      <c r="A5505">
        <v>100046329</v>
      </c>
      <c r="B5505">
        <v>100046329</v>
      </c>
      <c r="C5505" t="s">
        <v>7018</v>
      </c>
      <c r="D5505" t="s">
        <v>595</v>
      </c>
      <c r="E5505" s="184">
        <v>45138</v>
      </c>
      <c r="G5505" s="184"/>
      <c r="I5505" s="184"/>
      <c r="K5505" s="184"/>
      <c r="M5505" s="184"/>
      <c r="O5505" s="184"/>
      <c r="P5505" t="s">
        <v>7045</v>
      </c>
      <c r="Q5505" t="s">
        <v>7160</v>
      </c>
      <c r="R5505" s="184">
        <v>17430</v>
      </c>
      <c r="S5505">
        <v>76</v>
      </c>
      <c r="V5505" t="s">
        <v>23541</v>
      </c>
      <c r="X5505" t="s">
        <v>3349</v>
      </c>
      <c r="Z5505">
        <v>17171018</v>
      </c>
      <c r="AB5505" t="s">
        <v>38476</v>
      </c>
      <c r="AD5505" t="s">
        <v>3349</v>
      </c>
      <c r="AF5505" t="s">
        <v>38477</v>
      </c>
      <c r="AG5505" t="s">
        <v>23541</v>
      </c>
      <c r="AI5505" t="s">
        <v>38478</v>
      </c>
      <c r="AM5505" t="s">
        <v>16313</v>
      </c>
      <c r="AN5505" t="s">
        <v>2675</v>
      </c>
      <c r="AO5505" t="s">
        <v>38479</v>
      </c>
      <c r="AP5505" t="s">
        <v>7024</v>
      </c>
      <c r="AQ5505" t="s">
        <v>38483</v>
      </c>
      <c r="AT5505" s="184">
        <v>44701</v>
      </c>
      <c r="AU5505" t="s">
        <v>38484</v>
      </c>
      <c r="AV5505">
        <v>15</v>
      </c>
      <c r="AW5505" s="184">
        <v>45357</v>
      </c>
      <c r="AX5505" t="s">
        <v>7438</v>
      </c>
      <c r="AY5505">
        <v>35</v>
      </c>
      <c r="AZ5505" s="184">
        <v>45252</v>
      </c>
      <c r="BA5505" t="s">
        <v>8197</v>
      </c>
      <c r="BB5505">
        <v>40</v>
      </c>
      <c r="BC5505">
        <v>100</v>
      </c>
      <c r="BD5505">
        <v>155</v>
      </c>
      <c r="BE5505">
        <v>2022</v>
      </c>
      <c r="BF5505">
        <v>6</v>
      </c>
      <c r="BG5505">
        <v>6</v>
      </c>
      <c r="BH5505">
        <v>155</v>
      </c>
      <c r="BI5505">
        <v>3</v>
      </c>
      <c r="BJ5505">
        <v>3</v>
      </c>
      <c r="BK5505">
        <v>3</v>
      </c>
      <c r="BP5505" s="184"/>
    </row>
    <row r="5506" spans="1:68">
      <c r="A5506">
        <v>18230755</v>
      </c>
      <c r="B5506">
        <v>100049420</v>
      </c>
      <c r="C5506" t="s">
        <v>7018</v>
      </c>
      <c r="D5506" t="s">
        <v>595</v>
      </c>
      <c r="E5506" s="184">
        <v>43971</v>
      </c>
      <c r="G5506" s="184"/>
      <c r="I5506" s="184"/>
      <c r="K5506" s="184"/>
      <c r="M5506" s="184"/>
      <c r="O5506" s="184"/>
      <c r="P5506" t="s">
        <v>7045</v>
      </c>
      <c r="Q5506" t="s">
        <v>7160</v>
      </c>
      <c r="R5506" s="184">
        <v>17076</v>
      </c>
      <c r="S5506">
        <v>77</v>
      </c>
      <c r="V5506" t="s">
        <v>13795</v>
      </c>
      <c r="W5506" t="s">
        <v>4139</v>
      </c>
      <c r="X5506" t="s">
        <v>4685</v>
      </c>
      <c r="Z5506">
        <v>100049420</v>
      </c>
      <c r="AB5506" t="s">
        <v>25592</v>
      </c>
      <c r="AD5506" t="s">
        <v>4685</v>
      </c>
      <c r="AF5506" t="s">
        <v>38485</v>
      </c>
      <c r="AG5506" t="s">
        <v>25592</v>
      </c>
      <c r="AI5506" t="s">
        <v>38486</v>
      </c>
      <c r="AJ5506">
        <v>318</v>
      </c>
      <c r="AM5506" t="s">
        <v>38487</v>
      </c>
      <c r="AN5506" t="s">
        <v>2446</v>
      </c>
      <c r="AO5506" t="s">
        <v>38488</v>
      </c>
      <c r="AP5506" t="s">
        <v>7024</v>
      </c>
      <c r="AQ5506" t="s">
        <v>38489</v>
      </c>
      <c r="AR5506" t="s">
        <v>38490</v>
      </c>
      <c r="AT5506" s="184">
        <v>34681</v>
      </c>
      <c r="AU5506" t="s">
        <v>38491</v>
      </c>
      <c r="AV5506">
        <v>20</v>
      </c>
      <c r="AW5506" s="184">
        <v>44726</v>
      </c>
      <c r="AX5506" t="s">
        <v>16740</v>
      </c>
      <c r="AY5506">
        <v>50</v>
      </c>
      <c r="AZ5506" s="184">
        <v>44726</v>
      </c>
      <c r="BA5506" t="s">
        <v>16740</v>
      </c>
      <c r="BB5506">
        <v>50</v>
      </c>
      <c r="BC5506">
        <v>88</v>
      </c>
      <c r="BD5506">
        <v>1080</v>
      </c>
      <c r="BE5506">
        <v>1995</v>
      </c>
      <c r="BF5506">
        <v>36</v>
      </c>
      <c r="BG5506">
        <v>1</v>
      </c>
      <c r="BH5506">
        <v>50</v>
      </c>
      <c r="BI5506">
        <v>27</v>
      </c>
      <c r="BJ5506">
        <v>31</v>
      </c>
      <c r="BK5506">
        <v>12</v>
      </c>
      <c r="BN5506" t="s">
        <v>595</v>
      </c>
      <c r="BO5506" t="s">
        <v>595</v>
      </c>
      <c r="BP5506" s="184"/>
    </row>
    <row r="5507" spans="1:68">
      <c r="A5507">
        <v>100049420</v>
      </c>
      <c r="B5507">
        <v>100049420</v>
      </c>
      <c r="C5507" t="s">
        <v>7018</v>
      </c>
      <c r="D5507" t="s">
        <v>595</v>
      </c>
      <c r="E5507" s="184">
        <v>43971</v>
      </c>
      <c r="G5507" s="184"/>
      <c r="I5507" s="184"/>
      <c r="K5507" s="184"/>
      <c r="M5507" s="184"/>
      <c r="O5507" s="184"/>
      <c r="P5507" t="s">
        <v>7045</v>
      </c>
      <c r="Q5507" t="s">
        <v>7160</v>
      </c>
      <c r="R5507" s="184">
        <v>15620</v>
      </c>
      <c r="S5507">
        <v>81</v>
      </c>
      <c r="V5507" t="s">
        <v>25592</v>
      </c>
      <c r="X5507" t="s">
        <v>4685</v>
      </c>
      <c r="Z5507">
        <v>18230755</v>
      </c>
      <c r="AB5507" t="s">
        <v>13795</v>
      </c>
      <c r="AC5507" t="s">
        <v>4139</v>
      </c>
      <c r="AD5507" t="s">
        <v>4685</v>
      </c>
      <c r="AF5507" t="s">
        <v>38485</v>
      </c>
      <c r="AG5507" t="s">
        <v>25592</v>
      </c>
      <c r="AI5507" t="s">
        <v>38486</v>
      </c>
      <c r="AJ5507">
        <v>318</v>
      </c>
      <c r="AM5507" t="s">
        <v>38487</v>
      </c>
      <c r="AN5507" t="s">
        <v>2446</v>
      </c>
      <c r="AO5507" t="s">
        <v>38488</v>
      </c>
      <c r="AP5507" t="s">
        <v>7024</v>
      </c>
      <c r="AQ5507" t="s">
        <v>38492</v>
      </c>
      <c r="AT5507" s="184">
        <v>44984</v>
      </c>
      <c r="AU5507" t="s">
        <v>29721</v>
      </c>
      <c r="AV5507">
        <v>50</v>
      </c>
      <c r="AW5507" s="184">
        <v>44984</v>
      </c>
      <c r="AX5507" t="s">
        <v>29721</v>
      </c>
      <c r="AY5507">
        <v>50</v>
      </c>
      <c r="AZ5507" s="184">
        <v>44984</v>
      </c>
      <c r="BA5507" t="s">
        <v>29721</v>
      </c>
      <c r="BB5507">
        <v>50</v>
      </c>
      <c r="BC5507">
        <v>50</v>
      </c>
      <c r="BD5507">
        <v>50</v>
      </c>
      <c r="BE5507">
        <v>2023</v>
      </c>
      <c r="BF5507">
        <v>1</v>
      </c>
      <c r="BG5507">
        <v>1</v>
      </c>
      <c r="BH5507">
        <v>50</v>
      </c>
      <c r="BI5507">
        <v>1</v>
      </c>
      <c r="BJ5507">
        <v>2</v>
      </c>
      <c r="BK5507">
        <v>1</v>
      </c>
      <c r="BP5507" s="184"/>
    </row>
    <row r="5508" spans="1:68">
      <c r="A5508">
        <v>100050437</v>
      </c>
      <c r="B5508">
        <v>100050437</v>
      </c>
      <c r="C5508" t="s">
        <v>7018</v>
      </c>
      <c r="E5508" s="184"/>
      <c r="G5508" s="184"/>
      <c r="I5508" s="184"/>
      <c r="J5508" t="s">
        <v>595</v>
      </c>
      <c r="K5508" s="184">
        <v>37433</v>
      </c>
      <c r="M5508" s="184"/>
      <c r="O5508" s="184"/>
      <c r="Q5508" t="s">
        <v>7030</v>
      </c>
      <c r="R5508" s="184">
        <v>13667</v>
      </c>
      <c r="S5508">
        <v>86</v>
      </c>
      <c r="U5508" t="s">
        <v>7031</v>
      </c>
      <c r="V5508" t="s">
        <v>3908</v>
      </c>
      <c r="X5508" t="s">
        <v>11749</v>
      </c>
      <c r="AF5508" t="s">
        <v>38493</v>
      </c>
      <c r="AG5508" t="s">
        <v>3908</v>
      </c>
      <c r="AI5508" t="s">
        <v>16547</v>
      </c>
      <c r="AM5508" t="s">
        <v>16548</v>
      </c>
      <c r="AN5508" t="s">
        <v>2201</v>
      </c>
      <c r="AO5508" t="s">
        <v>16549</v>
      </c>
      <c r="AP5508" t="s">
        <v>7024</v>
      </c>
      <c r="AT5508" s="184"/>
      <c r="AW5508" s="184"/>
      <c r="AZ5508" s="184"/>
      <c r="BO5508" t="s">
        <v>595</v>
      </c>
      <c r="BP5508" s="184"/>
    </row>
    <row r="5509" spans="1:68">
      <c r="A5509">
        <v>19760362</v>
      </c>
      <c r="B5509">
        <v>100053866</v>
      </c>
      <c r="C5509" t="s">
        <v>7018</v>
      </c>
      <c r="E5509" s="184"/>
      <c r="G5509" s="184"/>
      <c r="I5509" s="184"/>
      <c r="J5509" t="s">
        <v>595</v>
      </c>
      <c r="K5509" s="184">
        <v>38834</v>
      </c>
      <c r="M5509" s="184"/>
      <c r="O5509" s="184"/>
      <c r="P5509" t="s">
        <v>7029</v>
      </c>
      <c r="Q5509" t="s">
        <v>7262</v>
      </c>
      <c r="R5509" s="184">
        <v>9863</v>
      </c>
      <c r="S5509">
        <v>97</v>
      </c>
      <c r="U5509" t="s">
        <v>7031</v>
      </c>
      <c r="V5509" t="s">
        <v>3632</v>
      </c>
      <c r="X5509" t="s">
        <v>3835</v>
      </c>
      <c r="Z5509">
        <v>100053866</v>
      </c>
      <c r="AA5509" t="s">
        <v>7032</v>
      </c>
      <c r="AB5509" t="s">
        <v>38494</v>
      </c>
      <c r="AD5509" t="s">
        <v>3835</v>
      </c>
      <c r="AF5509" t="s">
        <v>6090</v>
      </c>
      <c r="AG5509" t="s">
        <v>38494</v>
      </c>
      <c r="AI5509" t="s">
        <v>38495</v>
      </c>
      <c r="AM5509" t="s">
        <v>3205</v>
      </c>
      <c r="AN5509" t="s">
        <v>2106</v>
      </c>
      <c r="AO5509" t="s">
        <v>38496</v>
      </c>
      <c r="AP5509" t="s">
        <v>7024</v>
      </c>
      <c r="AQ5509" t="s">
        <v>38497</v>
      </c>
      <c r="AR5509" t="s">
        <v>38498</v>
      </c>
      <c r="AT5509" s="184">
        <v>34961</v>
      </c>
      <c r="AU5509" t="s">
        <v>38499</v>
      </c>
      <c r="AV5509">
        <v>25</v>
      </c>
      <c r="AW5509" s="184">
        <v>43493</v>
      </c>
      <c r="AX5509" t="s">
        <v>38500</v>
      </c>
      <c r="AY5509">
        <v>1000</v>
      </c>
      <c r="AZ5509" s="184">
        <v>43493</v>
      </c>
      <c r="BA5509" t="s">
        <v>38500</v>
      </c>
      <c r="BB5509">
        <v>1000</v>
      </c>
      <c r="BC5509">
        <v>64</v>
      </c>
      <c r="BD5509">
        <v>6550</v>
      </c>
      <c r="BE5509">
        <v>1996</v>
      </c>
      <c r="BF5509">
        <v>20</v>
      </c>
      <c r="BI5509">
        <v>19</v>
      </c>
      <c r="BJ5509">
        <v>30</v>
      </c>
      <c r="BK5509">
        <v>11</v>
      </c>
      <c r="BN5509" t="s">
        <v>595</v>
      </c>
      <c r="BO5509" t="s">
        <v>595</v>
      </c>
      <c r="BP5509" s="184">
        <v>43616</v>
      </c>
    </row>
    <row r="5510" spans="1:68">
      <c r="A5510">
        <v>100053866</v>
      </c>
      <c r="B5510">
        <v>100053866</v>
      </c>
      <c r="C5510" t="s">
        <v>7018</v>
      </c>
      <c r="E5510" s="184"/>
      <c r="G5510" s="184"/>
      <c r="I5510" s="184"/>
      <c r="J5510" t="s">
        <v>595</v>
      </c>
      <c r="K5510" s="184">
        <v>38834</v>
      </c>
      <c r="O5510" s="184"/>
      <c r="P5510" t="s">
        <v>7029</v>
      </c>
      <c r="Q5510" t="s">
        <v>7262</v>
      </c>
      <c r="R5510" s="184">
        <v>17971</v>
      </c>
      <c r="S5510">
        <v>75</v>
      </c>
      <c r="U5510" t="s">
        <v>7032</v>
      </c>
      <c r="V5510" t="s">
        <v>38494</v>
      </c>
      <c r="X5510" t="s">
        <v>3835</v>
      </c>
      <c r="Z5510">
        <v>19760362</v>
      </c>
      <c r="AA5510" t="s">
        <v>7031</v>
      </c>
      <c r="AB5510" t="s">
        <v>3632</v>
      </c>
      <c r="AD5510" t="s">
        <v>3835</v>
      </c>
      <c r="AF5510" t="s">
        <v>6090</v>
      </c>
      <c r="AG5510" t="s">
        <v>38494</v>
      </c>
      <c r="AI5510" t="s">
        <v>38495</v>
      </c>
      <c r="AM5510" t="s">
        <v>3205</v>
      </c>
      <c r="AN5510" t="s">
        <v>2106</v>
      </c>
      <c r="AO5510" t="s">
        <v>38496</v>
      </c>
      <c r="AP5510" t="s">
        <v>7024</v>
      </c>
      <c r="AT5510" s="184">
        <v>44614</v>
      </c>
      <c r="AU5510" t="s">
        <v>34931</v>
      </c>
      <c r="AV5510">
        <v>1000</v>
      </c>
      <c r="AW5510" s="184">
        <v>44971</v>
      </c>
      <c r="AX5510" t="s">
        <v>9531</v>
      </c>
      <c r="AY5510">
        <v>1000</v>
      </c>
      <c r="AZ5510" s="184">
        <v>44971</v>
      </c>
      <c r="BA5510" t="s">
        <v>9531</v>
      </c>
      <c r="BB5510">
        <v>1000</v>
      </c>
      <c r="BC5510">
        <v>67</v>
      </c>
      <c r="BD5510">
        <v>2000</v>
      </c>
      <c r="BE5510">
        <v>2022</v>
      </c>
      <c r="BF5510">
        <v>2</v>
      </c>
      <c r="BG5510">
        <v>1</v>
      </c>
      <c r="BH5510">
        <v>1000</v>
      </c>
      <c r="BI5510">
        <v>2</v>
      </c>
      <c r="BJ5510">
        <v>3</v>
      </c>
      <c r="BK5510">
        <v>2</v>
      </c>
      <c r="BP5510" s="184"/>
    </row>
    <row r="5511" spans="1:68">
      <c r="A5511">
        <v>100063447</v>
      </c>
      <c r="B5511">
        <v>100063447</v>
      </c>
      <c r="C5511" t="s">
        <v>7018</v>
      </c>
      <c r="E5511" s="184"/>
      <c r="G5511" s="184"/>
      <c r="I5511" s="184"/>
      <c r="K5511" s="184"/>
      <c r="L5511" t="s">
        <v>595</v>
      </c>
      <c r="M5511" s="184">
        <v>43685</v>
      </c>
      <c r="O5511" s="184"/>
      <c r="P5511" t="s">
        <v>7045</v>
      </c>
      <c r="Q5511" t="s">
        <v>7020</v>
      </c>
      <c r="R5511" s="184">
        <v>17221</v>
      </c>
      <c r="S5511">
        <v>77</v>
      </c>
      <c r="V5511" t="s">
        <v>3080</v>
      </c>
      <c r="X5511" t="s">
        <v>38501</v>
      </c>
      <c r="Z5511">
        <v>23896673</v>
      </c>
      <c r="AA5511" t="s">
        <v>7076</v>
      </c>
      <c r="AB5511" t="s">
        <v>3898</v>
      </c>
      <c r="AD5511" t="s">
        <v>38502</v>
      </c>
      <c r="AF5511" t="s">
        <v>38503</v>
      </c>
      <c r="AG5511" t="s">
        <v>38504</v>
      </c>
      <c r="AI5511" t="s">
        <v>38505</v>
      </c>
      <c r="AM5511" t="s">
        <v>15805</v>
      </c>
      <c r="AN5511" t="s">
        <v>2052</v>
      </c>
      <c r="AO5511" t="s">
        <v>38506</v>
      </c>
      <c r="AP5511" t="s">
        <v>7024</v>
      </c>
      <c r="AT5511" s="184">
        <v>44277</v>
      </c>
      <c r="AU5511" t="s">
        <v>38507</v>
      </c>
      <c r="AV5511">
        <v>200</v>
      </c>
      <c r="AW5511" s="184">
        <v>45363</v>
      </c>
      <c r="AX5511" t="s">
        <v>12049</v>
      </c>
      <c r="AY5511">
        <v>200</v>
      </c>
      <c r="AZ5511" s="184">
        <v>45363</v>
      </c>
      <c r="BA5511" t="s">
        <v>12049</v>
      </c>
      <c r="BB5511">
        <v>200</v>
      </c>
      <c r="BC5511">
        <v>100</v>
      </c>
      <c r="BD5511">
        <v>800</v>
      </c>
      <c r="BE5511">
        <v>2021</v>
      </c>
      <c r="BF5511">
        <v>4</v>
      </c>
      <c r="BG5511">
        <v>2</v>
      </c>
      <c r="BH5511">
        <v>400</v>
      </c>
      <c r="BI5511">
        <v>4</v>
      </c>
      <c r="BJ5511">
        <v>4</v>
      </c>
      <c r="BK5511">
        <v>4</v>
      </c>
      <c r="BP5511" s="184"/>
    </row>
    <row r="5512" spans="1:68">
      <c r="A5512">
        <v>24569881</v>
      </c>
      <c r="B5512">
        <v>100065178</v>
      </c>
      <c r="C5512" t="s">
        <v>7018</v>
      </c>
      <c r="E5512" s="184"/>
      <c r="F5512" t="s">
        <v>595</v>
      </c>
      <c r="G5512" s="184">
        <v>44167</v>
      </c>
      <c r="I5512" s="184"/>
      <c r="K5512" s="184"/>
      <c r="M5512" s="184"/>
      <c r="O5512" s="184"/>
      <c r="P5512" t="s">
        <v>7045</v>
      </c>
      <c r="Q5512" t="s">
        <v>7374</v>
      </c>
      <c r="R5512" s="184">
        <v>12662</v>
      </c>
      <c r="S5512">
        <v>89</v>
      </c>
      <c r="V5512" t="s">
        <v>38508</v>
      </c>
      <c r="W5512" t="s">
        <v>7588</v>
      </c>
      <c r="X5512" t="s">
        <v>38509</v>
      </c>
      <c r="Z5512">
        <v>100065178</v>
      </c>
      <c r="AB5512" t="s">
        <v>26110</v>
      </c>
      <c r="AC5512" t="s">
        <v>7396</v>
      </c>
      <c r="AD5512" t="s">
        <v>38509</v>
      </c>
      <c r="AF5512" t="s">
        <v>38510</v>
      </c>
      <c r="AG5512" t="s">
        <v>26110</v>
      </c>
      <c r="AI5512" t="s">
        <v>38511</v>
      </c>
      <c r="AM5512" t="s">
        <v>27395</v>
      </c>
      <c r="AN5512" t="s">
        <v>2081</v>
      </c>
      <c r="AO5512" t="s">
        <v>38512</v>
      </c>
      <c r="AP5512" t="s">
        <v>7024</v>
      </c>
      <c r="AQ5512" t="s">
        <v>38513</v>
      </c>
      <c r="AR5512" t="s">
        <v>38514</v>
      </c>
      <c r="AT5512" s="184">
        <v>33760</v>
      </c>
      <c r="AU5512" t="s">
        <v>38515</v>
      </c>
      <c r="AV5512">
        <v>15</v>
      </c>
      <c r="AW5512" s="184">
        <v>44586</v>
      </c>
      <c r="AX5512" t="s">
        <v>38516</v>
      </c>
      <c r="AY5512">
        <v>35</v>
      </c>
      <c r="AZ5512" s="184">
        <v>41127</v>
      </c>
      <c r="BA5512" t="s">
        <v>38517</v>
      </c>
      <c r="BB5512">
        <v>65</v>
      </c>
      <c r="BC5512">
        <v>52</v>
      </c>
      <c r="BD5512">
        <v>990</v>
      </c>
      <c r="BE5512">
        <v>1992</v>
      </c>
      <c r="BF5512">
        <v>20</v>
      </c>
      <c r="BI5512">
        <v>17</v>
      </c>
      <c r="BJ5512">
        <v>33</v>
      </c>
      <c r="BK5512">
        <v>6</v>
      </c>
      <c r="BN5512" t="s">
        <v>595</v>
      </c>
      <c r="BO5512" t="s">
        <v>595</v>
      </c>
      <c r="BP5512" s="184"/>
    </row>
    <row r="5513" spans="1:68">
      <c r="A5513">
        <v>100065178</v>
      </c>
      <c r="B5513">
        <v>100065178</v>
      </c>
      <c r="C5513" t="s">
        <v>7018</v>
      </c>
      <c r="E5513" s="184"/>
      <c r="F5513" t="s">
        <v>595</v>
      </c>
      <c r="G5513" s="184">
        <v>44167</v>
      </c>
      <c r="I5513" s="184"/>
      <c r="K5513" s="184"/>
      <c r="M5513" s="184"/>
      <c r="O5513" s="184"/>
      <c r="P5513" t="s">
        <v>7045</v>
      </c>
      <c r="Q5513" t="s">
        <v>7374</v>
      </c>
      <c r="R5513" s="184">
        <v>11787</v>
      </c>
      <c r="S5513">
        <v>92</v>
      </c>
      <c r="V5513" t="s">
        <v>26110</v>
      </c>
      <c r="W5513" t="s">
        <v>7396</v>
      </c>
      <c r="X5513" t="s">
        <v>38509</v>
      </c>
      <c r="Z5513">
        <v>24569881</v>
      </c>
      <c r="AB5513" t="s">
        <v>38508</v>
      </c>
      <c r="AC5513" t="s">
        <v>7588</v>
      </c>
      <c r="AD5513" t="s">
        <v>38509</v>
      </c>
      <c r="AF5513" t="s">
        <v>38510</v>
      </c>
      <c r="AG5513" t="s">
        <v>26110</v>
      </c>
      <c r="AI5513" t="s">
        <v>38511</v>
      </c>
      <c r="AM5513" t="s">
        <v>27395</v>
      </c>
      <c r="AN5513" t="s">
        <v>2081</v>
      </c>
      <c r="AO5513" t="s">
        <v>38512</v>
      </c>
      <c r="AP5513" t="s">
        <v>7024</v>
      </c>
      <c r="AT5513" s="184"/>
      <c r="AW5513" s="184"/>
      <c r="AZ5513" s="184"/>
      <c r="BP5513" s="184"/>
    </row>
    <row r="5514" spans="1:68">
      <c r="A5514">
        <v>26871541</v>
      </c>
      <c r="B5514">
        <v>100070650</v>
      </c>
      <c r="C5514" t="s">
        <v>7018</v>
      </c>
      <c r="E5514" s="184"/>
      <c r="G5514" s="184"/>
      <c r="H5514" t="s">
        <v>595</v>
      </c>
      <c r="I5514" s="184">
        <v>44403</v>
      </c>
      <c r="K5514" s="184"/>
      <c r="M5514" s="184"/>
      <c r="O5514" s="184"/>
      <c r="P5514" t="s">
        <v>7045</v>
      </c>
      <c r="Q5514" t="s">
        <v>7383</v>
      </c>
      <c r="R5514" s="184">
        <v>11768</v>
      </c>
      <c r="S5514">
        <v>92</v>
      </c>
      <c r="V5514" t="s">
        <v>4325</v>
      </c>
      <c r="X5514" t="s">
        <v>5111</v>
      </c>
      <c r="Z5514">
        <v>100070650</v>
      </c>
      <c r="AB5514" t="s">
        <v>2804</v>
      </c>
      <c r="AD5514" t="s">
        <v>5111</v>
      </c>
      <c r="AF5514" t="s">
        <v>5113</v>
      </c>
      <c r="AG5514" t="s">
        <v>2804</v>
      </c>
      <c r="AI5514" t="s">
        <v>38518</v>
      </c>
      <c r="AM5514" t="s">
        <v>11463</v>
      </c>
      <c r="AN5514" t="s">
        <v>2144</v>
      </c>
      <c r="AO5514" t="s">
        <v>38519</v>
      </c>
      <c r="AP5514" t="s">
        <v>7024</v>
      </c>
      <c r="AT5514" s="184">
        <v>35733</v>
      </c>
      <c r="AU5514" t="s">
        <v>38520</v>
      </c>
      <c r="AV5514">
        <v>50</v>
      </c>
      <c r="AW5514" s="184">
        <v>44123</v>
      </c>
      <c r="AX5514" t="s">
        <v>38521</v>
      </c>
      <c r="AY5514">
        <v>35</v>
      </c>
      <c r="AZ5514" s="184">
        <v>37306</v>
      </c>
      <c r="BA5514" t="s">
        <v>38522</v>
      </c>
      <c r="BB5514">
        <v>100</v>
      </c>
      <c r="BC5514">
        <v>79</v>
      </c>
      <c r="BD5514">
        <v>960</v>
      </c>
      <c r="BE5514">
        <v>1998</v>
      </c>
      <c r="BF5514">
        <v>23</v>
      </c>
      <c r="BI5514">
        <v>22</v>
      </c>
      <c r="BJ5514">
        <v>28</v>
      </c>
      <c r="BK5514">
        <v>8</v>
      </c>
      <c r="BO5514" t="s">
        <v>595</v>
      </c>
      <c r="BP5514" s="184"/>
    </row>
    <row r="5515" spans="1:68">
      <c r="A5515">
        <v>100070650</v>
      </c>
      <c r="B5515">
        <v>100070650</v>
      </c>
      <c r="C5515" t="s">
        <v>7018</v>
      </c>
      <c r="E5515" s="184"/>
      <c r="G5515" s="184"/>
      <c r="H5515" t="s">
        <v>595</v>
      </c>
      <c r="I5515" s="184">
        <v>44403</v>
      </c>
      <c r="K5515" s="184"/>
      <c r="M5515" s="184"/>
      <c r="O5515" s="184"/>
      <c r="P5515" t="s">
        <v>7045</v>
      </c>
      <c r="Q5515" t="s">
        <v>7383</v>
      </c>
      <c r="R5515" s="184">
        <v>13738</v>
      </c>
      <c r="S5515">
        <v>86</v>
      </c>
      <c r="V5515" t="s">
        <v>2804</v>
      </c>
      <c r="X5515" t="s">
        <v>5111</v>
      </c>
      <c r="Z5515">
        <v>26871541</v>
      </c>
      <c r="AB5515" t="s">
        <v>4325</v>
      </c>
      <c r="AD5515" t="s">
        <v>5111</v>
      </c>
      <c r="AF5515" t="s">
        <v>5113</v>
      </c>
      <c r="AG5515" t="s">
        <v>2804</v>
      </c>
      <c r="AI5515" t="s">
        <v>38518</v>
      </c>
      <c r="AM5515" t="s">
        <v>11463</v>
      </c>
      <c r="AN5515" t="s">
        <v>2144</v>
      </c>
      <c r="AO5515" t="s">
        <v>38519</v>
      </c>
      <c r="AP5515" t="s">
        <v>7024</v>
      </c>
      <c r="AT5515" s="184"/>
      <c r="AW5515" s="184"/>
      <c r="AZ5515" s="184"/>
      <c r="BP5515" s="184"/>
    </row>
    <row r="5516" spans="1:68">
      <c r="A5516">
        <v>30292049</v>
      </c>
      <c r="B5516">
        <v>100082908</v>
      </c>
      <c r="C5516" t="s">
        <v>7018</v>
      </c>
      <c r="E5516" s="184"/>
      <c r="G5516" s="184"/>
      <c r="I5516" s="184"/>
      <c r="K5516" s="184"/>
      <c r="M5516" s="184"/>
      <c r="N5516" t="s">
        <v>595</v>
      </c>
      <c r="O5516" s="184">
        <v>37592</v>
      </c>
      <c r="P5516" t="s">
        <v>7045</v>
      </c>
      <c r="Q5516" t="s">
        <v>7383</v>
      </c>
      <c r="R5516" s="184">
        <v>8627</v>
      </c>
      <c r="S5516">
        <v>100</v>
      </c>
      <c r="U5516" t="s">
        <v>7031</v>
      </c>
      <c r="V5516" t="s">
        <v>3825</v>
      </c>
      <c r="X5516" t="s">
        <v>38523</v>
      </c>
      <c r="Z5516">
        <v>100082908</v>
      </c>
      <c r="AA5516" t="s">
        <v>7076</v>
      </c>
      <c r="AB5516" t="s">
        <v>2876</v>
      </c>
      <c r="AD5516" t="s">
        <v>38523</v>
      </c>
      <c r="AF5516" t="s">
        <v>6023</v>
      </c>
      <c r="AG5516" t="s">
        <v>2876</v>
      </c>
      <c r="AI5516" t="s">
        <v>38524</v>
      </c>
      <c r="AM5516" t="s">
        <v>38525</v>
      </c>
      <c r="AN5516" t="s">
        <v>2059</v>
      </c>
      <c r="AO5516" t="s">
        <v>38526</v>
      </c>
      <c r="AP5516" t="s">
        <v>7024</v>
      </c>
      <c r="AT5516" s="184">
        <v>36448</v>
      </c>
      <c r="AU5516" t="s">
        <v>38527</v>
      </c>
      <c r="AV5516">
        <v>20</v>
      </c>
      <c r="AW5516" s="184">
        <v>42345</v>
      </c>
      <c r="AX5516" t="s">
        <v>38528</v>
      </c>
      <c r="AY5516">
        <v>25</v>
      </c>
      <c r="AZ5516" s="184">
        <v>37592</v>
      </c>
      <c r="BA5516" t="s">
        <v>7180</v>
      </c>
      <c r="BB5516">
        <v>10000</v>
      </c>
      <c r="BC5516">
        <v>31</v>
      </c>
      <c r="BD5516">
        <v>10390.16</v>
      </c>
      <c r="BE5516">
        <v>2000</v>
      </c>
      <c r="BF5516">
        <v>15</v>
      </c>
      <c r="BI5516">
        <v>8</v>
      </c>
      <c r="BJ5516">
        <v>26</v>
      </c>
      <c r="BK5516">
        <v>2</v>
      </c>
      <c r="BO5516" t="s">
        <v>595</v>
      </c>
      <c r="BP5516" s="184">
        <v>43520</v>
      </c>
    </row>
    <row r="5517" spans="1:68">
      <c r="A5517">
        <v>31736655</v>
      </c>
      <c r="B5517">
        <v>100088235</v>
      </c>
      <c r="C5517" t="s">
        <v>7018</v>
      </c>
      <c r="E5517" s="184"/>
      <c r="G5517" s="184"/>
      <c r="I5517" s="184"/>
      <c r="J5517" t="s">
        <v>595</v>
      </c>
      <c r="K5517" s="184">
        <v>38786</v>
      </c>
      <c r="M5517" s="184"/>
      <c r="N5517" t="s">
        <v>595</v>
      </c>
      <c r="O5517" s="184">
        <v>40711</v>
      </c>
      <c r="P5517" t="s">
        <v>7029</v>
      </c>
      <c r="Q5517" t="s">
        <v>7030</v>
      </c>
      <c r="R5517" s="184">
        <v>15763</v>
      </c>
      <c r="S5517">
        <v>81</v>
      </c>
      <c r="U5517" t="s">
        <v>7032</v>
      </c>
      <c r="V5517" t="s">
        <v>3246</v>
      </c>
      <c r="W5517" t="s">
        <v>7560</v>
      </c>
      <c r="X5517" t="s">
        <v>5936</v>
      </c>
      <c r="Z5517">
        <v>100088235</v>
      </c>
      <c r="AA5517" t="s">
        <v>7076</v>
      </c>
      <c r="AB5517" t="s">
        <v>5934</v>
      </c>
      <c r="AD5517" t="s">
        <v>5935</v>
      </c>
      <c r="AF5517" t="s">
        <v>38529</v>
      </c>
      <c r="AG5517" t="s">
        <v>5934</v>
      </c>
      <c r="AI5517" t="s">
        <v>38530</v>
      </c>
      <c r="AM5517" t="s">
        <v>2717</v>
      </c>
      <c r="AN5517" t="s">
        <v>2089</v>
      </c>
      <c r="AO5517" t="s">
        <v>38531</v>
      </c>
      <c r="AP5517" t="s">
        <v>7024</v>
      </c>
      <c r="AQ5517" t="s">
        <v>38532</v>
      </c>
      <c r="AR5517" t="s">
        <v>38533</v>
      </c>
      <c r="AT5517" s="184">
        <v>36696</v>
      </c>
      <c r="AU5517" t="s">
        <v>38534</v>
      </c>
      <c r="AV5517">
        <v>15</v>
      </c>
      <c r="AW5517" s="184">
        <v>45062</v>
      </c>
      <c r="AX5517" t="s">
        <v>9959</v>
      </c>
      <c r="AY5517">
        <v>500</v>
      </c>
      <c r="AZ5517" s="184">
        <v>40711</v>
      </c>
      <c r="BA5517" t="s">
        <v>7415</v>
      </c>
      <c r="BB5517">
        <v>10158.4</v>
      </c>
      <c r="BC5517">
        <v>96</v>
      </c>
      <c r="BD5517">
        <v>14003.4</v>
      </c>
      <c r="BE5517">
        <v>2000</v>
      </c>
      <c r="BF5517">
        <v>39</v>
      </c>
      <c r="BG5517">
        <v>2</v>
      </c>
      <c r="BH5517">
        <v>600</v>
      </c>
      <c r="BI5517">
        <v>24</v>
      </c>
      <c r="BJ5517">
        <v>25</v>
      </c>
      <c r="BK5517">
        <v>24</v>
      </c>
      <c r="BO5517" t="s">
        <v>595</v>
      </c>
      <c r="BP5517" s="184"/>
    </row>
    <row r="5518" spans="1:68">
      <c r="A5518">
        <v>100088235</v>
      </c>
      <c r="B5518">
        <v>100088235</v>
      </c>
      <c r="C5518" t="s">
        <v>7018</v>
      </c>
      <c r="E5518" s="184"/>
      <c r="G5518" s="184"/>
      <c r="I5518" s="184"/>
      <c r="K5518" s="184"/>
      <c r="M5518" s="184"/>
      <c r="N5518" t="s">
        <v>595</v>
      </c>
      <c r="O5518" s="184">
        <v>40711</v>
      </c>
      <c r="P5518" t="s">
        <v>7029</v>
      </c>
      <c r="Q5518" t="s">
        <v>7030</v>
      </c>
      <c r="R5518" s="184">
        <v>17593</v>
      </c>
      <c r="S5518">
        <v>76</v>
      </c>
      <c r="U5518" t="s">
        <v>7076</v>
      </c>
      <c r="V5518" t="s">
        <v>5934</v>
      </c>
      <c r="X5518" t="s">
        <v>5935</v>
      </c>
      <c r="Z5518">
        <v>31736655</v>
      </c>
      <c r="AA5518" t="s">
        <v>7032</v>
      </c>
      <c r="AB5518" t="s">
        <v>3246</v>
      </c>
      <c r="AC5518" t="s">
        <v>7560</v>
      </c>
      <c r="AD5518" t="s">
        <v>5936</v>
      </c>
      <c r="AF5518" t="s">
        <v>38529</v>
      </c>
      <c r="AG5518" t="s">
        <v>5934</v>
      </c>
      <c r="AI5518" t="s">
        <v>38530</v>
      </c>
      <c r="AM5518" t="s">
        <v>2717</v>
      </c>
      <c r="AN5518" t="s">
        <v>2089</v>
      </c>
      <c r="AO5518" t="s">
        <v>38531</v>
      </c>
      <c r="AP5518" t="s">
        <v>7024</v>
      </c>
      <c r="AQ5518" t="s">
        <v>38535</v>
      </c>
      <c r="AR5518" t="s">
        <v>38536</v>
      </c>
      <c r="AT5518" s="184">
        <v>44728</v>
      </c>
      <c r="AU5518" t="s">
        <v>31714</v>
      </c>
      <c r="AV5518">
        <v>50</v>
      </c>
      <c r="AW5518" s="184">
        <v>45190</v>
      </c>
      <c r="AX5518" t="s">
        <v>38537</v>
      </c>
      <c r="AY5518">
        <v>1000</v>
      </c>
      <c r="AZ5518" s="184">
        <v>45190</v>
      </c>
      <c r="BA5518" t="s">
        <v>38537</v>
      </c>
      <c r="BB5518">
        <v>1000</v>
      </c>
      <c r="BC5518">
        <v>67</v>
      </c>
      <c r="BD5518">
        <v>1050</v>
      </c>
      <c r="BE5518">
        <v>2022</v>
      </c>
      <c r="BF5518">
        <v>2</v>
      </c>
      <c r="BG5518">
        <v>2</v>
      </c>
      <c r="BH5518">
        <v>1050</v>
      </c>
      <c r="BI5518">
        <v>2</v>
      </c>
      <c r="BJ5518">
        <v>3</v>
      </c>
      <c r="BK5518">
        <v>2</v>
      </c>
      <c r="BP5518" s="184"/>
    </row>
    <row r="5519" spans="1:68">
      <c r="A5519">
        <v>36574978</v>
      </c>
      <c r="B5519">
        <v>100103003</v>
      </c>
      <c r="C5519" t="s">
        <v>7018</v>
      </c>
      <c r="E5519" s="184"/>
      <c r="F5519" t="s">
        <v>595</v>
      </c>
      <c r="G5519" s="184">
        <v>43731</v>
      </c>
      <c r="I5519" s="184"/>
      <c r="K5519" s="184"/>
      <c r="M5519" s="184"/>
      <c r="O5519" s="184"/>
      <c r="P5519" t="s">
        <v>7045</v>
      </c>
      <c r="Q5519" t="s">
        <v>7383</v>
      </c>
      <c r="R5519" s="184">
        <v>11810</v>
      </c>
      <c r="S5519">
        <v>92</v>
      </c>
      <c r="U5519" t="s">
        <v>7032</v>
      </c>
      <c r="V5519" t="s">
        <v>4013</v>
      </c>
      <c r="W5519" t="s">
        <v>3035</v>
      </c>
      <c r="X5519" t="s">
        <v>3870</v>
      </c>
      <c r="Z5519">
        <v>100103003</v>
      </c>
      <c r="AA5519" t="s">
        <v>8046</v>
      </c>
      <c r="AB5519" t="s">
        <v>3072</v>
      </c>
      <c r="AC5519" t="s">
        <v>4139</v>
      </c>
      <c r="AD5519" t="s">
        <v>3870</v>
      </c>
      <c r="AF5519" t="s">
        <v>38538</v>
      </c>
      <c r="AG5519" t="s">
        <v>3072</v>
      </c>
      <c r="AI5519" t="s">
        <v>38539</v>
      </c>
      <c r="AM5519" t="s">
        <v>12711</v>
      </c>
      <c r="AN5519" t="s">
        <v>2059</v>
      </c>
      <c r="AO5519" t="s">
        <v>38540</v>
      </c>
      <c r="AP5519" t="s">
        <v>7024</v>
      </c>
      <c r="AQ5519" t="s">
        <v>38541</v>
      </c>
      <c r="AR5519" t="s">
        <v>38542</v>
      </c>
      <c r="AT5519" s="184">
        <v>37950</v>
      </c>
      <c r="AU5519" t="s">
        <v>38543</v>
      </c>
      <c r="AV5519">
        <v>25</v>
      </c>
      <c r="AW5519" s="184">
        <v>45229</v>
      </c>
      <c r="AX5519" t="s">
        <v>10022</v>
      </c>
      <c r="AY5519">
        <v>40</v>
      </c>
      <c r="AZ5519" s="184">
        <v>42993</v>
      </c>
      <c r="BA5519" t="s">
        <v>8586</v>
      </c>
      <c r="BB5519">
        <v>60</v>
      </c>
      <c r="BC5519">
        <v>64</v>
      </c>
      <c r="BD5519">
        <v>607</v>
      </c>
      <c r="BE5519">
        <v>2004</v>
      </c>
      <c r="BF5519">
        <v>18</v>
      </c>
      <c r="BG5519">
        <v>2</v>
      </c>
      <c r="BH5519">
        <v>80</v>
      </c>
      <c r="BI5519">
        <v>14</v>
      </c>
      <c r="BJ5519">
        <v>22</v>
      </c>
      <c r="BK5519">
        <v>5</v>
      </c>
      <c r="BN5519" t="s">
        <v>595</v>
      </c>
      <c r="BO5519" t="s">
        <v>595</v>
      </c>
      <c r="BP5519" s="184"/>
    </row>
    <row r="5520" spans="1:68">
      <c r="A5520">
        <v>100103003</v>
      </c>
      <c r="B5520">
        <v>100103003</v>
      </c>
      <c r="C5520" t="s">
        <v>7018</v>
      </c>
      <c r="E5520" s="184"/>
      <c r="F5520" t="s">
        <v>595</v>
      </c>
      <c r="G5520" s="184">
        <v>43731</v>
      </c>
      <c r="I5520" s="184"/>
      <c r="K5520" s="184"/>
      <c r="M5520" s="184"/>
      <c r="O5520" s="184"/>
      <c r="P5520" t="s">
        <v>7045</v>
      </c>
      <c r="Q5520" t="s">
        <v>7383</v>
      </c>
      <c r="R5520" s="184">
        <v>12722</v>
      </c>
      <c r="S5520">
        <v>89</v>
      </c>
      <c r="U5520" t="s">
        <v>8046</v>
      </c>
      <c r="V5520" t="s">
        <v>3072</v>
      </c>
      <c r="W5520" t="s">
        <v>4139</v>
      </c>
      <c r="X5520" t="s">
        <v>3870</v>
      </c>
      <c r="Z5520">
        <v>36574978</v>
      </c>
      <c r="AA5520" t="s">
        <v>7032</v>
      </c>
      <c r="AB5520" t="s">
        <v>4013</v>
      </c>
      <c r="AC5520" t="s">
        <v>3035</v>
      </c>
      <c r="AD5520" t="s">
        <v>3870</v>
      </c>
      <c r="AF5520" t="s">
        <v>38538</v>
      </c>
      <c r="AG5520" t="s">
        <v>3072</v>
      </c>
      <c r="AI5520" t="s">
        <v>38539</v>
      </c>
      <c r="AM5520" t="s">
        <v>12711</v>
      </c>
      <c r="AN5520" t="s">
        <v>2059</v>
      </c>
      <c r="AO5520" t="s">
        <v>38540</v>
      </c>
      <c r="AP5520" t="s">
        <v>7024</v>
      </c>
      <c r="AT5520" s="184">
        <v>43833</v>
      </c>
      <c r="AU5520" t="s">
        <v>7940</v>
      </c>
      <c r="AV5520">
        <v>15</v>
      </c>
      <c r="AW5520" s="184">
        <v>43833</v>
      </c>
      <c r="AX5520" t="s">
        <v>7940</v>
      </c>
      <c r="AY5520">
        <v>15</v>
      </c>
      <c r="AZ5520" s="184">
        <v>43833</v>
      </c>
      <c r="BA5520" t="s">
        <v>7940</v>
      </c>
      <c r="BB5520">
        <v>15</v>
      </c>
      <c r="BC5520">
        <v>20</v>
      </c>
      <c r="BD5520">
        <v>15</v>
      </c>
      <c r="BE5520">
        <v>2020</v>
      </c>
      <c r="BF5520">
        <v>1</v>
      </c>
      <c r="BI5520">
        <v>1</v>
      </c>
      <c r="BJ5520">
        <v>5</v>
      </c>
      <c r="BK5520">
        <v>1</v>
      </c>
      <c r="BP5520" s="184"/>
    </row>
    <row r="5521" spans="1:68">
      <c r="A5521">
        <v>38567251</v>
      </c>
      <c r="B5521">
        <v>100112227</v>
      </c>
      <c r="C5521" t="s">
        <v>7018</v>
      </c>
      <c r="D5521" t="s">
        <v>595</v>
      </c>
      <c r="E5521" s="184">
        <v>44438</v>
      </c>
      <c r="G5521" s="184"/>
      <c r="I5521" s="184"/>
      <c r="K5521" s="184"/>
      <c r="M5521" s="184"/>
      <c r="O5521" s="184"/>
      <c r="P5521" t="s">
        <v>7045</v>
      </c>
      <c r="Q5521" t="s">
        <v>7383</v>
      </c>
      <c r="R5521" s="184">
        <v>10728</v>
      </c>
      <c r="S5521">
        <v>95</v>
      </c>
      <c r="V5521" t="s">
        <v>2898</v>
      </c>
      <c r="W5521" t="s">
        <v>205</v>
      </c>
      <c r="X5521" t="s">
        <v>38544</v>
      </c>
      <c r="Z5521">
        <v>100112227</v>
      </c>
      <c r="AB5521" t="s">
        <v>3043</v>
      </c>
      <c r="AD5521" t="s">
        <v>38544</v>
      </c>
      <c r="AF5521" t="s">
        <v>38545</v>
      </c>
      <c r="AG5521" t="s">
        <v>3043</v>
      </c>
      <c r="AI5521" t="s">
        <v>38546</v>
      </c>
      <c r="AM5521" t="s">
        <v>3067</v>
      </c>
      <c r="AN5521" t="s">
        <v>2274</v>
      </c>
      <c r="AO5521" t="s">
        <v>38547</v>
      </c>
      <c r="AP5521" t="s">
        <v>7024</v>
      </c>
      <c r="AT5521" s="184">
        <v>38741</v>
      </c>
      <c r="AU5521" t="s">
        <v>25024</v>
      </c>
      <c r="AV5521">
        <v>25</v>
      </c>
      <c r="AW5521" s="184">
        <v>45174</v>
      </c>
      <c r="AX5521" t="s">
        <v>29036</v>
      </c>
      <c r="AY5521">
        <v>25</v>
      </c>
      <c r="AZ5521" s="184">
        <v>39752</v>
      </c>
      <c r="BA5521" t="s">
        <v>25195</v>
      </c>
      <c r="BB5521">
        <v>35</v>
      </c>
      <c r="BC5521">
        <v>53</v>
      </c>
      <c r="BD5521">
        <v>325</v>
      </c>
      <c r="BE5521">
        <v>2006</v>
      </c>
      <c r="BF5521">
        <v>14</v>
      </c>
      <c r="BG5521">
        <v>2</v>
      </c>
      <c r="BH5521">
        <v>50</v>
      </c>
      <c r="BI5521">
        <v>10</v>
      </c>
      <c r="BJ5521">
        <v>19</v>
      </c>
      <c r="BK5521">
        <v>3</v>
      </c>
      <c r="BO5521" t="s">
        <v>595</v>
      </c>
      <c r="BP5521" s="184"/>
    </row>
    <row r="5522" spans="1:68">
      <c r="A5522">
        <v>100112227</v>
      </c>
      <c r="B5522">
        <v>100112227</v>
      </c>
      <c r="C5522" t="s">
        <v>7018</v>
      </c>
      <c r="D5522" t="s">
        <v>595</v>
      </c>
      <c r="E5522" s="184">
        <v>44438</v>
      </c>
      <c r="G5522" s="184"/>
      <c r="I5522" s="184"/>
      <c r="K5522" s="184"/>
      <c r="M5522" s="184"/>
      <c r="O5522" s="184"/>
      <c r="P5522" t="s">
        <v>7045</v>
      </c>
      <c r="Q5522" t="s">
        <v>7383</v>
      </c>
      <c r="R5522" s="184">
        <v>13784</v>
      </c>
      <c r="S5522">
        <v>86</v>
      </c>
      <c r="V5522" t="s">
        <v>3043</v>
      </c>
      <c r="X5522" t="s">
        <v>38544</v>
      </c>
      <c r="Z5522">
        <v>38567251</v>
      </c>
      <c r="AB5522" t="s">
        <v>2898</v>
      </c>
      <c r="AC5522" t="s">
        <v>205</v>
      </c>
      <c r="AD5522" t="s">
        <v>38544</v>
      </c>
      <c r="AF5522" t="s">
        <v>38545</v>
      </c>
      <c r="AG5522" t="s">
        <v>3043</v>
      </c>
      <c r="AI5522" t="s">
        <v>38546</v>
      </c>
      <c r="AM5522" t="s">
        <v>3067</v>
      </c>
      <c r="AN5522" t="s">
        <v>2274</v>
      </c>
      <c r="AO5522" t="s">
        <v>38547</v>
      </c>
      <c r="AP5522" t="s">
        <v>7024</v>
      </c>
      <c r="AQ5522" t="s">
        <v>38548</v>
      </c>
      <c r="AT5522" s="184"/>
      <c r="AW5522" s="184"/>
      <c r="AZ5522" s="184"/>
      <c r="BP5522" s="184"/>
    </row>
    <row r="5523" spans="1:68">
      <c r="A5523">
        <v>100112878</v>
      </c>
      <c r="B5523">
        <v>100112878</v>
      </c>
      <c r="C5523" t="s">
        <v>7018</v>
      </c>
      <c r="E5523" s="184"/>
      <c r="F5523" t="s">
        <v>595</v>
      </c>
      <c r="G5523" s="184">
        <v>43731</v>
      </c>
      <c r="I5523" s="184"/>
      <c r="K5523" s="184"/>
      <c r="M5523" s="184"/>
      <c r="O5523" s="184"/>
      <c r="Q5523" t="s">
        <v>7383</v>
      </c>
      <c r="R5523" s="184">
        <v>14891</v>
      </c>
      <c r="S5523">
        <v>83</v>
      </c>
      <c r="AF5523" t="s">
        <v>5990</v>
      </c>
      <c r="AG5523" t="s">
        <v>5990</v>
      </c>
      <c r="AI5523" t="s">
        <v>38549</v>
      </c>
      <c r="AM5523" t="s">
        <v>3883</v>
      </c>
      <c r="AN5523" t="s">
        <v>2059</v>
      </c>
      <c r="AO5523" t="s">
        <v>25741</v>
      </c>
      <c r="AP5523" t="s">
        <v>7024</v>
      </c>
      <c r="AT5523" s="184"/>
      <c r="AW5523" s="184"/>
      <c r="AZ5523" s="184"/>
      <c r="BL5523" t="s">
        <v>595</v>
      </c>
      <c r="BP5523" s="184"/>
    </row>
    <row r="5524" spans="1:68">
      <c r="A5524">
        <v>100116154</v>
      </c>
      <c r="B5524">
        <v>100116154</v>
      </c>
      <c r="C5524" t="s">
        <v>7018</v>
      </c>
      <c r="E5524" s="184"/>
      <c r="G5524" s="184"/>
      <c r="I5524" s="184"/>
      <c r="J5524" t="s">
        <v>595</v>
      </c>
      <c r="K5524" s="184">
        <v>43654</v>
      </c>
      <c r="M5524" s="184"/>
      <c r="O5524" s="184"/>
      <c r="Q5524" t="s">
        <v>7374</v>
      </c>
      <c r="R5524" s="184"/>
      <c r="U5524" t="s">
        <v>7130</v>
      </c>
      <c r="V5524" t="s">
        <v>3444</v>
      </c>
      <c r="W5524" t="s">
        <v>4327</v>
      </c>
      <c r="X5524" t="s">
        <v>5410</v>
      </c>
      <c r="AF5524" t="s">
        <v>38550</v>
      </c>
      <c r="AG5524" t="s">
        <v>2697</v>
      </c>
      <c r="AI5524" t="s">
        <v>26068</v>
      </c>
      <c r="AM5524" t="s">
        <v>5411</v>
      </c>
      <c r="AN5524" t="s">
        <v>2081</v>
      </c>
      <c r="AO5524" t="s">
        <v>26069</v>
      </c>
      <c r="AP5524" t="s">
        <v>7024</v>
      </c>
      <c r="AQ5524" t="s">
        <v>38551</v>
      </c>
      <c r="AT5524" s="184"/>
      <c r="AW5524" s="184"/>
      <c r="AZ5524" s="184"/>
      <c r="BO5524" t="s">
        <v>595</v>
      </c>
      <c r="BP5524" s="184">
        <v>44353</v>
      </c>
    </row>
    <row r="5525" spans="1:68">
      <c r="A5525">
        <v>40365587</v>
      </c>
      <c r="B5525">
        <v>100118718</v>
      </c>
      <c r="C5525" t="s">
        <v>7018</v>
      </c>
      <c r="D5525" t="s">
        <v>595</v>
      </c>
      <c r="E5525" s="184">
        <v>45195</v>
      </c>
      <c r="G5525" s="184"/>
      <c r="I5525" s="184"/>
      <c r="K5525" s="184"/>
      <c r="M5525" s="184"/>
      <c r="O5525" s="184"/>
      <c r="P5525" t="s">
        <v>7045</v>
      </c>
      <c r="Q5525" t="s">
        <v>7383</v>
      </c>
      <c r="R5525" s="184">
        <v>15496</v>
      </c>
      <c r="S5525">
        <v>81</v>
      </c>
      <c r="V5525" t="s">
        <v>2979</v>
      </c>
      <c r="X5525" t="s">
        <v>4918</v>
      </c>
      <c r="Z5525">
        <v>100118718</v>
      </c>
      <c r="AB5525" t="s">
        <v>3652</v>
      </c>
      <c r="AD5525" t="s">
        <v>4918</v>
      </c>
      <c r="AF5525" t="s">
        <v>38552</v>
      </c>
      <c r="AG5525" t="s">
        <v>3652</v>
      </c>
      <c r="AI5525" t="s">
        <v>38553</v>
      </c>
      <c r="AM5525" t="s">
        <v>3647</v>
      </c>
      <c r="AN5525" t="s">
        <v>2313</v>
      </c>
      <c r="AO5525" t="s">
        <v>38554</v>
      </c>
      <c r="AP5525" t="s">
        <v>7024</v>
      </c>
      <c r="AT5525" s="184">
        <v>39112</v>
      </c>
      <c r="AU5525" t="s">
        <v>38555</v>
      </c>
      <c r="AV5525">
        <v>3</v>
      </c>
      <c r="AW5525" s="184">
        <v>44617</v>
      </c>
      <c r="AX5525" t="s">
        <v>38556</v>
      </c>
      <c r="AY5525">
        <v>25</v>
      </c>
      <c r="AZ5525" s="184">
        <v>44617</v>
      </c>
      <c r="BA5525" t="s">
        <v>38556</v>
      </c>
      <c r="BB5525">
        <v>25</v>
      </c>
      <c r="BC5525">
        <v>45</v>
      </c>
      <c r="BD5525">
        <v>158</v>
      </c>
      <c r="BE5525">
        <v>2007</v>
      </c>
      <c r="BF5525">
        <v>9</v>
      </c>
      <c r="BI5525">
        <v>8</v>
      </c>
      <c r="BJ5525">
        <v>18</v>
      </c>
      <c r="BK5525">
        <v>6</v>
      </c>
      <c r="BO5525" t="s">
        <v>595</v>
      </c>
      <c r="BP5525" s="184"/>
    </row>
    <row r="5526" spans="1:68">
      <c r="A5526">
        <v>100118718</v>
      </c>
      <c r="B5526">
        <v>100118718</v>
      </c>
      <c r="C5526" t="s">
        <v>7018</v>
      </c>
      <c r="D5526" t="s">
        <v>595</v>
      </c>
      <c r="E5526" s="184">
        <v>45195</v>
      </c>
      <c r="G5526" s="184"/>
      <c r="I5526" s="184"/>
      <c r="K5526" s="184"/>
      <c r="M5526" s="184"/>
      <c r="O5526" s="184"/>
      <c r="P5526" t="s">
        <v>7045</v>
      </c>
      <c r="Q5526" t="s">
        <v>7383</v>
      </c>
      <c r="R5526" s="184">
        <v>15189</v>
      </c>
      <c r="S5526">
        <v>82</v>
      </c>
      <c r="V5526" t="s">
        <v>3652</v>
      </c>
      <c r="X5526" t="s">
        <v>4918</v>
      </c>
      <c r="Z5526">
        <v>40365587</v>
      </c>
      <c r="AB5526" t="s">
        <v>2979</v>
      </c>
      <c r="AD5526" t="s">
        <v>4918</v>
      </c>
      <c r="AF5526" t="s">
        <v>38552</v>
      </c>
      <c r="AG5526" t="s">
        <v>3652</v>
      </c>
      <c r="AI5526" t="s">
        <v>38553</v>
      </c>
      <c r="AM5526" t="s">
        <v>3647</v>
      </c>
      <c r="AN5526" t="s">
        <v>2313</v>
      </c>
      <c r="AO5526" t="s">
        <v>38554</v>
      </c>
      <c r="AP5526" t="s">
        <v>7024</v>
      </c>
      <c r="AT5526" s="184">
        <v>44783</v>
      </c>
      <c r="AU5526" t="s">
        <v>37519</v>
      </c>
      <c r="AV5526">
        <v>25</v>
      </c>
      <c r="AW5526" s="184">
        <v>45344</v>
      </c>
      <c r="AX5526" t="s">
        <v>13414</v>
      </c>
      <c r="AY5526">
        <v>25</v>
      </c>
      <c r="AZ5526" s="184">
        <v>45344</v>
      </c>
      <c r="BA5526" t="s">
        <v>13414</v>
      </c>
      <c r="BB5526">
        <v>25</v>
      </c>
      <c r="BC5526">
        <v>100</v>
      </c>
      <c r="BD5526">
        <v>85</v>
      </c>
      <c r="BE5526">
        <v>2023</v>
      </c>
      <c r="BF5526">
        <v>4</v>
      </c>
      <c r="BG5526">
        <v>4</v>
      </c>
      <c r="BH5526">
        <v>85</v>
      </c>
      <c r="BI5526">
        <v>3</v>
      </c>
      <c r="BJ5526">
        <v>3</v>
      </c>
      <c r="BK5526">
        <v>3</v>
      </c>
      <c r="BP5526" s="184"/>
    </row>
    <row r="5527" spans="1:68">
      <c r="A5527">
        <v>40580912</v>
      </c>
      <c r="B5527">
        <v>100119687</v>
      </c>
      <c r="C5527" t="s">
        <v>7018</v>
      </c>
      <c r="D5527" t="s">
        <v>595</v>
      </c>
      <c r="E5527" s="184">
        <v>45153</v>
      </c>
      <c r="G5527" s="184"/>
      <c r="K5527" s="184"/>
      <c r="M5527" s="184"/>
      <c r="O5527" s="184"/>
      <c r="P5527" t="s">
        <v>7045</v>
      </c>
      <c r="Q5527" t="s">
        <v>7160</v>
      </c>
      <c r="R5527" s="184">
        <v>16834</v>
      </c>
      <c r="S5527">
        <v>78</v>
      </c>
      <c r="V5527" t="s">
        <v>4303</v>
      </c>
      <c r="X5527" t="s">
        <v>38557</v>
      </c>
      <c r="Z5527">
        <v>100119687</v>
      </c>
      <c r="AB5527" t="s">
        <v>4545</v>
      </c>
      <c r="AD5527" t="s">
        <v>38557</v>
      </c>
      <c r="AF5527" t="s">
        <v>38558</v>
      </c>
      <c r="AG5527" t="s">
        <v>4545</v>
      </c>
      <c r="AI5527" t="s">
        <v>38559</v>
      </c>
      <c r="AM5527" t="s">
        <v>38560</v>
      </c>
      <c r="AN5527" t="s">
        <v>4637</v>
      </c>
      <c r="AO5527" t="s">
        <v>38561</v>
      </c>
      <c r="AP5527" t="s">
        <v>7024</v>
      </c>
      <c r="AQ5527" t="s">
        <v>38562</v>
      </c>
      <c r="AR5527" t="s">
        <v>38563</v>
      </c>
      <c r="AT5527" s="184">
        <v>39189</v>
      </c>
      <c r="AU5527" t="s">
        <v>26542</v>
      </c>
      <c r="AV5527">
        <v>25</v>
      </c>
      <c r="AW5527" s="184">
        <v>45076</v>
      </c>
      <c r="AX5527" t="s">
        <v>38564</v>
      </c>
      <c r="AY5527">
        <v>20</v>
      </c>
      <c r="AZ5527" s="184">
        <v>43886</v>
      </c>
      <c r="BA5527" t="s">
        <v>38565</v>
      </c>
      <c r="BB5527">
        <v>35</v>
      </c>
      <c r="BC5527">
        <v>62</v>
      </c>
      <c r="BD5527">
        <v>375</v>
      </c>
      <c r="BE5527">
        <v>2007</v>
      </c>
      <c r="BF5527">
        <v>18</v>
      </c>
      <c r="BG5527">
        <v>4</v>
      </c>
      <c r="BH5527">
        <v>75</v>
      </c>
      <c r="BI5527">
        <v>11</v>
      </c>
      <c r="BJ5527">
        <v>18</v>
      </c>
      <c r="BK5527">
        <v>7</v>
      </c>
      <c r="BN5527" t="s">
        <v>595</v>
      </c>
      <c r="BO5527" t="s">
        <v>595</v>
      </c>
      <c r="BP5527" s="184"/>
    </row>
    <row r="5528" spans="1:68">
      <c r="A5528">
        <v>100119687</v>
      </c>
      <c r="B5528">
        <v>100119687</v>
      </c>
      <c r="C5528" t="s">
        <v>7018</v>
      </c>
      <c r="D5528" t="s">
        <v>595</v>
      </c>
      <c r="E5528" s="184">
        <v>45153</v>
      </c>
      <c r="I5528" s="184"/>
      <c r="K5528" s="184"/>
      <c r="M5528" s="184"/>
      <c r="O5528" s="184"/>
      <c r="P5528" t="s">
        <v>7045</v>
      </c>
      <c r="Q5528" t="s">
        <v>7160</v>
      </c>
      <c r="R5528" s="184">
        <v>17765</v>
      </c>
      <c r="S5528">
        <v>75</v>
      </c>
      <c r="V5528" t="s">
        <v>4545</v>
      </c>
      <c r="X5528" t="s">
        <v>38557</v>
      </c>
      <c r="Z5528">
        <v>40580912</v>
      </c>
      <c r="AB5528" t="s">
        <v>4303</v>
      </c>
      <c r="AD5528" t="s">
        <v>38557</v>
      </c>
      <c r="AF5528" t="s">
        <v>38558</v>
      </c>
      <c r="AG5528" t="s">
        <v>4545</v>
      </c>
      <c r="AI5528" t="s">
        <v>38559</v>
      </c>
      <c r="AM5528" t="s">
        <v>38560</v>
      </c>
      <c r="AN5528" t="s">
        <v>4637</v>
      </c>
      <c r="AO5528" t="s">
        <v>38561</v>
      </c>
      <c r="AP5528" t="s">
        <v>7024</v>
      </c>
      <c r="AQ5528" t="s">
        <v>38563</v>
      </c>
      <c r="AT5528" s="184">
        <v>45408</v>
      </c>
      <c r="AU5528" t="s">
        <v>29380</v>
      </c>
      <c r="AV5528">
        <v>25</v>
      </c>
      <c r="AW5528" s="184">
        <v>45408</v>
      </c>
      <c r="AX5528" t="s">
        <v>29380</v>
      </c>
      <c r="AY5528">
        <v>25</v>
      </c>
      <c r="AZ5528" s="184">
        <v>45408</v>
      </c>
      <c r="BA5528" t="s">
        <v>29380</v>
      </c>
      <c r="BB5528">
        <v>25</v>
      </c>
      <c r="BC5528">
        <v>100</v>
      </c>
      <c r="BD5528">
        <v>25</v>
      </c>
      <c r="BE5528">
        <v>2024</v>
      </c>
      <c r="BF5528">
        <v>1</v>
      </c>
      <c r="BG5528">
        <v>1</v>
      </c>
      <c r="BH5528">
        <v>25</v>
      </c>
      <c r="BI5528">
        <v>1</v>
      </c>
      <c r="BJ5528">
        <v>1</v>
      </c>
      <c r="BK5528">
        <v>1</v>
      </c>
      <c r="BP5528" s="184"/>
    </row>
    <row r="5529" spans="1:68">
      <c r="A5529">
        <v>40756843</v>
      </c>
      <c r="B5529">
        <v>100120499</v>
      </c>
      <c r="C5529" t="s">
        <v>7018</v>
      </c>
      <c r="D5529" t="s">
        <v>595</v>
      </c>
      <c r="E5529" s="184">
        <v>44104</v>
      </c>
      <c r="I5529" s="184"/>
      <c r="K5529" s="184"/>
      <c r="M5529" s="184"/>
      <c r="O5529" s="184"/>
      <c r="P5529" t="s">
        <v>7029</v>
      </c>
      <c r="Q5529" t="s">
        <v>7454</v>
      </c>
      <c r="R5529" s="184">
        <v>20565</v>
      </c>
      <c r="S5529">
        <v>68</v>
      </c>
      <c r="U5529" t="s">
        <v>7130</v>
      </c>
      <c r="V5529" t="s">
        <v>4267</v>
      </c>
      <c r="X5529" t="s">
        <v>38566</v>
      </c>
      <c r="Z5529">
        <v>100120499</v>
      </c>
      <c r="AA5529" t="s">
        <v>7031</v>
      </c>
      <c r="AB5529" t="s">
        <v>4093</v>
      </c>
      <c r="AD5529" t="s">
        <v>38566</v>
      </c>
      <c r="AF5529" t="s">
        <v>38567</v>
      </c>
      <c r="AG5529" t="s">
        <v>38568</v>
      </c>
      <c r="AI5529" t="s">
        <v>38569</v>
      </c>
      <c r="AM5529" t="s">
        <v>3855</v>
      </c>
      <c r="AN5529" t="s">
        <v>2055</v>
      </c>
      <c r="AO5529" t="s">
        <v>38570</v>
      </c>
      <c r="AP5529" t="s">
        <v>7024</v>
      </c>
      <c r="AQ5529" t="s">
        <v>38571</v>
      </c>
      <c r="AR5529" t="s">
        <v>38572</v>
      </c>
      <c r="AT5529" s="184">
        <v>39300</v>
      </c>
      <c r="AU5529" t="s">
        <v>38573</v>
      </c>
      <c r="AV5529">
        <v>50</v>
      </c>
      <c r="AW5529" s="184">
        <v>45247</v>
      </c>
      <c r="AX5529" t="s">
        <v>38574</v>
      </c>
      <c r="AY5529">
        <v>36.75</v>
      </c>
      <c r="AZ5529" s="184">
        <v>43172</v>
      </c>
      <c r="BA5529" t="s">
        <v>22141</v>
      </c>
      <c r="BB5529">
        <v>2500</v>
      </c>
      <c r="BC5529">
        <v>73</v>
      </c>
      <c r="BD5529">
        <v>15979.26</v>
      </c>
      <c r="BE5529">
        <v>2008</v>
      </c>
      <c r="BF5529">
        <v>31</v>
      </c>
      <c r="BG5529">
        <v>1</v>
      </c>
      <c r="BH5529">
        <v>36.75</v>
      </c>
      <c r="BI5529">
        <v>13</v>
      </c>
      <c r="BJ5529">
        <v>18</v>
      </c>
      <c r="BK5529">
        <v>7</v>
      </c>
      <c r="BP5529" s="184"/>
    </row>
    <row r="5530" spans="1:68">
      <c r="A5530">
        <v>100120499</v>
      </c>
      <c r="B5530">
        <v>100120499</v>
      </c>
      <c r="C5530" t="s">
        <v>7018</v>
      </c>
      <c r="D5530" t="s">
        <v>595</v>
      </c>
      <c r="E5530" s="184">
        <v>44104</v>
      </c>
      <c r="I5530" s="184"/>
      <c r="K5530" s="184"/>
      <c r="M5530" s="184"/>
      <c r="O5530" s="184"/>
      <c r="P5530" t="s">
        <v>7029</v>
      </c>
      <c r="Q5530" t="s">
        <v>7454</v>
      </c>
      <c r="R5530" s="184">
        <v>20188</v>
      </c>
      <c r="S5530">
        <v>69</v>
      </c>
      <c r="U5530" t="s">
        <v>7031</v>
      </c>
      <c r="V5530" t="s">
        <v>4093</v>
      </c>
      <c r="X5530" t="s">
        <v>38566</v>
      </c>
      <c r="Z5530">
        <v>40756843</v>
      </c>
      <c r="AA5530" t="s">
        <v>7130</v>
      </c>
      <c r="AB5530" t="s">
        <v>4267</v>
      </c>
      <c r="AD5530" t="s">
        <v>38566</v>
      </c>
      <c r="AF5530" t="s">
        <v>38567</v>
      </c>
      <c r="AG5530" t="s">
        <v>38568</v>
      </c>
      <c r="AI5530" t="s">
        <v>38569</v>
      </c>
      <c r="AM5530" t="s">
        <v>3855</v>
      </c>
      <c r="AN5530" t="s">
        <v>2055</v>
      </c>
      <c r="AO5530" t="s">
        <v>38570</v>
      </c>
      <c r="AP5530" t="s">
        <v>7024</v>
      </c>
      <c r="AQ5530" t="s">
        <v>38575</v>
      </c>
      <c r="AT5530" s="184">
        <v>43861</v>
      </c>
      <c r="AU5530" t="s">
        <v>38576</v>
      </c>
      <c r="AV5530">
        <v>2000</v>
      </c>
      <c r="AW5530" s="184">
        <v>45383</v>
      </c>
      <c r="AX5530" t="s">
        <v>13016</v>
      </c>
      <c r="AY5530">
        <v>2500</v>
      </c>
      <c r="AZ5530" s="184">
        <v>45383</v>
      </c>
      <c r="BA5530" t="s">
        <v>13016</v>
      </c>
      <c r="BB5530">
        <v>2500</v>
      </c>
      <c r="BC5530">
        <v>100</v>
      </c>
      <c r="BD5530">
        <v>12025</v>
      </c>
      <c r="BE5530">
        <v>2020</v>
      </c>
      <c r="BF5530">
        <v>9</v>
      </c>
      <c r="BG5530">
        <v>3</v>
      </c>
      <c r="BH5530">
        <v>5000</v>
      </c>
      <c r="BI5530">
        <v>5</v>
      </c>
      <c r="BJ5530">
        <v>5</v>
      </c>
      <c r="BK5530">
        <v>5</v>
      </c>
      <c r="BP5530" s="184"/>
    </row>
    <row r="5531" spans="1:68">
      <c r="A5531">
        <v>100120500</v>
      </c>
      <c r="B5531">
        <v>100120500</v>
      </c>
      <c r="C5531" t="s">
        <v>7018</v>
      </c>
      <c r="D5531" t="s">
        <v>595</v>
      </c>
      <c r="E5531" s="184">
        <v>44104</v>
      </c>
      <c r="I5531" s="184"/>
      <c r="K5531" s="184"/>
      <c r="M5531" s="184"/>
      <c r="O5531" s="184"/>
      <c r="P5531" t="s">
        <v>8550</v>
      </c>
      <c r="Q5531" t="s">
        <v>7454</v>
      </c>
      <c r="R5531" s="184"/>
      <c r="U5531" t="s">
        <v>7076</v>
      </c>
      <c r="V5531" t="s">
        <v>2808</v>
      </c>
      <c r="X5531" t="s">
        <v>38566</v>
      </c>
      <c r="AF5531" t="s">
        <v>38577</v>
      </c>
      <c r="AG5531" t="s">
        <v>2808</v>
      </c>
      <c r="AI5531" t="s">
        <v>38569</v>
      </c>
      <c r="AM5531" t="s">
        <v>3855</v>
      </c>
      <c r="AN5531" t="s">
        <v>2055</v>
      </c>
      <c r="AO5531" t="s">
        <v>38570</v>
      </c>
      <c r="AP5531" t="s">
        <v>7024</v>
      </c>
      <c r="AT5531" s="184"/>
      <c r="AW5531" s="184"/>
      <c r="AZ5531" s="184"/>
      <c r="BP5531" s="184"/>
    </row>
    <row r="5532" spans="1:68">
      <c r="A5532">
        <v>100120501</v>
      </c>
      <c r="B5532">
        <v>100120501</v>
      </c>
      <c r="C5532" t="s">
        <v>7018</v>
      </c>
      <c r="D5532" t="s">
        <v>595</v>
      </c>
      <c r="E5532" s="184">
        <v>44104</v>
      </c>
      <c r="K5532" s="184"/>
      <c r="M5532" s="184"/>
      <c r="O5532" s="184"/>
      <c r="P5532" t="s">
        <v>7045</v>
      </c>
      <c r="Q5532" t="s">
        <v>7262</v>
      </c>
      <c r="R5532" s="184"/>
      <c r="U5532" t="s">
        <v>7031</v>
      </c>
      <c r="V5532" t="s">
        <v>3645</v>
      </c>
      <c r="X5532" t="s">
        <v>38566</v>
      </c>
      <c r="Z5532">
        <v>100590981</v>
      </c>
      <c r="AA5532" t="s">
        <v>7076</v>
      </c>
      <c r="AB5532" t="s">
        <v>38578</v>
      </c>
      <c r="AD5532" t="s">
        <v>38579</v>
      </c>
      <c r="AF5532" t="s">
        <v>38580</v>
      </c>
      <c r="AG5532" t="s">
        <v>38581</v>
      </c>
      <c r="AI5532" t="s">
        <v>38582</v>
      </c>
      <c r="AM5532" t="s">
        <v>2679</v>
      </c>
      <c r="AN5532" t="s">
        <v>2318</v>
      </c>
      <c r="AO5532" t="s">
        <v>38583</v>
      </c>
      <c r="AP5532" t="s">
        <v>7024</v>
      </c>
      <c r="AQ5532" t="s">
        <v>38584</v>
      </c>
      <c r="AT5532" s="184"/>
      <c r="AW5532" s="184"/>
      <c r="AZ5532" s="184"/>
      <c r="BP5532" s="184"/>
    </row>
    <row r="5533" spans="1:68">
      <c r="A5533">
        <v>41256280</v>
      </c>
      <c r="B5533">
        <v>100123124</v>
      </c>
      <c r="C5533" t="s">
        <v>7018</v>
      </c>
      <c r="E5533" s="184"/>
      <c r="G5533" s="184"/>
      <c r="I5533" s="184"/>
      <c r="K5533" s="184"/>
      <c r="L5533" t="s">
        <v>595</v>
      </c>
      <c r="M5533" s="184">
        <v>43923</v>
      </c>
      <c r="O5533" s="184"/>
      <c r="P5533" t="s">
        <v>7045</v>
      </c>
      <c r="Q5533" t="s">
        <v>7383</v>
      </c>
      <c r="R5533" s="184">
        <v>12452</v>
      </c>
      <c r="S5533">
        <v>90</v>
      </c>
      <c r="U5533" t="s">
        <v>7031</v>
      </c>
      <c r="V5533" t="s">
        <v>3103</v>
      </c>
      <c r="W5533" t="s">
        <v>7560</v>
      </c>
      <c r="X5533" t="s">
        <v>4956</v>
      </c>
      <c r="Z5533">
        <v>100123124</v>
      </c>
      <c r="AA5533" t="s">
        <v>7130</v>
      </c>
      <c r="AB5533" t="s">
        <v>4330</v>
      </c>
      <c r="AC5533" t="s">
        <v>7396</v>
      </c>
      <c r="AD5533" t="s">
        <v>4956</v>
      </c>
      <c r="AF5533" t="s">
        <v>38585</v>
      </c>
      <c r="AG5533" t="s">
        <v>4330</v>
      </c>
      <c r="AI5533" t="s">
        <v>38586</v>
      </c>
      <c r="AM5533" t="s">
        <v>38587</v>
      </c>
      <c r="AN5533" t="s">
        <v>2059</v>
      </c>
      <c r="AO5533" t="s">
        <v>38588</v>
      </c>
      <c r="AP5533" t="s">
        <v>7024</v>
      </c>
      <c r="AT5533" s="184">
        <v>39405</v>
      </c>
      <c r="AU5533" t="s">
        <v>38589</v>
      </c>
      <c r="AV5533">
        <v>25</v>
      </c>
      <c r="AW5533" s="184">
        <v>44270</v>
      </c>
      <c r="AX5533" t="s">
        <v>38590</v>
      </c>
      <c r="AY5533">
        <v>500</v>
      </c>
      <c r="AZ5533" s="184">
        <v>44270</v>
      </c>
      <c r="BA5533" t="s">
        <v>38590</v>
      </c>
      <c r="BB5533">
        <v>500</v>
      </c>
      <c r="BC5533">
        <v>67</v>
      </c>
      <c r="BD5533">
        <v>1445</v>
      </c>
      <c r="BE5533">
        <v>2008</v>
      </c>
      <c r="BF5533">
        <v>31</v>
      </c>
      <c r="BI5533">
        <v>12</v>
      </c>
      <c r="BJ5533">
        <v>18</v>
      </c>
      <c r="BK5533">
        <v>6</v>
      </c>
      <c r="BO5533" t="s">
        <v>595</v>
      </c>
      <c r="BP5533" s="184"/>
    </row>
    <row r="5534" spans="1:68">
      <c r="A5534">
        <v>49430770</v>
      </c>
      <c r="B5534">
        <v>100127179</v>
      </c>
      <c r="C5534" t="s">
        <v>7018</v>
      </c>
      <c r="D5534" t="s">
        <v>595</v>
      </c>
      <c r="E5534" s="184">
        <v>44104</v>
      </c>
      <c r="G5534" s="184"/>
      <c r="I5534" s="184"/>
      <c r="K5534" s="184"/>
      <c r="M5534" s="184"/>
      <c r="O5534" s="184"/>
      <c r="P5534" t="s">
        <v>7045</v>
      </c>
      <c r="Q5534" t="s">
        <v>7030</v>
      </c>
      <c r="R5534" s="184">
        <v>10741</v>
      </c>
      <c r="S5534">
        <v>94</v>
      </c>
      <c r="V5534" t="s">
        <v>23399</v>
      </c>
      <c r="X5534" t="s">
        <v>2706</v>
      </c>
      <c r="Z5534">
        <v>100127179</v>
      </c>
      <c r="AB5534" t="s">
        <v>3101</v>
      </c>
      <c r="AD5534" t="s">
        <v>2706</v>
      </c>
      <c r="AF5534" t="s">
        <v>38591</v>
      </c>
      <c r="AG5534" t="s">
        <v>3101</v>
      </c>
      <c r="AI5534" t="s">
        <v>38592</v>
      </c>
      <c r="AM5534" t="s">
        <v>38593</v>
      </c>
      <c r="AN5534" t="s">
        <v>2638</v>
      </c>
      <c r="AO5534" t="s">
        <v>38594</v>
      </c>
      <c r="AP5534" t="s">
        <v>7024</v>
      </c>
      <c r="AT5534" s="184">
        <v>39730</v>
      </c>
      <c r="AU5534" t="s">
        <v>28117</v>
      </c>
      <c r="AV5534">
        <v>15</v>
      </c>
      <c r="AW5534" s="184">
        <v>45337</v>
      </c>
      <c r="AX5534" t="s">
        <v>38595</v>
      </c>
      <c r="AY5534">
        <v>25</v>
      </c>
      <c r="AZ5534" s="184">
        <v>45337</v>
      </c>
      <c r="BA5534" t="s">
        <v>38595</v>
      </c>
      <c r="BB5534">
        <v>25</v>
      </c>
      <c r="BC5534">
        <v>100</v>
      </c>
      <c r="BD5534">
        <v>480</v>
      </c>
      <c r="BE5534">
        <v>2009</v>
      </c>
      <c r="BF5534">
        <v>29</v>
      </c>
      <c r="BG5534">
        <v>3</v>
      </c>
      <c r="BH5534">
        <v>75</v>
      </c>
      <c r="BI5534">
        <v>17</v>
      </c>
      <c r="BJ5534">
        <v>17</v>
      </c>
      <c r="BK5534">
        <v>17</v>
      </c>
      <c r="BO5534" t="s">
        <v>595</v>
      </c>
      <c r="BP5534" s="184"/>
    </row>
    <row r="5535" spans="1:68">
      <c r="A5535">
        <v>100127179</v>
      </c>
      <c r="B5535">
        <v>100127179</v>
      </c>
      <c r="C5535" t="s">
        <v>7018</v>
      </c>
      <c r="D5535" t="s">
        <v>595</v>
      </c>
      <c r="E5535" s="184">
        <v>44104</v>
      </c>
      <c r="I5535" s="184"/>
      <c r="K5535" s="184"/>
      <c r="M5535" s="184"/>
      <c r="O5535" s="184"/>
      <c r="P5535" t="s">
        <v>7045</v>
      </c>
      <c r="Q5535" t="s">
        <v>7030</v>
      </c>
      <c r="R5535" s="184">
        <v>10714</v>
      </c>
      <c r="S5535">
        <v>95</v>
      </c>
      <c r="V5535" t="s">
        <v>3101</v>
      </c>
      <c r="X5535" t="s">
        <v>2706</v>
      </c>
      <c r="Z5535">
        <v>49430770</v>
      </c>
      <c r="AB5535" t="s">
        <v>23399</v>
      </c>
      <c r="AD5535" t="s">
        <v>2706</v>
      </c>
      <c r="AF5535" t="s">
        <v>38591</v>
      </c>
      <c r="AG5535" t="s">
        <v>3101</v>
      </c>
      <c r="AI5535" t="s">
        <v>38592</v>
      </c>
      <c r="AM5535" t="s">
        <v>38593</v>
      </c>
      <c r="AN5535" t="s">
        <v>2638</v>
      </c>
      <c r="AO5535" t="s">
        <v>38594</v>
      </c>
      <c r="AP5535" t="s">
        <v>7024</v>
      </c>
      <c r="AT5535" s="184"/>
      <c r="AW5535" s="184"/>
      <c r="AZ5535" s="184"/>
      <c r="BP5535" s="184"/>
    </row>
    <row r="5536" spans="1:68">
      <c r="A5536">
        <v>52127552</v>
      </c>
      <c r="B5536">
        <v>100129027</v>
      </c>
      <c r="C5536" t="s">
        <v>7018</v>
      </c>
      <c r="E5536" s="184"/>
      <c r="I5536" s="184"/>
      <c r="J5536" t="s">
        <v>595</v>
      </c>
      <c r="K5536" s="184">
        <v>44868</v>
      </c>
      <c r="M5536" s="184"/>
      <c r="O5536" s="184"/>
      <c r="P5536" t="s">
        <v>7029</v>
      </c>
      <c r="Q5536" t="s">
        <v>7160</v>
      </c>
      <c r="R5536" s="184">
        <v>11355</v>
      </c>
      <c r="S5536">
        <v>93</v>
      </c>
      <c r="V5536" t="s">
        <v>3825</v>
      </c>
      <c r="X5536" t="s">
        <v>2898</v>
      </c>
      <c r="Z5536">
        <v>100129027</v>
      </c>
      <c r="AB5536" t="s">
        <v>5692</v>
      </c>
      <c r="AD5536" t="s">
        <v>2898</v>
      </c>
      <c r="AF5536" t="s">
        <v>38596</v>
      </c>
      <c r="AG5536" t="s">
        <v>5692</v>
      </c>
      <c r="AI5536" t="s">
        <v>38597</v>
      </c>
      <c r="AM5536" t="s">
        <v>34935</v>
      </c>
      <c r="AN5536" t="s">
        <v>2176</v>
      </c>
      <c r="AO5536" t="s">
        <v>38598</v>
      </c>
      <c r="AP5536" t="s">
        <v>7024</v>
      </c>
      <c r="AQ5536" t="s">
        <v>38599</v>
      </c>
      <c r="AT5536" s="184">
        <v>39870</v>
      </c>
      <c r="AU5536" t="s">
        <v>28412</v>
      </c>
      <c r="AV5536">
        <v>25</v>
      </c>
      <c r="AW5536" s="184">
        <v>44888</v>
      </c>
      <c r="AX5536" t="s">
        <v>22275</v>
      </c>
      <c r="AY5536">
        <v>1532</v>
      </c>
      <c r="AZ5536" s="184">
        <v>44888</v>
      </c>
      <c r="BA5536" t="s">
        <v>16237</v>
      </c>
      <c r="BB5536">
        <v>1532.5</v>
      </c>
      <c r="BC5536">
        <v>88</v>
      </c>
      <c r="BD5536">
        <v>5399.5</v>
      </c>
      <c r="BE5536">
        <v>2009</v>
      </c>
      <c r="BF5536">
        <v>38</v>
      </c>
      <c r="BG5536">
        <v>4</v>
      </c>
      <c r="BH5536">
        <v>3264.5</v>
      </c>
      <c r="BI5536">
        <v>14</v>
      </c>
      <c r="BJ5536">
        <v>16</v>
      </c>
      <c r="BK5536">
        <v>14</v>
      </c>
      <c r="BN5536" t="s">
        <v>595</v>
      </c>
      <c r="BO5536" t="s">
        <v>595</v>
      </c>
      <c r="BP5536" s="184"/>
    </row>
    <row r="5537" spans="1:68">
      <c r="A5537">
        <v>100129027</v>
      </c>
      <c r="B5537">
        <v>100129027</v>
      </c>
      <c r="C5537" t="s">
        <v>7018</v>
      </c>
      <c r="E5537" s="184"/>
      <c r="I5537" s="184"/>
      <c r="J5537" t="s">
        <v>595</v>
      </c>
      <c r="K5537" s="184">
        <v>44868</v>
      </c>
      <c r="M5537" s="184"/>
      <c r="O5537" s="184"/>
      <c r="P5537" t="s">
        <v>7029</v>
      </c>
      <c r="Q5537" t="s">
        <v>7160</v>
      </c>
      <c r="R5537" s="184">
        <v>11331</v>
      </c>
      <c r="S5537">
        <v>93</v>
      </c>
      <c r="V5537" t="s">
        <v>5692</v>
      </c>
      <c r="X5537" t="s">
        <v>2898</v>
      </c>
      <c r="Z5537">
        <v>52127552</v>
      </c>
      <c r="AB5537" t="s">
        <v>3825</v>
      </c>
      <c r="AD5537" t="s">
        <v>2898</v>
      </c>
      <c r="AF5537" t="s">
        <v>38596</v>
      </c>
      <c r="AG5537" t="s">
        <v>5692</v>
      </c>
      <c r="AI5537" t="s">
        <v>38597</v>
      </c>
      <c r="AM5537" t="s">
        <v>34935</v>
      </c>
      <c r="AN5537" t="s">
        <v>2176</v>
      </c>
      <c r="AO5537" t="s">
        <v>38598</v>
      </c>
      <c r="AP5537" t="s">
        <v>7024</v>
      </c>
      <c r="AT5537" s="184"/>
      <c r="AW5537" s="184"/>
      <c r="AZ5537" s="184"/>
      <c r="BP5537" s="184"/>
    </row>
    <row r="5538" spans="1:68">
      <c r="A5538">
        <v>100129718</v>
      </c>
      <c r="B5538">
        <v>100129718</v>
      </c>
      <c r="C5538" t="s">
        <v>7018</v>
      </c>
      <c r="E5538" s="184"/>
      <c r="G5538" s="184"/>
      <c r="I5538" s="184"/>
      <c r="J5538" t="s">
        <v>595</v>
      </c>
      <c r="K5538" s="184">
        <v>42858</v>
      </c>
      <c r="M5538" s="184"/>
      <c r="O5538" s="184"/>
      <c r="P5538" t="s">
        <v>8550</v>
      </c>
      <c r="Q5538" t="s">
        <v>7160</v>
      </c>
      <c r="R5538" s="184">
        <v>20365</v>
      </c>
      <c r="S5538">
        <v>68</v>
      </c>
      <c r="U5538" t="s">
        <v>7031</v>
      </c>
      <c r="V5538" t="s">
        <v>2992</v>
      </c>
      <c r="X5538" t="s">
        <v>6925</v>
      </c>
      <c r="AF5538" t="s">
        <v>38600</v>
      </c>
      <c r="AG5538" t="s">
        <v>2992</v>
      </c>
      <c r="AI5538" t="s">
        <v>38601</v>
      </c>
      <c r="AM5538" t="s">
        <v>28655</v>
      </c>
      <c r="AN5538" t="s">
        <v>2176</v>
      </c>
      <c r="AO5538">
        <v>28562</v>
      </c>
      <c r="AP5538" t="s">
        <v>7024</v>
      </c>
      <c r="AT5538" s="184"/>
      <c r="AW5538" s="184"/>
      <c r="AZ5538" s="184"/>
      <c r="BP5538" s="184"/>
    </row>
    <row r="5539" spans="1:68">
      <c r="A5539">
        <v>100132428</v>
      </c>
      <c r="B5539">
        <v>100132428</v>
      </c>
      <c r="C5539" t="s">
        <v>7018</v>
      </c>
      <c r="E5539" s="184"/>
      <c r="G5539" s="184"/>
      <c r="I5539" s="184"/>
      <c r="J5539" t="s">
        <v>595</v>
      </c>
      <c r="K5539" s="184">
        <v>44776</v>
      </c>
      <c r="M5539" s="184"/>
      <c r="O5539" s="184"/>
      <c r="P5539" t="s">
        <v>8550</v>
      </c>
      <c r="Q5539" t="s">
        <v>7262</v>
      </c>
      <c r="R5539" s="184">
        <v>21610</v>
      </c>
      <c r="S5539">
        <v>65</v>
      </c>
      <c r="U5539" t="s">
        <v>7031</v>
      </c>
      <c r="V5539" t="s">
        <v>3411</v>
      </c>
      <c r="X5539" t="s">
        <v>2962</v>
      </c>
      <c r="AF5539" t="s">
        <v>38602</v>
      </c>
      <c r="AG5539" t="s">
        <v>3411</v>
      </c>
      <c r="AI5539" t="s">
        <v>38603</v>
      </c>
      <c r="AM5539" t="s">
        <v>10299</v>
      </c>
      <c r="AN5539" t="s">
        <v>2106</v>
      </c>
      <c r="AO5539">
        <v>17315</v>
      </c>
      <c r="AP5539" t="s">
        <v>7024</v>
      </c>
      <c r="AQ5539" t="s">
        <v>38604</v>
      </c>
      <c r="AT5539" s="184"/>
      <c r="AW5539" s="184"/>
      <c r="AZ5539" s="184"/>
      <c r="BP5539" s="184"/>
    </row>
    <row r="5540" spans="1:68">
      <c r="A5540">
        <v>62816574</v>
      </c>
      <c r="B5540">
        <v>100135675</v>
      </c>
      <c r="C5540" t="s">
        <v>7018</v>
      </c>
      <c r="E5540" s="184"/>
      <c r="G5540" s="184"/>
      <c r="I5540" s="184"/>
      <c r="J5540" t="s">
        <v>595</v>
      </c>
      <c r="K5540" s="184">
        <v>44077</v>
      </c>
      <c r="M5540" s="184"/>
      <c r="O5540" s="184"/>
      <c r="P5540" t="s">
        <v>7084</v>
      </c>
      <c r="Q5540" t="s">
        <v>7262</v>
      </c>
      <c r="R5540" s="184">
        <v>15615</v>
      </c>
      <c r="S5540">
        <v>81</v>
      </c>
      <c r="U5540" t="s">
        <v>7031</v>
      </c>
      <c r="V5540" t="s">
        <v>4589</v>
      </c>
      <c r="W5540" t="s">
        <v>2963</v>
      </c>
      <c r="X5540" t="s">
        <v>2678</v>
      </c>
      <c r="Y5540" t="s">
        <v>7047</v>
      </c>
      <c r="Z5540">
        <v>100135675</v>
      </c>
      <c r="AA5540" t="s">
        <v>7031</v>
      </c>
      <c r="AB5540" t="s">
        <v>2954</v>
      </c>
      <c r="AD5540" t="s">
        <v>3866</v>
      </c>
      <c r="AF5540" t="s">
        <v>38605</v>
      </c>
      <c r="AG5540" t="s">
        <v>3230</v>
      </c>
      <c r="AI5540" t="s">
        <v>38606</v>
      </c>
      <c r="AM5540" t="s">
        <v>2730</v>
      </c>
      <c r="AN5540" t="s">
        <v>2069</v>
      </c>
      <c r="AO5540">
        <v>22205</v>
      </c>
      <c r="AP5540" t="s">
        <v>7024</v>
      </c>
      <c r="AQ5540" t="s">
        <v>38607</v>
      </c>
      <c r="AT5540" s="184">
        <v>41584</v>
      </c>
      <c r="AU5540" t="s">
        <v>38608</v>
      </c>
      <c r="AV5540">
        <v>10000</v>
      </c>
      <c r="AW5540" s="184">
        <v>44922</v>
      </c>
      <c r="AX5540" t="s">
        <v>7721</v>
      </c>
      <c r="AY5540">
        <v>127.76</v>
      </c>
      <c r="AZ5540" s="184">
        <v>44879</v>
      </c>
      <c r="BA5540" t="s">
        <v>7721</v>
      </c>
      <c r="BB5540">
        <v>500000</v>
      </c>
      <c r="BC5540">
        <v>84</v>
      </c>
      <c r="BD5540">
        <v>637947.28</v>
      </c>
      <c r="BE5540">
        <v>2014</v>
      </c>
      <c r="BF5540">
        <v>27</v>
      </c>
      <c r="BG5540">
        <v>4</v>
      </c>
      <c r="BH5540">
        <v>502447.28</v>
      </c>
      <c r="BI5540">
        <v>10</v>
      </c>
      <c r="BJ5540">
        <v>12</v>
      </c>
      <c r="BK5540">
        <v>10</v>
      </c>
      <c r="BO5540" t="s">
        <v>595</v>
      </c>
      <c r="BP5540" s="184">
        <v>44636</v>
      </c>
    </row>
    <row r="5541" spans="1:68">
      <c r="A5541">
        <v>100135675</v>
      </c>
      <c r="B5541">
        <v>100135675</v>
      </c>
      <c r="C5541" t="s">
        <v>7018</v>
      </c>
      <c r="E5541" s="184"/>
      <c r="G5541" s="184"/>
      <c r="I5541" s="184"/>
      <c r="J5541" t="s">
        <v>595</v>
      </c>
      <c r="K5541" s="184">
        <v>44077</v>
      </c>
      <c r="O5541" s="184"/>
      <c r="P5541" t="s">
        <v>7084</v>
      </c>
      <c r="Q5541" t="s">
        <v>7262</v>
      </c>
      <c r="R5541" s="184">
        <v>15615</v>
      </c>
      <c r="S5541">
        <v>81</v>
      </c>
      <c r="U5541" t="s">
        <v>7031</v>
      </c>
      <c r="V5541" t="s">
        <v>2954</v>
      </c>
      <c r="X5541" t="s">
        <v>3866</v>
      </c>
      <c r="Z5541">
        <v>62816574</v>
      </c>
      <c r="AA5541" t="s">
        <v>7031</v>
      </c>
      <c r="AB5541" t="s">
        <v>4589</v>
      </c>
      <c r="AC5541" t="s">
        <v>2963</v>
      </c>
      <c r="AD5541" t="s">
        <v>2678</v>
      </c>
      <c r="AE5541" t="s">
        <v>7047</v>
      </c>
      <c r="AF5541" t="s">
        <v>38605</v>
      </c>
      <c r="AG5541" t="s">
        <v>3230</v>
      </c>
      <c r="AI5541" t="s">
        <v>38606</v>
      </c>
      <c r="AM5541" t="s">
        <v>2730</v>
      </c>
      <c r="AN5541" t="s">
        <v>2069</v>
      </c>
      <c r="AO5541">
        <v>22205</v>
      </c>
      <c r="AP5541" t="s">
        <v>7024</v>
      </c>
      <c r="AQ5541" t="s">
        <v>38609</v>
      </c>
      <c r="AT5541" s="184">
        <v>44706</v>
      </c>
      <c r="AU5541" t="s">
        <v>38610</v>
      </c>
      <c r="AV5541">
        <v>25</v>
      </c>
      <c r="AW5541" s="184">
        <v>45259</v>
      </c>
      <c r="AX5541" t="s">
        <v>28971</v>
      </c>
      <c r="AY5541">
        <v>1000</v>
      </c>
      <c r="AZ5541" s="184">
        <v>45259</v>
      </c>
      <c r="BA5541" t="s">
        <v>28971</v>
      </c>
      <c r="BB5541">
        <v>1000</v>
      </c>
      <c r="BC5541">
        <v>67</v>
      </c>
      <c r="BD5541">
        <v>1125</v>
      </c>
      <c r="BE5541">
        <v>2022</v>
      </c>
      <c r="BF5541">
        <v>4</v>
      </c>
      <c r="BG5541">
        <v>4</v>
      </c>
      <c r="BH5541">
        <v>1125</v>
      </c>
      <c r="BI5541">
        <v>2</v>
      </c>
      <c r="BJ5541">
        <v>3</v>
      </c>
      <c r="BK5541">
        <v>2</v>
      </c>
      <c r="BP5541" s="184"/>
    </row>
    <row r="5542" spans="1:68">
      <c r="A5542">
        <v>91465021</v>
      </c>
      <c r="B5542">
        <v>100157901</v>
      </c>
      <c r="C5542" t="s">
        <v>7018</v>
      </c>
      <c r="D5542" t="s">
        <v>595</v>
      </c>
      <c r="E5542" s="184">
        <v>45195</v>
      </c>
      <c r="I5542" s="184"/>
      <c r="K5542" s="184"/>
      <c r="M5542" s="184"/>
      <c r="O5542" s="184"/>
      <c r="P5542" t="s">
        <v>7045</v>
      </c>
      <c r="Q5542" t="s">
        <v>7383</v>
      </c>
      <c r="R5542" s="184">
        <v>12470</v>
      </c>
      <c r="S5542">
        <v>90</v>
      </c>
      <c r="U5542" t="s">
        <v>7130</v>
      </c>
      <c r="V5542" t="s">
        <v>38611</v>
      </c>
      <c r="W5542" t="s">
        <v>7246</v>
      </c>
      <c r="X5542" t="s">
        <v>9301</v>
      </c>
      <c r="Z5542">
        <v>100157901</v>
      </c>
      <c r="AA5542" t="s">
        <v>7130</v>
      </c>
      <c r="AB5542" t="s">
        <v>2821</v>
      </c>
      <c r="AC5542" t="s">
        <v>7246</v>
      </c>
      <c r="AD5542" t="s">
        <v>9301</v>
      </c>
      <c r="AF5542" t="s">
        <v>38612</v>
      </c>
      <c r="AG5542" t="s">
        <v>2821</v>
      </c>
      <c r="AI5542" t="s">
        <v>38613</v>
      </c>
      <c r="AM5542" t="s">
        <v>3524</v>
      </c>
      <c r="AN5542" t="s">
        <v>2162</v>
      </c>
      <c r="AO5542" t="s">
        <v>38614</v>
      </c>
      <c r="AP5542" t="s">
        <v>7024</v>
      </c>
      <c r="AQ5542" t="s">
        <v>38615</v>
      </c>
      <c r="AT5542" s="184">
        <v>41806</v>
      </c>
      <c r="AU5542" t="s">
        <v>38616</v>
      </c>
      <c r="AV5542">
        <v>25</v>
      </c>
      <c r="AW5542" s="184">
        <v>45008</v>
      </c>
      <c r="AX5542" t="s">
        <v>11046</v>
      </c>
      <c r="AY5542">
        <v>60</v>
      </c>
      <c r="AZ5542" s="184">
        <v>44956</v>
      </c>
      <c r="BA5542" t="s">
        <v>38617</v>
      </c>
      <c r="BB5542">
        <v>90</v>
      </c>
      <c r="BC5542">
        <v>46</v>
      </c>
      <c r="BD5542">
        <v>310</v>
      </c>
      <c r="BE5542">
        <v>2014</v>
      </c>
      <c r="BF5542">
        <v>6</v>
      </c>
      <c r="BG5542">
        <v>2</v>
      </c>
      <c r="BH5542">
        <v>150</v>
      </c>
      <c r="BI5542">
        <v>5</v>
      </c>
      <c r="BJ5542">
        <v>11</v>
      </c>
      <c r="BK5542">
        <v>2</v>
      </c>
      <c r="BO5542" t="s">
        <v>595</v>
      </c>
      <c r="BP5542" s="184"/>
    </row>
    <row r="5543" spans="1:68">
      <c r="A5543">
        <v>100157901</v>
      </c>
      <c r="B5543">
        <v>100157901</v>
      </c>
      <c r="C5543" t="s">
        <v>7018</v>
      </c>
      <c r="D5543" t="s">
        <v>595</v>
      </c>
      <c r="E5543" s="184">
        <v>45195</v>
      </c>
      <c r="I5543" s="184"/>
      <c r="K5543" s="184"/>
      <c r="M5543" s="184"/>
      <c r="O5543" s="184"/>
      <c r="P5543" t="s">
        <v>7045</v>
      </c>
      <c r="Q5543" t="s">
        <v>7383</v>
      </c>
      <c r="R5543" s="184">
        <v>12451</v>
      </c>
      <c r="S5543">
        <v>90</v>
      </c>
      <c r="U5543" t="s">
        <v>7130</v>
      </c>
      <c r="V5543" t="s">
        <v>2821</v>
      </c>
      <c r="W5543" t="s">
        <v>7246</v>
      </c>
      <c r="X5543" t="s">
        <v>9301</v>
      </c>
      <c r="Z5543">
        <v>91465021</v>
      </c>
      <c r="AA5543" t="s">
        <v>7130</v>
      </c>
      <c r="AB5543" t="s">
        <v>38611</v>
      </c>
      <c r="AC5543" t="s">
        <v>7246</v>
      </c>
      <c r="AD5543" t="s">
        <v>9301</v>
      </c>
      <c r="AF5543" t="s">
        <v>38612</v>
      </c>
      <c r="AG5543" t="s">
        <v>2821</v>
      </c>
      <c r="AI5543" t="s">
        <v>38613</v>
      </c>
      <c r="AM5543" t="s">
        <v>3524</v>
      </c>
      <c r="AN5543" t="s">
        <v>2162</v>
      </c>
      <c r="AO5543" t="s">
        <v>38614</v>
      </c>
      <c r="AP5543" t="s">
        <v>7024</v>
      </c>
      <c r="AQ5543" t="s">
        <v>38618</v>
      </c>
      <c r="AT5543" s="184"/>
      <c r="AW5543" s="184"/>
      <c r="AZ5543" s="184"/>
      <c r="BP5543" s="184"/>
    </row>
    <row r="5544" spans="1:68">
      <c r="A5544">
        <v>100174167</v>
      </c>
      <c r="B5544">
        <v>100174167</v>
      </c>
      <c r="C5544" t="s">
        <v>7018</v>
      </c>
      <c r="E5544" s="184"/>
      <c r="G5544" s="184"/>
      <c r="I5544" s="184"/>
      <c r="J5544" t="s">
        <v>595</v>
      </c>
      <c r="K5544" s="184">
        <v>43164</v>
      </c>
      <c r="O5544" s="184"/>
      <c r="Q5544" t="s">
        <v>7020</v>
      </c>
      <c r="R5544" s="184">
        <v>6232</v>
      </c>
      <c r="S5544">
        <v>107</v>
      </c>
      <c r="U5544" t="s">
        <v>7031</v>
      </c>
      <c r="V5544" t="s">
        <v>38619</v>
      </c>
      <c r="W5544" t="s">
        <v>7560</v>
      </c>
      <c r="X5544" t="s">
        <v>38620</v>
      </c>
      <c r="AI5544" t="s">
        <v>38621</v>
      </c>
      <c r="AM5544" t="s">
        <v>2609</v>
      </c>
      <c r="AN5544" t="s">
        <v>2052</v>
      </c>
      <c r="AO5544" t="s">
        <v>38622</v>
      </c>
      <c r="AP5544" t="s">
        <v>7024</v>
      </c>
      <c r="AT5544" s="184">
        <v>30565</v>
      </c>
      <c r="AU5544" t="s">
        <v>7073</v>
      </c>
      <c r="AV5544">
        <v>18</v>
      </c>
      <c r="AW5544" s="184">
        <v>43164</v>
      </c>
      <c r="AX5544" t="s">
        <v>7445</v>
      </c>
      <c r="AY5544">
        <v>1509.22</v>
      </c>
      <c r="AZ5544" s="184">
        <v>43164</v>
      </c>
      <c r="BA5544" t="s">
        <v>7445</v>
      </c>
      <c r="BB5544">
        <v>1509.22</v>
      </c>
      <c r="BC5544">
        <v>62</v>
      </c>
      <c r="BD5544">
        <v>3044.22</v>
      </c>
      <c r="BE5544">
        <v>1984</v>
      </c>
      <c r="BF5544">
        <v>49</v>
      </c>
      <c r="BI5544">
        <v>26</v>
      </c>
      <c r="BJ5544">
        <v>42</v>
      </c>
      <c r="BK5544">
        <v>12</v>
      </c>
      <c r="BO5544" t="s">
        <v>595</v>
      </c>
      <c r="BP5544" s="184">
        <v>42300</v>
      </c>
    </row>
    <row r="5545" spans="1:68">
      <c r="A5545">
        <v>100174169</v>
      </c>
      <c r="B5545">
        <v>100174169</v>
      </c>
      <c r="C5545" t="s">
        <v>7018</v>
      </c>
      <c r="E5545" s="184"/>
      <c r="I5545" s="184"/>
      <c r="J5545" t="s">
        <v>595</v>
      </c>
      <c r="K5545" s="184">
        <v>42032</v>
      </c>
      <c r="N5545" t="s">
        <v>595</v>
      </c>
      <c r="O5545" s="184">
        <v>37312</v>
      </c>
      <c r="Q5545" t="s">
        <v>7020</v>
      </c>
      <c r="R5545" s="184">
        <v>13088</v>
      </c>
      <c r="S5545">
        <v>88</v>
      </c>
      <c r="U5545" t="s">
        <v>7031</v>
      </c>
      <c r="V5545" t="s">
        <v>14917</v>
      </c>
      <c r="X5545" t="s">
        <v>3427</v>
      </c>
      <c r="Z5545">
        <v>100174170</v>
      </c>
      <c r="AA5545" t="s">
        <v>7130</v>
      </c>
      <c r="AB5545" t="s">
        <v>3470</v>
      </c>
      <c r="AC5545" t="s">
        <v>38623</v>
      </c>
      <c r="AD5545" t="s">
        <v>3427</v>
      </c>
      <c r="AI5545" t="s">
        <v>38624</v>
      </c>
      <c r="AM5545" t="s">
        <v>34961</v>
      </c>
      <c r="AN5545" t="s">
        <v>2052</v>
      </c>
      <c r="AO5545">
        <v>1929</v>
      </c>
      <c r="AP5545" t="s">
        <v>7024</v>
      </c>
      <c r="AQ5545" t="s">
        <v>38625</v>
      </c>
      <c r="AT5545" s="184">
        <v>30690</v>
      </c>
      <c r="AU5545" t="s">
        <v>7771</v>
      </c>
      <c r="AV5545">
        <v>25</v>
      </c>
      <c r="AW5545" s="184">
        <v>42032</v>
      </c>
      <c r="AX5545" t="s">
        <v>14228</v>
      </c>
      <c r="AY5545">
        <v>300000</v>
      </c>
      <c r="AZ5545" s="184">
        <v>42032</v>
      </c>
      <c r="BA5545" t="s">
        <v>14228</v>
      </c>
      <c r="BB5545">
        <v>300000</v>
      </c>
      <c r="BC5545">
        <v>64</v>
      </c>
      <c r="BD5545">
        <v>322019</v>
      </c>
      <c r="BE5545">
        <v>1984</v>
      </c>
      <c r="BF5545">
        <v>34</v>
      </c>
      <c r="BI5545">
        <v>26</v>
      </c>
      <c r="BJ5545">
        <v>41</v>
      </c>
      <c r="BK5545">
        <v>21</v>
      </c>
      <c r="BO5545" t="s">
        <v>595</v>
      </c>
      <c r="BP5545" s="184">
        <v>41547</v>
      </c>
    </row>
    <row r="5546" spans="1:68">
      <c r="A5546">
        <v>100174174</v>
      </c>
      <c r="B5546">
        <v>100174174</v>
      </c>
      <c r="C5546" t="s">
        <v>7018</v>
      </c>
      <c r="E5546" s="184"/>
      <c r="G5546" s="184"/>
      <c r="I5546" s="184"/>
      <c r="K5546" s="184"/>
      <c r="N5546" t="s">
        <v>595</v>
      </c>
      <c r="O5546" s="184">
        <v>37519</v>
      </c>
      <c r="Q5546" t="s">
        <v>7020</v>
      </c>
      <c r="R5546" s="184">
        <v>6046</v>
      </c>
      <c r="S5546">
        <v>107</v>
      </c>
      <c r="U5546" t="s">
        <v>7076</v>
      </c>
      <c r="V5546" t="s">
        <v>10327</v>
      </c>
      <c r="W5546" t="s">
        <v>7355</v>
      </c>
      <c r="X5546" t="s">
        <v>38626</v>
      </c>
      <c r="AI5546" t="s">
        <v>38627</v>
      </c>
      <c r="AM5546" t="s">
        <v>38628</v>
      </c>
      <c r="AN5546" t="s">
        <v>2255</v>
      </c>
      <c r="AO5546" t="s">
        <v>38629</v>
      </c>
      <c r="AP5546" t="s">
        <v>7024</v>
      </c>
      <c r="AT5546" s="184">
        <v>30832</v>
      </c>
      <c r="AU5546" t="s">
        <v>7324</v>
      </c>
      <c r="AV5546">
        <v>15</v>
      </c>
      <c r="AW5546" s="184">
        <v>39945</v>
      </c>
      <c r="AX5546" t="s">
        <v>38630</v>
      </c>
      <c r="AY5546">
        <v>15</v>
      </c>
      <c r="AZ5546" s="184">
        <v>37519</v>
      </c>
      <c r="BA5546" t="s">
        <v>7180</v>
      </c>
      <c r="BB5546">
        <v>15000</v>
      </c>
      <c r="BC5546">
        <v>42</v>
      </c>
      <c r="BD5546">
        <v>15563</v>
      </c>
      <c r="BE5546">
        <v>1984</v>
      </c>
      <c r="BF5546">
        <v>22</v>
      </c>
      <c r="BI5546">
        <v>17</v>
      </c>
      <c r="BJ5546">
        <v>41</v>
      </c>
      <c r="BK5546">
        <v>6</v>
      </c>
      <c r="BM5546" t="s">
        <v>595</v>
      </c>
      <c r="BO5546" t="s">
        <v>595</v>
      </c>
      <c r="BP5546" s="184">
        <v>41113</v>
      </c>
    </row>
    <row r="5547" spans="1:68">
      <c r="A5547">
        <v>100174175</v>
      </c>
      <c r="B5547">
        <v>100174175</v>
      </c>
      <c r="C5547" t="s">
        <v>7018</v>
      </c>
      <c r="E5547" s="184"/>
      <c r="I5547" s="184"/>
      <c r="J5547" t="s">
        <v>595</v>
      </c>
      <c r="K5547" s="184">
        <v>42492</v>
      </c>
      <c r="O5547" s="184"/>
      <c r="Q5547" t="s">
        <v>7020</v>
      </c>
      <c r="R5547" s="184">
        <v>7122</v>
      </c>
      <c r="S5547">
        <v>104</v>
      </c>
      <c r="U5547" t="s">
        <v>7031</v>
      </c>
      <c r="V5547" t="s">
        <v>3266</v>
      </c>
      <c r="X5547" t="s">
        <v>16569</v>
      </c>
      <c r="AI5547" t="s">
        <v>38631</v>
      </c>
      <c r="AM5547" t="s">
        <v>11953</v>
      </c>
      <c r="AN5547" t="s">
        <v>2129</v>
      </c>
      <c r="AO5547" t="s">
        <v>38632</v>
      </c>
      <c r="AP5547" t="s">
        <v>7024</v>
      </c>
      <c r="AT5547" s="184">
        <v>31093</v>
      </c>
      <c r="AU5547" t="s">
        <v>7186</v>
      </c>
      <c r="AV5547">
        <v>15</v>
      </c>
      <c r="AW5547" s="184">
        <v>42492</v>
      </c>
      <c r="AX5547" t="s">
        <v>11622</v>
      </c>
      <c r="AY5547">
        <v>26912.83</v>
      </c>
      <c r="AZ5547" s="184">
        <v>42492</v>
      </c>
      <c r="BA5547" t="s">
        <v>11622</v>
      </c>
      <c r="BB5547">
        <v>26912.83</v>
      </c>
      <c r="BC5547">
        <v>70</v>
      </c>
      <c r="BD5547">
        <v>27799.83</v>
      </c>
      <c r="BE5547">
        <v>1985</v>
      </c>
      <c r="BF5547">
        <v>39</v>
      </c>
      <c r="BI5547">
        <v>28</v>
      </c>
      <c r="BJ5547">
        <v>40</v>
      </c>
      <c r="BK5547">
        <v>25</v>
      </c>
      <c r="BO5547" t="s">
        <v>595</v>
      </c>
      <c r="BP5547" s="184">
        <v>41846</v>
      </c>
    </row>
    <row r="5548" spans="1:68">
      <c r="A5548">
        <v>100174176</v>
      </c>
      <c r="B5548">
        <v>100174176</v>
      </c>
      <c r="C5548" t="s">
        <v>7018</v>
      </c>
      <c r="E5548" s="184"/>
      <c r="G5548" s="184"/>
      <c r="I5548" s="184"/>
      <c r="J5548" t="s">
        <v>595</v>
      </c>
      <c r="K5548" s="184">
        <v>40840</v>
      </c>
      <c r="O5548" s="184"/>
      <c r="Q5548" t="s">
        <v>7020</v>
      </c>
      <c r="R5548" s="184">
        <v>10109</v>
      </c>
      <c r="S5548">
        <v>96</v>
      </c>
      <c r="U5548" t="s">
        <v>7032</v>
      </c>
      <c r="V5548" t="s">
        <v>3053</v>
      </c>
      <c r="W5548" t="s">
        <v>38633</v>
      </c>
      <c r="X5548" t="s">
        <v>38634</v>
      </c>
      <c r="AI5548" t="s">
        <v>38635</v>
      </c>
      <c r="AM5548" t="s">
        <v>3004</v>
      </c>
      <c r="AN5548" t="s">
        <v>2112</v>
      </c>
      <c r="AO5548" t="s">
        <v>38636</v>
      </c>
      <c r="AP5548" t="s">
        <v>7024</v>
      </c>
      <c r="AT5548" s="184">
        <v>30896</v>
      </c>
      <c r="AU5548" t="s">
        <v>38637</v>
      </c>
      <c r="AV5548">
        <v>25</v>
      </c>
      <c r="AW5548" s="184">
        <v>40840</v>
      </c>
      <c r="AX5548" t="s">
        <v>18846</v>
      </c>
      <c r="AY5548">
        <v>0.42</v>
      </c>
      <c r="AZ5548" s="184">
        <v>40778</v>
      </c>
      <c r="BA5548" t="s">
        <v>18846</v>
      </c>
      <c r="BB5548">
        <v>13959.1</v>
      </c>
      <c r="BC5548">
        <v>57</v>
      </c>
      <c r="BD5548">
        <v>16089.52</v>
      </c>
      <c r="BE5548">
        <v>1985</v>
      </c>
      <c r="BF5548">
        <v>61</v>
      </c>
      <c r="BI5548">
        <v>23</v>
      </c>
      <c r="BJ5548">
        <v>41</v>
      </c>
      <c r="BK5548">
        <v>16</v>
      </c>
      <c r="BM5548" t="s">
        <v>595</v>
      </c>
      <c r="BO5548" t="s">
        <v>595</v>
      </c>
      <c r="BP5548" s="184">
        <v>40536</v>
      </c>
    </row>
    <row r="5549" spans="1:68">
      <c r="A5549">
        <v>100174178</v>
      </c>
      <c r="B5549">
        <v>100174178</v>
      </c>
      <c r="C5549" t="s">
        <v>7018</v>
      </c>
      <c r="E5549" s="184"/>
      <c r="I5549" s="184"/>
      <c r="J5549" t="s">
        <v>595</v>
      </c>
      <c r="K5549" s="184">
        <v>38377</v>
      </c>
      <c r="O5549" s="184"/>
      <c r="Q5549" t="s">
        <v>7262</v>
      </c>
      <c r="R5549" s="184">
        <v>2144</v>
      </c>
      <c r="S5549">
        <v>118</v>
      </c>
      <c r="U5549" t="s">
        <v>15150</v>
      </c>
      <c r="V5549" t="s">
        <v>3095</v>
      </c>
      <c r="W5549" t="s">
        <v>2963</v>
      </c>
      <c r="X5549" t="s">
        <v>38638</v>
      </c>
      <c r="AF5549" t="s">
        <v>6272</v>
      </c>
      <c r="AG5549" t="s">
        <v>3095</v>
      </c>
      <c r="AI5549" t="s">
        <v>38639</v>
      </c>
      <c r="AM5549" t="s">
        <v>2730</v>
      </c>
      <c r="AN5549" t="s">
        <v>2069</v>
      </c>
      <c r="AO5549" t="s">
        <v>38640</v>
      </c>
      <c r="AP5549" t="s">
        <v>7024</v>
      </c>
      <c r="AT5549" s="184">
        <v>30468</v>
      </c>
      <c r="AU5549" t="s">
        <v>7073</v>
      </c>
      <c r="AV5549">
        <v>30</v>
      </c>
      <c r="AW5549" s="184">
        <v>38377</v>
      </c>
      <c r="AX5549" t="s">
        <v>37872</v>
      </c>
      <c r="AY5549">
        <v>1000</v>
      </c>
      <c r="AZ5549" s="184">
        <v>38377</v>
      </c>
      <c r="BA5549" t="s">
        <v>37872</v>
      </c>
      <c r="BB5549">
        <v>1000</v>
      </c>
      <c r="BC5549">
        <v>43</v>
      </c>
      <c r="BD5549">
        <v>1967</v>
      </c>
      <c r="BE5549">
        <v>1983</v>
      </c>
      <c r="BF5549">
        <v>22</v>
      </c>
      <c r="BI5549">
        <v>18</v>
      </c>
      <c r="BJ5549">
        <v>42</v>
      </c>
      <c r="BK5549">
        <v>12</v>
      </c>
      <c r="BM5549" t="s">
        <v>595</v>
      </c>
      <c r="BO5549" t="s">
        <v>595</v>
      </c>
      <c r="BP5549" s="184">
        <v>38304</v>
      </c>
    </row>
    <row r="5550" spans="1:68">
      <c r="A5550">
        <v>100174182</v>
      </c>
      <c r="B5550">
        <v>100174181</v>
      </c>
      <c r="C5550" t="s">
        <v>7018</v>
      </c>
      <c r="E5550" s="184"/>
      <c r="I5550" s="184"/>
      <c r="J5550" t="s">
        <v>595</v>
      </c>
      <c r="K5550" s="184">
        <v>39261</v>
      </c>
      <c r="O5550" s="184"/>
      <c r="Q5550" t="s">
        <v>7020</v>
      </c>
      <c r="R5550" s="184"/>
      <c r="U5550" t="s">
        <v>15150</v>
      </c>
      <c r="V5550" t="s">
        <v>3002</v>
      </c>
      <c r="W5550" t="s">
        <v>7246</v>
      </c>
      <c r="X5550" t="s">
        <v>3145</v>
      </c>
      <c r="Z5550">
        <v>100174181</v>
      </c>
      <c r="AA5550" t="s">
        <v>7031</v>
      </c>
      <c r="AB5550" t="s">
        <v>3632</v>
      </c>
      <c r="AC5550" t="s">
        <v>7356</v>
      </c>
      <c r="AD5550" t="s">
        <v>3145</v>
      </c>
      <c r="AI5550" t="s">
        <v>38641</v>
      </c>
      <c r="AM5550" t="s">
        <v>3004</v>
      </c>
      <c r="AN5550" t="s">
        <v>2112</v>
      </c>
      <c r="AO5550" t="s">
        <v>38642</v>
      </c>
      <c r="AP5550" t="s">
        <v>7024</v>
      </c>
      <c r="AT5550" s="184"/>
      <c r="AW5550" s="184"/>
      <c r="AZ5550" s="184"/>
      <c r="BO5550" t="s">
        <v>595</v>
      </c>
      <c r="BP5550" s="184"/>
    </row>
    <row r="5551" spans="1:68">
      <c r="A5551">
        <v>100174183</v>
      </c>
      <c r="B5551">
        <v>100174183</v>
      </c>
      <c r="C5551" t="s">
        <v>13031</v>
      </c>
      <c r="E5551" s="184"/>
      <c r="G5551" s="184"/>
      <c r="I5551" s="184"/>
      <c r="J5551" t="s">
        <v>595</v>
      </c>
      <c r="K5551" s="184">
        <v>38736</v>
      </c>
      <c r="M5551" s="184"/>
      <c r="O5551" s="184"/>
      <c r="Q5551" t="s">
        <v>7020</v>
      </c>
      <c r="R5551" s="184">
        <v>5947</v>
      </c>
      <c r="S5551">
        <v>108</v>
      </c>
      <c r="Z5551">
        <v>100812849</v>
      </c>
      <c r="AA5551" t="s">
        <v>15150</v>
      </c>
      <c r="AB5551" t="s">
        <v>4523</v>
      </c>
      <c r="AD5551" t="s">
        <v>38643</v>
      </c>
      <c r="AF5551" t="s">
        <v>38644</v>
      </c>
      <c r="AG5551" t="s">
        <v>9955</v>
      </c>
      <c r="AH5551" t="s">
        <v>38644</v>
      </c>
      <c r="AI5551" t="s">
        <v>38645</v>
      </c>
      <c r="AJ5551" t="s">
        <v>38646</v>
      </c>
      <c r="AM5551" t="s">
        <v>3004</v>
      </c>
      <c r="AN5551" t="s">
        <v>2112</v>
      </c>
      <c r="AO5551">
        <v>10036</v>
      </c>
      <c r="AP5551" t="s">
        <v>7024</v>
      </c>
      <c r="AT5551" s="184">
        <v>30663</v>
      </c>
      <c r="AU5551" t="s">
        <v>8398</v>
      </c>
      <c r="AV5551">
        <v>100</v>
      </c>
      <c r="AW5551" s="184">
        <v>38736</v>
      </c>
      <c r="AX5551" t="s">
        <v>15155</v>
      </c>
      <c r="AY5551">
        <v>12500</v>
      </c>
      <c r="AZ5551" s="184">
        <v>38736</v>
      </c>
      <c r="BA5551" t="s">
        <v>15155</v>
      </c>
      <c r="BB5551">
        <v>12500</v>
      </c>
      <c r="BC5551">
        <v>15</v>
      </c>
      <c r="BD5551">
        <v>25400</v>
      </c>
      <c r="BE5551">
        <v>1984</v>
      </c>
      <c r="BF5551">
        <v>7</v>
      </c>
      <c r="BI5551">
        <v>6</v>
      </c>
      <c r="BJ5551">
        <v>42</v>
      </c>
      <c r="BK5551">
        <v>2</v>
      </c>
      <c r="BO5551" t="s">
        <v>595</v>
      </c>
      <c r="BP5551" s="184">
        <v>38367</v>
      </c>
    </row>
    <row r="5552" spans="1:68">
      <c r="A5552">
        <v>100174192</v>
      </c>
      <c r="B5552">
        <v>100174192</v>
      </c>
      <c r="C5552" t="s">
        <v>7018</v>
      </c>
      <c r="E5552" s="184"/>
      <c r="I5552" s="184"/>
      <c r="J5552" t="s">
        <v>595</v>
      </c>
      <c r="K5552" s="184">
        <v>38567</v>
      </c>
      <c r="O5552" s="184"/>
      <c r="Q5552" t="s">
        <v>7020</v>
      </c>
      <c r="R5552" s="184">
        <v>13912</v>
      </c>
      <c r="S5552">
        <v>86</v>
      </c>
      <c r="U5552" t="s">
        <v>15150</v>
      </c>
      <c r="V5552" t="s">
        <v>3095</v>
      </c>
      <c r="X5552" t="s">
        <v>38647</v>
      </c>
      <c r="AF5552" t="s">
        <v>38648</v>
      </c>
      <c r="AG5552" t="s">
        <v>3095</v>
      </c>
      <c r="AI5552" t="s">
        <v>38649</v>
      </c>
      <c r="AM5552" t="s">
        <v>38650</v>
      </c>
      <c r="AN5552" t="s">
        <v>2112</v>
      </c>
      <c r="AO5552" t="s">
        <v>38651</v>
      </c>
      <c r="AP5552" t="s">
        <v>7024</v>
      </c>
      <c r="AT5552" s="184">
        <v>30690</v>
      </c>
      <c r="AU5552" t="s">
        <v>7173</v>
      </c>
      <c r="AV5552">
        <v>25</v>
      </c>
      <c r="AW5552" s="184">
        <v>38567</v>
      </c>
      <c r="AX5552" t="s">
        <v>15155</v>
      </c>
      <c r="AY5552">
        <v>6456.6</v>
      </c>
      <c r="AZ5552" s="184">
        <v>37771</v>
      </c>
      <c r="BA5552" t="s">
        <v>37822</v>
      </c>
      <c r="BB5552">
        <v>10000</v>
      </c>
      <c r="BC5552">
        <v>47</v>
      </c>
      <c r="BD5552">
        <v>17425.599999999999</v>
      </c>
      <c r="BE5552">
        <v>1984</v>
      </c>
      <c r="BF5552">
        <v>35</v>
      </c>
      <c r="BI5552">
        <v>19</v>
      </c>
      <c r="BJ5552">
        <v>41</v>
      </c>
      <c r="BK5552">
        <v>15</v>
      </c>
      <c r="BM5552" t="s">
        <v>595</v>
      </c>
      <c r="BO5552" t="s">
        <v>595</v>
      </c>
      <c r="BP5552" s="184"/>
    </row>
    <row r="5553" spans="1:68">
      <c r="A5553">
        <v>100174193</v>
      </c>
      <c r="B5553">
        <v>100174193</v>
      </c>
      <c r="C5553" t="s">
        <v>7018</v>
      </c>
      <c r="E5553" s="184"/>
      <c r="G5553" s="184"/>
      <c r="J5553" t="s">
        <v>595</v>
      </c>
      <c r="K5553" s="184">
        <v>39274</v>
      </c>
      <c r="M5553" s="184"/>
      <c r="O5553" s="184"/>
      <c r="Q5553" t="s">
        <v>7020</v>
      </c>
      <c r="R5553" s="184">
        <v>2040</v>
      </c>
      <c r="S5553">
        <v>118</v>
      </c>
      <c r="U5553" t="s">
        <v>15150</v>
      </c>
      <c r="V5553" t="s">
        <v>5537</v>
      </c>
      <c r="W5553" t="s">
        <v>2049</v>
      </c>
      <c r="X5553" t="s">
        <v>38652</v>
      </c>
      <c r="AI5553" t="s">
        <v>38653</v>
      </c>
      <c r="AM5553" t="s">
        <v>38654</v>
      </c>
      <c r="AN5553" t="s">
        <v>2112</v>
      </c>
      <c r="AO5553" t="s">
        <v>38655</v>
      </c>
      <c r="AP5553" t="s">
        <v>7024</v>
      </c>
      <c r="AT5553" s="184">
        <v>30791</v>
      </c>
      <c r="AU5553" t="s">
        <v>7073</v>
      </c>
      <c r="AV5553">
        <v>50</v>
      </c>
      <c r="AW5553" s="184">
        <v>39274</v>
      </c>
      <c r="AX5553" t="s">
        <v>9864</v>
      </c>
      <c r="AY5553">
        <v>5000</v>
      </c>
      <c r="AZ5553" s="184">
        <v>39274</v>
      </c>
      <c r="BA5553" t="s">
        <v>9864</v>
      </c>
      <c r="BB5553">
        <v>5000</v>
      </c>
      <c r="BC5553">
        <v>47</v>
      </c>
      <c r="BD5553">
        <v>6666</v>
      </c>
      <c r="BE5553">
        <v>1984</v>
      </c>
      <c r="BF5553">
        <v>46</v>
      </c>
      <c r="BI5553">
        <v>19</v>
      </c>
      <c r="BJ5553">
        <v>41</v>
      </c>
      <c r="BK5553">
        <v>14</v>
      </c>
      <c r="BO5553" t="s">
        <v>595</v>
      </c>
      <c r="BP5553" s="184"/>
    </row>
    <row r="5554" spans="1:68">
      <c r="A5554">
        <v>100174194</v>
      </c>
      <c r="B5554">
        <v>100174194</v>
      </c>
      <c r="C5554" t="s">
        <v>7018</v>
      </c>
      <c r="E5554" s="184"/>
      <c r="I5554" s="184"/>
      <c r="J5554" t="s">
        <v>595</v>
      </c>
      <c r="K5554" s="184">
        <v>41984</v>
      </c>
      <c r="M5554" s="184"/>
      <c r="O5554" s="184"/>
      <c r="Q5554" t="s">
        <v>7194</v>
      </c>
      <c r="R5554" s="184"/>
      <c r="V5554" t="s">
        <v>38656</v>
      </c>
      <c r="X5554" t="s">
        <v>38657</v>
      </c>
      <c r="AI5554" t="s">
        <v>38658</v>
      </c>
      <c r="AM5554" t="s">
        <v>4217</v>
      </c>
      <c r="AN5554" t="s">
        <v>2046</v>
      </c>
      <c r="AO5554" t="s">
        <v>38659</v>
      </c>
      <c r="AP5554" t="s">
        <v>7024</v>
      </c>
      <c r="AT5554" s="184">
        <v>31222</v>
      </c>
      <c r="AU5554" t="s">
        <v>38660</v>
      </c>
      <c r="AV5554">
        <v>18</v>
      </c>
      <c r="AW5554" s="184">
        <v>41984</v>
      </c>
      <c r="AX5554" t="s">
        <v>14228</v>
      </c>
      <c r="AY5554">
        <v>500</v>
      </c>
      <c r="AZ5554" s="184">
        <v>41984</v>
      </c>
      <c r="BA5554" t="s">
        <v>14228</v>
      </c>
      <c r="BB5554">
        <v>500</v>
      </c>
      <c r="BC5554">
        <v>38</v>
      </c>
      <c r="BD5554">
        <v>1438</v>
      </c>
      <c r="BE5554">
        <v>1985</v>
      </c>
      <c r="BF5554">
        <v>36</v>
      </c>
      <c r="BI5554">
        <v>15</v>
      </c>
      <c r="BJ5554">
        <v>40</v>
      </c>
      <c r="BK5554">
        <v>13</v>
      </c>
      <c r="BO5554" t="s">
        <v>595</v>
      </c>
      <c r="BP5554" s="184">
        <v>41457</v>
      </c>
    </row>
    <row r="5555" spans="1:68">
      <c r="A5555">
        <v>100174200</v>
      </c>
      <c r="B5555">
        <v>100174200</v>
      </c>
      <c r="C5555" t="s">
        <v>7018</v>
      </c>
      <c r="E5555" s="184"/>
      <c r="I5555" s="184"/>
      <c r="J5555" t="s">
        <v>595</v>
      </c>
      <c r="K5555" s="184">
        <v>40588</v>
      </c>
      <c r="O5555" s="184"/>
      <c r="Q5555" t="s">
        <v>7262</v>
      </c>
      <c r="R5555" s="184">
        <v>6262</v>
      </c>
      <c r="S5555">
        <v>107</v>
      </c>
      <c r="U5555" t="s">
        <v>7076</v>
      </c>
      <c r="V5555" t="s">
        <v>3350</v>
      </c>
      <c r="X5555" t="s">
        <v>38661</v>
      </c>
      <c r="AI5555" t="s">
        <v>38662</v>
      </c>
      <c r="AM5555" t="s">
        <v>3911</v>
      </c>
      <c r="AN5555" t="s">
        <v>2106</v>
      </c>
      <c r="AO5555" t="s">
        <v>38663</v>
      </c>
      <c r="AP5555" t="s">
        <v>7024</v>
      </c>
      <c r="AT5555" s="184">
        <v>30607</v>
      </c>
      <c r="AU5555" t="s">
        <v>7586</v>
      </c>
      <c r="AV5555">
        <v>25</v>
      </c>
      <c r="AW5555" s="184">
        <v>40588</v>
      </c>
      <c r="AX5555" t="s">
        <v>14283</v>
      </c>
      <c r="AY5555">
        <v>2000</v>
      </c>
      <c r="AZ5555" s="184">
        <v>40588</v>
      </c>
      <c r="BA5555" t="s">
        <v>14283</v>
      </c>
      <c r="BB5555">
        <v>2000</v>
      </c>
      <c r="BC5555">
        <v>55</v>
      </c>
      <c r="BD5555">
        <v>6655</v>
      </c>
      <c r="BE5555">
        <v>1984</v>
      </c>
      <c r="BF5555">
        <v>33</v>
      </c>
      <c r="BI5555">
        <v>23</v>
      </c>
      <c r="BJ5555">
        <v>42</v>
      </c>
      <c r="BK5555">
        <v>11</v>
      </c>
      <c r="BO5555" t="s">
        <v>595</v>
      </c>
      <c r="BP5555" s="184">
        <v>40233</v>
      </c>
    </row>
    <row r="5556" spans="1:68">
      <c r="A5556">
        <v>100174203</v>
      </c>
      <c r="B5556">
        <v>100174203</v>
      </c>
      <c r="C5556" t="s">
        <v>7018</v>
      </c>
      <c r="E5556" s="184"/>
      <c r="I5556" s="184"/>
      <c r="J5556" t="s">
        <v>595</v>
      </c>
      <c r="K5556" s="184">
        <v>41120</v>
      </c>
      <c r="M5556" s="184"/>
      <c r="O5556" s="184"/>
      <c r="Q5556" t="s">
        <v>7262</v>
      </c>
      <c r="R5556" s="184">
        <v>9498</v>
      </c>
      <c r="S5556">
        <v>98</v>
      </c>
      <c r="U5556" t="s">
        <v>7031</v>
      </c>
      <c r="V5556" t="s">
        <v>3496</v>
      </c>
      <c r="X5556" t="s">
        <v>38664</v>
      </c>
      <c r="AI5556" t="s">
        <v>38665</v>
      </c>
      <c r="AM5556" t="s">
        <v>4949</v>
      </c>
      <c r="AN5556" t="s">
        <v>2106</v>
      </c>
      <c r="AO5556" t="s">
        <v>38666</v>
      </c>
      <c r="AP5556" t="s">
        <v>7024</v>
      </c>
      <c r="AT5556" s="184">
        <v>33563</v>
      </c>
      <c r="AU5556" t="s">
        <v>38667</v>
      </c>
      <c r="AV5556">
        <v>15</v>
      </c>
      <c r="AW5556" s="184">
        <v>41120</v>
      </c>
      <c r="AX5556" t="s">
        <v>13035</v>
      </c>
      <c r="AY5556">
        <v>1000</v>
      </c>
      <c r="AZ5556" s="184">
        <v>41120</v>
      </c>
      <c r="BA5556" t="s">
        <v>13035</v>
      </c>
      <c r="BB5556">
        <v>1000</v>
      </c>
      <c r="BC5556">
        <v>42</v>
      </c>
      <c r="BD5556">
        <v>1525</v>
      </c>
      <c r="BE5556">
        <v>1992</v>
      </c>
      <c r="BF5556">
        <v>22</v>
      </c>
      <c r="BI5556">
        <v>14</v>
      </c>
      <c r="BJ5556">
        <v>34</v>
      </c>
      <c r="BK5556">
        <v>7</v>
      </c>
      <c r="BO5556" t="s">
        <v>595</v>
      </c>
      <c r="BP5556" s="184">
        <v>40543</v>
      </c>
    </row>
    <row r="5557" spans="1:68">
      <c r="A5557">
        <v>100174204</v>
      </c>
      <c r="B5557">
        <v>100174204</v>
      </c>
      <c r="C5557" t="s">
        <v>7018</v>
      </c>
      <c r="E5557" s="184"/>
      <c r="G5557" s="184"/>
      <c r="I5557" s="184"/>
      <c r="J5557" t="s">
        <v>595</v>
      </c>
      <c r="K5557" s="184">
        <v>43172</v>
      </c>
      <c r="O5557" s="184"/>
      <c r="Q5557" t="s">
        <v>7262</v>
      </c>
      <c r="R5557" s="184">
        <v>11689</v>
      </c>
      <c r="S5557">
        <v>92</v>
      </c>
      <c r="U5557" t="s">
        <v>7031</v>
      </c>
      <c r="V5557" t="s">
        <v>2551</v>
      </c>
      <c r="W5557" t="s">
        <v>7046</v>
      </c>
      <c r="X5557" t="s">
        <v>20342</v>
      </c>
      <c r="AI5557" t="s">
        <v>38668</v>
      </c>
      <c r="AM5557" t="s">
        <v>3262</v>
      </c>
      <c r="AN5557" t="s">
        <v>2106</v>
      </c>
      <c r="AO5557" t="s">
        <v>38669</v>
      </c>
      <c r="AP5557" t="s">
        <v>7024</v>
      </c>
      <c r="AT5557" s="184">
        <v>31044</v>
      </c>
      <c r="AU5557" t="s">
        <v>7674</v>
      </c>
      <c r="AV5557">
        <v>10</v>
      </c>
      <c r="AW5557" s="184">
        <v>43172</v>
      </c>
      <c r="AX5557" t="s">
        <v>7445</v>
      </c>
      <c r="AY5557">
        <v>45.41</v>
      </c>
      <c r="AZ5557" s="184">
        <v>42978</v>
      </c>
      <c r="BA5557" t="s">
        <v>7445</v>
      </c>
      <c r="BB5557">
        <v>5333.08</v>
      </c>
      <c r="BC5557">
        <v>44</v>
      </c>
      <c r="BD5557">
        <v>5833.49</v>
      </c>
      <c r="BE5557">
        <v>1985</v>
      </c>
      <c r="BF5557">
        <v>27</v>
      </c>
      <c r="BI5557">
        <v>18</v>
      </c>
      <c r="BJ5557">
        <v>41</v>
      </c>
      <c r="BK5557">
        <v>9</v>
      </c>
      <c r="BM5557" t="s">
        <v>595</v>
      </c>
      <c r="BO5557" t="s">
        <v>595</v>
      </c>
      <c r="BP5557" s="184">
        <v>42379</v>
      </c>
    </row>
    <row r="5558" spans="1:68">
      <c r="A5558">
        <v>100174220</v>
      </c>
      <c r="B5558">
        <v>100174220</v>
      </c>
      <c r="C5558" t="s">
        <v>7018</v>
      </c>
      <c r="E5558" s="184"/>
      <c r="I5558" s="184"/>
      <c r="J5558" t="s">
        <v>595</v>
      </c>
      <c r="K5558" s="184">
        <v>43465</v>
      </c>
      <c r="O5558" s="184"/>
      <c r="P5558" t="s">
        <v>7084</v>
      </c>
      <c r="Q5558" t="s">
        <v>7374</v>
      </c>
      <c r="R5558" s="184">
        <v>5327</v>
      </c>
      <c r="S5558">
        <v>109</v>
      </c>
      <c r="U5558" t="s">
        <v>7130</v>
      </c>
      <c r="V5558" t="s">
        <v>38670</v>
      </c>
      <c r="X5558" t="s">
        <v>38671</v>
      </c>
      <c r="Z5558">
        <v>100174221</v>
      </c>
      <c r="AA5558" t="s">
        <v>7130</v>
      </c>
      <c r="AB5558" t="s">
        <v>38672</v>
      </c>
      <c r="AD5558" t="s">
        <v>38671</v>
      </c>
      <c r="AF5558" t="s">
        <v>38673</v>
      </c>
      <c r="AG5558" t="s">
        <v>38674</v>
      </c>
      <c r="AI5558" t="s">
        <v>38675</v>
      </c>
      <c r="AM5558" t="s">
        <v>5817</v>
      </c>
      <c r="AN5558" t="s">
        <v>2081</v>
      </c>
      <c r="AO5558" t="s">
        <v>38676</v>
      </c>
      <c r="AP5558" t="s">
        <v>7024</v>
      </c>
      <c r="AT5558" s="184">
        <v>30669</v>
      </c>
      <c r="AU5558" t="s">
        <v>8356</v>
      </c>
      <c r="AV5558">
        <v>250</v>
      </c>
      <c r="AW5558" s="184">
        <v>44148</v>
      </c>
      <c r="AX5558" t="s">
        <v>38677</v>
      </c>
      <c r="AY5558">
        <v>10604.27</v>
      </c>
      <c r="AZ5558" s="184">
        <v>42004</v>
      </c>
      <c r="BA5558" t="s">
        <v>14228</v>
      </c>
      <c r="BB5558">
        <v>15991.48</v>
      </c>
      <c r="BC5558">
        <v>60</v>
      </c>
      <c r="BD5558">
        <v>84835.31</v>
      </c>
      <c r="BE5558">
        <v>1984</v>
      </c>
      <c r="BF5558">
        <v>34</v>
      </c>
      <c r="BI5558">
        <v>25</v>
      </c>
      <c r="BJ5558">
        <v>42</v>
      </c>
      <c r="BK5558">
        <v>12</v>
      </c>
      <c r="BO5558" t="s">
        <v>595</v>
      </c>
      <c r="BP5558" s="184">
        <v>40428</v>
      </c>
    </row>
    <row r="5559" spans="1:68">
      <c r="A5559">
        <v>100174252</v>
      </c>
      <c r="B5559">
        <v>100174252</v>
      </c>
      <c r="C5559" t="s">
        <v>7018</v>
      </c>
      <c r="E5559" s="184"/>
      <c r="G5559" s="184"/>
      <c r="I5559" s="184"/>
      <c r="J5559" t="s">
        <v>595</v>
      </c>
      <c r="K5559" s="184">
        <v>38488</v>
      </c>
      <c r="M5559" s="184"/>
      <c r="O5559" s="184"/>
      <c r="Q5559" t="s">
        <v>7262</v>
      </c>
      <c r="R5559" s="184">
        <v>2040</v>
      </c>
      <c r="S5559">
        <v>118</v>
      </c>
      <c r="U5559" t="s">
        <v>15150</v>
      </c>
      <c r="V5559" t="s">
        <v>2669</v>
      </c>
      <c r="W5559" t="s">
        <v>3332</v>
      </c>
      <c r="X5559" t="s">
        <v>38678</v>
      </c>
      <c r="AI5559" t="s">
        <v>38679</v>
      </c>
      <c r="AJ5559" t="s">
        <v>38680</v>
      </c>
      <c r="AM5559" t="s">
        <v>5452</v>
      </c>
      <c r="AN5559" t="s">
        <v>65</v>
      </c>
      <c r="AO5559">
        <v>21157</v>
      </c>
      <c r="AP5559" t="s">
        <v>7024</v>
      </c>
      <c r="AT5559" s="184">
        <v>30824</v>
      </c>
      <c r="AU5559" t="s">
        <v>7073</v>
      </c>
      <c r="AV5559">
        <v>50</v>
      </c>
      <c r="AW5559" s="184">
        <v>38488</v>
      </c>
      <c r="AX5559" t="s">
        <v>37872</v>
      </c>
      <c r="AY5559">
        <v>27</v>
      </c>
      <c r="AZ5559" s="184">
        <v>38188</v>
      </c>
      <c r="BA5559" t="s">
        <v>37872</v>
      </c>
      <c r="BB5559">
        <v>25000</v>
      </c>
      <c r="BC5559">
        <v>44</v>
      </c>
      <c r="BD5559">
        <v>40913.360000000001</v>
      </c>
      <c r="BE5559">
        <v>1984</v>
      </c>
      <c r="BF5559">
        <v>30</v>
      </c>
      <c r="BI5559">
        <v>18</v>
      </c>
      <c r="BJ5559">
        <v>41</v>
      </c>
      <c r="BK5559">
        <v>16</v>
      </c>
      <c r="BO5559" t="s">
        <v>595</v>
      </c>
      <c r="BP5559" s="184"/>
    </row>
    <row r="5560" spans="1:68">
      <c r="A5560">
        <v>100174260</v>
      </c>
      <c r="B5560">
        <v>100174260</v>
      </c>
      <c r="C5560" t="s">
        <v>7018</v>
      </c>
      <c r="E5560" s="184"/>
      <c r="I5560" s="184"/>
      <c r="J5560" t="s">
        <v>595</v>
      </c>
      <c r="K5560" s="184">
        <v>40392</v>
      </c>
      <c r="O5560" s="184"/>
      <c r="Q5560" t="s">
        <v>7262</v>
      </c>
      <c r="R5560" s="184">
        <v>8152</v>
      </c>
      <c r="S5560">
        <v>102</v>
      </c>
      <c r="U5560" t="s">
        <v>7130</v>
      </c>
      <c r="V5560" t="s">
        <v>7407</v>
      </c>
      <c r="W5560" t="s">
        <v>5006</v>
      </c>
      <c r="X5560" t="s">
        <v>38681</v>
      </c>
      <c r="AI5560" t="s">
        <v>38682</v>
      </c>
      <c r="AM5560" t="s">
        <v>2616</v>
      </c>
      <c r="AN5560" t="s">
        <v>2069</v>
      </c>
      <c r="AO5560" t="s">
        <v>38683</v>
      </c>
      <c r="AP5560" t="s">
        <v>7024</v>
      </c>
      <c r="AT5560" s="184">
        <v>30756</v>
      </c>
      <c r="AU5560" t="s">
        <v>7073</v>
      </c>
      <c r="AV5560">
        <v>18</v>
      </c>
      <c r="AW5560" s="184">
        <v>40392</v>
      </c>
      <c r="AX5560" t="s">
        <v>14283</v>
      </c>
      <c r="AY5560">
        <v>980.91</v>
      </c>
      <c r="AZ5560" s="184">
        <v>39813</v>
      </c>
      <c r="BA5560" t="s">
        <v>9877</v>
      </c>
      <c r="BB5560">
        <v>17000</v>
      </c>
      <c r="BC5560">
        <v>52</v>
      </c>
      <c r="BD5560">
        <v>18902.91</v>
      </c>
      <c r="BE5560">
        <v>1984</v>
      </c>
      <c r="BF5560">
        <v>46</v>
      </c>
      <c r="BI5560">
        <v>21</v>
      </c>
      <c r="BJ5560">
        <v>41</v>
      </c>
      <c r="BK5560">
        <v>15</v>
      </c>
      <c r="BO5560" t="s">
        <v>595</v>
      </c>
      <c r="BP5560" s="184">
        <v>39786</v>
      </c>
    </row>
    <row r="5561" spans="1:68">
      <c r="A5561">
        <v>100174265</v>
      </c>
      <c r="B5561">
        <v>100174265</v>
      </c>
      <c r="C5561" t="s">
        <v>7018</v>
      </c>
      <c r="E5561" s="184"/>
      <c r="I5561" s="184"/>
      <c r="J5561" t="s">
        <v>595</v>
      </c>
      <c r="K5561" s="184">
        <v>37894</v>
      </c>
      <c r="O5561" s="184"/>
      <c r="Q5561" t="s">
        <v>7262</v>
      </c>
      <c r="R5561" s="184">
        <v>3900</v>
      </c>
      <c r="S5561">
        <v>113</v>
      </c>
      <c r="U5561" t="s">
        <v>7076</v>
      </c>
      <c r="V5561" t="s">
        <v>2742</v>
      </c>
      <c r="X5561" t="s">
        <v>38684</v>
      </c>
      <c r="AI5561" t="s">
        <v>38685</v>
      </c>
      <c r="AM5561" t="s">
        <v>35100</v>
      </c>
      <c r="AN5561" t="s">
        <v>2069</v>
      </c>
      <c r="AO5561" t="s">
        <v>38686</v>
      </c>
      <c r="AP5561" t="s">
        <v>7024</v>
      </c>
      <c r="AT5561" s="184">
        <v>30550</v>
      </c>
      <c r="AU5561" t="s">
        <v>38687</v>
      </c>
      <c r="AV5561">
        <v>25</v>
      </c>
      <c r="AW5561" s="184">
        <v>37894</v>
      </c>
      <c r="AX5561" t="s">
        <v>7760</v>
      </c>
      <c r="AY5561">
        <v>2000</v>
      </c>
      <c r="AZ5561" s="184">
        <v>37894</v>
      </c>
      <c r="BA5561" t="s">
        <v>7760</v>
      </c>
      <c r="BB5561">
        <v>2000</v>
      </c>
      <c r="BC5561">
        <v>36</v>
      </c>
      <c r="BD5561">
        <v>2800</v>
      </c>
      <c r="BE5561">
        <v>1984</v>
      </c>
      <c r="BF5561">
        <v>32</v>
      </c>
      <c r="BI5561">
        <v>15</v>
      </c>
      <c r="BJ5561">
        <v>42</v>
      </c>
      <c r="BK5561">
        <v>14</v>
      </c>
      <c r="BO5561" t="s">
        <v>595</v>
      </c>
      <c r="BP5561" s="184">
        <v>37805</v>
      </c>
    </row>
    <row r="5562" spans="1:68">
      <c r="A5562">
        <v>100174267</v>
      </c>
      <c r="B5562">
        <v>100174267</v>
      </c>
      <c r="C5562" t="s">
        <v>7018</v>
      </c>
      <c r="E5562" s="184"/>
      <c r="I5562" s="184"/>
      <c r="J5562" t="s">
        <v>595</v>
      </c>
      <c r="K5562" s="184">
        <v>41996</v>
      </c>
      <c r="O5562" s="184"/>
      <c r="Q5562" t="s">
        <v>7194</v>
      </c>
      <c r="R5562" s="184">
        <v>11396</v>
      </c>
      <c r="S5562">
        <v>93</v>
      </c>
      <c r="U5562" t="s">
        <v>7094</v>
      </c>
      <c r="V5562" t="s">
        <v>38688</v>
      </c>
      <c r="W5562" t="s">
        <v>3830</v>
      </c>
      <c r="X5562" t="s">
        <v>38689</v>
      </c>
      <c r="AI5562" t="s">
        <v>38690</v>
      </c>
      <c r="AM5562" t="s">
        <v>4351</v>
      </c>
      <c r="AN5562" t="s">
        <v>2046</v>
      </c>
      <c r="AO5562" t="s">
        <v>38691</v>
      </c>
      <c r="AP5562" t="s">
        <v>7024</v>
      </c>
      <c r="AT5562" s="184">
        <v>30573</v>
      </c>
      <c r="AU5562" t="s">
        <v>7073</v>
      </c>
      <c r="AV5562">
        <v>18</v>
      </c>
      <c r="AW5562" s="184">
        <v>41996</v>
      </c>
      <c r="AX5562" t="s">
        <v>14228</v>
      </c>
      <c r="AY5562">
        <v>913.25</v>
      </c>
      <c r="AZ5562" s="184">
        <v>41562</v>
      </c>
      <c r="BA5562" t="s">
        <v>37849</v>
      </c>
      <c r="BB5562">
        <v>66541.86</v>
      </c>
      <c r="BC5562">
        <v>41</v>
      </c>
      <c r="BD5562">
        <v>67839.11</v>
      </c>
      <c r="BE5562">
        <v>1984</v>
      </c>
      <c r="BF5562">
        <v>24</v>
      </c>
      <c r="BI5562">
        <v>17</v>
      </c>
      <c r="BJ5562">
        <v>42</v>
      </c>
      <c r="BK5562">
        <v>15</v>
      </c>
      <c r="BO5562" t="s">
        <v>595</v>
      </c>
      <c r="BP5562" s="184">
        <v>41226</v>
      </c>
    </row>
    <row r="5563" spans="1:68">
      <c r="A5563">
        <v>100174278</v>
      </c>
      <c r="B5563">
        <v>100174278</v>
      </c>
      <c r="C5563" t="s">
        <v>7018</v>
      </c>
      <c r="E5563" s="184"/>
      <c r="I5563" s="184"/>
      <c r="J5563" t="s">
        <v>595</v>
      </c>
      <c r="K5563" s="184">
        <v>38406</v>
      </c>
      <c r="M5563" s="184"/>
      <c r="O5563" s="184"/>
      <c r="Q5563" t="s">
        <v>7160</v>
      </c>
      <c r="R5563" s="184"/>
      <c r="U5563" t="s">
        <v>15150</v>
      </c>
      <c r="V5563" t="s">
        <v>38692</v>
      </c>
      <c r="W5563" t="s">
        <v>5609</v>
      </c>
      <c r="X5563" t="s">
        <v>8593</v>
      </c>
      <c r="AI5563" t="s">
        <v>38693</v>
      </c>
      <c r="AJ5563" t="s">
        <v>38694</v>
      </c>
      <c r="AM5563" t="s">
        <v>17235</v>
      </c>
      <c r="AN5563" t="s">
        <v>2413</v>
      </c>
      <c r="AO5563">
        <v>37772</v>
      </c>
      <c r="AP5563" t="s">
        <v>7024</v>
      </c>
      <c r="AT5563" s="184">
        <v>30935</v>
      </c>
      <c r="AU5563" t="s">
        <v>38695</v>
      </c>
      <c r="AV5563">
        <v>18</v>
      </c>
      <c r="AW5563" s="184">
        <v>38406</v>
      </c>
      <c r="AX5563" t="s">
        <v>37872</v>
      </c>
      <c r="AY5563">
        <v>1000</v>
      </c>
      <c r="AZ5563" s="184">
        <v>38406</v>
      </c>
      <c r="BA5563" t="s">
        <v>37872</v>
      </c>
      <c r="BB5563">
        <v>1000</v>
      </c>
      <c r="BC5563">
        <v>10</v>
      </c>
      <c r="BD5563">
        <v>1093</v>
      </c>
      <c r="BE5563">
        <v>1985</v>
      </c>
      <c r="BF5563">
        <v>4</v>
      </c>
      <c r="BI5563">
        <v>4</v>
      </c>
      <c r="BJ5563">
        <v>41</v>
      </c>
      <c r="BK5563">
        <v>3</v>
      </c>
      <c r="BO5563" t="s">
        <v>595</v>
      </c>
      <c r="BP5563" s="184"/>
    </row>
    <row r="5564" spans="1:68">
      <c r="A5564">
        <v>100174279</v>
      </c>
      <c r="B5564">
        <v>100174279</v>
      </c>
      <c r="C5564" t="s">
        <v>7018</v>
      </c>
      <c r="E5564" s="184"/>
      <c r="G5564" s="184"/>
      <c r="I5564" s="184"/>
      <c r="J5564" t="s">
        <v>595</v>
      </c>
      <c r="K5564" s="184">
        <v>39967</v>
      </c>
      <c r="O5564" s="184"/>
      <c r="Q5564" t="s">
        <v>7160</v>
      </c>
      <c r="R5564" s="184">
        <v>6330</v>
      </c>
      <c r="S5564">
        <v>107</v>
      </c>
      <c r="U5564" t="s">
        <v>7031</v>
      </c>
      <c r="V5564" t="s">
        <v>38696</v>
      </c>
      <c r="W5564" t="s">
        <v>7107</v>
      </c>
      <c r="X5564" t="s">
        <v>10236</v>
      </c>
      <c r="AI5564" t="s">
        <v>38697</v>
      </c>
      <c r="AM5564" t="s">
        <v>3837</v>
      </c>
      <c r="AN5564" t="s">
        <v>2413</v>
      </c>
      <c r="AO5564" t="s">
        <v>38698</v>
      </c>
      <c r="AP5564" t="s">
        <v>7024</v>
      </c>
      <c r="AT5564" s="184">
        <v>30652</v>
      </c>
      <c r="AU5564" t="s">
        <v>38699</v>
      </c>
      <c r="AV5564">
        <v>18</v>
      </c>
      <c r="AW5564" s="184">
        <v>39967</v>
      </c>
      <c r="AX5564" t="s">
        <v>38700</v>
      </c>
      <c r="AY5564">
        <v>1000</v>
      </c>
      <c r="AZ5564" s="184">
        <v>39142</v>
      </c>
      <c r="BA5564" t="s">
        <v>38701</v>
      </c>
      <c r="BB5564">
        <v>2500</v>
      </c>
      <c r="BC5564">
        <v>60</v>
      </c>
      <c r="BD5564">
        <v>22386</v>
      </c>
      <c r="BE5564">
        <v>1984</v>
      </c>
      <c r="BF5564">
        <v>47</v>
      </c>
      <c r="BI5564">
        <v>25</v>
      </c>
      <c r="BJ5564">
        <v>42</v>
      </c>
      <c r="BK5564">
        <v>21</v>
      </c>
      <c r="BL5564" t="s">
        <v>595</v>
      </c>
      <c r="BO5564" t="s">
        <v>595</v>
      </c>
      <c r="BP5564" s="184">
        <v>40991</v>
      </c>
    </row>
    <row r="5565" spans="1:68">
      <c r="A5565">
        <v>100174281</v>
      </c>
      <c r="B5565">
        <v>100174281</v>
      </c>
      <c r="C5565" t="s">
        <v>7018</v>
      </c>
      <c r="E5565" s="184"/>
      <c r="I5565" s="184"/>
      <c r="J5565" t="s">
        <v>595</v>
      </c>
      <c r="K5565" s="184">
        <v>40540</v>
      </c>
      <c r="O5565" s="184"/>
      <c r="Q5565" t="s">
        <v>7383</v>
      </c>
      <c r="R5565" s="184">
        <v>6301</v>
      </c>
      <c r="S5565">
        <v>107</v>
      </c>
      <c r="U5565" t="s">
        <v>7130</v>
      </c>
      <c r="V5565" t="s">
        <v>38702</v>
      </c>
      <c r="X5565" t="s">
        <v>38703</v>
      </c>
      <c r="AI5565" t="s">
        <v>38704</v>
      </c>
      <c r="AM5565" t="s">
        <v>38705</v>
      </c>
      <c r="AN5565" t="s">
        <v>2059</v>
      </c>
      <c r="AO5565" t="s">
        <v>38706</v>
      </c>
      <c r="AP5565" t="s">
        <v>7024</v>
      </c>
      <c r="AT5565" s="184">
        <v>30522</v>
      </c>
      <c r="AU5565" t="s">
        <v>38707</v>
      </c>
      <c r="AV5565">
        <v>18</v>
      </c>
      <c r="AW5565" s="184">
        <v>40540</v>
      </c>
      <c r="AX5565" t="s">
        <v>14283</v>
      </c>
      <c r="AY5565">
        <v>6741.46</v>
      </c>
      <c r="AZ5565" s="184">
        <v>40540</v>
      </c>
      <c r="BA5565" t="s">
        <v>14283</v>
      </c>
      <c r="BB5565">
        <v>6741.46</v>
      </c>
      <c r="BC5565">
        <v>60</v>
      </c>
      <c r="BD5565">
        <v>7764.46</v>
      </c>
      <c r="BE5565">
        <v>1984</v>
      </c>
      <c r="BF5565">
        <v>38</v>
      </c>
      <c r="BI5565">
        <v>25</v>
      </c>
      <c r="BJ5565">
        <v>42</v>
      </c>
      <c r="BK5565">
        <v>24</v>
      </c>
      <c r="BO5565" t="s">
        <v>595</v>
      </c>
      <c r="BP5565" s="184"/>
    </row>
    <row r="5566" spans="1:68">
      <c r="A5566">
        <v>100174286</v>
      </c>
      <c r="B5566">
        <v>100174286</v>
      </c>
      <c r="C5566" t="s">
        <v>7018</v>
      </c>
      <c r="E5566" s="184"/>
      <c r="I5566" s="184"/>
      <c r="J5566" t="s">
        <v>595</v>
      </c>
      <c r="K5566" s="184">
        <v>41571</v>
      </c>
      <c r="M5566" s="184"/>
      <c r="O5566" s="184"/>
      <c r="Q5566" t="s">
        <v>7494</v>
      </c>
      <c r="R5566" s="184">
        <v>9666</v>
      </c>
      <c r="S5566">
        <v>97</v>
      </c>
      <c r="U5566" t="s">
        <v>7032</v>
      </c>
      <c r="V5566" t="s">
        <v>3179</v>
      </c>
      <c r="W5566" t="s">
        <v>7356</v>
      </c>
      <c r="X5566" t="s">
        <v>38708</v>
      </c>
      <c r="AI5566" t="s">
        <v>38709</v>
      </c>
      <c r="AM5566" t="s">
        <v>3996</v>
      </c>
      <c r="AN5566" t="s">
        <v>2174</v>
      </c>
      <c r="AO5566" t="s">
        <v>38710</v>
      </c>
      <c r="AP5566" t="s">
        <v>7024</v>
      </c>
      <c r="AT5566" s="184">
        <v>30693</v>
      </c>
      <c r="AU5566" t="s">
        <v>7073</v>
      </c>
      <c r="AV5566">
        <v>200</v>
      </c>
      <c r="AW5566" s="184">
        <v>41571</v>
      </c>
      <c r="AX5566" t="s">
        <v>37849</v>
      </c>
      <c r="AY5566">
        <v>4553.72</v>
      </c>
      <c r="AZ5566" s="184">
        <v>41571</v>
      </c>
      <c r="BA5566" t="s">
        <v>37849</v>
      </c>
      <c r="BB5566">
        <v>4553.72</v>
      </c>
      <c r="BC5566">
        <v>59</v>
      </c>
      <c r="BD5566">
        <v>7158.72</v>
      </c>
      <c r="BE5566">
        <v>1984</v>
      </c>
      <c r="BF5566">
        <v>33</v>
      </c>
      <c r="BI5566">
        <v>24</v>
      </c>
      <c r="BJ5566">
        <v>41</v>
      </c>
      <c r="BK5566">
        <v>9</v>
      </c>
      <c r="BO5566" t="s">
        <v>595</v>
      </c>
      <c r="BP5566" s="184">
        <v>41232</v>
      </c>
    </row>
    <row r="5567" spans="1:68">
      <c r="A5567">
        <v>100174288</v>
      </c>
      <c r="B5567">
        <v>100174288</v>
      </c>
      <c r="C5567" t="s">
        <v>7018</v>
      </c>
      <c r="E5567" s="184"/>
      <c r="I5567" s="184"/>
      <c r="J5567" t="s">
        <v>595</v>
      </c>
      <c r="K5567" s="184">
        <v>41194</v>
      </c>
      <c r="O5567" s="184"/>
      <c r="Q5567" t="s">
        <v>7383</v>
      </c>
      <c r="R5567" s="184">
        <v>10456</v>
      </c>
      <c r="S5567">
        <v>95</v>
      </c>
      <c r="U5567" t="s">
        <v>7094</v>
      </c>
      <c r="V5567" t="s">
        <v>3400</v>
      </c>
      <c r="W5567" t="s">
        <v>4327</v>
      </c>
      <c r="X5567" t="s">
        <v>34603</v>
      </c>
      <c r="AI5567" t="s">
        <v>10065</v>
      </c>
      <c r="AM5567" t="s">
        <v>38711</v>
      </c>
      <c r="AN5567" t="s">
        <v>2072</v>
      </c>
      <c r="AO5567">
        <v>48446</v>
      </c>
      <c r="AP5567" t="s">
        <v>7024</v>
      </c>
      <c r="AT5567" s="184">
        <v>30628</v>
      </c>
      <c r="AU5567" t="s">
        <v>7073</v>
      </c>
      <c r="AV5567">
        <v>25</v>
      </c>
      <c r="AW5567" s="184">
        <v>41194</v>
      </c>
      <c r="AX5567" t="s">
        <v>13035</v>
      </c>
      <c r="AY5567">
        <v>50</v>
      </c>
      <c r="AZ5567" s="184">
        <v>31195</v>
      </c>
      <c r="BA5567" t="s">
        <v>7186</v>
      </c>
      <c r="BB5567">
        <v>250</v>
      </c>
      <c r="BC5567">
        <v>53</v>
      </c>
      <c r="BD5567">
        <v>1817</v>
      </c>
      <c r="BE5567">
        <v>1984</v>
      </c>
      <c r="BF5567">
        <v>37</v>
      </c>
      <c r="BI5567">
        <v>22</v>
      </c>
      <c r="BJ5567">
        <v>42</v>
      </c>
      <c r="BK5567">
        <v>6</v>
      </c>
      <c r="BO5567" t="s">
        <v>595</v>
      </c>
      <c r="BP5567" s="184">
        <v>41024</v>
      </c>
    </row>
    <row r="5568" spans="1:68">
      <c r="A5568">
        <v>100174290</v>
      </c>
      <c r="B5568">
        <v>100174290</v>
      </c>
      <c r="C5568" t="s">
        <v>7018</v>
      </c>
      <c r="E5568" s="184"/>
      <c r="I5568" s="184"/>
      <c r="J5568" t="s">
        <v>595</v>
      </c>
      <c r="K5568" s="184">
        <v>38975</v>
      </c>
      <c r="O5568" s="184"/>
      <c r="Q5568" t="s">
        <v>7383</v>
      </c>
      <c r="R5568" s="184"/>
      <c r="U5568" t="s">
        <v>15150</v>
      </c>
      <c r="V5568" t="s">
        <v>3304</v>
      </c>
      <c r="X5568" t="s">
        <v>38712</v>
      </c>
      <c r="AI5568" t="s">
        <v>38713</v>
      </c>
      <c r="AM5568" t="s">
        <v>9527</v>
      </c>
      <c r="AN5568" t="s">
        <v>2162</v>
      </c>
      <c r="AO5568" t="s">
        <v>38714</v>
      </c>
      <c r="AP5568" t="s">
        <v>7024</v>
      </c>
      <c r="AT5568" s="184">
        <v>30475</v>
      </c>
      <c r="AU5568" t="s">
        <v>7073</v>
      </c>
      <c r="AV5568">
        <v>25</v>
      </c>
      <c r="AW5568" s="184">
        <v>38975</v>
      </c>
      <c r="AX5568" t="s">
        <v>37812</v>
      </c>
      <c r="AY5568">
        <v>43589.2</v>
      </c>
      <c r="AZ5568" s="184">
        <v>38975</v>
      </c>
      <c r="BA5568" t="s">
        <v>37812</v>
      </c>
      <c r="BB5568">
        <v>43589.2</v>
      </c>
      <c r="BC5568">
        <v>31</v>
      </c>
      <c r="BD5568">
        <v>44094.2</v>
      </c>
      <c r="BE5568">
        <v>1983</v>
      </c>
      <c r="BF5568">
        <v>18</v>
      </c>
      <c r="BI5568">
        <v>13</v>
      </c>
      <c r="BJ5568">
        <v>42</v>
      </c>
      <c r="BK5568">
        <v>10</v>
      </c>
      <c r="BO5568" t="s">
        <v>595</v>
      </c>
      <c r="BP5568" s="184">
        <v>38608</v>
      </c>
    </row>
    <row r="5569" spans="1:68">
      <c r="A5569">
        <v>100174298</v>
      </c>
      <c r="B5569">
        <v>100174298</v>
      </c>
      <c r="C5569" t="s">
        <v>7018</v>
      </c>
      <c r="E5569" s="184"/>
      <c r="I5569" s="184"/>
      <c r="J5569" t="s">
        <v>595</v>
      </c>
      <c r="K5569" s="184">
        <v>42793</v>
      </c>
      <c r="M5569" s="184"/>
      <c r="O5569" s="184"/>
      <c r="Q5569" t="s">
        <v>7383</v>
      </c>
      <c r="R5569" s="184">
        <v>6882</v>
      </c>
      <c r="S5569">
        <v>105</v>
      </c>
      <c r="U5569" t="s">
        <v>7031</v>
      </c>
      <c r="V5569" t="s">
        <v>3246</v>
      </c>
      <c r="W5569" t="s">
        <v>7743</v>
      </c>
      <c r="X5569" t="s">
        <v>38715</v>
      </c>
      <c r="Z5569">
        <v>100174299</v>
      </c>
      <c r="AA5569" t="s">
        <v>7130</v>
      </c>
      <c r="AB5569" t="s">
        <v>4365</v>
      </c>
      <c r="AD5569" t="s">
        <v>38715</v>
      </c>
      <c r="AI5569" t="s">
        <v>38716</v>
      </c>
      <c r="AM5569" t="s">
        <v>3510</v>
      </c>
      <c r="AN5569" t="s">
        <v>2185</v>
      </c>
      <c r="AO5569" t="s">
        <v>38717</v>
      </c>
      <c r="AP5569" t="s">
        <v>7024</v>
      </c>
      <c r="AT5569" s="184">
        <v>30666</v>
      </c>
      <c r="AU5569" t="s">
        <v>7073</v>
      </c>
      <c r="AV5569">
        <v>25</v>
      </c>
      <c r="AW5569" s="184">
        <v>42793</v>
      </c>
      <c r="AX5569" t="s">
        <v>19550</v>
      </c>
      <c r="AY5569">
        <v>6369</v>
      </c>
      <c r="AZ5569" s="184">
        <v>42590</v>
      </c>
      <c r="BA5569" t="s">
        <v>19550</v>
      </c>
      <c r="BB5569">
        <v>33000</v>
      </c>
      <c r="BC5569">
        <v>70</v>
      </c>
      <c r="BD5569">
        <v>40351</v>
      </c>
      <c r="BE5569">
        <v>1984</v>
      </c>
      <c r="BF5569">
        <v>35</v>
      </c>
      <c r="BI5569">
        <v>29</v>
      </c>
      <c r="BJ5569">
        <v>42</v>
      </c>
      <c r="BK5569">
        <v>27</v>
      </c>
      <c r="BO5569" t="s">
        <v>595</v>
      </c>
      <c r="BP5569" s="184">
        <v>38480</v>
      </c>
    </row>
    <row r="5570" spans="1:68">
      <c r="A5570">
        <v>100174300</v>
      </c>
      <c r="B5570">
        <v>100174300</v>
      </c>
      <c r="C5570" t="s">
        <v>7018</v>
      </c>
      <c r="E5570" s="184"/>
      <c r="I5570" s="184"/>
      <c r="J5570" t="s">
        <v>595</v>
      </c>
      <c r="K5570" s="184">
        <v>38686</v>
      </c>
      <c r="O5570" s="184"/>
      <c r="Q5570" t="s">
        <v>7774</v>
      </c>
      <c r="R5570" s="184"/>
      <c r="U5570" t="s">
        <v>15150</v>
      </c>
      <c r="V5570" t="s">
        <v>37459</v>
      </c>
      <c r="W5570" t="s">
        <v>4152</v>
      </c>
      <c r="X5570" t="s">
        <v>3501</v>
      </c>
      <c r="AI5570" t="s">
        <v>38718</v>
      </c>
      <c r="AJ5570" t="s">
        <v>38719</v>
      </c>
      <c r="AM5570" t="s">
        <v>4694</v>
      </c>
      <c r="AN5570" t="s">
        <v>6952</v>
      </c>
      <c r="AO5570" t="s">
        <v>38720</v>
      </c>
      <c r="AP5570" t="s">
        <v>7024</v>
      </c>
      <c r="AT5570" s="184">
        <v>30508</v>
      </c>
      <c r="AU5570" t="s">
        <v>7073</v>
      </c>
      <c r="AV5570">
        <v>25</v>
      </c>
      <c r="AW5570" s="184">
        <v>38686</v>
      </c>
      <c r="AX5570" t="s">
        <v>15155</v>
      </c>
      <c r="AY5570">
        <v>30341.119999999999</v>
      </c>
      <c r="AZ5570" s="184">
        <v>38686</v>
      </c>
      <c r="BA5570" t="s">
        <v>15155</v>
      </c>
      <c r="BB5570">
        <v>30341.119999999999</v>
      </c>
      <c r="BC5570">
        <v>31</v>
      </c>
      <c r="BD5570">
        <v>30931.119999999999</v>
      </c>
      <c r="BE5570">
        <v>1984</v>
      </c>
      <c r="BF5570">
        <v>19</v>
      </c>
      <c r="BI5570">
        <v>13</v>
      </c>
      <c r="BJ5570">
        <v>42</v>
      </c>
      <c r="BK5570">
        <v>9</v>
      </c>
      <c r="BO5570" t="s">
        <v>595</v>
      </c>
      <c r="BP5570" s="184">
        <v>38081</v>
      </c>
    </row>
    <row r="5571" spans="1:68">
      <c r="A5571">
        <v>100174301</v>
      </c>
      <c r="B5571">
        <v>100174301</v>
      </c>
      <c r="C5571" t="s">
        <v>7018</v>
      </c>
      <c r="E5571" s="184"/>
      <c r="G5571" s="184"/>
      <c r="I5571" s="184"/>
      <c r="J5571" t="s">
        <v>595</v>
      </c>
      <c r="K5571" s="184">
        <v>41898</v>
      </c>
      <c r="O5571" s="184"/>
      <c r="Q5571" t="s">
        <v>7774</v>
      </c>
      <c r="R5571" s="184">
        <v>9533</v>
      </c>
      <c r="S5571">
        <v>98</v>
      </c>
      <c r="U5571" t="s">
        <v>7031</v>
      </c>
      <c r="V5571" t="s">
        <v>3054</v>
      </c>
      <c r="X5571" t="s">
        <v>38721</v>
      </c>
      <c r="AI5571" t="s">
        <v>38722</v>
      </c>
      <c r="AM5571" t="s">
        <v>2853</v>
      </c>
      <c r="AN5571" t="s">
        <v>2077</v>
      </c>
      <c r="AO5571" t="s">
        <v>38723</v>
      </c>
      <c r="AP5571" t="s">
        <v>7024</v>
      </c>
      <c r="AT5571" s="184">
        <v>30505</v>
      </c>
      <c r="AU5571" t="s">
        <v>7073</v>
      </c>
      <c r="AV5571">
        <v>50</v>
      </c>
      <c r="AW5571" s="184">
        <v>41898</v>
      </c>
      <c r="AX5571" t="s">
        <v>14228</v>
      </c>
      <c r="AY5571">
        <v>5000</v>
      </c>
      <c r="AZ5571" s="184">
        <v>41898</v>
      </c>
      <c r="BA5571" t="s">
        <v>14228</v>
      </c>
      <c r="BB5571">
        <v>5000</v>
      </c>
      <c r="BC5571">
        <v>74</v>
      </c>
      <c r="BD5571">
        <v>6598</v>
      </c>
      <c r="BE5571">
        <v>1984</v>
      </c>
      <c r="BF5571">
        <v>61</v>
      </c>
      <c r="BI5571">
        <v>31</v>
      </c>
      <c r="BJ5571">
        <v>42</v>
      </c>
      <c r="BK5571">
        <v>30</v>
      </c>
      <c r="BO5571" t="s">
        <v>595</v>
      </c>
      <c r="BP5571" s="184">
        <v>41540</v>
      </c>
    </row>
    <row r="5572" spans="1:68">
      <c r="A5572">
        <v>100174302</v>
      </c>
      <c r="B5572">
        <v>100174302</v>
      </c>
      <c r="C5572" t="s">
        <v>7018</v>
      </c>
      <c r="E5572" s="184"/>
      <c r="G5572" s="184"/>
      <c r="I5572" s="184"/>
      <c r="J5572" t="s">
        <v>595</v>
      </c>
      <c r="K5572" s="184">
        <v>41065</v>
      </c>
      <c r="M5572" s="184"/>
      <c r="N5572" t="s">
        <v>595</v>
      </c>
      <c r="O5572" s="184">
        <v>36281</v>
      </c>
      <c r="Q5572" t="s">
        <v>7774</v>
      </c>
      <c r="R5572" s="184">
        <v>8249</v>
      </c>
      <c r="S5572">
        <v>101</v>
      </c>
      <c r="U5572" t="s">
        <v>7031</v>
      </c>
      <c r="V5572" t="s">
        <v>2541</v>
      </c>
      <c r="W5572" t="s">
        <v>3237</v>
      </c>
      <c r="X5572" t="s">
        <v>38724</v>
      </c>
      <c r="Z5572">
        <v>100174303</v>
      </c>
      <c r="AA5572" t="s">
        <v>7130</v>
      </c>
      <c r="AB5572" t="s">
        <v>7799</v>
      </c>
      <c r="AC5572" t="s">
        <v>7695</v>
      </c>
      <c r="AD5572" t="s">
        <v>38724</v>
      </c>
      <c r="AI5572" t="s">
        <v>38725</v>
      </c>
      <c r="AM5572" t="s">
        <v>3716</v>
      </c>
      <c r="AN5572" t="s">
        <v>2077</v>
      </c>
      <c r="AO5572" t="s">
        <v>38726</v>
      </c>
      <c r="AP5572" t="s">
        <v>7024</v>
      </c>
      <c r="AT5572" s="184">
        <v>30673</v>
      </c>
      <c r="AU5572" t="s">
        <v>7073</v>
      </c>
      <c r="AV5572">
        <v>25</v>
      </c>
      <c r="AW5572" s="184">
        <v>41065</v>
      </c>
      <c r="AX5572" t="s">
        <v>18846</v>
      </c>
      <c r="AY5572">
        <v>49722.07</v>
      </c>
      <c r="AZ5572" s="184">
        <v>41065</v>
      </c>
      <c r="BA5572" t="s">
        <v>18846</v>
      </c>
      <c r="BB5572">
        <v>49722.07</v>
      </c>
      <c r="BC5572">
        <v>67</v>
      </c>
      <c r="BD5572">
        <v>64315.07</v>
      </c>
      <c r="BE5572">
        <v>1984</v>
      </c>
      <c r="BF5572">
        <v>55</v>
      </c>
      <c r="BI5572">
        <v>28</v>
      </c>
      <c r="BJ5572">
        <v>42</v>
      </c>
      <c r="BK5572">
        <v>18</v>
      </c>
      <c r="BO5572" t="s">
        <v>595</v>
      </c>
      <c r="BP5572" s="184">
        <v>40947</v>
      </c>
    </row>
    <row r="5573" spans="1:68">
      <c r="A5573">
        <v>100174303</v>
      </c>
      <c r="B5573">
        <v>100174302</v>
      </c>
      <c r="C5573" t="s">
        <v>7018</v>
      </c>
      <c r="E5573" s="184"/>
      <c r="I5573" s="184"/>
      <c r="K5573" s="184"/>
      <c r="N5573" t="s">
        <v>595</v>
      </c>
      <c r="O5573" s="184">
        <v>36281</v>
      </c>
      <c r="Q5573" t="s">
        <v>7774</v>
      </c>
      <c r="R5573" s="184">
        <v>2850</v>
      </c>
      <c r="S5573">
        <v>116</v>
      </c>
      <c r="U5573" t="s">
        <v>7130</v>
      </c>
      <c r="V5573" t="s">
        <v>7799</v>
      </c>
      <c r="W5573" t="s">
        <v>7695</v>
      </c>
      <c r="X5573" t="s">
        <v>38724</v>
      </c>
      <c r="Z5573">
        <v>100174302</v>
      </c>
      <c r="AA5573" t="s">
        <v>7031</v>
      </c>
      <c r="AB5573" t="s">
        <v>2541</v>
      </c>
      <c r="AC5573" t="s">
        <v>3237</v>
      </c>
      <c r="AD5573" t="s">
        <v>38724</v>
      </c>
      <c r="AI5573" t="s">
        <v>38725</v>
      </c>
      <c r="AM5573" t="s">
        <v>3716</v>
      </c>
      <c r="AN5573" t="s">
        <v>2077</v>
      </c>
      <c r="AO5573" t="s">
        <v>38726</v>
      </c>
      <c r="AP5573" t="s">
        <v>7024</v>
      </c>
      <c r="AT5573" s="184"/>
      <c r="AW5573" s="184"/>
      <c r="AZ5573" s="184"/>
      <c r="BO5573" t="s">
        <v>595</v>
      </c>
      <c r="BP5573" s="184">
        <v>37335</v>
      </c>
    </row>
    <row r="5574" spans="1:68">
      <c r="A5574">
        <v>100174305</v>
      </c>
      <c r="B5574">
        <v>100174305</v>
      </c>
      <c r="C5574" t="s">
        <v>7018</v>
      </c>
      <c r="E5574" s="184"/>
      <c r="I5574" s="184"/>
      <c r="J5574" t="s">
        <v>595</v>
      </c>
      <c r="K5574" s="184">
        <v>39455</v>
      </c>
      <c r="O5574" s="184"/>
      <c r="Q5574" t="s">
        <v>7383</v>
      </c>
      <c r="R5574" s="184">
        <v>9591</v>
      </c>
      <c r="S5574">
        <v>98</v>
      </c>
      <c r="U5574" t="s">
        <v>15150</v>
      </c>
      <c r="V5574" t="s">
        <v>3901</v>
      </c>
      <c r="W5574" t="s">
        <v>4139</v>
      </c>
      <c r="X5574" t="s">
        <v>38727</v>
      </c>
      <c r="AI5574" t="s">
        <v>38728</v>
      </c>
      <c r="AM5574" t="s">
        <v>38729</v>
      </c>
      <c r="AN5574" t="s">
        <v>2274</v>
      </c>
      <c r="AO5574" t="s">
        <v>38730</v>
      </c>
      <c r="AP5574" t="s">
        <v>7024</v>
      </c>
      <c r="AT5574" s="184">
        <v>30679</v>
      </c>
      <c r="AU5574" t="s">
        <v>7173</v>
      </c>
      <c r="AV5574">
        <v>50</v>
      </c>
      <c r="AW5574" s="184">
        <v>39455</v>
      </c>
      <c r="AX5574" t="s">
        <v>9864</v>
      </c>
      <c r="AY5574">
        <v>10000</v>
      </c>
      <c r="AZ5574" s="184">
        <v>39455</v>
      </c>
      <c r="BA5574" t="s">
        <v>9864</v>
      </c>
      <c r="BB5574">
        <v>10000</v>
      </c>
      <c r="BC5574">
        <v>41</v>
      </c>
      <c r="BD5574">
        <v>11321.95</v>
      </c>
      <c r="BE5574">
        <v>1984</v>
      </c>
      <c r="BF5574">
        <v>25</v>
      </c>
      <c r="BI5574">
        <v>17</v>
      </c>
      <c r="BJ5574">
        <v>42</v>
      </c>
      <c r="BK5574">
        <v>6</v>
      </c>
      <c r="BO5574" t="s">
        <v>595</v>
      </c>
      <c r="BP5574" s="184">
        <v>38683</v>
      </c>
    </row>
    <row r="5575" spans="1:68">
      <c r="A5575">
        <v>100174314</v>
      </c>
      <c r="B5575">
        <v>100174314</v>
      </c>
      <c r="C5575" t="s">
        <v>7018</v>
      </c>
      <c r="E5575" s="184"/>
      <c r="G5575" s="184"/>
      <c r="I5575" s="184"/>
      <c r="J5575" t="s">
        <v>595</v>
      </c>
      <c r="K5575" s="184">
        <v>38813</v>
      </c>
      <c r="M5575" s="184"/>
      <c r="O5575" s="184"/>
      <c r="Q5575" t="s">
        <v>7383</v>
      </c>
      <c r="R5575" s="184">
        <v>5146</v>
      </c>
      <c r="S5575">
        <v>110</v>
      </c>
      <c r="U5575" t="s">
        <v>15150</v>
      </c>
      <c r="V5575" t="s">
        <v>3818</v>
      </c>
      <c r="X5575" t="s">
        <v>38731</v>
      </c>
      <c r="AI5575" t="s">
        <v>38732</v>
      </c>
      <c r="AM5575" t="s">
        <v>4119</v>
      </c>
      <c r="AN5575" t="s">
        <v>2313</v>
      </c>
      <c r="AO5575" t="s">
        <v>38733</v>
      </c>
      <c r="AP5575" t="s">
        <v>7024</v>
      </c>
      <c r="AT5575" s="184">
        <v>30483</v>
      </c>
      <c r="AU5575" t="s">
        <v>38734</v>
      </c>
      <c r="AV5575">
        <v>18</v>
      </c>
      <c r="AW5575" s="184">
        <v>38813</v>
      </c>
      <c r="AX5575" t="s">
        <v>15155</v>
      </c>
      <c r="AY5575">
        <v>76305.399999999994</v>
      </c>
      <c r="AZ5575" s="184">
        <v>38686</v>
      </c>
      <c r="BA5575" t="s">
        <v>15155</v>
      </c>
      <c r="BB5575">
        <v>80000</v>
      </c>
      <c r="BC5575">
        <v>36</v>
      </c>
      <c r="BD5575">
        <v>156885.4</v>
      </c>
      <c r="BE5575">
        <v>1983</v>
      </c>
      <c r="BF5575">
        <v>20</v>
      </c>
      <c r="BI5575">
        <v>15</v>
      </c>
      <c r="BJ5575">
        <v>42</v>
      </c>
      <c r="BK5575">
        <v>12</v>
      </c>
      <c r="BO5575" t="s">
        <v>595</v>
      </c>
      <c r="BP5575" s="184">
        <v>38486</v>
      </c>
    </row>
    <row r="5576" spans="1:68">
      <c r="A5576">
        <v>100174315</v>
      </c>
      <c r="B5576">
        <v>100174315</v>
      </c>
      <c r="C5576" t="s">
        <v>7018</v>
      </c>
      <c r="E5576" s="184"/>
      <c r="I5576" s="184"/>
      <c r="J5576" t="s">
        <v>595</v>
      </c>
      <c r="K5576" s="184">
        <v>38862</v>
      </c>
      <c r="O5576" s="184"/>
      <c r="Q5576" t="s">
        <v>7383</v>
      </c>
      <c r="R5576" s="184">
        <v>5023</v>
      </c>
      <c r="S5576">
        <v>110</v>
      </c>
      <c r="U5576" t="s">
        <v>7130</v>
      </c>
      <c r="V5576" t="s">
        <v>2511</v>
      </c>
      <c r="W5576" t="s">
        <v>4152</v>
      </c>
      <c r="X5576" t="s">
        <v>38735</v>
      </c>
      <c r="AI5576" t="s">
        <v>38736</v>
      </c>
      <c r="AM5576" t="s">
        <v>5049</v>
      </c>
      <c r="AN5576" t="s">
        <v>2064</v>
      </c>
      <c r="AO5576" t="s">
        <v>38737</v>
      </c>
      <c r="AP5576" t="s">
        <v>7024</v>
      </c>
      <c r="AT5576" s="184">
        <v>30635</v>
      </c>
      <c r="AU5576" t="s">
        <v>7073</v>
      </c>
      <c r="AV5576">
        <v>200</v>
      </c>
      <c r="AW5576" s="184">
        <v>38862</v>
      </c>
      <c r="AX5576" t="s">
        <v>15155</v>
      </c>
      <c r="AY5576">
        <v>0.98</v>
      </c>
      <c r="AZ5576" s="184">
        <v>38111</v>
      </c>
      <c r="BA5576" t="s">
        <v>38036</v>
      </c>
      <c r="BB5576">
        <v>50000</v>
      </c>
      <c r="BC5576">
        <v>43</v>
      </c>
      <c r="BD5576">
        <v>95907.44</v>
      </c>
      <c r="BE5576">
        <v>1984</v>
      </c>
      <c r="BF5576">
        <v>35</v>
      </c>
      <c r="BI5576">
        <v>18</v>
      </c>
      <c r="BJ5576">
        <v>42</v>
      </c>
      <c r="BK5576">
        <v>14</v>
      </c>
      <c r="BO5576" t="s">
        <v>595</v>
      </c>
      <c r="BP5576" s="184">
        <v>37862</v>
      </c>
    </row>
    <row r="5577" spans="1:68">
      <c r="A5577">
        <v>100174320</v>
      </c>
      <c r="B5577">
        <v>100174320</v>
      </c>
      <c r="C5577" t="s">
        <v>7018</v>
      </c>
      <c r="E5577" s="184"/>
      <c r="I5577" s="184"/>
      <c r="J5577" t="s">
        <v>595</v>
      </c>
      <c r="K5577" s="184">
        <v>42136</v>
      </c>
      <c r="O5577" s="184"/>
      <c r="Q5577" t="s">
        <v>7160</v>
      </c>
      <c r="R5577" s="184">
        <v>7125</v>
      </c>
      <c r="S5577">
        <v>104</v>
      </c>
      <c r="U5577" t="s">
        <v>7031</v>
      </c>
      <c r="V5577" t="s">
        <v>2597</v>
      </c>
      <c r="W5577" t="s">
        <v>3226</v>
      </c>
      <c r="X5577" t="s">
        <v>38738</v>
      </c>
      <c r="Z5577">
        <v>100174321</v>
      </c>
      <c r="AA5577" t="s">
        <v>7130</v>
      </c>
      <c r="AB5577" t="s">
        <v>2586</v>
      </c>
      <c r="AC5577" t="s">
        <v>15022</v>
      </c>
      <c r="AD5577" t="s">
        <v>38738</v>
      </c>
      <c r="AI5577" t="s">
        <v>38739</v>
      </c>
      <c r="AM5577" t="s">
        <v>4636</v>
      </c>
      <c r="AN5577" t="s">
        <v>4637</v>
      </c>
      <c r="AO5577" t="s">
        <v>38740</v>
      </c>
      <c r="AP5577" t="s">
        <v>7024</v>
      </c>
      <c r="AT5577" s="184">
        <v>30918</v>
      </c>
      <c r="AU5577" t="s">
        <v>38741</v>
      </c>
      <c r="AV5577">
        <v>35</v>
      </c>
      <c r="AW5577" s="184">
        <v>42136</v>
      </c>
      <c r="AX5577" t="s">
        <v>14228</v>
      </c>
      <c r="AY5577">
        <v>1515.5</v>
      </c>
      <c r="AZ5577" s="184">
        <v>41862</v>
      </c>
      <c r="BA5577" t="s">
        <v>14228</v>
      </c>
      <c r="BB5577">
        <v>113533.05</v>
      </c>
      <c r="BC5577">
        <v>40</v>
      </c>
      <c r="BD5577">
        <v>131482.35</v>
      </c>
      <c r="BE5577">
        <v>1985</v>
      </c>
      <c r="BF5577">
        <v>30</v>
      </c>
      <c r="BI5577">
        <v>16</v>
      </c>
      <c r="BJ5577">
        <v>41</v>
      </c>
      <c r="BK5577">
        <v>10</v>
      </c>
      <c r="BO5577" t="s">
        <v>595</v>
      </c>
      <c r="BP5577" s="184">
        <v>36174</v>
      </c>
    </row>
    <row r="5578" spans="1:68">
      <c r="A5578">
        <v>100174322</v>
      </c>
      <c r="B5578">
        <v>100174322</v>
      </c>
      <c r="C5578" t="s">
        <v>7018</v>
      </c>
      <c r="E5578" s="184"/>
      <c r="I5578" s="184"/>
      <c r="J5578" t="s">
        <v>595</v>
      </c>
      <c r="K5578" s="184">
        <v>43410</v>
      </c>
      <c r="O5578" s="184"/>
      <c r="Q5578" t="s">
        <v>7030</v>
      </c>
      <c r="R5578" s="184">
        <v>6525</v>
      </c>
      <c r="S5578">
        <v>106</v>
      </c>
      <c r="U5578" t="s">
        <v>7076</v>
      </c>
      <c r="V5578" t="s">
        <v>5701</v>
      </c>
      <c r="W5578" t="s">
        <v>5006</v>
      </c>
      <c r="X5578" t="s">
        <v>2772</v>
      </c>
      <c r="Z5578">
        <v>100174323</v>
      </c>
      <c r="AA5578" t="s">
        <v>7076</v>
      </c>
      <c r="AB5578" t="s">
        <v>4365</v>
      </c>
      <c r="AC5578" t="s">
        <v>7407</v>
      </c>
      <c r="AD5578" t="s">
        <v>22752</v>
      </c>
      <c r="AI5578" t="s">
        <v>38742</v>
      </c>
      <c r="AM5578" t="s">
        <v>3181</v>
      </c>
      <c r="AN5578" t="s">
        <v>2094</v>
      </c>
      <c r="AO5578" t="s">
        <v>38743</v>
      </c>
      <c r="AP5578" t="s">
        <v>7024</v>
      </c>
      <c r="AT5578" s="184">
        <v>31265</v>
      </c>
      <c r="AU5578" t="s">
        <v>38744</v>
      </c>
      <c r="AV5578">
        <v>50</v>
      </c>
      <c r="AW5578" s="184">
        <v>43410</v>
      </c>
      <c r="AX5578" t="s">
        <v>7348</v>
      </c>
      <c r="AY5578">
        <v>14903.1</v>
      </c>
      <c r="AZ5578" s="184">
        <v>41604</v>
      </c>
      <c r="BA5578" t="s">
        <v>37849</v>
      </c>
      <c r="BB5578">
        <v>50000</v>
      </c>
      <c r="BC5578">
        <v>80</v>
      </c>
      <c r="BD5578">
        <v>167486.56</v>
      </c>
      <c r="BE5578">
        <v>1986</v>
      </c>
      <c r="BF5578">
        <v>70</v>
      </c>
      <c r="BI5578">
        <v>32</v>
      </c>
      <c r="BJ5578">
        <v>40</v>
      </c>
      <c r="BK5578">
        <v>31</v>
      </c>
      <c r="BO5578" t="s">
        <v>595</v>
      </c>
      <c r="BP5578" s="184">
        <v>41550</v>
      </c>
    </row>
    <row r="5579" spans="1:68">
      <c r="A5579">
        <v>100174327</v>
      </c>
      <c r="B5579">
        <v>100174327</v>
      </c>
      <c r="C5579" t="s">
        <v>7018</v>
      </c>
      <c r="E5579" s="184"/>
      <c r="I5579" s="184"/>
      <c r="J5579" t="s">
        <v>595</v>
      </c>
      <c r="K5579" s="184">
        <v>43691</v>
      </c>
      <c r="O5579" s="184"/>
      <c r="P5579" t="s">
        <v>7045</v>
      </c>
      <c r="Q5579" t="s">
        <v>7774</v>
      </c>
      <c r="R5579" s="184"/>
      <c r="V5579" t="s">
        <v>2771</v>
      </c>
      <c r="X5579" t="s">
        <v>38745</v>
      </c>
      <c r="Z5579">
        <v>100174328</v>
      </c>
      <c r="AA5579" t="s">
        <v>7130</v>
      </c>
      <c r="AB5579" t="s">
        <v>2705</v>
      </c>
      <c r="AD5579" t="s">
        <v>38745</v>
      </c>
      <c r="AF5579" t="s">
        <v>38746</v>
      </c>
      <c r="AG5579" t="s">
        <v>38747</v>
      </c>
      <c r="AI5579" t="s">
        <v>38748</v>
      </c>
      <c r="AM5579" t="s">
        <v>8086</v>
      </c>
      <c r="AN5579" t="s">
        <v>2972</v>
      </c>
      <c r="AO5579" t="s">
        <v>38749</v>
      </c>
      <c r="AP5579" t="s">
        <v>7024</v>
      </c>
      <c r="AT5579" s="184">
        <v>30585</v>
      </c>
      <c r="AU5579" t="s">
        <v>7073</v>
      </c>
      <c r="AV5579">
        <v>18</v>
      </c>
      <c r="AW5579" s="184">
        <v>44481</v>
      </c>
      <c r="AX5579" t="s">
        <v>7093</v>
      </c>
      <c r="AY5579">
        <v>20.309999999999999</v>
      </c>
      <c r="AZ5579" s="184">
        <v>43543</v>
      </c>
      <c r="BA5579" t="s">
        <v>7348</v>
      </c>
      <c r="BB5579">
        <v>63233.120000000003</v>
      </c>
      <c r="BC5579">
        <v>67</v>
      </c>
      <c r="BD5579">
        <v>109696.89</v>
      </c>
      <c r="BE5579">
        <v>1984</v>
      </c>
      <c r="BF5579">
        <v>48</v>
      </c>
      <c r="BI5579">
        <v>28</v>
      </c>
      <c r="BJ5579">
        <v>42</v>
      </c>
      <c r="BK5579">
        <v>12</v>
      </c>
      <c r="BO5579" t="s">
        <v>595</v>
      </c>
      <c r="BP5579" s="184">
        <v>39534</v>
      </c>
    </row>
    <row r="5580" spans="1:68">
      <c r="A5580">
        <v>100174330</v>
      </c>
      <c r="B5580">
        <v>100174330</v>
      </c>
      <c r="C5580" t="s">
        <v>7018</v>
      </c>
      <c r="E5580" s="184"/>
      <c r="G5580" s="184"/>
      <c r="I5580" s="184"/>
      <c r="J5580" t="s">
        <v>595</v>
      </c>
      <c r="K5580" s="184">
        <v>39385</v>
      </c>
      <c r="M5580" s="184"/>
      <c r="Q5580" t="s">
        <v>7030</v>
      </c>
      <c r="R5580" s="184">
        <v>2982</v>
      </c>
      <c r="S5580">
        <v>116</v>
      </c>
      <c r="U5580" t="s">
        <v>7031</v>
      </c>
      <c r="V5580" t="s">
        <v>38750</v>
      </c>
      <c r="W5580" t="s">
        <v>4152</v>
      </c>
      <c r="X5580" t="s">
        <v>38751</v>
      </c>
      <c r="AI5580" t="s">
        <v>38752</v>
      </c>
      <c r="AJ5580" t="s">
        <v>38753</v>
      </c>
      <c r="AM5580" t="s">
        <v>38754</v>
      </c>
      <c r="AN5580" t="s">
        <v>2638</v>
      </c>
      <c r="AO5580">
        <v>84047</v>
      </c>
      <c r="AP5580" t="s">
        <v>7024</v>
      </c>
      <c r="AT5580" s="184">
        <v>30681</v>
      </c>
      <c r="AU5580" t="s">
        <v>7073</v>
      </c>
      <c r="AV5580">
        <v>18</v>
      </c>
      <c r="AW5580" s="184">
        <v>39385</v>
      </c>
      <c r="AX5580" t="s">
        <v>9864</v>
      </c>
      <c r="AY5580">
        <v>28000</v>
      </c>
      <c r="AZ5580" s="184">
        <v>39385</v>
      </c>
      <c r="BA5580" t="s">
        <v>9864</v>
      </c>
      <c r="BB5580">
        <v>28000</v>
      </c>
      <c r="BC5580">
        <v>22</v>
      </c>
      <c r="BD5580">
        <v>28318</v>
      </c>
      <c r="BE5580">
        <v>1984</v>
      </c>
      <c r="BF5580">
        <v>11</v>
      </c>
      <c r="BI5580">
        <v>9</v>
      </c>
      <c r="BJ5580">
        <v>42</v>
      </c>
      <c r="BK5580">
        <v>2</v>
      </c>
      <c r="BO5580" t="s">
        <v>595</v>
      </c>
      <c r="BP5580" s="184">
        <v>38956</v>
      </c>
    </row>
    <row r="5581" spans="1:68">
      <c r="A5581">
        <v>100174334</v>
      </c>
      <c r="B5581">
        <v>100174334</v>
      </c>
      <c r="C5581" t="s">
        <v>7018</v>
      </c>
      <c r="E5581" s="184"/>
      <c r="I5581" s="184"/>
      <c r="J5581" t="s">
        <v>595</v>
      </c>
      <c r="K5581" s="184">
        <v>43186</v>
      </c>
      <c r="Q5581" t="s">
        <v>7194</v>
      </c>
      <c r="R5581" s="184">
        <v>11507</v>
      </c>
      <c r="S5581">
        <v>92</v>
      </c>
      <c r="U5581" t="s">
        <v>7130</v>
      </c>
      <c r="V5581" t="s">
        <v>38755</v>
      </c>
      <c r="X5581" t="s">
        <v>3346</v>
      </c>
      <c r="AI5581" t="s">
        <v>38756</v>
      </c>
      <c r="AM5581" t="s">
        <v>38757</v>
      </c>
      <c r="AN5581" t="s">
        <v>2046</v>
      </c>
      <c r="AO5581" t="s">
        <v>38758</v>
      </c>
      <c r="AP5581" t="s">
        <v>7024</v>
      </c>
      <c r="AQ5581" t="s">
        <v>38759</v>
      </c>
      <c r="AR5581" t="s">
        <v>38760</v>
      </c>
      <c r="AT5581" s="184">
        <v>30536</v>
      </c>
      <c r="AU5581" t="s">
        <v>8398</v>
      </c>
      <c r="AV5581">
        <v>15</v>
      </c>
      <c r="AW5581" s="184">
        <v>43186</v>
      </c>
      <c r="AX5581" t="s">
        <v>7445</v>
      </c>
      <c r="AY5581">
        <v>130208.44</v>
      </c>
      <c r="AZ5581" s="184">
        <v>43186</v>
      </c>
      <c r="BA5581" t="s">
        <v>7445</v>
      </c>
      <c r="BB5581">
        <v>130208.44</v>
      </c>
      <c r="BC5581">
        <v>65</v>
      </c>
      <c r="BD5581">
        <v>145062.44</v>
      </c>
      <c r="BE5581">
        <v>1984</v>
      </c>
      <c r="BF5581">
        <v>88</v>
      </c>
      <c r="BI5581">
        <v>27</v>
      </c>
      <c r="BJ5581">
        <v>42</v>
      </c>
      <c r="BK5581">
        <v>24</v>
      </c>
      <c r="BO5581" t="s">
        <v>595</v>
      </c>
      <c r="BP5581" s="184">
        <v>42595</v>
      </c>
    </row>
    <row r="5582" spans="1:68">
      <c r="A5582">
        <v>100174335</v>
      </c>
      <c r="B5582">
        <v>100174335</v>
      </c>
      <c r="C5582" t="s">
        <v>7018</v>
      </c>
      <c r="E5582" s="184"/>
      <c r="J5582" t="s">
        <v>595</v>
      </c>
      <c r="K5582" s="184">
        <v>41786</v>
      </c>
      <c r="M5582" s="184"/>
      <c r="O5582" s="184"/>
      <c r="Q5582" t="s">
        <v>7374</v>
      </c>
      <c r="R5582" s="184">
        <v>3105</v>
      </c>
      <c r="S5582">
        <v>115</v>
      </c>
      <c r="U5582" t="s">
        <v>7130</v>
      </c>
      <c r="V5582" t="s">
        <v>2602</v>
      </c>
      <c r="W5582" t="s">
        <v>7963</v>
      </c>
      <c r="X5582" t="s">
        <v>38761</v>
      </c>
      <c r="Z5582">
        <v>100174336</v>
      </c>
      <c r="AA5582" t="s">
        <v>8046</v>
      </c>
      <c r="AB5582" t="s">
        <v>10325</v>
      </c>
      <c r="AC5582" t="s">
        <v>5006</v>
      </c>
      <c r="AD5582" t="s">
        <v>38761</v>
      </c>
      <c r="AI5582" t="s">
        <v>38762</v>
      </c>
      <c r="AM5582" t="s">
        <v>4768</v>
      </c>
      <c r="AN5582" t="s">
        <v>2081</v>
      </c>
      <c r="AO5582" t="s">
        <v>38763</v>
      </c>
      <c r="AP5582" t="s">
        <v>7024</v>
      </c>
      <c r="AT5582" s="184">
        <v>30636</v>
      </c>
      <c r="AU5582" t="s">
        <v>38764</v>
      </c>
      <c r="AV5582">
        <v>15</v>
      </c>
      <c r="AW5582" s="184">
        <v>41786</v>
      </c>
      <c r="AX5582" t="s">
        <v>37849</v>
      </c>
      <c r="AY5582">
        <v>19752</v>
      </c>
      <c r="AZ5582" s="184">
        <v>41786</v>
      </c>
      <c r="BA5582" t="s">
        <v>37849</v>
      </c>
      <c r="BB5582">
        <v>19752</v>
      </c>
      <c r="BC5582">
        <v>70</v>
      </c>
      <c r="BD5582">
        <v>27355</v>
      </c>
      <c r="BE5582">
        <v>1984</v>
      </c>
      <c r="BF5582">
        <v>60</v>
      </c>
      <c r="BI5582">
        <v>29</v>
      </c>
      <c r="BJ5582">
        <v>42</v>
      </c>
      <c r="BK5582">
        <v>25</v>
      </c>
      <c r="BO5582" t="s">
        <v>595</v>
      </c>
      <c r="BP5582" s="184">
        <v>41451</v>
      </c>
    </row>
    <row r="5583" spans="1:68">
      <c r="A5583">
        <v>100174338</v>
      </c>
      <c r="B5583">
        <v>100174338</v>
      </c>
      <c r="C5583" t="s">
        <v>7018</v>
      </c>
      <c r="E5583" s="184"/>
      <c r="G5583" s="184"/>
      <c r="I5583" s="184"/>
      <c r="J5583" t="s">
        <v>595</v>
      </c>
      <c r="K5583" s="184">
        <v>42369</v>
      </c>
      <c r="N5583" t="s">
        <v>595</v>
      </c>
      <c r="O5583" s="184">
        <v>36403</v>
      </c>
      <c r="Q5583" t="s">
        <v>7374</v>
      </c>
      <c r="R5583" s="184">
        <v>10435</v>
      </c>
      <c r="S5583">
        <v>95</v>
      </c>
      <c r="U5583" t="s">
        <v>7130</v>
      </c>
      <c r="V5583" t="s">
        <v>3400</v>
      </c>
      <c r="W5583" t="s">
        <v>7695</v>
      </c>
      <c r="X5583" t="s">
        <v>38765</v>
      </c>
      <c r="AI5583" t="s">
        <v>38766</v>
      </c>
      <c r="AJ5583" t="s">
        <v>38767</v>
      </c>
      <c r="AM5583" t="s">
        <v>15417</v>
      </c>
      <c r="AN5583" t="s">
        <v>2081</v>
      </c>
      <c r="AO5583" t="s">
        <v>38768</v>
      </c>
      <c r="AP5583" t="s">
        <v>7024</v>
      </c>
      <c r="AT5583" s="184">
        <v>31222</v>
      </c>
      <c r="AU5583" t="s">
        <v>38769</v>
      </c>
      <c r="AV5583">
        <v>18</v>
      </c>
      <c r="AW5583" s="184">
        <v>42369</v>
      </c>
      <c r="AX5583" t="s">
        <v>11622</v>
      </c>
      <c r="AY5583">
        <v>50000</v>
      </c>
      <c r="AZ5583" s="184">
        <v>36403</v>
      </c>
      <c r="BA5583" t="s">
        <v>7530</v>
      </c>
      <c r="BB5583">
        <v>50310</v>
      </c>
      <c r="BC5583">
        <v>50</v>
      </c>
      <c r="BD5583">
        <v>151247.96</v>
      </c>
      <c r="BE5583">
        <v>1985</v>
      </c>
      <c r="BF5583">
        <v>27</v>
      </c>
      <c r="BI5583">
        <v>20</v>
      </c>
      <c r="BJ5583">
        <v>40</v>
      </c>
      <c r="BK5583">
        <v>16</v>
      </c>
      <c r="BO5583" t="s">
        <v>595</v>
      </c>
      <c r="BP5583" s="184">
        <v>42078</v>
      </c>
    </row>
    <row r="5584" spans="1:68">
      <c r="A5584">
        <v>100174348</v>
      </c>
      <c r="B5584">
        <v>100174348</v>
      </c>
      <c r="C5584" t="s">
        <v>7018</v>
      </c>
      <c r="E5584" s="184"/>
      <c r="G5584" s="184"/>
      <c r="I5584" s="184"/>
      <c r="J5584" t="s">
        <v>595</v>
      </c>
      <c r="K5584" s="184">
        <v>39241</v>
      </c>
      <c r="O5584" s="184"/>
      <c r="Q5584" t="s">
        <v>7374</v>
      </c>
      <c r="R5584" s="184"/>
      <c r="U5584" t="s">
        <v>7076</v>
      </c>
      <c r="V5584" t="s">
        <v>3400</v>
      </c>
      <c r="W5584" t="s">
        <v>3938</v>
      </c>
      <c r="X5584" t="s">
        <v>38770</v>
      </c>
      <c r="AI5584" t="s">
        <v>38771</v>
      </c>
      <c r="AM5584" t="s">
        <v>5817</v>
      </c>
      <c r="AN5584" t="s">
        <v>2081</v>
      </c>
      <c r="AO5584" t="s">
        <v>38676</v>
      </c>
      <c r="AP5584" t="s">
        <v>7024</v>
      </c>
      <c r="AT5584" s="184">
        <v>30658</v>
      </c>
      <c r="AU5584" t="s">
        <v>7073</v>
      </c>
      <c r="AV5584">
        <v>50</v>
      </c>
      <c r="AW5584" s="184">
        <v>39241</v>
      </c>
      <c r="AX5584" t="s">
        <v>37812</v>
      </c>
      <c r="AY5584">
        <v>4792.07</v>
      </c>
      <c r="AZ5584" s="184">
        <v>38231</v>
      </c>
      <c r="BA5584" t="s">
        <v>37872</v>
      </c>
      <c r="BB5584">
        <v>81450</v>
      </c>
      <c r="BC5584">
        <v>39</v>
      </c>
      <c r="BD5584">
        <v>87492.07</v>
      </c>
      <c r="BE5584">
        <v>1984</v>
      </c>
      <c r="BF5584">
        <v>22</v>
      </c>
      <c r="BI5584">
        <v>16</v>
      </c>
      <c r="BJ5584">
        <v>42</v>
      </c>
      <c r="BK5584">
        <v>10</v>
      </c>
      <c r="BO5584" t="s">
        <v>595</v>
      </c>
      <c r="BP5584" s="184">
        <v>37872</v>
      </c>
    </row>
    <row r="5585" spans="1:68">
      <c r="A5585">
        <v>100174349</v>
      </c>
      <c r="B5585">
        <v>100174349</v>
      </c>
      <c r="C5585" t="s">
        <v>7018</v>
      </c>
      <c r="E5585" s="184"/>
      <c r="I5585" s="184"/>
      <c r="J5585" t="s">
        <v>595</v>
      </c>
      <c r="K5585" s="184">
        <v>41639</v>
      </c>
      <c r="O5585" s="184"/>
      <c r="Q5585" t="s">
        <v>7374</v>
      </c>
      <c r="R5585" s="184"/>
      <c r="U5585" t="s">
        <v>7667</v>
      </c>
      <c r="V5585" t="s">
        <v>3991</v>
      </c>
      <c r="X5585" t="s">
        <v>38772</v>
      </c>
      <c r="AI5585" t="s">
        <v>38773</v>
      </c>
      <c r="AM5585" t="s">
        <v>38774</v>
      </c>
      <c r="AN5585" t="s">
        <v>2081</v>
      </c>
      <c r="AO5585" t="s">
        <v>38775</v>
      </c>
      <c r="AP5585" t="s">
        <v>7024</v>
      </c>
      <c r="AT5585" s="184">
        <v>30666</v>
      </c>
      <c r="AU5585" t="s">
        <v>7586</v>
      </c>
      <c r="AV5585">
        <v>50</v>
      </c>
      <c r="AW5585" s="184">
        <v>41639</v>
      </c>
      <c r="AX5585" t="s">
        <v>37849</v>
      </c>
      <c r="AY5585">
        <v>61.67</v>
      </c>
      <c r="AZ5585" s="184">
        <v>40421</v>
      </c>
      <c r="BA5585" t="s">
        <v>14283</v>
      </c>
      <c r="BB5585">
        <v>11044.77</v>
      </c>
      <c r="BC5585">
        <v>29</v>
      </c>
      <c r="BD5585">
        <v>25251.25</v>
      </c>
      <c r="BE5585">
        <v>1984</v>
      </c>
      <c r="BF5585">
        <v>13</v>
      </c>
      <c r="BI5585">
        <v>12</v>
      </c>
      <c r="BJ5585">
        <v>42</v>
      </c>
      <c r="BK5585">
        <v>3</v>
      </c>
      <c r="BO5585" t="s">
        <v>595</v>
      </c>
      <c r="BP5585" s="184"/>
    </row>
    <row r="5586" spans="1:68">
      <c r="A5586">
        <v>100174404</v>
      </c>
      <c r="B5586">
        <v>100174404</v>
      </c>
      <c r="C5586" t="s">
        <v>7018</v>
      </c>
      <c r="E5586" s="184"/>
      <c r="I5586" s="184"/>
      <c r="J5586" t="s">
        <v>595</v>
      </c>
      <c r="K5586" s="184">
        <v>37370</v>
      </c>
      <c r="Q5586" t="s">
        <v>7374</v>
      </c>
      <c r="R5586" s="184">
        <v>9863</v>
      </c>
      <c r="S5586">
        <v>97</v>
      </c>
      <c r="V5586" t="s">
        <v>2511</v>
      </c>
      <c r="X5586" t="s">
        <v>38776</v>
      </c>
      <c r="AI5586" t="s">
        <v>38777</v>
      </c>
      <c r="AM5586" t="s">
        <v>23404</v>
      </c>
      <c r="AN5586" t="s">
        <v>2081</v>
      </c>
      <c r="AO5586" t="s">
        <v>38778</v>
      </c>
      <c r="AP5586" t="s">
        <v>7024</v>
      </c>
      <c r="AT5586" s="184">
        <v>30490</v>
      </c>
      <c r="AU5586" t="s">
        <v>7091</v>
      </c>
      <c r="AV5586">
        <v>25</v>
      </c>
      <c r="AW5586" s="184">
        <v>37370</v>
      </c>
      <c r="AX5586" t="s">
        <v>37877</v>
      </c>
      <c r="AY5586">
        <v>129.53</v>
      </c>
      <c r="AZ5586" s="184">
        <v>37116</v>
      </c>
      <c r="BA5586" t="s">
        <v>37877</v>
      </c>
      <c r="BB5586">
        <v>60000</v>
      </c>
      <c r="BC5586">
        <v>46</v>
      </c>
      <c r="BD5586">
        <v>95209.53</v>
      </c>
      <c r="BE5586">
        <v>1983</v>
      </c>
      <c r="BF5586">
        <v>45</v>
      </c>
      <c r="BI5586">
        <v>19</v>
      </c>
      <c r="BJ5586">
        <v>42</v>
      </c>
      <c r="BK5586">
        <v>16</v>
      </c>
      <c r="BO5586" t="s">
        <v>595</v>
      </c>
      <c r="BP5586" s="184"/>
    </row>
    <row r="5587" spans="1:68">
      <c r="A5587">
        <v>100174405</v>
      </c>
      <c r="B5587">
        <v>100174405</v>
      </c>
      <c r="C5587" t="s">
        <v>7018</v>
      </c>
      <c r="E5587" s="184"/>
      <c r="G5587" s="184"/>
      <c r="I5587" s="184"/>
      <c r="J5587" t="s">
        <v>595</v>
      </c>
      <c r="K5587" s="184">
        <v>39773</v>
      </c>
      <c r="O5587" s="184"/>
      <c r="Q5587" t="s">
        <v>7374</v>
      </c>
      <c r="R5587" s="184">
        <v>4272</v>
      </c>
      <c r="S5587">
        <v>112</v>
      </c>
      <c r="U5587" t="s">
        <v>7031</v>
      </c>
      <c r="V5587" t="s">
        <v>3632</v>
      </c>
      <c r="W5587" t="s">
        <v>5006</v>
      </c>
      <c r="X5587" t="s">
        <v>38779</v>
      </c>
      <c r="AI5587" t="s">
        <v>38780</v>
      </c>
      <c r="AM5587" t="s">
        <v>4471</v>
      </c>
      <c r="AN5587" t="s">
        <v>2081</v>
      </c>
      <c r="AO5587" t="s">
        <v>38781</v>
      </c>
      <c r="AP5587" t="s">
        <v>7024</v>
      </c>
      <c r="AT5587" s="184">
        <v>30567</v>
      </c>
      <c r="AU5587" t="s">
        <v>7308</v>
      </c>
      <c r="AV5587">
        <v>50</v>
      </c>
      <c r="AW5587" s="184">
        <v>39773</v>
      </c>
      <c r="AX5587" t="s">
        <v>9877</v>
      </c>
      <c r="AY5587">
        <v>13.27</v>
      </c>
      <c r="AZ5587" s="184">
        <v>38789</v>
      </c>
      <c r="BA5587" t="s">
        <v>15155</v>
      </c>
      <c r="BB5587">
        <v>24995.43</v>
      </c>
      <c r="BC5587">
        <v>43</v>
      </c>
      <c r="BD5587">
        <v>33130.94</v>
      </c>
      <c r="BE5587">
        <v>1984</v>
      </c>
      <c r="BF5587">
        <v>25</v>
      </c>
      <c r="BI5587">
        <v>18</v>
      </c>
      <c r="BJ5587">
        <v>42</v>
      </c>
      <c r="BK5587">
        <v>15</v>
      </c>
      <c r="BO5587" t="s">
        <v>595</v>
      </c>
      <c r="BP5587" s="184">
        <v>38026</v>
      </c>
    </row>
    <row r="5588" spans="1:68">
      <c r="A5588">
        <v>100174411</v>
      </c>
      <c r="B5588">
        <v>100174411</v>
      </c>
      <c r="C5588" t="s">
        <v>7018</v>
      </c>
      <c r="E5588" s="184"/>
      <c r="I5588" s="184"/>
      <c r="J5588" t="s">
        <v>595</v>
      </c>
      <c r="K5588" s="184">
        <v>41135</v>
      </c>
      <c r="M5588" s="184"/>
      <c r="O5588" s="184"/>
      <c r="Q5588" t="s">
        <v>7454</v>
      </c>
      <c r="R5588" s="184"/>
      <c r="U5588" t="s">
        <v>7031</v>
      </c>
      <c r="V5588" t="s">
        <v>2863</v>
      </c>
      <c r="W5588" t="s">
        <v>7356</v>
      </c>
      <c r="X5588" t="s">
        <v>2698</v>
      </c>
      <c r="AI5588" t="s">
        <v>38782</v>
      </c>
      <c r="AM5588" t="s">
        <v>2608</v>
      </c>
      <c r="AN5588" t="s">
        <v>2299</v>
      </c>
      <c r="AO5588" t="s">
        <v>38783</v>
      </c>
      <c r="AP5588" t="s">
        <v>7024</v>
      </c>
      <c r="AT5588" s="184">
        <v>30525</v>
      </c>
      <c r="AU5588" t="s">
        <v>38784</v>
      </c>
      <c r="AV5588">
        <v>25</v>
      </c>
      <c r="AW5588" s="184">
        <v>41135</v>
      </c>
      <c r="AX5588" t="s">
        <v>13035</v>
      </c>
      <c r="AY5588">
        <v>6094.15</v>
      </c>
      <c r="AZ5588" s="184">
        <v>40725</v>
      </c>
      <c r="BA5588" t="s">
        <v>18846</v>
      </c>
      <c r="BB5588">
        <v>141000</v>
      </c>
      <c r="BC5588">
        <v>70</v>
      </c>
      <c r="BD5588">
        <v>163626.15</v>
      </c>
      <c r="BE5588">
        <v>1984</v>
      </c>
      <c r="BF5588">
        <v>49</v>
      </c>
      <c r="BI5588">
        <v>29</v>
      </c>
      <c r="BJ5588">
        <v>42</v>
      </c>
      <c r="BK5588">
        <v>24</v>
      </c>
      <c r="BO5588" t="s">
        <v>595</v>
      </c>
      <c r="BP5588" s="184"/>
    </row>
    <row r="5589" spans="1:68">
      <c r="A5589">
        <v>100174413</v>
      </c>
      <c r="B5589">
        <v>100174413</v>
      </c>
      <c r="C5589" t="s">
        <v>7018</v>
      </c>
      <c r="E5589" s="184"/>
      <c r="G5589" s="184"/>
      <c r="I5589" s="184"/>
      <c r="J5589" t="s">
        <v>595</v>
      </c>
      <c r="K5589" s="184">
        <v>39147</v>
      </c>
      <c r="Q5589" t="s">
        <v>7454</v>
      </c>
      <c r="R5589" s="184">
        <v>6615</v>
      </c>
      <c r="S5589">
        <v>106</v>
      </c>
      <c r="U5589" t="s">
        <v>15150</v>
      </c>
      <c r="V5589" t="s">
        <v>38785</v>
      </c>
      <c r="X5589" t="s">
        <v>38786</v>
      </c>
      <c r="AF5589" t="s">
        <v>38787</v>
      </c>
      <c r="AG5589" t="s">
        <v>38785</v>
      </c>
      <c r="AI5589" t="s">
        <v>38788</v>
      </c>
      <c r="AM5589" t="s">
        <v>30716</v>
      </c>
      <c r="AN5589" t="s">
        <v>2055</v>
      </c>
      <c r="AO5589" t="s">
        <v>38789</v>
      </c>
      <c r="AP5589" t="s">
        <v>7024</v>
      </c>
      <c r="AT5589" s="184">
        <v>30743</v>
      </c>
      <c r="AU5589" t="s">
        <v>7073</v>
      </c>
      <c r="AV5589">
        <v>18</v>
      </c>
      <c r="AW5589" s="184">
        <v>39147</v>
      </c>
      <c r="AX5589" t="s">
        <v>37812</v>
      </c>
      <c r="AY5589">
        <v>1083.17</v>
      </c>
      <c r="AZ5589" s="184">
        <v>38383</v>
      </c>
      <c r="BA5589" t="s">
        <v>37872</v>
      </c>
      <c r="BB5589">
        <v>178605.08</v>
      </c>
      <c r="BC5589">
        <v>54</v>
      </c>
      <c r="BD5589">
        <v>234002.42</v>
      </c>
      <c r="BE5589">
        <v>1984</v>
      </c>
      <c r="BF5589">
        <v>41</v>
      </c>
      <c r="BI5589">
        <v>22</v>
      </c>
      <c r="BJ5589">
        <v>41</v>
      </c>
      <c r="BK5589">
        <v>19</v>
      </c>
      <c r="BO5589" t="s">
        <v>595</v>
      </c>
      <c r="BP5589" s="184"/>
    </row>
    <row r="5590" spans="1:68">
      <c r="A5590">
        <v>100174415</v>
      </c>
      <c r="B5590">
        <v>100174415</v>
      </c>
      <c r="C5590" t="s">
        <v>7018</v>
      </c>
      <c r="E5590" s="184"/>
      <c r="I5590" s="184"/>
      <c r="J5590" t="s">
        <v>595</v>
      </c>
      <c r="K5590" s="184">
        <v>43066</v>
      </c>
      <c r="M5590" s="184"/>
      <c r="Q5590" t="s">
        <v>7454</v>
      </c>
      <c r="R5590" s="184">
        <v>7349</v>
      </c>
      <c r="S5590">
        <v>104</v>
      </c>
      <c r="U5590" t="s">
        <v>7076</v>
      </c>
      <c r="V5590" t="s">
        <v>38790</v>
      </c>
      <c r="X5590" t="s">
        <v>32620</v>
      </c>
      <c r="AI5590" t="s">
        <v>38791</v>
      </c>
      <c r="AM5590" t="s">
        <v>3855</v>
      </c>
      <c r="AN5590" t="s">
        <v>2055</v>
      </c>
      <c r="AO5590" t="s">
        <v>38792</v>
      </c>
      <c r="AP5590" t="s">
        <v>7024</v>
      </c>
      <c r="AT5590" s="184">
        <v>30718</v>
      </c>
      <c r="AU5590" t="s">
        <v>38793</v>
      </c>
      <c r="AV5590">
        <v>18</v>
      </c>
      <c r="AW5590" s="184">
        <v>43066</v>
      </c>
      <c r="AX5590" t="s">
        <v>7445</v>
      </c>
      <c r="AY5590">
        <v>1000</v>
      </c>
      <c r="AZ5590" s="184">
        <v>43066</v>
      </c>
      <c r="BA5590" t="s">
        <v>7445</v>
      </c>
      <c r="BB5590">
        <v>1000</v>
      </c>
      <c r="BC5590">
        <v>22</v>
      </c>
      <c r="BD5590">
        <v>3205</v>
      </c>
      <c r="BE5590">
        <v>1984</v>
      </c>
      <c r="BF5590">
        <v>11</v>
      </c>
      <c r="BI5590">
        <v>9</v>
      </c>
      <c r="BJ5590">
        <v>41</v>
      </c>
      <c r="BK5590">
        <v>3</v>
      </c>
      <c r="BO5590" t="s">
        <v>595</v>
      </c>
      <c r="BP5590" s="184">
        <v>42694</v>
      </c>
    </row>
    <row r="5591" spans="1:68">
      <c r="A5591">
        <v>100174416</v>
      </c>
      <c r="B5591">
        <v>100174416</v>
      </c>
      <c r="C5591" t="s">
        <v>7018</v>
      </c>
      <c r="E5591" s="184"/>
      <c r="G5591" s="184"/>
      <c r="I5591" s="184"/>
      <c r="J5591" t="s">
        <v>595</v>
      </c>
      <c r="K5591" s="184">
        <v>42590</v>
      </c>
      <c r="Q5591" t="s">
        <v>7030</v>
      </c>
      <c r="R5591" s="184">
        <v>14903</v>
      </c>
      <c r="S5591">
        <v>83</v>
      </c>
      <c r="U5591" t="s">
        <v>7076</v>
      </c>
      <c r="V5591" t="s">
        <v>3550</v>
      </c>
      <c r="W5591" t="s">
        <v>3332</v>
      </c>
      <c r="X5591" t="s">
        <v>38794</v>
      </c>
      <c r="AI5591" t="s">
        <v>38795</v>
      </c>
      <c r="AM5591" t="s">
        <v>4209</v>
      </c>
      <c r="AN5591" t="s">
        <v>2201</v>
      </c>
      <c r="AO5591" t="s">
        <v>38796</v>
      </c>
      <c r="AP5591" t="s">
        <v>7024</v>
      </c>
      <c r="AT5591" s="184">
        <v>30553</v>
      </c>
      <c r="AU5591" t="s">
        <v>38241</v>
      </c>
      <c r="AV5591">
        <v>25</v>
      </c>
      <c r="AW5591" s="184">
        <v>42590</v>
      </c>
      <c r="AX5591" t="s">
        <v>19550</v>
      </c>
      <c r="AY5591">
        <v>2122.1799999999998</v>
      </c>
      <c r="AZ5591" s="184">
        <v>42185</v>
      </c>
      <c r="BA5591" t="s">
        <v>14228</v>
      </c>
      <c r="BB5591">
        <v>137580.32999999999</v>
      </c>
      <c r="BC5591">
        <v>46</v>
      </c>
      <c r="BD5591">
        <v>140497.51</v>
      </c>
      <c r="BE5591">
        <v>1984</v>
      </c>
      <c r="BF5591">
        <v>24</v>
      </c>
      <c r="BI5591">
        <v>19</v>
      </c>
      <c r="BJ5591">
        <v>42</v>
      </c>
      <c r="BK5591">
        <v>8</v>
      </c>
      <c r="BO5591" t="s">
        <v>595</v>
      </c>
      <c r="BP5591" s="184">
        <v>41543</v>
      </c>
    </row>
    <row r="5592" spans="1:68">
      <c r="A5592">
        <v>100174418</v>
      </c>
      <c r="B5592">
        <v>100174418</v>
      </c>
      <c r="C5592" t="s">
        <v>7018</v>
      </c>
      <c r="E5592" s="184"/>
      <c r="I5592" s="184"/>
      <c r="J5592" t="s">
        <v>595</v>
      </c>
      <c r="K5592" s="184">
        <v>42807</v>
      </c>
      <c r="Q5592" t="s">
        <v>8385</v>
      </c>
      <c r="R5592" s="184">
        <v>5957</v>
      </c>
      <c r="S5592">
        <v>108</v>
      </c>
      <c r="U5592" t="s">
        <v>7032</v>
      </c>
      <c r="V5592" t="s">
        <v>38797</v>
      </c>
      <c r="W5592" t="s">
        <v>2049</v>
      </c>
      <c r="X5592" t="s">
        <v>3233</v>
      </c>
      <c r="AI5592" t="s">
        <v>38798</v>
      </c>
      <c r="AM5592" t="s">
        <v>4842</v>
      </c>
      <c r="AN5592" t="s">
        <v>2181</v>
      </c>
      <c r="AO5592" t="s">
        <v>38799</v>
      </c>
      <c r="AP5592" t="s">
        <v>7024</v>
      </c>
      <c r="AT5592" s="184">
        <v>30666</v>
      </c>
      <c r="AU5592" t="s">
        <v>7073</v>
      </c>
      <c r="AV5592">
        <v>25</v>
      </c>
      <c r="AW5592" s="184">
        <v>42807</v>
      </c>
      <c r="AX5592" t="s">
        <v>19550</v>
      </c>
      <c r="AY5592">
        <v>83.76</v>
      </c>
      <c r="AZ5592" s="184">
        <v>41814</v>
      </c>
      <c r="BA5592" t="s">
        <v>37849</v>
      </c>
      <c r="BB5592">
        <v>17100</v>
      </c>
      <c r="BC5592">
        <v>81</v>
      </c>
      <c r="BD5592">
        <v>45233.69</v>
      </c>
      <c r="BE5592">
        <v>1984</v>
      </c>
      <c r="BF5592">
        <v>38</v>
      </c>
      <c r="BI5592">
        <v>34</v>
      </c>
      <c r="BJ5592">
        <v>42</v>
      </c>
      <c r="BK5592">
        <v>22</v>
      </c>
      <c r="BL5592" t="s">
        <v>595</v>
      </c>
      <c r="BM5592" t="s">
        <v>595</v>
      </c>
      <c r="BO5592" t="s">
        <v>595</v>
      </c>
      <c r="BP5592" s="184">
        <v>41727</v>
      </c>
    </row>
    <row r="5593" spans="1:68">
      <c r="A5593">
        <v>100174428</v>
      </c>
      <c r="B5593">
        <v>100174428</v>
      </c>
      <c r="C5593" t="s">
        <v>7018</v>
      </c>
      <c r="E5593" s="184"/>
      <c r="I5593" s="184"/>
      <c r="J5593" t="s">
        <v>595</v>
      </c>
      <c r="K5593" s="184">
        <v>41411</v>
      </c>
      <c r="O5593" s="184"/>
      <c r="Q5593" t="s">
        <v>7020</v>
      </c>
      <c r="R5593" s="184">
        <v>6842</v>
      </c>
      <c r="S5593">
        <v>105</v>
      </c>
      <c r="U5593" t="s">
        <v>7076</v>
      </c>
      <c r="V5593" t="s">
        <v>38800</v>
      </c>
      <c r="W5593" t="s">
        <v>7384</v>
      </c>
      <c r="X5593" t="s">
        <v>2612</v>
      </c>
      <c r="AI5593" t="s">
        <v>38801</v>
      </c>
      <c r="AM5593" t="s">
        <v>2920</v>
      </c>
      <c r="AN5593" t="s">
        <v>2129</v>
      </c>
      <c r="AO5593" t="s">
        <v>38802</v>
      </c>
      <c r="AP5593" t="s">
        <v>7024</v>
      </c>
      <c r="AT5593" s="184">
        <v>31399</v>
      </c>
      <c r="AU5593" t="s">
        <v>38803</v>
      </c>
      <c r="AV5593">
        <v>18</v>
      </c>
      <c r="AW5593" s="184">
        <v>41411</v>
      </c>
      <c r="AX5593" t="s">
        <v>13035</v>
      </c>
      <c r="AY5593">
        <v>5000</v>
      </c>
      <c r="AZ5593" s="184">
        <v>41411</v>
      </c>
      <c r="BA5593" t="s">
        <v>13035</v>
      </c>
      <c r="BB5593">
        <v>5000</v>
      </c>
      <c r="BC5593">
        <v>65</v>
      </c>
      <c r="BD5593">
        <v>13025</v>
      </c>
      <c r="BE5593">
        <v>1986</v>
      </c>
      <c r="BF5593">
        <v>37</v>
      </c>
      <c r="BI5593">
        <v>26</v>
      </c>
      <c r="BJ5593">
        <v>40</v>
      </c>
      <c r="BK5593">
        <v>24</v>
      </c>
      <c r="BO5593" t="s">
        <v>595</v>
      </c>
      <c r="BP5593" s="184">
        <v>41190</v>
      </c>
    </row>
    <row r="5594" spans="1:68">
      <c r="A5594">
        <v>100174429</v>
      </c>
      <c r="B5594">
        <v>100174429</v>
      </c>
      <c r="C5594" t="s">
        <v>7018</v>
      </c>
      <c r="E5594" s="184"/>
      <c r="G5594" s="184"/>
      <c r="I5594" s="184"/>
      <c r="J5594" t="s">
        <v>595</v>
      </c>
      <c r="K5594" s="184">
        <v>40372</v>
      </c>
      <c r="M5594" s="184"/>
      <c r="O5594" s="184"/>
      <c r="Q5594" t="s">
        <v>7374</v>
      </c>
      <c r="R5594" s="184">
        <v>4170</v>
      </c>
      <c r="S5594">
        <v>112</v>
      </c>
      <c r="U5594" t="s">
        <v>7076</v>
      </c>
      <c r="V5594" t="s">
        <v>3249</v>
      </c>
      <c r="W5594" t="s">
        <v>7743</v>
      </c>
      <c r="X5594" t="s">
        <v>38804</v>
      </c>
      <c r="AI5594" t="s">
        <v>38805</v>
      </c>
      <c r="AM5594" t="s">
        <v>38806</v>
      </c>
      <c r="AN5594" t="s">
        <v>2081</v>
      </c>
      <c r="AO5594" t="s">
        <v>38807</v>
      </c>
      <c r="AP5594" t="s">
        <v>7024</v>
      </c>
      <c r="AT5594" s="184">
        <v>31419</v>
      </c>
      <c r="AU5594" t="s">
        <v>38808</v>
      </c>
      <c r="AV5594">
        <v>18</v>
      </c>
      <c r="AW5594" s="184">
        <v>40372</v>
      </c>
      <c r="AX5594" t="s">
        <v>14283</v>
      </c>
      <c r="AY5594">
        <v>10000</v>
      </c>
      <c r="AZ5594" s="184">
        <v>40372</v>
      </c>
      <c r="BA5594" t="s">
        <v>14283</v>
      </c>
      <c r="BB5594">
        <v>10000</v>
      </c>
      <c r="BC5594">
        <v>59</v>
      </c>
      <c r="BD5594">
        <v>10637</v>
      </c>
      <c r="BE5594">
        <v>1986</v>
      </c>
      <c r="BF5594">
        <v>31</v>
      </c>
      <c r="BI5594">
        <v>23</v>
      </c>
      <c r="BJ5594">
        <v>39</v>
      </c>
      <c r="BK5594">
        <v>15</v>
      </c>
      <c r="BO5594" t="s">
        <v>595</v>
      </c>
      <c r="BP5594" s="184"/>
    </row>
    <row r="5595" spans="1:68">
      <c r="A5595">
        <v>100174439</v>
      </c>
      <c r="B5595">
        <v>100174439</v>
      </c>
      <c r="C5595" t="s">
        <v>7018</v>
      </c>
      <c r="E5595" s="184"/>
      <c r="I5595" s="184"/>
      <c r="J5595" t="s">
        <v>595</v>
      </c>
      <c r="K5595" s="184">
        <v>42258</v>
      </c>
      <c r="O5595" s="184"/>
      <c r="Q5595" t="s">
        <v>7383</v>
      </c>
      <c r="R5595" s="184">
        <v>8529</v>
      </c>
      <c r="S5595">
        <v>101</v>
      </c>
      <c r="U5595" t="s">
        <v>7076</v>
      </c>
      <c r="V5595" t="s">
        <v>3101</v>
      </c>
      <c r="W5595" t="s">
        <v>7046</v>
      </c>
      <c r="X5595" t="s">
        <v>3938</v>
      </c>
      <c r="AI5595" t="s">
        <v>38809</v>
      </c>
      <c r="AM5595" t="s">
        <v>3815</v>
      </c>
      <c r="AN5595" t="s">
        <v>2059</v>
      </c>
      <c r="AO5595" t="s">
        <v>38810</v>
      </c>
      <c r="AP5595" t="s">
        <v>7024</v>
      </c>
      <c r="AQ5595" t="s">
        <v>38811</v>
      </c>
      <c r="AT5595" s="184">
        <v>31678</v>
      </c>
      <c r="AU5595" t="s">
        <v>38812</v>
      </c>
      <c r="AV5595">
        <v>22</v>
      </c>
      <c r="AW5595" s="184">
        <v>42258</v>
      </c>
      <c r="AX5595" t="s">
        <v>11622</v>
      </c>
      <c r="AY5595">
        <v>5000</v>
      </c>
      <c r="AZ5595" s="184">
        <v>42258</v>
      </c>
      <c r="BA5595" t="s">
        <v>11622</v>
      </c>
      <c r="BB5595">
        <v>5000</v>
      </c>
      <c r="BC5595">
        <v>52</v>
      </c>
      <c r="BD5595">
        <v>5722</v>
      </c>
      <c r="BE5595">
        <v>1987</v>
      </c>
      <c r="BF5595">
        <v>25</v>
      </c>
      <c r="BI5595">
        <v>20</v>
      </c>
      <c r="BJ5595">
        <v>39</v>
      </c>
      <c r="BK5595">
        <v>8</v>
      </c>
      <c r="BO5595" t="s">
        <v>595</v>
      </c>
      <c r="BP5595" s="184">
        <v>42023</v>
      </c>
    </row>
    <row r="5596" spans="1:68">
      <c r="A5596">
        <v>100174440</v>
      </c>
      <c r="B5596">
        <v>100174440</v>
      </c>
      <c r="C5596" t="s">
        <v>7018</v>
      </c>
      <c r="E5596" s="184"/>
      <c r="G5596" s="184"/>
      <c r="I5596" s="184"/>
      <c r="J5596" t="s">
        <v>595</v>
      </c>
      <c r="K5596" s="184">
        <v>40060</v>
      </c>
      <c r="O5596" s="184"/>
      <c r="Q5596" t="s">
        <v>7383</v>
      </c>
      <c r="R5596" s="184">
        <v>8155</v>
      </c>
      <c r="S5596">
        <v>102</v>
      </c>
      <c r="U5596" t="s">
        <v>7130</v>
      </c>
      <c r="V5596" t="s">
        <v>3801</v>
      </c>
      <c r="W5596" t="s">
        <v>7107</v>
      </c>
      <c r="X5596" t="s">
        <v>3424</v>
      </c>
      <c r="AI5596" t="s">
        <v>38813</v>
      </c>
      <c r="AM5596" t="s">
        <v>3160</v>
      </c>
      <c r="AN5596" t="s">
        <v>2185</v>
      </c>
      <c r="AO5596" t="s">
        <v>38814</v>
      </c>
      <c r="AP5596" t="s">
        <v>7024</v>
      </c>
      <c r="AT5596" s="184">
        <v>31715</v>
      </c>
      <c r="AU5596" t="s">
        <v>38815</v>
      </c>
      <c r="AV5596">
        <v>22</v>
      </c>
      <c r="AW5596" s="184">
        <v>40060</v>
      </c>
      <c r="AX5596" t="s">
        <v>14284</v>
      </c>
      <c r="AY5596">
        <v>19807.95</v>
      </c>
      <c r="AZ5596" s="184">
        <v>39778</v>
      </c>
      <c r="BA5596" t="s">
        <v>9877</v>
      </c>
      <c r="BB5596">
        <v>30000</v>
      </c>
      <c r="BC5596">
        <v>59</v>
      </c>
      <c r="BD5596">
        <v>74866.600000000006</v>
      </c>
      <c r="BE5596">
        <v>1987</v>
      </c>
      <c r="BF5596">
        <v>29</v>
      </c>
      <c r="BI5596">
        <v>23</v>
      </c>
      <c r="BJ5596">
        <v>39</v>
      </c>
      <c r="BK5596">
        <v>21</v>
      </c>
      <c r="BO5596" t="s">
        <v>595</v>
      </c>
      <c r="BP5596" s="184"/>
    </row>
    <row r="5597" spans="1:68">
      <c r="A5597">
        <v>100174443</v>
      </c>
      <c r="B5597">
        <v>100174443</v>
      </c>
      <c r="C5597" t="s">
        <v>7018</v>
      </c>
      <c r="E5597" s="184"/>
      <c r="J5597" t="s">
        <v>595</v>
      </c>
      <c r="K5597" s="184">
        <v>42248</v>
      </c>
      <c r="M5597" s="184"/>
      <c r="O5597" s="184"/>
      <c r="Q5597" t="s">
        <v>7160</v>
      </c>
      <c r="R5597" s="184">
        <v>13327</v>
      </c>
      <c r="S5597">
        <v>87</v>
      </c>
      <c r="U5597" t="s">
        <v>7031</v>
      </c>
      <c r="V5597" t="s">
        <v>2697</v>
      </c>
      <c r="W5597" t="s">
        <v>8224</v>
      </c>
      <c r="X5597" t="s">
        <v>4132</v>
      </c>
      <c r="Y5597" t="s">
        <v>7941</v>
      </c>
      <c r="AI5597" t="s">
        <v>38816</v>
      </c>
      <c r="AM5597" t="s">
        <v>3975</v>
      </c>
      <c r="AN5597" t="s">
        <v>2413</v>
      </c>
      <c r="AO5597" t="s">
        <v>38817</v>
      </c>
      <c r="AP5597" t="s">
        <v>7024</v>
      </c>
      <c r="AT5597" s="184">
        <v>31880</v>
      </c>
      <c r="AU5597" t="s">
        <v>38818</v>
      </c>
      <c r="AV5597">
        <v>22</v>
      </c>
      <c r="AW5597" s="184">
        <v>42248</v>
      </c>
      <c r="AX5597" t="s">
        <v>11622</v>
      </c>
      <c r="AY5597">
        <v>20000</v>
      </c>
      <c r="AZ5597" s="184">
        <v>42024</v>
      </c>
      <c r="BA5597" t="s">
        <v>14228</v>
      </c>
      <c r="BB5597">
        <v>77016.87</v>
      </c>
      <c r="BC5597">
        <v>56</v>
      </c>
      <c r="BD5597">
        <v>97718.87</v>
      </c>
      <c r="BE5597">
        <v>1987</v>
      </c>
      <c r="BF5597">
        <v>23</v>
      </c>
      <c r="BI5597">
        <v>21</v>
      </c>
      <c r="BJ5597">
        <v>38</v>
      </c>
      <c r="BK5597">
        <v>10</v>
      </c>
      <c r="BO5597" t="s">
        <v>595</v>
      </c>
      <c r="BP5597" s="184">
        <v>41936</v>
      </c>
    </row>
    <row r="5598" spans="1:68">
      <c r="A5598">
        <v>100174444</v>
      </c>
      <c r="B5598">
        <v>100174444</v>
      </c>
      <c r="C5598" t="s">
        <v>7018</v>
      </c>
      <c r="E5598" s="184"/>
      <c r="G5598" s="184"/>
      <c r="I5598" s="184"/>
      <c r="J5598" t="s">
        <v>595</v>
      </c>
      <c r="K5598" s="184">
        <v>41739</v>
      </c>
      <c r="O5598" s="184"/>
      <c r="Q5598" t="s">
        <v>7020</v>
      </c>
      <c r="R5598" s="184">
        <v>8247</v>
      </c>
      <c r="S5598">
        <v>101</v>
      </c>
      <c r="U5598" t="s">
        <v>7031</v>
      </c>
      <c r="V5598" t="s">
        <v>38819</v>
      </c>
      <c r="X5598" t="s">
        <v>3852</v>
      </c>
      <c r="Z5598">
        <v>100174445</v>
      </c>
      <c r="AA5598" t="s">
        <v>7130</v>
      </c>
      <c r="AB5598" t="s">
        <v>3400</v>
      </c>
      <c r="AC5598" t="s">
        <v>3830</v>
      </c>
      <c r="AD5598" t="s">
        <v>3852</v>
      </c>
      <c r="AI5598" t="s">
        <v>38820</v>
      </c>
      <c r="AM5598" t="s">
        <v>38821</v>
      </c>
      <c r="AN5598" t="s">
        <v>2112</v>
      </c>
      <c r="AO5598" t="s">
        <v>38822</v>
      </c>
      <c r="AP5598" t="s">
        <v>7024</v>
      </c>
      <c r="AT5598" s="184">
        <v>31880</v>
      </c>
      <c r="AU5598" t="s">
        <v>38823</v>
      </c>
      <c r="AV5598">
        <v>22</v>
      </c>
      <c r="AW5598" s="184">
        <v>41739</v>
      </c>
      <c r="AX5598" t="s">
        <v>37849</v>
      </c>
      <c r="AY5598">
        <v>8500</v>
      </c>
      <c r="AZ5598" s="184">
        <v>41739</v>
      </c>
      <c r="BA5598" t="s">
        <v>37849</v>
      </c>
      <c r="BB5598">
        <v>8500</v>
      </c>
      <c r="BC5598">
        <v>61</v>
      </c>
      <c r="BD5598">
        <v>10982</v>
      </c>
      <c r="BE5598">
        <v>1987</v>
      </c>
      <c r="BF5598">
        <v>32</v>
      </c>
      <c r="BI5598">
        <v>23</v>
      </c>
      <c r="BJ5598">
        <v>38</v>
      </c>
      <c r="BK5598">
        <v>9</v>
      </c>
      <c r="BO5598" t="s">
        <v>595</v>
      </c>
      <c r="BP5598" s="184">
        <v>30822</v>
      </c>
    </row>
    <row r="5599" spans="1:68">
      <c r="A5599">
        <v>100174459</v>
      </c>
      <c r="B5599">
        <v>100174459</v>
      </c>
      <c r="C5599" t="s">
        <v>7018</v>
      </c>
      <c r="E5599" s="184"/>
      <c r="I5599" s="184"/>
      <c r="J5599" t="s">
        <v>595</v>
      </c>
      <c r="K5599" s="184">
        <v>41058</v>
      </c>
      <c r="M5599" s="184"/>
      <c r="O5599" s="184"/>
      <c r="Q5599" t="s">
        <v>7374</v>
      </c>
      <c r="R5599" s="184">
        <v>11689</v>
      </c>
      <c r="S5599">
        <v>92</v>
      </c>
      <c r="U5599" t="s">
        <v>7130</v>
      </c>
      <c r="V5599" t="s">
        <v>3431</v>
      </c>
      <c r="W5599" t="s">
        <v>2963</v>
      </c>
      <c r="X5599" t="s">
        <v>4077</v>
      </c>
      <c r="AI5599" t="s">
        <v>38824</v>
      </c>
      <c r="AM5599" t="s">
        <v>38825</v>
      </c>
      <c r="AN5599" t="s">
        <v>2081</v>
      </c>
      <c r="AO5599" t="s">
        <v>38826</v>
      </c>
      <c r="AP5599" t="s">
        <v>7024</v>
      </c>
      <c r="AT5599" s="184">
        <v>31888</v>
      </c>
      <c r="AU5599" t="s">
        <v>8984</v>
      </c>
      <c r="AV5599">
        <v>22</v>
      </c>
      <c r="AW5599" s="184">
        <v>41058</v>
      </c>
      <c r="AX5599" t="s">
        <v>18846</v>
      </c>
      <c r="AY5599">
        <v>302.7</v>
      </c>
      <c r="AZ5599" s="184">
        <v>41058</v>
      </c>
      <c r="BA5599" t="s">
        <v>18846</v>
      </c>
      <c r="BB5599">
        <v>302.7</v>
      </c>
      <c r="BC5599">
        <v>11</v>
      </c>
      <c r="BD5599">
        <v>369.7</v>
      </c>
      <c r="BE5599">
        <v>1987</v>
      </c>
      <c r="BF5599">
        <v>4</v>
      </c>
      <c r="BI5599">
        <v>4</v>
      </c>
      <c r="BJ5599">
        <v>38</v>
      </c>
      <c r="BK5599">
        <v>1</v>
      </c>
      <c r="BO5599" t="s">
        <v>595</v>
      </c>
      <c r="BP5599" s="184">
        <v>40003</v>
      </c>
    </row>
    <row r="5600" spans="1:68">
      <c r="A5600">
        <v>100174474</v>
      </c>
      <c r="B5600">
        <v>100174474</v>
      </c>
      <c r="C5600" t="s">
        <v>7018</v>
      </c>
      <c r="E5600" s="184"/>
      <c r="J5600" t="s">
        <v>595</v>
      </c>
      <c r="K5600" s="184">
        <v>42716</v>
      </c>
      <c r="M5600" s="184"/>
      <c r="O5600" s="184"/>
      <c r="Q5600" t="s">
        <v>7262</v>
      </c>
      <c r="R5600" s="184">
        <v>7167</v>
      </c>
      <c r="S5600">
        <v>104</v>
      </c>
      <c r="U5600" t="s">
        <v>7076</v>
      </c>
      <c r="V5600" t="s">
        <v>5934</v>
      </c>
      <c r="W5600" t="s">
        <v>4327</v>
      </c>
      <c r="X5600" t="s">
        <v>4685</v>
      </c>
      <c r="AI5600" t="s">
        <v>38827</v>
      </c>
      <c r="AM5600" t="s">
        <v>25705</v>
      </c>
      <c r="AN5600" t="s">
        <v>65</v>
      </c>
      <c r="AO5600">
        <v>21093</v>
      </c>
      <c r="AP5600" t="s">
        <v>7024</v>
      </c>
      <c r="AT5600" s="184">
        <v>32142</v>
      </c>
      <c r="AU5600" t="s">
        <v>38828</v>
      </c>
      <c r="AV5600">
        <v>22</v>
      </c>
      <c r="AW5600" s="184">
        <v>42716</v>
      </c>
      <c r="AX5600" t="s">
        <v>19550</v>
      </c>
      <c r="AY5600">
        <v>11346.95</v>
      </c>
      <c r="AZ5600" s="184">
        <v>42716</v>
      </c>
      <c r="BA5600" t="s">
        <v>19550</v>
      </c>
      <c r="BB5600">
        <v>11346.95</v>
      </c>
      <c r="BC5600">
        <v>61</v>
      </c>
      <c r="BD5600">
        <v>13881.95</v>
      </c>
      <c r="BE5600">
        <v>1988</v>
      </c>
      <c r="BF5600">
        <v>26</v>
      </c>
      <c r="BI5600">
        <v>23</v>
      </c>
      <c r="BJ5600">
        <v>38</v>
      </c>
      <c r="BK5600">
        <v>7</v>
      </c>
      <c r="BO5600" t="s">
        <v>595</v>
      </c>
      <c r="BP5600" s="184">
        <v>42535</v>
      </c>
    </row>
    <row r="5601" spans="1:68">
      <c r="A5601">
        <v>100174483</v>
      </c>
      <c r="B5601">
        <v>100174483</v>
      </c>
      <c r="C5601" t="s">
        <v>7018</v>
      </c>
      <c r="E5601" s="184"/>
      <c r="G5601" s="184"/>
      <c r="I5601" s="184"/>
      <c r="J5601" t="s">
        <v>595</v>
      </c>
      <c r="K5601" s="184">
        <v>39878</v>
      </c>
      <c r="O5601" s="184"/>
      <c r="Q5601" t="s">
        <v>7383</v>
      </c>
      <c r="R5601" s="184">
        <v>7060</v>
      </c>
      <c r="S5601">
        <v>105</v>
      </c>
      <c r="U5601" t="s">
        <v>7076</v>
      </c>
      <c r="V5601" t="s">
        <v>3095</v>
      </c>
      <c r="X5601" t="s">
        <v>32392</v>
      </c>
      <c r="AI5601" t="s">
        <v>38829</v>
      </c>
      <c r="AM5601" t="s">
        <v>3815</v>
      </c>
      <c r="AN5601" t="s">
        <v>2059</v>
      </c>
      <c r="AO5601" t="s">
        <v>38830</v>
      </c>
      <c r="AP5601" t="s">
        <v>7024</v>
      </c>
      <c r="AT5601" s="184">
        <v>32195</v>
      </c>
      <c r="AU5601" t="s">
        <v>21892</v>
      </c>
      <c r="AV5601">
        <v>22</v>
      </c>
      <c r="AW5601" s="184">
        <v>39878</v>
      </c>
      <c r="AX5601" t="s">
        <v>9877</v>
      </c>
      <c r="AY5601">
        <v>29912.35</v>
      </c>
      <c r="AZ5601" s="184">
        <v>39878</v>
      </c>
      <c r="BA5601" t="s">
        <v>9877</v>
      </c>
      <c r="BB5601">
        <v>29912.35</v>
      </c>
      <c r="BC5601">
        <v>46</v>
      </c>
      <c r="BD5601">
        <v>32912.35</v>
      </c>
      <c r="BE5601">
        <v>1988</v>
      </c>
      <c r="BF5601">
        <v>23</v>
      </c>
      <c r="BI5601">
        <v>17</v>
      </c>
      <c r="BJ5601">
        <v>37</v>
      </c>
      <c r="BK5601">
        <v>15</v>
      </c>
      <c r="BO5601" t="s">
        <v>595</v>
      </c>
      <c r="BP5601" s="184">
        <v>39448</v>
      </c>
    </row>
    <row r="5602" spans="1:68">
      <c r="A5602">
        <v>100174484</v>
      </c>
      <c r="B5602">
        <v>100174484</v>
      </c>
      <c r="C5602" t="s">
        <v>7018</v>
      </c>
      <c r="E5602" s="184"/>
      <c r="G5602" s="184"/>
      <c r="I5602" s="184"/>
      <c r="J5602" t="s">
        <v>595</v>
      </c>
      <c r="K5602" s="184">
        <v>40723</v>
      </c>
      <c r="O5602" s="184"/>
      <c r="Q5602" t="s">
        <v>7020</v>
      </c>
      <c r="R5602" s="184">
        <v>13795</v>
      </c>
      <c r="S5602">
        <v>86</v>
      </c>
      <c r="U5602" t="s">
        <v>7031</v>
      </c>
      <c r="V5602" t="s">
        <v>3103</v>
      </c>
      <c r="X5602" t="s">
        <v>38831</v>
      </c>
      <c r="AI5602" t="s">
        <v>38832</v>
      </c>
      <c r="AM5602" t="s">
        <v>3181</v>
      </c>
      <c r="AN5602" t="s">
        <v>2112</v>
      </c>
      <c r="AO5602" t="s">
        <v>38833</v>
      </c>
      <c r="AP5602" t="s">
        <v>7024</v>
      </c>
      <c r="AT5602" s="184">
        <v>32220</v>
      </c>
      <c r="AU5602" t="s">
        <v>38834</v>
      </c>
      <c r="AV5602">
        <v>23</v>
      </c>
      <c r="AW5602" s="184">
        <v>40723</v>
      </c>
      <c r="AX5602" t="s">
        <v>14283</v>
      </c>
      <c r="AY5602">
        <v>14000</v>
      </c>
      <c r="AZ5602" s="184">
        <v>40233</v>
      </c>
      <c r="BA5602" t="s">
        <v>14284</v>
      </c>
      <c r="BB5602">
        <v>30000</v>
      </c>
      <c r="BC5602">
        <v>22</v>
      </c>
      <c r="BD5602">
        <v>44395</v>
      </c>
      <c r="BE5602">
        <v>1988</v>
      </c>
      <c r="BF5602">
        <v>11</v>
      </c>
      <c r="BI5602">
        <v>8</v>
      </c>
      <c r="BJ5602">
        <v>37</v>
      </c>
      <c r="BK5602">
        <v>4</v>
      </c>
      <c r="BO5602" t="s">
        <v>595</v>
      </c>
      <c r="BP5602" s="184">
        <v>37611</v>
      </c>
    </row>
    <row r="5603" spans="1:68">
      <c r="A5603">
        <v>100174486</v>
      </c>
      <c r="B5603">
        <v>100174485</v>
      </c>
      <c r="C5603" t="s">
        <v>7018</v>
      </c>
      <c r="E5603" s="184"/>
      <c r="I5603" s="184"/>
      <c r="J5603" t="s">
        <v>595</v>
      </c>
      <c r="K5603" s="184">
        <v>39287</v>
      </c>
      <c r="M5603" s="184"/>
      <c r="Q5603" t="s">
        <v>7494</v>
      </c>
      <c r="R5603" s="184"/>
      <c r="U5603" t="s">
        <v>15150</v>
      </c>
      <c r="V5603" t="s">
        <v>38835</v>
      </c>
      <c r="W5603" t="s">
        <v>27297</v>
      </c>
      <c r="X5603" t="s">
        <v>30384</v>
      </c>
      <c r="Z5603">
        <v>100174485</v>
      </c>
      <c r="AA5603" t="s">
        <v>7130</v>
      </c>
      <c r="AB5603" t="s">
        <v>2316</v>
      </c>
      <c r="AC5603" t="s">
        <v>3332</v>
      </c>
      <c r="AD5603" t="s">
        <v>30384</v>
      </c>
      <c r="AI5603" t="s">
        <v>38836</v>
      </c>
      <c r="AJ5603" t="s">
        <v>38837</v>
      </c>
      <c r="AM5603" t="s">
        <v>4006</v>
      </c>
      <c r="AN5603" t="s">
        <v>2174</v>
      </c>
      <c r="AO5603" t="s">
        <v>38838</v>
      </c>
      <c r="AP5603" t="s">
        <v>7024</v>
      </c>
      <c r="AT5603" s="184"/>
      <c r="AW5603" s="184"/>
      <c r="AZ5603" s="184"/>
      <c r="BO5603" t="s">
        <v>595</v>
      </c>
      <c r="BP5603" s="184">
        <v>37032</v>
      </c>
    </row>
    <row r="5604" spans="1:68">
      <c r="A5604">
        <v>100174487</v>
      </c>
      <c r="B5604">
        <v>100174487</v>
      </c>
      <c r="C5604" t="s">
        <v>7018</v>
      </c>
      <c r="E5604" s="184"/>
      <c r="I5604" s="184"/>
      <c r="J5604" t="s">
        <v>595</v>
      </c>
      <c r="K5604" s="184">
        <v>41411</v>
      </c>
      <c r="O5604" s="184"/>
      <c r="Q5604" t="s">
        <v>7262</v>
      </c>
      <c r="R5604" s="184">
        <v>10167</v>
      </c>
      <c r="S5604">
        <v>96</v>
      </c>
      <c r="U5604" t="s">
        <v>7032</v>
      </c>
      <c r="V5604" t="s">
        <v>4136</v>
      </c>
      <c r="W5604" t="s">
        <v>4327</v>
      </c>
      <c r="X5604" t="s">
        <v>21184</v>
      </c>
      <c r="AI5604" t="s">
        <v>38839</v>
      </c>
      <c r="AM5604" t="s">
        <v>3205</v>
      </c>
      <c r="AN5604" t="s">
        <v>2106</v>
      </c>
      <c r="AO5604" t="s">
        <v>38840</v>
      </c>
      <c r="AP5604" t="s">
        <v>7024</v>
      </c>
      <c r="AQ5604" t="s">
        <v>38841</v>
      </c>
      <c r="AT5604" s="184">
        <v>32254</v>
      </c>
      <c r="AU5604" t="s">
        <v>38842</v>
      </c>
      <c r="AV5604">
        <v>22</v>
      </c>
      <c r="AW5604" s="184">
        <v>41411</v>
      </c>
      <c r="AX5604" t="s">
        <v>13035</v>
      </c>
      <c r="AY5604">
        <v>20000</v>
      </c>
      <c r="AZ5604" s="184">
        <v>41411</v>
      </c>
      <c r="BA5604" t="s">
        <v>13035</v>
      </c>
      <c r="BB5604">
        <v>20000</v>
      </c>
      <c r="BC5604">
        <v>68</v>
      </c>
      <c r="BD5604">
        <v>21417</v>
      </c>
      <c r="BE5604">
        <v>1988</v>
      </c>
      <c r="BF5604">
        <v>36</v>
      </c>
      <c r="BI5604">
        <v>25</v>
      </c>
      <c r="BJ5604">
        <v>37</v>
      </c>
      <c r="BK5604">
        <v>24</v>
      </c>
      <c r="BO5604" t="s">
        <v>595</v>
      </c>
      <c r="BP5604" s="184">
        <v>41136</v>
      </c>
    </row>
    <row r="5605" spans="1:68">
      <c r="A5605">
        <v>100174488</v>
      </c>
      <c r="B5605">
        <v>100174488</v>
      </c>
      <c r="C5605" t="s">
        <v>7018</v>
      </c>
      <c r="E5605" s="184"/>
      <c r="G5605" s="184"/>
      <c r="I5605" s="184"/>
      <c r="J5605" t="s">
        <v>595</v>
      </c>
      <c r="K5605" s="184">
        <v>40198</v>
      </c>
      <c r="M5605" s="184"/>
      <c r="O5605" s="184"/>
      <c r="Q5605" t="s">
        <v>7262</v>
      </c>
      <c r="R5605" s="184">
        <v>19329</v>
      </c>
      <c r="S5605">
        <v>71</v>
      </c>
      <c r="U5605" t="s">
        <v>7031</v>
      </c>
      <c r="V5605" t="s">
        <v>2697</v>
      </c>
      <c r="W5605" t="s">
        <v>2058</v>
      </c>
      <c r="X5605" t="s">
        <v>38843</v>
      </c>
      <c r="AI5605" t="s">
        <v>38844</v>
      </c>
      <c r="AM5605" t="s">
        <v>5764</v>
      </c>
      <c r="AN5605" t="s">
        <v>65</v>
      </c>
      <c r="AO5605" t="s">
        <v>38845</v>
      </c>
      <c r="AP5605" t="s">
        <v>7024</v>
      </c>
      <c r="AQ5605" t="s">
        <v>38846</v>
      </c>
      <c r="AT5605" s="184">
        <v>32265</v>
      </c>
      <c r="AU5605" t="s">
        <v>38847</v>
      </c>
      <c r="AV5605">
        <v>22</v>
      </c>
      <c r="AW5605" s="184">
        <v>40198</v>
      </c>
      <c r="AX5605" t="s">
        <v>14284</v>
      </c>
      <c r="AY5605">
        <v>8611.57</v>
      </c>
      <c r="AZ5605" s="184">
        <v>40198</v>
      </c>
      <c r="BA5605" t="s">
        <v>14284</v>
      </c>
      <c r="BB5605">
        <v>8611.57</v>
      </c>
      <c r="BC5605">
        <v>55</v>
      </c>
      <c r="BD5605">
        <v>9545.57</v>
      </c>
      <c r="BE5605">
        <v>1988</v>
      </c>
      <c r="BF5605">
        <v>22</v>
      </c>
      <c r="BI5605">
        <v>20</v>
      </c>
      <c r="BJ5605">
        <v>37</v>
      </c>
      <c r="BK5605">
        <v>10</v>
      </c>
      <c r="BO5605" t="s">
        <v>595</v>
      </c>
      <c r="BP5605" s="184"/>
    </row>
    <row r="5606" spans="1:68">
      <c r="A5606">
        <v>100174509</v>
      </c>
      <c r="B5606">
        <v>100174509</v>
      </c>
      <c r="C5606" t="s">
        <v>7018</v>
      </c>
      <c r="E5606" s="184"/>
      <c r="I5606" s="184"/>
      <c r="J5606" t="s">
        <v>595</v>
      </c>
      <c r="K5606" s="184">
        <v>42444</v>
      </c>
      <c r="M5606" s="184"/>
      <c r="O5606" s="184"/>
      <c r="Q5606" t="s">
        <v>7383</v>
      </c>
      <c r="R5606" s="184">
        <v>15676</v>
      </c>
      <c r="S5606">
        <v>81</v>
      </c>
      <c r="U5606" t="s">
        <v>7031</v>
      </c>
      <c r="V5606" t="s">
        <v>4236</v>
      </c>
      <c r="W5606" t="s">
        <v>7046</v>
      </c>
      <c r="X5606" t="s">
        <v>38848</v>
      </c>
      <c r="AI5606" t="s">
        <v>38849</v>
      </c>
      <c r="AM5606" t="s">
        <v>38850</v>
      </c>
      <c r="AN5606" t="s">
        <v>2313</v>
      </c>
      <c r="AO5606" t="s">
        <v>38851</v>
      </c>
      <c r="AP5606" t="s">
        <v>7024</v>
      </c>
      <c r="AQ5606" t="s">
        <v>38852</v>
      </c>
      <c r="AR5606" t="s">
        <v>38853</v>
      </c>
      <c r="AT5606" s="184">
        <v>32504</v>
      </c>
      <c r="AU5606" t="s">
        <v>9530</v>
      </c>
      <c r="AV5606">
        <v>25</v>
      </c>
      <c r="AW5606" s="184">
        <v>42444</v>
      </c>
      <c r="AX5606" t="s">
        <v>11622</v>
      </c>
      <c r="AY5606">
        <v>1000</v>
      </c>
      <c r="AZ5606" s="184">
        <v>42444</v>
      </c>
      <c r="BA5606" t="s">
        <v>11622</v>
      </c>
      <c r="BB5606">
        <v>1000</v>
      </c>
      <c r="BC5606">
        <v>65</v>
      </c>
      <c r="BD5606">
        <v>2030</v>
      </c>
      <c r="BE5606">
        <v>1989</v>
      </c>
      <c r="BF5606">
        <v>28</v>
      </c>
      <c r="BI5606">
        <v>24</v>
      </c>
      <c r="BJ5606">
        <v>37</v>
      </c>
      <c r="BK5606">
        <v>15</v>
      </c>
      <c r="BO5606" t="s">
        <v>595</v>
      </c>
      <c r="BP5606" s="184">
        <v>42096</v>
      </c>
    </row>
    <row r="5607" spans="1:68">
      <c r="A5607">
        <v>100174510</v>
      </c>
      <c r="B5607">
        <v>100174510</v>
      </c>
      <c r="C5607" t="s">
        <v>7018</v>
      </c>
      <c r="E5607" s="184"/>
      <c r="I5607" s="184"/>
      <c r="J5607" t="s">
        <v>595</v>
      </c>
      <c r="K5607" s="184">
        <v>42807</v>
      </c>
      <c r="O5607" s="184"/>
      <c r="Q5607" t="s">
        <v>7383</v>
      </c>
      <c r="R5607" s="184">
        <v>7367</v>
      </c>
      <c r="S5607">
        <v>104</v>
      </c>
      <c r="U5607" t="s">
        <v>7032</v>
      </c>
      <c r="V5607" t="s">
        <v>38854</v>
      </c>
      <c r="X5607" t="s">
        <v>38855</v>
      </c>
      <c r="Z5607">
        <v>100174511</v>
      </c>
      <c r="AA5607" t="s">
        <v>7130</v>
      </c>
      <c r="AB5607" t="s">
        <v>12596</v>
      </c>
      <c r="AD5607" t="s">
        <v>38855</v>
      </c>
      <c r="AI5607" t="s">
        <v>38856</v>
      </c>
      <c r="AM5607" t="s">
        <v>5049</v>
      </c>
      <c r="AN5607" t="s">
        <v>2064</v>
      </c>
      <c r="AO5607" t="s">
        <v>38857</v>
      </c>
      <c r="AP5607" t="s">
        <v>7024</v>
      </c>
      <c r="AT5607" s="184">
        <v>32538</v>
      </c>
      <c r="AU5607" t="s">
        <v>9638</v>
      </c>
      <c r="AV5607">
        <v>25</v>
      </c>
      <c r="AW5607" s="184">
        <v>42807</v>
      </c>
      <c r="AX5607" t="s">
        <v>19550</v>
      </c>
      <c r="AY5607">
        <v>549.67999999999995</v>
      </c>
      <c r="AZ5607" s="184">
        <v>41953</v>
      </c>
      <c r="BA5607" t="s">
        <v>14228</v>
      </c>
      <c r="BB5607">
        <v>164093.01</v>
      </c>
      <c r="BC5607">
        <v>62</v>
      </c>
      <c r="BD5607">
        <v>183426.23</v>
      </c>
      <c r="BE5607">
        <v>1989</v>
      </c>
      <c r="BF5607">
        <v>33</v>
      </c>
      <c r="BI5607">
        <v>22</v>
      </c>
      <c r="BJ5607">
        <v>36</v>
      </c>
      <c r="BK5607">
        <v>14</v>
      </c>
      <c r="BO5607" t="s">
        <v>595</v>
      </c>
      <c r="BP5607" s="184">
        <v>41730</v>
      </c>
    </row>
    <row r="5608" spans="1:68">
      <c r="A5608">
        <v>100174521</v>
      </c>
      <c r="B5608">
        <v>100174521</v>
      </c>
      <c r="C5608" t="s">
        <v>7018</v>
      </c>
      <c r="E5608" s="184"/>
      <c r="G5608" s="184"/>
      <c r="I5608" s="184"/>
      <c r="J5608" t="s">
        <v>595</v>
      </c>
      <c r="K5608" s="184">
        <v>38114</v>
      </c>
      <c r="O5608" s="184"/>
      <c r="Q5608" t="s">
        <v>7020</v>
      </c>
      <c r="R5608" s="184"/>
      <c r="V5608" t="s">
        <v>3226</v>
      </c>
      <c r="W5608" t="s">
        <v>38858</v>
      </c>
      <c r="X5608" t="s">
        <v>38859</v>
      </c>
      <c r="AI5608" t="s">
        <v>38860</v>
      </c>
      <c r="AM5608" t="s">
        <v>3525</v>
      </c>
      <c r="AN5608" t="s">
        <v>2240</v>
      </c>
      <c r="AO5608" t="s">
        <v>38861</v>
      </c>
      <c r="AP5608" t="s">
        <v>7024</v>
      </c>
      <c r="AT5608" s="184">
        <v>32783</v>
      </c>
      <c r="AU5608" t="s">
        <v>38862</v>
      </c>
      <c r="AV5608">
        <v>15</v>
      </c>
      <c r="AW5608" s="184">
        <v>38114</v>
      </c>
      <c r="AX5608" t="s">
        <v>13030</v>
      </c>
      <c r="AY5608">
        <v>100</v>
      </c>
      <c r="AZ5608" s="184">
        <v>38022</v>
      </c>
      <c r="BA5608" t="s">
        <v>7760</v>
      </c>
      <c r="BB5608">
        <v>332634.19</v>
      </c>
      <c r="BC5608">
        <v>45</v>
      </c>
      <c r="BD5608">
        <v>334997.68</v>
      </c>
      <c r="BE5608">
        <v>1990</v>
      </c>
      <c r="BF5608">
        <v>39</v>
      </c>
      <c r="BI5608">
        <v>16</v>
      </c>
      <c r="BJ5608">
        <v>36</v>
      </c>
      <c r="BK5608">
        <v>16</v>
      </c>
      <c r="BO5608" t="s">
        <v>595</v>
      </c>
      <c r="BP5608" s="184">
        <v>37774</v>
      </c>
    </row>
    <row r="5609" spans="1:68">
      <c r="A5609">
        <v>100174522</v>
      </c>
      <c r="B5609">
        <v>100174522</v>
      </c>
      <c r="C5609" t="s">
        <v>7018</v>
      </c>
      <c r="E5609" s="184"/>
      <c r="I5609" s="184"/>
      <c r="J5609" t="s">
        <v>595</v>
      </c>
      <c r="K5609" s="184">
        <v>41379</v>
      </c>
      <c r="M5609" s="184"/>
      <c r="O5609" s="184"/>
      <c r="Q5609" t="s">
        <v>7262</v>
      </c>
      <c r="R5609" s="184">
        <v>18763</v>
      </c>
      <c r="S5609">
        <v>73</v>
      </c>
      <c r="U5609" t="s">
        <v>7076</v>
      </c>
      <c r="V5609" t="s">
        <v>17341</v>
      </c>
      <c r="W5609" t="s">
        <v>30457</v>
      </c>
      <c r="X5609" t="s">
        <v>38863</v>
      </c>
      <c r="Z5609">
        <v>100174523</v>
      </c>
      <c r="AA5609" t="s">
        <v>7076</v>
      </c>
      <c r="AB5609" t="s">
        <v>3400</v>
      </c>
      <c r="AC5609" t="s">
        <v>10974</v>
      </c>
      <c r="AD5609" t="s">
        <v>38863</v>
      </c>
      <c r="AI5609" t="s">
        <v>38864</v>
      </c>
      <c r="AM5609" t="s">
        <v>3205</v>
      </c>
      <c r="AN5609" t="s">
        <v>2106</v>
      </c>
      <c r="AO5609" t="s">
        <v>38865</v>
      </c>
      <c r="AP5609" t="s">
        <v>7024</v>
      </c>
      <c r="AT5609" s="184">
        <v>32791</v>
      </c>
      <c r="AU5609" t="s">
        <v>38866</v>
      </c>
      <c r="AV5609">
        <v>15</v>
      </c>
      <c r="AW5609" s="184">
        <v>41379</v>
      </c>
      <c r="AX5609" t="s">
        <v>13035</v>
      </c>
      <c r="AY5609">
        <v>2000</v>
      </c>
      <c r="AZ5609" s="184">
        <v>41379</v>
      </c>
      <c r="BA5609" t="s">
        <v>13035</v>
      </c>
      <c r="BB5609">
        <v>2000</v>
      </c>
      <c r="BC5609">
        <v>67</v>
      </c>
      <c r="BD5609">
        <v>2690</v>
      </c>
      <c r="BE5609">
        <v>1990</v>
      </c>
      <c r="BF5609">
        <v>31</v>
      </c>
      <c r="BI5609">
        <v>24</v>
      </c>
      <c r="BJ5609">
        <v>36</v>
      </c>
      <c r="BK5609">
        <v>21</v>
      </c>
      <c r="BO5609" t="s">
        <v>595</v>
      </c>
      <c r="BP5609" s="184">
        <v>41603</v>
      </c>
    </row>
    <row r="5610" spans="1:68">
      <c r="A5610">
        <v>100174526</v>
      </c>
      <c r="B5610">
        <v>100174526</v>
      </c>
      <c r="C5610" t="s">
        <v>7018</v>
      </c>
      <c r="E5610" s="184"/>
      <c r="I5610" s="184"/>
      <c r="J5610" t="s">
        <v>595</v>
      </c>
      <c r="K5610" s="184">
        <v>42622</v>
      </c>
      <c r="O5610" s="184"/>
      <c r="Q5610" t="s">
        <v>7020</v>
      </c>
      <c r="R5610" s="184">
        <v>6392</v>
      </c>
      <c r="S5610">
        <v>106</v>
      </c>
      <c r="U5610" t="s">
        <v>7130</v>
      </c>
      <c r="V5610" t="s">
        <v>3468</v>
      </c>
      <c r="W5610" t="s">
        <v>7469</v>
      </c>
      <c r="X5610" t="s">
        <v>7397</v>
      </c>
      <c r="AI5610" t="s">
        <v>38867</v>
      </c>
      <c r="AM5610" t="s">
        <v>38868</v>
      </c>
      <c r="AN5610" t="s">
        <v>2240</v>
      </c>
      <c r="AO5610" t="s">
        <v>38869</v>
      </c>
      <c r="AP5610" t="s">
        <v>7024</v>
      </c>
      <c r="AT5610" s="184">
        <v>32793</v>
      </c>
      <c r="AU5610" t="s">
        <v>38870</v>
      </c>
      <c r="AV5610">
        <v>100</v>
      </c>
      <c r="AW5610" s="184">
        <v>42622</v>
      </c>
      <c r="AX5610" t="s">
        <v>19550</v>
      </c>
      <c r="AY5610">
        <v>357774</v>
      </c>
      <c r="AZ5610" s="184">
        <v>37252</v>
      </c>
      <c r="BA5610" t="s">
        <v>38871</v>
      </c>
      <c r="BB5610">
        <v>440415.52</v>
      </c>
      <c r="BC5610">
        <v>48</v>
      </c>
      <c r="BD5610">
        <v>817816.17</v>
      </c>
      <c r="BE5610">
        <v>1990</v>
      </c>
      <c r="BF5610">
        <v>32</v>
      </c>
      <c r="BI5610">
        <v>17</v>
      </c>
      <c r="BJ5610">
        <v>36</v>
      </c>
      <c r="BK5610">
        <v>16</v>
      </c>
      <c r="BO5610" t="s">
        <v>595</v>
      </c>
      <c r="BP5610" s="184">
        <v>42259</v>
      </c>
    </row>
    <row r="5611" spans="1:68">
      <c r="A5611">
        <v>100174527</v>
      </c>
      <c r="B5611">
        <v>100174527</v>
      </c>
      <c r="C5611" t="s">
        <v>7018</v>
      </c>
      <c r="E5611" s="184"/>
      <c r="I5611" s="184"/>
      <c r="J5611" t="s">
        <v>595</v>
      </c>
      <c r="K5611" s="184">
        <v>39773</v>
      </c>
      <c r="O5611" s="184"/>
      <c r="Q5611" t="s">
        <v>7494</v>
      </c>
      <c r="R5611" s="184">
        <v>10822</v>
      </c>
      <c r="S5611">
        <v>94</v>
      </c>
      <c r="U5611" t="s">
        <v>15150</v>
      </c>
      <c r="V5611" t="s">
        <v>13795</v>
      </c>
      <c r="W5611" t="s">
        <v>3226</v>
      </c>
      <c r="X5611" t="s">
        <v>15810</v>
      </c>
      <c r="AF5611" t="s">
        <v>38872</v>
      </c>
      <c r="AG5611" t="s">
        <v>13795</v>
      </c>
      <c r="AI5611" t="s">
        <v>38873</v>
      </c>
      <c r="AM5611" t="s">
        <v>38874</v>
      </c>
      <c r="AN5611" t="s">
        <v>2174</v>
      </c>
      <c r="AO5611" t="s">
        <v>38875</v>
      </c>
      <c r="AP5611" t="s">
        <v>7024</v>
      </c>
      <c r="AT5611" s="184">
        <v>32798</v>
      </c>
      <c r="AU5611" t="s">
        <v>9742</v>
      </c>
      <c r="AV5611">
        <v>15</v>
      </c>
      <c r="AW5611" s="184">
        <v>39773</v>
      </c>
      <c r="AX5611" t="s">
        <v>9877</v>
      </c>
      <c r="AY5611">
        <v>12868.35</v>
      </c>
      <c r="AZ5611" s="184">
        <v>39336</v>
      </c>
      <c r="BA5611" t="s">
        <v>9864</v>
      </c>
      <c r="BB5611">
        <v>71609.119999999995</v>
      </c>
      <c r="BC5611">
        <v>56</v>
      </c>
      <c r="BD5611">
        <v>158321.14000000001</v>
      </c>
      <c r="BE5611">
        <v>1990</v>
      </c>
      <c r="BF5611">
        <v>58</v>
      </c>
      <c r="BI5611">
        <v>20</v>
      </c>
      <c r="BJ5611">
        <v>36</v>
      </c>
      <c r="BK5611">
        <v>20</v>
      </c>
      <c r="BO5611" t="s">
        <v>595</v>
      </c>
      <c r="BP5611" s="184">
        <v>39221</v>
      </c>
    </row>
    <row r="5612" spans="1:68">
      <c r="A5612">
        <v>100174555</v>
      </c>
      <c r="B5612">
        <v>100174555</v>
      </c>
      <c r="C5612" t="s">
        <v>7018</v>
      </c>
      <c r="E5612" s="184"/>
      <c r="I5612" s="184"/>
      <c r="J5612" t="s">
        <v>595</v>
      </c>
      <c r="K5612" s="184">
        <v>43201</v>
      </c>
      <c r="O5612" s="184"/>
      <c r="Q5612" t="s">
        <v>7454</v>
      </c>
      <c r="R5612" s="184">
        <v>8006</v>
      </c>
      <c r="S5612">
        <v>102</v>
      </c>
      <c r="U5612" t="s">
        <v>7130</v>
      </c>
      <c r="V5612" t="s">
        <v>2918</v>
      </c>
      <c r="W5612" t="s">
        <v>3764</v>
      </c>
      <c r="X5612" t="s">
        <v>36217</v>
      </c>
      <c r="AI5612" t="s">
        <v>38876</v>
      </c>
      <c r="AM5612" t="s">
        <v>38877</v>
      </c>
      <c r="AN5612" t="s">
        <v>2055</v>
      </c>
      <c r="AO5612" t="s">
        <v>38878</v>
      </c>
      <c r="AP5612" t="s">
        <v>7024</v>
      </c>
      <c r="AT5612" s="184">
        <v>32889</v>
      </c>
      <c r="AU5612" t="s">
        <v>38879</v>
      </c>
      <c r="AV5612">
        <v>40</v>
      </c>
      <c r="AW5612" s="184">
        <v>43201</v>
      </c>
      <c r="AX5612" t="s">
        <v>7445</v>
      </c>
      <c r="AY5612">
        <v>9000</v>
      </c>
      <c r="AZ5612" s="184">
        <v>43201</v>
      </c>
      <c r="BA5612" t="s">
        <v>7445</v>
      </c>
      <c r="BB5612">
        <v>9000</v>
      </c>
      <c r="BC5612">
        <v>75</v>
      </c>
      <c r="BD5612">
        <v>11769.95</v>
      </c>
      <c r="BE5612">
        <v>1990</v>
      </c>
      <c r="BF5612">
        <v>45</v>
      </c>
      <c r="BI5612">
        <v>26</v>
      </c>
      <c r="BJ5612">
        <v>35</v>
      </c>
      <c r="BK5612">
        <v>18</v>
      </c>
      <c r="BO5612" t="s">
        <v>595</v>
      </c>
      <c r="BP5612" s="184">
        <v>42718</v>
      </c>
    </row>
    <row r="5613" spans="1:68">
      <c r="A5613">
        <v>100174557</v>
      </c>
      <c r="B5613">
        <v>100174557</v>
      </c>
      <c r="C5613" t="s">
        <v>7018</v>
      </c>
      <c r="E5613" s="184"/>
      <c r="I5613" s="184"/>
      <c r="J5613" t="s">
        <v>595</v>
      </c>
      <c r="K5613" s="184">
        <v>42961</v>
      </c>
      <c r="O5613" s="184"/>
      <c r="Q5613" t="s">
        <v>7020</v>
      </c>
      <c r="R5613" s="184">
        <v>9191</v>
      </c>
      <c r="S5613">
        <v>99</v>
      </c>
      <c r="U5613" t="s">
        <v>7076</v>
      </c>
      <c r="V5613" t="s">
        <v>3098</v>
      </c>
      <c r="W5613" t="s">
        <v>4382</v>
      </c>
      <c r="X5613" t="s">
        <v>38880</v>
      </c>
      <c r="AI5613" t="s">
        <v>38881</v>
      </c>
      <c r="AM5613" t="s">
        <v>4881</v>
      </c>
      <c r="AN5613" t="s">
        <v>2240</v>
      </c>
      <c r="AO5613" t="s">
        <v>38882</v>
      </c>
      <c r="AP5613" t="s">
        <v>7024</v>
      </c>
      <c r="AT5613" s="184">
        <v>32892</v>
      </c>
      <c r="AU5613" t="s">
        <v>9966</v>
      </c>
      <c r="AV5613">
        <v>15</v>
      </c>
      <c r="AW5613" s="184">
        <v>42961</v>
      </c>
      <c r="AX5613" t="s">
        <v>7445</v>
      </c>
      <c r="AY5613">
        <v>2027.21</v>
      </c>
      <c r="AZ5613" s="184">
        <v>42961</v>
      </c>
      <c r="BA5613" t="s">
        <v>7445</v>
      </c>
      <c r="BB5613">
        <v>2027.21</v>
      </c>
      <c r="BC5613">
        <v>52</v>
      </c>
      <c r="BD5613">
        <v>2872.21</v>
      </c>
      <c r="BE5613">
        <v>1990</v>
      </c>
      <c r="BF5613">
        <v>32</v>
      </c>
      <c r="BI5613">
        <v>18</v>
      </c>
      <c r="BJ5613">
        <v>35</v>
      </c>
      <c r="BK5613">
        <v>15</v>
      </c>
      <c r="BO5613" t="s">
        <v>595</v>
      </c>
      <c r="BP5613" s="184">
        <v>42471</v>
      </c>
    </row>
    <row r="5614" spans="1:68">
      <c r="A5614">
        <v>100174558</v>
      </c>
      <c r="B5614">
        <v>100174558</v>
      </c>
      <c r="C5614" t="s">
        <v>7018</v>
      </c>
      <c r="E5614" s="184"/>
      <c r="I5614" s="184"/>
      <c r="J5614" t="s">
        <v>595</v>
      </c>
      <c r="K5614" s="184">
        <v>39624</v>
      </c>
      <c r="Q5614" t="s">
        <v>7374</v>
      </c>
      <c r="R5614" s="184">
        <v>18629</v>
      </c>
      <c r="S5614">
        <v>73</v>
      </c>
      <c r="U5614" t="s">
        <v>15150</v>
      </c>
      <c r="V5614" t="s">
        <v>2602</v>
      </c>
      <c r="W5614" t="s">
        <v>3740</v>
      </c>
      <c r="X5614" t="s">
        <v>38883</v>
      </c>
      <c r="AF5614" t="s">
        <v>38884</v>
      </c>
      <c r="AG5614" t="s">
        <v>2602</v>
      </c>
      <c r="AI5614" t="s">
        <v>38885</v>
      </c>
      <c r="AM5614" t="s">
        <v>4312</v>
      </c>
      <c r="AN5614" t="s">
        <v>2081</v>
      </c>
      <c r="AO5614" t="s">
        <v>38886</v>
      </c>
      <c r="AP5614" t="s">
        <v>7024</v>
      </c>
      <c r="AT5614" s="184">
        <v>32905</v>
      </c>
      <c r="AU5614" t="s">
        <v>9891</v>
      </c>
      <c r="AV5614">
        <v>15</v>
      </c>
      <c r="AW5614" s="184">
        <v>39624</v>
      </c>
      <c r="AX5614" t="s">
        <v>9864</v>
      </c>
      <c r="AY5614">
        <v>3600.12</v>
      </c>
      <c r="AZ5614" s="184">
        <v>38672</v>
      </c>
      <c r="BA5614" t="s">
        <v>15155</v>
      </c>
      <c r="BB5614">
        <v>33000</v>
      </c>
      <c r="BC5614">
        <v>40</v>
      </c>
      <c r="BD5614">
        <v>46268.12</v>
      </c>
      <c r="BE5614">
        <v>1990</v>
      </c>
      <c r="BF5614">
        <v>19</v>
      </c>
      <c r="BI5614">
        <v>14</v>
      </c>
      <c r="BJ5614">
        <v>35</v>
      </c>
      <c r="BK5614">
        <v>5</v>
      </c>
      <c r="BO5614" t="s">
        <v>595</v>
      </c>
      <c r="BP5614" s="184">
        <v>37944</v>
      </c>
    </row>
    <row r="5615" spans="1:68">
      <c r="A5615">
        <v>100174566</v>
      </c>
      <c r="B5615">
        <v>100174566</v>
      </c>
      <c r="C5615" t="s">
        <v>7018</v>
      </c>
      <c r="E5615" s="184"/>
      <c r="G5615" s="184"/>
      <c r="I5615" s="184"/>
      <c r="J5615" t="s">
        <v>595</v>
      </c>
      <c r="K5615" s="184">
        <v>40688</v>
      </c>
      <c r="M5615" s="184"/>
      <c r="O5615" s="184"/>
      <c r="Q5615" t="s">
        <v>7020</v>
      </c>
      <c r="R5615" s="184">
        <v>6129</v>
      </c>
      <c r="S5615">
        <v>107</v>
      </c>
      <c r="U5615" t="s">
        <v>7076</v>
      </c>
      <c r="V5615" t="s">
        <v>38887</v>
      </c>
      <c r="W5615" t="s">
        <v>4327</v>
      </c>
      <c r="X5615" t="s">
        <v>3200</v>
      </c>
      <c r="AI5615" t="s">
        <v>38888</v>
      </c>
      <c r="AM5615" t="s">
        <v>21366</v>
      </c>
      <c r="AN5615" t="s">
        <v>2240</v>
      </c>
      <c r="AO5615">
        <v>6106</v>
      </c>
      <c r="AP5615" t="s">
        <v>7024</v>
      </c>
      <c r="AT5615" s="184">
        <v>32982</v>
      </c>
      <c r="AU5615" t="s">
        <v>10200</v>
      </c>
      <c r="AV5615">
        <v>15</v>
      </c>
      <c r="AW5615" s="184">
        <v>40688</v>
      </c>
      <c r="AX5615" t="s">
        <v>14283</v>
      </c>
      <c r="AY5615">
        <v>951.34</v>
      </c>
      <c r="AZ5615" s="184">
        <v>40338</v>
      </c>
      <c r="BA5615" t="s">
        <v>14284</v>
      </c>
      <c r="BB5615">
        <v>46875</v>
      </c>
      <c r="BC5615">
        <v>46</v>
      </c>
      <c r="BD5615">
        <v>68586.210000000006</v>
      </c>
      <c r="BE5615">
        <v>1990</v>
      </c>
      <c r="BF5615">
        <v>25</v>
      </c>
      <c r="BI5615">
        <v>16</v>
      </c>
      <c r="BJ5615">
        <v>35</v>
      </c>
      <c r="BK5615">
        <v>14</v>
      </c>
      <c r="BO5615" t="s">
        <v>595</v>
      </c>
      <c r="BP5615" s="184">
        <v>40276</v>
      </c>
    </row>
    <row r="5616" spans="1:68">
      <c r="A5616">
        <v>100174567</v>
      </c>
      <c r="B5616">
        <v>100174567</v>
      </c>
      <c r="C5616" t="s">
        <v>7018</v>
      </c>
      <c r="E5616" s="184"/>
      <c r="I5616" s="184"/>
      <c r="J5616" t="s">
        <v>595</v>
      </c>
      <c r="K5616" s="184">
        <v>43438</v>
      </c>
      <c r="O5616" s="184"/>
      <c r="P5616" t="s">
        <v>7686</v>
      </c>
      <c r="Q5616" t="s">
        <v>7374</v>
      </c>
      <c r="R5616" s="184">
        <v>13730</v>
      </c>
      <c r="S5616">
        <v>86</v>
      </c>
      <c r="U5616" t="s">
        <v>15150</v>
      </c>
      <c r="V5616" t="s">
        <v>3722</v>
      </c>
      <c r="W5616" t="s">
        <v>3332</v>
      </c>
      <c r="X5616" t="s">
        <v>38889</v>
      </c>
      <c r="AF5616" t="s">
        <v>38890</v>
      </c>
      <c r="AG5616" t="s">
        <v>3722</v>
      </c>
      <c r="AI5616" t="s">
        <v>38891</v>
      </c>
      <c r="AM5616" t="s">
        <v>5817</v>
      </c>
      <c r="AN5616" t="s">
        <v>2081</v>
      </c>
      <c r="AO5616" t="s">
        <v>38892</v>
      </c>
      <c r="AP5616" t="s">
        <v>7024</v>
      </c>
      <c r="AT5616" s="184">
        <v>32983</v>
      </c>
      <c r="AU5616" t="s">
        <v>10192</v>
      </c>
      <c r="AV5616">
        <v>15</v>
      </c>
      <c r="AW5616" s="184">
        <v>45201</v>
      </c>
      <c r="AX5616" t="s">
        <v>7296</v>
      </c>
      <c r="AY5616">
        <v>3500</v>
      </c>
      <c r="AZ5616" s="184">
        <v>44459</v>
      </c>
      <c r="BA5616" t="s">
        <v>7093</v>
      </c>
      <c r="BB5616">
        <v>6250</v>
      </c>
      <c r="BC5616">
        <v>92</v>
      </c>
      <c r="BD5616">
        <v>69755</v>
      </c>
      <c r="BE5616">
        <v>1990</v>
      </c>
      <c r="BF5616">
        <v>58</v>
      </c>
      <c r="BG5616">
        <v>2</v>
      </c>
      <c r="BH5616">
        <v>8725</v>
      </c>
      <c r="BI5616">
        <v>32</v>
      </c>
      <c r="BJ5616">
        <v>35</v>
      </c>
      <c r="BK5616">
        <v>15</v>
      </c>
      <c r="BO5616" t="s">
        <v>595</v>
      </c>
      <c r="BP5616" s="184">
        <v>37907</v>
      </c>
    </row>
    <row r="5617" spans="1:68">
      <c r="A5617">
        <v>100174569</v>
      </c>
      <c r="B5617">
        <v>100174569</v>
      </c>
      <c r="C5617" t="s">
        <v>7018</v>
      </c>
      <c r="E5617" s="184"/>
      <c r="I5617" s="184"/>
      <c r="J5617" t="s">
        <v>595</v>
      </c>
      <c r="K5617" s="184">
        <v>39770</v>
      </c>
      <c r="O5617" s="184"/>
      <c r="Q5617" t="s">
        <v>7374</v>
      </c>
      <c r="R5617" s="184">
        <v>4403</v>
      </c>
      <c r="S5617">
        <v>112</v>
      </c>
      <c r="U5617" t="s">
        <v>7076</v>
      </c>
      <c r="V5617" t="s">
        <v>38893</v>
      </c>
      <c r="X5617" t="s">
        <v>5856</v>
      </c>
      <c r="AF5617" t="s">
        <v>38894</v>
      </c>
      <c r="AG5617" t="s">
        <v>38893</v>
      </c>
      <c r="AI5617" t="s">
        <v>38895</v>
      </c>
      <c r="AM5617" t="s">
        <v>38896</v>
      </c>
      <c r="AN5617" t="s">
        <v>2081</v>
      </c>
      <c r="AO5617" t="s">
        <v>38897</v>
      </c>
      <c r="AP5617" t="s">
        <v>7024</v>
      </c>
      <c r="AT5617" s="184">
        <v>32989</v>
      </c>
      <c r="AU5617" t="s">
        <v>10151</v>
      </c>
      <c r="AV5617">
        <v>15</v>
      </c>
      <c r="AW5617" s="184">
        <v>39770</v>
      </c>
      <c r="AX5617" t="s">
        <v>9877</v>
      </c>
      <c r="AY5617">
        <v>676.57</v>
      </c>
      <c r="AZ5617" s="184">
        <v>36550</v>
      </c>
      <c r="BA5617" t="s">
        <v>7530</v>
      </c>
      <c r="BB5617">
        <v>15000</v>
      </c>
      <c r="BC5617">
        <v>26</v>
      </c>
      <c r="BD5617">
        <v>16876.57</v>
      </c>
      <c r="BE5617">
        <v>1990</v>
      </c>
      <c r="BF5617">
        <v>11</v>
      </c>
      <c r="BI5617">
        <v>9</v>
      </c>
      <c r="BJ5617">
        <v>35</v>
      </c>
      <c r="BK5617">
        <v>3</v>
      </c>
      <c r="BL5617" t="s">
        <v>595</v>
      </c>
      <c r="BM5617" t="s">
        <v>595</v>
      </c>
      <c r="BO5617" t="s">
        <v>595</v>
      </c>
      <c r="BP5617" s="184">
        <v>39725</v>
      </c>
    </row>
    <row r="5618" spans="1:68">
      <c r="A5618">
        <v>100174571</v>
      </c>
      <c r="B5618">
        <v>100174570</v>
      </c>
      <c r="C5618" t="s">
        <v>7018</v>
      </c>
      <c r="E5618" s="184"/>
      <c r="I5618" s="184"/>
      <c r="J5618" t="s">
        <v>595</v>
      </c>
      <c r="K5618" s="184">
        <v>41626</v>
      </c>
      <c r="O5618" s="184"/>
      <c r="P5618" t="s">
        <v>7045</v>
      </c>
      <c r="Q5618" t="s">
        <v>7374</v>
      </c>
      <c r="R5618" s="184"/>
      <c r="U5618" t="s">
        <v>7130</v>
      </c>
      <c r="V5618" t="s">
        <v>3745</v>
      </c>
      <c r="X5618" t="s">
        <v>38898</v>
      </c>
      <c r="Z5618">
        <v>100174570</v>
      </c>
      <c r="AA5618" t="s">
        <v>7031</v>
      </c>
      <c r="AB5618" t="s">
        <v>4882</v>
      </c>
      <c r="AC5618" t="s">
        <v>4327</v>
      </c>
      <c r="AD5618" t="s">
        <v>38898</v>
      </c>
      <c r="AF5618" t="s">
        <v>38899</v>
      </c>
      <c r="AG5618" t="s">
        <v>38900</v>
      </c>
      <c r="AI5618" t="s">
        <v>38901</v>
      </c>
      <c r="AM5618" t="s">
        <v>4567</v>
      </c>
      <c r="AN5618" t="s">
        <v>2081</v>
      </c>
      <c r="AO5618" t="s">
        <v>38902</v>
      </c>
      <c r="AP5618" t="s">
        <v>7024</v>
      </c>
      <c r="AT5618" s="184"/>
      <c r="AW5618" s="184"/>
      <c r="AZ5618" s="184"/>
      <c r="BO5618" t="s">
        <v>595</v>
      </c>
      <c r="BP5618" s="184">
        <v>36828</v>
      </c>
    </row>
    <row r="5619" spans="1:68">
      <c r="A5619">
        <v>100174575</v>
      </c>
      <c r="B5619">
        <v>100174575</v>
      </c>
      <c r="C5619" t="s">
        <v>7018</v>
      </c>
      <c r="E5619" s="184"/>
      <c r="I5619" s="184"/>
      <c r="J5619" t="s">
        <v>595</v>
      </c>
      <c r="K5619" s="184">
        <v>38120</v>
      </c>
      <c r="O5619" s="184"/>
      <c r="Q5619" t="s">
        <v>7383</v>
      </c>
      <c r="R5619" s="184">
        <v>6176</v>
      </c>
      <c r="S5619">
        <v>107</v>
      </c>
      <c r="U5619" t="s">
        <v>7130</v>
      </c>
      <c r="V5619" t="s">
        <v>2922</v>
      </c>
      <c r="X5619" t="s">
        <v>38903</v>
      </c>
      <c r="AI5619" t="s">
        <v>38904</v>
      </c>
      <c r="AM5619" t="s">
        <v>19942</v>
      </c>
      <c r="AN5619" t="s">
        <v>2162</v>
      </c>
      <c r="AO5619" t="s">
        <v>38905</v>
      </c>
      <c r="AP5619" t="s">
        <v>7024</v>
      </c>
      <c r="AT5619" s="184">
        <v>30607</v>
      </c>
      <c r="AU5619" t="s">
        <v>7485</v>
      </c>
      <c r="AV5619">
        <v>18</v>
      </c>
      <c r="AW5619" s="184">
        <v>38120</v>
      </c>
      <c r="AX5619" t="s">
        <v>7760</v>
      </c>
      <c r="AY5619">
        <v>1274.22</v>
      </c>
      <c r="AZ5619" s="184">
        <v>37708</v>
      </c>
      <c r="BA5619" t="s">
        <v>37822</v>
      </c>
      <c r="BB5619">
        <v>25000</v>
      </c>
      <c r="BC5619">
        <v>48</v>
      </c>
      <c r="BD5619">
        <v>48786.27</v>
      </c>
      <c r="BE5619">
        <v>1984</v>
      </c>
      <c r="BF5619">
        <v>51</v>
      </c>
      <c r="BI5619">
        <v>20</v>
      </c>
      <c r="BJ5619">
        <v>42</v>
      </c>
      <c r="BK5619">
        <v>12</v>
      </c>
      <c r="BO5619" t="s">
        <v>595</v>
      </c>
      <c r="BP5619" s="184"/>
    </row>
    <row r="5620" spans="1:68">
      <c r="A5620">
        <v>100174578</v>
      </c>
      <c r="B5620">
        <v>100174576</v>
      </c>
      <c r="C5620" t="s">
        <v>7018</v>
      </c>
      <c r="E5620" s="184"/>
      <c r="I5620" s="184"/>
      <c r="J5620" t="s">
        <v>595</v>
      </c>
      <c r="K5620" s="184">
        <v>40890</v>
      </c>
      <c r="O5620" s="184"/>
      <c r="Q5620" t="s">
        <v>7383</v>
      </c>
      <c r="R5620" s="184">
        <v>11079</v>
      </c>
      <c r="S5620">
        <v>94</v>
      </c>
      <c r="V5620" t="s">
        <v>3470</v>
      </c>
      <c r="X5620" t="s">
        <v>8114</v>
      </c>
      <c r="Z5620">
        <v>100174576</v>
      </c>
      <c r="AA5620" t="s">
        <v>7076</v>
      </c>
      <c r="AB5620" t="s">
        <v>3470</v>
      </c>
      <c r="AC5620" t="s">
        <v>2963</v>
      </c>
      <c r="AD5620" t="s">
        <v>8114</v>
      </c>
      <c r="AI5620" t="s">
        <v>38906</v>
      </c>
      <c r="AM5620" t="s">
        <v>38907</v>
      </c>
      <c r="AN5620" t="s">
        <v>2313</v>
      </c>
      <c r="AO5620" t="s">
        <v>38908</v>
      </c>
      <c r="AP5620" t="s">
        <v>7024</v>
      </c>
      <c r="AT5620" s="184"/>
      <c r="AW5620" s="184"/>
      <c r="AZ5620" s="184"/>
      <c r="BO5620" t="s">
        <v>595</v>
      </c>
      <c r="BP5620" s="184"/>
    </row>
    <row r="5621" spans="1:68">
      <c r="A5621">
        <v>100174582</v>
      </c>
      <c r="B5621">
        <v>100174582</v>
      </c>
      <c r="C5621" t="s">
        <v>7018</v>
      </c>
      <c r="E5621" s="184"/>
      <c r="G5621" s="184"/>
      <c r="I5621" s="184"/>
      <c r="J5621" t="s">
        <v>595</v>
      </c>
      <c r="K5621" s="184">
        <v>40095</v>
      </c>
      <c r="O5621" s="184"/>
      <c r="Q5621" t="s">
        <v>7383</v>
      </c>
      <c r="R5621" s="184">
        <v>2954</v>
      </c>
      <c r="S5621">
        <v>116</v>
      </c>
      <c r="U5621" t="s">
        <v>7076</v>
      </c>
      <c r="V5621" t="s">
        <v>38909</v>
      </c>
      <c r="X5621" t="s">
        <v>32437</v>
      </c>
      <c r="AI5621" t="s">
        <v>38910</v>
      </c>
      <c r="AM5621" t="s">
        <v>3082</v>
      </c>
      <c r="AN5621" t="s">
        <v>2313</v>
      </c>
      <c r="AO5621" t="s">
        <v>38911</v>
      </c>
      <c r="AP5621" t="s">
        <v>7024</v>
      </c>
      <c r="AT5621" s="184">
        <v>33009</v>
      </c>
      <c r="AU5621" t="s">
        <v>10151</v>
      </c>
      <c r="AV5621">
        <v>15</v>
      </c>
      <c r="AW5621" s="184">
        <v>40095</v>
      </c>
      <c r="AX5621" t="s">
        <v>14284</v>
      </c>
      <c r="AY5621">
        <v>214.96</v>
      </c>
      <c r="AZ5621" s="184">
        <v>39854</v>
      </c>
      <c r="BA5621" t="s">
        <v>9877</v>
      </c>
      <c r="BB5621">
        <v>10000</v>
      </c>
      <c r="BC5621">
        <v>32</v>
      </c>
      <c r="BD5621">
        <v>15624.96</v>
      </c>
      <c r="BE5621">
        <v>1990</v>
      </c>
      <c r="BF5621">
        <v>19</v>
      </c>
      <c r="BI5621">
        <v>11</v>
      </c>
      <c r="BJ5621">
        <v>35</v>
      </c>
      <c r="BK5621">
        <v>9</v>
      </c>
      <c r="BO5621" t="s">
        <v>595</v>
      </c>
      <c r="BP5621" s="184"/>
    </row>
    <row r="5622" spans="1:68">
      <c r="A5622">
        <v>100174583</v>
      </c>
      <c r="B5622">
        <v>100174583</v>
      </c>
      <c r="C5622" t="s">
        <v>7018</v>
      </c>
      <c r="E5622" s="184"/>
      <c r="J5622" t="s">
        <v>595</v>
      </c>
      <c r="K5622" s="184">
        <v>43445</v>
      </c>
      <c r="O5622" s="184"/>
      <c r="Q5622" t="s">
        <v>7374</v>
      </c>
      <c r="R5622" s="184">
        <v>16438</v>
      </c>
      <c r="S5622">
        <v>79</v>
      </c>
      <c r="U5622" t="s">
        <v>7076</v>
      </c>
      <c r="V5622" t="s">
        <v>3683</v>
      </c>
      <c r="W5622" t="s">
        <v>4152</v>
      </c>
      <c r="X5622" t="s">
        <v>38912</v>
      </c>
      <c r="AF5622" t="s">
        <v>38913</v>
      </c>
      <c r="AG5622" t="s">
        <v>3683</v>
      </c>
      <c r="AI5622" t="s">
        <v>38914</v>
      </c>
      <c r="AM5622" t="s">
        <v>4297</v>
      </c>
      <c r="AN5622" t="s">
        <v>2526</v>
      </c>
      <c r="AO5622" t="s">
        <v>38915</v>
      </c>
      <c r="AP5622" t="s">
        <v>7024</v>
      </c>
      <c r="AT5622" s="184">
        <v>33017</v>
      </c>
      <c r="AU5622" t="s">
        <v>10192</v>
      </c>
      <c r="AV5622">
        <v>15</v>
      </c>
      <c r="AW5622" s="184">
        <v>43445</v>
      </c>
      <c r="AX5622" t="s">
        <v>7348</v>
      </c>
      <c r="AY5622">
        <v>2713.63</v>
      </c>
      <c r="AZ5622" s="184">
        <v>43445</v>
      </c>
      <c r="BA5622" t="s">
        <v>7348</v>
      </c>
      <c r="BB5622">
        <v>2713.63</v>
      </c>
      <c r="BC5622">
        <v>29</v>
      </c>
      <c r="BD5622">
        <v>3105.63</v>
      </c>
      <c r="BE5622">
        <v>1990</v>
      </c>
      <c r="BF5622">
        <v>16</v>
      </c>
      <c r="BI5622">
        <v>10</v>
      </c>
      <c r="BJ5622">
        <v>35</v>
      </c>
      <c r="BK5622">
        <v>4</v>
      </c>
      <c r="BO5622" t="s">
        <v>595</v>
      </c>
      <c r="BP5622" s="184">
        <v>42402</v>
      </c>
    </row>
    <row r="5623" spans="1:68">
      <c r="A5623">
        <v>100174589</v>
      </c>
      <c r="B5623">
        <v>100174589</v>
      </c>
      <c r="C5623" t="s">
        <v>7018</v>
      </c>
      <c r="E5623" s="184"/>
      <c r="G5623" s="184"/>
      <c r="I5623" s="184"/>
      <c r="J5623" t="s">
        <v>595</v>
      </c>
      <c r="K5623" s="184">
        <v>42702</v>
      </c>
      <c r="M5623" s="184"/>
      <c r="O5623" s="184"/>
      <c r="Q5623" t="s">
        <v>7262</v>
      </c>
      <c r="R5623" s="184">
        <v>7734</v>
      </c>
      <c r="S5623">
        <v>103</v>
      </c>
      <c r="U5623" t="s">
        <v>7076</v>
      </c>
      <c r="V5623" t="s">
        <v>3510</v>
      </c>
      <c r="W5623" t="s">
        <v>3951</v>
      </c>
      <c r="X5623" t="s">
        <v>2964</v>
      </c>
      <c r="AI5623" t="s">
        <v>38916</v>
      </c>
      <c r="AM5623" t="s">
        <v>5557</v>
      </c>
      <c r="AN5623" t="s">
        <v>2106</v>
      </c>
      <c r="AO5623" t="s">
        <v>38917</v>
      </c>
      <c r="AP5623" t="s">
        <v>7024</v>
      </c>
      <c r="AT5623" s="184">
        <v>33126</v>
      </c>
      <c r="AU5623" t="s">
        <v>38918</v>
      </c>
      <c r="AV5623">
        <v>25</v>
      </c>
      <c r="AW5623" s="184">
        <v>42702</v>
      </c>
      <c r="AX5623" t="s">
        <v>19550</v>
      </c>
      <c r="AY5623">
        <v>667</v>
      </c>
      <c r="AZ5623" s="184">
        <v>42702</v>
      </c>
      <c r="BA5623" t="s">
        <v>19550</v>
      </c>
      <c r="BB5623">
        <v>667</v>
      </c>
      <c r="BC5623">
        <v>32</v>
      </c>
      <c r="BD5623">
        <v>1867</v>
      </c>
      <c r="BE5623">
        <v>1991</v>
      </c>
      <c r="BF5623">
        <v>20</v>
      </c>
      <c r="BI5623">
        <v>11</v>
      </c>
      <c r="BJ5623">
        <v>35</v>
      </c>
      <c r="BK5623">
        <v>5</v>
      </c>
      <c r="BO5623" t="s">
        <v>595</v>
      </c>
      <c r="BP5623" s="184">
        <v>42398</v>
      </c>
    </row>
    <row r="5624" spans="1:68">
      <c r="A5624">
        <v>100174592</v>
      </c>
      <c r="B5624">
        <v>100174592</v>
      </c>
      <c r="C5624" t="s">
        <v>7018</v>
      </c>
      <c r="E5624" s="184"/>
      <c r="I5624" s="184"/>
      <c r="J5624" t="s">
        <v>595</v>
      </c>
      <c r="K5624" s="184">
        <v>38057</v>
      </c>
      <c r="O5624" s="184"/>
      <c r="Q5624" t="s">
        <v>7374</v>
      </c>
      <c r="R5624" s="184"/>
      <c r="U5624" t="s">
        <v>7076</v>
      </c>
      <c r="V5624" t="s">
        <v>2825</v>
      </c>
      <c r="W5624" t="s">
        <v>5006</v>
      </c>
      <c r="X5624" t="s">
        <v>3099</v>
      </c>
      <c r="AI5624" t="s">
        <v>38919</v>
      </c>
      <c r="AM5624" t="s">
        <v>4297</v>
      </c>
      <c r="AN5624" t="s">
        <v>2526</v>
      </c>
      <c r="AO5624" t="s">
        <v>38920</v>
      </c>
      <c r="AP5624" t="s">
        <v>7024</v>
      </c>
      <c r="AT5624" s="184">
        <v>33130</v>
      </c>
      <c r="AU5624" t="s">
        <v>11372</v>
      </c>
      <c r="AV5624">
        <v>15</v>
      </c>
      <c r="AW5624" s="184">
        <v>38057</v>
      </c>
      <c r="AX5624" t="s">
        <v>38036</v>
      </c>
      <c r="AY5624">
        <v>2000</v>
      </c>
      <c r="AZ5624" s="184">
        <v>38057</v>
      </c>
      <c r="BA5624" t="s">
        <v>38036</v>
      </c>
      <c r="BB5624">
        <v>2000</v>
      </c>
      <c r="BC5624">
        <v>29</v>
      </c>
      <c r="BD5624">
        <v>2355</v>
      </c>
      <c r="BE5624">
        <v>1991</v>
      </c>
      <c r="BF5624">
        <v>14</v>
      </c>
      <c r="BI5624">
        <v>10</v>
      </c>
      <c r="BJ5624">
        <v>35</v>
      </c>
      <c r="BK5624">
        <v>6</v>
      </c>
      <c r="BO5624" t="s">
        <v>595</v>
      </c>
      <c r="BP5624" s="184">
        <v>37875</v>
      </c>
    </row>
    <row r="5625" spans="1:68">
      <c r="A5625">
        <v>100174600</v>
      </c>
      <c r="B5625">
        <v>100174600</v>
      </c>
      <c r="C5625" t="s">
        <v>7018</v>
      </c>
      <c r="E5625" s="184"/>
      <c r="I5625" s="184"/>
      <c r="J5625" t="s">
        <v>595</v>
      </c>
      <c r="K5625" s="184">
        <v>40190</v>
      </c>
      <c r="O5625" s="184"/>
      <c r="Q5625" t="s">
        <v>7454</v>
      </c>
      <c r="R5625" s="184">
        <v>4078</v>
      </c>
      <c r="S5625">
        <v>113</v>
      </c>
      <c r="U5625" t="s">
        <v>7031</v>
      </c>
      <c r="V5625" t="s">
        <v>3054</v>
      </c>
      <c r="W5625" t="s">
        <v>7268</v>
      </c>
      <c r="X5625" t="s">
        <v>38921</v>
      </c>
      <c r="AI5625" t="s">
        <v>38922</v>
      </c>
      <c r="AM5625" t="s">
        <v>3611</v>
      </c>
      <c r="AN5625" t="s">
        <v>2055</v>
      </c>
      <c r="AO5625" t="s">
        <v>38923</v>
      </c>
      <c r="AP5625" t="s">
        <v>7024</v>
      </c>
      <c r="AT5625" s="184">
        <v>33151</v>
      </c>
      <c r="AU5625" t="s">
        <v>38924</v>
      </c>
      <c r="AV5625">
        <v>25</v>
      </c>
      <c r="AW5625" s="184">
        <v>40190</v>
      </c>
      <c r="AX5625" t="s">
        <v>14284</v>
      </c>
      <c r="AY5625">
        <v>65950</v>
      </c>
      <c r="AZ5625" s="184">
        <v>40190</v>
      </c>
      <c r="BA5625" t="s">
        <v>14284</v>
      </c>
      <c r="BB5625">
        <v>65950</v>
      </c>
      <c r="BC5625">
        <v>55</v>
      </c>
      <c r="BD5625">
        <v>67685</v>
      </c>
      <c r="BE5625">
        <v>1991</v>
      </c>
      <c r="BF5625">
        <v>53</v>
      </c>
      <c r="BI5625">
        <v>19</v>
      </c>
      <c r="BJ5625">
        <v>35</v>
      </c>
      <c r="BK5625">
        <v>18</v>
      </c>
      <c r="BO5625" t="s">
        <v>595</v>
      </c>
      <c r="BP5625" s="184">
        <v>39634</v>
      </c>
    </row>
    <row r="5626" spans="1:68">
      <c r="A5626">
        <v>100174601</v>
      </c>
      <c r="B5626">
        <v>100174601</v>
      </c>
      <c r="C5626" t="s">
        <v>7018</v>
      </c>
      <c r="E5626" s="184"/>
      <c r="G5626" s="184"/>
      <c r="I5626" s="184"/>
      <c r="J5626" t="s">
        <v>595</v>
      </c>
      <c r="K5626" s="184">
        <v>41662</v>
      </c>
      <c r="O5626" s="184"/>
      <c r="Q5626" t="s">
        <v>7374</v>
      </c>
      <c r="R5626" s="184">
        <v>7139</v>
      </c>
      <c r="S5626">
        <v>104</v>
      </c>
      <c r="V5626" t="s">
        <v>2863</v>
      </c>
      <c r="W5626" t="s">
        <v>7085</v>
      </c>
      <c r="X5626" t="s">
        <v>4363</v>
      </c>
      <c r="Z5626">
        <v>100174602</v>
      </c>
      <c r="AB5626" t="s">
        <v>3510</v>
      </c>
      <c r="AD5626" t="s">
        <v>4363</v>
      </c>
      <c r="AI5626" t="s">
        <v>38925</v>
      </c>
      <c r="AM5626" t="s">
        <v>2797</v>
      </c>
      <c r="AN5626" t="s">
        <v>2081</v>
      </c>
      <c r="AO5626" t="s">
        <v>38926</v>
      </c>
      <c r="AP5626" t="s">
        <v>7024</v>
      </c>
      <c r="AT5626" s="184">
        <v>33161</v>
      </c>
      <c r="AU5626" t="s">
        <v>11569</v>
      </c>
      <c r="AV5626">
        <v>25</v>
      </c>
      <c r="AW5626" s="184">
        <v>41662</v>
      </c>
      <c r="AX5626" t="s">
        <v>37849</v>
      </c>
      <c r="AY5626">
        <v>697.05</v>
      </c>
      <c r="AZ5626" s="184">
        <v>41439</v>
      </c>
      <c r="BA5626" t="s">
        <v>13035</v>
      </c>
      <c r="BB5626">
        <v>101000</v>
      </c>
      <c r="BC5626">
        <v>60</v>
      </c>
      <c r="BD5626">
        <v>105142.05</v>
      </c>
      <c r="BE5626">
        <v>1991</v>
      </c>
      <c r="BF5626">
        <v>36</v>
      </c>
      <c r="BI5626">
        <v>21</v>
      </c>
      <c r="BJ5626">
        <v>35</v>
      </c>
      <c r="BK5626">
        <v>8</v>
      </c>
      <c r="BO5626" t="s">
        <v>595</v>
      </c>
      <c r="BP5626" s="184">
        <v>40985</v>
      </c>
    </row>
    <row r="5627" spans="1:68">
      <c r="A5627">
        <v>100174606</v>
      </c>
      <c r="B5627">
        <v>100174606</v>
      </c>
      <c r="C5627" t="s">
        <v>7018</v>
      </c>
      <c r="E5627" s="184"/>
      <c r="G5627" s="184"/>
      <c r="I5627" s="184"/>
      <c r="J5627" t="s">
        <v>595</v>
      </c>
      <c r="K5627" s="184">
        <v>42424</v>
      </c>
      <c r="M5627" s="184"/>
      <c r="O5627" s="184"/>
      <c r="Q5627" t="s">
        <v>7262</v>
      </c>
      <c r="R5627" s="184">
        <v>7672</v>
      </c>
      <c r="S5627">
        <v>103</v>
      </c>
      <c r="U5627" t="s">
        <v>7076</v>
      </c>
      <c r="V5627" t="s">
        <v>3288</v>
      </c>
      <c r="X5627" t="s">
        <v>38927</v>
      </c>
      <c r="Z5627">
        <v>100174607</v>
      </c>
      <c r="AB5627" t="s">
        <v>4684</v>
      </c>
      <c r="AD5627" t="s">
        <v>38927</v>
      </c>
      <c r="AI5627" t="s">
        <v>38928</v>
      </c>
      <c r="AM5627" t="s">
        <v>7352</v>
      </c>
      <c r="AN5627" t="s">
        <v>2069</v>
      </c>
      <c r="AO5627" t="s">
        <v>38929</v>
      </c>
      <c r="AP5627" t="s">
        <v>7024</v>
      </c>
      <c r="AT5627" s="184">
        <v>33200</v>
      </c>
      <c r="AU5627" t="s">
        <v>11656</v>
      </c>
      <c r="AV5627">
        <v>15</v>
      </c>
      <c r="AW5627" s="184">
        <v>42424</v>
      </c>
      <c r="AX5627" t="s">
        <v>11622</v>
      </c>
      <c r="AY5627">
        <v>10000</v>
      </c>
      <c r="AZ5627" s="184">
        <v>42424</v>
      </c>
      <c r="BA5627" t="s">
        <v>11622</v>
      </c>
      <c r="BB5627">
        <v>10000</v>
      </c>
      <c r="BC5627">
        <v>78</v>
      </c>
      <c r="BD5627">
        <v>11955</v>
      </c>
      <c r="BE5627">
        <v>1991</v>
      </c>
      <c r="BF5627">
        <v>40</v>
      </c>
      <c r="BI5627">
        <v>27</v>
      </c>
      <c r="BJ5627">
        <v>35</v>
      </c>
      <c r="BK5627">
        <v>27</v>
      </c>
      <c r="BO5627" t="s">
        <v>595</v>
      </c>
      <c r="BP5627" s="184">
        <v>42270</v>
      </c>
    </row>
    <row r="5628" spans="1:68">
      <c r="A5628">
        <v>100174612</v>
      </c>
      <c r="B5628">
        <v>100174612</v>
      </c>
      <c r="C5628" t="s">
        <v>7018</v>
      </c>
      <c r="E5628" s="184"/>
      <c r="I5628" s="184"/>
      <c r="J5628" t="s">
        <v>595</v>
      </c>
      <c r="K5628" s="184">
        <v>42667</v>
      </c>
      <c r="M5628" s="184"/>
      <c r="O5628" s="184"/>
      <c r="Q5628" t="s">
        <v>7020</v>
      </c>
      <c r="R5628" s="184"/>
      <c r="U5628" t="s">
        <v>7031</v>
      </c>
      <c r="V5628" t="s">
        <v>3321</v>
      </c>
      <c r="X5628" t="s">
        <v>38042</v>
      </c>
      <c r="AI5628" t="s">
        <v>38930</v>
      </c>
      <c r="AM5628" t="s">
        <v>13532</v>
      </c>
      <c r="AN5628" t="s">
        <v>2112</v>
      </c>
      <c r="AO5628" t="s">
        <v>38931</v>
      </c>
      <c r="AP5628" t="s">
        <v>7024</v>
      </c>
      <c r="AT5628" s="184">
        <v>33238</v>
      </c>
      <c r="AU5628" t="s">
        <v>38932</v>
      </c>
      <c r="AV5628">
        <v>15</v>
      </c>
      <c r="AW5628" s="184">
        <v>42667</v>
      </c>
      <c r="AX5628" t="s">
        <v>19550</v>
      </c>
      <c r="AY5628">
        <v>30768.880000000001</v>
      </c>
      <c r="AZ5628" s="184">
        <v>42667</v>
      </c>
      <c r="BA5628" t="s">
        <v>19550</v>
      </c>
      <c r="BB5628">
        <v>30768.880000000001</v>
      </c>
      <c r="BC5628">
        <v>20</v>
      </c>
      <c r="BD5628">
        <v>30943.88</v>
      </c>
      <c r="BE5628">
        <v>1991</v>
      </c>
      <c r="BF5628">
        <v>7</v>
      </c>
      <c r="BI5628">
        <v>7</v>
      </c>
      <c r="BJ5628">
        <v>35</v>
      </c>
      <c r="BK5628">
        <v>4</v>
      </c>
      <c r="BO5628" t="s">
        <v>595</v>
      </c>
      <c r="BP5628" s="184">
        <v>42043</v>
      </c>
    </row>
    <row r="5629" spans="1:68">
      <c r="A5629">
        <v>100174641</v>
      </c>
      <c r="B5629">
        <v>100174641</v>
      </c>
      <c r="C5629" t="s">
        <v>7018</v>
      </c>
      <c r="E5629" s="184"/>
      <c r="I5629" s="184"/>
      <c r="J5629" t="s">
        <v>595</v>
      </c>
      <c r="K5629" s="184">
        <v>40029</v>
      </c>
      <c r="O5629" s="184"/>
      <c r="Q5629" t="s">
        <v>7020</v>
      </c>
      <c r="R5629" s="184">
        <v>4717</v>
      </c>
      <c r="S5629">
        <v>111</v>
      </c>
      <c r="U5629" t="s">
        <v>7130</v>
      </c>
      <c r="V5629" t="s">
        <v>2848</v>
      </c>
      <c r="X5629" t="s">
        <v>38933</v>
      </c>
      <c r="Z5629">
        <v>100174642</v>
      </c>
      <c r="AA5629" t="s">
        <v>7130</v>
      </c>
      <c r="AB5629" t="s">
        <v>4926</v>
      </c>
      <c r="AC5629" t="s">
        <v>2963</v>
      </c>
      <c r="AD5629" t="s">
        <v>38933</v>
      </c>
      <c r="AI5629" t="s">
        <v>38934</v>
      </c>
      <c r="AM5629" t="s">
        <v>38935</v>
      </c>
      <c r="AN5629" t="s">
        <v>2112</v>
      </c>
      <c r="AO5629" t="s">
        <v>38936</v>
      </c>
      <c r="AP5629" t="s">
        <v>7024</v>
      </c>
      <c r="AT5629" s="184">
        <v>33246</v>
      </c>
      <c r="AU5629" t="s">
        <v>11855</v>
      </c>
      <c r="AV5629">
        <v>15</v>
      </c>
      <c r="AW5629" s="184">
        <v>40029</v>
      </c>
      <c r="AX5629" t="s">
        <v>14284</v>
      </c>
      <c r="AY5629">
        <v>0.23</v>
      </c>
      <c r="AZ5629" s="184">
        <v>40001</v>
      </c>
      <c r="BA5629" t="s">
        <v>14284</v>
      </c>
      <c r="BB5629">
        <v>28328.59</v>
      </c>
      <c r="BC5629">
        <v>53</v>
      </c>
      <c r="BD5629">
        <v>29678.82</v>
      </c>
      <c r="BE5629">
        <v>1991</v>
      </c>
      <c r="BF5629">
        <v>55</v>
      </c>
      <c r="BI5629">
        <v>18</v>
      </c>
      <c r="BJ5629">
        <v>34</v>
      </c>
      <c r="BK5629">
        <v>17</v>
      </c>
      <c r="BO5629" t="s">
        <v>595</v>
      </c>
      <c r="BP5629" s="184"/>
    </row>
    <row r="5630" spans="1:68">
      <c r="A5630">
        <v>100174643</v>
      </c>
      <c r="B5630">
        <v>100174643</v>
      </c>
      <c r="C5630" t="s">
        <v>7018</v>
      </c>
      <c r="E5630" s="184"/>
      <c r="I5630" s="184"/>
      <c r="J5630" t="s">
        <v>595</v>
      </c>
      <c r="K5630" s="184">
        <v>39226</v>
      </c>
      <c r="O5630" s="184"/>
      <c r="P5630" t="s">
        <v>7045</v>
      </c>
      <c r="Q5630" t="s">
        <v>7374</v>
      </c>
      <c r="R5630" s="184">
        <v>8280</v>
      </c>
      <c r="S5630">
        <v>101</v>
      </c>
      <c r="U5630" t="s">
        <v>7031</v>
      </c>
      <c r="V5630" t="s">
        <v>38937</v>
      </c>
      <c r="X5630" t="s">
        <v>38938</v>
      </c>
      <c r="AF5630" t="s">
        <v>6529</v>
      </c>
      <c r="AG5630" t="s">
        <v>38937</v>
      </c>
      <c r="AI5630" t="s">
        <v>38939</v>
      </c>
      <c r="AM5630" t="s">
        <v>5439</v>
      </c>
      <c r="AN5630" t="s">
        <v>2081</v>
      </c>
      <c r="AO5630" t="s">
        <v>38940</v>
      </c>
      <c r="AP5630" t="s">
        <v>7024</v>
      </c>
      <c r="AT5630" s="184">
        <v>33254</v>
      </c>
      <c r="AU5630" t="s">
        <v>11855</v>
      </c>
      <c r="AV5630">
        <v>20</v>
      </c>
      <c r="AW5630" s="184">
        <v>45405</v>
      </c>
      <c r="AX5630" t="s">
        <v>7742</v>
      </c>
      <c r="AY5630">
        <v>297.85000000000002</v>
      </c>
      <c r="AZ5630" s="184">
        <v>45405</v>
      </c>
      <c r="BA5630" t="s">
        <v>7742</v>
      </c>
      <c r="BB5630">
        <v>297.85000000000002</v>
      </c>
      <c r="BC5630">
        <v>53</v>
      </c>
      <c r="BD5630">
        <v>1527.47</v>
      </c>
      <c r="BE5630">
        <v>1991</v>
      </c>
      <c r="BF5630">
        <v>29</v>
      </c>
      <c r="BG5630">
        <v>2</v>
      </c>
      <c r="BH5630">
        <v>582.55999999999995</v>
      </c>
      <c r="BI5630">
        <v>18</v>
      </c>
      <c r="BJ5630">
        <v>34</v>
      </c>
      <c r="BK5630">
        <v>9</v>
      </c>
      <c r="BO5630" t="s">
        <v>595</v>
      </c>
      <c r="BP5630" s="184">
        <v>41554</v>
      </c>
    </row>
    <row r="5631" spans="1:68">
      <c r="A5631">
        <v>100174650</v>
      </c>
      <c r="B5631">
        <v>100174650</v>
      </c>
      <c r="C5631" t="s">
        <v>7018</v>
      </c>
      <c r="E5631" s="184"/>
      <c r="J5631" t="s">
        <v>595</v>
      </c>
      <c r="K5631" s="184">
        <v>38708</v>
      </c>
      <c r="M5631" s="184"/>
      <c r="O5631" s="184"/>
      <c r="Q5631" t="s">
        <v>7383</v>
      </c>
      <c r="R5631" s="184"/>
      <c r="U5631" t="s">
        <v>15150</v>
      </c>
      <c r="V5631" t="s">
        <v>2922</v>
      </c>
      <c r="W5631" t="s">
        <v>2308</v>
      </c>
      <c r="X5631" t="s">
        <v>38941</v>
      </c>
      <c r="AF5631" t="s">
        <v>38942</v>
      </c>
      <c r="AG5631" t="s">
        <v>2922</v>
      </c>
      <c r="AI5631" t="s">
        <v>38943</v>
      </c>
      <c r="AM5631" t="s">
        <v>14564</v>
      </c>
      <c r="AN5631" t="s">
        <v>2059</v>
      </c>
      <c r="AO5631" t="s">
        <v>38944</v>
      </c>
      <c r="AP5631" t="s">
        <v>7024</v>
      </c>
      <c r="AT5631" s="184">
        <v>33274</v>
      </c>
      <c r="AU5631" t="s">
        <v>11909</v>
      </c>
      <c r="AV5631">
        <v>15</v>
      </c>
      <c r="AW5631" s="184">
        <v>38708</v>
      </c>
      <c r="AX5631" t="s">
        <v>15155</v>
      </c>
      <c r="AY5631">
        <v>30000</v>
      </c>
      <c r="AZ5631" s="184">
        <v>38708</v>
      </c>
      <c r="BA5631" t="s">
        <v>15155</v>
      </c>
      <c r="BB5631">
        <v>30000</v>
      </c>
      <c r="BC5631">
        <v>45</v>
      </c>
      <c r="BD5631">
        <v>30655</v>
      </c>
      <c r="BE5631">
        <v>1991</v>
      </c>
      <c r="BF5631">
        <v>27</v>
      </c>
      <c r="BI5631">
        <v>15</v>
      </c>
      <c r="BJ5631">
        <v>34</v>
      </c>
      <c r="BK5631">
        <v>15</v>
      </c>
      <c r="BO5631" t="s">
        <v>595</v>
      </c>
      <c r="BP5631" s="184">
        <v>38479</v>
      </c>
    </row>
    <row r="5632" spans="1:68">
      <c r="A5632">
        <v>100174651</v>
      </c>
      <c r="B5632">
        <v>100174651</v>
      </c>
      <c r="C5632" t="s">
        <v>7018</v>
      </c>
      <c r="E5632" s="184"/>
      <c r="I5632" s="184"/>
      <c r="J5632" t="s">
        <v>595</v>
      </c>
      <c r="K5632" s="184">
        <v>41331</v>
      </c>
      <c r="O5632" s="184"/>
      <c r="Q5632" t="s">
        <v>7262</v>
      </c>
      <c r="R5632" s="184">
        <v>10867</v>
      </c>
      <c r="S5632">
        <v>94</v>
      </c>
      <c r="U5632" t="s">
        <v>7076</v>
      </c>
      <c r="V5632" t="s">
        <v>2586</v>
      </c>
      <c r="W5632" t="s">
        <v>5006</v>
      </c>
      <c r="X5632" t="s">
        <v>38945</v>
      </c>
      <c r="AI5632" t="s">
        <v>38946</v>
      </c>
      <c r="AM5632" t="s">
        <v>2730</v>
      </c>
      <c r="AN5632" t="s">
        <v>2069</v>
      </c>
      <c r="AO5632" t="s">
        <v>38947</v>
      </c>
      <c r="AP5632" t="s">
        <v>7024</v>
      </c>
      <c r="AT5632" s="184">
        <v>33290</v>
      </c>
      <c r="AU5632" t="s">
        <v>38948</v>
      </c>
      <c r="AV5632">
        <v>115</v>
      </c>
      <c r="AW5632" s="184">
        <v>41331</v>
      </c>
      <c r="AX5632" t="s">
        <v>13035</v>
      </c>
      <c r="AY5632">
        <v>24335.41</v>
      </c>
      <c r="AZ5632" s="184">
        <v>41331</v>
      </c>
      <c r="BA5632" t="s">
        <v>13035</v>
      </c>
      <c r="BB5632">
        <v>24335.41</v>
      </c>
      <c r="BC5632">
        <v>62</v>
      </c>
      <c r="BD5632">
        <v>48300.41</v>
      </c>
      <c r="BE5632">
        <v>1991</v>
      </c>
      <c r="BF5632">
        <v>51</v>
      </c>
      <c r="BI5632">
        <v>21</v>
      </c>
      <c r="BJ5632">
        <v>34</v>
      </c>
      <c r="BK5632">
        <v>20</v>
      </c>
      <c r="BO5632" t="s">
        <v>595</v>
      </c>
      <c r="BP5632" s="184">
        <v>40205</v>
      </c>
    </row>
    <row r="5633" spans="1:68">
      <c r="A5633">
        <v>100174686</v>
      </c>
      <c r="B5633">
        <v>100174686</v>
      </c>
      <c r="C5633" t="s">
        <v>7018</v>
      </c>
      <c r="E5633" s="184"/>
      <c r="G5633" s="184"/>
      <c r="I5633" s="184"/>
      <c r="J5633" t="s">
        <v>595</v>
      </c>
      <c r="K5633" s="184">
        <v>40501</v>
      </c>
      <c r="O5633" s="184"/>
      <c r="Q5633" t="s">
        <v>7194</v>
      </c>
      <c r="R5633" s="184">
        <v>9102</v>
      </c>
      <c r="S5633">
        <v>99</v>
      </c>
      <c r="U5633" t="s">
        <v>7031</v>
      </c>
      <c r="V5633" t="s">
        <v>3250</v>
      </c>
      <c r="X5633" t="s">
        <v>38949</v>
      </c>
      <c r="AI5633" t="s">
        <v>38950</v>
      </c>
      <c r="AM5633" t="s">
        <v>4439</v>
      </c>
      <c r="AN5633" t="s">
        <v>2046</v>
      </c>
      <c r="AO5633" t="s">
        <v>38951</v>
      </c>
      <c r="AP5633" t="s">
        <v>7024</v>
      </c>
      <c r="AT5633" s="184">
        <v>33353</v>
      </c>
      <c r="AU5633" t="s">
        <v>11980</v>
      </c>
      <c r="AV5633">
        <v>19.95</v>
      </c>
      <c r="AW5633" s="184">
        <v>40501</v>
      </c>
      <c r="AX5633" t="s">
        <v>14283</v>
      </c>
      <c r="AY5633">
        <v>2500</v>
      </c>
      <c r="AZ5633" s="184">
        <v>39968</v>
      </c>
      <c r="BA5633" t="s">
        <v>9877</v>
      </c>
      <c r="BB5633">
        <v>5000</v>
      </c>
      <c r="BC5633">
        <v>21</v>
      </c>
      <c r="BD5633">
        <v>10119.950000000001</v>
      </c>
      <c r="BE5633">
        <v>1991</v>
      </c>
      <c r="BF5633">
        <v>8</v>
      </c>
      <c r="BI5633">
        <v>7</v>
      </c>
      <c r="BJ5633">
        <v>34</v>
      </c>
      <c r="BK5633">
        <v>3</v>
      </c>
      <c r="BO5633" t="s">
        <v>595</v>
      </c>
      <c r="BP5633" s="184">
        <v>39860</v>
      </c>
    </row>
    <row r="5634" spans="1:68">
      <c r="A5634">
        <v>100174690</v>
      </c>
      <c r="B5634">
        <v>100174690</v>
      </c>
      <c r="C5634" t="s">
        <v>7018</v>
      </c>
      <c r="E5634" s="184"/>
      <c r="I5634" s="184"/>
      <c r="J5634" t="s">
        <v>595</v>
      </c>
      <c r="K5634" s="184">
        <v>39052</v>
      </c>
      <c r="O5634" s="184"/>
      <c r="Q5634" t="s">
        <v>7383</v>
      </c>
      <c r="R5634" s="184">
        <v>11676</v>
      </c>
      <c r="S5634">
        <v>92</v>
      </c>
      <c r="U5634" t="s">
        <v>15150</v>
      </c>
      <c r="V5634" t="s">
        <v>13505</v>
      </c>
      <c r="W5634" t="s">
        <v>3951</v>
      </c>
      <c r="X5634" t="s">
        <v>38952</v>
      </c>
      <c r="AI5634" t="s">
        <v>38953</v>
      </c>
      <c r="AM5634" t="s">
        <v>38954</v>
      </c>
      <c r="AN5634" t="s">
        <v>2059</v>
      </c>
      <c r="AO5634" t="s">
        <v>38955</v>
      </c>
      <c r="AP5634" t="s">
        <v>7024</v>
      </c>
      <c r="AT5634" s="184">
        <v>33381</v>
      </c>
      <c r="AU5634" t="s">
        <v>12146</v>
      </c>
      <c r="AV5634">
        <v>15</v>
      </c>
      <c r="AW5634" s="184">
        <v>39052</v>
      </c>
      <c r="AX5634" t="s">
        <v>37812</v>
      </c>
      <c r="AY5634">
        <v>3093.22</v>
      </c>
      <c r="AZ5634" s="184">
        <v>39052</v>
      </c>
      <c r="BA5634" t="s">
        <v>37812</v>
      </c>
      <c r="BB5634">
        <v>3093.22</v>
      </c>
      <c r="BC5634">
        <v>21</v>
      </c>
      <c r="BD5634">
        <v>3215.22</v>
      </c>
      <c r="BE5634">
        <v>1991</v>
      </c>
      <c r="BF5634">
        <v>10</v>
      </c>
      <c r="BI5634">
        <v>7</v>
      </c>
      <c r="BJ5634">
        <v>34</v>
      </c>
      <c r="BK5634">
        <v>6</v>
      </c>
      <c r="BO5634" t="s">
        <v>595</v>
      </c>
      <c r="BP5634" s="184"/>
    </row>
    <row r="5635" spans="1:68">
      <c r="A5635">
        <v>100174691</v>
      </c>
      <c r="B5635">
        <v>100174691</v>
      </c>
      <c r="C5635" t="s">
        <v>7018</v>
      </c>
      <c r="E5635" s="184"/>
      <c r="I5635" s="184"/>
      <c r="J5635" t="s">
        <v>595</v>
      </c>
      <c r="K5635" s="184">
        <v>40001</v>
      </c>
      <c r="O5635" s="184"/>
      <c r="Q5635" t="s">
        <v>7160</v>
      </c>
      <c r="R5635" s="184"/>
      <c r="U5635" t="s">
        <v>7130</v>
      </c>
      <c r="V5635" t="s">
        <v>3332</v>
      </c>
      <c r="W5635" t="s">
        <v>7963</v>
      </c>
      <c r="X5635" t="s">
        <v>38956</v>
      </c>
      <c r="AI5635" t="s">
        <v>38957</v>
      </c>
      <c r="AM5635" t="s">
        <v>12224</v>
      </c>
      <c r="AN5635" t="s">
        <v>2428</v>
      </c>
      <c r="AO5635" t="s">
        <v>38958</v>
      </c>
      <c r="AP5635" t="s">
        <v>7024</v>
      </c>
      <c r="AT5635" s="184">
        <v>33389</v>
      </c>
      <c r="AU5635" t="s">
        <v>38959</v>
      </c>
      <c r="AV5635">
        <v>15</v>
      </c>
      <c r="AW5635" s="184">
        <v>40001</v>
      </c>
      <c r="AX5635" t="s">
        <v>14284</v>
      </c>
      <c r="AY5635">
        <v>20000</v>
      </c>
      <c r="AZ5635" s="184">
        <v>40001</v>
      </c>
      <c r="BA5635" t="s">
        <v>14284</v>
      </c>
      <c r="BB5635">
        <v>20000</v>
      </c>
      <c r="BC5635">
        <v>56</v>
      </c>
      <c r="BD5635">
        <v>21325</v>
      </c>
      <c r="BE5635">
        <v>1991</v>
      </c>
      <c r="BF5635">
        <v>33</v>
      </c>
      <c r="BI5635">
        <v>19</v>
      </c>
      <c r="BJ5635">
        <v>34</v>
      </c>
      <c r="BK5635">
        <v>19</v>
      </c>
      <c r="BO5635" t="s">
        <v>595</v>
      </c>
      <c r="BP5635" s="184"/>
    </row>
    <row r="5636" spans="1:68">
      <c r="A5636">
        <v>100174692</v>
      </c>
      <c r="B5636">
        <v>100174692</v>
      </c>
      <c r="C5636" t="s">
        <v>7018</v>
      </c>
      <c r="E5636" s="184"/>
      <c r="G5636" s="184"/>
      <c r="I5636" s="184"/>
      <c r="J5636" t="s">
        <v>595</v>
      </c>
      <c r="K5636" s="184">
        <v>40752</v>
      </c>
      <c r="O5636" s="184"/>
      <c r="Q5636" t="s">
        <v>7374</v>
      </c>
      <c r="R5636" s="184">
        <v>12073</v>
      </c>
      <c r="S5636">
        <v>91</v>
      </c>
      <c r="U5636" t="s">
        <v>7076</v>
      </c>
      <c r="V5636" t="s">
        <v>3179</v>
      </c>
      <c r="W5636" t="s">
        <v>3951</v>
      </c>
      <c r="X5636" t="s">
        <v>38960</v>
      </c>
      <c r="AI5636" t="s">
        <v>38961</v>
      </c>
      <c r="AM5636" t="s">
        <v>4467</v>
      </c>
      <c r="AN5636" t="s">
        <v>2081</v>
      </c>
      <c r="AO5636" t="s">
        <v>38962</v>
      </c>
      <c r="AP5636" t="s">
        <v>7024</v>
      </c>
      <c r="AT5636" s="184">
        <v>33417</v>
      </c>
      <c r="AU5636" t="s">
        <v>12186</v>
      </c>
      <c r="AV5636">
        <v>15</v>
      </c>
      <c r="AW5636" s="184">
        <v>40752</v>
      </c>
      <c r="AX5636" t="s">
        <v>18846</v>
      </c>
      <c r="AY5636">
        <v>50000</v>
      </c>
      <c r="AZ5636" s="184">
        <v>40752</v>
      </c>
      <c r="BA5636" t="s">
        <v>18846</v>
      </c>
      <c r="BB5636">
        <v>50000</v>
      </c>
      <c r="BC5636">
        <v>50</v>
      </c>
      <c r="BD5636">
        <v>50742</v>
      </c>
      <c r="BE5636">
        <v>1991</v>
      </c>
      <c r="BF5636">
        <v>25</v>
      </c>
      <c r="BI5636">
        <v>17</v>
      </c>
      <c r="BJ5636">
        <v>34</v>
      </c>
      <c r="BK5636">
        <v>7</v>
      </c>
      <c r="BO5636" t="s">
        <v>595</v>
      </c>
      <c r="BP5636" s="184">
        <v>40597</v>
      </c>
    </row>
    <row r="5637" spans="1:68">
      <c r="A5637">
        <v>100174693</v>
      </c>
      <c r="B5637">
        <v>100174693</v>
      </c>
      <c r="C5637" t="s">
        <v>7018</v>
      </c>
      <c r="E5637" s="184"/>
      <c r="I5637" s="184"/>
      <c r="J5637" t="s">
        <v>595</v>
      </c>
      <c r="K5637" s="184">
        <v>39035</v>
      </c>
      <c r="O5637" s="184"/>
      <c r="Q5637" t="s">
        <v>7160</v>
      </c>
      <c r="R5637" s="184">
        <v>9133</v>
      </c>
      <c r="S5637">
        <v>99</v>
      </c>
      <c r="V5637" t="s">
        <v>16193</v>
      </c>
      <c r="W5637" t="s">
        <v>7396</v>
      </c>
      <c r="X5637" t="s">
        <v>38963</v>
      </c>
      <c r="Z5637">
        <v>100174694</v>
      </c>
      <c r="AB5637" t="s">
        <v>4502</v>
      </c>
      <c r="AD5637" t="s">
        <v>38963</v>
      </c>
      <c r="AE5637" t="s">
        <v>15117</v>
      </c>
      <c r="AI5637" t="s">
        <v>38964</v>
      </c>
      <c r="AM5637" t="s">
        <v>28655</v>
      </c>
      <c r="AN5637" t="s">
        <v>2176</v>
      </c>
      <c r="AO5637" t="s">
        <v>38965</v>
      </c>
      <c r="AP5637" t="s">
        <v>7024</v>
      </c>
      <c r="AT5637" s="184">
        <v>33452</v>
      </c>
      <c r="AU5637" t="s">
        <v>38966</v>
      </c>
      <c r="AV5637">
        <v>15</v>
      </c>
      <c r="AW5637" s="184">
        <v>42688</v>
      </c>
      <c r="AX5637" t="s">
        <v>19550</v>
      </c>
      <c r="AY5637">
        <v>5000</v>
      </c>
      <c r="AZ5637" s="184">
        <v>42688</v>
      </c>
      <c r="BA5637" t="s">
        <v>19550</v>
      </c>
      <c r="BB5637">
        <v>5000</v>
      </c>
      <c r="BC5637">
        <v>71</v>
      </c>
      <c r="BD5637">
        <v>5800</v>
      </c>
      <c r="BE5637">
        <v>1992</v>
      </c>
      <c r="BF5637">
        <v>31</v>
      </c>
      <c r="BI5637">
        <v>24</v>
      </c>
      <c r="BJ5637">
        <v>34</v>
      </c>
      <c r="BK5637">
        <v>12</v>
      </c>
      <c r="BO5637" t="s">
        <v>595</v>
      </c>
      <c r="BP5637" s="184">
        <v>42385</v>
      </c>
    </row>
    <row r="5638" spans="1:68">
      <c r="A5638">
        <v>100174695</v>
      </c>
      <c r="B5638">
        <v>100174695</v>
      </c>
      <c r="C5638" t="s">
        <v>7018</v>
      </c>
      <c r="E5638" s="184"/>
      <c r="G5638" s="184"/>
      <c r="I5638" s="184"/>
      <c r="J5638" t="s">
        <v>595</v>
      </c>
      <c r="K5638" s="184">
        <v>41961</v>
      </c>
      <c r="O5638" s="184"/>
      <c r="Q5638" t="s">
        <v>7020</v>
      </c>
      <c r="R5638" s="184">
        <v>5763</v>
      </c>
      <c r="S5638">
        <v>108</v>
      </c>
      <c r="U5638" t="s">
        <v>7130</v>
      </c>
      <c r="V5638" t="s">
        <v>2918</v>
      </c>
      <c r="W5638" t="s">
        <v>5006</v>
      </c>
      <c r="X5638" t="s">
        <v>38967</v>
      </c>
      <c r="AI5638" t="s">
        <v>38968</v>
      </c>
      <c r="AJ5638" t="s">
        <v>38969</v>
      </c>
      <c r="AM5638" t="s">
        <v>3060</v>
      </c>
      <c r="AN5638" t="s">
        <v>2112</v>
      </c>
      <c r="AO5638" t="s">
        <v>38970</v>
      </c>
      <c r="AP5638" t="s">
        <v>7024</v>
      </c>
      <c r="AT5638" s="184">
        <v>33492</v>
      </c>
      <c r="AU5638" t="s">
        <v>38971</v>
      </c>
      <c r="AV5638">
        <v>65</v>
      </c>
      <c r="AW5638" s="184">
        <v>41961</v>
      </c>
      <c r="AX5638" t="s">
        <v>14228</v>
      </c>
      <c r="AY5638">
        <v>50000</v>
      </c>
      <c r="AZ5638" s="184">
        <v>41961</v>
      </c>
      <c r="BA5638" t="s">
        <v>14228</v>
      </c>
      <c r="BB5638">
        <v>50000</v>
      </c>
      <c r="BC5638">
        <v>39</v>
      </c>
      <c r="BD5638">
        <v>59587.86</v>
      </c>
      <c r="BE5638">
        <v>1992</v>
      </c>
      <c r="BF5638">
        <v>22</v>
      </c>
      <c r="BI5638">
        <v>13</v>
      </c>
      <c r="BJ5638">
        <v>34</v>
      </c>
      <c r="BK5638">
        <v>10</v>
      </c>
      <c r="BO5638" t="s">
        <v>595</v>
      </c>
      <c r="BP5638" s="184">
        <v>41739</v>
      </c>
    </row>
    <row r="5639" spans="1:68">
      <c r="A5639">
        <v>100174701</v>
      </c>
      <c r="B5639">
        <v>100174701</v>
      </c>
      <c r="C5639" t="s">
        <v>7018</v>
      </c>
      <c r="E5639" s="184"/>
      <c r="G5639" s="184"/>
      <c r="I5639" s="184"/>
      <c r="J5639" t="s">
        <v>595</v>
      </c>
      <c r="K5639" s="184">
        <v>42157</v>
      </c>
      <c r="O5639" s="184"/>
      <c r="Q5639" t="s">
        <v>7020</v>
      </c>
      <c r="R5639" s="184">
        <v>9808</v>
      </c>
      <c r="S5639">
        <v>97</v>
      </c>
      <c r="U5639" t="s">
        <v>7094</v>
      </c>
      <c r="V5639" t="s">
        <v>38972</v>
      </c>
      <c r="W5639" t="s">
        <v>4152</v>
      </c>
      <c r="X5639" t="s">
        <v>3339</v>
      </c>
      <c r="AI5639" t="s">
        <v>38973</v>
      </c>
      <c r="AM5639" t="s">
        <v>38974</v>
      </c>
      <c r="AN5639" t="s">
        <v>2052</v>
      </c>
      <c r="AO5639" t="s">
        <v>38975</v>
      </c>
      <c r="AP5639" t="s">
        <v>7024</v>
      </c>
      <c r="AT5639" s="184">
        <v>33536</v>
      </c>
      <c r="AU5639" t="s">
        <v>12421</v>
      </c>
      <c r="AV5639">
        <v>15</v>
      </c>
      <c r="AW5639" s="184">
        <v>42157</v>
      </c>
      <c r="AX5639" t="s">
        <v>14228</v>
      </c>
      <c r="AY5639">
        <v>1000</v>
      </c>
      <c r="AZ5639" s="184">
        <v>42157</v>
      </c>
      <c r="BA5639" t="s">
        <v>14228</v>
      </c>
      <c r="BB5639">
        <v>1000</v>
      </c>
      <c r="BC5639">
        <v>68</v>
      </c>
      <c r="BD5639">
        <v>2427</v>
      </c>
      <c r="BE5639">
        <v>1992</v>
      </c>
      <c r="BF5639">
        <v>40</v>
      </c>
      <c r="BI5639">
        <v>23</v>
      </c>
      <c r="BJ5639">
        <v>34</v>
      </c>
      <c r="BK5639">
        <v>21</v>
      </c>
      <c r="BL5639" t="s">
        <v>595</v>
      </c>
      <c r="BM5639" t="s">
        <v>595</v>
      </c>
      <c r="BO5639" t="s">
        <v>595</v>
      </c>
      <c r="BP5639" s="184">
        <v>42106</v>
      </c>
    </row>
    <row r="5640" spans="1:68">
      <c r="A5640">
        <v>100174702</v>
      </c>
      <c r="B5640">
        <v>100174702</v>
      </c>
      <c r="C5640" t="s">
        <v>7018</v>
      </c>
      <c r="E5640" s="184"/>
      <c r="I5640" s="184"/>
      <c r="J5640" t="s">
        <v>595</v>
      </c>
      <c r="K5640" s="184">
        <v>42206</v>
      </c>
      <c r="O5640" s="184"/>
      <c r="Q5640" t="s">
        <v>7383</v>
      </c>
      <c r="R5640" s="184">
        <v>3606</v>
      </c>
      <c r="S5640">
        <v>114</v>
      </c>
      <c r="U5640" t="s">
        <v>7130</v>
      </c>
      <c r="V5640" t="s">
        <v>38976</v>
      </c>
      <c r="W5640" t="s">
        <v>7046</v>
      </c>
      <c r="X5640" t="s">
        <v>38977</v>
      </c>
      <c r="AI5640" t="s">
        <v>38978</v>
      </c>
      <c r="AM5640" t="s">
        <v>38979</v>
      </c>
      <c r="AN5640" t="s">
        <v>2274</v>
      </c>
      <c r="AO5640" t="s">
        <v>38980</v>
      </c>
      <c r="AP5640" t="s">
        <v>7024</v>
      </c>
      <c r="AQ5640" t="s">
        <v>38981</v>
      </c>
      <c r="AT5640" s="184">
        <v>33539</v>
      </c>
      <c r="AU5640" t="s">
        <v>38982</v>
      </c>
      <c r="AV5640">
        <v>15</v>
      </c>
      <c r="AW5640" s="184">
        <v>42206</v>
      </c>
      <c r="AX5640" t="s">
        <v>11622</v>
      </c>
      <c r="AY5640">
        <v>114.26</v>
      </c>
      <c r="AZ5640" s="184">
        <v>42164</v>
      </c>
      <c r="BA5640" t="s">
        <v>14228</v>
      </c>
      <c r="BB5640">
        <v>4116.71</v>
      </c>
      <c r="BC5640">
        <v>45</v>
      </c>
      <c r="BD5640">
        <v>4770.97</v>
      </c>
      <c r="BE5640">
        <v>1992</v>
      </c>
      <c r="BF5640">
        <v>25</v>
      </c>
      <c r="BI5640">
        <v>15</v>
      </c>
      <c r="BJ5640">
        <v>34</v>
      </c>
      <c r="BK5640">
        <v>14</v>
      </c>
      <c r="BO5640" t="s">
        <v>595</v>
      </c>
      <c r="BP5640" s="184">
        <v>42084</v>
      </c>
    </row>
    <row r="5641" spans="1:68">
      <c r="A5641">
        <v>100174706</v>
      </c>
      <c r="B5641">
        <v>100174706</v>
      </c>
      <c r="C5641" t="s">
        <v>7018</v>
      </c>
      <c r="E5641" s="184"/>
      <c r="J5641" t="s">
        <v>595</v>
      </c>
      <c r="K5641" s="184">
        <v>38352</v>
      </c>
      <c r="M5641" s="184"/>
      <c r="O5641" s="184"/>
      <c r="Q5641" t="s">
        <v>7374</v>
      </c>
      <c r="R5641" s="184">
        <v>5388</v>
      </c>
      <c r="S5641">
        <v>109</v>
      </c>
      <c r="U5641" t="s">
        <v>7130</v>
      </c>
      <c r="V5641" t="s">
        <v>37838</v>
      </c>
      <c r="W5641" t="s">
        <v>205</v>
      </c>
      <c r="X5641" t="s">
        <v>3339</v>
      </c>
      <c r="Z5641">
        <v>100174707</v>
      </c>
      <c r="AA5641" t="s">
        <v>7031</v>
      </c>
      <c r="AB5641" t="s">
        <v>37838</v>
      </c>
      <c r="AD5641" t="s">
        <v>3339</v>
      </c>
      <c r="AI5641" t="s">
        <v>38983</v>
      </c>
      <c r="AJ5641" t="s">
        <v>38984</v>
      </c>
      <c r="AK5641" t="s">
        <v>38985</v>
      </c>
      <c r="AM5641" t="s">
        <v>4342</v>
      </c>
      <c r="AN5641" t="s">
        <v>2081</v>
      </c>
      <c r="AO5641">
        <v>92831</v>
      </c>
      <c r="AP5641" t="s">
        <v>7024</v>
      </c>
      <c r="AT5641" s="184">
        <v>33616</v>
      </c>
      <c r="AU5641" t="s">
        <v>12813</v>
      </c>
      <c r="AV5641">
        <v>65</v>
      </c>
      <c r="AW5641" s="184">
        <v>38352</v>
      </c>
      <c r="AX5641" t="s">
        <v>37872</v>
      </c>
      <c r="AY5641">
        <v>50000</v>
      </c>
      <c r="AZ5641" s="184">
        <v>38352</v>
      </c>
      <c r="BA5641" t="s">
        <v>37872</v>
      </c>
      <c r="BB5641">
        <v>50000</v>
      </c>
      <c r="BC5641">
        <v>25</v>
      </c>
      <c r="BD5641">
        <v>52905</v>
      </c>
      <c r="BE5641">
        <v>1992</v>
      </c>
      <c r="BF5641">
        <v>15</v>
      </c>
      <c r="BI5641">
        <v>8</v>
      </c>
      <c r="BJ5641">
        <v>33</v>
      </c>
      <c r="BK5641">
        <v>5</v>
      </c>
      <c r="BO5641" t="s">
        <v>595</v>
      </c>
      <c r="BP5641" s="184">
        <v>38001</v>
      </c>
    </row>
    <row r="5642" spans="1:68">
      <c r="A5642">
        <v>100174708</v>
      </c>
      <c r="B5642">
        <v>100174708</v>
      </c>
      <c r="C5642" t="s">
        <v>7018</v>
      </c>
      <c r="E5642" s="184"/>
      <c r="I5642" s="184"/>
      <c r="J5642" t="s">
        <v>595</v>
      </c>
      <c r="K5642" s="184">
        <v>39322</v>
      </c>
      <c r="O5642" s="184"/>
      <c r="Q5642" t="s">
        <v>7020</v>
      </c>
      <c r="R5642" s="184">
        <v>6494</v>
      </c>
      <c r="S5642">
        <v>106</v>
      </c>
      <c r="U5642" t="s">
        <v>15150</v>
      </c>
      <c r="V5642" t="s">
        <v>3444</v>
      </c>
      <c r="W5642" t="s">
        <v>2963</v>
      </c>
      <c r="X5642" t="s">
        <v>38986</v>
      </c>
      <c r="AI5642" t="s">
        <v>38987</v>
      </c>
      <c r="AM5642" t="s">
        <v>22995</v>
      </c>
      <c r="AN5642" t="s">
        <v>2129</v>
      </c>
      <c r="AO5642" t="s">
        <v>38988</v>
      </c>
      <c r="AP5642" t="s">
        <v>7024</v>
      </c>
      <c r="AT5642" s="184">
        <v>33624</v>
      </c>
      <c r="AU5642" t="s">
        <v>12886</v>
      </c>
      <c r="AV5642">
        <v>25</v>
      </c>
      <c r="AW5642" s="184">
        <v>39322</v>
      </c>
      <c r="AX5642" t="s">
        <v>9864</v>
      </c>
      <c r="AY5642">
        <v>121343.42</v>
      </c>
      <c r="AZ5642" s="184">
        <v>39070</v>
      </c>
      <c r="BA5642" t="s">
        <v>37812</v>
      </c>
      <c r="BB5642">
        <v>225000</v>
      </c>
      <c r="BC5642">
        <v>46</v>
      </c>
      <c r="BD5642">
        <v>347518.42</v>
      </c>
      <c r="BE5642">
        <v>1992</v>
      </c>
      <c r="BF5642">
        <v>23</v>
      </c>
      <c r="BI5642">
        <v>15</v>
      </c>
      <c r="BJ5642">
        <v>33</v>
      </c>
      <c r="BK5642">
        <v>13</v>
      </c>
      <c r="BO5642" t="s">
        <v>595</v>
      </c>
      <c r="BP5642" s="184">
        <v>38517</v>
      </c>
    </row>
    <row r="5643" spans="1:68">
      <c r="A5643">
        <v>100174709</v>
      </c>
      <c r="B5643">
        <v>100174709</v>
      </c>
      <c r="C5643" t="s">
        <v>7018</v>
      </c>
      <c r="E5643" s="184"/>
      <c r="I5643" s="184"/>
      <c r="J5643" t="s">
        <v>595</v>
      </c>
      <c r="K5643" s="184">
        <v>39182</v>
      </c>
      <c r="O5643" s="184"/>
      <c r="Q5643" t="s">
        <v>7383</v>
      </c>
      <c r="R5643" s="184">
        <v>7853</v>
      </c>
      <c r="S5643">
        <v>102</v>
      </c>
      <c r="U5643" t="s">
        <v>15150</v>
      </c>
      <c r="V5643" t="s">
        <v>3095</v>
      </c>
      <c r="W5643" t="s">
        <v>7560</v>
      </c>
      <c r="X5643" t="s">
        <v>38989</v>
      </c>
      <c r="AI5643" t="s">
        <v>38990</v>
      </c>
      <c r="AJ5643" t="s">
        <v>38991</v>
      </c>
      <c r="AM5643" t="s">
        <v>20615</v>
      </c>
      <c r="AN5643" t="s">
        <v>2313</v>
      </c>
      <c r="AO5643" t="s">
        <v>38992</v>
      </c>
      <c r="AP5643" t="s">
        <v>7024</v>
      </c>
      <c r="AT5643" s="184">
        <v>33638</v>
      </c>
      <c r="AU5643" t="s">
        <v>38993</v>
      </c>
      <c r="AV5643">
        <v>30</v>
      </c>
      <c r="AW5643" s="184">
        <v>39182</v>
      </c>
      <c r="AX5643" t="s">
        <v>37812</v>
      </c>
      <c r="AY5643">
        <v>101704.03</v>
      </c>
      <c r="AZ5643" s="184">
        <v>39182</v>
      </c>
      <c r="BA5643" t="s">
        <v>37812</v>
      </c>
      <c r="BB5643">
        <v>101704.03</v>
      </c>
      <c r="BC5643">
        <v>46</v>
      </c>
      <c r="BD5643">
        <v>102599.03</v>
      </c>
      <c r="BE5643">
        <v>1992</v>
      </c>
      <c r="BF5643">
        <v>35</v>
      </c>
      <c r="BI5643">
        <v>15</v>
      </c>
      <c r="BJ5643">
        <v>33</v>
      </c>
      <c r="BK5643">
        <v>14</v>
      </c>
      <c r="BO5643" t="s">
        <v>595</v>
      </c>
      <c r="BP5643" s="184"/>
    </row>
    <row r="5644" spans="1:68">
      <c r="A5644">
        <v>100174711</v>
      </c>
      <c r="B5644">
        <v>100174711</v>
      </c>
      <c r="C5644" t="s">
        <v>7018</v>
      </c>
      <c r="E5644" s="184"/>
      <c r="J5644" t="s">
        <v>595</v>
      </c>
      <c r="K5644" s="184">
        <v>39029</v>
      </c>
      <c r="N5644" t="s">
        <v>595</v>
      </c>
      <c r="O5644" s="184">
        <v>35936</v>
      </c>
      <c r="Q5644" t="s">
        <v>7383</v>
      </c>
      <c r="R5644" s="184">
        <v>6262</v>
      </c>
      <c r="S5644">
        <v>107</v>
      </c>
      <c r="V5644" t="s">
        <v>2551</v>
      </c>
      <c r="X5644" t="s">
        <v>38994</v>
      </c>
      <c r="Z5644">
        <v>100174712</v>
      </c>
      <c r="AB5644" t="s">
        <v>33249</v>
      </c>
      <c r="AD5644" t="s">
        <v>38994</v>
      </c>
      <c r="AI5644" t="s">
        <v>38995</v>
      </c>
      <c r="AM5644" t="s">
        <v>3926</v>
      </c>
      <c r="AN5644" t="s">
        <v>2059</v>
      </c>
      <c r="AO5644" t="s">
        <v>38996</v>
      </c>
      <c r="AP5644" t="s">
        <v>7024</v>
      </c>
      <c r="AT5644" s="184">
        <v>33652</v>
      </c>
      <c r="AU5644" t="s">
        <v>38997</v>
      </c>
      <c r="AV5644">
        <v>25</v>
      </c>
      <c r="AW5644" s="184">
        <v>40105</v>
      </c>
      <c r="AX5644" t="s">
        <v>38998</v>
      </c>
      <c r="AY5644">
        <v>25</v>
      </c>
      <c r="AZ5644" s="184">
        <v>36884</v>
      </c>
      <c r="BA5644" t="s">
        <v>7984</v>
      </c>
      <c r="BB5644">
        <v>10000</v>
      </c>
      <c r="BC5644">
        <v>37</v>
      </c>
      <c r="BD5644">
        <v>30407</v>
      </c>
      <c r="BE5644">
        <v>1992</v>
      </c>
      <c r="BF5644">
        <v>24</v>
      </c>
      <c r="BI5644">
        <v>12</v>
      </c>
      <c r="BJ5644">
        <v>33</v>
      </c>
      <c r="BK5644">
        <v>9</v>
      </c>
      <c r="BO5644" t="s">
        <v>595</v>
      </c>
      <c r="BP5644" s="184">
        <v>41994</v>
      </c>
    </row>
    <row r="5645" spans="1:68">
      <c r="A5645">
        <v>100174712</v>
      </c>
      <c r="B5645">
        <v>100174711</v>
      </c>
      <c r="C5645" t="s">
        <v>7018</v>
      </c>
      <c r="E5645" s="184"/>
      <c r="G5645" s="184"/>
      <c r="K5645" s="184"/>
      <c r="N5645" t="s">
        <v>595</v>
      </c>
      <c r="O5645" s="184">
        <v>36523</v>
      </c>
      <c r="Q5645" t="s">
        <v>7383</v>
      </c>
      <c r="R5645" s="184">
        <v>6786</v>
      </c>
      <c r="S5645">
        <v>105</v>
      </c>
      <c r="V5645" t="s">
        <v>33249</v>
      </c>
      <c r="X5645" t="s">
        <v>38994</v>
      </c>
      <c r="Z5645">
        <v>100174711</v>
      </c>
      <c r="AB5645" t="s">
        <v>2551</v>
      </c>
      <c r="AD5645" t="s">
        <v>38994</v>
      </c>
      <c r="AI5645" t="s">
        <v>38995</v>
      </c>
      <c r="AM5645" t="s">
        <v>3926</v>
      </c>
      <c r="AN5645" t="s">
        <v>2059</v>
      </c>
      <c r="AO5645" t="s">
        <v>38996</v>
      </c>
      <c r="AP5645" t="s">
        <v>7024</v>
      </c>
      <c r="AT5645" s="184"/>
      <c r="AW5645" s="184"/>
      <c r="AZ5645" s="184"/>
      <c r="BO5645" t="s">
        <v>595</v>
      </c>
      <c r="BP5645" s="184">
        <v>39764</v>
      </c>
    </row>
    <row r="5646" spans="1:68">
      <c r="A5646">
        <v>100174731</v>
      </c>
      <c r="B5646">
        <v>100174731</v>
      </c>
      <c r="C5646" t="s">
        <v>7018</v>
      </c>
      <c r="E5646" s="184"/>
      <c r="I5646" s="184"/>
      <c r="J5646" t="s">
        <v>595</v>
      </c>
      <c r="K5646" s="184">
        <v>41023</v>
      </c>
      <c r="M5646" s="184"/>
      <c r="O5646" s="184"/>
      <c r="Q5646" t="s">
        <v>7020</v>
      </c>
      <c r="R5646" s="184">
        <v>16066</v>
      </c>
      <c r="S5646">
        <v>80</v>
      </c>
      <c r="U5646" t="s">
        <v>7076</v>
      </c>
      <c r="V5646" t="s">
        <v>2742</v>
      </c>
      <c r="W5646" t="s">
        <v>7356</v>
      </c>
      <c r="X5646" t="s">
        <v>38999</v>
      </c>
      <c r="AI5646" t="s">
        <v>39000</v>
      </c>
      <c r="AM5646" t="s">
        <v>39001</v>
      </c>
      <c r="AN5646" t="s">
        <v>2112</v>
      </c>
      <c r="AO5646" t="s">
        <v>39002</v>
      </c>
      <c r="AP5646" t="s">
        <v>7024</v>
      </c>
      <c r="AT5646" s="184">
        <v>33807</v>
      </c>
      <c r="AU5646" t="s">
        <v>39003</v>
      </c>
      <c r="AV5646">
        <v>25</v>
      </c>
      <c r="AW5646" s="184">
        <v>41023</v>
      </c>
      <c r="AX5646" t="s">
        <v>18846</v>
      </c>
      <c r="AY5646">
        <v>19008.759999999998</v>
      </c>
      <c r="AZ5646" s="184">
        <v>41023</v>
      </c>
      <c r="BA5646" t="s">
        <v>18846</v>
      </c>
      <c r="BB5646">
        <v>19008.759999999998</v>
      </c>
      <c r="BC5646">
        <v>55</v>
      </c>
      <c r="BD5646">
        <v>20623.759999999998</v>
      </c>
      <c r="BE5646">
        <v>1993</v>
      </c>
      <c r="BF5646">
        <v>39</v>
      </c>
      <c r="BI5646">
        <v>18</v>
      </c>
      <c r="BJ5646">
        <v>33</v>
      </c>
      <c r="BK5646">
        <v>11</v>
      </c>
      <c r="BO5646" t="s">
        <v>595</v>
      </c>
      <c r="BP5646" s="184">
        <v>40651</v>
      </c>
    </row>
    <row r="5647" spans="1:68">
      <c r="A5647">
        <v>100174732</v>
      </c>
      <c r="B5647">
        <v>100174732</v>
      </c>
      <c r="C5647" t="s">
        <v>7018</v>
      </c>
      <c r="E5647" s="184"/>
      <c r="I5647" s="184"/>
      <c r="J5647" t="s">
        <v>595</v>
      </c>
      <c r="K5647" s="184">
        <v>40876</v>
      </c>
      <c r="O5647" s="184"/>
      <c r="Q5647" t="s">
        <v>7374</v>
      </c>
      <c r="R5647" s="184">
        <v>6523</v>
      </c>
      <c r="S5647">
        <v>106</v>
      </c>
      <c r="U5647" t="s">
        <v>7076</v>
      </c>
      <c r="V5647" t="s">
        <v>2586</v>
      </c>
      <c r="W5647" t="s">
        <v>7356</v>
      </c>
      <c r="X5647" t="s">
        <v>39004</v>
      </c>
      <c r="AI5647" t="s">
        <v>39005</v>
      </c>
      <c r="AM5647" t="s">
        <v>39006</v>
      </c>
      <c r="AN5647" t="s">
        <v>2526</v>
      </c>
      <c r="AO5647" t="s">
        <v>39007</v>
      </c>
      <c r="AP5647" t="s">
        <v>7024</v>
      </c>
      <c r="AT5647" s="184">
        <v>33813</v>
      </c>
      <c r="AU5647" t="s">
        <v>39008</v>
      </c>
      <c r="AV5647">
        <v>100</v>
      </c>
      <c r="AW5647" s="184">
        <v>40876</v>
      </c>
      <c r="AX5647" t="s">
        <v>18846</v>
      </c>
      <c r="AY5647">
        <v>13.43</v>
      </c>
      <c r="AZ5647" s="184">
        <v>40674</v>
      </c>
      <c r="BA5647" t="s">
        <v>14283</v>
      </c>
      <c r="BB5647">
        <v>37500</v>
      </c>
      <c r="BC5647">
        <v>16</v>
      </c>
      <c r="BD5647">
        <v>40834.230000000003</v>
      </c>
      <c r="BE5647">
        <v>1993</v>
      </c>
      <c r="BF5647">
        <v>10</v>
      </c>
      <c r="BI5647">
        <v>5</v>
      </c>
      <c r="BJ5647">
        <v>33</v>
      </c>
      <c r="BK5647">
        <v>4</v>
      </c>
      <c r="BO5647" t="s">
        <v>595</v>
      </c>
      <c r="BP5647" s="184">
        <v>39332</v>
      </c>
    </row>
    <row r="5648" spans="1:68">
      <c r="A5648">
        <v>100174733</v>
      </c>
      <c r="B5648">
        <v>100174733</v>
      </c>
      <c r="C5648" t="s">
        <v>7018</v>
      </c>
      <c r="E5648" s="184"/>
      <c r="I5648" s="184"/>
      <c r="J5648" t="s">
        <v>595</v>
      </c>
      <c r="K5648" s="184">
        <v>41320</v>
      </c>
      <c r="Q5648" t="s">
        <v>7160</v>
      </c>
      <c r="R5648" s="184">
        <v>5419</v>
      </c>
      <c r="S5648">
        <v>109</v>
      </c>
      <c r="U5648" t="s">
        <v>7076</v>
      </c>
      <c r="V5648" t="s">
        <v>39009</v>
      </c>
      <c r="X5648" t="s">
        <v>2612</v>
      </c>
      <c r="AI5648" t="s">
        <v>39010</v>
      </c>
      <c r="AM5648" t="s">
        <v>8562</v>
      </c>
      <c r="AN5648" t="s">
        <v>2446</v>
      </c>
      <c r="AO5648" t="s">
        <v>39011</v>
      </c>
      <c r="AP5648" t="s">
        <v>7024</v>
      </c>
      <c r="AT5648" s="184">
        <v>33862</v>
      </c>
      <c r="AU5648" t="s">
        <v>13496</v>
      </c>
      <c r="AV5648">
        <v>15</v>
      </c>
      <c r="AW5648" s="184">
        <v>41320</v>
      </c>
      <c r="AX5648" t="s">
        <v>13035</v>
      </c>
      <c r="AY5648">
        <v>1385.03</v>
      </c>
      <c r="AZ5648" s="184">
        <v>41298</v>
      </c>
      <c r="BA5648" t="s">
        <v>13035</v>
      </c>
      <c r="BB5648">
        <v>57000</v>
      </c>
      <c r="BC5648">
        <v>22</v>
      </c>
      <c r="BD5648">
        <v>60025.03</v>
      </c>
      <c r="BE5648">
        <v>1993</v>
      </c>
      <c r="BF5648">
        <v>10</v>
      </c>
      <c r="BI5648">
        <v>7</v>
      </c>
      <c r="BJ5648">
        <v>33</v>
      </c>
      <c r="BK5648">
        <v>6</v>
      </c>
      <c r="BO5648" t="s">
        <v>595</v>
      </c>
      <c r="BP5648" s="184">
        <v>40831</v>
      </c>
    </row>
    <row r="5649" spans="1:68">
      <c r="A5649">
        <v>100174735</v>
      </c>
      <c r="B5649">
        <v>100174735</v>
      </c>
      <c r="C5649" t="s">
        <v>7018</v>
      </c>
      <c r="E5649" s="184"/>
      <c r="G5649" s="184"/>
      <c r="I5649" s="184"/>
      <c r="J5649" t="s">
        <v>595</v>
      </c>
      <c r="K5649" s="184">
        <v>42144</v>
      </c>
      <c r="O5649" s="184"/>
      <c r="Q5649" t="s">
        <v>7383</v>
      </c>
      <c r="R5649" s="184">
        <v>5814</v>
      </c>
      <c r="S5649">
        <v>108</v>
      </c>
      <c r="U5649" t="s">
        <v>7130</v>
      </c>
      <c r="V5649" t="s">
        <v>3670</v>
      </c>
      <c r="W5649" t="s">
        <v>3332</v>
      </c>
      <c r="X5649" t="s">
        <v>5357</v>
      </c>
      <c r="AI5649" t="s">
        <v>39012</v>
      </c>
      <c r="AM5649" t="s">
        <v>3052</v>
      </c>
      <c r="AN5649" t="s">
        <v>2313</v>
      </c>
      <c r="AO5649" t="s">
        <v>39013</v>
      </c>
      <c r="AP5649" t="s">
        <v>7024</v>
      </c>
      <c r="AT5649" s="184">
        <v>33924</v>
      </c>
      <c r="AU5649" t="s">
        <v>39014</v>
      </c>
      <c r="AV5649">
        <v>15</v>
      </c>
      <c r="AW5649" s="184">
        <v>42144</v>
      </c>
      <c r="AX5649" t="s">
        <v>14228</v>
      </c>
      <c r="AY5649">
        <v>1000</v>
      </c>
      <c r="AZ5649" s="184">
        <v>42144</v>
      </c>
      <c r="BA5649" t="s">
        <v>14228</v>
      </c>
      <c r="BB5649">
        <v>1000</v>
      </c>
      <c r="BC5649">
        <v>55</v>
      </c>
      <c r="BD5649">
        <v>1680</v>
      </c>
      <c r="BE5649">
        <v>1993</v>
      </c>
      <c r="BF5649">
        <v>29</v>
      </c>
      <c r="BI5649">
        <v>18</v>
      </c>
      <c r="BJ5649">
        <v>33</v>
      </c>
      <c r="BK5649">
        <v>15</v>
      </c>
      <c r="BO5649" t="s">
        <v>595</v>
      </c>
      <c r="BP5649" s="184"/>
    </row>
    <row r="5650" spans="1:68">
      <c r="A5650">
        <v>100174736</v>
      </c>
      <c r="B5650">
        <v>100174736</v>
      </c>
      <c r="C5650" t="s">
        <v>7018</v>
      </c>
      <c r="E5650" s="184"/>
      <c r="I5650" s="184"/>
      <c r="J5650" t="s">
        <v>595</v>
      </c>
      <c r="K5650" s="184">
        <v>42916</v>
      </c>
      <c r="O5650" s="184"/>
      <c r="Q5650" t="s">
        <v>7160</v>
      </c>
      <c r="R5650" s="184"/>
      <c r="V5650" t="s">
        <v>39015</v>
      </c>
      <c r="W5650" t="s">
        <v>7356</v>
      </c>
      <c r="X5650" t="s">
        <v>10613</v>
      </c>
      <c r="AI5650" t="s">
        <v>39016</v>
      </c>
      <c r="AM5650" t="s">
        <v>3112</v>
      </c>
      <c r="AN5650" t="s">
        <v>4637</v>
      </c>
      <c r="AO5650" t="s">
        <v>39017</v>
      </c>
      <c r="AP5650" t="s">
        <v>7024</v>
      </c>
      <c r="AT5650" s="184">
        <v>33984</v>
      </c>
      <c r="AU5650" t="s">
        <v>39018</v>
      </c>
      <c r="AV5650">
        <v>25</v>
      </c>
      <c r="AW5650" s="184">
        <v>42916</v>
      </c>
      <c r="AX5650" t="s">
        <v>19550</v>
      </c>
      <c r="AY5650">
        <v>1000</v>
      </c>
      <c r="AZ5650" s="184">
        <v>42916</v>
      </c>
      <c r="BA5650" t="s">
        <v>19550</v>
      </c>
      <c r="BB5650">
        <v>1000</v>
      </c>
      <c r="BC5650">
        <v>35</v>
      </c>
      <c r="BD5650">
        <v>1295</v>
      </c>
      <c r="BE5650">
        <v>1993</v>
      </c>
      <c r="BF5650">
        <v>18</v>
      </c>
      <c r="BI5650">
        <v>11</v>
      </c>
      <c r="BJ5650">
        <v>32</v>
      </c>
      <c r="BK5650">
        <v>5</v>
      </c>
      <c r="BO5650" t="s">
        <v>595</v>
      </c>
      <c r="BP5650" s="184">
        <v>41756</v>
      </c>
    </row>
    <row r="5651" spans="1:68">
      <c r="A5651">
        <v>100174738</v>
      </c>
      <c r="B5651">
        <v>100174738</v>
      </c>
      <c r="C5651" t="s">
        <v>7018</v>
      </c>
      <c r="E5651" s="184"/>
      <c r="G5651" s="184"/>
      <c r="I5651" s="184"/>
      <c r="J5651" t="s">
        <v>595</v>
      </c>
      <c r="K5651" s="184">
        <v>38400</v>
      </c>
      <c r="O5651" s="184"/>
      <c r="Q5651" t="s">
        <v>7194</v>
      </c>
      <c r="R5651" s="184">
        <v>6067</v>
      </c>
      <c r="S5651">
        <v>107</v>
      </c>
      <c r="U5651" t="s">
        <v>15150</v>
      </c>
      <c r="V5651" t="s">
        <v>2511</v>
      </c>
      <c r="W5651" t="s">
        <v>3360</v>
      </c>
      <c r="X5651" t="s">
        <v>2833</v>
      </c>
      <c r="AI5651" t="s">
        <v>39019</v>
      </c>
      <c r="AJ5651" t="s">
        <v>39020</v>
      </c>
      <c r="AK5651" t="s">
        <v>38269</v>
      </c>
      <c r="AM5651" t="s">
        <v>39021</v>
      </c>
      <c r="AN5651" t="s">
        <v>2046</v>
      </c>
      <c r="AO5651">
        <v>34698</v>
      </c>
      <c r="AP5651" t="s">
        <v>7024</v>
      </c>
      <c r="AT5651" s="184">
        <v>33995</v>
      </c>
      <c r="AU5651" t="s">
        <v>39022</v>
      </c>
      <c r="AV5651">
        <v>30</v>
      </c>
      <c r="AW5651" s="184">
        <v>38400</v>
      </c>
      <c r="AX5651" t="s">
        <v>37872</v>
      </c>
      <c r="AY5651">
        <v>500</v>
      </c>
      <c r="AZ5651" s="184">
        <v>38400</v>
      </c>
      <c r="BA5651" t="s">
        <v>37872</v>
      </c>
      <c r="BB5651">
        <v>500</v>
      </c>
      <c r="BC5651">
        <v>13</v>
      </c>
      <c r="BD5651">
        <v>728</v>
      </c>
      <c r="BE5651">
        <v>1993</v>
      </c>
      <c r="BF5651">
        <v>7</v>
      </c>
      <c r="BI5651">
        <v>4</v>
      </c>
      <c r="BJ5651">
        <v>32</v>
      </c>
      <c r="BK5651">
        <v>3</v>
      </c>
      <c r="BO5651" t="s">
        <v>595</v>
      </c>
      <c r="BP5651" s="184"/>
    </row>
    <row r="5652" spans="1:68">
      <c r="A5652">
        <v>100174767</v>
      </c>
      <c r="B5652">
        <v>100174767</v>
      </c>
      <c r="C5652" t="s">
        <v>7018</v>
      </c>
      <c r="E5652" s="184"/>
      <c r="I5652" s="184"/>
      <c r="J5652" t="s">
        <v>595</v>
      </c>
      <c r="K5652" s="184">
        <v>37635</v>
      </c>
      <c r="M5652" s="184"/>
      <c r="O5652" s="184"/>
      <c r="Q5652" t="s">
        <v>7383</v>
      </c>
      <c r="R5652" s="184">
        <v>8068</v>
      </c>
      <c r="S5652">
        <v>102</v>
      </c>
      <c r="U5652" t="s">
        <v>7076</v>
      </c>
      <c r="V5652" t="s">
        <v>2586</v>
      </c>
      <c r="W5652" t="s">
        <v>3332</v>
      </c>
      <c r="X5652" t="s">
        <v>39023</v>
      </c>
      <c r="AI5652" t="s">
        <v>39024</v>
      </c>
      <c r="AM5652" t="s">
        <v>3345</v>
      </c>
      <c r="AN5652" t="s">
        <v>2274</v>
      </c>
      <c r="AO5652" t="s">
        <v>39025</v>
      </c>
      <c r="AP5652" t="s">
        <v>7024</v>
      </c>
      <c r="AT5652" s="184">
        <v>34207</v>
      </c>
      <c r="AU5652" t="s">
        <v>39026</v>
      </c>
      <c r="AV5652">
        <v>15</v>
      </c>
      <c r="AW5652" s="184">
        <v>37635</v>
      </c>
      <c r="AX5652" t="s">
        <v>37822</v>
      </c>
      <c r="AY5652">
        <v>1364.35</v>
      </c>
      <c r="AZ5652" s="184">
        <v>37335</v>
      </c>
      <c r="BA5652" t="s">
        <v>37801</v>
      </c>
      <c r="BB5652">
        <v>5000</v>
      </c>
      <c r="BC5652">
        <v>32</v>
      </c>
      <c r="BD5652">
        <v>6744.35</v>
      </c>
      <c r="BE5652">
        <v>1994</v>
      </c>
      <c r="BF5652">
        <v>27</v>
      </c>
      <c r="BI5652">
        <v>10</v>
      </c>
      <c r="BJ5652">
        <v>32</v>
      </c>
      <c r="BK5652">
        <v>8</v>
      </c>
      <c r="BM5652" t="s">
        <v>595</v>
      </c>
      <c r="BO5652" t="s">
        <v>595</v>
      </c>
      <c r="BP5652" s="184"/>
    </row>
    <row r="5653" spans="1:68">
      <c r="A5653">
        <v>100174768</v>
      </c>
      <c r="B5653">
        <v>100174768</v>
      </c>
      <c r="C5653" t="s">
        <v>7018</v>
      </c>
      <c r="I5653" s="184"/>
      <c r="J5653" t="s">
        <v>595</v>
      </c>
      <c r="K5653" s="184">
        <v>41015</v>
      </c>
      <c r="O5653" s="184"/>
      <c r="Q5653" t="s">
        <v>7160</v>
      </c>
      <c r="R5653" s="184">
        <v>13147</v>
      </c>
      <c r="S5653">
        <v>88</v>
      </c>
      <c r="V5653" t="s">
        <v>3101</v>
      </c>
      <c r="W5653" t="s">
        <v>7396</v>
      </c>
      <c r="X5653" t="s">
        <v>39027</v>
      </c>
      <c r="Z5653">
        <v>100174769</v>
      </c>
      <c r="AB5653" t="s">
        <v>2775</v>
      </c>
      <c r="AC5653" t="s">
        <v>7107</v>
      </c>
      <c r="AD5653" t="s">
        <v>39027</v>
      </c>
      <c r="AI5653" t="s">
        <v>39028</v>
      </c>
      <c r="AM5653" t="s">
        <v>39029</v>
      </c>
      <c r="AN5653" t="s">
        <v>2395</v>
      </c>
      <c r="AO5653" t="s">
        <v>39030</v>
      </c>
      <c r="AP5653" t="s">
        <v>7024</v>
      </c>
      <c r="AQ5653" t="s">
        <v>39031</v>
      </c>
      <c r="AT5653" s="184">
        <v>34256</v>
      </c>
      <c r="AU5653" t="s">
        <v>14029</v>
      </c>
      <c r="AV5653">
        <v>19.95</v>
      </c>
      <c r="AW5653" s="184">
        <v>41015</v>
      </c>
      <c r="AX5653" t="s">
        <v>18846</v>
      </c>
      <c r="AY5653">
        <v>25000</v>
      </c>
      <c r="AZ5653" s="184">
        <v>41015</v>
      </c>
      <c r="BA5653" t="s">
        <v>18846</v>
      </c>
      <c r="BB5653">
        <v>25000</v>
      </c>
      <c r="BC5653">
        <v>57</v>
      </c>
      <c r="BD5653">
        <v>26479.95</v>
      </c>
      <c r="BE5653">
        <v>1994</v>
      </c>
      <c r="BF5653">
        <v>24</v>
      </c>
      <c r="BI5653">
        <v>18</v>
      </c>
      <c r="BJ5653">
        <v>32</v>
      </c>
      <c r="BK5653">
        <v>15</v>
      </c>
      <c r="BO5653" t="s">
        <v>595</v>
      </c>
      <c r="BP5653" s="184">
        <v>40657</v>
      </c>
    </row>
    <row r="5654" spans="1:68">
      <c r="A5654">
        <v>100174769</v>
      </c>
      <c r="B5654">
        <v>100174768</v>
      </c>
      <c r="C5654" t="s">
        <v>7018</v>
      </c>
      <c r="E5654" s="184"/>
      <c r="I5654" s="184"/>
      <c r="J5654" t="s">
        <v>595</v>
      </c>
      <c r="K5654" s="184">
        <v>43781</v>
      </c>
      <c r="M5654" s="184"/>
      <c r="O5654" s="184"/>
      <c r="Q5654" t="s">
        <v>7160</v>
      </c>
      <c r="R5654" s="184"/>
      <c r="V5654" t="s">
        <v>2775</v>
      </c>
      <c r="W5654" t="s">
        <v>7107</v>
      </c>
      <c r="X5654" t="s">
        <v>39027</v>
      </c>
      <c r="Z5654">
        <v>100174768</v>
      </c>
      <c r="AB5654" t="s">
        <v>3101</v>
      </c>
      <c r="AC5654" t="s">
        <v>7396</v>
      </c>
      <c r="AD5654" t="s">
        <v>39027</v>
      </c>
      <c r="AI5654" t="s">
        <v>39028</v>
      </c>
      <c r="AM5654" t="s">
        <v>39029</v>
      </c>
      <c r="AN5654" t="s">
        <v>2395</v>
      </c>
      <c r="AO5654" t="s">
        <v>39030</v>
      </c>
      <c r="AP5654" t="s">
        <v>7024</v>
      </c>
      <c r="AT5654" s="184"/>
      <c r="AW5654" s="184"/>
      <c r="AZ5654" s="184"/>
      <c r="BO5654" t="s">
        <v>595</v>
      </c>
      <c r="BP5654" s="184"/>
    </row>
    <row r="5655" spans="1:68">
      <c r="A5655">
        <v>100174770</v>
      </c>
      <c r="B5655">
        <v>100174770</v>
      </c>
      <c r="C5655" t="s">
        <v>7018</v>
      </c>
      <c r="E5655" s="184"/>
      <c r="I5655" s="184"/>
      <c r="J5655" t="s">
        <v>595</v>
      </c>
      <c r="K5655" s="184">
        <v>38352</v>
      </c>
      <c r="O5655" s="184"/>
      <c r="Q5655" t="s">
        <v>7374</v>
      </c>
      <c r="R5655" s="184"/>
      <c r="U5655" t="s">
        <v>15150</v>
      </c>
      <c r="V5655" t="s">
        <v>5928</v>
      </c>
      <c r="X5655" t="s">
        <v>39032</v>
      </c>
      <c r="AF5655" t="s">
        <v>39033</v>
      </c>
      <c r="AG5655" t="s">
        <v>5928</v>
      </c>
      <c r="AI5655" t="s">
        <v>39034</v>
      </c>
      <c r="AM5655" t="s">
        <v>27951</v>
      </c>
      <c r="AN5655" t="s">
        <v>2081</v>
      </c>
      <c r="AO5655" t="s">
        <v>39035</v>
      </c>
      <c r="AP5655" t="s">
        <v>7024</v>
      </c>
      <c r="AT5655" s="184">
        <v>34263</v>
      </c>
      <c r="AU5655" t="s">
        <v>39036</v>
      </c>
      <c r="AV5655">
        <v>25</v>
      </c>
      <c r="AW5655" s="184">
        <v>38352</v>
      </c>
      <c r="AX5655" t="s">
        <v>37872</v>
      </c>
      <c r="AY5655">
        <v>8290.5300000000007</v>
      </c>
      <c r="AZ5655" s="184">
        <v>38352</v>
      </c>
      <c r="BA5655" t="s">
        <v>37872</v>
      </c>
      <c r="BB5655">
        <v>8290.5300000000007</v>
      </c>
      <c r="BC5655">
        <v>7</v>
      </c>
      <c r="BD5655">
        <v>15815.53</v>
      </c>
      <c r="BE5655">
        <v>1994</v>
      </c>
      <c r="BF5655">
        <v>3</v>
      </c>
      <c r="BI5655">
        <v>2</v>
      </c>
      <c r="BJ5655">
        <v>32</v>
      </c>
      <c r="BK5655">
        <v>1</v>
      </c>
      <c r="BO5655" t="s">
        <v>595</v>
      </c>
      <c r="BP5655" s="184">
        <v>37911</v>
      </c>
    </row>
    <row r="5656" spans="1:68">
      <c r="A5656">
        <v>100174771</v>
      </c>
      <c r="B5656">
        <v>100174771</v>
      </c>
      <c r="C5656" t="s">
        <v>7018</v>
      </c>
      <c r="E5656" s="184"/>
      <c r="G5656" s="184"/>
      <c r="I5656" s="184"/>
      <c r="J5656" t="s">
        <v>595</v>
      </c>
      <c r="K5656" s="184">
        <v>38518</v>
      </c>
      <c r="O5656" s="184"/>
      <c r="Q5656" t="s">
        <v>7020</v>
      </c>
      <c r="R5656" s="184">
        <v>9303</v>
      </c>
      <c r="S5656">
        <v>98</v>
      </c>
      <c r="U5656" t="s">
        <v>15150</v>
      </c>
      <c r="V5656" t="s">
        <v>2898</v>
      </c>
      <c r="W5656" t="s">
        <v>7046</v>
      </c>
      <c r="X5656" t="s">
        <v>3250</v>
      </c>
      <c r="AF5656" t="s">
        <v>39037</v>
      </c>
      <c r="AG5656" t="s">
        <v>2898</v>
      </c>
      <c r="AI5656" t="s">
        <v>39038</v>
      </c>
      <c r="AM5656" t="s">
        <v>3060</v>
      </c>
      <c r="AN5656" t="s">
        <v>2112</v>
      </c>
      <c r="AO5656" t="s">
        <v>39039</v>
      </c>
      <c r="AP5656" t="s">
        <v>7024</v>
      </c>
      <c r="AT5656" s="184">
        <v>34285</v>
      </c>
      <c r="AU5656" t="s">
        <v>39040</v>
      </c>
      <c r="AV5656">
        <v>25</v>
      </c>
      <c r="AW5656" s="184">
        <v>38518</v>
      </c>
      <c r="AX5656" t="s">
        <v>37872</v>
      </c>
      <c r="AY5656">
        <v>36412.01</v>
      </c>
      <c r="AZ5656" s="184">
        <v>38518</v>
      </c>
      <c r="BA5656" t="s">
        <v>37872</v>
      </c>
      <c r="BB5656">
        <v>36412.01</v>
      </c>
      <c r="BC5656">
        <v>41</v>
      </c>
      <c r="BD5656">
        <v>42547.01</v>
      </c>
      <c r="BE5656">
        <v>1994</v>
      </c>
      <c r="BF5656">
        <v>16</v>
      </c>
      <c r="BI5656">
        <v>13</v>
      </c>
      <c r="BJ5656">
        <v>32</v>
      </c>
      <c r="BK5656">
        <v>13</v>
      </c>
      <c r="BO5656" t="s">
        <v>595</v>
      </c>
      <c r="BP5656" s="184">
        <v>37987</v>
      </c>
    </row>
    <row r="5657" spans="1:68">
      <c r="A5657">
        <v>100174772</v>
      </c>
      <c r="B5657">
        <v>100174772</v>
      </c>
      <c r="C5657" t="s">
        <v>7018</v>
      </c>
      <c r="E5657" s="184"/>
      <c r="I5657" s="184"/>
      <c r="J5657" t="s">
        <v>595</v>
      </c>
      <c r="K5657" s="184">
        <v>41075</v>
      </c>
      <c r="M5657" s="184"/>
      <c r="O5657" s="184"/>
      <c r="Q5657" t="s">
        <v>7383</v>
      </c>
      <c r="R5657" s="184">
        <v>7511</v>
      </c>
      <c r="S5657">
        <v>103</v>
      </c>
      <c r="U5657" t="s">
        <v>7130</v>
      </c>
      <c r="V5657" t="s">
        <v>2876</v>
      </c>
      <c r="W5657" t="s">
        <v>8224</v>
      </c>
      <c r="X5657" t="s">
        <v>39041</v>
      </c>
      <c r="AI5657" t="s">
        <v>39042</v>
      </c>
      <c r="AM5657" t="s">
        <v>2703</v>
      </c>
      <c r="AN5657" t="s">
        <v>2064</v>
      </c>
      <c r="AO5657" t="s">
        <v>39043</v>
      </c>
      <c r="AP5657" t="s">
        <v>7024</v>
      </c>
      <c r="AT5657" s="184">
        <v>34288</v>
      </c>
      <c r="AU5657" t="s">
        <v>14930</v>
      </c>
      <c r="AV5657">
        <v>25</v>
      </c>
      <c r="AW5657" s="184">
        <v>41075</v>
      </c>
      <c r="AX5657" t="s">
        <v>18846</v>
      </c>
      <c r="AY5657">
        <v>43200.25</v>
      </c>
      <c r="AZ5657" s="184">
        <v>40961</v>
      </c>
      <c r="BA5657" t="s">
        <v>18846</v>
      </c>
      <c r="BB5657">
        <v>175000</v>
      </c>
      <c r="BC5657">
        <v>44</v>
      </c>
      <c r="BD5657">
        <v>220840.25</v>
      </c>
      <c r="BE5657">
        <v>1994</v>
      </c>
      <c r="BF5657">
        <v>32</v>
      </c>
      <c r="BI5657">
        <v>14</v>
      </c>
      <c r="BJ5657">
        <v>32</v>
      </c>
      <c r="BK5657">
        <v>11</v>
      </c>
      <c r="BO5657" t="s">
        <v>595</v>
      </c>
      <c r="BP5657" s="184">
        <v>40702</v>
      </c>
    </row>
    <row r="5658" spans="1:68">
      <c r="A5658">
        <v>100174777</v>
      </c>
      <c r="B5658">
        <v>100174777</v>
      </c>
      <c r="C5658" t="s">
        <v>7018</v>
      </c>
      <c r="E5658" s="184"/>
      <c r="I5658" s="184"/>
      <c r="J5658" t="s">
        <v>595</v>
      </c>
      <c r="K5658" s="184">
        <v>39813</v>
      </c>
      <c r="Q5658" t="s">
        <v>7030</v>
      </c>
      <c r="R5658" s="184">
        <v>5115</v>
      </c>
      <c r="S5658">
        <v>110</v>
      </c>
      <c r="U5658" t="s">
        <v>7130</v>
      </c>
      <c r="V5658" t="s">
        <v>39044</v>
      </c>
      <c r="X5658" t="s">
        <v>39045</v>
      </c>
      <c r="AI5658" t="s">
        <v>39046</v>
      </c>
      <c r="AM5658" t="s">
        <v>3181</v>
      </c>
      <c r="AN5658" t="s">
        <v>2094</v>
      </c>
      <c r="AO5658" t="s">
        <v>39047</v>
      </c>
      <c r="AP5658" t="s">
        <v>7024</v>
      </c>
      <c r="AT5658" s="184">
        <v>34250</v>
      </c>
      <c r="AU5658" t="s">
        <v>39048</v>
      </c>
      <c r="AV5658">
        <v>2</v>
      </c>
      <c r="AW5658" s="184">
        <v>39813</v>
      </c>
      <c r="AX5658" t="s">
        <v>9877</v>
      </c>
      <c r="AY5658">
        <v>4686.17</v>
      </c>
      <c r="AZ5658" s="184">
        <v>39813</v>
      </c>
      <c r="BA5658" t="s">
        <v>9877</v>
      </c>
      <c r="BB5658">
        <v>4686.17</v>
      </c>
      <c r="BC5658">
        <v>19</v>
      </c>
      <c r="BD5658">
        <v>4948.17</v>
      </c>
      <c r="BE5658">
        <v>1994</v>
      </c>
      <c r="BF5658">
        <v>11</v>
      </c>
      <c r="BI5658">
        <v>6</v>
      </c>
      <c r="BJ5658">
        <v>32</v>
      </c>
      <c r="BK5658">
        <v>5</v>
      </c>
      <c r="BO5658" t="s">
        <v>595</v>
      </c>
      <c r="BP5658" s="184">
        <v>39322</v>
      </c>
    </row>
    <row r="5659" spans="1:68">
      <c r="A5659">
        <v>100174781</v>
      </c>
      <c r="B5659">
        <v>100174781</v>
      </c>
      <c r="C5659" t="s">
        <v>7018</v>
      </c>
      <c r="E5659" s="184"/>
      <c r="I5659" s="184"/>
      <c r="J5659" t="s">
        <v>595</v>
      </c>
      <c r="K5659" s="184">
        <v>38477</v>
      </c>
      <c r="O5659" s="184"/>
      <c r="Q5659" t="s">
        <v>7383</v>
      </c>
      <c r="R5659" s="184"/>
      <c r="U5659" t="s">
        <v>15150</v>
      </c>
      <c r="V5659" t="s">
        <v>4140</v>
      </c>
      <c r="W5659" t="s">
        <v>25342</v>
      </c>
      <c r="X5659" t="s">
        <v>36328</v>
      </c>
      <c r="AF5659" t="s">
        <v>39049</v>
      </c>
      <c r="AG5659" t="s">
        <v>4140</v>
      </c>
      <c r="AI5659" t="s">
        <v>39050</v>
      </c>
      <c r="AM5659" t="s">
        <v>9336</v>
      </c>
      <c r="AN5659" t="s">
        <v>2313</v>
      </c>
      <c r="AO5659" t="s">
        <v>39051</v>
      </c>
      <c r="AP5659" t="s">
        <v>7024</v>
      </c>
      <c r="AT5659" s="184">
        <v>34253</v>
      </c>
      <c r="AU5659" t="s">
        <v>39052</v>
      </c>
      <c r="AV5659">
        <v>5</v>
      </c>
      <c r="AW5659" s="184">
        <v>38477</v>
      </c>
      <c r="AX5659" t="s">
        <v>37872</v>
      </c>
      <c r="AY5659">
        <v>29017.22</v>
      </c>
      <c r="AZ5659" s="184">
        <v>38384</v>
      </c>
      <c r="BA5659" t="s">
        <v>37872</v>
      </c>
      <c r="BB5659">
        <v>40544.57</v>
      </c>
      <c r="BC5659">
        <v>25</v>
      </c>
      <c r="BD5659">
        <v>69914.75</v>
      </c>
      <c r="BE5659">
        <v>1994</v>
      </c>
      <c r="BF5659">
        <v>14</v>
      </c>
      <c r="BI5659">
        <v>8</v>
      </c>
      <c r="BJ5659">
        <v>32</v>
      </c>
      <c r="BK5659">
        <v>6</v>
      </c>
      <c r="BM5659" t="s">
        <v>595</v>
      </c>
      <c r="BO5659" t="s">
        <v>595</v>
      </c>
      <c r="BP5659" s="184">
        <v>37784</v>
      </c>
    </row>
    <row r="5660" spans="1:68">
      <c r="A5660">
        <v>100174816</v>
      </c>
      <c r="B5660">
        <v>100174816</v>
      </c>
      <c r="C5660" t="s">
        <v>7018</v>
      </c>
      <c r="E5660" s="184"/>
      <c r="G5660" s="184"/>
      <c r="I5660" s="184"/>
      <c r="J5660" t="s">
        <v>595</v>
      </c>
      <c r="K5660" s="184">
        <v>41264</v>
      </c>
      <c r="Q5660" t="s">
        <v>7374</v>
      </c>
      <c r="R5660" s="184">
        <v>6590</v>
      </c>
      <c r="S5660">
        <v>106</v>
      </c>
      <c r="U5660" t="s">
        <v>7076</v>
      </c>
      <c r="V5660" t="s">
        <v>2876</v>
      </c>
      <c r="W5660" t="s">
        <v>2049</v>
      </c>
      <c r="X5660" t="s">
        <v>3200</v>
      </c>
      <c r="AI5660" t="s">
        <v>39053</v>
      </c>
      <c r="AM5660" t="s">
        <v>39054</v>
      </c>
      <c r="AN5660" t="s">
        <v>2081</v>
      </c>
      <c r="AO5660" t="s">
        <v>39055</v>
      </c>
      <c r="AP5660" t="s">
        <v>7024</v>
      </c>
      <c r="AT5660" s="184">
        <v>34274</v>
      </c>
      <c r="AU5660" t="s">
        <v>14854</v>
      </c>
      <c r="AV5660">
        <v>15</v>
      </c>
      <c r="AW5660" s="184">
        <v>41264</v>
      </c>
      <c r="AX5660" t="s">
        <v>13035</v>
      </c>
      <c r="AY5660">
        <v>203.91</v>
      </c>
      <c r="AZ5660" s="184">
        <v>40562</v>
      </c>
      <c r="BA5660" t="s">
        <v>14283</v>
      </c>
      <c r="BB5660">
        <v>17867.36</v>
      </c>
      <c r="BC5660">
        <v>50</v>
      </c>
      <c r="BD5660">
        <v>18946.27</v>
      </c>
      <c r="BE5660">
        <v>1994</v>
      </c>
      <c r="BF5660">
        <v>46</v>
      </c>
      <c r="BI5660">
        <v>16</v>
      </c>
      <c r="BJ5660">
        <v>32</v>
      </c>
      <c r="BK5660">
        <v>11</v>
      </c>
      <c r="BO5660" t="s">
        <v>595</v>
      </c>
      <c r="BP5660" s="184">
        <v>39873</v>
      </c>
    </row>
    <row r="5661" spans="1:68">
      <c r="A5661">
        <v>100174819</v>
      </c>
      <c r="B5661">
        <v>100174819</v>
      </c>
      <c r="C5661" t="s">
        <v>7018</v>
      </c>
      <c r="E5661" s="184"/>
      <c r="I5661" s="184"/>
      <c r="J5661" t="s">
        <v>595</v>
      </c>
      <c r="K5661" s="184">
        <v>40555</v>
      </c>
      <c r="O5661" s="184"/>
      <c r="Q5661" t="s">
        <v>7020</v>
      </c>
      <c r="R5661" s="184">
        <v>13390</v>
      </c>
      <c r="S5661">
        <v>87</v>
      </c>
      <c r="U5661" t="s">
        <v>7076</v>
      </c>
      <c r="V5661" t="s">
        <v>5400</v>
      </c>
      <c r="X5661" t="s">
        <v>39056</v>
      </c>
      <c r="AI5661" t="s">
        <v>39057</v>
      </c>
      <c r="AM5661" t="s">
        <v>39058</v>
      </c>
      <c r="AN5661" t="s">
        <v>2363</v>
      </c>
      <c r="AO5661" t="s">
        <v>39059</v>
      </c>
      <c r="AP5661" t="s">
        <v>7024</v>
      </c>
      <c r="AT5661" s="184">
        <v>34296</v>
      </c>
      <c r="AU5661" t="s">
        <v>14930</v>
      </c>
      <c r="AV5661">
        <v>35</v>
      </c>
      <c r="AW5661" s="184">
        <v>40555</v>
      </c>
      <c r="AX5661" t="s">
        <v>14283</v>
      </c>
      <c r="AY5661">
        <v>1000</v>
      </c>
      <c r="AZ5661" s="184">
        <v>40555</v>
      </c>
      <c r="BA5661" t="s">
        <v>14283</v>
      </c>
      <c r="BB5661">
        <v>1000</v>
      </c>
      <c r="BC5661">
        <v>54</v>
      </c>
      <c r="BD5661">
        <v>2025</v>
      </c>
      <c r="BE5661">
        <v>1994</v>
      </c>
      <c r="BF5661">
        <v>27</v>
      </c>
      <c r="BI5661">
        <v>17</v>
      </c>
      <c r="BJ5661">
        <v>32</v>
      </c>
      <c r="BK5661">
        <v>12</v>
      </c>
      <c r="BO5661" t="s">
        <v>595</v>
      </c>
      <c r="BP5661" s="184">
        <v>40415</v>
      </c>
    </row>
    <row r="5662" spans="1:68">
      <c r="A5662">
        <v>100174821</v>
      </c>
      <c r="B5662">
        <v>100174821</v>
      </c>
      <c r="C5662" t="s">
        <v>7018</v>
      </c>
      <c r="E5662" s="184"/>
      <c r="I5662" s="184"/>
      <c r="J5662" t="s">
        <v>595</v>
      </c>
      <c r="K5662" s="184">
        <v>38188</v>
      </c>
      <c r="O5662" s="184"/>
      <c r="Q5662" t="s">
        <v>7374</v>
      </c>
      <c r="R5662" s="184"/>
      <c r="U5662" t="s">
        <v>7094</v>
      </c>
      <c r="V5662" t="s">
        <v>3249</v>
      </c>
      <c r="X5662" t="s">
        <v>39060</v>
      </c>
      <c r="AI5662" t="s">
        <v>39061</v>
      </c>
      <c r="AM5662" t="s">
        <v>39062</v>
      </c>
      <c r="AN5662" t="s">
        <v>2081</v>
      </c>
      <c r="AO5662" t="s">
        <v>39063</v>
      </c>
      <c r="AP5662" t="s">
        <v>7024</v>
      </c>
      <c r="AT5662" s="184">
        <v>34304</v>
      </c>
      <c r="AU5662" t="s">
        <v>39064</v>
      </c>
      <c r="AV5662">
        <v>25</v>
      </c>
      <c r="AW5662" s="184">
        <v>38188</v>
      </c>
      <c r="AX5662" t="s">
        <v>37872</v>
      </c>
      <c r="AY5662">
        <v>10000</v>
      </c>
      <c r="AZ5662" s="184">
        <v>38188</v>
      </c>
      <c r="BA5662" t="s">
        <v>37872</v>
      </c>
      <c r="BB5662">
        <v>10000</v>
      </c>
      <c r="BC5662">
        <v>10</v>
      </c>
      <c r="BD5662">
        <v>10040</v>
      </c>
      <c r="BE5662">
        <v>1994</v>
      </c>
      <c r="BF5662">
        <v>3</v>
      </c>
      <c r="BI5662">
        <v>3</v>
      </c>
      <c r="BJ5662">
        <v>32</v>
      </c>
      <c r="BK5662">
        <v>2</v>
      </c>
      <c r="BO5662" t="s">
        <v>595</v>
      </c>
      <c r="BP5662" s="184">
        <v>37959</v>
      </c>
    </row>
    <row r="5663" spans="1:68">
      <c r="A5663">
        <v>100174824</v>
      </c>
      <c r="B5663">
        <v>100174824</v>
      </c>
      <c r="C5663" t="s">
        <v>7018</v>
      </c>
      <c r="E5663" s="184"/>
      <c r="I5663" s="184"/>
      <c r="J5663" t="s">
        <v>595</v>
      </c>
      <c r="K5663" s="184">
        <v>42865</v>
      </c>
      <c r="O5663" s="184"/>
      <c r="P5663" t="s">
        <v>7045</v>
      </c>
      <c r="Q5663" t="s">
        <v>7374</v>
      </c>
      <c r="R5663" s="184">
        <v>14393</v>
      </c>
      <c r="S5663">
        <v>84</v>
      </c>
      <c r="U5663" t="s">
        <v>7076</v>
      </c>
      <c r="V5663" t="s">
        <v>12889</v>
      </c>
      <c r="W5663" t="s">
        <v>3951</v>
      </c>
      <c r="X5663" t="s">
        <v>29544</v>
      </c>
      <c r="AF5663" t="s">
        <v>39065</v>
      </c>
      <c r="AG5663" t="s">
        <v>12889</v>
      </c>
      <c r="AI5663" t="s">
        <v>39066</v>
      </c>
      <c r="AM5663" t="s">
        <v>27871</v>
      </c>
      <c r="AN5663" t="s">
        <v>2081</v>
      </c>
      <c r="AO5663" t="s">
        <v>39067</v>
      </c>
      <c r="AP5663" t="s">
        <v>7024</v>
      </c>
      <c r="AT5663" s="184">
        <v>34320</v>
      </c>
      <c r="AU5663" t="s">
        <v>39068</v>
      </c>
      <c r="AV5663">
        <v>25</v>
      </c>
      <c r="AW5663" s="184">
        <v>44459</v>
      </c>
      <c r="AX5663" t="s">
        <v>7093</v>
      </c>
      <c r="AY5663">
        <v>3509.82</v>
      </c>
      <c r="AZ5663" s="184">
        <v>42198</v>
      </c>
      <c r="BA5663" t="s">
        <v>11622</v>
      </c>
      <c r="BB5663">
        <v>7045.1</v>
      </c>
      <c r="BC5663">
        <v>75</v>
      </c>
      <c r="BD5663">
        <v>26422.92</v>
      </c>
      <c r="BE5663">
        <v>1994</v>
      </c>
      <c r="BF5663">
        <v>74</v>
      </c>
      <c r="BI5663">
        <v>24</v>
      </c>
      <c r="BJ5663">
        <v>32</v>
      </c>
      <c r="BK5663">
        <v>13</v>
      </c>
      <c r="BO5663" t="s">
        <v>595</v>
      </c>
      <c r="BP5663" s="184">
        <v>41679</v>
      </c>
    </row>
    <row r="5664" spans="1:68">
      <c r="A5664">
        <v>100174853</v>
      </c>
      <c r="B5664">
        <v>100174853</v>
      </c>
      <c r="C5664" t="s">
        <v>7018</v>
      </c>
      <c r="E5664" s="184"/>
      <c r="G5664" s="184"/>
      <c r="I5664" s="184"/>
      <c r="J5664" t="s">
        <v>595</v>
      </c>
      <c r="K5664" s="184">
        <v>42185</v>
      </c>
      <c r="Q5664" t="s">
        <v>7160</v>
      </c>
      <c r="R5664" s="184"/>
      <c r="U5664" t="s">
        <v>7076</v>
      </c>
      <c r="V5664" t="s">
        <v>39069</v>
      </c>
      <c r="X5664" t="s">
        <v>39070</v>
      </c>
      <c r="Z5664">
        <v>100174854</v>
      </c>
      <c r="AB5664" t="s">
        <v>39069</v>
      </c>
      <c r="AD5664" t="s">
        <v>39070</v>
      </c>
      <c r="AI5664" t="s">
        <v>39071</v>
      </c>
      <c r="AM5664" t="s">
        <v>39072</v>
      </c>
      <c r="AN5664" t="s">
        <v>4637</v>
      </c>
      <c r="AO5664">
        <v>72482</v>
      </c>
      <c r="AP5664" t="s">
        <v>7024</v>
      </c>
      <c r="AT5664" s="184">
        <v>34334</v>
      </c>
      <c r="AU5664" t="s">
        <v>15037</v>
      </c>
      <c r="AV5664">
        <v>15</v>
      </c>
      <c r="AW5664" s="184">
        <v>42185</v>
      </c>
      <c r="AX5664" t="s">
        <v>14228</v>
      </c>
      <c r="AY5664">
        <v>3338.11</v>
      </c>
      <c r="AZ5664" s="184">
        <v>41045</v>
      </c>
      <c r="BA5664" t="s">
        <v>18846</v>
      </c>
      <c r="BB5664">
        <v>11091.79</v>
      </c>
      <c r="BC5664">
        <v>44</v>
      </c>
      <c r="BD5664">
        <v>14709.9</v>
      </c>
      <c r="BE5664">
        <v>1994</v>
      </c>
      <c r="BF5664">
        <v>14</v>
      </c>
      <c r="BI5664">
        <v>14</v>
      </c>
      <c r="BJ5664">
        <v>32</v>
      </c>
      <c r="BK5664">
        <v>12</v>
      </c>
      <c r="BO5664" t="s">
        <v>595</v>
      </c>
      <c r="BP5664" s="184">
        <v>40898</v>
      </c>
    </row>
    <row r="5665" spans="1:68">
      <c r="A5665">
        <v>100174857</v>
      </c>
      <c r="B5665">
        <v>100174856</v>
      </c>
      <c r="C5665" t="s">
        <v>7018</v>
      </c>
      <c r="E5665" s="184"/>
      <c r="J5665" t="s">
        <v>595</v>
      </c>
      <c r="K5665" s="184">
        <v>40008</v>
      </c>
      <c r="O5665" s="184"/>
      <c r="Q5665" t="s">
        <v>7374</v>
      </c>
      <c r="R5665" s="184"/>
      <c r="U5665" t="s">
        <v>7130</v>
      </c>
      <c r="V5665" t="s">
        <v>2705</v>
      </c>
      <c r="X5665" t="s">
        <v>12832</v>
      </c>
      <c r="Z5665">
        <v>100174856</v>
      </c>
      <c r="AA5665" t="s">
        <v>7031</v>
      </c>
      <c r="AB5665" t="s">
        <v>4093</v>
      </c>
      <c r="AD5665" t="s">
        <v>12832</v>
      </c>
      <c r="AI5665" t="s">
        <v>39073</v>
      </c>
      <c r="AJ5665" t="s">
        <v>39074</v>
      </c>
      <c r="AM5665" t="s">
        <v>4446</v>
      </c>
      <c r="AN5665" t="s">
        <v>2081</v>
      </c>
      <c r="AO5665">
        <v>91941</v>
      </c>
      <c r="AP5665" t="s">
        <v>7024</v>
      </c>
      <c r="AT5665" s="184"/>
      <c r="AW5665" s="184"/>
      <c r="AZ5665" s="184"/>
      <c r="BO5665" t="s">
        <v>595</v>
      </c>
      <c r="BP5665" s="184"/>
    </row>
    <row r="5666" spans="1:68">
      <c r="A5666">
        <v>100174862</v>
      </c>
      <c r="B5666">
        <v>100174862</v>
      </c>
      <c r="C5666" t="s">
        <v>7018</v>
      </c>
      <c r="E5666" s="184"/>
      <c r="I5666" s="184"/>
      <c r="J5666" t="s">
        <v>595</v>
      </c>
      <c r="K5666" s="184">
        <v>42626</v>
      </c>
      <c r="O5666" s="184"/>
      <c r="Q5666" t="s">
        <v>7194</v>
      </c>
      <c r="R5666" s="184">
        <v>8655</v>
      </c>
      <c r="S5666">
        <v>100</v>
      </c>
      <c r="U5666" t="s">
        <v>7076</v>
      </c>
      <c r="V5666" t="s">
        <v>3745</v>
      </c>
      <c r="W5666" t="s">
        <v>7046</v>
      </c>
      <c r="X5666" t="s">
        <v>39075</v>
      </c>
      <c r="AI5666" t="s">
        <v>39076</v>
      </c>
      <c r="AM5666" t="s">
        <v>39077</v>
      </c>
      <c r="AN5666" t="s">
        <v>2046</v>
      </c>
      <c r="AO5666" t="s">
        <v>39078</v>
      </c>
      <c r="AP5666" t="s">
        <v>7024</v>
      </c>
      <c r="AT5666" s="184">
        <v>34352</v>
      </c>
      <c r="AU5666" t="s">
        <v>15245</v>
      </c>
      <c r="AV5666">
        <v>25</v>
      </c>
      <c r="AW5666" s="184">
        <v>42626</v>
      </c>
      <c r="AX5666" t="s">
        <v>19550</v>
      </c>
      <c r="AY5666">
        <v>152484.37</v>
      </c>
      <c r="AZ5666" s="184">
        <v>42492</v>
      </c>
      <c r="BA5666" t="s">
        <v>11622</v>
      </c>
      <c r="BB5666">
        <v>300000</v>
      </c>
      <c r="BC5666">
        <v>49</v>
      </c>
      <c r="BD5666">
        <v>454104.37</v>
      </c>
      <c r="BE5666">
        <v>1994</v>
      </c>
      <c r="BF5666">
        <v>25</v>
      </c>
      <c r="BI5666">
        <v>15</v>
      </c>
      <c r="BJ5666">
        <v>31</v>
      </c>
      <c r="BK5666">
        <v>8</v>
      </c>
      <c r="BO5666" t="s">
        <v>595</v>
      </c>
      <c r="BP5666" s="184">
        <v>42344</v>
      </c>
    </row>
    <row r="5667" spans="1:68">
      <c r="A5667">
        <v>100174863</v>
      </c>
      <c r="B5667">
        <v>100174863</v>
      </c>
      <c r="C5667" t="s">
        <v>7018</v>
      </c>
      <c r="E5667" s="184"/>
      <c r="G5667" s="184"/>
      <c r="I5667" s="184"/>
      <c r="J5667" t="s">
        <v>595</v>
      </c>
      <c r="K5667" s="184">
        <v>43270</v>
      </c>
      <c r="O5667" s="184"/>
      <c r="Q5667" t="s">
        <v>7383</v>
      </c>
      <c r="R5667" s="184">
        <v>9561</v>
      </c>
      <c r="S5667">
        <v>98</v>
      </c>
      <c r="U5667" t="s">
        <v>7094</v>
      </c>
      <c r="V5667" t="s">
        <v>4032</v>
      </c>
      <c r="W5667" t="s">
        <v>2963</v>
      </c>
      <c r="X5667" t="s">
        <v>4196</v>
      </c>
      <c r="AI5667" t="s">
        <v>39079</v>
      </c>
      <c r="AM5667" t="s">
        <v>39080</v>
      </c>
      <c r="AN5667" t="s">
        <v>2072</v>
      </c>
      <c r="AO5667" t="s">
        <v>39081</v>
      </c>
      <c r="AP5667" t="s">
        <v>7024</v>
      </c>
      <c r="AT5667" s="184">
        <v>34352</v>
      </c>
      <c r="AU5667" t="s">
        <v>39082</v>
      </c>
      <c r="AV5667">
        <v>15</v>
      </c>
      <c r="AW5667" s="184">
        <v>43270</v>
      </c>
      <c r="AX5667" t="s">
        <v>7445</v>
      </c>
      <c r="AY5667">
        <v>16887.189999999999</v>
      </c>
      <c r="AZ5667" s="184">
        <v>43116</v>
      </c>
      <c r="BA5667" t="s">
        <v>7445</v>
      </c>
      <c r="BB5667">
        <v>62056.800000000003</v>
      </c>
      <c r="BC5667">
        <v>49</v>
      </c>
      <c r="BD5667">
        <v>108310.49</v>
      </c>
      <c r="BE5667">
        <v>1994</v>
      </c>
      <c r="BF5667">
        <v>20</v>
      </c>
      <c r="BI5667">
        <v>15</v>
      </c>
      <c r="BJ5667">
        <v>31</v>
      </c>
      <c r="BK5667">
        <v>3</v>
      </c>
      <c r="BO5667" t="s">
        <v>595</v>
      </c>
      <c r="BP5667" s="184">
        <v>42295</v>
      </c>
    </row>
    <row r="5668" spans="1:68">
      <c r="A5668">
        <v>100174879</v>
      </c>
      <c r="B5668">
        <v>100174879</v>
      </c>
      <c r="C5668" t="s">
        <v>7018</v>
      </c>
      <c r="E5668" s="184"/>
      <c r="I5668" s="184"/>
      <c r="J5668" t="s">
        <v>595</v>
      </c>
      <c r="K5668" s="184">
        <v>42758</v>
      </c>
      <c r="O5668" s="184"/>
      <c r="Q5668" t="s">
        <v>7194</v>
      </c>
      <c r="R5668" s="184">
        <v>11324</v>
      </c>
      <c r="S5668">
        <v>93</v>
      </c>
      <c r="U5668" t="s">
        <v>7031</v>
      </c>
      <c r="V5668" t="s">
        <v>2863</v>
      </c>
      <c r="W5668" t="s">
        <v>5006</v>
      </c>
      <c r="X5668" t="s">
        <v>39083</v>
      </c>
      <c r="Y5668" t="s">
        <v>7431</v>
      </c>
      <c r="AI5668" t="s">
        <v>39084</v>
      </c>
      <c r="AM5668" t="s">
        <v>4405</v>
      </c>
      <c r="AN5668" t="s">
        <v>2046</v>
      </c>
      <c r="AO5668" t="s">
        <v>39085</v>
      </c>
      <c r="AP5668" t="s">
        <v>7024</v>
      </c>
      <c r="AT5668" s="184">
        <v>34365</v>
      </c>
      <c r="AU5668" t="s">
        <v>15122</v>
      </c>
      <c r="AV5668">
        <v>15</v>
      </c>
      <c r="AW5668" s="184">
        <v>42758</v>
      </c>
      <c r="AX5668" t="s">
        <v>19550</v>
      </c>
      <c r="AY5668">
        <v>47860.45</v>
      </c>
      <c r="AZ5668" s="184">
        <v>42758</v>
      </c>
      <c r="BA5668" t="s">
        <v>19550</v>
      </c>
      <c r="BB5668">
        <v>47860.45</v>
      </c>
      <c r="BC5668">
        <v>75</v>
      </c>
      <c r="BD5668">
        <v>48685.45</v>
      </c>
      <c r="BE5668">
        <v>1994</v>
      </c>
      <c r="BF5668">
        <v>29</v>
      </c>
      <c r="BI5668">
        <v>23</v>
      </c>
      <c r="BJ5668">
        <v>31</v>
      </c>
      <c r="BK5668">
        <v>22</v>
      </c>
      <c r="BO5668" t="s">
        <v>595</v>
      </c>
      <c r="BP5668" s="184">
        <v>42487</v>
      </c>
    </row>
    <row r="5669" spans="1:68">
      <c r="A5669">
        <v>100174890</v>
      </c>
      <c r="B5669">
        <v>100174890</v>
      </c>
      <c r="C5669" t="s">
        <v>7018</v>
      </c>
      <c r="E5669" s="184"/>
      <c r="G5669" s="184"/>
      <c r="I5669" s="184"/>
      <c r="J5669" t="s">
        <v>595</v>
      </c>
      <c r="K5669" s="184">
        <v>38215</v>
      </c>
      <c r="O5669" s="184"/>
      <c r="Q5669" t="s">
        <v>7194</v>
      </c>
      <c r="R5669" s="184">
        <v>6711</v>
      </c>
      <c r="S5669">
        <v>105</v>
      </c>
      <c r="U5669" t="s">
        <v>15150</v>
      </c>
      <c r="V5669" t="s">
        <v>3400</v>
      </c>
      <c r="W5669" t="s">
        <v>39086</v>
      </c>
      <c r="X5669" t="s">
        <v>39087</v>
      </c>
      <c r="AI5669" t="s">
        <v>39088</v>
      </c>
      <c r="AM5669" t="s">
        <v>5517</v>
      </c>
      <c r="AN5669" t="s">
        <v>4512</v>
      </c>
      <c r="AO5669" t="s">
        <v>39089</v>
      </c>
      <c r="AP5669" t="s">
        <v>7024</v>
      </c>
      <c r="AT5669" s="184">
        <v>34389</v>
      </c>
      <c r="AU5669" t="s">
        <v>39090</v>
      </c>
      <c r="AV5669">
        <v>15</v>
      </c>
      <c r="AW5669" s="184">
        <v>38215</v>
      </c>
      <c r="AX5669" t="s">
        <v>37872</v>
      </c>
      <c r="AY5669">
        <v>1000</v>
      </c>
      <c r="AZ5669" s="184">
        <v>38215</v>
      </c>
      <c r="BA5669" t="s">
        <v>37872</v>
      </c>
      <c r="BB5669">
        <v>1000</v>
      </c>
      <c r="BC5669">
        <v>30</v>
      </c>
      <c r="BD5669">
        <v>1245</v>
      </c>
      <c r="BE5669">
        <v>1994</v>
      </c>
      <c r="BF5669">
        <v>16</v>
      </c>
      <c r="BI5669">
        <v>9</v>
      </c>
      <c r="BJ5669">
        <v>31</v>
      </c>
      <c r="BK5669">
        <v>5</v>
      </c>
      <c r="BO5669" t="s">
        <v>595</v>
      </c>
      <c r="BP5669" s="184">
        <v>38182</v>
      </c>
    </row>
    <row r="5670" spans="1:68">
      <c r="A5670">
        <v>100174895</v>
      </c>
      <c r="B5670">
        <v>100174895</v>
      </c>
      <c r="C5670" t="s">
        <v>7018</v>
      </c>
      <c r="E5670" s="184"/>
      <c r="I5670" s="184"/>
      <c r="J5670" t="s">
        <v>595</v>
      </c>
      <c r="K5670" s="184">
        <v>38817</v>
      </c>
      <c r="O5670" s="184"/>
      <c r="Q5670" t="s">
        <v>7454</v>
      </c>
      <c r="R5670" s="184">
        <v>1097</v>
      </c>
      <c r="S5670">
        <v>121</v>
      </c>
      <c r="U5670" t="s">
        <v>15150</v>
      </c>
      <c r="V5670" t="s">
        <v>2876</v>
      </c>
      <c r="W5670" t="s">
        <v>7560</v>
      </c>
      <c r="X5670" t="s">
        <v>16331</v>
      </c>
      <c r="AI5670" t="s">
        <v>39091</v>
      </c>
      <c r="AM5670" t="s">
        <v>3855</v>
      </c>
      <c r="AN5670" t="s">
        <v>2055</v>
      </c>
      <c r="AO5670" t="s">
        <v>39092</v>
      </c>
      <c r="AP5670" t="s">
        <v>7024</v>
      </c>
      <c r="AT5670" s="184">
        <v>34369</v>
      </c>
      <c r="AU5670" t="s">
        <v>15302</v>
      </c>
      <c r="AV5670">
        <v>15</v>
      </c>
      <c r="AW5670" s="184">
        <v>38817</v>
      </c>
      <c r="AX5670" t="s">
        <v>15155</v>
      </c>
      <c r="AY5670">
        <v>92744</v>
      </c>
      <c r="AZ5670" s="184">
        <v>38817</v>
      </c>
      <c r="BA5670" t="s">
        <v>15155</v>
      </c>
      <c r="BB5670">
        <v>92744</v>
      </c>
      <c r="BC5670">
        <v>36</v>
      </c>
      <c r="BD5670">
        <v>93164</v>
      </c>
      <c r="BE5670">
        <v>1994</v>
      </c>
      <c r="BF5670">
        <v>16</v>
      </c>
      <c r="BI5670">
        <v>11</v>
      </c>
      <c r="BJ5670">
        <v>31</v>
      </c>
      <c r="BK5670">
        <v>8</v>
      </c>
      <c r="BO5670" t="s">
        <v>595</v>
      </c>
      <c r="BP5670" s="184">
        <v>38642</v>
      </c>
    </row>
    <row r="5671" spans="1:68">
      <c r="A5671">
        <v>100174907</v>
      </c>
      <c r="B5671">
        <v>100174907</v>
      </c>
      <c r="C5671" t="s">
        <v>7018</v>
      </c>
      <c r="E5671" s="184"/>
      <c r="J5671" t="s">
        <v>595</v>
      </c>
      <c r="K5671" s="184">
        <v>41138</v>
      </c>
      <c r="M5671" s="184"/>
      <c r="O5671" s="184"/>
      <c r="Q5671" t="s">
        <v>7020</v>
      </c>
      <c r="R5671" s="184">
        <v>7058</v>
      </c>
      <c r="S5671">
        <v>105</v>
      </c>
      <c r="U5671" t="s">
        <v>7076</v>
      </c>
      <c r="V5671" t="s">
        <v>2523</v>
      </c>
      <c r="X5671" t="s">
        <v>39093</v>
      </c>
      <c r="Z5671">
        <v>100174908</v>
      </c>
      <c r="AA5671" t="s">
        <v>7076</v>
      </c>
      <c r="AB5671" t="s">
        <v>4975</v>
      </c>
      <c r="AC5671" t="s">
        <v>3237</v>
      </c>
      <c r="AD5671" t="s">
        <v>39093</v>
      </c>
      <c r="AI5671" t="s">
        <v>39094</v>
      </c>
      <c r="AM5671" t="s">
        <v>39095</v>
      </c>
      <c r="AN5671" t="s">
        <v>2112</v>
      </c>
      <c r="AO5671" t="s">
        <v>39096</v>
      </c>
      <c r="AP5671" t="s">
        <v>7024</v>
      </c>
      <c r="AT5671" s="184">
        <v>34421</v>
      </c>
      <c r="AU5671" t="s">
        <v>15395</v>
      </c>
      <c r="AV5671">
        <v>15</v>
      </c>
      <c r="AW5671" s="184">
        <v>41138</v>
      </c>
      <c r="AX5671" t="s">
        <v>13035</v>
      </c>
      <c r="AY5671">
        <v>25000</v>
      </c>
      <c r="AZ5671" s="184">
        <v>41138</v>
      </c>
      <c r="BA5671" t="s">
        <v>13035</v>
      </c>
      <c r="BB5671">
        <v>25000</v>
      </c>
      <c r="BC5671">
        <v>52</v>
      </c>
      <c r="BD5671">
        <v>25706.75</v>
      </c>
      <c r="BE5671">
        <v>1994</v>
      </c>
      <c r="BF5671">
        <v>28</v>
      </c>
      <c r="BI5671">
        <v>16</v>
      </c>
      <c r="BJ5671">
        <v>31</v>
      </c>
      <c r="BK5671">
        <v>8</v>
      </c>
      <c r="BO5671" t="s">
        <v>595</v>
      </c>
      <c r="BP5671" s="184"/>
    </row>
    <row r="5672" spans="1:68">
      <c r="A5672">
        <v>100174919</v>
      </c>
      <c r="B5672">
        <v>100174919</v>
      </c>
      <c r="C5672" t="s">
        <v>7018</v>
      </c>
      <c r="E5672" s="184"/>
      <c r="G5672" s="184"/>
      <c r="I5672" s="184"/>
      <c r="J5672" t="s">
        <v>595</v>
      </c>
      <c r="K5672" s="184">
        <v>39520</v>
      </c>
      <c r="O5672" s="184"/>
      <c r="Q5672" t="s">
        <v>7383</v>
      </c>
      <c r="R5672" s="184">
        <v>9412</v>
      </c>
      <c r="S5672">
        <v>98</v>
      </c>
      <c r="U5672" t="s">
        <v>15150</v>
      </c>
      <c r="V5672" t="s">
        <v>38800</v>
      </c>
      <c r="X5672" t="s">
        <v>5591</v>
      </c>
      <c r="AF5672" t="s">
        <v>39097</v>
      </c>
      <c r="AG5672" t="s">
        <v>38800</v>
      </c>
      <c r="AI5672" t="s">
        <v>39098</v>
      </c>
      <c r="AM5672" t="s">
        <v>3433</v>
      </c>
      <c r="AN5672" t="s">
        <v>2313</v>
      </c>
      <c r="AO5672" t="s">
        <v>39099</v>
      </c>
      <c r="AP5672" t="s">
        <v>7024</v>
      </c>
      <c r="AT5672" s="184">
        <v>34430</v>
      </c>
      <c r="AU5672" t="s">
        <v>15370</v>
      </c>
      <c r="AV5672">
        <v>25</v>
      </c>
      <c r="AW5672" s="184">
        <v>39520</v>
      </c>
      <c r="AX5672" t="s">
        <v>9864</v>
      </c>
      <c r="AY5672">
        <v>25000</v>
      </c>
      <c r="AZ5672" s="184">
        <v>39520</v>
      </c>
      <c r="BA5672" t="s">
        <v>9864</v>
      </c>
      <c r="BB5672">
        <v>25000</v>
      </c>
      <c r="BC5672">
        <v>49</v>
      </c>
      <c r="BD5672">
        <v>25800</v>
      </c>
      <c r="BE5672">
        <v>1994</v>
      </c>
      <c r="BF5672">
        <v>19</v>
      </c>
      <c r="BI5672">
        <v>15</v>
      </c>
      <c r="BJ5672">
        <v>31</v>
      </c>
      <c r="BK5672">
        <v>15</v>
      </c>
      <c r="BO5672" t="s">
        <v>595</v>
      </c>
      <c r="BP5672" s="184"/>
    </row>
    <row r="5673" spans="1:68">
      <c r="A5673">
        <v>100174920</v>
      </c>
      <c r="B5673">
        <v>100174920</v>
      </c>
      <c r="C5673" t="s">
        <v>7018</v>
      </c>
      <c r="E5673" s="184"/>
      <c r="I5673" s="184"/>
      <c r="J5673" t="s">
        <v>595</v>
      </c>
      <c r="K5673" s="184">
        <v>41758</v>
      </c>
      <c r="O5673" s="184"/>
      <c r="Q5673" t="s">
        <v>7383</v>
      </c>
      <c r="R5673" s="184">
        <v>4648</v>
      </c>
      <c r="S5673">
        <v>111</v>
      </c>
      <c r="U5673" t="s">
        <v>7130</v>
      </c>
      <c r="V5673" t="s">
        <v>4365</v>
      </c>
      <c r="X5673" t="s">
        <v>39100</v>
      </c>
      <c r="Z5673">
        <v>100174921</v>
      </c>
      <c r="AA5673" t="s">
        <v>7031</v>
      </c>
      <c r="AB5673" t="s">
        <v>4502</v>
      </c>
      <c r="AD5673" t="s">
        <v>39100</v>
      </c>
      <c r="AE5673" t="s">
        <v>7941</v>
      </c>
      <c r="AI5673" t="s">
        <v>39101</v>
      </c>
      <c r="AM5673" t="s">
        <v>8949</v>
      </c>
      <c r="AN5673" t="s">
        <v>2064</v>
      </c>
      <c r="AO5673" t="s">
        <v>39102</v>
      </c>
      <c r="AP5673" t="s">
        <v>7024</v>
      </c>
      <c r="AT5673" s="184">
        <v>34443</v>
      </c>
      <c r="AU5673" t="s">
        <v>39103</v>
      </c>
      <c r="AV5673">
        <v>100</v>
      </c>
      <c r="AW5673" s="184">
        <v>41758</v>
      </c>
      <c r="AX5673" t="s">
        <v>37849</v>
      </c>
      <c r="AY5673">
        <v>6900</v>
      </c>
      <c r="AZ5673" s="184">
        <v>41758</v>
      </c>
      <c r="BA5673" t="s">
        <v>37849</v>
      </c>
      <c r="BB5673">
        <v>6900</v>
      </c>
      <c r="BC5673">
        <v>62</v>
      </c>
      <c r="BD5673">
        <v>17610</v>
      </c>
      <c r="BE5673">
        <v>1994</v>
      </c>
      <c r="BF5673">
        <v>27</v>
      </c>
      <c r="BI5673">
        <v>19</v>
      </c>
      <c r="BJ5673">
        <v>31</v>
      </c>
      <c r="BK5673">
        <v>16</v>
      </c>
      <c r="BO5673" t="s">
        <v>595</v>
      </c>
      <c r="BP5673" s="184">
        <v>41717</v>
      </c>
    </row>
    <row r="5674" spans="1:68">
      <c r="A5674">
        <v>100174922</v>
      </c>
      <c r="B5674">
        <v>100174922</v>
      </c>
      <c r="C5674" t="s">
        <v>7018</v>
      </c>
      <c r="E5674" s="184"/>
      <c r="G5674" s="184"/>
      <c r="I5674" s="184"/>
      <c r="J5674" t="s">
        <v>595</v>
      </c>
      <c r="K5674" s="184">
        <v>40088</v>
      </c>
      <c r="O5674" s="184"/>
      <c r="Q5674" t="s">
        <v>7194</v>
      </c>
      <c r="R5674" s="184">
        <v>7816</v>
      </c>
      <c r="S5674">
        <v>102</v>
      </c>
      <c r="V5674" t="s">
        <v>3453</v>
      </c>
      <c r="X5674" t="s">
        <v>3333</v>
      </c>
      <c r="AI5674" t="s">
        <v>39104</v>
      </c>
      <c r="AM5674" t="s">
        <v>33870</v>
      </c>
      <c r="AN5674" t="s">
        <v>4512</v>
      </c>
      <c r="AO5674">
        <v>70802</v>
      </c>
      <c r="AP5674" t="s">
        <v>7024</v>
      </c>
      <c r="AT5674" s="184">
        <v>34460</v>
      </c>
      <c r="AU5674" t="s">
        <v>39105</v>
      </c>
      <c r="AV5674">
        <v>25</v>
      </c>
      <c r="AW5674" s="184">
        <v>40088</v>
      </c>
      <c r="AX5674" t="s">
        <v>14284</v>
      </c>
      <c r="AY5674">
        <v>1222.44</v>
      </c>
      <c r="AZ5674" s="184">
        <v>40066</v>
      </c>
      <c r="BA5674" t="s">
        <v>14284</v>
      </c>
      <c r="BB5674">
        <v>13411.01</v>
      </c>
      <c r="BC5674">
        <v>49</v>
      </c>
      <c r="BD5674">
        <v>16379.45</v>
      </c>
      <c r="BE5674">
        <v>1994</v>
      </c>
      <c r="BF5674">
        <v>26</v>
      </c>
      <c r="BI5674">
        <v>15</v>
      </c>
      <c r="BJ5674">
        <v>31</v>
      </c>
      <c r="BK5674">
        <v>9</v>
      </c>
      <c r="BO5674" t="s">
        <v>595</v>
      </c>
      <c r="BP5674" s="184">
        <v>39802</v>
      </c>
    </row>
    <row r="5675" spans="1:68">
      <c r="A5675">
        <v>100174929</v>
      </c>
      <c r="B5675">
        <v>100174929</v>
      </c>
      <c r="C5675" t="s">
        <v>7018</v>
      </c>
      <c r="E5675" s="184"/>
      <c r="I5675" s="184"/>
      <c r="J5675" t="s">
        <v>595</v>
      </c>
      <c r="K5675" s="184">
        <v>39310</v>
      </c>
      <c r="O5675" s="184"/>
      <c r="Q5675" t="s">
        <v>7383</v>
      </c>
      <c r="R5675" s="184">
        <v>11412</v>
      </c>
      <c r="S5675">
        <v>93</v>
      </c>
      <c r="U5675" t="s">
        <v>15150</v>
      </c>
      <c r="V5675" t="s">
        <v>39106</v>
      </c>
      <c r="X5675" t="s">
        <v>39107</v>
      </c>
      <c r="AI5675" t="s">
        <v>39108</v>
      </c>
      <c r="AM5675" t="s">
        <v>10035</v>
      </c>
      <c r="AN5675" t="s">
        <v>2313</v>
      </c>
      <c r="AO5675" t="s">
        <v>39109</v>
      </c>
      <c r="AP5675" t="s">
        <v>7024</v>
      </c>
      <c r="AT5675" s="184">
        <v>34509</v>
      </c>
      <c r="AU5675" t="s">
        <v>15740</v>
      </c>
      <c r="AV5675">
        <v>25</v>
      </c>
      <c r="AW5675" s="184">
        <v>39310</v>
      </c>
      <c r="AX5675" t="s">
        <v>9864</v>
      </c>
      <c r="AY5675">
        <v>384380</v>
      </c>
      <c r="AZ5675" s="184">
        <v>39238</v>
      </c>
      <c r="BA5675" t="s">
        <v>37812</v>
      </c>
      <c r="BB5675">
        <v>500000</v>
      </c>
      <c r="BC5675">
        <v>42</v>
      </c>
      <c r="BD5675">
        <v>944918</v>
      </c>
      <c r="BE5675">
        <v>1994</v>
      </c>
      <c r="BF5675">
        <v>43</v>
      </c>
      <c r="BI5675">
        <v>13</v>
      </c>
      <c r="BJ5675">
        <v>31</v>
      </c>
      <c r="BK5675">
        <v>12</v>
      </c>
      <c r="BM5675" t="s">
        <v>595</v>
      </c>
      <c r="BO5675" t="s">
        <v>595</v>
      </c>
      <c r="BP5675" s="184"/>
    </row>
    <row r="5676" spans="1:68">
      <c r="A5676">
        <v>100174930</v>
      </c>
      <c r="B5676">
        <v>100174930</v>
      </c>
      <c r="C5676" t="s">
        <v>7018</v>
      </c>
      <c r="E5676" s="184"/>
      <c r="I5676" s="184"/>
      <c r="J5676" t="s">
        <v>595</v>
      </c>
      <c r="K5676" s="184">
        <v>38086</v>
      </c>
      <c r="O5676" s="184"/>
      <c r="Q5676" t="s">
        <v>7020</v>
      </c>
      <c r="R5676" s="184">
        <v>3179</v>
      </c>
      <c r="S5676">
        <v>115</v>
      </c>
      <c r="U5676" t="s">
        <v>7130</v>
      </c>
      <c r="V5676" t="s">
        <v>3000</v>
      </c>
      <c r="W5676" t="s">
        <v>3951</v>
      </c>
      <c r="X5676" t="s">
        <v>39110</v>
      </c>
      <c r="AI5676" t="s">
        <v>39111</v>
      </c>
      <c r="AM5676" t="s">
        <v>2974</v>
      </c>
      <c r="AN5676" t="s">
        <v>2052</v>
      </c>
      <c r="AO5676" t="s">
        <v>39112</v>
      </c>
      <c r="AP5676" t="s">
        <v>7024</v>
      </c>
      <c r="AT5676" s="184">
        <v>34533</v>
      </c>
      <c r="AU5676" t="s">
        <v>39113</v>
      </c>
      <c r="AV5676">
        <v>25</v>
      </c>
      <c r="AW5676" s="184">
        <v>38086</v>
      </c>
      <c r="AX5676" t="s">
        <v>7760</v>
      </c>
      <c r="AY5676">
        <v>218.18</v>
      </c>
      <c r="AZ5676" s="184">
        <v>37453</v>
      </c>
      <c r="BA5676" t="s">
        <v>37822</v>
      </c>
      <c r="BB5676">
        <v>80000</v>
      </c>
      <c r="BC5676">
        <v>30</v>
      </c>
      <c r="BD5676">
        <v>144043.18</v>
      </c>
      <c r="BE5676">
        <v>1995</v>
      </c>
      <c r="BF5676">
        <v>11</v>
      </c>
      <c r="BI5676">
        <v>9</v>
      </c>
      <c r="BJ5676">
        <v>31</v>
      </c>
      <c r="BK5676">
        <v>6</v>
      </c>
      <c r="BM5676" t="s">
        <v>595</v>
      </c>
      <c r="BO5676" t="s">
        <v>595</v>
      </c>
      <c r="BP5676" s="184">
        <v>37253</v>
      </c>
    </row>
    <row r="5677" spans="1:68">
      <c r="A5677">
        <v>100174931</v>
      </c>
      <c r="B5677">
        <v>100174931</v>
      </c>
      <c r="C5677" t="s">
        <v>7018</v>
      </c>
      <c r="E5677" s="184"/>
      <c r="J5677" t="s">
        <v>595</v>
      </c>
      <c r="K5677" s="184">
        <v>41856</v>
      </c>
      <c r="M5677" s="184"/>
      <c r="O5677" s="184"/>
      <c r="Q5677" t="s">
        <v>7194</v>
      </c>
      <c r="R5677" s="184">
        <v>7397</v>
      </c>
      <c r="S5677">
        <v>104</v>
      </c>
      <c r="U5677" t="s">
        <v>7130</v>
      </c>
      <c r="V5677" t="s">
        <v>3593</v>
      </c>
      <c r="W5677" t="s">
        <v>7107</v>
      </c>
      <c r="X5677" t="s">
        <v>39114</v>
      </c>
      <c r="Z5677">
        <v>100174932</v>
      </c>
      <c r="AA5677" t="s">
        <v>7031</v>
      </c>
      <c r="AB5677" t="s">
        <v>2551</v>
      </c>
      <c r="AC5677" t="s">
        <v>2863</v>
      </c>
      <c r="AD5677" t="s">
        <v>39114</v>
      </c>
      <c r="AI5677" t="s">
        <v>39115</v>
      </c>
      <c r="AM5677" t="s">
        <v>5097</v>
      </c>
      <c r="AN5677" t="s">
        <v>2046</v>
      </c>
      <c r="AO5677" t="s">
        <v>39116</v>
      </c>
      <c r="AP5677" t="s">
        <v>7024</v>
      </c>
      <c r="AT5677" s="184">
        <v>34562</v>
      </c>
      <c r="AU5677" t="s">
        <v>15866</v>
      </c>
      <c r="AV5677">
        <v>25</v>
      </c>
      <c r="AW5677" s="184">
        <v>41856</v>
      </c>
      <c r="AX5677" t="s">
        <v>14228</v>
      </c>
      <c r="AY5677">
        <v>11637.95</v>
      </c>
      <c r="AZ5677" s="184">
        <v>41856</v>
      </c>
      <c r="BA5677" t="s">
        <v>14228</v>
      </c>
      <c r="BB5677">
        <v>11637.95</v>
      </c>
      <c r="BC5677">
        <v>52</v>
      </c>
      <c r="BD5677">
        <v>12192.95</v>
      </c>
      <c r="BE5677">
        <v>1995</v>
      </c>
      <c r="BF5677">
        <v>24</v>
      </c>
      <c r="BI5677">
        <v>16</v>
      </c>
      <c r="BJ5677">
        <v>31</v>
      </c>
      <c r="BK5677">
        <v>11</v>
      </c>
      <c r="BO5677" t="s">
        <v>595</v>
      </c>
      <c r="BP5677" s="184">
        <v>41570</v>
      </c>
    </row>
    <row r="5678" spans="1:68">
      <c r="A5678">
        <v>100174933</v>
      </c>
      <c r="B5678">
        <v>100174933</v>
      </c>
      <c r="C5678" t="s">
        <v>7018</v>
      </c>
      <c r="E5678" s="184"/>
      <c r="I5678" s="184"/>
      <c r="J5678" t="s">
        <v>595</v>
      </c>
      <c r="K5678" s="184">
        <v>40297</v>
      </c>
      <c r="M5678" s="184"/>
      <c r="O5678" s="184"/>
      <c r="Q5678" t="s">
        <v>7030</v>
      </c>
      <c r="R5678" s="184">
        <v>5902</v>
      </c>
      <c r="S5678">
        <v>108</v>
      </c>
      <c r="U5678" t="s">
        <v>7031</v>
      </c>
      <c r="V5678" t="s">
        <v>11521</v>
      </c>
      <c r="W5678" t="s">
        <v>7469</v>
      </c>
      <c r="X5678" t="s">
        <v>28601</v>
      </c>
      <c r="Z5678">
        <v>100174934</v>
      </c>
      <c r="AA5678" t="s">
        <v>7130</v>
      </c>
      <c r="AB5678" t="s">
        <v>3510</v>
      </c>
      <c r="AC5678" t="s">
        <v>7560</v>
      </c>
      <c r="AD5678" t="s">
        <v>28601</v>
      </c>
      <c r="AI5678" t="s">
        <v>39117</v>
      </c>
      <c r="AM5678" t="s">
        <v>2564</v>
      </c>
      <c r="AN5678" t="s">
        <v>2089</v>
      </c>
      <c r="AO5678" t="s">
        <v>39118</v>
      </c>
      <c r="AP5678" t="s">
        <v>7024</v>
      </c>
      <c r="AT5678" s="184">
        <v>34590</v>
      </c>
      <c r="AU5678" t="s">
        <v>39119</v>
      </c>
      <c r="AV5678">
        <v>25</v>
      </c>
      <c r="AW5678" s="184">
        <v>40297</v>
      </c>
      <c r="AX5678" t="s">
        <v>14284</v>
      </c>
      <c r="AY5678">
        <v>3063.3</v>
      </c>
      <c r="AZ5678" s="184">
        <v>39791</v>
      </c>
      <c r="BA5678" t="s">
        <v>9877</v>
      </c>
      <c r="BB5678">
        <v>50000</v>
      </c>
      <c r="BC5678">
        <v>42</v>
      </c>
      <c r="BD5678">
        <v>98788.3</v>
      </c>
      <c r="BE5678">
        <v>1995</v>
      </c>
      <c r="BF5678">
        <v>13</v>
      </c>
      <c r="BI5678">
        <v>13</v>
      </c>
      <c r="BJ5678">
        <v>31</v>
      </c>
      <c r="BK5678">
        <v>9</v>
      </c>
      <c r="BO5678" t="s">
        <v>595</v>
      </c>
      <c r="BP5678" s="184">
        <v>39735</v>
      </c>
    </row>
    <row r="5679" spans="1:68">
      <c r="A5679">
        <v>100174935</v>
      </c>
      <c r="B5679">
        <v>100174935</v>
      </c>
      <c r="C5679" t="s">
        <v>7018</v>
      </c>
      <c r="E5679" s="184"/>
      <c r="G5679" s="184"/>
      <c r="I5679" s="184"/>
      <c r="J5679" t="s">
        <v>595</v>
      </c>
      <c r="K5679" s="184">
        <v>43097</v>
      </c>
      <c r="O5679" s="184"/>
      <c r="Q5679" t="s">
        <v>7374</v>
      </c>
      <c r="R5679" s="184">
        <v>21520</v>
      </c>
      <c r="S5679">
        <v>65</v>
      </c>
      <c r="U5679" t="s">
        <v>7031</v>
      </c>
      <c r="V5679" t="s">
        <v>2832</v>
      </c>
      <c r="W5679" t="s">
        <v>3332</v>
      </c>
      <c r="X5679" t="s">
        <v>39120</v>
      </c>
      <c r="AI5679" t="s">
        <v>39121</v>
      </c>
      <c r="AM5679" t="s">
        <v>39122</v>
      </c>
      <c r="AN5679" t="s">
        <v>2081</v>
      </c>
      <c r="AO5679" t="s">
        <v>39123</v>
      </c>
      <c r="AP5679" t="s">
        <v>7024</v>
      </c>
      <c r="AQ5679" t="s">
        <v>39124</v>
      </c>
      <c r="AT5679" s="184">
        <v>34600</v>
      </c>
      <c r="AU5679" t="s">
        <v>39125</v>
      </c>
      <c r="AV5679">
        <v>25</v>
      </c>
      <c r="AW5679" s="184">
        <v>43097</v>
      </c>
      <c r="AX5679" t="s">
        <v>7445</v>
      </c>
      <c r="AY5679">
        <v>581.28</v>
      </c>
      <c r="AZ5679" s="184">
        <v>42615</v>
      </c>
      <c r="BA5679" t="s">
        <v>19550</v>
      </c>
      <c r="BB5679">
        <v>11224.44</v>
      </c>
      <c r="BC5679">
        <v>68</v>
      </c>
      <c r="BD5679">
        <v>18220.72</v>
      </c>
      <c r="BE5679">
        <v>1995</v>
      </c>
      <c r="BF5679">
        <v>21</v>
      </c>
      <c r="BI5679">
        <v>21</v>
      </c>
      <c r="BJ5679">
        <v>31</v>
      </c>
      <c r="BK5679">
        <v>11</v>
      </c>
      <c r="BO5679" t="s">
        <v>595</v>
      </c>
      <c r="BP5679" s="184">
        <v>41909</v>
      </c>
    </row>
    <row r="5680" spans="1:68">
      <c r="A5680">
        <v>100174936</v>
      </c>
      <c r="B5680">
        <v>100174936</v>
      </c>
      <c r="C5680" t="s">
        <v>7018</v>
      </c>
      <c r="E5680" s="184"/>
      <c r="G5680" s="184"/>
      <c r="I5680" s="184"/>
      <c r="J5680" t="s">
        <v>595</v>
      </c>
      <c r="K5680" s="184">
        <v>41346</v>
      </c>
      <c r="O5680" s="184"/>
      <c r="Q5680" t="s">
        <v>7383</v>
      </c>
      <c r="R5680" s="184">
        <v>10413</v>
      </c>
      <c r="S5680">
        <v>95</v>
      </c>
      <c r="U5680" t="s">
        <v>7076</v>
      </c>
      <c r="V5680" t="s">
        <v>9936</v>
      </c>
      <c r="W5680" t="s">
        <v>4013</v>
      </c>
      <c r="X5680" t="s">
        <v>3625</v>
      </c>
      <c r="AI5680" t="s">
        <v>39126</v>
      </c>
      <c r="AM5680" t="s">
        <v>3319</v>
      </c>
      <c r="AN5680" t="s">
        <v>2072</v>
      </c>
      <c r="AO5680" t="s">
        <v>39127</v>
      </c>
      <c r="AP5680" t="s">
        <v>7024</v>
      </c>
      <c r="AT5680" s="184">
        <v>34610</v>
      </c>
      <c r="AU5680" t="s">
        <v>39128</v>
      </c>
      <c r="AV5680">
        <v>15</v>
      </c>
      <c r="AW5680" s="184">
        <v>41346</v>
      </c>
      <c r="AX5680" t="s">
        <v>13035</v>
      </c>
      <c r="AY5680">
        <v>76.27</v>
      </c>
      <c r="AZ5680" s="184">
        <v>41274</v>
      </c>
      <c r="BA5680" t="s">
        <v>13035</v>
      </c>
      <c r="BB5680">
        <v>55768.4</v>
      </c>
      <c r="BC5680">
        <v>52</v>
      </c>
      <c r="BD5680">
        <v>56504.67</v>
      </c>
      <c r="BE5680">
        <v>1995</v>
      </c>
      <c r="BF5680">
        <v>29</v>
      </c>
      <c r="BI5680">
        <v>16</v>
      </c>
      <c r="BJ5680">
        <v>31</v>
      </c>
      <c r="BK5680">
        <v>8</v>
      </c>
      <c r="BO5680" t="s">
        <v>595</v>
      </c>
      <c r="BP5680" s="184">
        <v>40813</v>
      </c>
    </row>
    <row r="5681" spans="1:68">
      <c r="A5681">
        <v>100174937</v>
      </c>
      <c r="B5681">
        <v>100174937</v>
      </c>
      <c r="C5681" t="s">
        <v>7018</v>
      </c>
      <c r="E5681" s="184"/>
      <c r="I5681" s="184"/>
      <c r="J5681" t="s">
        <v>595</v>
      </c>
      <c r="K5681" s="184">
        <v>41115</v>
      </c>
      <c r="O5681" s="184"/>
      <c r="Q5681" t="s">
        <v>7030</v>
      </c>
      <c r="R5681" s="184">
        <v>15357</v>
      </c>
      <c r="S5681">
        <v>82</v>
      </c>
      <c r="U5681" t="s">
        <v>7076</v>
      </c>
      <c r="V5681" t="s">
        <v>3101</v>
      </c>
      <c r="X5681" t="s">
        <v>15958</v>
      </c>
      <c r="AI5681" t="s">
        <v>39129</v>
      </c>
      <c r="AM5681" t="s">
        <v>4424</v>
      </c>
      <c r="AN5681" t="s">
        <v>2089</v>
      </c>
      <c r="AO5681" t="s">
        <v>39130</v>
      </c>
      <c r="AP5681" t="s">
        <v>7024</v>
      </c>
      <c r="AQ5681" t="s">
        <v>39131</v>
      </c>
      <c r="AR5681" t="s">
        <v>39132</v>
      </c>
      <c r="AT5681" s="184">
        <v>34614</v>
      </c>
      <c r="AU5681" t="s">
        <v>15955</v>
      </c>
      <c r="AV5681">
        <v>20</v>
      </c>
      <c r="AW5681" s="184">
        <v>41115</v>
      </c>
      <c r="AX5681" t="s">
        <v>13035</v>
      </c>
      <c r="AY5681">
        <v>172.63</v>
      </c>
      <c r="AZ5681" s="184">
        <v>40900</v>
      </c>
      <c r="BA5681" t="s">
        <v>18846</v>
      </c>
      <c r="BB5681">
        <v>6947.36</v>
      </c>
      <c r="BC5681">
        <v>55</v>
      </c>
      <c r="BD5681">
        <v>8686.99</v>
      </c>
      <c r="BE5681">
        <v>1995</v>
      </c>
      <c r="BF5681">
        <v>32</v>
      </c>
      <c r="BI5681">
        <v>17</v>
      </c>
      <c r="BJ5681">
        <v>31</v>
      </c>
      <c r="BK5681">
        <v>8</v>
      </c>
      <c r="BO5681" t="s">
        <v>595</v>
      </c>
      <c r="BP5681" s="184">
        <v>40560</v>
      </c>
    </row>
    <row r="5682" spans="1:68">
      <c r="A5682">
        <v>100174938</v>
      </c>
      <c r="B5682">
        <v>100174938</v>
      </c>
      <c r="C5682" t="s">
        <v>7018</v>
      </c>
      <c r="E5682" s="184"/>
      <c r="G5682" s="184"/>
      <c r="I5682" s="184"/>
      <c r="J5682" t="s">
        <v>595</v>
      </c>
      <c r="K5682" s="184">
        <v>41834</v>
      </c>
      <c r="O5682" s="184"/>
      <c r="Q5682" t="s">
        <v>7383</v>
      </c>
      <c r="R5682" s="184">
        <v>10197</v>
      </c>
      <c r="S5682">
        <v>96</v>
      </c>
      <c r="V5682" t="s">
        <v>2586</v>
      </c>
      <c r="W5682" t="s">
        <v>7743</v>
      </c>
      <c r="X5682" t="s">
        <v>39133</v>
      </c>
      <c r="AI5682" t="s">
        <v>39134</v>
      </c>
      <c r="AM5682" t="s">
        <v>39135</v>
      </c>
      <c r="AN5682" t="s">
        <v>2162</v>
      </c>
      <c r="AO5682" t="s">
        <v>39136</v>
      </c>
      <c r="AP5682" t="s">
        <v>7024</v>
      </c>
      <c r="AQ5682" t="s">
        <v>39137</v>
      </c>
      <c r="AT5682" s="184">
        <v>34632</v>
      </c>
      <c r="AU5682" t="s">
        <v>39138</v>
      </c>
      <c r="AV5682">
        <v>20</v>
      </c>
      <c r="AW5682" s="184">
        <v>41834</v>
      </c>
      <c r="AX5682" t="s">
        <v>14228</v>
      </c>
      <c r="AY5682">
        <v>5000</v>
      </c>
      <c r="AZ5682" s="184">
        <v>41834</v>
      </c>
      <c r="BA5682" t="s">
        <v>14228</v>
      </c>
      <c r="BB5682">
        <v>5000</v>
      </c>
      <c r="BC5682">
        <v>26</v>
      </c>
      <c r="BD5682">
        <v>5415</v>
      </c>
      <c r="BE5682">
        <v>1995</v>
      </c>
      <c r="BF5682">
        <v>12</v>
      </c>
      <c r="BI5682">
        <v>8</v>
      </c>
      <c r="BJ5682">
        <v>31</v>
      </c>
      <c r="BK5682">
        <v>3</v>
      </c>
      <c r="BO5682" t="s">
        <v>595</v>
      </c>
      <c r="BP5682" s="184">
        <v>41517</v>
      </c>
    </row>
    <row r="5683" spans="1:68">
      <c r="A5683">
        <v>100174940</v>
      </c>
      <c r="B5683">
        <v>100174940</v>
      </c>
      <c r="C5683" t="s">
        <v>7018</v>
      </c>
      <c r="E5683" s="184"/>
      <c r="I5683" s="184"/>
      <c r="J5683" t="s">
        <v>595</v>
      </c>
      <c r="K5683" s="184">
        <v>36677</v>
      </c>
      <c r="O5683" s="184"/>
      <c r="Q5683" t="s">
        <v>7774</v>
      </c>
      <c r="R5683" s="184"/>
      <c r="V5683" t="s">
        <v>2541</v>
      </c>
      <c r="X5683" t="s">
        <v>39139</v>
      </c>
      <c r="AI5683" t="s">
        <v>39140</v>
      </c>
      <c r="AM5683" t="s">
        <v>39141</v>
      </c>
      <c r="AN5683" t="s">
        <v>2290</v>
      </c>
      <c r="AO5683">
        <v>83814</v>
      </c>
      <c r="AP5683" t="s">
        <v>7024</v>
      </c>
      <c r="AT5683" s="184">
        <v>34634</v>
      </c>
      <c r="AU5683" t="s">
        <v>39138</v>
      </c>
      <c r="AV5683">
        <v>15</v>
      </c>
      <c r="AW5683" s="184">
        <v>36677</v>
      </c>
      <c r="AX5683" t="s">
        <v>37823</v>
      </c>
      <c r="AY5683">
        <v>30000</v>
      </c>
      <c r="AZ5683" s="184">
        <v>36677</v>
      </c>
      <c r="BA5683" t="s">
        <v>37823</v>
      </c>
      <c r="BB5683">
        <v>30000</v>
      </c>
      <c r="BC5683">
        <v>23</v>
      </c>
      <c r="BD5683">
        <v>32140</v>
      </c>
      <c r="BE5683">
        <v>1995</v>
      </c>
      <c r="BF5683">
        <v>10</v>
      </c>
      <c r="BI5683">
        <v>7</v>
      </c>
      <c r="BJ5683">
        <v>31</v>
      </c>
      <c r="BK5683">
        <v>7</v>
      </c>
      <c r="BO5683" t="s">
        <v>595</v>
      </c>
      <c r="BP5683" s="184"/>
    </row>
    <row r="5684" spans="1:68">
      <c r="A5684">
        <v>100174943</v>
      </c>
      <c r="B5684">
        <v>100174943</v>
      </c>
      <c r="C5684" t="s">
        <v>7018</v>
      </c>
      <c r="E5684" s="184"/>
      <c r="J5684" t="s">
        <v>595</v>
      </c>
      <c r="K5684" s="184">
        <v>39844</v>
      </c>
      <c r="O5684" s="184"/>
      <c r="Q5684" t="s">
        <v>7454</v>
      </c>
      <c r="R5684" s="184">
        <v>4929</v>
      </c>
      <c r="S5684">
        <v>110</v>
      </c>
      <c r="V5684" t="s">
        <v>2851</v>
      </c>
      <c r="X5684" t="s">
        <v>7195</v>
      </c>
      <c r="AI5684" t="s">
        <v>39142</v>
      </c>
      <c r="AM5684" t="s">
        <v>3909</v>
      </c>
      <c r="AN5684" t="s">
        <v>2299</v>
      </c>
      <c r="AO5684" t="s">
        <v>39143</v>
      </c>
      <c r="AP5684" t="s">
        <v>7024</v>
      </c>
      <c r="AT5684" s="184">
        <v>34689</v>
      </c>
      <c r="AU5684" t="s">
        <v>39144</v>
      </c>
      <c r="AV5684">
        <v>15</v>
      </c>
      <c r="AW5684" s="184">
        <v>39844</v>
      </c>
      <c r="AX5684" t="s">
        <v>9877</v>
      </c>
      <c r="AY5684">
        <v>128.18</v>
      </c>
      <c r="AZ5684" s="184">
        <v>36179</v>
      </c>
      <c r="BA5684" t="s">
        <v>39145</v>
      </c>
      <c r="BB5684">
        <v>187</v>
      </c>
      <c r="BC5684">
        <v>46</v>
      </c>
      <c r="BD5684">
        <v>8689.7999999999993</v>
      </c>
      <c r="BE5684">
        <v>1995</v>
      </c>
      <c r="BF5684">
        <v>71</v>
      </c>
      <c r="BI5684">
        <v>14</v>
      </c>
      <c r="BJ5684">
        <v>31</v>
      </c>
      <c r="BK5684">
        <v>8</v>
      </c>
      <c r="BM5684" t="s">
        <v>595</v>
      </c>
      <c r="BO5684" t="s">
        <v>595</v>
      </c>
      <c r="BP5684" s="184">
        <v>37165</v>
      </c>
    </row>
    <row r="5685" spans="1:68">
      <c r="A5685">
        <v>100174949</v>
      </c>
      <c r="B5685">
        <v>100174949</v>
      </c>
      <c r="C5685" t="s">
        <v>7018</v>
      </c>
      <c r="E5685" s="184"/>
      <c r="G5685" s="184"/>
      <c r="J5685" t="s">
        <v>595</v>
      </c>
      <c r="K5685" s="184">
        <v>40954</v>
      </c>
      <c r="O5685" s="184"/>
      <c r="Q5685" t="s">
        <v>7020</v>
      </c>
      <c r="R5685" s="184">
        <v>5814</v>
      </c>
      <c r="S5685">
        <v>108</v>
      </c>
      <c r="V5685" t="s">
        <v>5466</v>
      </c>
      <c r="W5685" t="s">
        <v>7067</v>
      </c>
      <c r="X5685" t="s">
        <v>39146</v>
      </c>
      <c r="AI5685" t="s">
        <v>39147</v>
      </c>
      <c r="AM5685" t="s">
        <v>17993</v>
      </c>
      <c r="AN5685" t="s">
        <v>2255</v>
      </c>
      <c r="AO5685" t="s">
        <v>39148</v>
      </c>
      <c r="AP5685" t="s">
        <v>7024</v>
      </c>
      <c r="AT5685" s="184">
        <v>34754</v>
      </c>
      <c r="AU5685" t="s">
        <v>39149</v>
      </c>
      <c r="AV5685">
        <v>25</v>
      </c>
      <c r="AW5685" s="184">
        <v>40954</v>
      </c>
      <c r="AX5685" t="s">
        <v>18846</v>
      </c>
      <c r="AY5685">
        <v>10000</v>
      </c>
      <c r="AZ5685" s="184">
        <v>40954</v>
      </c>
      <c r="BA5685" t="s">
        <v>18846</v>
      </c>
      <c r="BB5685">
        <v>10000</v>
      </c>
      <c r="BC5685">
        <v>14</v>
      </c>
      <c r="BD5685">
        <v>10656</v>
      </c>
      <c r="BE5685">
        <v>1995</v>
      </c>
      <c r="BF5685">
        <v>8</v>
      </c>
      <c r="BI5685">
        <v>4</v>
      </c>
      <c r="BJ5685">
        <v>30</v>
      </c>
      <c r="BK5685">
        <v>3</v>
      </c>
      <c r="BO5685" t="s">
        <v>595</v>
      </c>
      <c r="BP5685" s="184"/>
    </row>
    <row r="5686" spans="1:68">
      <c r="A5686">
        <v>100174950</v>
      </c>
      <c r="B5686">
        <v>100174950</v>
      </c>
      <c r="C5686" t="s">
        <v>7018</v>
      </c>
      <c r="E5686" s="184"/>
      <c r="G5686" s="184"/>
      <c r="I5686" s="184"/>
      <c r="J5686" t="s">
        <v>595</v>
      </c>
      <c r="K5686" s="184">
        <v>42185</v>
      </c>
      <c r="O5686" s="184"/>
      <c r="Q5686" t="s">
        <v>7020</v>
      </c>
      <c r="R5686" s="184">
        <v>8919</v>
      </c>
      <c r="S5686">
        <v>99</v>
      </c>
      <c r="U5686" t="s">
        <v>7031</v>
      </c>
      <c r="V5686" t="s">
        <v>2511</v>
      </c>
      <c r="W5686" t="s">
        <v>4327</v>
      </c>
      <c r="X5686" t="s">
        <v>39150</v>
      </c>
      <c r="AI5686" t="s">
        <v>39151</v>
      </c>
      <c r="AM5686" t="s">
        <v>39152</v>
      </c>
      <c r="AN5686" t="s">
        <v>2363</v>
      </c>
      <c r="AO5686" t="s">
        <v>39153</v>
      </c>
      <c r="AP5686" t="s">
        <v>7024</v>
      </c>
      <c r="AT5686" s="184">
        <v>30645</v>
      </c>
      <c r="AU5686" t="s">
        <v>8356</v>
      </c>
      <c r="AV5686">
        <v>100</v>
      </c>
      <c r="AW5686" s="184">
        <v>42185</v>
      </c>
      <c r="AX5686" t="s">
        <v>14228</v>
      </c>
      <c r="AY5686">
        <v>100000</v>
      </c>
      <c r="AZ5686" s="184">
        <v>42185</v>
      </c>
      <c r="BA5686" t="s">
        <v>14228</v>
      </c>
      <c r="BB5686">
        <v>100000</v>
      </c>
      <c r="BC5686">
        <v>50</v>
      </c>
      <c r="BD5686">
        <v>121127</v>
      </c>
      <c r="BE5686">
        <v>1984</v>
      </c>
      <c r="BF5686">
        <v>34</v>
      </c>
      <c r="BI5686">
        <v>21</v>
      </c>
      <c r="BJ5686">
        <v>42</v>
      </c>
      <c r="BK5686">
        <v>6</v>
      </c>
      <c r="BO5686" t="s">
        <v>595</v>
      </c>
      <c r="BP5686" s="184">
        <v>41959</v>
      </c>
    </row>
    <row r="5687" spans="1:68">
      <c r="A5687">
        <v>100174962</v>
      </c>
      <c r="B5687">
        <v>100174962</v>
      </c>
      <c r="C5687" t="s">
        <v>7018</v>
      </c>
      <c r="E5687" s="184"/>
      <c r="G5687" s="184"/>
      <c r="I5687" s="184"/>
      <c r="J5687" t="s">
        <v>595</v>
      </c>
      <c r="K5687" s="184">
        <v>41261</v>
      </c>
      <c r="O5687" s="184"/>
      <c r="Q5687" t="s">
        <v>7262</v>
      </c>
      <c r="R5687" s="184"/>
      <c r="U5687" t="s">
        <v>7031</v>
      </c>
      <c r="V5687" t="s">
        <v>3103</v>
      </c>
      <c r="W5687" t="s">
        <v>4152</v>
      </c>
      <c r="X5687" t="s">
        <v>18582</v>
      </c>
      <c r="AI5687" t="s">
        <v>39154</v>
      </c>
      <c r="AJ5687" t="s">
        <v>39155</v>
      </c>
      <c r="AM5687" t="s">
        <v>2679</v>
      </c>
      <c r="AN5687" t="s">
        <v>2318</v>
      </c>
      <c r="AO5687" t="s">
        <v>39156</v>
      </c>
      <c r="AP5687" t="s">
        <v>7024</v>
      </c>
      <c r="AT5687" s="184">
        <v>34813</v>
      </c>
      <c r="AU5687" t="s">
        <v>15662</v>
      </c>
      <c r="AV5687">
        <v>15</v>
      </c>
      <c r="AW5687" s="184">
        <v>41261</v>
      </c>
      <c r="AX5687" t="s">
        <v>13035</v>
      </c>
      <c r="AY5687">
        <v>5.59</v>
      </c>
      <c r="AZ5687" s="184">
        <v>40767</v>
      </c>
      <c r="BA5687" t="s">
        <v>18846</v>
      </c>
      <c r="BB5687">
        <v>180728.13</v>
      </c>
      <c r="BC5687">
        <v>24</v>
      </c>
      <c r="BD5687">
        <v>193416.98</v>
      </c>
      <c r="BE5687">
        <v>1995</v>
      </c>
      <c r="BF5687">
        <v>9</v>
      </c>
      <c r="BI5687">
        <v>7</v>
      </c>
      <c r="BJ5687">
        <v>30</v>
      </c>
      <c r="BK5687">
        <v>5</v>
      </c>
      <c r="BM5687" t="s">
        <v>595</v>
      </c>
      <c r="BO5687" t="s">
        <v>595</v>
      </c>
      <c r="BP5687" s="184">
        <v>40233</v>
      </c>
    </row>
    <row r="5688" spans="1:68">
      <c r="A5688">
        <v>100174963</v>
      </c>
      <c r="B5688">
        <v>100174963</v>
      </c>
      <c r="C5688" t="s">
        <v>7018</v>
      </c>
      <c r="E5688" s="184"/>
      <c r="I5688" s="184"/>
      <c r="J5688" t="s">
        <v>595</v>
      </c>
      <c r="K5688" s="184">
        <v>41985</v>
      </c>
      <c r="O5688" s="184"/>
      <c r="Q5688" t="s">
        <v>7374</v>
      </c>
      <c r="R5688" s="184">
        <v>9768</v>
      </c>
      <c r="S5688">
        <v>97</v>
      </c>
      <c r="U5688" t="s">
        <v>7032</v>
      </c>
      <c r="V5688" t="s">
        <v>32377</v>
      </c>
      <c r="W5688" t="s">
        <v>4152</v>
      </c>
      <c r="X5688" t="s">
        <v>39157</v>
      </c>
      <c r="AI5688" t="s">
        <v>39158</v>
      </c>
      <c r="AM5688" t="s">
        <v>39159</v>
      </c>
      <c r="AN5688" t="s">
        <v>2081</v>
      </c>
      <c r="AO5688" t="s">
        <v>39160</v>
      </c>
      <c r="AP5688" t="s">
        <v>7024</v>
      </c>
      <c r="AT5688" s="184">
        <v>34850</v>
      </c>
      <c r="AU5688" t="s">
        <v>39161</v>
      </c>
      <c r="AV5688">
        <v>5</v>
      </c>
      <c r="AW5688" s="184">
        <v>41985</v>
      </c>
      <c r="AX5688" t="s">
        <v>14228</v>
      </c>
      <c r="AY5688">
        <v>1000</v>
      </c>
      <c r="AZ5688" s="184">
        <v>41985</v>
      </c>
      <c r="BA5688" t="s">
        <v>14228</v>
      </c>
      <c r="BB5688">
        <v>1000</v>
      </c>
      <c r="BC5688">
        <v>27</v>
      </c>
      <c r="BD5688">
        <v>1120</v>
      </c>
      <c r="BE5688">
        <v>1995</v>
      </c>
      <c r="BF5688">
        <v>9</v>
      </c>
      <c r="BI5688">
        <v>8</v>
      </c>
      <c r="BJ5688">
        <v>30</v>
      </c>
      <c r="BK5688">
        <v>4</v>
      </c>
      <c r="BO5688" t="s">
        <v>595</v>
      </c>
      <c r="BP5688" s="184">
        <v>41768</v>
      </c>
    </row>
    <row r="5689" spans="1:68">
      <c r="A5689">
        <v>100174964</v>
      </c>
      <c r="B5689">
        <v>100174964</v>
      </c>
      <c r="C5689" t="s">
        <v>7018</v>
      </c>
      <c r="E5689" s="184"/>
      <c r="G5689" s="184"/>
      <c r="I5689" s="184"/>
      <c r="J5689" t="s">
        <v>595</v>
      </c>
      <c r="K5689" s="184">
        <v>38274</v>
      </c>
      <c r="O5689" s="184"/>
      <c r="Q5689" t="s">
        <v>7454</v>
      </c>
      <c r="R5689" s="184">
        <v>12420</v>
      </c>
      <c r="S5689">
        <v>90</v>
      </c>
      <c r="V5689" t="s">
        <v>2938</v>
      </c>
      <c r="X5689" t="s">
        <v>39162</v>
      </c>
      <c r="AI5689" t="s">
        <v>39163</v>
      </c>
      <c r="AM5689" t="s">
        <v>4067</v>
      </c>
      <c r="AN5689" t="s">
        <v>2055</v>
      </c>
      <c r="AO5689" t="s">
        <v>39164</v>
      </c>
      <c r="AP5689" t="s">
        <v>7024</v>
      </c>
      <c r="AT5689" s="184">
        <v>34876</v>
      </c>
      <c r="AU5689" t="s">
        <v>39165</v>
      </c>
      <c r="AV5689">
        <v>50</v>
      </c>
      <c r="AW5689" s="184">
        <v>38274</v>
      </c>
      <c r="AX5689" t="s">
        <v>37872</v>
      </c>
      <c r="AY5689">
        <v>1000</v>
      </c>
      <c r="AZ5689" s="184">
        <v>38274</v>
      </c>
      <c r="BA5689" t="s">
        <v>37872</v>
      </c>
      <c r="BB5689">
        <v>1000</v>
      </c>
      <c r="BC5689">
        <v>27</v>
      </c>
      <c r="BD5689">
        <v>1500</v>
      </c>
      <c r="BE5689">
        <v>1995</v>
      </c>
      <c r="BF5689">
        <v>11</v>
      </c>
      <c r="BI5689">
        <v>8</v>
      </c>
      <c r="BJ5689">
        <v>30</v>
      </c>
      <c r="BK5689">
        <v>7</v>
      </c>
      <c r="BO5689" t="s">
        <v>595</v>
      </c>
      <c r="BP5689" s="184">
        <v>38097</v>
      </c>
    </row>
    <row r="5690" spans="1:68">
      <c r="A5690">
        <v>100174967</v>
      </c>
      <c r="B5690">
        <v>100174967</v>
      </c>
      <c r="C5690" t="s">
        <v>7018</v>
      </c>
      <c r="E5690" s="184"/>
      <c r="I5690" s="184"/>
      <c r="J5690" t="s">
        <v>595</v>
      </c>
      <c r="K5690" s="184">
        <v>42733</v>
      </c>
      <c r="O5690" s="184"/>
      <c r="Q5690" t="s">
        <v>7374</v>
      </c>
      <c r="R5690" s="184">
        <v>8767</v>
      </c>
      <c r="S5690">
        <v>100</v>
      </c>
      <c r="U5690" t="s">
        <v>7076</v>
      </c>
      <c r="V5690" t="s">
        <v>9826</v>
      </c>
      <c r="W5690" t="s">
        <v>2825</v>
      </c>
      <c r="X5690" t="s">
        <v>39166</v>
      </c>
      <c r="AI5690" t="s">
        <v>39167</v>
      </c>
      <c r="AM5690" t="s">
        <v>4419</v>
      </c>
      <c r="AN5690" t="s">
        <v>2081</v>
      </c>
      <c r="AO5690">
        <v>94022</v>
      </c>
      <c r="AP5690" t="s">
        <v>7024</v>
      </c>
      <c r="AT5690" s="184">
        <v>34914</v>
      </c>
      <c r="AU5690" t="s">
        <v>39168</v>
      </c>
      <c r="AV5690">
        <v>25</v>
      </c>
      <c r="AW5690" s="184">
        <v>42733</v>
      </c>
      <c r="AX5690" t="s">
        <v>19550</v>
      </c>
      <c r="AY5690">
        <v>5000</v>
      </c>
      <c r="AZ5690" s="184">
        <v>42733</v>
      </c>
      <c r="BA5690" t="s">
        <v>19550</v>
      </c>
      <c r="BB5690">
        <v>5000</v>
      </c>
      <c r="BC5690">
        <v>34</v>
      </c>
      <c r="BD5690">
        <v>5255</v>
      </c>
      <c r="BE5690">
        <v>1996</v>
      </c>
      <c r="BF5690">
        <v>13</v>
      </c>
      <c r="BI5690">
        <v>10</v>
      </c>
      <c r="BJ5690">
        <v>30</v>
      </c>
      <c r="BK5690">
        <v>4</v>
      </c>
      <c r="BO5690" t="s">
        <v>595</v>
      </c>
      <c r="BP5690" s="184">
        <v>42576</v>
      </c>
    </row>
    <row r="5691" spans="1:68">
      <c r="A5691">
        <v>100174970</v>
      </c>
      <c r="B5691">
        <v>100174970</v>
      </c>
      <c r="C5691" t="s">
        <v>7018</v>
      </c>
      <c r="E5691" s="184"/>
      <c r="G5691" s="184"/>
      <c r="I5691" s="184"/>
      <c r="J5691" t="s">
        <v>595</v>
      </c>
      <c r="K5691" s="184">
        <v>41584</v>
      </c>
      <c r="O5691" s="184"/>
      <c r="Q5691" t="s">
        <v>7020</v>
      </c>
      <c r="R5691" s="184"/>
      <c r="U5691" t="s">
        <v>7130</v>
      </c>
      <c r="V5691" t="s">
        <v>3400</v>
      </c>
      <c r="W5691" t="s">
        <v>5675</v>
      </c>
      <c r="X5691" t="s">
        <v>39169</v>
      </c>
      <c r="AI5691" t="s">
        <v>39170</v>
      </c>
      <c r="AM5691" t="s">
        <v>39171</v>
      </c>
      <c r="AN5691" t="s">
        <v>2052</v>
      </c>
      <c r="AO5691" t="s">
        <v>39172</v>
      </c>
      <c r="AP5691" t="s">
        <v>7024</v>
      </c>
      <c r="AT5691" s="184">
        <v>34956</v>
      </c>
      <c r="AU5691" t="s">
        <v>39173</v>
      </c>
      <c r="AV5691">
        <v>50</v>
      </c>
      <c r="AW5691" s="184">
        <v>41584</v>
      </c>
      <c r="AX5691" t="s">
        <v>37849</v>
      </c>
      <c r="AY5691">
        <v>10890.36</v>
      </c>
      <c r="AZ5691" s="184">
        <v>41222</v>
      </c>
      <c r="BA5691" t="s">
        <v>13035</v>
      </c>
      <c r="BB5691">
        <v>25000</v>
      </c>
      <c r="BC5691">
        <v>57</v>
      </c>
      <c r="BD5691">
        <v>140315.35999999999</v>
      </c>
      <c r="BE5691">
        <v>1996</v>
      </c>
      <c r="BF5691">
        <v>22</v>
      </c>
      <c r="BI5691">
        <v>17</v>
      </c>
      <c r="BJ5691">
        <v>30</v>
      </c>
      <c r="BK5691">
        <v>7</v>
      </c>
      <c r="BO5691" t="s">
        <v>595</v>
      </c>
      <c r="BP5691" s="184">
        <v>39187</v>
      </c>
    </row>
    <row r="5692" spans="1:68">
      <c r="A5692">
        <v>100174973</v>
      </c>
      <c r="B5692">
        <v>100174972</v>
      </c>
      <c r="C5692" t="s">
        <v>7018</v>
      </c>
      <c r="E5692" s="184"/>
      <c r="I5692" s="184"/>
      <c r="J5692" t="s">
        <v>595</v>
      </c>
      <c r="K5692" s="184">
        <v>41145</v>
      </c>
      <c r="O5692" s="184"/>
      <c r="Q5692" t="s">
        <v>7020</v>
      </c>
      <c r="R5692" s="184"/>
      <c r="U5692" t="s">
        <v>7076</v>
      </c>
      <c r="V5692" t="s">
        <v>39174</v>
      </c>
      <c r="W5692" t="s">
        <v>4152</v>
      </c>
      <c r="X5692" t="s">
        <v>4361</v>
      </c>
      <c r="Z5692">
        <v>100174972</v>
      </c>
      <c r="AB5692" t="s">
        <v>7695</v>
      </c>
      <c r="AC5692" t="s">
        <v>7560</v>
      </c>
      <c r="AD5692" t="s">
        <v>4361</v>
      </c>
      <c r="AI5692" t="s">
        <v>39175</v>
      </c>
      <c r="AM5692" t="s">
        <v>39176</v>
      </c>
      <c r="AN5692" t="s">
        <v>2112</v>
      </c>
      <c r="AO5692" t="s">
        <v>39177</v>
      </c>
      <c r="AP5692" t="s">
        <v>7024</v>
      </c>
      <c r="AT5692" s="184"/>
      <c r="AW5692" s="184"/>
      <c r="AZ5692" s="184"/>
      <c r="BO5692" t="s">
        <v>595</v>
      </c>
      <c r="BP5692" s="184">
        <v>40950</v>
      </c>
    </row>
    <row r="5693" spans="1:68">
      <c r="A5693">
        <v>100174974</v>
      </c>
      <c r="B5693">
        <v>100174974</v>
      </c>
      <c r="C5693" t="s">
        <v>7018</v>
      </c>
      <c r="E5693" s="184"/>
      <c r="G5693" s="184"/>
      <c r="I5693" s="184"/>
      <c r="J5693" t="s">
        <v>595</v>
      </c>
      <c r="K5693" s="184">
        <v>41374</v>
      </c>
      <c r="O5693" s="184"/>
      <c r="Q5693" t="s">
        <v>7020</v>
      </c>
      <c r="R5693" s="184"/>
      <c r="U5693" t="s">
        <v>7094</v>
      </c>
      <c r="V5693" t="s">
        <v>3098</v>
      </c>
      <c r="X5693" t="s">
        <v>39178</v>
      </c>
      <c r="AI5693" t="s">
        <v>39179</v>
      </c>
      <c r="AM5693" t="s">
        <v>3767</v>
      </c>
      <c r="AN5693" t="s">
        <v>2052</v>
      </c>
      <c r="AO5693" t="s">
        <v>39180</v>
      </c>
      <c r="AP5693" t="s">
        <v>7024</v>
      </c>
      <c r="AT5693" s="184">
        <v>34998</v>
      </c>
      <c r="AU5693" t="s">
        <v>39181</v>
      </c>
      <c r="AV5693">
        <v>10</v>
      </c>
      <c r="AW5693" s="184">
        <v>41374</v>
      </c>
      <c r="AX5693" t="s">
        <v>13035</v>
      </c>
      <c r="AY5693">
        <v>196417.22</v>
      </c>
      <c r="AZ5693" s="184">
        <v>41374</v>
      </c>
      <c r="BA5693" t="s">
        <v>13035</v>
      </c>
      <c r="BB5693">
        <v>196417.22</v>
      </c>
      <c r="BC5693">
        <v>37</v>
      </c>
      <c r="BD5693">
        <v>196907.22</v>
      </c>
      <c r="BE5693">
        <v>1996</v>
      </c>
      <c r="BF5693">
        <v>15</v>
      </c>
      <c r="BI5693">
        <v>11</v>
      </c>
      <c r="BJ5693">
        <v>30</v>
      </c>
      <c r="BK5693">
        <v>7</v>
      </c>
      <c r="BO5693" t="s">
        <v>595</v>
      </c>
      <c r="BP5693" s="184"/>
    </row>
    <row r="5694" spans="1:68">
      <c r="A5694">
        <v>100174977</v>
      </c>
      <c r="B5694">
        <v>100174977</v>
      </c>
      <c r="C5694" t="s">
        <v>7018</v>
      </c>
      <c r="E5694" s="184"/>
      <c r="I5694" s="184"/>
      <c r="J5694" t="s">
        <v>595</v>
      </c>
      <c r="K5694" s="184">
        <v>35031</v>
      </c>
      <c r="O5694" s="184"/>
      <c r="Q5694" t="s">
        <v>7262</v>
      </c>
      <c r="R5694" s="184"/>
      <c r="U5694" t="s">
        <v>7076</v>
      </c>
      <c r="V5694" t="s">
        <v>3101</v>
      </c>
      <c r="W5694" t="s">
        <v>2058</v>
      </c>
      <c r="X5694" t="s">
        <v>39182</v>
      </c>
      <c r="AF5694" t="s">
        <v>39183</v>
      </c>
      <c r="AG5694" t="s">
        <v>3101</v>
      </c>
      <c r="AI5694" t="s">
        <v>39184</v>
      </c>
      <c r="AM5694" t="s">
        <v>4896</v>
      </c>
      <c r="AN5694" t="s">
        <v>2106</v>
      </c>
      <c r="AO5694" t="s">
        <v>39185</v>
      </c>
      <c r="AP5694" t="s">
        <v>7024</v>
      </c>
      <c r="AT5694" s="184">
        <v>35031</v>
      </c>
      <c r="AU5694" t="s">
        <v>17319</v>
      </c>
      <c r="AV5694">
        <v>500</v>
      </c>
      <c r="AW5694" s="184">
        <v>35031</v>
      </c>
      <c r="AX5694" t="s">
        <v>17319</v>
      </c>
      <c r="AY5694">
        <v>500</v>
      </c>
      <c r="AZ5694" s="184">
        <v>35031</v>
      </c>
      <c r="BA5694" t="s">
        <v>17319</v>
      </c>
      <c r="BB5694">
        <v>500</v>
      </c>
      <c r="BC5694">
        <v>4</v>
      </c>
      <c r="BD5694">
        <v>500</v>
      </c>
      <c r="BE5694">
        <v>1996</v>
      </c>
      <c r="BF5694">
        <v>1</v>
      </c>
      <c r="BI5694">
        <v>1</v>
      </c>
      <c r="BJ5694">
        <v>30</v>
      </c>
      <c r="BK5694">
        <v>1</v>
      </c>
      <c r="BO5694" t="s">
        <v>595</v>
      </c>
      <c r="BP5694" s="184">
        <v>41914</v>
      </c>
    </row>
    <row r="5695" spans="1:68">
      <c r="A5695">
        <v>100174978</v>
      </c>
      <c r="B5695">
        <v>100174978</v>
      </c>
      <c r="C5695" t="s">
        <v>7018</v>
      </c>
      <c r="E5695" s="184"/>
      <c r="I5695" s="184"/>
      <c r="J5695" t="s">
        <v>595</v>
      </c>
      <c r="K5695" s="184">
        <v>42262</v>
      </c>
      <c r="O5695" s="184"/>
      <c r="Q5695" t="s">
        <v>7374</v>
      </c>
      <c r="R5695" s="184">
        <v>10213</v>
      </c>
      <c r="S5695">
        <v>96</v>
      </c>
      <c r="U5695" t="s">
        <v>7076</v>
      </c>
      <c r="V5695" t="s">
        <v>2586</v>
      </c>
      <c r="W5695" t="s">
        <v>2058</v>
      </c>
      <c r="X5695" t="s">
        <v>39186</v>
      </c>
      <c r="AI5695" t="s">
        <v>39187</v>
      </c>
      <c r="AM5695" t="s">
        <v>4864</v>
      </c>
      <c r="AN5695" t="s">
        <v>2081</v>
      </c>
      <c r="AO5695">
        <v>94304</v>
      </c>
      <c r="AP5695" t="s">
        <v>7024</v>
      </c>
      <c r="AQ5695" t="s">
        <v>39188</v>
      </c>
      <c r="AT5695" s="184">
        <v>35039</v>
      </c>
      <c r="AU5695" t="s">
        <v>17198</v>
      </c>
      <c r="AV5695">
        <v>15</v>
      </c>
      <c r="AW5695" s="184">
        <v>42262</v>
      </c>
      <c r="AX5695" t="s">
        <v>11622</v>
      </c>
      <c r="AY5695">
        <v>5000</v>
      </c>
      <c r="AZ5695" s="184">
        <v>42262</v>
      </c>
      <c r="BA5695" t="s">
        <v>11622</v>
      </c>
      <c r="BB5695">
        <v>5000</v>
      </c>
      <c r="BC5695">
        <v>54</v>
      </c>
      <c r="BD5695">
        <v>16190</v>
      </c>
      <c r="BE5695">
        <v>1996</v>
      </c>
      <c r="BF5695">
        <v>21</v>
      </c>
      <c r="BI5695">
        <v>16</v>
      </c>
      <c r="BJ5695">
        <v>30</v>
      </c>
      <c r="BK5695">
        <v>10</v>
      </c>
      <c r="BL5695" t="s">
        <v>595</v>
      </c>
      <c r="BM5695" t="s">
        <v>595</v>
      </c>
      <c r="BN5695" t="s">
        <v>595</v>
      </c>
      <c r="BO5695" t="s">
        <v>595</v>
      </c>
      <c r="BP5695" s="184">
        <v>41895</v>
      </c>
    </row>
    <row r="5696" spans="1:68">
      <c r="A5696">
        <v>100174980</v>
      </c>
      <c r="B5696">
        <v>100174980</v>
      </c>
      <c r="C5696" t="s">
        <v>7018</v>
      </c>
      <c r="E5696" s="184"/>
      <c r="I5696" s="184"/>
      <c r="K5696" s="184"/>
      <c r="N5696" t="s">
        <v>595</v>
      </c>
      <c r="O5696" s="184">
        <v>40325</v>
      </c>
      <c r="Q5696" t="s">
        <v>7194</v>
      </c>
      <c r="R5696" s="184">
        <v>9091</v>
      </c>
      <c r="S5696">
        <v>99</v>
      </c>
      <c r="U5696" t="s">
        <v>7031</v>
      </c>
      <c r="V5696" t="s">
        <v>2541</v>
      </c>
      <c r="W5696" t="s">
        <v>7085</v>
      </c>
      <c r="X5696" t="s">
        <v>39189</v>
      </c>
      <c r="AI5696" t="s">
        <v>39190</v>
      </c>
      <c r="AM5696" t="s">
        <v>4405</v>
      </c>
      <c r="AN5696" t="s">
        <v>2046</v>
      </c>
      <c r="AO5696" t="s">
        <v>39191</v>
      </c>
      <c r="AP5696" t="s">
        <v>7024</v>
      </c>
      <c r="AT5696" s="184">
        <v>35062</v>
      </c>
      <c r="AU5696" t="s">
        <v>17387</v>
      </c>
      <c r="AV5696">
        <v>25</v>
      </c>
      <c r="AW5696" s="184">
        <v>41758</v>
      </c>
      <c r="AX5696" t="s">
        <v>21645</v>
      </c>
      <c r="AY5696">
        <v>50</v>
      </c>
      <c r="AZ5696" s="184">
        <v>40688</v>
      </c>
      <c r="BA5696" t="s">
        <v>7415</v>
      </c>
      <c r="BB5696">
        <v>92818.1</v>
      </c>
      <c r="BC5696">
        <v>47</v>
      </c>
      <c r="BD5696">
        <v>93658.1</v>
      </c>
      <c r="BE5696">
        <v>1996</v>
      </c>
      <c r="BF5696">
        <v>25</v>
      </c>
      <c r="BI5696">
        <v>14</v>
      </c>
      <c r="BJ5696">
        <v>30</v>
      </c>
      <c r="BK5696">
        <v>7</v>
      </c>
      <c r="BO5696" t="s">
        <v>595</v>
      </c>
      <c r="BP5696" s="184">
        <v>42726</v>
      </c>
    </row>
    <row r="5697" spans="1:68">
      <c r="A5697">
        <v>100174981</v>
      </c>
      <c r="B5697">
        <v>100174981</v>
      </c>
      <c r="C5697" t="s">
        <v>7018</v>
      </c>
      <c r="E5697" s="184"/>
      <c r="I5697" s="184"/>
      <c r="J5697" t="s">
        <v>595</v>
      </c>
      <c r="K5697" s="184">
        <v>39056</v>
      </c>
      <c r="M5697" s="184"/>
      <c r="O5697" s="184"/>
      <c r="Q5697" t="s">
        <v>7494</v>
      </c>
      <c r="R5697" s="184">
        <v>9017</v>
      </c>
      <c r="S5697">
        <v>99</v>
      </c>
      <c r="U5697" t="s">
        <v>7130</v>
      </c>
      <c r="V5697" t="s">
        <v>33316</v>
      </c>
      <c r="X5697" t="s">
        <v>39192</v>
      </c>
      <c r="AI5697" t="s">
        <v>39193</v>
      </c>
      <c r="AM5697" t="s">
        <v>3371</v>
      </c>
      <c r="AN5697" t="s">
        <v>2174</v>
      </c>
      <c r="AO5697" t="s">
        <v>39194</v>
      </c>
      <c r="AP5697" t="s">
        <v>7024</v>
      </c>
      <c r="AT5697" s="184">
        <v>35075</v>
      </c>
      <c r="AU5697" t="s">
        <v>39195</v>
      </c>
      <c r="AV5697">
        <v>15</v>
      </c>
      <c r="AW5697" s="184">
        <v>39940</v>
      </c>
      <c r="AX5697" t="s">
        <v>39196</v>
      </c>
      <c r="AY5697">
        <v>25</v>
      </c>
      <c r="AZ5697" s="184">
        <v>39940</v>
      </c>
      <c r="BA5697" t="s">
        <v>39196</v>
      </c>
      <c r="BB5697">
        <v>25</v>
      </c>
      <c r="BC5697">
        <v>38</v>
      </c>
      <c r="BD5697">
        <v>448</v>
      </c>
      <c r="BE5697">
        <v>1996</v>
      </c>
      <c r="BF5697">
        <v>20</v>
      </c>
      <c r="BI5697">
        <v>11</v>
      </c>
      <c r="BJ5697">
        <v>29</v>
      </c>
      <c r="BK5697">
        <v>7</v>
      </c>
      <c r="BO5697" t="s">
        <v>595</v>
      </c>
      <c r="BP5697" s="184">
        <v>41702</v>
      </c>
    </row>
    <row r="5698" spans="1:68">
      <c r="A5698">
        <v>100174993</v>
      </c>
      <c r="B5698">
        <v>100174993</v>
      </c>
      <c r="C5698" t="s">
        <v>7018</v>
      </c>
      <c r="E5698" s="184"/>
      <c r="I5698" s="184"/>
      <c r="J5698" t="s">
        <v>595</v>
      </c>
      <c r="K5698" s="184">
        <v>37323</v>
      </c>
      <c r="O5698" s="184"/>
      <c r="Q5698" t="s">
        <v>7383</v>
      </c>
      <c r="R5698" s="184">
        <v>2261</v>
      </c>
      <c r="S5698">
        <v>118</v>
      </c>
      <c r="V5698" t="s">
        <v>3689</v>
      </c>
      <c r="W5698" t="s">
        <v>4382</v>
      </c>
      <c r="X5698" t="s">
        <v>39197</v>
      </c>
      <c r="AI5698" t="s">
        <v>39198</v>
      </c>
      <c r="AM5698" t="s">
        <v>3174</v>
      </c>
      <c r="AN5698" t="s">
        <v>2072</v>
      </c>
      <c r="AO5698" t="s">
        <v>39199</v>
      </c>
      <c r="AP5698" t="s">
        <v>7024</v>
      </c>
      <c r="AT5698" s="184">
        <v>35181</v>
      </c>
      <c r="AU5698" t="s">
        <v>17624</v>
      </c>
      <c r="AV5698">
        <v>19.95</v>
      </c>
      <c r="AW5698" s="184">
        <v>37323</v>
      </c>
      <c r="AX5698" t="s">
        <v>37801</v>
      </c>
      <c r="AY5698">
        <v>10000</v>
      </c>
      <c r="AZ5698" s="184">
        <v>37323</v>
      </c>
      <c r="BA5698" t="s">
        <v>37801</v>
      </c>
      <c r="BB5698">
        <v>10000</v>
      </c>
      <c r="BC5698">
        <v>11</v>
      </c>
      <c r="BD5698">
        <v>10144.950000000001</v>
      </c>
      <c r="BE5698">
        <v>1996</v>
      </c>
      <c r="BF5698">
        <v>8</v>
      </c>
      <c r="BI5698">
        <v>3</v>
      </c>
      <c r="BJ5698">
        <v>29</v>
      </c>
      <c r="BK5698">
        <v>1</v>
      </c>
      <c r="BM5698" t="s">
        <v>595</v>
      </c>
      <c r="BO5698" t="s">
        <v>595</v>
      </c>
      <c r="BP5698" s="184"/>
    </row>
    <row r="5699" spans="1:68">
      <c r="A5699">
        <v>100174998</v>
      </c>
      <c r="B5699">
        <v>100174998</v>
      </c>
      <c r="C5699" t="s">
        <v>7018</v>
      </c>
      <c r="E5699" s="184"/>
      <c r="I5699" s="184"/>
      <c r="J5699" t="s">
        <v>595</v>
      </c>
      <c r="K5699" s="184">
        <v>39519</v>
      </c>
      <c r="O5699" s="184"/>
      <c r="Q5699" t="s">
        <v>7020</v>
      </c>
      <c r="R5699" s="184">
        <v>20041</v>
      </c>
      <c r="S5699">
        <v>69</v>
      </c>
      <c r="U5699" t="s">
        <v>15150</v>
      </c>
      <c r="V5699" t="s">
        <v>3825</v>
      </c>
      <c r="X5699" t="s">
        <v>39200</v>
      </c>
      <c r="AI5699" t="s">
        <v>39201</v>
      </c>
      <c r="AM5699" t="s">
        <v>3462</v>
      </c>
      <c r="AN5699" t="s">
        <v>2112</v>
      </c>
      <c r="AO5699" t="s">
        <v>39202</v>
      </c>
      <c r="AP5699" t="s">
        <v>7024</v>
      </c>
      <c r="AT5699" s="184">
        <v>35177</v>
      </c>
      <c r="AU5699" t="s">
        <v>39203</v>
      </c>
      <c r="AV5699">
        <v>15</v>
      </c>
      <c r="AW5699" s="184">
        <v>39519</v>
      </c>
      <c r="AX5699" t="s">
        <v>9864</v>
      </c>
      <c r="AY5699">
        <v>1156</v>
      </c>
      <c r="AZ5699" s="184">
        <v>39063</v>
      </c>
      <c r="BA5699" t="s">
        <v>37812</v>
      </c>
      <c r="BB5699">
        <v>25000</v>
      </c>
      <c r="BC5699">
        <v>35</v>
      </c>
      <c r="BD5699">
        <v>26678</v>
      </c>
      <c r="BE5699">
        <v>1996</v>
      </c>
      <c r="BF5699">
        <v>26</v>
      </c>
      <c r="BI5699">
        <v>10</v>
      </c>
      <c r="BJ5699">
        <v>29</v>
      </c>
      <c r="BK5699">
        <v>8</v>
      </c>
      <c r="BO5699" t="s">
        <v>595</v>
      </c>
      <c r="BP5699" s="184"/>
    </row>
    <row r="5700" spans="1:68">
      <c r="A5700">
        <v>100175001</v>
      </c>
      <c r="B5700">
        <v>100175001</v>
      </c>
      <c r="C5700" t="s">
        <v>7018</v>
      </c>
      <c r="E5700" s="184"/>
      <c r="I5700" s="184"/>
      <c r="J5700" t="s">
        <v>595</v>
      </c>
      <c r="K5700" s="184">
        <v>42004</v>
      </c>
      <c r="O5700" s="184"/>
      <c r="Q5700" t="s">
        <v>7383</v>
      </c>
      <c r="R5700" s="184">
        <v>9863</v>
      </c>
      <c r="S5700">
        <v>97</v>
      </c>
      <c r="U5700" t="s">
        <v>7031</v>
      </c>
      <c r="V5700" t="s">
        <v>29322</v>
      </c>
      <c r="W5700" t="s">
        <v>4139</v>
      </c>
      <c r="X5700" t="s">
        <v>2772</v>
      </c>
      <c r="AI5700" t="s">
        <v>39204</v>
      </c>
      <c r="AM5700" t="s">
        <v>3357</v>
      </c>
      <c r="AN5700" t="s">
        <v>2185</v>
      </c>
      <c r="AO5700" t="s">
        <v>39205</v>
      </c>
      <c r="AP5700" t="s">
        <v>7024</v>
      </c>
      <c r="AT5700" s="184">
        <v>35223</v>
      </c>
      <c r="AU5700" t="s">
        <v>39206</v>
      </c>
      <c r="AV5700">
        <v>25</v>
      </c>
      <c r="AW5700" s="184">
        <v>42004</v>
      </c>
      <c r="AX5700" t="s">
        <v>14228</v>
      </c>
      <c r="AY5700">
        <v>37500</v>
      </c>
      <c r="AZ5700" s="184">
        <v>42004</v>
      </c>
      <c r="BA5700" t="s">
        <v>14228</v>
      </c>
      <c r="BB5700">
        <v>37500</v>
      </c>
      <c r="BC5700">
        <v>56</v>
      </c>
      <c r="BD5700">
        <v>37955</v>
      </c>
      <c r="BE5700">
        <v>1996</v>
      </c>
      <c r="BF5700">
        <v>17</v>
      </c>
      <c r="BI5700">
        <v>16</v>
      </c>
      <c r="BJ5700">
        <v>29</v>
      </c>
      <c r="BK5700">
        <v>10</v>
      </c>
      <c r="BO5700" t="s">
        <v>595</v>
      </c>
      <c r="BP5700" s="184"/>
    </row>
    <row r="5701" spans="1:68">
      <c r="A5701">
        <v>100175004</v>
      </c>
      <c r="B5701">
        <v>100175004</v>
      </c>
      <c r="C5701" t="s">
        <v>7018</v>
      </c>
      <c r="E5701" s="184"/>
      <c r="I5701" s="184"/>
      <c r="J5701" t="s">
        <v>595</v>
      </c>
      <c r="K5701" s="184">
        <v>40444</v>
      </c>
      <c r="O5701" s="184"/>
      <c r="Q5701" t="s">
        <v>7020</v>
      </c>
      <c r="R5701" s="184"/>
      <c r="U5701" t="s">
        <v>15150</v>
      </c>
      <c r="V5701" t="s">
        <v>3554</v>
      </c>
      <c r="W5701" t="s">
        <v>3237</v>
      </c>
      <c r="X5701" t="s">
        <v>39207</v>
      </c>
      <c r="AF5701" t="s">
        <v>39208</v>
      </c>
      <c r="AG5701" t="s">
        <v>3554</v>
      </c>
      <c r="AI5701" t="s">
        <v>39209</v>
      </c>
      <c r="AJ5701" t="s">
        <v>39210</v>
      </c>
      <c r="AK5701" t="s">
        <v>39211</v>
      </c>
      <c r="AM5701" t="s">
        <v>14112</v>
      </c>
      <c r="AN5701" t="s">
        <v>2129</v>
      </c>
      <c r="AO5701">
        <v>7091</v>
      </c>
      <c r="AP5701" t="s">
        <v>7024</v>
      </c>
      <c r="AT5701" s="184">
        <v>35237</v>
      </c>
      <c r="AU5701" t="s">
        <v>17988</v>
      </c>
      <c r="AV5701">
        <v>15</v>
      </c>
      <c r="AW5701" s="184">
        <v>41163</v>
      </c>
      <c r="AX5701" t="s">
        <v>13035</v>
      </c>
      <c r="AY5701">
        <v>0.81</v>
      </c>
      <c r="AZ5701" s="184">
        <v>38581</v>
      </c>
      <c r="BA5701" t="s">
        <v>15155</v>
      </c>
      <c r="BB5701">
        <v>30000</v>
      </c>
      <c r="BC5701">
        <v>45</v>
      </c>
      <c r="BD5701">
        <v>72083.460000000006</v>
      </c>
      <c r="BE5701">
        <v>1996</v>
      </c>
      <c r="BF5701">
        <v>24</v>
      </c>
      <c r="BI5701">
        <v>13</v>
      </c>
      <c r="BJ5701">
        <v>29</v>
      </c>
      <c r="BK5701">
        <v>8</v>
      </c>
      <c r="BO5701" t="s">
        <v>595</v>
      </c>
      <c r="BP5701" s="184">
        <v>38072</v>
      </c>
    </row>
    <row r="5702" spans="1:68">
      <c r="A5702">
        <v>100175006</v>
      </c>
      <c r="B5702">
        <v>100175006</v>
      </c>
      <c r="C5702" t="s">
        <v>7018</v>
      </c>
      <c r="E5702" s="184"/>
      <c r="I5702" s="184"/>
      <c r="J5702" t="s">
        <v>595</v>
      </c>
      <c r="K5702" s="184">
        <v>40744</v>
      </c>
      <c r="O5702" s="184"/>
      <c r="Q5702" t="s">
        <v>7262</v>
      </c>
      <c r="R5702" s="184"/>
      <c r="U5702" t="s">
        <v>7031</v>
      </c>
      <c r="V5702" t="s">
        <v>2551</v>
      </c>
      <c r="W5702" t="s">
        <v>4327</v>
      </c>
      <c r="X5702" t="s">
        <v>39212</v>
      </c>
      <c r="Z5702">
        <v>100175007</v>
      </c>
      <c r="AA5702" t="s">
        <v>7130</v>
      </c>
      <c r="AB5702" t="s">
        <v>3468</v>
      </c>
      <c r="AD5702" t="s">
        <v>39212</v>
      </c>
      <c r="AI5702" t="s">
        <v>39213</v>
      </c>
      <c r="AM5702" t="s">
        <v>16823</v>
      </c>
      <c r="AN5702" t="s">
        <v>2069</v>
      </c>
      <c r="AO5702" t="s">
        <v>39214</v>
      </c>
      <c r="AP5702" t="s">
        <v>7024</v>
      </c>
      <c r="AT5702" s="184">
        <v>35256</v>
      </c>
      <c r="AU5702" t="s">
        <v>39215</v>
      </c>
      <c r="AV5702">
        <v>10</v>
      </c>
      <c r="AW5702" s="184">
        <v>40744</v>
      </c>
      <c r="AX5702" t="s">
        <v>18846</v>
      </c>
      <c r="AY5702">
        <v>54123.6</v>
      </c>
      <c r="AZ5702" s="184">
        <v>40744</v>
      </c>
      <c r="BA5702" t="s">
        <v>18846</v>
      </c>
      <c r="BB5702">
        <v>54123.6</v>
      </c>
      <c r="BC5702">
        <v>14</v>
      </c>
      <c r="BD5702">
        <v>56532.26</v>
      </c>
      <c r="BE5702">
        <v>1997</v>
      </c>
      <c r="BF5702">
        <v>4</v>
      </c>
      <c r="BI5702">
        <v>4</v>
      </c>
      <c r="BJ5702">
        <v>29</v>
      </c>
      <c r="BK5702">
        <v>2</v>
      </c>
      <c r="BO5702" t="s">
        <v>595</v>
      </c>
      <c r="BP5702" s="184">
        <v>40424</v>
      </c>
    </row>
    <row r="5703" spans="1:68">
      <c r="A5703">
        <v>100175010</v>
      </c>
      <c r="B5703">
        <v>100175010</v>
      </c>
      <c r="C5703" t="s">
        <v>7018</v>
      </c>
      <c r="E5703" s="184"/>
      <c r="G5703" s="184"/>
      <c r="I5703" s="184"/>
      <c r="J5703" t="s">
        <v>595</v>
      </c>
      <c r="K5703" s="184">
        <v>40596</v>
      </c>
      <c r="M5703" s="184"/>
      <c r="O5703" s="184"/>
      <c r="Q5703" t="s">
        <v>7383</v>
      </c>
      <c r="R5703" s="184"/>
      <c r="U5703" t="s">
        <v>7076</v>
      </c>
      <c r="V5703" t="s">
        <v>3230</v>
      </c>
      <c r="X5703" t="s">
        <v>39216</v>
      </c>
      <c r="AI5703" t="s">
        <v>39217</v>
      </c>
      <c r="AM5703" t="s">
        <v>3082</v>
      </c>
      <c r="AN5703" t="s">
        <v>2313</v>
      </c>
      <c r="AO5703">
        <v>60640</v>
      </c>
      <c r="AP5703" t="s">
        <v>7024</v>
      </c>
      <c r="AT5703" s="184">
        <v>35289</v>
      </c>
      <c r="AU5703" t="s">
        <v>39218</v>
      </c>
      <c r="AV5703">
        <v>15</v>
      </c>
      <c r="AW5703" s="184">
        <v>40596</v>
      </c>
      <c r="AX5703" t="s">
        <v>14283</v>
      </c>
      <c r="AY5703">
        <v>15049.53</v>
      </c>
      <c r="AZ5703" s="184">
        <v>40596</v>
      </c>
      <c r="BA5703" t="s">
        <v>14283</v>
      </c>
      <c r="BB5703">
        <v>15049.53</v>
      </c>
      <c r="BC5703">
        <v>52</v>
      </c>
      <c r="BD5703">
        <v>19362.53</v>
      </c>
      <c r="BE5703">
        <v>1997</v>
      </c>
      <c r="BF5703">
        <v>58</v>
      </c>
      <c r="BI5703">
        <v>15</v>
      </c>
      <c r="BJ5703">
        <v>29</v>
      </c>
      <c r="BK5703">
        <v>14</v>
      </c>
      <c r="BO5703" t="s">
        <v>595</v>
      </c>
      <c r="BP5703" s="184">
        <v>40460</v>
      </c>
    </row>
    <row r="5704" spans="1:68">
      <c r="A5704">
        <v>100175011</v>
      </c>
      <c r="B5704">
        <v>100175011</v>
      </c>
      <c r="C5704" t="s">
        <v>7018</v>
      </c>
      <c r="E5704" s="184"/>
      <c r="I5704" s="184"/>
      <c r="J5704" t="s">
        <v>595</v>
      </c>
      <c r="K5704" s="184">
        <v>42185</v>
      </c>
      <c r="O5704" s="184"/>
      <c r="Q5704" t="s">
        <v>7262</v>
      </c>
      <c r="R5704" s="184">
        <v>8583</v>
      </c>
      <c r="S5704">
        <v>100</v>
      </c>
      <c r="U5704" t="s">
        <v>7076</v>
      </c>
      <c r="V5704" t="s">
        <v>2602</v>
      </c>
      <c r="W5704" t="s">
        <v>3223</v>
      </c>
      <c r="X5704" t="s">
        <v>39219</v>
      </c>
      <c r="AI5704" t="s">
        <v>39220</v>
      </c>
      <c r="AM5704" t="s">
        <v>2730</v>
      </c>
      <c r="AN5704" t="s">
        <v>2069</v>
      </c>
      <c r="AO5704" t="s">
        <v>39221</v>
      </c>
      <c r="AP5704" t="s">
        <v>7024</v>
      </c>
      <c r="AT5704" s="184">
        <v>35324</v>
      </c>
      <c r="AU5704" t="s">
        <v>39222</v>
      </c>
      <c r="AV5704">
        <v>50</v>
      </c>
      <c r="AW5704" s="184">
        <v>42185</v>
      </c>
      <c r="AX5704" t="s">
        <v>14228</v>
      </c>
      <c r="AY5704">
        <v>15000</v>
      </c>
      <c r="AZ5704" s="184">
        <v>41975</v>
      </c>
      <c r="BA5704" t="s">
        <v>14228</v>
      </c>
      <c r="BB5704">
        <v>100000</v>
      </c>
      <c r="BC5704">
        <v>28</v>
      </c>
      <c r="BD5704">
        <v>196435</v>
      </c>
      <c r="BE5704">
        <v>1997</v>
      </c>
      <c r="BF5704">
        <v>11</v>
      </c>
      <c r="BI5704">
        <v>8</v>
      </c>
      <c r="BJ5704">
        <v>29</v>
      </c>
      <c r="BK5704">
        <v>2</v>
      </c>
      <c r="BO5704" t="s">
        <v>595</v>
      </c>
      <c r="BP5704" s="184">
        <v>41740</v>
      </c>
    </row>
    <row r="5705" spans="1:68">
      <c r="A5705">
        <v>100175015</v>
      </c>
      <c r="B5705">
        <v>100175015</v>
      </c>
      <c r="C5705" t="s">
        <v>7018</v>
      </c>
      <c r="E5705" s="184"/>
      <c r="I5705" s="184"/>
      <c r="J5705" t="s">
        <v>595</v>
      </c>
      <c r="K5705" s="184">
        <v>42496</v>
      </c>
      <c r="O5705" s="184"/>
      <c r="Q5705" t="s">
        <v>7383</v>
      </c>
      <c r="R5705" s="184">
        <v>11276</v>
      </c>
      <c r="S5705">
        <v>93</v>
      </c>
      <c r="U5705" t="s">
        <v>7076</v>
      </c>
      <c r="V5705" t="s">
        <v>5400</v>
      </c>
      <c r="W5705" t="s">
        <v>7588</v>
      </c>
      <c r="X5705" t="s">
        <v>39223</v>
      </c>
      <c r="AI5705" t="s">
        <v>39224</v>
      </c>
      <c r="AM5705" t="s">
        <v>4912</v>
      </c>
      <c r="AN5705" t="s">
        <v>2139</v>
      </c>
      <c r="AO5705" t="s">
        <v>39225</v>
      </c>
      <c r="AP5705" t="s">
        <v>7024</v>
      </c>
      <c r="AT5705" s="184">
        <v>35334</v>
      </c>
      <c r="AU5705" t="s">
        <v>39226</v>
      </c>
      <c r="AV5705">
        <v>25</v>
      </c>
      <c r="AW5705" s="184">
        <v>42496</v>
      </c>
      <c r="AX5705" t="s">
        <v>11622</v>
      </c>
      <c r="AY5705">
        <v>7065.45</v>
      </c>
      <c r="AZ5705" s="184">
        <v>42438</v>
      </c>
      <c r="BA5705" t="s">
        <v>11622</v>
      </c>
      <c r="BB5705">
        <v>15000</v>
      </c>
      <c r="BC5705">
        <v>59</v>
      </c>
      <c r="BD5705">
        <v>22965.45</v>
      </c>
      <c r="BE5705">
        <v>1997</v>
      </c>
      <c r="BF5705">
        <v>20</v>
      </c>
      <c r="BI5705">
        <v>17</v>
      </c>
      <c r="BJ5705">
        <v>29</v>
      </c>
      <c r="BK5705">
        <v>14</v>
      </c>
      <c r="BO5705" t="s">
        <v>595</v>
      </c>
      <c r="BP5705" s="184">
        <v>42327</v>
      </c>
    </row>
    <row r="5706" spans="1:68">
      <c r="A5706">
        <v>100175016</v>
      </c>
      <c r="B5706">
        <v>100175016</v>
      </c>
      <c r="C5706" t="s">
        <v>7018</v>
      </c>
      <c r="E5706" s="184"/>
      <c r="G5706" s="184"/>
      <c r="I5706" s="184"/>
      <c r="J5706" t="s">
        <v>595</v>
      </c>
      <c r="K5706" s="184">
        <v>38518</v>
      </c>
      <c r="O5706" s="184"/>
      <c r="Q5706" t="s">
        <v>7020</v>
      </c>
      <c r="R5706" s="184">
        <v>6576</v>
      </c>
      <c r="S5706">
        <v>106</v>
      </c>
      <c r="U5706" t="s">
        <v>15150</v>
      </c>
      <c r="V5706" t="s">
        <v>3825</v>
      </c>
      <c r="W5706" t="s">
        <v>5006</v>
      </c>
      <c r="X5706" t="s">
        <v>39227</v>
      </c>
      <c r="AF5706" t="s">
        <v>39228</v>
      </c>
      <c r="AG5706" t="s">
        <v>3825</v>
      </c>
      <c r="AI5706" t="s">
        <v>39229</v>
      </c>
      <c r="AM5706" t="s">
        <v>39230</v>
      </c>
      <c r="AN5706" t="s">
        <v>2112</v>
      </c>
      <c r="AO5706" t="s">
        <v>39231</v>
      </c>
      <c r="AP5706" t="s">
        <v>7024</v>
      </c>
      <c r="AT5706" s="184">
        <v>35356</v>
      </c>
      <c r="AU5706" t="s">
        <v>17624</v>
      </c>
      <c r="AV5706">
        <v>19.95</v>
      </c>
      <c r="AW5706" s="184">
        <v>38518</v>
      </c>
      <c r="AX5706" t="s">
        <v>39232</v>
      </c>
      <c r="AY5706">
        <v>1000</v>
      </c>
      <c r="AZ5706" s="184">
        <v>38518</v>
      </c>
      <c r="BA5706" t="s">
        <v>39232</v>
      </c>
      <c r="BB5706">
        <v>1000</v>
      </c>
      <c r="BC5706">
        <v>11</v>
      </c>
      <c r="BD5706">
        <v>1039.9000000000001</v>
      </c>
      <c r="BE5706">
        <v>1997</v>
      </c>
      <c r="BF5706">
        <v>3</v>
      </c>
      <c r="BI5706">
        <v>3</v>
      </c>
      <c r="BJ5706">
        <v>29</v>
      </c>
      <c r="BK5706">
        <v>1</v>
      </c>
      <c r="BO5706" t="s">
        <v>595</v>
      </c>
      <c r="BP5706" s="184">
        <v>38177</v>
      </c>
    </row>
    <row r="5707" spans="1:68">
      <c r="A5707">
        <v>100175017</v>
      </c>
      <c r="B5707">
        <v>100175017</v>
      </c>
      <c r="C5707" t="s">
        <v>7018</v>
      </c>
      <c r="E5707" s="184"/>
      <c r="I5707" s="184"/>
      <c r="J5707" t="s">
        <v>595</v>
      </c>
      <c r="K5707" s="184">
        <v>40158</v>
      </c>
      <c r="O5707" s="184"/>
      <c r="Q5707" t="s">
        <v>7194</v>
      </c>
      <c r="R5707" s="184"/>
      <c r="U5707" t="s">
        <v>7076</v>
      </c>
      <c r="V5707" t="s">
        <v>39233</v>
      </c>
      <c r="X5707" t="s">
        <v>39234</v>
      </c>
      <c r="AI5707" t="s">
        <v>39235</v>
      </c>
      <c r="AM5707" t="s">
        <v>39236</v>
      </c>
      <c r="AN5707" t="s">
        <v>2046</v>
      </c>
      <c r="AO5707" t="s">
        <v>39237</v>
      </c>
      <c r="AP5707" t="s">
        <v>7024</v>
      </c>
      <c r="AT5707" s="184">
        <v>35411</v>
      </c>
      <c r="AU5707" t="s">
        <v>39238</v>
      </c>
      <c r="AV5707">
        <v>7</v>
      </c>
      <c r="AW5707" s="184">
        <v>40158</v>
      </c>
      <c r="AX5707" t="s">
        <v>14284</v>
      </c>
      <c r="AY5707">
        <v>1000</v>
      </c>
      <c r="AZ5707" s="184">
        <v>40158</v>
      </c>
      <c r="BA5707" t="s">
        <v>14284</v>
      </c>
      <c r="BB5707">
        <v>1000</v>
      </c>
      <c r="BC5707">
        <v>35</v>
      </c>
      <c r="BD5707">
        <v>1207</v>
      </c>
      <c r="BE5707">
        <v>1997</v>
      </c>
      <c r="BF5707">
        <v>17</v>
      </c>
      <c r="BI5707">
        <v>10</v>
      </c>
      <c r="BJ5707">
        <v>29</v>
      </c>
      <c r="BK5707">
        <v>6</v>
      </c>
      <c r="BO5707" t="s">
        <v>595</v>
      </c>
      <c r="BP5707" s="184"/>
    </row>
    <row r="5708" spans="1:68">
      <c r="A5708">
        <v>100175018</v>
      </c>
      <c r="B5708">
        <v>100175018</v>
      </c>
      <c r="C5708" t="s">
        <v>7018</v>
      </c>
      <c r="E5708" s="184"/>
      <c r="G5708" s="184"/>
      <c r="I5708" s="184"/>
      <c r="J5708" t="s">
        <v>595</v>
      </c>
      <c r="K5708" s="184">
        <v>39994</v>
      </c>
      <c r="O5708" s="184"/>
      <c r="Q5708" t="s">
        <v>7194</v>
      </c>
      <c r="R5708" s="184">
        <v>8767</v>
      </c>
      <c r="S5708">
        <v>100</v>
      </c>
      <c r="V5708" t="s">
        <v>39239</v>
      </c>
      <c r="X5708" t="s">
        <v>39240</v>
      </c>
      <c r="AI5708" t="s">
        <v>39241</v>
      </c>
      <c r="AM5708" t="s">
        <v>5517</v>
      </c>
      <c r="AN5708" t="s">
        <v>4512</v>
      </c>
      <c r="AO5708" t="s">
        <v>39242</v>
      </c>
      <c r="AP5708" t="s">
        <v>7024</v>
      </c>
      <c r="AT5708" s="184">
        <v>35411</v>
      </c>
      <c r="AU5708" t="s">
        <v>39243</v>
      </c>
      <c r="AV5708">
        <v>5</v>
      </c>
      <c r="AW5708" s="184">
        <v>39994</v>
      </c>
      <c r="AX5708" t="s">
        <v>9877</v>
      </c>
      <c r="AY5708">
        <v>1400</v>
      </c>
      <c r="AZ5708" s="184">
        <v>39994</v>
      </c>
      <c r="BA5708" t="s">
        <v>9877</v>
      </c>
      <c r="BB5708">
        <v>1400</v>
      </c>
      <c r="BC5708">
        <v>49</v>
      </c>
      <c r="BD5708">
        <v>1721</v>
      </c>
      <c r="BE5708">
        <v>1997</v>
      </c>
      <c r="BF5708">
        <v>22</v>
      </c>
      <c r="BI5708">
        <v>14</v>
      </c>
      <c r="BJ5708">
        <v>29</v>
      </c>
      <c r="BK5708">
        <v>14</v>
      </c>
      <c r="BO5708" t="s">
        <v>595</v>
      </c>
      <c r="BP5708" s="184">
        <v>39650</v>
      </c>
    </row>
    <row r="5709" spans="1:68">
      <c r="A5709">
        <v>100175020</v>
      </c>
      <c r="B5709">
        <v>100175020</v>
      </c>
      <c r="C5709" t="s">
        <v>7018</v>
      </c>
      <c r="E5709" s="184"/>
      <c r="G5709" s="184"/>
      <c r="I5709" s="184"/>
      <c r="J5709" t="s">
        <v>595</v>
      </c>
      <c r="K5709" s="184">
        <v>40311</v>
      </c>
      <c r="O5709" s="184"/>
      <c r="Q5709" t="s">
        <v>7494</v>
      </c>
      <c r="R5709" s="184">
        <v>16234</v>
      </c>
      <c r="S5709">
        <v>79</v>
      </c>
      <c r="V5709" t="s">
        <v>3317</v>
      </c>
      <c r="X5709" t="s">
        <v>4372</v>
      </c>
      <c r="AI5709" t="s">
        <v>39244</v>
      </c>
      <c r="AM5709" t="s">
        <v>3996</v>
      </c>
      <c r="AN5709" t="s">
        <v>2174</v>
      </c>
      <c r="AO5709" t="s">
        <v>39245</v>
      </c>
      <c r="AP5709" t="s">
        <v>7024</v>
      </c>
      <c r="AT5709" s="184">
        <v>35443</v>
      </c>
      <c r="AU5709" t="s">
        <v>39246</v>
      </c>
      <c r="AV5709">
        <v>20</v>
      </c>
      <c r="AW5709" s="184">
        <v>40311</v>
      </c>
      <c r="AX5709" t="s">
        <v>14284</v>
      </c>
      <c r="AY5709">
        <v>11500</v>
      </c>
      <c r="AZ5709" s="184">
        <v>40311</v>
      </c>
      <c r="BA5709" t="s">
        <v>14284</v>
      </c>
      <c r="BB5709">
        <v>11500</v>
      </c>
      <c r="BC5709">
        <v>47</v>
      </c>
      <c r="BD5709">
        <v>11980</v>
      </c>
      <c r="BE5709">
        <v>1997</v>
      </c>
      <c r="BF5709">
        <v>16</v>
      </c>
      <c r="BI5709">
        <v>13</v>
      </c>
      <c r="BJ5709">
        <v>28</v>
      </c>
      <c r="BK5709">
        <v>8</v>
      </c>
      <c r="BO5709" t="s">
        <v>595</v>
      </c>
      <c r="BP5709" s="184"/>
    </row>
    <row r="5710" spans="1:68">
      <c r="A5710">
        <v>100175058</v>
      </c>
      <c r="B5710">
        <v>100175058</v>
      </c>
      <c r="C5710" t="s">
        <v>7018</v>
      </c>
      <c r="E5710" s="184"/>
      <c r="I5710" s="184"/>
      <c r="J5710" t="s">
        <v>595</v>
      </c>
      <c r="K5710" s="184">
        <v>42766</v>
      </c>
      <c r="O5710" s="184"/>
      <c r="Q5710" t="s">
        <v>7194</v>
      </c>
      <c r="R5710" s="184">
        <v>13485</v>
      </c>
      <c r="S5710">
        <v>87</v>
      </c>
      <c r="U5710" t="s">
        <v>7032</v>
      </c>
      <c r="V5710" t="s">
        <v>2593</v>
      </c>
      <c r="W5710" t="s">
        <v>3468</v>
      </c>
      <c r="X5710" t="s">
        <v>39247</v>
      </c>
      <c r="AI5710" t="s">
        <v>39248</v>
      </c>
      <c r="AM5710" t="s">
        <v>39249</v>
      </c>
      <c r="AN5710" t="s">
        <v>2046</v>
      </c>
      <c r="AO5710" t="s">
        <v>39250</v>
      </c>
      <c r="AP5710" t="s">
        <v>7024</v>
      </c>
      <c r="AT5710" s="184">
        <v>35545</v>
      </c>
      <c r="AU5710" t="s">
        <v>18548</v>
      </c>
      <c r="AV5710">
        <v>19.95</v>
      </c>
      <c r="AW5710" s="184">
        <v>42766</v>
      </c>
      <c r="AX5710" t="s">
        <v>19550</v>
      </c>
      <c r="AY5710">
        <v>37867.699999999997</v>
      </c>
      <c r="AZ5710" s="184">
        <v>42766</v>
      </c>
      <c r="BA5710" t="s">
        <v>19550</v>
      </c>
      <c r="BB5710">
        <v>37867.699999999997</v>
      </c>
      <c r="BC5710">
        <v>25</v>
      </c>
      <c r="BD5710">
        <v>37987.65</v>
      </c>
      <c r="BE5710">
        <v>1997</v>
      </c>
      <c r="BF5710">
        <v>7</v>
      </c>
      <c r="BI5710">
        <v>7</v>
      </c>
      <c r="BJ5710">
        <v>28</v>
      </c>
      <c r="BK5710">
        <v>4</v>
      </c>
      <c r="BO5710" t="s">
        <v>595</v>
      </c>
      <c r="BP5710" s="184">
        <v>42453</v>
      </c>
    </row>
    <row r="5711" spans="1:68">
      <c r="A5711">
        <v>100175060</v>
      </c>
      <c r="B5711">
        <v>100175060</v>
      </c>
      <c r="C5711" t="s">
        <v>7018</v>
      </c>
      <c r="E5711" s="184"/>
      <c r="G5711" s="184"/>
      <c r="I5711" s="184"/>
      <c r="J5711" t="s">
        <v>595</v>
      </c>
      <c r="K5711" s="184">
        <v>42145</v>
      </c>
      <c r="O5711" s="184"/>
      <c r="Q5711" t="s">
        <v>7374</v>
      </c>
      <c r="R5711" s="184">
        <v>7319</v>
      </c>
      <c r="S5711">
        <v>104</v>
      </c>
      <c r="U5711" t="s">
        <v>7130</v>
      </c>
      <c r="V5711" t="s">
        <v>5400</v>
      </c>
      <c r="W5711" t="s">
        <v>5006</v>
      </c>
      <c r="X5711" t="s">
        <v>39251</v>
      </c>
      <c r="AI5711" t="s">
        <v>39252</v>
      </c>
      <c r="AM5711" t="s">
        <v>3428</v>
      </c>
      <c r="AN5711" t="s">
        <v>2081</v>
      </c>
      <c r="AO5711" t="s">
        <v>39253</v>
      </c>
      <c r="AP5711" t="s">
        <v>7024</v>
      </c>
      <c r="AT5711" s="184">
        <v>35564</v>
      </c>
      <c r="AU5711" t="s">
        <v>33740</v>
      </c>
      <c r="AV5711">
        <v>25</v>
      </c>
      <c r="AW5711" s="184">
        <v>42145</v>
      </c>
      <c r="AX5711" t="s">
        <v>14228</v>
      </c>
      <c r="AY5711">
        <v>76800</v>
      </c>
      <c r="AZ5711" s="184">
        <v>42145</v>
      </c>
      <c r="BA5711" t="s">
        <v>14228</v>
      </c>
      <c r="BB5711">
        <v>76800</v>
      </c>
      <c r="BC5711">
        <v>47</v>
      </c>
      <c r="BD5711">
        <v>77460</v>
      </c>
      <c r="BE5711">
        <v>1997</v>
      </c>
      <c r="BF5711">
        <v>13</v>
      </c>
      <c r="BI5711">
        <v>13</v>
      </c>
      <c r="BJ5711">
        <v>28</v>
      </c>
      <c r="BK5711">
        <v>6</v>
      </c>
      <c r="BO5711" t="s">
        <v>595</v>
      </c>
      <c r="BP5711" s="184">
        <v>42025</v>
      </c>
    </row>
    <row r="5712" spans="1:68">
      <c r="A5712">
        <v>100175065</v>
      </c>
      <c r="B5712">
        <v>100175065</v>
      </c>
      <c r="C5712" t="s">
        <v>7018</v>
      </c>
      <c r="E5712" s="184"/>
      <c r="I5712" s="184"/>
      <c r="J5712" t="s">
        <v>595</v>
      </c>
      <c r="K5712" s="184">
        <v>41571</v>
      </c>
      <c r="O5712" s="184"/>
      <c r="Q5712" t="s">
        <v>7374</v>
      </c>
      <c r="R5712" s="184">
        <v>6785</v>
      </c>
      <c r="S5712">
        <v>105</v>
      </c>
      <c r="V5712" t="s">
        <v>4664</v>
      </c>
      <c r="W5712" t="s">
        <v>4210</v>
      </c>
      <c r="X5712" t="s">
        <v>39254</v>
      </c>
      <c r="AF5712" t="s">
        <v>39255</v>
      </c>
      <c r="AG5712" t="s">
        <v>4664</v>
      </c>
      <c r="AI5712" t="s">
        <v>39256</v>
      </c>
      <c r="AM5712" t="s">
        <v>3721</v>
      </c>
      <c r="AN5712" t="s">
        <v>2081</v>
      </c>
      <c r="AO5712" t="s">
        <v>39257</v>
      </c>
      <c r="AP5712" t="s">
        <v>7024</v>
      </c>
      <c r="AT5712" s="184">
        <v>35633</v>
      </c>
      <c r="AU5712" t="s">
        <v>39258</v>
      </c>
      <c r="AV5712">
        <v>25</v>
      </c>
      <c r="AW5712" s="184">
        <v>41571</v>
      </c>
      <c r="AX5712" t="s">
        <v>37849</v>
      </c>
      <c r="AY5712">
        <v>1800</v>
      </c>
      <c r="AZ5712" s="184">
        <v>40885</v>
      </c>
      <c r="BA5712" t="s">
        <v>18846</v>
      </c>
      <c r="BB5712">
        <v>67650</v>
      </c>
      <c r="BC5712">
        <v>50</v>
      </c>
      <c r="BD5712">
        <v>127770.65</v>
      </c>
      <c r="BE5712">
        <v>1998</v>
      </c>
      <c r="BF5712">
        <v>23</v>
      </c>
      <c r="BI5712">
        <v>14</v>
      </c>
      <c r="BJ5712">
        <v>28</v>
      </c>
      <c r="BK5712">
        <v>11</v>
      </c>
      <c r="BO5712" t="s">
        <v>595</v>
      </c>
      <c r="BP5712" s="184">
        <v>40412</v>
      </c>
    </row>
    <row r="5713" spans="1:68">
      <c r="A5713">
        <v>100175068</v>
      </c>
      <c r="B5713">
        <v>100175068</v>
      </c>
      <c r="C5713" t="s">
        <v>7018</v>
      </c>
      <c r="E5713" s="184"/>
      <c r="G5713" s="184"/>
      <c r="I5713" s="184"/>
      <c r="J5713" t="s">
        <v>595</v>
      </c>
      <c r="K5713" s="184">
        <v>42132</v>
      </c>
      <c r="O5713" s="184"/>
      <c r="Q5713" t="s">
        <v>7020</v>
      </c>
      <c r="R5713" s="184">
        <v>12420</v>
      </c>
      <c r="S5713">
        <v>90</v>
      </c>
      <c r="U5713" t="s">
        <v>7076</v>
      </c>
      <c r="V5713" t="s">
        <v>2669</v>
      </c>
      <c r="W5713" t="s">
        <v>4013</v>
      </c>
      <c r="X5713" t="s">
        <v>39259</v>
      </c>
      <c r="AI5713" t="s">
        <v>39260</v>
      </c>
      <c r="AM5713" t="s">
        <v>39261</v>
      </c>
      <c r="AN5713" t="s">
        <v>2129</v>
      </c>
      <c r="AO5713" t="s">
        <v>39262</v>
      </c>
      <c r="AP5713" t="s">
        <v>7024</v>
      </c>
      <c r="AT5713" s="184">
        <v>35662</v>
      </c>
      <c r="AU5713" t="s">
        <v>39263</v>
      </c>
      <c r="AV5713">
        <v>15</v>
      </c>
      <c r="AW5713" s="184">
        <v>42132</v>
      </c>
      <c r="AX5713" t="s">
        <v>14228</v>
      </c>
      <c r="AY5713">
        <v>5000</v>
      </c>
      <c r="AZ5713" s="184">
        <v>42132</v>
      </c>
      <c r="BA5713" t="s">
        <v>14228</v>
      </c>
      <c r="BB5713">
        <v>5000</v>
      </c>
      <c r="BC5713">
        <v>18</v>
      </c>
      <c r="BD5713">
        <v>5120</v>
      </c>
      <c r="BE5713">
        <v>1998</v>
      </c>
      <c r="BF5713">
        <v>7</v>
      </c>
      <c r="BI5713">
        <v>5</v>
      </c>
      <c r="BJ5713">
        <v>28</v>
      </c>
      <c r="BK5713">
        <v>2</v>
      </c>
      <c r="BO5713" t="s">
        <v>595</v>
      </c>
      <c r="BP5713" s="184">
        <v>41700</v>
      </c>
    </row>
    <row r="5714" spans="1:68">
      <c r="A5714">
        <v>100175070</v>
      </c>
      <c r="B5714">
        <v>100175070</v>
      </c>
      <c r="C5714" t="s">
        <v>7018</v>
      </c>
      <c r="E5714" s="184"/>
      <c r="I5714" s="184"/>
      <c r="J5714" t="s">
        <v>595</v>
      </c>
      <c r="K5714" s="184">
        <v>37601</v>
      </c>
      <c r="O5714" s="184"/>
      <c r="Q5714" t="s">
        <v>7194</v>
      </c>
      <c r="R5714" s="184"/>
      <c r="U5714" t="s">
        <v>7031</v>
      </c>
      <c r="V5714" t="s">
        <v>4676</v>
      </c>
      <c r="X5714" t="s">
        <v>9020</v>
      </c>
      <c r="AI5714" t="s">
        <v>39264</v>
      </c>
      <c r="AM5714" t="s">
        <v>4238</v>
      </c>
      <c r="AN5714" t="s">
        <v>2046</v>
      </c>
      <c r="AO5714" t="s">
        <v>39265</v>
      </c>
      <c r="AP5714" t="s">
        <v>7024</v>
      </c>
      <c r="AT5714" s="184">
        <v>35723</v>
      </c>
      <c r="AU5714" t="s">
        <v>39266</v>
      </c>
      <c r="AV5714">
        <v>15</v>
      </c>
      <c r="AW5714" s="184">
        <v>37601</v>
      </c>
      <c r="AX5714" t="s">
        <v>37822</v>
      </c>
      <c r="AY5714">
        <v>143.82</v>
      </c>
      <c r="AZ5714" s="184">
        <v>36327</v>
      </c>
      <c r="BA5714" t="s">
        <v>39267</v>
      </c>
      <c r="BB5714">
        <v>250</v>
      </c>
      <c r="BC5714">
        <v>22</v>
      </c>
      <c r="BD5714">
        <v>808.82</v>
      </c>
      <c r="BE5714">
        <v>1998</v>
      </c>
      <c r="BF5714">
        <v>8</v>
      </c>
      <c r="BI5714">
        <v>6</v>
      </c>
      <c r="BJ5714">
        <v>28</v>
      </c>
      <c r="BK5714">
        <v>6</v>
      </c>
      <c r="BM5714" t="s">
        <v>595</v>
      </c>
      <c r="BO5714" t="s">
        <v>595</v>
      </c>
      <c r="BP5714" s="184"/>
    </row>
    <row r="5715" spans="1:68">
      <c r="A5715">
        <v>100175092</v>
      </c>
      <c r="B5715">
        <v>100175092</v>
      </c>
      <c r="C5715" t="s">
        <v>7018</v>
      </c>
      <c r="E5715" s="184"/>
      <c r="I5715" s="184"/>
      <c r="J5715" t="s">
        <v>595</v>
      </c>
      <c r="K5715" s="184">
        <v>39044</v>
      </c>
      <c r="O5715" s="184"/>
      <c r="Q5715" t="s">
        <v>7262</v>
      </c>
      <c r="R5715" s="184">
        <v>6484</v>
      </c>
      <c r="S5715">
        <v>106</v>
      </c>
      <c r="U5715" t="s">
        <v>7031</v>
      </c>
      <c r="V5715" t="s">
        <v>4089</v>
      </c>
      <c r="W5715" t="s">
        <v>2316</v>
      </c>
      <c r="X5715" t="s">
        <v>39268</v>
      </c>
      <c r="Z5715">
        <v>100175093</v>
      </c>
      <c r="AA5715" t="s">
        <v>7076</v>
      </c>
      <c r="AB5715" t="s">
        <v>7799</v>
      </c>
      <c r="AC5715" t="s">
        <v>3522</v>
      </c>
      <c r="AD5715" t="s">
        <v>39268</v>
      </c>
      <c r="AI5715" t="s">
        <v>39269</v>
      </c>
      <c r="AM5715" t="s">
        <v>3100</v>
      </c>
      <c r="AN5715" t="s">
        <v>2106</v>
      </c>
      <c r="AO5715" t="s">
        <v>39270</v>
      </c>
      <c r="AP5715" t="s">
        <v>7024</v>
      </c>
      <c r="AT5715" s="184">
        <v>35880</v>
      </c>
      <c r="AU5715" t="s">
        <v>19978</v>
      </c>
      <c r="AV5715">
        <v>25</v>
      </c>
      <c r="AW5715" s="184">
        <v>42636</v>
      </c>
      <c r="AX5715" t="s">
        <v>19550</v>
      </c>
      <c r="AY5715">
        <v>40310.839999999997</v>
      </c>
      <c r="AZ5715" s="184">
        <v>42636</v>
      </c>
      <c r="BA5715" t="s">
        <v>19550</v>
      </c>
      <c r="BB5715">
        <v>40310.839999999997</v>
      </c>
      <c r="BC5715">
        <v>67</v>
      </c>
      <c r="BD5715">
        <v>41075.839999999997</v>
      </c>
      <c r="BE5715">
        <v>1998</v>
      </c>
      <c r="BF5715">
        <v>23</v>
      </c>
      <c r="BI5715">
        <v>18</v>
      </c>
      <c r="BJ5715">
        <v>27</v>
      </c>
      <c r="BK5715">
        <v>17</v>
      </c>
      <c r="BO5715" t="s">
        <v>595</v>
      </c>
      <c r="BP5715" s="184">
        <v>38713</v>
      </c>
    </row>
    <row r="5716" spans="1:68">
      <c r="A5716">
        <v>100175102</v>
      </c>
      <c r="B5716">
        <v>100175102</v>
      </c>
      <c r="C5716" t="s">
        <v>7018</v>
      </c>
      <c r="E5716" s="184"/>
      <c r="I5716" s="184"/>
      <c r="K5716" s="184"/>
      <c r="N5716" t="s">
        <v>595</v>
      </c>
      <c r="O5716" s="184">
        <v>39029</v>
      </c>
      <c r="Q5716" t="s">
        <v>7374</v>
      </c>
      <c r="R5716" s="184">
        <v>6347</v>
      </c>
      <c r="S5716">
        <v>106</v>
      </c>
      <c r="U5716" t="s">
        <v>7076</v>
      </c>
      <c r="V5716" t="s">
        <v>39271</v>
      </c>
      <c r="X5716" t="s">
        <v>22051</v>
      </c>
      <c r="AI5716" t="s">
        <v>39272</v>
      </c>
      <c r="AM5716" t="s">
        <v>3040</v>
      </c>
      <c r="AN5716" t="s">
        <v>2081</v>
      </c>
      <c r="AO5716" t="s">
        <v>39273</v>
      </c>
      <c r="AP5716" t="s">
        <v>7024</v>
      </c>
      <c r="AT5716" s="184">
        <v>35936</v>
      </c>
      <c r="AU5716" t="s">
        <v>39274</v>
      </c>
      <c r="AV5716">
        <v>25</v>
      </c>
      <c r="AW5716" s="184">
        <v>38215</v>
      </c>
      <c r="AX5716" t="s">
        <v>39275</v>
      </c>
      <c r="AY5716">
        <v>25</v>
      </c>
      <c r="AZ5716" s="184">
        <v>37455</v>
      </c>
      <c r="BA5716" t="s">
        <v>7180</v>
      </c>
      <c r="BB5716">
        <v>10000</v>
      </c>
      <c r="BC5716">
        <v>19</v>
      </c>
      <c r="BD5716">
        <v>10278</v>
      </c>
      <c r="BE5716">
        <v>1998</v>
      </c>
      <c r="BF5716">
        <v>15</v>
      </c>
      <c r="BI5716">
        <v>5</v>
      </c>
      <c r="BJ5716">
        <v>27</v>
      </c>
      <c r="BK5716">
        <v>3</v>
      </c>
      <c r="BO5716" t="s">
        <v>595</v>
      </c>
      <c r="BP5716" s="184">
        <v>39128</v>
      </c>
    </row>
    <row r="5717" spans="1:68">
      <c r="A5717">
        <v>100175103</v>
      </c>
      <c r="B5717">
        <v>100175103</v>
      </c>
      <c r="C5717" t="s">
        <v>7018</v>
      </c>
      <c r="E5717" s="184"/>
      <c r="I5717" s="184"/>
      <c r="J5717" t="s">
        <v>595</v>
      </c>
      <c r="K5717" s="184">
        <v>43551</v>
      </c>
      <c r="O5717" s="184"/>
      <c r="Q5717" t="s">
        <v>7020</v>
      </c>
      <c r="R5717" s="184">
        <v>9072</v>
      </c>
      <c r="S5717">
        <v>99</v>
      </c>
      <c r="U5717" t="s">
        <v>7031</v>
      </c>
      <c r="V5717" t="s">
        <v>17960</v>
      </c>
      <c r="X5717" t="s">
        <v>39276</v>
      </c>
      <c r="AF5717" t="s">
        <v>39277</v>
      </c>
      <c r="AG5717" t="s">
        <v>17960</v>
      </c>
      <c r="AI5717" t="s">
        <v>39278</v>
      </c>
      <c r="AM5717" t="s">
        <v>3004</v>
      </c>
      <c r="AN5717" t="s">
        <v>2112</v>
      </c>
      <c r="AO5717">
        <v>10011</v>
      </c>
      <c r="AP5717" t="s">
        <v>7024</v>
      </c>
      <c r="AT5717" s="184">
        <v>35961</v>
      </c>
      <c r="AU5717" t="s">
        <v>39279</v>
      </c>
      <c r="AV5717">
        <v>25</v>
      </c>
      <c r="AW5717" s="184">
        <v>43551</v>
      </c>
      <c r="AX5717" t="s">
        <v>7348</v>
      </c>
      <c r="AY5717">
        <v>406.43</v>
      </c>
      <c r="AZ5717" s="184">
        <v>42527</v>
      </c>
      <c r="BA5717" t="s">
        <v>11622</v>
      </c>
      <c r="BB5717">
        <v>189210.18</v>
      </c>
      <c r="BC5717">
        <v>78</v>
      </c>
      <c r="BD5717">
        <v>446976.56</v>
      </c>
      <c r="BE5717">
        <v>1998</v>
      </c>
      <c r="BF5717">
        <v>30</v>
      </c>
      <c r="BI5717">
        <v>21</v>
      </c>
      <c r="BJ5717">
        <v>27</v>
      </c>
      <c r="BK5717">
        <v>13</v>
      </c>
      <c r="BO5717" t="s">
        <v>595</v>
      </c>
      <c r="BP5717" s="184">
        <v>40564</v>
      </c>
    </row>
    <row r="5718" spans="1:68">
      <c r="A5718">
        <v>100175104</v>
      </c>
      <c r="B5718">
        <v>100175104</v>
      </c>
      <c r="C5718" t="s">
        <v>7018</v>
      </c>
      <c r="E5718" s="184"/>
      <c r="I5718" s="184"/>
      <c r="J5718" t="s">
        <v>595</v>
      </c>
      <c r="K5718" s="184">
        <v>41620</v>
      </c>
      <c r="O5718" s="184"/>
      <c r="Q5718" t="s">
        <v>7160</v>
      </c>
      <c r="R5718" s="184"/>
      <c r="U5718" t="s">
        <v>7076</v>
      </c>
      <c r="V5718" t="s">
        <v>37941</v>
      </c>
      <c r="X5718" t="s">
        <v>4573</v>
      </c>
      <c r="AI5718" t="s">
        <v>39280</v>
      </c>
      <c r="AM5718" t="s">
        <v>4005</v>
      </c>
      <c r="AN5718" t="s">
        <v>2446</v>
      </c>
      <c r="AO5718" t="s">
        <v>39281</v>
      </c>
      <c r="AP5718" t="s">
        <v>7024</v>
      </c>
      <c r="AT5718" s="184">
        <v>35969</v>
      </c>
      <c r="AU5718" t="s">
        <v>39282</v>
      </c>
      <c r="AV5718">
        <v>25</v>
      </c>
      <c r="AW5718" s="184">
        <v>41620</v>
      </c>
      <c r="AX5718" t="s">
        <v>37849</v>
      </c>
      <c r="AY5718">
        <v>661.5</v>
      </c>
      <c r="AZ5718" s="184">
        <v>41620</v>
      </c>
      <c r="BA5718" t="s">
        <v>37849</v>
      </c>
      <c r="BB5718">
        <v>661.5</v>
      </c>
      <c r="BC5718">
        <v>12</v>
      </c>
      <c r="BD5718">
        <v>781.5</v>
      </c>
      <c r="BE5718">
        <v>1998</v>
      </c>
      <c r="BF5718">
        <v>6</v>
      </c>
      <c r="BI5718">
        <v>3</v>
      </c>
      <c r="BJ5718">
        <v>27</v>
      </c>
      <c r="BK5718">
        <v>2</v>
      </c>
      <c r="BO5718" t="s">
        <v>595</v>
      </c>
      <c r="BP5718" s="184"/>
    </row>
    <row r="5719" spans="1:68">
      <c r="A5719">
        <v>100175110</v>
      </c>
      <c r="B5719">
        <v>100175110</v>
      </c>
      <c r="C5719" t="s">
        <v>7018</v>
      </c>
      <c r="E5719" s="184"/>
      <c r="G5719" s="184"/>
      <c r="J5719" t="s">
        <v>595</v>
      </c>
      <c r="K5719" s="184">
        <v>41904</v>
      </c>
      <c r="O5719" s="184"/>
      <c r="Q5719" t="s">
        <v>7262</v>
      </c>
      <c r="R5719" s="184"/>
      <c r="V5719" t="s">
        <v>5400</v>
      </c>
      <c r="W5719" t="s">
        <v>7248</v>
      </c>
      <c r="X5719" t="s">
        <v>39283</v>
      </c>
      <c r="Z5719">
        <v>100175111</v>
      </c>
      <c r="AA5719" t="s">
        <v>14285</v>
      </c>
      <c r="AB5719" t="s">
        <v>5400</v>
      </c>
      <c r="AC5719" t="s">
        <v>7248</v>
      </c>
      <c r="AD5719" t="s">
        <v>39283</v>
      </c>
      <c r="AE5719" t="s">
        <v>14286</v>
      </c>
      <c r="AI5719" t="s">
        <v>39284</v>
      </c>
      <c r="AM5719" t="s">
        <v>39285</v>
      </c>
      <c r="AN5719" t="s">
        <v>2106</v>
      </c>
      <c r="AO5719" t="s">
        <v>39286</v>
      </c>
      <c r="AP5719" t="s">
        <v>7024</v>
      </c>
      <c r="AT5719" s="184">
        <v>35985</v>
      </c>
      <c r="AU5719" t="s">
        <v>39287</v>
      </c>
      <c r="AV5719">
        <v>25</v>
      </c>
      <c r="AW5719" s="184">
        <v>41904</v>
      </c>
      <c r="AX5719" t="s">
        <v>14228</v>
      </c>
      <c r="AY5719">
        <v>242.79</v>
      </c>
      <c r="AZ5719" s="184">
        <v>41571</v>
      </c>
      <c r="BA5719" t="s">
        <v>37849</v>
      </c>
      <c r="BB5719">
        <v>6236.29</v>
      </c>
      <c r="BC5719">
        <v>60</v>
      </c>
      <c r="BD5719">
        <v>7519.08</v>
      </c>
      <c r="BE5719">
        <v>1999</v>
      </c>
      <c r="BF5719">
        <v>36</v>
      </c>
      <c r="BI5719">
        <v>16</v>
      </c>
      <c r="BJ5719">
        <v>27</v>
      </c>
      <c r="BK5719">
        <v>14</v>
      </c>
      <c r="BO5719" t="s">
        <v>595</v>
      </c>
      <c r="BP5719" s="184">
        <v>41084</v>
      </c>
    </row>
    <row r="5720" spans="1:68">
      <c r="A5720">
        <v>100175118</v>
      </c>
      <c r="B5720">
        <v>100175118</v>
      </c>
      <c r="C5720" t="s">
        <v>7018</v>
      </c>
      <c r="E5720" s="184"/>
      <c r="G5720" s="184"/>
      <c r="I5720" s="184"/>
      <c r="J5720" t="s">
        <v>595</v>
      </c>
      <c r="K5720" s="184">
        <v>38945</v>
      </c>
      <c r="O5720" s="184"/>
      <c r="Q5720" t="s">
        <v>7374</v>
      </c>
      <c r="R5720" s="184"/>
      <c r="U5720" t="s">
        <v>15150</v>
      </c>
      <c r="V5720" t="s">
        <v>3103</v>
      </c>
      <c r="W5720" t="s">
        <v>7085</v>
      </c>
      <c r="X5720" t="s">
        <v>4003</v>
      </c>
      <c r="AF5720" t="s">
        <v>39288</v>
      </c>
      <c r="AG5720" t="s">
        <v>3103</v>
      </c>
      <c r="AI5720" t="s">
        <v>39289</v>
      </c>
      <c r="AM5720" t="s">
        <v>39290</v>
      </c>
      <c r="AN5720" t="s">
        <v>2081</v>
      </c>
      <c r="AO5720" t="s">
        <v>39291</v>
      </c>
      <c r="AP5720" t="s">
        <v>7024</v>
      </c>
      <c r="AT5720" s="184">
        <v>36090</v>
      </c>
      <c r="AU5720" t="s">
        <v>39292</v>
      </c>
      <c r="AV5720">
        <v>40</v>
      </c>
      <c r="AW5720" s="184">
        <v>38945</v>
      </c>
      <c r="AX5720" t="s">
        <v>37812</v>
      </c>
      <c r="AY5720">
        <v>53993.45</v>
      </c>
      <c r="AZ5720" s="184">
        <v>38945</v>
      </c>
      <c r="BA5720" t="s">
        <v>37812</v>
      </c>
      <c r="BB5720">
        <v>53993.45</v>
      </c>
      <c r="BC5720">
        <v>26</v>
      </c>
      <c r="BD5720">
        <v>54443.45</v>
      </c>
      <c r="BE5720">
        <v>1999</v>
      </c>
      <c r="BF5720">
        <v>7</v>
      </c>
      <c r="BI5720">
        <v>7</v>
      </c>
      <c r="BJ5720">
        <v>27</v>
      </c>
      <c r="BK5720">
        <v>5</v>
      </c>
      <c r="BO5720" t="s">
        <v>595</v>
      </c>
      <c r="BP5720" s="184"/>
    </row>
    <row r="5721" spans="1:68">
      <c r="A5721">
        <v>100175131</v>
      </c>
      <c r="B5721">
        <v>100175131</v>
      </c>
      <c r="C5721" t="s">
        <v>7018</v>
      </c>
      <c r="E5721" s="184"/>
      <c r="G5721" s="184"/>
      <c r="K5721" s="184"/>
      <c r="N5721" t="s">
        <v>595</v>
      </c>
      <c r="O5721" s="184">
        <v>38201</v>
      </c>
      <c r="Q5721" t="s">
        <v>7262</v>
      </c>
      <c r="R5721" s="184">
        <v>7546</v>
      </c>
      <c r="S5721">
        <v>103</v>
      </c>
      <c r="V5721" t="s">
        <v>39293</v>
      </c>
      <c r="X5721" t="s">
        <v>39294</v>
      </c>
      <c r="Z5721">
        <v>100175132</v>
      </c>
      <c r="AA5721" t="s">
        <v>7076</v>
      </c>
      <c r="AB5721" t="s">
        <v>2669</v>
      </c>
      <c r="AD5721" t="s">
        <v>39295</v>
      </c>
      <c r="AI5721" t="s">
        <v>39296</v>
      </c>
      <c r="AM5721" t="s">
        <v>4104</v>
      </c>
      <c r="AN5721" t="s">
        <v>2106</v>
      </c>
      <c r="AO5721" t="s">
        <v>39297</v>
      </c>
      <c r="AP5721" t="s">
        <v>7024</v>
      </c>
      <c r="AT5721" s="184">
        <v>36146</v>
      </c>
      <c r="AU5721" t="s">
        <v>39298</v>
      </c>
      <c r="AV5721">
        <v>15</v>
      </c>
      <c r="AW5721" s="184">
        <v>41198</v>
      </c>
      <c r="AX5721" t="s">
        <v>39299</v>
      </c>
      <c r="AY5721">
        <v>50</v>
      </c>
      <c r="AZ5721" s="184">
        <v>38202</v>
      </c>
      <c r="BA5721" t="s">
        <v>8001</v>
      </c>
      <c r="BB5721">
        <v>20000</v>
      </c>
      <c r="BC5721">
        <v>56</v>
      </c>
      <c r="BD5721">
        <v>22255</v>
      </c>
      <c r="BE5721">
        <v>1999</v>
      </c>
      <c r="BF5721">
        <v>62</v>
      </c>
      <c r="BI5721">
        <v>15</v>
      </c>
      <c r="BJ5721">
        <v>27</v>
      </c>
      <c r="BK5721">
        <v>15</v>
      </c>
      <c r="BO5721" t="s">
        <v>595</v>
      </c>
      <c r="BP5721" s="184">
        <v>41249</v>
      </c>
    </row>
    <row r="5722" spans="1:68">
      <c r="A5722">
        <v>100175132</v>
      </c>
      <c r="B5722">
        <v>100175131</v>
      </c>
      <c r="C5722" t="s">
        <v>7018</v>
      </c>
      <c r="E5722" s="184"/>
      <c r="I5722" s="184"/>
      <c r="K5722" s="184"/>
      <c r="N5722" t="s">
        <v>595</v>
      </c>
      <c r="O5722" s="184">
        <v>38201</v>
      </c>
      <c r="Q5722" t="s">
        <v>7262</v>
      </c>
      <c r="R5722" s="184">
        <v>9811</v>
      </c>
      <c r="S5722">
        <v>97</v>
      </c>
      <c r="U5722" t="s">
        <v>7076</v>
      </c>
      <c r="V5722" t="s">
        <v>2669</v>
      </c>
      <c r="X5722" t="s">
        <v>39295</v>
      </c>
      <c r="Z5722">
        <v>100175131</v>
      </c>
      <c r="AB5722" t="s">
        <v>39293</v>
      </c>
      <c r="AD5722" t="s">
        <v>39294</v>
      </c>
      <c r="AI5722" t="s">
        <v>39296</v>
      </c>
      <c r="AM5722" t="s">
        <v>4104</v>
      </c>
      <c r="AN5722" t="s">
        <v>2106</v>
      </c>
      <c r="AO5722" t="s">
        <v>39297</v>
      </c>
      <c r="AP5722" t="s">
        <v>7024</v>
      </c>
      <c r="AT5722" s="184"/>
      <c r="AW5722" s="184"/>
      <c r="AZ5722" s="184"/>
      <c r="BO5722" t="s">
        <v>595</v>
      </c>
      <c r="BP5722" s="184">
        <v>41545</v>
      </c>
    </row>
    <row r="5723" spans="1:68">
      <c r="A5723">
        <v>100175133</v>
      </c>
      <c r="B5723">
        <v>100175131</v>
      </c>
      <c r="C5723" t="s">
        <v>7018</v>
      </c>
      <c r="E5723" s="184"/>
      <c r="G5723" s="184"/>
      <c r="I5723" s="184"/>
      <c r="K5723" s="184"/>
      <c r="N5723" t="s">
        <v>595</v>
      </c>
      <c r="O5723" s="184">
        <v>38201</v>
      </c>
      <c r="Q5723" t="s">
        <v>7262</v>
      </c>
      <c r="R5723" s="184"/>
      <c r="V5723" t="s">
        <v>2669</v>
      </c>
      <c r="X5723" t="s">
        <v>39294</v>
      </c>
      <c r="Z5723">
        <v>100175131</v>
      </c>
      <c r="AB5723" t="s">
        <v>39293</v>
      </c>
      <c r="AD5723" t="s">
        <v>39294</v>
      </c>
      <c r="AI5723" t="s">
        <v>39296</v>
      </c>
      <c r="AM5723" t="s">
        <v>4104</v>
      </c>
      <c r="AN5723" t="s">
        <v>2106</v>
      </c>
      <c r="AO5723" t="s">
        <v>39297</v>
      </c>
      <c r="AP5723" t="s">
        <v>7024</v>
      </c>
      <c r="AT5723" s="184"/>
      <c r="AW5723" s="184"/>
      <c r="AZ5723" s="184"/>
      <c r="BO5723" t="s">
        <v>595</v>
      </c>
      <c r="BP5723" s="184"/>
    </row>
    <row r="5724" spans="1:68">
      <c r="A5724">
        <v>100175148</v>
      </c>
      <c r="B5724">
        <v>100175148</v>
      </c>
      <c r="C5724" t="s">
        <v>7018</v>
      </c>
      <c r="E5724" s="184"/>
      <c r="G5724" s="184"/>
      <c r="I5724" s="184"/>
      <c r="J5724" t="s">
        <v>595</v>
      </c>
      <c r="K5724" s="184">
        <v>40739</v>
      </c>
      <c r="N5724" t="s">
        <v>595</v>
      </c>
      <c r="O5724" s="184">
        <v>37554</v>
      </c>
      <c r="P5724" t="s">
        <v>7084</v>
      </c>
      <c r="Q5724" t="s">
        <v>7383</v>
      </c>
      <c r="R5724" s="184">
        <v>8514</v>
      </c>
      <c r="S5724">
        <v>101</v>
      </c>
      <c r="U5724" t="s">
        <v>7032</v>
      </c>
      <c r="V5724" t="s">
        <v>3689</v>
      </c>
      <c r="W5724" t="s">
        <v>4013</v>
      </c>
      <c r="X5724" t="s">
        <v>39300</v>
      </c>
      <c r="AI5724" t="s">
        <v>39301</v>
      </c>
      <c r="AM5724" t="s">
        <v>3010</v>
      </c>
      <c r="AN5724" t="s">
        <v>2059</v>
      </c>
      <c r="AO5724" t="s">
        <v>39302</v>
      </c>
      <c r="AP5724" t="s">
        <v>7024</v>
      </c>
      <c r="AT5724" s="184">
        <v>36179</v>
      </c>
      <c r="AU5724" t="s">
        <v>20693</v>
      </c>
      <c r="AV5724">
        <v>25</v>
      </c>
      <c r="AW5724" s="184">
        <v>44326</v>
      </c>
      <c r="AX5724" t="s">
        <v>7309</v>
      </c>
      <c r="AY5724">
        <v>24417.8</v>
      </c>
      <c r="AZ5724" s="184">
        <v>44326</v>
      </c>
      <c r="BA5724" t="s">
        <v>7309</v>
      </c>
      <c r="BB5724">
        <v>24417.8</v>
      </c>
      <c r="BC5724">
        <v>35</v>
      </c>
      <c r="BD5724">
        <v>40594.699999999997</v>
      </c>
      <c r="BE5724">
        <v>1999</v>
      </c>
      <c r="BF5724">
        <v>12</v>
      </c>
      <c r="BI5724">
        <v>9</v>
      </c>
      <c r="BJ5724">
        <v>26</v>
      </c>
      <c r="BK5724">
        <v>4</v>
      </c>
      <c r="BL5724" t="s">
        <v>595</v>
      </c>
      <c r="BM5724" t="s">
        <v>595</v>
      </c>
      <c r="BO5724" t="s">
        <v>595</v>
      </c>
      <c r="BP5724" s="184">
        <v>40444</v>
      </c>
    </row>
    <row r="5725" spans="1:68">
      <c r="A5725">
        <v>100175149</v>
      </c>
      <c r="B5725">
        <v>100175149</v>
      </c>
      <c r="C5725" t="s">
        <v>7018</v>
      </c>
      <c r="E5725" s="184"/>
      <c r="G5725" s="184"/>
      <c r="I5725" s="184"/>
      <c r="J5725" t="s">
        <v>595</v>
      </c>
      <c r="K5725" s="184">
        <v>38512</v>
      </c>
      <c r="O5725" s="184"/>
      <c r="Q5725" t="s">
        <v>7383</v>
      </c>
      <c r="R5725" s="184"/>
      <c r="U5725" t="s">
        <v>15150</v>
      </c>
      <c r="V5725" t="s">
        <v>3095</v>
      </c>
      <c r="X5725" t="s">
        <v>39303</v>
      </c>
      <c r="AI5725" t="s">
        <v>39304</v>
      </c>
      <c r="AJ5725" t="s">
        <v>39305</v>
      </c>
      <c r="AM5725" t="s">
        <v>3133</v>
      </c>
      <c r="AN5725" t="s">
        <v>2313</v>
      </c>
      <c r="AO5725">
        <v>60048</v>
      </c>
      <c r="AP5725" t="s">
        <v>7024</v>
      </c>
      <c r="AT5725" s="184">
        <v>36185</v>
      </c>
      <c r="AU5725" t="s">
        <v>39306</v>
      </c>
      <c r="AV5725">
        <v>15</v>
      </c>
      <c r="AW5725" s="184">
        <v>38512</v>
      </c>
      <c r="AX5725" t="s">
        <v>37872</v>
      </c>
      <c r="AY5725">
        <v>11521.44</v>
      </c>
      <c r="AZ5725" s="184">
        <v>38327</v>
      </c>
      <c r="BA5725" t="s">
        <v>37872</v>
      </c>
      <c r="BB5725">
        <v>76775.83</v>
      </c>
      <c r="BC5725">
        <v>12</v>
      </c>
      <c r="BD5725">
        <v>88317.27</v>
      </c>
      <c r="BE5725">
        <v>1999</v>
      </c>
      <c r="BF5725">
        <v>4</v>
      </c>
      <c r="BI5725">
        <v>3</v>
      </c>
      <c r="BJ5725">
        <v>26</v>
      </c>
      <c r="BK5725">
        <v>2</v>
      </c>
      <c r="BO5725" t="s">
        <v>595</v>
      </c>
      <c r="BP5725" s="184">
        <v>38050</v>
      </c>
    </row>
    <row r="5726" spans="1:68">
      <c r="A5726">
        <v>100175158</v>
      </c>
      <c r="B5726">
        <v>100175158</v>
      </c>
      <c r="C5726" t="s">
        <v>7018</v>
      </c>
      <c r="E5726" s="184"/>
      <c r="G5726" s="184"/>
      <c r="I5726" s="184"/>
      <c r="J5726" t="s">
        <v>595</v>
      </c>
      <c r="K5726" s="184">
        <v>39927</v>
      </c>
      <c r="O5726" s="184"/>
      <c r="Q5726" t="s">
        <v>7383</v>
      </c>
      <c r="R5726" s="184">
        <v>9164</v>
      </c>
      <c r="S5726">
        <v>99</v>
      </c>
      <c r="U5726" t="s">
        <v>7130</v>
      </c>
      <c r="V5726" t="s">
        <v>2669</v>
      </c>
      <c r="W5726" t="s">
        <v>2049</v>
      </c>
      <c r="X5726" t="s">
        <v>3852</v>
      </c>
      <c r="AI5726" t="s">
        <v>39307</v>
      </c>
      <c r="AM5726" t="s">
        <v>34388</v>
      </c>
      <c r="AN5726" t="s">
        <v>2144</v>
      </c>
      <c r="AO5726" t="s">
        <v>39308</v>
      </c>
      <c r="AP5726" t="s">
        <v>7024</v>
      </c>
      <c r="AT5726" s="184">
        <v>36262</v>
      </c>
      <c r="AU5726" t="s">
        <v>39309</v>
      </c>
      <c r="AV5726">
        <v>25</v>
      </c>
      <c r="AW5726" s="184">
        <v>39927</v>
      </c>
      <c r="AX5726" t="s">
        <v>9877</v>
      </c>
      <c r="AY5726">
        <v>51343.3</v>
      </c>
      <c r="AZ5726" s="184">
        <v>39927</v>
      </c>
      <c r="BA5726" t="s">
        <v>9877</v>
      </c>
      <c r="BB5726">
        <v>51343.3</v>
      </c>
      <c r="BC5726">
        <v>35</v>
      </c>
      <c r="BD5726">
        <v>52098.3</v>
      </c>
      <c r="BE5726">
        <v>1999</v>
      </c>
      <c r="BF5726">
        <v>16</v>
      </c>
      <c r="BI5726">
        <v>9</v>
      </c>
      <c r="BJ5726">
        <v>26</v>
      </c>
      <c r="BK5726">
        <v>8</v>
      </c>
      <c r="BO5726" t="s">
        <v>595</v>
      </c>
      <c r="BP5726" s="184"/>
    </row>
    <row r="5727" spans="1:68">
      <c r="A5727">
        <v>100175171</v>
      </c>
      <c r="B5727">
        <v>100175171</v>
      </c>
      <c r="C5727" t="s">
        <v>7018</v>
      </c>
      <c r="E5727" s="184"/>
      <c r="G5727" s="184"/>
      <c r="I5727" s="184"/>
      <c r="J5727" t="s">
        <v>595</v>
      </c>
      <c r="K5727" s="184">
        <v>39532</v>
      </c>
      <c r="O5727" s="184"/>
      <c r="Q5727" t="s">
        <v>7030</v>
      </c>
      <c r="R5727" s="184"/>
      <c r="V5727" t="s">
        <v>3302</v>
      </c>
      <c r="X5727" t="s">
        <v>4444</v>
      </c>
      <c r="AI5727" t="s">
        <v>39310</v>
      </c>
      <c r="AM5727" t="s">
        <v>4424</v>
      </c>
      <c r="AN5727" t="s">
        <v>2089</v>
      </c>
      <c r="AO5727" t="s">
        <v>39311</v>
      </c>
      <c r="AP5727" t="s">
        <v>7024</v>
      </c>
      <c r="AT5727" s="184">
        <v>36328</v>
      </c>
      <c r="AU5727" t="s">
        <v>39312</v>
      </c>
      <c r="AV5727">
        <v>15</v>
      </c>
      <c r="AW5727" s="184">
        <v>39532</v>
      </c>
      <c r="AX5727" t="s">
        <v>9864</v>
      </c>
      <c r="AY5727">
        <v>54244.639999999999</v>
      </c>
      <c r="AZ5727" s="184">
        <v>39532</v>
      </c>
      <c r="BA5727" t="s">
        <v>9864</v>
      </c>
      <c r="BB5727">
        <v>54244.639999999999</v>
      </c>
      <c r="BC5727">
        <v>24</v>
      </c>
      <c r="BD5727">
        <v>54512.639999999999</v>
      </c>
      <c r="BE5727">
        <v>1999</v>
      </c>
      <c r="BF5727">
        <v>13</v>
      </c>
      <c r="BI5727">
        <v>6</v>
      </c>
      <c r="BJ5727">
        <v>26</v>
      </c>
      <c r="BK5727">
        <v>5</v>
      </c>
      <c r="BO5727" t="s">
        <v>595</v>
      </c>
      <c r="BP5727" s="184">
        <v>38919</v>
      </c>
    </row>
    <row r="5728" spans="1:68">
      <c r="A5728">
        <v>100175186</v>
      </c>
      <c r="B5728">
        <v>100175186</v>
      </c>
      <c r="C5728" t="s">
        <v>7018</v>
      </c>
      <c r="E5728" s="184"/>
      <c r="G5728" s="184"/>
      <c r="I5728" s="184"/>
      <c r="J5728" t="s">
        <v>595</v>
      </c>
      <c r="K5728" s="184">
        <v>43418</v>
      </c>
      <c r="O5728" s="184"/>
      <c r="Q5728" t="s">
        <v>7020</v>
      </c>
      <c r="R5728" s="184"/>
      <c r="V5728" t="s">
        <v>2511</v>
      </c>
      <c r="W5728" t="s">
        <v>2058</v>
      </c>
      <c r="X5728" t="s">
        <v>39313</v>
      </c>
      <c r="AF5728" t="s">
        <v>39314</v>
      </c>
      <c r="AG5728" t="s">
        <v>2511</v>
      </c>
      <c r="AI5728" t="s">
        <v>39315</v>
      </c>
      <c r="AM5728" t="s">
        <v>39316</v>
      </c>
      <c r="AN5728" t="s">
        <v>2052</v>
      </c>
      <c r="AO5728" t="s">
        <v>39317</v>
      </c>
      <c r="AP5728" t="s">
        <v>7024</v>
      </c>
      <c r="AT5728" s="184">
        <v>36390</v>
      </c>
      <c r="AU5728" t="s">
        <v>39318</v>
      </c>
      <c r="AV5728">
        <v>100</v>
      </c>
      <c r="AW5728" s="184">
        <v>43418</v>
      </c>
      <c r="AX5728" t="s">
        <v>7348</v>
      </c>
      <c r="AY5728">
        <v>807.65</v>
      </c>
      <c r="AZ5728" s="184">
        <v>41264</v>
      </c>
      <c r="BA5728" t="s">
        <v>13035</v>
      </c>
      <c r="BB5728">
        <v>350000</v>
      </c>
      <c r="BC5728">
        <v>58</v>
      </c>
      <c r="BD5728">
        <v>966909.22</v>
      </c>
      <c r="BE5728">
        <v>2000</v>
      </c>
      <c r="BF5728">
        <v>17</v>
      </c>
      <c r="BI5728">
        <v>15</v>
      </c>
      <c r="BJ5728">
        <v>26</v>
      </c>
      <c r="BK5728">
        <v>11</v>
      </c>
      <c r="BO5728" t="s">
        <v>595</v>
      </c>
      <c r="BP5728" s="184">
        <v>40314</v>
      </c>
    </row>
    <row r="5729" spans="1:68">
      <c r="A5729">
        <v>100175194</v>
      </c>
      <c r="B5729">
        <v>100175194</v>
      </c>
      <c r="C5729" t="s">
        <v>7018</v>
      </c>
      <c r="E5729" s="184"/>
      <c r="G5729" s="184"/>
      <c r="I5729" s="184"/>
      <c r="J5729" t="s">
        <v>595</v>
      </c>
      <c r="K5729" s="184">
        <v>38029</v>
      </c>
      <c r="O5729" s="184"/>
      <c r="Q5729" t="s">
        <v>7454</v>
      </c>
      <c r="R5729" s="184"/>
      <c r="V5729" t="s">
        <v>3745</v>
      </c>
      <c r="W5729" t="s">
        <v>4210</v>
      </c>
      <c r="X5729" t="s">
        <v>4723</v>
      </c>
      <c r="AI5729" t="s">
        <v>39319</v>
      </c>
      <c r="AM5729" t="s">
        <v>39320</v>
      </c>
      <c r="AN5729" t="s">
        <v>2299</v>
      </c>
      <c r="AO5729" t="s">
        <v>39321</v>
      </c>
      <c r="AP5729" t="s">
        <v>7024</v>
      </c>
      <c r="AT5729" s="184">
        <v>36451</v>
      </c>
      <c r="AU5729" t="s">
        <v>39322</v>
      </c>
      <c r="AV5729">
        <v>25</v>
      </c>
      <c r="AW5729" s="184">
        <v>38029</v>
      </c>
      <c r="AX5729" t="s">
        <v>38036</v>
      </c>
      <c r="AY5729">
        <v>400</v>
      </c>
      <c r="AZ5729" s="184">
        <v>38029</v>
      </c>
      <c r="BA5729" t="s">
        <v>38036</v>
      </c>
      <c r="BB5729">
        <v>400</v>
      </c>
      <c r="BC5729">
        <v>12</v>
      </c>
      <c r="BD5729">
        <v>450</v>
      </c>
      <c r="BE5729">
        <v>2000</v>
      </c>
      <c r="BF5729">
        <v>3</v>
      </c>
      <c r="BI5729">
        <v>3</v>
      </c>
      <c r="BJ5729">
        <v>26</v>
      </c>
      <c r="BK5729">
        <v>2</v>
      </c>
      <c r="BO5729" t="s">
        <v>595</v>
      </c>
      <c r="BP5729" s="184">
        <v>37719</v>
      </c>
    </row>
    <row r="5730" spans="1:68">
      <c r="A5730">
        <v>100175280</v>
      </c>
      <c r="B5730">
        <v>100175280</v>
      </c>
      <c r="C5730" t="s">
        <v>7018</v>
      </c>
      <c r="E5730" s="184"/>
      <c r="G5730" s="184"/>
      <c r="I5730" s="184"/>
      <c r="J5730" t="s">
        <v>595</v>
      </c>
      <c r="K5730" s="184">
        <v>43024</v>
      </c>
      <c r="O5730" s="184"/>
      <c r="Q5730" t="s">
        <v>7383</v>
      </c>
      <c r="R5730" s="184">
        <v>6607</v>
      </c>
      <c r="S5730">
        <v>106</v>
      </c>
      <c r="U5730" t="s">
        <v>7094</v>
      </c>
      <c r="V5730" t="s">
        <v>2918</v>
      </c>
      <c r="W5730" t="s">
        <v>7836</v>
      </c>
      <c r="X5730" t="s">
        <v>39323</v>
      </c>
      <c r="AI5730" t="s">
        <v>39324</v>
      </c>
      <c r="AM5730" t="s">
        <v>39325</v>
      </c>
      <c r="AN5730" t="s">
        <v>2059</v>
      </c>
      <c r="AO5730" t="s">
        <v>39326</v>
      </c>
      <c r="AP5730" t="s">
        <v>7024</v>
      </c>
      <c r="AT5730" s="184">
        <v>36474</v>
      </c>
      <c r="AU5730" t="s">
        <v>39327</v>
      </c>
      <c r="AV5730">
        <v>25</v>
      </c>
      <c r="AW5730" s="184">
        <v>43024</v>
      </c>
      <c r="AX5730" t="s">
        <v>7445</v>
      </c>
      <c r="AY5730">
        <v>25000</v>
      </c>
      <c r="AZ5730" s="184">
        <v>43024</v>
      </c>
      <c r="BA5730" t="s">
        <v>7445</v>
      </c>
      <c r="BB5730">
        <v>25000</v>
      </c>
      <c r="BC5730">
        <v>70</v>
      </c>
      <c r="BD5730">
        <v>26142</v>
      </c>
      <c r="BE5730">
        <v>2000</v>
      </c>
      <c r="BF5730">
        <v>26</v>
      </c>
      <c r="BI5730">
        <v>18</v>
      </c>
      <c r="BJ5730">
        <v>26</v>
      </c>
      <c r="BK5730">
        <v>17</v>
      </c>
      <c r="BO5730" t="s">
        <v>595</v>
      </c>
      <c r="BP5730" s="184">
        <v>42817</v>
      </c>
    </row>
    <row r="5731" spans="1:68">
      <c r="A5731">
        <v>100175308</v>
      </c>
      <c r="B5731">
        <v>100175308</v>
      </c>
      <c r="C5731" t="s">
        <v>7018</v>
      </c>
      <c r="E5731" s="184"/>
      <c r="G5731" s="184"/>
      <c r="I5731" s="184"/>
      <c r="J5731" t="s">
        <v>595</v>
      </c>
      <c r="K5731" s="184">
        <v>42541</v>
      </c>
      <c r="O5731" s="184"/>
      <c r="Q5731" t="s">
        <v>7383</v>
      </c>
      <c r="R5731" s="184">
        <v>18264</v>
      </c>
      <c r="S5731">
        <v>74</v>
      </c>
      <c r="U5731" t="s">
        <v>7031</v>
      </c>
      <c r="V5731" t="s">
        <v>2832</v>
      </c>
      <c r="W5731" t="s">
        <v>7963</v>
      </c>
      <c r="X5731" t="s">
        <v>39328</v>
      </c>
      <c r="AF5731" t="s">
        <v>39329</v>
      </c>
      <c r="AG5731" t="s">
        <v>2832</v>
      </c>
      <c r="AI5731" t="s">
        <v>39330</v>
      </c>
      <c r="AM5731" t="s">
        <v>5620</v>
      </c>
      <c r="AN5731" t="s">
        <v>2185</v>
      </c>
      <c r="AO5731" t="s">
        <v>39331</v>
      </c>
      <c r="AP5731" t="s">
        <v>7024</v>
      </c>
      <c r="AQ5731" t="s">
        <v>39332</v>
      </c>
      <c r="AT5731" s="184">
        <v>36570</v>
      </c>
      <c r="AU5731" t="s">
        <v>21581</v>
      </c>
      <c r="AV5731">
        <v>25</v>
      </c>
      <c r="AW5731" s="184">
        <v>42913</v>
      </c>
      <c r="AX5731" t="s">
        <v>19550</v>
      </c>
      <c r="AY5731">
        <v>35375.120000000003</v>
      </c>
      <c r="AZ5731" s="184">
        <v>42913</v>
      </c>
      <c r="BA5731" t="s">
        <v>19550</v>
      </c>
      <c r="BB5731">
        <v>35375.120000000003</v>
      </c>
      <c r="BC5731">
        <v>24</v>
      </c>
      <c r="BD5731">
        <v>35495.120000000003</v>
      </c>
      <c r="BE5731">
        <v>2000</v>
      </c>
      <c r="BF5731">
        <v>6</v>
      </c>
      <c r="BI5731">
        <v>6</v>
      </c>
      <c r="BJ5731">
        <v>25</v>
      </c>
      <c r="BK5731">
        <v>3</v>
      </c>
      <c r="BO5731" t="s">
        <v>595</v>
      </c>
      <c r="BP5731" s="184">
        <v>42669</v>
      </c>
    </row>
    <row r="5732" spans="1:68">
      <c r="A5732">
        <v>100175309</v>
      </c>
      <c r="B5732">
        <v>100175309</v>
      </c>
      <c r="C5732" t="s">
        <v>7018</v>
      </c>
      <c r="E5732" s="184"/>
      <c r="G5732" s="184"/>
      <c r="I5732" s="184"/>
      <c r="J5732" t="s">
        <v>595</v>
      </c>
      <c r="K5732" s="184">
        <v>40781</v>
      </c>
      <c r="O5732" s="184"/>
      <c r="Q5732" t="s">
        <v>7020</v>
      </c>
      <c r="R5732" s="184"/>
      <c r="U5732" t="s">
        <v>15150</v>
      </c>
      <c r="V5732" t="s">
        <v>2547</v>
      </c>
      <c r="W5732" t="s">
        <v>3332</v>
      </c>
      <c r="X5732" t="s">
        <v>39333</v>
      </c>
      <c r="AI5732" t="s">
        <v>13735</v>
      </c>
      <c r="AM5732" t="s">
        <v>39334</v>
      </c>
      <c r="AN5732" t="s">
        <v>2363</v>
      </c>
      <c r="AO5732">
        <v>4614</v>
      </c>
      <c r="AP5732" t="s">
        <v>7024</v>
      </c>
      <c r="AT5732" s="184">
        <v>36566</v>
      </c>
      <c r="AU5732" t="s">
        <v>39335</v>
      </c>
      <c r="AV5732">
        <v>35</v>
      </c>
      <c r="AW5732" s="184">
        <v>40781</v>
      </c>
      <c r="AX5732" t="s">
        <v>18846</v>
      </c>
      <c r="AY5732">
        <v>47903.8</v>
      </c>
      <c r="AZ5732" s="184">
        <v>40781</v>
      </c>
      <c r="BA5732" t="s">
        <v>18846</v>
      </c>
      <c r="BB5732">
        <v>47903.8</v>
      </c>
      <c r="BC5732">
        <v>32</v>
      </c>
      <c r="BD5732">
        <v>63458.8</v>
      </c>
      <c r="BE5732">
        <v>2000</v>
      </c>
      <c r="BF5732">
        <v>11</v>
      </c>
      <c r="BI5732">
        <v>8</v>
      </c>
      <c r="BJ5732">
        <v>25</v>
      </c>
      <c r="BK5732">
        <v>6</v>
      </c>
      <c r="BO5732" t="s">
        <v>595</v>
      </c>
      <c r="BP5732" s="184">
        <v>38818</v>
      </c>
    </row>
    <row r="5733" spans="1:68">
      <c r="A5733">
        <v>100175431</v>
      </c>
      <c r="B5733">
        <v>100175431</v>
      </c>
      <c r="C5733" t="s">
        <v>7018</v>
      </c>
      <c r="E5733" s="184"/>
      <c r="G5733" s="184"/>
      <c r="I5733" s="184"/>
      <c r="J5733" t="s">
        <v>595</v>
      </c>
      <c r="K5733" s="184">
        <v>41261</v>
      </c>
      <c r="O5733" s="184"/>
      <c r="Q5733" t="s">
        <v>7160</v>
      </c>
      <c r="R5733" s="184"/>
      <c r="U5733" t="s">
        <v>7076</v>
      </c>
      <c r="V5733" t="s">
        <v>2784</v>
      </c>
      <c r="W5733" t="s">
        <v>7356</v>
      </c>
      <c r="X5733" t="s">
        <v>21806</v>
      </c>
      <c r="AI5733" t="s">
        <v>39336</v>
      </c>
      <c r="AM5733" t="s">
        <v>39337</v>
      </c>
      <c r="AN5733" t="s">
        <v>2446</v>
      </c>
      <c r="AO5733" t="s">
        <v>39338</v>
      </c>
      <c r="AP5733" t="s">
        <v>7024</v>
      </c>
      <c r="AT5733" s="184">
        <v>36780</v>
      </c>
      <c r="AU5733" t="s">
        <v>21929</v>
      </c>
      <c r="AV5733">
        <v>15</v>
      </c>
      <c r="AW5733" s="184">
        <v>41261</v>
      </c>
      <c r="AX5733" t="s">
        <v>13035</v>
      </c>
      <c r="AY5733">
        <v>31000</v>
      </c>
      <c r="AZ5733" s="184">
        <v>41261</v>
      </c>
      <c r="BA5733" t="s">
        <v>13035</v>
      </c>
      <c r="BB5733">
        <v>31000</v>
      </c>
      <c r="BC5733">
        <v>16</v>
      </c>
      <c r="BD5733">
        <v>31059.97</v>
      </c>
      <c r="BE5733">
        <v>2001</v>
      </c>
      <c r="BF5733">
        <v>4</v>
      </c>
      <c r="BI5733">
        <v>4</v>
      </c>
      <c r="BJ5733">
        <v>25</v>
      </c>
      <c r="BK5733">
        <v>2</v>
      </c>
      <c r="BO5733" t="s">
        <v>595</v>
      </c>
      <c r="BP5733" s="184">
        <v>41151</v>
      </c>
    </row>
    <row r="5734" spans="1:68">
      <c r="A5734">
        <v>100175432</v>
      </c>
      <c r="B5734">
        <v>100175432</v>
      </c>
      <c r="C5734" t="s">
        <v>7018</v>
      </c>
      <c r="E5734" s="184"/>
      <c r="I5734" s="184"/>
      <c r="J5734" t="s">
        <v>595</v>
      </c>
      <c r="K5734" s="184">
        <v>42367</v>
      </c>
      <c r="O5734" s="184"/>
      <c r="Q5734" t="s">
        <v>7383</v>
      </c>
      <c r="R5734" s="184"/>
      <c r="U5734" t="s">
        <v>7130</v>
      </c>
      <c r="V5734" t="s">
        <v>3306</v>
      </c>
      <c r="W5734" t="s">
        <v>7246</v>
      </c>
      <c r="X5734" t="s">
        <v>12936</v>
      </c>
      <c r="AI5734" t="s">
        <v>39339</v>
      </c>
      <c r="AM5734" t="s">
        <v>3133</v>
      </c>
      <c r="AN5734" t="s">
        <v>2313</v>
      </c>
      <c r="AO5734">
        <v>60048</v>
      </c>
      <c r="AP5734" t="s">
        <v>7024</v>
      </c>
      <c r="AT5734" s="184">
        <v>36818</v>
      </c>
      <c r="AU5734" t="s">
        <v>39340</v>
      </c>
      <c r="AV5734">
        <v>25</v>
      </c>
      <c r="AW5734" s="184">
        <v>42367</v>
      </c>
      <c r="AX5734" t="s">
        <v>11622</v>
      </c>
      <c r="AY5734">
        <v>1314.77</v>
      </c>
      <c r="AZ5734" s="184">
        <v>41571</v>
      </c>
      <c r="BA5734" t="s">
        <v>37849</v>
      </c>
      <c r="BB5734">
        <v>126000</v>
      </c>
      <c r="BC5734">
        <v>44</v>
      </c>
      <c r="BD5734">
        <v>303759.71999999997</v>
      </c>
      <c r="BE5734">
        <v>2001</v>
      </c>
      <c r="BF5734">
        <v>25</v>
      </c>
      <c r="BI5734">
        <v>11</v>
      </c>
      <c r="BJ5734">
        <v>25</v>
      </c>
      <c r="BK5734">
        <v>5</v>
      </c>
      <c r="BO5734" t="s">
        <v>595</v>
      </c>
      <c r="BP5734" s="184">
        <v>41109</v>
      </c>
    </row>
    <row r="5735" spans="1:68">
      <c r="A5735">
        <v>100175436</v>
      </c>
      <c r="B5735">
        <v>100175436</v>
      </c>
      <c r="C5735" t="s">
        <v>7018</v>
      </c>
      <c r="E5735" s="184"/>
      <c r="G5735" s="184"/>
      <c r="I5735" s="184"/>
      <c r="J5735" t="s">
        <v>595</v>
      </c>
      <c r="K5735" s="184">
        <v>39770</v>
      </c>
      <c r="M5735" s="184"/>
      <c r="O5735" s="184"/>
      <c r="Q5735" t="s">
        <v>7374</v>
      </c>
      <c r="R5735" s="184"/>
      <c r="U5735" t="s">
        <v>7076</v>
      </c>
      <c r="V5735" t="s">
        <v>5400</v>
      </c>
      <c r="W5735" t="s">
        <v>4327</v>
      </c>
      <c r="X5735" t="s">
        <v>3175</v>
      </c>
      <c r="AI5735" t="s">
        <v>39341</v>
      </c>
      <c r="AM5735" t="s">
        <v>4393</v>
      </c>
      <c r="AN5735" t="s">
        <v>2081</v>
      </c>
      <c r="AO5735" t="s">
        <v>39342</v>
      </c>
      <c r="AP5735" t="s">
        <v>7024</v>
      </c>
      <c r="AT5735" s="184">
        <v>39770</v>
      </c>
      <c r="AU5735" t="s">
        <v>9877</v>
      </c>
      <c r="AV5735">
        <v>168859.22</v>
      </c>
      <c r="AW5735" s="184">
        <v>39770</v>
      </c>
      <c r="AX5735" t="s">
        <v>9877</v>
      </c>
      <c r="AY5735">
        <v>168859.22</v>
      </c>
      <c r="AZ5735" s="184">
        <v>39770</v>
      </c>
      <c r="BA5735" t="s">
        <v>9877</v>
      </c>
      <c r="BB5735">
        <v>168859.22</v>
      </c>
      <c r="BC5735">
        <v>6</v>
      </c>
      <c r="BD5735">
        <v>168859.22</v>
      </c>
      <c r="BE5735">
        <v>2009</v>
      </c>
      <c r="BF5735">
        <v>1</v>
      </c>
      <c r="BI5735">
        <v>1</v>
      </c>
      <c r="BJ5735">
        <v>17</v>
      </c>
      <c r="BK5735">
        <v>1</v>
      </c>
      <c r="BO5735" t="s">
        <v>595</v>
      </c>
      <c r="BP5735" s="184"/>
    </row>
    <row r="5736" spans="1:68">
      <c r="A5736">
        <v>100175544</v>
      </c>
      <c r="B5736">
        <v>100175544</v>
      </c>
      <c r="C5736" t="s">
        <v>7018</v>
      </c>
      <c r="E5736" s="184"/>
      <c r="G5736" s="184"/>
      <c r="I5736" s="184"/>
      <c r="J5736" t="s">
        <v>595</v>
      </c>
      <c r="K5736" s="184">
        <v>39430</v>
      </c>
      <c r="O5736" s="184"/>
      <c r="Q5736" t="s">
        <v>7020</v>
      </c>
      <c r="R5736" s="184"/>
      <c r="U5736" t="s">
        <v>15150</v>
      </c>
      <c r="V5736" t="s">
        <v>39343</v>
      </c>
      <c r="W5736" t="s">
        <v>39344</v>
      </c>
      <c r="X5736" t="s">
        <v>2964</v>
      </c>
      <c r="AI5736" t="s">
        <v>39345</v>
      </c>
      <c r="AM5736" t="s">
        <v>3004</v>
      </c>
      <c r="AN5736" t="s">
        <v>2112</v>
      </c>
      <c r="AO5736">
        <v>10022</v>
      </c>
      <c r="AP5736" t="s">
        <v>7024</v>
      </c>
      <c r="AT5736" s="184">
        <v>37050</v>
      </c>
      <c r="AU5736" t="s">
        <v>39346</v>
      </c>
      <c r="AV5736">
        <v>250</v>
      </c>
      <c r="AW5736" s="184">
        <v>39430</v>
      </c>
      <c r="AX5736" t="s">
        <v>9864</v>
      </c>
      <c r="AY5736">
        <v>86551.72</v>
      </c>
      <c r="AZ5736" s="184">
        <v>39430</v>
      </c>
      <c r="BA5736" t="s">
        <v>9864</v>
      </c>
      <c r="BB5736">
        <v>86551.72</v>
      </c>
      <c r="BC5736">
        <v>30</v>
      </c>
      <c r="BD5736">
        <v>192601.72</v>
      </c>
      <c r="BE5736">
        <v>2001</v>
      </c>
      <c r="BF5736">
        <v>8</v>
      </c>
      <c r="BI5736">
        <v>7</v>
      </c>
      <c r="BJ5736">
        <v>24</v>
      </c>
      <c r="BK5736">
        <v>7</v>
      </c>
      <c r="BO5736" t="s">
        <v>595</v>
      </c>
      <c r="BP5736" s="184">
        <v>38407</v>
      </c>
    </row>
    <row r="5737" spans="1:68">
      <c r="A5737">
        <v>100175628</v>
      </c>
      <c r="B5737">
        <v>100175628</v>
      </c>
      <c r="C5737" t="s">
        <v>7018</v>
      </c>
      <c r="E5737" s="184"/>
      <c r="G5737" s="184"/>
      <c r="I5737" s="184"/>
      <c r="J5737" t="s">
        <v>595</v>
      </c>
      <c r="K5737" s="184">
        <v>42655</v>
      </c>
      <c r="O5737" s="184"/>
      <c r="Q5737" t="s">
        <v>7374</v>
      </c>
      <c r="R5737" s="184">
        <v>10132</v>
      </c>
      <c r="S5737">
        <v>96</v>
      </c>
      <c r="U5737" t="s">
        <v>7031</v>
      </c>
      <c r="V5737" t="s">
        <v>4502</v>
      </c>
      <c r="W5737" t="s">
        <v>3460</v>
      </c>
      <c r="X5737" t="s">
        <v>39347</v>
      </c>
      <c r="Y5737" t="s">
        <v>7047</v>
      </c>
      <c r="Z5737">
        <v>100175629</v>
      </c>
      <c r="AB5737" t="s">
        <v>39348</v>
      </c>
      <c r="AD5737" t="s">
        <v>39347</v>
      </c>
      <c r="AI5737" t="s">
        <v>39349</v>
      </c>
      <c r="AM5737" t="s">
        <v>3109</v>
      </c>
      <c r="AN5737" t="s">
        <v>2081</v>
      </c>
      <c r="AO5737" t="s">
        <v>39350</v>
      </c>
      <c r="AP5737" t="s">
        <v>7024</v>
      </c>
      <c r="AQ5737" t="s">
        <v>39351</v>
      </c>
      <c r="AT5737" s="184">
        <v>37161</v>
      </c>
      <c r="AU5737" t="s">
        <v>39352</v>
      </c>
      <c r="AV5737">
        <v>30</v>
      </c>
      <c r="AW5737" s="184">
        <v>42655</v>
      </c>
      <c r="AX5737" t="s">
        <v>19550</v>
      </c>
      <c r="AY5737">
        <v>5000</v>
      </c>
      <c r="AZ5737" s="184">
        <v>42655</v>
      </c>
      <c r="BA5737" t="s">
        <v>19550</v>
      </c>
      <c r="BB5737">
        <v>5000</v>
      </c>
      <c r="BC5737">
        <v>38</v>
      </c>
      <c r="BD5737">
        <v>5362</v>
      </c>
      <c r="BE5737">
        <v>2002</v>
      </c>
      <c r="BF5737">
        <v>11</v>
      </c>
      <c r="BI5737">
        <v>9</v>
      </c>
      <c r="BJ5737">
        <v>24</v>
      </c>
      <c r="BK5737">
        <v>6</v>
      </c>
      <c r="BO5737" t="s">
        <v>595</v>
      </c>
      <c r="BP5737" s="184">
        <v>42378</v>
      </c>
    </row>
    <row r="5738" spans="1:68">
      <c r="A5738">
        <v>100175726</v>
      </c>
      <c r="B5738">
        <v>100175726</v>
      </c>
      <c r="C5738" t="s">
        <v>7018</v>
      </c>
      <c r="E5738" s="184"/>
      <c r="G5738" s="184"/>
      <c r="I5738" s="184"/>
      <c r="J5738" t="s">
        <v>595</v>
      </c>
      <c r="K5738" s="184">
        <v>41639</v>
      </c>
      <c r="O5738" s="184"/>
      <c r="Q5738" t="s">
        <v>7383</v>
      </c>
      <c r="R5738" s="184"/>
      <c r="V5738" t="s">
        <v>3444</v>
      </c>
      <c r="X5738" t="s">
        <v>5716</v>
      </c>
      <c r="Z5738">
        <v>100175727</v>
      </c>
      <c r="AA5738" t="s">
        <v>7094</v>
      </c>
      <c r="AB5738" t="s">
        <v>2705</v>
      </c>
      <c r="AD5738" t="s">
        <v>5716</v>
      </c>
      <c r="AI5738" t="s">
        <v>39353</v>
      </c>
      <c r="AM5738" t="s">
        <v>39354</v>
      </c>
      <c r="AN5738" t="s">
        <v>2274</v>
      </c>
      <c r="AO5738" t="s">
        <v>39355</v>
      </c>
      <c r="AP5738" t="s">
        <v>7024</v>
      </c>
      <c r="AT5738" s="184">
        <v>37466</v>
      </c>
      <c r="AU5738" t="s">
        <v>39356</v>
      </c>
      <c r="AV5738">
        <v>25</v>
      </c>
      <c r="AW5738" s="184">
        <v>41639</v>
      </c>
      <c r="AX5738" t="s">
        <v>37849</v>
      </c>
      <c r="AY5738">
        <v>8031.6</v>
      </c>
      <c r="AZ5738" s="184">
        <v>41011</v>
      </c>
      <c r="BA5738" t="s">
        <v>16796</v>
      </c>
      <c r="BB5738">
        <v>10000</v>
      </c>
      <c r="BC5738">
        <v>40</v>
      </c>
      <c r="BD5738">
        <v>20561.599999999999</v>
      </c>
      <c r="BE5738">
        <v>2003</v>
      </c>
      <c r="BF5738">
        <v>13</v>
      </c>
      <c r="BI5738">
        <v>9</v>
      </c>
      <c r="BJ5738">
        <v>23</v>
      </c>
      <c r="BK5738">
        <v>7</v>
      </c>
      <c r="BO5738" t="s">
        <v>595</v>
      </c>
      <c r="BP5738" s="184">
        <v>41536</v>
      </c>
    </row>
    <row r="5739" spans="1:68">
      <c r="A5739">
        <v>100175730</v>
      </c>
      <c r="B5739">
        <v>100175730</v>
      </c>
      <c r="C5739" t="s">
        <v>7018</v>
      </c>
      <c r="E5739" s="184"/>
      <c r="G5739" s="184"/>
      <c r="I5739" s="184"/>
      <c r="J5739" t="s">
        <v>595</v>
      </c>
      <c r="K5739" s="184">
        <v>40623</v>
      </c>
      <c r="O5739" s="184"/>
      <c r="Q5739" t="s">
        <v>7374</v>
      </c>
      <c r="R5739" s="184"/>
      <c r="V5739" t="s">
        <v>16512</v>
      </c>
      <c r="X5739" t="s">
        <v>4144</v>
      </c>
      <c r="AI5739" t="s">
        <v>39357</v>
      </c>
      <c r="AM5739" t="s">
        <v>4312</v>
      </c>
      <c r="AN5739" t="s">
        <v>2081</v>
      </c>
      <c r="AO5739" t="s">
        <v>39358</v>
      </c>
      <c r="AP5739" t="s">
        <v>7024</v>
      </c>
      <c r="AT5739" s="184">
        <v>37491</v>
      </c>
      <c r="AU5739" t="s">
        <v>22750</v>
      </c>
      <c r="AV5739">
        <v>15</v>
      </c>
      <c r="AW5739" s="184">
        <v>40623</v>
      </c>
      <c r="AX5739" t="s">
        <v>14283</v>
      </c>
      <c r="AY5739">
        <v>2000</v>
      </c>
      <c r="AZ5739" s="184">
        <v>40623</v>
      </c>
      <c r="BA5739" t="s">
        <v>14283</v>
      </c>
      <c r="BB5739">
        <v>2000</v>
      </c>
      <c r="BC5739">
        <v>9</v>
      </c>
      <c r="BD5739">
        <v>2025</v>
      </c>
      <c r="BE5739">
        <v>2003</v>
      </c>
      <c r="BF5739">
        <v>3</v>
      </c>
      <c r="BI5739">
        <v>2</v>
      </c>
      <c r="BJ5739">
        <v>23</v>
      </c>
      <c r="BK5739">
        <v>1</v>
      </c>
      <c r="BO5739" t="s">
        <v>595</v>
      </c>
      <c r="BP5739" s="184"/>
    </row>
    <row r="5740" spans="1:68">
      <c r="A5740">
        <v>100175842</v>
      </c>
      <c r="B5740">
        <v>100175842</v>
      </c>
      <c r="C5740" t="s">
        <v>7018</v>
      </c>
      <c r="E5740" s="184"/>
      <c r="G5740" s="184"/>
      <c r="I5740" s="184"/>
      <c r="J5740" t="s">
        <v>595</v>
      </c>
      <c r="K5740" s="184">
        <v>38321</v>
      </c>
      <c r="O5740" s="184"/>
      <c r="Q5740" t="s">
        <v>7383</v>
      </c>
      <c r="R5740" s="184">
        <v>4190</v>
      </c>
      <c r="S5740">
        <v>112</v>
      </c>
      <c r="U5740" t="s">
        <v>7076</v>
      </c>
      <c r="V5740" t="s">
        <v>2669</v>
      </c>
      <c r="W5740" t="s">
        <v>7588</v>
      </c>
      <c r="X5740" t="s">
        <v>39359</v>
      </c>
      <c r="AI5740" t="s">
        <v>39360</v>
      </c>
      <c r="AM5740" t="s">
        <v>39361</v>
      </c>
      <c r="AN5740" t="s">
        <v>2185</v>
      </c>
      <c r="AO5740" t="s">
        <v>39362</v>
      </c>
      <c r="AP5740" t="s">
        <v>7024</v>
      </c>
      <c r="AT5740" s="184">
        <v>38321</v>
      </c>
      <c r="AU5740" t="s">
        <v>37872</v>
      </c>
      <c r="AV5740">
        <v>10111.35</v>
      </c>
      <c r="AW5740" s="184">
        <v>38321</v>
      </c>
      <c r="AX5740" t="s">
        <v>37872</v>
      </c>
      <c r="AY5740">
        <v>10111.35</v>
      </c>
      <c r="AZ5740" s="184">
        <v>38321</v>
      </c>
      <c r="BA5740" t="s">
        <v>37872</v>
      </c>
      <c r="BB5740">
        <v>10111.35</v>
      </c>
      <c r="BC5740">
        <v>5</v>
      </c>
      <c r="BD5740">
        <v>10111.35</v>
      </c>
      <c r="BE5740">
        <v>2005</v>
      </c>
      <c r="BF5740">
        <v>1</v>
      </c>
      <c r="BI5740">
        <v>1</v>
      </c>
      <c r="BJ5740">
        <v>21</v>
      </c>
      <c r="BK5740">
        <v>1</v>
      </c>
      <c r="BM5740" t="s">
        <v>595</v>
      </c>
      <c r="BO5740" t="s">
        <v>595</v>
      </c>
      <c r="BP5740" s="184">
        <v>38246</v>
      </c>
    </row>
    <row r="5741" spans="1:68">
      <c r="A5741">
        <v>100176072</v>
      </c>
      <c r="B5741">
        <v>100176072</v>
      </c>
      <c r="C5741" t="s">
        <v>7018</v>
      </c>
      <c r="E5741" s="184"/>
      <c r="G5741" s="184"/>
      <c r="I5741" s="184"/>
      <c r="J5741" t="s">
        <v>595</v>
      </c>
      <c r="K5741" s="184">
        <v>40668</v>
      </c>
      <c r="O5741" s="184"/>
      <c r="Q5741" t="s">
        <v>7383</v>
      </c>
      <c r="R5741" s="184">
        <v>13575</v>
      </c>
      <c r="S5741">
        <v>87</v>
      </c>
      <c r="V5741" t="s">
        <v>3101</v>
      </c>
      <c r="W5741" t="s">
        <v>2049</v>
      </c>
      <c r="X5741" t="s">
        <v>4472</v>
      </c>
      <c r="AI5741" t="s">
        <v>39363</v>
      </c>
      <c r="AM5741" t="s">
        <v>19213</v>
      </c>
      <c r="AN5741" t="s">
        <v>2274</v>
      </c>
      <c r="AO5741" t="s">
        <v>39364</v>
      </c>
      <c r="AP5741" t="s">
        <v>7024</v>
      </c>
      <c r="AT5741" s="184">
        <v>38047</v>
      </c>
      <c r="AU5741" t="s">
        <v>39365</v>
      </c>
      <c r="AV5741">
        <v>25</v>
      </c>
      <c r="AW5741" s="184">
        <v>40668</v>
      </c>
      <c r="AX5741" t="s">
        <v>14283</v>
      </c>
      <c r="AY5741">
        <v>44329.59</v>
      </c>
      <c r="AZ5741" s="184">
        <v>40668</v>
      </c>
      <c r="BA5741" t="s">
        <v>14283</v>
      </c>
      <c r="BB5741">
        <v>44329.59</v>
      </c>
      <c r="BC5741">
        <v>29</v>
      </c>
      <c r="BD5741">
        <v>44759.59</v>
      </c>
      <c r="BE5741">
        <v>2004</v>
      </c>
      <c r="BF5741">
        <v>13</v>
      </c>
      <c r="BI5741">
        <v>6</v>
      </c>
      <c r="BJ5741">
        <v>21</v>
      </c>
      <c r="BK5741">
        <v>5</v>
      </c>
      <c r="BO5741" t="s">
        <v>595</v>
      </c>
      <c r="BP5741" s="184">
        <v>40583</v>
      </c>
    </row>
    <row r="5742" spans="1:68">
      <c r="A5742">
        <v>100176115</v>
      </c>
      <c r="B5742">
        <v>100176115</v>
      </c>
      <c r="C5742" t="s">
        <v>7018</v>
      </c>
      <c r="E5742" s="184"/>
      <c r="G5742" s="184"/>
      <c r="I5742" s="184"/>
      <c r="J5742" t="s">
        <v>595</v>
      </c>
      <c r="K5742" s="184">
        <v>41894</v>
      </c>
      <c r="O5742" s="184"/>
      <c r="Q5742" t="s">
        <v>7020</v>
      </c>
      <c r="R5742" s="184"/>
      <c r="U5742" t="s">
        <v>7130</v>
      </c>
      <c r="V5742" t="s">
        <v>7560</v>
      </c>
      <c r="W5742" t="s">
        <v>2058</v>
      </c>
      <c r="X5742" t="s">
        <v>3835</v>
      </c>
      <c r="AI5742" t="s">
        <v>39366</v>
      </c>
      <c r="AM5742" t="s">
        <v>3446</v>
      </c>
      <c r="AN5742" t="s">
        <v>2112</v>
      </c>
      <c r="AO5742" t="s">
        <v>39367</v>
      </c>
      <c r="AP5742" t="s">
        <v>7024</v>
      </c>
      <c r="AQ5742" t="s">
        <v>39368</v>
      </c>
      <c r="AT5742" s="184">
        <v>38243</v>
      </c>
      <c r="AU5742" t="s">
        <v>39369</v>
      </c>
      <c r="AV5742">
        <v>15</v>
      </c>
      <c r="AW5742" s="184">
        <v>41894</v>
      </c>
      <c r="AX5742" t="s">
        <v>14228</v>
      </c>
      <c r="AY5742">
        <v>250000</v>
      </c>
      <c r="AZ5742" s="184">
        <v>41894</v>
      </c>
      <c r="BA5742" t="s">
        <v>14228</v>
      </c>
      <c r="BB5742">
        <v>250000</v>
      </c>
      <c r="BC5742">
        <v>29</v>
      </c>
      <c r="BD5742">
        <v>250155</v>
      </c>
      <c r="BE5742">
        <v>2005</v>
      </c>
      <c r="BF5742">
        <v>8</v>
      </c>
      <c r="BI5742">
        <v>6</v>
      </c>
      <c r="BJ5742">
        <v>21</v>
      </c>
      <c r="BK5742">
        <v>3</v>
      </c>
      <c r="BN5742" t="s">
        <v>595</v>
      </c>
      <c r="BO5742" t="s">
        <v>595</v>
      </c>
      <c r="BP5742" s="184">
        <v>41253</v>
      </c>
    </row>
    <row r="5743" spans="1:68">
      <c r="A5743">
        <v>100176234</v>
      </c>
      <c r="B5743">
        <v>100176234</v>
      </c>
      <c r="C5743" t="s">
        <v>7018</v>
      </c>
      <c r="E5743" s="184"/>
      <c r="G5743" s="184"/>
      <c r="I5743" s="184"/>
      <c r="J5743" t="s">
        <v>595</v>
      </c>
      <c r="K5743" s="184">
        <v>41442</v>
      </c>
      <c r="O5743" s="184"/>
      <c r="Q5743" t="s">
        <v>7454</v>
      </c>
      <c r="R5743" s="184"/>
      <c r="U5743" t="s">
        <v>7130</v>
      </c>
      <c r="V5743" t="s">
        <v>2825</v>
      </c>
      <c r="W5743" t="s">
        <v>7067</v>
      </c>
      <c r="X5743" t="s">
        <v>39370</v>
      </c>
      <c r="AI5743" t="s">
        <v>39371</v>
      </c>
      <c r="AM5743" t="s">
        <v>3958</v>
      </c>
      <c r="AN5743" t="s">
        <v>2055</v>
      </c>
      <c r="AO5743" t="s">
        <v>39372</v>
      </c>
      <c r="AP5743" t="s">
        <v>7024</v>
      </c>
      <c r="AT5743" s="184">
        <v>38499</v>
      </c>
      <c r="AU5743" t="s">
        <v>39373</v>
      </c>
      <c r="AV5743">
        <v>25</v>
      </c>
      <c r="AW5743" s="184">
        <v>41442</v>
      </c>
      <c r="AX5743" t="s">
        <v>13035</v>
      </c>
      <c r="AY5743">
        <v>13133.85</v>
      </c>
      <c r="AZ5743" s="184">
        <v>41442</v>
      </c>
      <c r="BA5743" t="s">
        <v>13035</v>
      </c>
      <c r="BB5743">
        <v>13133.85</v>
      </c>
      <c r="BC5743">
        <v>40</v>
      </c>
      <c r="BD5743">
        <v>13598.85</v>
      </c>
      <c r="BE5743">
        <v>2005</v>
      </c>
      <c r="BF5743">
        <v>13</v>
      </c>
      <c r="BI5743">
        <v>8</v>
      </c>
      <c r="BJ5743">
        <v>20</v>
      </c>
      <c r="BK5743">
        <v>5</v>
      </c>
      <c r="BO5743" t="s">
        <v>595</v>
      </c>
      <c r="BP5743" s="184">
        <v>41067</v>
      </c>
    </row>
    <row r="5744" spans="1:68">
      <c r="A5744">
        <v>100176481</v>
      </c>
      <c r="B5744">
        <v>100176481</v>
      </c>
      <c r="C5744" t="s">
        <v>7018</v>
      </c>
      <c r="E5744" s="184"/>
      <c r="G5744" s="184"/>
      <c r="I5744" s="184"/>
      <c r="J5744" t="s">
        <v>595</v>
      </c>
      <c r="K5744" s="184">
        <v>42648</v>
      </c>
      <c r="O5744" s="184"/>
      <c r="Q5744" t="s">
        <v>7383</v>
      </c>
      <c r="R5744" s="184"/>
      <c r="U5744" t="s">
        <v>7076</v>
      </c>
      <c r="V5744" t="s">
        <v>3400</v>
      </c>
      <c r="W5744" t="s">
        <v>205</v>
      </c>
      <c r="X5744" t="s">
        <v>27136</v>
      </c>
      <c r="AI5744" t="s">
        <v>39374</v>
      </c>
      <c r="AM5744" t="s">
        <v>9147</v>
      </c>
      <c r="AN5744" t="s">
        <v>2064</v>
      </c>
      <c r="AO5744" t="s">
        <v>39375</v>
      </c>
      <c r="AP5744" t="s">
        <v>7024</v>
      </c>
      <c r="AQ5744" t="s">
        <v>39376</v>
      </c>
      <c r="AR5744" t="s">
        <v>39377</v>
      </c>
      <c r="AT5744" s="184">
        <v>38635</v>
      </c>
      <c r="AU5744" t="s">
        <v>39378</v>
      </c>
      <c r="AV5744">
        <v>15</v>
      </c>
      <c r="AW5744" s="184">
        <v>42648</v>
      </c>
      <c r="AX5744" t="s">
        <v>19550</v>
      </c>
      <c r="AY5744">
        <v>1142.8800000000001</v>
      </c>
      <c r="AZ5744" s="184">
        <v>42159</v>
      </c>
      <c r="BA5744" t="s">
        <v>14228</v>
      </c>
      <c r="BB5744">
        <v>15925.8</v>
      </c>
      <c r="BC5744">
        <v>55</v>
      </c>
      <c r="BD5744">
        <v>22095.68</v>
      </c>
      <c r="BE5744">
        <v>2006</v>
      </c>
      <c r="BF5744">
        <v>17</v>
      </c>
      <c r="BI5744">
        <v>11</v>
      </c>
      <c r="BJ5744">
        <v>20</v>
      </c>
      <c r="BK5744">
        <v>9</v>
      </c>
      <c r="BO5744" t="s">
        <v>595</v>
      </c>
      <c r="BP5744" s="184">
        <v>41923</v>
      </c>
    </row>
    <row r="5745" spans="1:68">
      <c r="A5745">
        <v>100176499</v>
      </c>
      <c r="B5745">
        <v>100176499</v>
      </c>
      <c r="C5745" t="s">
        <v>7018</v>
      </c>
      <c r="E5745" s="184"/>
      <c r="G5745" s="184"/>
      <c r="I5745" s="184"/>
      <c r="J5745" t="s">
        <v>595</v>
      </c>
      <c r="K5745" s="184">
        <v>40444</v>
      </c>
      <c r="O5745" s="184"/>
      <c r="Q5745" t="s">
        <v>7494</v>
      </c>
      <c r="R5745" s="184"/>
      <c r="U5745" t="s">
        <v>7130</v>
      </c>
      <c r="V5745" t="s">
        <v>39379</v>
      </c>
      <c r="X5745" t="s">
        <v>39380</v>
      </c>
      <c r="Z5745">
        <v>100176500</v>
      </c>
      <c r="AA5745" t="s">
        <v>7130</v>
      </c>
      <c r="AB5745" t="s">
        <v>39379</v>
      </c>
      <c r="AC5745" t="s">
        <v>4382</v>
      </c>
      <c r="AD5745" t="s">
        <v>39380</v>
      </c>
      <c r="AI5745" t="s">
        <v>39381</v>
      </c>
      <c r="AM5745" t="s">
        <v>37931</v>
      </c>
      <c r="AN5745" t="s">
        <v>2174</v>
      </c>
      <c r="AO5745" t="s">
        <v>39382</v>
      </c>
      <c r="AP5745" t="s">
        <v>7024</v>
      </c>
      <c r="AT5745" s="184">
        <v>35093</v>
      </c>
      <c r="AU5745" t="s">
        <v>39383</v>
      </c>
      <c r="AV5745">
        <v>25</v>
      </c>
      <c r="AW5745" s="184">
        <v>40444</v>
      </c>
      <c r="AX5745" t="s">
        <v>14283</v>
      </c>
      <c r="AY5745">
        <v>650.27</v>
      </c>
      <c r="AZ5745" s="184">
        <v>40275</v>
      </c>
      <c r="BA5745" t="s">
        <v>14284</v>
      </c>
      <c r="BB5745">
        <v>40000</v>
      </c>
      <c r="BC5745">
        <v>38</v>
      </c>
      <c r="BD5745">
        <v>56160.27</v>
      </c>
      <c r="BE5745">
        <v>1996</v>
      </c>
      <c r="BF5745">
        <v>26</v>
      </c>
      <c r="BI5745">
        <v>11</v>
      </c>
      <c r="BJ5745">
        <v>29</v>
      </c>
      <c r="BK5745">
        <v>5</v>
      </c>
      <c r="BO5745" t="s">
        <v>595</v>
      </c>
      <c r="BP5745" s="184"/>
    </row>
    <row r="5746" spans="1:68">
      <c r="A5746">
        <v>100176508</v>
      </c>
      <c r="B5746">
        <v>100176508</v>
      </c>
      <c r="C5746" t="s">
        <v>7018</v>
      </c>
      <c r="E5746" s="184"/>
      <c r="G5746" s="184"/>
      <c r="I5746" s="184"/>
      <c r="J5746" t="s">
        <v>595</v>
      </c>
      <c r="K5746" s="184">
        <v>42004</v>
      </c>
      <c r="O5746" s="184"/>
      <c r="Q5746" t="s">
        <v>7383</v>
      </c>
      <c r="R5746" s="184">
        <v>19947</v>
      </c>
      <c r="S5746">
        <v>69</v>
      </c>
      <c r="U5746" t="s">
        <v>7076</v>
      </c>
      <c r="V5746" t="s">
        <v>3444</v>
      </c>
      <c r="X5746" t="s">
        <v>39384</v>
      </c>
      <c r="AI5746" t="s">
        <v>39385</v>
      </c>
      <c r="AM5746" t="s">
        <v>2888</v>
      </c>
      <c r="AN5746" t="s">
        <v>2274</v>
      </c>
      <c r="AO5746" t="s">
        <v>39386</v>
      </c>
      <c r="AP5746" t="s">
        <v>7024</v>
      </c>
      <c r="AQ5746" t="s">
        <v>39387</v>
      </c>
      <c r="AT5746" s="184">
        <v>39444</v>
      </c>
      <c r="AU5746" t="s">
        <v>21912</v>
      </c>
      <c r="AV5746">
        <v>50</v>
      </c>
      <c r="AW5746" s="184">
        <v>42004</v>
      </c>
      <c r="AX5746" t="s">
        <v>14228</v>
      </c>
      <c r="AY5746">
        <v>10739.6</v>
      </c>
      <c r="AZ5746" s="184">
        <v>42004</v>
      </c>
      <c r="BA5746" t="s">
        <v>14228</v>
      </c>
      <c r="BB5746">
        <v>10739.6</v>
      </c>
      <c r="BC5746">
        <v>17</v>
      </c>
      <c r="BD5746">
        <v>10989.6</v>
      </c>
      <c r="BE5746">
        <v>2008</v>
      </c>
      <c r="BF5746">
        <v>4</v>
      </c>
      <c r="BI5746">
        <v>3</v>
      </c>
      <c r="BJ5746">
        <v>18</v>
      </c>
      <c r="BK5746">
        <v>2</v>
      </c>
      <c r="BO5746" t="s">
        <v>595</v>
      </c>
      <c r="BP5746" s="184">
        <v>41940</v>
      </c>
    </row>
    <row r="5747" spans="1:68">
      <c r="A5747">
        <v>100176538</v>
      </c>
      <c r="B5747">
        <v>100176538</v>
      </c>
      <c r="C5747" t="s">
        <v>7018</v>
      </c>
      <c r="E5747" s="184"/>
      <c r="G5747" s="184"/>
      <c r="I5747" s="184"/>
      <c r="J5747" t="s">
        <v>595</v>
      </c>
      <c r="K5747" s="184">
        <v>41988</v>
      </c>
      <c r="M5747" s="184"/>
      <c r="O5747" s="184"/>
      <c r="Q5747" t="s">
        <v>7194</v>
      </c>
      <c r="R5747" s="184">
        <v>13516</v>
      </c>
      <c r="S5747">
        <v>87</v>
      </c>
      <c r="U5747" t="s">
        <v>7076</v>
      </c>
      <c r="V5747" t="s">
        <v>39388</v>
      </c>
      <c r="X5747" t="s">
        <v>39389</v>
      </c>
      <c r="AI5747" t="s">
        <v>39390</v>
      </c>
      <c r="AM5747" t="s">
        <v>15840</v>
      </c>
      <c r="AN5747" t="s">
        <v>2046</v>
      </c>
      <c r="AO5747" t="s">
        <v>39391</v>
      </c>
      <c r="AP5747" t="s">
        <v>7024</v>
      </c>
      <c r="AQ5747" t="s">
        <v>39392</v>
      </c>
      <c r="AT5747" s="184">
        <v>38916</v>
      </c>
      <c r="AU5747" t="s">
        <v>39393</v>
      </c>
      <c r="AV5747">
        <v>15</v>
      </c>
      <c r="AW5747" s="184">
        <v>41988</v>
      </c>
      <c r="AX5747" t="s">
        <v>14228</v>
      </c>
      <c r="AY5747">
        <v>141000</v>
      </c>
      <c r="AZ5747" s="184">
        <v>41988</v>
      </c>
      <c r="BA5747" t="s">
        <v>14228</v>
      </c>
      <c r="BB5747">
        <v>141000</v>
      </c>
      <c r="BC5747">
        <v>48</v>
      </c>
      <c r="BD5747">
        <v>141290</v>
      </c>
      <c r="BE5747">
        <v>2007</v>
      </c>
      <c r="BF5747">
        <v>13</v>
      </c>
      <c r="BI5747">
        <v>9</v>
      </c>
      <c r="BJ5747">
        <v>19</v>
      </c>
      <c r="BK5747">
        <v>9</v>
      </c>
      <c r="BN5747" t="s">
        <v>595</v>
      </c>
      <c r="BO5747" t="s">
        <v>595</v>
      </c>
      <c r="BP5747" s="184">
        <v>41626</v>
      </c>
    </row>
    <row r="5748" spans="1:68">
      <c r="A5748">
        <v>100176547</v>
      </c>
      <c r="B5748">
        <v>100176547</v>
      </c>
      <c r="C5748" t="s">
        <v>7018</v>
      </c>
      <c r="E5748" s="184"/>
      <c r="G5748" s="184"/>
      <c r="I5748" s="184"/>
      <c r="J5748" t="s">
        <v>595</v>
      </c>
      <c r="K5748" s="184">
        <v>41458</v>
      </c>
      <c r="O5748" s="184"/>
      <c r="Q5748" t="s">
        <v>7383</v>
      </c>
      <c r="R5748" s="184">
        <v>11963</v>
      </c>
      <c r="S5748">
        <v>91</v>
      </c>
      <c r="U5748" t="s">
        <v>7076</v>
      </c>
      <c r="V5748" t="s">
        <v>34450</v>
      </c>
      <c r="W5748" t="s">
        <v>4327</v>
      </c>
      <c r="X5748" t="s">
        <v>39394</v>
      </c>
      <c r="AI5748" t="s">
        <v>39395</v>
      </c>
      <c r="AM5748" t="s">
        <v>3319</v>
      </c>
      <c r="AN5748" t="s">
        <v>2185</v>
      </c>
      <c r="AO5748" t="s">
        <v>39396</v>
      </c>
      <c r="AP5748" t="s">
        <v>7024</v>
      </c>
      <c r="AT5748" s="184">
        <v>38954</v>
      </c>
      <c r="AU5748" t="s">
        <v>9067</v>
      </c>
      <c r="AV5748">
        <v>20000</v>
      </c>
      <c r="AW5748" s="184">
        <v>41458</v>
      </c>
      <c r="AX5748" t="s">
        <v>37849</v>
      </c>
      <c r="AY5748">
        <v>160615.32</v>
      </c>
      <c r="AZ5748" s="184">
        <v>41458</v>
      </c>
      <c r="BA5748" t="s">
        <v>37849</v>
      </c>
      <c r="BB5748">
        <v>160615.32</v>
      </c>
      <c r="BC5748">
        <v>16</v>
      </c>
      <c r="BD5748">
        <v>210640.32</v>
      </c>
      <c r="BE5748">
        <v>2007</v>
      </c>
      <c r="BF5748">
        <v>4</v>
      </c>
      <c r="BI5748">
        <v>3</v>
      </c>
      <c r="BJ5748">
        <v>19</v>
      </c>
      <c r="BK5748">
        <v>1</v>
      </c>
      <c r="BO5748" t="s">
        <v>595</v>
      </c>
      <c r="BP5748" s="184">
        <v>41441</v>
      </c>
    </row>
    <row r="5749" spans="1:68">
      <c r="A5749">
        <v>100176548</v>
      </c>
      <c r="B5749">
        <v>100176548</v>
      </c>
      <c r="C5749" t="s">
        <v>7018</v>
      </c>
      <c r="E5749" s="184"/>
      <c r="G5749" s="184"/>
      <c r="I5749" s="184"/>
      <c r="J5749" t="s">
        <v>595</v>
      </c>
      <c r="K5749" s="184">
        <v>42674</v>
      </c>
      <c r="O5749" s="184"/>
      <c r="Q5749" t="s">
        <v>7194</v>
      </c>
      <c r="R5749" s="184"/>
      <c r="U5749" t="s">
        <v>7032</v>
      </c>
      <c r="V5749" t="s">
        <v>2863</v>
      </c>
      <c r="W5749" t="s">
        <v>4139</v>
      </c>
      <c r="X5749" t="s">
        <v>39397</v>
      </c>
      <c r="AI5749" t="s">
        <v>39398</v>
      </c>
      <c r="AM5749" t="s">
        <v>26967</v>
      </c>
      <c r="AN5749" t="s">
        <v>2046</v>
      </c>
      <c r="AO5749" t="s">
        <v>39399</v>
      </c>
      <c r="AP5749" t="s">
        <v>7024</v>
      </c>
      <c r="AT5749" s="184">
        <v>38989</v>
      </c>
      <c r="AU5749" t="s">
        <v>39400</v>
      </c>
      <c r="AV5749">
        <v>15</v>
      </c>
      <c r="AW5749" s="184">
        <v>42674</v>
      </c>
      <c r="AX5749" t="s">
        <v>19550</v>
      </c>
      <c r="AY5749">
        <v>3735.31</v>
      </c>
      <c r="AZ5749" s="184">
        <v>42674</v>
      </c>
      <c r="BA5749" t="s">
        <v>19550</v>
      </c>
      <c r="BB5749">
        <v>3735.31</v>
      </c>
      <c r="BC5749">
        <v>22</v>
      </c>
      <c r="BD5749">
        <v>3780.31</v>
      </c>
      <c r="BE5749">
        <v>2007</v>
      </c>
      <c r="BF5749">
        <v>4</v>
      </c>
      <c r="BI5749">
        <v>4</v>
      </c>
      <c r="BJ5749">
        <v>19</v>
      </c>
      <c r="BK5749">
        <v>2</v>
      </c>
      <c r="BO5749" t="s">
        <v>595</v>
      </c>
      <c r="BP5749" s="184">
        <v>41203</v>
      </c>
    </row>
    <row r="5750" spans="1:68">
      <c r="A5750">
        <v>100176715</v>
      </c>
      <c r="B5750">
        <v>100176715</v>
      </c>
      <c r="C5750" t="s">
        <v>7018</v>
      </c>
      <c r="E5750" s="184"/>
      <c r="G5750" s="184"/>
      <c r="I5750" s="184"/>
      <c r="J5750" t="s">
        <v>595</v>
      </c>
      <c r="K5750" s="184">
        <v>40744</v>
      </c>
      <c r="O5750" s="184"/>
      <c r="Q5750" t="s">
        <v>7160</v>
      </c>
      <c r="R5750" s="184"/>
      <c r="U5750" t="s">
        <v>7130</v>
      </c>
      <c r="V5750" t="s">
        <v>24568</v>
      </c>
      <c r="W5750" t="s">
        <v>4013</v>
      </c>
      <c r="X5750" t="s">
        <v>3175</v>
      </c>
      <c r="AI5750" t="s">
        <v>39401</v>
      </c>
      <c r="AM5750" t="s">
        <v>2781</v>
      </c>
      <c r="AN5750" t="s">
        <v>2176</v>
      </c>
      <c r="AO5750" t="s">
        <v>39402</v>
      </c>
      <c r="AP5750" t="s">
        <v>7024</v>
      </c>
      <c r="AT5750" s="184">
        <v>39405</v>
      </c>
      <c r="AU5750" t="s">
        <v>39403</v>
      </c>
      <c r="AV5750">
        <v>5000</v>
      </c>
      <c r="AW5750" s="184">
        <v>40744</v>
      </c>
      <c r="AX5750" t="s">
        <v>18846</v>
      </c>
      <c r="AY5750">
        <v>10.96</v>
      </c>
      <c r="AZ5750" s="184">
        <v>40401</v>
      </c>
      <c r="BA5750" t="s">
        <v>14283</v>
      </c>
      <c r="BB5750">
        <v>13767.46</v>
      </c>
      <c r="BC5750">
        <v>23</v>
      </c>
      <c r="BD5750">
        <v>23778.42</v>
      </c>
      <c r="BE5750">
        <v>2008</v>
      </c>
      <c r="BF5750">
        <v>4</v>
      </c>
      <c r="BI5750">
        <v>4</v>
      </c>
      <c r="BJ5750">
        <v>18</v>
      </c>
      <c r="BK5750">
        <v>2</v>
      </c>
      <c r="BO5750" t="s">
        <v>595</v>
      </c>
      <c r="BP5750" s="184">
        <v>39830</v>
      </c>
    </row>
    <row r="5751" spans="1:68">
      <c r="A5751">
        <v>100176717</v>
      </c>
      <c r="B5751">
        <v>100176717</v>
      </c>
      <c r="C5751" t="s">
        <v>7018</v>
      </c>
      <c r="E5751" s="184"/>
      <c r="G5751" s="184"/>
      <c r="I5751" s="184"/>
      <c r="J5751" t="s">
        <v>595</v>
      </c>
      <c r="K5751" s="184">
        <v>41711</v>
      </c>
      <c r="O5751" s="184"/>
      <c r="Q5751" t="s">
        <v>7454</v>
      </c>
      <c r="R5751" s="184">
        <v>6897</v>
      </c>
      <c r="S5751">
        <v>105</v>
      </c>
      <c r="U5751" t="s">
        <v>7031</v>
      </c>
      <c r="V5751" t="s">
        <v>2511</v>
      </c>
      <c r="W5751" t="s">
        <v>4139</v>
      </c>
      <c r="X5751" t="s">
        <v>39404</v>
      </c>
      <c r="Z5751">
        <v>100176718</v>
      </c>
      <c r="AA5751" t="s">
        <v>7130</v>
      </c>
      <c r="AB5751" t="s">
        <v>38976</v>
      </c>
      <c r="AC5751" t="s">
        <v>2049</v>
      </c>
      <c r="AD5751" t="s">
        <v>39404</v>
      </c>
      <c r="AI5751" t="s">
        <v>39405</v>
      </c>
      <c r="AM5751" t="s">
        <v>4942</v>
      </c>
      <c r="AN5751" t="s">
        <v>2055</v>
      </c>
      <c r="AO5751" t="s">
        <v>39406</v>
      </c>
      <c r="AP5751" t="s">
        <v>7024</v>
      </c>
      <c r="AT5751" s="184">
        <v>39405</v>
      </c>
      <c r="AU5751" t="s">
        <v>39407</v>
      </c>
      <c r="AV5751">
        <v>25</v>
      </c>
      <c r="AW5751" s="184">
        <v>41711</v>
      </c>
      <c r="AX5751" t="s">
        <v>37849</v>
      </c>
      <c r="AY5751">
        <v>7885.25</v>
      </c>
      <c r="AZ5751" s="184">
        <v>41711</v>
      </c>
      <c r="BA5751" t="s">
        <v>37849</v>
      </c>
      <c r="BB5751">
        <v>7885.25</v>
      </c>
      <c r="BC5751">
        <v>23</v>
      </c>
      <c r="BD5751">
        <v>8240.25</v>
      </c>
      <c r="BE5751">
        <v>2008</v>
      </c>
      <c r="BF5751">
        <v>8</v>
      </c>
      <c r="BI5751">
        <v>4</v>
      </c>
      <c r="BJ5751">
        <v>18</v>
      </c>
      <c r="BK5751">
        <v>3</v>
      </c>
      <c r="BO5751" t="s">
        <v>595</v>
      </c>
      <c r="BP5751" s="184">
        <v>40414</v>
      </c>
    </row>
    <row r="5752" spans="1:68">
      <c r="A5752">
        <v>100176738</v>
      </c>
      <c r="B5752">
        <v>100176738</v>
      </c>
      <c r="C5752" t="s">
        <v>7018</v>
      </c>
      <c r="E5752" s="184"/>
      <c r="G5752" s="184"/>
      <c r="I5752" s="184"/>
      <c r="J5752" t="s">
        <v>595</v>
      </c>
      <c r="K5752" s="184">
        <v>43025</v>
      </c>
      <c r="M5752" s="184"/>
      <c r="O5752" s="184"/>
      <c r="Q5752" t="s">
        <v>7262</v>
      </c>
      <c r="R5752" s="184">
        <v>11532</v>
      </c>
      <c r="S5752">
        <v>92</v>
      </c>
      <c r="U5752" t="s">
        <v>7076</v>
      </c>
      <c r="V5752" t="s">
        <v>4032</v>
      </c>
      <c r="W5752" t="s">
        <v>39408</v>
      </c>
      <c r="X5752" t="s">
        <v>39409</v>
      </c>
      <c r="AI5752" t="s">
        <v>39410</v>
      </c>
      <c r="AM5752" t="s">
        <v>39411</v>
      </c>
      <c r="AN5752" t="s">
        <v>2106</v>
      </c>
      <c r="AO5752" t="s">
        <v>39412</v>
      </c>
      <c r="AP5752" t="s">
        <v>7024</v>
      </c>
      <c r="AT5752" s="184">
        <v>39503</v>
      </c>
      <c r="AU5752" t="s">
        <v>39413</v>
      </c>
      <c r="AV5752">
        <v>10</v>
      </c>
      <c r="AW5752" s="184">
        <v>43025</v>
      </c>
      <c r="AX5752" t="s">
        <v>7445</v>
      </c>
      <c r="AY5752">
        <v>80451.88</v>
      </c>
      <c r="AZ5752" s="184">
        <v>43025</v>
      </c>
      <c r="BA5752" t="s">
        <v>7445</v>
      </c>
      <c r="BB5752">
        <v>80451.88</v>
      </c>
      <c r="BC5752">
        <v>48</v>
      </c>
      <c r="BD5752">
        <v>80636.88</v>
      </c>
      <c r="BE5752">
        <v>2008</v>
      </c>
      <c r="BF5752">
        <v>11</v>
      </c>
      <c r="BI5752">
        <v>8</v>
      </c>
      <c r="BJ5752">
        <v>17</v>
      </c>
      <c r="BK5752">
        <v>4</v>
      </c>
      <c r="BO5752" t="s">
        <v>595</v>
      </c>
      <c r="BP5752" s="184">
        <v>42321</v>
      </c>
    </row>
    <row r="5753" spans="1:68">
      <c r="A5753">
        <v>100176776</v>
      </c>
      <c r="B5753">
        <v>100176776</v>
      </c>
      <c r="C5753" t="s">
        <v>7018</v>
      </c>
      <c r="E5753" s="184"/>
      <c r="G5753" s="184"/>
      <c r="I5753" s="184"/>
      <c r="J5753" t="s">
        <v>595</v>
      </c>
      <c r="K5753" s="184">
        <v>41149</v>
      </c>
      <c r="O5753" s="184"/>
      <c r="Q5753" t="s">
        <v>7030</v>
      </c>
      <c r="R5753" s="184">
        <v>10402</v>
      </c>
      <c r="S5753">
        <v>95</v>
      </c>
      <c r="V5753" t="s">
        <v>3400</v>
      </c>
      <c r="X5753" t="s">
        <v>39414</v>
      </c>
      <c r="AI5753" t="s">
        <v>39415</v>
      </c>
      <c r="AM5753" t="s">
        <v>2564</v>
      </c>
      <c r="AN5753" t="s">
        <v>2089</v>
      </c>
      <c r="AO5753">
        <v>85718</v>
      </c>
      <c r="AP5753" t="s">
        <v>7024</v>
      </c>
      <c r="AQ5753" t="s">
        <v>39416</v>
      </c>
      <c r="AT5753" s="184">
        <v>39590</v>
      </c>
      <c r="AU5753" t="s">
        <v>21263</v>
      </c>
      <c r="AV5753">
        <v>35</v>
      </c>
      <c r="AW5753" s="184">
        <v>41149</v>
      </c>
      <c r="AX5753" t="s">
        <v>13035</v>
      </c>
      <c r="AY5753">
        <v>188286.44</v>
      </c>
      <c r="AZ5753" s="184">
        <v>41149</v>
      </c>
      <c r="BA5753" t="s">
        <v>13035</v>
      </c>
      <c r="BB5753">
        <v>188286.44</v>
      </c>
      <c r="BC5753">
        <v>18</v>
      </c>
      <c r="BD5753">
        <v>275546.48</v>
      </c>
      <c r="BE5753">
        <v>2008</v>
      </c>
      <c r="BF5753">
        <v>7</v>
      </c>
      <c r="BI5753">
        <v>3</v>
      </c>
      <c r="BJ5753">
        <v>17</v>
      </c>
      <c r="BK5753">
        <v>2</v>
      </c>
      <c r="BN5753" t="s">
        <v>595</v>
      </c>
      <c r="BO5753" t="s">
        <v>595</v>
      </c>
      <c r="BP5753" s="184">
        <v>41083</v>
      </c>
    </row>
    <row r="5754" spans="1:68">
      <c r="A5754">
        <v>100176813</v>
      </c>
      <c r="B5754">
        <v>100176813</v>
      </c>
      <c r="C5754" t="s">
        <v>7018</v>
      </c>
      <c r="E5754" s="184"/>
      <c r="G5754" s="184"/>
      <c r="I5754" s="184"/>
      <c r="J5754" t="s">
        <v>595</v>
      </c>
      <c r="K5754" s="184">
        <v>40568</v>
      </c>
      <c r="O5754" s="184"/>
      <c r="Q5754" t="s">
        <v>7030</v>
      </c>
      <c r="R5754" s="184">
        <v>10346</v>
      </c>
      <c r="S5754">
        <v>96</v>
      </c>
      <c r="U5754" t="s">
        <v>7076</v>
      </c>
      <c r="V5754" t="s">
        <v>3288</v>
      </c>
      <c r="X5754" t="s">
        <v>39417</v>
      </c>
      <c r="AI5754" t="s">
        <v>39418</v>
      </c>
      <c r="AM5754" t="s">
        <v>3472</v>
      </c>
      <c r="AN5754" t="s">
        <v>2638</v>
      </c>
      <c r="AO5754" t="s">
        <v>39419</v>
      </c>
      <c r="AP5754" t="s">
        <v>7024</v>
      </c>
      <c r="AQ5754" t="s">
        <v>39420</v>
      </c>
      <c r="AT5754" s="184">
        <v>39706</v>
      </c>
      <c r="AU5754" t="s">
        <v>39421</v>
      </c>
      <c r="AV5754">
        <v>15</v>
      </c>
      <c r="AW5754" s="184">
        <v>42156</v>
      </c>
      <c r="AX5754" t="s">
        <v>14228</v>
      </c>
      <c r="AY5754">
        <v>32743.25</v>
      </c>
      <c r="AZ5754" s="184">
        <v>42156</v>
      </c>
      <c r="BA5754" t="s">
        <v>14228</v>
      </c>
      <c r="BB5754">
        <v>32743.25</v>
      </c>
      <c r="BC5754">
        <v>30</v>
      </c>
      <c r="BD5754">
        <v>32828.25</v>
      </c>
      <c r="BE5754">
        <v>2009</v>
      </c>
      <c r="BF5754">
        <v>6</v>
      </c>
      <c r="BI5754">
        <v>5</v>
      </c>
      <c r="BJ5754">
        <v>17</v>
      </c>
      <c r="BK5754">
        <v>2</v>
      </c>
      <c r="BN5754" t="s">
        <v>595</v>
      </c>
      <c r="BO5754" t="s">
        <v>595</v>
      </c>
      <c r="BP5754" s="184">
        <v>42056</v>
      </c>
    </row>
    <row r="5755" spans="1:68">
      <c r="A5755">
        <v>100176881</v>
      </c>
      <c r="B5755">
        <v>100176881</v>
      </c>
      <c r="C5755" t="s">
        <v>7018</v>
      </c>
      <c r="E5755" s="184"/>
      <c r="G5755" s="184"/>
      <c r="I5755" s="184"/>
      <c r="J5755" t="s">
        <v>595</v>
      </c>
      <c r="K5755" s="184">
        <v>41474</v>
      </c>
      <c r="O5755" s="184"/>
      <c r="Q5755" t="s">
        <v>7383</v>
      </c>
      <c r="R5755" s="184">
        <v>13516</v>
      </c>
      <c r="S5755">
        <v>87</v>
      </c>
      <c r="U5755" t="s">
        <v>7031</v>
      </c>
      <c r="V5755" t="s">
        <v>2828</v>
      </c>
      <c r="W5755" t="s">
        <v>7046</v>
      </c>
      <c r="X5755" t="s">
        <v>39422</v>
      </c>
      <c r="AI5755" t="s">
        <v>39423</v>
      </c>
      <c r="AM5755" t="s">
        <v>39424</v>
      </c>
      <c r="AN5755" t="s">
        <v>2072</v>
      </c>
      <c r="AO5755" t="s">
        <v>39425</v>
      </c>
      <c r="AP5755" t="s">
        <v>7024</v>
      </c>
      <c r="AT5755" s="184">
        <v>40000</v>
      </c>
      <c r="AU5755" t="s">
        <v>39426</v>
      </c>
      <c r="AV5755">
        <v>15</v>
      </c>
      <c r="AW5755" s="184">
        <v>41474</v>
      </c>
      <c r="AX5755" t="s">
        <v>37849</v>
      </c>
      <c r="AY5755">
        <v>500000</v>
      </c>
      <c r="AZ5755" s="184">
        <v>41474</v>
      </c>
      <c r="BA5755" t="s">
        <v>37849</v>
      </c>
      <c r="BB5755">
        <v>500000</v>
      </c>
      <c r="BC5755">
        <v>32</v>
      </c>
      <c r="BD5755">
        <v>500935</v>
      </c>
      <c r="BE5755">
        <v>2010</v>
      </c>
      <c r="BF5755">
        <v>8</v>
      </c>
      <c r="BI5755">
        <v>5</v>
      </c>
      <c r="BJ5755">
        <v>16</v>
      </c>
      <c r="BK5755">
        <v>5</v>
      </c>
      <c r="BO5755" t="s">
        <v>595</v>
      </c>
      <c r="BP5755" s="184">
        <v>41223</v>
      </c>
    </row>
    <row r="5756" spans="1:68">
      <c r="A5756">
        <v>100176882</v>
      </c>
      <c r="B5756">
        <v>100176882</v>
      </c>
      <c r="C5756" t="s">
        <v>7018</v>
      </c>
      <c r="E5756" s="184"/>
      <c r="G5756" s="184"/>
      <c r="I5756" s="184"/>
      <c r="J5756" t="s">
        <v>595</v>
      </c>
      <c r="K5756" s="184">
        <v>41711</v>
      </c>
      <c r="O5756" s="184"/>
      <c r="Q5756" t="s">
        <v>7030</v>
      </c>
      <c r="R5756" s="184">
        <v>13859</v>
      </c>
      <c r="S5756">
        <v>86</v>
      </c>
      <c r="U5756" t="s">
        <v>7076</v>
      </c>
      <c r="V5756" t="s">
        <v>39427</v>
      </c>
      <c r="X5756" t="s">
        <v>39428</v>
      </c>
      <c r="AI5756" t="s">
        <v>39429</v>
      </c>
      <c r="AM5756" t="s">
        <v>39430</v>
      </c>
      <c r="AN5756" t="s">
        <v>2638</v>
      </c>
      <c r="AO5756" t="s">
        <v>39431</v>
      </c>
      <c r="AP5756" t="s">
        <v>7024</v>
      </c>
      <c r="AT5756" s="184">
        <v>40001</v>
      </c>
      <c r="AU5756" t="s">
        <v>39432</v>
      </c>
      <c r="AV5756">
        <v>25</v>
      </c>
      <c r="AW5756" s="184">
        <v>41711</v>
      </c>
      <c r="AX5756" t="s">
        <v>37849</v>
      </c>
      <c r="AY5756">
        <v>9000</v>
      </c>
      <c r="AZ5756" s="184">
        <v>41711</v>
      </c>
      <c r="BA5756" t="s">
        <v>37849</v>
      </c>
      <c r="BB5756">
        <v>9000</v>
      </c>
      <c r="BC5756">
        <v>25</v>
      </c>
      <c r="BD5756">
        <v>9100</v>
      </c>
      <c r="BE5756">
        <v>2010</v>
      </c>
      <c r="BF5756">
        <v>6</v>
      </c>
      <c r="BI5756">
        <v>4</v>
      </c>
      <c r="BJ5756">
        <v>16</v>
      </c>
      <c r="BK5756">
        <v>3</v>
      </c>
      <c r="BO5756" t="s">
        <v>595</v>
      </c>
      <c r="BP5756" s="184">
        <v>41414</v>
      </c>
    </row>
    <row r="5757" spans="1:68">
      <c r="A5757">
        <v>100176883</v>
      </c>
      <c r="B5757">
        <v>100176883</v>
      </c>
      <c r="C5757" t="s">
        <v>7018</v>
      </c>
      <c r="E5757" s="184"/>
      <c r="G5757" s="184"/>
      <c r="I5757" s="184"/>
      <c r="J5757" t="s">
        <v>595</v>
      </c>
      <c r="K5757" s="184">
        <v>43231</v>
      </c>
      <c r="O5757" s="184"/>
      <c r="Q5757" t="s">
        <v>7194</v>
      </c>
      <c r="R5757" s="184">
        <v>7728</v>
      </c>
      <c r="S5757">
        <v>103</v>
      </c>
      <c r="U5757" t="s">
        <v>7076</v>
      </c>
      <c r="V5757" t="s">
        <v>3510</v>
      </c>
      <c r="W5757" t="s">
        <v>2049</v>
      </c>
      <c r="X5757" t="s">
        <v>39433</v>
      </c>
      <c r="AI5757" t="s">
        <v>39434</v>
      </c>
      <c r="AM5757" t="s">
        <v>4359</v>
      </c>
      <c r="AN5757" t="s">
        <v>2046</v>
      </c>
      <c r="AO5757" t="s">
        <v>39435</v>
      </c>
      <c r="AP5757" t="s">
        <v>7024</v>
      </c>
      <c r="AT5757" s="184">
        <v>40007</v>
      </c>
      <c r="AU5757" t="s">
        <v>39436</v>
      </c>
      <c r="AV5757">
        <v>35</v>
      </c>
      <c r="AW5757" s="184">
        <v>43231</v>
      </c>
      <c r="AX5757" t="s">
        <v>7445</v>
      </c>
      <c r="AY5757">
        <v>3891.28</v>
      </c>
      <c r="AZ5757" s="184">
        <v>42853</v>
      </c>
      <c r="BA5757" t="s">
        <v>19550</v>
      </c>
      <c r="BB5757">
        <v>300000</v>
      </c>
      <c r="BC5757">
        <v>25</v>
      </c>
      <c r="BD5757">
        <v>389961.28</v>
      </c>
      <c r="BE5757">
        <v>2010</v>
      </c>
      <c r="BF5757">
        <v>5</v>
      </c>
      <c r="BI5757">
        <v>4</v>
      </c>
      <c r="BJ5757">
        <v>16</v>
      </c>
      <c r="BK5757">
        <v>2</v>
      </c>
      <c r="BO5757" t="s">
        <v>595</v>
      </c>
      <c r="BP5757" s="184">
        <v>42683</v>
      </c>
    </row>
    <row r="5758" spans="1:68">
      <c r="A5758">
        <v>100176884</v>
      </c>
      <c r="B5758">
        <v>100176884</v>
      </c>
      <c r="C5758" t="s">
        <v>7018</v>
      </c>
      <c r="E5758" s="184"/>
      <c r="G5758" s="184"/>
      <c r="I5758" s="184"/>
      <c r="J5758" t="s">
        <v>595</v>
      </c>
      <c r="K5758" s="184">
        <v>42390</v>
      </c>
      <c r="O5758" s="184"/>
      <c r="Q5758" t="s">
        <v>7374</v>
      </c>
      <c r="R5758" s="184"/>
      <c r="U5758" t="s">
        <v>7031</v>
      </c>
      <c r="V5758" t="s">
        <v>2541</v>
      </c>
      <c r="W5758" t="s">
        <v>4013</v>
      </c>
      <c r="X5758" t="s">
        <v>39437</v>
      </c>
      <c r="AI5758" t="s">
        <v>39438</v>
      </c>
      <c r="AM5758" t="s">
        <v>4551</v>
      </c>
      <c r="AN5758" t="s">
        <v>2081</v>
      </c>
      <c r="AO5758" t="s">
        <v>39439</v>
      </c>
      <c r="AP5758" t="s">
        <v>7024</v>
      </c>
      <c r="AQ5758" t="s">
        <v>39440</v>
      </c>
      <c r="AT5758" s="184">
        <v>40014</v>
      </c>
      <c r="AU5758" t="s">
        <v>28781</v>
      </c>
      <c r="AV5758">
        <v>15</v>
      </c>
      <c r="AW5758" s="184">
        <v>42390</v>
      </c>
      <c r="AX5758" t="s">
        <v>11622</v>
      </c>
      <c r="AY5758">
        <v>2000</v>
      </c>
      <c r="AZ5758" s="184">
        <v>42390</v>
      </c>
      <c r="BA5758" t="s">
        <v>11622</v>
      </c>
      <c r="BB5758">
        <v>2000</v>
      </c>
      <c r="BC5758">
        <v>38</v>
      </c>
      <c r="BD5758">
        <v>2170</v>
      </c>
      <c r="BE5758">
        <v>2010</v>
      </c>
      <c r="BF5758">
        <v>11</v>
      </c>
      <c r="BI5758">
        <v>6</v>
      </c>
      <c r="BJ5758">
        <v>16</v>
      </c>
      <c r="BK5758">
        <v>5</v>
      </c>
      <c r="BN5758" t="s">
        <v>595</v>
      </c>
      <c r="BO5758" t="s">
        <v>595</v>
      </c>
      <c r="BP5758" s="184">
        <v>42123</v>
      </c>
    </row>
    <row r="5759" spans="1:68">
      <c r="A5759">
        <v>100176909</v>
      </c>
      <c r="B5759">
        <v>100176909</v>
      </c>
      <c r="C5759" t="s">
        <v>7018</v>
      </c>
      <c r="E5759" s="184"/>
      <c r="G5759" s="184"/>
      <c r="I5759" s="184"/>
      <c r="J5759" t="s">
        <v>595</v>
      </c>
      <c r="K5759" s="184">
        <v>40599</v>
      </c>
      <c r="O5759" s="184"/>
      <c r="Q5759" t="s">
        <v>7383</v>
      </c>
      <c r="R5759" s="184"/>
      <c r="U5759" t="s">
        <v>7076</v>
      </c>
      <c r="V5759" t="s">
        <v>2669</v>
      </c>
      <c r="W5759" t="s">
        <v>4327</v>
      </c>
      <c r="X5759" t="s">
        <v>5127</v>
      </c>
      <c r="AI5759" t="s">
        <v>39441</v>
      </c>
      <c r="AJ5759" t="s">
        <v>39442</v>
      </c>
      <c r="AM5759" t="s">
        <v>3783</v>
      </c>
      <c r="AN5759" t="s">
        <v>2139</v>
      </c>
      <c r="AO5759">
        <v>66044</v>
      </c>
      <c r="AP5759" t="s">
        <v>7024</v>
      </c>
      <c r="AT5759" s="184">
        <v>40599</v>
      </c>
      <c r="AU5759" t="s">
        <v>14283</v>
      </c>
      <c r="AV5759">
        <v>5823.28</v>
      </c>
      <c r="AW5759" s="184">
        <v>40599</v>
      </c>
      <c r="AX5759" t="s">
        <v>14283</v>
      </c>
      <c r="AY5759">
        <v>5823.28</v>
      </c>
      <c r="AZ5759" s="184">
        <v>40599</v>
      </c>
      <c r="BA5759" t="s">
        <v>14283</v>
      </c>
      <c r="BB5759">
        <v>5823.28</v>
      </c>
      <c r="BC5759">
        <v>8</v>
      </c>
      <c r="BD5759">
        <v>5823.28</v>
      </c>
      <c r="BE5759">
        <v>2011</v>
      </c>
      <c r="BF5759">
        <v>1</v>
      </c>
      <c r="BI5759">
        <v>1</v>
      </c>
      <c r="BJ5759">
        <v>14</v>
      </c>
      <c r="BK5759">
        <v>1</v>
      </c>
      <c r="BO5759" t="s">
        <v>595</v>
      </c>
      <c r="BP5759" s="184">
        <v>40140</v>
      </c>
    </row>
    <row r="5760" spans="1:68">
      <c r="A5760">
        <v>100176936</v>
      </c>
      <c r="B5760">
        <v>100176936</v>
      </c>
      <c r="C5760" t="s">
        <v>7018</v>
      </c>
      <c r="E5760" s="184"/>
      <c r="G5760" s="184"/>
      <c r="I5760" s="184"/>
      <c r="J5760" t="s">
        <v>595</v>
      </c>
      <c r="K5760" s="184">
        <v>40931</v>
      </c>
      <c r="O5760" s="184"/>
      <c r="Q5760" t="s">
        <v>7374</v>
      </c>
      <c r="R5760" s="184"/>
      <c r="V5760" t="s">
        <v>2541</v>
      </c>
      <c r="X5760" t="s">
        <v>39443</v>
      </c>
      <c r="AI5760" t="s">
        <v>39444</v>
      </c>
      <c r="AM5760" t="s">
        <v>39445</v>
      </c>
      <c r="AN5760" t="s">
        <v>2081</v>
      </c>
      <c r="AO5760" t="s">
        <v>39446</v>
      </c>
      <c r="AP5760" t="s">
        <v>7024</v>
      </c>
      <c r="AT5760" s="184">
        <v>40256</v>
      </c>
      <c r="AU5760" t="s">
        <v>39447</v>
      </c>
      <c r="AV5760">
        <v>50</v>
      </c>
      <c r="AW5760" s="184">
        <v>40931</v>
      </c>
      <c r="AX5760" t="s">
        <v>18846</v>
      </c>
      <c r="AY5760">
        <v>9704.89</v>
      </c>
      <c r="AZ5760" s="184">
        <v>40931</v>
      </c>
      <c r="BA5760" t="s">
        <v>18846</v>
      </c>
      <c r="BB5760">
        <v>9704.89</v>
      </c>
      <c r="BC5760">
        <v>20</v>
      </c>
      <c r="BD5760">
        <v>9954.89</v>
      </c>
      <c r="BE5760">
        <v>2010</v>
      </c>
      <c r="BF5760">
        <v>5</v>
      </c>
      <c r="BI5760">
        <v>3</v>
      </c>
      <c r="BJ5760">
        <v>15</v>
      </c>
      <c r="BK5760">
        <v>3</v>
      </c>
      <c r="BO5760" t="s">
        <v>595</v>
      </c>
      <c r="BP5760" s="184">
        <v>40801</v>
      </c>
    </row>
    <row r="5761" spans="1:68">
      <c r="A5761">
        <v>100176981</v>
      </c>
      <c r="B5761">
        <v>100176981</v>
      </c>
      <c r="C5761" t="s">
        <v>7018</v>
      </c>
      <c r="E5761" s="184"/>
      <c r="G5761" s="184"/>
      <c r="I5761" s="184"/>
      <c r="J5761" t="s">
        <v>595</v>
      </c>
      <c r="K5761" s="184">
        <v>40386</v>
      </c>
      <c r="O5761" s="184"/>
      <c r="Q5761" t="s">
        <v>7262</v>
      </c>
      <c r="R5761" s="184"/>
      <c r="U5761" t="s">
        <v>7031</v>
      </c>
      <c r="V5761" t="s">
        <v>5414</v>
      </c>
      <c r="W5761" t="s">
        <v>7396</v>
      </c>
      <c r="X5761" t="s">
        <v>3733</v>
      </c>
      <c r="AI5761" t="s">
        <v>39448</v>
      </c>
      <c r="AM5761" t="s">
        <v>3205</v>
      </c>
      <c r="AN5761" t="s">
        <v>2106</v>
      </c>
      <c r="AO5761">
        <v>19106</v>
      </c>
      <c r="AP5761" t="s">
        <v>7024</v>
      </c>
      <c r="AT5761" s="184">
        <v>39967</v>
      </c>
      <c r="AU5761" t="s">
        <v>9877</v>
      </c>
      <c r="AV5761">
        <v>797660.59</v>
      </c>
      <c r="AW5761" s="184">
        <v>40386</v>
      </c>
      <c r="AX5761" t="s">
        <v>14283</v>
      </c>
      <c r="AY5761">
        <v>39.4</v>
      </c>
      <c r="AZ5761" s="184">
        <v>39967</v>
      </c>
      <c r="BA5761" t="s">
        <v>9877</v>
      </c>
      <c r="BB5761">
        <v>797660.59</v>
      </c>
      <c r="BC5761">
        <v>13</v>
      </c>
      <c r="BD5761">
        <v>797699.99</v>
      </c>
      <c r="BE5761">
        <v>2009</v>
      </c>
      <c r="BF5761">
        <v>2</v>
      </c>
      <c r="BI5761">
        <v>2</v>
      </c>
      <c r="BJ5761">
        <v>16</v>
      </c>
      <c r="BK5761">
        <v>2</v>
      </c>
      <c r="BO5761" t="s">
        <v>595</v>
      </c>
      <c r="BP5761" s="184"/>
    </row>
    <row r="5762" spans="1:68">
      <c r="A5762">
        <v>100177127</v>
      </c>
      <c r="B5762">
        <v>100177127</v>
      </c>
      <c r="C5762" t="s">
        <v>7018</v>
      </c>
      <c r="E5762" s="184"/>
      <c r="G5762" s="184"/>
      <c r="I5762" s="184"/>
      <c r="J5762" t="s">
        <v>595</v>
      </c>
      <c r="K5762" s="184">
        <v>41906</v>
      </c>
      <c r="O5762" s="184"/>
      <c r="Q5762" t="s">
        <v>7374</v>
      </c>
      <c r="R5762" s="184"/>
      <c r="U5762" t="s">
        <v>7031</v>
      </c>
      <c r="V5762" t="s">
        <v>3373</v>
      </c>
      <c r="W5762" t="s">
        <v>8224</v>
      </c>
      <c r="X5762" t="s">
        <v>39449</v>
      </c>
      <c r="AI5762" t="s">
        <v>39450</v>
      </c>
      <c r="AM5762" t="s">
        <v>24368</v>
      </c>
      <c r="AN5762" t="s">
        <v>2081</v>
      </c>
      <c r="AO5762" t="s">
        <v>39451</v>
      </c>
      <c r="AP5762" t="s">
        <v>7024</v>
      </c>
      <c r="AT5762" s="184">
        <v>41149</v>
      </c>
      <c r="AU5762" t="s">
        <v>32090</v>
      </c>
      <c r="AV5762">
        <v>15</v>
      </c>
      <c r="AW5762" s="184">
        <v>41906</v>
      </c>
      <c r="AX5762" t="s">
        <v>39452</v>
      </c>
      <c r="AY5762">
        <v>18</v>
      </c>
      <c r="AZ5762" s="184">
        <v>41428</v>
      </c>
      <c r="BA5762" t="s">
        <v>14525</v>
      </c>
      <c r="BB5762">
        <v>25</v>
      </c>
      <c r="BC5762">
        <v>24</v>
      </c>
      <c r="BD5762">
        <v>73</v>
      </c>
      <c r="BE5762">
        <v>2013</v>
      </c>
      <c r="BF5762">
        <v>4</v>
      </c>
      <c r="BI5762">
        <v>3</v>
      </c>
      <c r="BJ5762">
        <v>13</v>
      </c>
      <c r="BK5762">
        <v>3</v>
      </c>
      <c r="BO5762" t="s">
        <v>595</v>
      </c>
      <c r="BP5762" s="184">
        <v>42460</v>
      </c>
    </row>
    <row r="5763" spans="1:68">
      <c r="A5763">
        <v>100177163</v>
      </c>
      <c r="B5763">
        <v>100177163</v>
      </c>
      <c r="C5763" t="s">
        <v>7018</v>
      </c>
      <c r="E5763" s="184"/>
      <c r="G5763" s="184"/>
      <c r="I5763" s="184"/>
      <c r="J5763" t="s">
        <v>595</v>
      </c>
      <c r="K5763" s="184">
        <v>42734</v>
      </c>
      <c r="M5763" s="184"/>
      <c r="O5763" s="184"/>
      <c r="Q5763" t="s">
        <v>7494</v>
      </c>
      <c r="R5763" s="184">
        <v>10043</v>
      </c>
      <c r="S5763">
        <v>96</v>
      </c>
      <c r="U5763" t="s">
        <v>7076</v>
      </c>
      <c r="V5763" t="s">
        <v>4448</v>
      </c>
      <c r="W5763" t="s">
        <v>3740</v>
      </c>
      <c r="X5763" t="s">
        <v>39453</v>
      </c>
      <c r="AI5763" t="s">
        <v>39454</v>
      </c>
      <c r="AM5763" t="s">
        <v>3371</v>
      </c>
      <c r="AN5763" t="s">
        <v>2174</v>
      </c>
      <c r="AO5763" t="s">
        <v>39455</v>
      </c>
      <c r="AP5763" t="s">
        <v>7024</v>
      </c>
      <c r="AQ5763" t="s">
        <v>39456</v>
      </c>
      <c r="AT5763" s="184">
        <v>41281</v>
      </c>
      <c r="AU5763" t="s">
        <v>39457</v>
      </c>
      <c r="AV5763">
        <v>15</v>
      </c>
      <c r="AW5763" s="184">
        <v>42734</v>
      </c>
      <c r="AX5763" t="s">
        <v>19550</v>
      </c>
      <c r="AY5763">
        <v>98750</v>
      </c>
      <c r="AZ5763" s="184">
        <v>42613</v>
      </c>
      <c r="BA5763" t="s">
        <v>19550</v>
      </c>
      <c r="BB5763">
        <v>215000</v>
      </c>
      <c r="BC5763">
        <v>17</v>
      </c>
      <c r="BD5763">
        <v>313765</v>
      </c>
      <c r="BE5763">
        <v>2013</v>
      </c>
      <c r="BF5763">
        <v>3</v>
      </c>
      <c r="BI5763">
        <v>2</v>
      </c>
      <c r="BJ5763">
        <v>12</v>
      </c>
      <c r="BK5763">
        <v>1</v>
      </c>
      <c r="BO5763" t="s">
        <v>595</v>
      </c>
      <c r="BP5763" s="184">
        <v>42273</v>
      </c>
    </row>
    <row r="5764" spans="1:68">
      <c r="A5764">
        <v>100177224</v>
      </c>
      <c r="B5764">
        <v>100177224</v>
      </c>
      <c r="C5764" t="s">
        <v>7018</v>
      </c>
      <c r="E5764" s="184"/>
      <c r="G5764" s="184"/>
      <c r="I5764" s="184"/>
      <c r="K5764" s="184"/>
      <c r="N5764" t="s">
        <v>595</v>
      </c>
      <c r="O5764" s="184">
        <v>42003</v>
      </c>
      <c r="Q5764" t="s">
        <v>7454</v>
      </c>
      <c r="R5764" s="184">
        <v>7846</v>
      </c>
      <c r="S5764">
        <v>102</v>
      </c>
      <c r="U5764" t="s">
        <v>7031</v>
      </c>
      <c r="V5764" t="s">
        <v>3061</v>
      </c>
      <c r="W5764" t="s">
        <v>8224</v>
      </c>
      <c r="X5764" t="s">
        <v>2832</v>
      </c>
      <c r="AI5764" t="s">
        <v>39458</v>
      </c>
      <c r="AM5764" t="s">
        <v>2608</v>
      </c>
      <c r="AN5764" t="s">
        <v>2299</v>
      </c>
      <c r="AO5764" t="s">
        <v>39459</v>
      </c>
      <c r="AP5764" t="s">
        <v>7024</v>
      </c>
      <c r="AQ5764" t="s">
        <v>39460</v>
      </c>
      <c r="AT5764" s="184">
        <v>41842</v>
      </c>
      <c r="AU5764" t="s">
        <v>39461</v>
      </c>
      <c r="AV5764">
        <v>50</v>
      </c>
      <c r="AW5764" s="184">
        <v>42012</v>
      </c>
      <c r="AX5764" t="s">
        <v>34226</v>
      </c>
      <c r="AY5764">
        <v>50</v>
      </c>
      <c r="AZ5764" s="184">
        <v>42003</v>
      </c>
      <c r="BA5764" t="s">
        <v>7042</v>
      </c>
      <c r="BB5764">
        <v>20000</v>
      </c>
      <c r="BC5764">
        <v>19</v>
      </c>
      <c r="BD5764">
        <v>20150</v>
      </c>
      <c r="BE5764">
        <v>2015</v>
      </c>
      <c r="BF5764">
        <v>4</v>
      </c>
      <c r="BI5764">
        <v>2</v>
      </c>
      <c r="BJ5764">
        <v>11</v>
      </c>
      <c r="BK5764">
        <v>2</v>
      </c>
      <c r="BL5764" t="s">
        <v>595</v>
      </c>
      <c r="BM5764" t="s">
        <v>595</v>
      </c>
      <c r="BN5764" t="s">
        <v>595</v>
      </c>
      <c r="BO5764" t="s">
        <v>595</v>
      </c>
      <c r="BP5764" s="184">
        <v>42123</v>
      </c>
    </row>
    <row r="5765" spans="1:68">
      <c r="A5765">
        <v>100177225</v>
      </c>
      <c r="B5765">
        <v>100177225</v>
      </c>
      <c r="C5765" t="s">
        <v>7018</v>
      </c>
      <c r="E5765" s="184"/>
      <c r="G5765" s="184"/>
      <c r="I5765" s="184"/>
      <c r="J5765" t="s">
        <v>595</v>
      </c>
      <c r="K5765" s="184">
        <v>41834</v>
      </c>
      <c r="O5765" s="184"/>
      <c r="Q5765" t="s">
        <v>7194</v>
      </c>
      <c r="R5765" s="184"/>
      <c r="V5765" t="s">
        <v>2985</v>
      </c>
      <c r="X5765" t="s">
        <v>39462</v>
      </c>
      <c r="AI5765" t="s">
        <v>39463</v>
      </c>
      <c r="AM5765" t="s">
        <v>39464</v>
      </c>
      <c r="AN5765" t="s">
        <v>2046</v>
      </c>
      <c r="AO5765" t="s">
        <v>39465</v>
      </c>
      <c r="AP5765" t="s">
        <v>7024</v>
      </c>
      <c r="AT5765" s="184">
        <v>41834</v>
      </c>
      <c r="AU5765" t="s">
        <v>14228</v>
      </c>
      <c r="AV5765">
        <v>3355.5</v>
      </c>
      <c r="AW5765" s="184">
        <v>41834</v>
      </c>
      <c r="AX5765" t="s">
        <v>14228</v>
      </c>
      <c r="AY5765">
        <v>3355.5</v>
      </c>
      <c r="AZ5765" s="184">
        <v>41834</v>
      </c>
      <c r="BA5765" t="s">
        <v>14228</v>
      </c>
      <c r="BB5765">
        <v>3355.5</v>
      </c>
      <c r="BC5765">
        <v>10</v>
      </c>
      <c r="BD5765">
        <v>3355.5</v>
      </c>
      <c r="BE5765">
        <v>2015</v>
      </c>
      <c r="BF5765">
        <v>1</v>
      </c>
      <c r="BI5765">
        <v>1</v>
      </c>
      <c r="BJ5765">
        <v>11</v>
      </c>
      <c r="BK5765">
        <v>1</v>
      </c>
      <c r="BO5765" t="s">
        <v>595</v>
      </c>
      <c r="BP5765" s="184"/>
    </row>
    <row r="5766" spans="1:68">
      <c r="A5766">
        <v>100177227</v>
      </c>
      <c r="B5766">
        <v>100177227</v>
      </c>
      <c r="C5766" t="s">
        <v>7018</v>
      </c>
      <c r="E5766" s="184"/>
      <c r="G5766" s="184"/>
      <c r="I5766" s="184"/>
      <c r="J5766" t="s">
        <v>595</v>
      </c>
      <c r="K5766" s="184">
        <v>41960</v>
      </c>
      <c r="O5766" s="184"/>
      <c r="Q5766" t="s">
        <v>7262</v>
      </c>
      <c r="R5766" s="184"/>
      <c r="U5766" t="s">
        <v>7076</v>
      </c>
      <c r="V5766" t="s">
        <v>3510</v>
      </c>
      <c r="W5766" t="s">
        <v>4210</v>
      </c>
      <c r="X5766" t="s">
        <v>2910</v>
      </c>
      <c r="AI5766" t="s">
        <v>39466</v>
      </c>
      <c r="AM5766" t="s">
        <v>24317</v>
      </c>
      <c r="AN5766" t="s">
        <v>2106</v>
      </c>
      <c r="AO5766" t="s">
        <v>39467</v>
      </c>
      <c r="AP5766" t="s">
        <v>7024</v>
      </c>
      <c r="AT5766" s="184">
        <v>41960</v>
      </c>
      <c r="AU5766" t="s">
        <v>34468</v>
      </c>
      <c r="AV5766">
        <v>19.97</v>
      </c>
      <c r="AW5766" s="184">
        <v>41960</v>
      </c>
      <c r="AX5766" t="s">
        <v>34468</v>
      </c>
      <c r="AY5766">
        <v>19.97</v>
      </c>
      <c r="AZ5766" s="184">
        <v>41960</v>
      </c>
      <c r="BA5766" t="s">
        <v>34468</v>
      </c>
      <c r="BB5766">
        <v>19.97</v>
      </c>
      <c r="BC5766">
        <v>10</v>
      </c>
      <c r="BD5766">
        <v>19.97</v>
      </c>
      <c r="BE5766">
        <v>2015</v>
      </c>
      <c r="BF5766">
        <v>1</v>
      </c>
      <c r="BI5766">
        <v>1</v>
      </c>
      <c r="BJ5766">
        <v>11</v>
      </c>
      <c r="BK5766">
        <v>1</v>
      </c>
      <c r="BO5766" t="s">
        <v>595</v>
      </c>
      <c r="BP5766" s="184">
        <v>42020</v>
      </c>
    </row>
    <row r="5767" spans="1:68">
      <c r="A5767">
        <v>100177229</v>
      </c>
      <c r="B5767">
        <v>100177229</v>
      </c>
      <c r="C5767" t="s">
        <v>7018</v>
      </c>
      <c r="E5767" s="184"/>
      <c r="G5767" s="184"/>
      <c r="I5767" s="184"/>
      <c r="J5767" t="s">
        <v>595</v>
      </c>
      <c r="K5767" s="184">
        <v>42711</v>
      </c>
      <c r="O5767" s="184"/>
      <c r="Q5767" t="s">
        <v>7374</v>
      </c>
      <c r="R5767" s="184"/>
      <c r="U5767" t="s">
        <v>7076</v>
      </c>
      <c r="V5767" t="s">
        <v>39468</v>
      </c>
      <c r="X5767" t="s">
        <v>39469</v>
      </c>
      <c r="AF5767" t="s">
        <v>39470</v>
      </c>
      <c r="AG5767" t="s">
        <v>39468</v>
      </c>
      <c r="AI5767" t="s">
        <v>39471</v>
      </c>
      <c r="AM5767" t="s">
        <v>30935</v>
      </c>
      <c r="AN5767" t="s">
        <v>2081</v>
      </c>
      <c r="AO5767" t="s">
        <v>39472</v>
      </c>
      <c r="AP5767" t="s">
        <v>7024</v>
      </c>
      <c r="AQ5767" t="s">
        <v>39473</v>
      </c>
      <c r="AT5767" s="184">
        <v>41996</v>
      </c>
      <c r="AU5767" t="s">
        <v>39474</v>
      </c>
      <c r="AV5767">
        <v>10</v>
      </c>
      <c r="AW5767" s="184">
        <v>43343</v>
      </c>
      <c r="AX5767" t="s">
        <v>7348</v>
      </c>
      <c r="AY5767">
        <v>21995.84</v>
      </c>
      <c r="AZ5767" s="184">
        <v>43343</v>
      </c>
      <c r="BA5767" t="s">
        <v>7348</v>
      </c>
      <c r="BB5767">
        <v>21995.84</v>
      </c>
      <c r="BC5767">
        <v>19</v>
      </c>
      <c r="BD5767">
        <v>22005.84</v>
      </c>
      <c r="BE5767">
        <v>2015</v>
      </c>
      <c r="BF5767">
        <v>2</v>
      </c>
      <c r="BI5767">
        <v>2</v>
      </c>
      <c r="BJ5767">
        <v>11</v>
      </c>
      <c r="BK5767">
        <v>1</v>
      </c>
      <c r="BN5767" t="s">
        <v>595</v>
      </c>
      <c r="BO5767" t="s">
        <v>595</v>
      </c>
      <c r="BP5767" s="184">
        <v>42692</v>
      </c>
    </row>
    <row r="5768" spans="1:68">
      <c r="A5768">
        <v>100177252</v>
      </c>
      <c r="B5768">
        <v>100177252</v>
      </c>
      <c r="C5768" t="s">
        <v>7018</v>
      </c>
      <c r="E5768" s="184"/>
      <c r="G5768" s="184"/>
      <c r="I5768" s="184"/>
      <c r="J5768" t="s">
        <v>595</v>
      </c>
      <c r="K5768" s="184">
        <v>42390</v>
      </c>
      <c r="O5768" s="184"/>
      <c r="Q5768" t="s">
        <v>7020</v>
      </c>
      <c r="R5768" s="184"/>
      <c r="V5768" t="s">
        <v>3510</v>
      </c>
      <c r="W5768" t="s">
        <v>4139</v>
      </c>
      <c r="X5768" t="s">
        <v>2910</v>
      </c>
      <c r="AI5768" t="s">
        <v>39475</v>
      </c>
      <c r="AM5768" t="s">
        <v>2978</v>
      </c>
      <c r="AN5768" t="s">
        <v>2112</v>
      </c>
      <c r="AO5768">
        <v>13165</v>
      </c>
      <c r="AP5768" t="s">
        <v>7024</v>
      </c>
      <c r="AT5768" s="184">
        <v>42390</v>
      </c>
      <c r="AU5768" t="s">
        <v>11622</v>
      </c>
      <c r="AV5768">
        <v>1000</v>
      </c>
      <c r="AW5768" s="184">
        <v>42390</v>
      </c>
      <c r="AX5768" t="s">
        <v>11622</v>
      </c>
      <c r="AY5768">
        <v>1000</v>
      </c>
      <c r="AZ5768" s="184">
        <v>42390</v>
      </c>
      <c r="BA5768" t="s">
        <v>11622</v>
      </c>
      <c r="BB5768">
        <v>1000</v>
      </c>
      <c r="BC5768">
        <v>12</v>
      </c>
      <c r="BD5768">
        <v>1000</v>
      </c>
      <c r="BE5768">
        <v>2016</v>
      </c>
      <c r="BF5768">
        <v>1</v>
      </c>
      <c r="BI5768">
        <v>1</v>
      </c>
      <c r="BJ5768">
        <v>9</v>
      </c>
      <c r="BK5768">
        <v>1</v>
      </c>
      <c r="BO5768" t="s">
        <v>595</v>
      </c>
      <c r="BP5768" s="184"/>
    </row>
    <row r="5769" spans="1:68">
      <c r="A5769">
        <v>100177286</v>
      </c>
      <c r="B5769">
        <v>100177286</v>
      </c>
      <c r="C5769" t="s">
        <v>7018</v>
      </c>
      <c r="E5769" s="184"/>
      <c r="G5769" s="184"/>
      <c r="I5769" s="184"/>
      <c r="J5769" t="s">
        <v>595</v>
      </c>
      <c r="K5769" s="184">
        <v>42822</v>
      </c>
      <c r="O5769" s="184"/>
      <c r="Q5769" t="s">
        <v>7020</v>
      </c>
      <c r="R5769" s="184"/>
      <c r="U5769" t="s">
        <v>7076</v>
      </c>
      <c r="V5769" t="s">
        <v>3478</v>
      </c>
      <c r="W5769" t="s">
        <v>3226</v>
      </c>
      <c r="X5769" t="s">
        <v>39476</v>
      </c>
      <c r="AI5769" t="s">
        <v>39477</v>
      </c>
      <c r="AM5769" t="s">
        <v>13836</v>
      </c>
      <c r="AN5769" t="s">
        <v>2240</v>
      </c>
      <c r="AO5769">
        <v>6457</v>
      </c>
      <c r="AP5769" t="s">
        <v>7024</v>
      </c>
      <c r="AT5769" s="184">
        <v>42822</v>
      </c>
      <c r="AU5769" t="s">
        <v>19550</v>
      </c>
      <c r="AV5769">
        <v>4130.53</v>
      </c>
      <c r="AW5769" s="184">
        <v>42822</v>
      </c>
      <c r="AX5769" t="s">
        <v>19550</v>
      </c>
      <c r="AY5769">
        <v>4130.53</v>
      </c>
      <c r="AZ5769" s="184">
        <v>42822</v>
      </c>
      <c r="BA5769" t="s">
        <v>19550</v>
      </c>
      <c r="BB5769">
        <v>4130.53</v>
      </c>
      <c r="BC5769">
        <v>13</v>
      </c>
      <c r="BD5769">
        <v>4130.53</v>
      </c>
      <c r="BE5769">
        <v>2017</v>
      </c>
      <c r="BF5769">
        <v>1</v>
      </c>
      <c r="BI5769">
        <v>1</v>
      </c>
      <c r="BJ5769">
        <v>8</v>
      </c>
      <c r="BK5769">
        <v>1</v>
      </c>
      <c r="BO5769" t="s">
        <v>595</v>
      </c>
      <c r="BP5769" s="184">
        <v>42739</v>
      </c>
    </row>
    <row r="5770" spans="1:68">
      <c r="A5770">
        <v>100177307</v>
      </c>
      <c r="B5770">
        <v>100177307</v>
      </c>
      <c r="C5770" t="s">
        <v>7018</v>
      </c>
      <c r="E5770" s="184"/>
      <c r="G5770" s="184"/>
      <c r="I5770" s="184"/>
      <c r="J5770" t="s">
        <v>595</v>
      </c>
      <c r="K5770" s="184">
        <v>43213</v>
      </c>
      <c r="O5770" s="184"/>
      <c r="Q5770" t="s">
        <v>7160</v>
      </c>
      <c r="R5770" s="184"/>
      <c r="U5770" t="s">
        <v>7031</v>
      </c>
      <c r="V5770" t="s">
        <v>39478</v>
      </c>
      <c r="X5770" t="s">
        <v>39479</v>
      </c>
      <c r="AI5770" t="s">
        <v>39480</v>
      </c>
      <c r="AJ5770" t="s">
        <v>39481</v>
      </c>
      <c r="AM5770" t="s">
        <v>2674</v>
      </c>
      <c r="AN5770" t="s">
        <v>2675</v>
      </c>
      <c r="AO5770" t="s">
        <v>39482</v>
      </c>
      <c r="AP5770" t="s">
        <v>7024</v>
      </c>
      <c r="AQ5770" t="s">
        <v>39483</v>
      </c>
      <c r="AT5770" s="184">
        <v>43213</v>
      </c>
      <c r="AU5770" t="s">
        <v>7445</v>
      </c>
      <c r="AV5770">
        <v>3121.7</v>
      </c>
      <c r="AW5770" s="184">
        <v>43213</v>
      </c>
      <c r="AX5770" t="s">
        <v>7445</v>
      </c>
      <c r="AY5770">
        <v>3121.7</v>
      </c>
      <c r="AZ5770" s="184">
        <v>43213</v>
      </c>
      <c r="BA5770" t="s">
        <v>7445</v>
      </c>
      <c r="BB5770">
        <v>3121.7</v>
      </c>
      <c r="BC5770">
        <v>15</v>
      </c>
      <c r="BD5770">
        <v>3121.7</v>
      </c>
      <c r="BE5770">
        <v>2018</v>
      </c>
      <c r="BF5770">
        <v>1</v>
      </c>
      <c r="BI5770">
        <v>1</v>
      </c>
      <c r="BJ5770">
        <v>7</v>
      </c>
      <c r="BK5770">
        <v>1</v>
      </c>
      <c r="BO5770" t="s">
        <v>595</v>
      </c>
      <c r="BP5770" s="184">
        <v>43101</v>
      </c>
    </row>
    <row r="5771" spans="1:68">
      <c r="A5771">
        <v>100210444</v>
      </c>
      <c r="B5771">
        <v>100210444</v>
      </c>
      <c r="C5771" t="s">
        <v>7018</v>
      </c>
      <c r="E5771" s="184"/>
      <c r="G5771" s="184"/>
      <c r="I5771" s="184"/>
      <c r="J5771" t="s">
        <v>595</v>
      </c>
      <c r="K5771" s="184">
        <v>43609</v>
      </c>
      <c r="O5771" s="184"/>
      <c r="P5771" t="s">
        <v>8550</v>
      </c>
      <c r="Q5771" t="s">
        <v>7774</v>
      </c>
      <c r="R5771" s="184"/>
      <c r="T5771" t="s">
        <v>2851</v>
      </c>
      <c r="U5771" t="s">
        <v>7031</v>
      </c>
      <c r="V5771" t="s">
        <v>2851</v>
      </c>
      <c r="X5771" t="s">
        <v>2852</v>
      </c>
      <c r="AF5771" t="s">
        <v>6792</v>
      </c>
      <c r="AG5771" t="s">
        <v>2851</v>
      </c>
      <c r="AI5771" t="s">
        <v>39484</v>
      </c>
      <c r="AM5771" t="s">
        <v>2853</v>
      </c>
      <c r="AN5771" t="s">
        <v>2077</v>
      </c>
      <c r="AO5771">
        <v>59803</v>
      </c>
      <c r="AP5771" t="s">
        <v>7024</v>
      </c>
      <c r="AQ5771" t="s">
        <v>39485</v>
      </c>
      <c r="AT5771" s="184"/>
      <c r="AW5771" s="184"/>
      <c r="AZ5771" s="184"/>
      <c r="BL5771" t="s">
        <v>595</v>
      </c>
      <c r="BN5771" t="s">
        <v>595</v>
      </c>
      <c r="BP5771" s="184"/>
    </row>
    <row r="5772" spans="1:68">
      <c r="A5772">
        <v>100216352</v>
      </c>
      <c r="B5772">
        <v>100216352</v>
      </c>
      <c r="C5772" t="s">
        <v>7018</v>
      </c>
      <c r="D5772" t="s">
        <v>595</v>
      </c>
      <c r="E5772" s="184">
        <v>45146</v>
      </c>
      <c r="G5772" s="184"/>
      <c r="I5772" s="184"/>
      <c r="K5772" s="184"/>
      <c r="O5772" s="184"/>
      <c r="P5772" t="s">
        <v>7045</v>
      </c>
      <c r="Q5772" t="s">
        <v>7383</v>
      </c>
      <c r="R5772" s="184">
        <v>17533</v>
      </c>
      <c r="S5772">
        <v>76</v>
      </c>
      <c r="V5772" t="s">
        <v>2586</v>
      </c>
      <c r="W5772" t="s">
        <v>3522</v>
      </c>
      <c r="X5772" t="s">
        <v>39486</v>
      </c>
      <c r="AF5772" t="s">
        <v>39487</v>
      </c>
      <c r="AG5772" t="s">
        <v>2586</v>
      </c>
      <c r="AI5772" t="s">
        <v>39488</v>
      </c>
      <c r="AM5772" t="s">
        <v>39489</v>
      </c>
      <c r="AN5772" t="s">
        <v>2072</v>
      </c>
      <c r="AO5772" t="s">
        <v>39490</v>
      </c>
      <c r="AP5772" t="s">
        <v>7024</v>
      </c>
      <c r="AQ5772" t="s">
        <v>39491</v>
      </c>
      <c r="AT5772" s="184">
        <v>43627</v>
      </c>
      <c r="AU5772" t="s">
        <v>39492</v>
      </c>
      <c r="AV5772">
        <v>50</v>
      </c>
      <c r="AW5772" s="184">
        <v>45215</v>
      </c>
      <c r="AX5772" t="s">
        <v>28850</v>
      </c>
      <c r="AY5772">
        <v>100</v>
      </c>
      <c r="AZ5772" s="184">
        <v>45215</v>
      </c>
      <c r="BA5772" t="s">
        <v>28850</v>
      </c>
      <c r="BB5772">
        <v>100</v>
      </c>
      <c r="BC5772">
        <v>84</v>
      </c>
      <c r="BD5772">
        <v>1100</v>
      </c>
      <c r="BE5772">
        <v>2019</v>
      </c>
      <c r="BF5772">
        <v>13</v>
      </c>
      <c r="BG5772">
        <v>6</v>
      </c>
      <c r="BH5772">
        <v>500</v>
      </c>
      <c r="BI5772">
        <v>5</v>
      </c>
      <c r="BJ5772">
        <v>6</v>
      </c>
      <c r="BK5772">
        <v>5</v>
      </c>
      <c r="BP5772" s="184"/>
    </row>
    <row r="5773" spans="1:68">
      <c r="A5773">
        <v>9000316</v>
      </c>
      <c r="B5773">
        <v>100219648</v>
      </c>
      <c r="C5773" t="s">
        <v>7018</v>
      </c>
      <c r="E5773" s="184"/>
      <c r="G5773" s="184"/>
      <c r="I5773" s="184"/>
      <c r="J5773" t="s">
        <v>595</v>
      </c>
      <c r="K5773" s="184">
        <v>41197</v>
      </c>
      <c r="O5773" s="184"/>
      <c r="P5773" t="s">
        <v>7045</v>
      </c>
      <c r="Q5773" t="s">
        <v>7374</v>
      </c>
      <c r="R5773" s="184">
        <v>16236</v>
      </c>
      <c r="S5773">
        <v>79</v>
      </c>
      <c r="U5773" t="s">
        <v>7031</v>
      </c>
      <c r="V5773" t="s">
        <v>2871</v>
      </c>
      <c r="X5773" t="s">
        <v>39493</v>
      </c>
      <c r="Z5773">
        <v>100219648</v>
      </c>
      <c r="AA5773" t="s">
        <v>7130</v>
      </c>
      <c r="AB5773" t="s">
        <v>3043</v>
      </c>
      <c r="AD5773" t="s">
        <v>39493</v>
      </c>
      <c r="AF5773" t="s">
        <v>39494</v>
      </c>
      <c r="AG5773" t="s">
        <v>3043</v>
      </c>
      <c r="AI5773" t="s">
        <v>39495</v>
      </c>
      <c r="AM5773" t="s">
        <v>5526</v>
      </c>
      <c r="AN5773" t="s">
        <v>2081</v>
      </c>
      <c r="AO5773">
        <v>90808</v>
      </c>
      <c r="AP5773" t="s">
        <v>7024</v>
      </c>
      <c r="AQ5773" t="s">
        <v>39496</v>
      </c>
      <c r="AR5773" t="s">
        <v>39497</v>
      </c>
      <c r="AT5773" s="184">
        <v>34002</v>
      </c>
      <c r="AU5773" t="s">
        <v>39498</v>
      </c>
      <c r="AV5773">
        <v>15</v>
      </c>
      <c r="AW5773" s="184">
        <v>44690</v>
      </c>
      <c r="AX5773" t="s">
        <v>8543</v>
      </c>
      <c r="AY5773">
        <v>50</v>
      </c>
      <c r="AZ5773" s="184">
        <v>42816</v>
      </c>
      <c r="BA5773" t="s">
        <v>39499</v>
      </c>
      <c r="BB5773">
        <v>55</v>
      </c>
      <c r="BC5773">
        <v>54</v>
      </c>
      <c r="BD5773">
        <v>873</v>
      </c>
      <c r="BE5773">
        <v>1993</v>
      </c>
      <c r="BF5773">
        <v>21</v>
      </c>
      <c r="BG5773">
        <v>1</v>
      </c>
      <c r="BH5773">
        <v>50</v>
      </c>
      <c r="BI5773">
        <v>17</v>
      </c>
      <c r="BJ5773">
        <v>32</v>
      </c>
      <c r="BK5773">
        <v>16</v>
      </c>
      <c r="BO5773" t="s">
        <v>595</v>
      </c>
      <c r="BP5773" s="184"/>
    </row>
    <row r="5774" spans="1:68">
      <c r="A5774">
        <v>100219648</v>
      </c>
      <c r="B5774">
        <v>100219648</v>
      </c>
      <c r="C5774" t="s">
        <v>7018</v>
      </c>
      <c r="E5774" s="184"/>
      <c r="G5774" s="184"/>
      <c r="I5774" s="184"/>
      <c r="J5774" t="s">
        <v>595</v>
      </c>
      <c r="K5774" s="184">
        <v>43654</v>
      </c>
      <c r="O5774" s="184"/>
      <c r="P5774" t="s">
        <v>7045</v>
      </c>
      <c r="Q5774" t="s">
        <v>7374</v>
      </c>
      <c r="R5774" s="184">
        <v>14702</v>
      </c>
      <c r="S5774">
        <v>84</v>
      </c>
      <c r="U5774" t="s">
        <v>7130</v>
      </c>
      <c r="V5774" t="s">
        <v>3043</v>
      </c>
      <c r="X5774" t="s">
        <v>39493</v>
      </c>
      <c r="Z5774">
        <v>9000316</v>
      </c>
      <c r="AA5774" t="s">
        <v>7031</v>
      </c>
      <c r="AB5774" t="s">
        <v>2871</v>
      </c>
      <c r="AD5774" t="s">
        <v>39493</v>
      </c>
      <c r="AF5774" t="s">
        <v>39494</v>
      </c>
      <c r="AG5774" t="s">
        <v>3043</v>
      </c>
      <c r="AI5774" t="s">
        <v>39495</v>
      </c>
      <c r="AM5774" t="s">
        <v>5526</v>
      </c>
      <c r="AN5774" t="s">
        <v>2081</v>
      </c>
      <c r="AO5774">
        <v>90808</v>
      </c>
      <c r="AP5774" t="s">
        <v>7024</v>
      </c>
      <c r="AQ5774" t="s">
        <v>39500</v>
      </c>
      <c r="AT5774" s="184">
        <v>44999</v>
      </c>
      <c r="AU5774" t="s">
        <v>10302</v>
      </c>
      <c r="AV5774">
        <v>75</v>
      </c>
      <c r="AW5774" s="184">
        <v>45201</v>
      </c>
      <c r="AX5774" t="s">
        <v>10538</v>
      </c>
      <c r="AY5774">
        <v>25</v>
      </c>
      <c r="AZ5774" s="184">
        <v>44999</v>
      </c>
      <c r="BA5774" t="s">
        <v>10302</v>
      </c>
      <c r="BB5774">
        <v>75</v>
      </c>
      <c r="BC5774">
        <v>50</v>
      </c>
      <c r="BD5774">
        <v>100</v>
      </c>
      <c r="BE5774">
        <v>2023</v>
      </c>
      <c r="BF5774">
        <v>2</v>
      </c>
      <c r="BG5774">
        <v>2</v>
      </c>
      <c r="BH5774">
        <v>100</v>
      </c>
      <c r="BI5774">
        <v>1</v>
      </c>
      <c r="BJ5774">
        <v>2</v>
      </c>
      <c r="BK5774">
        <v>1</v>
      </c>
      <c r="BP5774" s="184"/>
    </row>
    <row r="5775" spans="1:68">
      <c r="A5775">
        <v>100219755</v>
      </c>
      <c r="B5775">
        <v>100219755</v>
      </c>
      <c r="C5775" t="s">
        <v>7018</v>
      </c>
      <c r="E5775" s="184"/>
      <c r="F5775" t="s">
        <v>595</v>
      </c>
      <c r="G5775" s="184">
        <v>44070</v>
      </c>
      <c r="I5775" s="184"/>
      <c r="K5775" s="184"/>
      <c r="O5775" s="184"/>
      <c r="P5775" t="s">
        <v>7045</v>
      </c>
      <c r="Q5775" t="s">
        <v>7262</v>
      </c>
      <c r="R5775" s="184">
        <v>18841</v>
      </c>
      <c r="S5775">
        <v>72</v>
      </c>
      <c r="V5775" t="s">
        <v>2863</v>
      </c>
      <c r="W5775" t="s">
        <v>39501</v>
      </c>
      <c r="X5775" t="s">
        <v>39502</v>
      </c>
      <c r="AF5775" t="s">
        <v>39503</v>
      </c>
      <c r="AG5775" t="s">
        <v>2863</v>
      </c>
      <c r="AI5775" t="s">
        <v>39504</v>
      </c>
      <c r="AM5775" t="s">
        <v>2815</v>
      </c>
      <c r="AN5775" t="s">
        <v>2106</v>
      </c>
      <c r="AO5775" t="s">
        <v>39505</v>
      </c>
      <c r="AP5775" t="s">
        <v>7024</v>
      </c>
      <c r="AQ5775" t="s">
        <v>39506</v>
      </c>
      <c r="AT5775" s="184">
        <v>35832</v>
      </c>
      <c r="AU5775" t="s">
        <v>39507</v>
      </c>
      <c r="AV5775">
        <v>20</v>
      </c>
      <c r="AW5775" s="184">
        <v>45125</v>
      </c>
      <c r="AX5775" t="s">
        <v>39508</v>
      </c>
      <c r="AY5775">
        <v>100</v>
      </c>
      <c r="AZ5775" s="184">
        <v>45125</v>
      </c>
      <c r="BA5775" t="s">
        <v>39508</v>
      </c>
      <c r="BB5775">
        <v>100</v>
      </c>
      <c r="BC5775">
        <v>78</v>
      </c>
      <c r="BD5775">
        <v>1080</v>
      </c>
      <c r="BE5775">
        <v>1998</v>
      </c>
      <c r="BF5775">
        <v>27</v>
      </c>
      <c r="BG5775">
        <v>2</v>
      </c>
      <c r="BH5775">
        <v>150</v>
      </c>
      <c r="BI5775">
        <v>21</v>
      </c>
      <c r="BJ5775">
        <v>27</v>
      </c>
      <c r="BK5775">
        <v>7</v>
      </c>
      <c r="BP5775" s="184"/>
    </row>
    <row r="5776" spans="1:68">
      <c r="A5776">
        <v>100219759</v>
      </c>
      <c r="B5776">
        <v>100219759</v>
      </c>
      <c r="C5776" t="s">
        <v>7018</v>
      </c>
      <c r="E5776" s="184"/>
      <c r="G5776" s="184"/>
      <c r="I5776" s="184"/>
      <c r="J5776" t="s">
        <v>595</v>
      </c>
      <c r="K5776" s="184">
        <v>44073</v>
      </c>
      <c r="O5776" s="184"/>
      <c r="P5776" t="s">
        <v>7045</v>
      </c>
      <c r="Q5776" t="s">
        <v>7020</v>
      </c>
      <c r="R5776" s="184">
        <v>16755</v>
      </c>
      <c r="S5776">
        <v>78</v>
      </c>
      <c r="V5776" t="s">
        <v>3043</v>
      </c>
      <c r="W5776" t="s">
        <v>4013</v>
      </c>
      <c r="X5776" t="s">
        <v>2563</v>
      </c>
      <c r="Z5776">
        <v>100588094</v>
      </c>
      <c r="AB5776" t="s">
        <v>2969</v>
      </c>
      <c r="AD5776" t="s">
        <v>39509</v>
      </c>
      <c r="AF5776" t="s">
        <v>39510</v>
      </c>
      <c r="AG5776" t="s">
        <v>39511</v>
      </c>
      <c r="AI5776" t="s">
        <v>39512</v>
      </c>
      <c r="AM5776" t="s">
        <v>2722</v>
      </c>
      <c r="AN5776" t="s">
        <v>2240</v>
      </c>
      <c r="AO5776" t="s">
        <v>39513</v>
      </c>
      <c r="AP5776" t="s">
        <v>7024</v>
      </c>
      <c r="AQ5776" t="s">
        <v>39514</v>
      </c>
      <c r="AR5776" t="s">
        <v>39515</v>
      </c>
      <c r="AT5776" s="184">
        <v>35516</v>
      </c>
      <c r="AU5776" t="s">
        <v>39516</v>
      </c>
      <c r="AV5776">
        <v>25</v>
      </c>
      <c r="AW5776" s="184">
        <v>45418</v>
      </c>
      <c r="AX5776" t="s">
        <v>7422</v>
      </c>
      <c r="AY5776">
        <v>20</v>
      </c>
      <c r="AZ5776" s="184">
        <v>43453</v>
      </c>
      <c r="BA5776" t="s">
        <v>39517</v>
      </c>
      <c r="BB5776">
        <v>175</v>
      </c>
      <c r="BC5776">
        <v>97</v>
      </c>
      <c r="BD5776">
        <v>3125</v>
      </c>
      <c r="BE5776">
        <v>1997</v>
      </c>
      <c r="BF5776">
        <v>86</v>
      </c>
      <c r="BG5776">
        <v>24</v>
      </c>
      <c r="BH5776">
        <v>440</v>
      </c>
      <c r="BI5776">
        <v>27</v>
      </c>
      <c r="BJ5776">
        <v>28</v>
      </c>
      <c r="BK5776">
        <v>19</v>
      </c>
      <c r="BP5776" s="184"/>
    </row>
    <row r="5777" spans="1:68">
      <c r="A5777">
        <v>100219807</v>
      </c>
      <c r="B5777">
        <v>100219807</v>
      </c>
      <c r="C5777" t="s">
        <v>7018</v>
      </c>
      <c r="E5777" s="184"/>
      <c r="G5777" s="184"/>
      <c r="I5777" s="184"/>
      <c r="K5777" s="184"/>
      <c r="M5777" s="184"/>
      <c r="N5777" t="s">
        <v>595</v>
      </c>
      <c r="O5777" s="184">
        <v>43682</v>
      </c>
      <c r="P5777" t="s">
        <v>8550</v>
      </c>
      <c r="Q5777" t="s">
        <v>7262</v>
      </c>
      <c r="R5777" s="184">
        <v>13091</v>
      </c>
      <c r="S5777">
        <v>88</v>
      </c>
      <c r="U5777" t="s">
        <v>7076</v>
      </c>
      <c r="V5777" t="s">
        <v>4448</v>
      </c>
      <c r="X5777" t="s">
        <v>3649</v>
      </c>
      <c r="AF5777" t="s">
        <v>39518</v>
      </c>
      <c r="AG5777" t="s">
        <v>4448</v>
      </c>
      <c r="AI5777" t="s">
        <v>39519</v>
      </c>
      <c r="AM5777" t="s">
        <v>3262</v>
      </c>
      <c r="AN5777" t="s">
        <v>2106</v>
      </c>
      <c r="AO5777">
        <v>17603</v>
      </c>
      <c r="AP5777" t="s">
        <v>7024</v>
      </c>
      <c r="AQ5777" t="s">
        <v>39520</v>
      </c>
      <c r="AT5777" s="184"/>
      <c r="AW5777" s="184"/>
      <c r="AZ5777" s="184"/>
      <c r="BP5777" s="184"/>
    </row>
    <row r="5778" spans="1:68">
      <c r="A5778">
        <v>100220473</v>
      </c>
      <c r="B5778">
        <v>100220473</v>
      </c>
      <c r="C5778" t="s">
        <v>7018</v>
      </c>
      <c r="E5778" s="184"/>
      <c r="F5778" t="s">
        <v>595</v>
      </c>
      <c r="G5778" s="184">
        <v>44930</v>
      </c>
      <c r="I5778" s="184"/>
      <c r="K5778" s="184"/>
      <c r="O5778" s="184"/>
      <c r="P5778" t="s">
        <v>7045</v>
      </c>
      <c r="Q5778" t="s">
        <v>7030</v>
      </c>
      <c r="R5778" s="184">
        <v>22356</v>
      </c>
      <c r="S5778">
        <v>63</v>
      </c>
      <c r="V5778" t="s">
        <v>3435</v>
      </c>
      <c r="X5778" t="s">
        <v>31738</v>
      </c>
      <c r="AF5778" t="s">
        <v>39521</v>
      </c>
      <c r="AG5778" t="s">
        <v>3435</v>
      </c>
      <c r="AI5778" t="s">
        <v>39522</v>
      </c>
      <c r="AM5778" t="s">
        <v>15855</v>
      </c>
      <c r="AN5778" t="s">
        <v>2089</v>
      </c>
      <c r="AO5778" t="s">
        <v>39523</v>
      </c>
      <c r="AP5778" t="s">
        <v>7024</v>
      </c>
      <c r="AQ5778" t="s">
        <v>39524</v>
      </c>
      <c r="AR5778" t="s">
        <v>39525</v>
      </c>
      <c r="AT5778" s="184">
        <v>43655</v>
      </c>
      <c r="AU5778" t="s">
        <v>39526</v>
      </c>
      <c r="AV5778">
        <v>25</v>
      </c>
      <c r="AW5778" s="184">
        <v>45230</v>
      </c>
      <c r="AX5778" t="s">
        <v>39527</v>
      </c>
      <c r="AY5778">
        <v>50</v>
      </c>
      <c r="AZ5778" s="184">
        <v>45193</v>
      </c>
      <c r="BA5778" t="s">
        <v>28195</v>
      </c>
      <c r="BB5778">
        <v>100</v>
      </c>
      <c r="BC5778">
        <v>50</v>
      </c>
      <c r="BD5778">
        <v>225</v>
      </c>
      <c r="BE5778">
        <v>2020</v>
      </c>
      <c r="BF5778">
        <v>4</v>
      </c>
      <c r="BG5778">
        <v>3</v>
      </c>
      <c r="BH5778">
        <v>200</v>
      </c>
      <c r="BI5778">
        <v>3</v>
      </c>
      <c r="BJ5778">
        <v>6</v>
      </c>
      <c r="BK5778">
        <v>2</v>
      </c>
      <c r="BP5778" s="184"/>
    </row>
    <row r="5779" spans="1:68">
      <c r="A5779">
        <v>100222965</v>
      </c>
      <c r="B5779">
        <v>100222965</v>
      </c>
      <c r="C5779" t="s">
        <v>7018</v>
      </c>
      <c r="E5779" s="184"/>
      <c r="G5779" s="184"/>
      <c r="H5779" t="s">
        <v>595</v>
      </c>
      <c r="I5779" s="184">
        <v>44109</v>
      </c>
      <c r="K5779" s="184"/>
      <c r="M5779" s="184"/>
      <c r="O5779" s="184"/>
      <c r="P5779" t="s">
        <v>7045</v>
      </c>
      <c r="Q5779" t="s">
        <v>7383</v>
      </c>
      <c r="R5779" s="184">
        <v>20394</v>
      </c>
      <c r="S5779">
        <v>68</v>
      </c>
      <c r="V5779" t="s">
        <v>3554</v>
      </c>
      <c r="X5779" t="s">
        <v>4972</v>
      </c>
      <c r="Z5779">
        <v>100551626</v>
      </c>
      <c r="AA5779" t="s">
        <v>7031</v>
      </c>
      <c r="AB5779" t="s">
        <v>3981</v>
      </c>
      <c r="AD5779" t="s">
        <v>39528</v>
      </c>
      <c r="AF5779" t="s">
        <v>39529</v>
      </c>
      <c r="AG5779" t="s">
        <v>39530</v>
      </c>
      <c r="AI5779" t="s">
        <v>39531</v>
      </c>
      <c r="AM5779" t="s">
        <v>3345</v>
      </c>
      <c r="AN5779" t="s">
        <v>2274</v>
      </c>
      <c r="AO5779" t="s">
        <v>39532</v>
      </c>
      <c r="AP5779" t="s">
        <v>7024</v>
      </c>
      <c r="AQ5779" t="s">
        <v>39533</v>
      </c>
      <c r="AR5779" t="s">
        <v>39534</v>
      </c>
      <c r="AT5779" s="184">
        <v>43669</v>
      </c>
      <c r="AU5779" t="s">
        <v>8542</v>
      </c>
      <c r="AV5779">
        <v>100</v>
      </c>
      <c r="AW5779" s="184">
        <v>45381</v>
      </c>
      <c r="AX5779" t="s">
        <v>13386</v>
      </c>
      <c r="AY5779">
        <v>26.25</v>
      </c>
      <c r="AZ5779" s="184">
        <v>43669</v>
      </c>
      <c r="BA5779" t="s">
        <v>8542</v>
      </c>
      <c r="BB5779">
        <v>100</v>
      </c>
      <c r="BC5779">
        <v>100</v>
      </c>
      <c r="BD5779">
        <v>311.25</v>
      </c>
      <c r="BE5779">
        <v>2020</v>
      </c>
      <c r="BF5779">
        <v>7</v>
      </c>
      <c r="BG5779">
        <v>3</v>
      </c>
      <c r="BH5779">
        <v>86.25</v>
      </c>
      <c r="BI5779">
        <v>6</v>
      </c>
      <c r="BJ5779">
        <v>6</v>
      </c>
      <c r="BK5779">
        <v>6</v>
      </c>
      <c r="BP5779" s="184"/>
    </row>
    <row r="5780" spans="1:68">
      <c r="A5780">
        <v>100225846</v>
      </c>
      <c r="B5780">
        <v>100225846</v>
      </c>
      <c r="C5780" t="s">
        <v>7018</v>
      </c>
      <c r="E5780" s="184"/>
      <c r="G5780" s="184"/>
      <c r="H5780" t="s">
        <v>595</v>
      </c>
      <c r="I5780" s="184">
        <v>43907</v>
      </c>
      <c r="K5780" s="184"/>
      <c r="N5780" t="s">
        <v>595</v>
      </c>
      <c r="O5780" s="184">
        <v>43907</v>
      </c>
      <c r="P5780" t="s">
        <v>7045</v>
      </c>
      <c r="Q5780" t="s">
        <v>7020</v>
      </c>
      <c r="R5780" s="184">
        <v>8431</v>
      </c>
      <c r="S5780">
        <v>101</v>
      </c>
      <c r="V5780" t="s">
        <v>2523</v>
      </c>
      <c r="W5780" t="s">
        <v>7067</v>
      </c>
      <c r="X5780" t="s">
        <v>4781</v>
      </c>
      <c r="AF5780" t="s">
        <v>6734</v>
      </c>
      <c r="AG5780" t="s">
        <v>2523</v>
      </c>
      <c r="AI5780" t="s">
        <v>39535</v>
      </c>
      <c r="AM5780" t="s">
        <v>4119</v>
      </c>
      <c r="AN5780" t="s">
        <v>2052</v>
      </c>
      <c r="AO5780" t="s">
        <v>39536</v>
      </c>
      <c r="AP5780" t="s">
        <v>7024</v>
      </c>
      <c r="AQ5780" t="s">
        <v>39537</v>
      </c>
      <c r="AT5780" s="184">
        <v>43676</v>
      </c>
      <c r="AU5780" t="s">
        <v>39538</v>
      </c>
      <c r="AV5780">
        <v>25</v>
      </c>
      <c r="AW5780" s="184">
        <v>45344</v>
      </c>
      <c r="AX5780" t="s">
        <v>39539</v>
      </c>
      <c r="AY5780">
        <v>25</v>
      </c>
      <c r="AZ5780" s="184">
        <v>45344</v>
      </c>
      <c r="BA5780" t="s">
        <v>39539</v>
      </c>
      <c r="BB5780">
        <v>25</v>
      </c>
      <c r="BC5780">
        <v>67</v>
      </c>
      <c r="BD5780">
        <v>225</v>
      </c>
      <c r="BE5780">
        <v>2020</v>
      </c>
      <c r="BF5780">
        <v>9</v>
      </c>
      <c r="BG5780">
        <v>3</v>
      </c>
      <c r="BH5780">
        <v>75</v>
      </c>
      <c r="BI5780">
        <v>4</v>
      </c>
      <c r="BJ5780">
        <v>6</v>
      </c>
      <c r="BK5780">
        <v>2</v>
      </c>
      <c r="BP5780" s="184"/>
    </row>
    <row r="5781" spans="1:68">
      <c r="A5781">
        <v>100228741</v>
      </c>
      <c r="B5781">
        <v>100228741</v>
      </c>
      <c r="C5781" t="s">
        <v>7018</v>
      </c>
      <c r="E5781" s="184"/>
      <c r="G5781" s="184"/>
      <c r="I5781" s="184"/>
      <c r="J5781" t="s">
        <v>595</v>
      </c>
      <c r="K5781" s="184">
        <v>43903</v>
      </c>
      <c r="O5781" s="184"/>
      <c r="P5781" t="s">
        <v>7045</v>
      </c>
      <c r="Q5781" t="s">
        <v>7262</v>
      </c>
      <c r="R5781" s="184">
        <v>12660</v>
      </c>
      <c r="S5781">
        <v>89</v>
      </c>
      <c r="V5781" t="s">
        <v>3468</v>
      </c>
      <c r="W5781" t="s">
        <v>2058</v>
      </c>
      <c r="X5781" t="s">
        <v>39540</v>
      </c>
      <c r="AF5781" t="s">
        <v>6722</v>
      </c>
      <c r="AG5781" t="s">
        <v>3468</v>
      </c>
      <c r="AI5781" t="s">
        <v>39541</v>
      </c>
      <c r="AM5781" t="s">
        <v>39542</v>
      </c>
      <c r="AN5781" t="s">
        <v>2106</v>
      </c>
      <c r="AO5781" t="s">
        <v>39543</v>
      </c>
      <c r="AP5781" t="s">
        <v>7024</v>
      </c>
      <c r="AT5781" s="184">
        <v>43678</v>
      </c>
      <c r="AU5781" t="s">
        <v>31304</v>
      </c>
      <c r="AV5781">
        <v>15</v>
      </c>
      <c r="AW5781" s="184">
        <v>45342</v>
      </c>
      <c r="AX5781" t="s">
        <v>23198</v>
      </c>
      <c r="AY5781">
        <v>15</v>
      </c>
      <c r="AZ5781" s="184">
        <v>45320</v>
      </c>
      <c r="BA5781" t="s">
        <v>39544</v>
      </c>
      <c r="BB5781">
        <v>25</v>
      </c>
      <c r="BC5781">
        <v>84</v>
      </c>
      <c r="BD5781">
        <v>145</v>
      </c>
      <c r="BE5781">
        <v>2020</v>
      </c>
      <c r="BF5781">
        <v>12</v>
      </c>
      <c r="BG5781">
        <v>3</v>
      </c>
      <c r="BH5781">
        <v>55</v>
      </c>
      <c r="BI5781">
        <v>5</v>
      </c>
      <c r="BJ5781">
        <v>6</v>
      </c>
      <c r="BK5781">
        <v>3</v>
      </c>
      <c r="BP5781" s="184"/>
    </row>
    <row r="5782" spans="1:68">
      <c r="A5782">
        <v>19557073</v>
      </c>
      <c r="B5782">
        <v>100234038</v>
      </c>
      <c r="C5782" t="s">
        <v>7018</v>
      </c>
      <c r="E5782" s="184"/>
      <c r="G5782" s="184"/>
      <c r="I5782" s="184"/>
      <c r="J5782" t="s">
        <v>595</v>
      </c>
      <c r="K5782" s="184">
        <v>38673</v>
      </c>
      <c r="O5782" s="184"/>
      <c r="P5782" t="s">
        <v>7045</v>
      </c>
      <c r="Q5782" t="s">
        <v>7383</v>
      </c>
      <c r="R5782" s="184">
        <v>10144</v>
      </c>
      <c r="S5782">
        <v>96</v>
      </c>
      <c r="U5782" t="s">
        <v>7031</v>
      </c>
      <c r="V5782" t="s">
        <v>3632</v>
      </c>
      <c r="W5782" t="s">
        <v>3226</v>
      </c>
      <c r="X5782" t="s">
        <v>39545</v>
      </c>
      <c r="Z5782">
        <v>100234038</v>
      </c>
      <c r="AB5782" t="s">
        <v>2985</v>
      </c>
      <c r="AD5782" t="s">
        <v>39545</v>
      </c>
      <c r="AF5782" t="s">
        <v>6387</v>
      </c>
      <c r="AG5782" t="s">
        <v>39546</v>
      </c>
      <c r="AI5782" t="s">
        <v>39547</v>
      </c>
      <c r="AM5782" t="s">
        <v>11463</v>
      </c>
      <c r="AN5782" t="s">
        <v>2144</v>
      </c>
      <c r="AO5782" t="s">
        <v>39548</v>
      </c>
      <c r="AP5782" t="s">
        <v>7024</v>
      </c>
      <c r="AQ5782" t="s">
        <v>39549</v>
      </c>
      <c r="AR5782" t="s">
        <v>39550</v>
      </c>
      <c r="AT5782" s="184">
        <v>34926</v>
      </c>
      <c r="AU5782" t="s">
        <v>39551</v>
      </c>
      <c r="AV5782">
        <v>25</v>
      </c>
      <c r="AW5782" s="184">
        <v>43518</v>
      </c>
      <c r="AX5782" t="s">
        <v>10445</v>
      </c>
      <c r="AY5782">
        <v>10</v>
      </c>
      <c r="AZ5782" s="184">
        <v>41163</v>
      </c>
      <c r="BA5782" t="s">
        <v>39552</v>
      </c>
      <c r="BB5782">
        <v>55</v>
      </c>
      <c r="BC5782">
        <v>77</v>
      </c>
      <c r="BD5782">
        <v>1205</v>
      </c>
      <c r="BE5782">
        <v>1996</v>
      </c>
      <c r="BF5782">
        <v>34</v>
      </c>
      <c r="BI5782">
        <v>23</v>
      </c>
      <c r="BJ5782">
        <v>30</v>
      </c>
      <c r="BK5782">
        <v>22</v>
      </c>
      <c r="BP5782" s="184"/>
    </row>
    <row r="5783" spans="1:68">
      <c r="A5783">
        <v>100234038</v>
      </c>
      <c r="B5783">
        <v>100234038</v>
      </c>
      <c r="C5783" t="s">
        <v>7018</v>
      </c>
      <c r="E5783" s="184"/>
      <c r="G5783" s="184"/>
      <c r="I5783" s="184"/>
      <c r="J5783" t="s">
        <v>595</v>
      </c>
      <c r="K5783" s="184">
        <v>43691</v>
      </c>
      <c r="O5783" s="184"/>
      <c r="P5783" t="s">
        <v>7045</v>
      </c>
      <c r="Q5783" t="s">
        <v>7383</v>
      </c>
      <c r="R5783" s="184">
        <v>10410</v>
      </c>
      <c r="S5783">
        <v>95</v>
      </c>
      <c r="V5783" t="s">
        <v>2985</v>
      </c>
      <c r="X5783" t="s">
        <v>39545</v>
      </c>
      <c r="Z5783">
        <v>19557073</v>
      </c>
      <c r="AA5783" t="s">
        <v>7031</v>
      </c>
      <c r="AB5783" t="s">
        <v>3632</v>
      </c>
      <c r="AC5783" t="s">
        <v>3226</v>
      </c>
      <c r="AD5783" t="s">
        <v>39545</v>
      </c>
      <c r="AF5783" t="s">
        <v>6387</v>
      </c>
      <c r="AG5783" t="s">
        <v>39546</v>
      </c>
      <c r="AI5783" t="s">
        <v>39547</v>
      </c>
      <c r="AM5783" t="s">
        <v>11463</v>
      </c>
      <c r="AN5783" t="s">
        <v>2144</v>
      </c>
      <c r="AO5783" t="s">
        <v>39548</v>
      </c>
      <c r="AP5783" t="s">
        <v>7024</v>
      </c>
      <c r="AQ5783" t="s">
        <v>39553</v>
      </c>
      <c r="AT5783" s="184">
        <v>43866</v>
      </c>
      <c r="AU5783" t="s">
        <v>39554</v>
      </c>
      <c r="AV5783">
        <v>10</v>
      </c>
      <c r="AW5783" s="184">
        <v>43866</v>
      </c>
      <c r="AX5783" t="s">
        <v>39554</v>
      </c>
      <c r="AY5783">
        <v>10</v>
      </c>
      <c r="AZ5783" s="184">
        <v>43866</v>
      </c>
      <c r="BA5783" t="s">
        <v>39554</v>
      </c>
      <c r="BB5783">
        <v>10</v>
      </c>
      <c r="BC5783">
        <v>20</v>
      </c>
      <c r="BD5783">
        <v>10</v>
      </c>
      <c r="BE5783">
        <v>2020</v>
      </c>
      <c r="BF5783">
        <v>1</v>
      </c>
      <c r="BI5783">
        <v>1</v>
      </c>
      <c r="BJ5783">
        <v>5</v>
      </c>
      <c r="BK5783">
        <v>1</v>
      </c>
      <c r="BP5783" s="184"/>
    </row>
    <row r="5784" spans="1:68">
      <c r="A5784">
        <v>100234387</v>
      </c>
      <c r="B5784">
        <v>100234387</v>
      </c>
      <c r="C5784" t="s">
        <v>7018</v>
      </c>
      <c r="D5784" t="s">
        <v>595</v>
      </c>
      <c r="E5784" s="184">
        <v>43782</v>
      </c>
      <c r="G5784" s="184"/>
      <c r="I5784" s="184"/>
      <c r="K5784" s="184"/>
      <c r="O5784" s="184"/>
      <c r="P5784" t="s">
        <v>7045</v>
      </c>
      <c r="Q5784" t="s">
        <v>7383</v>
      </c>
      <c r="R5784" s="184"/>
      <c r="V5784" t="s">
        <v>39555</v>
      </c>
      <c r="X5784" t="s">
        <v>5506</v>
      </c>
      <c r="AF5784" t="s">
        <v>39556</v>
      </c>
      <c r="AG5784" t="s">
        <v>39555</v>
      </c>
      <c r="AI5784" t="s">
        <v>39557</v>
      </c>
      <c r="AM5784" t="s">
        <v>2520</v>
      </c>
      <c r="AN5784" t="s">
        <v>2072</v>
      </c>
      <c r="AO5784" t="s">
        <v>39558</v>
      </c>
      <c r="AP5784" t="s">
        <v>7024</v>
      </c>
      <c r="AQ5784" t="s">
        <v>39559</v>
      </c>
      <c r="AT5784" s="184">
        <v>43689</v>
      </c>
      <c r="AU5784" t="s">
        <v>39560</v>
      </c>
      <c r="AV5784">
        <v>20</v>
      </c>
      <c r="AW5784" s="184">
        <v>44188</v>
      </c>
      <c r="AX5784" t="s">
        <v>39561</v>
      </c>
      <c r="AY5784">
        <v>20</v>
      </c>
      <c r="AZ5784" s="184">
        <v>44188</v>
      </c>
      <c r="BA5784" t="s">
        <v>39561</v>
      </c>
      <c r="BB5784">
        <v>20</v>
      </c>
      <c r="BC5784">
        <v>34</v>
      </c>
      <c r="BD5784">
        <v>40</v>
      </c>
      <c r="BE5784">
        <v>2020</v>
      </c>
      <c r="BF5784">
        <v>2</v>
      </c>
      <c r="BI5784">
        <v>2</v>
      </c>
      <c r="BJ5784">
        <v>6</v>
      </c>
      <c r="BK5784">
        <v>2</v>
      </c>
      <c r="BP5784" s="184"/>
    </row>
    <row r="5785" spans="1:68">
      <c r="A5785">
        <v>100234959</v>
      </c>
      <c r="B5785">
        <v>100234959</v>
      </c>
      <c r="C5785" t="s">
        <v>7018</v>
      </c>
      <c r="D5785" t="s">
        <v>595</v>
      </c>
      <c r="E5785" s="184">
        <v>43782</v>
      </c>
      <c r="G5785" s="184"/>
      <c r="I5785" s="184"/>
      <c r="K5785" s="184"/>
      <c r="O5785" s="184"/>
      <c r="P5785" t="s">
        <v>7045</v>
      </c>
      <c r="Q5785" t="s">
        <v>7383</v>
      </c>
      <c r="R5785" s="184">
        <v>20310</v>
      </c>
      <c r="S5785">
        <v>68</v>
      </c>
      <c r="V5785" t="s">
        <v>3478</v>
      </c>
      <c r="W5785" t="s">
        <v>3522</v>
      </c>
      <c r="X5785" t="s">
        <v>39562</v>
      </c>
      <c r="AF5785" t="s">
        <v>39563</v>
      </c>
      <c r="AG5785" t="s">
        <v>3478</v>
      </c>
      <c r="AI5785" t="s">
        <v>39564</v>
      </c>
      <c r="AM5785" t="s">
        <v>2707</v>
      </c>
      <c r="AN5785" t="s">
        <v>2162</v>
      </c>
      <c r="AO5785" t="s">
        <v>39565</v>
      </c>
      <c r="AP5785" t="s">
        <v>7024</v>
      </c>
      <c r="AQ5785" t="s">
        <v>39566</v>
      </c>
      <c r="AT5785" s="184">
        <v>43691</v>
      </c>
      <c r="AU5785" t="s">
        <v>39567</v>
      </c>
      <c r="AV5785">
        <v>15</v>
      </c>
      <c r="AW5785" s="184">
        <v>43691</v>
      </c>
      <c r="AX5785" t="s">
        <v>39567</v>
      </c>
      <c r="AY5785">
        <v>15</v>
      </c>
      <c r="AZ5785" s="184">
        <v>43691</v>
      </c>
      <c r="BA5785" t="s">
        <v>39567</v>
      </c>
      <c r="BB5785">
        <v>15</v>
      </c>
      <c r="BC5785">
        <v>17</v>
      </c>
      <c r="BD5785">
        <v>15</v>
      </c>
      <c r="BE5785">
        <v>2020</v>
      </c>
      <c r="BF5785">
        <v>1</v>
      </c>
      <c r="BI5785">
        <v>1</v>
      </c>
      <c r="BJ5785">
        <v>6</v>
      </c>
      <c r="BK5785">
        <v>1</v>
      </c>
      <c r="BP5785" s="184"/>
    </row>
    <row r="5786" spans="1:68">
      <c r="A5786">
        <v>100235174</v>
      </c>
      <c r="B5786">
        <v>100235174</v>
      </c>
      <c r="C5786" t="s">
        <v>7018</v>
      </c>
      <c r="D5786" t="s">
        <v>595</v>
      </c>
      <c r="E5786" s="184">
        <v>43696</v>
      </c>
      <c r="G5786" s="184"/>
      <c r="I5786" s="184"/>
      <c r="K5786" s="184"/>
      <c r="O5786" s="184"/>
      <c r="P5786" t="s">
        <v>8550</v>
      </c>
      <c r="R5786" s="184"/>
      <c r="V5786" t="s">
        <v>3593</v>
      </c>
      <c r="X5786" t="s">
        <v>3347</v>
      </c>
      <c r="AF5786" t="s">
        <v>39568</v>
      </c>
      <c r="AG5786" t="s">
        <v>3593</v>
      </c>
      <c r="AP5786" t="s">
        <v>7024</v>
      </c>
      <c r="AQ5786" t="s">
        <v>39569</v>
      </c>
      <c r="AT5786" s="184"/>
      <c r="AW5786" s="184"/>
      <c r="AZ5786" s="184"/>
      <c r="BP5786" s="184"/>
    </row>
    <row r="5787" spans="1:68">
      <c r="A5787">
        <v>100237252</v>
      </c>
      <c r="B5787">
        <v>100237252</v>
      </c>
      <c r="C5787" t="s">
        <v>7018</v>
      </c>
      <c r="E5787" s="184"/>
      <c r="G5787" s="184"/>
      <c r="H5787" t="s">
        <v>595</v>
      </c>
      <c r="I5787" s="184">
        <v>43707</v>
      </c>
      <c r="K5787" s="184"/>
      <c r="O5787" s="184"/>
      <c r="P5787" t="s">
        <v>8550</v>
      </c>
      <c r="R5787" s="184"/>
      <c r="V5787" t="s">
        <v>3753</v>
      </c>
      <c r="X5787" t="s">
        <v>3754</v>
      </c>
      <c r="AF5787" t="s">
        <v>39570</v>
      </c>
      <c r="AG5787" t="s">
        <v>3753</v>
      </c>
      <c r="AP5787" t="s">
        <v>7024</v>
      </c>
      <c r="AQ5787" t="s">
        <v>39571</v>
      </c>
      <c r="AT5787" s="184"/>
      <c r="AW5787" s="184"/>
      <c r="AZ5787" s="184"/>
      <c r="BP5787" s="184"/>
    </row>
    <row r="5788" spans="1:68">
      <c r="A5788">
        <v>16404162</v>
      </c>
      <c r="B5788">
        <v>100237354</v>
      </c>
      <c r="C5788" t="s">
        <v>7018</v>
      </c>
      <c r="E5788" s="184"/>
      <c r="G5788" s="184"/>
      <c r="I5788" s="184"/>
      <c r="J5788" t="s">
        <v>595</v>
      </c>
      <c r="K5788" s="184">
        <v>43711</v>
      </c>
      <c r="O5788" s="184"/>
      <c r="P5788" t="s">
        <v>7045</v>
      </c>
      <c r="Q5788" t="s">
        <v>7383</v>
      </c>
      <c r="R5788" s="184">
        <v>8827</v>
      </c>
      <c r="S5788">
        <v>100</v>
      </c>
      <c r="U5788" t="s">
        <v>7031</v>
      </c>
      <c r="V5788" t="s">
        <v>15867</v>
      </c>
      <c r="W5788" t="s">
        <v>5006</v>
      </c>
      <c r="X5788" t="s">
        <v>3751</v>
      </c>
      <c r="Z5788">
        <v>100237354</v>
      </c>
      <c r="AB5788" t="s">
        <v>3302</v>
      </c>
      <c r="AC5788" t="s">
        <v>3226</v>
      </c>
      <c r="AD5788" t="s">
        <v>3751</v>
      </c>
      <c r="AF5788" t="s">
        <v>6658</v>
      </c>
      <c r="AG5788" t="s">
        <v>3302</v>
      </c>
      <c r="AI5788" t="s">
        <v>39572</v>
      </c>
      <c r="AM5788" t="s">
        <v>3245</v>
      </c>
      <c r="AN5788" t="s">
        <v>2274</v>
      </c>
      <c r="AO5788" t="s">
        <v>39573</v>
      </c>
      <c r="AP5788" t="s">
        <v>7024</v>
      </c>
      <c r="AT5788" s="184">
        <v>34430</v>
      </c>
      <c r="AU5788" t="s">
        <v>39574</v>
      </c>
      <c r="AV5788">
        <v>20</v>
      </c>
      <c r="AW5788" s="184">
        <v>38924</v>
      </c>
      <c r="AX5788" t="s">
        <v>39575</v>
      </c>
      <c r="AY5788">
        <v>20</v>
      </c>
      <c r="AZ5788" s="184">
        <v>35929</v>
      </c>
      <c r="BA5788" t="s">
        <v>39576</v>
      </c>
      <c r="BB5788">
        <v>25</v>
      </c>
      <c r="BC5788">
        <v>26</v>
      </c>
      <c r="BD5788">
        <v>225</v>
      </c>
      <c r="BE5788">
        <v>1994</v>
      </c>
      <c r="BF5788">
        <v>15</v>
      </c>
      <c r="BI5788">
        <v>8</v>
      </c>
      <c r="BJ5788">
        <v>31</v>
      </c>
      <c r="BK5788">
        <v>5</v>
      </c>
      <c r="BN5788" t="s">
        <v>595</v>
      </c>
      <c r="BO5788" t="s">
        <v>595</v>
      </c>
      <c r="BP5788" s="184">
        <v>41972</v>
      </c>
    </row>
    <row r="5789" spans="1:68">
      <c r="A5789">
        <v>100237354</v>
      </c>
      <c r="B5789">
        <v>100237354</v>
      </c>
      <c r="C5789" t="s">
        <v>7018</v>
      </c>
      <c r="E5789" s="184"/>
      <c r="G5789" s="184"/>
      <c r="I5789" s="184"/>
      <c r="J5789" t="s">
        <v>595</v>
      </c>
      <c r="K5789" s="184">
        <v>43711</v>
      </c>
      <c r="M5789" s="184"/>
      <c r="O5789" s="184"/>
      <c r="P5789" t="s">
        <v>7045</v>
      </c>
      <c r="Q5789" t="s">
        <v>7383</v>
      </c>
      <c r="R5789" s="184">
        <v>19271</v>
      </c>
      <c r="S5789">
        <v>71</v>
      </c>
      <c r="V5789" t="s">
        <v>3302</v>
      </c>
      <c r="W5789" t="s">
        <v>3226</v>
      </c>
      <c r="X5789" t="s">
        <v>3751</v>
      </c>
      <c r="Z5789">
        <v>16404162</v>
      </c>
      <c r="AA5789" t="s">
        <v>7031</v>
      </c>
      <c r="AB5789" t="s">
        <v>15867</v>
      </c>
      <c r="AC5789" t="s">
        <v>5006</v>
      </c>
      <c r="AD5789" t="s">
        <v>3751</v>
      </c>
      <c r="AF5789" t="s">
        <v>6658</v>
      </c>
      <c r="AG5789" t="s">
        <v>3302</v>
      </c>
      <c r="AI5789" t="s">
        <v>39572</v>
      </c>
      <c r="AM5789" t="s">
        <v>3245</v>
      </c>
      <c r="AN5789" t="s">
        <v>2274</v>
      </c>
      <c r="AO5789" t="s">
        <v>39573</v>
      </c>
      <c r="AP5789" t="s">
        <v>7024</v>
      </c>
      <c r="AQ5789" t="s">
        <v>39577</v>
      </c>
      <c r="AT5789" s="184">
        <v>43858</v>
      </c>
      <c r="AU5789" t="s">
        <v>39578</v>
      </c>
      <c r="AV5789">
        <v>25</v>
      </c>
      <c r="AW5789" s="184">
        <v>44728</v>
      </c>
      <c r="AX5789" t="s">
        <v>39579</v>
      </c>
      <c r="AY5789">
        <v>50</v>
      </c>
      <c r="AZ5789" s="184">
        <v>44728</v>
      </c>
      <c r="BA5789" t="s">
        <v>39579</v>
      </c>
      <c r="BB5789">
        <v>50</v>
      </c>
      <c r="BC5789">
        <v>60</v>
      </c>
      <c r="BD5789">
        <v>100</v>
      </c>
      <c r="BE5789">
        <v>2020</v>
      </c>
      <c r="BF5789">
        <v>3</v>
      </c>
      <c r="BG5789">
        <v>1</v>
      </c>
      <c r="BH5789">
        <v>50</v>
      </c>
      <c r="BI5789">
        <v>3</v>
      </c>
      <c r="BJ5789">
        <v>5</v>
      </c>
      <c r="BK5789">
        <v>3</v>
      </c>
      <c r="BP5789" s="184"/>
    </row>
    <row r="5790" spans="1:68">
      <c r="A5790">
        <v>100243257</v>
      </c>
      <c r="B5790">
        <v>100243257</v>
      </c>
      <c r="C5790" t="s">
        <v>7018</v>
      </c>
      <c r="D5790" t="s">
        <v>595</v>
      </c>
      <c r="E5790" s="184">
        <v>44669</v>
      </c>
      <c r="G5790" s="184"/>
      <c r="I5790" s="184"/>
      <c r="K5790" s="184"/>
      <c r="O5790" s="184"/>
      <c r="P5790" t="s">
        <v>7045</v>
      </c>
      <c r="Q5790" t="s">
        <v>7383</v>
      </c>
      <c r="R5790" s="184">
        <v>20302</v>
      </c>
      <c r="S5790">
        <v>68</v>
      </c>
      <c r="V5790" t="s">
        <v>14326</v>
      </c>
      <c r="X5790" t="s">
        <v>39580</v>
      </c>
      <c r="AF5790" t="s">
        <v>39581</v>
      </c>
      <c r="AG5790" t="s">
        <v>14326</v>
      </c>
      <c r="AI5790" t="s">
        <v>39582</v>
      </c>
      <c r="AM5790" t="s">
        <v>3130</v>
      </c>
      <c r="AN5790" t="s">
        <v>2072</v>
      </c>
      <c r="AO5790" t="s">
        <v>39583</v>
      </c>
      <c r="AP5790" t="s">
        <v>7024</v>
      </c>
      <c r="AQ5790" t="s">
        <v>39584</v>
      </c>
      <c r="AT5790" s="184">
        <v>43829</v>
      </c>
      <c r="AU5790" t="s">
        <v>39585</v>
      </c>
      <c r="AV5790">
        <v>25</v>
      </c>
      <c r="AW5790" s="184">
        <v>44560</v>
      </c>
      <c r="AX5790" t="s">
        <v>39586</v>
      </c>
      <c r="AY5790">
        <v>50</v>
      </c>
      <c r="AZ5790" s="184">
        <v>44560</v>
      </c>
      <c r="BA5790" t="s">
        <v>39586</v>
      </c>
      <c r="BB5790">
        <v>50</v>
      </c>
      <c r="BC5790">
        <v>50</v>
      </c>
      <c r="BD5790">
        <v>145</v>
      </c>
      <c r="BE5790">
        <v>2020</v>
      </c>
      <c r="BF5790">
        <v>4</v>
      </c>
      <c r="BI5790">
        <v>3</v>
      </c>
      <c r="BJ5790">
        <v>6</v>
      </c>
      <c r="BK5790">
        <v>3</v>
      </c>
      <c r="BP5790" s="184"/>
    </row>
    <row r="5791" spans="1:68">
      <c r="A5791">
        <v>100247103</v>
      </c>
      <c r="B5791">
        <v>100247103</v>
      </c>
      <c r="C5791" t="s">
        <v>7018</v>
      </c>
      <c r="E5791" s="184"/>
      <c r="G5791" s="184"/>
      <c r="I5791" s="184"/>
      <c r="J5791" t="s">
        <v>595</v>
      </c>
      <c r="K5791" s="184">
        <v>44564</v>
      </c>
      <c r="M5791" s="184"/>
      <c r="O5791" s="184"/>
      <c r="P5791" t="s">
        <v>7029</v>
      </c>
      <c r="Q5791" t="s">
        <v>7494</v>
      </c>
      <c r="R5791" s="184">
        <v>20090</v>
      </c>
      <c r="S5791">
        <v>69</v>
      </c>
      <c r="V5791" t="s">
        <v>5320</v>
      </c>
      <c r="W5791" t="s">
        <v>7963</v>
      </c>
      <c r="X5791" t="s">
        <v>2964</v>
      </c>
      <c r="AF5791" t="s">
        <v>39587</v>
      </c>
      <c r="AG5791" t="s">
        <v>5320</v>
      </c>
      <c r="AI5791" t="s">
        <v>39588</v>
      </c>
      <c r="AM5791" t="s">
        <v>18737</v>
      </c>
      <c r="AN5791" t="s">
        <v>2174</v>
      </c>
      <c r="AO5791" t="s">
        <v>39589</v>
      </c>
      <c r="AP5791" t="s">
        <v>7024</v>
      </c>
      <c r="AQ5791" t="s">
        <v>39590</v>
      </c>
      <c r="AT5791" s="184">
        <v>43714</v>
      </c>
      <c r="AU5791" t="s">
        <v>39591</v>
      </c>
      <c r="AV5791">
        <v>50</v>
      </c>
      <c r="AW5791" s="184">
        <v>44895</v>
      </c>
      <c r="AX5791" t="s">
        <v>12293</v>
      </c>
      <c r="AY5791">
        <v>500</v>
      </c>
      <c r="AZ5791" s="184">
        <v>44559</v>
      </c>
      <c r="BA5791" t="s">
        <v>34282</v>
      </c>
      <c r="BB5791">
        <v>1000</v>
      </c>
      <c r="BC5791">
        <v>67</v>
      </c>
      <c r="BD5791">
        <v>2200</v>
      </c>
      <c r="BE5791">
        <v>2020</v>
      </c>
      <c r="BF5791">
        <v>10</v>
      </c>
      <c r="BG5791">
        <v>2</v>
      </c>
      <c r="BH5791">
        <v>750</v>
      </c>
      <c r="BI5791">
        <v>4</v>
      </c>
      <c r="BJ5791">
        <v>6</v>
      </c>
      <c r="BK5791">
        <v>4</v>
      </c>
      <c r="BP5791" s="184"/>
    </row>
    <row r="5792" spans="1:68">
      <c r="A5792">
        <v>100247126</v>
      </c>
      <c r="B5792">
        <v>100247126</v>
      </c>
      <c r="C5792" t="s">
        <v>7018</v>
      </c>
      <c r="E5792" s="184"/>
      <c r="G5792" s="184"/>
      <c r="H5792" t="s">
        <v>595</v>
      </c>
      <c r="I5792" s="184">
        <v>43929</v>
      </c>
      <c r="K5792" s="184"/>
      <c r="O5792" s="184"/>
      <c r="P5792" t="s">
        <v>7045</v>
      </c>
      <c r="Q5792" t="s">
        <v>7030</v>
      </c>
      <c r="R5792" s="184">
        <v>22101</v>
      </c>
      <c r="S5792">
        <v>63</v>
      </c>
      <c r="V5792" t="s">
        <v>4810</v>
      </c>
      <c r="W5792" t="s">
        <v>3908</v>
      </c>
      <c r="X5792" t="s">
        <v>4811</v>
      </c>
      <c r="AF5792" t="s">
        <v>39592</v>
      </c>
      <c r="AG5792" t="s">
        <v>4810</v>
      </c>
      <c r="AI5792" t="s">
        <v>39593</v>
      </c>
      <c r="AM5792" t="s">
        <v>2717</v>
      </c>
      <c r="AN5792" t="s">
        <v>2089</v>
      </c>
      <c r="AO5792" t="s">
        <v>39594</v>
      </c>
      <c r="AP5792" t="s">
        <v>7024</v>
      </c>
      <c r="AQ5792" t="s">
        <v>39595</v>
      </c>
      <c r="AT5792" s="184">
        <v>43716</v>
      </c>
      <c r="AU5792" t="s">
        <v>39591</v>
      </c>
      <c r="AV5792">
        <v>25</v>
      </c>
      <c r="AW5792" s="184">
        <v>44821</v>
      </c>
      <c r="AX5792" t="s">
        <v>9576</v>
      </c>
      <c r="AY5792">
        <v>50</v>
      </c>
      <c r="AZ5792" s="184">
        <v>44821</v>
      </c>
      <c r="BA5792" t="s">
        <v>9576</v>
      </c>
      <c r="BB5792">
        <v>50</v>
      </c>
      <c r="BC5792">
        <v>34</v>
      </c>
      <c r="BD5792">
        <v>100</v>
      </c>
      <c r="BE5792">
        <v>2020</v>
      </c>
      <c r="BF5792">
        <v>3</v>
      </c>
      <c r="BG5792">
        <v>2</v>
      </c>
      <c r="BH5792">
        <v>75</v>
      </c>
      <c r="BI5792">
        <v>2</v>
      </c>
      <c r="BJ5792">
        <v>6</v>
      </c>
      <c r="BK5792">
        <v>1</v>
      </c>
      <c r="BP5792" s="184"/>
    </row>
    <row r="5793" spans="1:68">
      <c r="A5793">
        <v>100290854</v>
      </c>
      <c r="B5793">
        <v>100290854</v>
      </c>
      <c r="C5793" t="s">
        <v>7018</v>
      </c>
      <c r="E5793" s="184"/>
      <c r="G5793" s="184"/>
      <c r="H5793" t="s">
        <v>595</v>
      </c>
      <c r="I5793" s="184">
        <v>44194</v>
      </c>
      <c r="K5793" s="184"/>
      <c r="O5793" s="184"/>
      <c r="P5793" t="s">
        <v>7045</v>
      </c>
      <c r="Q5793" t="s">
        <v>7020</v>
      </c>
      <c r="R5793" s="184">
        <v>18769</v>
      </c>
      <c r="S5793">
        <v>72</v>
      </c>
      <c r="V5793" t="s">
        <v>3588</v>
      </c>
      <c r="X5793" t="s">
        <v>39596</v>
      </c>
      <c r="AF5793" t="s">
        <v>39597</v>
      </c>
      <c r="AG5793" t="s">
        <v>3588</v>
      </c>
      <c r="AI5793" t="s">
        <v>39598</v>
      </c>
      <c r="AM5793" t="s">
        <v>30491</v>
      </c>
      <c r="AN5793" t="s">
        <v>2129</v>
      </c>
      <c r="AO5793" t="s">
        <v>39599</v>
      </c>
      <c r="AP5793" t="s">
        <v>7024</v>
      </c>
      <c r="AQ5793" t="s">
        <v>39600</v>
      </c>
      <c r="AR5793" t="s">
        <v>39601</v>
      </c>
      <c r="AT5793" s="184">
        <v>43713</v>
      </c>
      <c r="AU5793" t="s">
        <v>39602</v>
      </c>
      <c r="AV5793">
        <v>25</v>
      </c>
      <c r="AW5793" s="184">
        <v>45378</v>
      </c>
      <c r="AX5793" t="s">
        <v>34599</v>
      </c>
      <c r="AY5793">
        <v>25</v>
      </c>
      <c r="AZ5793" s="184">
        <v>44438</v>
      </c>
      <c r="BA5793" t="s">
        <v>39603</v>
      </c>
      <c r="BB5793">
        <v>35</v>
      </c>
      <c r="BC5793">
        <v>67</v>
      </c>
      <c r="BD5793">
        <v>110</v>
      </c>
      <c r="BE5793">
        <v>2020</v>
      </c>
      <c r="BF5793">
        <v>4</v>
      </c>
      <c r="BG5793">
        <v>1</v>
      </c>
      <c r="BH5793">
        <v>25</v>
      </c>
      <c r="BI5793">
        <v>4</v>
      </c>
      <c r="BJ5793">
        <v>6</v>
      </c>
      <c r="BK5793">
        <v>3</v>
      </c>
      <c r="BP5793" s="184"/>
    </row>
    <row r="5794" spans="1:68">
      <c r="A5794">
        <v>100291522</v>
      </c>
      <c r="B5794">
        <v>100291522</v>
      </c>
      <c r="C5794" t="s">
        <v>7018</v>
      </c>
      <c r="D5794" t="s">
        <v>595</v>
      </c>
      <c r="E5794" s="184">
        <v>44166</v>
      </c>
      <c r="G5794" s="184"/>
      <c r="H5794" t="s">
        <v>595</v>
      </c>
      <c r="I5794" s="184">
        <v>44151</v>
      </c>
      <c r="K5794" s="184"/>
      <c r="M5794" s="184"/>
      <c r="N5794" t="s">
        <v>595</v>
      </c>
      <c r="O5794" s="184">
        <v>44187</v>
      </c>
      <c r="P5794" t="s">
        <v>7045</v>
      </c>
      <c r="Q5794" t="s">
        <v>7160</v>
      </c>
      <c r="R5794" s="184">
        <v>12494</v>
      </c>
      <c r="S5794">
        <v>90</v>
      </c>
      <c r="V5794" t="s">
        <v>3101</v>
      </c>
      <c r="X5794" t="s">
        <v>5056</v>
      </c>
      <c r="AF5794" t="s">
        <v>39604</v>
      </c>
      <c r="AG5794" t="s">
        <v>3101</v>
      </c>
      <c r="AI5794" t="s">
        <v>39605</v>
      </c>
      <c r="AM5794" t="s">
        <v>39606</v>
      </c>
      <c r="AN5794" t="s">
        <v>2176</v>
      </c>
      <c r="AO5794" t="s">
        <v>39607</v>
      </c>
      <c r="AP5794" t="s">
        <v>7024</v>
      </c>
      <c r="AT5794" s="184">
        <v>43714</v>
      </c>
      <c r="AU5794" t="s">
        <v>39608</v>
      </c>
      <c r="AV5794">
        <v>25</v>
      </c>
      <c r="AW5794" s="184">
        <v>44138</v>
      </c>
      <c r="AX5794" t="s">
        <v>39609</v>
      </c>
      <c r="AY5794">
        <v>90</v>
      </c>
      <c r="AZ5794" s="184">
        <v>44138</v>
      </c>
      <c r="BA5794" t="s">
        <v>39609</v>
      </c>
      <c r="BB5794">
        <v>90</v>
      </c>
      <c r="BC5794">
        <v>34</v>
      </c>
      <c r="BD5794">
        <v>201</v>
      </c>
      <c r="BE5794">
        <v>2020</v>
      </c>
      <c r="BF5794">
        <v>3</v>
      </c>
      <c r="BI5794">
        <v>2</v>
      </c>
      <c r="BJ5794">
        <v>6</v>
      </c>
      <c r="BK5794">
        <v>2</v>
      </c>
      <c r="BP5794" s="184"/>
    </row>
    <row r="5795" spans="1:68">
      <c r="A5795">
        <v>100294520</v>
      </c>
      <c r="B5795">
        <v>100294520</v>
      </c>
      <c r="C5795" t="s">
        <v>7018</v>
      </c>
      <c r="D5795" t="s">
        <v>595</v>
      </c>
      <c r="E5795" s="184">
        <v>44761</v>
      </c>
      <c r="G5795" s="184"/>
      <c r="I5795" s="184"/>
      <c r="K5795" s="184"/>
      <c r="M5795" s="184"/>
      <c r="O5795" s="184"/>
      <c r="P5795" t="s">
        <v>7045</v>
      </c>
      <c r="Q5795" t="s">
        <v>7374</v>
      </c>
      <c r="R5795" s="184">
        <v>12731</v>
      </c>
      <c r="S5795">
        <v>89</v>
      </c>
      <c r="V5795" t="s">
        <v>2602</v>
      </c>
      <c r="X5795" t="s">
        <v>39610</v>
      </c>
      <c r="AF5795" t="s">
        <v>39611</v>
      </c>
      <c r="AG5795" t="s">
        <v>2602</v>
      </c>
      <c r="AI5795" t="s">
        <v>39612</v>
      </c>
      <c r="AM5795" t="s">
        <v>4258</v>
      </c>
      <c r="AN5795" t="s">
        <v>2081</v>
      </c>
      <c r="AO5795" t="s">
        <v>39613</v>
      </c>
      <c r="AP5795" t="s">
        <v>7024</v>
      </c>
      <c r="AQ5795" t="s">
        <v>39614</v>
      </c>
      <c r="AT5795" s="184">
        <v>41642</v>
      </c>
      <c r="AU5795" t="s">
        <v>39615</v>
      </c>
      <c r="AV5795">
        <v>25</v>
      </c>
      <c r="AW5795" s="184">
        <v>45366</v>
      </c>
      <c r="AX5795" t="s">
        <v>32900</v>
      </c>
      <c r="AY5795">
        <v>10</v>
      </c>
      <c r="AZ5795" s="184">
        <v>43564</v>
      </c>
      <c r="BA5795" t="s">
        <v>39616</v>
      </c>
      <c r="BB5795">
        <v>150</v>
      </c>
      <c r="BC5795">
        <v>91</v>
      </c>
      <c r="BD5795">
        <v>1600</v>
      </c>
      <c r="BE5795">
        <v>2014</v>
      </c>
      <c r="BF5795">
        <v>69</v>
      </c>
      <c r="BG5795">
        <v>23</v>
      </c>
      <c r="BH5795">
        <v>230</v>
      </c>
      <c r="BI5795">
        <v>10</v>
      </c>
      <c r="BJ5795">
        <v>11</v>
      </c>
      <c r="BK5795">
        <v>8</v>
      </c>
      <c r="BL5795" t="s">
        <v>595</v>
      </c>
      <c r="BM5795" t="s">
        <v>595</v>
      </c>
      <c r="BP5795" s="184"/>
    </row>
    <row r="5796" spans="1:68">
      <c r="A5796">
        <v>100298620</v>
      </c>
      <c r="B5796">
        <v>100298620</v>
      </c>
      <c r="C5796" t="s">
        <v>7018</v>
      </c>
      <c r="D5796" t="s">
        <v>595</v>
      </c>
      <c r="E5796" s="184">
        <v>43728</v>
      </c>
      <c r="G5796" s="184"/>
      <c r="I5796" s="184"/>
      <c r="K5796" s="184"/>
      <c r="M5796" s="184"/>
      <c r="O5796" s="184"/>
      <c r="P5796" t="s">
        <v>8550</v>
      </c>
      <c r="Q5796" t="s">
        <v>7374</v>
      </c>
      <c r="R5796" s="184"/>
      <c r="V5796" t="s">
        <v>3702</v>
      </c>
      <c r="X5796" t="s">
        <v>3789</v>
      </c>
      <c r="AF5796" t="s">
        <v>39617</v>
      </c>
      <c r="AG5796" t="s">
        <v>3702</v>
      </c>
      <c r="AI5796" t="s">
        <v>39618</v>
      </c>
      <c r="AM5796" t="s">
        <v>3790</v>
      </c>
      <c r="AN5796" t="s">
        <v>2081</v>
      </c>
      <c r="AO5796">
        <v>90731</v>
      </c>
      <c r="AP5796" t="s">
        <v>7024</v>
      </c>
      <c r="AQ5796" t="s">
        <v>39619</v>
      </c>
      <c r="AT5796" s="184"/>
      <c r="AW5796" s="184"/>
      <c r="AZ5796" s="184"/>
      <c r="BP5796" s="184"/>
    </row>
    <row r="5797" spans="1:68">
      <c r="A5797">
        <v>23296452</v>
      </c>
      <c r="B5797">
        <v>100298752</v>
      </c>
      <c r="C5797" t="s">
        <v>7018</v>
      </c>
      <c r="E5797" s="184"/>
      <c r="F5797" t="s">
        <v>595</v>
      </c>
      <c r="G5797" s="184">
        <v>43731</v>
      </c>
      <c r="I5797" s="184"/>
      <c r="K5797" s="184"/>
      <c r="M5797" s="184"/>
      <c r="O5797" s="184"/>
      <c r="P5797" t="s">
        <v>7045</v>
      </c>
      <c r="Q5797" t="s">
        <v>7020</v>
      </c>
      <c r="R5797" s="184">
        <v>6520</v>
      </c>
      <c r="S5797">
        <v>106</v>
      </c>
      <c r="U5797" t="s">
        <v>7031</v>
      </c>
      <c r="V5797" t="s">
        <v>2597</v>
      </c>
      <c r="W5797" t="s">
        <v>2049</v>
      </c>
      <c r="X5797" t="s">
        <v>3862</v>
      </c>
      <c r="Z5797">
        <v>100298752</v>
      </c>
      <c r="AA5797" t="s">
        <v>7130</v>
      </c>
      <c r="AB5797" t="s">
        <v>7952</v>
      </c>
      <c r="AC5797" t="s">
        <v>39620</v>
      </c>
      <c r="AD5797" t="s">
        <v>3862</v>
      </c>
      <c r="AF5797" t="s">
        <v>39621</v>
      </c>
      <c r="AG5797" t="s">
        <v>7952</v>
      </c>
      <c r="AI5797" t="s">
        <v>39622</v>
      </c>
      <c r="AM5797" t="s">
        <v>3863</v>
      </c>
      <c r="AN5797" t="s">
        <v>2240</v>
      </c>
      <c r="AO5797" t="s">
        <v>39623</v>
      </c>
      <c r="AP5797" t="s">
        <v>7024</v>
      </c>
      <c r="AT5797" s="184">
        <v>35324</v>
      </c>
      <c r="AU5797" t="s">
        <v>39624</v>
      </c>
      <c r="AV5797">
        <v>10</v>
      </c>
      <c r="AW5797" s="184">
        <v>43712</v>
      </c>
      <c r="AX5797" t="s">
        <v>39625</v>
      </c>
      <c r="AY5797">
        <v>25</v>
      </c>
      <c r="AZ5797" s="184">
        <v>43712</v>
      </c>
      <c r="BA5797" t="s">
        <v>39625</v>
      </c>
      <c r="BB5797">
        <v>25</v>
      </c>
      <c r="BC5797">
        <v>45</v>
      </c>
      <c r="BD5797">
        <v>167</v>
      </c>
      <c r="BE5797">
        <v>1997</v>
      </c>
      <c r="BF5797">
        <v>14</v>
      </c>
      <c r="BI5797">
        <v>13</v>
      </c>
      <c r="BJ5797">
        <v>29</v>
      </c>
      <c r="BK5797">
        <v>8</v>
      </c>
      <c r="BO5797" t="s">
        <v>595</v>
      </c>
      <c r="BP5797" s="184">
        <v>42969</v>
      </c>
    </row>
    <row r="5798" spans="1:68">
      <c r="A5798">
        <v>100298752</v>
      </c>
      <c r="B5798">
        <v>100298752</v>
      </c>
      <c r="C5798" t="s">
        <v>7018</v>
      </c>
      <c r="E5798" s="184"/>
      <c r="F5798" t="s">
        <v>595</v>
      </c>
      <c r="G5798" s="184">
        <v>43731</v>
      </c>
      <c r="I5798" s="184"/>
      <c r="K5798" s="184"/>
      <c r="O5798" s="184"/>
      <c r="P5798" t="s">
        <v>7045</v>
      </c>
      <c r="Q5798" t="s">
        <v>7020</v>
      </c>
      <c r="R5798" s="184">
        <v>7061</v>
      </c>
      <c r="S5798">
        <v>105</v>
      </c>
      <c r="U5798" t="s">
        <v>7130</v>
      </c>
      <c r="V5798" t="s">
        <v>7952</v>
      </c>
      <c r="W5798" t="s">
        <v>39620</v>
      </c>
      <c r="X5798" t="s">
        <v>3862</v>
      </c>
      <c r="Z5798">
        <v>23296452</v>
      </c>
      <c r="AA5798" t="s">
        <v>7031</v>
      </c>
      <c r="AB5798" t="s">
        <v>2597</v>
      </c>
      <c r="AC5798" t="s">
        <v>2049</v>
      </c>
      <c r="AD5798" t="s">
        <v>3862</v>
      </c>
      <c r="AF5798" t="s">
        <v>39621</v>
      </c>
      <c r="AG5798" t="s">
        <v>7952</v>
      </c>
      <c r="AI5798" t="s">
        <v>39622</v>
      </c>
      <c r="AM5798" t="s">
        <v>3863</v>
      </c>
      <c r="AN5798" t="s">
        <v>2240</v>
      </c>
      <c r="AO5798" t="s">
        <v>39623</v>
      </c>
      <c r="AP5798" t="s">
        <v>7024</v>
      </c>
      <c r="AT5798" s="184"/>
      <c r="AW5798" s="184"/>
      <c r="AZ5798" s="184"/>
      <c r="BP5798" s="184"/>
    </row>
    <row r="5799" spans="1:68">
      <c r="A5799">
        <v>100298871</v>
      </c>
      <c r="B5799">
        <v>100298871</v>
      </c>
      <c r="C5799" t="s">
        <v>7018</v>
      </c>
      <c r="E5799" s="184"/>
      <c r="G5799" s="184"/>
      <c r="H5799" t="s">
        <v>595</v>
      </c>
      <c r="I5799" s="184">
        <v>43951</v>
      </c>
      <c r="K5799" s="184"/>
      <c r="M5799" s="184"/>
      <c r="O5799" s="184"/>
      <c r="P5799" t="s">
        <v>7045</v>
      </c>
      <c r="Q5799" t="s">
        <v>7160</v>
      </c>
      <c r="R5799" s="184">
        <v>30865</v>
      </c>
      <c r="S5799">
        <v>39</v>
      </c>
      <c r="U5799" t="s">
        <v>7031</v>
      </c>
      <c r="V5799" t="s">
        <v>39626</v>
      </c>
      <c r="X5799" t="s">
        <v>4907</v>
      </c>
      <c r="Z5799">
        <v>100376466</v>
      </c>
      <c r="AB5799" t="s">
        <v>39627</v>
      </c>
      <c r="AD5799" t="s">
        <v>4907</v>
      </c>
      <c r="AF5799" t="s">
        <v>39628</v>
      </c>
      <c r="AG5799" t="s">
        <v>39629</v>
      </c>
      <c r="AI5799" t="s">
        <v>39630</v>
      </c>
      <c r="AM5799" t="s">
        <v>9389</v>
      </c>
      <c r="AN5799" t="s">
        <v>2395</v>
      </c>
      <c r="AO5799" t="s">
        <v>39631</v>
      </c>
      <c r="AP5799" t="s">
        <v>7024</v>
      </c>
      <c r="AQ5799" t="s">
        <v>39632</v>
      </c>
      <c r="AT5799" s="184">
        <v>43727</v>
      </c>
      <c r="AU5799" t="s">
        <v>39633</v>
      </c>
      <c r="AV5799">
        <v>20</v>
      </c>
      <c r="AW5799" s="184">
        <v>43727</v>
      </c>
      <c r="AX5799" t="s">
        <v>39633</v>
      </c>
      <c r="AY5799">
        <v>20</v>
      </c>
      <c r="AZ5799" s="184">
        <v>43727</v>
      </c>
      <c r="BA5799" t="s">
        <v>39633</v>
      </c>
      <c r="BB5799">
        <v>20</v>
      </c>
      <c r="BC5799">
        <v>17</v>
      </c>
      <c r="BD5799">
        <v>20</v>
      </c>
      <c r="BE5799">
        <v>2020</v>
      </c>
      <c r="BF5799">
        <v>1</v>
      </c>
      <c r="BI5799">
        <v>1</v>
      </c>
      <c r="BJ5799">
        <v>6</v>
      </c>
      <c r="BK5799">
        <v>1</v>
      </c>
      <c r="BP5799" s="184"/>
    </row>
    <row r="5800" spans="1:68">
      <c r="A5800">
        <v>100376466</v>
      </c>
      <c r="B5800">
        <v>100298871</v>
      </c>
      <c r="C5800" t="s">
        <v>7018</v>
      </c>
      <c r="E5800" s="184"/>
      <c r="G5800" s="184"/>
      <c r="H5800" t="s">
        <v>595</v>
      </c>
      <c r="I5800" s="184">
        <v>43951</v>
      </c>
      <c r="K5800" s="184"/>
      <c r="M5800" s="184"/>
      <c r="O5800" s="184"/>
      <c r="P5800" t="s">
        <v>7045</v>
      </c>
      <c r="Q5800" t="s">
        <v>7160</v>
      </c>
      <c r="R5800" s="184">
        <v>32417</v>
      </c>
      <c r="S5800">
        <v>35</v>
      </c>
      <c r="V5800" t="s">
        <v>39627</v>
      </c>
      <c r="X5800" t="s">
        <v>4907</v>
      </c>
      <c r="Z5800">
        <v>100298871</v>
      </c>
      <c r="AA5800" t="s">
        <v>7031</v>
      </c>
      <c r="AB5800" t="s">
        <v>39626</v>
      </c>
      <c r="AD5800" t="s">
        <v>4907</v>
      </c>
      <c r="AF5800" t="s">
        <v>39628</v>
      </c>
      <c r="AG5800" t="s">
        <v>39629</v>
      </c>
      <c r="AI5800" t="s">
        <v>39630</v>
      </c>
      <c r="AM5800" t="s">
        <v>9389</v>
      </c>
      <c r="AN5800" t="s">
        <v>2395</v>
      </c>
      <c r="AO5800" t="s">
        <v>39631</v>
      </c>
      <c r="AP5800" t="s">
        <v>7024</v>
      </c>
      <c r="AQ5800" t="s">
        <v>39634</v>
      </c>
      <c r="AT5800" s="184"/>
      <c r="AW5800" s="184"/>
      <c r="AZ5800" s="184"/>
      <c r="BP5800" s="184"/>
    </row>
    <row r="5801" spans="1:68">
      <c r="A5801">
        <v>100299076</v>
      </c>
      <c r="B5801">
        <v>100299076</v>
      </c>
      <c r="C5801" t="s">
        <v>7018</v>
      </c>
      <c r="E5801" s="184"/>
      <c r="G5801" s="184"/>
      <c r="H5801" t="s">
        <v>595</v>
      </c>
      <c r="I5801" s="184">
        <v>44109</v>
      </c>
      <c r="K5801" s="184"/>
      <c r="M5801" s="184"/>
      <c r="O5801" s="184"/>
      <c r="P5801" t="s">
        <v>7045</v>
      </c>
      <c r="Q5801" t="s">
        <v>7020</v>
      </c>
      <c r="R5801" s="184">
        <v>15994</v>
      </c>
      <c r="S5801">
        <v>80</v>
      </c>
      <c r="U5801" t="s">
        <v>7076</v>
      </c>
      <c r="V5801" t="s">
        <v>3223</v>
      </c>
      <c r="X5801" t="s">
        <v>14175</v>
      </c>
      <c r="AF5801" t="s">
        <v>39635</v>
      </c>
      <c r="AG5801" t="s">
        <v>3223</v>
      </c>
      <c r="AI5801" t="s">
        <v>39636</v>
      </c>
      <c r="AM5801" t="s">
        <v>39637</v>
      </c>
      <c r="AN5801" t="s">
        <v>2129</v>
      </c>
      <c r="AO5801" t="s">
        <v>39638</v>
      </c>
      <c r="AP5801" t="s">
        <v>7024</v>
      </c>
      <c r="AQ5801" t="s">
        <v>39639</v>
      </c>
      <c r="AT5801" s="184">
        <v>43777</v>
      </c>
      <c r="AU5801" t="s">
        <v>39640</v>
      </c>
      <c r="AV5801">
        <v>25</v>
      </c>
      <c r="AW5801" s="184">
        <v>45377</v>
      </c>
      <c r="AX5801" t="s">
        <v>11161</v>
      </c>
      <c r="AY5801">
        <v>26.25</v>
      </c>
      <c r="AZ5801" s="184">
        <v>45377</v>
      </c>
      <c r="BA5801" t="s">
        <v>11161</v>
      </c>
      <c r="BB5801">
        <v>26.25</v>
      </c>
      <c r="BC5801">
        <v>34</v>
      </c>
      <c r="BD5801">
        <v>51.25</v>
      </c>
      <c r="BE5801">
        <v>2020</v>
      </c>
      <c r="BF5801">
        <v>2</v>
      </c>
      <c r="BG5801">
        <v>1</v>
      </c>
      <c r="BH5801">
        <v>26.25</v>
      </c>
      <c r="BI5801">
        <v>2</v>
      </c>
      <c r="BJ5801">
        <v>6</v>
      </c>
      <c r="BK5801">
        <v>1</v>
      </c>
      <c r="BP5801" s="184"/>
    </row>
    <row r="5802" spans="1:68">
      <c r="A5802">
        <v>100304918</v>
      </c>
      <c r="B5802">
        <v>100304918</v>
      </c>
      <c r="C5802" t="s">
        <v>7018</v>
      </c>
      <c r="E5802" s="184"/>
      <c r="F5802" t="s">
        <v>595</v>
      </c>
      <c r="G5802" s="184">
        <v>44452</v>
      </c>
      <c r="I5802" s="184"/>
      <c r="K5802" s="184"/>
      <c r="O5802" s="184"/>
      <c r="P5802" t="s">
        <v>7045</v>
      </c>
      <c r="Q5802" t="s">
        <v>7383</v>
      </c>
      <c r="R5802" s="184">
        <v>19565</v>
      </c>
      <c r="S5802">
        <v>70</v>
      </c>
      <c r="U5802" t="s">
        <v>7032</v>
      </c>
      <c r="V5802" t="s">
        <v>3311</v>
      </c>
      <c r="W5802" t="s">
        <v>3226</v>
      </c>
      <c r="X5802" t="s">
        <v>39641</v>
      </c>
      <c r="AF5802" t="s">
        <v>39642</v>
      </c>
      <c r="AG5802" t="s">
        <v>3311</v>
      </c>
      <c r="AI5802" t="s">
        <v>39643</v>
      </c>
      <c r="AM5802" t="s">
        <v>39644</v>
      </c>
      <c r="AN5802" t="s">
        <v>2072</v>
      </c>
      <c r="AO5802" t="s">
        <v>39645</v>
      </c>
      <c r="AP5802" t="s">
        <v>7024</v>
      </c>
      <c r="AQ5802" t="s">
        <v>39646</v>
      </c>
      <c r="AT5802" s="184">
        <v>41345</v>
      </c>
      <c r="AU5802" t="s">
        <v>39647</v>
      </c>
      <c r="AV5802">
        <v>25</v>
      </c>
      <c r="AW5802" s="184">
        <v>45236</v>
      </c>
      <c r="AX5802" t="s">
        <v>7832</v>
      </c>
      <c r="AY5802">
        <v>25</v>
      </c>
      <c r="AZ5802" s="184">
        <v>43815</v>
      </c>
      <c r="BA5802" t="s">
        <v>39648</v>
      </c>
      <c r="BB5802">
        <v>60</v>
      </c>
      <c r="BC5802">
        <v>75</v>
      </c>
      <c r="BD5802">
        <v>710</v>
      </c>
      <c r="BE5802">
        <v>2013</v>
      </c>
      <c r="BF5802">
        <v>40</v>
      </c>
      <c r="BG5802">
        <v>6</v>
      </c>
      <c r="BH5802">
        <v>75</v>
      </c>
      <c r="BI5802">
        <v>9</v>
      </c>
      <c r="BJ5802">
        <v>12</v>
      </c>
      <c r="BK5802">
        <v>5</v>
      </c>
      <c r="BP5802" s="184"/>
    </row>
    <row r="5803" spans="1:68">
      <c r="A5803">
        <v>100309316</v>
      </c>
      <c r="B5803">
        <v>100309316</v>
      </c>
      <c r="C5803" t="s">
        <v>7018</v>
      </c>
      <c r="E5803" s="184"/>
      <c r="G5803" s="184"/>
      <c r="H5803" t="s">
        <v>595</v>
      </c>
      <c r="I5803" s="184">
        <v>44005</v>
      </c>
      <c r="K5803" s="184"/>
      <c r="M5803" s="184"/>
      <c r="O5803" s="184"/>
      <c r="P5803" t="s">
        <v>7045</v>
      </c>
      <c r="Q5803" t="s">
        <v>7262</v>
      </c>
      <c r="R5803" s="184">
        <v>16933</v>
      </c>
      <c r="S5803">
        <v>78</v>
      </c>
      <c r="U5803" t="s">
        <v>7031</v>
      </c>
      <c r="V5803" t="s">
        <v>2851</v>
      </c>
      <c r="W5803" t="s">
        <v>3332</v>
      </c>
      <c r="X5803" t="s">
        <v>4819</v>
      </c>
      <c r="AF5803" t="s">
        <v>39649</v>
      </c>
      <c r="AG5803" t="s">
        <v>2851</v>
      </c>
      <c r="AI5803" t="s">
        <v>39650</v>
      </c>
      <c r="AJ5803" t="s">
        <v>39651</v>
      </c>
      <c r="AM5803" t="s">
        <v>3079</v>
      </c>
      <c r="AN5803" t="s">
        <v>2106</v>
      </c>
      <c r="AO5803" t="s">
        <v>39652</v>
      </c>
      <c r="AP5803" t="s">
        <v>7024</v>
      </c>
      <c r="AQ5803" t="s">
        <v>39653</v>
      </c>
      <c r="AT5803" s="184">
        <v>43741</v>
      </c>
      <c r="AU5803" t="s">
        <v>8450</v>
      </c>
      <c r="AV5803">
        <v>50</v>
      </c>
      <c r="AW5803" s="184">
        <v>44476</v>
      </c>
      <c r="AX5803" t="s">
        <v>7714</v>
      </c>
      <c r="AY5803">
        <v>50</v>
      </c>
      <c r="AZ5803" s="184">
        <v>44476</v>
      </c>
      <c r="BA5803" t="s">
        <v>7714</v>
      </c>
      <c r="BB5803">
        <v>50</v>
      </c>
      <c r="BC5803">
        <v>50</v>
      </c>
      <c r="BD5803">
        <v>150</v>
      </c>
      <c r="BE5803">
        <v>2020</v>
      </c>
      <c r="BF5803">
        <v>4</v>
      </c>
      <c r="BI5803">
        <v>3</v>
      </c>
      <c r="BJ5803">
        <v>6</v>
      </c>
      <c r="BK5803">
        <v>3</v>
      </c>
      <c r="BP5803" s="184"/>
    </row>
    <row r="5804" spans="1:68">
      <c r="A5804">
        <v>100309370</v>
      </c>
      <c r="B5804">
        <v>100309370</v>
      </c>
      <c r="C5804" t="s">
        <v>7018</v>
      </c>
      <c r="E5804" s="184"/>
      <c r="F5804" t="s">
        <v>595</v>
      </c>
      <c r="G5804" s="184">
        <v>44005</v>
      </c>
      <c r="H5804" t="s">
        <v>595</v>
      </c>
      <c r="I5804" s="184">
        <v>44109</v>
      </c>
      <c r="K5804" s="184"/>
      <c r="O5804" s="184"/>
      <c r="P5804" t="s">
        <v>7045</v>
      </c>
      <c r="Q5804" t="s">
        <v>7160</v>
      </c>
      <c r="R5804" s="184">
        <v>20105</v>
      </c>
      <c r="S5804">
        <v>69</v>
      </c>
      <c r="U5804" t="s">
        <v>7076</v>
      </c>
      <c r="V5804" t="s">
        <v>3095</v>
      </c>
      <c r="W5804" t="s">
        <v>7743</v>
      </c>
      <c r="X5804" t="s">
        <v>4973</v>
      </c>
      <c r="AF5804" t="s">
        <v>39654</v>
      </c>
      <c r="AG5804" t="s">
        <v>3095</v>
      </c>
      <c r="AI5804" t="s">
        <v>39655</v>
      </c>
      <c r="AM5804" t="s">
        <v>30983</v>
      </c>
      <c r="AN5804" t="s">
        <v>2176</v>
      </c>
      <c r="AO5804" t="s">
        <v>39656</v>
      </c>
      <c r="AP5804" t="s">
        <v>7024</v>
      </c>
      <c r="AQ5804" t="s">
        <v>39657</v>
      </c>
      <c r="AT5804" s="184">
        <v>43741</v>
      </c>
      <c r="AU5804" t="s">
        <v>39658</v>
      </c>
      <c r="AV5804">
        <v>15</v>
      </c>
      <c r="AW5804" s="184">
        <v>45144</v>
      </c>
      <c r="AX5804" t="s">
        <v>9576</v>
      </c>
      <c r="AY5804">
        <v>50</v>
      </c>
      <c r="AZ5804" s="184">
        <v>44610</v>
      </c>
      <c r="BA5804" t="s">
        <v>10166</v>
      </c>
      <c r="BB5804">
        <v>55</v>
      </c>
      <c r="BC5804">
        <v>67</v>
      </c>
      <c r="BD5804">
        <v>180</v>
      </c>
      <c r="BE5804">
        <v>2020</v>
      </c>
      <c r="BF5804">
        <v>5</v>
      </c>
      <c r="BG5804">
        <v>1</v>
      </c>
      <c r="BH5804">
        <v>50</v>
      </c>
      <c r="BI5804">
        <v>4</v>
      </c>
      <c r="BJ5804">
        <v>6</v>
      </c>
      <c r="BK5804">
        <v>3</v>
      </c>
      <c r="BP5804" s="184"/>
    </row>
    <row r="5805" spans="1:68">
      <c r="A5805">
        <v>100309611</v>
      </c>
      <c r="B5805">
        <v>100309611</v>
      </c>
      <c r="C5805" t="s">
        <v>7018</v>
      </c>
      <c r="D5805" t="s">
        <v>595</v>
      </c>
      <c r="E5805" s="184">
        <v>43746</v>
      </c>
      <c r="G5805" s="184"/>
      <c r="I5805" s="184"/>
      <c r="K5805" s="184"/>
      <c r="M5805" s="184"/>
      <c r="O5805" s="184"/>
      <c r="P5805" t="s">
        <v>8550</v>
      </c>
      <c r="Q5805" t="s">
        <v>7383</v>
      </c>
      <c r="R5805" s="184">
        <v>13150</v>
      </c>
      <c r="S5805">
        <v>88</v>
      </c>
      <c r="V5805" t="s">
        <v>3223</v>
      </c>
      <c r="X5805" t="s">
        <v>4171</v>
      </c>
      <c r="AF5805" t="s">
        <v>39659</v>
      </c>
      <c r="AG5805" t="s">
        <v>3223</v>
      </c>
      <c r="AI5805" t="s">
        <v>39660</v>
      </c>
      <c r="AM5805" t="s">
        <v>4172</v>
      </c>
      <c r="AN5805" t="s">
        <v>2274</v>
      </c>
      <c r="AO5805">
        <v>53129</v>
      </c>
      <c r="AP5805" t="s">
        <v>7024</v>
      </c>
      <c r="AT5805" s="184"/>
      <c r="AW5805" s="184"/>
      <c r="AZ5805" s="184"/>
      <c r="BP5805" s="184"/>
    </row>
    <row r="5806" spans="1:68">
      <c r="A5806">
        <v>100310486</v>
      </c>
      <c r="B5806">
        <v>100310486</v>
      </c>
      <c r="C5806" t="s">
        <v>7018</v>
      </c>
      <c r="D5806" t="s">
        <v>595</v>
      </c>
      <c r="E5806" s="184">
        <v>44152</v>
      </c>
      <c r="G5806" s="184"/>
      <c r="H5806" t="s">
        <v>595</v>
      </c>
      <c r="I5806" s="184">
        <v>44152</v>
      </c>
      <c r="K5806" s="184"/>
      <c r="M5806" s="184"/>
      <c r="O5806" s="184"/>
      <c r="P5806" t="s">
        <v>7045</v>
      </c>
      <c r="Q5806" t="s">
        <v>7030</v>
      </c>
      <c r="R5806" s="184">
        <v>15432</v>
      </c>
      <c r="S5806">
        <v>82</v>
      </c>
      <c r="U5806" t="s">
        <v>7076</v>
      </c>
      <c r="V5806" t="s">
        <v>5062</v>
      </c>
      <c r="X5806" t="s">
        <v>5063</v>
      </c>
      <c r="AF5806" t="s">
        <v>39661</v>
      </c>
      <c r="AG5806" t="s">
        <v>5062</v>
      </c>
      <c r="AI5806" t="s">
        <v>39662</v>
      </c>
      <c r="AM5806" t="s">
        <v>3240</v>
      </c>
      <c r="AN5806" t="s">
        <v>2094</v>
      </c>
      <c r="AO5806" t="s">
        <v>39663</v>
      </c>
      <c r="AP5806" t="s">
        <v>7024</v>
      </c>
      <c r="AT5806" s="184">
        <v>43745</v>
      </c>
      <c r="AU5806" t="s">
        <v>39664</v>
      </c>
      <c r="AV5806">
        <v>25</v>
      </c>
      <c r="AW5806" s="184">
        <v>43745</v>
      </c>
      <c r="AX5806" t="s">
        <v>39664</v>
      </c>
      <c r="AY5806">
        <v>25</v>
      </c>
      <c r="AZ5806" s="184">
        <v>43745</v>
      </c>
      <c r="BA5806" t="s">
        <v>39664</v>
      </c>
      <c r="BB5806">
        <v>25</v>
      </c>
      <c r="BC5806">
        <v>17</v>
      </c>
      <c r="BD5806">
        <v>25</v>
      </c>
      <c r="BE5806">
        <v>2020</v>
      </c>
      <c r="BF5806">
        <v>1</v>
      </c>
      <c r="BI5806">
        <v>1</v>
      </c>
      <c r="BJ5806">
        <v>6</v>
      </c>
      <c r="BK5806">
        <v>1</v>
      </c>
      <c r="BP5806" s="184"/>
    </row>
    <row r="5807" spans="1:68">
      <c r="A5807">
        <v>100311734</v>
      </c>
      <c r="B5807">
        <v>100311734</v>
      </c>
      <c r="C5807" t="s">
        <v>7018</v>
      </c>
      <c r="D5807" t="s">
        <v>595</v>
      </c>
      <c r="E5807" s="184">
        <v>44168</v>
      </c>
      <c r="I5807" s="184"/>
      <c r="K5807" s="184"/>
      <c r="M5807" s="184"/>
      <c r="O5807" s="184"/>
      <c r="P5807" t="s">
        <v>7045</v>
      </c>
      <c r="Q5807" t="s">
        <v>7374</v>
      </c>
      <c r="R5807" s="184">
        <v>25628</v>
      </c>
      <c r="S5807">
        <v>54</v>
      </c>
      <c r="V5807" t="s">
        <v>3373</v>
      </c>
      <c r="X5807" t="s">
        <v>39665</v>
      </c>
      <c r="AF5807" t="s">
        <v>39666</v>
      </c>
      <c r="AG5807" t="s">
        <v>3373</v>
      </c>
      <c r="AI5807" t="s">
        <v>39667</v>
      </c>
      <c r="AM5807" t="s">
        <v>2534</v>
      </c>
      <c r="AN5807" t="s">
        <v>2081</v>
      </c>
      <c r="AO5807" t="s">
        <v>39668</v>
      </c>
      <c r="AP5807" t="s">
        <v>7024</v>
      </c>
      <c r="AQ5807" t="s">
        <v>39669</v>
      </c>
      <c r="AR5807" t="s">
        <v>39670</v>
      </c>
      <c r="AT5807" s="184">
        <v>43751</v>
      </c>
      <c r="AU5807" t="s">
        <v>7765</v>
      </c>
      <c r="AV5807">
        <v>35</v>
      </c>
      <c r="AW5807" s="184">
        <v>44128</v>
      </c>
      <c r="AX5807" t="s">
        <v>39671</v>
      </c>
      <c r="AY5807">
        <v>35</v>
      </c>
      <c r="AZ5807" s="184">
        <v>44128</v>
      </c>
      <c r="BA5807" t="s">
        <v>39671</v>
      </c>
      <c r="BB5807">
        <v>35</v>
      </c>
      <c r="BC5807">
        <v>34</v>
      </c>
      <c r="BD5807">
        <v>70</v>
      </c>
      <c r="BE5807">
        <v>2020</v>
      </c>
      <c r="BF5807">
        <v>2</v>
      </c>
      <c r="BI5807">
        <v>2</v>
      </c>
      <c r="BJ5807">
        <v>6</v>
      </c>
      <c r="BK5807">
        <v>2</v>
      </c>
      <c r="BP5807" s="184"/>
    </row>
    <row r="5808" spans="1:68">
      <c r="A5808">
        <v>100311862</v>
      </c>
      <c r="B5808">
        <v>100311862</v>
      </c>
      <c r="C5808" t="s">
        <v>7018</v>
      </c>
      <c r="E5808" s="184"/>
      <c r="I5808" s="184"/>
      <c r="J5808" t="s">
        <v>595</v>
      </c>
      <c r="K5808" s="184">
        <v>43383</v>
      </c>
      <c r="M5808" s="184"/>
      <c r="O5808" s="184"/>
      <c r="P5808" t="s">
        <v>7084</v>
      </c>
      <c r="R5808" s="184"/>
      <c r="V5808" t="s">
        <v>5430</v>
      </c>
      <c r="X5808" t="s">
        <v>5431</v>
      </c>
      <c r="AF5808" t="s">
        <v>39672</v>
      </c>
      <c r="AG5808" t="s">
        <v>5430</v>
      </c>
      <c r="AP5808" t="s">
        <v>7024</v>
      </c>
      <c r="AT5808" s="184">
        <v>43383</v>
      </c>
      <c r="AU5808" t="s">
        <v>7348</v>
      </c>
      <c r="AV5808">
        <v>20000</v>
      </c>
      <c r="AW5808" s="184">
        <v>43825</v>
      </c>
      <c r="AX5808" t="s">
        <v>8257</v>
      </c>
      <c r="AY5808">
        <v>82095.91</v>
      </c>
      <c r="AZ5808" s="184">
        <v>43825</v>
      </c>
      <c r="BA5808" t="s">
        <v>8257</v>
      </c>
      <c r="BB5808">
        <v>82095.91</v>
      </c>
      <c r="BC5808">
        <v>29</v>
      </c>
      <c r="BD5808">
        <v>102095.91</v>
      </c>
      <c r="BE5808">
        <v>2019</v>
      </c>
      <c r="BF5808">
        <v>2</v>
      </c>
      <c r="BI5808">
        <v>2</v>
      </c>
      <c r="BJ5808">
        <v>7</v>
      </c>
      <c r="BK5808">
        <v>2</v>
      </c>
      <c r="BO5808" t="s">
        <v>595</v>
      </c>
      <c r="BP5808" s="184"/>
    </row>
    <row r="5809" spans="1:68">
      <c r="A5809">
        <v>100313958</v>
      </c>
      <c r="B5809">
        <v>100313958</v>
      </c>
      <c r="C5809" t="s">
        <v>7018</v>
      </c>
      <c r="E5809" s="184"/>
      <c r="I5809" s="184"/>
      <c r="J5809" t="s">
        <v>595</v>
      </c>
      <c r="K5809" s="184">
        <v>41430</v>
      </c>
      <c r="M5809" s="184"/>
      <c r="O5809" s="184"/>
      <c r="R5809" s="184"/>
      <c r="V5809" t="s">
        <v>2586</v>
      </c>
      <c r="W5809" t="s">
        <v>3400</v>
      </c>
      <c r="X5809" t="s">
        <v>39673</v>
      </c>
      <c r="AF5809" t="s">
        <v>6767</v>
      </c>
      <c r="AG5809" t="s">
        <v>2586</v>
      </c>
      <c r="AP5809" t="s">
        <v>7024</v>
      </c>
      <c r="AT5809" s="184"/>
      <c r="AW5809" s="184"/>
      <c r="AZ5809" s="184"/>
      <c r="BO5809" t="s">
        <v>595</v>
      </c>
      <c r="BP5809" s="184"/>
    </row>
    <row r="5810" spans="1:68">
      <c r="A5810">
        <v>100314102</v>
      </c>
      <c r="B5810">
        <v>100314102</v>
      </c>
      <c r="C5810" t="s">
        <v>7018</v>
      </c>
      <c r="E5810" s="184"/>
      <c r="I5810" s="184"/>
      <c r="J5810" t="s">
        <v>595</v>
      </c>
      <c r="K5810" s="184">
        <v>39625</v>
      </c>
      <c r="M5810" s="184"/>
      <c r="O5810" s="184"/>
      <c r="R5810" s="184"/>
      <c r="V5810" t="s">
        <v>14771</v>
      </c>
      <c r="W5810" t="s">
        <v>2049</v>
      </c>
      <c r="X5810" t="s">
        <v>39674</v>
      </c>
      <c r="AF5810" t="s">
        <v>6789</v>
      </c>
      <c r="AG5810" t="s">
        <v>14771</v>
      </c>
      <c r="AP5810" t="s">
        <v>7024</v>
      </c>
      <c r="AT5810" s="184"/>
      <c r="AW5810" s="184"/>
      <c r="AZ5810" s="184"/>
      <c r="BO5810" t="s">
        <v>595</v>
      </c>
      <c r="BP5810" s="184"/>
    </row>
    <row r="5811" spans="1:68">
      <c r="A5811">
        <v>100314105</v>
      </c>
      <c r="B5811">
        <v>100314105</v>
      </c>
      <c r="C5811" t="s">
        <v>7018</v>
      </c>
      <c r="E5811" s="184"/>
      <c r="G5811" s="184"/>
      <c r="I5811" s="184"/>
      <c r="J5811" t="s">
        <v>595</v>
      </c>
      <c r="K5811" s="184">
        <v>39206</v>
      </c>
      <c r="M5811" s="184"/>
      <c r="Q5811" t="s">
        <v>7262</v>
      </c>
      <c r="R5811" s="184"/>
      <c r="V5811" t="s">
        <v>4330</v>
      </c>
      <c r="W5811" t="s">
        <v>3830</v>
      </c>
      <c r="X5811" t="s">
        <v>2772</v>
      </c>
      <c r="AF5811" t="s">
        <v>6780</v>
      </c>
      <c r="AG5811" t="s">
        <v>4330</v>
      </c>
      <c r="AI5811" t="s">
        <v>39675</v>
      </c>
      <c r="AJ5811" t="s">
        <v>39676</v>
      </c>
      <c r="AM5811" t="s">
        <v>2650</v>
      </c>
      <c r="AN5811" t="s">
        <v>65</v>
      </c>
      <c r="AO5811">
        <v>21201</v>
      </c>
      <c r="AP5811" t="s">
        <v>7024</v>
      </c>
      <c r="AT5811" s="184"/>
      <c r="AW5811" s="184"/>
      <c r="AZ5811" s="184"/>
      <c r="BO5811" t="s">
        <v>595</v>
      </c>
      <c r="BP5811" s="184"/>
    </row>
    <row r="5812" spans="1:68">
      <c r="A5812">
        <v>100314106</v>
      </c>
      <c r="B5812">
        <v>100314106</v>
      </c>
      <c r="C5812" t="s">
        <v>7018</v>
      </c>
      <c r="E5812" s="184"/>
      <c r="I5812" s="184"/>
      <c r="J5812" t="s">
        <v>595</v>
      </c>
      <c r="K5812" s="184">
        <v>39357</v>
      </c>
      <c r="M5812" s="184"/>
      <c r="Q5812" t="s">
        <v>7454</v>
      </c>
      <c r="R5812" s="184"/>
      <c r="V5812" t="s">
        <v>3288</v>
      </c>
      <c r="X5812" t="s">
        <v>39677</v>
      </c>
      <c r="AF5812" t="s">
        <v>6762</v>
      </c>
      <c r="AG5812" t="s">
        <v>3288</v>
      </c>
      <c r="AI5812" t="s">
        <v>39678</v>
      </c>
      <c r="AJ5812" t="s">
        <v>39679</v>
      </c>
      <c r="AM5812" t="s">
        <v>3460</v>
      </c>
      <c r="AN5812" t="s">
        <v>2299</v>
      </c>
      <c r="AO5812" t="s">
        <v>39680</v>
      </c>
      <c r="AP5812" t="s">
        <v>7024</v>
      </c>
      <c r="AT5812" s="184"/>
      <c r="AW5812" s="184"/>
      <c r="AZ5812" s="184"/>
      <c r="BO5812" t="s">
        <v>595</v>
      </c>
      <c r="BP5812" s="184"/>
    </row>
    <row r="5813" spans="1:68">
      <c r="A5813">
        <v>100314108</v>
      </c>
      <c r="B5813">
        <v>100314108</v>
      </c>
      <c r="C5813" t="s">
        <v>7018</v>
      </c>
      <c r="E5813" s="184"/>
      <c r="G5813" s="184"/>
      <c r="I5813" s="184"/>
      <c r="J5813" t="s">
        <v>595</v>
      </c>
      <c r="K5813" s="184">
        <v>39224</v>
      </c>
      <c r="M5813" s="184"/>
      <c r="O5813" s="184"/>
      <c r="Q5813" t="s">
        <v>7454</v>
      </c>
      <c r="R5813" s="184"/>
      <c r="V5813" t="s">
        <v>3095</v>
      </c>
      <c r="W5813" t="s">
        <v>7560</v>
      </c>
      <c r="X5813" t="s">
        <v>39681</v>
      </c>
      <c r="AF5813" t="s">
        <v>6793</v>
      </c>
      <c r="AG5813" t="s">
        <v>3095</v>
      </c>
      <c r="AI5813" t="s">
        <v>39682</v>
      </c>
      <c r="AJ5813" t="s">
        <v>39683</v>
      </c>
      <c r="AK5813" t="s">
        <v>39684</v>
      </c>
      <c r="AM5813" t="s">
        <v>39685</v>
      </c>
      <c r="AN5813" t="s">
        <v>2299</v>
      </c>
      <c r="AO5813" t="s">
        <v>39686</v>
      </c>
      <c r="AP5813" t="s">
        <v>7024</v>
      </c>
      <c r="AT5813" s="184"/>
      <c r="AW5813" s="184"/>
      <c r="AZ5813" s="184"/>
      <c r="BO5813" t="s">
        <v>595</v>
      </c>
      <c r="BP5813" s="184"/>
    </row>
    <row r="5814" spans="1:68">
      <c r="A5814">
        <v>62471</v>
      </c>
      <c r="B5814">
        <v>100314125</v>
      </c>
      <c r="C5814" t="s">
        <v>7018</v>
      </c>
      <c r="E5814" s="184"/>
      <c r="I5814" s="184"/>
      <c r="J5814" t="s">
        <v>595</v>
      </c>
      <c r="K5814" s="184">
        <v>43761</v>
      </c>
      <c r="M5814" s="184"/>
      <c r="O5814" s="184"/>
      <c r="P5814" t="s">
        <v>7045</v>
      </c>
      <c r="Q5814" t="s">
        <v>7020</v>
      </c>
      <c r="R5814" s="184">
        <v>11598</v>
      </c>
      <c r="S5814">
        <v>92</v>
      </c>
      <c r="U5814" t="s">
        <v>7076</v>
      </c>
      <c r="V5814" t="s">
        <v>3011</v>
      </c>
      <c r="W5814" t="s">
        <v>7384</v>
      </c>
      <c r="X5814" t="s">
        <v>5902</v>
      </c>
      <c r="Z5814">
        <v>100314125</v>
      </c>
      <c r="AB5814" t="s">
        <v>5904</v>
      </c>
      <c r="AC5814" t="s">
        <v>4382</v>
      </c>
      <c r="AD5814" t="s">
        <v>5902</v>
      </c>
      <c r="AF5814" t="s">
        <v>39687</v>
      </c>
      <c r="AG5814" t="s">
        <v>5904</v>
      </c>
      <c r="AI5814" t="s">
        <v>39688</v>
      </c>
      <c r="AM5814" t="s">
        <v>2608</v>
      </c>
      <c r="AN5814" t="s">
        <v>2363</v>
      </c>
      <c r="AO5814" t="s">
        <v>39689</v>
      </c>
      <c r="AP5814" t="s">
        <v>7024</v>
      </c>
      <c r="AQ5814" t="s">
        <v>39690</v>
      </c>
      <c r="AR5814" t="s">
        <v>39691</v>
      </c>
      <c r="AT5814" s="184">
        <v>30754</v>
      </c>
      <c r="AU5814" t="s">
        <v>7073</v>
      </c>
      <c r="AV5814">
        <v>25</v>
      </c>
      <c r="AW5814" s="184">
        <v>43810</v>
      </c>
      <c r="AX5814" t="s">
        <v>8257</v>
      </c>
      <c r="AY5814">
        <v>5000</v>
      </c>
      <c r="AZ5814" s="184">
        <v>43810</v>
      </c>
      <c r="BA5814" t="s">
        <v>8257</v>
      </c>
      <c r="BB5814">
        <v>5000</v>
      </c>
      <c r="BC5814">
        <v>88</v>
      </c>
      <c r="BD5814">
        <v>14950</v>
      </c>
      <c r="BE5814">
        <v>1984</v>
      </c>
      <c r="BF5814">
        <v>70</v>
      </c>
      <c r="BI5814">
        <v>36</v>
      </c>
      <c r="BJ5814">
        <v>41</v>
      </c>
      <c r="BK5814">
        <v>36</v>
      </c>
      <c r="BN5814" t="s">
        <v>595</v>
      </c>
      <c r="BO5814" t="s">
        <v>595</v>
      </c>
      <c r="BP5814" s="184">
        <v>43721</v>
      </c>
    </row>
    <row r="5815" spans="1:68">
      <c r="A5815">
        <v>100314125</v>
      </c>
      <c r="B5815">
        <v>100314125</v>
      </c>
      <c r="C5815" t="s">
        <v>7018</v>
      </c>
      <c r="E5815" s="184"/>
      <c r="I5815" s="184"/>
      <c r="J5815" t="s">
        <v>595</v>
      </c>
      <c r="K5815" s="184">
        <v>43761</v>
      </c>
      <c r="M5815" s="184"/>
      <c r="O5815" s="184"/>
      <c r="P5815" t="s">
        <v>7045</v>
      </c>
      <c r="Q5815" t="s">
        <v>7020</v>
      </c>
      <c r="R5815" s="184"/>
      <c r="V5815" t="s">
        <v>5904</v>
      </c>
      <c r="W5815" t="s">
        <v>4382</v>
      </c>
      <c r="X5815" t="s">
        <v>5902</v>
      </c>
      <c r="Z5815">
        <v>62471</v>
      </c>
      <c r="AA5815" t="s">
        <v>7076</v>
      </c>
      <c r="AB5815" t="s">
        <v>3011</v>
      </c>
      <c r="AC5815" t="s">
        <v>7384</v>
      </c>
      <c r="AD5815" t="s">
        <v>5902</v>
      </c>
      <c r="AF5815" t="s">
        <v>39687</v>
      </c>
      <c r="AG5815" t="s">
        <v>5904</v>
      </c>
      <c r="AI5815" t="s">
        <v>39688</v>
      </c>
      <c r="AM5815" t="s">
        <v>2608</v>
      </c>
      <c r="AN5815" t="s">
        <v>2363</v>
      </c>
      <c r="AO5815" t="s">
        <v>39689</v>
      </c>
      <c r="AP5815" t="s">
        <v>7024</v>
      </c>
      <c r="AT5815" s="184"/>
      <c r="AW5815" s="184"/>
      <c r="AZ5815" s="184"/>
      <c r="BP5815" s="184"/>
    </row>
    <row r="5816" spans="1:68">
      <c r="A5816">
        <v>100314703</v>
      </c>
      <c r="B5816">
        <v>100314703</v>
      </c>
      <c r="C5816" t="s">
        <v>7018</v>
      </c>
      <c r="E5816" s="184"/>
      <c r="I5816" s="184"/>
      <c r="J5816" t="s">
        <v>595</v>
      </c>
      <c r="K5816" s="184">
        <v>38882</v>
      </c>
      <c r="M5816" s="184"/>
      <c r="O5816" s="184"/>
      <c r="Q5816" t="s">
        <v>7262</v>
      </c>
      <c r="R5816" s="184"/>
      <c r="V5816" t="s">
        <v>3444</v>
      </c>
      <c r="W5816" t="s">
        <v>7085</v>
      </c>
      <c r="X5816" t="s">
        <v>39692</v>
      </c>
      <c r="AF5816" t="s">
        <v>6797</v>
      </c>
      <c r="AG5816" t="s">
        <v>3444</v>
      </c>
      <c r="AJ5816" t="s">
        <v>39693</v>
      </c>
      <c r="AM5816" t="s">
        <v>39694</v>
      </c>
      <c r="AN5816" t="s">
        <v>2106</v>
      </c>
      <c r="AO5816">
        <v>19002</v>
      </c>
      <c r="AP5816" t="s">
        <v>7024</v>
      </c>
      <c r="AT5816" s="184"/>
      <c r="AW5816" s="184"/>
      <c r="AZ5816" s="184"/>
      <c r="BO5816" t="s">
        <v>595</v>
      </c>
      <c r="BP5816" s="184"/>
    </row>
    <row r="5817" spans="1:68">
      <c r="A5817">
        <v>100314704</v>
      </c>
      <c r="B5817">
        <v>100314704</v>
      </c>
      <c r="C5817" t="s">
        <v>7018</v>
      </c>
      <c r="E5817" s="184"/>
      <c r="I5817" s="184"/>
      <c r="J5817" t="s">
        <v>595</v>
      </c>
      <c r="K5817" s="184">
        <v>38789</v>
      </c>
      <c r="M5817" s="184"/>
      <c r="O5817" s="184"/>
      <c r="Q5817" t="s">
        <v>7383</v>
      </c>
      <c r="R5817" s="184"/>
      <c r="V5817" t="s">
        <v>3220</v>
      </c>
      <c r="W5817" t="s">
        <v>3522</v>
      </c>
      <c r="X5817" t="s">
        <v>39695</v>
      </c>
      <c r="AF5817" t="s">
        <v>6754</v>
      </c>
      <c r="AG5817" t="s">
        <v>3220</v>
      </c>
      <c r="AI5817" t="s">
        <v>39696</v>
      </c>
      <c r="AJ5817" t="s">
        <v>39697</v>
      </c>
      <c r="AM5817" t="s">
        <v>3045</v>
      </c>
      <c r="AN5817" t="s">
        <v>2118</v>
      </c>
      <c r="AO5817">
        <v>68114</v>
      </c>
      <c r="AP5817" t="s">
        <v>7024</v>
      </c>
      <c r="AT5817" s="184"/>
      <c r="AW5817" s="184"/>
      <c r="AZ5817" s="184"/>
      <c r="BO5817" t="s">
        <v>595</v>
      </c>
      <c r="BP5817" s="184"/>
    </row>
    <row r="5818" spans="1:68">
      <c r="A5818">
        <v>100314705</v>
      </c>
      <c r="B5818">
        <v>100314705</v>
      </c>
      <c r="C5818" t="s">
        <v>7018</v>
      </c>
      <c r="E5818" s="184"/>
      <c r="I5818" s="184"/>
      <c r="J5818" t="s">
        <v>595</v>
      </c>
      <c r="K5818" s="184">
        <v>38708</v>
      </c>
      <c r="M5818" s="184"/>
      <c r="O5818" s="184"/>
      <c r="Q5818" t="s">
        <v>7383</v>
      </c>
      <c r="R5818" s="184"/>
      <c r="V5818" t="s">
        <v>2593</v>
      </c>
      <c r="X5818" t="s">
        <v>39698</v>
      </c>
      <c r="AF5818" t="s">
        <v>6781</v>
      </c>
      <c r="AG5818" t="s">
        <v>2593</v>
      </c>
      <c r="AI5818" t="s">
        <v>39699</v>
      </c>
      <c r="AJ5818" t="s">
        <v>39700</v>
      </c>
      <c r="AM5818" t="s">
        <v>39701</v>
      </c>
      <c r="AN5818" t="s">
        <v>2072</v>
      </c>
      <c r="AO5818" t="s">
        <v>39702</v>
      </c>
      <c r="AP5818" t="s">
        <v>7024</v>
      </c>
      <c r="AT5818" s="184"/>
      <c r="AW5818" s="184"/>
      <c r="AZ5818" s="184"/>
      <c r="BO5818" t="s">
        <v>595</v>
      </c>
      <c r="BP5818" s="184"/>
    </row>
    <row r="5819" spans="1:68">
      <c r="A5819">
        <v>100316160</v>
      </c>
      <c r="B5819">
        <v>100316160</v>
      </c>
      <c r="C5819" t="s">
        <v>7018</v>
      </c>
      <c r="E5819" s="184"/>
      <c r="I5819" s="184"/>
      <c r="J5819" t="s">
        <v>595</v>
      </c>
      <c r="K5819" s="184">
        <v>37976</v>
      </c>
      <c r="M5819" s="184"/>
      <c r="O5819" s="184"/>
      <c r="Q5819" t="s">
        <v>7160</v>
      </c>
      <c r="R5819" s="184"/>
      <c r="V5819" t="s">
        <v>5690</v>
      </c>
      <c r="W5819" t="s">
        <v>3830</v>
      </c>
      <c r="X5819" t="s">
        <v>18772</v>
      </c>
      <c r="AF5819" t="s">
        <v>6768</v>
      </c>
      <c r="AG5819" t="s">
        <v>5690</v>
      </c>
      <c r="AI5819" t="s">
        <v>39703</v>
      </c>
      <c r="AM5819" t="s">
        <v>2781</v>
      </c>
      <c r="AN5819" t="s">
        <v>2176</v>
      </c>
      <c r="AO5819">
        <v>27515</v>
      </c>
      <c r="AP5819" t="s">
        <v>7024</v>
      </c>
      <c r="AT5819" s="184"/>
      <c r="AW5819" s="184"/>
      <c r="AZ5819" s="184"/>
      <c r="BO5819" t="s">
        <v>595</v>
      </c>
      <c r="BP5819" s="184"/>
    </row>
    <row r="5820" spans="1:68">
      <c r="A5820">
        <v>100316161</v>
      </c>
      <c r="B5820">
        <v>100316161</v>
      </c>
      <c r="C5820" t="s">
        <v>7018</v>
      </c>
      <c r="E5820" s="184"/>
      <c r="I5820" s="184"/>
      <c r="J5820" t="s">
        <v>595</v>
      </c>
      <c r="K5820" s="184">
        <v>37965</v>
      </c>
      <c r="M5820" s="184"/>
      <c r="O5820" s="184"/>
      <c r="Q5820" t="s">
        <v>7194</v>
      </c>
      <c r="R5820" s="184"/>
      <c r="V5820" t="s">
        <v>2586</v>
      </c>
      <c r="W5820" t="s">
        <v>39704</v>
      </c>
      <c r="X5820" t="s">
        <v>3254</v>
      </c>
      <c r="AF5820" t="s">
        <v>6794</v>
      </c>
      <c r="AG5820" t="s">
        <v>2586</v>
      </c>
      <c r="AI5820" t="s">
        <v>39705</v>
      </c>
      <c r="AM5820" t="s">
        <v>5097</v>
      </c>
      <c r="AN5820" t="s">
        <v>2046</v>
      </c>
      <c r="AO5820">
        <v>34237</v>
      </c>
      <c r="AP5820" t="s">
        <v>7024</v>
      </c>
      <c r="AT5820" s="184"/>
      <c r="AW5820" s="184"/>
      <c r="AZ5820" s="184"/>
      <c r="BO5820" t="s">
        <v>595</v>
      </c>
      <c r="BP5820" s="184"/>
    </row>
    <row r="5821" spans="1:68">
      <c r="A5821">
        <v>100318048</v>
      </c>
      <c r="B5821">
        <v>100318048</v>
      </c>
      <c r="C5821" t="s">
        <v>7018</v>
      </c>
      <c r="D5821" t="s">
        <v>595</v>
      </c>
      <c r="E5821" s="184">
        <v>45167</v>
      </c>
      <c r="I5821" s="184"/>
      <c r="K5821" s="184"/>
      <c r="M5821" s="184"/>
      <c r="O5821" s="184"/>
      <c r="P5821" t="s">
        <v>7045</v>
      </c>
      <c r="Q5821" t="s">
        <v>7494</v>
      </c>
      <c r="R5821" s="184">
        <v>18500</v>
      </c>
      <c r="S5821">
        <v>73</v>
      </c>
      <c r="U5821" t="s">
        <v>7076</v>
      </c>
      <c r="V5821" t="s">
        <v>39706</v>
      </c>
      <c r="X5821" t="s">
        <v>13557</v>
      </c>
      <c r="AF5821" t="s">
        <v>39707</v>
      </c>
      <c r="AG5821" t="s">
        <v>39706</v>
      </c>
      <c r="AI5821" t="s">
        <v>39708</v>
      </c>
      <c r="AM5821" t="s">
        <v>4006</v>
      </c>
      <c r="AN5821" t="s">
        <v>2174</v>
      </c>
      <c r="AO5821" t="s">
        <v>39709</v>
      </c>
      <c r="AP5821" t="s">
        <v>7024</v>
      </c>
      <c r="AQ5821" t="s">
        <v>39710</v>
      </c>
      <c r="AT5821" s="184">
        <v>43164</v>
      </c>
      <c r="AU5821" t="s">
        <v>36354</v>
      </c>
      <c r="AV5821">
        <v>10</v>
      </c>
      <c r="AW5821" s="184">
        <v>45049</v>
      </c>
      <c r="AX5821" t="s">
        <v>7832</v>
      </c>
      <c r="AY5821">
        <v>25</v>
      </c>
      <c r="AZ5821" s="184">
        <v>45049</v>
      </c>
      <c r="BA5821" t="s">
        <v>7832</v>
      </c>
      <c r="BB5821">
        <v>25</v>
      </c>
      <c r="BC5821">
        <v>86</v>
      </c>
      <c r="BD5821">
        <v>278</v>
      </c>
      <c r="BE5821">
        <v>2018</v>
      </c>
      <c r="BF5821">
        <v>15</v>
      </c>
      <c r="BG5821">
        <v>5</v>
      </c>
      <c r="BH5821">
        <v>70</v>
      </c>
      <c r="BI5821">
        <v>6</v>
      </c>
      <c r="BJ5821">
        <v>7</v>
      </c>
      <c r="BK5821">
        <v>6</v>
      </c>
      <c r="BP5821" s="184"/>
    </row>
    <row r="5822" spans="1:68">
      <c r="A5822">
        <v>100320218</v>
      </c>
      <c r="B5822">
        <v>100320218</v>
      </c>
      <c r="C5822" t="s">
        <v>7018</v>
      </c>
      <c r="E5822" s="184"/>
      <c r="H5822" t="s">
        <v>595</v>
      </c>
      <c r="I5822" s="184">
        <v>43915</v>
      </c>
      <c r="K5822" s="184"/>
      <c r="M5822" s="184"/>
      <c r="O5822" s="184"/>
      <c r="P5822" t="s">
        <v>7045</v>
      </c>
      <c r="Q5822" t="s">
        <v>7194</v>
      </c>
      <c r="R5822" s="184">
        <v>17514</v>
      </c>
      <c r="S5822">
        <v>76</v>
      </c>
      <c r="V5822" t="s">
        <v>4800</v>
      </c>
      <c r="X5822" t="s">
        <v>4801</v>
      </c>
      <c r="AF5822" t="s">
        <v>39711</v>
      </c>
      <c r="AG5822" t="s">
        <v>4800</v>
      </c>
      <c r="AI5822" t="s">
        <v>39712</v>
      </c>
      <c r="AM5822" t="s">
        <v>4802</v>
      </c>
      <c r="AN5822" t="s">
        <v>2046</v>
      </c>
      <c r="AO5822" t="s">
        <v>39713</v>
      </c>
      <c r="AP5822" t="s">
        <v>7024</v>
      </c>
      <c r="AQ5822" t="s">
        <v>39714</v>
      </c>
      <c r="AT5822" s="184">
        <v>43774</v>
      </c>
      <c r="AU5822" t="s">
        <v>39715</v>
      </c>
      <c r="AV5822">
        <v>25</v>
      </c>
      <c r="AW5822" s="184">
        <v>44106</v>
      </c>
      <c r="AX5822" t="s">
        <v>10827</v>
      </c>
      <c r="AY5822">
        <v>25</v>
      </c>
      <c r="AZ5822" s="184">
        <v>44106</v>
      </c>
      <c r="BA5822" t="s">
        <v>10827</v>
      </c>
      <c r="BB5822">
        <v>25</v>
      </c>
      <c r="BC5822">
        <v>34</v>
      </c>
      <c r="BD5822">
        <v>70</v>
      </c>
      <c r="BE5822">
        <v>2020</v>
      </c>
      <c r="BF5822">
        <v>3</v>
      </c>
      <c r="BI5822">
        <v>2</v>
      </c>
      <c r="BJ5822">
        <v>6</v>
      </c>
      <c r="BK5822">
        <v>2</v>
      </c>
      <c r="BP5822" s="184"/>
    </row>
    <row r="5823" spans="1:68">
      <c r="A5823">
        <v>100322863</v>
      </c>
      <c r="B5823">
        <v>100322863</v>
      </c>
      <c r="C5823" t="s">
        <v>7018</v>
      </c>
      <c r="E5823" s="184"/>
      <c r="G5823" s="184"/>
      <c r="I5823" s="184"/>
      <c r="J5823" t="s">
        <v>595</v>
      </c>
      <c r="K5823" s="184">
        <v>37239</v>
      </c>
      <c r="M5823" s="184"/>
      <c r="O5823" s="184"/>
      <c r="Q5823" t="s">
        <v>7030</v>
      </c>
      <c r="R5823" s="184"/>
      <c r="V5823" t="s">
        <v>3400</v>
      </c>
      <c r="X5823" t="s">
        <v>2962</v>
      </c>
      <c r="AF5823" t="s">
        <v>6763</v>
      </c>
      <c r="AG5823" t="s">
        <v>3400</v>
      </c>
      <c r="AI5823" t="s">
        <v>39716</v>
      </c>
      <c r="AM5823" t="s">
        <v>2777</v>
      </c>
      <c r="AN5823" t="s">
        <v>2094</v>
      </c>
      <c r="AO5823">
        <v>80905</v>
      </c>
      <c r="AP5823" t="s">
        <v>7024</v>
      </c>
      <c r="AT5823" s="184"/>
      <c r="AW5823" s="184"/>
      <c r="AZ5823" s="184"/>
      <c r="BO5823" t="s">
        <v>595</v>
      </c>
      <c r="BP5823" s="184"/>
    </row>
    <row r="5824" spans="1:68">
      <c r="A5824">
        <v>100322864</v>
      </c>
      <c r="B5824">
        <v>100322864</v>
      </c>
      <c r="C5824" t="s">
        <v>7018</v>
      </c>
      <c r="E5824" s="184"/>
      <c r="I5824" s="184"/>
      <c r="J5824" t="s">
        <v>595</v>
      </c>
      <c r="K5824" s="184">
        <v>38762</v>
      </c>
      <c r="M5824" s="184"/>
      <c r="O5824" s="184"/>
      <c r="Q5824" t="s">
        <v>7454</v>
      </c>
      <c r="R5824" s="184"/>
      <c r="V5824" t="s">
        <v>37946</v>
      </c>
      <c r="X5824" t="s">
        <v>39717</v>
      </c>
      <c r="AF5824" t="s">
        <v>6764</v>
      </c>
      <c r="AG5824" t="s">
        <v>37946</v>
      </c>
      <c r="AI5824" t="s">
        <v>39718</v>
      </c>
      <c r="AM5824" t="s">
        <v>4101</v>
      </c>
      <c r="AN5824" t="s">
        <v>2299</v>
      </c>
      <c r="AO5824">
        <v>97301</v>
      </c>
      <c r="AP5824" t="s">
        <v>7024</v>
      </c>
      <c r="AT5824" s="184"/>
      <c r="AW5824" s="184"/>
      <c r="AZ5824" s="184"/>
      <c r="BO5824" t="s">
        <v>595</v>
      </c>
      <c r="BP5824" s="184"/>
    </row>
    <row r="5825" spans="1:68">
      <c r="A5825">
        <v>100322865</v>
      </c>
      <c r="B5825">
        <v>100322865</v>
      </c>
      <c r="C5825" t="s">
        <v>7018</v>
      </c>
      <c r="E5825" s="184"/>
      <c r="G5825" s="184"/>
      <c r="I5825" s="184"/>
      <c r="J5825" t="s">
        <v>595</v>
      </c>
      <c r="K5825" s="184">
        <v>39308</v>
      </c>
      <c r="M5825" s="184"/>
      <c r="O5825" s="184"/>
      <c r="Q5825" t="s">
        <v>7020</v>
      </c>
      <c r="R5825" s="184"/>
      <c r="V5825" t="s">
        <v>2511</v>
      </c>
      <c r="W5825" t="s">
        <v>2049</v>
      </c>
      <c r="X5825" t="s">
        <v>12515</v>
      </c>
      <c r="AF5825" t="s">
        <v>6765</v>
      </c>
      <c r="AG5825" t="s">
        <v>2511</v>
      </c>
      <c r="AI5825" t="s">
        <v>39719</v>
      </c>
      <c r="AM5825" t="s">
        <v>5381</v>
      </c>
      <c r="AN5825" t="s">
        <v>2129</v>
      </c>
      <c r="AO5825">
        <v>8807</v>
      </c>
      <c r="AP5825" t="s">
        <v>7024</v>
      </c>
      <c r="AT5825" s="184"/>
      <c r="AW5825" s="184"/>
      <c r="AZ5825" s="184"/>
      <c r="BO5825" t="s">
        <v>595</v>
      </c>
      <c r="BP5825" s="184"/>
    </row>
    <row r="5826" spans="1:68">
      <c r="A5826">
        <v>100322866</v>
      </c>
      <c r="B5826">
        <v>100322866</v>
      </c>
      <c r="C5826" t="s">
        <v>7018</v>
      </c>
      <c r="E5826" s="184"/>
      <c r="I5826" s="184"/>
      <c r="J5826" t="s">
        <v>595</v>
      </c>
      <c r="K5826" s="184">
        <v>38779</v>
      </c>
      <c r="M5826" s="184"/>
      <c r="O5826" s="184"/>
      <c r="Q5826" t="s">
        <v>7262</v>
      </c>
      <c r="R5826" s="184"/>
      <c r="V5826" t="s">
        <v>2586</v>
      </c>
      <c r="X5826" t="s">
        <v>4963</v>
      </c>
      <c r="AF5826" t="s">
        <v>6748</v>
      </c>
      <c r="AG5826" t="s">
        <v>2586</v>
      </c>
      <c r="AJ5826" t="s">
        <v>39720</v>
      </c>
      <c r="AM5826" t="s">
        <v>39721</v>
      </c>
      <c r="AN5826" t="s">
        <v>2106</v>
      </c>
      <c r="AO5826">
        <v>18411</v>
      </c>
      <c r="AP5826" t="s">
        <v>7024</v>
      </c>
      <c r="AT5826" s="184"/>
      <c r="AW5826" s="184"/>
      <c r="AZ5826" s="184"/>
      <c r="BO5826" t="s">
        <v>595</v>
      </c>
      <c r="BP5826" s="184"/>
    </row>
    <row r="5827" spans="1:68">
      <c r="A5827">
        <v>100322867</v>
      </c>
      <c r="B5827">
        <v>100322867</v>
      </c>
      <c r="C5827" t="s">
        <v>7018</v>
      </c>
      <c r="E5827" s="184"/>
      <c r="I5827" s="184"/>
      <c r="J5827" t="s">
        <v>595</v>
      </c>
      <c r="K5827" s="184">
        <v>39862</v>
      </c>
      <c r="M5827" s="184"/>
      <c r="O5827" s="184"/>
      <c r="Q5827" t="s">
        <v>7262</v>
      </c>
      <c r="R5827" s="184"/>
      <c r="V5827" t="s">
        <v>39722</v>
      </c>
      <c r="W5827" t="s">
        <v>2316</v>
      </c>
      <c r="X5827" t="s">
        <v>39723</v>
      </c>
      <c r="AF5827" t="s">
        <v>6775</v>
      </c>
      <c r="AG5827" t="s">
        <v>39722</v>
      </c>
      <c r="AI5827" t="s">
        <v>39724</v>
      </c>
      <c r="AM5827" t="s">
        <v>3079</v>
      </c>
      <c r="AN5827" t="s">
        <v>2106</v>
      </c>
      <c r="AO5827">
        <v>19609</v>
      </c>
      <c r="AP5827" t="s">
        <v>7024</v>
      </c>
      <c r="AT5827" s="184"/>
      <c r="AW5827" s="184"/>
      <c r="AZ5827" s="184"/>
      <c r="BO5827" t="s">
        <v>595</v>
      </c>
      <c r="BP5827" s="184"/>
    </row>
    <row r="5828" spans="1:68">
      <c r="A5828">
        <v>100322868</v>
      </c>
      <c r="B5828">
        <v>100322868</v>
      </c>
      <c r="C5828" t="s">
        <v>7018</v>
      </c>
      <c r="E5828" s="184"/>
      <c r="I5828" s="184"/>
      <c r="J5828" t="s">
        <v>595</v>
      </c>
      <c r="K5828" s="184">
        <v>38551</v>
      </c>
      <c r="M5828" s="184"/>
      <c r="O5828" s="184"/>
      <c r="R5828" s="184"/>
      <c r="V5828" t="s">
        <v>4111</v>
      </c>
      <c r="X5828" t="s">
        <v>39725</v>
      </c>
      <c r="AF5828" t="s">
        <v>6776</v>
      </c>
      <c r="AG5828" t="s">
        <v>4111</v>
      </c>
      <c r="AP5828" t="s">
        <v>7024</v>
      </c>
      <c r="AT5828" s="184"/>
      <c r="AW5828" s="184"/>
      <c r="AZ5828" s="184"/>
      <c r="BO5828" t="s">
        <v>595</v>
      </c>
      <c r="BP5828" s="184"/>
    </row>
    <row r="5829" spans="1:68">
      <c r="A5829">
        <v>100325853</v>
      </c>
      <c r="B5829">
        <v>100325853</v>
      </c>
      <c r="C5829" t="s">
        <v>7018</v>
      </c>
      <c r="E5829" s="184"/>
      <c r="G5829" s="184"/>
      <c r="I5829" s="184"/>
      <c r="J5829" t="s">
        <v>595</v>
      </c>
      <c r="K5829" s="184">
        <v>39057</v>
      </c>
      <c r="M5829" s="184"/>
      <c r="O5829" s="184"/>
      <c r="Q5829" t="s">
        <v>7030</v>
      </c>
      <c r="R5829" s="184"/>
      <c r="V5829" t="s">
        <v>3506</v>
      </c>
      <c r="X5829" t="s">
        <v>39726</v>
      </c>
      <c r="AF5829" t="s">
        <v>6790</v>
      </c>
      <c r="AG5829" t="s">
        <v>3506</v>
      </c>
      <c r="AI5829" t="s">
        <v>39727</v>
      </c>
      <c r="AJ5829" t="s">
        <v>39728</v>
      </c>
      <c r="AM5829" t="s">
        <v>4424</v>
      </c>
      <c r="AN5829" t="s">
        <v>2089</v>
      </c>
      <c r="AO5829">
        <v>85016</v>
      </c>
      <c r="AP5829" t="s">
        <v>7024</v>
      </c>
      <c r="AT5829" s="184"/>
      <c r="AW5829" s="184"/>
      <c r="AZ5829" s="184"/>
      <c r="BO5829" t="s">
        <v>595</v>
      </c>
      <c r="BP5829" s="184"/>
    </row>
    <row r="5830" spans="1:68">
      <c r="A5830">
        <v>100325857</v>
      </c>
      <c r="B5830">
        <v>100325857</v>
      </c>
      <c r="C5830" t="s">
        <v>7018</v>
      </c>
      <c r="E5830" s="184"/>
      <c r="G5830" s="184"/>
      <c r="I5830" s="184"/>
      <c r="J5830" t="s">
        <v>595</v>
      </c>
      <c r="K5830" s="184">
        <v>39232</v>
      </c>
      <c r="M5830" s="184"/>
      <c r="O5830" s="184"/>
      <c r="Q5830" t="s">
        <v>7494</v>
      </c>
      <c r="R5830" s="184"/>
      <c r="V5830" t="s">
        <v>3400</v>
      </c>
      <c r="W5830" t="s">
        <v>3830</v>
      </c>
      <c r="X5830" t="s">
        <v>39729</v>
      </c>
      <c r="AF5830" t="s">
        <v>6749</v>
      </c>
      <c r="AG5830" t="s">
        <v>3400</v>
      </c>
      <c r="AI5830" t="s">
        <v>39730</v>
      </c>
      <c r="AM5830" t="s">
        <v>2582</v>
      </c>
      <c r="AN5830" t="s">
        <v>2174</v>
      </c>
      <c r="AO5830">
        <v>77025</v>
      </c>
      <c r="AP5830" t="s">
        <v>7024</v>
      </c>
      <c r="AT5830" s="184"/>
      <c r="AW5830" s="184"/>
      <c r="AZ5830" s="184"/>
      <c r="BO5830" t="s">
        <v>595</v>
      </c>
      <c r="BP5830" s="184"/>
    </row>
    <row r="5831" spans="1:68">
      <c r="A5831">
        <v>100325860</v>
      </c>
      <c r="B5831">
        <v>100325860</v>
      </c>
      <c r="C5831" t="s">
        <v>7018</v>
      </c>
      <c r="E5831" s="184"/>
      <c r="I5831" s="184"/>
      <c r="J5831" t="s">
        <v>595</v>
      </c>
      <c r="K5831" s="184">
        <v>31525</v>
      </c>
      <c r="M5831" s="184"/>
      <c r="O5831" s="184"/>
      <c r="Q5831" t="s">
        <v>7374</v>
      </c>
      <c r="R5831" s="184"/>
      <c r="V5831" t="s">
        <v>2597</v>
      </c>
      <c r="W5831" t="s">
        <v>7396</v>
      </c>
      <c r="X5831" t="s">
        <v>39731</v>
      </c>
      <c r="AF5831" t="s">
        <v>6791</v>
      </c>
      <c r="AG5831" t="s">
        <v>2597</v>
      </c>
      <c r="AJ5831" t="s">
        <v>39732</v>
      </c>
      <c r="AK5831" t="s">
        <v>39733</v>
      </c>
      <c r="AM5831" t="s">
        <v>27705</v>
      </c>
      <c r="AN5831" t="s">
        <v>2081</v>
      </c>
      <c r="AO5831">
        <v>94930</v>
      </c>
      <c r="AP5831" t="s">
        <v>7024</v>
      </c>
      <c r="AT5831" s="184"/>
      <c r="AW5831" s="184"/>
      <c r="AZ5831" s="184"/>
      <c r="BO5831" t="s">
        <v>595</v>
      </c>
      <c r="BP5831" s="184"/>
    </row>
    <row r="5832" spans="1:68">
      <c r="A5832">
        <v>100325862</v>
      </c>
      <c r="B5832">
        <v>100325862</v>
      </c>
      <c r="C5832" t="s">
        <v>7018</v>
      </c>
      <c r="E5832" s="184"/>
      <c r="G5832" s="184"/>
      <c r="I5832" s="184"/>
      <c r="J5832" t="s">
        <v>595</v>
      </c>
      <c r="K5832" s="184">
        <v>43708</v>
      </c>
      <c r="M5832" s="184"/>
      <c r="O5832" s="184"/>
      <c r="Q5832" t="s">
        <v>7020</v>
      </c>
      <c r="R5832" s="184"/>
      <c r="V5832" t="s">
        <v>4136</v>
      </c>
      <c r="W5832" t="s">
        <v>3830</v>
      </c>
      <c r="X5832" t="s">
        <v>39734</v>
      </c>
      <c r="AF5832" t="s">
        <v>6769</v>
      </c>
      <c r="AG5832" t="s">
        <v>4136</v>
      </c>
      <c r="AJ5832" t="s">
        <v>39735</v>
      </c>
      <c r="AK5832" t="s">
        <v>39736</v>
      </c>
      <c r="AM5832" t="s">
        <v>4497</v>
      </c>
      <c r="AN5832" t="s">
        <v>2052</v>
      </c>
      <c r="AO5832">
        <v>1144</v>
      </c>
      <c r="AP5832" t="s">
        <v>7024</v>
      </c>
      <c r="AT5832" s="184"/>
      <c r="AW5832" s="184"/>
      <c r="AZ5832" s="184"/>
      <c r="BO5832" t="s">
        <v>595</v>
      </c>
      <c r="BP5832" s="184"/>
    </row>
    <row r="5833" spans="1:68">
      <c r="A5833">
        <v>100325864</v>
      </c>
      <c r="B5833">
        <v>100325864</v>
      </c>
      <c r="C5833" t="s">
        <v>7018</v>
      </c>
      <c r="E5833" s="184"/>
      <c r="G5833" s="184"/>
      <c r="I5833" s="184"/>
      <c r="J5833" t="s">
        <v>595</v>
      </c>
      <c r="K5833" s="184">
        <v>43490</v>
      </c>
      <c r="M5833" s="184"/>
      <c r="O5833" s="184"/>
      <c r="P5833" t="s">
        <v>26463</v>
      </c>
      <c r="Q5833" t="s">
        <v>7020</v>
      </c>
      <c r="R5833" s="184"/>
      <c r="V5833" t="s">
        <v>2922</v>
      </c>
      <c r="W5833" t="s">
        <v>7396</v>
      </c>
      <c r="X5833" t="s">
        <v>2706</v>
      </c>
      <c r="AF5833" t="s">
        <v>6567</v>
      </c>
      <c r="AG5833" t="s">
        <v>2922</v>
      </c>
      <c r="AI5833" t="s">
        <v>39737</v>
      </c>
      <c r="AJ5833" t="s">
        <v>39738</v>
      </c>
      <c r="AM5833" t="s">
        <v>4084</v>
      </c>
      <c r="AN5833" t="s">
        <v>2052</v>
      </c>
      <c r="AO5833">
        <v>1608</v>
      </c>
      <c r="AP5833" t="s">
        <v>7024</v>
      </c>
      <c r="AT5833" s="184">
        <v>43830</v>
      </c>
      <c r="AU5833" t="s">
        <v>8257</v>
      </c>
      <c r="AV5833">
        <v>600</v>
      </c>
      <c r="AW5833" s="184">
        <v>43830</v>
      </c>
      <c r="AX5833" t="s">
        <v>8257</v>
      </c>
      <c r="AY5833">
        <v>600</v>
      </c>
      <c r="AZ5833" s="184">
        <v>43830</v>
      </c>
      <c r="BA5833" t="s">
        <v>8257</v>
      </c>
      <c r="BB5833">
        <v>600</v>
      </c>
      <c r="BC5833">
        <v>17</v>
      </c>
      <c r="BD5833">
        <v>600</v>
      </c>
      <c r="BE5833">
        <v>2020</v>
      </c>
      <c r="BF5833">
        <v>1</v>
      </c>
      <c r="BI5833">
        <v>1</v>
      </c>
      <c r="BJ5833">
        <v>6</v>
      </c>
      <c r="BK5833">
        <v>1</v>
      </c>
      <c r="BO5833" t="s">
        <v>595</v>
      </c>
      <c r="BP5833" s="184"/>
    </row>
    <row r="5834" spans="1:68">
      <c r="A5834">
        <v>100325865</v>
      </c>
      <c r="B5834">
        <v>100325865</v>
      </c>
      <c r="C5834" t="s">
        <v>7018</v>
      </c>
      <c r="E5834" s="184"/>
      <c r="G5834" s="184"/>
      <c r="I5834" s="184"/>
      <c r="J5834" t="s">
        <v>595</v>
      </c>
      <c r="K5834" s="184">
        <v>43699</v>
      </c>
      <c r="M5834" s="184"/>
      <c r="O5834" s="184"/>
      <c r="Q5834" t="s">
        <v>7383</v>
      </c>
      <c r="R5834" s="184"/>
      <c r="V5834" t="s">
        <v>5400</v>
      </c>
      <c r="W5834" t="s">
        <v>4139</v>
      </c>
      <c r="X5834" t="s">
        <v>3145</v>
      </c>
      <c r="AF5834" t="s">
        <v>6755</v>
      </c>
      <c r="AG5834" t="s">
        <v>5400</v>
      </c>
      <c r="AI5834" t="s">
        <v>39739</v>
      </c>
      <c r="AJ5834" t="s">
        <v>39740</v>
      </c>
      <c r="AM5834" t="s">
        <v>11827</v>
      </c>
      <c r="AN5834" t="s">
        <v>2274</v>
      </c>
      <c r="AO5834">
        <v>54911</v>
      </c>
      <c r="AP5834" t="s">
        <v>7024</v>
      </c>
      <c r="AT5834" s="184"/>
      <c r="AW5834" s="184"/>
      <c r="AZ5834" s="184"/>
      <c r="BO5834" t="s">
        <v>595</v>
      </c>
      <c r="BP5834" s="184"/>
    </row>
    <row r="5835" spans="1:68">
      <c r="A5835">
        <v>100327619</v>
      </c>
      <c r="B5835">
        <v>100327619</v>
      </c>
      <c r="C5835" t="s">
        <v>7018</v>
      </c>
      <c r="E5835" s="184"/>
      <c r="H5835" t="s">
        <v>595</v>
      </c>
      <c r="I5835" s="184">
        <v>43914</v>
      </c>
      <c r="K5835" s="184"/>
      <c r="M5835" s="184"/>
      <c r="O5835" s="184"/>
      <c r="P5835" t="s">
        <v>7045</v>
      </c>
      <c r="Q5835" t="s">
        <v>7383</v>
      </c>
      <c r="R5835" s="184">
        <v>14430</v>
      </c>
      <c r="S5835">
        <v>84</v>
      </c>
      <c r="V5835" t="s">
        <v>2541</v>
      </c>
      <c r="X5835" t="s">
        <v>4797</v>
      </c>
      <c r="AF5835" t="s">
        <v>39741</v>
      </c>
      <c r="AG5835" t="s">
        <v>2541</v>
      </c>
      <c r="AI5835" t="s">
        <v>39742</v>
      </c>
      <c r="AM5835" t="s">
        <v>3292</v>
      </c>
      <c r="AN5835" t="s">
        <v>2144</v>
      </c>
      <c r="AO5835" t="s">
        <v>39743</v>
      </c>
      <c r="AP5835" t="s">
        <v>7024</v>
      </c>
      <c r="AQ5835" t="s">
        <v>39744</v>
      </c>
      <c r="AR5835" t="s">
        <v>39745</v>
      </c>
      <c r="AT5835" s="184">
        <v>43796</v>
      </c>
      <c r="AU5835" t="s">
        <v>39746</v>
      </c>
      <c r="AV5835">
        <v>25</v>
      </c>
      <c r="AW5835" s="184">
        <v>43796</v>
      </c>
      <c r="AX5835" t="s">
        <v>39746</v>
      </c>
      <c r="AY5835">
        <v>25</v>
      </c>
      <c r="AZ5835" s="184">
        <v>43796</v>
      </c>
      <c r="BA5835" t="s">
        <v>39746</v>
      </c>
      <c r="BB5835">
        <v>25</v>
      </c>
      <c r="BC5835">
        <v>17</v>
      </c>
      <c r="BD5835">
        <v>25</v>
      </c>
      <c r="BE5835">
        <v>2020</v>
      </c>
      <c r="BF5835">
        <v>1</v>
      </c>
      <c r="BI5835">
        <v>1</v>
      </c>
      <c r="BJ5835">
        <v>6</v>
      </c>
      <c r="BK5835">
        <v>1</v>
      </c>
      <c r="BP5835" s="184"/>
    </row>
    <row r="5836" spans="1:68">
      <c r="A5836">
        <v>100327734</v>
      </c>
      <c r="B5836">
        <v>100327734</v>
      </c>
      <c r="C5836" t="s">
        <v>7018</v>
      </c>
      <c r="D5836" t="s">
        <v>595</v>
      </c>
      <c r="E5836" s="184">
        <v>44768</v>
      </c>
      <c r="G5836" s="184"/>
      <c r="I5836" s="184"/>
      <c r="K5836" s="184"/>
      <c r="M5836" s="184"/>
      <c r="O5836" s="184"/>
      <c r="P5836" t="s">
        <v>7045</v>
      </c>
      <c r="Q5836" t="s">
        <v>7374</v>
      </c>
      <c r="R5836" s="184">
        <v>14316</v>
      </c>
      <c r="S5836">
        <v>85</v>
      </c>
      <c r="V5836" t="s">
        <v>4210</v>
      </c>
      <c r="X5836" t="s">
        <v>3938</v>
      </c>
      <c r="AF5836" t="s">
        <v>39747</v>
      </c>
      <c r="AG5836" t="s">
        <v>4210</v>
      </c>
      <c r="AI5836" t="s">
        <v>39748</v>
      </c>
      <c r="AM5836" t="s">
        <v>38117</v>
      </c>
      <c r="AN5836" t="s">
        <v>2081</v>
      </c>
      <c r="AO5836" t="s">
        <v>39749</v>
      </c>
      <c r="AP5836" t="s">
        <v>7024</v>
      </c>
      <c r="AQ5836" t="s">
        <v>39750</v>
      </c>
      <c r="AT5836" s="184">
        <v>43924</v>
      </c>
      <c r="AU5836" t="s">
        <v>39751</v>
      </c>
      <c r="AV5836">
        <v>15</v>
      </c>
      <c r="AW5836" s="184">
        <v>44740</v>
      </c>
      <c r="AX5836" t="s">
        <v>39752</v>
      </c>
      <c r="AY5836">
        <v>25</v>
      </c>
      <c r="AZ5836" s="184">
        <v>44740</v>
      </c>
      <c r="BA5836" t="s">
        <v>39752</v>
      </c>
      <c r="BB5836">
        <v>25</v>
      </c>
      <c r="BC5836">
        <v>60</v>
      </c>
      <c r="BD5836">
        <v>60</v>
      </c>
      <c r="BE5836">
        <v>2020</v>
      </c>
      <c r="BF5836">
        <v>4</v>
      </c>
      <c r="BG5836">
        <v>1</v>
      </c>
      <c r="BH5836">
        <v>25</v>
      </c>
      <c r="BI5836">
        <v>3</v>
      </c>
      <c r="BJ5836">
        <v>5</v>
      </c>
      <c r="BK5836">
        <v>3</v>
      </c>
      <c r="BM5836" t="s">
        <v>595</v>
      </c>
      <c r="BO5836" t="s">
        <v>595</v>
      </c>
      <c r="BP5836" s="184"/>
    </row>
    <row r="5837" spans="1:68">
      <c r="A5837">
        <v>100327922</v>
      </c>
      <c r="B5837">
        <v>100327922</v>
      </c>
      <c r="C5837" t="s">
        <v>7018</v>
      </c>
      <c r="E5837" s="184"/>
      <c r="I5837" s="184"/>
      <c r="J5837" t="s">
        <v>595</v>
      </c>
      <c r="K5837" s="184">
        <v>43803</v>
      </c>
      <c r="M5837" s="184"/>
      <c r="O5837" s="184"/>
      <c r="P5837" t="s">
        <v>7084</v>
      </c>
      <c r="Q5837" t="s">
        <v>7383</v>
      </c>
      <c r="R5837" s="184"/>
      <c r="V5837" t="s">
        <v>3580</v>
      </c>
      <c r="W5837" t="s">
        <v>3237</v>
      </c>
      <c r="X5837" t="s">
        <v>5681</v>
      </c>
      <c r="AF5837" t="s">
        <v>39753</v>
      </c>
      <c r="AG5837" t="s">
        <v>3580</v>
      </c>
      <c r="AI5837" t="s">
        <v>39754</v>
      </c>
      <c r="AM5837" t="s">
        <v>3345</v>
      </c>
      <c r="AN5837" t="s">
        <v>2274</v>
      </c>
      <c r="AO5837">
        <v>53221</v>
      </c>
      <c r="AP5837" t="s">
        <v>7024</v>
      </c>
      <c r="AT5837" s="184">
        <v>43808</v>
      </c>
      <c r="AU5837" t="s">
        <v>8257</v>
      </c>
      <c r="AV5837">
        <v>24760.33</v>
      </c>
      <c r="AW5837" s="184">
        <v>43808</v>
      </c>
      <c r="AX5837" t="s">
        <v>8257</v>
      </c>
      <c r="AY5837">
        <v>24760.33</v>
      </c>
      <c r="AZ5837" s="184">
        <v>43808</v>
      </c>
      <c r="BA5837" t="s">
        <v>8257</v>
      </c>
      <c r="BB5837">
        <v>24760.33</v>
      </c>
      <c r="BC5837">
        <v>17</v>
      </c>
      <c r="BD5837">
        <v>24760.33</v>
      </c>
      <c r="BE5837">
        <v>2020</v>
      </c>
      <c r="BF5837">
        <v>1</v>
      </c>
      <c r="BI5837">
        <v>1</v>
      </c>
      <c r="BJ5837">
        <v>6</v>
      </c>
      <c r="BK5837">
        <v>1</v>
      </c>
      <c r="BO5837" t="s">
        <v>595</v>
      </c>
      <c r="BP5837" s="184">
        <v>43724</v>
      </c>
    </row>
    <row r="5838" spans="1:68">
      <c r="A5838">
        <v>100329740</v>
      </c>
      <c r="B5838">
        <v>100329740</v>
      </c>
      <c r="C5838" t="s">
        <v>7018</v>
      </c>
      <c r="D5838" t="s">
        <v>595</v>
      </c>
      <c r="E5838" s="184">
        <v>44823</v>
      </c>
      <c r="G5838" s="184"/>
      <c r="I5838" s="184"/>
      <c r="K5838" s="184"/>
      <c r="M5838" s="184"/>
      <c r="O5838" s="184"/>
      <c r="P5838" t="s">
        <v>7045</v>
      </c>
      <c r="Q5838" t="s">
        <v>7374</v>
      </c>
      <c r="R5838" s="184">
        <v>23263</v>
      </c>
      <c r="S5838">
        <v>60</v>
      </c>
      <c r="V5838" t="s">
        <v>39755</v>
      </c>
      <c r="X5838" t="s">
        <v>2512</v>
      </c>
      <c r="AF5838" t="s">
        <v>39756</v>
      </c>
      <c r="AG5838" t="s">
        <v>39755</v>
      </c>
      <c r="AI5838" t="s">
        <v>39757</v>
      </c>
      <c r="AM5838" t="s">
        <v>35144</v>
      </c>
      <c r="AN5838" t="s">
        <v>2081</v>
      </c>
      <c r="AO5838" t="s">
        <v>39758</v>
      </c>
      <c r="AP5838" t="s">
        <v>7024</v>
      </c>
      <c r="AQ5838" t="s">
        <v>39759</v>
      </c>
      <c r="AT5838" s="184">
        <v>43810</v>
      </c>
      <c r="AU5838" t="s">
        <v>15742</v>
      </c>
      <c r="AV5838">
        <v>20</v>
      </c>
      <c r="AW5838" s="184">
        <v>44589</v>
      </c>
      <c r="AX5838" t="s">
        <v>39760</v>
      </c>
      <c r="AY5838">
        <v>7</v>
      </c>
      <c r="AZ5838" s="184">
        <v>43901</v>
      </c>
      <c r="BA5838" t="s">
        <v>39761</v>
      </c>
      <c r="BB5838">
        <v>20</v>
      </c>
      <c r="BC5838">
        <v>67</v>
      </c>
      <c r="BD5838">
        <v>157</v>
      </c>
      <c r="BE5838">
        <v>2020</v>
      </c>
      <c r="BF5838">
        <v>15</v>
      </c>
      <c r="BI5838">
        <v>4</v>
      </c>
      <c r="BJ5838">
        <v>6</v>
      </c>
      <c r="BK5838">
        <v>4</v>
      </c>
      <c r="BP5838" s="184"/>
    </row>
    <row r="5839" spans="1:68">
      <c r="A5839">
        <v>100329956</v>
      </c>
      <c r="B5839">
        <v>100329956</v>
      </c>
      <c r="C5839" t="s">
        <v>7018</v>
      </c>
      <c r="E5839" s="184"/>
      <c r="I5839" s="184"/>
      <c r="J5839" t="s">
        <v>595</v>
      </c>
      <c r="K5839" s="184">
        <v>45343</v>
      </c>
      <c r="M5839" s="184"/>
      <c r="O5839" s="184"/>
      <c r="P5839" t="s">
        <v>7045</v>
      </c>
      <c r="Q5839" t="s">
        <v>7383</v>
      </c>
      <c r="R5839" s="184">
        <v>20363</v>
      </c>
      <c r="S5839">
        <v>68</v>
      </c>
      <c r="V5839" t="s">
        <v>3463</v>
      </c>
      <c r="X5839" t="s">
        <v>39762</v>
      </c>
      <c r="AF5839" t="s">
        <v>39763</v>
      </c>
      <c r="AG5839" t="s">
        <v>3463</v>
      </c>
      <c r="AI5839" t="s">
        <v>39764</v>
      </c>
      <c r="AM5839" t="s">
        <v>39765</v>
      </c>
      <c r="AN5839" t="s">
        <v>2144</v>
      </c>
      <c r="AO5839" t="s">
        <v>39766</v>
      </c>
      <c r="AP5839" t="s">
        <v>7024</v>
      </c>
      <c r="AQ5839" t="s">
        <v>39767</v>
      </c>
      <c r="AR5839" t="s">
        <v>39768</v>
      </c>
      <c r="AT5839" s="184">
        <v>43805</v>
      </c>
      <c r="AU5839" t="s">
        <v>39769</v>
      </c>
      <c r="AV5839">
        <v>50</v>
      </c>
      <c r="AW5839" s="184">
        <v>45390</v>
      </c>
      <c r="AX5839" t="s">
        <v>7742</v>
      </c>
      <c r="AY5839">
        <v>500</v>
      </c>
      <c r="AZ5839" s="184">
        <v>45390</v>
      </c>
      <c r="BA5839" t="s">
        <v>7742</v>
      </c>
      <c r="BB5839">
        <v>500</v>
      </c>
      <c r="BC5839">
        <v>50</v>
      </c>
      <c r="BD5839">
        <v>865</v>
      </c>
      <c r="BE5839">
        <v>2020</v>
      </c>
      <c r="BF5839">
        <v>5</v>
      </c>
      <c r="BG5839">
        <v>1</v>
      </c>
      <c r="BH5839">
        <v>500</v>
      </c>
      <c r="BI5839">
        <v>3</v>
      </c>
      <c r="BJ5839">
        <v>6</v>
      </c>
      <c r="BK5839">
        <v>2</v>
      </c>
      <c r="BP5839" s="184"/>
    </row>
    <row r="5840" spans="1:68">
      <c r="A5840">
        <v>100330812</v>
      </c>
      <c r="B5840">
        <v>100330812</v>
      </c>
      <c r="C5840" t="s">
        <v>7018</v>
      </c>
      <c r="E5840" s="184"/>
      <c r="I5840" s="184"/>
      <c r="J5840" t="s">
        <v>595</v>
      </c>
      <c r="K5840" s="184">
        <v>43816</v>
      </c>
      <c r="M5840" s="184"/>
      <c r="O5840" s="184"/>
      <c r="P5840" t="s">
        <v>7084</v>
      </c>
      <c r="Q5840" t="s">
        <v>7383</v>
      </c>
      <c r="R5840" s="184">
        <v>6007</v>
      </c>
      <c r="S5840">
        <v>107</v>
      </c>
      <c r="V5840" t="s">
        <v>2863</v>
      </c>
      <c r="W5840" t="s">
        <v>5006</v>
      </c>
      <c r="X5840" t="s">
        <v>4685</v>
      </c>
      <c r="AF5840" t="s">
        <v>6777</v>
      </c>
      <c r="AG5840" t="s">
        <v>2863</v>
      </c>
      <c r="AI5840" t="s">
        <v>39770</v>
      </c>
      <c r="AM5840" t="s">
        <v>2633</v>
      </c>
      <c r="AN5840" t="s">
        <v>2059</v>
      </c>
      <c r="AO5840">
        <v>451251</v>
      </c>
      <c r="AP5840" t="s">
        <v>7024</v>
      </c>
      <c r="AT5840" s="184">
        <v>44012</v>
      </c>
      <c r="AU5840" t="s">
        <v>8257</v>
      </c>
      <c r="AV5840">
        <v>17890.189999999999</v>
      </c>
      <c r="AW5840" s="184">
        <v>44012</v>
      </c>
      <c r="AX5840" t="s">
        <v>8257</v>
      </c>
      <c r="AY5840">
        <v>17890.189999999999</v>
      </c>
      <c r="AZ5840" s="184">
        <v>44012</v>
      </c>
      <c r="BA5840" t="s">
        <v>8257</v>
      </c>
      <c r="BB5840">
        <v>17890.189999999999</v>
      </c>
      <c r="BC5840">
        <v>20</v>
      </c>
      <c r="BD5840">
        <v>17890.189999999999</v>
      </c>
      <c r="BE5840">
        <v>2020</v>
      </c>
      <c r="BF5840">
        <v>1</v>
      </c>
      <c r="BI5840">
        <v>1</v>
      </c>
      <c r="BJ5840">
        <v>5</v>
      </c>
      <c r="BK5840">
        <v>1</v>
      </c>
      <c r="BO5840" t="s">
        <v>595</v>
      </c>
      <c r="BP5840" s="184">
        <v>42799</v>
      </c>
    </row>
    <row r="5841" spans="1:68">
      <c r="A5841">
        <v>100333454</v>
      </c>
      <c r="B5841">
        <v>100333454</v>
      </c>
      <c r="C5841" t="s">
        <v>7018</v>
      </c>
      <c r="D5841" t="s">
        <v>595</v>
      </c>
      <c r="E5841" s="184">
        <v>43647</v>
      </c>
      <c r="G5841" s="184"/>
      <c r="I5841" s="184"/>
      <c r="K5841" s="184"/>
      <c r="M5841" s="184"/>
      <c r="O5841" s="184"/>
      <c r="P5841" t="s">
        <v>7045</v>
      </c>
      <c r="Q5841" t="s">
        <v>7383</v>
      </c>
      <c r="R5841" s="184">
        <v>16954</v>
      </c>
      <c r="S5841">
        <v>77</v>
      </c>
      <c r="U5841" t="s">
        <v>7076</v>
      </c>
      <c r="V5841" t="s">
        <v>3122</v>
      </c>
      <c r="W5841" t="s">
        <v>4327</v>
      </c>
      <c r="X5841" t="s">
        <v>3449</v>
      </c>
      <c r="AF5841" t="s">
        <v>39771</v>
      </c>
      <c r="AG5841" t="s">
        <v>3122</v>
      </c>
      <c r="AI5841" t="s">
        <v>39772</v>
      </c>
      <c r="AM5841" t="s">
        <v>3130</v>
      </c>
      <c r="AN5841" t="s">
        <v>2072</v>
      </c>
      <c r="AO5841" t="s">
        <v>39773</v>
      </c>
      <c r="AP5841" t="s">
        <v>7024</v>
      </c>
      <c r="AQ5841" t="s">
        <v>39774</v>
      </c>
      <c r="AT5841" s="184">
        <v>38978</v>
      </c>
      <c r="AU5841" t="s">
        <v>39775</v>
      </c>
      <c r="AV5841">
        <v>25</v>
      </c>
      <c r="AW5841" s="184">
        <v>45268</v>
      </c>
      <c r="AX5841" t="s">
        <v>20597</v>
      </c>
      <c r="AY5841">
        <v>100</v>
      </c>
      <c r="AZ5841" s="184">
        <v>45268</v>
      </c>
      <c r="BA5841" t="s">
        <v>20597</v>
      </c>
      <c r="BB5841">
        <v>100</v>
      </c>
      <c r="BC5841">
        <v>69</v>
      </c>
      <c r="BD5841">
        <v>725</v>
      </c>
      <c r="BE5841">
        <v>2007</v>
      </c>
      <c r="BF5841">
        <v>17</v>
      </c>
      <c r="BG5841">
        <v>2</v>
      </c>
      <c r="BH5841">
        <v>200</v>
      </c>
      <c r="BI5841">
        <v>13</v>
      </c>
      <c r="BJ5841">
        <v>19</v>
      </c>
      <c r="BK5841">
        <v>7</v>
      </c>
      <c r="BP5841" s="184"/>
    </row>
    <row r="5842" spans="1:68">
      <c r="A5842">
        <v>100333573</v>
      </c>
      <c r="B5842">
        <v>100333573</v>
      </c>
      <c r="C5842" t="s">
        <v>7018</v>
      </c>
      <c r="E5842" s="184"/>
      <c r="G5842" s="184"/>
      <c r="I5842" s="184"/>
      <c r="J5842" t="s">
        <v>595</v>
      </c>
      <c r="K5842" s="184">
        <v>44528</v>
      </c>
      <c r="M5842" s="184"/>
      <c r="O5842" s="184"/>
      <c r="P5842" t="s">
        <v>7084</v>
      </c>
      <c r="Q5842" t="s">
        <v>7383</v>
      </c>
      <c r="R5842" s="184">
        <v>18764</v>
      </c>
      <c r="S5842">
        <v>72</v>
      </c>
      <c r="U5842" t="s">
        <v>7076</v>
      </c>
      <c r="V5842" t="s">
        <v>3981</v>
      </c>
      <c r="X5842" t="s">
        <v>3175</v>
      </c>
      <c r="AF5842" t="s">
        <v>39776</v>
      </c>
      <c r="AG5842" t="s">
        <v>3981</v>
      </c>
      <c r="AM5842" t="s">
        <v>7550</v>
      </c>
      <c r="AN5842" t="s">
        <v>2162</v>
      </c>
      <c r="AO5842">
        <v>51351</v>
      </c>
      <c r="AP5842" t="s">
        <v>7024</v>
      </c>
      <c r="AT5842" s="184">
        <v>44536</v>
      </c>
      <c r="AU5842" t="s">
        <v>7093</v>
      </c>
      <c r="AV5842">
        <v>20000</v>
      </c>
      <c r="AW5842" s="184">
        <v>44536</v>
      </c>
      <c r="AX5842" t="s">
        <v>7093</v>
      </c>
      <c r="AY5842">
        <v>20000</v>
      </c>
      <c r="AZ5842" s="184">
        <v>44536</v>
      </c>
      <c r="BA5842" t="s">
        <v>7093</v>
      </c>
      <c r="BB5842">
        <v>20000</v>
      </c>
      <c r="BC5842">
        <v>25</v>
      </c>
      <c r="BD5842">
        <v>20000</v>
      </c>
      <c r="BE5842">
        <v>2022</v>
      </c>
      <c r="BF5842">
        <v>1</v>
      </c>
      <c r="BI5842">
        <v>1</v>
      </c>
      <c r="BJ5842">
        <v>4</v>
      </c>
      <c r="BK5842">
        <v>1</v>
      </c>
      <c r="BO5842" t="s">
        <v>595</v>
      </c>
      <c r="BP5842" s="184">
        <v>43816</v>
      </c>
    </row>
    <row r="5843" spans="1:68">
      <c r="A5843">
        <v>3645058</v>
      </c>
      <c r="B5843">
        <v>100334417</v>
      </c>
      <c r="C5843" t="s">
        <v>7018</v>
      </c>
      <c r="E5843" s="184"/>
      <c r="G5843" s="184"/>
      <c r="H5843" t="s">
        <v>595</v>
      </c>
      <c r="I5843" s="184">
        <v>44281</v>
      </c>
      <c r="J5843" t="s">
        <v>595</v>
      </c>
      <c r="K5843" s="184">
        <v>43832</v>
      </c>
      <c r="M5843" s="184"/>
      <c r="N5843" t="s">
        <v>595</v>
      </c>
      <c r="O5843" s="184">
        <v>43872</v>
      </c>
      <c r="P5843" t="s">
        <v>7045</v>
      </c>
      <c r="Q5843" t="s">
        <v>7160</v>
      </c>
      <c r="R5843" s="184">
        <v>14730</v>
      </c>
      <c r="S5843">
        <v>84</v>
      </c>
      <c r="U5843" t="s">
        <v>7076</v>
      </c>
      <c r="V5843" t="s">
        <v>5701</v>
      </c>
      <c r="X5843" t="s">
        <v>4514</v>
      </c>
      <c r="Z5843">
        <v>100334417</v>
      </c>
      <c r="AA5843" t="s">
        <v>7031</v>
      </c>
      <c r="AB5843" t="s">
        <v>2697</v>
      </c>
      <c r="AC5843" t="s">
        <v>7588</v>
      </c>
      <c r="AD5843" t="s">
        <v>4514</v>
      </c>
      <c r="AE5843" t="s">
        <v>39777</v>
      </c>
      <c r="AF5843" t="s">
        <v>6339</v>
      </c>
      <c r="AG5843" t="s">
        <v>2697</v>
      </c>
      <c r="AI5843" t="s">
        <v>39778</v>
      </c>
      <c r="AJ5843" t="s">
        <v>39779</v>
      </c>
      <c r="AM5843" t="s">
        <v>4515</v>
      </c>
      <c r="AN5843" t="s">
        <v>2395</v>
      </c>
      <c r="AO5843" t="s">
        <v>39780</v>
      </c>
      <c r="AP5843" t="s">
        <v>7024</v>
      </c>
      <c r="AQ5843" t="s">
        <v>39781</v>
      </c>
      <c r="AT5843" s="184">
        <v>33039</v>
      </c>
      <c r="AU5843" t="s">
        <v>10952</v>
      </c>
      <c r="AV5843">
        <v>17</v>
      </c>
      <c r="AW5843" s="184">
        <v>43816</v>
      </c>
      <c r="AX5843" t="s">
        <v>39782</v>
      </c>
      <c r="AY5843">
        <v>150</v>
      </c>
      <c r="AZ5843" s="184">
        <v>43816</v>
      </c>
      <c r="BA5843" t="s">
        <v>39782</v>
      </c>
      <c r="BB5843">
        <v>150</v>
      </c>
      <c r="BC5843">
        <v>35</v>
      </c>
      <c r="BD5843">
        <v>962</v>
      </c>
      <c r="BE5843">
        <v>1990</v>
      </c>
      <c r="BF5843">
        <v>17</v>
      </c>
      <c r="BI5843">
        <v>12</v>
      </c>
      <c r="BJ5843">
        <v>35</v>
      </c>
      <c r="BK5843">
        <v>5</v>
      </c>
      <c r="BO5843" t="s">
        <v>595</v>
      </c>
      <c r="BP5843" s="184">
        <v>43515</v>
      </c>
    </row>
    <row r="5844" spans="1:68">
      <c r="A5844">
        <v>100334417</v>
      </c>
      <c r="B5844">
        <v>100334417</v>
      </c>
      <c r="C5844" t="s">
        <v>7018</v>
      </c>
      <c r="E5844" s="184"/>
      <c r="G5844" s="184"/>
      <c r="H5844" t="s">
        <v>595</v>
      </c>
      <c r="I5844" s="184">
        <v>44281</v>
      </c>
      <c r="J5844" t="s">
        <v>595</v>
      </c>
      <c r="K5844" s="184">
        <v>43832</v>
      </c>
      <c r="M5844" s="184"/>
      <c r="N5844" t="s">
        <v>595</v>
      </c>
      <c r="O5844" s="184">
        <v>43872</v>
      </c>
      <c r="P5844" t="s">
        <v>7045</v>
      </c>
      <c r="Q5844" t="s">
        <v>7160</v>
      </c>
      <c r="R5844" s="184">
        <v>14241</v>
      </c>
      <c r="S5844">
        <v>85</v>
      </c>
      <c r="U5844" t="s">
        <v>7031</v>
      </c>
      <c r="V5844" t="s">
        <v>2697</v>
      </c>
      <c r="W5844" t="s">
        <v>7588</v>
      </c>
      <c r="X5844" t="s">
        <v>4514</v>
      </c>
      <c r="Y5844" t="s">
        <v>39777</v>
      </c>
      <c r="Z5844">
        <v>3645058</v>
      </c>
      <c r="AA5844" t="s">
        <v>7076</v>
      </c>
      <c r="AB5844" t="s">
        <v>5701</v>
      </c>
      <c r="AD5844" t="s">
        <v>4514</v>
      </c>
      <c r="AF5844" t="s">
        <v>6339</v>
      </c>
      <c r="AG5844" t="s">
        <v>2697</v>
      </c>
      <c r="AI5844" t="s">
        <v>39778</v>
      </c>
      <c r="AJ5844" t="s">
        <v>39779</v>
      </c>
      <c r="AM5844" t="s">
        <v>4515</v>
      </c>
      <c r="AN5844" t="s">
        <v>2395</v>
      </c>
      <c r="AO5844" t="s">
        <v>39780</v>
      </c>
      <c r="AP5844" t="s">
        <v>7024</v>
      </c>
      <c r="AQ5844" t="s">
        <v>39783</v>
      </c>
      <c r="AT5844" s="184">
        <v>43857</v>
      </c>
      <c r="AU5844" t="s">
        <v>39784</v>
      </c>
      <c r="AV5844">
        <v>25000</v>
      </c>
      <c r="AW5844" s="184">
        <v>45159</v>
      </c>
      <c r="AX5844" t="s">
        <v>36719</v>
      </c>
      <c r="AY5844">
        <v>350</v>
      </c>
      <c r="AZ5844" s="184">
        <v>44623</v>
      </c>
      <c r="BA5844" t="s">
        <v>20234</v>
      </c>
      <c r="BB5844">
        <v>25000</v>
      </c>
      <c r="BC5844">
        <v>80</v>
      </c>
      <c r="BD5844">
        <v>76450</v>
      </c>
      <c r="BE5844">
        <v>2020</v>
      </c>
      <c r="BF5844">
        <v>8</v>
      </c>
      <c r="BG5844">
        <v>2</v>
      </c>
      <c r="BH5844">
        <v>600</v>
      </c>
      <c r="BI5844">
        <v>4</v>
      </c>
      <c r="BJ5844">
        <v>5</v>
      </c>
      <c r="BK5844">
        <v>4</v>
      </c>
      <c r="BP5844" s="184"/>
    </row>
    <row r="5845" spans="1:68">
      <c r="A5845">
        <v>789982</v>
      </c>
      <c r="B5845">
        <v>100334464</v>
      </c>
      <c r="C5845" t="s">
        <v>7018</v>
      </c>
      <c r="E5845" s="184"/>
      <c r="G5845" s="184"/>
      <c r="I5845" s="184"/>
      <c r="J5845" t="s">
        <v>595</v>
      </c>
      <c r="K5845" s="184">
        <v>44544</v>
      </c>
      <c r="M5845" s="184"/>
      <c r="O5845" s="184"/>
      <c r="P5845" t="s">
        <v>7029</v>
      </c>
      <c r="Q5845" t="s">
        <v>7020</v>
      </c>
      <c r="R5845" s="184">
        <v>18384</v>
      </c>
      <c r="S5845">
        <v>74</v>
      </c>
      <c r="U5845" t="s">
        <v>7130</v>
      </c>
      <c r="V5845" t="s">
        <v>2600</v>
      </c>
      <c r="W5845" t="s">
        <v>3226</v>
      </c>
      <c r="X5845" t="s">
        <v>39785</v>
      </c>
      <c r="Z5845">
        <v>100334464</v>
      </c>
      <c r="AA5845" t="s">
        <v>7031</v>
      </c>
      <c r="AB5845" t="s">
        <v>4676</v>
      </c>
      <c r="AD5845" t="s">
        <v>39785</v>
      </c>
      <c r="AF5845" t="s">
        <v>39786</v>
      </c>
      <c r="AG5845" t="s">
        <v>4676</v>
      </c>
      <c r="AI5845" t="s">
        <v>39787</v>
      </c>
      <c r="AM5845" t="s">
        <v>19628</v>
      </c>
      <c r="AN5845" t="s">
        <v>2240</v>
      </c>
      <c r="AO5845" t="s">
        <v>39788</v>
      </c>
      <c r="AP5845" t="s">
        <v>7024</v>
      </c>
      <c r="AQ5845" t="s">
        <v>39789</v>
      </c>
      <c r="AT5845" s="184">
        <v>31385</v>
      </c>
      <c r="AU5845" t="s">
        <v>8515</v>
      </c>
      <c r="AV5845">
        <v>18</v>
      </c>
      <c r="AW5845" s="184">
        <v>43784</v>
      </c>
      <c r="AX5845" t="s">
        <v>17953</v>
      </c>
      <c r="AY5845">
        <v>1000</v>
      </c>
      <c r="AZ5845" s="184">
        <v>43784</v>
      </c>
      <c r="BA5845" t="s">
        <v>17953</v>
      </c>
      <c r="BB5845">
        <v>1000</v>
      </c>
      <c r="BC5845">
        <v>73</v>
      </c>
      <c r="BD5845">
        <v>4405</v>
      </c>
      <c r="BE5845">
        <v>1986</v>
      </c>
      <c r="BF5845">
        <v>36</v>
      </c>
      <c r="BI5845">
        <v>29</v>
      </c>
      <c r="BJ5845">
        <v>40</v>
      </c>
      <c r="BK5845">
        <v>20</v>
      </c>
      <c r="BO5845" t="s">
        <v>595</v>
      </c>
      <c r="BP5845" s="184"/>
    </row>
    <row r="5846" spans="1:68">
      <c r="A5846">
        <v>100334464</v>
      </c>
      <c r="B5846">
        <v>100334464</v>
      </c>
      <c r="C5846" t="s">
        <v>7018</v>
      </c>
      <c r="E5846" s="184"/>
      <c r="G5846" s="184"/>
      <c r="I5846" s="184"/>
      <c r="J5846" t="s">
        <v>595</v>
      </c>
      <c r="K5846" s="184">
        <v>44544</v>
      </c>
      <c r="M5846" s="184"/>
      <c r="O5846" s="184"/>
      <c r="P5846" t="s">
        <v>7029</v>
      </c>
      <c r="Q5846" t="s">
        <v>7020</v>
      </c>
      <c r="R5846" s="184">
        <v>16600</v>
      </c>
      <c r="S5846">
        <v>78</v>
      </c>
      <c r="U5846" t="s">
        <v>7031</v>
      </c>
      <c r="V5846" t="s">
        <v>4676</v>
      </c>
      <c r="X5846" t="s">
        <v>39785</v>
      </c>
      <c r="Z5846">
        <v>789982</v>
      </c>
      <c r="AA5846" t="s">
        <v>7130</v>
      </c>
      <c r="AB5846" t="s">
        <v>2600</v>
      </c>
      <c r="AC5846" t="s">
        <v>3226</v>
      </c>
      <c r="AD5846" t="s">
        <v>39785</v>
      </c>
      <c r="AF5846" t="s">
        <v>39786</v>
      </c>
      <c r="AG5846" t="s">
        <v>4676</v>
      </c>
      <c r="AI5846" t="s">
        <v>39787</v>
      </c>
      <c r="AM5846" t="s">
        <v>19628</v>
      </c>
      <c r="AN5846" t="s">
        <v>2240</v>
      </c>
      <c r="AO5846" t="s">
        <v>39788</v>
      </c>
      <c r="AP5846" t="s">
        <v>7024</v>
      </c>
      <c r="AQ5846" t="s">
        <v>39790</v>
      </c>
      <c r="AT5846" s="184">
        <v>44041</v>
      </c>
      <c r="AU5846" t="s">
        <v>7395</v>
      </c>
      <c r="AV5846">
        <v>200</v>
      </c>
      <c r="AW5846" s="184">
        <v>45190</v>
      </c>
      <c r="AX5846" t="s">
        <v>20499</v>
      </c>
      <c r="AY5846">
        <v>1000</v>
      </c>
      <c r="AZ5846" s="184">
        <v>44536</v>
      </c>
      <c r="BA5846" t="s">
        <v>13583</v>
      </c>
      <c r="BB5846">
        <v>1860.2</v>
      </c>
      <c r="BC5846">
        <v>80</v>
      </c>
      <c r="BD5846">
        <v>4060.2</v>
      </c>
      <c r="BE5846">
        <v>2021</v>
      </c>
      <c r="BF5846">
        <v>4</v>
      </c>
      <c r="BG5846">
        <v>2</v>
      </c>
      <c r="BH5846">
        <v>2000</v>
      </c>
      <c r="BI5846">
        <v>4</v>
      </c>
      <c r="BJ5846">
        <v>5</v>
      </c>
      <c r="BK5846">
        <v>4</v>
      </c>
      <c r="BP5846" s="184"/>
    </row>
    <row r="5847" spans="1:68">
      <c r="A5847">
        <v>100334480</v>
      </c>
      <c r="B5847">
        <v>100334480</v>
      </c>
      <c r="C5847" t="s">
        <v>7018</v>
      </c>
      <c r="E5847" s="184"/>
      <c r="G5847" s="184"/>
      <c r="I5847" s="184"/>
      <c r="K5847" s="184"/>
      <c r="L5847" t="s">
        <v>595</v>
      </c>
      <c r="M5847" s="184">
        <v>44265</v>
      </c>
      <c r="O5847" s="184"/>
      <c r="P5847" t="s">
        <v>7045</v>
      </c>
      <c r="Q5847" t="s">
        <v>7383</v>
      </c>
      <c r="R5847" s="184">
        <v>18065</v>
      </c>
      <c r="S5847">
        <v>74</v>
      </c>
      <c r="V5847" t="s">
        <v>3008</v>
      </c>
      <c r="X5847" t="s">
        <v>2706</v>
      </c>
      <c r="AF5847" t="s">
        <v>39791</v>
      </c>
      <c r="AG5847" t="s">
        <v>3008</v>
      </c>
      <c r="AI5847" t="s">
        <v>39792</v>
      </c>
      <c r="AM5847" t="s">
        <v>39793</v>
      </c>
      <c r="AN5847" t="s">
        <v>2059</v>
      </c>
      <c r="AO5847" t="s">
        <v>39794</v>
      </c>
      <c r="AP5847" t="s">
        <v>7024</v>
      </c>
      <c r="AQ5847" t="s">
        <v>39795</v>
      </c>
      <c r="AT5847" s="184">
        <v>43837</v>
      </c>
      <c r="AU5847" t="s">
        <v>24643</v>
      </c>
      <c r="AV5847">
        <v>100</v>
      </c>
      <c r="AW5847" s="184">
        <v>44902</v>
      </c>
      <c r="AX5847" t="s">
        <v>15628</v>
      </c>
      <c r="AY5847">
        <v>100</v>
      </c>
      <c r="AZ5847" s="184">
        <v>44902</v>
      </c>
      <c r="BA5847" t="s">
        <v>15628</v>
      </c>
      <c r="BB5847">
        <v>100</v>
      </c>
      <c r="BC5847">
        <v>60</v>
      </c>
      <c r="BD5847">
        <v>400</v>
      </c>
      <c r="BE5847">
        <v>2020</v>
      </c>
      <c r="BF5847">
        <v>4</v>
      </c>
      <c r="BG5847">
        <v>1</v>
      </c>
      <c r="BH5847">
        <v>100</v>
      </c>
      <c r="BI5847">
        <v>3</v>
      </c>
      <c r="BJ5847">
        <v>5</v>
      </c>
      <c r="BK5847">
        <v>3</v>
      </c>
    </row>
    <row r="5848" spans="1:68">
      <c r="A5848">
        <v>100335192</v>
      </c>
      <c r="B5848">
        <v>100335192</v>
      </c>
      <c r="C5848" t="s">
        <v>7018</v>
      </c>
      <c r="E5848" s="184"/>
      <c r="G5848" s="184"/>
      <c r="I5848" s="184"/>
      <c r="J5848" t="s">
        <v>595</v>
      </c>
      <c r="K5848" s="184">
        <v>43892</v>
      </c>
      <c r="M5848" s="184"/>
      <c r="O5848" s="184"/>
      <c r="P5848" t="s">
        <v>7045</v>
      </c>
      <c r="Q5848" t="s">
        <v>7383</v>
      </c>
      <c r="R5848" s="184"/>
      <c r="V5848" t="s">
        <v>2697</v>
      </c>
      <c r="X5848" t="s">
        <v>39796</v>
      </c>
      <c r="Z5848">
        <v>100436261</v>
      </c>
      <c r="AB5848" t="s">
        <v>2733</v>
      </c>
      <c r="AD5848" t="s">
        <v>39797</v>
      </c>
      <c r="AF5848" t="s">
        <v>39798</v>
      </c>
      <c r="AG5848" t="s">
        <v>39799</v>
      </c>
      <c r="AI5848" t="s">
        <v>39800</v>
      </c>
      <c r="AJ5848" t="s">
        <v>39801</v>
      </c>
      <c r="AM5848" t="s">
        <v>3803</v>
      </c>
      <c r="AN5848" t="s">
        <v>2185</v>
      </c>
      <c r="AO5848">
        <v>55423</v>
      </c>
      <c r="AP5848" t="s">
        <v>7024</v>
      </c>
      <c r="AQ5848" t="s">
        <v>39802</v>
      </c>
      <c r="AT5848" s="184">
        <v>43859</v>
      </c>
      <c r="AU5848" t="s">
        <v>39803</v>
      </c>
      <c r="AV5848">
        <v>35</v>
      </c>
      <c r="AW5848" s="184">
        <v>45348</v>
      </c>
      <c r="AX5848" t="s">
        <v>7742</v>
      </c>
      <c r="AY5848">
        <v>200</v>
      </c>
      <c r="AZ5848" s="184">
        <v>45348</v>
      </c>
      <c r="BA5848" t="s">
        <v>7742</v>
      </c>
      <c r="BB5848">
        <v>200</v>
      </c>
      <c r="BC5848">
        <v>100</v>
      </c>
      <c r="BD5848">
        <v>2085</v>
      </c>
      <c r="BE5848">
        <v>2020</v>
      </c>
      <c r="BF5848">
        <v>48</v>
      </c>
      <c r="BG5848">
        <v>20</v>
      </c>
      <c r="BH5848">
        <v>1055</v>
      </c>
      <c r="BI5848">
        <v>5</v>
      </c>
      <c r="BJ5848">
        <v>5</v>
      </c>
      <c r="BK5848">
        <v>5</v>
      </c>
      <c r="BP5848" s="184"/>
    </row>
    <row r="5849" spans="1:68">
      <c r="A5849">
        <v>100436261</v>
      </c>
      <c r="B5849">
        <v>100335192</v>
      </c>
      <c r="C5849" t="s">
        <v>7018</v>
      </c>
      <c r="E5849" s="184"/>
      <c r="I5849" s="184"/>
      <c r="J5849" t="s">
        <v>595</v>
      </c>
      <c r="K5849" s="184">
        <v>43991</v>
      </c>
      <c r="M5849" s="184"/>
      <c r="O5849" s="184"/>
      <c r="P5849" t="s">
        <v>7045</v>
      </c>
      <c r="Q5849" t="s">
        <v>7383</v>
      </c>
      <c r="R5849" s="184"/>
      <c r="V5849" t="s">
        <v>2733</v>
      </c>
      <c r="X5849" t="s">
        <v>39797</v>
      </c>
      <c r="Z5849">
        <v>100335192</v>
      </c>
      <c r="AB5849" t="s">
        <v>2697</v>
      </c>
      <c r="AD5849" t="s">
        <v>39796</v>
      </c>
      <c r="AF5849" t="s">
        <v>39798</v>
      </c>
      <c r="AG5849" t="s">
        <v>39799</v>
      </c>
      <c r="AI5849" t="s">
        <v>39800</v>
      </c>
      <c r="AJ5849" t="s">
        <v>39801</v>
      </c>
      <c r="AM5849" t="s">
        <v>3803</v>
      </c>
      <c r="AN5849" t="s">
        <v>2185</v>
      </c>
      <c r="AO5849">
        <v>55423</v>
      </c>
      <c r="AP5849" t="s">
        <v>7024</v>
      </c>
      <c r="AT5849" s="184"/>
      <c r="AW5849" s="184"/>
      <c r="AZ5849" s="184"/>
      <c r="BP5849" s="184"/>
    </row>
    <row r="5850" spans="1:68">
      <c r="A5850">
        <v>100337119</v>
      </c>
      <c r="B5850">
        <v>100337119</v>
      </c>
      <c r="C5850" t="s">
        <v>7018</v>
      </c>
      <c r="E5850" s="184"/>
      <c r="G5850" s="184"/>
      <c r="I5850" s="184"/>
      <c r="J5850" t="s">
        <v>595</v>
      </c>
      <c r="K5850" s="184">
        <v>45224</v>
      </c>
      <c r="M5850" s="184"/>
      <c r="O5850" s="184"/>
      <c r="P5850" t="s">
        <v>7084</v>
      </c>
      <c r="Q5850" t="s">
        <v>7194</v>
      </c>
      <c r="R5850" s="184">
        <v>27973</v>
      </c>
      <c r="S5850">
        <v>47</v>
      </c>
      <c r="U5850" t="s">
        <v>7076</v>
      </c>
      <c r="V5850" t="s">
        <v>5785</v>
      </c>
      <c r="X5850" t="s">
        <v>2836</v>
      </c>
      <c r="AF5850" t="s">
        <v>39804</v>
      </c>
      <c r="AG5850" t="s">
        <v>5785</v>
      </c>
      <c r="AI5850" t="s">
        <v>39805</v>
      </c>
      <c r="AM5850" t="s">
        <v>39806</v>
      </c>
      <c r="AN5850" t="s">
        <v>2046</v>
      </c>
      <c r="AO5850" t="s">
        <v>39807</v>
      </c>
      <c r="AP5850" t="s">
        <v>7024</v>
      </c>
      <c r="AT5850" s="184">
        <v>36068</v>
      </c>
      <c r="AU5850" t="s">
        <v>39808</v>
      </c>
      <c r="AV5850">
        <v>20</v>
      </c>
      <c r="AW5850" s="184">
        <v>45224</v>
      </c>
      <c r="AX5850" t="s">
        <v>7296</v>
      </c>
      <c r="AY5850">
        <v>10536</v>
      </c>
      <c r="AZ5850" s="184">
        <v>45224</v>
      </c>
      <c r="BA5850" t="s">
        <v>7296</v>
      </c>
      <c r="BB5850">
        <v>10536</v>
      </c>
      <c r="BC5850">
        <v>82</v>
      </c>
      <c r="BD5850">
        <v>11563</v>
      </c>
      <c r="BE5850">
        <v>1999</v>
      </c>
      <c r="BF5850">
        <v>32</v>
      </c>
      <c r="BG5850">
        <v>2</v>
      </c>
      <c r="BH5850">
        <v>10586</v>
      </c>
      <c r="BI5850">
        <v>22</v>
      </c>
      <c r="BJ5850">
        <v>27</v>
      </c>
      <c r="BK5850">
        <v>8</v>
      </c>
      <c r="BO5850" t="s">
        <v>595</v>
      </c>
      <c r="BP5850" s="184">
        <v>44927</v>
      </c>
    </row>
    <row r="5851" spans="1:68">
      <c r="A5851">
        <v>100338767</v>
      </c>
      <c r="B5851">
        <v>100338767</v>
      </c>
      <c r="C5851" t="s">
        <v>7018</v>
      </c>
      <c r="E5851" s="184"/>
      <c r="H5851" t="s">
        <v>595</v>
      </c>
      <c r="I5851" s="184">
        <v>43843</v>
      </c>
      <c r="K5851" s="184"/>
      <c r="M5851" s="184"/>
      <c r="P5851" t="s">
        <v>8550</v>
      </c>
      <c r="Q5851" t="s">
        <v>7383</v>
      </c>
      <c r="R5851" s="184">
        <v>12586</v>
      </c>
      <c r="S5851">
        <v>89</v>
      </c>
      <c r="U5851" t="s">
        <v>7031</v>
      </c>
      <c r="V5851" t="s">
        <v>3103</v>
      </c>
      <c r="X5851" t="s">
        <v>4508</v>
      </c>
      <c r="AF5851" t="s">
        <v>39809</v>
      </c>
      <c r="AG5851" t="s">
        <v>3103</v>
      </c>
      <c r="AI5851" t="s">
        <v>39810</v>
      </c>
      <c r="AM5851" t="s">
        <v>2656</v>
      </c>
      <c r="AN5851" t="s">
        <v>2274</v>
      </c>
      <c r="AO5851">
        <v>53022</v>
      </c>
      <c r="AP5851" t="s">
        <v>7024</v>
      </c>
      <c r="AT5851" s="184"/>
      <c r="AW5851" s="184"/>
      <c r="AZ5851" s="184"/>
      <c r="BP5851" s="184"/>
    </row>
    <row r="5852" spans="1:68">
      <c r="A5852">
        <v>100339788</v>
      </c>
      <c r="B5852">
        <v>100339788</v>
      </c>
      <c r="C5852" t="s">
        <v>7018</v>
      </c>
      <c r="D5852" t="s">
        <v>595</v>
      </c>
      <c r="E5852" s="184">
        <v>43880</v>
      </c>
      <c r="G5852" s="184"/>
      <c r="I5852" s="184"/>
      <c r="K5852" s="184"/>
      <c r="M5852" s="184"/>
      <c r="P5852" t="s">
        <v>8550</v>
      </c>
      <c r="Q5852" t="s">
        <v>7374</v>
      </c>
      <c r="R5852" s="184"/>
      <c r="U5852" t="s">
        <v>7076</v>
      </c>
      <c r="V5852" t="s">
        <v>23094</v>
      </c>
      <c r="X5852" t="s">
        <v>30205</v>
      </c>
      <c r="AF5852" t="s">
        <v>39811</v>
      </c>
      <c r="AG5852" t="s">
        <v>23094</v>
      </c>
      <c r="AI5852" t="s">
        <v>39812</v>
      </c>
      <c r="AM5852" t="s">
        <v>12958</v>
      </c>
      <c r="AN5852" t="s">
        <v>2081</v>
      </c>
      <c r="AO5852">
        <v>94954</v>
      </c>
      <c r="AP5852" t="s">
        <v>7024</v>
      </c>
      <c r="AQ5852" t="s">
        <v>39813</v>
      </c>
      <c r="AT5852" s="184"/>
      <c r="AW5852" s="184"/>
      <c r="AZ5852" s="184"/>
      <c r="BP5852" s="184"/>
    </row>
    <row r="5853" spans="1:68">
      <c r="A5853">
        <v>100342741</v>
      </c>
      <c r="B5853">
        <v>100342741</v>
      </c>
      <c r="C5853" t="s">
        <v>7018</v>
      </c>
      <c r="E5853" s="184"/>
      <c r="G5853" s="184"/>
      <c r="H5853" t="s">
        <v>595</v>
      </c>
      <c r="I5853" s="184">
        <v>44109</v>
      </c>
      <c r="K5853" s="184"/>
      <c r="M5853" s="184"/>
      <c r="O5853" s="184"/>
      <c r="P5853" t="s">
        <v>7045</v>
      </c>
      <c r="Q5853" t="s">
        <v>7383</v>
      </c>
      <c r="R5853" s="184">
        <v>23278</v>
      </c>
      <c r="S5853">
        <v>60</v>
      </c>
      <c r="V5853" t="s">
        <v>2821</v>
      </c>
      <c r="X5853" t="s">
        <v>4974</v>
      </c>
      <c r="AF5853" t="s">
        <v>39814</v>
      </c>
      <c r="AG5853" t="s">
        <v>2821</v>
      </c>
      <c r="AI5853" t="s">
        <v>39815</v>
      </c>
      <c r="AM5853" t="s">
        <v>2741</v>
      </c>
      <c r="AN5853" t="s">
        <v>2162</v>
      </c>
      <c r="AO5853" t="s">
        <v>39816</v>
      </c>
      <c r="AP5853" t="s">
        <v>7024</v>
      </c>
      <c r="AQ5853" t="s">
        <v>39817</v>
      </c>
      <c r="AT5853" s="184">
        <v>43860</v>
      </c>
      <c r="AU5853" t="s">
        <v>39818</v>
      </c>
      <c r="AV5853">
        <v>25</v>
      </c>
      <c r="AW5853" s="184">
        <v>43860</v>
      </c>
      <c r="AX5853" t="s">
        <v>39818</v>
      </c>
      <c r="AY5853">
        <v>25</v>
      </c>
      <c r="AZ5853" s="184">
        <v>43860</v>
      </c>
      <c r="BA5853" t="s">
        <v>39818</v>
      </c>
      <c r="BB5853">
        <v>25</v>
      </c>
      <c r="BC5853">
        <v>20</v>
      </c>
      <c r="BD5853">
        <v>25</v>
      </c>
      <c r="BE5853">
        <v>2020</v>
      </c>
      <c r="BF5853">
        <v>1</v>
      </c>
      <c r="BI5853">
        <v>1</v>
      </c>
      <c r="BJ5853">
        <v>5</v>
      </c>
      <c r="BK5853">
        <v>1</v>
      </c>
      <c r="BP5853" s="184"/>
    </row>
    <row r="5854" spans="1:68">
      <c r="A5854">
        <v>100342926</v>
      </c>
      <c r="B5854">
        <v>100342926</v>
      </c>
      <c r="C5854" t="s">
        <v>7018</v>
      </c>
      <c r="D5854" t="s">
        <v>595</v>
      </c>
      <c r="E5854" s="184">
        <v>45152</v>
      </c>
      <c r="G5854" s="184"/>
      <c r="I5854" s="184"/>
      <c r="K5854" s="184"/>
      <c r="M5854" s="184"/>
      <c r="N5854" t="s">
        <v>595</v>
      </c>
      <c r="O5854" s="184">
        <v>45132</v>
      </c>
      <c r="P5854" t="s">
        <v>7045</v>
      </c>
      <c r="Q5854" t="s">
        <v>7194</v>
      </c>
      <c r="R5854" s="184">
        <v>13889</v>
      </c>
      <c r="S5854">
        <v>86</v>
      </c>
      <c r="U5854" t="s">
        <v>7130</v>
      </c>
      <c r="V5854" t="s">
        <v>2761</v>
      </c>
      <c r="W5854" t="s">
        <v>3830</v>
      </c>
      <c r="X5854" t="s">
        <v>5022</v>
      </c>
      <c r="AF5854" t="s">
        <v>39819</v>
      </c>
      <c r="AG5854" t="s">
        <v>2761</v>
      </c>
      <c r="AI5854" t="s">
        <v>39820</v>
      </c>
      <c r="AM5854" t="s">
        <v>11015</v>
      </c>
      <c r="AN5854" t="s">
        <v>2046</v>
      </c>
      <c r="AO5854" t="s">
        <v>39821</v>
      </c>
      <c r="AP5854" t="s">
        <v>7024</v>
      </c>
      <c r="AQ5854" t="s">
        <v>39822</v>
      </c>
      <c r="AR5854" t="s">
        <v>39823</v>
      </c>
      <c r="AT5854" s="184">
        <v>43860</v>
      </c>
      <c r="AU5854" t="s">
        <v>17519</v>
      </c>
      <c r="AV5854">
        <v>25</v>
      </c>
      <c r="AW5854" s="184">
        <v>45180</v>
      </c>
      <c r="AX5854" t="s">
        <v>8152</v>
      </c>
      <c r="AY5854">
        <v>20000</v>
      </c>
      <c r="AZ5854" s="184">
        <v>45180</v>
      </c>
      <c r="BA5854" t="s">
        <v>8152</v>
      </c>
      <c r="BB5854">
        <v>20000</v>
      </c>
      <c r="BC5854">
        <v>80</v>
      </c>
      <c r="BD5854">
        <v>20275</v>
      </c>
      <c r="BE5854">
        <v>2020</v>
      </c>
      <c r="BF5854">
        <v>5</v>
      </c>
      <c r="BG5854">
        <v>2</v>
      </c>
      <c r="BH5854">
        <v>20050</v>
      </c>
      <c r="BI5854">
        <v>4</v>
      </c>
      <c r="BJ5854">
        <v>5</v>
      </c>
      <c r="BK5854">
        <v>4</v>
      </c>
    </row>
    <row r="5855" spans="1:68">
      <c r="A5855">
        <v>100349180</v>
      </c>
      <c r="B5855">
        <v>100349180</v>
      </c>
      <c r="C5855" t="s">
        <v>7018</v>
      </c>
      <c r="D5855" t="s">
        <v>595</v>
      </c>
      <c r="E5855" s="184">
        <v>44167</v>
      </c>
      <c r="G5855" s="184"/>
      <c r="I5855" s="184"/>
      <c r="K5855" s="184"/>
      <c r="M5855" s="184"/>
      <c r="O5855" s="184"/>
      <c r="P5855" t="s">
        <v>7045</v>
      </c>
      <c r="Q5855" t="s">
        <v>7194</v>
      </c>
      <c r="R5855" s="184">
        <v>14272</v>
      </c>
      <c r="S5855">
        <v>85</v>
      </c>
      <c r="U5855" t="s">
        <v>7130</v>
      </c>
      <c r="V5855" t="s">
        <v>39824</v>
      </c>
      <c r="X5855" t="s">
        <v>39825</v>
      </c>
      <c r="AF5855" t="s">
        <v>39826</v>
      </c>
      <c r="AG5855" t="s">
        <v>39824</v>
      </c>
      <c r="AI5855" t="s">
        <v>39827</v>
      </c>
      <c r="AM5855" t="s">
        <v>4201</v>
      </c>
      <c r="AN5855" t="s">
        <v>2046</v>
      </c>
      <c r="AO5855" t="s">
        <v>39828</v>
      </c>
      <c r="AP5855" t="s">
        <v>7024</v>
      </c>
      <c r="AQ5855" t="s">
        <v>39829</v>
      </c>
      <c r="AR5855" t="s">
        <v>39830</v>
      </c>
      <c r="AT5855" s="184">
        <v>38218</v>
      </c>
      <c r="AU5855" t="s">
        <v>24247</v>
      </c>
      <c r="AV5855">
        <v>20</v>
      </c>
      <c r="AW5855" s="184">
        <v>45322</v>
      </c>
      <c r="AX5855" t="s">
        <v>8034</v>
      </c>
      <c r="AY5855">
        <v>50</v>
      </c>
      <c r="AZ5855" s="184">
        <v>42891</v>
      </c>
      <c r="BA5855" t="s">
        <v>7938</v>
      </c>
      <c r="BB5855">
        <v>87</v>
      </c>
      <c r="BC5855">
        <v>81</v>
      </c>
      <c r="BD5855">
        <v>1554</v>
      </c>
      <c r="BE5855">
        <v>2005</v>
      </c>
      <c r="BF5855">
        <v>35</v>
      </c>
      <c r="BG5855">
        <v>4</v>
      </c>
      <c r="BH5855">
        <v>275</v>
      </c>
      <c r="BI5855">
        <v>17</v>
      </c>
      <c r="BJ5855">
        <v>21</v>
      </c>
      <c r="BK5855">
        <v>9</v>
      </c>
      <c r="BN5855" t="s">
        <v>595</v>
      </c>
      <c r="BP5855" s="184"/>
    </row>
    <row r="5856" spans="1:68">
      <c r="A5856">
        <v>100352147</v>
      </c>
      <c r="B5856">
        <v>100352147</v>
      </c>
      <c r="C5856" t="s">
        <v>7018</v>
      </c>
      <c r="E5856" s="184"/>
      <c r="G5856" s="184"/>
      <c r="H5856" t="s">
        <v>595</v>
      </c>
      <c r="I5856" s="184">
        <v>44041</v>
      </c>
      <c r="K5856" s="184"/>
      <c r="M5856" s="184"/>
      <c r="O5856" s="184"/>
      <c r="P5856" t="s">
        <v>7045</v>
      </c>
      <c r="Q5856" t="s">
        <v>7020</v>
      </c>
      <c r="R5856" s="184">
        <v>13210</v>
      </c>
      <c r="S5856">
        <v>88</v>
      </c>
      <c r="V5856" t="s">
        <v>4523</v>
      </c>
      <c r="W5856" t="s">
        <v>2049</v>
      </c>
      <c r="X5856" t="s">
        <v>39831</v>
      </c>
      <c r="AF5856" t="s">
        <v>39832</v>
      </c>
      <c r="AG5856" t="s">
        <v>4523</v>
      </c>
      <c r="AI5856" t="s">
        <v>39833</v>
      </c>
      <c r="AM5856" t="s">
        <v>3347</v>
      </c>
      <c r="AN5856" t="s">
        <v>2240</v>
      </c>
      <c r="AO5856" t="s">
        <v>39834</v>
      </c>
      <c r="AP5856" t="s">
        <v>7024</v>
      </c>
      <c r="AT5856" s="184">
        <v>43880</v>
      </c>
      <c r="AU5856" t="s">
        <v>39835</v>
      </c>
      <c r="AV5856">
        <v>15</v>
      </c>
      <c r="AW5856" s="184">
        <v>43880</v>
      </c>
      <c r="AX5856" t="s">
        <v>39835</v>
      </c>
      <c r="AY5856">
        <v>15</v>
      </c>
      <c r="AZ5856" s="184">
        <v>43880</v>
      </c>
      <c r="BA5856" t="s">
        <v>39835</v>
      </c>
      <c r="BB5856">
        <v>15</v>
      </c>
      <c r="BC5856">
        <v>20</v>
      </c>
      <c r="BD5856">
        <v>15</v>
      </c>
      <c r="BE5856">
        <v>2020</v>
      </c>
      <c r="BF5856">
        <v>1</v>
      </c>
      <c r="BI5856">
        <v>1</v>
      </c>
      <c r="BJ5856">
        <v>5</v>
      </c>
      <c r="BK5856">
        <v>1</v>
      </c>
    </row>
    <row r="5857" spans="1:68">
      <c r="A5857">
        <v>100352662</v>
      </c>
      <c r="B5857">
        <v>100352662</v>
      </c>
      <c r="C5857" t="s">
        <v>7018</v>
      </c>
      <c r="D5857" t="s">
        <v>595</v>
      </c>
      <c r="E5857" s="184">
        <v>43886</v>
      </c>
      <c r="I5857" s="184"/>
      <c r="K5857" s="184"/>
      <c r="M5857" s="184"/>
      <c r="O5857" s="184"/>
      <c r="P5857" t="s">
        <v>8550</v>
      </c>
      <c r="Q5857" t="s">
        <v>7262</v>
      </c>
      <c r="R5857" s="184"/>
      <c r="V5857" t="s">
        <v>4539</v>
      </c>
      <c r="X5857" t="s">
        <v>39836</v>
      </c>
      <c r="AF5857" t="s">
        <v>39837</v>
      </c>
      <c r="AG5857" t="s">
        <v>4539</v>
      </c>
      <c r="AI5857" t="s">
        <v>39838</v>
      </c>
      <c r="AM5857" t="s">
        <v>39839</v>
      </c>
      <c r="AN5857" t="s">
        <v>2106</v>
      </c>
      <c r="AO5857">
        <v>18969</v>
      </c>
      <c r="AP5857" t="s">
        <v>7024</v>
      </c>
      <c r="AQ5857" t="s">
        <v>39840</v>
      </c>
      <c r="AT5857" s="184"/>
      <c r="AW5857" s="184"/>
      <c r="AZ5857" s="184"/>
      <c r="BP5857" s="184"/>
    </row>
    <row r="5858" spans="1:68">
      <c r="A5858">
        <v>100355713</v>
      </c>
      <c r="B5858">
        <v>100355713</v>
      </c>
      <c r="C5858" t="s">
        <v>7018</v>
      </c>
      <c r="E5858" s="184"/>
      <c r="G5858" s="184"/>
      <c r="I5858" s="184"/>
      <c r="J5858" t="s">
        <v>595</v>
      </c>
      <c r="K5858" s="184">
        <v>42960</v>
      </c>
      <c r="M5858" s="184"/>
      <c r="O5858" s="184"/>
      <c r="P5858" t="s">
        <v>7045</v>
      </c>
      <c r="Q5858" t="s">
        <v>7383</v>
      </c>
      <c r="R5858" s="184">
        <v>15655</v>
      </c>
      <c r="S5858">
        <v>81</v>
      </c>
      <c r="V5858" t="s">
        <v>3011</v>
      </c>
      <c r="X5858" t="s">
        <v>39841</v>
      </c>
      <c r="AF5858" t="s">
        <v>39842</v>
      </c>
      <c r="AG5858" t="s">
        <v>3011</v>
      </c>
      <c r="AI5858" t="s">
        <v>39843</v>
      </c>
      <c r="AM5858" t="s">
        <v>39844</v>
      </c>
      <c r="AN5858" t="s">
        <v>2419</v>
      </c>
      <c r="AO5858" t="s">
        <v>39845</v>
      </c>
      <c r="AP5858" t="s">
        <v>7024</v>
      </c>
      <c r="AQ5858" t="s">
        <v>39846</v>
      </c>
      <c r="AT5858" s="184">
        <v>42508</v>
      </c>
      <c r="AU5858" t="s">
        <v>39847</v>
      </c>
      <c r="AV5858">
        <v>50</v>
      </c>
      <c r="AW5858" s="184">
        <v>45371</v>
      </c>
      <c r="AX5858" t="s">
        <v>39848</v>
      </c>
      <c r="AY5858">
        <v>100</v>
      </c>
      <c r="AZ5858" s="184">
        <v>45338</v>
      </c>
      <c r="BA5858" t="s">
        <v>26078</v>
      </c>
      <c r="BB5858">
        <v>500</v>
      </c>
      <c r="BC5858">
        <v>100</v>
      </c>
      <c r="BD5858">
        <v>4000</v>
      </c>
      <c r="BE5858">
        <v>2016</v>
      </c>
      <c r="BF5858">
        <v>21</v>
      </c>
      <c r="BG5858">
        <v>4</v>
      </c>
      <c r="BH5858">
        <v>1050</v>
      </c>
      <c r="BI5858">
        <v>9</v>
      </c>
      <c r="BJ5858">
        <v>9</v>
      </c>
      <c r="BK5858">
        <v>9</v>
      </c>
      <c r="BP5858" s="184"/>
    </row>
    <row r="5859" spans="1:68">
      <c r="A5859">
        <v>100356709</v>
      </c>
      <c r="B5859">
        <v>100356709</v>
      </c>
      <c r="C5859" t="s">
        <v>7018</v>
      </c>
      <c r="E5859" s="184"/>
      <c r="G5859" s="184"/>
      <c r="I5859" s="184"/>
      <c r="J5859" t="s">
        <v>595</v>
      </c>
      <c r="K5859" s="184">
        <v>42844</v>
      </c>
      <c r="M5859" s="184"/>
      <c r="O5859" s="184"/>
      <c r="P5859" t="s">
        <v>7045</v>
      </c>
      <c r="Q5859" t="s">
        <v>7030</v>
      </c>
      <c r="R5859" s="184">
        <v>17663</v>
      </c>
      <c r="S5859">
        <v>76</v>
      </c>
      <c r="U5859" t="s">
        <v>7031</v>
      </c>
      <c r="V5859" t="s">
        <v>3250</v>
      </c>
      <c r="W5859" t="s">
        <v>4502</v>
      </c>
      <c r="X5859" t="s">
        <v>39849</v>
      </c>
      <c r="AF5859" t="s">
        <v>39850</v>
      </c>
      <c r="AG5859" t="s">
        <v>3250</v>
      </c>
      <c r="AI5859" t="s">
        <v>39851</v>
      </c>
      <c r="AM5859" t="s">
        <v>16241</v>
      </c>
      <c r="AN5859" t="s">
        <v>2089</v>
      </c>
      <c r="AO5859" t="s">
        <v>39852</v>
      </c>
      <c r="AP5859" t="s">
        <v>7024</v>
      </c>
      <c r="AQ5859" t="s">
        <v>39853</v>
      </c>
      <c r="AT5859" s="184">
        <v>35738</v>
      </c>
      <c r="AU5859" t="s">
        <v>39854</v>
      </c>
      <c r="AV5859">
        <v>20</v>
      </c>
      <c r="AW5859" s="184">
        <v>45415</v>
      </c>
      <c r="AX5859" t="s">
        <v>7168</v>
      </c>
      <c r="AY5859">
        <v>100</v>
      </c>
      <c r="AZ5859" s="184">
        <v>39421</v>
      </c>
      <c r="BA5859" t="s">
        <v>39855</v>
      </c>
      <c r="BB5859">
        <v>200</v>
      </c>
      <c r="BC5859">
        <v>75</v>
      </c>
      <c r="BD5859">
        <v>2640</v>
      </c>
      <c r="BE5859">
        <v>1998</v>
      </c>
      <c r="BF5859">
        <v>30</v>
      </c>
      <c r="BG5859">
        <v>2</v>
      </c>
      <c r="BH5859">
        <v>200</v>
      </c>
      <c r="BI5859">
        <v>21</v>
      </c>
      <c r="BJ5859">
        <v>28</v>
      </c>
      <c r="BK5859">
        <v>8</v>
      </c>
      <c r="BP5859" s="184"/>
    </row>
    <row r="5860" spans="1:68">
      <c r="A5860">
        <v>100358135</v>
      </c>
      <c r="B5860">
        <v>100358135</v>
      </c>
      <c r="C5860" t="s">
        <v>7018</v>
      </c>
      <c r="E5860" s="184"/>
      <c r="G5860" s="184"/>
      <c r="I5860" s="184"/>
      <c r="K5860" s="184"/>
      <c r="L5860" t="s">
        <v>595</v>
      </c>
      <c r="M5860" s="184">
        <v>43923</v>
      </c>
      <c r="O5860" s="184"/>
      <c r="P5860" t="s">
        <v>7045</v>
      </c>
      <c r="Q5860" t="s">
        <v>7262</v>
      </c>
      <c r="R5860" s="184">
        <v>16092</v>
      </c>
      <c r="S5860">
        <v>80</v>
      </c>
      <c r="V5860" t="s">
        <v>2687</v>
      </c>
      <c r="X5860" t="s">
        <v>39856</v>
      </c>
      <c r="AF5860" t="s">
        <v>39857</v>
      </c>
      <c r="AG5860" t="s">
        <v>2687</v>
      </c>
      <c r="AI5860" t="s">
        <v>39858</v>
      </c>
      <c r="AM5860" t="s">
        <v>5764</v>
      </c>
      <c r="AN5860" t="s">
        <v>65</v>
      </c>
      <c r="AO5860" t="s">
        <v>39859</v>
      </c>
      <c r="AP5860" t="s">
        <v>7024</v>
      </c>
      <c r="AQ5860" t="s">
        <v>39860</v>
      </c>
      <c r="AR5860" t="s">
        <v>39861</v>
      </c>
      <c r="AT5860" s="184">
        <v>43896</v>
      </c>
      <c r="AU5860" t="s">
        <v>24643</v>
      </c>
      <c r="AV5860">
        <v>250</v>
      </c>
      <c r="AW5860" s="184">
        <v>45418</v>
      </c>
      <c r="AX5860" t="s">
        <v>7536</v>
      </c>
      <c r="AY5860">
        <v>250</v>
      </c>
      <c r="AZ5860" s="184">
        <v>45418</v>
      </c>
      <c r="BA5860" t="s">
        <v>7536</v>
      </c>
      <c r="BB5860">
        <v>250</v>
      </c>
      <c r="BC5860">
        <v>100</v>
      </c>
      <c r="BD5860">
        <v>1725</v>
      </c>
      <c r="BE5860">
        <v>2020</v>
      </c>
      <c r="BF5860">
        <v>8</v>
      </c>
      <c r="BG5860">
        <v>6</v>
      </c>
      <c r="BH5860">
        <v>1225</v>
      </c>
      <c r="BI5860">
        <v>5</v>
      </c>
      <c r="BJ5860">
        <v>5</v>
      </c>
      <c r="BK5860">
        <v>5</v>
      </c>
      <c r="BP5860" s="184"/>
    </row>
    <row r="5861" spans="1:68">
      <c r="A5861">
        <v>100363304</v>
      </c>
      <c r="B5861">
        <v>100363304</v>
      </c>
      <c r="C5861" t="s">
        <v>7018</v>
      </c>
      <c r="E5861" s="184"/>
      <c r="G5861" s="184"/>
      <c r="H5861" t="s">
        <v>595</v>
      </c>
      <c r="I5861" s="184">
        <v>43914</v>
      </c>
      <c r="K5861" s="184"/>
      <c r="M5861" s="184"/>
      <c r="P5861" t="s">
        <v>8550</v>
      </c>
      <c r="Q5861" t="s">
        <v>7374</v>
      </c>
      <c r="R5861" s="184">
        <v>17032</v>
      </c>
      <c r="S5861">
        <v>77</v>
      </c>
      <c r="V5861" t="s">
        <v>2511</v>
      </c>
      <c r="X5861" t="s">
        <v>4798</v>
      </c>
      <c r="AF5861" t="s">
        <v>39862</v>
      </c>
      <c r="AG5861" t="s">
        <v>2511</v>
      </c>
      <c r="AI5861" t="s">
        <v>32589</v>
      </c>
      <c r="AM5861" t="s">
        <v>4799</v>
      </c>
      <c r="AN5861" t="s">
        <v>2081</v>
      </c>
      <c r="AO5861">
        <v>93402</v>
      </c>
      <c r="AP5861" t="s">
        <v>7024</v>
      </c>
      <c r="AQ5861" t="s">
        <v>32591</v>
      </c>
      <c r="AT5861" s="184"/>
      <c r="AW5861" s="184"/>
      <c r="AZ5861" s="184"/>
      <c r="BP5861" s="184"/>
    </row>
    <row r="5862" spans="1:68">
      <c r="A5862">
        <v>100363974</v>
      </c>
      <c r="B5862">
        <v>100363974</v>
      </c>
      <c r="C5862" t="s">
        <v>7018</v>
      </c>
      <c r="D5862" t="s">
        <v>595</v>
      </c>
      <c r="E5862" s="184">
        <v>44428</v>
      </c>
      <c r="G5862" s="184"/>
      <c r="I5862" s="184"/>
      <c r="K5862" s="184"/>
      <c r="M5862" s="184"/>
      <c r="P5862" t="s">
        <v>7045</v>
      </c>
      <c r="Q5862" t="s">
        <v>7454</v>
      </c>
      <c r="R5862" s="184">
        <v>18295</v>
      </c>
      <c r="S5862">
        <v>74</v>
      </c>
      <c r="V5862" t="s">
        <v>3981</v>
      </c>
      <c r="X5862" t="s">
        <v>2962</v>
      </c>
      <c r="Z5862">
        <v>100691927</v>
      </c>
      <c r="AB5862" t="s">
        <v>3299</v>
      </c>
      <c r="AD5862" t="s">
        <v>2962</v>
      </c>
      <c r="AF5862" t="s">
        <v>39863</v>
      </c>
      <c r="AG5862" t="s">
        <v>39864</v>
      </c>
      <c r="AI5862" t="s">
        <v>39865</v>
      </c>
      <c r="AM5862" t="s">
        <v>39866</v>
      </c>
      <c r="AN5862" t="s">
        <v>2299</v>
      </c>
      <c r="AO5862" t="s">
        <v>39867</v>
      </c>
      <c r="AP5862" t="s">
        <v>7024</v>
      </c>
      <c r="AQ5862" t="s">
        <v>39868</v>
      </c>
      <c r="AT5862" s="184">
        <v>44327</v>
      </c>
      <c r="AU5862" t="s">
        <v>39869</v>
      </c>
      <c r="AV5862">
        <v>15</v>
      </c>
      <c r="AW5862" s="184">
        <v>44327</v>
      </c>
      <c r="AX5862" t="s">
        <v>39869</v>
      </c>
      <c r="AY5862">
        <v>15</v>
      </c>
      <c r="AZ5862" s="184">
        <v>44327</v>
      </c>
      <c r="BA5862" t="s">
        <v>39869</v>
      </c>
      <c r="BB5862">
        <v>15</v>
      </c>
      <c r="BC5862">
        <v>25</v>
      </c>
      <c r="BD5862">
        <v>15</v>
      </c>
      <c r="BE5862">
        <v>2021</v>
      </c>
      <c r="BF5862">
        <v>1</v>
      </c>
      <c r="BI5862">
        <v>1</v>
      </c>
      <c r="BJ5862">
        <v>4</v>
      </c>
      <c r="BK5862">
        <v>1</v>
      </c>
      <c r="BP5862" s="184"/>
    </row>
    <row r="5863" spans="1:68">
      <c r="A5863">
        <v>100691927</v>
      </c>
      <c r="B5863">
        <v>100363974</v>
      </c>
      <c r="C5863" t="s">
        <v>7018</v>
      </c>
      <c r="D5863" t="s">
        <v>595</v>
      </c>
      <c r="E5863" s="184">
        <v>44428</v>
      </c>
      <c r="G5863" s="184"/>
      <c r="I5863" s="184"/>
      <c r="K5863" s="184"/>
      <c r="M5863" s="184"/>
      <c r="O5863" s="184"/>
      <c r="P5863" t="s">
        <v>7045</v>
      </c>
      <c r="Q5863" t="s">
        <v>7454</v>
      </c>
      <c r="R5863" s="184">
        <v>18857</v>
      </c>
      <c r="S5863">
        <v>72</v>
      </c>
      <c r="V5863" t="s">
        <v>3299</v>
      </c>
      <c r="X5863" t="s">
        <v>2962</v>
      </c>
      <c r="Z5863">
        <v>100363974</v>
      </c>
      <c r="AB5863" t="s">
        <v>3981</v>
      </c>
      <c r="AD5863" t="s">
        <v>2962</v>
      </c>
      <c r="AF5863" t="s">
        <v>39863</v>
      </c>
      <c r="AG5863" t="s">
        <v>39864</v>
      </c>
      <c r="AI5863" t="s">
        <v>39865</v>
      </c>
      <c r="AM5863" t="s">
        <v>39866</v>
      </c>
      <c r="AN5863" t="s">
        <v>2299</v>
      </c>
      <c r="AO5863" t="s">
        <v>39867</v>
      </c>
      <c r="AP5863" t="s">
        <v>7024</v>
      </c>
      <c r="AT5863" s="184"/>
      <c r="AW5863" s="184"/>
      <c r="AZ5863" s="184"/>
      <c r="BP5863" s="184"/>
    </row>
    <row r="5864" spans="1:68">
      <c r="A5864">
        <v>100364292</v>
      </c>
      <c r="B5864">
        <v>100364292</v>
      </c>
      <c r="C5864" t="s">
        <v>7018</v>
      </c>
      <c r="E5864" s="184"/>
      <c r="G5864" s="184"/>
      <c r="H5864" t="s">
        <v>595</v>
      </c>
      <c r="I5864" s="184">
        <v>44109</v>
      </c>
      <c r="K5864" s="184"/>
      <c r="M5864" s="184"/>
      <c r="O5864" s="184"/>
      <c r="P5864" t="s">
        <v>7029</v>
      </c>
      <c r="Q5864" t="s">
        <v>7030</v>
      </c>
      <c r="R5864" s="184">
        <v>22878</v>
      </c>
      <c r="S5864">
        <v>61</v>
      </c>
      <c r="V5864" t="s">
        <v>4975</v>
      </c>
      <c r="X5864" t="s">
        <v>4976</v>
      </c>
      <c r="AF5864" t="s">
        <v>39870</v>
      </c>
      <c r="AG5864" t="s">
        <v>4975</v>
      </c>
      <c r="AI5864" t="s">
        <v>39871</v>
      </c>
      <c r="AM5864" t="s">
        <v>2690</v>
      </c>
      <c r="AN5864" t="s">
        <v>2094</v>
      </c>
      <c r="AO5864" t="s">
        <v>39872</v>
      </c>
      <c r="AP5864" t="s">
        <v>7024</v>
      </c>
      <c r="AQ5864" t="s">
        <v>39873</v>
      </c>
      <c r="AT5864" s="184">
        <v>43914</v>
      </c>
      <c r="AU5864" t="s">
        <v>39874</v>
      </c>
      <c r="AV5864">
        <v>500</v>
      </c>
      <c r="AW5864" s="184">
        <v>44656</v>
      </c>
      <c r="AX5864" t="s">
        <v>39875</v>
      </c>
      <c r="AY5864">
        <v>500</v>
      </c>
      <c r="AZ5864" s="184">
        <v>44656</v>
      </c>
      <c r="BA5864" t="s">
        <v>39875</v>
      </c>
      <c r="BB5864">
        <v>500</v>
      </c>
      <c r="BC5864">
        <v>60</v>
      </c>
      <c r="BD5864">
        <v>1500</v>
      </c>
      <c r="BE5864">
        <v>2020</v>
      </c>
      <c r="BF5864">
        <v>3</v>
      </c>
      <c r="BI5864">
        <v>3</v>
      </c>
      <c r="BJ5864">
        <v>5</v>
      </c>
      <c r="BK5864">
        <v>3</v>
      </c>
      <c r="BP5864" s="184"/>
    </row>
    <row r="5865" spans="1:68">
      <c r="A5865">
        <v>100369850</v>
      </c>
      <c r="B5865">
        <v>100369850</v>
      </c>
      <c r="C5865" t="s">
        <v>7018</v>
      </c>
      <c r="E5865" s="184"/>
      <c r="G5865" s="184"/>
      <c r="I5865" s="184"/>
      <c r="K5865" s="184"/>
      <c r="L5865" t="s">
        <v>595</v>
      </c>
      <c r="M5865" s="184">
        <v>44222</v>
      </c>
      <c r="P5865" t="s">
        <v>7045</v>
      </c>
      <c r="Q5865" t="s">
        <v>7374</v>
      </c>
      <c r="R5865" s="184">
        <v>27851</v>
      </c>
      <c r="S5865">
        <v>48</v>
      </c>
      <c r="V5865" t="s">
        <v>2697</v>
      </c>
      <c r="W5865" t="s">
        <v>2316</v>
      </c>
      <c r="X5865" t="s">
        <v>17912</v>
      </c>
      <c r="AF5865" t="s">
        <v>39876</v>
      </c>
      <c r="AG5865" t="s">
        <v>2697</v>
      </c>
      <c r="AI5865" t="s">
        <v>39877</v>
      </c>
      <c r="AM5865" t="s">
        <v>3956</v>
      </c>
      <c r="AN5865" t="s">
        <v>2081</v>
      </c>
      <c r="AO5865" t="s">
        <v>39878</v>
      </c>
      <c r="AP5865" t="s">
        <v>7024</v>
      </c>
      <c r="AQ5865" t="s">
        <v>39879</v>
      </c>
      <c r="AT5865" s="184">
        <v>43925</v>
      </c>
      <c r="AU5865" t="s">
        <v>21846</v>
      </c>
      <c r="AV5865">
        <v>75</v>
      </c>
      <c r="AW5865" s="184">
        <v>45321</v>
      </c>
      <c r="AX5865" t="s">
        <v>7092</v>
      </c>
      <c r="AY5865">
        <v>200</v>
      </c>
      <c r="AZ5865" s="184">
        <v>45321</v>
      </c>
      <c r="BA5865" t="s">
        <v>7092</v>
      </c>
      <c r="BB5865">
        <v>200</v>
      </c>
      <c r="BC5865">
        <v>100</v>
      </c>
      <c r="BD5865">
        <v>775</v>
      </c>
      <c r="BE5865">
        <v>2020</v>
      </c>
      <c r="BF5865">
        <v>5</v>
      </c>
      <c r="BG5865">
        <v>2</v>
      </c>
      <c r="BH5865">
        <v>400</v>
      </c>
      <c r="BI5865">
        <v>5</v>
      </c>
      <c r="BJ5865">
        <v>5</v>
      </c>
      <c r="BK5865">
        <v>5</v>
      </c>
      <c r="BP5865" s="184"/>
    </row>
    <row r="5866" spans="1:68">
      <c r="A5866">
        <v>100372447</v>
      </c>
      <c r="B5866">
        <v>100372447</v>
      </c>
      <c r="C5866" t="s">
        <v>7018</v>
      </c>
      <c r="D5866" t="s">
        <v>595</v>
      </c>
      <c r="E5866" s="184">
        <v>43969</v>
      </c>
      <c r="G5866" s="184"/>
      <c r="I5866" s="184"/>
      <c r="K5866" s="184"/>
      <c r="M5866" s="184"/>
      <c r="O5866" s="184"/>
      <c r="P5866" t="s">
        <v>7045</v>
      </c>
      <c r="Q5866" t="s">
        <v>7194</v>
      </c>
      <c r="R5866" s="184">
        <v>24193</v>
      </c>
      <c r="S5866">
        <v>58</v>
      </c>
      <c r="U5866" t="s">
        <v>7031</v>
      </c>
      <c r="V5866" t="s">
        <v>3536</v>
      </c>
      <c r="X5866" t="s">
        <v>39880</v>
      </c>
      <c r="AF5866" t="s">
        <v>39881</v>
      </c>
      <c r="AG5866" t="s">
        <v>3536</v>
      </c>
      <c r="AI5866" t="s">
        <v>39882</v>
      </c>
      <c r="AM5866" t="s">
        <v>5473</v>
      </c>
      <c r="AN5866" t="s">
        <v>2046</v>
      </c>
      <c r="AO5866" t="s">
        <v>39883</v>
      </c>
      <c r="AP5866" t="s">
        <v>7024</v>
      </c>
      <c r="AQ5866" t="s">
        <v>39884</v>
      </c>
      <c r="AT5866" s="184">
        <v>43936</v>
      </c>
      <c r="AU5866" t="s">
        <v>39885</v>
      </c>
      <c r="AV5866">
        <v>25</v>
      </c>
      <c r="AW5866" s="184">
        <v>43936</v>
      </c>
      <c r="AX5866" t="s">
        <v>39885</v>
      </c>
      <c r="AY5866">
        <v>25</v>
      </c>
      <c r="AZ5866" s="184">
        <v>43936</v>
      </c>
      <c r="BA5866" t="s">
        <v>39885</v>
      </c>
      <c r="BB5866">
        <v>25</v>
      </c>
      <c r="BC5866">
        <v>20</v>
      </c>
      <c r="BD5866">
        <v>25</v>
      </c>
      <c r="BE5866">
        <v>2020</v>
      </c>
      <c r="BF5866">
        <v>1</v>
      </c>
      <c r="BI5866">
        <v>1</v>
      </c>
      <c r="BJ5866">
        <v>5</v>
      </c>
      <c r="BK5866">
        <v>1</v>
      </c>
      <c r="BP5866" s="184"/>
    </row>
    <row r="5867" spans="1:68">
      <c r="A5867">
        <v>100375547</v>
      </c>
      <c r="B5867">
        <v>100375547</v>
      </c>
      <c r="C5867" t="s">
        <v>7018</v>
      </c>
      <c r="D5867" t="s">
        <v>595</v>
      </c>
      <c r="E5867" s="184">
        <v>43647</v>
      </c>
      <c r="G5867" s="184"/>
      <c r="I5867" s="184"/>
      <c r="K5867" s="184"/>
      <c r="M5867" s="184"/>
      <c r="O5867" s="184"/>
      <c r="P5867" t="s">
        <v>7045</v>
      </c>
      <c r="Q5867" t="s">
        <v>7383</v>
      </c>
      <c r="R5867" s="184">
        <v>18253</v>
      </c>
      <c r="S5867">
        <v>74</v>
      </c>
      <c r="V5867" t="s">
        <v>2958</v>
      </c>
      <c r="X5867" t="s">
        <v>3523</v>
      </c>
      <c r="AF5867" t="s">
        <v>39886</v>
      </c>
      <c r="AG5867" t="s">
        <v>2958</v>
      </c>
      <c r="AI5867" t="s">
        <v>39887</v>
      </c>
      <c r="AM5867" t="s">
        <v>3524</v>
      </c>
      <c r="AN5867" t="s">
        <v>2162</v>
      </c>
      <c r="AO5867" t="s">
        <v>39888</v>
      </c>
      <c r="AP5867" t="s">
        <v>7024</v>
      </c>
      <c r="AQ5867" t="s">
        <v>39889</v>
      </c>
      <c r="AT5867" s="184">
        <v>34431</v>
      </c>
      <c r="AU5867" t="s">
        <v>15421</v>
      </c>
      <c r="AV5867">
        <v>25</v>
      </c>
      <c r="AW5867" s="184">
        <v>45383</v>
      </c>
      <c r="AX5867" t="s">
        <v>18490</v>
      </c>
      <c r="AY5867">
        <v>50</v>
      </c>
      <c r="AZ5867" s="184">
        <v>43840</v>
      </c>
      <c r="BA5867" t="s">
        <v>22411</v>
      </c>
      <c r="BB5867">
        <v>60</v>
      </c>
      <c r="BC5867">
        <v>84</v>
      </c>
      <c r="BD5867">
        <v>1215</v>
      </c>
      <c r="BE5867">
        <v>1994</v>
      </c>
      <c r="BF5867">
        <v>43</v>
      </c>
      <c r="BG5867">
        <v>5</v>
      </c>
      <c r="BH5867">
        <v>240</v>
      </c>
      <c r="BI5867">
        <v>26</v>
      </c>
      <c r="BJ5867">
        <v>31</v>
      </c>
      <c r="BK5867">
        <v>9</v>
      </c>
      <c r="BP5867" s="184"/>
    </row>
    <row r="5868" spans="1:68">
      <c r="A5868">
        <v>100377574</v>
      </c>
      <c r="B5868">
        <v>100377574</v>
      </c>
      <c r="C5868" t="s">
        <v>7018</v>
      </c>
      <c r="E5868" s="184"/>
      <c r="G5868" s="184"/>
      <c r="I5868" s="184"/>
      <c r="J5868" t="s">
        <v>595</v>
      </c>
      <c r="K5868" s="184">
        <v>44753</v>
      </c>
      <c r="M5868" s="184"/>
      <c r="O5868" s="184"/>
      <c r="P5868" t="s">
        <v>7045</v>
      </c>
      <c r="Q5868" t="s">
        <v>7194</v>
      </c>
      <c r="R5868" s="184"/>
      <c r="V5868" t="s">
        <v>5309</v>
      </c>
      <c r="X5868" t="s">
        <v>5184</v>
      </c>
      <c r="AF5868" t="s">
        <v>39890</v>
      </c>
      <c r="AG5868" t="s">
        <v>5309</v>
      </c>
      <c r="AI5868" t="s">
        <v>39891</v>
      </c>
      <c r="AM5868" t="s">
        <v>4402</v>
      </c>
      <c r="AN5868" t="s">
        <v>2046</v>
      </c>
      <c r="AO5868" t="s">
        <v>39892</v>
      </c>
      <c r="AP5868" t="s">
        <v>7024</v>
      </c>
      <c r="AQ5868" t="s">
        <v>39893</v>
      </c>
      <c r="AT5868" s="184">
        <v>43943</v>
      </c>
      <c r="AU5868" t="s">
        <v>39894</v>
      </c>
      <c r="AV5868">
        <v>10</v>
      </c>
      <c r="AW5868" s="184">
        <v>44267</v>
      </c>
      <c r="AX5868" t="s">
        <v>39895</v>
      </c>
      <c r="AY5868">
        <v>20</v>
      </c>
      <c r="AZ5868" s="184">
        <v>44267</v>
      </c>
      <c r="BA5868" t="s">
        <v>39895</v>
      </c>
      <c r="BB5868">
        <v>20</v>
      </c>
      <c r="BC5868">
        <v>40</v>
      </c>
      <c r="BD5868">
        <v>65</v>
      </c>
      <c r="BE5868">
        <v>2020</v>
      </c>
      <c r="BF5868">
        <v>5</v>
      </c>
      <c r="BI5868">
        <v>2</v>
      </c>
      <c r="BJ5868">
        <v>5</v>
      </c>
      <c r="BK5868">
        <v>2</v>
      </c>
      <c r="BP5868" s="184"/>
    </row>
    <row r="5869" spans="1:68">
      <c r="A5869">
        <v>100378416</v>
      </c>
      <c r="B5869">
        <v>100378416</v>
      </c>
      <c r="C5869" t="s">
        <v>7018</v>
      </c>
      <c r="E5869" s="184"/>
      <c r="G5869" s="184"/>
      <c r="H5869" t="s">
        <v>595</v>
      </c>
      <c r="I5869" s="184">
        <v>44109</v>
      </c>
      <c r="K5869" s="184"/>
      <c r="M5869" s="184"/>
      <c r="P5869" t="s">
        <v>7019</v>
      </c>
      <c r="Q5869" t="s">
        <v>7454</v>
      </c>
      <c r="R5869" s="184">
        <v>22321</v>
      </c>
      <c r="S5869">
        <v>63</v>
      </c>
      <c r="V5869" t="s">
        <v>4587</v>
      </c>
      <c r="X5869" t="s">
        <v>4978</v>
      </c>
      <c r="AF5869" t="s">
        <v>39896</v>
      </c>
      <c r="AG5869" t="s">
        <v>4587</v>
      </c>
      <c r="AI5869" t="s">
        <v>39897</v>
      </c>
      <c r="AM5869" t="s">
        <v>4979</v>
      </c>
      <c r="AN5869" t="s">
        <v>2055</v>
      </c>
      <c r="AO5869" t="s">
        <v>39898</v>
      </c>
      <c r="AP5869" t="s">
        <v>7024</v>
      </c>
      <c r="AT5869" s="184">
        <v>43949</v>
      </c>
      <c r="AU5869" t="s">
        <v>39899</v>
      </c>
      <c r="AV5869">
        <v>25</v>
      </c>
      <c r="AW5869" s="184">
        <v>44481</v>
      </c>
      <c r="AX5869" t="s">
        <v>39900</v>
      </c>
      <c r="AY5869">
        <v>60</v>
      </c>
      <c r="AZ5869" s="184">
        <v>44481</v>
      </c>
      <c r="BA5869" t="s">
        <v>39900</v>
      </c>
      <c r="BB5869">
        <v>60</v>
      </c>
      <c r="BC5869">
        <v>40</v>
      </c>
      <c r="BD5869">
        <v>85</v>
      </c>
      <c r="BE5869">
        <v>2020</v>
      </c>
      <c r="BF5869">
        <v>2</v>
      </c>
      <c r="BI5869">
        <v>2</v>
      </c>
      <c r="BJ5869">
        <v>5</v>
      </c>
      <c r="BK5869">
        <v>2</v>
      </c>
      <c r="BP5869" s="184"/>
    </row>
    <row r="5870" spans="1:68">
      <c r="A5870">
        <v>100381680</v>
      </c>
      <c r="B5870">
        <v>100381680</v>
      </c>
      <c r="C5870" t="s">
        <v>7018</v>
      </c>
      <c r="E5870" s="184"/>
      <c r="G5870" s="184"/>
      <c r="I5870" s="184"/>
      <c r="J5870" t="s">
        <v>595</v>
      </c>
      <c r="K5870" s="184">
        <v>44893</v>
      </c>
      <c r="M5870" s="184"/>
      <c r="O5870" s="184"/>
      <c r="P5870" t="s">
        <v>7686</v>
      </c>
      <c r="Q5870" t="s">
        <v>7454</v>
      </c>
      <c r="R5870" s="184">
        <v>18968</v>
      </c>
      <c r="S5870">
        <v>72</v>
      </c>
      <c r="V5870" t="s">
        <v>39901</v>
      </c>
      <c r="W5870" t="s">
        <v>3332</v>
      </c>
      <c r="X5870" t="s">
        <v>39902</v>
      </c>
      <c r="AF5870" t="s">
        <v>39903</v>
      </c>
      <c r="AG5870" t="s">
        <v>39901</v>
      </c>
      <c r="AI5870" t="s">
        <v>39904</v>
      </c>
      <c r="AM5870" t="s">
        <v>3855</v>
      </c>
      <c r="AN5870" t="s">
        <v>2055</v>
      </c>
      <c r="AO5870" t="s">
        <v>39905</v>
      </c>
      <c r="AP5870" t="s">
        <v>7024</v>
      </c>
      <c r="AQ5870" t="s">
        <v>39906</v>
      </c>
      <c r="AT5870" s="184">
        <v>34929</v>
      </c>
      <c r="AU5870" t="s">
        <v>39907</v>
      </c>
      <c r="AV5870">
        <v>15</v>
      </c>
      <c r="AW5870" s="184">
        <v>45384</v>
      </c>
      <c r="AX5870" t="s">
        <v>34909</v>
      </c>
      <c r="AY5870">
        <v>5000</v>
      </c>
      <c r="AZ5870" s="184">
        <v>45384</v>
      </c>
      <c r="BA5870" t="s">
        <v>34909</v>
      </c>
      <c r="BB5870">
        <v>5000</v>
      </c>
      <c r="BC5870">
        <v>60</v>
      </c>
      <c r="BD5870">
        <v>5800</v>
      </c>
      <c r="BE5870">
        <v>1996</v>
      </c>
      <c r="BF5870">
        <v>19</v>
      </c>
      <c r="BG5870">
        <v>2</v>
      </c>
      <c r="BH5870">
        <v>5040</v>
      </c>
      <c r="BI5870">
        <v>18</v>
      </c>
      <c r="BJ5870">
        <v>30</v>
      </c>
      <c r="BK5870">
        <v>16</v>
      </c>
      <c r="BP5870" s="184"/>
    </row>
    <row r="5871" spans="1:68">
      <c r="A5871">
        <v>100381968</v>
      </c>
      <c r="B5871">
        <v>100381968</v>
      </c>
      <c r="C5871" t="s">
        <v>7018</v>
      </c>
      <c r="D5871" t="s">
        <v>595</v>
      </c>
      <c r="E5871" s="184">
        <v>44476</v>
      </c>
      <c r="G5871" s="184"/>
      <c r="I5871" s="184"/>
      <c r="K5871" s="184"/>
      <c r="M5871" s="184"/>
      <c r="P5871" t="s">
        <v>7045</v>
      </c>
      <c r="Q5871" t="s">
        <v>7383</v>
      </c>
      <c r="R5871" s="184"/>
      <c r="V5871" t="s">
        <v>39908</v>
      </c>
      <c r="X5871" t="s">
        <v>39909</v>
      </c>
      <c r="AF5871" t="s">
        <v>39910</v>
      </c>
      <c r="AG5871" t="s">
        <v>39908</v>
      </c>
      <c r="AI5871" t="s">
        <v>39911</v>
      </c>
      <c r="AJ5871" t="s">
        <v>39912</v>
      </c>
      <c r="AM5871" t="s">
        <v>3045</v>
      </c>
      <c r="AN5871" t="s">
        <v>2118</v>
      </c>
      <c r="AO5871">
        <v>68144</v>
      </c>
      <c r="AP5871" t="s">
        <v>7024</v>
      </c>
      <c r="AQ5871" t="s">
        <v>39913</v>
      </c>
      <c r="AT5871" s="184">
        <v>43955</v>
      </c>
      <c r="AU5871" t="s">
        <v>39914</v>
      </c>
      <c r="AV5871">
        <v>25</v>
      </c>
      <c r="AW5871" s="184">
        <v>44397</v>
      </c>
      <c r="AX5871" t="s">
        <v>39915</v>
      </c>
      <c r="AY5871">
        <v>10</v>
      </c>
      <c r="AZ5871" s="184">
        <v>44281</v>
      </c>
      <c r="BA5871" t="s">
        <v>25922</v>
      </c>
      <c r="BB5871">
        <v>25</v>
      </c>
      <c r="BC5871">
        <v>40</v>
      </c>
      <c r="BD5871">
        <v>85</v>
      </c>
      <c r="BE5871">
        <v>2020</v>
      </c>
      <c r="BF5871">
        <v>4</v>
      </c>
      <c r="BI5871">
        <v>2</v>
      </c>
      <c r="BJ5871">
        <v>5</v>
      </c>
      <c r="BK5871">
        <v>2</v>
      </c>
      <c r="BP5871" s="184"/>
    </row>
    <row r="5872" spans="1:68">
      <c r="A5872">
        <v>100401934</v>
      </c>
      <c r="B5872">
        <v>100401934</v>
      </c>
      <c r="C5872" t="s">
        <v>7018</v>
      </c>
      <c r="D5872" t="s">
        <v>595</v>
      </c>
      <c r="E5872" s="184">
        <v>44073</v>
      </c>
      <c r="G5872" s="184"/>
      <c r="I5872" s="184"/>
      <c r="K5872" s="184"/>
      <c r="M5872" s="184"/>
      <c r="O5872" s="184"/>
      <c r="P5872" t="s">
        <v>7045</v>
      </c>
      <c r="Q5872" t="s">
        <v>7454</v>
      </c>
      <c r="R5872" s="184">
        <v>15904</v>
      </c>
      <c r="S5872">
        <v>80</v>
      </c>
      <c r="U5872" t="s">
        <v>7031</v>
      </c>
      <c r="V5872" t="s">
        <v>3103</v>
      </c>
      <c r="X5872" t="s">
        <v>19958</v>
      </c>
      <c r="AF5872" t="s">
        <v>39916</v>
      </c>
      <c r="AG5872" t="s">
        <v>3103</v>
      </c>
      <c r="AI5872" t="s">
        <v>39917</v>
      </c>
      <c r="AM5872" t="s">
        <v>4733</v>
      </c>
      <c r="AN5872" t="s">
        <v>2299</v>
      </c>
      <c r="AO5872" t="s">
        <v>39918</v>
      </c>
      <c r="AP5872" t="s">
        <v>7024</v>
      </c>
      <c r="AQ5872" t="s">
        <v>39919</v>
      </c>
      <c r="AR5872" t="s">
        <v>39920</v>
      </c>
      <c r="AT5872" s="184">
        <v>34498</v>
      </c>
      <c r="AU5872" t="s">
        <v>39921</v>
      </c>
      <c r="AV5872">
        <v>20</v>
      </c>
      <c r="AW5872" s="184">
        <v>45426</v>
      </c>
      <c r="AX5872" t="s">
        <v>7422</v>
      </c>
      <c r="AY5872">
        <v>25</v>
      </c>
      <c r="AZ5872" s="184">
        <v>44618</v>
      </c>
      <c r="BA5872" t="s">
        <v>22466</v>
      </c>
      <c r="BB5872">
        <v>100</v>
      </c>
      <c r="BC5872">
        <v>65</v>
      </c>
      <c r="BD5872">
        <v>2160</v>
      </c>
      <c r="BE5872">
        <v>1994</v>
      </c>
      <c r="BF5872">
        <v>75</v>
      </c>
      <c r="BG5872">
        <v>24</v>
      </c>
      <c r="BH5872">
        <v>600</v>
      </c>
      <c r="BI5872">
        <v>20</v>
      </c>
      <c r="BJ5872">
        <v>31</v>
      </c>
      <c r="BK5872">
        <v>17</v>
      </c>
      <c r="BP5872" s="184"/>
    </row>
    <row r="5873" spans="1:68">
      <c r="A5873">
        <v>100402969</v>
      </c>
      <c r="B5873">
        <v>100402969</v>
      </c>
      <c r="C5873" t="s">
        <v>7018</v>
      </c>
      <c r="E5873" s="184"/>
      <c r="G5873" s="184"/>
      <c r="H5873" t="s">
        <v>595</v>
      </c>
      <c r="I5873" s="184">
        <v>44194</v>
      </c>
      <c r="K5873" s="184"/>
      <c r="M5873" s="184"/>
      <c r="P5873" t="s">
        <v>7045</v>
      </c>
      <c r="Q5873" t="s">
        <v>7374</v>
      </c>
      <c r="R5873" s="184">
        <v>18218</v>
      </c>
      <c r="S5873">
        <v>74</v>
      </c>
      <c r="V5873" t="s">
        <v>2832</v>
      </c>
      <c r="W5873" t="s">
        <v>4139</v>
      </c>
      <c r="X5873" t="s">
        <v>39922</v>
      </c>
      <c r="AF5873" t="s">
        <v>39923</v>
      </c>
      <c r="AG5873" t="s">
        <v>2832</v>
      </c>
      <c r="AI5873" t="s">
        <v>39924</v>
      </c>
      <c r="AM5873" t="s">
        <v>4544</v>
      </c>
      <c r="AN5873" t="s">
        <v>2526</v>
      </c>
      <c r="AO5873" t="s">
        <v>39925</v>
      </c>
      <c r="AP5873" t="s">
        <v>7024</v>
      </c>
      <c r="AQ5873" t="s">
        <v>39926</v>
      </c>
      <c r="AR5873" t="s">
        <v>39927</v>
      </c>
      <c r="AT5873" s="184">
        <v>43977</v>
      </c>
      <c r="AU5873" t="s">
        <v>39928</v>
      </c>
      <c r="AV5873">
        <v>25</v>
      </c>
      <c r="AW5873" s="184">
        <v>43977</v>
      </c>
      <c r="AX5873" t="s">
        <v>39928</v>
      </c>
      <c r="AY5873">
        <v>25</v>
      </c>
      <c r="AZ5873" s="184">
        <v>43977</v>
      </c>
      <c r="BA5873" t="s">
        <v>39928</v>
      </c>
      <c r="BB5873">
        <v>25</v>
      </c>
      <c r="BC5873">
        <v>20</v>
      </c>
      <c r="BD5873">
        <v>25</v>
      </c>
      <c r="BE5873">
        <v>2020</v>
      </c>
      <c r="BF5873">
        <v>1</v>
      </c>
      <c r="BI5873">
        <v>1</v>
      </c>
      <c r="BJ5873">
        <v>5</v>
      </c>
      <c r="BK5873">
        <v>1</v>
      </c>
      <c r="BP5873" s="184"/>
    </row>
    <row r="5874" spans="1:68">
      <c r="A5874">
        <v>100435734</v>
      </c>
      <c r="B5874">
        <v>100435734</v>
      </c>
      <c r="C5874" t="s">
        <v>7018</v>
      </c>
      <c r="D5874" t="s">
        <v>595</v>
      </c>
      <c r="E5874" s="184">
        <v>45195</v>
      </c>
      <c r="G5874" s="184"/>
      <c r="I5874" s="184"/>
      <c r="K5874" s="184"/>
      <c r="P5874" t="s">
        <v>7045</v>
      </c>
      <c r="Q5874" t="s">
        <v>7020</v>
      </c>
      <c r="R5874" s="184">
        <v>25882</v>
      </c>
      <c r="S5874">
        <v>53</v>
      </c>
      <c r="U5874" t="s">
        <v>7031</v>
      </c>
      <c r="V5874" t="s">
        <v>2898</v>
      </c>
      <c r="W5874" t="s">
        <v>3332</v>
      </c>
      <c r="X5874" t="s">
        <v>2594</v>
      </c>
      <c r="AF5874" t="s">
        <v>39929</v>
      </c>
      <c r="AG5874" t="s">
        <v>2898</v>
      </c>
      <c r="AI5874" t="s">
        <v>39930</v>
      </c>
      <c r="AJ5874" t="s">
        <v>13418</v>
      </c>
      <c r="AM5874" t="s">
        <v>39931</v>
      </c>
      <c r="AN5874" t="s">
        <v>2112</v>
      </c>
      <c r="AO5874" t="s">
        <v>39932</v>
      </c>
      <c r="AP5874" t="s">
        <v>7024</v>
      </c>
      <c r="AQ5874" t="s">
        <v>39933</v>
      </c>
      <c r="AR5874" t="s">
        <v>39934</v>
      </c>
      <c r="AT5874" s="184">
        <v>42332</v>
      </c>
      <c r="AU5874" t="s">
        <v>39935</v>
      </c>
      <c r="AV5874">
        <v>15</v>
      </c>
      <c r="AW5874" s="184">
        <v>44973</v>
      </c>
      <c r="AX5874" t="s">
        <v>34830</v>
      </c>
      <c r="AY5874">
        <v>1</v>
      </c>
      <c r="AZ5874" s="184">
        <v>44659</v>
      </c>
      <c r="BA5874" t="s">
        <v>39936</v>
      </c>
      <c r="BB5874">
        <v>60</v>
      </c>
      <c r="BC5874">
        <v>80</v>
      </c>
      <c r="BD5874">
        <v>467.49</v>
      </c>
      <c r="BE5874">
        <v>2016</v>
      </c>
      <c r="BF5874">
        <v>22</v>
      </c>
      <c r="BG5874">
        <v>1</v>
      </c>
      <c r="BH5874">
        <v>1</v>
      </c>
      <c r="BI5874">
        <v>8</v>
      </c>
      <c r="BJ5874">
        <v>10</v>
      </c>
      <c r="BK5874">
        <v>7</v>
      </c>
      <c r="BL5874" t="s">
        <v>595</v>
      </c>
      <c r="BM5874" t="s">
        <v>595</v>
      </c>
      <c r="BN5874" t="s">
        <v>595</v>
      </c>
      <c r="BP5874" s="184"/>
    </row>
    <row r="5875" spans="1:68">
      <c r="A5875">
        <v>100441328</v>
      </c>
      <c r="B5875">
        <v>100441328</v>
      </c>
      <c r="C5875" t="s">
        <v>7018</v>
      </c>
      <c r="E5875" s="184"/>
      <c r="G5875" s="184"/>
      <c r="I5875" s="184"/>
      <c r="J5875" t="s">
        <v>595</v>
      </c>
      <c r="K5875" s="184">
        <v>44042</v>
      </c>
      <c r="M5875" s="184"/>
      <c r="O5875" s="184"/>
      <c r="P5875" t="s">
        <v>7045</v>
      </c>
      <c r="Q5875" t="s">
        <v>7383</v>
      </c>
      <c r="R5875" s="184">
        <v>35025</v>
      </c>
      <c r="S5875">
        <v>28</v>
      </c>
      <c r="V5875" t="s">
        <v>4042</v>
      </c>
      <c r="X5875" t="s">
        <v>39937</v>
      </c>
      <c r="AF5875" t="s">
        <v>39938</v>
      </c>
      <c r="AG5875" t="s">
        <v>4042</v>
      </c>
      <c r="AI5875" t="s">
        <v>39939</v>
      </c>
      <c r="AM5875" t="s">
        <v>3524</v>
      </c>
      <c r="AN5875" t="s">
        <v>2162</v>
      </c>
      <c r="AO5875" t="s">
        <v>39940</v>
      </c>
      <c r="AP5875" t="s">
        <v>7024</v>
      </c>
      <c r="AQ5875" t="s">
        <v>39941</v>
      </c>
      <c r="AT5875" s="184">
        <v>43998</v>
      </c>
      <c r="AU5875" t="s">
        <v>39942</v>
      </c>
      <c r="AV5875">
        <v>15</v>
      </c>
      <c r="AW5875" s="184">
        <v>43998</v>
      </c>
      <c r="AX5875" t="s">
        <v>39942</v>
      </c>
      <c r="AY5875">
        <v>15</v>
      </c>
      <c r="AZ5875" s="184">
        <v>43998</v>
      </c>
      <c r="BA5875" t="s">
        <v>39942</v>
      </c>
      <c r="BB5875">
        <v>15</v>
      </c>
      <c r="BC5875">
        <v>20</v>
      </c>
      <c r="BD5875">
        <v>15</v>
      </c>
      <c r="BE5875">
        <v>2020</v>
      </c>
      <c r="BF5875">
        <v>1</v>
      </c>
      <c r="BI5875">
        <v>1</v>
      </c>
      <c r="BJ5875">
        <v>5</v>
      </c>
      <c r="BK5875">
        <v>1</v>
      </c>
      <c r="BP5875" s="184"/>
    </row>
    <row r="5876" spans="1:68">
      <c r="A5876">
        <v>100441443</v>
      </c>
      <c r="B5876">
        <v>100441443</v>
      </c>
      <c r="C5876" t="s">
        <v>7018</v>
      </c>
      <c r="E5876" s="184"/>
      <c r="G5876" s="184"/>
      <c r="I5876" s="184"/>
      <c r="K5876" s="184"/>
      <c r="L5876" t="s">
        <v>595</v>
      </c>
      <c r="M5876" s="184">
        <v>44265</v>
      </c>
      <c r="O5876" s="184"/>
      <c r="P5876" t="s">
        <v>7045</v>
      </c>
      <c r="Q5876" t="s">
        <v>7383</v>
      </c>
      <c r="R5876" s="184">
        <v>17677</v>
      </c>
      <c r="S5876">
        <v>75</v>
      </c>
      <c r="V5876" t="s">
        <v>39943</v>
      </c>
      <c r="X5876" t="s">
        <v>14847</v>
      </c>
      <c r="AF5876" t="s">
        <v>39944</v>
      </c>
      <c r="AG5876" t="s">
        <v>5990</v>
      </c>
      <c r="AI5876" t="s">
        <v>39945</v>
      </c>
      <c r="AM5876" t="s">
        <v>5049</v>
      </c>
      <c r="AN5876" t="s">
        <v>2064</v>
      </c>
      <c r="AO5876" t="s">
        <v>39946</v>
      </c>
      <c r="AP5876" t="s">
        <v>7024</v>
      </c>
      <c r="AQ5876" t="s">
        <v>39947</v>
      </c>
      <c r="AT5876" s="184">
        <v>44006</v>
      </c>
      <c r="AU5876" t="s">
        <v>24643</v>
      </c>
      <c r="AV5876">
        <v>50</v>
      </c>
      <c r="AW5876" s="184">
        <v>45105</v>
      </c>
      <c r="AX5876" t="s">
        <v>14498</v>
      </c>
      <c r="AY5876">
        <v>25</v>
      </c>
      <c r="AZ5876" s="184">
        <v>44733</v>
      </c>
      <c r="BA5876" t="s">
        <v>39948</v>
      </c>
      <c r="BB5876">
        <v>50</v>
      </c>
      <c r="BC5876">
        <v>80</v>
      </c>
      <c r="BD5876">
        <v>175</v>
      </c>
      <c r="BE5876">
        <v>2020</v>
      </c>
      <c r="BF5876">
        <v>4</v>
      </c>
      <c r="BG5876">
        <v>2</v>
      </c>
      <c r="BH5876">
        <v>75</v>
      </c>
      <c r="BI5876">
        <v>4</v>
      </c>
      <c r="BJ5876">
        <v>5</v>
      </c>
      <c r="BK5876">
        <v>4</v>
      </c>
      <c r="BP5876" s="184"/>
    </row>
    <row r="5877" spans="1:68">
      <c r="A5877">
        <v>100442492</v>
      </c>
      <c r="B5877">
        <v>100442492</v>
      </c>
      <c r="C5877" t="s">
        <v>7018</v>
      </c>
      <c r="E5877" s="184"/>
      <c r="G5877" s="184"/>
      <c r="I5877" s="184"/>
      <c r="J5877" t="s">
        <v>595</v>
      </c>
      <c r="K5877" s="184">
        <v>44378</v>
      </c>
      <c r="M5877" s="184"/>
      <c r="O5877" s="184"/>
      <c r="P5877" t="s">
        <v>7045</v>
      </c>
      <c r="Q5877" t="s">
        <v>7454</v>
      </c>
      <c r="R5877" s="184">
        <v>24030</v>
      </c>
      <c r="S5877">
        <v>58</v>
      </c>
      <c r="V5877" t="s">
        <v>39949</v>
      </c>
      <c r="X5877" t="s">
        <v>39950</v>
      </c>
      <c r="AF5877" t="s">
        <v>39951</v>
      </c>
      <c r="AG5877" t="s">
        <v>39949</v>
      </c>
      <c r="AI5877" t="s">
        <v>39952</v>
      </c>
      <c r="AM5877" t="s">
        <v>3855</v>
      </c>
      <c r="AN5877" t="s">
        <v>2055</v>
      </c>
      <c r="AO5877" t="s">
        <v>39953</v>
      </c>
      <c r="AP5877" t="s">
        <v>7024</v>
      </c>
      <c r="AQ5877" t="s">
        <v>39954</v>
      </c>
      <c r="AT5877" s="184">
        <v>44003</v>
      </c>
      <c r="AU5877" t="s">
        <v>39955</v>
      </c>
      <c r="AV5877">
        <v>50</v>
      </c>
      <c r="AW5877" s="184">
        <v>45336</v>
      </c>
      <c r="AX5877" t="s">
        <v>9576</v>
      </c>
      <c r="AY5877">
        <v>500</v>
      </c>
      <c r="AZ5877" s="184">
        <v>45336</v>
      </c>
      <c r="BA5877" t="s">
        <v>9576</v>
      </c>
      <c r="BB5877">
        <v>500</v>
      </c>
      <c r="BC5877">
        <v>40</v>
      </c>
      <c r="BD5877">
        <v>550</v>
      </c>
      <c r="BE5877">
        <v>2020</v>
      </c>
      <c r="BF5877">
        <v>2</v>
      </c>
      <c r="BG5877">
        <v>1</v>
      </c>
      <c r="BH5877">
        <v>500</v>
      </c>
      <c r="BI5877">
        <v>2</v>
      </c>
      <c r="BJ5877">
        <v>5</v>
      </c>
      <c r="BK5877">
        <v>1</v>
      </c>
      <c r="BP5877" s="184"/>
    </row>
    <row r="5878" spans="1:68">
      <c r="A5878">
        <v>100445183</v>
      </c>
      <c r="B5878">
        <v>100445183</v>
      </c>
      <c r="C5878" t="s">
        <v>7018</v>
      </c>
      <c r="D5878" t="s">
        <v>595</v>
      </c>
      <c r="E5878" s="184">
        <v>44455</v>
      </c>
      <c r="G5878" s="184"/>
      <c r="I5878" s="184"/>
      <c r="K5878" s="184"/>
      <c r="M5878" s="184"/>
      <c r="O5878" s="184"/>
      <c r="P5878" t="s">
        <v>7045</v>
      </c>
      <c r="Q5878" t="s">
        <v>7774</v>
      </c>
      <c r="R5878" s="184">
        <v>15707</v>
      </c>
      <c r="S5878">
        <v>81</v>
      </c>
      <c r="U5878" t="s">
        <v>7032</v>
      </c>
      <c r="V5878" t="s">
        <v>3444</v>
      </c>
      <c r="W5878" t="s">
        <v>4013</v>
      </c>
      <c r="X5878" t="s">
        <v>2962</v>
      </c>
      <c r="AF5878" t="s">
        <v>39956</v>
      </c>
      <c r="AG5878" t="s">
        <v>3444</v>
      </c>
      <c r="AI5878" t="s">
        <v>39957</v>
      </c>
      <c r="AM5878" t="s">
        <v>12224</v>
      </c>
      <c r="AN5878" t="s">
        <v>2290</v>
      </c>
      <c r="AO5878" t="s">
        <v>39958</v>
      </c>
      <c r="AP5878" t="s">
        <v>7024</v>
      </c>
      <c r="AT5878" s="184">
        <v>39171</v>
      </c>
      <c r="AU5878" t="s">
        <v>26672</v>
      </c>
      <c r="AV5878">
        <v>19.97</v>
      </c>
      <c r="AW5878" s="184">
        <v>44006</v>
      </c>
      <c r="AX5878" t="s">
        <v>39959</v>
      </c>
      <c r="AY5878">
        <v>10</v>
      </c>
      <c r="AZ5878" s="184">
        <v>42676</v>
      </c>
      <c r="BA5878" t="s">
        <v>39960</v>
      </c>
      <c r="BB5878">
        <v>25</v>
      </c>
      <c r="BC5878">
        <v>45</v>
      </c>
      <c r="BD5878">
        <v>192.97</v>
      </c>
      <c r="BE5878">
        <v>2007</v>
      </c>
      <c r="BF5878">
        <v>9</v>
      </c>
      <c r="BI5878">
        <v>8</v>
      </c>
      <c r="BJ5878">
        <v>18</v>
      </c>
      <c r="BK5878">
        <v>5</v>
      </c>
      <c r="BP5878" s="184"/>
    </row>
    <row r="5879" spans="1:68">
      <c r="A5879">
        <v>100451015</v>
      </c>
      <c r="B5879">
        <v>100451015</v>
      </c>
      <c r="C5879" t="s">
        <v>7018</v>
      </c>
      <c r="D5879" t="s">
        <v>595</v>
      </c>
      <c r="E5879" s="184">
        <v>44104</v>
      </c>
      <c r="G5879" s="184"/>
      <c r="I5879" s="184"/>
      <c r="K5879" s="184"/>
      <c r="M5879" s="184"/>
      <c r="O5879" s="184"/>
      <c r="P5879" t="s">
        <v>7045</v>
      </c>
      <c r="Q5879" t="s">
        <v>7383</v>
      </c>
      <c r="R5879" s="184">
        <v>11904</v>
      </c>
      <c r="S5879">
        <v>91</v>
      </c>
      <c r="V5879" t="s">
        <v>2586</v>
      </c>
      <c r="W5879" t="s">
        <v>7375</v>
      </c>
      <c r="X5879" t="s">
        <v>39961</v>
      </c>
      <c r="Z5879">
        <v>39655576</v>
      </c>
      <c r="AA5879" t="s">
        <v>7031</v>
      </c>
      <c r="AB5879" t="s">
        <v>2863</v>
      </c>
      <c r="AC5879" t="s">
        <v>7407</v>
      </c>
      <c r="AD5879" t="s">
        <v>39961</v>
      </c>
      <c r="AF5879" t="s">
        <v>39962</v>
      </c>
      <c r="AG5879" t="s">
        <v>2586</v>
      </c>
      <c r="AI5879" t="s">
        <v>39963</v>
      </c>
      <c r="AM5879" t="s">
        <v>3761</v>
      </c>
      <c r="AN5879" t="s">
        <v>2059</v>
      </c>
      <c r="AO5879" t="s">
        <v>39964</v>
      </c>
      <c r="AP5879" t="s">
        <v>7024</v>
      </c>
      <c r="AQ5879" t="s">
        <v>39965</v>
      </c>
      <c r="AT5879" s="184">
        <v>44013</v>
      </c>
      <c r="AU5879" t="s">
        <v>39966</v>
      </c>
      <c r="AV5879">
        <v>100</v>
      </c>
      <c r="AW5879" s="184">
        <v>45022</v>
      </c>
      <c r="AX5879" t="s">
        <v>39967</v>
      </c>
      <c r="AY5879">
        <v>100</v>
      </c>
      <c r="AZ5879" s="184">
        <v>45022</v>
      </c>
      <c r="BA5879" t="s">
        <v>39967</v>
      </c>
      <c r="BB5879">
        <v>100</v>
      </c>
      <c r="BC5879">
        <v>80</v>
      </c>
      <c r="BD5879">
        <v>600</v>
      </c>
      <c r="BE5879">
        <v>2021</v>
      </c>
      <c r="BF5879">
        <v>6</v>
      </c>
      <c r="BG5879">
        <v>3</v>
      </c>
      <c r="BH5879">
        <v>300</v>
      </c>
      <c r="BI5879">
        <v>4</v>
      </c>
      <c r="BJ5879">
        <v>5</v>
      </c>
      <c r="BK5879">
        <v>4</v>
      </c>
      <c r="BP5879" s="184"/>
    </row>
    <row r="5880" spans="1:68">
      <c r="A5880">
        <v>100454936</v>
      </c>
      <c r="B5880">
        <v>100454936</v>
      </c>
      <c r="C5880" t="s">
        <v>7018</v>
      </c>
      <c r="E5880" s="184"/>
      <c r="G5880" s="184"/>
      <c r="H5880" t="s">
        <v>595</v>
      </c>
      <c r="I5880" s="184">
        <v>44476</v>
      </c>
      <c r="K5880" s="184"/>
      <c r="O5880" s="184"/>
      <c r="P5880" t="s">
        <v>7045</v>
      </c>
      <c r="Q5880" t="s">
        <v>7020</v>
      </c>
      <c r="R5880" s="184">
        <v>11658</v>
      </c>
      <c r="S5880">
        <v>92</v>
      </c>
      <c r="V5880" t="s">
        <v>39968</v>
      </c>
      <c r="X5880" t="s">
        <v>39969</v>
      </c>
      <c r="AF5880" t="s">
        <v>39970</v>
      </c>
      <c r="AG5880" t="s">
        <v>39968</v>
      </c>
      <c r="AI5880" t="s">
        <v>39971</v>
      </c>
      <c r="AM5880" t="s">
        <v>39972</v>
      </c>
      <c r="AN5880" t="s">
        <v>2129</v>
      </c>
      <c r="AO5880" t="s">
        <v>39973</v>
      </c>
      <c r="AP5880" t="s">
        <v>7024</v>
      </c>
      <c r="AT5880" s="184">
        <v>44034</v>
      </c>
      <c r="AU5880" t="s">
        <v>39974</v>
      </c>
      <c r="AV5880">
        <v>25</v>
      </c>
      <c r="AW5880" s="184">
        <v>44945</v>
      </c>
      <c r="AX5880" t="s">
        <v>30022</v>
      </c>
      <c r="AY5880">
        <v>60</v>
      </c>
      <c r="AZ5880" s="184">
        <v>44945</v>
      </c>
      <c r="BA5880" t="s">
        <v>30022</v>
      </c>
      <c r="BB5880">
        <v>60</v>
      </c>
      <c r="BC5880">
        <v>80</v>
      </c>
      <c r="BD5880">
        <v>325</v>
      </c>
      <c r="BE5880">
        <v>2021</v>
      </c>
      <c r="BF5880">
        <v>6</v>
      </c>
      <c r="BG5880">
        <v>3</v>
      </c>
      <c r="BH5880">
        <v>180</v>
      </c>
      <c r="BI5880">
        <v>4</v>
      </c>
      <c r="BJ5880">
        <v>5</v>
      </c>
      <c r="BK5880">
        <v>4</v>
      </c>
      <c r="BP5880" s="184"/>
    </row>
    <row r="5881" spans="1:68">
      <c r="A5881">
        <v>100456705</v>
      </c>
      <c r="B5881">
        <v>100456705</v>
      </c>
      <c r="C5881" t="s">
        <v>7018</v>
      </c>
      <c r="E5881" s="184"/>
      <c r="G5881" s="184"/>
      <c r="H5881" t="s">
        <v>595</v>
      </c>
      <c r="I5881" s="184">
        <v>44378</v>
      </c>
      <c r="K5881" s="184"/>
      <c r="O5881" s="184"/>
      <c r="P5881" t="s">
        <v>7045</v>
      </c>
      <c r="Q5881" t="s">
        <v>7774</v>
      </c>
      <c r="R5881" s="184">
        <v>10294</v>
      </c>
      <c r="S5881">
        <v>96</v>
      </c>
      <c r="U5881" t="s">
        <v>7031</v>
      </c>
      <c r="V5881" t="s">
        <v>2758</v>
      </c>
      <c r="X5881" t="s">
        <v>32392</v>
      </c>
      <c r="AF5881" t="s">
        <v>39975</v>
      </c>
      <c r="AG5881" t="s">
        <v>2758</v>
      </c>
      <c r="AI5881" t="s">
        <v>39976</v>
      </c>
      <c r="AM5881" t="s">
        <v>39977</v>
      </c>
      <c r="AN5881" t="s">
        <v>2290</v>
      </c>
      <c r="AO5881" t="s">
        <v>39978</v>
      </c>
      <c r="AP5881" t="s">
        <v>7024</v>
      </c>
      <c r="AQ5881" t="s">
        <v>39979</v>
      </c>
      <c r="AT5881" s="184">
        <v>44039</v>
      </c>
      <c r="AU5881" t="s">
        <v>39980</v>
      </c>
      <c r="AV5881">
        <v>25</v>
      </c>
      <c r="AW5881" s="184">
        <v>45369</v>
      </c>
      <c r="AX5881" t="s">
        <v>22799</v>
      </c>
      <c r="AY5881">
        <v>60</v>
      </c>
      <c r="AZ5881" s="184">
        <v>45369</v>
      </c>
      <c r="BA5881" t="s">
        <v>22799</v>
      </c>
      <c r="BB5881">
        <v>60</v>
      </c>
      <c r="BC5881">
        <v>60</v>
      </c>
      <c r="BD5881">
        <v>145</v>
      </c>
      <c r="BE5881">
        <v>2021</v>
      </c>
      <c r="BF5881">
        <v>3</v>
      </c>
      <c r="BG5881">
        <v>1</v>
      </c>
      <c r="BH5881">
        <v>60</v>
      </c>
      <c r="BI5881">
        <v>3</v>
      </c>
      <c r="BJ5881">
        <v>5</v>
      </c>
      <c r="BK5881">
        <v>2</v>
      </c>
      <c r="BP5881" s="184"/>
    </row>
    <row r="5882" spans="1:68">
      <c r="A5882">
        <v>100457650</v>
      </c>
      <c r="B5882">
        <v>100457650</v>
      </c>
      <c r="C5882" t="s">
        <v>7018</v>
      </c>
      <c r="E5882" s="184"/>
      <c r="F5882" t="s">
        <v>595</v>
      </c>
      <c r="G5882" s="184">
        <v>44592</v>
      </c>
      <c r="I5882" s="184"/>
      <c r="K5882" s="184"/>
      <c r="O5882" s="184"/>
      <c r="P5882" t="s">
        <v>7045</v>
      </c>
      <c r="Q5882" t="s">
        <v>7020</v>
      </c>
      <c r="R5882" s="184">
        <v>23660</v>
      </c>
      <c r="S5882">
        <v>59</v>
      </c>
      <c r="V5882" t="s">
        <v>3288</v>
      </c>
      <c r="X5882" t="s">
        <v>39981</v>
      </c>
      <c r="AF5882" t="s">
        <v>39982</v>
      </c>
      <c r="AG5882" t="s">
        <v>3288</v>
      </c>
      <c r="AI5882" t="s">
        <v>39983</v>
      </c>
      <c r="AM5882" t="s">
        <v>3794</v>
      </c>
      <c r="AN5882" t="s">
        <v>2112</v>
      </c>
      <c r="AO5882" t="s">
        <v>39984</v>
      </c>
      <c r="AP5882" t="s">
        <v>7024</v>
      </c>
      <c r="AQ5882" t="s">
        <v>39985</v>
      </c>
      <c r="AT5882" s="184">
        <v>44543</v>
      </c>
      <c r="AU5882" t="s">
        <v>17745</v>
      </c>
      <c r="AV5882">
        <v>15</v>
      </c>
      <c r="AW5882" s="184">
        <v>44543</v>
      </c>
      <c r="AX5882" t="s">
        <v>17745</v>
      </c>
      <c r="AY5882">
        <v>15</v>
      </c>
      <c r="AZ5882" s="184">
        <v>44543</v>
      </c>
      <c r="BA5882" t="s">
        <v>17745</v>
      </c>
      <c r="BB5882">
        <v>15</v>
      </c>
      <c r="BC5882">
        <v>25</v>
      </c>
      <c r="BD5882">
        <v>15</v>
      </c>
      <c r="BE5882">
        <v>2022</v>
      </c>
      <c r="BF5882">
        <v>1</v>
      </c>
      <c r="BI5882">
        <v>1</v>
      </c>
      <c r="BJ5882">
        <v>4</v>
      </c>
      <c r="BK5882">
        <v>1</v>
      </c>
      <c r="BP5882" s="184"/>
    </row>
    <row r="5883" spans="1:68">
      <c r="A5883">
        <v>100460275</v>
      </c>
      <c r="B5883">
        <v>100460275</v>
      </c>
      <c r="C5883" t="s">
        <v>7018</v>
      </c>
      <c r="E5883" s="184"/>
      <c r="G5883" s="184"/>
      <c r="I5883" s="184"/>
      <c r="J5883" t="s">
        <v>595</v>
      </c>
      <c r="K5883" s="184">
        <v>44054</v>
      </c>
      <c r="M5883" s="184"/>
      <c r="O5883" s="184"/>
      <c r="P5883" t="s">
        <v>8550</v>
      </c>
      <c r="R5883" s="184"/>
      <c r="V5883" t="s">
        <v>3101</v>
      </c>
      <c r="X5883" t="s">
        <v>4631</v>
      </c>
      <c r="AF5883" t="s">
        <v>39986</v>
      </c>
      <c r="AG5883" t="s">
        <v>3101</v>
      </c>
      <c r="AP5883" t="s">
        <v>7024</v>
      </c>
      <c r="AT5883" s="184"/>
      <c r="AW5883" s="184"/>
      <c r="AZ5883" s="184"/>
      <c r="BP5883" s="184"/>
    </row>
    <row r="5884" spans="1:68">
      <c r="A5884">
        <v>100461887</v>
      </c>
      <c r="B5884">
        <v>100461887</v>
      </c>
      <c r="C5884" t="s">
        <v>7018</v>
      </c>
      <c r="E5884" s="184"/>
      <c r="G5884" s="184"/>
      <c r="H5884" t="s">
        <v>595</v>
      </c>
      <c r="I5884" s="184">
        <v>44105</v>
      </c>
      <c r="J5884" t="s">
        <v>595</v>
      </c>
      <c r="K5884" s="184">
        <v>44775</v>
      </c>
      <c r="M5884" s="184"/>
      <c r="O5884" s="184"/>
      <c r="P5884" t="s">
        <v>7019</v>
      </c>
      <c r="Q5884" t="s">
        <v>7454</v>
      </c>
      <c r="R5884" s="184">
        <v>17457</v>
      </c>
      <c r="S5884">
        <v>76</v>
      </c>
      <c r="V5884" t="s">
        <v>2523</v>
      </c>
      <c r="W5884" t="s">
        <v>2049</v>
      </c>
      <c r="X5884" t="s">
        <v>5023</v>
      </c>
      <c r="Z5884">
        <v>100542967</v>
      </c>
      <c r="AB5884" t="s">
        <v>3617</v>
      </c>
      <c r="AD5884" t="s">
        <v>5023</v>
      </c>
      <c r="AF5884" t="s">
        <v>39987</v>
      </c>
      <c r="AG5884" t="s">
        <v>39988</v>
      </c>
      <c r="AI5884" t="s">
        <v>39989</v>
      </c>
      <c r="AM5884" t="s">
        <v>3900</v>
      </c>
      <c r="AN5884" t="s">
        <v>2055</v>
      </c>
      <c r="AO5884" t="s">
        <v>39990</v>
      </c>
      <c r="AP5884" t="s">
        <v>7024</v>
      </c>
      <c r="AQ5884" t="s">
        <v>39991</v>
      </c>
      <c r="AT5884" s="184">
        <v>44047</v>
      </c>
      <c r="AU5884" t="s">
        <v>39992</v>
      </c>
      <c r="AV5884">
        <v>25</v>
      </c>
      <c r="AW5884" s="184">
        <v>44490</v>
      </c>
      <c r="AX5884" t="s">
        <v>39993</v>
      </c>
      <c r="AY5884">
        <v>60</v>
      </c>
      <c r="AZ5884" s="184">
        <v>44490</v>
      </c>
      <c r="BA5884" t="s">
        <v>39993</v>
      </c>
      <c r="BB5884">
        <v>60</v>
      </c>
      <c r="BC5884">
        <v>40</v>
      </c>
      <c r="BD5884">
        <v>110</v>
      </c>
      <c r="BE5884">
        <v>2021</v>
      </c>
      <c r="BF5884">
        <v>3</v>
      </c>
      <c r="BI5884">
        <v>2</v>
      </c>
      <c r="BJ5884">
        <v>5</v>
      </c>
      <c r="BK5884">
        <v>2</v>
      </c>
      <c r="BP5884" s="184"/>
    </row>
    <row r="5885" spans="1:68">
      <c r="A5885">
        <v>100542967</v>
      </c>
      <c r="B5885">
        <v>100461887</v>
      </c>
      <c r="C5885" t="s">
        <v>7018</v>
      </c>
      <c r="E5885" s="184"/>
      <c r="G5885" s="184"/>
      <c r="H5885" t="s">
        <v>595</v>
      </c>
      <c r="I5885" s="184">
        <v>44105</v>
      </c>
      <c r="J5885" t="s">
        <v>595</v>
      </c>
      <c r="K5885" s="184">
        <v>44775</v>
      </c>
      <c r="M5885" s="184"/>
      <c r="O5885" s="184"/>
      <c r="P5885" t="s">
        <v>7019</v>
      </c>
      <c r="Q5885" t="s">
        <v>7454</v>
      </c>
      <c r="R5885" s="184">
        <v>13813</v>
      </c>
      <c r="S5885">
        <v>86</v>
      </c>
      <c r="V5885" t="s">
        <v>3617</v>
      </c>
      <c r="X5885" t="s">
        <v>5023</v>
      </c>
      <c r="Z5885">
        <v>100461887</v>
      </c>
      <c r="AB5885" t="s">
        <v>2523</v>
      </c>
      <c r="AC5885" t="s">
        <v>2049</v>
      </c>
      <c r="AD5885" t="s">
        <v>5023</v>
      </c>
      <c r="AF5885" t="s">
        <v>39987</v>
      </c>
      <c r="AG5885" t="s">
        <v>39988</v>
      </c>
      <c r="AI5885" t="s">
        <v>39989</v>
      </c>
      <c r="AM5885" t="s">
        <v>3900</v>
      </c>
      <c r="AN5885" t="s">
        <v>2055</v>
      </c>
      <c r="AO5885" t="s">
        <v>39990</v>
      </c>
      <c r="AP5885" t="s">
        <v>7024</v>
      </c>
      <c r="AT5885" s="184"/>
      <c r="AW5885" s="184"/>
      <c r="AZ5885" s="184"/>
      <c r="BP5885" s="184"/>
    </row>
    <row r="5886" spans="1:68">
      <c r="A5886">
        <v>100466324</v>
      </c>
      <c r="B5886">
        <v>100466324</v>
      </c>
      <c r="C5886" t="s">
        <v>7018</v>
      </c>
      <c r="E5886" s="184"/>
      <c r="G5886" s="184"/>
      <c r="H5886" t="s">
        <v>595</v>
      </c>
      <c r="I5886" s="184">
        <v>44194</v>
      </c>
      <c r="K5886" s="184"/>
      <c r="M5886" s="184"/>
      <c r="O5886" s="184"/>
      <c r="P5886" t="s">
        <v>7045</v>
      </c>
      <c r="Q5886" t="s">
        <v>7383</v>
      </c>
      <c r="R5886" s="184">
        <v>17040</v>
      </c>
      <c r="S5886">
        <v>77</v>
      </c>
      <c r="V5886" t="s">
        <v>3360</v>
      </c>
      <c r="X5886" t="s">
        <v>39994</v>
      </c>
      <c r="AF5886" t="s">
        <v>39995</v>
      </c>
      <c r="AG5886" t="s">
        <v>3360</v>
      </c>
      <c r="AI5886" t="s">
        <v>39996</v>
      </c>
      <c r="AM5886" t="s">
        <v>3815</v>
      </c>
      <c r="AN5886" t="s">
        <v>2059</v>
      </c>
      <c r="AO5886" t="s">
        <v>39997</v>
      </c>
      <c r="AP5886" t="s">
        <v>7024</v>
      </c>
      <c r="AQ5886" t="s">
        <v>39998</v>
      </c>
      <c r="AT5886" s="184">
        <v>44055</v>
      </c>
      <c r="AU5886" t="s">
        <v>39999</v>
      </c>
      <c r="AV5886">
        <v>25</v>
      </c>
      <c r="AW5886" s="184">
        <v>44055</v>
      </c>
      <c r="AX5886" t="s">
        <v>39999</v>
      </c>
      <c r="AY5886">
        <v>25</v>
      </c>
      <c r="AZ5886" s="184">
        <v>44055</v>
      </c>
      <c r="BA5886" t="s">
        <v>39999</v>
      </c>
      <c r="BB5886">
        <v>25</v>
      </c>
      <c r="BC5886">
        <v>20</v>
      </c>
      <c r="BD5886">
        <v>25</v>
      </c>
      <c r="BE5886">
        <v>2021</v>
      </c>
      <c r="BF5886">
        <v>1</v>
      </c>
      <c r="BI5886">
        <v>1</v>
      </c>
      <c r="BJ5886">
        <v>5</v>
      </c>
      <c r="BK5886">
        <v>1</v>
      </c>
      <c r="BP5886" s="184"/>
    </row>
    <row r="5887" spans="1:68">
      <c r="A5887">
        <v>100468427</v>
      </c>
      <c r="B5887">
        <v>100468427</v>
      </c>
      <c r="C5887" t="s">
        <v>7018</v>
      </c>
      <c r="E5887" s="184"/>
      <c r="G5887" s="184"/>
      <c r="H5887" t="s">
        <v>595</v>
      </c>
      <c r="I5887" s="184">
        <v>44610</v>
      </c>
      <c r="K5887" s="184"/>
      <c r="M5887" s="184"/>
      <c r="O5887" s="184"/>
      <c r="P5887" t="s">
        <v>7045</v>
      </c>
      <c r="Q5887" t="s">
        <v>7774</v>
      </c>
      <c r="R5887" s="184">
        <v>17968</v>
      </c>
      <c r="S5887">
        <v>75</v>
      </c>
      <c r="V5887" t="s">
        <v>4791</v>
      </c>
      <c r="X5887" t="s">
        <v>2910</v>
      </c>
      <c r="AF5887" t="s">
        <v>31517</v>
      </c>
      <c r="AG5887" t="s">
        <v>4791</v>
      </c>
      <c r="AI5887" t="s">
        <v>40000</v>
      </c>
      <c r="AM5887" t="s">
        <v>4469</v>
      </c>
      <c r="AN5887" t="s">
        <v>2077</v>
      </c>
      <c r="AO5887" t="s">
        <v>40001</v>
      </c>
      <c r="AP5887" t="s">
        <v>7024</v>
      </c>
      <c r="AQ5887" t="s">
        <v>31519</v>
      </c>
      <c r="AR5887" t="s">
        <v>40002</v>
      </c>
      <c r="AT5887" s="184">
        <v>44060</v>
      </c>
      <c r="AU5887" t="s">
        <v>40003</v>
      </c>
      <c r="AV5887">
        <v>15</v>
      </c>
      <c r="AW5887" s="184">
        <v>44986</v>
      </c>
      <c r="AX5887" t="s">
        <v>40004</v>
      </c>
      <c r="AY5887">
        <v>25</v>
      </c>
      <c r="AZ5887" s="184">
        <v>44986</v>
      </c>
      <c r="BA5887" t="s">
        <v>40004</v>
      </c>
      <c r="BB5887">
        <v>25</v>
      </c>
      <c r="BC5887">
        <v>80</v>
      </c>
      <c r="BD5887">
        <v>115</v>
      </c>
      <c r="BE5887">
        <v>2021</v>
      </c>
      <c r="BF5887">
        <v>5</v>
      </c>
      <c r="BG5887">
        <v>1</v>
      </c>
      <c r="BH5887">
        <v>25</v>
      </c>
      <c r="BI5887">
        <v>4</v>
      </c>
      <c r="BJ5887">
        <v>5</v>
      </c>
      <c r="BK5887">
        <v>4</v>
      </c>
      <c r="BP5887" s="184"/>
    </row>
    <row r="5888" spans="1:68">
      <c r="A5888">
        <v>100541217</v>
      </c>
      <c r="B5888">
        <v>100541217</v>
      </c>
      <c r="C5888" t="s">
        <v>7018</v>
      </c>
      <c r="D5888" t="s">
        <v>595</v>
      </c>
      <c r="E5888" s="184">
        <v>44103</v>
      </c>
      <c r="G5888" s="184"/>
      <c r="I5888" s="184"/>
      <c r="K5888" s="184"/>
      <c r="M5888" s="184"/>
      <c r="O5888" s="184"/>
      <c r="P5888" t="s">
        <v>26463</v>
      </c>
      <c r="Q5888" t="s">
        <v>7383</v>
      </c>
      <c r="R5888" s="184">
        <v>19963</v>
      </c>
      <c r="S5888">
        <v>69</v>
      </c>
      <c r="V5888" t="s">
        <v>3080</v>
      </c>
      <c r="X5888" t="s">
        <v>3095</v>
      </c>
      <c r="AF5888" t="s">
        <v>40005</v>
      </c>
      <c r="AG5888" t="s">
        <v>3080</v>
      </c>
      <c r="AI5888" t="s">
        <v>40006</v>
      </c>
      <c r="AM5888" t="s">
        <v>3968</v>
      </c>
      <c r="AN5888" t="s">
        <v>2072</v>
      </c>
      <c r="AO5888" t="s">
        <v>40007</v>
      </c>
      <c r="AP5888" t="s">
        <v>7024</v>
      </c>
      <c r="AQ5888" t="s">
        <v>40008</v>
      </c>
      <c r="AT5888" s="184">
        <v>44376</v>
      </c>
      <c r="AU5888" t="s">
        <v>40009</v>
      </c>
      <c r="AV5888">
        <v>10</v>
      </c>
      <c r="AW5888" s="184">
        <v>44376</v>
      </c>
      <c r="AX5888" t="s">
        <v>40009</v>
      </c>
      <c r="AY5888">
        <v>10</v>
      </c>
      <c r="AZ5888" s="184">
        <v>44376</v>
      </c>
      <c r="BA5888" t="s">
        <v>40009</v>
      </c>
      <c r="BB5888">
        <v>10</v>
      </c>
      <c r="BC5888">
        <v>25</v>
      </c>
      <c r="BD5888">
        <v>10</v>
      </c>
      <c r="BE5888">
        <v>2021</v>
      </c>
      <c r="BF5888">
        <v>1</v>
      </c>
      <c r="BI5888">
        <v>1</v>
      </c>
      <c r="BJ5888">
        <v>4</v>
      </c>
      <c r="BK5888">
        <v>1</v>
      </c>
      <c r="BP5888" s="184"/>
    </row>
    <row r="5889" spans="1:68">
      <c r="A5889">
        <v>100542965</v>
      </c>
      <c r="B5889">
        <v>100542965</v>
      </c>
      <c r="C5889" t="s">
        <v>7018</v>
      </c>
      <c r="E5889" s="184"/>
      <c r="G5889" s="184"/>
      <c r="H5889" t="s">
        <v>595</v>
      </c>
      <c r="I5889" s="184">
        <v>44105</v>
      </c>
      <c r="K5889" s="184"/>
      <c r="M5889" s="184"/>
      <c r="O5889" s="184"/>
      <c r="P5889" t="s">
        <v>7045</v>
      </c>
      <c r="Q5889" t="s">
        <v>7262</v>
      </c>
      <c r="R5889" s="184"/>
      <c r="V5889" t="s">
        <v>3145</v>
      </c>
      <c r="X5889" t="s">
        <v>5024</v>
      </c>
      <c r="AF5889" t="s">
        <v>40010</v>
      </c>
      <c r="AG5889" t="s">
        <v>3145</v>
      </c>
      <c r="AI5889" t="s">
        <v>40011</v>
      </c>
      <c r="AM5889" t="s">
        <v>2616</v>
      </c>
      <c r="AN5889" t="s">
        <v>2069</v>
      </c>
      <c r="AO5889" t="s">
        <v>40012</v>
      </c>
      <c r="AP5889" t="s">
        <v>7024</v>
      </c>
      <c r="AT5889" s="184">
        <v>45356</v>
      </c>
      <c r="AU5889" t="s">
        <v>40013</v>
      </c>
      <c r="AV5889">
        <v>30</v>
      </c>
      <c r="AW5889" s="184">
        <v>45356</v>
      </c>
      <c r="AX5889" t="s">
        <v>40013</v>
      </c>
      <c r="AY5889">
        <v>30</v>
      </c>
      <c r="AZ5889" s="184">
        <v>45356</v>
      </c>
      <c r="BA5889" t="s">
        <v>40013</v>
      </c>
      <c r="BB5889">
        <v>30</v>
      </c>
      <c r="BC5889">
        <v>100</v>
      </c>
      <c r="BD5889">
        <v>30</v>
      </c>
      <c r="BE5889">
        <v>2024</v>
      </c>
      <c r="BF5889">
        <v>1</v>
      </c>
      <c r="BG5889">
        <v>1</v>
      </c>
      <c r="BH5889">
        <v>30</v>
      </c>
      <c r="BI5889">
        <v>1</v>
      </c>
      <c r="BJ5889">
        <v>1</v>
      </c>
      <c r="BK5889">
        <v>1</v>
      </c>
      <c r="BP5889" s="184"/>
    </row>
    <row r="5890" spans="1:68">
      <c r="A5890">
        <v>100544575</v>
      </c>
      <c r="B5890">
        <v>100544575</v>
      </c>
      <c r="C5890" t="s">
        <v>7018</v>
      </c>
      <c r="E5890" s="184"/>
      <c r="G5890" s="184"/>
      <c r="H5890" t="s">
        <v>595</v>
      </c>
      <c r="I5890" s="184">
        <v>44116</v>
      </c>
      <c r="K5890" s="184"/>
      <c r="M5890" s="184"/>
      <c r="O5890" s="184"/>
      <c r="P5890" t="s">
        <v>8550</v>
      </c>
      <c r="Q5890" t="s">
        <v>7383</v>
      </c>
      <c r="R5890" s="184">
        <v>21929</v>
      </c>
      <c r="S5890">
        <v>64</v>
      </c>
      <c r="U5890" t="s">
        <v>7076</v>
      </c>
      <c r="V5890" t="s">
        <v>5030</v>
      </c>
      <c r="X5890" t="s">
        <v>3120</v>
      </c>
      <c r="AF5890" t="s">
        <v>40014</v>
      </c>
      <c r="AG5890" t="s">
        <v>5030</v>
      </c>
      <c r="AI5890" t="s">
        <v>40015</v>
      </c>
      <c r="AM5890" t="s">
        <v>5031</v>
      </c>
      <c r="AN5890" t="s">
        <v>2185</v>
      </c>
      <c r="AO5890" t="s">
        <v>40016</v>
      </c>
      <c r="AP5890" t="s">
        <v>7024</v>
      </c>
      <c r="AQ5890" t="s">
        <v>40017</v>
      </c>
      <c r="AT5890" s="184"/>
      <c r="AW5890" s="184"/>
      <c r="AZ5890" s="184"/>
      <c r="BP5890" s="184"/>
    </row>
    <row r="5891" spans="1:68">
      <c r="A5891">
        <v>100546563</v>
      </c>
      <c r="B5891">
        <v>100546563</v>
      </c>
      <c r="C5891" t="s">
        <v>7018</v>
      </c>
      <c r="E5891" s="184"/>
      <c r="G5891" s="184"/>
      <c r="I5891" s="184"/>
      <c r="J5891" t="s">
        <v>595</v>
      </c>
      <c r="K5891" s="184">
        <v>44117</v>
      </c>
      <c r="M5891" s="184"/>
      <c r="O5891" s="184"/>
      <c r="P5891" t="s">
        <v>8550</v>
      </c>
      <c r="R5891" s="184"/>
      <c r="V5891" t="s">
        <v>2828</v>
      </c>
      <c r="X5891" t="s">
        <v>9268</v>
      </c>
      <c r="AF5891" t="s">
        <v>40018</v>
      </c>
      <c r="AG5891" t="s">
        <v>2828</v>
      </c>
      <c r="AP5891" t="s">
        <v>7024</v>
      </c>
      <c r="AQ5891" t="s">
        <v>40019</v>
      </c>
      <c r="AT5891" s="184"/>
      <c r="AW5891" s="184"/>
      <c r="AZ5891" s="184"/>
      <c r="BP5891" s="184"/>
    </row>
    <row r="5892" spans="1:68">
      <c r="A5892">
        <v>100547285</v>
      </c>
      <c r="B5892">
        <v>100547285</v>
      </c>
      <c r="C5892" t="s">
        <v>7018</v>
      </c>
      <c r="D5892" t="s">
        <v>595</v>
      </c>
      <c r="E5892" s="184">
        <v>44495</v>
      </c>
      <c r="G5892" s="184"/>
      <c r="I5892" s="184"/>
      <c r="K5892" s="184"/>
      <c r="M5892" s="184"/>
      <c r="O5892" s="184"/>
      <c r="P5892" t="s">
        <v>7045</v>
      </c>
      <c r="Q5892" t="s">
        <v>7383</v>
      </c>
      <c r="R5892" s="184">
        <v>25750</v>
      </c>
      <c r="S5892">
        <v>53</v>
      </c>
      <c r="V5892" t="s">
        <v>40020</v>
      </c>
      <c r="W5892" t="s">
        <v>7246</v>
      </c>
      <c r="X5892" t="s">
        <v>40021</v>
      </c>
      <c r="AF5892" t="s">
        <v>40022</v>
      </c>
      <c r="AG5892" t="s">
        <v>40020</v>
      </c>
      <c r="AI5892" t="s">
        <v>40023</v>
      </c>
      <c r="AM5892" t="s">
        <v>40024</v>
      </c>
      <c r="AN5892" t="s">
        <v>2162</v>
      </c>
      <c r="AO5892" t="s">
        <v>40025</v>
      </c>
      <c r="AP5892" t="s">
        <v>7024</v>
      </c>
      <c r="AQ5892" t="s">
        <v>40026</v>
      </c>
      <c r="AT5892" s="184">
        <v>44095</v>
      </c>
      <c r="AU5892" t="s">
        <v>40027</v>
      </c>
      <c r="AV5892">
        <v>15</v>
      </c>
      <c r="AW5892" s="184">
        <v>44095</v>
      </c>
      <c r="AX5892" t="s">
        <v>40027</v>
      </c>
      <c r="AY5892">
        <v>15</v>
      </c>
      <c r="AZ5892" s="184">
        <v>44095</v>
      </c>
      <c r="BA5892" t="s">
        <v>40027</v>
      </c>
      <c r="BB5892">
        <v>15</v>
      </c>
      <c r="BC5892">
        <v>20</v>
      </c>
      <c r="BD5892">
        <v>15</v>
      </c>
      <c r="BE5892">
        <v>2021</v>
      </c>
      <c r="BF5892">
        <v>1</v>
      </c>
      <c r="BI5892">
        <v>1</v>
      </c>
      <c r="BJ5892">
        <v>5</v>
      </c>
      <c r="BK5892">
        <v>1</v>
      </c>
      <c r="BP5892" s="184"/>
    </row>
    <row r="5893" spans="1:68">
      <c r="A5893">
        <v>100552851</v>
      </c>
      <c r="B5893">
        <v>100552851</v>
      </c>
      <c r="C5893" t="s">
        <v>7018</v>
      </c>
      <c r="E5893" s="184"/>
      <c r="F5893" t="s">
        <v>595</v>
      </c>
      <c r="G5893" s="184">
        <v>44126</v>
      </c>
      <c r="I5893" s="184"/>
      <c r="K5893" s="184"/>
      <c r="O5893" s="184"/>
      <c r="Q5893" t="s">
        <v>7020</v>
      </c>
      <c r="R5893" s="184"/>
      <c r="V5893" t="s">
        <v>12301</v>
      </c>
      <c r="X5893" t="s">
        <v>26385</v>
      </c>
      <c r="AF5893" t="s">
        <v>40028</v>
      </c>
      <c r="AG5893" t="s">
        <v>12301</v>
      </c>
      <c r="AI5893" t="s">
        <v>40029</v>
      </c>
      <c r="AM5893" t="s">
        <v>40030</v>
      </c>
      <c r="AN5893" t="s">
        <v>2363</v>
      </c>
      <c r="AO5893" t="s">
        <v>40031</v>
      </c>
      <c r="AP5893" t="s">
        <v>7024</v>
      </c>
      <c r="AQ5893" t="s">
        <v>40032</v>
      </c>
      <c r="AT5893" s="184"/>
      <c r="AW5893" s="184"/>
      <c r="AZ5893" s="184"/>
      <c r="BP5893" s="184"/>
    </row>
    <row r="5894" spans="1:68">
      <c r="A5894">
        <v>100553513</v>
      </c>
      <c r="B5894">
        <v>100553513</v>
      </c>
      <c r="C5894" t="s">
        <v>7018</v>
      </c>
      <c r="E5894" s="184"/>
      <c r="G5894" s="184"/>
      <c r="H5894" t="s">
        <v>595</v>
      </c>
      <c r="I5894" s="184">
        <v>44132</v>
      </c>
      <c r="K5894" s="184"/>
      <c r="M5894" s="184"/>
      <c r="O5894" s="184"/>
      <c r="P5894" t="s">
        <v>8550</v>
      </c>
      <c r="Q5894" t="s">
        <v>7194</v>
      </c>
      <c r="R5894" s="184">
        <v>19103</v>
      </c>
      <c r="S5894">
        <v>72</v>
      </c>
      <c r="V5894" t="s">
        <v>2732</v>
      </c>
      <c r="X5894" t="s">
        <v>5038</v>
      </c>
      <c r="AF5894" t="s">
        <v>40033</v>
      </c>
      <c r="AG5894" t="s">
        <v>2732</v>
      </c>
      <c r="AI5894" t="s">
        <v>40034</v>
      </c>
      <c r="AM5894" t="s">
        <v>5039</v>
      </c>
      <c r="AN5894" t="s">
        <v>2046</v>
      </c>
      <c r="AO5894">
        <v>32713</v>
      </c>
      <c r="AP5894" t="s">
        <v>7024</v>
      </c>
      <c r="AQ5894" t="s">
        <v>40035</v>
      </c>
      <c r="AT5894" s="184"/>
      <c r="AW5894" s="184"/>
      <c r="AZ5894" s="184"/>
      <c r="BP5894" s="184"/>
    </row>
    <row r="5895" spans="1:68">
      <c r="A5895">
        <v>100556447</v>
      </c>
      <c r="B5895">
        <v>100556447</v>
      </c>
      <c r="C5895" t="s">
        <v>7018</v>
      </c>
      <c r="D5895" t="s">
        <v>595</v>
      </c>
      <c r="E5895" s="184">
        <v>44046</v>
      </c>
      <c r="G5895" s="184"/>
      <c r="I5895" s="184"/>
      <c r="K5895" s="184"/>
      <c r="M5895" s="184"/>
      <c r="O5895" s="184"/>
      <c r="P5895" t="s">
        <v>7045</v>
      </c>
      <c r="Q5895" t="s">
        <v>7262</v>
      </c>
      <c r="R5895" s="184">
        <v>18474</v>
      </c>
      <c r="S5895">
        <v>73</v>
      </c>
      <c r="U5895" t="s">
        <v>7076</v>
      </c>
      <c r="V5895" t="s">
        <v>3002</v>
      </c>
      <c r="X5895" t="s">
        <v>10406</v>
      </c>
      <c r="Z5895">
        <v>100581182</v>
      </c>
      <c r="AA5895" t="s">
        <v>7031</v>
      </c>
      <c r="AB5895" t="s">
        <v>2665</v>
      </c>
      <c r="AC5895" t="s">
        <v>7375</v>
      </c>
      <c r="AD5895" t="s">
        <v>40036</v>
      </c>
      <c r="AF5895" t="s">
        <v>40037</v>
      </c>
      <c r="AG5895" t="s">
        <v>40038</v>
      </c>
      <c r="AI5895" t="s">
        <v>40039</v>
      </c>
      <c r="AM5895" t="s">
        <v>39411</v>
      </c>
      <c r="AN5895" t="s">
        <v>2106</v>
      </c>
      <c r="AO5895" t="s">
        <v>40040</v>
      </c>
      <c r="AP5895" t="s">
        <v>7024</v>
      </c>
      <c r="AQ5895" t="s">
        <v>40041</v>
      </c>
      <c r="AT5895" s="184">
        <v>38475</v>
      </c>
      <c r="AU5895" t="s">
        <v>24839</v>
      </c>
      <c r="AV5895">
        <v>25</v>
      </c>
      <c r="AW5895" s="184">
        <v>44166</v>
      </c>
      <c r="AX5895" t="s">
        <v>40042</v>
      </c>
      <c r="AY5895">
        <v>25</v>
      </c>
      <c r="AZ5895" s="184">
        <v>43879</v>
      </c>
      <c r="BA5895" t="s">
        <v>40043</v>
      </c>
      <c r="BB5895">
        <v>100</v>
      </c>
      <c r="BC5895">
        <v>80</v>
      </c>
      <c r="BD5895">
        <v>1160</v>
      </c>
      <c r="BE5895">
        <v>2005</v>
      </c>
      <c r="BF5895">
        <v>35</v>
      </c>
      <c r="BI5895">
        <v>16</v>
      </c>
      <c r="BJ5895">
        <v>20</v>
      </c>
      <c r="BK5895">
        <v>16</v>
      </c>
      <c r="BL5895" t="s">
        <v>595</v>
      </c>
      <c r="BM5895" t="s">
        <v>595</v>
      </c>
      <c r="BP5895" s="184"/>
    </row>
    <row r="5896" spans="1:68">
      <c r="A5896">
        <v>100560889</v>
      </c>
      <c r="B5896">
        <v>100560889</v>
      </c>
      <c r="C5896" t="s">
        <v>7018</v>
      </c>
      <c r="E5896" s="184"/>
      <c r="G5896" s="184"/>
      <c r="H5896" t="s">
        <v>595</v>
      </c>
      <c r="I5896" s="184">
        <v>44207</v>
      </c>
      <c r="K5896" s="184"/>
      <c r="M5896" s="184"/>
      <c r="P5896" t="s">
        <v>7045</v>
      </c>
      <c r="Q5896" t="s">
        <v>7383</v>
      </c>
      <c r="R5896" s="184">
        <v>17914</v>
      </c>
      <c r="S5896">
        <v>75</v>
      </c>
      <c r="V5896" t="s">
        <v>3072</v>
      </c>
      <c r="X5896" t="s">
        <v>3519</v>
      </c>
      <c r="AF5896" t="s">
        <v>40044</v>
      </c>
      <c r="AG5896" t="s">
        <v>3072</v>
      </c>
      <c r="AI5896" t="s">
        <v>40045</v>
      </c>
      <c r="AM5896" t="s">
        <v>2978</v>
      </c>
      <c r="AN5896" t="s">
        <v>2162</v>
      </c>
      <c r="AO5896" t="s">
        <v>40046</v>
      </c>
      <c r="AP5896" t="s">
        <v>7024</v>
      </c>
      <c r="AQ5896" t="s">
        <v>40047</v>
      </c>
      <c r="AT5896" s="184">
        <v>44133</v>
      </c>
      <c r="AU5896" t="s">
        <v>40048</v>
      </c>
      <c r="AV5896">
        <v>25</v>
      </c>
      <c r="AW5896" s="184">
        <v>44937</v>
      </c>
      <c r="AX5896" t="s">
        <v>40049</v>
      </c>
      <c r="AY5896">
        <v>50</v>
      </c>
      <c r="AZ5896" s="184">
        <v>44937</v>
      </c>
      <c r="BA5896" t="s">
        <v>40049</v>
      </c>
      <c r="BB5896">
        <v>50</v>
      </c>
      <c r="BC5896">
        <v>60</v>
      </c>
      <c r="BD5896">
        <v>100</v>
      </c>
      <c r="BE5896">
        <v>2021</v>
      </c>
      <c r="BF5896">
        <v>3</v>
      </c>
      <c r="BG5896">
        <v>1</v>
      </c>
      <c r="BH5896">
        <v>50</v>
      </c>
      <c r="BI5896">
        <v>3</v>
      </c>
      <c r="BJ5896">
        <v>5</v>
      </c>
      <c r="BK5896">
        <v>2</v>
      </c>
      <c r="BP5896" s="184"/>
    </row>
    <row r="5897" spans="1:68">
      <c r="A5897">
        <v>100563471</v>
      </c>
      <c r="B5897">
        <v>100563471</v>
      </c>
      <c r="C5897" t="s">
        <v>7018</v>
      </c>
      <c r="D5897" t="s">
        <v>595</v>
      </c>
      <c r="E5897" s="184">
        <v>45315</v>
      </c>
      <c r="G5897" s="184"/>
      <c r="I5897" s="184"/>
      <c r="K5897" s="184"/>
      <c r="M5897" s="184"/>
      <c r="P5897" t="s">
        <v>7084</v>
      </c>
      <c r="Q5897" t="s">
        <v>7030</v>
      </c>
      <c r="R5897" s="184">
        <v>34891</v>
      </c>
      <c r="S5897">
        <v>28</v>
      </c>
      <c r="V5897" t="s">
        <v>3411</v>
      </c>
      <c r="X5897" t="s">
        <v>40050</v>
      </c>
      <c r="Z5897">
        <v>101302623</v>
      </c>
      <c r="AB5897" t="s">
        <v>37044</v>
      </c>
      <c r="AD5897" t="s">
        <v>4094</v>
      </c>
      <c r="AF5897" t="s">
        <v>40051</v>
      </c>
      <c r="AG5897" t="s">
        <v>40052</v>
      </c>
      <c r="AI5897" t="s">
        <v>40053</v>
      </c>
      <c r="AM5897" t="s">
        <v>2873</v>
      </c>
      <c r="AN5897" t="s">
        <v>2094</v>
      </c>
      <c r="AO5897" t="s">
        <v>40054</v>
      </c>
      <c r="AP5897" t="s">
        <v>7024</v>
      </c>
      <c r="AQ5897" t="s">
        <v>40055</v>
      </c>
      <c r="AT5897" s="184">
        <v>44138</v>
      </c>
      <c r="AU5897" t="s">
        <v>39999</v>
      </c>
      <c r="AV5897">
        <v>50</v>
      </c>
      <c r="AW5897" s="184">
        <v>44925</v>
      </c>
      <c r="AX5897" t="s">
        <v>40056</v>
      </c>
      <c r="AY5897">
        <v>10000</v>
      </c>
      <c r="AZ5897" s="184">
        <v>44925</v>
      </c>
      <c r="BA5897" t="s">
        <v>40056</v>
      </c>
      <c r="BB5897">
        <v>10000</v>
      </c>
      <c r="BC5897">
        <v>40</v>
      </c>
      <c r="BD5897">
        <v>10050</v>
      </c>
      <c r="BE5897">
        <v>2021</v>
      </c>
      <c r="BF5897">
        <v>2</v>
      </c>
      <c r="BG5897">
        <v>1</v>
      </c>
      <c r="BH5897">
        <v>10000</v>
      </c>
      <c r="BI5897">
        <v>2</v>
      </c>
      <c r="BJ5897">
        <v>5</v>
      </c>
      <c r="BK5897">
        <v>1</v>
      </c>
      <c r="BP5897" s="184"/>
    </row>
    <row r="5898" spans="1:68">
      <c r="A5898">
        <v>101302623</v>
      </c>
      <c r="B5898">
        <v>100563471</v>
      </c>
      <c r="C5898" t="s">
        <v>7018</v>
      </c>
      <c r="D5898" t="s">
        <v>595</v>
      </c>
      <c r="E5898" s="184">
        <v>45315</v>
      </c>
      <c r="G5898" s="184"/>
      <c r="I5898" s="184"/>
      <c r="K5898" s="184"/>
      <c r="M5898" s="184"/>
      <c r="O5898" s="184"/>
      <c r="P5898" t="s">
        <v>7084</v>
      </c>
      <c r="Q5898" t="s">
        <v>7030</v>
      </c>
      <c r="R5898" s="184"/>
      <c r="V5898" t="s">
        <v>37044</v>
      </c>
      <c r="X5898" t="s">
        <v>4094</v>
      </c>
      <c r="Z5898">
        <v>100563471</v>
      </c>
      <c r="AB5898" t="s">
        <v>3411</v>
      </c>
      <c r="AD5898" t="s">
        <v>40050</v>
      </c>
      <c r="AF5898" t="s">
        <v>40051</v>
      </c>
      <c r="AG5898" t="s">
        <v>40052</v>
      </c>
      <c r="AI5898" t="s">
        <v>40053</v>
      </c>
      <c r="AM5898" t="s">
        <v>2873</v>
      </c>
      <c r="AN5898" t="s">
        <v>2094</v>
      </c>
      <c r="AO5898" t="s">
        <v>40054</v>
      </c>
      <c r="AP5898" t="s">
        <v>7024</v>
      </c>
      <c r="AT5898" s="184"/>
      <c r="AW5898" s="184"/>
      <c r="AZ5898" s="184"/>
      <c r="BP5898" s="184"/>
    </row>
    <row r="5899" spans="1:68">
      <c r="A5899">
        <v>100565196</v>
      </c>
      <c r="B5899">
        <v>100565196</v>
      </c>
      <c r="C5899" t="s">
        <v>7018</v>
      </c>
      <c r="D5899" t="s">
        <v>595</v>
      </c>
      <c r="E5899" s="184">
        <v>44154</v>
      </c>
      <c r="G5899" s="184"/>
      <c r="I5899" s="184"/>
      <c r="K5899" s="184"/>
      <c r="M5899" s="184"/>
      <c r="O5899" s="184"/>
      <c r="P5899" t="s">
        <v>8550</v>
      </c>
      <c r="Q5899" t="s">
        <v>7374</v>
      </c>
      <c r="R5899" s="184"/>
      <c r="V5899" t="s">
        <v>18610</v>
      </c>
      <c r="X5899" t="s">
        <v>40057</v>
      </c>
      <c r="AF5899" t="s">
        <v>40058</v>
      </c>
      <c r="AG5899" t="s">
        <v>18610</v>
      </c>
      <c r="AI5899" t="s">
        <v>40059</v>
      </c>
      <c r="AM5899" t="s">
        <v>5949</v>
      </c>
      <c r="AN5899" t="s">
        <v>2081</v>
      </c>
      <c r="AO5899">
        <v>95132</v>
      </c>
      <c r="AP5899" t="s">
        <v>7024</v>
      </c>
      <c r="AQ5899" t="s">
        <v>40060</v>
      </c>
      <c r="AT5899" s="184"/>
      <c r="AW5899" s="184"/>
      <c r="AZ5899" s="184"/>
      <c r="BP5899" s="184"/>
    </row>
    <row r="5900" spans="1:68">
      <c r="A5900">
        <v>100565427</v>
      </c>
      <c r="B5900">
        <v>100565427</v>
      </c>
      <c r="C5900" t="s">
        <v>7018</v>
      </c>
      <c r="E5900" s="184"/>
      <c r="G5900" s="184"/>
      <c r="H5900" t="s">
        <v>595</v>
      </c>
      <c r="I5900" s="184">
        <v>44207</v>
      </c>
      <c r="K5900" s="184"/>
      <c r="M5900" s="184"/>
      <c r="O5900" s="184"/>
      <c r="P5900" t="s">
        <v>7045</v>
      </c>
      <c r="Q5900" t="s">
        <v>7374</v>
      </c>
      <c r="R5900" s="184">
        <v>16197</v>
      </c>
      <c r="S5900">
        <v>80</v>
      </c>
      <c r="V5900" t="s">
        <v>10421</v>
      </c>
      <c r="X5900" t="s">
        <v>40061</v>
      </c>
      <c r="AF5900" t="s">
        <v>40062</v>
      </c>
      <c r="AG5900" t="s">
        <v>10421</v>
      </c>
      <c r="AI5900" t="s">
        <v>40063</v>
      </c>
      <c r="AM5900" t="s">
        <v>4544</v>
      </c>
      <c r="AN5900" t="s">
        <v>2526</v>
      </c>
      <c r="AO5900" t="s">
        <v>40064</v>
      </c>
      <c r="AP5900" t="s">
        <v>7024</v>
      </c>
      <c r="AQ5900" t="s">
        <v>40065</v>
      </c>
      <c r="AT5900" s="184">
        <v>44147</v>
      </c>
      <c r="AU5900" t="s">
        <v>40066</v>
      </c>
      <c r="AV5900">
        <v>20</v>
      </c>
      <c r="AW5900" s="184">
        <v>45376</v>
      </c>
      <c r="AX5900" t="s">
        <v>40067</v>
      </c>
      <c r="AY5900">
        <v>20</v>
      </c>
      <c r="AZ5900" s="184">
        <v>45376</v>
      </c>
      <c r="BA5900" t="s">
        <v>40067</v>
      </c>
      <c r="BB5900">
        <v>20</v>
      </c>
      <c r="BC5900">
        <v>40</v>
      </c>
      <c r="BD5900">
        <v>40</v>
      </c>
      <c r="BE5900">
        <v>2021</v>
      </c>
      <c r="BF5900">
        <v>2</v>
      </c>
      <c r="BG5900">
        <v>1</v>
      </c>
      <c r="BH5900">
        <v>20</v>
      </c>
      <c r="BI5900">
        <v>2</v>
      </c>
      <c r="BJ5900">
        <v>5</v>
      </c>
      <c r="BK5900">
        <v>1</v>
      </c>
      <c r="BP5900" s="184"/>
    </row>
    <row r="5901" spans="1:68">
      <c r="A5901">
        <v>100566524</v>
      </c>
      <c r="B5901">
        <v>100566524</v>
      </c>
      <c r="C5901" t="s">
        <v>7018</v>
      </c>
      <c r="E5901" s="184"/>
      <c r="G5901" s="184"/>
      <c r="H5901" t="s">
        <v>595</v>
      </c>
      <c r="I5901" s="184">
        <v>44109</v>
      </c>
      <c r="K5901" s="184"/>
      <c r="M5901" s="184"/>
      <c r="O5901" s="184"/>
      <c r="P5901" t="s">
        <v>7045</v>
      </c>
      <c r="Q5901" t="s">
        <v>7020</v>
      </c>
      <c r="R5901" s="184">
        <v>20540</v>
      </c>
      <c r="S5901">
        <v>68</v>
      </c>
      <c r="X5901" t="s">
        <v>4985</v>
      </c>
      <c r="Y5901" t="s">
        <v>40068</v>
      </c>
      <c r="AF5901" t="s">
        <v>40069</v>
      </c>
      <c r="AG5901" t="s">
        <v>5990</v>
      </c>
      <c r="AI5901" t="s">
        <v>40070</v>
      </c>
      <c r="AM5901" t="s">
        <v>4986</v>
      </c>
      <c r="AN5901" t="s">
        <v>2052</v>
      </c>
      <c r="AO5901" t="s">
        <v>40071</v>
      </c>
      <c r="AP5901" t="s">
        <v>7024</v>
      </c>
      <c r="AQ5901" t="s">
        <v>40072</v>
      </c>
      <c r="AT5901" s="184">
        <v>34288</v>
      </c>
      <c r="AU5901" t="s">
        <v>14822</v>
      </c>
      <c r="AV5901">
        <v>20</v>
      </c>
      <c r="AW5901" s="184">
        <v>45281</v>
      </c>
      <c r="AX5901" t="s">
        <v>7742</v>
      </c>
      <c r="AY5901">
        <v>75</v>
      </c>
      <c r="AZ5901" s="184">
        <v>45281</v>
      </c>
      <c r="BA5901" t="s">
        <v>7742</v>
      </c>
      <c r="BB5901">
        <v>75</v>
      </c>
      <c r="BC5901">
        <v>88</v>
      </c>
      <c r="BD5901">
        <v>1510</v>
      </c>
      <c r="BE5901">
        <v>1994</v>
      </c>
      <c r="BF5901">
        <v>38</v>
      </c>
      <c r="BG5901">
        <v>2</v>
      </c>
      <c r="BH5901">
        <v>150</v>
      </c>
      <c r="BI5901">
        <v>28</v>
      </c>
      <c r="BJ5901">
        <v>32</v>
      </c>
      <c r="BK5901">
        <v>12</v>
      </c>
      <c r="BP5901" s="184"/>
    </row>
    <row r="5902" spans="1:68">
      <c r="A5902">
        <v>35138437</v>
      </c>
      <c r="B5902">
        <v>100566556</v>
      </c>
      <c r="C5902" t="s">
        <v>7018</v>
      </c>
      <c r="E5902" s="184"/>
      <c r="G5902" s="184"/>
      <c r="I5902" s="184"/>
      <c r="J5902" t="s">
        <v>595</v>
      </c>
      <c r="K5902" s="184">
        <v>44154</v>
      </c>
      <c r="M5902" s="184"/>
      <c r="O5902" s="184"/>
      <c r="P5902" t="s">
        <v>7045</v>
      </c>
      <c r="Q5902" t="s">
        <v>7383</v>
      </c>
      <c r="R5902" s="184">
        <v>9316</v>
      </c>
      <c r="S5902">
        <v>98</v>
      </c>
      <c r="U5902" t="s">
        <v>7031</v>
      </c>
      <c r="V5902" t="s">
        <v>5057</v>
      </c>
      <c r="X5902" t="s">
        <v>40073</v>
      </c>
      <c r="Z5902">
        <v>100566556</v>
      </c>
      <c r="AB5902" t="s">
        <v>40074</v>
      </c>
      <c r="AD5902" t="s">
        <v>40073</v>
      </c>
      <c r="AF5902" t="s">
        <v>40075</v>
      </c>
      <c r="AG5902" t="s">
        <v>40074</v>
      </c>
      <c r="AI5902" t="s">
        <v>40076</v>
      </c>
      <c r="AM5902" t="s">
        <v>3948</v>
      </c>
      <c r="AN5902" t="s">
        <v>2059</v>
      </c>
      <c r="AO5902" t="s">
        <v>40077</v>
      </c>
      <c r="AP5902" t="s">
        <v>7024</v>
      </c>
      <c r="AT5902" s="184">
        <v>37364</v>
      </c>
      <c r="AU5902" t="s">
        <v>40078</v>
      </c>
      <c r="AV5902">
        <v>25</v>
      </c>
      <c r="AW5902" s="184">
        <v>44035</v>
      </c>
      <c r="AX5902" t="s">
        <v>9370</v>
      </c>
      <c r="AY5902">
        <v>10</v>
      </c>
      <c r="AZ5902" s="184">
        <v>43917</v>
      </c>
      <c r="BA5902" t="s">
        <v>26364</v>
      </c>
      <c r="BB5902">
        <v>35</v>
      </c>
      <c r="BC5902">
        <v>83</v>
      </c>
      <c r="BD5902">
        <v>535</v>
      </c>
      <c r="BE5902">
        <v>2002</v>
      </c>
      <c r="BF5902">
        <v>21</v>
      </c>
      <c r="BI5902">
        <v>19</v>
      </c>
      <c r="BJ5902">
        <v>23</v>
      </c>
      <c r="BK5902">
        <v>19</v>
      </c>
      <c r="BO5902" t="s">
        <v>595</v>
      </c>
      <c r="BP5902" s="184">
        <v>43954</v>
      </c>
    </row>
    <row r="5903" spans="1:68">
      <c r="A5903">
        <v>100566556</v>
      </c>
      <c r="B5903">
        <v>100566556</v>
      </c>
      <c r="C5903" t="s">
        <v>7018</v>
      </c>
      <c r="E5903" s="184"/>
      <c r="G5903" s="184"/>
      <c r="I5903" s="184"/>
      <c r="J5903" t="s">
        <v>595</v>
      </c>
      <c r="K5903" s="184">
        <v>44154</v>
      </c>
      <c r="M5903" s="184"/>
      <c r="O5903" s="184"/>
      <c r="P5903" t="s">
        <v>7045</v>
      </c>
      <c r="Q5903" t="s">
        <v>7383</v>
      </c>
      <c r="R5903" s="184">
        <v>13952</v>
      </c>
      <c r="S5903">
        <v>86</v>
      </c>
      <c r="V5903" t="s">
        <v>40074</v>
      </c>
      <c r="X5903" t="s">
        <v>40073</v>
      </c>
      <c r="Z5903">
        <v>35138437</v>
      </c>
      <c r="AA5903" t="s">
        <v>7031</v>
      </c>
      <c r="AB5903" t="s">
        <v>5057</v>
      </c>
      <c r="AD5903" t="s">
        <v>40073</v>
      </c>
      <c r="AF5903" t="s">
        <v>40075</v>
      </c>
      <c r="AG5903" t="s">
        <v>40074</v>
      </c>
      <c r="AI5903" t="s">
        <v>40076</v>
      </c>
      <c r="AM5903" t="s">
        <v>3948</v>
      </c>
      <c r="AN5903" t="s">
        <v>2059</v>
      </c>
      <c r="AO5903" t="s">
        <v>40077</v>
      </c>
      <c r="AP5903" t="s">
        <v>7024</v>
      </c>
      <c r="AQ5903" t="s">
        <v>40079</v>
      </c>
      <c r="AT5903" s="184">
        <v>44279</v>
      </c>
      <c r="AU5903" t="s">
        <v>15069</v>
      </c>
      <c r="AV5903">
        <v>35</v>
      </c>
      <c r="AW5903" s="184">
        <v>45327</v>
      </c>
      <c r="AX5903" t="s">
        <v>10915</v>
      </c>
      <c r="AY5903">
        <v>35</v>
      </c>
      <c r="AZ5903" s="184">
        <v>45327</v>
      </c>
      <c r="BA5903" t="s">
        <v>10915</v>
      </c>
      <c r="BB5903">
        <v>35</v>
      </c>
      <c r="BC5903">
        <v>100</v>
      </c>
      <c r="BD5903">
        <v>140</v>
      </c>
      <c r="BE5903">
        <v>2021</v>
      </c>
      <c r="BF5903">
        <v>4</v>
      </c>
      <c r="BG5903">
        <v>2</v>
      </c>
      <c r="BH5903">
        <v>70</v>
      </c>
      <c r="BI5903">
        <v>4</v>
      </c>
      <c r="BJ5903">
        <v>4</v>
      </c>
      <c r="BK5903">
        <v>4</v>
      </c>
      <c r="BP5903" s="184"/>
    </row>
    <row r="5904" spans="1:68">
      <c r="A5904">
        <v>100570740</v>
      </c>
      <c r="B5904">
        <v>100570740</v>
      </c>
      <c r="C5904" t="s">
        <v>7018</v>
      </c>
      <c r="D5904" t="s">
        <v>595</v>
      </c>
      <c r="E5904" s="184">
        <v>44315</v>
      </c>
      <c r="G5904" s="184"/>
      <c r="I5904" s="184"/>
      <c r="K5904" s="184"/>
      <c r="M5904" s="184"/>
      <c r="O5904" s="184"/>
      <c r="P5904" t="s">
        <v>7045</v>
      </c>
      <c r="Q5904" t="s">
        <v>7383</v>
      </c>
      <c r="R5904" s="184">
        <v>25659</v>
      </c>
      <c r="S5904">
        <v>54</v>
      </c>
      <c r="V5904" t="s">
        <v>40080</v>
      </c>
      <c r="X5904" t="s">
        <v>40081</v>
      </c>
      <c r="Y5904" t="s">
        <v>18166</v>
      </c>
      <c r="AF5904" t="s">
        <v>40082</v>
      </c>
      <c r="AG5904" t="s">
        <v>40080</v>
      </c>
      <c r="AI5904" t="s">
        <v>40083</v>
      </c>
      <c r="AM5904" t="s">
        <v>40084</v>
      </c>
      <c r="AN5904" t="s">
        <v>2072</v>
      </c>
      <c r="AO5904" t="s">
        <v>40085</v>
      </c>
      <c r="AP5904" t="s">
        <v>7024</v>
      </c>
      <c r="AQ5904" t="s">
        <v>40086</v>
      </c>
      <c r="AR5904" t="s">
        <v>40087</v>
      </c>
      <c r="AT5904" s="184">
        <v>44162</v>
      </c>
      <c r="AU5904" t="s">
        <v>40088</v>
      </c>
      <c r="AV5904">
        <v>15</v>
      </c>
      <c r="AW5904" s="184">
        <v>44162</v>
      </c>
      <c r="AX5904" t="s">
        <v>40088</v>
      </c>
      <c r="AY5904">
        <v>15</v>
      </c>
      <c r="AZ5904" s="184">
        <v>44162</v>
      </c>
      <c r="BA5904" t="s">
        <v>40088</v>
      </c>
      <c r="BB5904">
        <v>15</v>
      </c>
      <c r="BC5904">
        <v>20</v>
      </c>
      <c r="BD5904">
        <v>15</v>
      </c>
      <c r="BE5904">
        <v>2021</v>
      </c>
      <c r="BF5904">
        <v>1</v>
      </c>
      <c r="BI5904">
        <v>1</v>
      </c>
      <c r="BJ5904">
        <v>5</v>
      </c>
      <c r="BK5904">
        <v>1</v>
      </c>
      <c r="BP5904" s="184"/>
    </row>
    <row r="5905" spans="1:68">
      <c r="A5905">
        <v>18792218</v>
      </c>
      <c r="B5905">
        <v>100571865</v>
      </c>
      <c r="C5905" t="s">
        <v>7018</v>
      </c>
      <c r="D5905" t="s">
        <v>595</v>
      </c>
      <c r="E5905" s="184">
        <v>44168</v>
      </c>
      <c r="G5905" s="184"/>
      <c r="I5905" s="184"/>
      <c r="K5905" s="184"/>
      <c r="M5905" s="184"/>
      <c r="O5905" s="184"/>
      <c r="P5905" t="s">
        <v>7045</v>
      </c>
      <c r="Q5905" t="s">
        <v>7160</v>
      </c>
      <c r="R5905" s="184">
        <v>13516</v>
      </c>
      <c r="S5905">
        <v>87</v>
      </c>
      <c r="U5905" t="s">
        <v>7237</v>
      </c>
      <c r="V5905" t="s">
        <v>4144</v>
      </c>
      <c r="X5905" t="s">
        <v>40089</v>
      </c>
      <c r="Z5905">
        <v>100571865</v>
      </c>
      <c r="AB5905" t="s">
        <v>10581</v>
      </c>
      <c r="AD5905" t="s">
        <v>40089</v>
      </c>
      <c r="AF5905" t="s">
        <v>40090</v>
      </c>
      <c r="AG5905" t="s">
        <v>10581</v>
      </c>
      <c r="AI5905" t="s">
        <v>40091</v>
      </c>
      <c r="AM5905" t="s">
        <v>2788</v>
      </c>
      <c r="AN5905" t="s">
        <v>2176</v>
      </c>
      <c r="AO5905" t="s">
        <v>40092</v>
      </c>
      <c r="AP5905" t="s">
        <v>7024</v>
      </c>
      <c r="AQ5905" t="s">
        <v>40093</v>
      </c>
      <c r="AR5905" t="s">
        <v>40094</v>
      </c>
      <c r="AT5905" s="184">
        <v>34778</v>
      </c>
      <c r="AU5905" t="s">
        <v>40095</v>
      </c>
      <c r="AV5905">
        <v>25</v>
      </c>
      <c r="AW5905" s="184">
        <v>44825</v>
      </c>
      <c r="AX5905" t="s">
        <v>27322</v>
      </c>
      <c r="AY5905">
        <v>100</v>
      </c>
      <c r="AZ5905" s="184">
        <v>38713</v>
      </c>
      <c r="BA5905" t="s">
        <v>40096</v>
      </c>
      <c r="BB5905">
        <v>110</v>
      </c>
      <c r="BC5905">
        <v>84</v>
      </c>
      <c r="BD5905">
        <v>2180</v>
      </c>
      <c r="BE5905">
        <v>1995</v>
      </c>
      <c r="BF5905">
        <v>30</v>
      </c>
      <c r="BG5905">
        <v>1</v>
      </c>
      <c r="BH5905">
        <v>100</v>
      </c>
      <c r="BI5905">
        <v>25</v>
      </c>
      <c r="BJ5905">
        <v>30</v>
      </c>
      <c r="BK5905">
        <v>23</v>
      </c>
      <c r="BO5905" t="s">
        <v>595</v>
      </c>
      <c r="BP5905" s="184"/>
    </row>
    <row r="5906" spans="1:68">
      <c r="A5906">
        <v>100571865</v>
      </c>
      <c r="B5906">
        <v>100571865</v>
      </c>
      <c r="C5906" t="s">
        <v>7018</v>
      </c>
      <c r="D5906" t="s">
        <v>595</v>
      </c>
      <c r="E5906" s="184">
        <v>44168</v>
      </c>
      <c r="G5906" s="184"/>
      <c r="I5906" s="184"/>
      <c r="K5906" s="184"/>
      <c r="M5906" s="184"/>
      <c r="O5906" s="184"/>
      <c r="P5906" t="s">
        <v>7045</v>
      </c>
      <c r="Q5906" t="s">
        <v>7160</v>
      </c>
      <c r="R5906" s="184">
        <v>18631</v>
      </c>
      <c r="S5906">
        <v>73</v>
      </c>
      <c r="V5906" t="s">
        <v>10581</v>
      </c>
      <c r="X5906" t="s">
        <v>40089</v>
      </c>
      <c r="Z5906">
        <v>18792218</v>
      </c>
      <c r="AA5906" t="s">
        <v>7237</v>
      </c>
      <c r="AB5906" t="s">
        <v>4144</v>
      </c>
      <c r="AD5906" t="s">
        <v>40089</v>
      </c>
      <c r="AF5906" t="s">
        <v>40090</v>
      </c>
      <c r="AG5906" t="s">
        <v>10581</v>
      </c>
      <c r="AI5906" t="s">
        <v>40091</v>
      </c>
      <c r="AM5906" t="s">
        <v>2788</v>
      </c>
      <c r="AN5906" t="s">
        <v>2176</v>
      </c>
      <c r="AO5906" t="s">
        <v>40092</v>
      </c>
      <c r="AP5906" t="s">
        <v>7024</v>
      </c>
      <c r="AQ5906" t="s">
        <v>40093</v>
      </c>
      <c r="AT5906" s="184">
        <v>45268</v>
      </c>
      <c r="AU5906" t="s">
        <v>11761</v>
      </c>
      <c r="AV5906">
        <v>100</v>
      </c>
      <c r="AW5906" s="184">
        <v>45268</v>
      </c>
      <c r="AX5906" t="s">
        <v>11761</v>
      </c>
      <c r="AY5906">
        <v>100</v>
      </c>
      <c r="AZ5906" s="184">
        <v>45268</v>
      </c>
      <c r="BA5906" t="s">
        <v>11761</v>
      </c>
      <c r="BB5906">
        <v>100</v>
      </c>
      <c r="BC5906">
        <v>50</v>
      </c>
      <c r="BD5906">
        <v>100</v>
      </c>
      <c r="BE5906">
        <v>2024</v>
      </c>
      <c r="BF5906">
        <v>1</v>
      </c>
      <c r="BG5906">
        <v>1</v>
      </c>
      <c r="BH5906">
        <v>100</v>
      </c>
      <c r="BI5906">
        <v>1</v>
      </c>
      <c r="BJ5906">
        <v>2</v>
      </c>
      <c r="BK5906">
        <v>1</v>
      </c>
      <c r="BP5906" s="184"/>
    </row>
    <row r="5907" spans="1:68">
      <c r="A5907">
        <v>100571890</v>
      </c>
      <c r="B5907">
        <v>100571890</v>
      </c>
      <c r="C5907" t="s">
        <v>7018</v>
      </c>
      <c r="D5907" t="s">
        <v>595</v>
      </c>
      <c r="E5907" s="184">
        <v>44167</v>
      </c>
      <c r="G5907" s="184"/>
      <c r="I5907" s="184"/>
      <c r="K5907" s="184"/>
      <c r="M5907" s="184"/>
      <c r="O5907" s="184"/>
      <c r="P5907" t="s">
        <v>8550</v>
      </c>
      <c r="Q5907" t="s">
        <v>7160</v>
      </c>
      <c r="R5907" s="184"/>
      <c r="V5907" t="s">
        <v>3692</v>
      </c>
      <c r="X5907" t="s">
        <v>2768</v>
      </c>
      <c r="AF5907" t="s">
        <v>40097</v>
      </c>
      <c r="AG5907" t="s">
        <v>3692</v>
      </c>
      <c r="AI5907" t="s">
        <v>40098</v>
      </c>
      <c r="AM5907" t="s">
        <v>4351</v>
      </c>
      <c r="AN5907" t="s">
        <v>2395</v>
      </c>
      <c r="AO5907">
        <v>30506</v>
      </c>
      <c r="AP5907" t="s">
        <v>7024</v>
      </c>
      <c r="AQ5907" t="s">
        <v>40099</v>
      </c>
      <c r="AT5907" s="184"/>
      <c r="AW5907" s="184"/>
      <c r="AZ5907" s="184"/>
      <c r="BP5907" s="184"/>
    </row>
    <row r="5908" spans="1:68">
      <c r="A5908">
        <v>100572136</v>
      </c>
      <c r="B5908">
        <v>100572136</v>
      </c>
      <c r="C5908" t="s">
        <v>7018</v>
      </c>
      <c r="D5908" t="s">
        <v>595</v>
      </c>
      <c r="E5908" s="184">
        <v>44167</v>
      </c>
      <c r="G5908" s="184"/>
      <c r="I5908" s="184"/>
      <c r="K5908" s="184"/>
      <c r="M5908" s="184"/>
      <c r="O5908" s="184"/>
      <c r="P5908" t="s">
        <v>7045</v>
      </c>
      <c r="Q5908" t="s">
        <v>7383</v>
      </c>
      <c r="R5908" s="184"/>
      <c r="V5908" t="s">
        <v>11364</v>
      </c>
      <c r="X5908" t="s">
        <v>40100</v>
      </c>
      <c r="Z5908">
        <v>58803172</v>
      </c>
      <c r="AA5908" t="s">
        <v>7031</v>
      </c>
      <c r="AB5908" t="s">
        <v>3103</v>
      </c>
      <c r="AD5908" t="s">
        <v>40100</v>
      </c>
      <c r="AF5908" t="s">
        <v>40101</v>
      </c>
      <c r="AG5908" t="s">
        <v>11364</v>
      </c>
      <c r="AI5908" t="s">
        <v>40102</v>
      </c>
      <c r="AM5908" t="s">
        <v>2703</v>
      </c>
      <c r="AN5908" t="s">
        <v>2064</v>
      </c>
      <c r="AO5908" t="s">
        <v>40103</v>
      </c>
      <c r="AP5908" t="s">
        <v>7024</v>
      </c>
      <c r="AT5908" s="184"/>
      <c r="AW5908" s="184"/>
      <c r="AZ5908" s="184"/>
      <c r="BP5908" s="184"/>
    </row>
    <row r="5909" spans="1:68">
      <c r="A5909">
        <v>100572139</v>
      </c>
      <c r="B5909">
        <v>100572139</v>
      </c>
      <c r="C5909" t="s">
        <v>7018</v>
      </c>
      <c r="D5909" t="s">
        <v>595</v>
      </c>
      <c r="E5909" s="184">
        <v>44167</v>
      </c>
      <c r="G5909" s="184"/>
      <c r="I5909" s="184"/>
      <c r="K5909" s="184"/>
      <c r="M5909" s="184"/>
      <c r="O5909" s="184"/>
      <c r="P5909" t="s">
        <v>7045</v>
      </c>
      <c r="Q5909" t="s">
        <v>7774</v>
      </c>
      <c r="R5909" s="184"/>
      <c r="U5909" t="s">
        <v>7031</v>
      </c>
      <c r="V5909" t="s">
        <v>2518</v>
      </c>
      <c r="W5909" t="s">
        <v>3226</v>
      </c>
      <c r="X5909" t="s">
        <v>40104</v>
      </c>
      <c r="Z5909">
        <v>89829782</v>
      </c>
      <c r="AA5909" t="s">
        <v>7130</v>
      </c>
      <c r="AB5909" t="s">
        <v>3748</v>
      </c>
      <c r="AD5909" t="s">
        <v>40104</v>
      </c>
      <c r="AF5909" t="s">
        <v>40105</v>
      </c>
      <c r="AG5909" t="s">
        <v>2518</v>
      </c>
      <c r="AI5909" t="s">
        <v>40106</v>
      </c>
      <c r="AM5909" t="s">
        <v>39901</v>
      </c>
      <c r="AN5909" t="s">
        <v>2077</v>
      </c>
      <c r="AO5909" t="s">
        <v>40107</v>
      </c>
      <c r="AP5909" t="s">
        <v>7024</v>
      </c>
      <c r="AQ5909" t="s">
        <v>40108</v>
      </c>
      <c r="AT5909" s="184">
        <v>44839</v>
      </c>
      <c r="AU5909" t="s">
        <v>11563</v>
      </c>
      <c r="AV5909">
        <v>25</v>
      </c>
      <c r="AW5909" s="184">
        <v>45369</v>
      </c>
      <c r="AX5909" t="s">
        <v>40109</v>
      </c>
      <c r="AY5909">
        <v>35</v>
      </c>
      <c r="AZ5909" s="184">
        <v>44957</v>
      </c>
      <c r="BA5909" t="s">
        <v>40110</v>
      </c>
      <c r="BB5909">
        <v>40</v>
      </c>
      <c r="BC5909">
        <v>100</v>
      </c>
      <c r="BD5909">
        <v>100</v>
      </c>
      <c r="BE5909">
        <v>2023</v>
      </c>
      <c r="BF5909">
        <v>3</v>
      </c>
      <c r="BG5909">
        <v>3</v>
      </c>
      <c r="BH5909">
        <v>100</v>
      </c>
      <c r="BI5909">
        <v>3</v>
      </c>
      <c r="BJ5909">
        <v>3</v>
      </c>
      <c r="BK5909">
        <v>3</v>
      </c>
      <c r="BP5909" s="184"/>
    </row>
    <row r="5910" spans="1:68">
      <c r="A5910">
        <v>100573050</v>
      </c>
      <c r="B5910">
        <v>100573050</v>
      </c>
      <c r="C5910" t="s">
        <v>7018</v>
      </c>
      <c r="D5910" t="s">
        <v>595</v>
      </c>
      <c r="E5910" s="184">
        <v>44228</v>
      </c>
      <c r="G5910" s="184"/>
      <c r="I5910" s="184"/>
      <c r="K5910" s="184"/>
      <c r="M5910" s="184"/>
      <c r="O5910" s="184"/>
      <c r="P5910" t="s">
        <v>7045</v>
      </c>
      <c r="Q5910" t="s">
        <v>7030</v>
      </c>
      <c r="R5910" s="184">
        <v>21941</v>
      </c>
      <c r="S5910">
        <v>64</v>
      </c>
      <c r="V5910" t="s">
        <v>31832</v>
      </c>
      <c r="X5910" t="s">
        <v>3427</v>
      </c>
      <c r="AF5910" t="s">
        <v>40111</v>
      </c>
      <c r="AG5910" t="s">
        <v>31832</v>
      </c>
      <c r="AI5910" t="s">
        <v>40112</v>
      </c>
      <c r="AM5910" t="s">
        <v>12381</v>
      </c>
      <c r="AN5910" t="s">
        <v>2638</v>
      </c>
      <c r="AO5910" t="s">
        <v>40113</v>
      </c>
      <c r="AP5910" t="s">
        <v>7024</v>
      </c>
      <c r="AQ5910" t="s">
        <v>40114</v>
      </c>
      <c r="AT5910" s="184">
        <v>44159</v>
      </c>
      <c r="AU5910" t="s">
        <v>40115</v>
      </c>
      <c r="AV5910">
        <v>25</v>
      </c>
      <c r="AW5910" s="184">
        <v>44159</v>
      </c>
      <c r="AX5910" t="s">
        <v>40115</v>
      </c>
      <c r="AY5910">
        <v>25</v>
      </c>
      <c r="AZ5910" s="184">
        <v>44159</v>
      </c>
      <c r="BA5910" t="s">
        <v>40115</v>
      </c>
      <c r="BB5910">
        <v>25</v>
      </c>
      <c r="BC5910">
        <v>20</v>
      </c>
      <c r="BD5910">
        <v>25</v>
      </c>
      <c r="BE5910">
        <v>2021</v>
      </c>
      <c r="BF5910">
        <v>1</v>
      </c>
      <c r="BI5910">
        <v>1</v>
      </c>
      <c r="BJ5910">
        <v>5</v>
      </c>
      <c r="BK5910">
        <v>1</v>
      </c>
      <c r="BP5910" s="184"/>
    </row>
    <row r="5911" spans="1:68">
      <c r="A5911">
        <v>58018029</v>
      </c>
      <c r="B5911">
        <v>100573295</v>
      </c>
      <c r="C5911" t="s">
        <v>7018</v>
      </c>
      <c r="E5911" s="184"/>
      <c r="G5911" s="184"/>
      <c r="I5911" s="184"/>
      <c r="J5911" t="s">
        <v>595</v>
      </c>
      <c r="K5911" s="184">
        <v>44175</v>
      </c>
      <c r="M5911" s="184"/>
      <c r="O5911" s="184"/>
      <c r="P5911" t="s">
        <v>7045</v>
      </c>
      <c r="Q5911" t="s">
        <v>7383</v>
      </c>
      <c r="R5911" s="184">
        <v>13021</v>
      </c>
      <c r="S5911">
        <v>88</v>
      </c>
      <c r="V5911" t="s">
        <v>2761</v>
      </c>
      <c r="X5911" t="s">
        <v>40116</v>
      </c>
      <c r="Z5911">
        <v>100573295</v>
      </c>
      <c r="AB5911" t="s">
        <v>4879</v>
      </c>
      <c r="AD5911" t="s">
        <v>40116</v>
      </c>
      <c r="AF5911" t="s">
        <v>40117</v>
      </c>
      <c r="AG5911" t="s">
        <v>4879</v>
      </c>
      <c r="AI5911" t="s">
        <v>40118</v>
      </c>
      <c r="AM5911" t="s">
        <v>4206</v>
      </c>
      <c r="AN5911" t="s">
        <v>2072</v>
      </c>
      <c r="AO5911" t="s">
        <v>40119</v>
      </c>
      <c r="AP5911" t="s">
        <v>7024</v>
      </c>
      <c r="AT5911" s="184">
        <v>40189</v>
      </c>
      <c r="AU5911" t="s">
        <v>28805</v>
      </c>
      <c r="AV5911">
        <v>25</v>
      </c>
      <c r="AW5911" s="184">
        <v>44123</v>
      </c>
      <c r="AX5911" t="s">
        <v>31082</v>
      </c>
      <c r="AY5911">
        <v>100</v>
      </c>
      <c r="AZ5911" s="184">
        <v>41740</v>
      </c>
      <c r="BA5911" t="s">
        <v>40120</v>
      </c>
      <c r="BB5911">
        <v>150</v>
      </c>
      <c r="BC5911">
        <v>74</v>
      </c>
      <c r="BD5911">
        <v>3200</v>
      </c>
      <c r="BE5911">
        <v>2010</v>
      </c>
      <c r="BF5911">
        <v>39</v>
      </c>
      <c r="BI5911">
        <v>11</v>
      </c>
      <c r="BJ5911">
        <v>15</v>
      </c>
      <c r="BK5911">
        <v>11</v>
      </c>
      <c r="BO5911" t="s">
        <v>595</v>
      </c>
      <c r="BP5911" s="184">
        <v>42477</v>
      </c>
    </row>
    <row r="5912" spans="1:68">
      <c r="A5912">
        <v>100573295</v>
      </c>
      <c r="B5912">
        <v>100573295</v>
      </c>
      <c r="C5912" t="s">
        <v>7018</v>
      </c>
      <c r="E5912" s="184"/>
      <c r="G5912" s="184"/>
      <c r="I5912" s="184"/>
      <c r="J5912" t="s">
        <v>595</v>
      </c>
      <c r="K5912" s="184">
        <v>44175</v>
      </c>
      <c r="M5912" s="184"/>
      <c r="O5912" s="184"/>
      <c r="P5912" t="s">
        <v>7045</v>
      </c>
      <c r="Q5912" t="s">
        <v>7383</v>
      </c>
      <c r="R5912" s="184"/>
      <c r="V5912" t="s">
        <v>4879</v>
      </c>
      <c r="X5912" t="s">
        <v>40116</v>
      </c>
      <c r="Z5912">
        <v>58018029</v>
      </c>
      <c r="AB5912" t="s">
        <v>2761</v>
      </c>
      <c r="AD5912" t="s">
        <v>40116</v>
      </c>
      <c r="AF5912" t="s">
        <v>40117</v>
      </c>
      <c r="AG5912" t="s">
        <v>4879</v>
      </c>
      <c r="AI5912" t="s">
        <v>40118</v>
      </c>
      <c r="AM5912" t="s">
        <v>4206</v>
      </c>
      <c r="AN5912" t="s">
        <v>2072</v>
      </c>
      <c r="AO5912" t="s">
        <v>40119</v>
      </c>
      <c r="AP5912" t="s">
        <v>7024</v>
      </c>
      <c r="AT5912" s="184">
        <v>44496</v>
      </c>
      <c r="AU5912" t="s">
        <v>40121</v>
      </c>
      <c r="AV5912">
        <v>100</v>
      </c>
      <c r="AW5912" s="184">
        <v>45138</v>
      </c>
      <c r="AX5912" t="s">
        <v>7296</v>
      </c>
      <c r="AY5912">
        <v>472</v>
      </c>
      <c r="AZ5912" s="184">
        <v>45138</v>
      </c>
      <c r="BA5912" t="s">
        <v>7296</v>
      </c>
      <c r="BB5912">
        <v>472</v>
      </c>
      <c r="BC5912">
        <v>50</v>
      </c>
      <c r="BD5912">
        <v>572</v>
      </c>
      <c r="BE5912">
        <v>2022</v>
      </c>
      <c r="BF5912">
        <v>2</v>
      </c>
      <c r="BG5912">
        <v>1</v>
      </c>
      <c r="BH5912">
        <v>472</v>
      </c>
      <c r="BI5912">
        <v>2</v>
      </c>
      <c r="BJ5912">
        <v>4</v>
      </c>
      <c r="BK5912">
        <v>1</v>
      </c>
      <c r="BO5912" t="s">
        <v>595</v>
      </c>
      <c r="BP5912" s="184">
        <v>44558</v>
      </c>
    </row>
    <row r="5913" spans="1:68">
      <c r="A5913">
        <v>100578169</v>
      </c>
      <c r="B5913">
        <v>100578169</v>
      </c>
      <c r="C5913" t="s">
        <v>7018</v>
      </c>
      <c r="E5913" s="184"/>
      <c r="F5913" t="s">
        <v>595</v>
      </c>
      <c r="G5913" s="184">
        <v>45042</v>
      </c>
      <c r="I5913" s="184"/>
      <c r="K5913" s="184"/>
      <c r="M5913" s="184"/>
      <c r="O5913" s="184"/>
      <c r="P5913" t="s">
        <v>7045</v>
      </c>
      <c r="Q5913" t="s">
        <v>7374</v>
      </c>
      <c r="R5913" s="184">
        <v>18449</v>
      </c>
      <c r="S5913">
        <v>73</v>
      </c>
      <c r="V5913" t="s">
        <v>2979</v>
      </c>
      <c r="W5913" t="s">
        <v>4139</v>
      </c>
      <c r="X5913" t="s">
        <v>8258</v>
      </c>
      <c r="AF5913" t="s">
        <v>40122</v>
      </c>
      <c r="AG5913" t="s">
        <v>2979</v>
      </c>
      <c r="AI5913" t="s">
        <v>40123</v>
      </c>
      <c r="AM5913" t="s">
        <v>4248</v>
      </c>
      <c r="AN5913" t="s">
        <v>2081</v>
      </c>
      <c r="AO5913" t="s">
        <v>40124</v>
      </c>
      <c r="AP5913" t="s">
        <v>7024</v>
      </c>
      <c r="AQ5913" t="s">
        <v>40125</v>
      </c>
      <c r="AT5913" s="184">
        <v>44168</v>
      </c>
      <c r="AU5913" t="s">
        <v>40126</v>
      </c>
      <c r="AV5913">
        <v>25</v>
      </c>
      <c r="AW5913" s="184">
        <v>45406</v>
      </c>
      <c r="AX5913" t="s">
        <v>7429</v>
      </c>
      <c r="AY5913">
        <v>35</v>
      </c>
      <c r="AZ5913" s="184">
        <v>44734</v>
      </c>
      <c r="BA5913" t="s">
        <v>40127</v>
      </c>
      <c r="BB5913">
        <v>150</v>
      </c>
      <c r="BC5913">
        <v>100</v>
      </c>
      <c r="BD5913">
        <v>920</v>
      </c>
      <c r="BE5913">
        <v>2021</v>
      </c>
      <c r="BF5913">
        <v>21</v>
      </c>
      <c r="BG5913">
        <v>18</v>
      </c>
      <c r="BH5913">
        <v>745</v>
      </c>
      <c r="BI5913">
        <v>5</v>
      </c>
      <c r="BJ5913">
        <v>5</v>
      </c>
      <c r="BK5913">
        <v>5</v>
      </c>
      <c r="BP5913" s="184"/>
    </row>
    <row r="5914" spans="1:68">
      <c r="A5914">
        <v>100586143</v>
      </c>
      <c r="B5914">
        <v>100586143</v>
      </c>
      <c r="C5914" t="s">
        <v>7018</v>
      </c>
      <c r="E5914" s="184"/>
      <c r="G5914" s="184"/>
      <c r="I5914" s="184"/>
      <c r="K5914" s="184"/>
      <c r="L5914" t="s">
        <v>595</v>
      </c>
      <c r="M5914" s="184">
        <v>44573</v>
      </c>
      <c r="O5914" s="184"/>
      <c r="P5914" t="s">
        <v>7045</v>
      </c>
      <c r="Q5914" t="s">
        <v>7454</v>
      </c>
      <c r="R5914" s="184">
        <v>18126</v>
      </c>
      <c r="S5914">
        <v>74</v>
      </c>
      <c r="V5914" t="s">
        <v>3283</v>
      </c>
      <c r="X5914" t="s">
        <v>29025</v>
      </c>
      <c r="Z5914">
        <v>101360216</v>
      </c>
      <c r="AB5914" t="s">
        <v>2602</v>
      </c>
      <c r="AD5914" t="s">
        <v>29025</v>
      </c>
      <c r="AF5914" t="s">
        <v>40128</v>
      </c>
      <c r="AG5914" t="s">
        <v>40129</v>
      </c>
      <c r="AI5914" t="s">
        <v>40130</v>
      </c>
      <c r="AM5914" t="s">
        <v>3460</v>
      </c>
      <c r="AN5914" t="s">
        <v>2299</v>
      </c>
      <c r="AO5914" t="s">
        <v>40131</v>
      </c>
      <c r="AP5914" t="s">
        <v>7024</v>
      </c>
      <c r="AQ5914" t="s">
        <v>40132</v>
      </c>
      <c r="AT5914" s="184">
        <v>44216</v>
      </c>
      <c r="AU5914" t="s">
        <v>40133</v>
      </c>
      <c r="AV5914">
        <v>25</v>
      </c>
      <c r="AW5914" s="184">
        <v>44888</v>
      </c>
      <c r="AX5914" t="s">
        <v>25709</v>
      </c>
      <c r="AY5914">
        <v>100</v>
      </c>
      <c r="AZ5914" s="184">
        <v>44888</v>
      </c>
      <c r="BA5914" t="s">
        <v>25709</v>
      </c>
      <c r="BB5914">
        <v>100</v>
      </c>
      <c r="BC5914">
        <v>50</v>
      </c>
      <c r="BD5914">
        <v>160</v>
      </c>
      <c r="BE5914">
        <v>2021</v>
      </c>
      <c r="BF5914">
        <v>3</v>
      </c>
      <c r="BG5914">
        <v>1</v>
      </c>
      <c r="BH5914">
        <v>100</v>
      </c>
      <c r="BI5914">
        <v>2</v>
      </c>
      <c r="BJ5914">
        <v>4</v>
      </c>
      <c r="BK5914">
        <v>2</v>
      </c>
      <c r="BP5914" s="184"/>
    </row>
    <row r="5915" spans="1:68">
      <c r="A5915">
        <v>100588389</v>
      </c>
      <c r="B5915">
        <v>100588389</v>
      </c>
      <c r="C5915" t="s">
        <v>7018</v>
      </c>
      <c r="E5915" s="184"/>
      <c r="G5915" s="184"/>
      <c r="H5915" t="s">
        <v>595</v>
      </c>
      <c r="I5915" s="184">
        <v>44580</v>
      </c>
      <c r="K5915" s="184"/>
      <c r="M5915" s="184"/>
      <c r="N5915" t="s">
        <v>595</v>
      </c>
      <c r="O5915" s="184">
        <v>44599</v>
      </c>
      <c r="P5915" t="s">
        <v>7045</v>
      </c>
      <c r="Q5915" t="s">
        <v>7262</v>
      </c>
      <c r="R5915" s="184">
        <v>16702</v>
      </c>
      <c r="S5915">
        <v>78</v>
      </c>
      <c r="V5915" t="s">
        <v>3095</v>
      </c>
      <c r="X5915" t="s">
        <v>5166</v>
      </c>
      <c r="AF5915" t="s">
        <v>2469</v>
      </c>
      <c r="AG5915" t="s">
        <v>3095</v>
      </c>
      <c r="AI5915" t="s">
        <v>40134</v>
      </c>
      <c r="AM5915" t="s">
        <v>40135</v>
      </c>
      <c r="AN5915" t="s">
        <v>2219</v>
      </c>
      <c r="AO5915" t="s">
        <v>40136</v>
      </c>
      <c r="AP5915" t="s">
        <v>7024</v>
      </c>
      <c r="AQ5915" t="s">
        <v>40137</v>
      </c>
      <c r="AT5915" s="184">
        <v>44218</v>
      </c>
      <c r="AU5915" t="s">
        <v>40138</v>
      </c>
      <c r="AV5915">
        <v>20</v>
      </c>
      <c r="AW5915" s="184">
        <v>44218</v>
      </c>
      <c r="AX5915" t="s">
        <v>40138</v>
      </c>
      <c r="AY5915">
        <v>20</v>
      </c>
      <c r="AZ5915" s="184">
        <v>44218</v>
      </c>
      <c r="BA5915" t="s">
        <v>40138</v>
      </c>
      <c r="BB5915">
        <v>20</v>
      </c>
      <c r="BC5915">
        <v>25</v>
      </c>
      <c r="BD5915">
        <v>20</v>
      </c>
      <c r="BE5915">
        <v>2021</v>
      </c>
      <c r="BF5915">
        <v>1</v>
      </c>
      <c r="BI5915">
        <v>1</v>
      </c>
      <c r="BJ5915">
        <v>4</v>
      </c>
      <c r="BK5915">
        <v>1</v>
      </c>
      <c r="BP5915" s="184"/>
    </row>
    <row r="5916" spans="1:68">
      <c r="A5916">
        <v>33857954</v>
      </c>
      <c r="B5916">
        <v>100589613</v>
      </c>
      <c r="C5916" t="s">
        <v>7018</v>
      </c>
      <c r="E5916" s="184"/>
      <c r="G5916" s="184"/>
      <c r="I5916" s="184"/>
      <c r="J5916" t="s">
        <v>595</v>
      </c>
      <c r="K5916" s="184">
        <v>44228</v>
      </c>
      <c r="M5916" s="184"/>
      <c r="O5916" s="184"/>
      <c r="P5916" t="s">
        <v>7045</v>
      </c>
      <c r="Q5916" t="s">
        <v>7030</v>
      </c>
      <c r="R5916" s="184">
        <v>17777</v>
      </c>
      <c r="S5916">
        <v>75</v>
      </c>
      <c r="U5916" t="s">
        <v>7076</v>
      </c>
      <c r="V5916" t="s">
        <v>3304</v>
      </c>
      <c r="X5916" t="s">
        <v>40139</v>
      </c>
      <c r="Z5916">
        <v>100589613</v>
      </c>
      <c r="AA5916" t="s">
        <v>7031</v>
      </c>
      <c r="AB5916" t="s">
        <v>2898</v>
      </c>
      <c r="AD5916" t="s">
        <v>40139</v>
      </c>
      <c r="AF5916" t="s">
        <v>40140</v>
      </c>
      <c r="AG5916" t="s">
        <v>2898</v>
      </c>
      <c r="AI5916" t="s">
        <v>40141</v>
      </c>
      <c r="AM5916" t="s">
        <v>3113</v>
      </c>
      <c r="AN5916" t="s">
        <v>2094</v>
      </c>
      <c r="AO5916" t="s">
        <v>40142</v>
      </c>
      <c r="AP5916" t="s">
        <v>7024</v>
      </c>
      <c r="AT5916" s="184">
        <v>37116</v>
      </c>
      <c r="AU5916" t="s">
        <v>22534</v>
      </c>
      <c r="AV5916">
        <v>25</v>
      </c>
      <c r="AW5916" s="184">
        <v>44258</v>
      </c>
      <c r="AX5916" t="s">
        <v>7309</v>
      </c>
      <c r="AY5916">
        <v>20000</v>
      </c>
      <c r="AZ5916" s="184">
        <v>44258</v>
      </c>
      <c r="BA5916" t="s">
        <v>7309</v>
      </c>
      <c r="BB5916">
        <v>20000</v>
      </c>
      <c r="BC5916">
        <v>67</v>
      </c>
      <c r="BD5916">
        <v>20985</v>
      </c>
      <c r="BE5916">
        <v>2002</v>
      </c>
      <c r="BF5916">
        <v>23</v>
      </c>
      <c r="BI5916">
        <v>16</v>
      </c>
      <c r="BJ5916">
        <v>24</v>
      </c>
      <c r="BK5916">
        <v>13</v>
      </c>
      <c r="BL5916" t="s">
        <v>595</v>
      </c>
      <c r="BO5916" t="s">
        <v>595</v>
      </c>
      <c r="BP5916" s="184">
        <v>44152</v>
      </c>
    </row>
    <row r="5917" spans="1:68">
      <c r="A5917">
        <v>100589613</v>
      </c>
      <c r="B5917">
        <v>100589613</v>
      </c>
      <c r="C5917" t="s">
        <v>7018</v>
      </c>
      <c r="E5917" s="184"/>
      <c r="G5917" s="184"/>
      <c r="I5917" s="184"/>
      <c r="J5917" t="s">
        <v>595</v>
      </c>
      <c r="K5917" s="184">
        <v>44228</v>
      </c>
      <c r="M5917" s="184"/>
      <c r="O5917" s="184"/>
      <c r="P5917" t="s">
        <v>7045</v>
      </c>
      <c r="Q5917" t="s">
        <v>7030</v>
      </c>
      <c r="R5917" s="184">
        <v>16438</v>
      </c>
      <c r="S5917">
        <v>79</v>
      </c>
      <c r="U5917" t="s">
        <v>7031</v>
      </c>
      <c r="V5917" t="s">
        <v>2898</v>
      </c>
      <c r="X5917" t="s">
        <v>40139</v>
      </c>
      <c r="Z5917">
        <v>33857954</v>
      </c>
      <c r="AA5917" t="s">
        <v>7076</v>
      </c>
      <c r="AB5917" t="s">
        <v>3304</v>
      </c>
      <c r="AD5917" t="s">
        <v>40139</v>
      </c>
      <c r="AF5917" t="s">
        <v>40140</v>
      </c>
      <c r="AG5917" t="s">
        <v>2898</v>
      </c>
      <c r="AI5917" t="s">
        <v>40141</v>
      </c>
      <c r="AM5917" t="s">
        <v>3113</v>
      </c>
      <c r="AN5917" t="s">
        <v>2094</v>
      </c>
      <c r="AO5917" t="s">
        <v>40142</v>
      </c>
      <c r="AP5917" t="s">
        <v>7024</v>
      </c>
      <c r="AT5917" s="184"/>
      <c r="AW5917" s="184"/>
      <c r="AZ5917" s="184"/>
      <c r="BL5917" t="s">
        <v>595</v>
      </c>
      <c r="BP5917" s="184"/>
    </row>
    <row r="5918" spans="1:68">
      <c r="A5918">
        <v>100592504</v>
      </c>
      <c r="B5918">
        <v>100592504</v>
      </c>
      <c r="C5918" t="s">
        <v>7018</v>
      </c>
      <c r="D5918" t="s">
        <v>595</v>
      </c>
      <c r="E5918" s="184">
        <v>44438</v>
      </c>
      <c r="I5918" s="184"/>
      <c r="K5918" s="184"/>
      <c r="M5918" s="184"/>
      <c r="O5918" s="184"/>
      <c r="P5918" t="s">
        <v>7045</v>
      </c>
      <c r="Q5918" t="s">
        <v>7194</v>
      </c>
      <c r="R5918" s="184">
        <v>18346</v>
      </c>
      <c r="S5918">
        <v>74</v>
      </c>
      <c r="V5918" t="s">
        <v>2511</v>
      </c>
      <c r="X5918" t="s">
        <v>40143</v>
      </c>
      <c r="AF5918" t="s">
        <v>40144</v>
      </c>
      <c r="AG5918" t="s">
        <v>2511</v>
      </c>
      <c r="AI5918" t="s">
        <v>40145</v>
      </c>
      <c r="AM5918" t="s">
        <v>27178</v>
      </c>
      <c r="AN5918" t="s">
        <v>2046</v>
      </c>
      <c r="AO5918" t="s">
        <v>40146</v>
      </c>
      <c r="AP5918" t="s">
        <v>7024</v>
      </c>
      <c r="AQ5918" t="s">
        <v>40147</v>
      </c>
      <c r="AT5918" s="184">
        <v>40144</v>
      </c>
      <c r="AU5918" t="s">
        <v>28997</v>
      </c>
      <c r="AV5918">
        <v>15</v>
      </c>
      <c r="AW5918" s="184">
        <v>44237</v>
      </c>
      <c r="AX5918" t="s">
        <v>40148</v>
      </c>
      <c r="AY5918">
        <v>25</v>
      </c>
      <c r="AZ5918" s="184">
        <v>44237</v>
      </c>
      <c r="BA5918" t="s">
        <v>40148</v>
      </c>
      <c r="BB5918">
        <v>25</v>
      </c>
      <c r="BC5918">
        <v>44</v>
      </c>
      <c r="BD5918">
        <v>195</v>
      </c>
      <c r="BE5918">
        <v>2010</v>
      </c>
      <c r="BF5918">
        <v>9</v>
      </c>
      <c r="BI5918">
        <v>7</v>
      </c>
      <c r="BJ5918">
        <v>16</v>
      </c>
      <c r="BK5918">
        <v>2</v>
      </c>
      <c r="BP5918" s="184"/>
    </row>
    <row r="5919" spans="1:68">
      <c r="A5919">
        <v>100598289</v>
      </c>
      <c r="B5919">
        <v>100598289</v>
      </c>
      <c r="C5919" t="s">
        <v>7018</v>
      </c>
      <c r="E5919" s="184"/>
      <c r="G5919" s="184"/>
      <c r="I5919" s="184"/>
      <c r="J5919" t="s">
        <v>595</v>
      </c>
      <c r="K5919" s="184">
        <v>44295</v>
      </c>
      <c r="M5919" s="184"/>
      <c r="O5919" s="184"/>
      <c r="P5919" t="s">
        <v>7045</v>
      </c>
      <c r="Q5919" t="s">
        <v>7020</v>
      </c>
      <c r="R5919" s="184">
        <v>18323</v>
      </c>
      <c r="S5919">
        <v>74</v>
      </c>
      <c r="U5919" t="s">
        <v>7076</v>
      </c>
      <c r="V5919" t="s">
        <v>2586</v>
      </c>
      <c r="W5919" t="s">
        <v>2058</v>
      </c>
      <c r="X5919" t="s">
        <v>40149</v>
      </c>
      <c r="Z5919">
        <v>100598514</v>
      </c>
      <c r="AA5919" t="s">
        <v>7031</v>
      </c>
      <c r="AB5919" t="s">
        <v>3080</v>
      </c>
      <c r="AC5919" t="s">
        <v>7246</v>
      </c>
      <c r="AD5919" t="s">
        <v>40149</v>
      </c>
      <c r="AF5919" t="s">
        <v>40150</v>
      </c>
      <c r="AG5919" t="s">
        <v>40151</v>
      </c>
      <c r="AI5919" t="s">
        <v>40152</v>
      </c>
      <c r="AM5919" t="s">
        <v>40153</v>
      </c>
      <c r="AN5919" t="s">
        <v>2129</v>
      </c>
      <c r="AO5919" t="s">
        <v>40154</v>
      </c>
      <c r="AP5919" t="s">
        <v>7024</v>
      </c>
      <c r="AQ5919" t="s">
        <v>40155</v>
      </c>
      <c r="AT5919" s="184">
        <v>44245</v>
      </c>
      <c r="AU5919" t="s">
        <v>40156</v>
      </c>
      <c r="AV5919">
        <v>25</v>
      </c>
      <c r="AW5919" s="184">
        <v>45387</v>
      </c>
      <c r="AX5919" t="s">
        <v>7832</v>
      </c>
      <c r="AY5919">
        <v>315</v>
      </c>
      <c r="AZ5919" s="184">
        <v>45387</v>
      </c>
      <c r="BA5919" t="s">
        <v>7832</v>
      </c>
      <c r="BB5919">
        <v>315</v>
      </c>
      <c r="BC5919">
        <v>100</v>
      </c>
      <c r="BD5919">
        <v>740</v>
      </c>
      <c r="BE5919">
        <v>2021</v>
      </c>
      <c r="BF5919">
        <v>4</v>
      </c>
      <c r="BG5919">
        <v>3</v>
      </c>
      <c r="BH5919">
        <v>715</v>
      </c>
      <c r="BI5919">
        <v>4</v>
      </c>
      <c r="BJ5919">
        <v>4</v>
      </c>
      <c r="BK5919">
        <v>4</v>
      </c>
    </row>
    <row r="5920" spans="1:68">
      <c r="A5920">
        <v>100598514</v>
      </c>
      <c r="B5920">
        <v>100598289</v>
      </c>
      <c r="C5920" t="s">
        <v>7018</v>
      </c>
      <c r="E5920" s="184"/>
      <c r="G5920" s="184"/>
      <c r="I5920" s="184"/>
      <c r="J5920" t="s">
        <v>595</v>
      </c>
      <c r="K5920" s="184">
        <v>44295</v>
      </c>
      <c r="M5920" s="184"/>
      <c r="O5920" s="184"/>
      <c r="P5920" t="s">
        <v>7045</v>
      </c>
      <c r="Q5920" t="s">
        <v>7020</v>
      </c>
      <c r="R5920" s="184"/>
      <c r="U5920" t="s">
        <v>7031</v>
      </c>
      <c r="V5920" t="s">
        <v>3080</v>
      </c>
      <c r="W5920" t="s">
        <v>7246</v>
      </c>
      <c r="X5920" t="s">
        <v>40149</v>
      </c>
      <c r="Z5920">
        <v>100598289</v>
      </c>
      <c r="AA5920" t="s">
        <v>7076</v>
      </c>
      <c r="AB5920" t="s">
        <v>2586</v>
      </c>
      <c r="AC5920" t="s">
        <v>2058</v>
      </c>
      <c r="AD5920" t="s">
        <v>40149</v>
      </c>
      <c r="AF5920" t="s">
        <v>40150</v>
      </c>
      <c r="AG5920" t="s">
        <v>40151</v>
      </c>
      <c r="AI5920" t="s">
        <v>40152</v>
      </c>
      <c r="AM5920" t="s">
        <v>40153</v>
      </c>
      <c r="AN5920" t="s">
        <v>2129</v>
      </c>
      <c r="AO5920" t="s">
        <v>40154</v>
      </c>
      <c r="AP5920" t="s">
        <v>7024</v>
      </c>
      <c r="AQ5920" t="s">
        <v>40157</v>
      </c>
      <c r="AT5920" s="184">
        <v>44545</v>
      </c>
      <c r="AU5920" t="s">
        <v>40158</v>
      </c>
      <c r="AV5920">
        <v>50</v>
      </c>
      <c r="AW5920" s="184">
        <v>44545</v>
      </c>
      <c r="AX5920" t="s">
        <v>40158</v>
      </c>
      <c r="AY5920">
        <v>50</v>
      </c>
      <c r="AZ5920" s="184">
        <v>44545</v>
      </c>
      <c r="BA5920" t="s">
        <v>40158</v>
      </c>
      <c r="BB5920">
        <v>50</v>
      </c>
      <c r="BC5920">
        <v>25</v>
      </c>
      <c r="BD5920">
        <v>50</v>
      </c>
      <c r="BE5920">
        <v>2022</v>
      </c>
      <c r="BF5920">
        <v>1</v>
      </c>
      <c r="BI5920">
        <v>1</v>
      </c>
      <c r="BJ5920">
        <v>4</v>
      </c>
      <c r="BK5920">
        <v>1</v>
      </c>
    </row>
    <row r="5921" spans="1:68">
      <c r="A5921">
        <v>100598852</v>
      </c>
      <c r="B5921">
        <v>100598852</v>
      </c>
      <c r="C5921" t="s">
        <v>7018</v>
      </c>
      <c r="D5921" t="s">
        <v>595</v>
      </c>
      <c r="E5921" s="184">
        <v>44251</v>
      </c>
      <c r="I5921" s="184"/>
      <c r="K5921" s="184"/>
      <c r="M5921" s="184"/>
      <c r="O5921" s="184"/>
      <c r="P5921" t="s">
        <v>8550</v>
      </c>
      <c r="Q5921" t="s">
        <v>7383</v>
      </c>
      <c r="R5921" s="184"/>
      <c r="V5921" t="s">
        <v>3480</v>
      </c>
      <c r="X5921" t="s">
        <v>4752</v>
      </c>
      <c r="AF5921" t="s">
        <v>40159</v>
      </c>
      <c r="AG5921" t="s">
        <v>3480</v>
      </c>
      <c r="AI5921" t="s">
        <v>40160</v>
      </c>
      <c r="AM5921" t="s">
        <v>40161</v>
      </c>
      <c r="AN5921" t="s">
        <v>2064</v>
      </c>
      <c r="AO5921">
        <v>65949</v>
      </c>
      <c r="AP5921" t="s">
        <v>7024</v>
      </c>
      <c r="AQ5921" t="s">
        <v>40162</v>
      </c>
      <c r="AT5921" s="184"/>
      <c r="AW5921" s="184"/>
      <c r="AZ5921" s="184"/>
    </row>
    <row r="5922" spans="1:68">
      <c r="A5922">
        <v>4827713</v>
      </c>
      <c r="B5922">
        <v>100600842</v>
      </c>
      <c r="C5922" t="s">
        <v>7018</v>
      </c>
      <c r="E5922" s="184"/>
      <c r="I5922" s="184"/>
      <c r="J5922" t="s">
        <v>595</v>
      </c>
      <c r="K5922" s="184">
        <v>44268</v>
      </c>
      <c r="M5922" s="184"/>
      <c r="O5922" s="184"/>
      <c r="P5922" t="s">
        <v>7019</v>
      </c>
      <c r="Q5922" t="s">
        <v>7020</v>
      </c>
      <c r="R5922" s="184">
        <v>13899</v>
      </c>
      <c r="S5922">
        <v>86</v>
      </c>
      <c r="U5922" t="s">
        <v>7076</v>
      </c>
      <c r="V5922" t="s">
        <v>3011</v>
      </c>
      <c r="W5922" t="s">
        <v>40163</v>
      </c>
      <c r="X5922" t="s">
        <v>40164</v>
      </c>
      <c r="Z5922">
        <v>100600842</v>
      </c>
      <c r="AA5922" t="s">
        <v>7031</v>
      </c>
      <c r="AB5922" t="s">
        <v>2869</v>
      </c>
      <c r="AC5922" t="s">
        <v>3237</v>
      </c>
      <c r="AD5922" t="s">
        <v>40164</v>
      </c>
      <c r="AF5922" t="s">
        <v>40165</v>
      </c>
      <c r="AG5922" t="s">
        <v>2869</v>
      </c>
      <c r="AI5922" t="s">
        <v>40166</v>
      </c>
      <c r="AM5922" t="s">
        <v>3146</v>
      </c>
      <c r="AN5922" t="s">
        <v>2112</v>
      </c>
      <c r="AO5922" t="s">
        <v>40167</v>
      </c>
      <c r="AP5922" t="s">
        <v>7024</v>
      </c>
      <c r="AQ5922" t="s">
        <v>40168</v>
      </c>
      <c r="AR5922" t="s">
        <v>1336</v>
      </c>
      <c r="AT5922" s="184">
        <v>33198</v>
      </c>
      <c r="AU5922" t="s">
        <v>40169</v>
      </c>
      <c r="AV5922">
        <v>15</v>
      </c>
      <c r="AW5922" s="184">
        <v>42727</v>
      </c>
      <c r="AX5922" t="s">
        <v>14391</v>
      </c>
      <c r="AY5922">
        <v>60</v>
      </c>
      <c r="AZ5922" s="184">
        <v>42727</v>
      </c>
      <c r="BA5922" t="s">
        <v>14391</v>
      </c>
      <c r="BB5922">
        <v>60</v>
      </c>
      <c r="BC5922">
        <v>29</v>
      </c>
      <c r="BD5922">
        <v>470</v>
      </c>
      <c r="BE5922">
        <v>1991</v>
      </c>
      <c r="BF5922">
        <v>15</v>
      </c>
      <c r="BI5922">
        <v>10</v>
      </c>
      <c r="BJ5922">
        <v>35</v>
      </c>
      <c r="BK5922">
        <v>5</v>
      </c>
      <c r="BO5922" t="s">
        <v>595</v>
      </c>
      <c r="BP5922" s="184"/>
    </row>
    <row r="5923" spans="1:68">
      <c r="A5923">
        <v>100600842</v>
      </c>
      <c r="B5923">
        <v>100600842</v>
      </c>
      <c r="C5923" t="s">
        <v>7018</v>
      </c>
      <c r="E5923" s="184"/>
      <c r="G5923" s="184"/>
      <c r="I5923" s="184"/>
      <c r="J5923" t="s">
        <v>595</v>
      </c>
      <c r="K5923" s="184">
        <v>44268</v>
      </c>
      <c r="M5923" s="184"/>
      <c r="O5923" s="184"/>
      <c r="P5923" t="s">
        <v>7019</v>
      </c>
      <c r="Q5923" t="s">
        <v>7020</v>
      </c>
      <c r="R5923" s="184">
        <v>11171</v>
      </c>
      <c r="S5923">
        <v>93</v>
      </c>
      <c r="U5923" t="s">
        <v>7031</v>
      </c>
      <c r="V5923" t="s">
        <v>2869</v>
      </c>
      <c r="W5923" t="s">
        <v>3237</v>
      </c>
      <c r="X5923" t="s">
        <v>40164</v>
      </c>
      <c r="Z5923">
        <v>4827713</v>
      </c>
      <c r="AA5923" t="s">
        <v>7076</v>
      </c>
      <c r="AB5923" t="s">
        <v>3011</v>
      </c>
      <c r="AC5923" t="s">
        <v>40163</v>
      </c>
      <c r="AD5923" t="s">
        <v>40164</v>
      </c>
      <c r="AF5923" t="s">
        <v>40165</v>
      </c>
      <c r="AG5923" t="s">
        <v>2869</v>
      </c>
      <c r="AI5923" t="s">
        <v>40166</v>
      </c>
      <c r="AM5923" t="s">
        <v>3146</v>
      </c>
      <c r="AN5923" t="s">
        <v>2112</v>
      </c>
      <c r="AO5923" t="s">
        <v>40167</v>
      </c>
      <c r="AP5923" t="s">
        <v>7024</v>
      </c>
      <c r="AQ5923" t="s">
        <v>40170</v>
      </c>
      <c r="AT5923" s="184">
        <v>44260</v>
      </c>
      <c r="AU5923" t="s">
        <v>7309</v>
      </c>
      <c r="AV5923">
        <v>15000</v>
      </c>
      <c r="AW5923" s="184">
        <v>44260</v>
      </c>
      <c r="AX5923" t="s">
        <v>7309</v>
      </c>
      <c r="AY5923">
        <v>15000</v>
      </c>
      <c r="AZ5923" s="184">
        <v>44260</v>
      </c>
      <c r="BA5923" t="s">
        <v>7309</v>
      </c>
      <c r="BB5923">
        <v>15000</v>
      </c>
      <c r="BC5923">
        <v>25</v>
      </c>
      <c r="BD5923">
        <v>15000</v>
      </c>
      <c r="BE5923">
        <v>2021</v>
      </c>
      <c r="BF5923">
        <v>1</v>
      </c>
      <c r="BI5923">
        <v>1</v>
      </c>
      <c r="BJ5923">
        <v>4</v>
      </c>
      <c r="BK5923">
        <v>1</v>
      </c>
    </row>
    <row r="5924" spans="1:68">
      <c r="A5924">
        <v>100601938</v>
      </c>
      <c r="B5924">
        <v>100601938</v>
      </c>
      <c r="C5924" t="s">
        <v>7018</v>
      </c>
      <c r="E5924" s="184"/>
      <c r="G5924" s="184"/>
      <c r="I5924" s="184"/>
      <c r="J5924" t="s">
        <v>595</v>
      </c>
      <c r="K5924" s="184">
        <v>44264</v>
      </c>
      <c r="M5924" s="184"/>
      <c r="O5924" s="184"/>
      <c r="P5924" t="s">
        <v>7045</v>
      </c>
      <c r="Q5924" t="s">
        <v>7262</v>
      </c>
      <c r="R5924" s="184">
        <v>31048</v>
      </c>
      <c r="S5924">
        <v>39</v>
      </c>
      <c r="V5924" t="s">
        <v>40171</v>
      </c>
      <c r="X5924" t="s">
        <v>40172</v>
      </c>
      <c r="AF5924" t="s">
        <v>40173</v>
      </c>
      <c r="AG5924" t="s">
        <v>40171</v>
      </c>
      <c r="AM5924" t="s">
        <v>2987</v>
      </c>
      <c r="AN5924" t="s">
        <v>2106</v>
      </c>
      <c r="AO5924">
        <v>15215</v>
      </c>
      <c r="AP5924" t="s">
        <v>7024</v>
      </c>
      <c r="AQ5924" t="s">
        <v>40174</v>
      </c>
      <c r="AT5924" s="184">
        <v>44730</v>
      </c>
      <c r="AU5924" t="s">
        <v>39579</v>
      </c>
      <c r="AV5924">
        <v>100</v>
      </c>
      <c r="AW5924" s="184">
        <v>44730</v>
      </c>
      <c r="AX5924" t="s">
        <v>39579</v>
      </c>
      <c r="AY5924">
        <v>100</v>
      </c>
      <c r="AZ5924" s="184">
        <v>44730</v>
      </c>
      <c r="BA5924" t="s">
        <v>39579</v>
      </c>
      <c r="BB5924">
        <v>100</v>
      </c>
      <c r="BC5924">
        <v>34</v>
      </c>
      <c r="BD5924">
        <v>100</v>
      </c>
      <c r="BE5924">
        <v>2022</v>
      </c>
      <c r="BF5924">
        <v>1</v>
      </c>
      <c r="BG5924">
        <v>1</v>
      </c>
      <c r="BH5924">
        <v>100</v>
      </c>
      <c r="BI5924">
        <v>1</v>
      </c>
      <c r="BJ5924">
        <v>3</v>
      </c>
      <c r="BK5924">
        <v>1</v>
      </c>
    </row>
    <row r="5925" spans="1:68">
      <c r="A5925">
        <v>100602719</v>
      </c>
      <c r="B5925">
        <v>100602719</v>
      </c>
      <c r="C5925" t="s">
        <v>7018</v>
      </c>
      <c r="D5925" t="s">
        <v>595</v>
      </c>
      <c r="E5925" s="184">
        <v>44414</v>
      </c>
      <c r="G5925" s="184"/>
      <c r="I5925" s="184"/>
      <c r="K5925" s="184"/>
      <c r="O5925" s="184"/>
      <c r="P5925" t="s">
        <v>7045</v>
      </c>
      <c r="Q5925" t="s">
        <v>7383</v>
      </c>
      <c r="R5925" s="184">
        <v>19186</v>
      </c>
      <c r="S5925">
        <v>71</v>
      </c>
      <c r="V5925" t="s">
        <v>2612</v>
      </c>
      <c r="X5925" t="s">
        <v>4565</v>
      </c>
      <c r="AF5925" t="s">
        <v>40175</v>
      </c>
      <c r="AG5925" t="s">
        <v>2612</v>
      </c>
      <c r="AI5925" t="s">
        <v>40176</v>
      </c>
      <c r="AM5925" t="s">
        <v>39343</v>
      </c>
      <c r="AN5925" t="s">
        <v>2072</v>
      </c>
      <c r="AO5925">
        <v>48140</v>
      </c>
      <c r="AP5925" t="s">
        <v>7024</v>
      </c>
      <c r="AQ5925" t="s">
        <v>40177</v>
      </c>
      <c r="AT5925" s="184">
        <v>35227</v>
      </c>
      <c r="AU5925" t="s">
        <v>40178</v>
      </c>
      <c r="AV5925">
        <v>15</v>
      </c>
      <c r="AW5925" s="184">
        <v>44939</v>
      </c>
      <c r="AX5925" t="s">
        <v>40179</v>
      </c>
      <c r="AY5925">
        <v>10</v>
      </c>
      <c r="AZ5925" s="184">
        <v>38047</v>
      </c>
      <c r="BA5925" t="s">
        <v>40180</v>
      </c>
      <c r="BB5925">
        <v>25</v>
      </c>
      <c r="BC5925">
        <v>32</v>
      </c>
      <c r="BD5925">
        <v>175</v>
      </c>
      <c r="BE5925">
        <v>1996</v>
      </c>
      <c r="BF5925">
        <v>11</v>
      </c>
      <c r="BG5925">
        <v>1</v>
      </c>
      <c r="BH5925">
        <v>10</v>
      </c>
      <c r="BI5925">
        <v>9</v>
      </c>
      <c r="BJ5925">
        <v>29</v>
      </c>
      <c r="BK5925">
        <v>2</v>
      </c>
    </row>
    <row r="5926" spans="1:68">
      <c r="A5926">
        <v>100604167</v>
      </c>
      <c r="B5926">
        <v>100604167</v>
      </c>
      <c r="C5926" t="s">
        <v>7018</v>
      </c>
      <c r="D5926" t="s">
        <v>595</v>
      </c>
      <c r="E5926" s="184">
        <v>44651</v>
      </c>
      <c r="G5926" s="184"/>
      <c r="I5926" s="184"/>
      <c r="K5926" s="184"/>
      <c r="M5926" s="184"/>
      <c r="O5926" s="184"/>
      <c r="P5926" t="s">
        <v>7045</v>
      </c>
      <c r="Q5926" t="s">
        <v>7383</v>
      </c>
      <c r="R5926" s="184"/>
      <c r="U5926" t="s">
        <v>7076</v>
      </c>
      <c r="V5926" t="s">
        <v>3293</v>
      </c>
      <c r="X5926" t="s">
        <v>40181</v>
      </c>
      <c r="AF5926" t="s">
        <v>40182</v>
      </c>
      <c r="AG5926" t="s">
        <v>3293</v>
      </c>
      <c r="AI5926" t="s">
        <v>40183</v>
      </c>
      <c r="AM5926" t="s">
        <v>3121</v>
      </c>
      <c r="AN5926" t="s">
        <v>2144</v>
      </c>
      <c r="AO5926" t="s">
        <v>40184</v>
      </c>
      <c r="AP5926" t="s">
        <v>7024</v>
      </c>
      <c r="AQ5926" t="s">
        <v>40185</v>
      </c>
      <c r="AT5926" s="184">
        <v>44294</v>
      </c>
      <c r="AU5926" t="s">
        <v>11161</v>
      </c>
      <c r="AV5926">
        <v>25</v>
      </c>
      <c r="AW5926" s="184">
        <v>44294</v>
      </c>
      <c r="AX5926" t="s">
        <v>11161</v>
      </c>
      <c r="AY5926">
        <v>25</v>
      </c>
      <c r="AZ5926" s="184">
        <v>44294</v>
      </c>
      <c r="BA5926" t="s">
        <v>11161</v>
      </c>
      <c r="BB5926">
        <v>25</v>
      </c>
      <c r="BC5926">
        <v>25</v>
      </c>
      <c r="BD5926">
        <v>25</v>
      </c>
      <c r="BE5926">
        <v>2021</v>
      </c>
      <c r="BF5926">
        <v>1</v>
      </c>
      <c r="BI5926">
        <v>1</v>
      </c>
      <c r="BJ5926">
        <v>4</v>
      </c>
      <c r="BK5926">
        <v>1</v>
      </c>
    </row>
    <row r="5927" spans="1:68">
      <c r="A5927">
        <v>100605107</v>
      </c>
      <c r="B5927">
        <v>100605107</v>
      </c>
      <c r="C5927" t="s">
        <v>7018</v>
      </c>
      <c r="D5927" t="s">
        <v>595</v>
      </c>
      <c r="E5927" s="184">
        <v>45342</v>
      </c>
      <c r="I5927" s="184"/>
      <c r="K5927" s="184"/>
      <c r="M5927" s="184"/>
      <c r="O5927" s="184"/>
      <c r="P5927" t="s">
        <v>7045</v>
      </c>
      <c r="Q5927" t="s">
        <v>7020</v>
      </c>
      <c r="R5927" s="184">
        <v>18263</v>
      </c>
      <c r="S5927">
        <v>74</v>
      </c>
      <c r="U5927" t="s">
        <v>7031</v>
      </c>
      <c r="V5927" t="s">
        <v>3393</v>
      </c>
      <c r="W5927" t="s">
        <v>3830</v>
      </c>
      <c r="X5927" t="s">
        <v>40186</v>
      </c>
      <c r="AF5927" t="s">
        <v>40187</v>
      </c>
      <c r="AG5927" t="s">
        <v>3393</v>
      </c>
      <c r="AI5927" t="s">
        <v>40188</v>
      </c>
      <c r="AM5927" t="s">
        <v>9621</v>
      </c>
      <c r="AN5927" t="s">
        <v>2255</v>
      </c>
      <c r="AO5927" t="s">
        <v>40189</v>
      </c>
      <c r="AP5927" t="s">
        <v>7024</v>
      </c>
      <c r="AQ5927" t="s">
        <v>40190</v>
      </c>
      <c r="AT5927" s="184">
        <v>44300</v>
      </c>
      <c r="AU5927" t="s">
        <v>17745</v>
      </c>
      <c r="AV5927">
        <v>50</v>
      </c>
      <c r="AW5927" s="184">
        <v>45007</v>
      </c>
      <c r="AX5927" t="s">
        <v>40191</v>
      </c>
      <c r="AY5927">
        <v>25</v>
      </c>
      <c r="AZ5927" s="184">
        <v>44300</v>
      </c>
      <c r="BA5927" t="s">
        <v>17745</v>
      </c>
      <c r="BB5927">
        <v>50</v>
      </c>
      <c r="BC5927">
        <v>75</v>
      </c>
      <c r="BD5927">
        <v>135</v>
      </c>
      <c r="BE5927">
        <v>2021</v>
      </c>
      <c r="BF5927">
        <v>4</v>
      </c>
      <c r="BG5927">
        <v>2</v>
      </c>
      <c r="BH5927">
        <v>55</v>
      </c>
      <c r="BI5927">
        <v>3</v>
      </c>
      <c r="BJ5927">
        <v>4</v>
      </c>
      <c r="BK5927">
        <v>3</v>
      </c>
    </row>
    <row r="5928" spans="1:68">
      <c r="A5928">
        <v>100607449</v>
      </c>
      <c r="B5928">
        <v>100607449</v>
      </c>
      <c r="C5928" t="s">
        <v>7018</v>
      </c>
      <c r="E5928" s="184"/>
      <c r="G5928" s="184"/>
      <c r="I5928" s="184"/>
      <c r="K5928" s="184"/>
      <c r="M5928" s="184"/>
      <c r="N5928" t="s">
        <v>595</v>
      </c>
      <c r="O5928" s="184">
        <v>44308</v>
      </c>
      <c r="P5928" t="s">
        <v>8550</v>
      </c>
      <c r="Q5928" t="s">
        <v>7454</v>
      </c>
      <c r="R5928" s="184">
        <v>17153</v>
      </c>
      <c r="S5928">
        <v>77</v>
      </c>
      <c r="V5928" t="s">
        <v>5064</v>
      </c>
      <c r="W5928" t="s">
        <v>4152</v>
      </c>
      <c r="X5928" t="s">
        <v>5065</v>
      </c>
      <c r="Z5928">
        <v>100607452</v>
      </c>
      <c r="AB5928" t="s">
        <v>2518</v>
      </c>
      <c r="AD5928" t="s">
        <v>5065</v>
      </c>
      <c r="AF5928" t="s">
        <v>40192</v>
      </c>
      <c r="AG5928" t="s">
        <v>40193</v>
      </c>
      <c r="AI5928" t="s">
        <v>40194</v>
      </c>
      <c r="AM5928" t="s">
        <v>4072</v>
      </c>
      <c r="AN5928" t="s">
        <v>2055</v>
      </c>
      <c r="AO5928">
        <v>98023</v>
      </c>
      <c r="AP5928" t="s">
        <v>7024</v>
      </c>
      <c r="AQ5928" t="s">
        <v>40195</v>
      </c>
      <c r="AT5928" s="184"/>
      <c r="AW5928" s="184"/>
      <c r="AZ5928" s="184"/>
    </row>
    <row r="5929" spans="1:68">
      <c r="A5929">
        <v>100607452</v>
      </c>
      <c r="B5929">
        <v>100607449</v>
      </c>
      <c r="C5929" t="s">
        <v>7018</v>
      </c>
      <c r="E5929" s="184"/>
      <c r="G5929" s="184"/>
      <c r="I5929" s="184"/>
      <c r="K5929" s="184"/>
      <c r="M5929" s="184"/>
      <c r="N5929" t="s">
        <v>595</v>
      </c>
      <c r="O5929" s="184">
        <v>44308</v>
      </c>
      <c r="P5929" t="s">
        <v>8550</v>
      </c>
      <c r="Q5929" t="s">
        <v>7454</v>
      </c>
      <c r="R5929" s="184"/>
      <c r="V5929" t="s">
        <v>2518</v>
      </c>
      <c r="X5929" t="s">
        <v>5065</v>
      </c>
      <c r="Z5929">
        <v>100607449</v>
      </c>
      <c r="AB5929" t="s">
        <v>5064</v>
      </c>
      <c r="AC5929" t="s">
        <v>4152</v>
      </c>
      <c r="AD5929" t="s">
        <v>5065</v>
      </c>
      <c r="AF5929" t="s">
        <v>40192</v>
      </c>
      <c r="AG5929" t="s">
        <v>40193</v>
      </c>
      <c r="AI5929" t="s">
        <v>40194</v>
      </c>
      <c r="AM5929" t="s">
        <v>4072</v>
      </c>
      <c r="AN5929" t="s">
        <v>2055</v>
      </c>
      <c r="AO5929">
        <v>98023</v>
      </c>
      <c r="AP5929" t="s">
        <v>7024</v>
      </c>
      <c r="AT5929" s="184"/>
      <c r="AW5929" s="184"/>
      <c r="AZ5929" s="184"/>
    </row>
    <row r="5930" spans="1:68">
      <c r="A5930">
        <v>100607616</v>
      </c>
      <c r="B5930">
        <v>100607616</v>
      </c>
      <c r="C5930" t="s">
        <v>7018</v>
      </c>
      <c r="E5930" s="184"/>
      <c r="G5930" s="184"/>
      <c r="I5930" s="184"/>
      <c r="J5930" t="s">
        <v>595</v>
      </c>
      <c r="K5930" s="184">
        <v>44725</v>
      </c>
      <c r="M5930" s="184"/>
      <c r="O5930" s="184"/>
      <c r="P5930" t="s">
        <v>7045</v>
      </c>
      <c r="Q5930" t="s">
        <v>7374</v>
      </c>
      <c r="R5930" s="184">
        <v>16681</v>
      </c>
      <c r="S5930">
        <v>78</v>
      </c>
      <c r="V5930" t="s">
        <v>11152</v>
      </c>
      <c r="X5930" t="s">
        <v>40196</v>
      </c>
      <c r="AF5930" t="s">
        <v>40197</v>
      </c>
      <c r="AG5930" t="s">
        <v>11152</v>
      </c>
      <c r="AI5930" t="s">
        <v>40198</v>
      </c>
      <c r="AM5930" t="s">
        <v>5720</v>
      </c>
      <c r="AN5930" t="s">
        <v>2081</v>
      </c>
      <c r="AO5930" t="s">
        <v>40199</v>
      </c>
      <c r="AP5930" t="s">
        <v>7024</v>
      </c>
      <c r="AQ5930" t="s">
        <v>40200</v>
      </c>
      <c r="AT5930" s="184">
        <v>44271</v>
      </c>
      <c r="AU5930" t="s">
        <v>40201</v>
      </c>
      <c r="AV5930">
        <v>25</v>
      </c>
      <c r="AW5930" s="184">
        <v>44271</v>
      </c>
      <c r="AX5930" t="s">
        <v>40201</v>
      </c>
      <c r="AY5930">
        <v>25</v>
      </c>
      <c r="AZ5930" s="184">
        <v>44271</v>
      </c>
      <c r="BA5930" t="s">
        <v>40201</v>
      </c>
      <c r="BB5930">
        <v>25</v>
      </c>
      <c r="BC5930">
        <v>25</v>
      </c>
      <c r="BD5930">
        <v>25</v>
      </c>
      <c r="BE5930">
        <v>2021</v>
      </c>
      <c r="BF5930">
        <v>1</v>
      </c>
      <c r="BI5930">
        <v>1</v>
      </c>
      <c r="BJ5930">
        <v>4</v>
      </c>
      <c r="BK5930">
        <v>1</v>
      </c>
    </row>
    <row r="5931" spans="1:68">
      <c r="A5931">
        <v>100609404</v>
      </c>
      <c r="B5931">
        <v>100609404</v>
      </c>
      <c r="C5931" t="s">
        <v>7018</v>
      </c>
      <c r="D5931" t="s">
        <v>595</v>
      </c>
      <c r="E5931" s="184">
        <v>44852</v>
      </c>
      <c r="G5931" s="184"/>
      <c r="I5931" s="184"/>
      <c r="K5931" s="184"/>
      <c r="M5931" s="184"/>
      <c r="O5931" s="184"/>
      <c r="P5931" t="s">
        <v>7045</v>
      </c>
      <c r="Q5931" t="s">
        <v>7020</v>
      </c>
      <c r="R5931" s="184"/>
      <c r="V5931" t="s">
        <v>3444</v>
      </c>
      <c r="X5931" t="s">
        <v>16741</v>
      </c>
      <c r="Z5931">
        <v>100989459</v>
      </c>
      <c r="AB5931" t="s">
        <v>2697</v>
      </c>
      <c r="AD5931" t="s">
        <v>16741</v>
      </c>
      <c r="AF5931" t="s">
        <v>40202</v>
      </c>
      <c r="AG5931" t="s">
        <v>21243</v>
      </c>
      <c r="AI5931" t="s">
        <v>40203</v>
      </c>
      <c r="AM5931" t="s">
        <v>3939</v>
      </c>
      <c r="AN5931" t="s">
        <v>2052</v>
      </c>
      <c r="AO5931" t="s">
        <v>40204</v>
      </c>
      <c r="AP5931" t="s">
        <v>7024</v>
      </c>
      <c r="AQ5931" t="s">
        <v>40205</v>
      </c>
      <c r="AT5931" s="184">
        <v>44371</v>
      </c>
      <c r="AU5931" t="s">
        <v>40206</v>
      </c>
      <c r="AV5931">
        <v>200</v>
      </c>
      <c r="AW5931" s="184">
        <v>45013</v>
      </c>
      <c r="AX5931" t="s">
        <v>15574</v>
      </c>
      <c r="AY5931">
        <v>300</v>
      </c>
      <c r="AZ5931" s="184">
        <v>45013</v>
      </c>
      <c r="BA5931" t="s">
        <v>15574</v>
      </c>
      <c r="BB5931">
        <v>300</v>
      </c>
      <c r="BC5931">
        <v>75</v>
      </c>
      <c r="BD5931">
        <v>700</v>
      </c>
      <c r="BE5931">
        <v>2021</v>
      </c>
      <c r="BF5931">
        <v>3</v>
      </c>
      <c r="BG5931">
        <v>2</v>
      </c>
      <c r="BH5931">
        <v>500</v>
      </c>
      <c r="BI5931">
        <v>3</v>
      </c>
      <c r="BJ5931">
        <v>4</v>
      </c>
      <c r="BK5931">
        <v>3</v>
      </c>
    </row>
    <row r="5932" spans="1:68">
      <c r="A5932">
        <v>100989459</v>
      </c>
      <c r="B5932">
        <v>100609404</v>
      </c>
      <c r="C5932" t="s">
        <v>7018</v>
      </c>
      <c r="D5932" t="s">
        <v>595</v>
      </c>
      <c r="E5932" s="184">
        <v>44852</v>
      </c>
      <c r="G5932" s="184"/>
      <c r="I5932" s="184"/>
      <c r="K5932" s="184"/>
      <c r="M5932" s="184"/>
      <c r="O5932" s="184"/>
      <c r="P5932" t="s">
        <v>7045</v>
      </c>
      <c r="Q5932" t="s">
        <v>7020</v>
      </c>
      <c r="R5932" s="184">
        <v>15588</v>
      </c>
      <c r="S5932">
        <v>81</v>
      </c>
      <c r="V5932" t="s">
        <v>2697</v>
      </c>
      <c r="X5932" t="s">
        <v>16741</v>
      </c>
      <c r="Z5932">
        <v>100609404</v>
      </c>
      <c r="AB5932" t="s">
        <v>3444</v>
      </c>
      <c r="AD5932" t="s">
        <v>16741</v>
      </c>
      <c r="AF5932" t="s">
        <v>40202</v>
      </c>
      <c r="AG5932" t="s">
        <v>21243</v>
      </c>
      <c r="AI5932" t="s">
        <v>40203</v>
      </c>
      <c r="AM5932" t="s">
        <v>3939</v>
      </c>
      <c r="AN5932" t="s">
        <v>2052</v>
      </c>
      <c r="AO5932" t="s">
        <v>40204</v>
      </c>
      <c r="AP5932" t="s">
        <v>7024</v>
      </c>
      <c r="AQ5932" t="s">
        <v>40205</v>
      </c>
      <c r="AT5932" s="184"/>
      <c r="AW5932" s="184"/>
      <c r="AZ5932" s="184"/>
    </row>
    <row r="5933" spans="1:68">
      <c r="A5933">
        <v>100609865</v>
      </c>
      <c r="B5933">
        <v>100609865</v>
      </c>
      <c r="C5933" t="s">
        <v>7018</v>
      </c>
      <c r="E5933" s="184"/>
      <c r="G5933" s="184"/>
      <c r="H5933" t="s">
        <v>595</v>
      </c>
      <c r="I5933" s="184">
        <v>44399</v>
      </c>
      <c r="K5933" s="184"/>
      <c r="M5933" s="184"/>
      <c r="P5933" t="s">
        <v>7019</v>
      </c>
      <c r="Q5933" t="s">
        <v>7383</v>
      </c>
      <c r="R5933" s="184">
        <v>19370</v>
      </c>
      <c r="S5933">
        <v>71</v>
      </c>
      <c r="U5933" t="s">
        <v>7031</v>
      </c>
      <c r="V5933" t="s">
        <v>2871</v>
      </c>
      <c r="W5933" t="s">
        <v>4013</v>
      </c>
      <c r="X5933" t="s">
        <v>5105</v>
      </c>
      <c r="AF5933" t="s">
        <v>40207</v>
      </c>
      <c r="AG5933" t="s">
        <v>2871</v>
      </c>
      <c r="AI5933" t="s">
        <v>40208</v>
      </c>
      <c r="AM5933" t="s">
        <v>5106</v>
      </c>
      <c r="AN5933" t="s">
        <v>2072</v>
      </c>
      <c r="AO5933" t="s">
        <v>40209</v>
      </c>
      <c r="AP5933" t="s">
        <v>7024</v>
      </c>
      <c r="AQ5933" t="s">
        <v>40210</v>
      </c>
      <c r="AT5933" s="184">
        <v>44277</v>
      </c>
      <c r="AU5933" t="s">
        <v>40211</v>
      </c>
      <c r="AV5933">
        <v>15</v>
      </c>
      <c r="AW5933" s="184">
        <v>44575</v>
      </c>
      <c r="AX5933" t="s">
        <v>40212</v>
      </c>
      <c r="AY5933">
        <v>60</v>
      </c>
      <c r="AZ5933" s="184">
        <v>44575</v>
      </c>
      <c r="BA5933" t="s">
        <v>40212</v>
      </c>
      <c r="BB5933">
        <v>60</v>
      </c>
      <c r="BC5933">
        <v>50</v>
      </c>
      <c r="BD5933">
        <v>75</v>
      </c>
      <c r="BE5933">
        <v>2021</v>
      </c>
      <c r="BF5933">
        <v>2</v>
      </c>
      <c r="BI5933">
        <v>2</v>
      </c>
      <c r="BJ5933">
        <v>4</v>
      </c>
      <c r="BK5933">
        <v>2</v>
      </c>
    </row>
    <row r="5934" spans="1:68">
      <c r="A5934">
        <v>100610786</v>
      </c>
      <c r="B5934">
        <v>100610786</v>
      </c>
      <c r="C5934" t="s">
        <v>7018</v>
      </c>
      <c r="E5934" s="184"/>
      <c r="G5934" s="184"/>
      <c r="I5934" s="184"/>
      <c r="J5934" t="s">
        <v>595</v>
      </c>
      <c r="K5934" s="184">
        <v>44594</v>
      </c>
      <c r="M5934" s="184"/>
      <c r="O5934" s="184"/>
      <c r="P5934" t="s">
        <v>7045</v>
      </c>
      <c r="Q5934" t="s">
        <v>7020</v>
      </c>
      <c r="R5934" s="184">
        <v>11968</v>
      </c>
      <c r="S5934">
        <v>91</v>
      </c>
      <c r="V5934" t="s">
        <v>2586</v>
      </c>
      <c r="W5934" t="s">
        <v>4013</v>
      </c>
      <c r="X5934" t="s">
        <v>4103</v>
      </c>
      <c r="AF5934" t="s">
        <v>40213</v>
      </c>
      <c r="AG5934" t="s">
        <v>2586</v>
      </c>
      <c r="AI5934" t="s">
        <v>40214</v>
      </c>
      <c r="AM5934" t="s">
        <v>40215</v>
      </c>
      <c r="AN5934" t="s">
        <v>2052</v>
      </c>
      <c r="AO5934" t="s">
        <v>40216</v>
      </c>
      <c r="AP5934" t="s">
        <v>7024</v>
      </c>
      <c r="AQ5934" t="s">
        <v>40217</v>
      </c>
      <c r="AT5934" s="184">
        <v>44368</v>
      </c>
      <c r="AU5934" t="s">
        <v>40218</v>
      </c>
      <c r="AV5934">
        <v>25</v>
      </c>
      <c r="AW5934" s="184">
        <v>45406</v>
      </c>
      <c r="AX5934" t="s">
        <v>7524</v>
      </c>
      <c r="AY5934">
        <v>35</v>
      </c>
      <c r="AZ5934" s="184">
        <v>45302</v>
      </c>
      <c r="BA5934" t="s">
        <v>40219</v>
      </c>
      <c r="BB5934">
        <v>75</v>
      </c>
      <c r="BC5934">
        <v>100</v>
      </c>
      <c r="BD5934">
        <v>360</v>
      </c>
      <c r="BE5934">
        <v>2021</v>
      </c>
      <c r="BF5934">
        <v>6</v>
      </c>
      <c r="BG5934">
        <v>4</v>
      </c>
      <c r="BH5934">
        <v>260</v>
      </c>
      <c r="BI5934">
        <v>4</v>
      </c>
      <c r="BJ5934">
        <v>4</v>
      </c>
      <c r="BK5934">
        <v>4</v>
      </c>
    </row>
    <row r="5935" spans="1:68">
      <c r="A5935">
        <v>100611131</v>
      </c>
      <c r="B5935">
        <v>100611131</v>
      </c>
      <c r="C5935" t="s">
        <v>7018</v>
      </c>
      <c r="E5935" s="184"/>
      <c r="G5935" s="184"/>
      <c r="H5935" t="s">
        <v>595</v>
      </c>
      <c r="I5935" s="184">
        <v>44314</v>
      </c>
      <c r="K5935" s="184"/>
      <c r="O5935" s="184"/>
      <c r="P5935" t="s">
        <v>8550</v>
      </c>
      <c r="Q5935" t="s">
        <v>7454</v>
      </c>
      <c r="R5935" s="184"/>
      <c r="T5935" t="s">
        <v>40220</v>
      </c>
      <c r="V5935" t="s">
        <v>5085</v>
      </c>
      <c r="X5935" t="s">
        <v>5086</v>
      </c>
      <c r="AF5935" t="s">
        <v>40221</v>
      </c>
      <c r="AG5935" t="s">
        <v>5085</v>
      </c>
      <c r="AI5935" t="s">
        <v>40222</v>
      </c>
      <c r="AM5935" t="s">
        <v>5087</v>
      </c>
      <c r="AN5935" t="s">
        <v>2055</v>
      </c>
      <c r="AO5935">
        <v>98228</v>
      </c>
      <c r="AP5935" t="s">
        <v>7024</v>
      </c>
      <c r="AT5935" s="184"/>
      <c r="AW5935" s="184"/>
      <c r="AZ5935" s="184"/>
    </row>
    <row r="5936" spans="1:68">
      <c r="A5936">
        <v>100619581</v>
      </c>
      <c r="B5936">
        <v>100619581</v>
      </c>
      <c r="C5936" t="s">
        <v>7018</v>
      </c>
      <c r="D5936" t="s">
        <v>595</v>
      </c>
      <c r="E5936" s="184">
        <v>44930</v>
      </c>
      <c r="G5936" s="184"/>
      <c r="I5936" s="184"/>
      <c r="K5936" s="184"/>
      <c r="P5936" t="s">
        <v>7045</v>
      </c>
      <c r="Q5936" t="s">
        <v>7020</v>
      </c>
      <c r="R5936" s="184">
        <v>25112</v>
      </c>
      <c r="S5936">
        <v>55</v>
      </c>
      <c r="V5936" t="s">
        <v>2938</v>
      </c>
      <c r="X5936" t="s">
        <v>20342</v>
      </c>
      <c r="AF5936" t="s">
        <v>40223</v>
      </c>
      <c r="AG5936" t="s">
        <v>2938</v>
      </c>
      <c r="AI5936" t="s">
        <v>40224</v>
      </c>
      <c r="AM5936" t="s">
        <v>40225</v>
      </c>
      <c r="AN5936" t="s">
        <v>2363</v>
      </c>
      <c r="AO5936" t="s">
        <v>40226</v>
      </c>
      <c r="AP5936" t="s">
        <v>7024</v>
      </c>
      <c r="AQ5936" t="s">
        <v>40227</v>
      </c>
      <c r="AR5936" t="s">
        <v>40228</v>
      </c>
      <c r="AT5936" s="184">
        <v>44585</v>
      </c>
      <c r="AU5936" t="s">
        <v>40229</v>
      </c>
      <c r="AV5936">
        <v>15</v>
      </c>
      <c r="AW5936" s="184">
        <v>44585</v>
      </c>
      <c r="AX5936" t="s">
        <v>40229</v>
      </c>
      <c r="AY5936">
        <v>15</v>
      </c>
      <c r="AZ5936" s="184">
        <v>44585</v>
      </c>
      <c r="BA5936" t="s">
        <v>40229</v>
      </c>
      <c r="BB5936">
        <v>15</v>
      </c>
      <c r="BC5936">
        <v>34</v>
      </c>
      <c r="BD5936">
        <v>15</v>
      </c>
      <c r="BE5936">
        <v>2022</v>
      </c>
      <c r="BF5936">
        <v>1</v>
      </c>
      <c r="BI5936">
        <v>1</v>
      </c>
      <c r="BJ5936">
        <v>3</v>
      </c>
      <c r="BK5936">
        <v>1</v>
      </c>
    </row>
    <row r="5937" spans="1:67">
      <c r="A5937">
        <v>100625325</v>
      </c>
      <c r="B5937">
        <v>100625325</v>
      </c>
      <c r="C5937" t="s">
        <v>7018</v>
      </c>
      <c r="D5937" t="s">
        <v>595</v>
      </c>
      <c r="E5937" s="184">
        <v>44441</v>
      </c>
      <c r="G5937" s="184"/>
      <c r="I5937" s="184"/>
      <c r="K5937" s="184"/>
      <c r="M5937" s="184"/>
      <c r="P5937" t="s">
        <v>7045</v>
      </c>
      <c r="Q5937" t="s">
        <v>7374</v>
      </c>
      <c r="R5937" s="184">
        <v>12966</v>
      </c>
      <c r="S5937">
        <v>88</v>
      </c>
      <c r="U5937" t="s">
        <v>7076</v>
      </c>
      <c r="V5937" t="s">
        <v>40230</v>
      </c>
      <c r="W5937" t="s">
        <v>205</v>
      </c>
      <c r="X5937" t="s">
        <v>40231</v>
      </c>
      <c r="AF5937" t="s">
        <v>40232</v>
      </c>
      <c r="AG5937" t="s">
        <v>40230</v>
      </c>
      <c r="AI5937" t="s">
        <v>40233</v>
      </c>
      <c r="AM5937" t="s">
        <v>21712</v>
      </c>
      <c r="AN5937" t="s">
        <v>2081</v>
      </c>
      <c r="AO5937" t="s">
        <v>40234</v>
      </c>
      <c r="AP5937" t="s">
        <v>7024</v>
      </c>
      <c r="AQ5937" t="s">
        <v>40235</v>
      </c>
      <c r="AR5937" t="s">
        <v>40236</v>
      </c>
      <c r="AT5937" s="184">
        <v>37958</v>
      </c>
      <c r="AU5937" t="s">
        <v>40237</v>
      </c>
      <c r="AV5937">
        <v>10</v>
      </c>
      <c r="AW5937" s="184">
        <v>45034</v>
      </c>
      <c r="AX5937" t="s">
        <v>40238</v>
      </c>
      <c r="AY5937">
        <v>5</v>
      </c>
      <c r="AZ5937" s="184">
        <v>44782</v>
      </c>
      <c r="BA5937" t="s">
        <v>17980</v>
      </c>
      <c r="BB5937">
        <v>25</v>
      </c>
      <c r="BC5937">
        <v>55</v>
      </c>
      <c r="BD5937">
        <v>255</v>
      </c>
      <c r="BE5937">
        <v>2004</v>
      </c>
      <c r="BF5937">
        <v>15</v>
      </c>
      <c r="BG5937">
        <v>3</v>
      </c>
      <c r="BH5937">
        <v>40</v>
      </c>
      <c r="BI5937">
        <v>12</v>
      </c>
      <c r="BJ5937">
        <v>22</v>
      </c>
      <c r="BK5937">
        <v>5</v>
      </c>
    </row>
    <row r="5938" spans="1:67">
      <c r="A5938">
        <v>100627062</v>
      </c>
      <c r="B5938">
        <v>100627062</v>
      </c>
      <c r="C5938" t="s">
        <v>7018</v>
      </c>
      <c r="E5938" s="184"/>
      <c r="G5938" s="184"/>
      <c r="I5938" s="184"/>
      <c r="K5938" s="184"/>
      <c r="L5938" t="s">
        <v>595</v>
      </c>
      <c r="M5938" s="184">
        <v>44748</v>
      </c>
      <c r="O5938" s="184"/>
      <c r="P5938" t="s">
        <v>7045</v>
      </c>
      <c r="Q5938" t="s">
        <v>7030</v>
      </c>
      <c r="R5938" s="184">
        <v>17965</v>
      </c>
      <c r="S5938">
        <v>75</v>
      </c>
      <c r="V5938" t="s">
        <v>18354</v>
      </c>
      <c r="X5938" t="s">
        <v>40239</v>
      </c>
      <c r="Z5938">
        <v>101182210</v>
      </c>
      <c r="AB5938" t="s">
        <v>3384</v>
      </c>
      <c r="AD5938" t="s">
        <v>9020</v>
      </c>
      <c r="AF5938" t="s">
        <v>40240</v>
      </c>
      <c r="AG5938" t="s">
        <v>40241</v>
      </c>
      <c r="AI5938" t="s">
        <v>40242</v>
      </c>
      <c r="AM5938" t="s">
        <v>11188</v>
      </c>
      <c r="AN5938" t="s">
        <v>2094</v>
      </c>
      <c r="AO5938" t="s">
        <v>40243</v>
      </c>
      <c r="AP5938" t="s">
        <v>7024</v>
      </c>
      <c r="AQ5938" t="s">
        <v>40244</v>
      </c>
      <c r="AT5938" s="184">
        <v>44319</v>
      </c>
      <c r="AU5938" t="s">
        <v>40245</v>
      </c>
      <c r="AV5938">
        <v>50</v>
      </c>
      <c r="AW5938" s="184">
        <v>45289</v>
      </c>
      <c r="AX5938" t="s">
        <v>7092</v>
      </c>
      <c r="AY5938">
        <v>400</v>
      </c>
      <c r="AZ5938" s="184">
        <v>45289</v>
      </c>
      <c r="BA5938" t="s">
        <v>7092</v>
      </c>
      <c r="BB5938">
        <v>400</v>
      </c>
      <c r="BC5938">
        <v>75</v>
      </c>
      <c r="BD5938">
        <v>975</v>
      </c>
      <c r="BE5938">
        <v>2021</v>
      </c>
      <c r="BF5938">
        <v>6</v>
      </c>
      <c r="BG5938">
        <v>4</v>
      </c>
      <c r="BH5938">
        <v>825</v>
      </c>
      <c r="BI5938">
        <v>3</v>
      </c>
      <c r="BJ5938">
        <v>4</v>
      </c>
      <c r="BK5938">
        <v>3</v>
      </c>
    </row>
    <row r="5939" spans="1:67">
      <c r="A5939">
        <v>100634396</v>
      </c>
      <c r="B5939">
        <v>100634396</v>
      </c>
      <c r="C5939" t="s">
        <v>7018</v>
      </c>
      <c r="E5939" s="184"/>
      <c r="G5939" s="184"/>
      <c r="H5939" t="s">
        <v>595</v>
      </c>
      <c r="I5939" s="184">
        <v>44930</v>
      </c>
      <c r="K5939" s="184"/>
      <c r="M5939" s="184"/>
      <c r="O5939" s="184"/>
      <c r="P5939" t="s">
        <v>7045</v>
      </c>
      <c r="Q5939" t="s">
        <v>7160</v>
      </c>
      <c r="R5939" s="184">
        <v>13199</v>
      </c>
      <c r="S5939">
        <v>88</v>
      </c>
      <c r="V5939" t="s">
        <v>2832</v>
      </c>
      <c r="X5939" t="s">
        <v>40246</v>
      </c>
      <c r="Z5939">
        <v>100977807</v>
      </c>
      <c r="AB5939" t="s">
        <v>8798</v>
      </c>
      <c r="AD5939" t="s">
        <v>40246</v>
      </c>
      <c r="AF5939" t="s">
        <v>40247</v>
      </c>
      <c r="AG5939" t="s">
        <v>40248</v>
      </c>
      <c r="AI5939" t="s">
        <v>40249</v>
      </c>
      <c r="AM5939" t="s">
        <v>40250</v>
      </c>
      <c r="AN5939" t="s">
        <v>4637</v>
      </c>
      <c r="AO5939" t="s">
        <v>40251</v>
      </c>
      <c r="AP5939" t="s">
        <v>7024</v>
      </c>
      <c r="AT5939" s="184">
        <v>44300</v>
      </c>
      <c r="AU5939" t="s">
        <v>40252</v>
      </c>
      <c r="AV5939">
        <v>25</v>
      </c>
      <c r="AW5939" s="184">
        <v>44795</v>
      </c>
      <c r="AX5939" t="s">
        <v>40253</v>
      </c>
      <c r="AY5939">
        <v>25</v>
      </c>
      <c r="AZ5939" s="184">
        <v>44795</v>
      </c>
      <c r="BA5939" t="s">
        <v>40253</v>
      </c>
      <c r="BB5939">
        <v>25</v>
      </c>
      <c r="BC5939">
        <v>50</v>
      </c>
      <c r="BD5939">
        <v>75</v>
      </c>
      <c r="BE5939">
        <v>2021</v>
      </c>
      <c r="BF5939">
        <v>3</v>
      </c>
      <c r="BG5939">
        <v>2</v>
      </c>
      <c r="BH5939">
        <v>50</v>
      </c>
      <c r="BI5939">
        <v>2</v>
      </c>
      <c r="BJ5939">
        <v>4</v>
      </c>
      <c r="BK5939">
        <v>2</v>
      </c>
    </row>
    <row r="5940" spans="1:67">
      <c r="A5940">
        <v>100977807</v>
      </c>
      <c r="B5940">
        <v>100634396</v>
      </c>
      <c r="C5940" t="s">
        <v>7018</v>
      </c>
      <c r="E5940" s="184"/>
      <c r="G5940" s="184"/>
      <c r="H5940" t="s">
        <v>595</v>
      </c>
      <c r="I5940" s="184">
        <v>44930</v>
      </c>
      <c r="K5940" s="184"/>
      <c r="M5940" s="184"/>
      <c r="O5940" s="184"/>
      <c r="P5940" t="s">
        <v>7045</v>
      </c>
      <c r="Q5940" t="s">
        <v>7160</v>
      </c>
      <c r="R5940" s="184">
        <v>15507</v>
      </c>
      <c r="S5940">
        <v>81</v>
      </c>
      <c r="V5940" t="s">
        <v>8798</v>
      </c>
      <c r="X5940" t="s">
        <v>40246</v>
      </c>
      <c r="Z5940">
        <v>100634396</v>
      </c>
      <c r="AB5940" t="s">
        <v>2832</v>
      </c>
      <c r="AD5940" t="s">
        <v>40246</v>
      </c>
      <c r="AF5940" t="s">
        <v>40247</v>
      </c>
      <c r="AG5940" t="s">
        <v>40248</v>
      </c>
      <c r="AI5940" t="s">
        <v>40249</v>
      </c>
      <c r="AM5940" t="s">
        <v>40250</v>
      </c>
      <c r="AN5940" t="s">
        <v>4637</v>
      </c>
      <c r="AO5940" t="s">
        <v>40251</v>
      </c>
      <c r="AP5940" t="s">
        <v>7024</v>
      </c>
      <c r="AT5940" s="184"/>
      <c r="AW5940" s="184"/>
      <c r="AZ5940" s="184"/>
    </row>
    <row r="5941" spans="1:67">
      <c r="A5941">
        <v>100642854</v>
      </c>
      <c r="B5941">
        <v>100642854</v>
      </c>
      <c r="C5941" t="s">
        <v>7018</v>
      </c>
      <c r="D5941" t="s">
        <v>595</v>
      </c>
      <c r="E5941" s="184">
        <v>44428</v>
      </c>
      <c r="G5941" s="184"/>
      <c r="I5941" s="184"/>
      <c r="K5941" s="184"/>
      <c r="M5941" s="184"/>
      <c r="P5941" t="s">
        <v>7045</v>
      </c>
      <c r="Q5941" t="s">
        <v>7383</v>
      </c>
      <c r="R5941" s="184"/>
      <c r="V5941" t="s">
        <v>35498</v>
      </c>
      <c r="X5941" t="s">
        <v>40254</v>
      </c>
      <c r="AF5941" t="s">
        <v>40255</v>
      </c>
      <c r="AG5941" t="s">
        <v>35498</v>
      </c>
      <c r="AI5941" t="s">
        <v>40256</v>
      </c>
      <c r="AM5941" t="s">
        <v>3837</v>
      </c>
      <c r="AN5941" t="s">
        <v>2313</v>
      </c>
      <c r="AO5941" t="s">
        <v>40257</v>
      </c>
      <c r="AP5941" t="s">
        <v>7024</v>
      </c>
      <c r="AQ5941" t="s">
        <v>40258</v>
      </c>
      <c r="AT5941" s="184">
        <v>44329</v>
      </c>
      <c r="AU5941" t="s">
        <v>33322</v>
      </c>
      <c r="AV5941">
        <v>25</v>
      </c>
      <c r="AW5941" s="184">
        <v>44420</v>
      </c>
      <c r="AX5941" t="s">
        <v>40259</v>
      </c>
      <c r="AY5941">
        <v>50</v>
      </c>
      <c r="AZ5941" s="184">
        <v>44420</v>
      </c>
      <c r="BA5941" t="s">
        <v>40259</v>
      </c>
      <c r="BB5941">
        <v>50</v>
      </c>
      <c r="BC5941">
        <v>25</v>
      </c>
      <c r="BD5941">
        <v>75</v>
      </c>
      <c r="BE5941">
        <v>2021</v>
      </c>
      <c r="BF5941">
        <v>2</v>
      </c>
      <c r="BI5941">
        <v>1</v>
      </c>
      <c r="BJ5941">
        <v>4</v>
      </c>
      <c r="BK5941">
        <v>1</v>
      </c>
    </row>
    <row r="5942" spans="1:67">
      <c r="A5942">
        <v>100642917</v>
      </c>
      <c r="B5942">
        <v>100642917</v>
      </c>
      <c r="C5942" t="s">
        <v>7018</v>
      </c>
      <c r="D5942" t="s">
        <v>595</v>
      </c>
      <c r="E5942" s="184">
        <v>44073</v>
      </c>
      <c r="G5942" s="184"/>
      <c r="H5942" t="s">
        <v>595</v>
      </c>
      <c r="I5942" s="184">
        <v>44073</v>
      </c>
      <c r="K5942" s="184"/>
      <c r="P5942" t="s">
        <v>7045</v>
      </c>
      <c r="Q5942" t="s">
        <v>7383</v>
      </c>
      <c r="R5942" s="184">
        <v>16294</v>
      </c>
      <c r="S5942">
        <v>79</v>
      </c>
      <c r="V5942" t="s">
        <v>3444</v>
      </c>
      <c r="W5942" t="s">
        <v>7407</v>
      </c>
      <c r="X5942" t="s">
        <v>4953</v>
      </c>
      <c r="AF5942" t="s">
        <v>40260</v>
      </c>
      <c r="AG5942" t="s">
        <v>3444</v>
      </c>
      <c r="AI5942" t="s">
        <v>40261</v>
      </c>
      <c r="AM5942" t="s">
        <v>3357</v>
      </c>
      <c r="AN5942" t="s">
        <v>2185</v>
      </c>
      <c r="AO5942" t="s">
        <v>40262</v>
      </c>
      <c r="AP5942" t="s">
        <v>7024</v>
      </c>
      <c r="AQ5942" t="s">
        <v>40263</v>
      </c>
      <c r="AT5942" s="184">
        <v>42649</v>
      </c>
      <c r="AU5942" t="s">
        <v>40264</v>
      </c>
      <c r="AV5942">
        <v>15</v>
      </c>
      <c r="AW5942" s="184">
        <v>44329</v>
      </c>
      <c r="AX5942" t="s">
        <v>40265</v>
      </c>
      <c r="AY5942">
        <v>15</v>
      </c>
      <c r="AZ5942" s="184">
        <v>44034</v>
      </c>
      <c r="BA5942" t="s">
        <v>9144</v>
      </c>
      <c r="BB5942">
        <v>60</v>
      </c>
      <c r="BC5942">
        <v>67</v>
      </c>
      <c r="BD5942">
        <v>220</v>
      </c>
      <c r="BE5942">
        <v>2017</v>
      </c>
      <c r="BF5942">
        <v>10</v>
      </c>
      <c r="BI5942">
        <v>6</v>
      </c>
      <c r="BJ5942">
        <v>9</v>
      </c>
      <c r="BK5942">
        <v>6</v>
      </c>
      <c r="BO5942" t="s">
        <v>595</v>
      </c>
    </row>
    <row r="5943" spans="1:67">
      <c r="A5943">
        <v>100644882</v>
      </c>
      <c r="B5943">
        <v>100644882</v>
      </c>
      <c r="C5943" t="s">
        <v>7018</v>
      </c>
      <c r="E5943" s="184"/>
      <c r="H5943" t="s">
        <v>595</v>
      </c>
      <c r="I5943" s="184">
        <v>44768</v>
      </c>
      <c r="K5943" s="184"/>
      <c r="O5943" s="184"/>
      <c r="P5943" t="s">
        <v>7045</v>
      </c>
      <c r="Q5943" t="s">
        <v>7383</v>
      </c>
      <c r="R5943" s="184">
        <v>20972</v>
      </c>
      <c r="S5943">
        <v>66</v>
      </c>
      <c r="V5943" t="s">
        <v>2586</v>
      </c>
      <c r="X5943" t="s">
        <v>40266</v>
      </c>
      <c r="AF5943" t="s">
        <v>40267</v>
      </c>
      <c r="AG5943" t="s">
        <v>2586</v>
      </c>
      <c r="AI5943" t="s">
        <v>40268</v>
      </c>
      <c r="AM5943" t="s">
        <v>4740</v>
      </c>
      <c r="AN5943" t="s">
        <v>2274</v>
      </c>
      <c r="AO5943" t="s">
        <v>40269</v>
      </c>
      <c r="AP5943" t="s">
        <v>7024</v>
      </c>
      <c r="AQ5943" t="s">
        <v>40270</v>
      </c>
      <c r="AT5943" s="184">
        <v>44336</v>
      </c>
      <c r="AU5943" t="s">
        <v>40271</v>
      </c>
      <c r="AV5943">
        <v>20</v>
      </c>
      <c r="AW5943" s="184">
        <v>45121</v>
      </c>
      <c r="AX5943" t="s">
        <v>16043</v>
      </c>
      <c r="AY5943">
        <v>15</v>
      </c>
      <c r="AZ5943" s="184">
        <v>44853</v>
      </c>
      <c r="BA5943" t="s">
        <v>40272</v>
      </c>
      <c r="BB5943">
        <v>20</v>
      </c>
      <c r="BC5943">
        <v>75</v>
      </c>
      <c r="BD5943">
        <v>60</v>
      </c>
      <c r="BE5943">
        <v>2021</v>
      </c>
      <c r="BF5943">
        <v>4</v>
      </c>
      <c r="BG5943">
        <v>2</v>
      </c>
      <c r="BH5943">
        <v>35</v>
      </c>
      <c r="BI5943">
        <v>3</v>
      </c>
      <c r="BJ5943">
        <v>4</v>
      </c>
      <c r="BK5943">
        <v>3</v>
      </c>
    </row>
    <row r="5944" spans="1:67">
      <c r="A5944">
        <v>100649109</v>
      </c>
      <c r="B5944">
        <v>100649109</v>
      </c>
      <c r="C5944" t="s">
        <v>7018</v>
      </c>
      <c r="D5944" t="s">
        <v>595</v>
      </c>
      <c r="E5944" s="184">
        <v>44690</v>
      </c>
      <c r="G5944" s="184"/>
      <c r="I5944" s="184"/>
      <c r="K5944" s="184"/>
      <c r="M5944" s="184"/>
      <c r="O5944" s="184"/>
      <c r="P5944" t="s">
        <v>7045</v>
      </c>
      <c r="Q5944" t="s">
        <v>7160</v>
      </c>
      <c r="R5944" s="184">
        <v>21520</v>
      </c>
      <c r="S5944">
        <v>65</v>
      </c>
      <c r="U5944" t="s">
        <v>7130</v>
      </c>
      <c r="V5944" t="s">
        <v>4407</v>
      </c>
      <c r="X5944" t="s">
        <v>40273</v>
      </c>
      <c r="AF5944" t="s">
        <v>40274</v>
      </c>
      <c r="AG5944" t="s">
        <v>4407</v>
      </c>
      <c r="AI5944" t="s">
        <v>40275</v>
      </c>
      <c r="AM5944" t="s">
        <v>8562</v>
      </c>
      <c r="AN5944" t="s">
        <v>2446</v>
      </c>
      <c r="AO5944" t="s">
        <v>40276</v>
      </c>
      <c r="AP5944" t="s">
        <v>7024</v>
      </c>
      <c r="AQ5944" t="s">
        <v>40277</v>
      </c>
      <c r="AT5944" s="184">
        <v>44360</v>
      </c>
      <c r="AU5944" t="s">
        <v>11161</v>
      </c>
      <c r="AV5944">
        <v>15</v>
      </c>
      <c r="AW5944" s="184">
        <v>44360</v>
      </c>
      <c r="AX5944" t="s">
        <v>11161</v>
      </c>
      <c r="AY5944">
        <v>15</v>
      </c>
      <c r="AZ5944" s="184">
        <v>44360</v>
      </c>
      <c r="BA5944" t="s">
        <v>11161</v>
      </c>
      <c r="BB5944">
        <v>15</v>
      </c>
      <c r="BC5944">
        <v>25</v>
      </c>
      <c r="BD5944">
        <v>15</v>
      </c>
      <c r="BE5944">
        <v>2021</v>
      </c>
      <c r="BF5944">
        <v>1</v>
      </c>
      <c r="BI5944">
        <v>1</v>
      </c>
      <c r="BJ5944">
        <v>4</v>
      </c>
      <c r="BK5944">
        <v>1</v>
      </c>
    </row>
    <row r="5945" spans="1:67">
      <c r="A5945">
        <v>100650792</v>
      </c>
      <c r="B5945">
        <v>100650792</v>
      </c>
      <c r="C5945" t="s">
        <v>7018</v>
      </c>
      <c r="E5945" s="184"/>
      <c r="F5945" t="s">
        <v>595</v>
      </c>
      <c r="G5945" s="184">
        <v>44353</v>
      </c>
      <c r="I5945" s="184"/>
      <c r="K5945" s="184"/>
      <c r="M5945" s="184"/>
      <c r="O5945" s="184"/>
      <c r="P5945" t="s">
        <v>7045</v>
      </c>
      <c r="Q5945" t="s">
        <v>7020</v>
      </c>
      <c r="R5945" s="184">
        <v>20525</v>
      </c>
      <c r="S5945">
        <v>68</v>
      </c>
      <c r="V5945" t="s">
        <v>2871</v>
      </c>
      <c r="X5945" t="s">
        <v>40278</v>
      </c>
      <c r="AF5945" t="s">
        <v>40279</v>
      </c>
      <c r="AG5945" t="s">
        <v>2871</v>
      </c>
      <c r="AI5945" t="s">
        <v>40280</v>
      </c>
      <c r="AM5945" t="s">
        <v>40281</v>
      </c>
      <c r="AN5945" t="s">
        <v>2112</v>
      </c>
      <c r="AO5945" t="s">
        <v>40282</v>
      </c>
      <c r="AP5945" t="s">
        <v>7024</v>
      </c>
      <c r="AQ5945" t="s">
        <v>40283</v>
      </c>
      <c r="AT5945" s="184">
        <v>31006</v>
      </c>
      <c r="AU5945" t="s">
        <v>7073</v>
      </c>
      <c r="AV5945">
        <v>18</v>
      </c>
      <c r="AW5945" s="184">
        <v>45419</v>
      </c>
      <c r="AX5945" t="s">
        <v>9559</v>
      </c>
      <c r="AY5945">
        <v>100</v>
      </c>
      <c r="AZ5945" s="184">
        <v>45419</v>
      </c>
      <c r="BA5945" t="s">
        <v>9559</v>
      </c>
      <c r="BB5945">
        <v>100</v>
      </c>
      <c r="BC5945">
        <v>44</v>
      </c>
      <c r="BD5945">
        <v>1212.75</v>
      </c>
      <c r="BE5945">
        <v>1985</v>
      </c>
      <c r="BF5945">
        <v>28</v>
      </c>
      <c r="BG5945">
        <v>5</v>
      </c>
      <c r="BH5945">
        <v>500</v>
      </c>
      <c r="BI5945">
        <v>18</v>
      </c>
      <c r="BJ5945">
        <v>41</v>
      </c>
      <c r="BK5945">
        <v>14</v>
      </c>
    </row>
    <row r="5946" spans="1:67">
      <c r="A5946">
        <v>100653763</v>
      </c>
      <c r="B5946">
        <v>100653763</v>
      </c>
      <c r="C5946" t="s">
        <v>7018</v>
      </c>
      <c r="E5946" s="184"/>
      <c r="G5946" s="184"/>
      <c r="H5946" t="s">
        <v>595</v>
      </c>
      <c r="I5946" s="184">
        <v>45098</v>
      </c>
      <c r="K5946" s="184"/>
      <c r="M5946" s="184"/>
      <c r="O5946" s="184"/>
      <c r="P5946" t="s">
        <v>7019</v>
      </c>
      <c r="Q5946" t="s">
        <v>7262</v>
      </c>
      <c r="R5946" s="184">
        <v>14390</v>
      </c>
      <c r="S5946">
        <v>84</v>
      </c>
      <c r="V5946" t="s">
        <v>2586</v>
      </c>
      <c r="X5946" t="s">
        <v>40284</v>
      </c>
      <c r="Z5946">
        <v>101134225</v>
      </c>
      <c r="AB5946" t="s">
        <v>3373</v>
      </c>
      <c r="AD5946" t="s">
        <v>40284</v>
      </c>
      <c r="AF5946" t="s">
        <v>40285</v>
      </c>
      <c r="AG5946" t="s">
        <v>40286</v>
      </c>
      <c r="AI5946" t="s">
        <v>40287</v>
      </c>
      <c r="AM5946" t="s">
        <v>40135</v>
      </c>
      <c r="AN5946" t="s">
        <v>2219</v>
      </c>
      <c r="AO5946" t="s">
        <v>40288</v>
      </c>
      <c r="AP5946" t="s">
        <v>7024</v>
      </c>
      <c r="AQ5946" t="s">
        <v>40289</v>
      </c>
      <c r="AT5946" s="184">
        <v>44364</v>
      </c>
      <c r="AU5946" t="s">
        <v>40290</v>
      </c>
      <c r="AV5946">
        <v>25</v>
      </c>
      <c r="AW5946" s="184">
        <v>44727</v>
      </c>
      <c r="AX5946" t="s">
        <v>40291</v>
      </c>
      <c r="AY5946">
        <v>60</v>
      </c>
      <c r="AZ5946" s="184">
        <v>44727</v>
      </c>
      <c r="BA5946" t="s">
        <v>40291</v>
      </c>
      <c r="BB5946">
        <v>60</v>
      </c>
      <c r="BC5946">
        <v>50</v>
      </c>
      <c r="BD5946">
        <v>170</v>
      </c>
      <c r="BE5946">
        <v>2021</v>
      </c>
      <c r="BF5946">
        <v>4</v>
      </c>
      <c r="BG5946">
        <v>1</v>
      </c>
      <c r="BH5946">
        <v>60</v>
      </c>
      <c r="BI5946">
        <v>2</v>
      </c>
      <c r="BJ5946">
        <v>4</v>
      </c>
      <c r="BK5946">
        <v>2</v>
      </c>
    </row>
    <row r="5947" spans="1:67">
      <c r="A5947">
        <v>100657618</v>
      </c>
      <c r="B5947">
        <v>100657618</v>
      </c>
      <c r="C5947" t="s">
        <v>7018</v>
      </c>
      <c r="D5947" t="s">
        <v>595</v>
      </c>
      <c r="E5947" s="184">
        <v>44495</v>
      </c>
      <c r="G5947" s="184"/>
      <c r="I5947" s="184"/>
      <c r="K5947" s="184"/>
      <c r="O5947" s="184"/>
      <c r="P5947" t="s">
        <v>7045</v>
      </c>
      <c r="Q5947" t="s">
        <v>7494</v>
      </c>
      <c r="R5947" s="184">
        <v>25925</v>
      </c>
      <c r="S5947">
        <v>53</v>
      </c>
      <c r="V5947" t="s">
        <v>27108</v>
      </c>
      <c r="X5947" t="s">
        <v>40292</v>
      </c>
      <c r="AF5947" t="s">
        <v>40293</v>
      </c>
      <c r="AG5947" t="s">
        <v>27108</v>
      </c>
      <c r="AI5947" t="s">
        <v>40294</v>
      </c>
      <c r="AM5947" t="s">
        <v>18737</v>
      </c>
      <c r="AN5947" t="s">
        <v>2174</v>
      </c>
      <c r="AO5947" t="s">
        <v>40295</v>
      </c>
      <c r="AP5947" t="s">
        <v>7024</v>
      </c>
      <c r="AQ5947" t="s">
        <v>40296</v>
      </c>
      <c r="AT5947" s="184">
        <v>44369</v>
      </c>
      <c r="AU5947" t="s">
        <v>40297</v>
      </c>
      <c r="AV5947">
        <v>25</v>
      </c>
      <c r="AW5947" s="184">
        <v>44481</v>
      </c>
      <c r="AX5947" t="s">
        <v>40298</v>
      </c>
      <c r="AY5947">
        <v>25</v>
      </c>
      <c r="AZ5947" s="184">
        <v>44481</v>
      </c>
      <c r="BA5947" t="s">
        <v>40298</v>
      </c>
      <c r="BB5947">
        <v>25</v>
      </c>
      <c r="BC5947">
        <v>25</v>
      </c>
      <c r="BD5947">
        <v>50</v>
      </c>
      <c r="BE5947">
        <v>2021</v>
      </c>
      <c r="BF5947">
        <v>2</v>
      </c>
      <c r="BI5947">
        <v>1</v>
      </c>
      <c r="BJ5947">
        <v>4</v>
      </c>
      <c r="BK5947">
        <v>1</v>
      </c>
    </row>
    <row r="5948" spans="1:67">
      <c r="A5948">
        <v>100659556</v>
      </c>
      <c r="B5948">
        <v>100659556</v>
      </c>
      <c r="C5948" t="s">
        <v>7018</v>
      </c>
      <c r="E5948" s="184"/>
      <c r="G5948" s="184"/>
      <c r="H5948" t="s">
        <v>595</v>
      </c>
      <c r="I5948" s="184">
        <v>44651</v>
      </c>
      <c r="K5948" s="184"/>
      <c r="P5948" t="s">
        <v>7045</v>
      </c>
      <c r="Q5948" t="s">
        <v>7160</v>
      </c>
      <c r="R5948" s="184"/>
      <c r="U5948" t="s">
        <v>7031</v>
      </c>
      <c r="V5948" t="s">
        <v>3373</v>
      </c>
      <c r="W5948" t="s">
        <v>8224</v>
      </c>
      <c r="X5948" t="s">
        <v>40299</v>
      </c>
      <c r="AF5948" t="s">
        <v>40300</v>
      </c>
      <c r="AG5948" t="s">
        <v>3373</v>
      </c>
      <c r="AI5948" t="s">
        <v>40301</v>
      </c>
      <c r="AM5948" t="s">
        <v>29050</v>
      </c>
      <c r="AN5948" t="s">
        <v>2446</v>
      </c>
      <c r="AO5948" t="s">
        <v>40302</v>
      </c>
      <c r="AP5948" t="s">
        <v>7024</v>
      </c>
      <c r="AQ5948" t="s">
        <v>40303</v>
      </c>
      <c r="AT5948" s="184">
        <v>44385</v>
      </c>
      <c r="AU5948" t="s">
        <v>39591</v>
      </c>
      <c r="AV5948">
        <v>30</v>
      </c>
      <c r="AW5948" s="184">
        <v>44385</v>
      </c>
      <c r="AX5948" t="s">
        <v>39591</v>
      </c>
      <c r="AY5948">
        <v>30</v>
      </c>
      <c r="AZ5948" s="184">
        <v>44385</v>
      </c>
      <c r="BA5948" t="s">
        <v>39591</v>
      </c>
      <c r="BB5948">
        <v>30</v>
      </c>
      <c r="BC5948">
        <v>25</v>
      </c>
      <c r="BD5948">
        <v>30</v>
      </c>
      <c r="BE5948">
        <v>2022</v>
      </c>
      <c r="BF5948">
        <v>1</v>
      </c>
      <c r="BI5948">
        <v>1</v>
      </c>
      <c r="BJ5948">
        <v>4</v>
      </c>
      <c r="BK5948">
        <v>1</v>
      </c>
    </row>
    <row r="5949" spans="1:67">
      <c r="A5949">
        <v>100660960</v>
      </c>
      <c r="B5949">
        <v>100660960</v>
      </c>
      <c r="C5949" t="s">
        <v>7018</v>
      </c>
      <c r="E5949" s="184"/>
      <c r="G5949" s="184"/>
      <c r="H5949" t="s">
        <v>595</v>
      </c>
      <c r="I5949" s="184">
        <v>44392</v>
      </c>
      <c r="K5949" s="184"/>
      <c r="M5949" s="184"/>
      <c r="O5949" s="184"/>
      <c r="P5949" t="s">
        <v>7045</v>
      </c>
      <c r="Q5949" t="s">
        <v>7374</v>
      </c>
      <c r="R5949" s="184">
        <v>12785</v>
      </c>
      <c r="S5949">
        <v>89</v>
      </c>
      <c r="V5949" t="s">
        <v>3235</v>
      </c>
      <c r="X5949" t="s">
        <v>3438</v>
      </c>
      <c r="Z5949">
        <v>2448751</v>
      </c>
      <c r="AA5949" t="s">
        <v>7031</v>
      </c>
      <c r="AB5949" t="s">
        <v>2518</v>
      </c>
      <c r="AC5949" t="s">
        <v>2049</v>
      </c>
      <c r="AD5949" t="s">
        <v>3438</v>
      </c>
      <c r="AF5949" t="s">
        <v>40304</v>
      </c>
      <c r="AG5949" t="s">
        <v>3235</v>
      </c>
      <c r="AI5949" t="s">
        <v>40305</v>
      </c>
      <c r="AM5949" t="s">
        <v>15417</v>
      </c>
      <c r="AN5949" t="s">
        <v>2081</v>
      </c>
      <c r="AO5949" t="s">
        <v>40306</v>
      </c>
      <c r="AP5949" t="s">
        <v>7024</v>
      </c>
      <c r="AT5949" s="184"/>
      <c r="AW5949" s="184"/>
      <c r="AZ5949" s="184"/>
    </row>
    <row r="5950" spans="1:67">
      <c r="A5950">
        <v>100664174</v>
      </c>
      <c r="B5950">
        <v>100664174</v>
      </c>
      <c r="C5950" t="s">
        <v>7018</v>
      </c>
      <c r="D5950" t="s">
        <v>595</v>
      </c>
      <c r="E5950" s="184">
        <v>45196</v>
      </c>
      <c r="G5950" s="184"/>
      <c r="I5950" s="184"/>
      <c r="K5950" s="184"/>
      <c r="M5950" s="184"/>
      <c r="O5950" s="184"/>
      <c r="P5950" t="s">
        <v>7045</v>
      </c>
      <c r="Q5950" t="s">
        <v>7374</v>
      </c>
      <c r="R5950" s="184">
        <v>12175</v>
      </c>
      <c r="S5950">
        <v>91</v>
      </c>
      <c r="U5950" t="s">
        <v>7032</v>
      </c>
      <c r="V5950" t="s">
        <v>40307</v>
      </c>
      <c r="W5950" t="s">
        <v>7248</v>
      </c>
      <c r="X5950" t="s">
        <v>40308</v>
      </c>
      <c r="AF5950" t="s">
        <v>40309</v>
      </c>
      <c r="AG5950" t="s">
        <v>40307</v>
      </c>
      <c r="AI5950" t="s">
        <v>40310</v>
      </c>
      <c r="AM5950" t="s">
        <v>8276</v>
      </c>
      <c r="AN5950" t="s">
        <v>2081</v>
      </c>
      <c r="AO5950" t="s">
        <v>40311</v>
      </c>
      <c r="AP5950" t="s">
        <v>7024</v>
      </c>
      <c r="AT5950" s="184">
        <v>36367</v>
      </c>
      <c r="AU5950" t="s">
        <v>40312</v>
      </c>
      <c r="AV5950">
        <v>10</v>
      </c>
      <c r="AW5950" s="184">
        <v>44399</v>
      </c>
      <c r="AX5950" t="s">
        <v>40313</v>
      </c>
      <c r="AY5950">
        <v>3</v>
      </c>
      <c r="AZ5950" s="184">
        <v>43738</v>
      </c>
      <c r="BA5950" t="s">
        <v>9219</v>
      </c>
      <c r="BB5950">
        <v>25</v>
      </c>
      <c r="BC5950">
        <v>27</v>
      </c>
      <c r="BD5950">
        <v>138</v>
      </c>
      <c r="BE5950">
        <v>2000</v>
      </c>
      <c r="BF5950">
        <v>8</v>
      </c>
      <c r="BI5950">
        <v>7</v>
      </c>
      <c r="BJ5950">
        <v>26</v>
      </c>
      <c r="BK5950">
        <v>3</v>
      </c>
    </row>
    <row r="5951" spans="1:67">
      <c r="A5951">
        <v>100664230</v>
      </c>
      <c r="B5951">
        <v>100664230</v>
      </c>
      <c r="C5951" t="s">
        <v>7018</v>
      </c>
      <c r="D5951" t="s">
        <v>595</v>
      </c>
      <c r="E5951" s="184">
        <v>44073</v>
      </c>
      <c r="G5951" s="184"/>
      <c r="I5951" s="184"/>
      <c r="K5951" s="184"/>
      <c r="M5951" s="184"/>
      <c r="O5951" s="184"/>
      <c r="P5951" t="s">
        <v>7045</v>
      </c>
      <c r="Q5951" t="s">
        <v>7454</v>
      </c>
      <c r="R5951" s="184">
        <v>18286</v>
      </c>
      <c r="S5951">
        <v>74</v>
      </c>
      <c r="U5951" t="s">
        <v>7031</v>
      </c>
      <c r="V5951" t="s">
        <v>2832</v>
      </c>
      <c r="X5951" t="s">
        <v>40314</v>
      </c>
      <c r="AF5951" t="s">
        <v>40315</v>
      </c>
      <c r="AG5951" t="s">
        <v>2832</v>
      </c>
      <c r="AI5951" t="s">
        <v>40316</v>
      </c>
      <c r="AM5951" t="s">
        <v>3647</v>
      </c>
      <c r="AN5951" t="s">
        <v>2299</v>
      </c>
      <c r="AO5951" t="s">
        <v>40317</v>
      </c>
      <c r="AP5951" t="s">
        <v>7024</v>
      </c>
      <c r="AQ5951" t="s">
        <v>40318</v>
      </c>
      <c r="AT5951" s="184">
        <v>35111</v>
      </c>
      <c r="AU5951" t="s">
        <v>40319</v>
      </c>
      <c r="AV5951">
        <v>15</v>
      </c>
      <c r="AW5951" s="184">
        <v>44713</v>
      </c>
      <c r="AX5951" t="s">
        <v>16562</v>
      </c>
      <c r="AY5951">
        <v>50</v>
      </c>
      <c r="AZ5951" s="184">
        <v>44270</v>
      </c>
      <c r="BA5951" t="s">
        <v>22170</v>
      </c>
      <c r="BB5951">
        <v>85</v>
      </c>
      <c r="BC5951">
        <v>59</v>
      </c>
      <c r="BD5951">
        <v>1215</v>
      </c>
      <c r="BE5951">
        <v>1996</v>
      </c>
      <c r="BF5951">
        <v>36</v>
      </c>
      <c r="BG5951">
        <v>1</v>
      </c>
      <c r="BH5951">
        <v>50</v>
      </c>
      <c r="BI5951">
        <v>17</v>
      </c>
      <c r="BJ5951">
        <v>29</v>
      </c>
      <c r="BK5951">
        <v>6</v>
      </c>
    </row>
    <row r="5952" spans="1:67">
      <c r="A5952">
        <v>100666899</v>
      </c>
      <c r="B5952">
        <v>100666899</v>
      </c>
      <c r="C5952" t="s">
        <v>7018</v>
      </c>
      <c r="D5952" t="s">
        <v>595</v>
      </c>
      <c r="E5952" s="184">
        <v>44428</v>
      </c>
      <c r="G5952" s="184"/>
      <c r="I5952" s="184"/>
      <c r="K5952" s="184"/>
      <c r="M5952" s="184"/>
      <c r="O5952" s="184"/>
      <c r="P5952" t="s">
        <v>7045</v>
      </c>
      <c r="Q5952" t="s">
        <v>7494</v>
      </c>
      <c r="R5952" s="184"/>
      <c r="V5952" t="s">
        <v>8859</v>
      </c>
      <c r="X5952" t="s">
        <v>40320</v>
      </c>
      <c r="AF5952" t="s">
        <v>40321</v>
      </c>
      <c r="AG5952" t="s">
        <v>8859</v>
      </c>
      <c r="AI5952" t="s">
        <v>40322</v>
      </c>
      <c r="AM5952" t="s">
        <v>22455</v>
      </c>
      <c r="AN5952" t="s">
        <v>2174</v>
      </c>
      <c r="AO5952" t="s">
        <v>40323</v>
      </c>
      <c r="AP5952" t="s">
        <v>7024</v>
      </c>
      <c r="AT5952" s="184">
        <v>44398</v>
      </c>
      <c r="AU5952" t="s">
        <v>40324</v>
      </c>
      <c r="AV5952">
        <v>15</v>
      </c>
      <c r="AW5952" s="184">
        <v>44398</v>
      </c>
      <c r="AX5952" t="s">
        <v>40324</v>
      </c>
      <c r="AY5952">
        <v>15</v>
      </c>
      <c r="AZ5952" s="184">
        <v>44398</v>
      </c>
      <c r="BA5952" t="s">
        <v>40324</v>
      </c>
      <c r="BB5952">
        <v>15</v>
      </c>
      <c r="BC5952">
        <v>25</v>
      </c>
      <c r="BD5952">
        <v>15</v>
      </c>
      <c r="BE5952">
        <v>2022</v>
      </c>
      <c r="BF5952">
        <v>1</v>
      </c>
      <c r="BI5952">
        <v>1</v>
      </c>
      <c r="BJ5952">
        <v>4</v>
      </c>
      <c r="BK5952">
        <v>1</v>
      </c>
    </row>
    <row r="5953" spans="1:68">
      <c r="A5953">
        <v>100667915</v>
      </c>
      <c r="B5953">
        <v>100667915</v>
      </c>
      <c r="C5953" t="s">
        <v>7018</v>
      </c>
      <c r="D5953" t="s">
        <v>595</v>
      </c>
      <c r="E5953" s="184">
        <v>44428</v>
      </c>
      <c r="G5953" s="184"/>
      <c r="I5953" s="184"/>
      <c r="K5953" s="184"/>
      <c r="M5953" s="184"/>
      <c r="O5953" s="184"/>
      <c r="P5953" t="s">
        <v>7045</v>
      </c>
      <c r="Q5953" t="s">
        <v>7383</v>
      </c>
      <c r="R5953" s="184"/>
      <c r="V5953" t="s">
        <v>40325</v>
      </c>
      <c r="X5953" t="s">
        <v>40326</v>
      </c>
      <c r="AF5953" t="s">
        <v>40327</v>
      </c>
      <c r="AG5953" t="s">
        <v>40325</v>
      </c>
      <c r="AI5953" t="s">
        <v>40328</v>
      </c>
      <c r="AM5953" t="s">
        <v>15579</v>
      </c>
      <c r="AN5953" t="s">
        <v>2274</v>
      </c>
      <c r="AO5953" t="s">
        <v>40329</v>
      </c>
      <c r="AP5953" t="s">
        <v>7024</v>
      </c>
      <c r="AQ5953" t="s">
        <v>40330</v>
      </c>
      <c r="AT5953" s="184">
        <v>44397</v>
      </c>
      <c r="AU5953" t="s">
        <v>40331</v>
      </c>
      <c r="AV5953">
        <v>15</v>
      </c>
      <c r="AW5953" s="184">
        <v>44397</v>
      </c>
      <c r="AX5953" t="s">
        <v>40331</v>
      </c>
      <c r="AY5953">
        <v>15</v>
      </c>
      <c r="AZ5953" s="184">
        <v>44397</v>
      </c>
      <c r="BA5953" t="s">
        <v>40331</v>
      </c>
      <c r="BB5953">
        <v>15</v>
      </c>
      <c r="BC5953">
        <v>25</v>
      </c>
      <c r="BD5953">
        <v>15</v>
      </c>
      <c r="BE5953">
        <v>2022</v>
      </c>
      <c r="BF5953">
        <v>1</v>
      </c>
      <c r="BI5953">
        <v>1</v>
      </c>
      <c r="BJ5953">
        <v>4</v>
      </c>
      <c r="BK5953">
        <v>1</v>
      </c>
    </row>
    <row r="5954" spans="1:68">
      <c r="A5954">
        <v>100668399</v>
      </c>
      <c r="B5954">
        <v>100668399</v>
      </c>
      <c r="C5954" t="s">
        <v>7018</v>
      </c>
      <c r="D5954" t="s">
        <v>595</v>
      </c>
      <c r="E5954" s="184">
        <v>44810</v>
      </c>
      <c r="G5954" s="184"/>
      <c r="I5954" s="184"/>
      <c r="K5954" s="184"/>
      <c r="O5954" s="184"/>
      <c r="P5954" t="s">
        <v>7045</v>
      </c>
      <c r="Q5954" t="s">
        <v>7494</v>
      </c>
      <c r="R5954" s="184"/>
      <c r="V5954" t="s">
        <v>4800</v>
      </c>
      <c r="W5954" t="s">
        <v>4139</v>
      </c>
      <c r="X5954" t="s">
        <v>40332</v>
      </c>
      <c r="AF5954" t="s">
        <v>40333</v>
      </c>
      <c r="AG5954" t="s">
        <v>4800</v>
      </c>
      <c r="AI5954" t="s">
        <v>40334</v>
      </c>
      <c r="AM5954" t="s">
        <v>4738</v>
      </c>
      <c r="AN5954" t="s">
        <v>2174</v>
      </c>
      <c r="AO5954" t="s">
        <v>40335</v>
      </c>
      <c r="AP5954" t="s">
        <v>7024</v>
      </c>
      <c r="AQ5954" t="s">
        <v>40336</v>
      </c>
      <c r="AT5954" s="184">
        <v>44404</v>
      </c>
      <c r="AU5954" t="s">
        <v>30692</v>
      </c>
      <c r="AV5954">
        <v>20</v>
      </c>
      <c r="AW5954" s="184">
        <v>44680</v>
      </c>
      <c r="AX5954" t="s">
        <v>26869</v>
      </c>
      <c r="AY5954">
        <v>50</v>
      </c>
      <c r="AZ5954" s="184">
        <v>44680</v>
      </c>
      <c r="BA5954" t="s">
        <v>26869</v>
      </c>
      <c r="BB5954">
        <v>50</v>
      </c>
      <c r="BC5954">
        <v>50</v>
      </c>
      <c r="BD5954">
        <v>70</v>
      </c>
      <c r="BE5954">
        <v>2022</v>
      </c>
      <c r="BF5954">
        <v>2</v>
      </c>
      <c r="BG5954">
        <v>1</v>
      </c>
      <c r="BH5954">
        <v>50</v>
      </c>
      <c r="BI5954">
        <v>2</v>
      </c>
      <c r="BJ5954">
        <v>4</v>
      </c>
      <c r="BK5954">
        <v>2</v>
      </c>
    </row>
    <row r="5955" spans="1:68">
      <c r="A5955">
        <v>100671284</v>
      </c>
      <c r="B5955">
        <v>100671284</v>
      </c>
      <c r="C5955" t="s">
        <v>7018</v>
      </c>
      <c r="E5955" s="184"/>
      <c r="I5955" s="184"/>
      <c r="J5955" t="s">
        <v>595</v>
      </c>
      <c r="K5955" s="184">
        <v>44783</v>
      </c>
      <c r="M5955" s="184"/>
      <c r="O5955" s="184"/>
      <c r="P5955" t="s">
        <v>7045</v>
      </c>
      <c r="Q5955" t="s">
        <v>7262</v>
      </c>
      <c r="R5955" s="184">
        <v>18552</v>
      </c>
      <c r="S5955">
        <v>73</v>
      </c>
      <c r="V5955" t="s">
        <v>2541</v>
      </c>
      <c r="X5955" t="s">
        <v>40337</v>
      </c>
      <c r="AF5955" t="s">
        <v>40338</v>
      </c>
      <c r="AG5955" t="s">
        <v>2541</v>
      </c>
      <c r="AI5955" t="s">
        <v>40339</v>
      </c>
      <c r="AM5955" t="s">
        <v>3183</v>
      </c>
      <c r="AN5955" t="s">
        <v>2106</v>
      </c>
      <c r="AO5955" t="s">
        <v>40340</v>
      </c>
      <c r="AP5955" t="s">
        <v>7024</v>
      </c>
      <c r="AQ5955" t="s">
        <v>40341</v>
      </c>
      <c r="AT5955" s="184">
        <v>44410</v>
      </c>
      <c r="AU5955" t="s">
        <v>40342</v>
      </c>
      <c r="AV5955">
        <v>25</v>
      </c>
      <c r="AW5955" s="184">
        <v>44410</v>
      </c>
      <c r="AX5955" t="s">
        <v>40342</v>
      </c>
      <c r="AY5955">
        <v>25</v>
      </c>
      <c r="AZ5955" s="184">
        <v>44410</v>
      </c>
      <c r="BA5955" t="s">
        <v>40342</v>
      </c>
      <c r="BB5955">
        <v>25</v>
      </c>
      <c r="BC5955">
        <v>25</v>
      </c>
      <c r="BD5955">
        <v>25</v>
      </c>
      <c r="BE5955">
        <v>2022</v>
      </c>
      <c r="BF5955">
        <v>1</v>
      </c>
      <c r="BI5955">
        <v>1</v>
      </c>
      <c r="BJ5955">
        <v>4</v>
      </c>
      <c r="BK5955">
        <v>1</v>
      </c>
    </row>
    <row r="5956" spans="1:68">
      <c r="A5956">
        <v>100674097</v>
      </c>
      <c r="B5956">
        <v>100674097</v>
      </c>
      <c r="C5956" t="s">
        <v>7018</v>
      </c>
      <c r="E5956" s="184"/>
      <c r="G5956" s="184"/>
      <c r="I5956" s="184"/>
      <c r="J5956" t="s">
        <v>595</v>
      </c>
      <c r="K5956" s="184">
        <v>45113</v>
      </c>
      <c r="M5956" s="184"/>
      <c r="O5956" s="184"/>
      <c r="P5956" t="s">
        <v>7019</v>
      </c>
      <c r="Q5956" t="s">
        <v>7194</v>
      </c>
      <c r="R5956" s="184"/>
      <c r="V5956" t="s">
        <v>2697</v>
      </c>
      <c r="X5956" t="s">
        <v>10185</v>
      </c>
      <c r="AF5956" t="s">
        <v>40343</v>
      </c>
      <c r="AG5956" t="s">
        <v>2697</v>
      </c>
      <c r="AI5956" t="s">
        <v>40344</v>
      </c>
      <c r="AM5956" t="s">
        <v>40345</v>
      </c>
      <c r="AN5956" t="s">
        <v>2046</v>
      </c>
      <c r="AO5956" t="s">
        <v>40346</v>
      </c>
      <c r="AP5956" t="s">
        <v>7024</v>
      </c>
      <c r="AQ5956" t="s">
        <v>40347</v>
      </c>
      <c r="AT5956" s="184">
        <v>44417</v>
      </c>
      <c r="AU5956" t="s">
        <v>40348</v>
      </c>
      <c r="AV5956">
        <v>25</v>
      </c>
      <c r="AW5956" s="184">
        <v>45044</v>
      </c>
      <c r="AX5956" t="s">
        <v>40349</v>
      </c>
      <c r="AY5956">
        <v>60</v>
      </c>
      <c r="AZ5956" s="184">
        <v>45044</v>
      </c>
      <c r="BA5956" t="s">
        <v>40349</v>
      </c>
      <c r="BB5956">
        <v>60</v>
      </c>
      <c r="BC5956">
        <v>75</v>
      </c>
      <c r="BD5956">
        <v>145</v>
      </c>
      <c r="BE5956">
        <v>2022</v>
      </c>
      <c r="BF5956">
        <v>3</v>
      </c>
      <c r="BG5956">
        <v>2</v>
      </c>
      <c r="BH5956">
        <v>120</v>
      </c>
      <c r="BI5956">
        <v>3</v>
      </c>
      <c r="BJ5956">
        <v>4</v>
      </c>
      <c r="BK5956">
        <v>3</v>
      </c>
    </row>
    <row r="5957" spans="1:68">
      <c r="A5957">
        <v>100675063</v>
      </c>
      <c r="B5957">
        <v>100675063</v>
      </c>
      <c r="C5957" t="s">
        <v>7018</v>
      </c>
      <c r="D5957" t="s">
        <v>595</v>
      </c>
      <c r="E5957" s="184">
        <v>44428</v>
      </c>
      <c r="G5957" s="184"/>
      <c r="I5957" s="184"/>
      <c r="K5957" s="184"/>
      <c r="M5957" s="184"/>
      <c r="P5957" t="s">
        <v>7045</v>
      </c>
      <c r="Q5957" t="s">
        <v>7020</v>
      </c>
      <c r="R5957" s="184"/>
      <c r="U5957" t="s">
        <v>7076</v>
      </c>
      <c r="V5957" t="s">
        <v>10167</v>
      </c>
      <c r="X5957" t="s">
        <v>40350</v>
      </c>
      <c r="AF5957" t="s">
        <v>40351</v>
      </c>
      <c r="AG5957" t="s">
        <v>10167</v>
      </c>
      <c r="AI5957" t="s">
        <v>40352</v>
      </c>
      <c r="AM5957" t="s">
        <v>37888</v>
      </c>
      <c r="AN5957" t="s">
        <v>2112</v>
      </c>
      <c r="AO5957" t="s">
        <v>40353</v>
      </c>
      <c r="AP5957" t="s">
        <v>7024</v>
      </c>
      <c r="AT5957" s="184">
        <v>44418</v>
      </c>
      <c r="AU5957" t="s">
        <v>40354</v>
      </c>
      <c r="AV5957">
        <v>90</v>
      </c>
      <c r="AW5957" s="184">
        <v>44418</v>
      </c>
      <c r="AX5957" t="s">
        <v>40354</v>
      </c>
      <c r="AY5957">
        <v>90</v>
      </c>
      <c r="AZ5957" s="184">
        <v>44418</v>
      </c>
      <c r="BA5957" t="s">
        <v>40354</v>
      </c>
      <c r="BB5957">
        <v>90</v>
      </c>
      <c r="BC5957">
        <v>25</v>
      </c>
      <c r="BD5957">
        <v>90</v>
      </c>
      <c r="BE5957">
        <v>2022</v>
      </c>
      <c r="BF5957">
        <v>1</v>
      </c>
      <c r="BI5957">
        <v>1</v>
      </c>
      <c r="BJ5957">
        <v>4</v>
      </c>
      <c r="BK5957">
        <v>1</v>
      </c>
    </row>
    <row r="5958" spans="1:68">
      <c r="A5958">
        <v>100676670</v>
      </c>
      <c r="B5958">
        <v>100676670</v>
      </c>
      <c r="C5958" t="s">
        <v>7018</v>
      </c>
      <c r="D5958" t="s">
        <v>595</v>
      </c>
      <c r="E5958" s="184">
        <v>44428</v>
      </c>
      <c r="G5958" s="184"/>
      <c r="I5958" s="184"/>
      <c r="K5958" s="184"/>
      <c r="M5958" s="184"/>
      <c r="P5958" t="s">
        <v>7045</v>
      </c>
      <c r="Q5958" t="s">
        <v>7383</v>
      </c>
      <c r="R5958" s="184">
        <v>23377</v>
      </c>
      <c r="S5958">
        <v>60</v>
      </c>
      <c r="V5958" t="s">
        <v>2733</v>
      </c>
      <c r="X5958" t="s">
        <v>3321</v>
      </c>
      <c r="AF5958" t="s">
        <v>40355</v>
      </c>
      <c r="AG5958" t="s">
        <v>2733</v>
      </c>
      <c r="AI5958" t="s">
        <v>40356</v>
      </c>
      <c r="AM5958" t="s">
        <v>15427</v>
      </c>
      <c r="AN5958" t="s">
        <v>2072</v>
      </c>
      <c r="AO5958" t="s">
        <v>40357</v>
      </c>
      <c r="AP5958" t="s">
        <v>7024</v>
      </c>
      <c r="AQ5958" t="s">
        <v>40358</v>
      </c>
      <c r="AT5958" s="184">
        <v>44420</v>
      </c>
      <c r="AU5958" t="s">
        <v>40359</v>
      </c>
      <c r="AV5958">
        <v>25</v>
      </c>
      <c r="AW5958" s="184">
        <v>44420</v>
      </c>
      <c r="AX5958" t="s">
        <v>40359</v>
      </c>
      <c r="AY5958">
        <v>25</v>
      </c>
      <c r="AZ5958" s="184">
        <v>44420</v>
      </c>
      <c r="BA5958" t="s">
        <v>40359</v>
      </c>
      <c r="BB5958">
        <v>25</v>
      </c>
      <c r="BC5958">
        <v>25</v>
      </c>
      <c r="BD5958">
        <v>25</v>
      </c>
      <c r="BE5958">
        <v>2022</v>
      </c>
      <c r="BF5958">
        <v>1</v>
      </c>
      <c r="BI5958">
        <v>1</v>
      </c>
      <c r="BJ5958">
        <v>4</v>
      </c>
      <c r="BK5958">
        <v>1</v>
      </c>
    </row>
    <row r="5959" spans="1:68">
      <c r="A5959">
        <v>100688275</v>
      </c>
      <c r="B5959">
        <v>100688275</v>
      </c>
      <c r="C5959" t="s">
        <v>7018</v>
      </c>
      <c r="D5959" t="s">
        <v>595</v>
      </c>
      <c r="E5959" s="184">
        <v>45043</v>
      </c>
      <c r="G5959" s="184"/>
      <c r="I5959" s="184"/>
      <c r="K5959" s="184"/>
      <c r="M5959" s="184"/>
      <c r="O5959" s="184"/>
      <c r="P5959" t="s">
        <v>7045</v>
      </c>
      <c r="Q5959" t="s">
        <v>7383</v>
      </c>
      <c r="R5959" s="184">
        <v>22467</v>
      </c>
      <c r="S5959">
        <v>62</v>
      </c>
      <c r="V5959" t="s">
        <v>3317</v>
      </c>
      <c r="X5959" t="s">
        <v>40360</v>
      </c>
      <c r="AF5959" t="s">
        <v>40361</v>
      </c>
      <c r="AG5959" t="s">
        <v>3317</v>
      </c>
      <c r="AI5959" t="s">
        <v>40362</v>
      </c>
      <c r="AM5959" t="s">
        <v>40363</v>
      </c>
      <c r="AN5959" t="s">
        <v>2059</v>
      </c>
      <c r="AO5959" t="s">
        <v>40364</v>
      </c>
      <c r="AP5959" t="s">
        <v>7024</v>
      </c>
      <c r="AQ5959" t="s">
        <v>40365</v>
      </c>
      <c r="AT5959" s="184">
        <v>44735</v>
      </c>
      <c r="AU5959" t="s">
        <v>40366</v>
      </c>
      <c r="AV5959">
        <v>20</v>
      </c>
      <c r="AW5959" s="184">
        <v>44735</v>
      </c>
      <c r="AX5959" t="s">
        <v>40366</v>
      </c>
      <c r="AY5959">
        <v>20</v>
      </c>
      <c r="AZ5959" s="184">
        <v>44735</v>
      </c>
      <c r="BA5959" t="s">
        <v>40366</v>
      </c>
      <c r="BB5959">
        <v>20</v>
      </c>
      <c r="BC5959">
        <v>34</v>
      </c>
      <c r="BD5959">
        <v>20</v>
      </c>
      <c r="BE5959">
        <v>2022</v>
      </c>
      <c r="BF5959">
        <v>1</v>
      </c>
      <c r="BG5959">
        <v>1</v>
      </c>
      <c r="BH5959">
        <v>20</v>
      </c>
      <c r="BI5959">
        <v>1</v>
      </c>
      <c r="BJ5959">
        <v>3</v>
      </c>
      <c r="BK5959">
        <v>1</v>
      </c>
    </row>
    <row r="5960" spans="1:68">
      <c r="A5960">
        <v>100691118</v>
      </c>
      <c r="B5960">
        <v>100691118</v>
      </c>
      <c r="C5960" t="s">
        <v>7018</v>
      </c>
      <c r="E5960" s="184"/>
      <c r="G5960" s="184"/>
      <c r="H5960" t="s">
        <v>595</v>
      </c>
      <c r="I5960" s="184">
        <v>44474</v>
      </c>
      <c r="K5960" s="184"/>
      <c r="M5960" s="184"/>
      <c r="N5960" t="s">
        <v>595</v>
      </c>
      <c r="O5960" s="184">
        <v>44495</v>
      </c>
      <c r="P5960" t="s">
        <v>7045</v>
      </c>
      <c r="Q5960" t="s">
        <v>7194</v>
      </c>
      <c r="R5960" s="184">
        <v>15140</v>
      </c>
      <c r="S5960">
        <v>82</v>
      </c>
      <c r="V5960" t="s">
        <v>3377</v>
      </c>
      <c r="W5960" t="s">
        <v>7743</v>
      </c>
      <c r="X5960" t="s">
        <v>5127</v>
      </c>
      <c r="AF5960" t="s">
        <v>2461</v>
      </c>
      <c r="AG5960" t="s">
        <v>3377</v>
      </c>
      <c r="AI5960" t="s">
        <v>40367</v>
      </c>
      <c r="AM5960" t="s">
        <v>5688</v>
      </c>
      <c r="AN5960" t="s">
        <v>2046</v>
      </c>
      <c r="AO5960" t="s">
        <v>40368</v>
      </c>
      <c r="AP5960" t="s">
        <v>7024</v>
      </c>
      <c r="AQ5960" t="s">
        <v>40369</v>
      </c>
      <c r="AT5960" s="184">
        <v>44424</v>
      </c>
      <c r="AU5960" t="s">
        <v>40370</v>
      </c>
      <c r="AV5960">
        <v>15</v>
      </c>
      <c r="AW5960" s="184">
        <v>44424</v>
      </c>
      <c r="AX5960" t="s">
        <v>40370</v>
      </c>
      <c r="AY5960">
        <v>15</v>
      </c>
      <c r="AZ5960" s="184">
        <v>44424</v>
      </c>
      <c r="BA5960" t="s">
        <v>40370</v>
      </c>
      <c r="BB5960">
        <v>15</v>
      </c>
      <c r="BC5960">
        <v>25</v>
      </c>
      <c r="BD5960">
        <v>15</v>
      </c>
      <c r="BE5960">
        <v>2022</v>
      </c>
      <c r="BF5960">
        <v>1</v>
      </c>
      <c r="BI5960">
        <v>1</v>
      </c>
      <c r="BJ5960">
        <v>4</v>
      </c>
      <c r="BK5960">
        <v>1</v>
      </c>
    </row>
    <row r="5961" spans="1:68">
      <c r="A5961">
        <v>100691203</v>
      </c>
      <c r="B5961">
        <v>100691203</v>
      </c>
      <c r="C5961" t="s">
        <v>7018</v>
      </c>
      <c r="E5961" s="184"/>
      <c r="H5961" t="s">
        <v>595</v>
      </c>
      <c r="I5961" s="184">
        <v>44768</v>
      </c>
      <c r="K5961" s="184"/>
      <c r="M5961" s="184"/>
      <c r="O5961" s="184"/>
      <c r="P5961" t="s">
        <v>7045</v>
      </c>
      <c r="Q5961" t="s">
        <v>7020</v>
      </c>
      <c r="R5961" s="184">
        <v>14798</v>
      </c>
      <c r="S5961">
        <v>83</v>
      </c>
      <c r="V5961" t="s">
        <v>15867</v>
      </c>
      <c r="X5961" t="s">
        <v>40371</v>
      </c>
      <c r="AF5961" t="s">
        <v>40372</v>
      </c>
      <c r="AG5961" t="s">
        <v>15867</v>
      </c>
      <c r="AI5961" t="s">
        <v>40373</v>
      </c>
      <c r="AM5961" t="s">
        <v>4148</v>
      </c>
      <c r="AN5961" t="s">
        <v>2206</v>
      </c>
      <c r="AO5961" t="s">
        <v>40374</v>
      </c>
      <c r="AP5961" t="s">
        <v>7024</v>
      </c>
      <c r="AQ5961" t="s">
        <v>40375</v>
      </c>
      <c r="AT5961" s="184">
        <v>44424</v>
      </c>
      <c r="AU5961" t="s">
        <v>40376</v>
      </c>
      <c r="AV5961">
        <v>25</v>
      </c>
      <c r="AW5961" s="184">
        <v>44812</v>
      </c>
      <c r="AX5961" t="s">
        <v>40377</v>
      </c>
      <c r="AY5961">
        <v>50</v>
      </c>
      <c r="AZ5961" s="184">
        <v>44812</v>
      </c>
      <c r="BA5961" t="s">
        <v>40377</v>
      </c>
      <c r="BB5961">
        <v>50</v>
      </c>
      <c r="BC5961">
        <v>50</v>
      </c>
      <c r="BD5961">
        <v>75</v>
      </c>
      <c r="BE5961">
        <v>2022</v>
      </c>
      <c r="BF5961">
        <v>2</v>
      </c>
      <c r="BG5961">
        <v>1</v>
      </c>
      <c r="BH5961">
        <v>50</v>
      </c>
      <c r="BI5961">
        <v>2</v>
      </c>
      <c r="BJ5961">
        <v>4</v>
      </c>
      <c r="BK5961">
        <v>2</v>
      </c>
    </row>
    <row r="5962" spans="1:68">
      <c r="A5962">
        <v>100723612</v>
      </c>
      <c r="B5962">
        <v>100723612</v>
      </c>
      <c r="C5962" t="s">
        <v>7018</v>
      </c>
      <c r="E5962" s="184"/>
      <c r="G5962" s="184"/>
      <c r="H5962" t="s">
        <v>595</v>
      </c>
      <c r="I5962" s="184">
        <v>44774</v>
      </c>
      <c r="K5962" s="184"/>
      <c r="M5962" s="184"/>
      <c r="O5962" s="184"/>
      <c r="P5962" t="s">
        <v>7045</v>
      </c>
      <c r="Q5962" t="s">
        <v>7020</v>
      </c>
      <c r="R5962" s="184">
        <v>35566</v>
      </c>
      <c r="S5962">
        <v>26</v>
      </c>
      <c r="V5962" t="s">
        <v>2832</v>
      </c>
      <c r="X5962" t="s">
        <v>40378</v>
      </c>
      <c r="AF5962" t="s">
        <v>40379</v>
      </c>
      <c r="AG5962" t="s">
        <v>2832</v>
      </c>
      <c r="AI5962" t="s">
        <v>40380</v>
      </c>
      <c r="AM5962" t="s">
        <v>9970</v>
      </c>
      <c r="AN5962" t="s">
        <v>2112</v>
      </c>
      <c r="AO5962" t="s">
        <v>40381</v>
      </c>
      <c r="AP5962" t="s">
        <v>7024</v>
      </c>
      <c r="AQ5962" t="s">
        <v>40382</v>
      </c>
      <c r="AT5962" s="184">
        <v>44450</v>
      </c>
      <c r="AU5962" t="s">
        <v>40383</v>
      </c>
      <c r="AV5962">
        <v>30</v>
      </c>
      <c r="AW5962" s="184">
        <v>44450</v>
      </c>
      <c r="AX5962" t="s">
        <v>40384</v>
      </c>
      <c r="AY5962">
        <v>15</v>
      </c>
      <c r="AZ5962" s="184">
        <v>44450</v>
      </c>
      <c r="BA5962" t="s">
        <v>40383</v>
      </c>
      <c r="BB5962">
        <v>30</v>
      </c>
      <c r="BC5962">
        <v>25</v>
      </c>
      <c r="BD5962">
        <v>45</v>
      </c>
      <c r="BE5962">
        <v>2022</v>
      </c>
      <c r="BF5962">
        <v>2</v>
      </c>
      <c r="BI5962">
        <v>1</v>
      </c>
      <c r="BJ5962">
        <v>4</v>
      </c>
      <c r="BK5962">
        <v>1</v>
      </c>
    </row>
    <row r="5963" spans="1:68">
      <c r="A5963">
        <v>100744111</v>
      </c>
      <c r="B5963">
        <v>100744111</v>
      </c>
      <c r="C5963" t="s">
        <v>13031</v>
      </c>
      <c r="E5963" s="184"/>
      <c r="G5963" s="184"/>
      <c r="I5963" s="184"/>
      <c r="J5963" t="s">
        <v>595</v>
      </c>
      <c r="K5963" s="184">
        <v>45195</v>
      </c>
      <c r="Q5963" t="s">
        <v>7262</v>
      </c>
      <c r="R5963" s="184"/>
      <c r="Z5963">
        <v>101178930</v>
      </c>
      <c r="AB5963" t="s">
        <v>8768</v>
      </c>
      <c r="AD5963" t="s">
        <v>18229</v>
      </c>
      <c r="AH5963" t="s">
        <v>40385</v>
      </c>
      <c r="AI5963" t="s">
        <v>40386</v>
      </c>
      <c r="AJ5963" t="s">
        <v>442</v>
      </c>
      <c r="AM5963" t="s">
        <v>3408</v>
      </c>
      <c r="AN5963" t="s">
        <v>2219</v>
      </c>
      <c r="AO5963">
        <v>19801</v>
      </c>
      <c r="AP5963" t="s">
        <v>7024</v>
      </c>
      <c r="AQ5963" t="s">
        <v>441</v>
      </c>
      <c r="AT5963" s="184">
        <v>44718</v>
      </c>
      <c r="AU5963" t="s">
        <v>7093</v>
      </c>
      <c r="AV5963">
        <v>104255.32</v>
      </c>
      <c r="AW5963" s="184">
        <v>45201</v>
      </c>
      <c r="AX5963" t="s">
        <v>7296</v>
      </c>
      <c r="AY5963">
        <v>17191.53</v>
      </c>
      <c r="AZ5963" s="184">
        <v>44718</v>
      </c>
      <c r="BA5963" t="s">
        <v>7093</v>
      </c>
      <c r="BB5963">
        <v>104255.32</v>
      </c>
      <c r="BC5963">
        <v>67</v>
      </c>
      <c r="BD5963">
        <v>121446.85</v>
      </c>
      <c r="BE5963">
        <v>2022</v>
      </c>
      <c r="BF5963">
        <v>2</v>
      </c>
      <c r="BG5963">
        <v>2</v>
      </c>
      <c r="BH5963">
        <v>121446.85</v>
      </c>
      <c r="BI5963">
        <v>2</v>
      </c>
      <c r="BJ5963">
        <v>3</v>
      </c>
      <c r="BK5963">
        <v>2</v>
      </c>
      <c r="BN5963" t="s">
        <v>595</v>
      </c>
      <c r="BP5963" s="184"/>
    </row>
    <row r="5964" spans="1:68">
      <c r="A5964">
        <v>101178930</v>
      </c>
      <c r="B5964">
        <v>100744111</v>
      </c>
      <c r="C5964" t="s">
        <v>13031</v>
      </c>
      <c r="E5964" s="184"/>
      <c r="G5964" s="184"/>
      <c r="I5964" s="184"/>
      <c r="J5964" t="s">
        <v>595</v>
      </c>
      <c r="K5964" s="184">
        <v>45195</v>
      </c>
      <c r="Q5964" t="s">
        <v>7262</v>
      </c>
      <c r="R5964" s="184"/>
      <c r="V5964" t="s">
        <v>8768</v>
      </c>
      <c r="X5964" t="s">
        <v>18229</v>
      </c>
      <c r="Z5964">
        <v>100744111</v>
      </c>
      <c r="AH5964" t="s">
        <v>40385</v>
      </c>
      <c r="AI5964" t="s">
        <v>40386</v>
      </c>
      <c r="AJ5964" t="s">
        <v>442</v>
      </c>
      <c r="AM5964" t="s">
        <v>3408</v>
      </c>
      <c r="AN5964" t="s">
        <v>2219</v>
      </c>
      <c r="AO5964">
        <v>19801</v>
      </c>
      <c r="AP5964" t="s">
        <v>7024</v>
      </c>
      <c r="AQ5964" t="s">
        <v>40387</v>
      </c>
      <c r="AT5964" s="184"/>
      <c r="AW5964" s="184"/>
      <c r="AZ5964" s="184"/>
    </row>
    <row r="5965" spans="1:68">
      <c r="A5965">
        <v>100744487</v>
      </c>
      <c r="B5965">
        <v>100744487</v>
      </c>
      <c r="C5965" t="s">
        <v>7018</v>
      </c>
      <c r="E5965" s="184"/>
      <c r="G5965" s="184"/>
      <c r="I5965" s="184"/>
      <c r="J5965" t="s">
        <v>595</v>
      </c>
      <c r="K5965" s="184">
        <v>44470</v>
      </c>
      <c r="M5965" s="184"/>
      <c r="P5965" t="s">
        <v>7045</v>
      </c>
      <c r="Q5965" t="s">
        <v>7383</v>
      </c>
      <c r="R5965" s="184"/>
      <c r="V5965" t="s">
        <v>31383</v>
      </c>
      <c r="X5965" t="s">
        <v>34553</v>
      </c>
      <c r="AF5965" t="s">
        <v>40388</v>
      </c>
      <c r="AG5965" t="s">
        <v>31383</v>
      </c>
      <c r="AI5965" t="s">
        <v>40389</v>
      </c>
      <c r="AM5965" t="s">
        <v>32553</v>
      </c>
      <c r="AN5965" t="s">
        <v>2185</v>
      </c>
      <c r="AO5965" t="s">
        <v>40390</v>
      </c>
      <c r="AP5965" t="s">
        <v>7024</v>
      </c>
      <c r="AQ5965" t="s">
        <v>40391</v>
      </c>
      <c r="AT5965" s="184">
        <v>44492</v>
      </c>
      <c r="AU5965" t="s">
        <v>40392</v>
      </c>
      <c r="AV5965">
        <v>25</v>
      </c>
      <c r="AW5965" s="184">
        <v>44561</v>
      </c>
      <c r="AX5965" t="s">
        <v>40393</v>
      </c>
      <c r="AY5965">
        <v>100</v>
      </c>
      <c r="AZ5965" s="184">
        <v>44561</v>
      </c>
      <c r="BA5965" t="s">
        <v>40393</v>
      </c>
      <c r="BB5965">
        <v>100</v>
      </c>
      <c r="BC5965">
        <v>25</v>
      </c>
      <c r="BD5965">
        <v>125</v>
      </c>
      <c r="BE5965">
        <v>2022</v>
      </c>
      <c r="BF5965">
        <v>2</v>
      </c>
      <c r="BI5965">
        <v>1</v>
      </c>
      <c r="BJ5965">
        <v>4</v>
      </c>
      <c r="BK5965">
        <v>1</v>
      </c>
    </row>
    <row r="5966" spans="1:68">
      <c r="A5966">
        <v>100744814</v>
      </c>
      <c r="B5966">
        <v>100744814</v>
      </c>
      <c r="C5966" t="s">
        <v>7018</v>
      </c>
      <c r="E5966" s="184"/>
      <c r="G5966" s="184"/>
      <c r="I5966" s="184"/>
      <c r="K5966" s="184"/>
      <c r="L5966" t="s">
        <v>595</v>
      </c>
      <c r="M5966" s="184">
        <v>44473</v>
      </c>
      <c r="P5966" t="s">
        <v>8550</v>
      </c>
      <c r="Q5966" t="s">
        <v>7383</v>
      </c>
      <c r="R5966" s="184"/>
      <c r="V5966" t="s">
        <v>2871</v>
      </c>
      <c r="W5966" t="s">
        <v>7469</v>
      </c>
      <c r="X5966" t="s">
        <v>2977</v>
      </c>
      <c r="AF5966" t="s">
        <v>40394</v>
      </c>
      <c r="AG5966" t="s">
        <v>2871</v>
      </c>
      <c r="AI5966" t="s">
        <v>40395</v>
      </c>
      <c r="AM5966" t="s">
        <v>40396</v>
      </c>
      <c r="AN5966" t="s">
        <v>2072</v>
      </c>
      <c r="AO5966">
        <v>48111</v>
      </c>
      <c r="AP5966" t="s">
        <v>7024</v>
      </c>
      <c r="AT5966" s="184"/>
      <c r="AW5966" s="184"/>
      <c r="AZ5966" s="184"/>
      <c r="BP5966" s="184"/>
    </row>
    <row r="5967" spans="1:68">
      <c r="A5967">
        <v>100773299</v>
      </c>
      <c r="B5967">
        <v>100773299</v>
      </c>
      <c r="C5967" t="s">
        <v>7018</v>
      </c>
      <c r="E5967" s="184"/>
      <c r="H5967" t="s">
        <v>595</v>
      </c>
      <c r="I5967" s="184">
        <v>44501</v>
      </c>
      <c r="K5967" s="184"/>
      <c r="M5967" s="184"/>
      <c r="P5967" t="s">
        <v>7045</v>
      </c>
      <c r="Q5967" t="s">
        <v>7020</v>
      </c>
      <c r="R5967" s="184">
        <v>24828</v>
      </c>
      <c r="S5967">
        <v>56</v>
      </c>
      <c r="U5967" t="s">
        <v>7031</v>
      </c>
      <c r="V5967" t="s">
        <v>11532</v>
      </c>
      <c r="W5967" t="s">
        <v>5006</v>
      </c>
      <c r="X5967" t="s">
        <v>5150</v>
      </c>
      <c r="AF5967" t="s">
        <v>40397</v>
      </c>
      <c r="AG5967" t="s">
        <v>11532</v>
      </c>
      <c r="AI5967" t="s">
        <v>40398</v>
      </c>
      <c r="AM5967" t="s">
        <v>4489</v>
      </c>
      <c r="AN5967" t="s">
        <v>2052</v>
      </c>
      <c r="AO5967" t="s">
        <v>40399</v>
      </c>
      <c r="AP5967" t="s">
        <v>7024</v>
      </c>
      <c r="AQ5967" t="s">
        <v>40400</v>
      </c>
      <c r="AT5967" s="184">
        <v>44499</v>
      </c>
      <c r="AU5967" t="s">
        <v>11161</v>
      </c>
      <c r="AV5967">
        <v>25</v>
      </c>
      <c r="AW5967" s="184">
        <v>44499</v>
      </c>
      <c r="AX5967" t="s">
        <v>11161</v>
      </c>
      <c r="AY5967">
        <v>25</v>
      </c>
      <c r="AZ5967" s="184">
        <v>44499</v>
      </c>
      <c r="BA5967" t="s">
        <v>11161</v>
      </c>
      <c r="BB5967">
        <v>25</v>
      </c>
      <c r="BC5967">
        <v>25</v>
      </c>
      <c r="BD5967">
        <v>25</v>
      </c>
      <c r="BE5967">
        <v>2022</v>
      </c>
      <c r="BF5967">
        <v>1</v>
      </c>
      <c r="BI5967">
        <v>1</v>
      </c>
      <c r="BJ5967">
        <v>4</v>
      </c>
      <c r="BK5967">
        <v>1</v>
      </c>
    </row>
    <row r="5968" spans="1:68">
      <c r="A5968">
        <v>100773867</v>
      </c>
      <c r="B5968">
        <v>100773867</v>
      </c>
      <c r="C5968" t="s">
        <v>7018</v>
      </c>
      <c r="D5968" t="s">
        <v>595</v>
      </c>
      <c r="E5968" s="184">
        <v>45405</v>
      </c>
      <c r="G5968" s="184"/>
      <c r="I5968" s="184"/>
      <c r="K5968" s="184"/>
      <c r="M5968" s="184"/>
      <c r="P5968" t="s">
        <v>7045</v>
      </c>
      <c r="Q5968" t="s">
        <v>7494</v>
      </c>
      <c r="R5968" s="184">
        <v>18807</v>
      </c>
      <c r="S5968">
        <v>72</v>
      </c>
      <c r="V5968" t="s">
        <v>11458</v>
      </c>
      <c r="X5968" t="s">
        <v>40401</v>
      </c>
      <c r="AF5968" t="s">
        <v>40402</v>
      </c>
      <c r="AG5968" t="s">
        <v>11458</v>
      </c>
      <c r="AI5968" t="s">
        <v>40403</v>
      </c>
      <c r="AM5968" t="s">
        <v>5519</v>
      </c>
      <c r="AN5968" t="s">
        <v>2174</v>
      </c>
      <c r="AO5968" t="s">
        <v>40404</v>
      </c>
      <c r="AP5968" t="s">
        <v>7024</v>
      </c>
      <c r="AQ5968" t="s">
        <v>40405</v>
      </c>
      <c r="AT5968" s="184">
        <v>44501</v>
      </c>
      <c r="AU5968" t="s">
        <v>21743</v>
      </c>
      <c r="AV5968">
        <v>25</v>
      </c>
      <c r="AW5968" s="184">
        <v>45258</v>
      </c>
      <c r="AX5968" t="s">
        <v>19868</v>
      </c>
      <c r="AY5968">
        <v>35</v>
      </c>
      <c r="AZ5968" s="184">
        <v>44654</v>
      </c>
      <c r="BA5968" t="s">
        <v>40406</v>
      </c>
      <c r="BB5968">
        <v>50</v>
      </c>
      <c r="BC5968">
        <v>75</v>
      </c>
      <c r="BD5968">
        <v>160</v>
      </c>
      <c r="BE5968">
        <v>2022</v>
      </c>
      <c r="BF5968">
        <v>5</v>
      </c>
      <c r="BG5968">
        <v>3</v>
      </c>
      <c r="BH5968">
        <v>85</v>
      </c>
      <c r="BI5968">
        <v>3</v>
      </c>
      <c r="BJ5968">
        <v>4</v>
      </c>
      <c r="BK5968">
        <v>3</v>
      </c>
    </row>
    <row r="5969" spans="1:68">
      <c r="A5969">
        <v>100579887</v>
      </c>
      <c r="B5969">
        <v>100781863</v>
      </c>
      <c r="C5969" t="s">
        <v>7018</v>
      </c>
      <c r="D5969" t="s">
        <v>595</v>
      </c>
      <c r="E5969" s="184">
        <v>45413</v>
      </c>
      <c r="G5969" s="184"/>
      <c r="I5969" s="184"/>
      <c r="K5969" s="184"/>
      <c r="P5969" t="s">
        <v>7029</v>
      </c>
      <c r="Q5969" t="s">
        <v>7030</v>
      </c>
      <c r="R5969" s="184"/>
      <c r="V5969" t="s">
        <v>17258</v>
      </c>
      <c r="X5969" t="s">
        <v>5506</v>
      </c>
      <c r="Z5969">
        <v>100781863</v>
      </c>
      <c r="AA5969" t="s">
        <v>7076</v>
      </c>
      <c r="AB5969" t="s">
        <v>40407</v>
      </c>
      <c r="AC5969" t="s">
        <v>7469</v>
      </c>
      <c r="AD5969" t="s">
        <v>5506</v>
      </c>
      <c r="AF5969" t="s">
        <v>40408</v>
      </c>
      <c r="AG5969" t="s">
        <v>40407</v>
      </c>
      <c r="AI5969" t="s">
        <v>40409</v>
      </c>
      <c r="AM5969" t="s">
        <v>2564</v>
      </c>
      <c r="AN5969" t="s">
        <v>2089</v>
      </c>
      <c r="AO5969">
        <v>85716</v>
      </c>
      <c r="AP5969" t="s">
        <v>7024</v>
      </c>
      <c r="AQ5969" t="s">
        <v>40410</v>
      </c>
      <c r="AT5969" s="184">
        <v>44184</v>
      </c>
      <c r="AU5969" t="s">
        <v>9677</v>
      </c>
      <c r="AV5969">
        <v>25</v>
      </c>
      <c r="AW5969" s="184">
        <v>44503</v>
      </c>
      <c r="AX5969" t="s">
        <v>40411</v>
      </c>
      <c r="AY5969">
        <v>1000</v>
      </c>
      <c r="AZ5969" s="184">
        <v>44503</v>
      </c>
      <c r="BA5969" t="s">
        <v>40411</v>
      </c>
      <c r="BB5969">
        <v>1000</v>
      </c>
      <c r="BC5969">
        <v>40</v>
      </c>
      <c r="BD5969">
        <v>1025</v>
      </c>
      <c r="BE5969">
        <v>2021</v>
      </c>
      <c r="BF5969">
        <v>2</v>
      </c>
      <c r="BI5969">
        <v>2</v>
      </c>
      <c r="BJ5969">
        <v>5</v>
      </c>
      <c r="BK5969">
        <v>2</v>
      </c>
      <c r="BO5969" t="s">
        <v>595</v>
      </c>
    </row>
    <row r="5970" spans="1:68">
      <c r="A5970">
        <v>100781863</v>
      </c>
      <c r="B5970">
        <v>100781863</v>
      </c>
      <c r="C5970" t="s">
        <v>7018</v>
      </c>
      <c r="D5970" t="s">
        <v>595</v>
      </c>
      <c r="E5970" s="184">
        <v>45413</v>
      </c>
      <c r="G5970" s="184"/>
      <c r="I5970" s="184"/>
      <c r="K5970" s="184"/>
      <c r="P5970" t="s">
        <v>7029</v>
      </c>
      <c r="Q5970" t="s">
        <v>7030</v>
      </c>
      <c r="R5970" s="184"/>
      <c r="U5970" t="s">
        <v>7076</v>
      </c>
      <c r="V5970" t="s">
        <v>40407</v>
      </c>
      <c r="W5970" t="s">
        <v>7469</v>
      </c>
      <c r="X5970" t="s">
        <v>5506</v>
      </c>
      <c r="Z5970">
        <v>100579887</v>
      </c>
      <c r="AB5970" t="s">
        <v>17258</v>
      </c>
      <c r="AD5970" t="s">
        <v>5506</v>
      </c>
      <c r="AF5970" t="s">
        <v>40408</v>
      </c>
      <c r="AG5970" t="s">
        <v>40407</v>
      </c>
      <c r="AI5970" t="s">
        <v>40409</v>
      </c>
      <c r="AM5970" t="s">
        <v>2564</v>
      </c>
      <c r="AN5970" t="s">
        <v>2089</v>
      </c>
      <c r="AO5970">
        <v>85716</v>
      </c>
      <c r="AP5970" t="s">
        <v>7024</v>
      </c>
      <c r="AQ5970" t="s">
        <v>40412</v>
      </c>
      <c r="AT5970" s="184">
        <v>36521</v>
      </c>
      <c r="AU5970" t="s">
        <v>40413</v>
      </c>
      <c r="AV5970">
        <v>15</v>
      </c>
      <c r="AW5970" s="184">
        <v>45218</v>
      </c>
      <c r="AX5970" t="s">
        <v>7382</v>
      </c>
      <c r="AY5970">
        <v>500</v>
      </c>
      <c r="AZ5970" s="184">
        <v>42546</v>
      </c>
      <c r="BA5970" t="s">
        <v>40414</v>
      </c>
      <c r="BB5970">
        <v>2000</v>
      </c>
      <c r="BC5970">
        <v>62</v>
      </c>
      <c r="BD5970">
        <v>11820</v>
      </c>
      <c r="BE5970">
        <v>2000</v>
      </c>
      <c r="BF5970">
        <v>19</v>
      </c>
      <c r="BG5970">
        <v>2</v>
      </c>
      <c r="BH5970">
        <v>1500</v>
      </c>
      <c r="BI5970">
        <v>16</v>
      </c>
      <c r="BJ5970">
        <v>26</v>
      </c>
      <c r="BK5970">
        <v>12</v>
      </c>
    </row>
    <row r="5971" spans="1:68">
      <c r="A5971">
        <v>100782630</v>
      </c>
      <c r="B5971">
        <v>100782630</v>
      </c>
      <c r="C5971" t="s">
        <v>7018</v>
      </c>
      <c r="E5971" s="184"/>
      <c r="G5971" s="184"/>
      <c r="H5971" t="s">
        <v>595</v>
      </c>
      <c r="I5971" s="184">
        <v>44824</v>
      </c>
      <c r="K5971" s="184"/>
      <c r="P5971" t="s">
        <v>7045</v>
      </c>
      <c r="Q5971" t="s">
        <v>7194</v>
      </c>
      <c r="R5971" s="184">
        <v>22228</v>
      </c>
      <c r="S5971">
        <v>63</v>
      </c>
      <c r="V5971" t="s">
        <v>4992</v>
      </c>
      <c r="X5971" t="s">
        <v>2988</v>
      </c>
      <c r="AF5971" t="s">
        <v>40415</v>
      </c>
      <c r="AG5971" t="s">
        <v>4992</v>
      </c>
      <c r="AI5971" t="s">
        <v>40416</v>
      </c>
      <c r="AM5971" t="s">
        <v>33870</v>
      </c>
      <c r="AN5971" t="s">
        <v>4512</v>
      </c>
      <c r="AO5971" t="s">
        <v>40417</v>
      </c>
      <c r="AP5971" t="s">
        <v>7024</v>
      </c>
      <c r="AT5971" s="184">
        <v>44517</v>
      </c>
      <c r="AU5971" t="s">
        <v>40418</v>
      </c>
      <c r="AV5971">
        <v>50</v>
      </c>
      <c r="AW5971" s="184">
        <v>45328</v>
      </c>
      <c r="AX5971" t="s">
        <v>18549</v>
      </c>
      <c r="AY5971">
        <v>50</v>
      </c>
      <c r="AZ5971" s="184">
        <v>45328</v>
      </c>
      <c r="BA5971" t="s">
        <v>18549</v>
      </c>
      <c r="BB5971">
        <v>50</v>
      </c>
      <c r="BC5971">
        <v>75</v>
      </c>
      <c r="BD5971">
        <v>150</v>
      </c>
      <c r="BE5971">
        <v>2022</v>
      </c>
      <c r="BF5971">
        <v>3</v>
      </c>
      <c r="BG5971">
        <v>2</v>
      </c>
      <c r="BH5971">
        <v>100</v>
      </c>
      <c r="BI5971">
        <v>3</v>
      </c>
      <c r="BJ5971">
        <v>4</v>
      </c>
      <c r="BK5971">
        <v>2</v>
      </c>
    </row>
    <row r="5972" spans="1:68">
      <c r="A5972">
        <v>100783501</v>
      </c>
      <c r="B5972">
        <v>100783501</v>
      </c>
      <c r="C5972" t="s">
        <v>7018</v>
      </c>
      <c r="D5972" t="s">
        <v>595</v>
      </c>
      <c r="E5972" s="184">
        <v>44530</v>
      </c>
      <c r="G5972" s="184"/>
      <c r="I5972" s="184"/>
      <c r="K5972" s="184"/>
      <c r="P5972" t="s">
        <v>7045</v>
      </c>
      <c r="Q5972" t="s">
        <v>7383</v>
      </c>
      <c r="R5972" s="184">
        <v>25071</v>
      </c>
      <c r="S5972">
        <v>55</v>
      </c>
      <c r="V5972" t="s">
        <v>3961</v>
      </c>
      <c r="X5972" t="s">
        <v>4685</v>
      </c>
      <c r="AF5972" t="s">
        <v>40419</v>
      </c>
      <c r="AG5972" t="s">
        <v>3961</v>
      </c>
      <c r="AI5972" t="s">
        <v>40420</v>
      </c>
      <c r="AM5972" t="s">
        <v>3121</v>
      </c>
      <c r="AN5972" t="s">
        <v>2144</v>
      </c>
      <c r="AO5972" t="s">
        <v>40421</v>
      </c>
      <c r="AP5972" t="s">
        <v>7024</v>
      </c>
      <c r="AQ5972" t="s">
        <v>40422</v>
      </c>
      <c r="AT5972" s="184">
        <v>44527</v>
      </c>
      <c r="AU5972" t="s">
        <v>11161</v>
      </c>
      <c r="AV5972">
        <v>25</v>
      </c>
      <c r="AW5972" s="184">
        <v>44527</v>
      </c>
      <c r="AX5972" t="s">
        <v>11161</v>
      </c>
      <c r="AY5972">
        <v>25</v>
      </c>
      <c r="AZ5972" s="184">
        <v>44527</v>
      </c>
      <c r="BA5972" t="s">
        <v>11161</v>
      </c>
      <c r="BB5972">
        <v>25</v>
      </c>
      <c r="BC5972">
        <v>25</v>
      </c>
      <c r="BD5972">
        <v>25</v>
      </c>
      <c r="BE5972">
        <v>2022</v>
      </c>
      <c r="BF5972">
        <v>1</v>
      </c>
      <c r="BI5972">
        <v>1</v>
      </c>
      <c r="BJ5972">
        <v>4</v>
      </c>
      <c r="BK5972">
        <v>1</v>
      </c>
    </row>
    <row r="5973" spans="1:68">
      <c r="A5973">
        <v>100786152</v>
      </c>
      <c r="B5973">
        <v>100786152</v>
      </c>
      <c r="C5973" t="s">
        <v>7018</v>
      </c>
      <c r="D5973" t="s">
        <v>595</v>
      </c>
      <c r="E5973" s="184">
        <v>44854</v>
      </c>
      <c r="G5973" s="184"/>
      <c r="I5973" s="184"/>
      <c r="K5973" s="184"/>
      <c r="P5973" t="s">
        <v>7045</v>
      </c>
      <c r="Q5973" t="s">
        <v>7030</v>
      </c>
      <c r="R5973" s="184">
        <v>18568</v>
      </c>
      <c r="S5973">
        <v>73</v>
      </c>
      <c r="V5973" t="s">
        <v>2558</v>
      </c>
      <c r="X5973" t="s">
        <v>2615</v>
      </c>
      <c r="AF5973" t="s">
        <v>40423</v>
      </c>
      <c r="AG5973" t="s">
        <v>2558</v>
      </c>
      <c r="AI5973" t="s">
        <v>40424</v>
      </c>
      <c r="AM5973" t="s">
        <v>2564</v>
      </c>
      <c r="AN5973" t="s">
        <v>2089</v>
      </c>
      <c r="AO5973" t="s">
        <v>40425</v>
      </c>
      <c r="AP5973" t="s">
        <v>7024</v>
      </c>
      <c r="AQ5973" t="s">
        <v>40426</v>
      </c>
      <c r="AT5973" s="184">
        <v>44542</v>
      </c>
      <c r="AU5973" t="s">
        <v>7423</v>
      </c>
      <c r="AV5973">
        <v>200</v>
      </c>
      <c r="AW5973" s="184">
        <v>45248</v>
      </c>
      <c r="AX5973" t="s">
        <v>8185</v>
      </c>
      <c r="AY5973">
        <v>250</v>
      </c>
      <c r="AZ5973" s="184">
        <v>45248</v>
      </c>
      <c r="BA5973" t="s">
        <v>8185</v>
      </c>
      <c r="BB5973">
        <v>250</v>
      </c>
      <c r="BC5973">
        <v>75</v>
      </c>
      <c r="BD5973">
        <v>700</v>
      </c>
      <c r="BE5973">
        <v>2022</v>
      </c>
      <c r="BF5973">
        <v>3</v>
      </c>
      <c r="BG5973">
        <v>2</v>
      </c>
      <c r="BH5973">
        <v>500</v>
      </c>
      <c r="BI5973">
        <v>3</v>
      </c>
      <c r="BJ5973">
        <v>4</v>
      </c>
      <c r="BK5973">
        <v>3</v>
      </c>
    </row>
    <row r="5974" spans="1:68">
      <c r="A5974">
        <v>100789387</v>
      </c>
      <c r="B5974">
        <v>100789387</v>
      </c>
      <c r="C5974" t="s">
        <v>7018</v>
      </c>
      <c r="E5974" s="184"/>
      <c r="G5974" s="184"/>
      <c r="H5974" t="s">
        <v>595</v>
      </c>
      <c r="I5974" s="184">
        <v>44551</v>
      </c>
      <c r="K5974" s="184"/>
      <c r="P5974" t="s">
        <v>8550</v>
      </c>
      <c r="Q5974" t="s">
        <v>7262</v>
      </c>
      <c r="R5974" s="184"/>
      <c r="V5974" t="s">
        <v>2771</v>
      </c>
      <c r="X5974" t="s">
        <v>5162</v>
      </c>
      <c r="AF5974" t="s">
        <v>40427</v>
      </c>
      <c r="AG5974" t="s">
        <v>2771</v>
      </c>
      <c r="AI5974" t="s">
        <v>40428</v>
      </c>
      <c r="AM5974" t="s">
        <v>5163</v>
      </c>
      <c r="AN5974" t="s">
        <v>2106</v>
      </c>
      <c r="AO5974">
        <v>16828</v>
      </c>
      <c r="AP5974" t="s">
        <v>7024</v>
      </c>
      <c r="AT5974" s="184"/>
      <c r="AW5974" s="184"/>
      <c r="AZ5974" s="184"/>
    </row>
    <row r="5975" spans="1:68">
      <c r="A5975">
        <v>100790388</v>
      </c>
      <c r="B5975">
        <v>100790388</v>
      </c>
      <c r="C5975" t="s">
        <v>7018</v>
      </c>
      <c r="E5975" s="184"/>
      <c r="G5975" s="184"/>
      <c r="H5975" t="s">
        <v>595</v>
      </c>
      <c r="I5975" s="184">
        <v>45194</v>
      </c>
      <c r="K5975" s="184"/>
      <c r="P5975" t="s">
        <v>7045</v>
      </c>
      <c r="Q5975" t="s">
        <v>7262</v>
      </c>
      <c r="R5975" s="184">
        <v>21085</v>
      </c>
      <c r="S5975">
        <v>66</v>
      </c>
      <c r="V5975" t="s">
        <v>2851</v>
      </c>
      <c r="X5975" t="s">
        <v>20342</v>
      </c>
      <c r="Z5975">
        <v>101177590</v>
      </c>
      <c r="AB5975" t="s">
        <v>2718</v>
      </c>
      <c r="AD5975" t="s">
        <v>20342</v>
      </c>
      <c r="AF5975" t="s">
        <v>40429</v>
      </c>
      <c r="AG5975" t="s">
        <v>40430</v>
      </c>
      <c r="AI5975" t="s">
        <v>40431</v>
      </c>
      <c r="AM5975" t="s">
        <v>40432</v>
      </c>
      <c r="AN5975" t="s">
        <v>2106</v>
      </c>
      <c r="AO5975" t="s">
        <v>40433</v>
      </c>
      <c r="AP5975" t="s">
        <v>7024</v>
      </c>
      <c r="AQ5975" t="s">
        <v>40434</v>
      </c>
      <c r="AT5975" s="184">
        <v>44552</v>
      </c>
      <c r="AU5975" t="s">
        <v>17745</v>
      </c>
      <c r="AV5975">
        <v>25</v>
      </c>
      <c r="AW5975" s="184">
        <v>45286</v>
      </c>
      <c r="AX5975" t="s">
        <v>20597</v>
      </c>
      <c r="AY5975">
        <v>20</v>
      </c>
      <c r="AZ5975" s="184">
        <v>44916</v>
      </c>
      <c r="BA5975" t="s">
        <v>13849</v>
      </c>
      <c r="BB5975">
        <v>25</v>
      </c>
      <c r="BC5975">
        <v>75</v>
      </c>
      <c r="BD5975">
        <v>70</v>
      </c>
      <c r="BE5975">
        <v>2022</v>
      </c>
      <c r="BF5975">
        <v>3</v>
      </c>
      <c r="BG5975">
        <v>2</v>
      </c>
      <c r="BH5975">
        <v>45</v>
      </c>
      <c r="BI5975">
        <v>3</v>
      </c>
      <c r="BJ5975">
        <v>4</v>
      </c>
      <c r="BK5975">
        <v>3</v>
      </c>
    </row>
    <row r="5976" spans="1:68">
      <c r="A5976">
        <v>101177590</v>
      </c>
      <c r="B5976">
        <v>100790388</v>
      </c>
      <c r="C5976" t="s">
        <v>7018</v>
      </c>
      <c r="E5976" s="184"/>
      <c r="G5976" s="184"/>
      <c r="H5976" t="s">
        <v>595</v>
      </c>
      <c r="I5976" s="184">
        <v>45194</v>
      </c>
      <c r="K5976" s="184"/>
      <c r="P5976" t="s">
        <v>7045</v>
      </c>
      <c r="Q5976" t="s">
        <v>7262</v>
      </c>
      <c r="R5976" s="184">
        <v>21512</v>
      </c>
      <c r="S5976">
        <v>65</v>
      </c>
      <c r="V5976" t="s">
        <v>2718</v>
      </c>
      <c r="X5976" t="s">
        <v>20342</v>
      </c>
      <c r="Z5976">
        <v>100790388</v>
      </c>
      <c r="AB5976" t="s">
        <v>2851</v>
      </c>
      <c r="AD5976" t="s">
        <v>20342</v>
      </c>
      <c r="AF5976" t="s">
        <v>40429</v>
      </c>
      <c r="AG5976" t="s">
        <v>40430</v>
      </c>
      <c r="AI5976" t="s">
        <v>40431</v>
      </c>
      <c r="AM5976" t="s">
        <v>40432</v>
      </c>
      <c r="AN5976" t="s">
        <v>2106</v>
      </c>
      <c r="AO5976" t="s">
        <v>40433</v>
      </c>
      <c r="AP5976" t="s">
        <v>7024</v>
      </c>
      <c r="AQ5976" t="s">
        <v>40434</v>
      </c>
      <c r="AT5976" s="184"/>
      <c r="AW5976" s="184"/>
      <c r="AZ5976" s="184"/>
    </row>
    <row r="5977" spans="1:68">
      <c r="A5977">
        <v>100793024</v>
      </c>
      <c r="B5977">
        <v>100793024</v>
      </c>
      <c r="C5977" t="s">
        <v>7018</v>
      </c>
      <c r="E5977" s="184"/>
      <c r="G5977" s="184"/>
      <c r="I5977" s="184"/>
      <c r="J5977" t="s">
        <v>595</v>
      </c>
      <c r="K5977" s="184">
        <v>44648</v>
      </c>
      <c r="P5977" t="s">
        <v>7045</v>
      </c>
      <c r="Q5977" t="s">
        <v>7374</v>
      </c>
      <c r="R5977" s="184">
        <v>21556</v>
      </c>
      <c r="S5977">
        <v>65</v>
      </c>
      <c r="V5977" t="s">
        <v>3232</v>
      </c>
      <c r="X5977" t="s">
        <v>40435</v>
      </c>
      <c r="AF5977" t="s">
        <v>40436</v>
      </c>
      <c r="AG5977" t="s">
        <v>3232</v>
      </c>
      <c r="AI5977" t="s">
        <v>40437</v>
      </c>
      <c r="AM5977" t="s">
        <v>4203</v>
      </c>
      <c r="AN5977" t="s">
        <v>2081</v>
      </c>
      <c r="AO5977" t="s">
        <v>40438</v>
      </c>
      <c r="AP5977" t="s">
        <v>7024</v>
      </c>
      <c r="AQ5977" t="s">
        <v>40439</v>
      </c>
      <c r="AT5977" s="184">
        <v>44560</v>
      </c>
      <c r="AU5977" t="s">
        <v>11445</v>
      </c>
      <c r="AV5977">
        <v>500</v>
      </c>
      <c r="AW5977" s="184">
        <v>44560</v>
      </c>
      <c r="AX5977" t="s">
        <v>11445</v>
      </c>
      <c r="AY5977">
        <v>500</v>
      </c>
      <c r="AZ5977" s="184">
        <v>44560</v>
      </c>
      <c r="BA5977" t="s">
        <v>11445</v>
      </c>
      <c r="BB5977">
        <v>500</v>
      </c>
      <c r="BC5977">
        <v>25</v>
      </c>
      <c r="BD5977">
        <v>500</v>
      </c>
      <c r="BE5977">
        <v>2022</v>
      </c>
      <c r="BF5977">
        <v>1</v>
      </c>
      <c r="BI5977">
        <v>1</v>
      </c>
      <c r="BJ5977">
        <v>4</v>
      </c>
      <c r="BK5977">
        <v>1</v>
      </c>
    </row>
    <row r="5978" spans="1:68">
      <c r="A5978">
        <v>100795835</v>
      </c>
      <c r="B5978">
        <v>100795835</v>
      </c>
      <c r="C5978" t="s">
        <v>7018</v>
      </c>
      <c r="D5978" t="s">
        <v>595</v>
      </c>
      <c r="E5978" s="184">
        <v>45195</v>
      </c>
      <c r="G5978" s="184"/>
      <c r="I5978" s="184"/>
      <c r="K5978" s="184"/>
      <c r="P5978" t="s">
        <v>7045</v>
      </c>
      <c r="Q5978" t="s">
        <v>7262</v>
      </c>
      <c r="R5978" s="184">
        <v>13575</v>
      </c>
      <c r="S5978">
        <v>87</v>
      </c>
      <c r="V5978" t="s">
        <v>12531</v>
      </c>
      <c r="W5978" t="s">
        <v>205</v>
      </c>
      <c r="X5978" t="s">
        <v>40440</v>
      </c>
      <c r="AF5978" t="s">
        <v>40441</v>
      </c>
      <c r="AG5978" t="s">
        <v>12531</v>
      </c>
      <c r="AI5978" t="s">
        <v>40442</v>
      </c>
      <c r="AM5978" t="s">
        <v>40443</v>
      </c>
      <c r="AN5978" t="s">
        <v>2069</v>
      </c>
      <c r="AO5978" t="s">
        <v>40444</v>
      </c>
      <c r="AP5978" t="s">
        <v>7024</v>
      </c>
      <c r="AQ5978" t="s">
        <v>40445</v>
      </c>
      <c r="AT5978" s="184">
        <v>42639</v>
      </c>
      <c r="AU5978" t="s">
        <v>35949</v>
      </c>
      <c r="AV5978">
        <v>20</v>
      </c>
      <c r="AW5978" s="184">
        <v>45012</v>
      </c>
      <c r="AX5978" t="s">
        <v>8767</v>
      </c>
      <c r="AY5978">
        <v>20</v>
      </c>
      <c r="AZ5978" s="184">
        <v>44938</v>
      </c>
      <c r="BA5978" t="s">
        <v>40446</v>
      </c>
      <c r="BB5978">
        <v>25</v>
      </c>
      <c r="BC5978">
        <v>89</v>
      </c>
      <c r="BD5978">
        <v>335</v>
      </c>
      <c r="BE5978">
        <v>2017</v>
      </c>
      <c r="BF5978">
        <v>19</v>
      </c>
      <c r="BG5978">
        <v>4</v>
      </c>
      <c r="BH5978">
        <v>85</v>
      </c>
      <c r="BI5978">
        <v>8</v>
      </c>
      <c r="BJ5978">
        <v>9</v>
      </c>
      <c r="BK5978">
        <v>8</v>
      </c>
    </row>
    <row r="5979" spans="1:68">
      <c r="A5979">
        <v>100797719</v>
      </c>
      <c r="B5979">
        <v>100797719</v>
      </c>
      <c r="C5979" t="s">
        <v>7018</v>
      </c>
      <c r="D5979" t="s">
        <v>595</v>
      </c>
      <c r="E5979" s="184">
        <v>44073</v>
      </c>
      <c r="G5979" s="184"/>
      <c r="I5979" s="184"/>
      <c r="K5979" s="184"/>
      <c r="P5979" t="s">
        <v>7029</v>
      </c>
      <c r="Q5979" t="s">
        <v>7383</v>
      </c>
      <c r="R5979" s="184">
        <v>20967</v>
      </c>
      <c r="S5979">
        <v>66</v>
      </c>
      <c r="V5979" t="s">
        <v>3400</v>
      </c>
      <c r="X5979" t="s">
        <v>40447</v>
      </c>
      <c r="Z5979">
        <v>100773937</v>
      </c>
      <c r="AB5979" t="s">
        <v>3165</v>
      </c>
      <c r="AD5979" t="s">
        <v>10406</v>
      </c>
      <c r="AF5979" t="s">
        <v>40448</v>
      </c>
      <c r="AG5979" t="s">
        <v>40449</v>
      </c>
      <c r="AI5979" t="s">
        <v>40450</v>
      </c>
      <c r="AM5979" t="s">
        <v>8078</v>
      </c>
      <c r="AN5979" t="s">
        <v>2313</v>
      </c>
      <c r="AO5979" t="s">
        <v>40451</v>
      </c>
      <c r="AP5979" t="s">
        <v>7024</v>
      </c>
      <c r="AQ5979" t="s">
        <v>40452</v>
      </c>
      <c r="AT5979" s="184">
        <v>41750</v>
      </c>
      <c r="AU5979" t="s">
        <v>33873</v>
      </c>
      <c r="AV5979">
        <v>25</v>
      </c>
      <c r="AW5979" s="184">
        <v>45408</v>
      </c>
      <c r="AX5979" t="s">
        <v>11949</v>
      </c>
      <c r="AY5979">
        <v>1000</v>
      </c>
      <c r="AZ5979" s="184">
        <v>45408</v>
      </c>
      <c r="BA5979" t="s">
        <v>11949</v>
      </c>
      <c r="BB5979">
        <v>1000</v>
      </c>
      <c r="BC5979">
        <v>100</v>
      </c>
      <c r="BD5979">
        <v>3615</v>
      </c>
      <c r="BE5979">
        <v>2014</v>
      </c>
      <c r="BF5979">
        <v>21</v>
      </c>
      <c r="BG5979">
        <v>5</v>
      </c>
      <c r="BH5979">
        <v>2050</v>
      </c>
      <c r="BI5979">
        <v>11</v>
      </c>
      <c r="BJ5979">
        <v>11</v>
      </c>
      <c r="BK5979">
        <v>11</v>
      </c>
      <c r="BP5979" s="184"/>
    </row>
    <row r="5980" spans="1:68">
      <c r="A5980">
        <v>100797732</v>
      </c>
      <c r="B5980">
        <v>100797732</v>
      </c>
      <c r="C5980" t="s">
        <v>7018</v>
      </c>
      <c r="D5980" t="s">
        <v>595</v>
      </c>
      <c r="E5980" s="184">
        <v>45162</v>
      </c>
      <c r="G5980" s="184"/>
      <c r="I5980" s="184"/>
      <c r="K5980" s="184"/>
      <c r="P5980" t="s">
        <v>7029</v>
      </c>
      <c r="Q5980" t="s">
        <v>7494</v>
      </c>
      <c r="R5980" s="184">
        <v>30279</v>
      </c>
      <c r="S5980">
        <v>41</v>
      </c>
      <c r="V5980" t="s">
        <v>2511</v>
      </c>
      <c r="W5980" t="s">
        <v>7085</v>
      </c>
      <c r="X5980" t="s">
        <v>40453</v>
      </c>
      <c r="AF5980" t="s">
        <v>40454</v>
      </c>
      <c r="AG5980" t="s">
        <v>2511</v>
      </c>
      <c r="AI5980" t="s">
        <v>40455</v>
      </c>
      <c r="AM5980" t="s">
        <v>3371</v>
      </c>
      <c r="AN5980" t="s">
        <v>2174</v>
      </c>
      <c r="AO5980" t="s">
        <v>40456</v>
      </c>
      <c r="AP5980" t="s">
        <v>7024</v>
      </c>
      <c r="AT5980" s="184">
        <v>44585</v>
      </c>
      <c r="AU5980" t="s">
        <v>40457</v>
      </c>
      <c r="AV5980">
        <v>1000</v>
      </c>
      <c r="AW5980" s="184">
        <v>44585</v>
      </c>
      <c r="AX5980" t="s">
        <v>40457</v>
      </c>
      <c r="AY5980">
        <v>1000</v>
      </c>
      <c r="AZ5980" s="184">
        <v>44585</v>
      </c>
      <c r="BA5980" t="s">
        <v>40457</v>
      </c>
      <c r="BB5980">
        <v>1000</v>
      </c>
      <c r="BC5980">
        <v>34</v>
      </c>
      <c r="BD5980">
        <v>1000</v>
      </c>
      <c r="BE5980">
        <v>2022</v>
      </c>
      <c r="BF5980">
        <v>1</v>
      </c>
      <c r="BI5980">
        <v>1</v>
      </c>
      <c r="BJ5980">
        <v>3</v>
      </c>
      <c r="BK5980">
        <v>1</v>
      </c>
    </row>
    <row r="5981" spans="1:68">
      <c r="A5981">
        <v>100800927</v>
      </c>
      <c r="B5981">
        <v>100800927</v>
      </c>
      <c r="C5981" t="s">
        <v>7018</v>
      </c>
      <c r="E5981" s="184"/>
      <c r="G5981" s="184"/>
      <c r="H5981" t="s">
        <v>595</v>
      </c>
      <c r="I5981" s="184">
        <v>44778</v>
      </c>
      <c r="K5981" s="184"/>
      <c r="M5981" s="184"/>
      <c r="P5981" t="s">
        <v>7045</v>
      </c>
      <c r="Q5981" t="s">
        <v>7160</v>
      </c>
      <c r="R5981" s="184">
        <v>19531</v>
      </c>
      <c r="S5981">
        <v>70</v>
      </c>
      <c r="V5981" t="s">
        <v>3868</v>
      </c>
      <c r="X5981" t="s">
        <v>40458</v>
      </c>
      <c r="AF5981" t="s">
        <v>40459</v>
      </c>
      <c r="AG5981" t="s">
        <v>3868</v>
      </c>
      <c r="AI5981" t="s">
        <v>40460</v>
      </c>
      <c r="AM5981" t="s">
        <v>5452</v>
      </c>
      <c r="AN5981" t="s">
        <v>2446</v>
      </c>
      <c r="AO5981" t="s">
        <v>40461</v>
      </c>
      <c r="AP5981" t="s">
        <v>7024</v>
      </c>
      <c r="AQ5981" t="s">
        <v>40462</v>
      </c>
      <c r="AT5981" s="184">
        <v>44572</v>
      </c>
      <c r="AU5981" t="s">
        <v>40463</v>
      </c>
      <c r="AV5981">
        <v>25</v>
      </c>
      <c r="AW5981" s="184">
        <v>44572</v>
      </c>
      <c r="AX5981" t="s">
        <v>40463</v>
      </c>
      <c r="AY5981">
        <v>25</v>
      </c>
      <c r="AZ5981" s="184">
        <v>44572</v>
      </c>
      <c r="BA5981" t="s">
        <v>40463</v>
      </c>
      <c r="BB5981">
        <v>25</v>
      </c>
      <c r="BC5981">
        <v>34</v>
      </c>
      <c r="BD5981">
        <v>25</v>
      </c>
      <c r="BE5981">
        <v>2022</v>
      </c>
      <c r="BF5981">
        <v>1</v>
      </c>
      <c r="BI5981">
        <v>1</v>
      </c>
      <c r="BJ5981">
        <v>3</v>
      </c>
      <c r="BK5981">
        <v>1</v>
      </c>
      <c r="BP5981" s="184"/>
    </row>
    <row r="5982" spans="1:68">
      <c r="A5982">
        <v>100805850</v>
      </c>
      <c r="B5982">
        <v>100805850</v>
      </c>
      <c r="C5982" t="s">
        <v>7018</v>
      </c>
      <c r="D5982" t="s">
        <v>595</v>
      </c>
      <c r="E5982" s="184">
        <v>44616</v>
      </c>
      <c r="G5982" s="184"/>
      <c r="I5982" s="184"/>
      <c r="K5982" s="184"/>
      <c r="M5982" s="184"/>
      <c r="P5982" t="s">
        <v>7045</v>
      </c>
      <c r="Q5982" t="s">
        <v>7454</v>
      </c>
      <c r="R5982" s="184">
        <v>29678</v>
      </c>
      <c r="S5982">
        <v>43</v>
      </c>
      <c r="U5982" t="s">
        <v>7076</v>
      </c>
      <c r="V5982" t="s">
        <v>3435</v>
      </c>
      <c r="W5982" t="s">
        <v>7407</v>
      </c>
      <c r="X5982" t="s">
        <v>40464</v>
      </c>
      <c r="AF5982" t="s">
        <v>40465</v>
      </c>
      <c r="AG5982" t="s">
        <v>3435</v>
      </c>
      <c r="AI5982" t="s">
        <v>40466</v>
      </c>
      <c r="AM5982" t="s">
        <v>31378</v>
      </c>
      <c r="AN5982" t="s">
        <v>2055</v>
      </c>
      <c r="AO5982" t="s">
        <v>40467</v>
      </c>
      <c r="AP5982" t="s">
        <v>7024</v>
      </c>
      <c r="AQ5982" t="s">
        <v>40468</v>
      </c>
      <c r="AT5982" s="184">
        <v>44615</v>
      </c>
      <c r="AU5982" t="s">
        <v>30692</v>
      </c>
      <c r="AV5982">
        <v>25</v>
      </c>
      <c r="AW5982" s="184">
        <v>44615</v>
      </c>
      <c r="AX5982" t="s">
        <v>30692</v>
      </c>
      <c r="AY5982">
        <v>25</v>
      </c>
      <c r="AZ5982" s="184">
        <v>44615</v>
      </c>
      <c r="BA5982" t="s">
        <v>30692</v>
      </c>
      <c r="BB5982">
        <v>25</v>
      </c>
      <c r="BC5982">
        <v>34</v>
      </c>
      <c r="BD5982">
        <v>25</v>
      </c>
      <c r="BE5982">
        <v>2022</v>
      </c>
      <c r="BF5982">
        <v>1</v>
      </c>
      <c r="BI5982">
        <v>1</v>
      </c>
      <c r="BJ5982">
        <v>3</v>
      </c>
      <c r="BK5982">
        <v>1</v>
      </c>
      <c r="BP5982" s="184"/>
    </row>
    <row r="5983" spans="1:68">
      <c r="A5983">
        <v>38580213</v>
      </c>
      <c r="B5983">
        <v>100809608</v>
      </c>
      <c r="C5983" t="s">
        <v>7018</v>
      </c>
      <c r="E5983" s="184"/>
      <c r="G5983" s="184"/>
      <c r="I5983" s="184"/>
      <c r="J5983" t="s">
        <v>595</v>
      </c>
      <c r="K5983" s="184">
        <v>44070</v>
      </c>
      <c r="P5983" t="s">
        <v>7045</v>
      </c>
      <c r="Q5983" t="s">
        <v>7383</v>
      </c>
      <c r="R5983" s="184">
        <v>18749</v>
      </c>
      <c r="S5983">
        <v>73</v>
      </c>
      <c r="U5983" t="s">
        <v>7130</v>
      </c>
      <c r="V5983" t="s">
        <v>2733</v>
      </c>
      <c r="X5983" t="s">
        <v>40469</v>
      </c>
      <c r="Z5983">
        <v>100809608</v>
      </c>
      <c r="AB5983" t="s">
        <v>25078</v>
      </c>
      <c r="AD5983" t="s">
        <v>40469</v>
      </c>
      <c r="AF5983" t="s">
        <v>40470</v>
      </c>
      <c r="AG5983" t="s">
        <v>25078</v>
      </c>
      <c r="AI5983" t="s">
        <v>40471</v>
      </c>
      <c r="AM5983" t="s">
        <v>40472</v>
      </c>
      <c r="AN5983" t="s">
        <v>2313</v>
      </c>
      <c r="AO5983" t="s">
        <v>40473</v>
      </c>
      <c r="AP5983" t="s">
        <v>7024</v>
      </c>
      <c r="AQ5983" t="s">
        <v>40474</v>
      </c>
      <c r="AT5983" s="184">
        <v>38744</v>
      </c>
      <c r="AU5983" t="s">
        <v>40475</v>
      </c>
      <c r="AV5983">
        <v>15</v>
      </c>
      <c r="AW5983" s="184">
        <v>44550</v>
      </c>
      <c r="AX5983" t="s">
        <v>7340</v>
      </c>
      <c r="AY5983">
        <v>50</v>
      </c>
      <c r="AZ5983" s="184">
        <v>43095</v>
      </c>
      <c r="BA5983" t="s">
        <v>7406</v>
      </c>
      <c r="BB5983">
        <v>55</v>
      </c>
      <c r="BC5983">
        <v>69</v>
      </c>
      <c r="BD5983">
        <v>900</v>
      </c>
      <c r="BE5983">
        <v>2006</v>
      </c>
      <c r="BF5983">
        <v>32</v>
      </c>
      <c r="BI5983">
        <v>13</v>
      </c>
      <c r="BJ5983">
        <v>19</v>
      </c>
      <c r="BK5983">
        <v>6</v>
      </c>
      <c r="BO5983" t="s">
        <v>595</v>
      </c>
      <c r="BP5983" s="184"/>
    </row>
    <row r="5984" spans="1:68">
      <c r="A5984">
        <v>100810709</v>
      </c>
      <c r="B5984">
        <v>100810709</v>
      </c>
      <c r="C5984" t="s">
        <v>7018</v>
      </c>
      <c r="E5984" s="184"/>
      <c r="G5984" s="184"/>
      <c r="H5984" t="s">
        <v>595</v>
      </c>
      <c r="I5984" s="184">
        <v>45385</v>
      </c>
      <c r="K5984" s="184"/>
      <c r="M5984" s="184"/>
      <c r="P5984" t="s">
        <v>7045</v>
      </c>
      <c r="Q5984" t="s">
        <v>7020</v>
      </c>
      <c r="R5984" s="184">
        <v>17088</v>
      </c>
      <c r="S5984">
        <v>77</v>
      </c>
      <c r="V5984" t="s">
        <v>3702</v>
      </c>
      <c r="X5984" t="s">
        <v>40476</v>
      </c>
      <c r="AF5984" t="s">
        <v>40477</v>
      </c>
      <c r="AG5984" t="s">
        <v>3702</v>
      </c>
      <c r="AI5984" t="s">
        <v>40478</v>
      </c>
      <c r="AM5984" t="s">
        <v>26965</v>
      </c>
      <c r="AN5984" t="s">
        <v>2129</v>
      </c>
      <c r="AO5984" t="s">
        <v>40479</v>
      </c>
      <c r="AP5984" t="s">
        <v>7024</v>
      </c>
      <c r="AT5984" s="184">
        <v>44600</v>
      </c>
      <c r="AU5984" t="s">
        <v>40480</v>
      </c>
      <c r="AV5984">
        <v>50</v>
      </c>
      <c r="AW5984" s="184">
        <v>45030</v>
      </c>
      <c r="AX5984" t="s">
        <v>10223</v>
      </c>
      <c r="AY5984">
        <v>100</v>
      </c>
      <c r="AZ5984" s="184">
        <v>45030</v>
      </c>
      <c r="BA5984" t="s">
        <v>10223</v>
      </c>
      <c r="BB5984">
        <v>100</v>
      </c>
      <c r="BC5984">
        <v>67</v>
      </c>
      <c r="BD5984">
        <v>150</v>
      </c>
      <c r="BE5984">
        <v>2022</v>
      </c>
      <c r="BF5984">
        <v>2</v>
      </c>
      <c r="BG5984">
        <v>1</v>
      </c>
      <c r="BH5984">
        <v>100</v>
      </c>
      <c r="BI5984">
        <v>2</v>
      </c>
      <c r="BJ5984">
        <v>3</v>
      </c>
      <c r="BK5984">
        <v>2</v>
      </c>
    </row>
    <row r="5985" spans="1:68">
      <c r="A5985">
        <v>100812846</v>
      </c>
      <c r="B5985">
        <v>100812846</v>
      </c>
      <c r="C5985" t="s">
        <v>7018</v>
      </c>
      <c r="E5985" s="184"/>
      <c r="G5985" s="184"/>
      <c r="H5985" t="s">
        <v>595</v>
      </c>
      <c r="I5985" s="184">
        <v>44606</v>
      </c>
      <c r="K5985" s="184"/>
      <c r="M5985" s="184"/>
      <c r="P5985" t="s">
        <v>8550</v>
      </c>
      <c r="Q5985" t="s">
        <v>7020</v>
      </c>
      <c r="R5985" s="184">
        <v>16268</v>
      </c>
      <c r="S5985">
        <v>79</v>
      </c>
      <c r="V5985" t="s">
        <v>2832</v>
      </c>
      <c r="W5985" t="s">
        <v>7384</v>
      </c>
      <c r="X5985" t="s">
        <v>3474</v>
      </c>
      <c r="AF5985" t="s">
        <v>40481</v>
      </c>
      <c r="AG5985" t="s">
        <v>2832</v>
      </c>
      <c r="AI5985" t="s">
        <v>40482</v>
      </c>
      <c r="AM5985" t="s">
        <v>40483</v>
      </c>
      <c r="AN5985" t="s">
        <v>2112</v>
      </c>
      <c r="AO5985">
        <v>11545</v>
      </c>
      <c r="AP5985" t="s">
        <v>7024</v>
      </c>
      <c r="AQ5985" t="s">
        <v>40484</v>
      </c>
      <c r="AT5985" s="184"/>
      <c r="AW5985" s="184"/>
      <c r="AZ5985" s="184"/>
      <c r="BP5985" s="184"/>
    </row>
    <row r="5986" spans="1:68">
      <c r="A5986">
        <v>100813357</v>
      </c>
      <c r="B5986">
        <v>100813357</v>
      </c>
      <c r="C5986" t="s">
        <v>7018</v>
      </c>
      <c r="E5986" s="184"/>
      <c r="G5986" s="184"/>
      <c r="H5986" t="s">
        <v>595</v>
      </c>
      <c r="I5986" s="184">
        <v>44936</v>
      </c>
      <c r="K5986" s="184"/>
      <c r="P5986" t="s">
        <v>7045</v>
      </c>
      <c r="Q5986" t="s">
        <v>7494</v>
      </c>
      <c r="R5986" s="184">
        <v>16184</v>
      </c>
      <c r="S5986">
        <v>80</v>
      </c>
      <c r="V5986" t="s">
        <v>3593</v>
      </c>
      <c r="X5986" t="s">
        <v>40485</v>
      </c>
      <c r="AF5986" t="s">
        <v>40486</v>
      </c>
      <c r="AG5986" t="s">
        <v>3593</v>
      </c>
      <c r="AI5986" t="s">
        <v>40487</v>
      </c>
      <c r="AM5986" t="s">
        <v>3763</v>
      </c>
      <c r="AN5986" t="s">
        <v>2484</v>
      </c>
      <c r="AO5986" t="s">
        <v>40488</v>
      </c>
      <c r="AP5986" t="s">
        <v>7024</v>
      </c>
      <c r="AT5986" s="184">
        <v>44608</v>
      </c>
      <c r="AU5986" t="s">
        <v>40489</v>
      </c>
      <c r="AV5986">
        <v>15</v>
      </c>
      <c r="AW5986" s="184">
        <v>45390</v>
      </c>
      <c r="AX5986" t="s">
        <v>40490</v>
      </c>
      <c r="AY5986">
        <v>25</v>
      </c>
      <c r="AZ5986" s="184">
        <v>44965</v>
      </c>
      <c r="BA5986" t="s">
        <v>7044</v>
      </c>
      <c r="BB5986">
        <v>10000</v>
      </c>
      <c r="BC5986">
        <v>100</v>
      </c>
      <c r="BD5986">
        <v>10065</v>
      </c>
      <c r="BE5986">
        <v>2022</v>
      </c>
      <c r="BF5986">
        <v>4</v>
      </c>
      <c r="BG5986">
        <v>3</v>
      </c>
      <c r="BH5986">
        <v>10050</v>
      </c>
      <c r="BI5986">
        <v>3</v>
      </c>
      <c r="BJ5986">
        <v>3</v>
      </c>
      <c r="BK5986">
        <v>3</v>
      </c>
      <c r="BP5986" s="184"/>
    </row>
    <row r="5987" spans="1:68">
      <c r="A5987">
        <v>100814102</v>
      </c>
      <c r="B5987">
        <v>100814102</v>
      </c>
      <c r="C5987" t="s">
        <v>7018</v>
      </c>
      <c r="D5987" t="s">
        <v>595</v>
      </c>
      <c r="E5987" s="184">
        <v>45181</v>
      </c>
      <c r="G5987" s="184"/>
      <c r="I5987" s="184"/>
      <c r="K5987" s="184"/>
      <c r="P5987" t="s">
        <v>7045</v>
      </c>
      <c r="Q5987" t="s">
        <v>7262</v>
      </c>
      <c r="R5987" s="184">
        <v>23188</v>
      </c>
      <c r="S5987">
        <v>60</v>
      </c>
      <c r="U5987" t="s">
        <v>7031</v>
      </c>
      <c r="V5987" t="s">
        <v>3228</v>
      </c>
      <c r="W5987" t="s">
        <v>115</v>
      </c>
      <c r="X5987" t="s">
        <v>40491</v>
      </c>
      <c r="AF5987" t="s">
        <v>40492</v>
      </c>
      <c r="AG5987" t="s">
        <v>3228</v>
      </c>
      <c r="AI5987" t="s">
        <v>40493</v>
      </c>
      <c r="AM5987" t="s">
        <v>40494</v>
      </c>
      <c r="AN5987" t="s">
        <v>2106</v>
      </c>
      <c r="AO5987" t="s">
        <v>40495</v>
      </c>
      <c r="AP5987" t="s">
        <v>7024</v>
      </c>
      <c r="AT5987" s="184">
        <v>44614</v>
      </c>
      <c r="AU5987" t="s">
        <v>40496</v>
      </c>
      <c r="AV5987">
        <v>25</v>
      </c>
      <c r="AW5987" s="184">
        <v>44614</v>
      </c>
      <c r="AX5987" t="s">
        <v>40496</v>
      </c>
      <c r="AY5987">
        <v>25</v>
      </c>
      <c r="AZ5987" s="184">
        <v>44614</v>
      </c>
      <c r="BA5987" t="s">
        <v>40496</v>
      </c>
      <c r="BB5987">
        <v>25</v>
      </c>
      <c r="BC5987">
        <v>34</v>
      </c>
      <c r="BD5987">
        <v>25</v>
      </c>
      <c r="BE5987">
        <v>2022</v>
      </c>
      <c r="BF5987">
        <v>1</v>
      </c>
      <c r="BI5987">
        <v>1</v>
      </c>
      <c r="BJ5987">
        <v>3</v>
      </c>
      <c r="BK5987">
        <v>1</v>
      </c>
    </row>
    <row r="5988" spans="1:68">
      <c r="A5988">
        <v>100814588</v>
      </c>
      <c r="B5988">
        <v>100814588</v>
      </c>
      <c r="C5988" t="s">
        <v>7018</v>
      </c>
      <c r="D5988" t="s">
        <v>595</v>
      </c>
      <c r="E5988" s="184">
        <v>44648</v>
      </c>
      <c r="G5988" s="184"/>
      <c r="I5988" s="184"/>
      <c r="K5988" s="184"/>
      <c r="P5988" t="s">
        <v>8550</v>
      </c>
      <c r="R5988" s="184"/>
      <c r="V5988" t="s">
        <v>14270</v>
      </c>
      <c r="X5988" t="s">
        <v>40497</v>
      </c>
      <c r="AF5988" t="s">
        <v>40498</v>
      </c>
      <c r="AG5988" t="s">
        <v>14270</v>
      </c>
      <c r="AP5988" t="s">
        <v>7024</v>
      </c>
      <c r="AQ5988" t="s">
        <v>40499</v>
      </c>
      <c r="AT5988" s="184"/>
      <c r="AW5988" s="184"/>
      <c r="AZ5988" s="184"/>
      <c r="BP5988" s="184"/>
    </row>
    <row r="5989" spans="1:68">
      <c r="A5989">
        <v>100819290</v>
      </c>
      <c r="B5989">
        <v>100819290</v>
      </c>
      <c r="C5989" t="s">
        <v>7018</v>
      </c>
      <c r="E5989" s="184"/>
      <c r="F5989" t="s">
        <v>595</v>
      </c>
      <c r="G5989" s="184">
        <v>45042</v>
      </c>
      <c r="I5989" s="184"/>
      <c r="K5989" s="184"/>
      <c r="P5989" t="s">
        <v>7045</v>
      </c>
      <c r="Q5989" t="s">
        <v>7160</v>
      </c>
      <c r="R5989" s="184">
        <v>17533</v>
      </c>
      <c r="S5989">
        <v>76</v>
      </c>
      <c r="V5989" t="s">
        <v>2863</v>
      </c>
      <c r="X5989" t="s">
        <v>40500</v>
      </c>
      <c r="AF5989" t="s">
        <v>40501</v>
      </c>
      <c r="AG5989" t="s">
        <v>2863</v>
      </c>
      <c r="AI5989" t="s">
        <v>40502</v>
      </c>
      <c r="AM5989" t="s">
        <v>40503</v>
      </c>
      <c r="AN5989" t="s">
        <v>2176</v>
      </c>
      <c r="AO5989" t="s">
        <v>40504</v>
      </c>
      <c r="AP5989" t="s">
        <v>7024</v>
      </c>
      <c r="AQ5989" t="s">
        <v>40505</v>
      </c>
      <c r="AT5989" s="184">
        <v>44670</v>
      </c>
      <c r="AU5989" t="s">
        <v>17745</v>
      </c>
      <c r="AV5989">
        <v>25</v>
      </c>
      <c r="AW5989" s="184">
        <v>45165</v>
      </c>
      <c r="AX5989" t="s">
        <v>9576</v>
      </c>
      <c r="AY5989">
        <v>25</v>
      </c>
      <c r="AZ5989" s="184">
        <v>45165</v>
      </c>
      <c r="BA5989" t="s">
        <v>9576</v>
      </c>
      <c r="BB5989">
        <v>25</v>
      </c>
      <c r="BC5989">
        <v>67</v>
      </c>
      <c r="BD5989">
        <v>75</v>
      </c>
      <c r="BE5989">
        <v>2022</v>
      </c>
      <c r="BF5989">
        <v>3</v>
      </c>
      <c r="BG5989">
        <v>2</v>
      </c>
      <c r="BH5989">
        <v>50</v>
      </c>
      <c r="BI5989">
        <v>2</v>
      </c>
      <c r="BJ5989">
        <v>3</v>
      </c>
      <c r="BK5989">
        <v>2</v>
      </c>
      <c r="BP5989" s="184"/>
    </row>
    <row r="5990" spans="1:68">
      <c r="A5990">
        <v>100823511</v>
      </c>
      <c r="B5990">
        <v>100823511</v>
      </c>
      <c r="C5990" t="s">
        <v>7018</v>
      </c>
      <c r="D5990" t="s">
        <v>595</v>
      </c>
      <c r="E5990" s="184">
        <v>44167</v>
      </c>
      <c r="G5990" s="184"/>
      <c r="I5990" s="184"/>
      <c r="K5990" s="184"/>
      <c r="P5990" t="s">
        <v>7045</v>
      </c>
      <c r="Q5990" t="s">
        <v>7160</v>
      </c>
      <c r="R5990" s="184">
        <v>20673</v>
      </c>
      <c r="S5990">
        <v>67</v>
      </c>
      <c r="U5990" t="s">
        <v>7076</v>
      </c>
      <c r="V5990" t="s">
        <v>2602</v>
      </c>
      <c r="X5990" t="s">
        <v>27092</v>
      </c>
      <c r="AF5990" t="s">
        <v>40506</v>
      </c>
      <c r="AG5990" t="s">
        <v>2602</v>
      </c>
      <c r="AI5990" t="s">
        <v>40507</v>
      </c>
      <c r="AM5990" t="s">
        <v>4026</v>
      </c>
      <c r="AN5990" t="s">
        <v>2395</v>
      </c>
      <c r="AO5990" t="s">
        <v>40508</v>
      </c>
      <c r="AP5990" t="s">
        <v>7024</v>
      </c>
      <c r="AQ5990" t="s">
        <v>40509</v>
      </c>
      <c r="AR5990" t="s">
        <v>40510</v>
      </c>
      <c r="AT5990" s="184">
        <v>34738</v>
      </c>
      <c r="AU5990" t="s">
        <v>40511</v>
      </c>
      <c r="AV5990">
        <v>10</v>
      </c>
      <c r="AW5990" s="184">
        <v>45397</v>
      </c>
      <c r="AX5990" t="s">
        <v>22799</v>
      </c>
      <c r="AY5990">
        <v>30</v>
      </c>
      <c r="AZ5990" s="184">
        <v>45043</v>
      </c>
      <c r="BA5990" t="s">
        <v>28582</v>
      </c>
      <c r="BB5990">
        <v>50</v>
      </c>
      <c r="BC5990">
        <v>77</v>
      </c>
      <c r="BD5990">
        <v>1060</v>
      </c>
      <c r="BE5990">
        <v>1995</v>
      </c>
      <c r="BF5990">
        <v>43</v>
      </c>
      <c r="BG5990">
        <v>4</v>
      </c>
      <c r="BH5990">
        <v>145</v>
      </c>
      <c r="BI5990">
        <v>23</v>
      </c>
      <c r="BJ5990">
        <v>30</v>
      </c>
      <c r="BK5990">
        <v>10</v>
      </c>
      <c r="BP5990" s="184"/>
    </row>
    <row r="5991" spans="1:68">
      <c r="A5991">
        <v>100823951</v>
      </c>
      <c r="B5991">
        <v>100823951</v>
      </c>
      <c r="C5991" t="s">
        <v>7018</v>
      </c>
      <c r="D5991" t="s">
        <v>595</v>
      </c>
      <c r="E5991" s="184">
        <v>44733</v>
      </c>
      <c r="G5991" s="184"/>
      <c r="I5991" s="184"/>
      <c r="K5991" s="184"/>
      <c r="P5991" t="s">
        <v>7045</v>
      </c>
      <c r="Q5991" t="s">
        <v>7030</v>
      </c>
      <c r="R5991" s="184">
        <v>18629</v>
      </c>
      <c r="S5991">
        <v>73</v>
      </c>
      <c r="V5991" t="s">
        <v>3072</v>
      </c>
      <c r="X5991" t="s">
        <v>40512</v>
      </c>
      <c r="AF5991" t="s">
        <v>40513</v>
      </c>
      <c r="AG5991" t="s">
        <v>3072</v>
      </c>
      <c r="AI5991" t="s">
        <v>40514</v>
      </c>
      <c r="AM5991" t="s">
        <v>2530</v>
      </c>
      <c r="AN5991" t="s">
        <v>2094</v>
      </c>
      <c r="AO5991" t="s">
        <v>40515</v>
      </c>
      <c r="AP5991" t="s">
        <v>7024</v>
      </c>
      <c r="AQ5991" t="s">
        <v>40516</v>
      </c>
      <c r="AT5991" s="184">
        <v>44648</v>
      </c>
      <c r="AU5991" t="s">
        <v>40517</v>
      </c>
      <c r="AV5991">
        <v>25</v>
      </c>
      <c r="AW5991" s="184">
        <v>45369</v>
      </c>
      <c r="AX5991" t="s">
        <v>40518</v>
      </c>
      <c r="AY5991">
        <v>50</v>
      </c>
      <c r="AZ5991" s="184">
        <v>45369</v>
      </c>
      <c r="BA5991" t="s">
        <v>40518</v>
      </c>
      <c r="BB5991">
        <v>50</v>
      </c>
      <c r="BC5991">
        <v>100</v>
      </c>
      <c r="BD5991">
        <v>125</v>
      </c>
      <c r="BE5991">
        <v>2022</v>
      </c>
      <c r="BF5991">
        <v>3</v>
      </c>
      <c r="BG5991">
        <v>2</v>
      </c>
      <c r="BH5991">
        <v>100</v>
      </c>
      <c r="BI5991">
        <v>3</v>
      </c>
      <c r="BJ5991">
        <v>3</v>
      </c>
      <c r="BK5991">
        <v>3</v>
      </c>
    </row>
    <row r="5992" spans="1:68">
      <c r="A5992">
        <v>100828441</v>
      </c>
      <c r="B5992">
        <v>100828441</v>
      </c>
      <c r="C5992" t="s">
        <v>7018</v>
      </c>
      <c r="D5992" t="s">
        <v>595</v>
      </c>
      <c r="E5992" s="184">
        <v>45146</v>
      </c>
      <c r="G5992" s="184"/>
      <c r="I5992" s="184"/>
      <c r="K5992" s="184"/>
      <c r="P5992" t="s">
        <v>7045</v>
      </c>
      <c r="Q5992" t="s">
        <v>7383</v>
      </c>
      <c r="R5992" s="184">
        <v>16258</v>
      </c>
      <c r="S5992">
        <v>79</v>
      </c>
      <c r="V5992" t="s">
        <v>3134</v>
      </c>
      <c r="X5992" t="s">
        <v>40519</v>
      </c>
      <c r="AF5992" t="s">
        <v>40520</v>
      </c>
      <c r="AG5992" t="s">
        <v>3134</v>
      </c>
      <c r="AI5992" t="s">
        <v>40521</v>
      </c>
      <c r="AM5992" t="s">
        <v>20662</v>
      </c>
      <c r="AN5992" t="s">
        <v>2419</v>
      </c>
      <c r="AO5992" t="s">
        <v>40522</v>
      </c>
      <c r="AP5992" t="s">
        <v>7024</v>
      </c>
      <c r="AT5992" s="184">
        <v>42655</v>
      </c>
      <c r="AU5992" t="s">
        <v>40523</v>
      </c>
      <c r="AV5992">
        <v>15</v>
      </c>
      <c r="AW5992" s="184">
        <v>44770</v>
      </c>
      <c r="AX5992" t="s">
        <v>40524</v>
      </c>
      <c r="AY5992">
        <v>25</v>
      </c>
      <c r="AZ5992" s="184">
        <v>44770</v>
      </c>
      <c r="BA5992" t="s">
        <v>40524</v>
      </c>
      <c r="BB5992">
        <v>25</v>
      </c>
      <c r="BC5992">
        <v>56</v>
      </c>
      <c r="BD5992">
        <v>140</v>
      </c>
      <c r="BE5992">
        <v>2017</v>
      </c>
      <c r="BF5992">
        <v>6</v>
      </c>
      <c r="BG5992">
        <v>1</v>
      </c>
      <c r="BH5992">
        <v>25</v>
      </c>
      <c r="BI5992">
        <v>5</v>
      </c>
      <c r="BJ5992">
        <v>9</v>
      </c>
      <c r="BK5992">
        <v>3</v>
      </c>
      <c r="BP5992" s="184"/>
    </row>
    <row r="5993" spans="1:68">
      <c r="A5993">
        <v>100828858</v>
      </c>
      <c r="B5993">
        <v>100828858</v>
      </c>
      <c r="C5993" t="s">
        <v>7018</v>
      </c>
      <c r="D5993" t="s">
        <v>595</v>
      </c>
      <c r="E5993" s="184">
        <v>45195</v>
      </c>
      <c r="G5993" s="184"/>
      <c r="I5993" s="184"/>
      <c r="K5993" s="184"/>
      <c r="P5993" t="s">
        <v>7045</v>
      </c>
      <c r="Q5993" t="s">
        <v>7774</v>
      </c>
      <c r="R5993" s="184">
        <v>24042</v>
      </c>
      <c r="S5993">
        <v>58</v>
      </c>
      <c r="V5993" t="s">
        <v>3400</v>
      </c>
      <c r="W5993" t="s">
        <v>2049</v>
      </c>
      <c r="X5993" t="s">
        <v>31882</v>
      </c>
      <c r="Y5993" t="s">
        <v>40525</v>
      </c>
      <c r="AF5993" t="s">
        <v>40526</v>
      </c>
      <c r="AG5993" t="s">
        <v>3400</v>
      </c>
      <c r="AI5993" t="s">
        <v>40527</v>
      </c>
      <c r="AM5993" t="s">
        <v>40528</v>
      </c>
      <c r="AN5993" t="s">
        <v>2077</v>
      </c>
      <c r="AO5993" t="s">
        <v>40529</v>
      </c>
      <c r="AP5993" t="s">
        <v>7024</v>
      </c>
      <c r="AQ5993" t="s">
        <v>40530</v>
      </c>
      <c r="AT5993" s="184">
        <v>42905</v>
      </c>
      <c r="AU5993" t="s">
        <v>40531</v>
      </c>
      <c r="AV5993">
        <v>20</v>
      </c>
      <c r="AW5993" s="184">
        <v>45091</v>
      </c>
      <c r="AX5993" t="s">
        <v>24313</v>
      </c>
      <c r="AY5993">
        <v>25</v>
      </c>
      <c r="AZ5993" s="184">
        <v>44872</v>
      </c>
      <c r="BA5993" t="s">
        <v>40532</v>
      </c>
      <c r="BB5993">
        <v>40</v>
      </c>
      <c r="BC5993">
        <v>38</v>
      </c>
      <c r="BD5993">
        <v>110</v>
      </c>
      <c r="BE5993">
        <v>2017</v>
      </c>
      <c r="BF5993">
        <v>4</v>
      </c>
      <c r="BG5993">
        <v>3</v>
      </c>
      <c r="BH5993">
        <v>90</v>
      </c>
      <c r="BI5993">
        <v>3</v>
      </c>
      <c r="BJ5993">
        <v>8</v>
      </c>
      <c r="BK5993">
        <v>2</v>
      </c>
    </row>
    <row r="5994" spans="1:68">
      <c r="A5994">
        <v>100831619</v>
      </c>
      <c r="B5994">
        <v>100831619</v>
      </c>
      <c r="C5994" t="s">
        <v>7018</v>
      </c>
      <c r="E5994" s="184"/>
      <c r="G5994" s="184"/>
      <c r="H5994" t="s">
        <v>595</v>
      </c>
      <c r="I5994" s="184">
        <v>44718</v>
      </c>
      <c r="K5994" s="184"/>
      <c r="P5994" t="s">
        <v>8550</v>
      </c>
      <c r="Q5994" t="s">
        <v>7160</v>
      </c>
      <c r="R5994" s="184">
        <v>19191</v>
      </c>
      <c r="S5994">
        <v>71</v>
      </c>
      <c r="V5994" t="s">
        <v>3317</v>
      </c>
      <c r="X5994" t="s">
        <v>40533</v>
      </c>
      <c r="AF5994" t="s">
        <v>40534</v>
      </c>
      <c r="AG5994" t="s">
        <v>3317</v>
      </c>
      <c r="AI5994" t="s">
        <v>40535</v>
      </c>
      <c r="AM5994" t="s">
        <v>40536</v>
      </c>
      <c r="AN5994" t="s">
        <v>2675</v>
      </c>
      <c r="AO5994">
        <v>42211</v>
      </c>
      <c r="AP5994" t="s">
        <v>7024</v>
      </c>
      <c r="AQ5994" t="s">
        <v>40537</v>
      </c>
      <c r="AT5994" s="184"/>
      <c r="AW5994" s="184"/>
      <c r="AZ5994" s="184"/>
      <c r="BP5994" s="184"/>
    </row>
    <row r="5995" spans="1:68">
      <c r="A5995">
        <v>100837519</v>
      </c>
      <c r="B5995">
        <v>100837519</v>
      </c>
      <c r="C5995" t="s">
        <v>7018</v>
      </c>
      <c r="D5995" t="s">
        <v>595</v>
      </c>
      <c r="E5995" s="184">
        <v>44438</v>
      </c>
      <c r="G5995" s="184"/>
      <c r="I5995" s="184"/>
      <c r="K5995" s="184"/>
      <c r="P5995" t="s">
        <v>7045</v>
      </c>
      <c r="Q5995" t="s">
        <v>7383</v>
      </c>
      <c r="R5995" s="184">
        <v>19603</v>
      </c>
      <c r="S5995">
        <v>70</v>
      </c>
      <c r="U5995" t="s">
        <v>7130</v>
      </c>
      <c r="V5995" t="s">
        <v>2586</v>
      </c>
      <c r="W5995" t="s">
        <v>2049</v>
      </c>
      <c r="X5995" t="s">
        <v>2889</v>
      </c>
      <c r="AF5995" t="s">
        <v>40538</v>
      </c>
      <c r="AG5995" t="s">
        <v>2586</v>
      </c>
      <c r="AI5995" t="s">
        <v>40539</v>
      </c>
      <c r="AM5995" t="s">
        <v>2830</v>
      </c>
      <c r="AN5995" t="s">
        <v>2185</v>
      </c>
      <c r="AO5995" t="s">
        <v>40540</v>
      </c>
      <c r="AP5995" t="s">
        <v>7024</v>
      </c>
      <c r="AQ5995" t="s">
        <v>40541</v>
      </c>
      <c r="AR5995" t="s">
        <v>40542</v>
      </c>
      <c r="AT5995" s="184">
        <v>38406</v>
      </c>
      <c r="AU5995" t="s">
        <v>40543</v>
      </c>
      <c r="AV5995">
        <v>25</v>
      </c>
      <c r="AW5995" s="184">
        <v>45418</v>
      </c>
      <c r="AX5995" t="s">
        <v>7112</v>
      </c>
      <c r="AY5995">
        <v>15</v>
      </c>
      <c r="AZ5995" s="184">
        <v>38825</v>
      </c>
      <c r="BA5995" t="s">
        <v>40544</v>
      </c>
      <c r="BB5995">
        <v>50</v>
      </c>
      <c r="BC5995">
        <v>45</v>
      </c>
      <c r="BD5995">
        <v>611.75</v>
      </c>
      <c r="BE5995">
        <v>2005</v>
      </c>
      <c r="BF5995">
        <v>26</v>
      </c>
      <c r="BG5995">
        <v>15</v>
      </c>
      <c r="BH5995">
        <v>286.75</v>
      </c>
      <c r="BI5995">
        <v>9</v>
      </c>
      <c r="BJ5995">
        <v>20</v>
      </c>
      <c r="BK5995">
        <v>5</v>
      </c>
      <c r="BP5995" s="184"/>
    </row>
    <row r="5996" spans="1:68">
      <c r="A5996">
        <v>100960541</v>
      </c>
      <c r="B5996">
        <v>100960541</v>
      </c>
      <c r="C5996" t="s">
        <v>7018</v>
      </c>
      <c r="D5996" t="s">
        <v>595</v>
      </c>
      <c r="E5996" s="184">
        <v>45148</v>
      </c>
      <c r="G5996" s="184"/>
      <c r="I5996" s="184"/>
      <c r="K5996" s="184"/>
      <c r="P5996" t="s">
        <v>7045</v>
      </c>
      <c r="Q5996" t="s">
        <v>7494</v>
      </c>
      <c r="R5996" s="184">
        <v>20637</v>
      </c>
      <c r="S5996">
        <v>67</v>
      </c>
      <c r="V5996" t="s">
        <v>3652</v>
      </c>
      <c r="X5996" t="s">
        <v>40545</v>
      </c>
      <c r="AF5996" t="s">
        <v>40546</v>
      </c>
      <c r="AG5996" t="s">
        <v>3652</v>
      </c>
      <c r="AI5996" t="s">
        <v>40547</v>
      </c>
      <c r="AM5996" t="s">
        <v>23675</v>
      </c>
      <c r="AN5996" t="s">
        <v>2174</v>
      </c>
      <c r="AO5996" t="s">
        <v>40548</v>
      </c>
      <c r="AP5996" t="s">
        <v>7024</v>
      </c>
      <c r="AQ5996" t="s">
        <v>40549</v>
      </c>
      <c r="AT5996" s="184">
        <v>43032</v>
      </c>
      <c r="AU5996" t="s">
        <v>40550</v>
      </c>
      <c r="AV5996">
        <v>15</v>
      </c>
      <c r="AW5996" s="184">
        <v>44737</v>
      </c>
      <c r="AX5996" t="s">
        <v>40551</v>
      </c>
      <c r="AY5996">
        <v>20</v>
      </c>
      <c r="AZ5996" s="184">
        <v>44180</v>
      </c>
      <c r="BA5996" t="s">
        <v>40552</v>
      </c>
      <c r="BB5996">
        <v>25</v>
      </c>
      <c r="BC5996">
        <v>63</v>
      </c>
      <c r="BD5996">
        <v>225</v>
      </c>
      <c r="BE5996">
        <v>2018</v>
      </c>
      <c r="BF5996">
        <v>11</v>
      </c>
      <c r="BG5996">
        <v>1</v>
      </c>
      <c r="BH5996">
        <v>20</v>
      </c>
      <c r="BI5996">
        <v>5</v>
      </c>
      <c r="BJ5996">
        <v>8</v>
      </c>
      <c r="BK5996">
        <v>4</v>
      </c>
      <c r="BP5996" s="184"/>
    </row>
    <row r="5997" spans="1:68">
      <c r="A5997">
        <v>100963352</v>
      </c>
      <c r="B5997">
        <v>100963352</v>
      </c>
      <c r="C5997" t="s">
        <v>7018</v>
      </c>
      <c r="E5997" s="184"/>
      <c r="G5997" s="184"/>
      <c r="I5997" s="184"/>
      <c r="J5997" t="s">
        <v>595</v>
      </c>
      <c r="K5997" s="184">
        <v>44748</v>
      </c>
      <c r="P5997" t="s">
        <v>8550</v>
      </c>
      <c r="Q5997" t="s">
        <v>7383</v>
      </c>
      <c r="R5997" s="184">
        <v>23616</v>
      </c>
      <c r="S5997">
        <v>59</v>
      </c>
      <c r="V5997" t="s">
        <v>2903</v>
      </c>
      <c r="X5997" t="s">
        <v>4565</v>
      </c>
      <c r="AF5997" t="s">
        <v>40553</v>
      </c>
      <c r="AG5997" t="s">
        <v>2903</v>
      </c>
      <c r="AI5997" t="s">
        <v>40554</v>
      </c>
      <c r="AM5997" t="s">
        <v>40555</v>
      </c>
      <c r="AN5997" t="s">
        <v>2313</v>
      </c>
      <c r="AO5997">
        <v>60448</v>
      </c>
      <c r="AP5997" t="s">
        <v>7024</v>
      </c>
      <c r="AQ5997" t="s">
        <v>40556</v>
      </c>
      <c r="AT5997" s="184"/>
      <c r="AW5997" s="184"/>
      <c r="AZ5997" s="184"/>
    </row>
    <row r="5998" spans="1:68">
      <c r="A5998">
        <v>100963397</v>
      </c>
      <c r="B5998">
        <v>100963397</v>
      </c>
      <c r="C5998" t="s">
        <v>7018</v>
      </c>
      <c r="E5998" s="184"/>
      <c r="G5998" s="184"/>
      <c r="I5998" s="184"/>
      <c r="J5998" t="s">
        <v>595</v>
      </c>
      <c r="K5998" s="184">
        <v>44749</v>
      </c>
      <c r="P5998" t="s">
        <v>8550</v>
      </c>
      <c r="R5998" s="184"/>
      <c r="V5998" t="s">
        <v>23351</v>
      </c>
      <c r="X5998" t="s">
        <v>25643</v>
      </c>
      <c r="AF5998" t="s">
        <v>40557</v>
      </c>
      <c r="AG5998" t="s">
        <v>23351</v>
      </c>
      <c r="AP5998" t="s">
        <v>7024</v>
      </c>
      <c r="AT5998" s="184"/>
      <c r="AW5998" s="184"/>
      <c r="AZ5998" s="184"/>
      <c r="BL5998" t="s">
        <v>595</v>
      </c>
      <c r="BM5998" t="s">
        <v>595</v>
      </c>
      <c r="BN5998" t="s">
        <v>595</v>
      </c>
    </row>
    <row r="5999" spans="1:68">
      <c r="A5999">
        <v>100963961</v>
      </c>
      <c r="B5999">
        <v>100963961</v>
      </c>
      <c r="C5999" t="s">
        <v>7018</v>
      </c>
      <c r="E5999" s="184"/>
      <c r="G5999" s="184"/>
      <c r="H5999" t="s">
        <v>595</v>
      </c>
      <c r="I5999" s="184">
        <v>44755</v>
      </c>
      <c r="K5999" s="184"/>
      <c r="P5999" t="s">
        <v>8550</v>
      </c>
      <c r="Q5999" t="s">
        <v>7160</v>
      </c>
      <c r="R5999" s="184"/>
      <c r="V5999" t="s">
        <v>2758</v>
      </c>
      <c r="X5999" t="s">
        <v>3318</v>
      </c>
      <c r="AF5999" t="s">
        <v>40558</v>
      </c>
      <c r="AG5999" t="s">
        <v>2758</v>
      </c>
      <c r="AI5999" t="s">
        <v>40559</v>
      </c>
      <c r="AM5999" t="s">
        <v>40560</v>
      </c>
      <c r="AN5999" t="s">
        <v>2395</v>
      </c>
      <c r="AO5999">
        <v>30538</v>
      </c>
      <c r="AP5999" t="s">
        <v>7024</v>
      </c>
      <c r="AT5999" s="184"/>
      <c r="AW5999" s="184"/>
      <c r="AZ5999" s="184"/>
      <c r="BP5999" s="184"/>
    </row>
    <row r="6000" spans="1:68">
      <c r="A6000">
        <v>100964965</v>
      </c>
      <c r="B6000">
        <v>100964965</v>
      </c>
      <c r="C6000" t="s">
        <v>7018</v>
      </c>
      <c r="E6000" s="184"/>
      <c r="G6000" s="184"/>
      <c r="I6000" s="184"/>
      <c r="J6000" t="s">
        <v>595</v>
      </c>
      <c r="K6000" s="184">
        <v>45259</v>
      </c>
      <c r="M6000" s="184"/>
      <c r="P6000" t="s">
        <v>7029</v>
      </c>
      <c r="Q6000" t="s">
        <v>7020</v>
      </c>
      <c r="R6000" s="184"/>
      <c r="U6000" t="s">
        <v>7032</v>
      </c>
      <c r="V6000" t="s">
        <v>2851</v>
      </c>
      <c r="X6000" t="s">
        <v>16711</v>
      </c>
      <c r="AF6000" t="s">
        <v>40561</v>
      </c>
      <c r="AG6000" t="s">
        <v>2851</v>
      </c>
      <c r="AI6000" t="s">
        <v>40562</v>
      </c>
      <c r="AM6000" t="s">
        <v>5956</v>
      </c>
      <c r="AN6000" t="s">
        <v>2052</v>
      </c>
      <c r="AO6000" t="s">
        <v>40563</v>
      </c>
      <c r="AP6000" t="s">
        <v>7024</v>
      </c>
      <c r="AQ6000" t="s">
        <v>40564</v>
      </c>
      <c r="AT6000" s="184">
        <v>44748</v>
      </c>
      <c r="AU6000" t="s">
        <v>40565</v>
      </c>
      <c r="AV6000">
        <v>25</v>
      </c>
      <c r="AW6000" s="184">
        <v>45369</v>
      </c>
      <c r="AX6000" t="s">
        <v>17603</v>
      </c>
      <c r="AY6000">
        <v>1050</v>
      </c>
      <c r="AZ6000" s="184">
        <v>45369</v>
      </c>
      <c r="BA6000" t="s">
        <v>17603</v>
      </c>
      <c r="BB6000">
        <v>1050</v>
      </c>
      <c r="BC6000">
        <v>100</v>
      </c>
      <c r="BD6000">
        <v>2210</v>
      </c>
      <c r="BE6000">
        <v>2023</v>
      </c>
      <c r="BF6000">
        <v>5</v>
      </c>
      <c r="BG6000">
        <v>5</v>
      </c>
      <c r="BH6000">
        <v>2210</v>
      </c>
      <c r="BI6000">
        <v>3</v>
      </c>
      <c r="BJ6000">
        <v>3</v>
      </c>
      <c r="BK6000">
        <v>3</v>
      </c>
      <c r="BP6000" s="184"/>
    </row>
    <row r="6001" spans="1:68">
      <c r="A6001">
        <v>100966321</v>
      </c>
      <c r="B6001">
        <v>100966321</v>
      </c>
      <c r="C6001" t="s">
        <v>7018</v>
      </c>
      <c r="E6001" s="184"/>
      <c r="F6001" t="s">
        <v>595</v>
      </c>
      <c r="G6001" s="184">
        <v>44414</v>
      </c>
      <c r="I6001" s="184"/>
      <c r="K6001" s="184"/>
      <c r="M6001" s="184"/>
      <c r="P6001" t="s">
        <v>7045</v>
      </c>
      <c r="Q6001" t="s">
        <v>7030</v>
      </c>
      <c r="R6001" s="184">
        <v>17126</v>
      </c>
      <c r="S6001">
        <v>77</v>
      </c>
      <c r="V6001" t="s">
        <v>3825</v>
      </c>
      <c r="W6001" t="s">
        <v>7248</v>
      </c>
      <c r="X6001" t="s">
        <v>40566</v>
      </c>
      <c r="AF6001" t="s">
        <v>40567</v>
      </c>
      <c r="AG6001" t="s">
        <v>3825</v>
      </c>
      <c r="AI6001" t="s">
        <v>40568</v>
      </c>
      <c r="AM6001" t="s">
        <v>4299</v>
      </c>
      <c r="AN6001" t="s">
        <v>2089</v>
      </c>
      <c r="AO6001">
        <v>85279</v>
      </c>
      <c r="AP6001" t="s">
        <v>7024</v>
      </c>
      <c r="AQ6001" t="s">
        <v>40569</v>
      </c>
      <c r="AT6001" s="184">
        <v>42514</v>
      </c>
      <c r="AU6001" t="s">
        <v>40570</v>
      </c>
      <c r="AV6001">
        <v>25</v>
      </c>
      <c r="AW6001" s="184">
        <v>44791</v>
      </c>
      <c r="AX6001" t="s">
        <v>7832</v>
      </c>
      <c r="AY6001">
        <v>50</v>
      </c>
      <c r="AZ6001" s="184">
        <v>42983</v>
      </c>
      <c r="BA6001" t="s">
        <v>40571</v>
      </c>
      <c r="BB6001">
        <v>75</v>
      </c>
      <c r="BC6001">
        <v>78</v>
      </c>
      <c r="BD6001">
        <v>450</v>
      </c>
      <c r="BE6001">
        <v>2016</v>
      </c>
      <c r="BF6001">
        <v>9</v>
      </c>
      <c r="BG6001">
        <v>2</v>
      </c>
      <c r="BH6001">
        <v>100</v>
      </c>
      <c r="BI6001">
        <v>7</v>
      </c>
      <c r="BJ6001">
        <v>9</v>
      </c>
      <c r="BK6001">
        <v>7</v>
      </c>
      <c r="BN6001" t="s">
        <v>595</v>
      </c>
      <c r="BP6001" s="184"/>
    </row>
    <row r="6002" spans="1:68">
      <c r="A6002">
        <v>100967930</v>
      </c>
      <c r="B6002">
        <v>100967930</v>
      </c>
      <c r="C6002" t="s">
        <v>7018</v>
      </c>
      <c r="E6002" s="184"/>
      <c r="G6002" s="184"/>
      <c r="I6002" s="184"/>
      <c r="J6002" t="s">
        <v>595</v>
      </c>
      <c r="K6002" s="184">
        <v>44781</v>
      </c>
      <c r="M6002" s="184"/>
      <c r="P6002" t="s">
        <v>8550</v>
      </c>
      <c r="R6002" s="184"/>
      <c r="U6002" t="s">
        <v>7076</v>
      </c>
      <c r="V6002" t="s">
        <v>11152</v>
      </c>
      <c r="X6002" t="s">
        <v>3500</v>
      </c>
      <c r="AF6002" t="s">
        <v>40572</v>
      </c>
      <c r="AG6002" t="s">
        <v>11152</v>
      </c>
      <c r="AP6002" t="s">
        <v>7024</v>
      </c>
      <c r="AQ6002" t="s">
        <v>40573</v>
      </c>
      <c r="AT6002" s="184"/>
      <c r="AW6002" s="184"/>
      <c r="AZ6002" s="184"/>
      <c r="BP6002" s="184"/>
    </row>
    <row r="6003" spans="1:68">
      <c r="A6003">
        <v>100968065</v>
      </c>
      <c r="B6003">
        <v>100968065</v>
      </c>
      <c r="C6003" t="s">
        <v>7018</v>
      </c>
      <c r="E6003" s="184"/>
      <c r="G6003" s="184"/>
      <c r="I6003" s="184"/>
      <c r="J6003" t="s">
        <v>595</v>
      </c>
      <c r="K6003" s="184">
        <v>44823</v>
      </c>
      <c r="M6003" s="184"/>
      <c r="P6003" t="s">
        <v>7084</v>
      </c>
      <c r="R6003" s="184"/>
      <c r="V6003" t="s">
        <v>4131</v>
      </c>
      <c r="X6003" t="s">
        <v>18931</v>
      </c>
      <c r="AF6003" t="s">
        <v>40574</v>
      </c>
      <c r="AG6003" t="s">
        <v>4131</v>
      </c>
      <c r="AP6003" t="s">
        <v>7024</v>
      </c>
      <c r="AT6003" s="184">
        <v>45145</v>
      </c>
      <c r="AU6003" t="s">
        <v>7296</v>
      </c>
      <c r="AV6003">
        <v>251572.83</v>
      </c>
      <c r="AW6003" s="184">
        <v>45145</v>
      </c>
      <c r="AX6003" t="s">
        <v>7296</v>
      </c>
      <c r="AY6003">
        <v>251572.83</v>
      </c>
      <c r="AZ6003" s="184">
        <v>45145</v>
      </c>
      <c r="BA6003" t="s">
        <v>7296</v>
      </c>
      <c r="BB6003">
        <v>251572.83</v>
      </c>
      <c r="BC6003">
        <v>50</v>
      </c>
      <c r="BD6003">
        <v>251572.83</v>
      </c>
      <c r="BE6003">
        <v>2024</v>
      </c>
      <c r="BF6003">
        <v>1</v>
      </c>
      <c r="BG6003">
        <v>1</v>
      </c>
      <c r="BH6003">
        <v>251572.83</v>
      </c>
      <c r="BI6003">
        <v>1</v>
      </c>
      <c r="BJ6003">
        <v>2</v>
      </c>
      <c r="BK6003">
        <v>1</v>
      </c>
      <c r="BO6003" t="s">
        <v>595</v>
      </c>
      <c r="BP6003" s="184"/>
    </row>
    <row r="6004" spans="1:68">
      <c r="A6004">
        <v>100970032</v>
      </c>
      <c r="B6004">
        <v>100970032</v>
      </c>
      <c r="C6004" t="s">
        <v>23153</v>
      </c>
      <c r="E6004" s="184"/>
      <c r="H6004" t="s">
        <v>595</v>
      </c>
      <c r="I6004" s="184">
        <v>45180</v>
      </c>
      <c r="K6004" s="184"/>
      <c r="M6004" s="184"/>
      <c r="P6004" t="s">
        <v>7045</v>
      </c>
      <c r="Q6004" t="s">
        <v>7194</v>
      </c>
      <c r="R6004" s="184">
        <v>19844</v>
      </c>
      <c r="S6004">
        <v>70</v>
      </c>
      <c r="U6004" t="s">
        <v>7076</v>
      </c>
      <c r="V6004" t="s">
        <v>3317</v>
      </c>
      <c r="X6004" t="s">
        <v>40575</v>
      </c>
      <c r="Z6004">
        <v>101170344</v>
      </c>
      <c r="AB6004" t="s">
        <v>2851</v>
      </c>
      <c r="AD6004" t="s">
        <v>40575</v>
      </c>
      <c r="AF6004" t="s">
        <v>40576</v>
      </c>
      <c r="AG6004" t="s">
        <v>9100</v>
      </c>
      <c r="AI6004" t="s">
        <v>40577</v>
      </c>
      <c r="AM6004" t="s">
        <v>4215</v>
      </c>
      <c r="AN6004" t="s">
        <v>2046</v>
      </c>
      <c r="AO6004" t="s">
        <v>40578</v>
      </c>
      <c r="AP6004" t="s">
        <v>7024</v>
      </c>
      <c r="AQ6004" t="s">
        <v>40579</v>
      </c>
      <c r="AT6004" s="184">
        <v>44774</v>
      </c>
      <c r="AU6004" t="s">
        <v>40580</v>
      </c>
      <c r="AV6004">
        <v>15</v>
      </c>
      <c r="AW6004" s="184">
        <v>44774</v>
      </c>
      <c r="AX6004" t="s">
        <v>40580</v>
      </c>
      <c r="AY6004">
        <v>15</v>
      </c>
      <c r="AZ6004" s="184">
        <v>44774</v>
      </c>
      <c r="BA6004" t="s">
        <v>40580</v>
      </c>
      <c r="BB6004">
        <v>15</v>
      </c>
      <c r="BC6004">
        <v>34</v>
      </c>
      <c r="BD6004">
        <v>15</v>
      </c>
      <c r="BE6004">
        <v>2023</v>
      </c>
      <c r="BF6004">
        <v>1</v>
      </c>
      <c r="BG6004">
        <v>1</v>
      </c>
      <c r="BH6004">
        <v>15</v>
      </c>
      <c r="BI6004">
        <v>1</v>
      </c>
      <c r="BJ6004">
        <v>3</v>
      </c>
      <c r="BK6004">
        <v>1</v>
      </c>
    </row>
    <row r="6005" spans="1:68">
      <c r="A6005">
        <v>100972373</v>
      </c>
      <c r="B6005">
        <v>100972373</v>
      </c>
      <c r="C6005" t="s">
        <v>7018</v>
      </c>
      <c r="D6005" t="s">
        <v>595</v>
      </c>
      <c r="E6005" s="184">
        <v>44455</v>
      </c>
      <c r="G6005" s="184"/>
      <c r="I6005" s="184"/>
      <c r="K6005" s="184"/>
      <c r="M6005" s="184"/>
      <c r="P6005" t="s">
        <v>7045</v>
      </c>
      <c r="Q6005" t="s">
        <v>7030</v>
      </c>
      <c r="R6005" s="184">
        <v>15118</v>
      </c>
      <c r="S6005">
        <v>82</v>
      </c>
      <c r="V6005" t="s">
        <v>4279</v>
      </c>
      <c r="W6005" t="s">
        <v>4013</v>
      </c>
      <c r="X6005" t="s">
        <v>40581</v>
      </c>
      <c r="AF6005" t="s">
        <v>40582</v>
      </c>
      <c r="AG6005" t="s">
        <v>4279</v>
      </c>
      <c r="AI6005" t="s">
        <v>40583</v>
      </c>
      <c r="AM6005" t="s">
        <v>40584</v>
      </c>
      <c r="AN6005" t="s">
        <v>2638</v>
      </c>
      <c r="AO6005" t="s">
        <v>40585</v>
      </c>
      <c r="AP6005" t="s">
        <v>7024</v>
      </c>
      <c r="AQ6005" t="s">
        <v>40586</v>
      </c>
      <c r="AR6005" t="s">
        <v>40587</v>
      </c>
      <c r="AT6005" s="184">
        <v>42599</v>
      </c>
      <c r="AU6005" t="s">
        <v>40588</v>
      </c>
      <c r="AV6005">
        <v>25</v>
      </c>
      <c r="AW6005" s="184">
        <v>45156</v>
      </c>
      <c r="AX6005" t="s">
        <v>14595</v>
      </c>
      <c r="AY6005">
        <v>30</v>
      </c>
      <c r="AZ6005" s="184">
        <v>43678</v>
      </c>
      <c r="BA6005" t="s">
        <v>40589</v>
      </c>
      <c r="BB6005">
        <v>60</v>
      </c>
      <c r="BC6005">
        <v>89</v>
      </c>
      <c r="BD6005">
        <v>523.89</v>
      </c>
      <c r="BE6005">
        <v>2017</v>
      </c>
      <c r="BF6005">
        <v>20</v>
      </c>
      <c r="BG6005">
        <v>3</v>
      </c>
      <c r="BH6005">
        <v>120</v>
      </c>
      <c r="BI6005">
        <v>8</v>
      </c>
      <c r="BJ6005">
        <v>9</v>
      </c>
      <c r="BK6005">
        <v>8</v>
      </c>
      <c r="BP6005" s="184"/>
    </row>
    <row r="6006" spans="1:68">
      <c r="A6006">
        <v>100972749</v>
      </c>
      <c r="B6006">
        <v>100972749</v>
      </c>
      <c r="C6006" t="s">
        <v>7018</v>
      </c>
      <c r="D6006" t="s">
        <v>595</v>
      </c>
      <c r="E6006" s="184">
        <v>45195</v>
      </c>
      <c r="G6006" s="184"/>
      <c r="I6006" s="184"/>
      <c r="K6006" s="184"/>
      <c r="M6006" s="184"/>
      <c r="P6006" t="s">
        <v>7045</v>
      </c>
      <c r="Q6006" t="s">
        <v>7383</v>
      </c>
      <c r="R6006" s="184">
        <v>21875</v>
      </c>
      <c r="S6006">
        <v>64</v>
      </c>
      <c r="U6006" t="s">
        <v>7130</v>
      </c>
      <c r="V6006" t="s">
        <v>3226</v>
      </c>
      <c r="X6006" t="s">
        <v>40590</v>
      </c>
      <c r="AF6006" t="s">
        <v>40591</v>
      </c>
      <c r="AG6006" t="s">
        <v>40592</v>
      </c>
      <c r="AI6006" t="s">
        <v>40593</v>
      </c>
      <c r="AM6006" t="s">
        <v>3277</v>
      </c>
      <c r="AN6006" t="s">
        <v>2274</v>
      </c>
      <c r="AO6006" t="s">
        <v>40594</v>
      </c>
      <c r="AP6006" t="s">
        <v>7024</v>
      </c>
      <c r="AT6006" s="184">
        <v>34214</v>
      </c>
      <c r="AU6006" t="s">
        <v>14029</v>
      </c>
      <c r="AV6006">
        <v>19.95</v>
      </c>
      <c r="AW6006" s="184">
        <v>45322</v>
      </c>
      <c r="AX6006" t="s">
        <v>18397</v>
      </c>
      <c r="AY6006">
        <v>100</v>
      </c>
      <c r="AZ6006" s="184">
        <v>45322</v>
      </c>
      <c r="BA6006" t="s">
        <v>18397</v>
      </c>
      <c r="BB6006">
        <v>100</v>
      </c>
      <c r="BC6006">
        <v>19</v>
      </c>
      <c r="BD6006">
        <v>414.95</v>
      </c>
      <c r="BE6006">
        <v>1994</v>
      </c>
      <c r="BF6006">
        <v>7</v>
      </c>
      <c r="BG6006">
        <v>4</v>
      </c>
      <c r="BH6006">
        <v>195</v>
      </c>
      <c r="BI6006">
        <v>6</v>
      </c>
      <c r="BJ6006">
        <v>32</v>
      </c>
      <c r="BK6006">
        <v>5</v>
      </c>
      <c r="BP6006" s="184"/>
    </row>
    <row r="6007" spans="1:68">
      <c r="A6007">
        <v>100973187</v>
      </c>
      <c r="B6007">
        <v>100973187</v>
      </c>
      <c r="C6007" t="s">
        <v>7018</v>
      </c>
      <c r="E6007" s="184"/>
      <c r="G6007" s="184"/>
      <c r="I6007" s="184"/>
      <c r="J6007" t="s">
        <v>595</v>
      </c>
      <c r="K6007" s="184">
        <v>44827</v>
      </c>
      <c r="M6007" s="184"/>
      <c r="P6007" t="s">
        <v>7686</v>
      </c>
      <c r="R6007" s="184"/>
      <c r="V6007" t="s">
        <v>40595</v>
      </c>
      <c r="X6007" t="s">
        <v>2657</v>
      </c>
      <c r="AF6007" t="s">
        <v>40596</v>
      </c>
      <c r="AG6007" t="s">
        <v>40595</v>
      </c>
      <c r="AP6007" t="s">
        <v>7024</v>
      </c>
      <c r="AT6007" s="184">
        <v>44795</v>
      </c>
      <c r="AU6007" t="s">
        <v>40597</v>
      </c>
      <c r="AV6007">
        <v>5000</v>
      </c>
      <c r="AW6007" s="184">
        <v>44795</v>
      </c>
      <c r="AX6007" t="s">
        <v>40597</v>
      </c>
      <c r="AY6007">
        <v>5000</v>
      </c>
      <c r="AZ6007" s="184">
        <v>44795</v>
      </c>
      <c r="BA6007" t="s">
        <v>40597</v>
      </c>
      <c r="BB6007">
        <v>5000</v>
      </c>
      <c r="BC6007">
        <v>34</v>
      </c>
      <c r="BD6007">
        <v>5000</v>
      </c>
      <c r="BE6007">
        <v>2023</v>
      </c>
      <c r="BF6007">
        <v>1</v>
      </c>
      <c r="BG6007">
        <v>1</v>
      </c>
      <c r="BH6007">
        <v>5000</v>
      </c>
      <c r="BI6007">
        <v>1</v>
      </c>
      <c r="BJ6007">
        <v>3</v>
      </c>
      <c r="BK6007">
        <v>1</v>
      </c>
      <c r="BL6007" t="s">
        <v>595</v>
      </c>
      <c r="BM6007" t="s">
        <v>595</v>
      </c>
      <c r="BN6007" t="s">
        <v>595</v>
      </c>
      <c r="BO6007" t="s">
        <v>595</v>
      </c>
      <c r="BP6007" s="184"/>
    </row>
    <row r="6008" spans="1:68">
      <c r="A6008">
        <v>100973661</v>
      </c>
      <c r="B6008">
        <v>100973661</v>
      </c>
      <c r="C6008" t="s">
        <v>7018</v>
      </c>
      <c r="D6008" t="s">
        <v>595</v>
      </c>
      <c r="E6008" s="184">
        <v>44810</v>
      </c>
      <c r="G6008" s="184"/>
      <c r="I6008" s="184"/>
      <c r="K6008" s="184"/>
      <c r="M6008" s="184"/>
      <c r="P6008" t="s">
        <v>8550</v>
      </c>
      <c r="Q6008" t="s">
        <v>7383</v>
      </c>
      <c r="R6008" s="184"/>
      <c r="V6008" t="s">
        <v>27933</v>
      </c>
      <c r="X6008" t="s">
        <v>40598</v>
      </c>
      <c r="AF6008" t="s">
        <v>40599</v>
      </c>
      <c r="AG6008" t="s">
        <v>27933</v>
      </c>
      <c r="AI6008" t="s">
        <v>40600</v>
      </c>
      <c r="AM6008" t="s">
        <v>2940</v>
      </c>
      <c r="AN6008" t="s">
        <v>2185</v>
      </c>
      <c r="AO6008">
        <v>55082</v>
      </c>
      <c r="AP6008" t="s">
        <v>7024</v>
      </c>
      <c r="AQ6008" t="s">
        <v>40601</v>
      </c>
      <c r="AT6008" s="184"/>
      <c r="AW6008" s="184"/>
      <c r="AZ6008" s="184"/>
      <c r="BP6008" s="184"/>
    </row>
    <row r="6009" spans="1:68">
      <c r="A6009">
        <v>100975963</v>
      </c>
      <c r="B6009">
        <v>100975963</v>
      </c>
      <c r="C6009" t="s">
        <v>7018</v>
      </c>
      <c r="D6009" t="s">
        <v>595</v>
      </c>
      <c r="E6009" s="184">
        <v>44167</v>
      </c>
      <c r="F6009" t="s">
        <v>595</v>
      </c>
      <c r="G6009" s="184">
        <v>45392</v>
      </c>
      <c r="I6009" s="184"/>
      <c r="K6009" s="184"/>
      <c r="M6009" s="184"/>
      <c r="P6009" t="s">
        <v>7045</v>
      </c>
      <c r="Q6009" t="s">
        <v>7194</v>
      </c>
      <c r="R6009" s="184">
        <v>18476</v>
      </c>
      <c r="S6009">
        <v>73</v>
      </c>
      <c r="V6009" t="s">
        <v>3478</v>
      </c>
      <c r="X6009" t="s">
        <v>40602</v>
      </c>
      <c r="AF6009" t="s">
        <v>40603</v>
      </c>
      <c r="AG6009" t="s">
        <v>3478</v>
      </c>
      <c r="AI6009" t="s">
        <v>40604</v>
      </c>
      <c r="AM6009" t="s">
        <v>40605</v>
      </c>
      <c r="AN6009" t="s">
        <v>2046</v>
      </c>
      <c r="AO6009" t="s">
        <v>40606</v>
      </c>
      <c r="AP6009" t="s">
        <v>7024</v>
      </c>
      <c r="AQ6009" t="s">
        <v>40607</v>
      </c>
      <c r="AT6009" s="184">
        <v>33988</v>
      </c>
      <c r="AU6009" t="s">
        <v>40608</v>
      </c>
      <c r="AV6009">
        <v>25</v>
      </c>
      <c r="AW6009" s="184">
        <v>44998</v>
      </c>
      <c r="AX6009" t="s">
        <v>40609</v>
      </c>
      <c r="AY6009">
        <v>20</v>
      </c>
      <c r="AZ6009" s="184">
        <v>34682</v>
      </c>
      <c r="BA6009" t="s">
        <v>40610</v>
      </c>
      <c r="BB6009">
        <v>40</v>
      </c>
      <c r="BC6009">
        <v>75</v>
      </c>
      <c r="BD6009">
        <v>755</v>
      </c>
      <c r="BE6009">
        <v>1993</v>
      </c>
      <c r="BF6009">
        <v>30</v>
      </c>
      <c r="BG6009">
        <v>2</v>
      </c>
      <c r="BH6009">
        <v>40</v>
      </c>
      <c r="BI6009">
        <v>24</v>
      </c>
      <c r="BJ6009">
        <v>32</v>
      </c>
      <c r="BK6009">
        <v>14</v>
      </c>
      <c r="BP6009" s="184"/>
    </row>
    <row r="6010" spans="1:68">
      <c r="A6010">
        <v>100976972</v>
      </c>
      <c r="B6010">
        <v>100976972</v>
      </c>
      <c r="C6010" t="s">
        <v>7018</v>
      </c>
      <c r="E6010" s="184"/>
      <c r="F6010" t="s">
        <v>595</v>
      </c>
      <c r="G6010" s="184">
        <v>44924</v>
      </c>
      <c r="I6010" s="184"/>
      <c r="J6010" t="s">
        <v>595</v>
      </c>
      <c r="K6010" s="184">
        <v>45370</v>
      </c>
      <c r="M6010" s="184"/>
      <c r="P6010" t="s">
        <v>7045</v>
      </c>
      <c r="Q6010" t="s">
        <v>7160</v>
      </c>
      <c r="R6010" s="184">
        <v>19633</v>
      </c>
      <c r="S6010">
        <v>70</v>
      </c>
      <c r="V6010" t="s">
        <v>2733</v>
      </c>
      <c r="X6010" t="s">
        <v>40611</v>
      </c>
      <c r="AF6010" t="s">
        <v>40612</v>
      </c>
      <c r="AG6010" t="s">
        <v>2733</v>
      </c>
      <c r="AI6010" t="s">
        <v>40613</v>
      </c>
      <c r="AM6010" t="s">
        <v>20696</v>
      </c>
      <c r="AN6010" t="s">
        <v>2176</v>
      </c>
      <c r="AO6010" t="s">
        <v>40614</v>
      </c>
      <c r="AP6010" t="s">
        <v>7024</v>
      </c>
      <c r="AQ6010" t="s">
        <v>40615</v>
      </c>
      <c r="AT6010" s="184">
        <v>44810</v>
      </c>
      <c r="AU6010" t="s">
        <v>40616</v>
      </c>
      <c r="AV6010">
        <v>25</v>
      </c>
      <c r="AW6010" s="184">
        <v>44810</v>
      </c>
      <c r="AX6010" t="s">
        <v>40616</v>
      </c>
      <c r="AY6010">
        <v>25</v>
      </c>
      <c r="AZ6010" s="184">
        <v>44810</v>
      </c>
      <c r="BA6010" t="s">
        <v>40616</v>
      </c>
      <c r="BB6010">
        <v>25</v>
      </c>
      <c r="BC6010">
        <v>34</v>
      </c>
      <c r="BD6010">
        <v>25</v>
      </c>
      <c r="BE6010">
        <v>2023</v>
      </c>
      <c r="BF6010">
        <v>1</v>
      </c>
      <c r="BG6010">
        <v>1</v>
      </c>
      <c r="BH6010">
        <v>25</v>
      </c>
      <c r="BI6010">
        <v>1</v>
      </c>
      <c r="BJ6010">
        <v>3</v>
      </c>
      <c r="BK6010">
        <v>1</v>
      </c>
      <c r="BP6010" s="184"/>
    </row>
    <row r="6011" spans="1:68">
      <c r="A6011">
        <v>100983143</v>
      </c>
      <c r="B6011">
        <v>100983143</v>
      </c>
      <c r="C6011" t="s">
        <v>7018</v>
      </c>
      <c r="D6011" t="s">
        <v>595</v>
      </c>
      <c r="E6011" s="184">
        <v>44046</v>
      </c>
      <c r="G6011" s="184"/>
      <c r="I6011" s="184"/>
      <c r="K6011" s="184"/>
      <c r="M6011" s="184"/>
      <c r="P6011" t="s">
        <v>7045</v>
      </c>
      <c r="Q6011" t="s">
        <v>7383</v>
      </c>
      <c r="R6011" s="184">
        <v>16177</v>
      </c>
      <c r="S6011">
        <v>80</v>
      </c>
      <c r="U6011" t="s">
        <v>7031</v>
      </c>
      <c r="V6011" t="s">
        <v>2511</v>
      </c>
      <c r="W6011" t="s">
        <v>3145</v>
      </c>
      <c r="X6011" t="s">
        <v>40617</v>
      </c>
      <c r="Z6011">
        <v>100984545</v>
      </c>
      <c r="AB6011" t="s">
        <v>2602</v>
      </c>
      <c r="AD6011" t="s">
        <v>40617</v>
      </c>
      <c r="AF6011" t="s">
        <v>40618</v>
      </c>
      <c r="AG6011" t="s">
        <v>40619</v>
      </c>
      <c r="AI6011" t="s">
        <v>40620</v>
      </c>
      <c r="AM6011" t="s">
        <v>40621</v>
      </c>
      <c r="AN6011" t="s">
        <v>2313</v>
      </c>
      <c r="AO6011" t="s">
        <v>40622</v>
      </c>
      <c r="AP6011" t="s">
        <v>7024</v>
      </c>
      <c r="AQ6011" t="s">
        <v>40623</v>
      </c>
      <c r="AR6011" t="s">
        <v>40624</v>
      </c>
      <c r="AT6011" s="184">
        <v>38952</v>
      </c>
      <c r="AU6011" t="s">
        <v>26043</v>
      </c>
      <c r="AV6011">
        <v>15</v>
      </c>
      <c r="AW6011" s="184">
        <v>45146</v>
      </c>
      <c r="AX6011" t="s">
        <v>40625</v>
      </c>
      <c r="AY6011">
        <v>78.75</v>
      </c>
      <c r="AZ6011" s="184">
        <v>39217</v>
      </c>
      <c r="BA6011" t="s">
        <v>40626</v>
      </c>
      <c r="BB6011">
        <v>150</v>
      </c>
      <c r="BC6011">
        <v>90</v>
      </c>
      <c r="BD6011">
        <v>1103.75</v>
      </c>
      <c r="BE6011">
        <v>2007</v>
      </c>
      <c r="BF6011">
        <v>22</v>
      </c>
      <c r="BG6011">
        <v>2</v>
      </c>
      <c r="BH6011">
        <v>153.75</v>
      </c>
      <c r="BI6011">
        <v>17</v>
      </c>
      <c r="BJ6011">
        <v>19</v>
      </c>
      <c r="BK6011">
        <v>14</v>
      </c>
      <c r="BP6011" s="184"/>
    </row>
    <row r="6012" spans="1:68">
      <c r="A6012">
        <v>100988445</v>
      </c>
      <c r="B6012">
        <v>100988445</v>
      </c>
      <c r="C6012" t="s">
        <v>7018</v>
      </c>
      <c r="D6012" t="s">
        <v>595</v>
      </c>
      <c r="E6012" s="184">
        <v>44907</v>
      </c>
      <c r="G6012" s="184"/>
      <c r="I6012" s="184"/>
      <c r="K6012" s="184"/>
      <c r="P6012" t="s">
        <v>7045</v>
      </c>
      <c r="Q6012" t="s">
        <v>7160</v>
      </c>
      <c r="R6012" s="184">
        <v>20300</v>
      </c>
      <c r="S6012">
        <v>68</v>
      </c>
      <c r="U6012" t="s">
        <v>7031</v>
      </c>
      <c r="V6012" t="s">
        <v>2828</v>
      </c>
      <c r="X6012" t="s">
        <v>40627</v>
      </c>
      <c r="AF6012" t="s">
        <v>40628</v>
      </c>
      <c r="AG6012" t="s">
        <v>2828</v>
      </c>
      <c r="AI6012" t="s">
        <v>40629</v>
      </c>
      <c r="AM6012" t="s">
        <v>4515</v>
      </c>
      <c r="AN6012" t="s">
        <v>2395</v>
      </c>
      <c r="AO6012" t="s">
        <v>40630</v>
      </c>
      <c r="AP6012" t="s">
        <v>7024</v>
      </c>
      <c r="AQ6012" t="s">
        <v>40631</v>
      </c>
      <c r="AT6012" s="184">
        <v>44841</v>
      </c>
      <c r="AU6012" t="s">
        <v>40632</v>
      </c>
      <c r="AV6012">
        <v>100</v>
      </c>
      <c r="AW6012" s="184">
        <v>45303</v>
      </c>
      <c r="AX6012" t="s">
        <v>40633</v>
      </c>
      <c r="AY6012">
        <v>100</v>
      </c>
      <c r="AZ6012" s="184">
        <v>45303</v>
      </c>
      <c r="BA6012" t="s">
        <v>40633</v>
      </c>
      <c r="BB6012">
        <v>100</v>
      </c>
      <c r="BC6012">
        <v>67</v>
      </c>
      <c r="BD6012">
        <v>200</v>
      </c>
      <c r="BE6012">
        <v>2023</v>
      </c>
      <c r="BF6012">
        <v>2</v>
      </c>
      <c r="BG6012">
        <v>2</v>
      </c>
      <c r="BH6012">
        <v>200</v>
      </c>
      <c r="BI6012">
        <v>2</v>
      </c>
      <c r="BJ6012">
        <v>3</v>
      </c>
      <c r="BK6012">
        <v>1</v>
      </c>
      <c r="BP6012" s="184"/>
    </row>
    <row r="6013" spans="1:68">
      <c r="A6013">
        <v>100989434</v>
      </c>
      <c r="B6013">
        <v>100989434</v>
      </c>
      <c r="C6013" t="s">
        <v>7018</v>
      </c>
      <c r="D6013" t="s">
        <v>595</v>
      </c>
      <c r="E6013" s="184">
        <v>44621</v>
      </c>
      <c r="I6013" s="184"/>
      <c r="K6013" s="184"/>
      <c r="P6013" t="s">
        <v>7045</v>
      </c>
      <c r="Q6013" t="s">
        <v>7020</v>
      </c>
      <c r="R6013" s="184"/>
      <c r="U6013" t="s">
        <v>7130</v>
      </c>
      <c r="V6013" t="s">
        <v>4152</v>
      </c>
      <c r="W6013" t="s">
        <v>4382</v>
      </c>
      <c r="X6013" t="s">
        <v>40634</v>
      </c>
      <c r="Y6013" t="s">
        <v>7941</v>
      </c>
      <c r="Z6013">
        <v>100990477</v>
      </c>
      <c r="AB6013" t="s">
        <v>3101</v>
      </c>
      <c r="AD6013" t="s">
        <v>40634</v>
      </c>
      <c r="AF6013" t="s">
        <v>40635</v>
      </c>
      <c r="AG6013" t="s">
        <v>40636</v>
      </c>
      <c r="AI6013" t="s">
        <v>40637</v>
      </c>
      <c r="AM6013" t="s">
        <v>40638</v>
      </c>
      <c r="AN6013" t="s">
        <v>2112</v>
      </c>
      <c r="AO6013" t="s">
        <v>40639</v>
      </c>
      <c r="AP6013" t="s">
        <v>7024</v>
      </c>
      <c r="AQ6013" t="s">
        <v>40640</v>
      </c>
      <c r="AT6013" s="184">
        <v>33596</v>
      </c>
      <c r="AU6013" t="s">
        <v>40641</v>
      </c>
      <c r="AV6013">
        <v>50</v>
      </c>
      <c r="AW6013" s="184">
        <v>44851</v>
      </c>
      <c r="AX6013" t="s">
        <v>9576</v>
      </c>
      <c r="AY6013">
        <v>35</v>
      </c>
      <c r="AZ6013" s="184">
        <v>33969</v>
      </c>
      <c r="BA6013" t="s">
        <v>40642</v>
      </c>
      <c r="BB6013">
        <v>50</v>
      </c>
      <c r="BC6013">
        <v>15</v>
      </c>
      <c r="BD6013">
        <v>215</v>
      </c>
      <c r="BE6013">
        <v>1992</v>
      </c>
      <c r="BF6013">
        <v>6</v>
      </c>
      <c r="BG6013">
        <v>1</v>
      </c>
      <c r="BH6013">
        <v>35</v>
      </c>
      <c r="BI6013">
        <v>5</v>
      </c>
      <c r="BJ6013">
        <v>34</v>
      </c>
      <c r="BK6013">
        <v>3</v>
      </c>
      <c r="BP6013" s="184"/>
    </row>
    <row r="6014" spans="1:68">
      <c r="A6014">
        <v>100994280</v>
      </c>
      <c r="B6014">
        <v>100994280</v>
      </c>
      <c r="C6014" t="s">
        <v>7018</v>
      </c>
      <c r="D6014" t="s">
        <v>595</v>
      </c>
      <c r="E6014" s="184">
        <v>45125</v>
      </c>
      <c r="I6014" s="184"/>
      <c r="K6014" s="184"/>
      <c r="M6014" s="184"/>
      <c r="P6014" t="s">
        <v>7045</v>
      </c>
      <c r="Q6014" t="s">
        <v>7262</v>
      </c>
      <c r="R6014" s="184">
        <v>14224</v>
      </c>
      <c r="S6014">
        <v>85</v>
      </c>
      <c r="U6014" t="s">
        <v>7031</v>
      </c>
      <c r="V6014" t="s">
        <v>4093</v>
      </c>
      <c r="X6014" t="s">
        <v>4399</v>
      </c>
      <c r="AF6014" t="s">
        <v>40643</v>
      </c>
      <c r="AG6014" t="s">
        <v>4093</v>
      </c>
      <c r="AI6014" t="s">
        <v>40644</v>
      </c>
      <c r="AM6014" t="s">
        <v>5381</v>
      </c>
      <c r="AN6014" t="s">
        <v>2069</v>
      </c>
      <c r="AO6014" t="s">
        <v>40645</v>
      </c>
      <c r="AP6014" t="s">
        <v>7024</v>
      </c>
      <c r="AQ6014" t="s">
        <v>40646</v>
      </c>
      <c r="AT6014" s="184">
        <v>41138</v>
      </c>
      <c r="AU6014" t="s">
        <v>32160</v>
      </c>
      <c r="AV6014">
        <v>15</v>
      </c>
      <c r="AW6014" s="184">
        <v>45299</v>
      </c>
      <c r="AX6014" t="s">
        <v>33002</v>
      </c>
      <c r="AY6014">
        <v>25</v>
      </c>
      <c r="AZ6014" s="184">
        <v>45299</v>
      </c>
      <c r="BA6014" t="s">
        <v>33002</v>
      </c>
      <c r="BB6014">
        <v>25</v>
      </c>
      <c r="BC6014">
        <v>62</v>
      </c>
      <c r="BD6014">
        <v>175</v>
      </c>
      <c r="BE6014">
        <v>2013</v>
      </c>
      <c r="BF6014">
        <v>10</v>
      </c>
      <c r="BG6014">
        <v>4</v>
      </c>
      <c r="BH6014">
        <v>95</v>
      </c>
      <c r="BI6014">
        <v>8</v>
      </c>
      <c r="BJ6014">
        <v>13</v>
      </c>
      <c r="BK6014">
        <v>3</v>
      </c>
      <c r="BP6014" s="184"/>
    </row>
    <row r="6015" spans="1:68">
      <c r="A6015">
        <v>100994459</v>
      </c>
      <c r="B6015">
        <v>100994459</v>
      </c>
      <c r="C6015" t="s">
        <v>7018</v>
      </c>
      <c r="E6015" s="184"/>
      <c r="H6015" t="s">
        <v>595</v>
      </c>
      <c r="I6015" s="184">
        <v>44867</v>
      </c>
      <c r="K6015" s="184"/>
      <c r="M6015" s="184"/>
      <c r="P6015" t="s">
        <v>7045</v>
      </c>
      <c r="Q6015" t="s">
        <v>7383</v>
      </c>
      <c r="R6015" s="184">
        <v>20215</v>
      </c>
      <c r="S6015">
        <v>69</v>
      </c>
      <c r="V6015" t="s">
        <v>39706</v>
      </c>
      <c r="X6015" t="s">
        <v>40647</v>
      </c>
      <c r="AF6015" t="s">
        <v>40648</v>
      </c>
      <c r="AG6015" t="s">
        <v>39706</v>
      </c>
      <c r="AI6015" t="s">
        <v>40649</v>
      </c>
      <c r="AM6015" t="s">
        <v>40650</v>
      </c>
      <c r="AN6015" t="s">
        <v>2118</v>
      </c>
      <c r="AO6015" t="s">
        <v>40651</v>
      </c>
      <c r="AP6015" t="s">
        <v>7024</v>
      </c>
      <c r="AQ6015" t="s">
        <v>40652</v>
      </c>
      <c r="AR6015" t="s">
        <v>40653</v>
      </c>
      <c r="AT6015" s="184">
        <v>45028</v>
      </c>
      <c r="AU6015" t="s">
        <v>13518</v>
      </c>
      <c r="AV6015">
        <v>25</v>
      </c>
      <c r="AW6015" s="184">
        <v>45271</v>
      </c>
      <c r="AX6015" t="s">
        <v>40654</v>
      </c>
      <c r="AY6015">
        <v>105</v>
      </c>
      <c r="AZ6015" s="184">
        <v>45271</v>
      </c>
      <c r="BA6015" t="s">
        <v>40654</v>
      </c>
      <c r="BB6015">
        <v>105</v>
      </c>
      <c r="BC6015">
        <v>50</v>
      </c>
      <c r="BD6015">
        <v>130</v>
      </c>
      <c r="BE6015">
        <v>2023</v>
      </c>
      <c r="BF6015">
        <v>2</v>
      </c>
      <c r="BG6015">
        <v>2</v>
      </c>
      <c r="BH6015">
        <v>130</v>
      </c>
      <c r="BI6015">
        <v>1</v>
      </c>
      <c r="BJ6015">
        <v>2</v>
      </c>
      <c r="BK6015">
        <v>1</v>
      </c>
    </row>
    <row r="6016" spans="1:68">
      <c r="A6016">
        <v>101034584</v>
      </c>
      <c r="B6016">
        <v>101034584</v>
      </c>
      <c r="C6016" t="s">
        <v>7018</v>
      </c>
      <c r="D6016" t="s">
        <v>595</v>
      </c>
      <c r="E6016" s="184">
        <v>44167</v>
      </c>
      <c r="G6016" s="184"/>
      <c r="I6016" s="184"/>
      <c r="K6016" s="184"/>
      <c r="M6016" s="184"/>
      <c r="P6016" t="s">
        <v>7045</v>
      </c>
      <c r="Q6016" t="s">
        <v>7374</v>
      </c>
      <c r="R6016" s="184">
        <v>17864</v>
      </c>
      <c r="S6016">
        <v>75</v>
      </c>
      <c r="U6016" t="s">
        <v>7076</v>
      </c>
      <c r="V6016" t="s">
        <v>3147</v>
      </c>
      <c r="X6016" t="s">
        <v>3353</v>
      </c>
      <c r="AF6016" t="s">
        <v>40655</v>
      </c>
      <c r="AG6016" t="s">
        <v>3147</v>
      </c>
      <c r="AI6016" t="s">
        <v>40656</v>
      </c>
      <c r="AM6016" t="s">
        <v>40657</v>
      </c>
      <c r="AN6016" t="s">
        <v>2081</v>
      </c>
      <c r="AO6016" t="s">
        <v>40658</v>
      </c>
      <c r="AP6016" t="s">
        <v>7024</v>
      </c>
      <c r="AQ6016" t="s">
        <v>40659</v>
      </c>
      <c r="AT6016" s="184">
        <v>33820</v>
      </c>
      <c r="AU6016" t="s">
        <v>40660</v>
      </c>
      <c r="AV6016">
        <v>15</v>
      </c>
      <c r="AW6016" s="184">
        <v>45409</v>
      </c>
      <c r="AX6016" t="s">
        <v>28598</v>
      </c>
      <c r="AY6016">
        <v>50</v>
      </c>
      <c r="AZ6016" s="184">
        <v>45148</v>
      </c>
      <c r="BA6016" t="s">
        <v>40661</v>
      </c>
      <c r="BB6016">
        <v>78.75</v>
      </c>
      <c r="BC6016">
        <v>91</v>
      </c>
      <c r="BD6016">
        <v>2109.5</v>
      </c>
      <c r="BE6016">
        <v>1993</v>
      </c>
      <c r="BF6016">
        <v>48</v>
      </c>
      <c r="BG6016">
        <v>14</v>
      </c>
      <c r="BH6016">
        <v>724.5</v>
      </c>
      <c r="BI6016">
        <v>30</v>
      </c>
      <c r="BJ6016">
        <v>33</v>
      </c>
      <c r="BK6016">
        <v>23</v>
      </c>
      <c r="BP6016" s="184"/>
    </row>
    <row r="6017" spans="1:68">
      <c r="A6017">
        <v>61649091</v>
      </c>
      <c r="B6017">
        <v>101036104</v>
      </c>
      <c r="C6017" t="s">
        <v>7018</v>
      </c>
      <c r="E6017" s="184"/>
      <c r="G6017" s="184"/>
      <c r="I6017" s="184"/>
      <c r="J6017" t="s">
        <v>595</v>
      </c>
      <c r="K6017" s="184">
        <v>44089</v>
      </c>
      <c r="P6017" t="s">
        <v>7045</v>
      </c>
      <c r="Q6017" t="s">
        <v>7030</v>
      </c>
      <c r="R6017" s="184">
        <v>18810</v>
      </c>
      <c r="S6017">
        <v>72</v>
      </c>
      <c r="U6017" t="s">
        <v>7130</v>
      </c>
      <c r="V6017" t="s">
        <v>2580</v>
      </c>
      <c r="X6017" t="s">
        <v>40662</v>
      </c>
      <c r="Z6017">
        <v>101036104</v>
      </c>
      <c r="AA6017" t="s">
        <v>7031</v>
      </c>
      <c r="AB6017" t="s">
        <v>3536</v>
      </c>
      <c r="AD6017" t="s">
        <v>40662</v>
      </c>
      <c r="AF6017" t="s">
        <v>40663</v>
      </c>
      <c r="AG6017" t="s">
        <v>3536</v>
      </c>
      <c r="AI6017" t="s">
        <v>40664</v>
      </c>
      <c r="AM6017" t="s">
        <v>4396</v>
      </c>
      <c r="AN6017" t="s">
        <v>2089</v>
      </c>
      <c r="AO6017" t="s">
        <v>40665</v>
      </c>
      <c r="AP6017" t="s">
        <v>7024</v>
      </c>
      <c r="AQ6017" t="s">
        <v>40666</v>
      </c>
      <c r="AR6017" t="s">
        <v>40667</v>
      </c>
      <c r="AT6017" s="184">
        <v>40367</v>
      </c>
      <c r="AU6017" t="s">
        <v>29436</v>
      </c>
      <c r="AV6017">
        <v>25</v>
      </c>
      <c r="AW6017" s="184">
        <v>44879</v>
      </c>
      <c r="AX6017" t="s">
        <v>10880</v>
      </c>
      <c r="AY6017">
        <v>10</v>
      </c>
      <c r="AZ6017" s="184">
        <v>43802</v>
      </c>
      <c r="BA6017" t="s">
        <v>16719</v>
      </c>
      <c r="BB6017">
        <v>100</v>
      </c>
      <c r="BC6017">
        <v>74</v>
      </c>
      <c r="BD6017">
        <v>930</v>
      </c>
      <c r="BE6017">
        <v>2011</v>
      </c>
      <c r="BF6017">
        <v>36</v>
      </c>
      <c r="BG6017">
        <v>7</v>
      </c>
      <c r="BH6017">
        <v>70</v>
      </c>
      <c r="BI6017">
        <v>11</v>
      </c>
      <c r="BJ6017">
        <v>15</v>
      </c>
      <c r="BK6017">
        <v>9</v>
      </c>
      <c r="BO6017" t="s">
        <v>595</v>
      </c>
      <c r="BP6017" s="184"/>
    </row>
    <row r="6018" spans="1:68">
      <c r="A6018">
        <v>101045794</v>
      </c>
      <c r="B6018">
        <v>101045794</v>
      </c>
      <c r="C6018" t="s">
        <v>7018</v>
      </c>
      <c r="D6018" t="s">
        <v>595</v>
      </c>
      <c r="E6018" s="184">
        <v>44438</v>
      </c>
      <c r="I6018" s="184"/>
      <c r="K6018" s="184"/>
      <c r="M6018" s="184"/>
      <c r="P6018" t="s">
        <v>7029</v>
      </c>
      <c r="Q6018" t="s">
        <v>7194</v>
      </c>
      <c r="R6018" s="184">
        <v>20090</v>
      </c>
      <c r="S6018">
        <v>69</v>
      </c>
      <c r="V6018" t="s">
        <v>40668</v>
      </c>
      <c r="X6018" t="s">
        <v>40669</v>
      </c>
      <c r="AF6018" t="s">
        <v>40670</v>
      </c>
      <c r="AG6018" t="s">
        <v>40668</v>
      </c>
      <c r="AI6018" t="s">
        <v>40671</v>
      </c>
      <c r="AM6018" t="s">
        <v>4390</v>
      </c>
      <c r="AN6018" t="s">
        <v>2046</v>
      </c>
      <c r="AO6018" t="s">
        <v>40672</v>
      </c>
      <c r="AP6018" t="s">
        <v>7024</v>
      </c>
      <c r="AT6018" s="184">
        <v>42989</v>
      </c>
      <c r="AU6018" t="s">
        <v>40673</v>
      </c>
      <c r="AV6018">
        <v>50</v>
      </c>
      <c r="AW6018" s="184">
        <v>45090</v>
      </c>
      <c r="AX6018" t="s">
        <v>13484</v>
      </c>
      <c r="AY6018">
        <v>1000</v>
      </c>
      <c r="AZ6018" s="184">
        <v>45090</v>
      </c>
      <c r="BA6018" t="s">
        <v>13484</v>
      </c>
      <c r="BB6018">
        <v>1000</v>
      </c>
      <c r="BC6018">
        <v>88</v>
      </c>
      <c r="BD6018">
        <v>4100</v>
      </c>
      <c r="BE6018">
        <v>2018</v>
      </c>
      <c r="BF6018">
        <v>9</v>
      </c>
      <c r="BG6018">
        <v>2</v>
      </c>
      <c r="BH6018">
        <v>2000</v>
      </c>
      <c r="BI6018">
        <v>7</v>
      </c>
      <c r="BJ6018">
        <v>8</v>
      </c>
      <c r="BK6018">
        <v>7</v>
      </c>
      <c r="BP6018" s="184"/>
    </row>
    <row r="6019" spans="1:68">
      <c r="A6019">
        <v>101056617</v>
      </c>
      <c r="B6019">
        <v>101056617</v>
      </c>
      <c r="C6019" t="s">
        <v>7018</v>
      </c>
      <c r="D6019" t="s">
        <v>595</v>
      </c>
      <c r="E6019" s="184">
        <v>44419</v>
      </c>
      <c r="I6019" s="184"/>
      <c r="K6019" s="184"/>
      <c r="M6019" s="184"/>
      <c r="P6019" t="s">
        <v>7045</v>
      </c>
      <c r="Q6019" t="s">
        <v>7030</v>
      </c>
      <c r="R6019" s="184">
        <v>17236</v>
      </c>
      <c r="S6019">
        <v>77</v>
      </c>
      <c r="U6019" t="s">
        <v>7031</v>
      </c>
      <c r="V6019" t="s">
        <v>4363</v>
      </c>
      <c r="W6019" t="s">
        <v>3522</v>
      </c>
      <c r="X6019" t="s">
        <v>40674</v>
      </c>
      <c r="AF6019" t="s">
        <v>40675</v>
      </c>
      <c r="AG6019" t="s">
        <v>4363</v>
      </c>
      <c r="AI6019" t="s">
        <v>40676</v>
      </c>
      <c r="AM6019" t="s">
        <v>2658</v>
      </c>
      <c r="AN6019" t="s">
        <v>2089</v>
      </c>
      <c r="AO6019" t="s">
        <v>40677</v>
      </c>
      <c r="AP6019" t="s">
        <v>7024</v>
      </c>
      <c r="AQ6019" t="s">
        <v>40678</v>
      </c>
      <c r="AT6019" s="184">
        <v>41015</v>
      </c>
      <c r="AU6019" t="s">
        <v>40679</v>
      </c>
      <c r="AV6019">
        <v>25</v>
      </c>
      <c r="AW6019" s="184">
        <v>45283</v>
      </c>
      <c r="AX6019" t="s">
        <v>7152</v>
      </c>
      <c r="AY6019">
        <v>100</v>
      </c>
      <c r="AZ6019" s="184">
        <v>43812</v>
      </c>
      <c r="BA6019" t="s">
        <v>15775</v>
      </c>
      <c r="BB6019">
        <v>200</v>
      </c>
      <c r="BC6019">
        <v>85</v>
      </c>
      <c r="BD6019">
        <v>1145</v>
      </c>
      <c r="BE6019">
        <v>2012</v>
      </c>
      <c r="BF6019">
        <v>12</v>
      </c>
      <c r="BG6019">
        <v>2</v>
      </c>
      <c r="BH6019">
        <v>200</v>
      </c>
      <c r="BI6019">
        <v>11</v>
      </c>
      <c r="BJ6019">
        <v>13</v>
      </c>
      <c r="BK6019">
        <v>6</v>
      </c>
      <c r="BP6019" s="184"/>
    </row>
    <row r="6020" spans="1:68">
      <c r="A6020">
        <v>101064001</v>
      </c>
      <c r="B6020">
        <v>101064001</v>
      </c>
      <c r="C6020" t="s">
        <v>7018</v>
      </c>
      <c r="E6020" s="184"/>
      <c r="G6020" s="184"/>
      <c r="I6020" s="184"/>
      <c r="J6020" t="s">
        <v>595</v>
      </c>
      <c r="K6020" s="184">
        <v>44452</v>
      </c>
      <c r="M6020" s="184"/>
      <c r="P6020" t="s">
        <v>7045</v>
      </c>
      <c r="Q6020" t="s">
        <v>7030</v>
      </c>
      <c r="R6020" s="184">
        <v>18880</v>
      </c>
      <c r="S6020">
        <v>72</v>
      </c>
      <c r="U6020" t="s">
        <v>7031</v>
      </c>
      <c r="V6020" t="s">
        <v>2511</v>
      </c>
      <c r="X6020" t="s">
        <v>40680</v>
      </c>
      <c r="Z6020">
        <v>101069229</v>
      </c>
      <c r="AA6020" t="s">
        <v>7130</v>
      </c>
      <c r="AB6020" t="s">
        <v>2648</v>
      </c>
      <c r="AD6020" t="s">
        <v>40680</v>
      </c>
      <c r="AF6020" t="s">
        <v>40681</v>
      </c>
      <c r="AG6020" t="s">
        <v>23412</v>
      </c>
      <c r="AI6020" t="s">
        <v>40682</v>
      </c>
      <c r="AM6020" t="s">
        <v>3437</v>
      </c>
      <c r="AN6020" t="s">
        <v>2089</v>
      </c>
      <c r="AO6020" t="s">
        <v>40683</v>
      </c>
      <c r="AP6020" t="s">
        <v>7024</v>
      </c>
      <c r="AQ6020" t="s">
        <v>40684</v>
      </c>
      <c r="AR6020" t="s">
        <v>40685</v>
      </c>
      <c r="AT6020" s="184">
        <v>42376</v>
      </c>
      <c r="AU6020" t="s">
        <v>40686</v>
      </c>
      <c r="AV6020">
        <v>50</v>
      </c>
      <c r="AW6020" s="184">
        <v>45281</v>
      </c>
      <c r="AX6020" t="s">
        <v>9159</v>
      </c>
      <c r="AY6020">
        <v>262.5</v>
      </c>
      <c r="AZ6020" s="184">
        <v>45281</v>
      </c>
      <c r="BA6020" t="s">
        <v>9159</v>
      </c>
      <c r="BB6020">
        <v>262.5</v>
      </c>
      <c r="BC6020">
        <v>89</v>
      </c>
      <c r="BD6020">
        <v>1812.5</v>
      </c>
      <c r="BE6020">
        <v>2016</v>
      </c>
      <c r="BF6020">
        <v>13</v>
      </c>
      <c r="BG6020">
        <v>2</v>
      </c>
      <c r="BH6020">
        <v>512.5</v>
      </c>
      <c r="BI6020">
        <v>8</v>
      </c>
      <c r="BJ6020">
        <v>9</v>
      </c>
      <c r="BK6020">
        <v>8</v>
      </c>
      <c r="BP6020" s="184"/>
    </row>
    <row r="6021" spans="1:68">
      <c r="A6021">
        <v>101069229</v>
      </c>
      <c r="B6021">
        <v>101064001</v>
      </c>
      <c r="C6021" t="s">
        <v>7018</v>
      </c>
      <c r="E6021" s="184"/>
      <c r="I6021" s="184"/>
      <c r="J6021" t="s">
        <v>595</v>
      </c>
      <c r="K6021" s="184">
        <v>44452</v>
      </c>
      <c r="M6021" s="184"/>
      <c r="P6021" t="s">
        <v>7045</v>
      </c>
      <c r="Q6021" t="s">
        <v>7030</v>
      </c>
      <c r="R6021" s="184">
        <v>18233</v>
      </c>
      <c r="S6021">
        <v>74</v>
      </c>
      <c r="U6021" t="s">
        <v>7130</v>
      </c>
      <c r="V6021" t="s">
        <v>2648</v>
      </c>
      <c r="X6021" t="s">
        <v>40680</v>
      </c>
      <c r="Z6021">
        <v>101064001</v>
      </c>
      <c r="AA6021" t="s">
        <v>7031</v>
      </c>
      <c r="AB6021" t="s">
        <v>2511</v>
      </c>
      <c r="AD6021" t="s">
        <v>40680</v>
      </c>
      <c r="AF6021" t="s">
        <v>40681</v>
      </c>
      <c r="AG6021" t="s">
        <v>23412</v>
      </c>
      <c r="AI6021" t="s">
        <v>40682</v>
      </c>
      <c r="AM6021" t="s">
        <v>3437</v>
      </c>
      <c r="AN6021" t="s">
        <v>2089</v>
      </c>
      <c r="AO6021" t="s">
        <v>40683</v>
      </c>
      <c r="AP6021" t="s">
        <v>7024</v>
      </c>
      <c r="AT6021" s="184"/>
      <c r="AW6021" s="184"/>
      <c r="AZ6021" s="184"/>
      <c r="BP6021" s="184"/>
    </row>
    <row r="6022" spans="1:68">
      <c r="A6022">
        <v>101070429</v>
      </c>
      <c r="B6022">
        <v>101070429</v>
      </c>
      <c r="C6022" t="s">
        <v>7018</v>
      </c>
      <c r="E6022" s="184"/>
      <c r="G6022" s="184"/>
      <c r="H6022" t="s">
        <v>595</v>
      </c>
      <c r="I6022" s="184">
        <v>44922</v>
      </c>
      <c r="K6022" s="184"/>
      <c r="M6022" s="184"/>
      <c r="P6022" t="s">
        <v>7045</v>
      </c>
      <c r="Q6022" t="s">
        <v>7194</v>
      </c>
      <c r="R6022" s="184">
        <v>35037</v>
      </c>
      <c r="S6022">
        <v>28</v>
      </c>
      <c r="V6022" t="s">
        <v>40687</v>
      </c>
      <c r="X6022" t="s">
        <v>40688</v>
      </c>
      <c r="AF6022" t="s">
        <v>40689</v>
      </c>
      <c r="AG6022" t="s">
        <v>40687</v>
      </c>
      <c r="AI6022" t="s">
        <v>40690</v>
      </c>
      <c r="AM6022" t="s">
        <v>4359</v>
      </c>
      <c r="AN6022" t="s">
        <v>2046</v>
      </c>
      <c r="AO6022" t="s">
        <v>40691</v>
      </c>
      <c r="AP6022" t="s">
        <v>7024</v>
      </c>
      <c r="AQ6022" t="s">
        <v>40692</v>
      </c>
      <c r="AT6022" s="184">
        <v>44919</v>
      </c>
      <c r="AU6022" t="s">
        <v>40693</v>
      </c>
      <c r="AV6022">
        <v>25</v>
      </c>
      <c r="AW6022" s="184">
        <v>44919</v>
      </c>
      <c r="AX6022" t="s">
        <v>40693</v>
      </c>
      <c r="AY6022">
        <v>25</v>
      </c>
      <c r="AZ6022" s="184">
        <v>44919</v>
      </c>
      <c r="BA6022" t="s">
        <v>40693</v>
      </c>
      <c r="BB6022">
        <v>25</v>
      </c>
      <c r="BC6022">
        <v>34</v>
      </c>
      <c r="BD6022">
        <v>25</v>
      </c>
      <c r="BE6022">
        <v>2023</v>
      </c>
      <c r="BF6022">
        <v>1</v>
      </c>
      <c r="BG6022">
        <v>1</v>
      </c>
      <c r="BH6022">
        <v>25</v>
      </c>
      <c r="BI6022">
        <v>1</v>
      </c>
      <c r="BJ6022">
        <v>3</v>
      </c>
      <c r="BK6022">
        <v>1</v>
      </c>
      <c r="BP6022" s="184"/>
    </row>
    <row r="6023" spans="1:68">
      <c r="A6023">
        <v>101072849</v>
      </c>
      <c r="B6023">
        <v>101072849</v>
      </c>
      <c r="C6023" t="s">
        <v>7018</v>
      </c>
      <c r="E6023" s="184"/>
      <c r="G6023" s="184"/>
      <c r="H6023" t="s">
        <v>595</v>
      </c>
      <c r="I6023" s="184">
        <v>44924</v>
      </c>
      <c r="K6023" s="184"/>
      <c r="M6023" s="184"/>
      <c r="P6023" t="s">
        <v>8550</v>
      </c>
      <c r="Q6023" t="s">
        <v>7383</v>
      </c>
      <c r="R6023" s="184">
        <v>12735</v>
      </c>
      <c r="S6023">
        <v>89</v>
      </c>
      <c r="V6023" t="s">
        <v>2832</v>
      </c>
      <c r="W6023" t="s">
        <v>40694</v>
      </c>
      <c r="X6023" t="s">
        <v>40695</v>
      </c>
      <c r="AF6023" t="s">
        <v>40696</v>
      </c>
      <c r="AG6023" t="s">
        <v>2832</v>
      </c>
      <c r="AI6023" t="s">
        <v>40697</v>
      </c>
      <c r="AJ6023" t="s">
        <v>40698</v>
      </c>
      <c r="AM6023" t="s">
        <v>40699</v>
      </c>
      <c r="AN6023" t="s">
        <v>2064</v>
      </c>
      <c r="AO6023" t="s">
        <v>40700</v>
      </c>
      <c r="AP6023" t="s">
        <v>7024</v>
      </c>
      <c r="AT6023" s="184"/>
      <c r="AW6023" s="184"/>
      <c r="AZ6023" s="184"/>
      <c r="BP6023" s="184"/>
    </row>
    <row r="6024" spans="1:68">
      <c r="A6024">
        <v>101072901</v>
      </c>
      <c r="B6024">
        <v>101072901</v>
      </c>
      <c r="C6024" t="s">
        <v>7018</v>
      </c>
      <c r="D6024" t="s">
        <v>595</v>
      </c>
      <c r="E6024" s="184">
        <v>45390</v>
      </c>
      <c r="G6024" s="184"/>
      <c r="H6024" t="s">
        <v>595</v>
      </c>
      <c r="I6024" s="184">
        <v>45390</v>
      </c>
      <c r="K6024" s="184"/>
      <c r="M6024" s="184"/>
      <c r="P6024" t="s">
        <v>7045</v>
      </c>
      <c r="Q6024" t="s">
        <v>7160</v>
      </c>
      <c r="R6024" s="184">
        <v>30836</v>
      </c>
      <c r="S6024">
        <v>39</v>
      </c>
      <c r="V6024" t="s">
        <v>3898</v>
      </c>
      <c r="X6024" t="s">
        <v>35808</v>
      </c>
      <c r="Z6024">
        <v>101336275</v>
      </c>
      <c r="AB6024" t="s">
        <v>2863</v>
      </c>
      <c r="AD6024" t="s">
        <v>35808</v>
      </c>
      <c r="AF6024" t="s">
        <v>40701</v>
      </c>
      <c r="AG6024" t="s">
        <v>40702</v>
      </c>
      <c r="AI6024" t="s">
        <v>40703</v>
      </c>
      <c r="AM6024" t="s">
        <v>20702</v>
      </c>
      <c r="AN6024" t="s">
        <v>2446</v>
      </c>
      <c r="AO6024" t="s">
        <v>40704</v>
      </c>
      <c r="AP6024" t="s">
        <v>7024</v>
      </c>
      <c r="AQ6024" t="s">
        <v>40705</v>
      </c>
      <c r="AT6024" s="184">
        <v>44924</v>
      </c>
      <c r="AU6024" t="s">
        <v>40693</v>
      </c>
      <c r="AV6024">
        <v>50</v>
      </c>
      <c r="AW6024" s="184">
        <v>45403</v>
      </c>
      <c r="AX6024" t="s">
        <v>10451</v>
      </c>
      <c r="AY6024">
        <v>50</v>
      </c>
      <c r="AZ6024" s="184">
        <v>45403</v>
      </c>
      <c r="BA6024" t="s">
        <v>10451</v>
      </c>
      <c r="BB6024">
        <v>50</v>
      </c>
      <c r="BC6024">
        <v>100</v>
      </c>
      <c r="BD6024">
        <v>800</v>
      </c>
      <c r="BE6024">
        <v>2023</v>
      </c>
      <c r="BF6024">
        <v>16</v>
      </c>
      <c r="BG6024">
        <v>16</v>
      </c>
      <c r="BH6024">
        <v>800</v>
      </c>
      <c r="BI6024">
        <v>3</v>
      </c>
      <c r="BJ6024">
        <v>3</v>
      </c>
      <c r="BK6024">
        <v>3</v>
      </c>
      <c r="BP6024" s="184"/>
    </row>
    <row r="6025" spans="1:68">
      <c r="A6025">
        <v>101073928</v>
      </c>
      <c r="B6025">
        <v>101073928</v>
      </c>
      <c r="C6025" t="s">
        <v>7018</v>
      </c>
      <c r="E6025" s="184"/>
      <c r="I6025" s="184"/>
      <c r="J6025" t="s">
        <v>595</v>
      </c>
      <c r="K6025" s="184">
        <v>45201</v>
      </c>
      <c r="P6025" t="s">
        <v>7045</v>
      </c>
      <c r="R6025" s="184"/>
      <c r="V6025" t="s">
        <v>40706</v>
      </c>
      <c r="X6025" t="s">
        <v>40707</v>
      </c>
      <c r="AF6025" t="s">
        <v>40708</v>
      </c>
      <c r="AG6025" t="s">
        <v>40706</v>
      </c>
      <c r="AI6025" t="s">
        <v>40709</v>
      </c>
      <c r="AM6025" t="s">
        <v>40710</v>
      </c>
      <c r="AO6025">
        <v>3014</v>
      </c>
      <c r="AP6025" t="s">
        <v>40711</v>
      </c>
      <c r="AQ6025" t="s">
        <v>40712</v>
      </c>
      <c r="AT6025" s="184">
        <v>44926</v>
      </c>
      <c r="AU6025" t="s">
        <v>40713</v>
      </c>
      <c r="AV6025">
        <v>30</v>
      </c>
      <c r="AW6025" s="184">
        <v>44926</v>
      </c>
      <c r="AX6025" t="s">
        <v>40713</v>
      </c>
      <c r="AY6025">
        <v>30</v>
      </c>
      <c r="AZ6025" s="184">
        <v>44926</v>
      </c>
      <c r="BA6025" t="s">
        <v>40713</v>
      </c>
      <c r="BB6025">
        <v>30</v>
      </c>
      <c r="BC6025">
        <v>34</v>
      </c>
      <c r="BD6025">
        <v>30</v>
      </c>
      <c r="BE6025">
        <v>2023</v>
      </c>
      <c r="BF6025">
        <v>1</v>
      </c>
      <c r="BG6025">
        <v>1</v>
      </c>
      <c r="BH6025">
        <v>30</v>
      </c>
      <c r="BI6025">
        <v>1</v>
      </c>
      <c r="BJ6025">
        <v>3</v>
      </c>
      <c r="BK6025">
        <v>1</v>
      </c>
      <c r="BP6025" s="184"/>
    </row>
    <row r="6026" spans="1:68">
      <c r="A6026">
        <v>101076317</v>
      </c>
      <c r="B6026">
        <v>101076317</v>
      </c>
      <c r="C6026" t="s">
        <v>7018</v>
      </c>
      <c r="D6026" t="s">
        <v>595</v>
      </c>
      <c r="E6026" s="184">
        <v>43861</v>
      </c>
      <c r="I6026" s="184"/>
      <c r="K6026" s="184"/>
      <c r="M6026" s="184"/>
      <c r="P6026" t="s">
        <v>7045</v>
      </c>
      <c r="Q6026" t="s">
        <v>7383</v>
      </c>
      <c r="R6026" s="184">
        <v>17411</v>
      </c>
      <c r="S6026">
        <v>76</v>
      </c>
      <c r="V6026" t="s">
        <v>3898</v>
      </c>
      <c r="X6026" t="s">
        <v>4568</v>
      </c>
      <c r="AF6026" t="s">
        <v>40714</v>
      </c>
      <c r="AG6026" t="s">
        <v>3898</v>
      </c>
      <c r="AI6026" t="s">
        <v>40715</v>
      </c>
      <c r="AM6026" t="s">
        <v>3082</v>
      </c>
      <c r="AN6026" t="s">
        <v>2313</v>
      </c>
      <c r="AO6026" t="s">
        <v>40716</v>
      </c>
      <c r="AP6026" t="s">
        <v>7024</v>
      </c>
      <c r="AQ6026" t="s">
        <v>40717</v>
      </c>
      <c r="AR6026" t="s">
        <v>40718</v>
      </c>
      <c r="AT6026" s="184">
        <v>36341</v>
      </c>
      <c r="AU6026" t="s">
        <v>40719</v>
      </c>
      <c r="AV6026">
        <v>25</v>
      </c>
      <c r="AW6026" s="184">
        <v>44936</v>
      </c>
      <c r="AX6026" t="s">
        <v>7832</v>
      </c>
      <c r="AY6026">
        <v>35</v>
      </c>
      <c r="AZ6026" s="184">
        <v>38146</v>
      </c>
      <c r="BA6026" t="s">
        <v>40720</v>
      </c>
      <c r="BB6026">
        <v>100</v>
      </c>
      <c r="BC6026">
        <v>58</v>
      </c>
      <c r="BD6026">
        <v>890</v>
      </c>
      <c r="BE6026">
        <v>1999</v>
      </c>
      <c r="BF6026">
        <v>21</v>
      </c>
      <c r="BG6026">
        <v>1</v>
      </c>
      <c r="BH6026">
        <v>35</v>
      </c>
      <c r="BI6026">
        <v>15</v>
      </c>
      <c r="BJ6026">
        <v>26</v>
      </c>
      <c r="BK6026">
        <v>9</v>
      </c>
      <c r="BP6026" s="184"/>
    </row>
    <row r="6027" spans="1:68">
      <c r="A6027">
        <v>101077752</v>
      </c>
      <c r="B6027">
        <v>101077752</v>
      </c>
      <c r="C6027" t="s">
        <v>7018</v>
      </c>
      <c r="E6027" s="184"/>
      <c r="H6027" t="s">
        <v>595</v>
      </c>
      <c r="I6027" s="184">
        <v>44971</v>
      </c>
      <c r="K6027" s="184"/>
      <c r="M6027" s="184"/>
      <c r="P6027" t="s">
        <v>7045</v>
      </c>
      <c r="Q6027" t="s">
        <v>7383</v>
      </c>
      <c r="R6027" s="184">
        <v>31533</v>
      </c>
      <c r="S6027">
        <v>38</v>
      </c>
      <c r="V6027" t="s">
        <v>3922</v>
      </c>
      <c r="X6027" t="s">
        <v>40721</v>
      </c>
      <c r="AF6027" t="s">
        <v>40722</v>
      </c>
      <c r="AG6027" t="s">
        <v>3922</v>
      </c>
      <c r="AI6027" t="s">
        <v>40723</v>
      </c>
      <c r="AM6027" t="s">
        <v>40724</v>
      </c>
      <c r="AN6027" t="s">
        <v>2313</v>
      </c>
      <c r="AO6027" t="s">
        <v>40725</v>
      </c>
      <c r="AP6027" t="s">
        <v>7024</v>
      </c>
      <c r="AQ6027" t="s">
        <v>40726</v>
      </c>
      <c r="AR6027" t="s">
        <v>40727</v>
      </c>
      <c r="AT6027" s="184">
        <v>44935</v>
      </c>
      <c r="AU6027" t="s">
        <v>18595</v>
      </c>
      <c r="AV6027">
        <v>20</v>
      </c>
      <c r="AW6027" s="184">
        <v>45371</v>
      </c>
      <c r="AX6027" t="s">
        <v>7168</v>
      </c>
      <c r="AY6027">
        <v>36.75</v>
      </c>
      <c r="AZ6027" s="184">
        <v>45371</v>
      </c>
      <c r="BA6027" t="s">
        <v>7168</v>
      </c>
      <c r="BB6027">
        <v>36.75</v>
      </c>
      <c r="BC6027">
        <v>100</v>
      </c>
      <c r="BD6027">
        <v>56.75</v>
      </c>
      <c r="BE6027">
        <v>2023</v>
      </c>
      <c r="BF6027">
        <v>2</v>
      </c>
      <c r="BG6027">
        <v>2</v>
      </c>
      <c r="BH6027">
        <v>56.75</v>
      </c>
      <c r="BI6027">
        <v>2</v>
      </c>
      <c r="BJ6027">
        <v>2</v>
      </c>
      <c r="BK6027">
        <v>2</v>
      </c>
      <c r="BP6027" s="184"/>
    </row>
    <row r="6028" spans="1:68">
      <c r="A6028">
        <v>101078615</v>
      </c>
      <c r="B6028">
        <v>101078615</v>
      </c>
      <c r="C6028" t="s">
        <v>7018</v>
      </c>
      <c r="D6028" t="s">
        <v>595</v>
      </c>
      <c r="E6028" s="184">
        <v>45125</v>
      </c>
      <c r="G6028" s="184"/>
      <c r="I6028" s="184"/>
      <c r="K6028" s="184"/>
      <c r="M6028" s="184"/>
      <c r="P6028" t="s">
        <v>7045</v>
      </c>
      <c r="Q6028" t="s">
        <v>7494</v>
      </c>
      <c r="R6028" s="184">
        <v>19329</v>
      </c>
      <c r="S6028">
        <v>71</v>
      </c>
      <c r="V6028" t="s">
        <v>2832</v>
      </c>
      <c r="X6028" t="s">
        <v>4728</v>
      </c>
      <c r="AF6028" t="s">
        <v>40728</v>
      </c>
      <c r="AG6028" t="s">
        <v>2832</v>
      </c>
      <c r="AI6028" t="s">
        <v>40729</v>
      </c>
      <c r="AM6028" t="s">
        <v>40730</v>
      </c>
      <c r="AN6028" t="s">
        <v>2174</v>
      </c>
      <c r="AO6028" t="s">
        <v>40731</v>
      </c>
      <c r="AP6028" t="s">
        <v>7024</v>
      </c>
      <c r="AQ6028" t="s">
        <v>40732</v>
      </c>
      <c r="AR6028" t="s">
        <v>40733</v>
      </c>
      <c r="AT6028" s="184">
        <v>40497</v>
      </c>
      <c r="AU6028" t="s">
        <v>40734</v>
      </c>
      <c r="AV6028">
        <v>15</v>
      </c>
      <c r="AW6028" s="184">
        <v>45230</v>
      </c>
      <c r="AX6028" t="s">
        <v>31486</v>
      </c>
      <c r="AY6028">
        <v>25</v>
      </c>
      <c r="AZ6028" s="184">
        <v>45230</v>
      </c>
      <c r="BA6028" t="s">
        <v>31486</v>
      </c>
      <c r="BB6028">
        <v>25</v>
      </c>
      <c r="BC6028">
        <v>87</v>
      </c>
      <c r="BD6028">
        <v>281</v>
      </c>
      <c r="BE6028">
        <v>2011</v>
      </c>
      <c r="BF6028">
        <v>21</v>
      </c>
      <c r="BG6028">
        <v>2</v>
      </c>
      <c r="BH6028">
        <v>45</v>
      </c>
      <c r="BI6028">
        <v>13</v>
      </c>
      <c r="BJ6028">
        <v>15</v>
      </c>
      <c r="BK6028">
        <v>12</v>
      </c>
      <c r="BP6028" s="184"/>
    </row>
    <row r="6029" spans="1:68">
      <c r="A6029">
        <v>101078929</v>
      </c>
      <c r="B6029">
        <v>101078929</v>
      </c>
      <c r="C6029" t="s">
        <v>7018</v>
      </c>
      <c r="D6029" t="s">
        <v>595</v>
      </c>
      <c r="E6029" s="184">
        <v>45124</v>
      </c>
      <c r="G6029" s="184"/>
      <c r="I6029" s="184"/>
      <c r="K6029" s="184"/>
      <c r="M6029" s="184"/>
      <c r="P6029" t="s">
        <v>7045</v>
      </c>
      <c r="Q6029" t="s">
        <v>7160</v>
      </c>
      <c r="R6029" s="184">
        <v>21245</v>
      </c>
      <c r="S6029">
        <v>66</v>
      </c>
      <c r="V6029" t="s">
        <v>2602</v>
      </c>
      <c r="X6029" t="s">
        <v>2657</v>
      </c>
      <c r="AF6029" t="s">
        <v>40735</v>
      </c>
      <c r="AG6029" t="s">
        <v>2602</v>
      </c>
      <c r="AI6029" t="s">
        <v>40736</v>
      </c>
      <c r="AM6029" t="s">
        <v>40737</v>
      </c>
      <c r="AN6029" t="s">
        <v>2176</v>
      </c>
      <c r="AO6029" t="s">
        <v>40738</v>
      </c>
      <c r="AP6029" t="s">
        <v>7024</v>
      </c>
      <c r="AQ6029" t="s">
        <v>40739</v>
      </c>
      <c r="AR6029" t="s">
        <v>40740</v>
      </c>
      <c r="AT6029" s="184">
        <v>40269</v>
      </c>
      <c r="AU6029" t="s">
        <v>28727</v>
      </c>
      <c r="AV6029">
        <v>25</v>
      </c>
      <c r="AW6029" s="184">
        <v>45318</v>
      </c>
      <c r="AX6029" t="s">
        <v>7832</v>
      </c>
      <c r="AY6029">
        <v>25</v>
      </c>
      <c r="AZ6029" s="184">
        <v>45318</v>
      </c>
      <c r="BA6029" t="s">
        <v>7832</v>
      </c>
      <c r="BB6029">
        <v>25</v>
      </c>
      <c r="BC6029">
        <v>47</v>
      </c>
      <c r="BD6029">
        <v>155</v>
      </c>
      <c r="BE6029">
        <v>2010</v>
      </c>
      <c r="BF6029">
        <v>7</v>
      </c>
      <c r="BG6029">
        <v>2</v>
      </c>
      <c r="BH6029">
        <v>50</v>
      </c>
      <c r="BI6029">
        <v>7</v>
      </c>
      <c r="BJ6029">
        <v>15</v>
      </c>
      <c r="BK6029">
        <v>2</v>
      </c>
      <c r="BP6029" s="184"/>
    </row>
    <row r="6030" spans="1:68">
      <c r="A6030">
        <v>101083411</v>
      </c>
      <c r="B6030">
        <v>101083411</v>
      </c>
      <c r="C6030" t="s">
        <v>7018</v>
      </c>
      <c r="E6030" s="184"/>
      <c r="H6030" t="s">
        <v>595</v>
      </c>
      <c r="I6030" s="184">
        <v>45103</v>
      </c>
      <c r="K6030" s="184"/>
      <c r="M6030" s="184"/>
      <c r="P6030" t="s">
        <v>7045</v>
      </c>
      <c r="Q6030" t="s">
        <v>7374</v>
      </c>
      <c r="R6030" s="184">
        <v>19872</v>
      </c>
      <c r="S6030">
        <v>69</v>
      </c>
      <c r="V6030" t="s">
        <v>3444</v>
      </c>
      <c r="W6030" t="s">
        <v>7560</v>
      </c>
      <c r="X6030" t="s">
        <v>40741</v>
      </c>
      <c r="AF6030" t="s">
        <v>40742</v>
      </c>
      <c r="AG6030" t="s">
        <v>3444</v>
      </c>
      <c r="AI6030" t="s">
        <v>40743</v>
      </c>
      <c r="AM6030" t="s">
        <v>4312</v>
      </c>
      <c r="AN6030" t="s">
        <v>2081</v>
      </c>
      <c r="AO6030" t="s">
        <v>40744</v>
      </c>
      <c r="AP6030" t="s">
        <v>7024</v>
      </c>
      <c r="AQ6030" t="s">
        <v>40745</v>
      </c>
      <c r="AT6030" s="184">
        <v>44938</v>
      </c>
      <c r="AU6030" t="s">
        <v>40746</v>
      </c>
      <c r="AV6030">
        <v>100</v>
      </c>
      <c r="AW6030" s="184">
        <v>44938</v>
      </c>
      <c r="AX6030" t="s">
        <v>40746</v>
      </c>
      <c r="AY6030">
        <v>100</v>
      </c>
      <c r="AZ6030" s="184">
        <v>44938</v>
      </c>
      <c r="BA6030" t="s">
        <v>40746</v>
      </c>
      <c r="BB6030">
        <v>100</v>
      </c>
      <c r="BC6030">
        <v>50</v>
      </c>
      <c r="BD6030">
        <v>100</v>
      </c>
      <c r="BE6030">
        <v>2023</v>
      </c>
      <c r="BF6030">
        <v>1</v>
      </c>
      <c r="BG6030">
        <v>1</v>
      </c>
      <c r="BH6030">
        <v>100</v>
      </c>
      <c r="BI6030">
        <v>1</v>
      </c>
      <c r="BJ6030">
        <v>2</v>
      </c>
      <c r="BK6030">
        <v>1</v>
      </c>
      <c r="BP6030" s="184"/>
    </row>
    <row r="6031" spans="1:68">
      <c r="A6031">
        <v>101085939</v>
      </c>
      <c r="B6031">
        <v>101085939</v>
      </c>
      <c r="C6031" t="s">
        <v>7018</v>
      </c>
      <c r="D6031" t="s">
        <v>595</v>
      </c>
      <c r="E6031" s="184">
        <v>43857</v>
      </c>
      <c r="I6031" s="184"/>
      <c r="K6031" s="184"/>
      <c r="M6031" s="184"/>
      <c r="P6031" t="s">
        <v>7045</v>
      </c>
      <c r="Q6031" t="s">
        <v>7160</v>
      </c>
      <c r="R6031" s="184">
        <v>17367</v>
      </c>
      <c r="S6031">
        <v>76</v>
      </c>
      <c r="U6031" t="s">
        <v>7130</v>
      </c>
      <c r="V6031" t="s">
        <v>4571</v>
      </c>
      <c r="W6031" t="s">
        <v>5622</v>
      </c>
      <c r="X6031" t="s">
        <v>4572</v>
      </c>
      <c r="AF6031" t="s">
        <v>40747</v>
      </c>
      <c r="AG6031" t="s">
        <v>4571</v>
      </c>
      <c r="AI6031" t="s">
        <v>40748</v>
      </c>
      <c r="AM6031" t="s">
        <v>40749</v>
      </c>
      <c r="AN6031" t="s">
        <v>2176</v>
      </c>
      <c r="AO6031" t="s">
        <v>40750</v>
      </c>
      <c r="AP6031" t="s">
        <v>7024</v>
      </c>
      <c r="AQ6031" t="s">
        <v>40751</v>
      </c>
      <c r="AR6031" t="s">
        <v>40752</v>
      </c>
      <c r="AT6031" s="184">
        <v>36878</v>
      </c>
      <c r="AU6031" t="s">
        <v>40753</v>
      </c>
      <c r="AV6031">
        <v>50</v>
      </c>
      <c r="AW6031" s="184">
        <v>45351</v>
      </c>
      <c r="AX6031" t="s">
        <v>35800</v>
      </c>
      <c r="AY6031">
        <v>200</v>
      </c>
      <c r="AZ6031" s="184">
        <v>45351</v>
      </c>
      <c r="BA6031" t="s">
        <v>35800</v>
      </c>
      <c r="BB6031">
        <v>200</v>
      </c>
      <c r="BC6031">
        <v>48</v>
      </c>
      <c r="BD6031">
        <v>971</v>
      </c>
      <c r="BE6031">
        <v>2001</v>
      </c>
      <c r="BF6031">
        <v>35</v>
      </c>
      <c r="BG6031">
        <v>11</v>
      </c>
      <c r="BH6031">
        <v>348</v>
      </c>
      <c r="BI6031">
        <v>12</v>
      </c>
      <c r="BJ6031">
        <v>25</v>
      </c>
      <c r="BK6031">
        <v>11</v>
      </c>
      <c r="BP6031" s="184"/>
    </row>
    <row r="6032" spans="1:68">
      <c r="A6032">
        <v>40125411</v>
      </c>
      <c r="B6032">
        <v>101086107</v>
      </c>
      <c r="C6032" t="s">
        <v>7018</v>
      </c>
      <c r="E6032" s="184"/>
      <c r="G6032" s="184"/>
      <c r="I6032" s="184"/>
      <c r="J6032" t="s">
        <v>595</v>
      </c>
      <c r="K6032" s="184">
        <v>44984</v>
      </c>
      <c r="M6032" s="184"/>
      <c r="P6032" t="s">
        <v>7029</v>
      </c>
      <c r="Q6032" t="s">
        <v>7454</v>
      </c>
      <c r="R6032" s="184">
        <v>10343</v>
      </c>
      <c r="S6032">
        <v>96</v>
      </c>
      <c r="U6032" t="s">
        <v>7031</v>
      </c>
      <c r="V6032" t="s">
        <v>2541</v>
      </c>
      <c r="W6032" t="s">
        <v>8224</v>
      </c>
      <c r="X6032" t="s">
        <v>17912</v>
      </c>
      <c r="Z6032">
        <v>101086107</v>
      </c>
      <c r="AA6032" t="s">
        <v>7130</v>
      </c>
      <c r="AB6032" t="s">
        <v>2586</v>
      </c>
      <c r="AD6032" t="s">
        <v>17912</v>
      </c>
      <c r="AF6032" t="s">
        <v>40754</v>
      </c>
      <c r="AG6032" t="s">
        <v>2586</v>
      </c>
      <c r="AI6032" t="s">
        <v>40755</v>
      </c>
      <c r="AM6032" t="s">
        <v>5607</v>
      </c>
      <c r="AN6032" t="s">
        <v>2055</v>
      </c>
      <c r="AO6032" t="s">
        <v>40756</v>
      </c>
      <c r="AP6032" t="s">
        <v>7024</v>
      </c>
      <c r="AQ6032" t="s">
        <v>40757</v>
      </c>
      <c r="AT6032" s="184">
        <v>39031</v>
      </c>
      <c r="AU6032" t="s">
        <v>40758</v>
      </c>
      <c r="AV6032">
        <v>15</v>
      </c>
      <c r="AW6032" s="184">
        <v>45089</v>
      </c>
      <c r="AX6032" t="s">
        <v>7814</v>
      </c>
      <c r="AY6032">
        <v>1000</v>
      </c>
      <c r="AZ6032" s="184">
        <v>45089</v>
      </c>
      <c r="BA6032" t="s">
        <v>7814</v>
      </c>
      <c r="BB6032">
        <v>1000</v>
      </c>
      <c r="BC6032">
        <v>95</v>
      </c>
      <c r="BD6032">
        <v>6800</v>
      </c>
      <c r="BE6032">
        <v>2007</v>
      </c>
      <c r="BF6032">
        <v>27</v>
      </c>
      <c r="BG6032">
        <v>2</v>
      </c>
      <c r="BH6032">
        <v>2000</v>
      </c>
      <c r="BI6032">
        <v>18</v>
      </c>
      <c r="BJ6032">
        <v>19</v>
      </c>
      <c r="BK6032">
        <v>18</v>
      </c>
      <c r="BO6032" t="s">
        <v>595</v>
      </c>
      <c r="BP6032" s="184">
        <v>45211</v>
      </c>
    </row>
    <row r="6033" spans="1:68">
      <c r="A6033">
        <v>101086107</v>
      </c>
      <c r="B6033">
        <v>101086107</v>
      </c>
      <c r="C6033" t="s">
        <v>7018</v>
      </c>
      <c r="E6033" s="184"/>
      <c r="I6033" s="184"/>
      <c r="J6033" t="s">
        <v>595</v>
      </c>
      <c r="K6033" s="184">
        <v>44984</v>
      </c>
      <c r="M6033" s="184"/>
      <c r="P6033" t="s">
        <v>7029</v>
      </c>
      <c r="Q6033" t="s">
        <v>7454</v>
      </c>
      <c r="R6033" s="184">
        <v>11232</v>
      </c>
      <c r="S6033">
        <v>93</v>
      </c>
      <c r="U6033" t="s">
        <v>7130</v>
      </c>
      <c r="V6033" t="s">
        <v>2586</v>
      </c>
      <c r="X6033" t="s">
        <v>17912</v>
      </c>
      <c r="Z6033">
        <v>40125411</v>
      </c>
      <c r="AA6033" t="s">
        <v>7031</v>
      </c>
      <c r="AB6033" t="s">
        <v>2541</v>
      </c>
      <c r="AC6033" t="s">
        <v>8224</v>
      </c>
      <c r="AD6033" t="s">
        <v>17912</v>
      </c>
      <c r="AF6033" t="s">
        <v>40754</v>
      </c>
      <c r="AG6033" t="s">
        <v>2586</v>
      </c>
      <c r="AI6033" t="s">
        <v>40755</v>
      </c>
      <c r="AM6033" t="s">
        <v>5607</v>
      </c>
      <c r="AN6033" t="s">
        <v>2055</v>
      </c>
      <c r="AO6033" t="s">
        <v>40756</v>
      </c>
      <c r="AP6033" t="s">
        <v>7024</v>
      </c>
      <c r="AQ6033" t="s">
        <v>40757</v>
      </c>
      <c r="AT6033" s="184"/>
      <c r="AW6033" s="184"/>
      <c r="AZ6033" s="184"/>
      <c r="BP6033" s="184"/>
    </row>
    <row r="6034" spans="1:68">
      <c r="A6034">
        <v>89222764</v>
      </c>
      <c r="B6034">
        <v>101087380</v>
      </c>
      <c r="C6034" t="s">
        <v>7018</v>
      </c>
      <c r="E6034" s="184"/>
      <c r="H6034" t="s">
        <v>595</v>
      </c>
      <c r="I6034" s="184">
        <v>44167</v>
      </c>
      <c r="K6034" s="184"/>
      <c r="M6034" s="184"/>
      <c r="P6034" t="s">
        <v>7045</v>
      </c>
      <c r="Q6034" t="s">
        <v>7194</v>
      </c>
      <c r="R6034" s="184">
        <v>13760</v>
      </c>
      <c r="S6034">
        <v>86</v>
      </c>
      <c r="U6034" t="s">
        <v>7031</v>
      </c>
      <c r="V6034" t="s">
        <v>2828</v>
      </c>
      <c r="X6034" t="s">
        <v>5122</v>
      </c>
      <c r="Z6034">
        <v>101087380</v>
      </c>
      <c r="AA6034" t="s">
        <v>7130</v>
      </c>
      <c r="AB6034" t="s">
        <v>2828</v>
      </c>
      <c r="AD6034" t="s">
        <v>5122</v>
      </c>
      <c r="AF6034" t="s">
        <v>40759</v>
      </c>
      <c r="AG6034" t="s">
        <v>2828</v>
      </c>
      <c r="AI6034" t="s">
        <v>40760</v>
      </c>
      <c r="AM6034" t="s">
        <v>2837</v>
      </c>
      <c r="AN6034" t="s">
        <v>2046</v>
      </c>
      <c r="AO6034" t="s">
        <v>40761</v>
      </c>
      <c r="AP6034" t="s">
        <v>7024</v>
      </c>
      <c r="AQ6034" t="s">
        <v>40762</v>
      </c>
      <c r="AT6034" s="184">
        <v>41509</v>
      </c>
      <c r="AU6034" t="s">
        <v>40763</v>
      </c>
      <c r="AV6034">
        <v>50</v>
      </c>
      <c r="AW6034" s="184">
        <v>44789</v>
      </c>
      <c r="AX6034" t="s">
        <v>18541</v>
      </c>
      <c r="AY6034">
        <v>70</v>
      </c>
      <c r="AZ6034" s="184">
        <v>44789</v>
      </c>
      <c r="BA6034" t="s">
        <v>18541</v>
      </c>
      <c r="BB6034">
        <v>70</v>
      </c>
      <c r="BC6034">
        <v>75</v>
      </c>
      <c r="BD6034">
        <v>521</v>
      </c>
      <c r="BE6034">
        <v>2014</v>
      </c>
      <c r="BF6034">
        <v>9</v>
      </c>
      <c r="BG6034">
        <v>1</v>
      </c>
      <c r="BH6034">
        <v>70</v>
      </c>
      <c r="BI6034">
        <v>9</v>
      </c>
      <c r="BJ6034">
        <v>12</v>
      </c>
      <c r="BK6034">
        <v>6</v>
      </c>
      <c r="BN6034" t="s">
        <v>595</v>
      </c>
      <c r="BO6034" t="s">
        <v>595</v>
      </c>
      <c r="BP6034" s="184"/>
    </row>
    <row r="6035" spans="1:68">
      <c r="A6035">
        <v>101094599</v>
      </c>
      <c r="B6035">
        <v>101094599</v>
      </c>
      <c r="C6035" t="s">
        <v>7018</v>
      </c>
      <c r="D6035" t="s">
        <v>595</v>
      </c>
      <c r="E6035" s="184">
        <v>44414</v>
      </c>
      <c r="G6035" s="184"/>
      <c r="I6035" s="184"/>
      <c r="K6035" s="184"/>
      <c r="M6035" s="184"/>
      <c r="P6035" t="s">
        <v>7045</v>
      </c>
      <c r="Q6035" t="s">
        <v>7160</v>
      </c>
      <c r="R6035" s="184">
        <v>13414</v>
      </c>
      <c r="S6035">
        <v>87</v>
      </c>
      <c r="V6035" t="s">
        <v>2863</v>
      </c>
      <c r="W6035" t="s">
        <v>7588</v>
      </c>
      <c r="X6035" t="s">
        <v>40764</v>
      </c>
      <c r="AF6035" t="s">
        <v>40765</v>
      </c>
      <c r="AG6035" t="s">
        <v>2863</v>
      </c>
      <c r="AI6035" t="s">
        <v>40766</v>
      </c>
      <c r="AM6035" t="s">
        <v>28655</v>
      </c>
      <c r="AN6035" t="s">
        <v>2176</v>
      </c>
      <c r="AO6035" t="s">
        <v>40767</v>
      </c>
      <c r="AP6035" t="s">
        <v>7024</v>
      </c>
      <c r="AQ6035" t="s">
        <v>40768</v>
      </c>
      <c r="AT6035" s="184">
        <v>36019</v>
      </c>
      <c r="AU6035" t="s">
        <v>15068</v>
      </c>
      <c r="AV6035">
        <v>24</v>
      </c>
      <c r="AW6035" s="184">
        <v>45007</v>
      </c>
      <c r="AX6035" t="s">
        <v>40769</v>
      </c>
      <c r="AY6035">
        <v>50</v>
      </c>
      <c r="AZ6035" s="184">
        <v>41932</v>
      </c>
      <c r="BA6035" t="s">
        <v>40770</v>
      </c>
      <c r="BB6035">
        <v>60</v>
      </c>
      <c r="BC6035">
        <v>41</v>
      </c>
      <c r="BD6035">
        <v>491</v>
      </c>
      <c r="BE6035">
        <v>1999</v>
      </c>
      <c r="BF6035">
        <v>14</v>
      </c>
      <c r="BG6035">
        <v>1</v>
      </c>
      <c r="BH6035">
        <v>50</v>
      </c>
      <c r="BI6035">
        <v>11</v>
      </c>
      <c r="BJ6035">
        <v>27</v>
      </c>
      <c r="BK6035">
        <v>3</v>
      </c>
      <c r="BN6035" t="s">
        <v>595</v>
      </c>
      <c r="BP6035" s="184"/>
    </row>
    <row r="6036" spans="1:68">
      <c r="A6036">
        <v>101095567</v>
      </c>
      <c r="B6036">
        <v>101095567</v>
      </c>
      <c r="C6036" t="s">
        <v>7018</v>
      </c>
      <c r="D6036" t="s">
        <v>595</v>
      </c>
      <c r="E6036" s="184">
        <v>45124</v>
      </c>
      <c r="G6036" s="184"/>
      <c r="I6036" s="184"/>
      <c r="K6036" s="184"/>
      <c r="M6036" s="184"/>
      <c r="P6036" t="s">
        <v>7045</v>
      </c>
      <c r="Q6036" t="s">
        <v>7160</v>
      </c>
      <c r="R6036" s="184">
        <v>17989</v>
      </c>
      <c r="S6036">
        <v>75</v>
      </c>
      <c r="U6036" t="s">
        <v>7031</v>
      </c>
      <c r="V6036" t="s">
        <v>2571</v>
      </c>
      <c r="X6036" t="s">
        <v>40771</v>
      </c>
      <c r="AF6036" t="s">
        <v>40772</v>
      </c>
      <c r="AG6036" t="s">
        <v>2571</v>
      </c>
      <c r="AI6036" t="s">
        <v>40773</v>
      </c>
      <c r="AM6036" t="s">
        <v>4422</v>
      </c>
      <c r="AN6036" t="s">
        <v>2176</v>
      </c>
      <c r="AO6036" t="s">
        <v>40774</v>
      </c>
      <c r="AP6036" t="s">
        <v>7024</v>
      </c>
      <c r="AQ6036" t="s">
        <v>40775</v>
      </c>
      <c r="AT6036" s="184">
        <v>37554</v>
      </c>
      <c r="AU6036" t="s">
        <v>40776</v>
      </c>
      <c r="AV6036">
        <v>25</v>
      </c>
      <c r="AW6036" s="184">
        <v>45015</v>
      </c>
      <c r="AX6036" t="s">
        <v>7832</v>
      </c>
      <c r="AY6036">
        <v>25</v>
      </c>
      <c r="AZ6036" s="184">
        <v>45015</v>
      </c>
      <c r="BA6036" t="s">
        <v>7832</v>
      </c>
      <c r="BB6036">
        <v>25</v>
      </c>
      <c r="BC6036">
        <v>40</v>
      </c>
      <c r="BD6036">
        <v>275</v>
      </c>
      <c r="BE6036">
        <v>2003</v>
      </c>
      <c r="BF6036">
        <v>11</v>
      </c>
      <c r="BG6036">
        <v>1</v>
      </c>
      <c r="BH6036">
        <v>25</v>
      </c>
      <c r="BI6036">
        <v>9</v>
      </c>
      <c r="BJ6036">
        <v>23</v>
      </c>
      <c r="BK6036">
        <v>2</v>
      </c>
    </row>
    <row r="6037" spans="1:68">
      <c r="A6037">
        <v>101098305</v>
      </c>
      <c r="B6037">
        <v>101098305</v>
      </c>
      <c r="C6037" t="s">
        <v>7018</v>
      </c>
      <c r="D6037" t="s">
        <v>595</v>
      </c>
      <c r="E6037" s="184">
        <v>44168</v>
      </c>
      <c r="G6037" s="184"/>
      <c r="I6037" s="184"/>
      <c r="K6037" s="184"/>
      <c r="M6037" s="184"/>
      <c r="P6037" t="s">
        <v>7019</v>
      </c>
      <c r="Q6037" t="s">
        <v>7262</v>
      </c>
      <c r="R6037" s="184">
        <v>20241</v>
      </c>
      <c r="S6037">
        <v>68</v>
      </c>
      <c r="U6037" t="s">
        <v>7031</v>
      </c>
      <c r="V6037" t="s">
        <v>2871</v>
      </c>
      <c r="X6037" t="s">
        <v>40777</v>
      </c>
      <c r="Z6037">
        <v>101099000</v>
      </c>
      <c r="AA6037" t="s">
        <v>7130</v>
      </c>
      <c r="AB6037" t="s">
        <v>40778</v>
      </c>
      <c r="AC6037" t="s">
        <v>3332</v>
      </c>
      <c r="AD6037" t="s">
        <v>40777</v>
      </c>
      <c r="AF6037" t="s">
        <v>40779</v>
      </c>
      <c r="AG6037" t="s">
        <v>40780</v>
      </c>
      <c r="AI6037" t="s">
        <v>40781</v>
      </c>
      <c r="AM6037" t="s">
        <v>17015</v>
      </c>
      <c r="AN6037" t="s">
        <v>2069</v>
      </c>
      <c r="AO6037" t="s">
        <v>40782</v>
      </c>
      <c r="AP6037" t="s">
        <v>7024</v>
      </c>
      <c r="AT6037" s="184">
        <v>32979</v>
      </c>
      <c r="AU6037" t="s">
        <v>10200</v>
      </c>
      <c r="AV6037">
        <v>20</v>
      </c>
      <c r="AW6037" s="184">
        <v>45022</v>
      </c>
      <c r="AX6037" t="s">
        <v>7832</v>
      </c>
      <c r="AY6037">
        <v>70</v>
      </c>
      <c r="AZ6037" s="184">
        <v>45022</v>
      </c>
      <c r="BA6037" t="s">
        <v>7832</v>
      </c>
      <c r="BB6037">
        <v>70</v>
      </c>
      <c r="BC6037">
        <v>49</v>
      </c>
      <c r="BD6037">
        <v>881</v>
      </c>
      <c r="BE6037">
        <v>1990</v>
      </c>
      <c r="BF6037">
        <v>22</v>
      </c>
      <c r="BG6037">
        <v>1</v>
      </c>
      <c r="BH6037">
        <v>70</v>
      </c>
      <c r="BI6037">
        <v>17</v>
      </c>
      <c r="BJ6037">
        <v>35</v>
      </c>
      <c r="BK6037">
        <v>4</v>
      </c>
      <c r="BN6037" t="s">
        <v>595</v>
      </c>
      <c r="BP6037" s="184"/>
    </row>
    <row r="6038" spans="1:68">
      <c r="A6038">
        <v>101099000</v>
      </c>
      <c r="B6038">
        <v>101098305</v>
      </c>
      <c r="C6038" t="s">
        <v>7018</v>
      </c>
      <c r="D6038" t="s">
        <v>595</v>
      </c>
      <c r="E6038" s="184">
        <v>44168</v>
      </c>
      <c r="I6038" s="184"/>
      <c r="K6038" s="184"/>
      <c r="M6038" s="184"/>
      <c r="P6038" t="s">
        <v>7019</v>
      </c>
      <c r="Q6038" t="s">
        <v>7262</v>
      </c>
      <c r="R6038" s="184">
        <v>18780</v>
      </c>
      <c r="S6038">
        <v>72</v>
      </c>
      <c r="U6038" t="s">
        <v>7130</v>
      </c>
      <c r="V6038" t="s">
        <v>40778</v>
      </c>
      <c r="W6038" t="s">
        <v>3332</v>
      </c>
      <c r="X6038" t="s">
        <v>40777</v>
      </c>
      <c r="Z6038">
        <v>101098305</v>
      </c>
      <c r="AA6038" t="s">
        <v>7031</v>
      </c>
      <c r="AB6038" t="s">
        <v>2871</v>
      </c>
      <c r="AD6038" t="s">
        <v>40777</v>
      </c>
      <c r="AF6038" t="s">
        <v>40779</v>
      </c>
      <c r="AG6038" t="s">
        <v>40780</v>
      </c>
      <c r="AI6038" t="s">
        <v>40781</v>
      </c>
      <c r="AM6038" t="s">
        <v>17015</v>
      </c>
      <c r="AN6038" t="s">
        <v>2069</v>
      </c>
      <c r="AO6038" t="s">
        <v>40782</v>
      </c>
      <c r="AP6038" t="s">
        <v>7024</v>
      </c>
      <c r="AQ6038" t="s">
        <v>40783</v>
      </c>
      <c r="AT6038" s="184"/>
      <c r="AW6038" s="184"/>
      <c r="AZ6038" s="184"/>
      <c r="BP6038" s="184"/>
    </row>
    <row r="6039" spans="1:68">
      <c r="A6039">
        <v>100963395</v>
      </c>
      <c r="B6039">
        <v>101112587</v>
      </c>
      <c r="C6039" t="s">
        <v>7018</v>
      </c>
      <c r="E6039" s="184"/>
      <c r="I6039" s="184"/>
      <c r="J6039" t="s">
        <v>595</v>
      </c>
      <c r="K6039" s="184">
        <v>44774</v>
      </c>
      <c r="M6039" s="184"/>
      <c r="P6039" t="s">
        <v>7084</v>
      </c>
      <c r="Q6039" t="s">
        <v>7383</v>
      </c>
      <c r="R6039" s="184"/>
      <c r="U6039" t="s">
        <v>7130</v>
      </c>
      <c r="V6039" t="s">
        <v>23351</v>
      </c>
      <c r="X6039" t="s">
        <v>25643</v>
      </c>
      <c r="Z6039">
        <v>101112587</v>
      </c>
      <c r="AB6039" t="s">
        <v>2541</v>
      </c>
      <c r="AC6039" t="s">
        <v>3226</v>
      </c>
      <c r="AD6039" t="s">
        <v>25643</v>
      </c>
      <c r="AF6039" t="s">
        <v>40784</v>
      </c>
      <c r="AG6039" t="s">
        <v>40785</v>
      </c>
      <c r="AI6039" t="s">
        <v>40786</v>
      </c>
      <c r="AM6039" t="s">
        <v>3815</v>
      </c>
      <c r="AN6039" t="s">
        <v>2059</v>
      </c>
      <c r="AO6039" t="s">
        <v>40787</v>
      </c>
      <c r="AP6039" t="s">
        <v>7024</v>
      </c>
      <c r="AT6039" s="184">
        <v>44748</v>
      </c>
      <c r="AU6039" t="s">
        <v>40788</v>
      </c>
      <c r="AV6039">
        <v>82390.720000000001</v>
      </c>
      <c r="AW6039" s="184">
        <v>44753</v>
      </c>
      <c r="AX6039" t="s">
        <v>40788</v>
      </c>
      <c r="AY6039">
        <v>480000</v>
      </c>
      <c r="AZ6039" s="184">
        <v>44753</v>
      </c>
      <c r="BA6039" t="s">
        <v>40788</v>
      </c>
      <c r="BB6039">
        <v>480000</v>
      </c>
      <c r="BC6039">
        <v>34</v>
      </c>
      <c r="BD6039">
        <v>801165.76</v>
      </c>
      <c r="BE6039">
        <v>2023</v>
      </c>
      <c r="BF6039">
        <v>3</v>
      </c>
      <c r="BG6039">
        <v>3</v>
      </c>
      <c r="BH6039">
        <v>801165.76</v>
      </c>
      <c r="BI6039">
        <v>1</v>
      </c>
      <c r="BJ6039">
        <v>3</v>
      </c>
      <c r="BK6039">
        <v>1</v>
      </c>
      <c r="BL6039" t="s">
        <v>595</v>
      </c>
      <c r="BM6039" t="s">
        <v>595</v>
      </c>
      <c r="BO6039" t="s">
        <v>595</v>
      </c>
      <c r="BP6039" s="184">
        <v>44759</v>
      </c>
    </row>
    <row r="6040" spans="1:68">
      <c r="A6040">
        <v>101112587</v>
      </c>
      <c r="B6040">
        <v>101112587</v>
      </c>
      <c r="C6040" t="s">
        <v>7018</v>
      </c>
      <c r="E6040" s="184"/>
      <c r="G6040" s="184"/>
      <c r="I6040" s="184"/>
      <c r="J6040" t="s">
        <v>595</v>
      </c>
      <c r="K6040" s="184">
        <v>44774</v>
      </c>
      <c r="M6040" s="184"/>
      <c r="P6040" t="s">
        <v>7084</v>
      </c>
      <c r="Q6040" t="s">
        <v>7383</v>
      </c>
      <c r="R6040" s="184"/>
      <c r="V6040" t="s">
        <v>2541</v>
      </c>
      <c r="W6040" t="s">
        <v>3226</v>
      </c>
      <c r="X6040" t="s">
        <v>25643</v>
      </c>
      <c r="Z6040">
        <v>100963395</v>
      </c>
      <c r="AA6040" t="s">
        <v>7130</v>
      </c>
      <c r="AB6040" t="s">
        <v>23351</v>
      </c>
      <c r="AD6040" t="s">
        <v>25643</v>
      </c>
      <c r="AF6040" t="s">
        <v>40784</v>
      </c>
      <c r="AG6040" t="s">
        <v>40785</v>
      </c>
      <c r="AI6040" t="s">
        <v>40786</v>
      </c>
      <c r="AM6040" t="s">
        <v>3815</v>
      </c>
      <c r="AN6040" t="s">
        <v>2059</v>
      </c>
      <c r="AO6040" t="s">
        <v>40787</v>
      </c>
      <c r="AP6040" t="s">
        <v>7024</v>
      </c>
      <c r="AT6040" s="184">
        <v>45103</v>
      </c>
      <c r="AU6040" t="s">
        <v>7721</v>
      </c>
      <c r="AV6040">
        <v>114177.73</v>
      </c>
      <c r="AW6040" s="184">
        <v>45301</v>
      </c>
      <c r="AX6040" t="s">
        <v>7296</v>
      </c>
      <c r="AY6040">
        <v>1129.68</v>
      </c>
      <c r="AZ6040" s="184">
        <v>45174</v>
      </c>
      <c r="BA6040" t="s">
        <v>7296</v>
      </c>
      <c r="BB6040">
        <v>244827.83</v>
      </c>
      <c r="BC6040">
        <v>100</v>
      </c>
      <c r="BD6040">
        <v>361163.03</v>
      </c>
      <c r="BE6040">
        <v>2023</v>
      </c>
      <c r="BF6040">
        <v>4</v>
      </c>
      <c r="BG6040">
        <v>4</v>
      </c>
      <c r="BH6040">
        <v>361163.03</v>
      </c>
      <c r="BI6040">
        <v>2</v>
      </c>
      <c r="BJ6040">
        <v>2</v>
      </c>
      <c r="BK6040">
        <v>2</v>
      </c>
      <c r="BO6040" t="s">
        <v>595</v>
      </c>
      <c r="BP6040" s="184"/>
    </row>
    <row r="6041" spans="1:68">
      <c r="A6041">
        <v>101112594</v>
      </c>
      <c r="B6041">
        <v>101112594</v>
      </c>
      <c r="C6041" t="s">
        <v>7018</v>
      </c>
      <c r="E6041" s="184"/>
      <c r="G6041" s="184"/>
      <c r="I6041" s="184"/>
      <c r="J6041" t="s">
        <v>595</v>
      </c>
      <c r="K6041" s="184">
        <v>45063</v>
      </c>
      <c r="M6041" s="184"/>
      <c r="R6041" s="184"/>
      <c r="V6041" t="s">
        <v>2523</v>
      </c>
      <c r="W6041" t="s">
        <v>7085</v>
      </c>
      <c r="X6041" t="s">
        <v>40789</v>
      </c>
      <c r="AF6041" t="s">
        <v>40790</v>
      </c>
      <c r="AG6041" t="s">
        <v>2523</v>
      </c>
      <c r="AP6041" t="s">
        <v>7024</v>
      </c>
      <c r="AT6041" s="184"/>
      <c r="AW6041" s="184"/>
      <c r="AZ6041" s="184"/>
      <c r="BO6041" t="s">
        <v>595</v>
      </c>
      <c r="BP6041" s="184"/>
    </row>
    <row r="6042" spans="1:68">
      <c r="A6042">
        <v>101112595</v>
      </c>
      <c r="B6042">
        <v>101112595</v>
      </c>
      <c r="C6042" t="s">
        <v>7018</v>
      </c>
      <c r="E6042" s="184"/>
      <c r="G6042" s="184"/>
      <c r="I6042" s="184"/>
      <c r="J6042" t="s">
        <v>595</v>
      </c>
      <c r="K6042" s="184">
        <v>45063</v>
      </c>
      <c r="M6042" s="184"/>
      <c r="P6042" t="s">
        <v>7084</v>
      </c>
      <c r="R6042" s="184"/>
      <c r="V6042" t="s">
        <v>2523</v>
      </c>
      <c r="W6042" t="s">
        <v>7107</v>
      </c>
      <c r="X6042" t="s">
        <v>40791</v>
      </c>
      <c r="AF6042" t="s">
        <v>40792</v>
      </c>
      <c r="AG6042" t="s">
        <v>2523</v>
      </c>
      <c r="AP6042" t="s">
        <v>7024</v>
      </c>
      <c r="AT6042" s="184">
        <v>45327</v>
      </c>
      <c r="AU6042" t="s">
        <v>7296</v>
      </c>
      <c r="AV6042">
        <v>10000</v>
      </c>
      <c r="AW6042" s="184">
        <v>45348</v>
      </c>
      <c r="AX6042" t="s">
        <v>7296</v>
      </c>
      <c r="AY6042">
        <v>120000</v>
      </c>
      <c r="AZ6042" s="184">
        <v>45348</v>
      </c>
      <c r="BA6042" t="s">
        <v>7296</v>
      </c>
      <c r="BB6042">
        <v>120000</v>
      </c>
      <c r="BC6042">
        <v>100</v>
      </c>
      <c r="BD6042">
        <v>130000</v>
      </c>
      <c r="BE6042">
        <v>2024</v>
      </c>
      <c r="BF6042">
        <v>2</v>
      </c>
      <c r="BG6042">
        <v>2</v>
      </c>
      <c r="BH6042">
        <v>130000</v>
      </c>
      <c r="BI6042">
        <v>1</v>
      </c>
      <c r="BJ6042">
        <v>1</v>
      </c>
      <c r="BK6042">
        <v>1</v>
      </c>
      <c r="BO6042" t="s">
        <v>595</v>
      </c>
    </row>
    <row r="6043" spans="1:68">
      <c r="A6043">
        <v>101112599</v>
      </c>
      <c r="B6043">
        <v>101112599</v>
      </c>
      <c r="C6043" t="s">
        <v>7018</v>
      </c>
      <c r="E6043" s="184"/>
      <c r="G6043" s="184"/>
      <c r="I6043" s="184"/>
      <c r="J6043" t="s">
        <v>595</v>
      </c>
      <c r="K6043" s="184">
        <v>45063</v>
      </c>
      <c r="M6043" s="184"/>
      <c r="R6043" s="184"/>
      <c r="V6043" t="s">
        <v>4044</v>
      </c>
      <c r="X6043" t="s">
        <v>40793</v>
      </c>
      <c r="AF6043" t="s">
        <v>40794</v>
      </c>
      <c r="AG6043" t="s">
        <v>4044</v>
      </c>
      <c r="AP6043" t="s">
        <v>7024</v>
      </c>
      <c r="AT6043" s="184"/>
      <c r="AW6043" s="184"/>
      <c r="AZ6043" s="184"/>
      <c r="BO6043" t="s">
        <v>595</v>
      </c>
    </row>
    <row r="6044" spans="1:68">
      <c r="A6044">
        <v>101127544</v>
      </c>
      <c r="B6044">
        <v>101127544</v>
      </c>
      <c r="C6044" t="s">
        <v>7018</v>
      </c>
      <c r="D6044" t="s">
        <v>595</v>
      </c>
      <c r="E6044" s="184">
        <v>45085</v>
      </c>
      <c r="G6044" s="184"/>
      <c r="I6044" s="184"/>
      <c r="K6044" s="184"/>
      <c r="M6044" s="184"/>
      <c r="P6044" t="s">
        <v>8550</v>
      </c>
      <c r="R6044" s="184"/>
      <c r="V6044" t="s">
        <v>3311</v>
      </c>
      <c r="X6044" t="s">
        <v>40795</v>
      </c>
      <c r="Z6044">
        <v>101127545</v>
      </c>
      <c r="AB6044" t="s">
        <v>5623</v>
      </c>
      <c r="AD6044" t="s">
        <v>40795</v>
      </c>
      <c r="AF6044" t="s">
        <v>40796</v>
      </c>
      <c r="AG6044" t="s">
        <v>40797</v>
      </c>
      <c r="AP6044" t="s">
        <v>7024</v>
      </c>
      <c r="AQ6044" t="s">
        <v>40798</v>
      </c>
      <c r="AT6044" s="184"/>
      <c r="AW6044" s="184"/>
      <c r="AZ6044" s="184"/>
    </row>
    <row r="6045" spans="1:68">
      <c r="A6045">
        <v>101127545</v>
      </c>
      <c r="B6045">
        <v>101127544</v>
      </c>
      <c r="C6045" t="s">
        <v>7018</v>
      </c>
      <c r="D6045" t="s">
        <v>595</v>
      </c>
      <c r="E6045" s="184">
        <v>45085</v>
      </c>
      <c r="I6045" s="184"/>
      <c r="K6045" s="184"/>
      <c r="M6045" s="184"/>
      <c r="P6045" t="s">
        <v>8550</v>
      </c>
      <c r="R6045" s="184"/>
      <c r="V6045" t="s">
        <v>5623</v>
      </c>
      <c r="X6045" t="s">
        <v>40795</v>
      </c>
      <c r="Z6045">
        <v>101127544</v>
      </c>
      <c r="AB6045" t="s">
        <v>3311</v>
      </c>
      <c r="AD6045" t="s">
        <v>40795</v>
      </c>
      <c r="AF6045" t="s">
        <v>40796</v>
      </c>
      <c r="AG6045" t="s">
        <v>40797</v>
      </c>
      <c r="AP6045" t="s">
        <v>7024</v>
      </c>
      <c r="AT6045" s="184"/>
      <c r="AW6045" s="184"/>
      <c r="AZ6045" s="184"/>
    </row>
    <row r="6046" spans="1:68">
      <c r="A6046">
        <v>101133099</v>
      </c>
      <c r="B6046">
        <v>101133099</v>
      </c>
      <c r="C6046" t="s">
        <v>7018</v>
      </c>
      <c r="D6046" t="s">
        <v>595</v>
      </c>
      <c r="E6046" s="184">
        <v>44484</v>
      </c>
      <c r="G6046" s="184"/>
      <c r="I6046" s="184"/>
      <c r="J6046" t="s">
        <v>595</v>
      </c>
      <c r="K6046" s="184">
        <v>45370</v>
      </c>
      <c r="M6046" s="184"/>
      <c r="P6046" t="s">
        <v>7045</v>
      </c>
      <c r="Q6046" t="s">
        <v>7020</v>
      </c>
      <c r="R6046" s="184">
        <v>20894</v>
      </c>
      <c r="S6046">
        <v>67</v>
      </c>
      <c r="U6046" t="s">
        <v>7076</v>
      </c>
      <c r="V6046" t="s">
        <v>14917</v>
      </c>
      <c r="X6046" t="s">
        <v>2772</v>
      </c>
      <c r="AF6046" t="s">
        <v>40799</v>
      </c>
      <c r="AG6046" t="s">
        <v>14917</v>
      </c>
      <c r="AI6046" t="s">
        <v>40800</v>
      </c>
      <c r="AM6046" t="s">
        <v>40801</v>
      </c>
      <c r="AN6046" t="s">
        <v>2240</v>
      </c>
      <c r="AO6046" t="s">
        <v>40802</v>
      </c>
      <c r="AP6046" t="s">
        <v>7024</v>
      </c>
      <c r="AQ6046" t="s">
        <v>40803</v>
      </c>
      <c r="AR6046" t="s">
        <v>40804</v>
      </c>
      <c r="AT6046" s="184">
        <v>41795</v>
      </c>
      <c r="AU6046" t="s">
        <v>34068</v>
      </c>
      <c r="AV6046">
        <v>25</v>
      </c>
      <c r="AW6046" s="184">
        <v>45369</v>
      </c>
      <c r="AX6046" t="s">
        <v>9559</v>
      </c>
      <c r="AY6046">
        <v>200</v>
      </c>
      <c r="AZ6046" s="184">
        <v>45369</v>
      </c>
      <c r="BA6046" t="s">
        <v>9559</v>
      </c>
      <c r="BB6046">
        <v>200</v>
      </c>
      <c r="BC6046">
        <v>100</v>
      </c>
      <c r="BD6046">
        <v>790</v>
      </c>
      <c r="BE6046">
        <v>2014</v>
      </c>
      <c r="BF6046">
        <v>11</v>
      </c>
      <c r="BG6046">
        <v>3</v>
      </c>
      <c r="BH6046">
        <v>500</v>
      </c>
      <c r="BI6046">
        <v>11</v>
      </c>
      <c r="BJ6046">
        <v>11</v>
      </c>
      <c r="BK6046">
        <v>11</v>
      </c>
    </row>
    <row r="6047" spans="1:68">
      <c r="A6047">
        <v>101133446</v>
      </c>
      <c r="B6047">
        <v>101133446</v>
      </c>
      <c r="C6047" t="s">
        <v>7018</v>
      </c>
      <c r="D6047" t="s">
        <v>595</v>
      </c>
      <c r="E6047" s="184">
        <v>44104</v>
      </c>
      <c r="G6047" s="184"/>
      <c r="I6047" s="184"/>
      <c r="K6047" s="184"/>
      <c r="M6047" s="184"/>
      <c r="P6047" t="s">
        <v>7045</v>
      </c>
      <c r="Q6047" t="s">
        <v>7454</v>
      </c>
      <c r="R6047" s="184">
        <v>18415</v>
      </c>
      <c r="S6047">
        <v>73</v>
      </c>
      <c r="V6047" t="s">
        <v>3773</v>
      </c>
      <c r="X6047" t="s">
        <v>40805</v>
      </c>
      <c r="AF6047" t="s">
        <v>40806</v>
      </c>
      <c r="AG6047" t="s">
        <v>3773</v>
      </c>
      <c r="AI6047" t="s">
        <v>40807</v>
      </c>
      <c r="AM6047" t="s">
        <v>3855</v>
      </c>
      <c r="AN6047" t="s">
        <v>2055</v>
      </c>
      <c r="AO6047" t="s">
        <v>40808</v>
      </c>
      <c r="AP6047" t="s">
        <v>7024</v>
      </c>
      <c r="AQ6047" t="s">
        <v>40809</v>
      </c>
      <c r="AT6047" s="184">
        <v>31594</v>
      </c>
      <c r="AU6047" t="s">
        <v>40810</v>
      </c>
      <c r="AV6047">
        <v>22</v>
      </c>
      <c r="AW6047" s="184">
        <v>45093</v>
      </c>
      <c r="AX6047" t="s">
        <v>25788</v>
      </c>
      <c r="AY6047">
        <v>50</v>
      </c>
      <c r="AZ6047" s="184">
        <v>45093</v>
      </c>
      <c r="BA6047" t="s">
        <v>25788</v>
      </c>
      <c r="BB6047">
        <v>50</v>
      </c>
      <c r="BC6047">
        <v>85</v>
      </c>
      <c r="BD6047">
        <v>1659</v>
      </c>
      <c r="BE6047">
        <v>1987</v>
      </c>
      <c r="BF6047">
        <v>42</v>
      </c>
      <c r="BG6047">
        <v>3</v>
      </c>
      <c r="BH6047">
        <v>150</v>
      </c>
      <c r="BI6047">
        <v>33</v>
      </c>
      <c r="BJ6047">
        <v>39</v>
      </c>
      <c r="BK6047">
        <v>21</v>
      </c>
    </row>
    <row r="6048" spans="1:68">
      <c r="A6048">
        <v>101134215</v>
      </c>
      <c r="B6048">
        <v>101134215</v>
      </c>
      <c r="C6048" t="s">
        <v>7018</v>
      </c>
      <c r="E6048" s="184"/>
      <c r="G6048" s="184"/>
      <c r="H6048" t="s">
        <v>595</v>
      </c>
      <c r="I6048" s="184">
        <v>45281</v>
      </c>
      <c r="K6048" s="184"/>
      <c r="M6048" s="184"/>
      <c r="P6048" t="s">
        <v>7045</v>
      </c>
      <c r="Q6048" t="s">
        <v>7262</v>
      </c>
      <c r="R6048" s="184">
        <v>13117</v>
      </c>
      <c r="S6048">
        <v>88</v>
      </c>
      <c r="V6048" t="s">
        <v>21758</v>
      </c>
      <c r="X6048" t="s">
        <v>40811</v>
      </c>
      <c r="AF6048" t="s">
        <v>40812</v>
      </c>
      <c r="AG6048" t="s">
        <v>21758</v>
      </c>
      <c r="AI6048" t="s">
        <v>40813</v>
      </c>
      <c r="AM6048" t="s">
        <v>32575</v>
      </c>
      <c r="AN6048" t="s">
        <v>2106</v>
      </c>
      <c r="AO6048" t="s">
        <v>40814</v>
      </c>
      <c r="AP6048" t="s">
        <v>7024</v>
      </c>
      <c r="AQ6048" t="s">
        <v>40815</v>
      </c>
      <c r="AT6048" s="184">
        <v>45091</v>
      </c>
      <c r="AU6048" t="s">
        <v>40816</v>
      </c>
      <c r="AV6048">
        <v>25</v>
      </c>
      <c r="AW6048" s="184">
        <v>45091</v>
      </c>
      <c r="AX6048" t="s">
        <v>40816</v>
      </c>
      <c r="AY6048">
        <v>25</v>
      </c>
      <c r="AZ6048" s="184">
        <v>45091</v>
      </c>
      <c r="BA6048" t="s">
        <v>40816</v>
      </c>
      <c r="BB6048">
        <v>25</v>
      </c>
      <c r="BC6048">
        <v>50</v>
      </c>
      <c r="BD6048">
        <v>25</v>
      </c>
      <c r="BE6048">
        <v>2023</v>
      </c>
      <c r="BF6048">
        <v>1</v>
      </c>
      <c r="BG6048">
        <v>1</v>
      </c>
      <c r="BH6048">
        <v>25</v>
      </c>
      <c r="BI6048">
        <v>1</v>
      </c>
      <c r="BJ6048">
        <v>2</v>
      </c>
      <c r="BK6048">
        <v>1</v>
      </c>
    </row>
    <row r="6049" spans="1:67">
      <c r="A6049">
        <v>101137507</v>
      </c>
      <c r="B6049">
        <v>101137507</v>
      </c>
      <c r="C6049" t="s">
        <v>7018</v>
      </c>
      <c r="E6049" s="184"/>
      <c r="G6049" s="184"/>
      <c r="I6049" s="184"/>
      <c r="J6049" t="s">
        <v>595</v>
      </c>
      <c r="K6049" s="184">
        <v>44839</v>
      </c>
      <c r="M6049" s="184"/>
      <c r="R6049" s="184"/>
      <c r="V6049" t="s">
        <v>2541</v>
      </c>
      <c r="X6049" t="s">
        <v>4631</v>
      </c>
      <c r="AF6049" t="s">
        <v>40817</v>
      </c>
      <c r="AG6049" t="s">
        <v>2541</v>
      </c>
      <c r="AP6049" t="s">
        <v>7024</v>
      </c>
      <c r="AT6049" s="184"/>
      <c r="AW6049" s="184"/>
      <c r="AZ6049" s="184"/>
      <c r="BO6049" t="s">
        <v>595</v>
      </c>
    </row>
    <row r="6050" spans="1:67">
      <c r="A6050">
        <v>101137509</v>
      </c>
      <c r="B6050">
        <v>101137509</v>
      </c>
      <c r="C6050" t="s">
        <v>7018</v>
      </c>
      <c r="E6050" s="184"/>
      <c r="G6050" s="184"/>
      <c r="I6050" s="184"/>
      <c r="J6050" t="s">
        <v>595</v>
      </c>
      <c r="K6050" s="184">
        <v>44945</v>
      </c>
      <c r="M6050" s="184"/>
      <c r="R6050" s="184"/>
      <c r="V6050" t="s">
        <v>2705</v>
      </c>
      <c r="X6050" t="s">
        <v>36088</v>
      </c>
      <c r="AF6050" t="s">
        <v>40818</v>
      </c>
      <c r="AG6050" t="s">
        <v>2705</v>
      </c>
      <c r="AP6050" t="s">
        <v>7024</v>
      </c>
      <c r="AT6050" s="184"/>
      <c r="AW6050" s="184"/>
      <c r="AZ6050" s="184"/>
      <c r="BO6050" t="s">
        <v>595</v>
      </c>
    </row>
    <row r="6051" spans="1:67">
      <c r="A6051">
        <v>101137515</v>
      </c>
      <c r="B6051">
        <v>101137515</v>
      </c>
      <c r="C6051" t="s">
        <v>7018</v>
      </c>
      <c r="E6051" s="184"/>
      <c r="G6051" s="184"/>
      <c r="I6051" s="184"/>
      <c r="J6051" t="s">
        <v>595</v>
      </c>
      <c r="K6051" s="184">
        <v>43642</v>
      </c>
      <c r="M6051" s="184"/>
      <c r="R6051" s="184"/>
      <c r="V6051" t="s">
        <v>2669</v>
      </c>
      <c r="W6051" t="s">
        <v>3226</v>
      </c>
      <c r="X6051" t="s">
        <v>2512</v>
      </c>
      <c r="AF6051" t="s">
        <v>40819</v>
      </c>
      <c r="AG6051" t="s">
        <v>2669</v>
      </c>
      <c r="AP6051" t="s">
        <v>7024</v>
      </c>
      <c r="AT6051" s="184"/>
      <c r="AW6051" s="184"/>
      <c r="AZ6051" s="184"/>
      <c r="BO6051" t="s">
        <v>595</v>
      </c>
    </row>
    <row r="6052" spans="1:67">
      <c r="A6052">
        <v>101140875</v>
      </c>
      <c r="B6052">
        <v>101140875</v>
      </c>
      <c r="C6052" t="s">
        <v>7018</v>
      </c>
      <c r="D6052" t="s">
        <v>595</v>
      </c>
      <c r="E6052" s="184">
        <v>44104</v>
      </c>
      <c r="G6052" s="184"/>
      <c r="I6052" s="184"/>
      <c r="K6052" s="184"/>
      <c r="M6052" s="184"/>
      <c r="P6052" t="s">
        <v>7045</v>
      </c>
      <c r="Q6052" t="s">
        <v>7030</v>
      </c>
      <c r="R6052" s="184">
        <v>20821</v>
      </c>
      <c r="S6052">
        <v>67</v>
      </c>
      <c r="U6052" t="s">
        <v>7031</v>
      </c>
      <c r="V6052" t="s">
        <v>40820</v>
      </c>
      <c r="W6052" t="s">
        <v>4013</v>
      </c>
      <c r="X6052" t="s">
        <v>4999</v>
      </c>
      <c r="AF6052" t="s">
        <v>40821</v>
      </c>
      <c r="AG6052" t="s">
        <v>40820</v>
      </c>
      <c r="AI6052" t="s">
        <v>40822</v>
      </c>
      <c r="AM6052" t="s">
        <v>4709</v>
      </c>
      <c r="AN6052" t="s">
        <v>2201</v>
      </c>
      <c r="AO6052" t="s">
        <v>40823</v>
      </c>
      <c r="AP6052" t="s">
        <v>7024</v>
      </c>
      <c r="AQ6052" t="s">
        <v>40824</v>
      </c>
      <c r="AT6052" s="184">
        <v>30914</v>
      </c>
      <c r="AU6052" t="s">
        <v>7073</v>
      </c>
      <c r="AV6052">
        <v>18</v>
      </c>
      <c r="AW6052" s="184">
        <v>45120</v>
      </c>
      <c r="AX6052" t="s">
        <v>40825</v>
      </c>
      <c r="AY6052">
        <v>100</v>
      </c>
      <c r="AZ6052" s="184">
        <v>45120</v>
      </c>
      <c r="BA6052" t="s">
        <v>40825</v>
      </c>
      <c r="BB6052">
        <v>100</v>
      </c>
      <c r="BC6052">
        <v>66</v>
      </c>
      <c r="BD6052">
        <v>1265</v>
      </c>
      <c r="BE6052">
        <v>1985</v>
      </c>
      <c r="BF6052">
        <v>31</v>
      </c>
      <c r="BG6052">
        <v>2</v>
      </c>
      <c r="BH6052">
        <v>150</v>
      </c>
      <c r="BI6052">
        <v>27</v>
      </c>
      <c r="BJ6052">
        <v>41</v>
      </c>
      <c r="BK6052">
        <v>7</v>
      </c>
    </row>
    <row r="6053" spans="1:67">
      <c r="A6053">
        <v>101141845</v>
      </c>
      <c r="B6053">
        <v>101141845</v>
      </c>
      <c r="C6053" t="s">
        <v>7018</v>
      </c>
      <c r="E6053" s="184"/>
      <c r="G6053" s="184"/>
      <c r="H6053" t="s">
        <v>595</v>
      </c>
      <c r="I6053" s="184">
        <v>45127</v>
      </c>
      <c r="K6053" s="184"/>
      <c r="M6053" s="184"/>
      <c r="P6053" t="s">
        <v>8550</v>
      </c>
      <c r="Q6053" t="s">
        <v>7383</v>
      </c>
      <c r="R6053" s="184">
        <v>14246</v>
      </c>
      <c r="S6053">
        <v>85</v>
      </c>
      <c r="V6053" t="s">
        <v>2832</v>
      </c>
      <c r="X6053" t="s">
        <v>40826</v>
      </c>
      <c r="AF6053" t="s">
        <v>40827</v>
      </c>
      <c r="AG6053" t="s">
        <v>2832</v>
      </c>
      <c r="AI6053" t="s">
        <v>40828</v>
      </c>
      <c r="AJ6053" t="s">
        <v>40829</v>
      </c>
      <c r="AM6053" t="s">
        <v>4732</v>
      </c>
      <c r="AN6053" t="s">
        <v>2313</v>
      </c>
      <c r="AO6053">
        <v>60134</v>
      </c>
      <c r="AP6053" t="s">
        <v>7024</v>
      </c>
      <c r="AT6053" s="184"/>
      <c r="AW6053" s="184"/>
      <c r="AZ6053" s="184"/>
    </row>
    <row r="6054" spans="1:67">
      <c r="A6054">
        <v>101150695</v>
      </c>
      <c r="B6054">
        <v>101150695</v>
      </c>
      <c r="C6054" t="s">
        <v>7018</v>
      </c>
      <c r="D6054" t="s">
        <v>595</v>
      </c>
      <c r="E6054" s="184">
        <v>45152</v>
      </c>
      <c r="G6054" s="184"/>
      <c r="I6054" s="184"/>
      <c r="K6054" s="184"/>
      <c r="M6054" s="184"/>
      <c r="P6054" t="s">
        <v>8550</v>
      </c>
      <c r="Q6054" t="s">
        <v>7030</v>
      </c>
      <c r="R6054" s="184"/>
      <c r="V6054" t="s">
        <v>40830</v>
      </c>
      <c r="X6054" t="s">
        <v>4222</v>
      </c>
      <c r="AF6054" t="s">
        <v>40831</v>
      </c>
      <c r="AG6054" t="s">
        <v>40830</v>
      </c>
      <c r="AI6054" t="s">
        <v>40832</v>
      </c>
      <c r="AM6054" t="s">
        <v>4424</v>
      </c>
      <c r="AN6054" t="s">
        <v>2089</v>
      </c>
      <c r="AO6054">
        <v>85032</v>
      </c>
      <c r="AP6054" t="s">
        <v>7024</v>
      </c>
      <c r="AQ6054" t="s">
        <v>40833</v>
      </c>
      <c r="AT6054" s="184"/>
      <c r="AW6054" s="184"/>
      <c r="AZ6054" s="184"/>
    </row>
    <row r="6055" spans="1:67">
      <c r="A6055">
        <v>101150743</v>
      </c>
      <c r="B6055">
        <v>101150743</v>
      </c>
      <c r="C6055" t="s">
        <v>7018</v>
      </c>
      <c r="E6055" s="184"/>
      <c r="G6055" s="184"/>
      <c r="H6055" t="s">
        <v>595</v>
      </c>
      <c r="I6055" s="184">
        <v>45180</v>
      </c>
      <c r="K6055" s="184"/>
      <c r="M6055" s="184"/>
      <c r="P6055" t="s">
        <v>7045</v>
      </c>
      <c r="Q6055" t="s">
        <v>7030</v>
      </c>
      <c r="R6055" s="184"/>
      <c r="V6055" t="s">
        <v>25635</v>
      </c>
      <c r="X6055" t="s">
        <v>40834</v>
      </c>
      <c r="AF6055" t="s">
        <v>40835</v>
      </c>
      <c r="AG6055" t="s">
        <v>25635</v>
      </c>
      <c r="AI6055" t="s">
        <v>40836</v>
      </c>
      <c r="AM6055" t="s">
        <v>2777</v>
      </c>
      <c r="AN6055" t="s">
        <v>2094</v>
      </c>
      <c r="AO6055" t="s">
        <v>40837</v>
      </c>
      <c r="AP6055" t="s">
        <v>7024</v>
      </c>
      <c r="AQ6055" t="s">
        <v>40838</v>
      </c>
      <c r="AT6055" s="184">
        <v>45152</v>
      </c>
      <c r="AU6055" t="s">
        <v>40839</v>
      </c>
      <c r="AV6055">
        <v>39</v>
      </c>
      <c r="AW6055" s="184">
        <v>45152</v>
      </c>
      <c r="AX6055" t="s">
        <v>40839</v>
      </c>
      <c r="AY6055">
        <v>39</v>
      </c>
      <c r="AZ6055" s="184">
        <v>45152</v>
      </c>
      <c r="BA6055" t="s">
        <v>40839</v>
      </c>
      <c r="BB6055">
        <v>39</v>
      </c>
      <c r="BC6055">
        <v>50</v>
      </c>
      <c r="BD6055">
        <v>39</v>
      </c>
      <c r="BE6055">
        <v>2024</v>
      </c>
      <c r="BF6055">
        <v>1</v>
      </c>
      <c r="BG6055">
        <v>1</v>
      </c>
      <c r="BH6055">
        <v>39</v>
      </c>
      <c r="BI6055">
        <v>1</v>
      </c>
      <c r="BJ6055">
        <v>2</v>
      </c>
      <c r="BK6055">
        <v>1</v>
      </c>
    </row>
    <row r="6056" spans="1:67">
      <c r="A6056">
        <v>101152146</v>
      </c>
      <c r="B6056">
        <v>101152146</v>
      </c>
      <c r="C6056" t="s">
        <v>7018</v>
      </c>
      <c r="D6056" t="s">
        <v>595</v>
      </c>
      <c r="E6056" s="184">
        <v>45195</v>
      </c>
      <c r="I6056" s="184"/>
      <c r="K6056" s="184"/>
      <c r="M6056" s="184"/>
      <c r="P6056" t="s">
        <v>7045</v>
      </c>
      <c r="Q6056" t="s">
        <v>7494</v>
      </c>
      <c r="R6056" s="184">
        <v>22688</v>
      </c>
      <c r="S6056">
        <v>62</v>
      </c>
      <c r="V6056" t="s">
        <v>40840</v>
      </c>
      <c r="X6056" t="s">
        <v>2846</v>
      </c>
      <c r="AF6056" t="s">
        <v>40841</v>
      </c>
      <c r="AG6056" t="s">
        <v>5990</v>
      </c>
      <c r="AI6056" t="s">
        <v>40842</v>
      </c>
      <c r="AM6056" t="s">
        <v>3272</v>
      </c>
      <c r="AN6056" t="s">
        <v>2174</v>
      </c>
      <c r="AO6056" t="s">
        <v>40843</v>
      </c>
      <c r="AP6056" t="s">
        <v>7024</v>
      </c>
      <c r="AQ6056" t="s">
        <v>40844</v>
      </c>
      <c r="AT6056" s="184">
        <v>41198</v>
      </c>
      <c r="AU6056" t="s">
        <v>40845</v>
      </c>
      <c r="AV6056">
        <v>20</v>
      </c>
      <c r="AW6056" s="184">
        <v>45158</v>
      </c>
      <c r="AX6056" t="s">
        <v>14164</v>
      </c>
      <c r="AY6056">
        <v>25</v>
      </c>
      <c r="AZ6056" s="184">
        <v>44000</v>
      </c>
      <c r="BA6056" t="s">
        <v>10303</v>
      </c>
      <c r="BB6056">
        <v>60</v>
      </c>
      <c r="BC6056">
        <v>47</v>
      </c>
      <c r="BD6056">
        <v>195</v>
      </c>
      <c r="BE6056">
        <v>2013</v>
      </c>
      <c r="BF6056">
        <v>6</v>
      </c>
      <c r="BG6056">
        <v>1</v>
      </c>
      <c r="BH6056">
        <v>25</v>
      </c>
      <c r="BI6056">
        <v>6</v>
      </c>
      <c r="BJ6056">
        <v>13</v>
      </c>
      <c r="BK6056">
        <v>3</v>
      </c>
    </row>
    <row r="6057" spans="1:67">
      <c r="A6057">
        <v>101163433</v>
      </c>
      <c r="B6057">
        <v>101163433</v>
      </c>
      <c r="C6057" t="s">
        <v>7018</v>
      </c>
      <c r="E6057" s="184"/>
      <c r="I6057" s="184"/>
      <c r="J6057" t="s">
        <v>595</v>
      </c>
      <c r="K6057" s="184">
        <v>45174</v>
      </c>
      <c r="M6057" s="184"/>
      <c r="P6057" t="s">
        <v>8550</v>
      </c>
      <c r="Q6057" t="s">
        <v>7383</v>
      </c>
      <c r="R6057" s="184"/>
      <c r="V6057" t="s">
        <v>4407</v>
      </c>
      <c r="X6057" t="s">
        <v>8364</v>
      </c>
      <c r="AF6057" t="s">
        <v>40846</v>
      </c>
      <c r="AG6057" t="s">
        <v>4407</v>
      </c>
      <c r="AI6057" t="s">
        <v>40847</v>
      </c>
      <c r="AM6057" t="s">
        <v>2830</v>
      </c>
      <c r="AN6057" t="s">
        <v>2185</v>
      </c>
      <c r="AO6057">
        <v>55405</v>
      </c>
      <c r="AP6057" t="s">
        <v>7024</v>
      </c>
      <c r="AT6057" s="184"/>
      <c r="AW6057" s="184"/>
      <c r="AZ6057" s="184"/>
    </row>
    <row r="6058" spans="1:67">
      <c r="A6058">
        <v>101165106</v>
      </c>
      <c r="B6058">
        <v>101165106</v>
      </c>
      <c r="C6058" t="s">
        <v>7018</v>
      </c>
      <c r="D6058" t="s">
        <v>595</v>
      </c>
      <c r="E6058" s="184">
        <v>45125</v>
      </c>
      <c r="G6058" s="184"/>
      <c r="I6058" s="184"/>
      <c r="K6058" s="184"/>
      <c r="M6058" s="184"/>
      <c r="P6058" t="s">
        <v>7045</v>
      </c>
      <c r="Q6058" t="s">
        <v>7160</v>
      </c>
      <c r="R6058" s="184">
        <v>14494</v>
      </c>
      <c r="S6058">
        <v>84</v>
      </c>
      <c r="U6058" t="s">
        <v>7031</v>
      </c>
      <c r="V6058" t="s">
        <v>30993</v>
      </c>
      <c r="W6058" t="s">
        <v>7375</v>
      </c>
      <c r="X6058" t="s">
        <v>25056</v>
      </c>
      <c r="AF6058" t="s">
        <v>40848</v>
      </c>
      <c r="AG6058" t="s">
        <v>30993</v>
      </c>
      <c r="AI6058" t="s">
        <v>40849</v>
      </c>
      <c r="AM6058" t="s">
        <v>3250</v>
      </c>
      <c r="AN6058" t="s">
        <v>2413</v>
      </c>
      <c r="AO6058" t="s">
        <v>40850</v>
      </c>
      <c r="AP6058" t="s">
        <v>7024</v>
      </c>
      <c r="AQ6058" t="s">
        <v>40851</v>
      </c>
      <c r="AR6058" t="s">
        <v>40852</v>
      </c>
      <c r="AT6058" s="184">
        <v>42724</v>
      </c>
      <c r="AU6058" t="s">
        <v>40853</v>
      </c>
      <c r="AV6058">
        <v>15</v>
      </c>
      <c r="AW6058" s="184">
        <v>45176</v>
      </c>
      <c r="AX6058" t="s">
        <v>36897</v>
      </c>
      <c r="AY6058">
        <v>50</v>
      </c>
      <c r="AZ6058" s="184">
        <v>43056</v>
      </c>
      <c r="BA6058" t="s">
        <v>10234</v>
      </c>
      <c r="BB6058">
        <v>60</v>
      </c>
      <c r="BC6058">
        <v>67</v>
      </c>
      <c r="BD6058">
        <v>550</v>
      </c>
      <c r="BE6058">
        <v>2017</v>
      </c>
      <c r="BF6058">
        <v>12</v>
      </c>
      <c r="BG6058">
        <v>6</v>
      </c>
      <c r="BH6058">
        <v>300</v>
      </c>
      <c r="BI6058">
        <v>6</v>
      </c>
      <c r="BJ6058">
        <v>9</v>
      </c>
      <c r="BK6058">
        <v>4</v>
      </c>
    </row>
    <row r="6059" spans="1:67">
      <c r="A6059">
        <v>101171720</v>
      </c>
      <c r="B6059">
        <v>101171720</v>
      </c>
      <c r="C6059" t="s">
        <v>7018</v>
      </c>
      <c r="D6059" t="s">
        <v>595</v>
      </c>
      <c r="E6059" s="184">
        <v>45183</v>
      </c>
      <c r="I6059" s="184"/>
      <c r="K6059" s="184"/>
      <c r="L6059" t="s">
        <v>595</v>
      </c>
      <c r="M6059" s="184">
        <v>45197</v>
      </c>
      <c r="P6059" t="s">
        <v>7045</v>
      </c>
      <c r="Q6059" t="s">
        <v>7454</v>
      </c>
      <c r="R6059" s="184"/>
      <c r="V6059" t="s">
        <v>3103</v>
      </c>
      <c r="X6059" t="s">
        <v>40854</v>
      </c>
      <c r="Z6059">
        <v>101171721</v>
      </c>
      <c r="AB6059" t="s">
        <v>3869</v>
      </c>
      <c r="AD6059" t="s">
        <v>40854</v>
      </c>
      <c r="AF6059" t="s">
        <v>40855</v>
      </c>
      <c r="AG6059" t="s">
        <v>40856</v>
      </c>
      <c r="AI6059" t="s">
        <v>40857</v>
      </c>
      <c r="AM6059" t="s">
        <v>3946</v>
      </c>
      <c r="AN6059" t="s">
        <v>2055</v>
      </c>
      <c r="AO6059" t="s">
        <v>40858</v>
      </c>
      <c r="AP6059" t="s">
        <v>7024</v>
      </c>
      <c r="AT6059" s="184">
        <v>45201</v>
      </c>
      <c r="AU6059" t="s">
        <v>37503</v>
      </c>
      <c r="AV6059">
        <v>500</v>
      </c>
      <c r="AW6059" s="184">
        <v>45201</v>
      </c>
      <c r="AX6059" t="s">
        <v>37503</v>
      </c>
      <c r="AY6059">
        <v>500</v>
      </c>
      <c r="AZ6059" s="184">
        <v>45201</v>
      </c>
      <c r="BA6059" t="s">
        <v>37503</v>
      </c>
      <c r="BB6059">
        <v>500</v>
      </c>
      <c r="BC6059">
        <v>50</v>
      </c>
      <c r="BD6059">
        <v>500</v>
      </c>
      <c r="BE6059">
        <v>2024</v>
      </c>
      <c r="BF6059">
        <v>1</v>
      </c>
      <c r="BG6059">
        <v>1</v>
      </c>
      <c r="BH6059">
        <v>500</v>
      </c>
      <c r="BI6059">
        <v>1</v>
      </c>
      <c r="BJ6059">
        <v>2</v>
      </c>
      <c r="BK6059">
        <v>1</v>
      </c>
    </row>
    <row r="6060" spans="1:67">
      <c r="A6060">
        <v>101171721</v>
      </c>
      <c r="B6060">
        <v>101171720</v>
      </c>
      <c r="C6060" t="s">
        <v>7018</v>
      </c>
      <c r="D6060" t="s">
        <v>595</v>
      </c>
      <c r="E6060" s="184">
        <v>45183</v>
      </c>
      <c r="G6060" s="184"/>
      <c r="I6060" s="184"/>
      <c r="K6060" s="184"/>
      <c r="L6060" t="s">
        <v>595</v>
      </c>
      <c r="M6060" s="184">
        <v>45197</v>
      </c>
      <c r="P6060" t="s">
        <v>7045</v>
      </c>
      <c r="Q6060" t="s">
        <v>7454</v>
      </c>
      <c r="R6060" s="184"/>
      <c r="V6060" t="s">
        <v>3869</v>
      </c>
      <c r="X6060" t="s">
        <v>40854</v>
      </c>
      <c r="Z6060">
        <v>101171720</v>
      </c>
      <c r="AB6060" t="s">
        <v>3103</v>
      </c>
      <c r="AD6060" t="s">
        <v>40854</v>
      </c>
      <c r="AF6060" t="s">
        <v>40855</v>
      </c>
      <c r="AG6060" t="s">
        <v>40856</v>
      </c>
      <c r="AI6060" t="s">
        <v>40857</v>
      </c>
      <c r="AM6060" t="s">
        <v>3946</v>
      </c>
      <c r="AN6060" t="s">
        <v>2055</v>
      </c>
      <c r="AO6060" t="s">
        <v>40858</v>
      </c>
      <c r="AP6060" t="s">
        <v>7024</v>
      </c>
      <c r="AT6060" s="184"/>
      <c r="AW6060" s="184"/>
      <c r="AZ6060" s="184"/>
    </row>
    <row r="6061" spans="1:67">
      <c r="A6061">
        <v>101176308</v>
      </c>
      <c r="B6061">
        <v>101176308</v>
      </c>
      <c r="C6061" t="s">
        <v>7018</v>
      </c>
      <c r="D6061" t="s">
        <v>595</v>
      </c>
      <c r="E6061" s="184">
        <v>43642</v>
      </c>
      <c r="G6061" s="184"/>
      <c r="I6061" s="184"/>
      <c r="M6061" s="184"/>
      <c r="P6061" t="s">
        <v>7045</v>
      </c>
      <c r="Q6061" t="s">
        <v>7774</v>
      </c>
      <c r="R6061" s="184">
        <v>17046</v>
      </c>
      <c r="S6061">
        <v>77</v>
      </c>
      <c r="V6061" t="s">
        <v>2518</v>
      </c>
      <c r="X6061" t="s">
        <v>40859</v>
      </c>
      <c r="AF6061" t="s">
        <v>40860</v>
      </c>
      <c r="AG6061" t="s">
        <v>2518</v>
      </c>
      <c r="AI6061" t="s">
        <v>40861</v>
      </c>
      <c r="AM6061" t="s">
        <v>3091</v>
      </c>
      <c r="AN6061" t="s">
        <v>2290</v>
      </c>
      <c r="AO6061" t="s">
        <v>40862</v>
      </c>
      <c r="AP6061" t="s">
        <v>7024</v>
      </c>
      <c r="AQ6061" t="s">
        <v>40863</v>
      </c>
      <c r="AT6061" s="184">
        <v>34423</v>
      </c>
      <c r="AU6061" t="s">
        <v>40864</v>
      </c>
      <c r="AV6061">
        <v>25</v>
      </c>
      <c r="AW6061" s="184">
        <v>45187</v>
      </c>
      <c r="AX6061" t="s">
        <v>22836</v>
      </c>
      <c r="AY6061">
        <v>35</v>
      </c>
      <c r="AZ6061" s="184">
        <v>39702</v>
      </c>
      <c r="BA6061" t="s">
        <v>40865</v>
      </c>
      <c r="BB6061">
        <v>38</v>
      </c>
      <c r="BC6061">
        <v>94</v>
      </c>
      <c r="BD6061">
        <v>839</v>
      </c>
      <c r="BE6061">
        <v>1994</v>
      </c>
      <c r="BF6061">
        <v>30</v>
      </c>
      <c r="BG6061">
        <v>2</v>
      </c>
      <c r="BH6061">
        <v>70</v>
      </c>
      <c r="BI6061">
        <v>29</v>
      </c>
      <c r="BJ6061">
        <v>31</v>
      </c>
      <c r="BK6061">
        <v>19</v>
      </c>
    </row>
    <row r="6062" spans="1:67">
      <c r="A6062">
        <v>101180951</v>
      </c>
      <c r="B6062">
        <v>101180951</v>
      </c>
      <c r="C6062" t="s">
        <v>7018</v>
      </c>
      <c r="E6062" s="184"/>
      <c r="F6062" t="s">
        <v>595</v>
      </c>
      <c r="G6062" s="184">
        <v>45201</v>
      </c>
      <c r="I6062" s="184"/>
      <c r="K6062" s="184"/>
      <c r="M6062" s="184"/>
      <c r="P6062" t="s">
        <v>8550</v>
      </c>
      <c r="R6062" s="184"/>
      <c r="V6062" t="s">
        <v>2651</v>
      </c>
      <c r="X6062" t="s">
        <v>40866</v>
      </c>
      <c r="AF6062" t="s">
        <v>40867</v>
      </c>
      <c r="AG6062" t="s">
        <v>2651</v>
      </c>
      <c r="AP6062" t="s">
        <v>7024</v>
      </c>
      <c r="AQ6062" t="s">
        <v>40868</v>
      </c>
      <c r="AT6062" s="184"/>
      <c r="AW6062" s="184"/>
      <c r="AZ6062" s="184"/>
    </row>
    <row r="6063" spans="1:67">
      <c r="A6063">
        <v>101186593</v>
      </c>
      <c r="B6063">
        <v>101186593</v>
      </c>
      <c r="C6063" t="s">
        <v>7018</v>
      </c>
      <c r="D6063" t="s">
        <v>595</v>
      </c>
      <c r="E6063" s="184">
        <v>45195</v>
      </c>
      <c r="G6063" s="184"/>
      <c r="I6063" s="184"/>
      <c r="K6063" s="184"/>
      <c r="P6063" t="s">
        <v>7045</v>
      </c>
      <c r="Q6063" t="s">
        <v>7030</v>
      </c>
      <c r="R6063" s="184">
        <v>14519</v>
      </c>
      <c r="S6063">
        <v>84</v>
      </c>
      <c r="U6063" t="s">
        <v>7031</v>
      </c>
      <c r="V6063" t="s">
        <v>3246</v>
      </c>
      <c r="X6063" t="s">
        <v>40869</v>
      </c>
      <c r="AF6063" t="s">
        <v>40870</v>
      </c>
      <c r="AG6063" t="s">
        <v>3246</v>
      </c>
      <c r="AI6063" t="s">
        <v>40871</v>
      </c>
      <c r="AM6063" t="s">
        <v>3376</v>
      </c>
      <c r="AN6063" t="s">
        <v>2094</v>
      </c>
      <c r="AO6063" t="s">
        <v>40872</v>
      </c>
      <c r="AP6063" t="s">
        <v>7024</v>
      </c>
      <c r="AQ6063" t="s">
        <v>40873</v>
      </c>
      <c r="AR6063" t="s">
        <v>40874</v>
      </c>
      <c r="AT6063" s="184">
        <v>39489</v>
      </c>
      <c r="AU6063" t="s">
        <v>40875</v>
      </c>
      <c r="AV6063">
        <v>25</v>
      </c>
      <c r="AW6063" s="184">
        <v>45222</v>
      </c>
      <c r="AX6063" t="s">
        <v>7832</v>
      </c>
      <c r="AY6063">
        <v>100</v>
      </c>
      <c r="AZ6063" s="184">
        <v>45222</v>
      </c>
      <c r="BA6063" t="s">
        <v>7832</v>
      </c>
      <c r="BB6063">
        <v>100</v>
      </c>
      <c r="BC6063">
        <v>48</v>
      </c>
      <c r="BD6063">
        <v>510</v>
      </c>
      <c r="BE6063">
        <v>2008</v>
      </c>
      <c r="BF6063">
        <v>12</v>
      </c>
      <c r="BG6063">
        <v>2</v>
      </c>
      <c r="BH6063">
        <v>125</v>
      </c>
      <c r="BI6063">
        <v>8</v>
      </c>
      <c r="BJ6063">
        <v>17</v>
      </c>
      <c r="BK6063">
        <v>3</v>
      </c>
    </row>
    <row r="6064" spans="1:67">
      <c r="A6064">
        <v>101187437</v>
      </c>
      <c r="B6064">
        <v>101187437</v>
      </c>
      <c r="C6064" t="s">
        <v>40876</v>
      </c>
      <c r="E6064" s="184"/>
      <c r="G6064" s="184"/>
      <c r="I6064" s="184"/>
      <c r="J6064" t="s">
        <v>595</v>
      </c>
      <c r="K6064" s="184">
        <v>45224</v>
      </c>
      <c r="M6064" s="184"/>
      <c r="P6064" t="s">
        <v>7084</v>
      </c>
      <c r="Q6064" t="s">
        <v>7194</v>
      </c>
      <c r="R6064" s="184"/>
      <c r="Z6064">
        <v>101187438</v>
      </c>
      <c r="AB6064" t="s">
        <v>4236</v>
      </c>
      <c r="AD6064" t="s">
        <v>3969</v>
      </c>
      <c r="AI6064" t="s">
        <v>39805</v>
      </c>
      <c r="AM6064" t="s">
        <v>39806</v>
      </c>
      <c r="AN6064" t="s">
        <v>2046</v>
      </c>
      <c r="AO6064" t="s">
        <v>39807</v>
      </c>
      <c r="AP6064" t="s">
        <v>7024</v>
      </c>
      <c r="AT6064" s="184">
        <v>45224</v>
      </c>
      <c r="AU6064" t="s">
        <v>7296</v>
      </c>
      <c r="AV6064">
        <v>10536</v>
      </c>
      <c r="AW6064" s="184">
        <v>45224</v>
      </c>
      <c r="AX6064" t="s">
        <v>7296</v>
      </c>
      <c r="AY6064">
        <v>10536</v>
      </c>
      <c r="AZ6064" s="184">
        <v>45224</v>
      </c>
      <c r="BA6064" t="s">
        <v>7296</v>
      </c>
      <c r="BB6064">
        <v>10536</v>
      </c>
      <c r="BC6064">
        <v>50</v>
      </c>
      <c r="BD6064">
        <v>10536</v>
      </c>
      <c r="BE6064">
        <v>2024</v>
      </c>
      <c r="BF6064">
        <v>1</v>
      </c>
      <c r="BG6064">
        <v>1</v>
      </c>
      <c r="BH6064">
        <v>10536</v>
      </c>
      <c r="BI6064">
        <v>1</v>
      </c>
      <c r="BJ6064">
        <v>2</v>
      </c>
      <c r="BK6064">
        <v>1</v>
      </c>
      <c r="BL6064" t="s">
        <v>595</v>
      </c>
    </row>
    <row r="6065" spans="1:67">
      <c r="A6065">
        <v>101188581</v>
      </c>
      <c r="B6065">
        <v>101188581</v>
      </c>
      <c r="C6065" t="s">
        <v>7018</v>
      </c>
      <c r="E6065" s="184"/>
      <c r="H6065" t="s">
        <v>595</v>
      </c>
      <c r="I6065" s="184">
        <v>45229</v>
      </c>
      <c r="K6065" s="184"/>
      <c r="M6065" s="184"/>
      <c r="P6065" t="s">
        <v>8550</v>
      </c>
      <c r="Q6065" t="s">
        <v>7494</v>
      </c>
      <c r="R6065" s="184"/>
      <c r="V6065" t="s">
        <v>2665</v>
      </c>
      <c r="X6065" t="s">
        <v>4752</v>
      </c>
      <c r="AF6065" t="s">
        <v>40877</v>
      </c>
      <c r="AG6065" t="s">
        <v>2665</v>
      </c>
      <c r="AI6065" t="s">
        <v>40878</v>
      </c>
      <c r="AJ6065" t="s">
        <v>40879</v>
      </c>
      <c r="AM6065" t="s">
        <v>3770</v>
      </c>
      <c r="AN6065" t="s">
        <v>2174</v>
      </c>
      <c r="AO6065">
        <v>75231</v>
      </c>
      <c r="AP6065" t="s">
        <v>7024</v>
      </c>
      <c r="AT6065" s="184"/>
      <c r="AW6065" s="184"/>
      <c r="AZ6065" s="184"/>
    </row>
    <row r="6066" spans="1:67">
      <c r="A6066">
        <v>101257392</v>
      </c>
      <c r="B6066">
        <v>101257392</v>
      </c>
      <c r="C6066" t="s">
        <v>7018</v>
      </c>
      <c r="E6066" s="184"/>
      <c r="I6066" s="184"/>
      <c r="K6066" s="184"/>
      <c r="L6066" t="s">
        <v>595</v>
      </c>
      <c r="M6066" s="184">
        <v>45265</v>
      </c>
      <c r="P6066" t="s">
        <v>7029</v>
      </c>
      <c r="Q6066" t="s">
        <v>7454</v>
      </c>
      <c r="R6066" s="184"/>
      <c r="V6066" t="s">
        <v>2586</v>
      </c>
      <c r="W6066" t="s">
        <v>2845</v>
      </c>
      <c r="X6066" t="s">
        <v>40880</v>
      </c>
      <c r="AF6066" t="s">
        <v>40881</v>
      </c>
      <c r="AG6066" t="s">
        <v>2586</v>
      </c>
      <c r="AI6066" t="s">
        <v>40882</v>
      </c>
      <c r="AM6066" t="s">
        <v>14042</v>
      </c>
      <c r="AN6066" t="s">
        <v>2299</v>
      </c>
      <c r="AO6066" t="s">
        <v>40883</v>
      </c>
      <c r="AP6066" t="s">
        <v>7024</v>
      </c>
      <c r="AQ6066" t="s">
        <v>40884</v>
      </c>
      <c r="AT6066" s="184">
        <v>45271</v>
      </c>
      <c r="AU6066" t="s">
        <v>37503</v>
      </c>
      <c r="AV6066">
        <v>1000</v>
      </c>
      <c r="AW6066" s="184">
        <v>45271</v>
      </c>
      <c r="AX6066" t="s">
        <v>37503</v>
      </c>
      <c r="AY6066">
        <v>1000</v>
      </c>
      <c r="AZ6066" s="184">
        <v>45271</v>
      </c>
      <c r="BA6066" t="s">
        <v>37503</v>
      </c>
      <c r="BB6066">
        <v>1000</v>
      </c>
      <c r="BC6066">
        <v>50</v>
      </c>
      <c r="BD6066">
        <v>1000</v>
      </c>
      <c r="BE6066">
        <v>2024</v>
      </c>
      <c r="BF6066">
        <v>1</v>
      </c>
      <c r="BG6066">
        <v>1</v>
      </c>
      <c r="BH6066">
        <v>1000</v>
      </c>
      <c r="BI6066">
        <v>1</v>
      </c>
      <c r="BJ6066">
        <v>2</v>
      </c>
      <c r="BK6066">
        <v>1</v>
      </c>
    </row>
    <row r="6067" spans="1:67">
      <c r="A6067">
        <v>101284483</v>
      </c>
      <c r="B6067">
        <v>101284483</v>
      </c>
      <c r="C6067" t="s">
        <v>7018</v>
      </c>
      <c r="D6067" t="s">
        <v>595</v>
      </c>
      <c r="E6067" s="184">
        <v>45278</v>
      </c>
      <c r="H6067" t="s">
        <v>595</v>
      </c>
      <c r="I6067" s="184">
        <v>45278</v>
      </c>
      <c r="M6067" s="184"/>
      <c r="P6067" t="s">
        <v>8550</v>
      </c>
      <c r="Q6067" t="s">
        <v>7020</v>
      </c>
      <c r="R6067" s="184">
        <v>19593</v>
      </c>
      <c r="S6067">
        <v>70</v>
      </c>
      <c r="V6067" t="s">
        <v>2687</v>
      </c>
      <c r="X6067" t="s">
        <v>4614</v>
      </c>
      <c r="AF6067" t="s">
        <v>40885</v>
      </c>
      <c r="AG6067" t="s">
        <v>2687</v>
      </c>
      <c r="AI6067" t="s">
        <v>40886</v>
      </c>
      <c r="AM6067" t="s">
        <v>19116</v>
      </c>
      <c r="AN6067" t="s">
        <v>2112</v>
      </c>
      <c r="AO6067">
        <v>11787</v>
      </c>
      <c r="AP6067" t="s">
        <v>7024</v>
      </c>
      <c r="AQ6067" t="s">
        <v>40887</v>
      </c>
      <c r="AT6067" s="184"/>
      <c r="AW6067" s="184"/>
      <c r="AZ6067" s="184"/>
    </row>
    <row r="6068" spans="1:67">
      <c r="A6068">
        <v>101190195</v>
      </c>
      <c r="B6068">
        <v>101289562</v>
      </c>
      <c r="C6068" t="s">
        <v>7018</v>
      </c>
      <c r="E6068" s="184"/>
      <c r="H6068" t="s">
        <v>595</v>
      </c>
      <c r="I6068" s="184">
        <v>45019</v>
      </c>
      <c r="M6068" s="184"/>
      <c r="P6068" t="s">
        <v>7045</v>
      </c>
      <c r="Q6068" t="s">
        <v>7383</v>
      </c>
      <c r="R6068" s="184">
        <v>19605</v>
      </c>
      <c r="S6068">
        <v>70</v>
      </c>
      <c r="U6068" t="s">
        <v>7031</v>
      </c>
      <c r="V6068" t="s">
        <v>3103</v>
      </c>
      <c r="X6068" t="s">
        <v>40888</v>
      </c>
      <c r="Z6068">
        <v>101289562</v>
      </c>
      <c r="AB6068" t="s">
        <v>2607</v>
      </c>
      <c r="AD6068" t="s">
        <v>40889</v>
      </c>
      <c r="AF6068" t="s">
        <v>40890</v>
      </c>
      <c r="AG6068" t="s">
        <v>40891</v>
      </c>
      <c r="AI6068" t="s">
        <v>40892</v>
      </c>
      <c r="AM6068" t="s">
        <v>40893</v>
      </c>
      <c r="AN6068" t="s">
        <v>2059</v>
      </c>
      <c r="AO6068" t="s">
        <v>40894</v>
      </c>
      <c r="AP6068" t="s">
        <v>7024</v>
      </c>
      <c r="AQ6068" t="s">
        <v>40895</v>
      </c>
      <c r="AT6068" s="184"/>
      <c r="AW6068" s="184"/>
      <c r="AZ6068" s="184"/>
    </row>
    <row r="6069" spans="1:67">
      <c r="A6069">
        <v>101289562</v>
      </c>
      <c r="B6069">
        <v>101289562</v>
      </c>
      <c r="C6069" t="s">
        <v>7018</v>
      </c>
      <c r="E6069" s="184"/>
      <c r="H6069" t="s">
        <v>595</v>
      </c>
      <c r="I6069" s="184">
        <v>45019</v>
      </c>
      <c r="M6069" s="184"/>
      <c r="P6069" t="s">
        <v>7045</v>
      </c>
      <c r="Q6069" t="s">
        <v>7383</v>
      </c>
      <c r="R6069" s="184">
        <v>21330</v>
      </c>
      <c r="S6069">
        <v>65</v>
      </c>
      <c r="V6069" t="s">
        <v>2607</v>
      </c>
      <c r="X6069" t="s">
        <v>40889</v>
      </c>
      <c r="Z6069">
        <v>101190195</v>
      </c>
      <c r="AA6069" t="s">
        <v>7031</v>
      </c>
      <c r="AB6069" t="s">
        <v>3103</v>
      </c>
      <c r="AD6069" t="s">
        <v>40888</v>
      </c>
      <c r="AF6069" t="s">
        <v>40890</v>
      </c>
      <c r="AG6069" t="s">
        <v>40891</v>
      </c>
      <c r="AI6069" t="s">
        <v>40892</v>
      </c>
      <c r="AM6069" t="s">
        <v>40893</v>
      </c>
      <c r="AN6069" t="s">
        <v>2059</v>
      </c>
      <c r="AO6069" t="s">
        <v>40894</v>
      </c>
      <c r="AP6069" t="s">
        <v>7024</v>
      </c>
      <c r="AQ6069" t="s">
        <v>40896</v>
      </c>
      <c r="AT6069" s="184">
        <v>44223</v>
      </c>
      <c r="AU6069" t="s">
        <v>40133</v>
      </c>
      <c r="AV6069">
        <v>50</v>
      </c>
      <c r="AW6069" s="184">
        <v>45288</v>
      </c>
      <c r="AX6069" t="s">
        <v>16902</v>
      </c>
      <c r="AY6069">
        <v>105</v>
      </c>
      <c r="AZ6069" s="184">
        <v>45288</v>
      </c>
      <c r="BA6069" t="s">
        <v>16902</v>
      </c>
      <c r="BB6069">
        <v>105</v>
      </c>
      <c r="BC6069">
        <v>75</v>
      </c>
      <c r="BD6069">
        <v>455</v>
      </c>
      <c r="BE6069">
        <v>2021</v>
      </c>
      <c r="BF6069">
        <v>5</v>
      </c>
      <c r="BG6069">
        <v>3</v>
      </c>
      <c r="BH6069">
        <v>305</v>
      </c>
      <c r="BI6069">
        <v>3</v>
      </c>
      <c r="BJ6069">
        <v>4</v>
      </c>
      <c r="BK6069">
        <v>3</v>
      </c>
    </row>
    <row r="6070" spans="1:67">
      <c r="A6070">
        <v>101289664</v>
      </c>
      <c r="B6070">
        <v>101289664</v>
      </c>
      <c r="C6070" t="s">
        <v>7018</v>
      </c>
      <c r="D6070" t="s">
        <v>595</v>
      </c>
      <c r="E6070" s="184">
        <v>44154</v>
      </c>
      <c r="I6070" s="184"/>
      <c r="M6070" s="184"/>
      <c r="P6070" t="s">
        <v>7045</v>
      </c>
      <c r="Q6070" t="s">
        <v>7160</v>
      </c>
      <c r="R6070" s="184">
        <v>20996</v>
      </c>
      <c r="S6070">
        <v>66</v>
      </c>
      <c r="T6070" t="s">
        <v>32472</v>
      </c>
      <c r="U6070" t="s">
        <v>7076</v>
      </c>
      <c r="V6070" t="s">
        <v>40897</v>
      </c>
      <c r="W6070" t="s">
        <v>3400</v>
      </c>
      <c r="X6070" t="s">
        <v>40898</v>
      </c>
      <c r="AF6070" t="s">
        <v>40899</v>
      </c>
      <c r="AG6070" t="s">
        <v>40897</v>
      </c>
      <c r="AI6070" t="s">
        <v>40900</v>
      </c>
      <c r="AM6070" t="s">
        <v>28994</v>
      </c>
      <c r="AN6070" t="s">
        <v>2176</v>
      </c>
      <c r="AO6070" t="s">
        <v>40901</v>
      </c>
      <c r="AP6070" t="s">
        <v>7024</v>
      </c>
      <c r="AQ6070" t="s">
        <v>40902</v>
      </c>
      <c r="AT6070" s="184">
        <v>40568</v>
      </c>
      <c r="AU6070" t="s">
        <v>40903</v>
      </c>
      <c r="AV6070">
        <v>13</v>
      </c>
      <c r="AW6070" s="184">
        <v>45288</v>
      </c>
      <c r="AX6070" t="s">
        <v>14164</v>
      </c>
      <c r="AY6070">
        <v>52.5</v>
      </c>
      <c r="AZ6070" s="184">
        <v>44006</v>
      </c>
      <c r="BA6070" t="s">
        <v>30490</v>
      </c>
      <c r="BB6070">
        <v>250</v>
      </c>
      <c r="BC6070">
        <v>86</v>
      </c>
      <c r="BD6070">
        <v>1020.5</v>
      </c>
      <c r="BE6070">
        <v>2011</v>
      </c>
      <c r="BF6070">
        <v>16</v>
      </c>
      <c r="BG6070">
        <v>2</v>
      </c>
      <c r="BH6070">
        <v>152.5</v>
      </c>
      <c r="BI6070">
        <v>12</v>
      </c>
      <c r="BJ6070">
        <v>14</v>
      </c>
      <c r="BK6070">
        <v>8</v>
      </c>
    </row>
    <row r="6071" spans="1:67">
      <c r="A6071">
        <v>101293370</v>
      </c>
      <c r="B6071">
        <v>101293370</v>
      </c>
      <c r="C6071" t="s">
        <v>7018</v>
      </c>
      <c r="E6071" s="184"/>
      <c r="H6071" t="s">
        <v>595</v>
      </c>
      <c r="I6071" s="184">
        <v>45117</v>
      </c>
      <c r="M6071" s="184"/>
      <c r="P6071" t="s">
        <v>7045</v>
      </c>
      <c r="Q6071" t="s">
        <v>7374</v>
      </c>
      <c r="R6071" s="184"/>
      <c r="V6071" t="s">
        <v>40904</v>
      </c>
      <c r="W6071" t="s">
        <v>2871</v>
      </c>
      <c r="X6071" t="s">
        <v>40905</v>
      </c>
      <c r="AF6071" t="s">
        <v>40906</v>
      </c>
      <c r="AG6071" t="s">
        <v>40904</v>
      </c>
      <c r="AI6071" t="s">
        <v>40907</v>
      </c>
      <c r="AM6071" t="s">
        <v>40908</v>
      </c>
      <c r="AN6071" t="s">
        <v>2081</v>
      </c>
      <c r="AO6071" t="s">
        <v>40909</v>
      </c>
      <c r="AP6071" t="s">
        <v>7024</v>
      </c>
      <c r="AQ6071" t="s">
        <v>40910</v>
      </c>
      <c r="AT6071" s="184">
        <v>44917</v>
      </c>
      <c r="AU6071" t="s">
        <v>13980</v>
      </c>
      <c r="AV6071">
        <v>100</v>
      </c>
      <c r="AW6071" s="184">
        <v>45290</v>
      </c>
      <c r="AX6071" t="s">
        <v>9378</v>
      </c>
      <c r="AY6071">
        <v>100</v>
      </c>
      <c r="AZ6071" s="184">
        <v>45290</v>
      </c>
      <c r="BA6071" t="s">
        <v>9378</v>
      </c>
      <c r="BB6071">
        <v>100</v>
      </c>
      <c r="BC6071">
        <v>67</v>
      </c>
      <c r="BD6071">
        <v>200</v>
      </c>
      <c r="BE6071">
        <v>2023</v>
      </c>
      <c r="BF6071">
        <v>2</v>
      </c>
      <c r="BG6071">
        <v>2</v>
      </c>
      <c r="BH6071">
        <v>200</v>
      </c>
      <c r="BI6071">
        <v>2</v>
      </c>
      <c r="BJ6071">
        <v>3</v>
      </c>
      <c r="BK6071">
        <v>2</v>
      </c>
    </row>
    <row r="6072" spans="1:67">
      <c r="A6072">
        <v>101312927</v>
      </c>
      <c r="B6072">
        <v>101294264</v>
      </c>
      <c r="C6072" t="s">
        <v>7018</v>
      </c>
      <c r="D6072" t="s">
        <v>595</v>
      </c>
      <c r="E6072" s="184">
        <v>44073</v>
      </c>
      <c r="I6072" s="184"/>
      <c r="P6072" t="s">
        <v>7045</v>
      </c>
      <c r="Q6072" t="s">
        <v>7020</v>
      </c>
      <c r="R6072" s="184">
        <v>17071</v>
      </c>
      <c r="S6072">
        <v>77</v>
      </c>
      <c r="U6072" t="s">
        <v>7076</v>
      </c>
      <c r="V6072" t="s">
        <v>2602</v>
      </c>
      <c r="X6072" t="s">
        <v>2768</v>
      </c>
      <c r="Z6072">
        <v>101294264</v>
      </c>
      <c r="AB6072" t="s">
        <v>2551</v>
      </c>
      <c r="AD6072" t="s">
        <v>2768</v>
      </c>
      <c r="AF6072" t="s">
        <v>40911</v>
      </c>
      <c r="AG6072" t="s">
        <v>40912</v>
      </c>
      <c r="AI6072" t="s">
        <v>40913</v>
      </c>
      <c r="AM6072" t="s">
        <v>40914</v>
      </c>
      <c r="AN6072" t="s">
        <v>2112</v>
      </c>
      <c r="AO6072" t="s">
        <v>40915</v>
      </c>
      <c r="AP6072" t="s">
        <v>7024</v>
      </c>
      <c r="AQ6072" t="s">
        <v>40916</v>
      </c>
      <c r="AR6072" t="s">
        <v>40917</v>
      </c>
      <c r="AT6072" s="184">
        <v>41747</v>
      </c>
      <c r="AU6072" t="s">
        <v>40918</v>
      </c>
      <c r="AV6072">
        <v>25</v>
      </c>
      <c r="AW6072" s="184">
        <v>44362</v>
      </c>
      <c r="AX6072" t="s">
        <v>40919</v>
      </c>
      <c r="AY6072">
        <v>50</v>
      </c>
      <c r="AZ6072" s="184">
        <v>43600</v>
      </c>
      <c r="BA6072" t="s">
        <v>23180</v>
      </c>
      <c r="BB6072">
        <v>115</v>
      </c>
      <c r="BC6072">
        <v>73</v>
      </c>
      <c r="BD6072">
        <v>1180</v>
      </c>
      <c r="BE6072">
        <v>2014</v>
      </c>
      <c r="BF6072">
        <v>16</v>
      </c>
      <c r="BI6072">
        <v>8</v>
      </c>
      <c r="BJ6072">
        <v>11</v>
      </c>
      <c r="BK6072">
        <v>8</v>
      </c>
    </row>
    <row r="6073" spans="1:67">
      <c r="A6073">
        <v>101302603</v>
      </c>
      <c r="B6073">
        <v>101302603</v>
      </c>
      <c r="C6073" t="s">
        <v>7018</v>
      </c>
      <c r="D6073" t="s">
        <v>595</v>
      </c>
      <c r="E6073" s="184">
        <v>45180</v>
      </c>
      <c r="I6073" s="184"/>
      <c r="P6073" t="s">
        <v>7045</v>
      </c>
      <c r="Q6073" t="s">
        <v>7030</v>
      </c>
      <c r="R6073" s="184">
        <v>25416</v>
      </c>
      <c r="S6073">
        <v>54</v>
      </c>
      <c r="V6073" t="s">
        <v>2697</v>
      </c>
      <c r="X6073" t="s">
        <v>40920</v>
      </c>
      <c r="AF6073" t="s">
        <v>40921</v>
      </c>
      <c r="AG6073" t="s">
        <v>2697</v>
      </c>
      <c r="AI6073" t="s">
        <v>40922</v>
      </c>
      <c r="AM6073" t="s">
        <v>40923</v>
      </c>
      <c r="AN6073" t="s">
        <v>2089</v>
      </c>
      <c r="AO6073" t="s">
        <v>40924</v>
      </c>
      <c r="AP6073" t="s">
        <v>7024</v>
      </c>
      <c r="AQ6073" t="s">
        <v>40925</v>
      </c>
      <c r="AR6073" t="s">
        <v>40926</v>
      </c>
      <c r="AT6073" s="184">
        <v>42401</v>
      </c>
      <c r="AU6073" t="s">
        <v>35829</v>
      </c>
      <c r="AV6073">
        <v>25</v>
      </c>
      <c r="AW6073" s="184">
        <v>45312</v>
      </c>
      <c r="AX6073" t="s">
        <v>7832</v>
      </c>
      <c r="AY6073">
        <v>105</v>
      </c>
      <c r="AZ6073" s="184">
        <v>45312</v>
      </c>
      <c r="BA6073" t="s">
        <v>7832</v>
      </c>
      <c r="BB6073">
        <v>105</v>
      </c>
      <c r="BC6073">
        <v>78</v>
      </c>
      <c r="BD6073">
        <v>590</v>
      </c>
      <c r="BE6073">
        <v>2016</v>
      </c>
      <c r="BF6073">
        <v>8</v>
      </c>
      <c r="BG6073">
        <v>2</v>
      </c>
      <c r="BH6073">
        <v>205</v>
      </c>
      <c r="BI6073">
        <v>7</v>
      </c>
      <c r="BJ6073">
        <v>9</v>
      </c>
      <c r="BK6073">
        <v>5</v>
      </c>
    </row>
    <row r="6074" spans="1:67">
      <c r="A6074">
        <v>100465608</v>
      </c>
      <c r="B6074">
        <v>101312551</v>
      </c>
      <c r="C6074" t="s">
        <v>7018</v>
      </c>
      <c r="D6074" t="s">
        <v>595</v>
      </c>
      <c r="E6074" s="184">
        <v>44164</v>
      </c>
      <c r="I6074" s="184"/>
      <c r="K6074" s="184"/>
      <c r="M6074" s="184"/>
      <c r="P6074" t="s">
        <v>7045</v>
      </c>
      <c r="Q6074" t="s">
        <v>7383</v>
      </c>
      <c r="R6074" s="184">
        <v>14758</v>
      </c>
      <c r="S6074">
        <v>83</v>
      </c>
      <c r="V6074" t="s">
        <v>2569</v>
      </c>
      <c r="W6074" t="s">
        <v>4139</v>
      </c>
      <c r="X6074" t="s">
        <v>40927</v>
      </c>
      <c r="Z6074">
        <v>101312551</v>
      </c>
      <c r="AB6074" t="s">
        <v>3043</v>
      </c>
      <c r="AC6074" t="s">
        <v>7356</v>
      </c>
      <c r="AD6074" t="s">
        <v>40927</v>
      </c>
      <c r="AF6074" t="s">
        <v>40928</v>
      </c>
      <c r="AG6074" t="s">
        <v>3043</v>
      </c>
      <c r="AI6074" t="s">
        <v>40929</v>
      </c>
      <c r="AM6074" t="s">
        <v>3174</v>
      </c>
      <c r="AN6074" t="s">
        <v>2072</v>
      </c>
      <c r="AO6074" t="s">
        <v>40930</v>
      </c>
      <c r="AP6074" t="s">
        <v>7024</v>
      </c>
      <c r="AQ6074" t="s">
        <v>40931</v>
      </c>
      <c r="AR6074" t="s">
        <v>40932</v>
      </c>
      <c r="AT6074" s="184">
        <v>44054</v>
      </c>
      <c r="AU6074" t="s">
        <v>39992</v>
      </c>
      <c r="AV6074">
        <v>50</v>
      </c>
      <c r="AW6074" s="184">
        <v>45322</v>
      </c>
      <c r="AX6074" t="s">
        <v>25518</v>
      </c>
      <c r="AY6074">
        <v>100</v>
      </c>
      <c r="AZ6074" s="184">
        <v>45322</v>
      </c>
      <c r="BA6074" t="s">
        <v>25518</v>
      </c>
      <c r="BB6074">
        <v>100</v>
      </c>
      <c r="BC6074">
        <v>100</v>
      </c>
      <c r="BD6074">
        <v>475</v>
      </c>
      <c r="BE6074">
        <v>2021</v>
      </c>
      <c r="BF6074">
        <v>8</v>
      </c>
      <c r="BG6074">
        <v>3</v>
      </c>
      <c r="BH6074">
        <v>225</v>
      </c>
      <c r="BI6074">
        <v>5</v>
      </c>
      <c r="BJ6074">
        <v>5</v>
      </c>
      <c r="BK6074">
        <v>5</v>
      </c>
      <c r="BO6074" t="s">
        <v>595</v>
      </c>
    </row>
    <row r="6075" spans="1:67">
      <c r="A6075">
        <v>101317666</v>
      </c>
      <c r="B6075">
        <v>101317666</v>
      </c>
      <c r="C6075" t="s">
        <v>7018</v>
      </c>
      <c r="D6075" t="s">
        <v>595</v>
      </c>
      <c r="E6075" s="184">
        <v>45344</v>
      </c>
      <c r="I6075" s="184"/>
      <c r="K6075" s="184"/>
      <c r="P6075" t="s">
        <v>8550</v>
      </c>
      <c r="Q6075" t="s">
        <v>7262</v>
      </c>
      <c r="R6075" s="184"/>
      <c r="V6075" t="s">
        <v>2511</v>
      </c>
      <c r="X6075" t="s">
        <v>5690</v>
      </c>
      <c r="AF6075" t="s">
        <v>40933</v>
      </c>
      <c r="AG6075" t="s">
        <v>2511</v>
      </c>
      <c r="AI6075" t="s">
        <v>40934</v>
      </c>
      <c r="AM6075" t="s">
        <v>2679</v>
      </c>
      <c r="AN6075" t="s">
        <v>2318</v>
      </c>
      <c r="AO6075">
        <v>20011</v>
      </c>
      <c r="AP6075" t="s">
        <v>7024</v>
      </c>
      <c r="AQ6075" t="s">
        <v>40935</v>
      </c>
      <c r="AT6075" s="184"/>
      <c r="AW6075" s="184"/>
      <c r="AZ6075" s="184"/>
    </row>
    <row r="6076" spans="1:67">
      <c r="A6076">
        <v>101318834</v>
      </c>
      <c r="B6076">
        <v>101318834</v>
      </c>
      <c r="C6076" t="s">
        <v>7018</v>
      </c>
      <c r="D6076" t="s">
        <v>595</v>
      </c>
      <c r="E6076" s="184">
        <v>44167</v>
      </c>
      <c r="H6076" t="s">
        <v>595</v>
      </c>
      <c r="I6076" s="184">
        <v>44167</v>
      </c>
      <c r="K6076" s="184"/>
      <c r="M6076" s="184"/>
      <c r="P6076" t="s">
        <v>7019</v>
      </c>
      <c r="Q6076" t="s">
        <v>7374</v>
      </c>
      <c r="R6076" s="184">
        <v>29587</v>
      </c>
      <c r="S6076">
        <v>43</v>
      </c>
      <c r="U6076" t="s">
        <v>7031</v>
      </c>
      <c r="V6076" t="s">
        <v>2665</v>
      </c>
      <c r="W6076" t="s">
        <v>205</v>
      </c>
      <c r="X6076" t="s">
        <v>40936</v>
      </c>
      <c r="AF6076" t="s">
        <v>40937</v>
      </c>
      <c r="AG6076" t="s">
        <v>2665</v>
      </c>
      <c r="AI6076" t="s">
        <v>40938</v>
      </c>
      <c r="AM6076" t="s">
        <v>4251</v>
      </c>
      <c r="AN6076" t="s">
        <v>2081</v>
      </c>
      <c r="AO6076" t="s">
        <v>40939</v>
      </c>
      <c r="AP6076" t="s">
        <v>7024</v>
      </c>
      <c r="AQ6076" t="s">
        <v>40940</v>
      </c>
      <c r="AR6076" t="s">
        <v>40941</v>
      </c>
      <c r="AT6076" s="184">
        <v>35227</v>
      </c>
      <c r="AU6076" t="s">
        <v>40942</v>
      </c>
      <c r="AV6076">
        <v>20</v>
      </c>
      <c r="AW6076" s="184">
        <v>45344</v>
      </c>
      <c r="AX6076" t="s">
        <v>7168</v>
      </c>
      <c r="AY6076">
        <v>60</v>
      </c>
      <c r="AZ6076" s="184">
        <v>45344</v>
      </c>
      <c r="BA6076" t="s">
        <v>7168</v>
      </c>
      <c r="BB6076">
        <v>60</v>
      </c>
      <c r="BC6076">
        <v>32</v>
      </c>
      <c r="BD6076">
        <v>233</v>
      </c>
      <c r="BE6076">
        <v>1996</v>
      </c>
      <c r="BF6076">
        <v>11</v>
      </c>
      <c r="BG6076">
        <v>1</v>
      </c>
      <c r="BH6076">
        <v>60</v>
      </c>
      <c r="BI6076">
        <v>9</v>
      </c>
      <c r="BJ6076">
        <v>29</v>
      </c>
      <c r="BK6076">
        <v>2</v>
      </c>
    </row>
    <row r="6077" spans="1:67">
      <c r="A6077">
        <v>101320601</v>
      </c>
      <c r="B6077">
        <v>101320601</v>
      </c>
      <c r="C6077" t="s">
        <v>7018</v>
      </c>
      <c r="E6077" s="184"/>
      <c r="H6077" t="s">
        <v>595</v>
      </c>
      <c r="I6077" s="184">
        <v>45385</v>
      </c>
      <c r="K6077" s="184"/>
      <c r="M6077" s="184"/>
      <c r="P6077" t="s">
        <v>7045</v>
      </c>
      <c r="Q6077" t="s">
        <v>7374</v>
      </c>
      <c r="R6077" s="184"/>
      <c r="V6077" t="s">
        <v>5934</v>
      </c>
      <c r="X6077" t="s">
        <v>40943</v>
      </c>
      <c r="AF6077" t="s">
        <v>40944</v>
      </c>
      <c r="AG6077" t="s">
        <v>5934</v>
      </c>
      <c r="AI6077" t="s">
        <v>40945</v>
      </c>
      <c r="AM6077" t="s">
        <v>15417</v>
      </c>
      <c r="AN6077" t="s">
        <v>2081</v>
      </c>
      <c r="AO6077" t="s">
        <v>40946</v>
      </c>
      <c r="AP6077" t="s">
        <v>7024</v>
      </c>
      <c r="AT6077" s="184">
        <v>45348</v>
      </c>
      <c r="AU6077" t="s">
        <v>40947</v>
      </c>
      <c r="AV6077">
        <v>200</v>
      </c>
      <c r="AW6077" s="184">
        <v>45348</v>
      </c>
      <c r="AX6077" t="s">
        <v>40947</v>
      </c>
      <c r="AY6077">
        <v>200</v>
      </c>
      <c r="AZ6077" s="184">
        <v>45348</v>
      </c>
      <c r="BA6077" t="s">
        <v>40947</v>
      </c>
      <c r="BB6077">
        <v>200</v>
      </c>
      <c r="BC6077">
        <v>100</v>
      </c>
      <c r="BD6077">
        <v>200</v>
      </c>
      <c r="BE6077">
        <v>2024</v>
      </c>
      <c r="BF6077">
        <v>1</v>
      </c>
      <c r="BG6077">
        <v>1</v>
      </c>
      <c r="BH6077">
        <v>200</v>
      </c>
      <c r="BI6077">
        <v>1</v>
      </c>
      <c r="BJ6077">
        <v>1</v>
      </c>
      <c r="BK6077">
        <v>1</v>
      </c>
    </row>
    <row r="6078" spans="1:67">
      <c r="A6078">
        <v>92822642</v>
      </c>
      <c r="B6078">
        <v>101325759</v>
      </c>
      <c r="C6078" t="s">
        <v>7018</v>
      </c>
      <c r="E6078" s="184"/>
      <c r="I6078" s="184"/>
      <c r="L6078" t="s">
        <v>595</v>
      </c>
      <c r="M6078" s="184">
        <v>44179</v>
      </c>
      <c r="P6078" t="s">
        <v>7029</v>
      </c>
      <c r="Q6078" t="s">
        <v>7262</v>
      </c>
      <c r="R6078" s="184">
        <v>12562</v>
      </c>
      <c r="S6078">
        <v>89</v>
      </c>
      <c r="V6078" t="s">
        <v>2992</v>
      </c>
      <c r="W6078" t="s">
        <v>7407</v>
      </c>
      <c r="X6078" t="s">
        <v>16181</v>
      </c>
      <c r="Z6078">
        <v>100583443</v>
      </c>
      <c r="AB6078" t="s">
        <v>12204</v>
      </c>
      <c r="AD6078" t="s">
        <v>16181</v>
      </c>
      <c r="AF6078" t="s">
        <v>40948</v>
      </c>
      <c r="AG6078" t="s">
        <v>3131</v>
      </c>
      <c r="AI6078" t="s">
        <v>40949</v>
      </c>
      <c r="AM6078" t="s">
        <v>3310</v>
      </c>
      <c r="AN6078" t="s">
        <v>2106</v>
      </c>
      <c r="AO6078" t="s">
        <v>40950</v>
      </c>
      <c r="AP6078" t="s">
        <v>7024</v>
      </c>
      <c r="AQ6078" t="s">
        <v>40951</v>
      </c>
      <c r="AT6078" s="184">
        <v>42192</v>
      </c>
      <c r="AU6078" t="s">
        <v>20437</v>
      </c>
      <c r="AV6078">
        <v>250</v>
      </c>
      <c r="AW6078" s="184">
        <v>45166</v>
      </c>
      <c r="AX6078" t="s">
        <v>7749</v>
      </c>
      <c r="AY6078">
        <v>3000</v>
      </c>
      <c r="AZ6078" s="184">
        <v>45166</v>
      </c>
      <c r="BA6078" t="s">
        <v>7749</v>
      </c>
      <c r="BB6078">
        <v>3000</v>
      </c>
      <c r="BC6078">
        <v>90</v>
      </c>
      <c r="BD6078">
        <v>12375</v>
      </c>
      <c r="BE6078">
        <v>2016</v>
      </c>
      <c r="BF6078">
        <v>9</v>
      </c>
      <c r="BG6078">
        <v>1</v>
      </c>
      <c r="BH6078">
        <v>3000</v>
      </c>
      <c r="BI6078">
        <v>9</v>
      </c>
      <c r="BJ6078">
        <v>10</v>
      </c>
      <c r="BK6078">
        <v>9</v>
      </c>
      <c r="BN6078" t="s">
        <v>595</v>
      </c>
      <c r="BO6078" t="s">
        <v>595</v>
      </c>
    </row>
    <row r="6079" spans="1:67">
      <c r="A6079">
        <v>101333021</v>
      </c>
      <c r="B6079">
        <v>101333021</v>
      </c>
      <c r="C6079" t="s">
        <v>7018</v>
      </c>
      <c r="E6079" s="184"/>
      <c r="H6079" t="s">
        <v>595</v>
      </c>
      <c r="I6079" s="184">
        <v>45383</v>
      </c>
      <c r="M6079" s="184"/>
      <c r="P6079" t="s">
        <v>8550</v>
      </c>
      <c r="Q6079" t="s">
        <v>7374</v>
      </c>
      <c r="R6079" s="184">
        <v>23535</v>
      </c>
      <c r="S6079">
        <v>59</v>
      </c>
      <c r="V6079" t="s">
        <v>4539</v>
      </c>
      <c r="X6079" t="s">
        <v>2706</v>
      </c>
      <c r="AF6079" t="s">
        <v>40952</v>
      </c>
      <c r="AG6079" t="s">
        <v>4539</v>
      </c>
      <c r="AI6079" t="s">
        <v>40953</v>
      </c>
      <c r="AM6079" t="s">
        <v>4387</v>
      </c>
      <c r="AN6079" t="s">
        <v>2526</v>
      </c>
      <c r="AO6079">
        <v>89012</v>
      </c>
      <c r="AP6079" t="s">
        <v>7024</v>
      </c>
      <c r="AQ6079" t="s">
        <v>40954</v>
      </c>
      <c r="AT6079" s="184"/>
      <c r="AW6079" s="184"/>
      <c r="AZ6079" s="184"/>
    </row>
    <row r="6080" spans="1:67">
      <c r="A6080">
        <v>101333022</v>
      </c>
      <c r="B6080">
        <v>101333022</v>
      </c>
      <c r="C6080" t="s">
        <v>7018</v>
      </c>
      <c r="E6080" s="184"/>
      <c r="H6080" t="s">
        <v>595</v>
      </c>
      <c r="I6080" s="184">
        <v>45383</v>
      </c>
      <c r="K6080" s="184"/>
      <c r="M6080" s="184"/>
      <c r="P6080" t="s">
        <v>7045</v>
      </c>
      <c r="Q6080" t="s">
        <v>7374</v>
      </c>
      <c r="R6080" s="184">
        <v>20282</v>
      </c>
      <c r="S6080">
        <v>68</v>
      </c>
      <c r="V6080" t="s">
        <v>2687</v>
      </c>
      <c r="X6080" t="s">
        <v>32620</v>
      </c>
      <c r="Z6080">
        <v>101333023</v>
      </c>
      <c r="AB6080" t="s">
        <v>40955</v>
      </c>
      <c r="AD6080" t="s">
        <v>32620</v>
      </c>
      <c r="AF6080" t="s">
        <v>40956</v>
      </c>
      <c r="AG6080" t="s">
        <v>40957</v>
      </c>
      <c r="AI6080" t="s">
        <v>40958</v>
      </c>
      <c r="AM6080" t="s">
        <v>4056</v>
      </c>
      <c r="AN6080" t="s">
        <v>2081</v>
      </c>
      <c r="AO6080" t="s">
        <v>40959</v>
      </c>
      <c r="AP6080" t="s">
        <v>7024</v>
      </c>
      <c r="AQ6080" t="s">
        <v>40960</v>
      </c>
      <c r="AT6080" s="184">
        <v>43154</v>
      </c>
      <c r="AU6080" t="s">
        <v>40961</v>
      </c>
      <c r="AV6080">
        <v>19.97</v>
      </c>
      <c r="AW6080" s="184">
        <v>45093</v>
      </c>
      <c r="AX6080" t="s">
        <v>7937</v>
      </c>
      <c r="AY6080">
        <v>75</v>
      </c>
      <c r="AZ6080" s="184">
        <v>45093</v>
      </c>
      <c r="BA6080" t="s">
        <v>7937</v>
      </c>
      <c r="BB6080">
        <v>75</v>
      </c>
      <c r="BC6080">
        <v>58</v>
      </c>
      <c r="BD6080">
        <v>214.97</v>
      </c>
      <c r="BE6080">
        <v>2018</v>
      </c>
      <c r="BF6080">
        <v>4</v>
      </c>
      <c r="BG6080">
        <v>2</v>
      </c>
      <c r="BH6080">
        <v>135</v>
      </c>
      <c r="BI6080">
        <v>4</v>
      </c>
      <c r="BJ6080">
        <v>7</v>
      </c>
      <c r="BK6080">
        <v>2</v>
      </c>
    </row>
    <row r="6081" spans="1:67">
      <c r="A6081">
        <v>101333023</v>
      </c>
      <c r="B6081">
        <v>101333022</v>
      </c>
      <c r="C6081" t="s">
        <v>7018</v>
      </c>
      <c r="E6081" s="184"/>
      <c r="H6081" t="s">
        <v>595</v>
      </c>
      <c r="I6081" s="184">
        <v>45383</v>
      </c>
      <c r="P6081" t="s">
        <v>7045</v>
      </c>
      <c r="Q6081" t="s">
        <v>7374</v>
      </c>
      <c r="R6081" s="184">
        <v>19459</v>
      </c>
      <c r="S6081">
        <v>71</v>
      </c>
      <c r="V6081" t="s">
        <v>40955</v>
      </c>
      <c r="X6081" t="s">
        <v>32620</v>
      </c>
      <c r="Z6081">
        <v>101333022</v>
      </c>
      <c r="AB6081" t="s">
        <v>2687</v>
      </c>
      <c r="AD6081" t="s">
        <v>32620</v>
      </c>
      <c r="AF6081" t="s">
        <v>40956</v>
      </c>
      <c r="AG6081" t="s">
        <v>40957</v>
      </c>
      <c r="AI6081" t="s">
        <v>40958</v>
      </c>
      <c r="AM6081" t="s">
        <v>4056</v>
      </c>
      <c r="AN6081" t="s">
        <v>2081</v>
      </c>
      <c r="AO6081" t="s">
        <v>40959</v>
      </c>
      <c r="AP6081" t="s">
        <v>7024</v>
      </c>
      <c r="AT6081" s="184"/>
      <c r="AW6081" s="184"/>
      <c r="AZ6081" s="184"/>
    </row>
    <row r="6082" spans="1:67">
      <c r="A6082">
        <v>101337216</v>
      </c>
      <c r="B6082">
        <v>101337216</v>
      </c>
      <c r="C6082" t="s">
        <v>7018</v>
      </c>
      <c r="D6082" t="s">
        <v>595</v>
      </c>
      <c r="E6082" s="184">
        <v>45154</v>
      </c>
      <c r="I6082" s="184"/>
      <c r="K6082" s="184"/>
      <c r="P6082" t="s">
        <v>7045</v>
      </c>
      <c r="Q6082" t="s">
        <v>7030</v>
      </c>
      <c r="R6082" s="184">
        <v>15797</v>
      </c>
      <c r="S6082">
        <v>81</v>
      </c>
      <c r="U6082" t="s">
        <v>7076</v>
      </c>
      <c r="V6082" t="s">
        <v>40962</v>
      </c>
      <c r="X6082" t="s">
        <v>2570</v>
      </c>
      <c r="AF6082" t="s">
        <v>40963</v>
      </c>
      <c r="AG6082" t="s">
        <v>40962</v>
      </c>
      <c r="AI6082" t="s">
        <v>40964</v>
      </c>
      <c r="AM6082" t="s">
        <v>2777</v>
      </c>
      <c r="AN6082" t="s">
        <v>2094</v>
      </c>
      <c r="AO6082" t="s">
        <v>40965</v>
      </c>
      <c r="AP6082" t="s">
        <v>7024</v>
      </c>
      <c r="AQ6082" t="s">
        <v>40966</v>
      </c>
      <c r="AR6082" t="s">
        <v>40967</v>
      </c>
      <c r="AT6082" s="184">
        <v>41597</v>
      </c>
      <c r="AU6082" t="s">
        <v>40968</v>
      </c>
      <c r="AV6082">
        <v>25</v>
      </c>
      <c r="AW6082" s="184">
        <v>45390</v>
      </c>
      <c r="AX6082" t="s">
        <v>40969</v>
      </c>
      <c r="AY6082">
        <v>36.75</v>
      </c>
      <c r="AZ6082" s="184">
        <v>45390</v>
      </c>
      <c r="BA6082" t="s">
        <v>40969</v>
      </c>
      <c r="BB6082">
        <v>36.75</v>
      </c>
      <c r="BC6082">
        <v>92</v>
      </c>
      <c r="BD6082">
        <v>901.75</v>
      </c>
      <c r="BE6082">
        <v>2014</v>
      </c>
      <c r="BF6082">
        <v>28</v>
      </c>
      <c r="BG6082">
        <v>4</v>
      </c>
      <c r="BH6082">
        <v>141.75</v>
      </c>
      <c r="BI6082">
        <v>11</v>
      </c>
      <c r="BJ6082">
        <v>12</v>
      </c>
      <c r="BK6082">
        <v>10</v>
      </c>
    </row>
    <row r="6083" spans="1:67">
      <c r="A6083">
        <v>101337359</v>
      </c>
      <c r="B6083">
        <v>101337359</v>
      </c>
      <c r="C6083" t="s">
        <v>7018</v>
      </c>
      <c r="D6083" t="s">
        <v>595</v>
      </c>
      <c r="E6083" s="184">
        <v>45391</v>
      </c>
      <c r="I6083" s="184"/>
      <c r="K6083" s="184"/>
      <c r="P6083" t="s">
        <v>8550</v>
      </c>
      <c r="Q6083" t="s">
        <v>7194</v>
      </c>
      <c r="R6083" s="184"/>
      <c r="V6083" t="s">
        <v>4840</v>
      </c>
      <c r="X6083" t="s">
        <v>40970</v>
      </c>
      <c r="AF6083" t="s">
        <v>40971</v>
      </c>
      <c r="AG6083" t="s">
        <v>4840</v>
      </c>
      <c r="AI6083" t="s">
        <v>40972</v>
      </c>
      <c r="AM6083" t="s">
        <v>4238</v>
      </c>
      <c r="AN6083" t="s">
        <v>2046</v>
      </c>
      <c r="AO6083">
        <v>33756</v>
      </c>
      <c r="AP6083" t="s">
        <v>7024</v>
      </c>
      <c r="AQ6083" t="s">
        <v>40973</v>
      </c>
      <c r="AT6083" s="184"/>
      <c r="AW6083" s="184"/>
      <c r="AZ6083" s="184"/>
    </row>
    <row r="6084" spans="1:67">
      <c r="A6084">
        <v>101337723</v>
      </c>
      <c r="B6084">
        <v>101337723</v>
      </c>
      <c r="C6084" t="s">
        <v>7018</v>
      </c>
      <c r="E6084" s="184"/>
      <c r="I6084" s="184"/>
      <c r="J6084" t="s">
        <v>595</v>
      </c>
      <c r="K6084" s="184">
        <v>45392</v>
      </c>
      <c r="P6084" t="s">
        <v>8550</v>
      </c>
      <c r="R6084" s="184"/>
      <c r="V6084" t="s">
        <v>2523</v>
      </c>
      <c r="X6084" t="s">
        <v>40974</v>
      </c>
      <c r="AF6084" t="s">
        <v>40975</v>
      </c>
      <c r="AG6084" t="s">
        <v>2523</v>
      </c>
      <c r="AP6084" t="s">
        <v>7024</v>
      </c>
      <c r="AQ6084" t="s">
        <v>40976</v>
      </c>
      <c r="AT6084" s="184"/>
      <c r="AW6084" s="184"/>
      <c r="AZ6084" s="184"/>
    </row>
    <row r="6085" spans="1:67">
      <c r="A6085">
        <v>101352581</v>
      </c>
      <c r="B6085">
        <v>101352581</v>
      </c>
      <c r="C6085" t="s">
        <v>7018</v>
      </c>
      <c r="D6085" t="s">
        <v>595</v>
      </c>
      <c r="E6085" s="184">
        <v>45397</v>
      </c>
      <c r="H6085" t="s">
        <v>595</v>
      </c>
      <c r="I6085" s="184">
        <v>45397</v>
      </c>
      <c r="K6085" s="184"/>
      <c r="P6085" t="s">
        <v>8550</v>
      </c>
      <c r="Q6085" t="s">
        <v>7160</v>
      </c>
      <c r="R6085" s="184">
        <v>13028</v>
      </c>
      <c r="S6085">
        <v>88</v>
      </c>
      <c r="V6085" t="s">
        <v>5414</v>
      </c>
      <c r="X6085" t="s">
        <v>5114</v>
      </c>
      <c r="AF6085" t="s">
        <v>40977</v>
      </c>
      <c r="AG6085" t="s">
        <v>5414</v>
      </c>
      <c r="AI6085" t="s">
        <v>40978</v>
      </c>
      <c r="AJ6085" t="s">
        <v>40979</v>
      </c>
      <c r="AM6085" t="s">
        <v>2781</v>
      </c>
      <c r="AN6085" t="s">
        <v>2176</v>
      </c>
      <c r="AO6085">
        <v>27514</v>
      </c>
      <c r="AP6085" t="s">
        <v>7024</v>
      </c>
      <c r="AQ6085" t="s">
        <v>40980</v>
      </c>
    </row>
    <row r="6086" spans="1:67">
      <c r="A6086">
        <v>101352582</v>
      </c>
      <c r="B6086">
        <v>101352582</v>
      </c>
      <c r="C6086" t="s">
        <v>7018</v>
      </c>
      <c r="D6086" t="s">
        <v>595</v>
      </c>
      <c r="E6086" s="184">
        <v>45397</v>
      </c>
      <c r="H6086" t="s">
        <v>595</v>
      </c>
      <c r="I6086" s="184">
        <v>45397</v>
      </c>
      <c r="K6086" s="184"/>
      <c r="P6086" t="s">
        <v>8550</v>
      </c>
      <c r="Q6086" t="s">
        <v>7374</v>
      </c>
      <c r="R6086" s="184">
        <v>24964</v>
      </c>
      <c r="S6086">
        <v>56</v>
      </c>
      <c r="V6086" t="s">
        <v>2903</v>
      </c>
      <c r="X6086" t="s">
        <v>40981</v>
      </c>
      <c r="AF6086" t="s">
        <v>40982</v>
      </c>
      <c r="AG6086" t="s">
        <v>2903</v>
      </c>
      <c r="AI6086" t="s">
        <v>40983</v>
      </c>
      <c r="AM6086" t="s">
        <v>3434</v>
      </c>
      <c r="AN6086" t="s">
        <v>2081</v>
      </c>
      <c r="AO6086" t="s">
        <v>40984</v>
      </c>
      <c r="AP6086" t="s">
        <v>7024</v>
      </c>
      <c r="AQ6086" t="s">
        <v>40985</v>
      </c>
      <c r="AT6086" s="184"/>
      <c r="AW6086" s="184"/>
      <c r="AZ6086" s="184"/>
    </row>
    <row r="6087" spans="1:67">
      <c r="A6087">
        <v>101353411</v>
      </c>
      <c r="B6087">
        <v>101353411</v>
      </c>
      <c r="C6087" t="s">
        <v>7018</v>
      </c>
      <c r="D6087" t="s">
        <v>595</v>
      </c>
      <c r="E6087" s="184">
        <v>44167</v>
      </c>
      <c r="I6087" s="184"/>
      <c r="P6087" t="s">
        <v>7045</v>
      </c>
      <c r="Q6087" t="s">
        <v>7262</v>
      </c>
      <c r="R6087" s="184">
        <v>17654</v>
      </c>
      <c r="S6087">
        <v>76</v>
      </c>
      <c r="U6087" t="s">
        <v>7076</v>
      </c>
      <c r="V6087" t="s">
        <v>2523</v>
      </c>
      <c r="X6087" t="s">
        <v>5606</v>
      </c>
      <c r="AF6087" t="s">
        <v>40986</v>
      </c>
      <c r="AG6087" t="s">
        <v>2523</v>
      </c>
      <c r="AI6087" t="s">
        <v>40987</v>
      </c>
      <c r="AM6087" t="s">
        <v>4126</v>
      </c>
      <c r="AN6087" t="s">
        <v>2069</v>
      </c>
      <c r="AO6087" t="s">
        <v>40988</v>
      </c>
      <c r="AP6087" t="s">
        <v>7024</v>
      </c>
      <c r="AQ6087" t="s">
        <v>40989</v>
      </c>
      <c r="AT6087" s="184">
        <v>45398</v>
      </c>
      <c r="AU6087" t="s">
        <v>9228</v>
      </c>
      <c r="AV6087">
        <v>25</v>
      </c>
      <c r="AW6087" s="184">
        <v>45398</v>
      </c>
      <c r="AX6087" t="s">
        <v>9228</v>
      </c>
      <c r="AY6087">
        <v>25</v>
      </c>
      <c r="AZ6087" s="184">
        <v>45398</v>
      </c>
      <c r="BA6087" t="s">
        <v>9228</v>
      </c>
      <c r="BB6087">
        <v>25</v>
      </c>
      <c r="BC6087">
        <v>900</v>
      </c>
      <c r="BD6087">
        <v>25</v>
      </c>
      <c r="BE6087">
        <v>2024</v>
      </c>
      <c r="BF6087">
        <v>1</v>
      </c>
      <c r="BG6087">
        <v>1</v>
      </c>
      <c r="BH6087">
        <v>25</v>
      </c>
      <c r="BI6087">
        <v>9</v>
      </c>
      <c r="BJ6087">
        <v>1</v>
      </c>
      <c r="BK6087">
        <v>4</v>
      </c>
      <c r="BN6087" t="s">
        <v>595</v>
      </c>
    </row>
    <row r="6088" spans="1:67">
      <c r="A6088">
        <v>101355297</v>
      </c>
      <c r="B6088">
        <v>101355297</v>
      </c>
      <c r="C6088" t="s">
        <v>7018</v>
      </c>
      <c r="D6088" t="s">
        <v>595</v>
      </c>
      <c r="E6088" s="184">
        <v>45405</v>
      </c>
      <c r="H6088" t="s">
        <v>595</v>
      </c>
      <c r="I6088" s="184">
        <v>45405</v>
      </c>
      <c r="P6088" t="s">
        <v>8550</v>
      </c>
      <c r="Q6088" t="s">
        <v>7160</v>
      </c>
      <c r="R6088" s="184">
        <v>14990</v>
      </c>
      <c r="S6088">
        <v>83</v>
      </c>
      <c r="V6088" t="s">
        <v>2586</v>
      </c>
      <c r="X6088" t="s">
        <v>18772</v>
      </c>
      <c r="AF6088" t="s">
        <v>40990</v>
      </c>
      <c r="AG6088" t="s">
        <v>2586</v>
      </c>
      <c r="AI6088" t="s">
        <v>40991</v>
      </c>
      <c r="AM6088" t="s">
        <v>40749</v>
      </c>
      <c r="AN6088" t="s">
        <v>2176</v>
      </c>
      <c r="AO6088">
        <v>28711</v>
      </c>
      <c r="AP6088" t="s">
        <v>7024</v>
      </c>
      <c r="AQ6088" t="s">
        <v>40992</v>
      </c>
    </row>
    <row r="6089" spans="1:67">
      <c r="A6089">
        <v>35172170</v>
      </c>
      <c r="B6089">
        <v>101356015</v>
      </c>
      <c r="C6089" t="s">
        <v>7018</v>
      </c>
      <c r="D6089" t="s">
        <v>595</v>
      </c>
      <c r="E6089" s="184">
        <v>45020</v>
      </c>
      <c r="I6089" s="184"/>
      <c r="P6089" t="s">
        <v>7045</v>
      </c>
      <c r="Q6089" t="s">
        <v>7774</v>
      </c>
      <c r="R6089" s="184">
        <v>15858</v>
      </c>
      <c r="S6089">
        <v>80</v>
      </c>
      <c r="U6089" t="s">
        <v>7031</v>
      </c>
      <c r="V6089" t="s">
        <v>29802</v>
      </c>
      <c r="X6089" t="s">
        <v>40993</v>
      </c>
      <c r="Z6089">
        <v>101356015</v>
      </c>
      <c r="AA6089" t="s">
        <v>7130</v>
      </c>
      <c r="AB6089" t="s">
        <v>2876</v>
      </c>
      <c r="AD6089" t="s">
        <v>40993</v>
      </c>
      <c r="AF6089" t="s">
        <v>40994</v>
      </c>
      <c r="AG6089" t="s">
        <v>2876</v>
      </c>
      <c r="AI6089" t="s">
        <v>40995</v>
      </c>
      <c r="AM6089" t="s">
        <v>3388</v>
      </c>
      <c r="AN6089" t="s">
        <v>2290</v>
      </c>
      <c r="AO6089" t="s">
        <v>40996</v>
      </c>
      <c r="AP6089" t="s">
        <v>7024</v>
      </c>
      <c r="AQ6089" t="s">
        <v>40997</v>
      </c>
      <c r="AR6089" t="s">
        <v>40998</v>
      </c>
      <c r="AT6089" s="184">
        <v>37372</v>
      </c>
      <c r="AU6089" t="s">
        <v>40999</v>
      </c>
      <c r="AV6089">
        <v>15</v>
      </c>
      <c r="AW6089" s="184">
        <v>45405</v>
      </c>
      <c r="AX6089" t="s">
        <v>41000</v>
      </c>
      <c r="AY6089">
        <v>100</v>
      </c>
      <c r="AZ6089" s="184">
        <v>45405</v>
      </c>
      <c r="BA6089" t="s">
        <v>41000</v>
      </c>
      <c r="BB6089">
        <v>100</v>
      </c>
      <c r="BC6089">
        <v>92</v>
      </c>
      <c r="BD6089">
        <v>1625</v>
      </c>
      <c r="BE6089">
        <v>2002</v>
      </c>
      <c r="BF6089">
        <v>25</v>
      </c>
      <c r="BG6089">
        <v>3</v>
      </c>
      <c r="BH6089">
        <v>300</v>
      </c>
      <c r="BI6089">
        <v>21</v>
      </c>
      <c r="BJ6089">
        <v>23</v>
      </c>
      <c r="BK6089">
        <v>12</v>
      </c>
      <c r="BO6089" t="s">
        <v>595</v>
      </c>
    </row>
    <row r="6090" spans="1:67">
      <c r="A6090">
        <v>101360372</v>
      </c>
      <c r="B6090">
        <v>101360372</v>
      </c>
      <c r="C6090" t="s">
        <v>7018</v>
      </c>
      <c r="D6090" t="s">
        <v>595</v>
      </c>
      <c r="E6090" s="184">
        <v>44438</v>
      </c>
      <c r="P6090" t="s">
        <v>7045</v>
      </c>
      <c r="Q6090" t="s">
        <v>7160</v>
      </c>
      <c r="R6090" s="184">
        <v>21671</v>
      </c>
      <c r="S6090">
        <v>65</v>
      </c>
      <c r="V6090" t="s">
        <v>4086</v>
      </c>
      <c r="X6090" t="s">
        <v>20153</v>
      </c>
      <c r="AF6090" t="s">
        <v>41001</v>
      </c>
      <c r="AG6090" t="s">
        <v>4086</v>
      </c>
      <c r="AI6090" t="s">
        <v>41002</v>
      </c>
      <c r="AM6090" t="s">
        <v>41003</v>
      </c>
      <c r="AN6090" t="s">
        <v>2675</v>
      </c>
      <c r="AO6090" t="s">
        <v>41004</v>
      </c>
      <c r="AP6090" t="s">
        <v>7024</v>
      </c>
      <c r="AQ6090" t="s">
        <v>41005</v>
      </c>
      <c r="AT6090" s="184">
        <v>45419</v>
      </c>
      <c r="AU6090" t="s">
        <v>7832</v>
      </c>
      <c r="AV6090">
        <v>26.25</v>
      </c>
      <c r="AW6090" s="184">
        <v>45419</v>
      </c>
      <c r="AX6090" t="s">
        <v>7832</v>
      </c>
      <c r="AY6090">
        <v>26.25</v>
      </c>
      <c r="AZ6090" s="184">
        <v>45419</v>
      </c>
      <c r="BA6090" t="s">
        <v>7832</v>
      </c>
      <c r="BB6090">
        <v>26.25</v>
      </c>
      <c r="BC6090">
        <v>1100</v>
      </c>
      <c r="BD6090">
        <v>26.25</v>
      </c>
      <c r="BE6090">
        <v>2024</v>
      </c>
      <c r="BF6090">
        <v>1</v>
      </c>
      <c r="BG6090">
        <v>1</v>
      </c>
      <c r="BH6090">
        <v>26.25</v>
      </c>
      <c r="BI6090">
        <v>11</v>
      </c>
      <c r="BJ6090">
        <v>1</v>
      </c>
      <c r="BK6090">
        <v>11</v>
      </c>
    </row>
  </sheetData>
  <sortState xmlns:xlrd2="http://schemas.microsoft.com/office/spreadsheetml/2017/richdata2" ref="A2:BP3256">
    <sortCondition descending="1" ref="J2:J3256"/>
    <sortCondition ref="K2:K3256"/>
  </sortState>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D0A0A-5715-4728-B8B7-0B1D1128E921}">
  <sheetPr>
    <pageSetUpPr autoPageBreaks="0" fitToPage="1"/>
  </sheetPr>
  <dimension ref="A1:M54"/>
  <sheetViews>
    <sheetView showGridLines="0" workbookViewId="0">
      <pane ySplit="1" topLeftCell="A7" activePane="bottomLeft" state="frozen"/>
      <selection pane="bottomLeft" activeCell="D7" sqref="D7"/>
      <selection activeCell="X1" sqref="X1"/>
    </sheetView>
  </sheetViews>
  <sheetFormatPr defaultRowHeight="14.45"/>
  <cols>
    <col min="1" max="13" width="18.7109375" customWidth="1"/>
  </cols>
  <sheetData>
    <row r="1" spans="1:13" s="150" customFormat="1" ht="18" customHeight="1" thickBot="1">
      <c r="A1" s="181" t="s">
        <v>88</v>
      </c>
      <c r="B1" s="182" t="s">
        <v>6908</v>
      </c>
      <c r="C1" s="182" t="s">
        <v>6909</v>
      </c>
      <c r="D1" s="182" t="s">
        <v>6910</v>
      </c>
      <c r="E1" s="182" t="s">
        <v>6911</v>
      </c>
      <c r="F1" s="182" t="s">
        <v>6912</v>
      </c>
      <c r="G1" s="182" t="s">
        <v>6913</v>
      </c>
      <c r="H1" s="182" t="s">
        <v>6914</v>
      </c>
      <c r="I1" s="182" t="s">
        <v>6915</v>
      </c>
      <c r="J1" s="182" t="s">
        <v>6916</v>
      </c>
      <c r="K1" s="182" t="s">
        <v>6917</v>
      </c>
      <c r="L1" s="182" t="s">
        <v>6918</v>
      </c>
      <c r="M1" s="182" t="s">
        <v>6919</v>
      </c>
    </row>
    <row r="2" spans="1:13" ht="60" customHeight="1">
      <c r="A2" s="175" t="s">
        <v>71</v>
      </c>
      <c r="B2" s="171"/>
      <c r="C2" s="171"/>
      <c r="D2" s="171"/>
      <c r="E2" s="171"/>
      <c r="F2" s="171"/>
      <c r="G2" s="172"/>
      <c r="H2" s="171"/>
      <c r="I2" s="171"/>
      <c r="J2" s="171"/>
      <c r="K2" s="171" t="s">
        <v>41006</v>
      </c>
      <c r="L2" s="171"/>
      <c r="M2" s="177"/>
    </row>
    <row r="3" spans="1:13" ht="60" customHeight="1">
      <c r="A3" s="175" t="s">
        <v>41007</v>
      </c>
      <c r="B3" s="169" t="s">
        <v>88</v>
      </c>
      <c r="C3" s="169"/>
      <c r="D3" s="169" t="s">
        <v>41008</v>
      </c>
      <c r="E3" s="169"/>
      <c r="F3" s="169" t="s">
        <v>41009</v>
      </c>
      <c r="G3" s="170" t="s">
        <v>41008</v>
      </c>
      <c r="H3" s="169" t="s">
        <v>41010</v>
      </c>
      <c r="I3" s="170"/>
      <c r="J3" s="169" t="s">
        <v>41008</v>
      </c>
      <c r="K3" s="169"/>
      <c r="L3" s="170"/>
      <c r="M3" s="176" t="s">
        <v>41008</v>
      </c>
    </row>
    <row r="4" spans="1:13" ht="60" customHeight="1">
      <c r="A4" s="175" t="s">
        <v>41011</v>
      </c>
      <c r="B4" s="171"/>
      <c r="C4" s="171"/>
      <c r="D4" s="171"/>
      <c r="E4" s="171" t="s">
        <v>41012</v>
      </c>
      <c r="F4" s="171" t="s">
        <v>41013</v>
      </c>
      <c r="G4" s="172"/>
      <c r="H4" s="171" t="s">
        <v>41014</v>
      </c>
      <c r="I4" s="171" t="s">
        <v>41015</v>
      </c>
      <c r="J4" s="171"/>
      <c r="K4" s="171"/>
      <c r="L4" s="171" t="s">
        <v>41016</v>
      </c>
      <c r="M4" s="177"/>
    </row>
    <row r="5" spans="1:13" ht="60" customHeight="1">
      <c r="A5" s="175" t="s">
        <v>41017</v>
      </c>
      <c r="B5" s="169"/>
      <c r="C5" s="169"/>
      <c r="D5" s="169"/>
      <c r="E5" s="169"/>
      <c r="F5" s="169"/>
      <c r="G5" s="170"/>
      <c r="H5" s="169"/>
      <c r="I5" s="169"/>
      <c r="J5" s="169"/>
      <c r="K5" s="169"/>
      <c r="L5" s="169"/>
      <c r="M5" s="176"/>
    </row>
    <row r="6" spans="1:13" ht="60" customHeight="1">
      <c r="A6" s="175" t="s">
        <v>41018</v>
      </c>
      <c r="B6" s="171"/>
      <c r="C6" s="171"/>
      <c r="D6" s="173" t="s">
        <v>41019</v>
      </c>
      <c r="E6" s="171"/>
      <c r="F6" s="171"/>
      <c r="G6" s="172" t="s">
        <v>41019</v>
      </c>
      <c r="H6" s="171"/>
      <c r="I6" s="172" t="s">
        <v>41019</v>
      </c>
      <c r="J6" s="171"/>
      <c r="K6" s="171"/>
      <c r="L6" s="172" t="s">
        <v>41020</v>
      </c>
      <c r="M6" s="177"/>
    </row>
    <row r="7" spans="1:13" ht="60" customHeight="1">
      <c r="A7" s="175" t="s">
        <v>41021</v>
      </c>
      <c r="B7" s="169"/>
      <c r="C7" s="169"/>
      <c r="D7" s="169"/>
      <c r="E7" s="169"/>
      <c r="F7" s="169"/>
      <c r="G7" s="170"/>
      <c r="H7" s="169" t="s">
        <v>41022</v>
      </c>
      <c r="I7" s="169"/>
      <c r="J7" s="169"/>
      <c r="K7" s="169"/>
      <c r="L7" s="169"/>
      <c r="M7" s="176"/>
    </row>
    <row r="8" spans="1:13" ht="60" customHeight="1">
      <c r="A8" s="175" t="s">
        <v>41023</v>
      </c>
      <c r="B8" s="173"/>
      <c r="C8" s="173" t="s">
        <v>41024</v>
      </c>
      <c r="D8" s="173"/>
      <c r="E8" s="173"/>
      <c r="F8" s="173" t="s">
        <v>41024</v>
      </c>
      <c r="G8" s="174"/>
      <c r="H8" s="173"/>
      <c r="I8" s="173" t="s">
        <v>41024</v>
      </c>
      <c r="J8" s="173"/>
      <c r="K8" s="173"/>
      <c r="L8" s="173" t="s">
        <v>41025</v>
      </c>
      <c r="M8" s="178"/>
    </row>
    <row r="9" spans="1:13" ht="60" customHeight="1">
      <c r="A9" s="175" t="s">
        <v>41026</v>
      </c>
      <c r="B9" s="173"/>
      <c r="C9" s="173"/>
      <c r="D9" s="173"/>
      <c r="E9" s="173"/>
      <c r="F9" s="173"/>
      <c r="G9" s="174" t="s">
        <v>41027</v>
      </c>
      <c r="H9" s="173" t="s">
        <v>41028</v>
      </c>
      <c r="I9" s="173"/>
      <c r="J9" s="173"/>
      <c r="K9" s="173"/>
      <c r="L9" s="173" t="s">
        <v>41029</v>
      </c>
      <c r="M9" s="178"/>
    </row>
    <row r="10" spans="1:13" ht="60" customHeight="1">
      <c r="A10" s="175" t="s">
        <v>41030</v>
      </c>
      <c r="B10" s="173"/>
      <c r="C10" s="173"/>
      <c r="D10" s="173"/>
      <c r="E10" s="173"/>
      <c r="F10" s="173"/>
      <c r="G10" s="174"/>
      <c r="H10" s="173"/>
      <c r="I10" s="173"/>
      <c r="J10" s="173"/>
      <c r="K10" s="173"/>
      <c r="L10" s="173"/>
      <c r="M10" s="178"/>
    </row>
    <row r="11" spans="1:13" ht="60" customHeight="1">
      <c r="A11" s="175" t="s">
        <v>41031</v>
      </c>
      <c r="B11" s="173"/>
      <c r="C11" s="173"/>
      <c r="D11" s="173"/>
      <c r="E11" s="173"/>
      <c r="F11" s="173"/>
      <c r="G11" s="174"/>
      <c r="H11" s="173"/>
      <c r="I11" s="173"/>
      <c r="J11" s="173"/>
      <c r="K11" s="173"/>
      <c r="L11" s="173"/>
      <c r="M11" s="178"/>
    </row>
    <row r="12" spans="1:13" ht="60" customHeight="1">
      <c r="A12" s="175" t="s">
        <v>41032</v>
      </c>
      <c r="B12" s="173"/>
      <c r="C12" s="173"/>
      <c r="D12" s="173"/>
      <c r="E12" s="173"/>
      <c r="F12" s="173"/>
      <c r="G12" s="174"/>
      <c r="H12" s="173"/>
      <c r="I12" s="173"/>
      <c r="J12" s="173"/>
      <c r="K12" s="173"/>
      <c r="L12" s="173"/>
      <c r="M12" s="178"/>
    </row>
    <row r="13" spans="1:13" ht="60" customHeight="1">
      <c r="A13" s="179" t="s">
        <v>41033</v>
      </c>
      <c r="B13" s="180"/>
      <c r="C13" s="180"/>
      <c r="D13" s="180"/>
      <c r="E13" s="180"/>
      <c r="F13" s="180"/>
      <c r="G13" s="180"/>
      <c r="H13" s="180"/>
      <c r="I13" s="180"/>
      <c r="J13" s="180"/>
      <c r="K13" s="180"/>
      <c r="L13" s="180" t="s">
        <v>88</v>
      </c>
      <c r="M13" s="183"/>
    </row>
    <row r="14" spans="1:13" ht="18" customHeight="1" thickBot="1">
      <c r="A14" s="181" t="s">
        <v>41034</v>
      </c>
      <c r="B14" s="182" t="s">
        <v>6908</v>
      </c>
      <c r="C14" s="182" t="s">
        <v>6909</v>
      </c>
      <c r="D14" s="182" t="s">
        <v>6910</v>
      </c>
      <c r="E14" s="182" t="s">
        <v>6911</v>
      </c>
      <c r="F14" s="182" t="s">
        <v>6912</v>
      </c>
      <c r="G14" s="182" t="s">
        <v>6913</v>
      </c>
      <c r="H14" s="182" t="s">
        <v>6914</v>
      </c>
      <c r="I14" s="182" t="s">
        <v>6915</v>
      </c>
      <c r="J14" s="182" t="s">
        <v>6916</v>
      </c>
      <c r="K14" s="182" t="s">
        <v>6917</v>
      </c>
      <c r="L14" s="182" t="s">
        <v>6918</v>
      </c>
      <c r="M14" s="182" t="s">
        <v>6919</v>
      </c>
    </row>
    <row r="15" spans="1:13" ht="60" customHeight="1">
      <c r="A15" s="175" t="s">
        <v>71</v>
      </c>
      <c r="B15" s="171"/>
      <c r="C15" s="171"/>
      <c r="D15" s="171" t="s">
        <v>41006</v>
      </c>
      <c r="E15" s="171"/>
      <c r="F15" s="171"/>
      <c r="G15" s="172" t="s">
        <v>41006</v>
      </c>
      <c r="H15" s="171"/>
      <c r="I15" s="171"/>
      <c r="J15" s="171" t="s">
        <v>41006</v>
      </c>
      <c r="K15" s="171"/>
      <c r="L15" s="171" t="s">
        <v>41035</v>
      </c>
      <c r="M15" s="177" t="s">
        <v>41006</v>
      </c>
    </row>
    <row r="16" spans="1:13" ht="60" customHeight="1">
      <c r="A16" s="175" t="s">
        <v>41007</v>
      </c>
      <c r="B16" s="169"/>
      <c r="C16" s="169" t="s">
        <v>41036</v>
      </c>
      <c r="D16" s="169" t="s">
        <v>41008</v>
      </c>
      <c r="E16" s="169" t="s">
        <v>41037</v>
      </c>
      <c r="F16" s="169"/>
      <c r="G16" s="170" t="s">
        <v>41038</v>
      </c>
      <c r="H16" s="169" t="s">
        <v>41039</v>
      </c>
      <c r="I16" s="169"/>
      <c r="J16" s="169" t="s">
        <v>41008</v>
      </c>
      <c r="K16" s="169" t="s">
        <v>41040</v>
      </c>
      <c r="L16" s="169"/>
      <c r="M16" s="176" t="s">
        <v>41008</v>
      </c>
    </row>
    <row r="17" spans="1:13" ht="60" customHeight="1">
      <c r="A17" s="175" t="s">
        <v>41011</v>
      </c>
      <c r="B17" s="171"/>
      <c r="C17" s="171" t="s">
        <v>41041</v>
      </c>
      <c r="D17" s="171"/>
      <c r="E17" s="171" t="s">
        <v>41042</v>
      </c>
      <c r="F17" s="171" t="s">
        <v>41043</v>
      </c>
      <c r="G17" s="172"/>
      <c r="H17" s="171"/>
      <c r="I17" s="171" t="s">
        <v>41041</v>
      </c>
      <c r="J17" s="171"/>
      <c r="K17" s="171"/>
      <c r="L17" s="171" t="s">
        <v>41041</v>
      </c>
      <c r="M17" s="177"/>
    </row>
    <row r="18" spans="1:13" ht="60" customHeight="1">
      <c r="A18" s="175" t="s">
        <v>41017</v>
      </c>
      <c r="B18" s="169"/>
      <c r="C18" s="169"/>
      <c r="D18" s="169"/>
      <c r="E18" s="169"/>
      <c r="F18" s="169"/>
      <c r="G18" s="170"/>
      <c r="H18" s="169"/>
      <c r="I18" s="169"/>
      <c r="J18" s="169"/>
      <c r="K18" s="169"/>
      <c r="L18" s="169"/>
      <c r="M18" s="176"/>
    </row>
    <row r="19" spans="1:13" ht="60" customHeight="1">
      <c r="A19" s="175" t="s">
        <v>41018</v>
      </c>
      <c r="B19" s="171"/>
      <c r="C19" s="171"/>
      <c r="D19" s="173" t="s">
        <v>41019</v>
      </c>
      <c r="E19" s="171"/>
      <c r="F19" s="171"/>
      <c r="G19" s="173" t="s">
        <v>41019</v>
      </c>
      <c r="H19" s="171"/>
      <c r="I19" s="171"/>
      <c r="J19" s="173" t="s">
        <v>41019</v>
      </c>
      <c r="K19" s="171"/>
      <c r="L19" s="171"/>
      <c r="M19" s="176" t="s">
        <v>41019</v>
      </c>
    </row>
    <row r="20" spans="1:13" ht="60" customHeight="1">
      <c r="A20" s="175" t="s">
        <v>41021</v>
      </c>
      <c r="B20" s="169"/>
      <c r="C20" s="169" t="s">
        <v>41044</v>
      </c>
      <c r="D20" s="169"/>
      <c r="E20" s="169" t="s">
        <v>41045</v>
      </c>
      <c r="F20" s="169"/>
      <c r="G20" s="170"/>
      <c r="H20" s="169"/>
      <c r="I20" s="169"/>
      <c r="J20" s="169"/>
      <c r="K20" s="169"/>
      <c r="L20" s="169"/>
      <c r="M20" s="176"/>
    </row>
    <row r="21" spans="1:13" ht="60" customHeight="1">
      <c r="A21" s="175" t="s">
        <v>41023</v>
      </c>
      <c r="B21" s="173"/>
      <c r="C21" s="173" t="s">
        <v>41024</v>
      </c>
      <c r="D21" s="173"/>
      <c r="E21" s="173"/>
      <c r="F21" s="173" t="s">
        <v>41024</v>
      </c>
      <c r="G21" s="174"/>
      <c r="H21" s="173"/>
      <c r="I21" s="173" t="s">
        <v>41024</v>
      </c>
      <c r="J21" s="173"/>
      <c r="K21" s="173"/>
      <c r="L21" s="173" t="s">
        <v>41024</v>
      </c>
      <c r="M21" s="178"/>
    </row>
    <row r="22" spans="1:13" ht="60" customHeight="1">
      <c r="A22" s="175" t="s">
        <v>41026</v>
      </c>
      <c r="B22" s="173"/>
      <c r="C22" s="173"/>
      <c r="D22" s="173"/>
      <c r="E22" s="173" t="s">
        <v>41046</v>
      </c>
      <c r="F22" s="173" t="s">
        <v>41027</v>
      </c>
      <c r="G22" s="174"/>
      <c r="H22" s="173"/>
      <c r="I22" s="173"/>
      <c r="J22" s="173"/>
      <c r="K22" s="173"/>
      <c r="L22" s="173"/>
      <c r="M22" s="178"/>
    </row>
    <row r="23" spans="1:13" ht="60" customHeight="1">
      <c r="A23" s="175" t="s">
        <v>41030</v>
      </c>
      <c r="B23" s="173"/>
      <c r="C23" s="173"/>
      <c r="D23" s="173"/>
      <c r="E23" s="173"/>
      <c r="F23" s="173" t="s">
        <v>41047</v>
      </c>
      <c r="G23" s="174" t="s">
        <v>41048</v>
      </c>
      <c r="H23" s="173"/>
      <c r="I23" s="173"/>
      <c r="J23" s="173"/>
      <c r="K23" s="173"/>
      <c r="L23" s="173"/>
      <c r="M23" s="178"/>
    </row>
    <row r="24" spans="1:13" ht="60" customHeight="1">
      <c r="A24" s="175" t="s">
        <v>41031</v>
      </c>
      <c r="B24" s="173"/>
      <c r="C24" s="173"/>
      <c r="D24" s="173"/>
      <c r="E24" s="173"/>
      <c r="F24" s="173"/>
      <c r="G24" s="174"/>
      <c r="H24" s="173"/>
      <c r="I24" s="173"/>
      <c r="J24" s="173"/>
      <c r="K24" s="173"/>
      <c r="L24" s="173"/>
      <c r="M24" s="178"/>
    </row>
    <row r="25" spans="1:13" ht="60" customHeight="1">
      <c r="A25" s="175" t="s">
        <v>41032</v>
      </c>
      <c r="B25" s="173"/>
      <c r="C25" s="173" t="s">
        <v>41044</v>
      </c>
      <c r="D25" s="173"/>
      <c r="E25" s="173" t="s">
        <v>41045</v>
      </c>
      <c r="F25" s="173" t="s">
        <v>41049</v>
      </c>
      <c r="G25" s="174"/>
      <c r="H25" s="173" t="s">
        <v>41050</v>
      </c>
      <c r="I25" s="173"/>
      <c r="J25" s="173"/>
      <c r="K25" s="173"/>
      <c r="L25" s="173"/>
      <c r="M25" s="178"/>
    </row>
    <row r="26" spans="1:13" ht="60" customHeight="1">
      <c r="A26" s="179" t="s">
        <v>41033</v>
      </c>
      <c r="B26" s="180"/>
      <c r="C26" s="180"/>
      <c r="D26" s="180"/>
      <c r="E26" s="180"/>
      <c r="F26" s="180"/>
      <c r="G26" s="180"/>
      <c r="H26" s="180"/>
      <c r="I26" s="180"/>
      <c r="J26" s="180"/>
      <c r="K26" s="180"/>
      <c r="L26" s="180"/>
      <c r="M26" s="183"/>
    </row>
    <row r="27" spans="1:13" ht="18" customHeight="1">
      <c r="A27" s="181" t="s">
        <v>41051</v>
      </c>
      <c r="B27" s="182" t="s">
        <v>6908</v>
      </c>
      <c r="C27" s="182" t="s">
        <v>6909</v>
      </c>
      <c r="D27" s="182" t="s">
        <v>6910</v>
      </c>
      <c r="E27" s="182" t="s">
        <v>6911</v>
      </c>
      <c r="F27" s="182" t="s">
        <v>6912</v>
      </c>
      <c r="G27" s="182" t="s">
        <v>6913</v>
      </c>
      <c r="H27" s="182" t="s">
        <v>6914</v>
      </c>
      <c r="I27" s="182" t="s">
        <v>6915</v>
      </c>
      <c r="J27" s="182" t="s">
        <v>6916</v>
      </c>
      <c r="K27" s="182" t="s">
        <v>6917</v>
      </c>
      <c r="L27" s="182" t="s">
        <v>6918</v>
      </c>
      <c r="M27" s="182" t="s">
        <v>6919</v>
      </c>
    </row>
    <row r="28" spans="1:13" ht="60" customHeight="1">
      <c r="A28" s="175" t="s">
        <v>71</v>
      </c>
      <c r="B28" s="171" t="s">
        <v>41006</v>
      </c>
      <c r="C28" s="171"/>
      <c r="D28" s="171"/>
      <c r="E28" s="171"/>
      <c r="F28" s="171"/>
      <c r="G28" s="172"/>
      <c r="H28" s="171"/>
      <c r="I28" s="171"/>
      <c r="J28" s="171"/>
      <c r="K28" s="171"/>
      <c r="L28" s="171" t="s">
        <v>41035</v>
      </c>
      <c r="M28" s="177"/>
    </row>
    <row r="29" spans="1:13" ht="60" customHeight="1">
      <c r="A29" s="175" t="s">
        <v>41007</v>
      </c>
      <c r="B29" s="169" t="s">
        <v>41052</v>
      </c>
      <c r="C29" s="169" t="s">
        <v>41036</v>
      </c>
      <c r="D29" s="169" t="s">
        <v>41008</v>
      </c>
      <c r="E29" s="169" t="s">
        <v>41037</v>
      </c>
      <c r="F29" s="169"/>
      <c r="G29" s="170" t="s">
        <v>41038</v>
      </c>
      <c r="H29" s="169" t="s">
        <v>41039</v>
      </c>
      <c r="I29" s="169"/>
      <c r="J29" s="169" t="s">
        <v>41008</v>
      </c>
      <c r="K29" s="169" t="s">
        <v>41053</v>
      </c>
      <c r="L29" s="169"/>
      <c r="M29" s="176" t="s">
        <v>41008</v>
      </c>
    </row>
    <row r="30" spans="1:13" ht="60" customHeight="1">
      <c r="A30" s="175" t="s">
        <v>41011</v>
      </c>
      <c r="B30" s="694" t="s">
        <v>41054</v>
      </c>
      <c r="C30" s="694" t="s">
        <v>41041</v>
      </c>
      <c r="D30" s="694"/>
      <c r="E30" s="694"/>
      <c r="F30" s="694" t="s">
        <v>41043</v>
      </c>
      <c r="G30" s="695"/>
      <c r="H30" s="694"/>
      <c r="I30" s="694" t="s">
        <v>41041</v>
      </c>
      <c r="J30" s="694"/>
      <c r="K30" s="694"/>
      <c r="L30" s="694" t="s">
        <v>41041</v>
      </c>
      <c r="M30" s="177"/>
    </row>
    <row r="31" spans="1:13" ht="60" customHeight="1">
      <c r="A31" s="175" t="s">
        <v>41018</v>
      </c>
      <c r="B31" s="171"/>
      <c r="C31" s="171"/>
      <c r="D31" s="173" t="s">
        <v>41019</v>
      </c>
      <c r="E31" s="171"/>
      <c r="F31" s="171"/>
      <c r="G31" s="173" t="s">
        <v>41019</v>
      </c>
      <c r="H31" s="171"/>
      <c r="I31" s="171"/>
      <c r="J31" s="173" t="s">
        <v>41019</v>
      </c>
      <c r="K31" s="171"/>
      <c r="L31" s="171"/>
      <c r="M31" s="176" t="s">
        <v>41019</v>
      </c>
    </row>
    <row r="32" spans="1:13" ht="60" customHeight="1">
      <c r="A32" s="175" t="s">
        <v>41021</v>
      </c>
      <c r="B32" s="169" t="s">
        <v>41055</v>
      </c>
      <c r="C32" s="169" t="s">
        <v>41056</v>
      </c>
      <c r="D32" s="169" t="s">
        <v>41057</v>
      </c>
      <c r="E32" s="169" t="s">
        <v>41058</v>
      </c>
      <c r="F32" s="169" t="s">
        <v>41059</v>
      </c>
      <c r="G32" s="170"/>
      <c r="H32" s="169" t="s">
        <v>41060</v>
      </c>
      <c r="I32" s="169" t="s">
        <v>41061</v>
      </c>
      <c r="J32" s="169" t="s">
        <v>41062</v>
      </c>
      <c r="K32" s="169"/>
      <c r="L32" s="169"/>
      <c r="M32" s="176"/>
    </row>
    <row r="33" spans="1:13" ht="60" customHeight="1">
      <c r="A33" s="175" t="s">
        <v>41023</v>
      </c>
      <c r="B33" s="173"/>
      <c r="C33" s="173" t="s">
        <v>41024</v>
      </c>
      <c r="D33" s="173"/>
      <c r="E33" s="173"/>
      <c r="F33" s="173" t="s">
        <v>41024</v>
      </c>
      <c r="G33" s="174"/>
      <c r="H33" s="173"/>
      <c r="I33" s="173" t="s">
        <v>41024</v>
      </c>
      <c r="J33" s="173"/>
      <c r="K33" s="173"/>
      <c r="L33" s="173" t="s">
        <v>41024</v>
      </c>
      <c r="M33" s="178"/>
    </row>
    <row r="34" spans="1:13" ht="60" customHeight="1">
      <c r="A34" s="175" t="s">
        <v>41026</v>
      </c>
      <c r="B34" s="173" t="s">
        <v>41063</v>
      </c>
      <c r="C34" s="173"/>
      <c r="D34" s="173"/>
      <c r="E34" s="173" t="s">
        <v>41064</v>
      </c>
      <c r="F34" s="173"/>
      <c r="G34" s="174"/>
      <c r="H34" s="173"/>
      <c r="I34" s="173"/>
      <c r="J34" s="173"/>
      <c r="K34" s="173" t="s">
        <v>41063</v>
      </c>
      <c r="L34" s="173"/>
      <c r="M34" s="178"/>
    </row>
    <row r="35" spans="1:13" ht="60" customHeight="1">
      <c r="A35" s="175" t="s">
        <v>41030</v>
      </c>
      <c r="B35" s="173"/>
      <c r="C35" s="173"/>
      <c r="D35" s="173"/>
      <c r="E35" s="173" t="s">
        <v>41047</v>
      </c>
      <c r="F35" s="173" t="s">
        <v>41048</v>
      </c>
      <c r="G35" s="174"/>
      <c r="H35" s="173"/>
      <c r="I35" s="173"/>
      <c r="J35" s="173"/>
      <c r="K35" s="173"/>
      <c r="L35" s="173"/>
      <c r="M35" s="178"/>
    </row>
    <row r="36" spans="1:13" ht="60" customHeight="1">
      <c r="A36" s="175" t="s">
        <v>41031</v>
      </c>
      <c r="B36" s="173"/>
      <c r="C36" s="173"/>
      <c r="D36" s="173"/>
      <c r="E36" s="173"/>
      <c r="F36" s="173"/>
      <c r="G36" s="174"/>
      <c r="H36" s="173"/>
      <c r="I36" s="173"/>
      <c r="J36" s="173"/>
      <c r="K36" s="173"/>
      <c r="L36" s="173"/>
      <c r="M36" s="178"/>
    </row>
    <row r="37" spans="1:13" ht="60" customHeight="1">
      <c r="A37" s="175" t="s">
        <v>41032</v>
      </c>
      <c r="B37" s="173"/>
      <c r="C37" s="173"/>
      <c r="D37" s="173"/>
      <c r="E37" s="173"/>
      <c r="F37" s="173"/>
      <c r="G37" s="174"/>
      <c r="H37" s="173"/>
      <c r="I37" s="173"/>
      <c r="J37" s="173"/>
      <c r="K37" s="173"/>
      <c r="L37" s="173"/>
      <c r="M37" s="178"/>
    </row>
    <row r="38" spans="1:13" ht="60" customHeight="1">
      <c r="A38" s="179" t="s">
        <v>41033</v>
      </c>
      <c r="B38" s="180"/>
      <c r="C38" s="180" t="s">
        <v>88</v>
      </c>
      <c r="D38" s="180"/>
      <c r="E38" s="180"/>
      <c r="F38" s="180"/>
      <c r="G38" s="180"/>
      <c r="H38" s="180"/>
      <c r="I38" s="180"/>
      <c r="J38" s="180"/>
      <c r="K38" s="180"/>
      <c r="L38" s="180"/>
      <c r="M38" s="183"/>
    </row>
    <row r="39" spans="1:13" ht="15" thickBot="1">
      <c r="A39" s="181" t="s">
        <v>41051</v>
      </c>
      <c r="B39" s="182" t="s">
        <v>6908</v>
      </c>
      <c r="C39" s="182" t="s">
        <v>6909</v>
      </c>
      <c r="D39" s="182" t="s">
        <v>6910</v>
      </c>
      <c r="E39" s="182" t="s">
        <v>6911</v>
      </c>
      <c r="F39" s="182" t="s">
        <v>6912</v>
      </c>
      <c r="G39" s="182" t="s">
        <v>6913</v>
      </c>
      <c r="H39" s="182" t="s">
        <v>6914</v>
      </c>
      <c r="I39" s="182" t="s">
        <v>6915</v>
      </c>
      <c r="J39" s="182" t="s">
        <v>6916</v>
      </c>
      <c r="K39" s="182" t="s">
        <v>6917</v>
      </c>
      <c r="L39" s="182" t="s">
        <v>6918</v>
      </c>
      <c r="M39" s="182" t="s">
        <v>6919</v>
      </c>
    </row>
    <row r="40" spans="1:13" ht="60.6" customHeight="1">
      <c r="A40" s="175" t="s">
        <v>71</v>
      </c>
      <c r="B40" s="171" t="s">
        <v>41006</v>
      </c>
      <c r="C40" s="171"/>
      <c r="D40" s="171"/>
      <c r="E40" s="171"/>
      <c r="F40" s="171"/>
      <c r="G40" s="172"/>
      <c r="H40" s="171"/>
      <c r="I40" s="171"/>
      <c r="J40" s="171"/>
      <c r="K40" s="171"/>
      <c r="L40" s="171" t="s">
        <v>41035</v>
      </c>
      <c r="M40" s="177"/>
    </row>
    <row r="41" spans="1:13" ht="60.6" customHeight="1">
      <c r="A41" s="175" t="s">
        <v>41007</v>
      </c>
      <c r="B41" s="169" t="s">
        <v>41052</v>
      </c>
      <c r="C41" s="169" t="s">
        <v>41036</v>
      </c>
      <c r="D41" s="169" t="s">
        <v>41008</v>
      </c>
      <c r="E41" s="169" t="s">
        <v>41037</v>
      </c>
      <c r="F41" s="169"/>
      <c r="G41" s="170" t="s">
        <v>41038</v>
      </c>
      <c r="H41" s="169"/>
      <c r="I41" s="169"/>
      <c r="J41" s="169" t="s">
        <v>41008</v>
      </c>
      <c r="K41" s="169"/>
      <c r="L41" s="169"/>
      <c r="M41" s="176" t="s">
        <v>41008</v>
      </c>
    </row>
    <row r="42" spans="1:13" ht="60.6" customHeight="1">
      <c r="A42" s="175" t="s">
        <v>41011</v>
      </c>
      <c r="B42" s="694" t="s">
        <v>41054</v>
      </c>
      <c r="C42" s="694" t="s">
        <v>41065</v>
      </c>
      <c r="D42" s="694"/>
      <c r="E42" s="694"/>
      <c r="F42" s="694" t="s">
        <v>41066</v>
      </c>
      <c r="G42" s="695" t="s">
        <v>41067</v>
      </c>
      <c r="H42" s="694"/>
      <c r="I42" s="694" t="s">
        <v>41065</v>
      </c>
      <c r="J42" s="694"/>
      <c r="K42" s="694"/>
      <c r="L42" s="694" t="s">
        <v>41065</v>
      </c>
      <c r="M42" s="177"/>
    </row>
    <row r="43" spans="1:13" ht="60.6" customHeight="1">
      <c r="A43" s="175" t="s">
        <v>41018</v>
      </c>
      <c r="B43" s="171"/>
      <c r="C43" s="171"/>
      <c r="D43" s="173" t="s">
        <v>41019</v>
      </c>
      <c r="E43" s="171"/>
      <c r="F43" s="171"/>
      <c r="G43" s="173" t="s">
        <v>41019</v>
      </c>
      <c r="H43" s="171"/>
      <c r="I43" s="171"/>
      <c r="J43" s="173" t="s">
        <v>41019</v>
      </c>
      <c r="K43" s="171"/>
      <c r="L43" s="171"/>
      <c r="M43" s="176" t="s">
        <v>41019</v>
      </c>
    </row>
    <row r="44" spans="1:13" ht="60.6" customHeight="1">
      <c r="A44" s="175" t="s">
        <v>41021</v>
      </c>
      <c r="B44" s="169"/>
      <c r="C44" s="169" t="s">
        <v>41056</v>
      </c>
      <c r="D44" s="169" t="s">
        <v>41057</v>
      </c>
      <c r="E44" s="169" t="s">
        <v>41058</v>
      </c>
      <c r="F44" s="169" t="s">
        <v>41059</v>
      </c>
      <c r="G44" s="170"/>
      <c r="H44" s="169" t="s">
        <v>41068</v>
      </c>
      <c r="I44" s="169"/>
      <c r="J44" s="169" t="s">
        <v>41062</v>
      </c>
      <c r="K44" s="169"/>
      <c r="L44" s="169"/>
      <c r="M44" s="176"/>
    </row>
    <row r="45" spans="1:13" ht="60.6" customHeight="1">
      <c r="A45" s="175" t="s">
        <v>41023</v>
      </c>
      <c r="B45" s="173"/>
      <c r="C45" s="173" t="s">
        <v>41024</v>
      </c>
      <c r="D45" s="173"/>
      <c r="E45" s="173"/>
      <c r="F45" s="173" t="s">
        <v>41024</v>
      </c>
      <c r="G45" s="174"/>
      <c r="H45" s="173"/>
      <c r="I45" s="173" t="s">
        <v>41024</v>
      </c>
      <c r="J45" s="173"/>
      <c r="K45" s="173"/>
      <c r="L45" s="173" t="s">
        <v>41024</v>
      </c>
      <c r="M45" s="178"/>
    </row>
    <row r="46" spans="1:13" ht="60.6" customHeight="1">
      <c r="A46" s="175" t="s">
        <v>41026</v>
      </c>
      <c r="B46" s="173" t="s">
        <v>41063</v>
      </c>
      <c r="C46" s="173"/>
      <c r="D46" s="173"/>
      <c r="E46" s="173" t="s">
        <v>41064</v>
      </c>
      <c r="F46" s="173"/>
      <c r="G46" s="174"/>
      <c r="H46" s="173"/>
      <c r="I46" s="173"/>
      <c r="J46" s="173"/>
      <c r="K46" s="173" t="s">
        <v>41063</v>
      </c>
      <c r="L46" s="173"/>
      <c r="M46" s="178"/>
    </row>
    <row r="47" spans="1:13" ht="60.6" customHeight="1">
      <c r="A47" s="175" t="s">
        <v>41030</v>
      </c>
      <c r="B47" s="173"/>
      <c r="C47" s="173"/>
      <c r="D47" s="173"/>
      <c r="E47" s="173" t="s">
        <v>41047</v>
      </c>
      <c r="F47" s="173" t="s">
        <v>41048</v>
      </c>
      <c r="G47" s="174"/>
      <c r="H47" s="173"/>
      <c r="I47" s="173"/>
      <c r="J47" s="173"/>
      <c r="K47" s="173"/>
      <c r="L47" s="173"/>
      <c r="M47" s="178"/>
    </row>
    <row r="48" spans="1:13" ht="60.6" customHeight="1">
      <c r="A48" s="175" t="s">
        <v>41031</v>
      </c>
      <c r="B48" s="173"/>
      <c r="C48" s="173"/>
      <c r="D48" s="173"/>
      <c r="E48" s="173"/>
      <c r="F48" s="173"/>
      <c r="G48" s="174"/>
      <c r="H48" s="173"/>
      <c r="I48" s="173"/>
      <c r="J48" s="173"/>
      <c r="K48" s="173"/>
      <c r="L48" s="173"/>
      <c r="M48" s="178"/>
    </row>
    <row r="49" spans="1:13" ht="60.6" customHeight="1">
      <c r="A49" s="175" t="s">
        <v>41032</v>
      </c>
      <c r="B49" s="173"/>
      <c r="C49" s="173"/>
      <c r="D49" s="173"/>
      <c r="E49" s="173"/>
      <c r="F49" s="173"/>
      <c r="G49" s="174"/>
      <c r="H49" s="173"/>
      <c r="I49" s="173"/>
      <c r="J49" s="173"/>
      <c r="K49" s="173"/>
      <c r="L49" s="173"/>
      <c r="M49" s="178"/>
    </row>
    <row r="50" spans="1:13" ht="60.6" customHeight="1">
      <c r="A50" s="179" t="s">
        <v>41033</v>
      </c>
      <c r="B50" s="180"/>
      <c r="C50" s="180"/>
      <c r="D50" s="180"/>
      <c r="E50" s="180"/>
      <c r="F50" s="180"/>
      <c r="G50" s="180"/>
      <c r="H50" s="180"/>
      <c r="I50" s="180"/>
      <c r="J50" s="180"/>
      <c r="K50" s="180"/>
      <c r="L50" s="180"/>
      <c r="M50" s="183"/>
    </row>
    <row r="54" spans="1:13">
      <c r="I54" t="s">
        <v>88</v>
      </c>
    </row>
  </sheetData>
  <pageMargins left="0.7" right="0.7" top="0.75" bottom="0.75" header="0.3" footer="0.3"/>
  <pageSetup scale="50" fitToHeight="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27E8A-8521-472E-AC7B-F796A86131F5}">
  <sheetPr>
    <pageSetUpPr autoPageBreaks="0"/>
  </sheetPr>
  <dimension ref="A1:K56"/>
  <sheetViews>
    <sheetView showGridLines="0" workbookViewId="0">
      <pane ySplit="1" topLeftCell="A2" activePane="bottomLeft" state="frozen"/>
      <selection pane="bottomLeft" activeCell="O14" sqref="O14"/>
      <selection activeCell="X1" sqref="X1"/>
    </sheetView>
  </sheetViews>
  <sheetFormatPr defaultRowHeight="16.5" customHeight="1"/>
  <cols>
    <col min="1" max="1" width="9.140625" style="109"/>
    <col min="2" max="4" width="13.7109375" customWidth="1"/>
    <col min="5" max="5" width="3.42578125" customWidth="1"/>
    <col min="6" max="8" width="13.7109375" customWidth="1"/>
    <col min="9" max="9" width="3.42578125" customWidth="1"/>
    <col min="10" max="11" width="13.7109375" customWidth="1"/>
  </cols>
  <sheetData>
    <row r="1" spans="1:11" s="1" customFormat="1" ht="16.5" customHeight="1" thickBot="1">
      <c r="A1" s="110" t="s">
        <v>5274</v>
      </c>
      <c r="B1" s="111" t="s">
        <v>72</v>
      </c>
      <c r="C1" s="112" t="s">
        <v>73</v>
      </c>
      <c r="D1" s="113" t="s">
        <v>67</v>
      </c>
      <c r="E1" s="114"/>
      <c r="F1" s="111" t="s">
        <v>41069</v>
      </c>
      <c r="G1" s="112" t="s">
        <v>41070</v>
      </c>
      <c r="H1" s="113" t="s">
        <v>41071</v>
      </c>
      <c r="I1" s="114"/>
      <c r="J1" s="115" t="s">
        <v>41072</v>
      </c>
      <c r="K1" s="116" t="s">
        <v>41073</v>
      </c>
    </row>
    <row r="2" spans="1:11" ht="16.5" customHeight="1">
      <c r="A2" s="108" t="s">
        <v>41074</v>
      </c>
      <c r="B2" s="104">
        <f>COUNTIFS(TOTAL!F:F,"x",TOTAL!BO:BO,"&lt;&gt;x")</f>
        <v>413</v>
      </c>
      <c r="C2" s="101">
        <f>COUNTIFS(TOTAL!D:D,"x",TOTAL!BO:BO,"&lt;&gt;x")</f>
        <v>3050</v>
      </c>
      <c r="D2" s="102">
        <f>COUNTIFS(TOTAL!J:J,"X",TOTAL!BO:BO,"&lt;&gt;x")+COUNTIFS(TOTAL!N:N,"x",TOTAL!BO:BO,"&lt;&gt;x")+COUNTIFS(TOTAL!L:L,"x",TOTAL!BO:BO,"&lt;&gt;x")</f>
        <v>1619</v>
      </c>
      <c r="E2" s="103"/>
      <c r="F2" s="845">
        <f ca="1">COUNTIFS(TOTAL!F:F,"x",TOTAL!BO:BO,"&lt;&gt;x",TOTAL!R:R,"&lt;="&amp;OVERVIEW!I39)</f>
        <v>373</v>
      </c>
      <c r="G2" s="101">
        <f ca="1">COUNTIFS(TOTAL!D:D,"x",TOTAL!BO:BO,"&lt;&gt;x",TOTAL!R:R,"&lt;="&amp;OVERVIEW!I39)</f>
        <v>2576</v>
      </c>
      <c r="H2" s="102">
        <f ca="1">COUNTIFS(TOTAL!J:J,"X",TOTAL!BO:BO,"&lt;&gt;x",TOTAL!R:R,"&lt;="&amp;OVERVIEW!I39)+COUNTIFS(TOTAL!N:N,"x",TOTAL!BO:BO,"&lt;&gt;x",TOTAL!R:R,"&lt;="&amp;OVERVIEW!I39)+COUNTIFS(TOTAL!L:L,"x",TOTAL!BO:BO,"&lt;&gt;x",TOTAL!R:R,"&lt;="&amp;OVERVIEW!I39)</f>
        <v>1342</v>
      </c>
      <c r="I2" s="103"/>
      <c r="J2" s="526">
        <f ca="1">SUM(F2:H2)</f>
        <v>4291</v>
      </c>
      <c r="K2" s="524">
        <f t="shared" ref="K2:K33" si="0">SUM(B2:D2)</f>
        <v>5082</v>
      </c>
    </row>
    <row r="3" spans="1:11" ht="16.5" customHeight="1">
      <c r="A3" s="108" t="s">
        <v>41075</v>
      </c>
      <c r="B3" s="107">
        <f>COUNTIFS(TOTAL!AN:AN,"",TOTAL!F:F,"x",TOTAL!BO:BO,"&lt;&gt;x")</f>
        <v>1</v>
      </c>
      <c r="C3" s="105">
        <f>COUNTIFS(TOTAL!AN:AN,"",TOTAL!D:D,"x",TOTAL!BO:BO,"&lt;&gt;x")</f>
        <v>4</v>
      </c>
      <c r="D3" s="106">
        <f>COUNTIFS(TOTAL!AN:AN,"",TOTAL!J:J,"X",TOTAL!BO:BO,"&lt;&gt;x")+COUNTIFS(TOTAL!AN:AN,"",TOTAL!N:N,"x",TOTAL!BO:BO,"&lt;&gt;x")+COUNTIFS(TOTAL!AN:AN,"",TOTAL!L:L,"x",TOTAL!BO:BO,"&lt;&gt;x")</f>
        <v>6</v>
      </c>
      <c r="E3" s="103"/>
      <c r="F3" s="846">
        <f ca="1">COUNTIFS(TOTAL!AN:AN,"",TOTAL!F:F,"x",TOTAL!BO:BO,"&lt;&gt;x",TOTAL!R:R,"&lt;="&amp;OVERVIEW!I39)</f>
        <v>0</v>
      </c>
      <c r="G3" s="105">
        <f ca="1">COUNTIFS(TOTAL!AN:AN,"",TOTAL!D:D,"x",TOTAL!BO:BO,"&lt;&gt;x",TOTAL!R:R,"&lt;="&amp;OVERVIEW!I39)</f>
        <v>0</v>
      </c>
      <c r="H3" s="106">
        <f ca="1">COUNTIFS(TOTAL!AN:AN,"",TOTAL!J:J,"X",TOTAL!BO:BO,"&lt;&gt;x",TOTAL!R:R,"&lt;="&amp;OVERVIEW!I39)+COUNTIFS(TOTAL!AN:AN,"",TOTAL!N:N,"x",TOTAL!BO:BO,"&lt;&gt;x",TOTAL!R:R,"&lt;="&amp;OVERVIEW!I39)+COUNTIFS(TOTAL!AN:AN,"",TOTAL!L:L,"x",TOTAL!BO:BO,"&lt;&gt;x",TOTAL!R:R,"&lt;="&amp;OVERVIEW!I39)</f>
        <v>0</v>
      </c>
      <c r="I3" s="103"/>
      <c r="J3" s="526">
        <f t="shared" ref="J3:J33" ca="1" si="1">SUM(F3:H3)</f>
        <v>0</v>
      </c>
      <c r="K3" s="525">
        <f t="shared" si="0"/>
        <v>11</v>
      </c>
    </row>
    <row r="4" spans="1:11" ht="16.5" customHeight="1">
      <c r="A4" s="108" t="s">
        <v>2081</v>
      </c>
      <c r="B4" s="107">
        <f>COUNTIFS(TOTAL!AN:AN,A4,TOTAL!F:F,"x",TOTAL!BO:BO,"&lt;&gt;x")</f>
        <v>26</v>
      </c>
      <c r="C4" s="105">
        <f>COUNTIFS(TOTAL!AN:AN,A4,TOTAL!D:D,"x",TOTAL!BO:BO,"&lt;&gt;x")</f>
        <v>272</v>
      </c>
      <c r="D4" s="106">
        <f>COUNTIFS(TOTAL!AN:AN,A4,TOTAL!J:J,"X",TOTAL!BO:BO,"&lt;&gt;x")+COUNTIFS(TOTAL!AN:AN,A4,TOTAL!N:N,"x",TOTAL!BO:BO,"&lt;&gt;x")+COUNTIFS(TOTAL!AN:AN,A4,TOTAL!L:L,"x",TOTAL!BO:BO,"&lt;&gt;x")</f>
        <v>173</v>
      </c>
      <c r="E4" s="103"/>
      <c r="F4" s="846">
        <f ca="1">COUNTIFS(TOTAL!AN:AN,A4,TOTAL!F:F,"x",TOTAL!BO:BO,"&lt;&gt;x",TOTAL!R:R,"&lt;="&amp;OVERVIEW!I39)</f>
        <v>25</v>
      </c>
      <c r="G4" s="105">
        <f ca="1">COUNTIFS(TOTAL!AN:AN,A4,TOTAL!D:D,"x",TOTAL!BO:BO,"&lt;&gt;x",TOTAL!R:R,"&lt;="&amp;OVERVIEW!I39)</f>
        <v>235</v>
      </c>
      <c r="H4" s="106">
        <f ca="1">COUNTIFS(TOTAL!AN:AN,A4,TOTAL!J:J,"X",TOTAL!BO:BO,"&lt;&gt;x",TOTAL!R:R,"&lt;="&amp;OVERVIEW!I39)+COUNTIFS(TOTAL!AN:AN,A4,TOTAL!N:N,"x",TOTAL!BO:BO,"&lt;&gt;x",TOTAL!R:R,"&lt;="&amp;OVERVIEW!I39)+COUNTIFS(TOTAL!AN:AN,A4,TOTAL!L:L,"x",TOTAL!BO:BO,"&lt;&gt;x",TOTAL!R:R,"&lt;="&amp;OVERVIEW!I39)</f>
        <v>141</v>
      </c>
      <c r="I4" s="103"/>
      <c r="J4" s="526">
        <f t="shared" ca="1" si="1"/>
        <v>401</v>
      </c>
      <c r="K4" s="524">
        <f t="shared" si="0"/>
        <v>471</v>
      </c>
    </row>
    <row r="5" spans="1:11" ht="16.5" customHeight="1">
      <c r="A5" s="108" t="s">
        <v>2046</v>
      </c>
      <c r="B5" s="107">
        <f>COUNTIFS(TOTAL!AN:AN,A5,TOTAL!F:F,"x",TOTAL!BO:BO,"&lt;&gt;x")</f>
        <v>12</v>
      </c>
      <c r="C5" s="105">
        <f>COUNTIFS(TOTAL!AN:AN,A5,TOTAL!D:D,"x",TOTAL!BO:BO,"&lt;&gt;x")</f>
        <v>132</v>
      </c>
      <c r="D5" s="106">
        <f>COUNTIFS(TOTAL!AN:AN,A5,TOTAL!J:J,"X",TOTAL!BO:BO,"&lt;&gt;x")+COUNTIFS(TOTAL!AN:AN,A5,TOTAL!N:N,"x",TOTAL!BO:BO,"&lt;&gt;x")+COUNTIFS(TOTAL!AN:AN,A5,TOTAL!L:L,"x",TOTAL!BO:BO,"&lt;&gt;x")</f>
        <v>97</v>
      </c>
      <c r="E5" s="103"/>
      <c r="F5" s="846">
        <f ca="1">COUNTIFS(TOTAL!AN:AN,A5,TOTAL!F:F,"x",TOTAL!BO:BO,"&lt;&gt;x",TOTAL!R:R,"&lt;="&amp;OVERVIEW!I39)</f>
        <v>11</v>
      </c>
      <c r="G5" s="105">
        <f ca="1">COUNTIFS(TOTAL!AN:AN,A5,TOTAL!D:D,"x",TOTAL!BO:BO,"&lt;&gt;x",TOTAL!R:R,"&lt;="&amp;OVERVIEW!I39)</f>
        <v>120</v>
      </c>
      <c r="H5" s="106">
        <f ca="1">COUNTIFS(TOTAL!AN:AN,A5,TOTAL!J:J,"X",TOTAL!BO:BO,"&lt;&gt;x",TOTAL!R:R,"&lt;="&amp;OVERVIEW!I39)+COUNTIFS(TOTAL!AN:AN,A5,TOTAL!N:N,"x",TOTAL!BO:BO,"&lt;&gt;x",TOTAL!R:R,"&lt;="&amp;OVERVIEW!I39)+COUNTIFS(TOTAL!AN:AN,A5,TOTAL!L:L,"x",TOTAL!BO:BO,"&lt;&gt;x",TOTAL!R:R,"&lt;="&amp;OVERVIEW!I39)</f>
        <v>82</v>
      </c>
      <c r="I5" s="103"/>
      <c r="J5" s="526">
        <f t="shared" ca="1" si="1"/>
        <v>213</v>
      </c>
      <c r="K5" s="524">
        <f t="shared" si="0"/>
        <v>241</v>
      </c>
    </row>
    <row r="6" spans="1:11" ht="16.5" customHeight="1">
      <c r="A6" s="108" t="s">
        <v>2089</v>
      </c>
      <c r="B6" s="107">
        <f>COUNTIFS(TOTAL!AN:AN,A6,TOTAL!F:F,"x",TOTAL!BO:BO,"&lt;&gt;x")</f>
        <v>10</v>
      </c>
      <c r="C6" s="105">
        <f>COUNTIFS(TOTAL!AN:AN,A6,TOTAL!D:D,"x",TOTAL!BO:BO,"&lt;&gt;x")</f>
        <v>81</v>
      </c>
      <c r="D6" s="106">
        <f>COUNTIFS(TOTAL!AN:AN,A6,TOTAL!J:J,"X",TOTAL!BO:BO,"&lt;&gt;x")+COUNTIFS(TOTAL!AN:AN,A6,TOTAL!N:N,"x",TOTAL!BO:BO,"&lt;&gt;x")+COUNTIFS(TOTAL!AN:AN,A6,TOTAL!L:L,"x",TOTAL!BO:BO,"&lt;&gt;x")</f>
        <v>60</v>
      </c>
      <c r="E6" s="103"/>
      <c r="F6" s="846">
        <f ca="1">COUNTIFS(TOTAL!AN:AN,A6,TOTAL!F:F,"x",TOTAL!BO:BO,"&lt;&gt;x",TOTAL!R:R,"&lt;="&amp;OVERVIEW!I39)</f>
        <v>9</v>
      </c>
      <c r="G6" s="105">
        <f ca="1">COUNTIFS(TOTAL!AN:AN,A6,TOTAL!D:D,"x",TOTAL!BO:BO,"&lt;&gt;x",TOTAL!R:R,"&lt;="&amp;OVERVIEW!I39)</f>
        <v>65</v>
      </c>
      <c r="H6" s="106">
        <f ca="1">COUNTIFS(TOTAL!AN:AN,A6,TOTAL!J:J,"X",TOTAL!BO:BO,"&lt;&gt;x",TOTAL!R:R,"&lt;="&amp;OVERVIEW!I39)+COUNTIFS(TOTAL!AN:AN,A6,TOTAL!N:N,"x",TOTAL!BO:BO,"&lt;&gt;x",TOTAL!R:R,"&lt;="&amp;OVERVIEW!I39)+COUNTIFS(TOTAL!AN:AN,A6,TOTAL!L:L,"x",TOTAL!BO:BO,"&lt;&gt;x",TOTAL!R:R,"&lt;="&amp;OVERVIEW!I39)</f>
        <v>54</v>
      </c>
      <c r="I6" s="103"/>
      <c r="J6" s="526">
        <f t="shared" ca="1" si="1"/>
        <v>128</v>
      </c>
      <c r="K6" s="524">
        <f t="shared" si="0"/>
        <v>151</v>
      </c>
    </row>
    <row r="7" spans="1:11" ht="16.5" customHeight="1">
      <c r="A7" s="108" t="s">
        <v>2112</v>
      </c>
      <c r="B7" s="107">
        <f>COUNTIFS(TOTAL!AN:AN,A7,TOTAL!F:F,"x",TOTAL!BO:BO,"&lt;&gt;x")</f>
        <v>13</v>
      </c>
      <c r="C7" s="105">
        <f>COUNTIFS(TOTAL!AN:AN,A7,TOTAL!D:D,"x",TOTAL!BO:BO,"&lt;&gt;x")</f>
        <v>138</v>
      </c>
      <c r="D7" s="106">
        <f>COUNTIFS(TOTAL!AN:AN,A7,TOTAL!J:J,"X",TOTAL!BO:BO,"&lt;&gt;x")+COUNTIFS(TOTAL!AN:AN,A7,TOTAL!N:N,"x",TOTAL!BO:BO,"&lt;&gt;x")+COUNTIFS(TOTAL!AN:AN,A7,TOTAL!L:L,"x",TOTAL!BO:BO,"&lt;&gt;x")</f>
        <v>55</v>
      </c>
      <c r="E7" s="103"/>
      <c r="F7" s="846">
        <f ca="1">COUNTIFS(TOTAL!AN:AN,A7,TOTAL!F:F,"x",TOTAL!BO:BO,"&lt;&gt;x",TOTAL!R:R,"&lt;="&amp;OVERVIEW!I39)</f>
        <v>10</v>
      </c>
      <c r="G7" s="105">
        <f ca="1">COUNTIFS(TOTAL!AN:AN,A7,TOTAL!D:D,"x",TOTAL!BO:BO,"&lt;&gt;x",TOTAL!R:R,"&lt;="&amp;OVERVIEW!I39)</f>
        <v>115</v>
      </c>
      <c r="H7" s="106">
        <f ca="1">COUNTIFS(TOTAL!AN:AN,A7,TOTAL!J:J,"X",TOTAL!BO:BO,"&lt;&gt;x",TOTAL!R:R,"&lt;="&amp;OVERVIEW!I39)+COUNTIFS(TOTAL!AN:AN,A7,TOTAL!N:N,"x",TOTAL!BO:BO,"&lt;&gt;x",TOTAL!R:R,"&lt;="&amp;OVERVIEW!I39)+COUNTIFS(TOTAL!AN:AN,A7,TOTAL!L:L,"x",TOTAL!BO:BO,"&lt;&gt;x",TOTAL!R:R,"&lt;="&amp;OVERVIEW!I39)</f>
        <v>47</v>
      </c>
      <c r="I7" s="103"/>
      <c r="J7" s="526">
        <f t="shared" ca="1" si="1"/>
        <v>172</v>
      </c>
      <c r="K7" s="524">
        <f t="shared" si="0"/>
        <v>206</v>
      </c>
    </row>
    <row r="8" spans="1:11" ht="16.5" customHeight="1">
      <c r="A8" s="108" t="s">
        <v>2174</v>
      </c>
      <c r="B8" s="107">
        <f>COUNTIFS(TOTAL!AN:AN,A8,TOTAL!F:F,"x",TOTAL!BO:BO,"&lt;&gt;x")</f>
        <v>30</v>
      </c>
      <c r="C8" s="105">
        <f>COUNTIFS(TOTAL!AN:AN,A8,TOTAL!D:D,"x",TOTAL!BO:BO,"&lt;&gt;x")</f>
        <v>169</v>
      </c>
      <c r="D8" s="106">
        <f>COUNTIFS(TOTAL!AN:AN,A8,TOTAL!J:J,"X",TOTAL!BO:BO,"&lt;&gt;x")+COUNTIFS(TOTAL!AN:AN,A8,TOTAL!N:N,"x",TOTAL!BO:BO,"&lt;&gt;x")+COUNTIFS(TOTAL!AN:AN,A8,TOTAL!L:L,"x",TOTAL!BO:BO,"&lt;&gt;x")</f>
        <v>60</v>
      </c>
      <c r="E8" s="103"/>
      <c r="F8" s="846">
        <f ca="1">COUNTIFS(TOTAL!AN:AN,A8,TOTAL!F:F,"x",TOTAL!BO:BO,"&lt;&gt;x",TOTAL!R:R,"&lt;="&amp;OVERVIEW!I39)</f>
        <v>28</v>
      </c>
      <c r="G8" s="105">
        <f ca="1">COUNTIFS(TOTAL!AN:AN,A8,TOTAL!D:D,"x",TOTAL!BO:BO,"&lt;&gt;x",TOTAL!R:R,"&lt;="&amp;OVERVIEW!I39)</f>
        <v>137</v>
      </c>
      <c r="H8" s="106">
        <f ca="1">COUNTIFS(TOTAL!AN:AN,A8,TOTAL!J:J,"X",TOTAL!BO:BO,"&lt;&gt;x",TOTAL!R:R,"&lt;="&amp;OVERVIEW!I39)+COUNTIFS(TOTAL!AN:AN,A8,TOTAL!N:N,"x",TOTAL!BO:BO,"&lt;&gt;x",TOTAL!R:R,"&lt;="&amp;OVERVIEW!I39)+COUNTIFS(TOTAL!AN:AN,A8,TOTAL!L:L,"x",TOTAL!BO:BO,"&lt;&gt;x",TOTAL!R:R,"&lt;="&amp;OVERVIEW!I39)</f>
        <v>51</v>
      </c>
      <c r="I8" s="103"/>
      <c r="J8" s="526">
        <f t="shared" ca="1" si="1"/>
        <v>216</v>
      </c>
      <c r="K8" s="524">
        <f t="shared" si="0"/>
        <v>259</v>
      </c>
    </row>
    <row r="9" spans="1:11" ht="16.5" customHeight="1">
      <c r="A9" s="108" t="s">
        <v>2069</v>
      </c>
      <c r="B9" s="107">
        <f>COUNTIFS(TOTAL!AN:AN,A9,TOTAL!F:F,"x",TOTAL!BO:BO,"&lt;&gt;x")</f>
        <v>12</v>
      </c>
      <c r="C9" s="105">
        <f>COUNTIFS(TOTAL!AN:AN,A9,TOTAL!D:D,"x",TOTAL!BO:BO,"&lt;&gt;x")</f>
        <v>130</v>
      </c>
      <c r="D9" s="106">
        <f>COUNTIFS(TOTAL!AN:AN,A9,TOTAL!J:J,"X",TOTAL!BO:BO,"&lt;&gt;x")+COUNTIFS(TOTAL!AN:AN,A9,TOTAL!N:N,"x",TOTAL!BO:BO,"&lt;&gt;x")+COUNTIFS(TOTAL!AN:AN,A9,TOTAL!L:L,"x",TOTAL!BO:BO,"&lt;&gt;x")</f>
        <v>64</v>
      </c>
      <c r="E9" s="103"/>
      <c r="F9" s="846">
        <f ca="1">COUNTIFS(TOTAL!AN:AN,A9,TOTAL!F:F,"x",TOTAL!BO:BO,"&lt;&gt;x",TOTAL!R:R,"&lt;="&amp;OVERVIEW!I39)</f>
        <v>12</v>
      </c>
      <c r="G9" s="105">
        <f ca="1">COUNTIFS(TOTAL!AN:AN,A9,TOTAL!D:D,"x",TOTAL!BO:BO,"&lt;&gt;x",TOTAL!R:R,"&lt;="&amp;OVERVIEW!I39)</f>
        <v>107</v>
      </c>
      <c r="H9" s="106">
        <f ca="1">COUNTIFS(TOTAL!AN:AN,A9,TOTAL!J:J,"X",TOTAL!BO:BO,"&lt;&gt;x",TOTAL!R:R,"&lt;="&amp;OVERVIEW!I39)+COUNTIFS(TOTAL!AN:AN,A9,TOTAL!N:N,"x",TOTAL!BO:BO,"&lt;&gt;x",TOTAL!R:R,"&lt;="&amp;OVERVIEW!I39)+COUNTIFS(TOTAL!AN:AN,A9,TOTAL!L:L,"x",TOTAL!BO:BO,"&lt;&gt;x",TOTAL!R:R,"&lt;="&amp;OVERVIEW!I39)</f>
        <v>52</v>
      </c>
      <c r="I9" s="103"/>
      <c r="J9" s="526">
        <f t="shared" ca="1" si="1"/>
        <v>171</v>
      </c>
      <c r="K9" s="524">
        <f t="shared" si="0"/>
        <v>206</v>
      </c>
    </row>
    <row r="10" spans="1:11" ht="16.5" customHeight="1">
      <c r="A10" s="108" t="s">
        <v>2055</v>
      </c>
      <c r="B10" s="107">
        <f>COUNTIFS(TOTAL!AN:AN,A10,TOTAL!F:F,"x",TOTAL!BO:BO,"&lt;&gt;x")</f>
        <v>40</v>
      </c>
      <c r="C10" s="105">
        <f>COUNTIFS(TOTAL!AN:AN,A10,TOTAL!D:D,"x",TOTAL!BO:BO,"&lt;&gt;x")</f>
        <v>123</v>
      </c>
      <c r="D10" s="106">
        <f>COUNTIFS(TOTAL!AN:AN,A10,TOTAL!J:J,"X",TOTAL!BO:BO,"&lt;&gt;x")+COUNTIFS(TOTAL!AN:AN,A10,TOTAL!N:N,"x",TOTAL!BO:BO,"&lt;&gt;x")+COUNTIFS(TOTAL!AN:AN,A10,TOTAL!L:L,"x",TOTAL!BO:BO,"&lt;&gt;x")</f>
        <v>92</v>
      </c>
      <c r="E10" s="103"/>
      <c r="F10" s="846">
        <f ca="1">COUNTIFS(TOTAL!AN:AN,A10,TOTAL!F:F,"x",TOTAL!BO:BO,"&lt;&gt;x",TOTAL!R:R,"&lt;="&amp;OVERVIEW!I39)</f>
        <v>37</v>
      </c>
      <c r="G10" s="105">
        <f ca="1">COUNTIFS(TOTAL!AN:AN,A10,TOTAL!D:D,"x",TOTAL!BO:BO,"&lt;&gt;x",TOTAL!R:R,"&lt;="&amp;OVERVIEW!I39)</f>
        <v>105</v>
      </c>
      <c r="H10" s="106">
        <f ca="1">COUNTIFS(TOTAL!AN:AN,A10,TOTAL!J:J,"X",TOTAL!BO:BO,"&lt;&gt;x",TOTAL!R:R,"&lt;="&amp;OVERVIEW!I39)+COUNTIFS(TOTAL!AN:AN,A10,TOTAL!N:N,"x",TOTAL!BO:BO,"&lt;&gt;x",TOTAL!R:R,"&lt;="&amp;OVERVIEW!I39)+COUNTIFS(TOTAL!AN:AN,A10,TOTAL!L:L,"x",TOTAL!BO:BO,"&lt;&gt;x",TOTAL!R:R,"&lt;="&amp;OVERVIEW!I39)</f>
        <v>73</v>
      </c>
      <c r="I10" s="103"/>
      <c r="J10" s="526">
        <f t="shared" ca="1" si="1"/>
        <v>215</v>
      </c>
      <c r="K10" s="524">
        <f t="shared" si="0"/>
        <v>255</v>
      </c>
    </row>
    <row r="11" spans="1:11" ht="16.5" customHeight="1">
      <c r="A11" s="108" t="s">
        <v>2094</v>
      </c>
      <c r="B11" s="107">
        <f>COUNTIFS(TOTAL!AN:AN,A11,TOTAL!F:F,"x",TOTAL!BO:BO,"&lt;&gt;x")</f>
        <v>15</v>
      </c>
      <c r="C11" s="105">
        <f>COUNTIFS(TOTAL!AN:AN,A11,TOTAL!D:D,"x",TOTAL!BO:BO,"&lt;&gt;x")</f>
        <v>95</v>
      </c>
      <c r="D11" s="106">
        <f>COUNTIFS(TOTAL!AN:AN,A11,TOTAL!J:J,"X",TOTAL!BO:BO,"&lt;&gt;x")+COUNTIFS(TOTAL!AN:AN,A11,TOTAL!N:N,"x",TOTAL!BO:BO,"&lt;&gt;x")+COUNTIFS(TOTAL!AN:AN,A11,TOTAL!L:L,"x",TOTAL!BO:BO,"&lt;&gt;x")</f>
        <v>55</v>
      </c>
      <c r="E11" s="103"/>
      <c r="F11" s="846">
        <f ca="1">COUNTIFS(TOTAL!AN:AN,A11,TOTAL!F:F,"x",TOTAL!BO:BO,"&lt;&gt;x",TOTAL!R:R,"&lt;="&amp;OVERVIEW!I39)</f>
        <v>13</v>
      </c>
      <c r="G11" s="105">
        <f ca="1">COUNTIFS(TOTAL!AN:AN,A11,TOTAL!D:D,"x",TOTAL!BO:BO,"&lt;&gt;x",TOTAL!R:R,"&lt;="&amp;OVERVIEW!I39)</f>
        <v>86</v>
      </c>
      <c r="H11" s="106">
        <f ca="1">COUNTIFS(TOTAL!AN:AN,A11,TOTAL!J:J,"X",TOTAL!BO:BO,"&lt;&gt;x",TOTAL!R:R,"&lt;="&amp;OVERVIEW!I39)+COUNTIFS(TOTAL!AN:AN,A11,TOTAL!N:N,"x",TOTAL!BO:BO,"&lt;&gt;x",TOTAL!R:R,"&lt;="&amp;OVERVIEW!I39)+COUNTIFS(TOTAL!AN:AN,A11,TOTAL!L:L,"x",TOTAL!BO:BO,"&lt;&gt;x",TOTAL!R:R,"&lt;="&amp;OVERVIEW!I39)</f>
        <v>44</v>
      </c>
      <c r="I11" s="103"/>
      <c r="J11" s="526">
        <f t="shared" ca="1" si="1"/>
        <v>143</v>
      </c>
      <c r="K11" s="524">
        <f t="shared" si="0"/>
        <v>165</v>
      </c>
    </row>
    <row r="12" spans="1:11" ht="16.5" customHeight="1">
      <c r="A12" s="108" t="s">
        <v>2106</v>
      </c>
      <c r="B12" s="107">
        <f>COUNTIFS(TOTAL!AN:AN,A12,TOTAL!F:F,"x",TOTAL!BO:BO,"&lt;&gt;x")</f>
        <v>14</v>
      </c>
      <c r="C12" s="105">
        <f>COUNTIFS(TOTAL!AN:AN,A12,TOTAL!D:D,"x",TOTAL!BO:BO,"&lt;&gt;x")</f>
        <v>112</v>
      </c>
      <c r="D12" s="106">
        <f>COUNTIFS(TOTAL!AN:AN,A12,TOTAL!J:J,"X",TOTAL!BO:BO,"&lt;&gt;x")+COUNTIFS(TOTAL!AN:AN,A12,TOTAL!N:N,"x",TOTAL!BO:BO,"&lt;&gt;x")+COUNTIFS(TOTAL!AN:AN,A12,TOTAL!L:L,"x",TOTAL!BO:BO,"&lt;&gt;x")</f>
        <v>67</v>
      </c>
      <c r="E12" s="103"/>
      <c r="F12" s="846">
        <f ca="1">COUNTIFS(TOTAL!AN:AN,A12,TOTAL!F:F,"x",TOTAL!BO:BO,"&lt;&gt;x",TOTAL!R:R,"&lt;="&amp;OVERVIEW!I39)</f>
        <v>12</v>
      </c>
      <c r="G12" s="105">
        <f ca="1">COUNTIFS(TOTAL!AN:AN,A12,TOTAL!D:D,"x",TOTAL!BO:BO,"&lt;&gt;x",TOTAL!R:R,"&lt;="&amp;OVERVIEW!I39)</f>
        <v>96</v>
      </c>
      <c r="H12" s="106">
        <f ca="1">COUNTIFS(TOTAL!AN:AN,A12,TOTAL!J:J,"X",TOTAL!BO:BO,"&lt;&gt;x",TOTAL!R:R,"&lt;="&amp;OVERVIEW!I39)+COUNTIFS(TOTAL!AN:AN,A12,TOTAL!N:N,"x",TOTAL!BO:BO,"&lt;&gt;x",TOTAL!R:R,"&lt;="&amp;OVERVIEW!I39)+COUNTIFS(TOTAL!AN:AN,A12,TOTAL!L:L,"x",TOTAL!BO:BO,"&lt;&gt;x",TOTAL!R:R,"&lt;="&amp;OVERVIEW!I39)</f>
        <v>56</v>
      </c>
      <c r="I12" s="103"/>
      <c r="J12" s="526">
        <f t="shared" ca="1" si="1"/>
        <v>164</v>
      </c>
      <c r="K12" s="524">
        <f t="shared" si="0"/>
        <v>193</v>
      </c>
    </row>
    <row r="13" spans="1:11" ht="16.5" customHeight="1">
      <c r="A13" s="108" t="s">
        <v>2072</v>
      </c>
      <c r="B13" s="107">
        <f>COUNTIFS(TOTAL!AN:AN,A13,TOTAL!F:F,"x",TOTAL!BO:BO,"&lt;&gt;x")</f>
        <v>12</v>
      </c>
      <c r="C13" s="105">
        <f>COUNTIFS(TOTAL!AN:AN,A13,TOTAL!D:D,"x",TOTAL!BO:BO,"&lt;&gt;x")</f>
        <v>141</v>
      </c>
      <c r="D13" s="106">
        <f>COUNTIFS(TOTAL!AN:AN,A13,TOTAL!J:J,"X",TOTAL!BO:BO,"&lt;&gt;x")+COUNTIFS(TOTAL!AN:AN,A13,TOTAL!N:N,"x",TOTAL!BO:BO,"&lt;&gt;x")+COUNTIFS(TOTAL!AN:AN,A13,TOTAL!L:L,"x",TOTAL!BO:BO,"&lt;&gt;x")</f>
        <v>55</v>
      </c>
      <c r="E13" s="103"/>
      <c r="F13" s="846">
        <f ca="1">COUNTIFS(TOTAL!AN:AN,A13,TOTAL!F:F,"x",TOTAL!BO:BO,"&lt;&gt;x",TOTAL!R:R,"&lt;="&amp;OVERVIEW!I39)</f>
        <v>12</v>
      </c>
      <c r="G13" s="105">
        <f ca="1">COUNTIFS(TOTAL!AN:AN,A13,TOTAL!D:D,"x",TOTAL!BO:BO,"&lt;&gt;x",TOTAL!R:R,"&lt;="&amp;OVERVIEW!I39)</f>
        <v>116</v>
      </c>
      <c r="H13" s="106">
        <f ca="1">COUNTIFS(TOTAL!AN:AN,A13,TOTAL!J:J,"X",TOTAL!BO:BO,"&lt;&gt;x",TOTAL!R:R,"&lt;="&amp;OVERVIEW!I39)+COUNTIFS(TOTAL!AN:AN,A13,TOTAL!N:N,"x",TOTAL!BO:BO,"&lt;&gt;x",TOTAL!R:R,"&lt;="&amp;OVERVIEW!I39)+COUNTIFS(TOTAL!AN:AN,A13,TOTAL!L:L,"x",TOTAL!BO:BO,"&lt;&gt;x",TOTAL!R:R,"&lt;="&amp;OVERVIEW!I39)</f>
        <v>47</v>
      </c>
      <c r="I13" s="103"/>
      <c r="J13" s="526">
        <f t="shared" ca="1" si="1"/>
        <v>175</v>
      </c>
      <c r="K13" s="524">
        <f t="shared" si="0"/>
        <v>208</v>
      </c>
    </row>
    <row r="14" spans="1:11" ht="16.5" customHeight="1">
      <c r="A14" s="108" t="s">
        <v>65</v>
      </c>
      <c r="B14" s="107">
        <f>COUNTIFS(TOTAL!AN:AN,A14,TOTAL!F:F,"x",TOTAL!BO:BO,"&lt;&gt;x")</f>
        <v>3</v>
      </c>
      <c r="C14" s="105">
        <f>COUNTIFS(TOTAL!AN:AN,A14,TOTAL!D:D,"x",TOTAL!BO:BO,"&lt;&gt;x")</f>
        <v>51</v>
      </c>
      <c r="D14" s="106">
        <f>COUNTIFS(TOTAL!AN:AN,A14,TOTAL!J:J,"X",TOTAL!BO:BO,"&lt;&gt;x")+COUNTIFS(TOTAL!AN:AN,A14,TOTAL!N:N,"x",TOTAL!BO:BO,"&lt;&gt;x")+COUNTIFS(TOTAL!AN:AN,A14,TOTAL!L:L,"x",TOTAL!BO:BO,"&lt;&gt;x")</f>
        <v>63</v>
      </c>
      <c r="E14" s="103"/>
      <c r="F14" s="846">
        <f ca="1">COUNTIFS(TOTAL!AN:AN,A14,TOTAL!F:F,"x",TOTAL!BO:BO,"&lt;&gt;x",TOTAL!R:R,"&lt;="&amp;OVERVIEW!I39)</f>
        <v>3</v>
      </c>
      <c r="G14" s="105">
        <f ca="1">COUNTIFS(TOTAL!AN:AN,A14,TOTAL!D:D,"x",TOTAL!BO:BO,"&lt;&gt;x",TOTAL!R:R,"&lt;="&amp;OVERVIEW!I39)</f>
        <v>43</v>
      </c>
      <c r="H14" s="106">
        <f ca="1">COUNTIFS(TOTAL!AN:AN,A14,TOTAL!J:J,"X",TOTAL!BO:BO,"&lt;&gt;x",TOTAL!R:R,"&lt;="&amp;OVERVIEW!I39)+COUNTIFS(TOTAL!AN:AN,A14,TOTAL!N:N,"x",TOTAL!BO:BO,"&lt;&gt;x",TOTAL!R:R,"&lt;="&amp;OVERVIEW!I39)+COUNTIFS(TOTAL!AN:AN,A14,TOTAL!L:L,"x",TOTAL!BO:BO,"&lt;&gt;x",TOTAL!R:R,"&lt;="&amp;OVERVIEW!I39)</f>
        <v>53</v>
      </c>
      <c r="I14" s="103"/>
      <c r="J14" s="526">
        <f t="shared" ca="1" si="1"/>
        <v>99</v>
      </c>
      <c r="K14" s="524">
        <f t="shared" si="0"/>
        <v>117</v>
      </c>
    </row>
    <row r="15" spans="1:11" ht="16.5" customHeight="1">
      <c r="A15" s="108" t="s">
        <v>2052</v>
      </c>
      <c r="B15" s="107">
        <f>COUNTIFS(TOTAL!AN:AN,A15,TOTAL!F:F,"x",TOTAL!BO:BO,"&lt;&gt;x")</f>
        <v>17</v>
      </c>
      <c r="C15" s="105">
        <f>COUNTIFS(TOTAL!AN:AN,A15,TOTAL!D:D,"x",TOTAL!BO:BO,"&lt;&gt;x")</f>
        <v>56</v>
      </c>
      <c r="D15" s="106">
        <f>COUNTIFS(TOTAL!AN:AN,A15,TOTAL!J:J,"X",TOTAL!BO:BO,"&lt;&gt;x")+COUNTIFS(TOTAL!AN:AN,A15,TOTAL!N:N,"x",TOTAL!BO:BO,"&lt;&gt;x")+COUNTIFS(TOTAL!AN:AN,A15,TOTAL!L:L,"x",TOTAL!BO:BO,"&lt;&gt;x")</f>
        <v>47</v>
      </c>
      <c r="E15" s="103"/>
      <c r="F15" s="846">
        <f ca="1">COUNTIFS(TOTAL!AN:AN,A15,TOTAL!F:F,"x",TOTAL!BO:BO,"&lt;&gt;x",TOTAL!R:R,"&lt;="&amp;OVERVIEW!I39)</f>
        <v>13</v>
      </c>
      <c r="G15" s="105">
        <f ca="1">COUNTIFS(TOTAL!AN:AN,A15,TOTAL!D:D,"x",TOTAL!BO:BO,"&lt;&gt;x",TOTAL!R:R,"&lt;="&amp;OVERVIEW!I39)</f>
        <v>49</v>
      </c>
      <c r="H15" s="106">
        <f ca="1">COUNTIFS(TOTAL!AN:AN,A15,TOTAL!J:J,"X",TOTAL!BO:BO,"&lt;&gt;x",TOTAL!R:R,"&lt;="&amp;OVERVIEW!I39)+COUNTIFS(TOTAL!AN:AN,A15,TOTAL!N:N,"x",TOTAL!BO:BO,"&lt;&gt;x",TOTAL!R:R,"&lt;="&amp;OVERVIEW!I39)+COUNTIFS(TOTAL!AN:AN,A15,TOTAL!L:L,"x",TOTAL!BO:BO,"&lt;&gt;x",TOTAL!R:R,"&lt;="&amp;OVERVIEW!I39)</f>
        <v>43</v>
      </c>
      <c r="I15" s="103"/>
      <c r="J15" s="526">
        <f t="shared" ca="1" si="1"/>
        <v>105</v>
      </c>
      <c r="K15" s="524">
        <f t="shared" si="0"/>
        <v>120</v>
      </c>
    </row>
    <row r="16" spans="1:11" ht="16.5" customHeight="1">
      <c r="A16" s="108" t="s">
        <v>2313</v>
      </c>
      <c r="B16" s="107">
        <f>COUNTIFS(TOTAL!AN:AN,A16,TOTAL!F:F,"x",TOTAL!BO:BO,"&lt;&gt;x")</f>
        <v>16</v>
      </c>
      <c r="C16" s="105">
        <f>COUNTIFS(TOTAL!AN:AN,A16,TOTAL!D:D,"x",TOTAL!BO:BO,"&lt;&gt;x")</f>
        <v>164</v>
      </c>
      <c r="D16" s="106">
        <f>COUNTIFS(TOTAL!AN:AN,A16,TOTAL!J:J,"X",TOTAL!BO:BO,"&lt;&gt;x")+COUNTIFS(TOTAL!AN:AN,A16,TOTAL!N:N,"x",TOTAL!BO:BO,"&lt;&gt;x")+COUNTIFS(TOTAL!AN:AN,A16,TOTAL!L:L,"x",TOTAL!BO:BO,"&lt;&gt;x")</f>
        <v>64</v>
      </c>
      <c r="E16" s="103"/>
      <c r="F16" s="846">
        <f ca="1">COUNTIFS(TOTAL!AN:AN,A16,TOTAL!F:F,"x",TOTAL!BO:BO,"&lt;&gt;x",TOTAL!R:R,"&lt;="&amp;OVERVIEW!I39)</f>
        <v>15</v>
      </c>
      <c r="G16" s="105">
        <f ca="1">COUNTIFS(TOTAL!AN:AN,A16,TOTAL!D:D,"x",TOTAL!BO:BO,"&lt;&gt;x",TOTAL!R:R,"&lt;="&amp;OVERVIEW!I39)</f>
        <v>129</v>
      </c>
      <c r="H16" s="106">
        <f ca="1">COUNTIFS(TOTAL!AN:AN,A16,TOTAL!J:J,"X",TOTAL!BO:BO,"&lt;&gt;x",TOTAL!R:R,"&lt;="&amp;OVERVIEW!I39)+COUNTIFS(TOTAL!AN:AN,A16,TOTAL!N:N,"x",TOTAL!BO:BO,"&lt;&gt;x",TOTAL!R:R,"&lt;="&amp;OVERVIEW!I39)+COUNTIFS(TOTAL!AN:AN,A16,TOTAL!L:L,"x",TOTAL!BO:BO,"&lt;&gt;x",TOTAL!R:R,"&lt;="&amp;OVERVIEW!I39)</f>
        <v>52</v>
      </c>
      <c r="I16" s="103"/>
      <c r="J16" s="526">
        <f t="shared" ca="1" si="1"/>
        <v>196</v>
      </c>
      <c r="K16" s="524">
        <f t="shared" si="0"/>
        <v>244</v>
      </c>
    </row>
    <row r="17" spans="1:11" ht="16.5" customHeight="1">
      <c r="A17" s="108" t="s">
        <v>2185</v>
      </c>
      <c r="B17" s="107">
        <f>COUNTIFS(TOTAL!AN:AN,A17,TOTAL!F:F,"x",TOTAL!BO:BO,"&lt;&gt;x")</f>
        <v>9</v>
      </c>
      <c r="C17" s="105">
        <f>COUNTIFS(TOTAL!AN:AN,A17,TOTAL!D:D,"x",TOTAL!BO:BO,"&lt;&gt;x")</f>
        <v>118</v>
      </c>
      <c r="D17" s="106">
        <f>COUNTIFS(TOTAL!AN:AN,A17,TOTAL!J:J,"X",TOTAL!BO:BO,"&lt;&gt;x")+COUNTIFS(TOTAL!AN:AN,A17,TOTAL!N:N,"x",TOTAL!BO:BO,"&lt;&gt;x")+COUNTIFS(TOTAL!AN:AN,A17,TOTAL!L:L,"x",TOTAL!BO:BO,"&lt;&gt;x")</f>
        <v>48</v>
      </c>
      <c r="E17" s="103"/>
      <c r="F17" s="846">
        <f ca="1">COUNTIFS(TOTAL!AN:AN,A17,TOTAL!F:F,"x",TOTAL!BO:BO,"&lt;&gt;x",TOTAL!R:R,"&lt;="&amp;OVERVIEW!I39)</f>
        <v>9</v>
      </c>
      <c r="G17" s="105">
        <f ca="1">COUNTIFS(TOTAL!AN:AN,A17,TOTAL!D:D,"x",TOTAL!BO:BO,"&lt;&gt;x",TOTAL!R:R,"&lt;="&amp;OVERVIEW!I39)</f>
        <v>93</v>
      </c>
      <c r="H17" s="106">
        <f ca="1">COUNTIFS(TOTAL!AN:AN,A17,TOTAL!J:J,"X",TOTAL!BO:BO,"&lt;&gt;x",TOTAL!R:R,"&lt;="&amp;OVERVIEW!I39)+COUNTIFS(TOTAL!AN:AN,A17,TOTAL!N:N,"x",TOTAL!BO:BO,"&lt;&gt;x",TOTAL!R:R,"&lt;="&amp;OVERVIEW!I39)+COUNTIFS(TOTAL!AN:AN,A17,TOTAL!L:L,"x",TOTAL!BO:BO,"&lt;&gt;x",TOTAL!R:R,"&lt;="&amp;OVERVIEW!I39)</f>
        <v>37</v>
      </c>
      <c r="I17" s="103"/>
      <c r="J17" s="526">
        <f t="shared" ca="1" si="1"/>
        <v>139</v>
      </c>
      <c r="K17" s="524">
        <f t="shared" si="0"/>
        <v>175</v>
      </c>
    </row>
    <row r="18" spans="1:11" ht="16.5" customHeight="1">
      <c r="A18" s="108" t="s">
        <v>2059</v>
      </c>
      <c r="B18" s="107">
        <f>COUNTIFS(TOTAL!AN:AN,A18,TOTAL!F:F,"x",TOTAL!BO:BO,"&lt;&gt;x")</f>
        <v>33</v>
      </c>
      <c r="C18" s="105">
        <f>COUNTIFS(TOTAL!AN:AN,A18,TOTAL!D:D,"x",TOTAL!BO:BO,"&lt;&gt;x")</f>
        <v>130</v>
      </c>
      <c r="D18" s="106">
        <f>COUNTIFS(TOTAL!AN:AN,A18,TOTAL!J:J,"X",TOTAL!BO:BO,"&lt;&gt;x")+COUNTIFS(TOTAL!AN:AN,A18,TOTAL!N:N,"x",TOTAL!BO:BO,"&lt;&gt;x")+COUNTIFS(TOTAL!AN:AN,A18,TOTAL!L:L,"x",TOTAL!BO:BO,"&lt;&gt;x")</f>
        <v>57</v>
      </c>
      <c r="E18" s="103"/>
      <c r="F18" s="846">
        <f ca="1">COUNTIFS(TOTAL!AN:AN,A18,TOTAL!F:F,"x",TOTAL!BO:BO,"&lt;&gt;x",TOTAL!R:R,"&lt;="&amp;OVERVIEW!I39)</f>
        <v>30</v>
      </c>
      <c r="G18" s="105">
        <f ca="1">COUNTIFS(TOTAL!AN:AN,A18,TOTAL!D:D,"x",TOTAL!BO:BO,"&lt;&gt;x",TOTAL!R:R,"&lt;="&amp;OVERVIEW!I39)</f>
        <v>115</v>
      </c>
      <c r="H18" s="106">
        <f ca="1">COUNTIFS(TOTAL!AN:AN,A18,TOTAL!J:J,"X",TOTAL!BO:BO,"&lt;&gt;x",TOTAL!R:R,"&lt;="&amp;OVERVIEW!I39)+COUNTIFS(TOTAL!AN:AN,A18,TOTAL!N:N,"x",TOTAL!BO:BO,"&lt;&gt;x",TOTAL!R:R,"&lt;="&amp;OVERVIEW!I39)+COUNTIFS(TOTAL!AN:AN,A18,TOTAL!L:L,"x",TOTAL!BO:BO,"&lt;&gt;x",TOTAL!R:R,"&lt;="&amp;OVERVIEW!I39)</f>
        <v>52</v>
      </c>
      <c r="I18" s="103"/>
      <c r="J18" s="526">
        <f t="shared" ca="1" si="1"/>
        <v>197</v>
      </c>
      <c r="K18" s="524">
        <f t="shared" si="0"/>
        <v>220</v>
      </c>
    </row>
    <row r="19" spans="1:11" ht="16.5" customHeight="1">
      <c r="A19" s="108" t="s">
        <v>2299</v>
      </c>
      <c r="B19" s="107">
        <f>COUNTIFS(TOTAL!AN:AN,A19,TOTAL!F:F,"x",TOTAL!BO:BO,"&lt;&gt;x")</f>
        <v>14</v>
      </c>
      <c r="C19" s="105">
        <f>COUNTIFS(TOTAL!AN:AN,A19,TOTAL!D:D,"x",TOTAL!BO:BO,"&lt;&gt;x")</f>
        <v>72</v>
      </c>
      <c r="D19" s="106">
        <f>COUNTIFS(TOTAL!AN:AN,A19,TOTAL!J:J,"X",TOTAL!BO:BO,"&lt;&gt;x")+COUNTIFS(TOTAL!AN:AN,A19,TOTAL!N:N,"x",TOTAL!BO:BO,"&lt;&gt;x")+COUNTIFS(TOTAL!AN:AN,A19,TOTAL!L:L,"x",TOTAL!BO:BO,"&lt;&gt;x")</f>
        <v>39</v>
      </c>
      <c r="E19" s="103"/>
      <c r="F19" s="846">
        <f ca="1">COUNTIFS(TOTAL!AN:AN,A19,TOTAL!F:F,"x",TOTAL!BO:BO,"&lt;&gt;x",TOTAL!R:R,"&lt;="&amp;OVERVIEW!I39)</f>
        <v>14</v>
      </c>
      <c r="G19" s="105">
        <f ca="1">COUNTIFS(TOTAL!AN:AN,A19,TOTAL!D:D,"x",TOTAL!BO:BO,"&lt;&gt;x",TOTAL!R:R,"&lt;="&amp;OVERVIEW!I39)</f>
        <v>63</v>
      </c>
      <c r="H19" s="106">
        <f ca="1">COUNTIFS(TOTAL!AN:AN,A19,TOTAL!J:J,"X",TOTAL!BO:BO,"&lt;&gt;x",TOTAL!R:R,"&lt;="&amp;OVERVIEW!I39)+COUNTIFS(TOTAL!AN:AN,A19,TOTAL!N:N,"x",TOTAL!BO:BO,"&lt;&gt;x",TOTAL!R:R,"&lt;="&amp;OVERVIEW!I39)+COUNTIFS(TOTAL!AN:AN,A19,TOTAL!L:L,"x",TOTAL!BO:BO,"&lt;&gt;x",TOTAL!R:R,"&lt;="&amp;OVERVIEW!I39)</f>
        <v>33</v>
      </c>
      <c r="I19" s="103"/>
      <c r="J19" s="526">
        <f t="shared" ca="1" si="1"/>
        <v>110</v>
      </c>
      <c r="K19" s="524">
        <f t="shared" si="0"/>
        <v>125</v>
      </c>
    </row>
    <row r="20" spans="1:11" ht="16.5" customHeight="1">
      <c r="A20" s="108" t="s">
        <v>2129</v>
      </c>
      <c r="B20" s="107">
        <f>COUNTIFS(TOTAL!AN:AN,A20,TOTAL!F:F,"x",TOTAL!BO:BO,"&lt;&gt;x")</f>
        <v>5</v>
      </c>
      <c r="C20" s="105">
        <f>COUNTIFS(TOTAL!AN:AN,A20,TOTAL!D:D,"x",TOTAL!BO:BO,"&lt;&gt;x")</f>
        <v>55</v>
      </c>
      <c r="D20" s="106">
        <f>COUNTIFS(TOTAL!AN:AN,A20,TOTAL!J:J,"X",TOTAL!BO:BO,"&lt;&gt;x")+COUNTIFS(TOTAL!AN:AN,A20,TOTAL!N:N,"x",TOTAL!BO:BO,"&lt;&gt;x")+COUNTIFS(TOTAL!AN:AN,A20,TOTAL!L:L,"x",TOTAL!BO:BO,"&lt;&gt;x")</f>
        <v>29</v>
      </c>
      <c r="E20" s="103"/>
      <c r="F20" s="846">
        <f ca="1">COUNTIFS(TOTAL!AN:AN,A20,TOTAL!F:F,"x",TOTAL!BO:BO,"&lt;&gt;x",TOTAL!R:R,"&lt;="&amp;OVERVIEW!I39)</f>
        <v>3</v>
      </c>
      <c r="G20" s="105">
        <f ca="1">COUNTIFS(TOTAL!AN:AN,A20,TOTAL!D:D,"x",TOTAL!BO:BO,"&lt;&gt;x",TOTAL!R:R,"&lt;="&amp;OVERVIEW!I39)</f>
        <v>49</v>
      </c>
      <c r="H20" s="106">
        <f ca="1">COUNTIFS(TOTAL!AN:AN,A20,TOTAL!J:J,"X",TOTAL!BO:BO,"&lt;&gt;x",TOTAL!R:R,"&lt;="&amp;OVERVIEW!I39)+COUNTIFS(TOTAL!AN:AN,A20,TOTAL!N:N,"x",TOTAL!BO:BO,"&lt;&gt;x",TOTAL!R:R,"&lt;="&amp;OVERVIEW!I39)+COUNTIFS(TOTAL!AN:AN,A20,TOTAL!L:L,"x",TOTAL!BO:BO,"&lt;&gt;x",TOTAL!R:R,"&lt;="&amp;OVERVIEW!I39)</f>
        <v>23</v>
      </c>
      <c r="I20" s="103"/>
      <c r="J20" s="526">
        <f t="shared" ca="1" si="1"/>
        <v>75</v>
      </c>
      <c r="K20" s="524">
        <f t="shared" si="0"/>
        <v>89</v>
      </c>
    </row>
    <row r="21" spans="1:11" ht="16.5" customHeight="1">
      <c r="A21" s="108" t="s">
        <v>2064</v>
      </c>
      <c r="B21" s="107">
        <f>COUNTIFS(TOTAL!AN:AN,A21,TOTAL!F:F,"x",TOTAL!BO:BO,"&lt;&gt;x")</f>
        <v>9</v>
      </c>
      <c r="C21" s="105">
        <f>COUNTIFS(TOTAL!AN:AN,A21,TOTAL!D:D,"x",TOTAL!BO:BO,"&lt;&gt;x")</f>
        <v>73</v>
      </c>
      <c r="D21" s="106">
        <f>COUNTIFS(TOTAL!AN:AN,A21,TOTAL!J:J,"X",TOTAL!BO:BO,"&lt;&gt;x")+COUNTIFS(TOTAL!AN:AN,A21,TOTAL!N:N,"x",TOTAL!BO:BO,"&lt;&gt;x")+COUNTIFS(TOTAL!AN:AN,A21,TOTAL!L:L,"x",TOTAL!BO:BO,"&lt;&gt;x")</f>
        <v>28</v>
      </c>
      <c r="E21" s="103"/>
      <c r="F21" s="846">
        <f ca="1">COUNTIFS(TOTAL!AN:AN,A21,TOTAL!F:F,"x",TOTAL!BO:BO,"&lt;&gt;x",TOTAL!R:R,"&lt;="&amp;OVERVIEW!I39)</f>
        <v>7</v>
      </c>
      <c r="G21" s="105">
        <f ca="1">COUNTIFS(TOTAL!AN:AN,A21,TOTAL!D:D,"x",TOTAL!BO:BO,"&lt;&gt;x",TOTAL!R:R,"&lt;="&amp;OVERVIEW!I39)</f>
        <v>55</v>
      </c>
      <c r="H21" s="106">
        <f ca="1">COUNTIFS(TOTAL!AN:AN,A21,TOTAL!J:J,"X",TOTAL!BO:BO,"&lt;&gt;x",TOTAL!R:R,"&lt;="&amp;OVERVIEW!I39)+COUNTIFS(TOTAL!AN:AN,A21,TOTAL!N:N,"x",TOTAL!BO:BO,"&lt;&gt;x",TOTAL!R:R,"&lt;="&amp;OVERVIEW!I39)+COUNTIFS(TOTAL!AN:AN,A21,TOTAL!L:L,"x",TOTAL!BO:BO,"&lt;&gt;x",TOTAL!R:R,"&lt;="&amp;OVERVIEW!I39)</f>
        <v>25</v>
      </c>
      <c r="I21" s="103"/>
      <c r="J21" s="526">
        <f t="shared" ca="1" si="1"/>
        <v>87</v>
      </c>
      <c r="K21" s="524">
        <f t="shared" si="0"/>
        <v>110</v>
      </c>
    </row>
    <row r="22" spans="1:11" ht="16.5" customHeight="1">
      <c r="A22" s="108" t="s">
        <v>2176</v>
      </c>
      <c r="B22" s="107">
        <f>COUNTIFS(TOTAL!AN:AN,A22,TOTAL!F:F,"x",TOTAL!BO:BO,"&lt;&gt;x")</f>
        <v>11</v>
      </c>
      <c r="C22" s="105">
        <f>COUNTIFS(TOTAL!AN:AN,A22,TOTAL!D:D,"x",TOTAL!BO:BO,"&lt;&gt;x")</f>
        <v>88</v>
      </c>
      <c r="D22" s="106">
        <f>COUNTIFS(TOTAL!AN:AN,A22,TOTAL!J:J,"X",TOTAL!BO:BO,"&lt;&gt;x")+COUNTIFS(TOTAL!AN:AN,A22,TOTAL!N:N,"x",TOTAL!BO:BO,"&lt;&gt;x")+COUNTIFS(TOTAL!AN:AN,A22,TOTAL!L:L,"x",TOTAL!BO:BO,"&lt;&gt;x")</f>
        <v>56</v>
      </c>
      <c r="E22" s="103"/>
      <c r="F22" s="846">
        <f ca="1">COUNTIFS(TOTAL!AN:AN,A22,TOTAL!F:F,"x",TOTAL!BO:BO,"&lt;&gt;x",TOTAL!R:R,"&lt;="&amp;OVERVIEW!I39)</f>
        <v>11</v>
      </c>
      <c r="G22" s="105">
        <f ca="1">COUNTIFS(TOTAL!AN:AN,A22,TOTAL!D:D,"x",TOTAL!BO:BO,"&lt;&gt;x",TOTAL!R:R,"&lt;="&amp;OVERVIEW!I39)</f>
        <v>75</v>
      </c>
      <c r="H22" s="106">
        <f ca="1">COUNTIFS(TOTAL!AN:AN,A22,TOTAL!J:J,"X",TOTAL!BO:BO,"&lt;&gt;x",TOTAL!R:R,"&lt;="&amp;OVERVIEW!I39)+COUNTIFS(TOTAL!AN:AN,A22,TOTAL!N:N,"x",TOTAL!BO:BO,"&lt;&gt;x",TOTAL!R:R,"&lt;="&amp;OVERVIEW!I39)+COUNTIFS(TOTAL!AN:AN,A22,TOTAL!L:L,"x",TOTAL!BO:BO,"&lt;&gt;x",TOTAL!R:R,"&lt;="&amp;OVERVIEW!I39)</f>
        <v>44</v>
      </c>
      <c r="I22" s="103"/>
      <c r="J22" s="526">
        <f t="shared" ca="1" si="1"/>
        <v>130</v>
      </c>
      <c r="K22" s="524">
        <f t="shared" si="0"/>
        <v>155</v>
      </c>
    </row>
    <row r="23" spans="1:11" ht="16.5" customHeight="1">
      <c r="A23" s="108" t="s">
        <v>2201</v>
      </c>
      <c r="B23" s="107">
        <f>COUNTIFS(TOTAL!AN:AN,A23,TOTAL!F:F,"x",TOTAL!BO:BO,"&lt;&gt;x")</f>
        <v>3</v>
      </c>
      <c r="C23" s="105">
        <f>COUNTIFS(TOTAL!AN:AN,A23,TOTAL!D:D,"x",TOTAL!BO:BO,"&lt;&gt;x")</f>
        <v>38</v>
      </c>
      <c r="D23" s="106">
        <f>COUNTIFS(TOTAL!AN:AN,A23,TOTAL!J:J,"X",TOTAL!BO:BO,"&lt;&gt;x")+COUNTIFS(TOTAL!AN:AN,A23,TOTAL!N:N,"x",TOTAL!BO:BO,"&lt;&gt;x")+COUNTIFS(TOTAL!AN:AN,A23,TOTAL!L:L,"x",TOTAL!BO:BO,"&lt;&gt;x")</f>
        <v>32</v>
      </c>
      <c r="E23" s="103"/>
      <c r="F23" s="846">
        <f ca="1">COUNTIFS(TOTAL!AN:AN,A23,TOTAL!F:F,"x",TOTAL!BO:BO,"&lt;&gt;x",TOTAL!R:R,"&lt;="&amp;OVERVIEW!I39)</f>
        <v>2</v>
      </c>
      <c r="G23" s="105">
        <f ca="1">COUNTIFS(TOTAL!AN:AN,A23,TOTAL!D:D,"x",TOTAL!BO:BO,"&lt;&gt;x",TOTAL!R:R,"&lt;="&amp;OVERVIEW!I39)</f>
        <v>30</v>
      </c>
      <c r="H23" s="106">
        <f ca="1">COUNTIFS(TOTAL!AN:AN,A23,TOTAL!J:J,"X",TOTAL!BO:BO,"&lt;&gt;x",TOTAL!R:R,"&lt;="&amp;OVERVIEW!I39)+COUNTIFS(TOTAL!AN:AN,A23,TOTAL!N:N,"x",TOTAL!BO:BO,"&lt;&gt;x",TOTAL!R:R,"&lt;="&amp;OVERVIEW!I39)+COUNTIFS(TOTAL!AN:AN,A23,TOTAL!L:L,"x",TOTAL!BO:BO,"&lt;&gt;x",TOTAL!R:R,"&lt;="&amp;OVERVIEW!I39)</f>
        <v>28</v>
      </c>
      <c r="I23" s="103"/>
      <c r="J23" s="526">
        <f t="shared" ca="1" si="1"/>
        <v>60</v>
      </c>
      <c r="K23" s="524">
        <f t="shared" si="0"/>
        <v>73</v>
      </c>
    </row>
    <row r="24" spans="1:11" ht="16.5" customHeight="1">
      <c r="A24" s="108" t="s">
        <v>2162</v>
      </c>
      <c r="B24" s="107">
        <f>COUNTIFS(TOTAL!AN:AN,A24,TOTAL!F:F,"x",TOTAL!BO:BO,"&lt;&gt;x")</f>
        <v>6</v>
      </c>
      <c r="C24" s="105">
        <f>COUNTIFS(TOTAL!AN:AN,A24,TOTAL!D:D,"x",TOTAL!BO:BO,"&lt;&gt;x")</f>
        <v>59</v>
      </c>
      <c r="D24" s="106">
        <f>COUNTIFS(TOTAL!AN:AN,A24,TOTAL!J:J,"X",TOTAL!BO:BO,"&lt;&gt;x")+COUNTIFS(TOTAL!AN:AN,A24,TOTAL!N:N,"x",TOTAL!BO:BO,"&lt;&gt;x")+COUNTIFS(TOTAL!AN:AN,A24,TOTAL!L:L,"x",TOTAL!BO:BO,"&lt;&gt;x")</f>
        <v>25</v>
      </c>
      <c r="E24" s="103"/>
      <c r="F24" s="846">
        <f ca="1">COUNTIFS(TOTAL!AN:AN,A24,TOTAL!F:F,"x",TOTAL!BO:BO,"&lt;&gt;x",TOTAL!R:R,"&lt;="&amp;OVERVIEW!I39)</f>
        <v>6</v>
      </c>
      <c r="G24" s="105">
        <f ca="1">COUNTIFS(TOTAL!AN:AN,A24,TOTAL!D:D,"x",TOTAL!BO:BO,"&lt;&gt;x",TOTAL!R:R,"&lt;="&amp;OVERVIEW!I39)</f>
        <v>50</v>
      </c>
      <c r="H24" s="106">
        <f ca="1">COUNTIFS(TOTAL!AN:AN,A24,TOTAL!J:J,"X",TOTAL!BO:BO,"&lt;&gt;x",TOTAL!R:R,"&lt;="&amp;OVERVIEW!I39)+COUNTIFS(TOTAL!AN:AN,A24,TOTAL!N:N,"x",TOTAL!BO:BO,"&lt;&gt;x",TOTAL!R:R,"&lt;="&amp;OVERVIEW!I39)+COUNTIFS(TOTAL!AN:AN,A24,TOTAL!L:L,"x",TOTAL!BO:BO,"&lt;&gt;x",TOTAL!R:R,"&lt;="&amp;OVERVIEW!I39)</f>
        <v>21</v>
      </c>
      <c r="I24" s="103"/>
      <c r="J24" s="526">
        <f t="shared" ca="1" si="1"/>
        <v>77</v>
      </c>
      <c r="K24" s="524">
        <f t="shared" si="0"/>
        <v>90</v>
      </c>
    </row>
    <row r="25" spans="1:11" ht="16.5" customHeight="1">
      <c r="A25" s="108" t="s">
        <v>2395</v>
      </c>
      <c r="B25" s="107">
        <f>COUNTIFS(TOTAL!AN:AN,A25,TOTAL!F:F,"x",TOTAL!BO:BO,"&lt;&gt;x")</f>
        <v>6</v>
      </c>
      <c r="C25" s="105">
        <f>COUNTIFS(TOTAL!AN:AN,A25,TOTAL!D:D,"x",TOTAL!BO:BO,"&lt;&gt;x")</f>
        <v>40</v>
      </c>
      <c r="D25" s="106">
        <f>COUNTIFS(TOTAL!AN:AN,A25,TOTAL!J:J,"X",TOTAL!BO:BO,"&lt;&gt;x")+COUNTIFS(TOTAL!AN:AN,A25,TOTAL!N:N,"x",TOTAL!BO:BO,"&lt;&gt;x")+COUNTIFS(TOTAL!AN:AN,A25,TOTAL!L:L,"x",TOTAL!BO:BO,"&lt;&gt;x")</f>
        <v>28</v>
      </c>
      <c r="E25" s="103"/>
      <c r="F25" s="846">
        <f ca="1">COUNTIFS(TOTAL!AN:AN,A25,TOTAL!F:F,"x",TOTAL!BO:BO,"&lt;&gt;x",TOTAL!R:R,"&lt;="&amp;OVERVIEW!I39)</f>
        <v>6</v>
      </c>
      <c r="G25" s="105">
        <f ca="1">COUNTIFS(TOTAL!AN:AN,A25,TOTAL!D:D,"x",TOTAL!BO:BO,"&lt;&gt;x",TOTAL!R:R,"&lt;="&amp;OVERVIEW!I39)</f>
        <v>31</v>
      </c>
      <c r="H25" s="106">
        <f ca="1">COUNTIFS(TOTAL!AN:AN,A25,TOTAL!J:J,"X",TOTAL!BO:BO,"&lt;&gt;x",TOTAL!R:R,"&lt;="&amp;OVERVIEW!I39)+COUNTIFS(TOTAL!AN:AN,A25,TOTAL!N:N,"x",TOTAL!BO:BO,"&lt;&gt;x",TOTAL!R:R,"&lt;="&amp;OVERVIEW!I39)+COUNTIFS(TOTAL!AN:AN,A25,TOTAL!L:L,"x",TOTAL!BO:BO,"&lt;&gt;x",TOTAL!R:R,"&lt;="&amp;OVERVIEW!I39)</f>
        <v>24</v>
      </c>
      <c r="I25" s="103"/>
      <c r="J25" s="526">
        <f t="shared" ca="1" si="1"/>
        <v>61</v>
      </c>
      <c r="K25" s="524">
        <f t="shared" si="0"/>
        <v>74</v>
      </c>
    </row>
    <row r="26" spans="1:11" ht="16.5" customHeight="1">
      <c r="A26" s="108" t="s">
        <v>2274</v>
      </c>
      <c r="B26" s="107">
        <f>COUNTIFS(TOTAL!AN:AN,A26,TOTAL!F:F,"x",TOTAL!BO:BO,"&lt;&gt;x")</f>
        <v>9</v>
      </c>
      <c r="C26" s="105">
        <f>COUNTIFS(TOTAL!AN:AN,A26,TOTAL!D:D,"x",TOTAL!BO:BO,"&lt;&gt;x")</f>
        <v>146</v>
      </c>
      <c r="D26" s="106">
        <f>COUNTIFS(TOTAL!AN:AN,A26,TOTAL!J:J,"X",TOTAL!BO:BO,"&lt;&gt;x")+COUNTIFS(TOTAL!AN:AN,A26,TOTAL!N:N,"x",TOTAL!BO:BO,"&lt;&gt;x")+COUNTIFS(TOTAL!AN:AN,A26,TOTAL!L:L,"x",TOTAL!BO:BO,"&lt;&gt;x")</f>
        <v>37</v>
      </c>
      <c r="E26" s="103"/>
      <c r="F26" s="846">
        <f ca="1">COUNTIFS(TOTAL!AN:AN,A26,TOTAL!F:F,"x",TOTAL!BO:BO,"&lt;&gt;x",TOTAL!R:R,"&lt;="&amp;OVERVIEW!I39)</f>
        <v>9</v>
      </c>
      <c r="G26" s="105">
        <f ca="1">COUNTIFS(TOTAL!AN:AN,A26,TOTAL!D:D,"x",TOTAL!BO:BO,"&lt;&gt;x",TOTAL!R:R,"&lt;="&amp;OVERVIEW!I39)</f>
        <v>127</v>
      </c>
      <c r="H26" s="106">
        <f ca="1">COUNTIFS(TOTAL!AN:AN,A26,TOTAL!J:J,"X",TOTAL!BO:BO,"&lt;&gt;x",TOTAL!R:R,"&lt;="&amp;OVERVIEW!I39)+COUNTIFS(TOTAL!AN:AN,A26,TOTAL!N:N,"x",TOTAL!BO:BO,"&lt;&gt;x",TOTAL!R:R,"&lt;="&amp;OVERVIEW!I39)+COUNTIFS(TOTAL!AN:AN,A26,TOTAL!L:L,"x",TOTAL!BO:BO,"&lt;&gt;x",TOTAL!R:R,"&lt;="&amp;OVERVIEW!I39)</f>
        <v>33</v>
      </c>
      <c r="I26" s="103"/>
      <c r="J26" s="526">
        <f t="shared" ca="1" si="1"/>
        <v>169</v>
      </c>
      <c r="K26" s="524">
        <f t="shared" si="0"/>
        <v>192</v>
      </c>
    </row>
    <row r="27" spans="1:11" ht="16.5" customHeight="1">
      <c r="A27" s="108" t="s">
        <v>2318</v>
      </c>
      <c r="B27" s="107">
        <f>COUNTIFS(TOTAL!AN:AN,A27,TOTAL!F:F,"x",TOTAL!BO:BO,"&lt;&gt;x")</f>
        <v>2</v>
      </c>
      <c r="C27" s="105">
        <f>COUNTIFS(TOTAL!AN:AN,A27,TOTAL!D:D,"x",TOTAL!BO:BO,"&lt;&gt;x")</f>
        <v>7</v>
      </c>
      <c r="D27" s="106">
        <f>COUNTIFS(TOTAL!AN:AN,A27,TOTAL!J:J,"X",TOTAL!BO:BO,"&lt;&gt;x")+COUNTIFS(TOTAL!AN:AN,A27,TOTAL!N:N,"x",TOTAL!BO:BO,"&lt;&gt;x")+COUNTIFS(TOTAL!AN:AN,A27,TOTAL!L:L,"x",TOTAL!BO:BO,"&lt;&gt;x")</f>
        <v>16</v>
      </c>
      <c r="E27" s="103"/>
      <c r="F27" s="846">
        <f ca="1">COUNTIFS(TOTAL!AN:AN,A27,TOTAL!F:F,"x",TOTAL!BO:BO,"&lt;&gt;x",TOTAL!R:R,"&lt;="&amp;OVERVIEW!I39)</f>
        <v>2</v>
      </c>
      <c r="G27" s="105">
        <f ca="1">COUNTIFS(TOTAL!AN:AN,A27,TOTAL!D:D,"x",TOTAL!BO:BO,"&lt;&gt;x",TOTAL!R:R,"&lt;="&amp;OVERVIEW!I39)</f>
        <v>5</v>
      </c>
      <c r="H27" s="106">
        <f ca="1">COUNTIFS(TOTAL!AN:AN,A27,TOTAL!J:J,"X",TOTAL!BO:BO,"&lt;&gt;x",TOTAL!R:R,"&lt;="&amp;OVERVIEW!N3)+COUNTIFS(TOTAL!AN:AN,A27,TOTAL!N:N,"x",TOTAL!BO:BO,"&lt;&gt;x",TOTAL!R:R,"&lt;="&amp;OVERVIEW!I39)+COUNTIFS(TOTAL!AN:AN,A27,TOTAL!L:L,"x",TOTAL!BO:BO,"&lt;&gt;x",TOTAL!R:R,"&lt;="&amp;OVERVIEW!I39)</f>
        <v>4</v>
      </c>
      <c r="I27" s="103"/>
      <c r="J27" s="526">
        <f t="shared" ca="1" si="1"/>
        <v>11</v>
      </c>
      <c r="K27" s="524">
        <f t="shared" si="0"/>
        <v>25</v>
      </c>
    </row>
    <row r="28" spans="1:11" ht="16.5" customHeight="1">
      <c r="A28" s="108" t="s">
        <v>2240</v>
      </c>
      <c r="B28" s="107">
        <f>COUNTIFS(TOTAL!AN:AN,A28,TOTAL!F:F,"x",TOTAL!BO:BO,"&lt;&gt;x")</f>
        <v>5</v>
      </c>
      <c r="C28" s="105">
        <f>COUNTIFS(TOTAL!AN:AN,A28,TOTAL!D:D,"x",TOTAL!BO:BO,"&lt;&gt;x")</f>
        <v>30</v>
      </c>
      <c r="D28" s="106">
        <f>COUNTIFS(TOTAL!AN:AN,A28,TOTAL!J:J,"X",TOTAL!BO:BO,"&lt;&gt;x")+COUNTIFS(TOTAL!AN:AN,A28,TOTAL!N:N,"x",TOTAL!BO:BO,"&lt;&gt;x")+COUNTIFS(TOTAL!AN:AN,A28,TOTAL!L:L,"x",TOTAL!BO:BO,"&lt;&gt;x")</f>
        <v>16</v>
      </c>
      <c r="E28" s="103"/>
      <c r="F28" s="846">
        <f ca="1">COUNTIFS(TOTAL!AN:AN,A28,TOTAL!F:F,"x",TOTAL!BO:BO,"&lt;&gt;x",TOTAL!R:R,"&lt;="&amp;OVERVIEW!I39)</f>
        <v>5</v>
      </c>
      <c r="G28" s="105">
        <f ca="1">COUNTIFS(TOTAL!AN:AN,A28,TOTAL!D:D,"x",TOTAL!BO:BO,"&lt;&gt;x",TOTAL!R:R,"&lt;="&amp;OVERVIEW!I39)</f>
        <v>29</v>
      </c>
      <c r="H28" s="106">
        <f ca="1">COUNTIFS(TOTAL!AN:AN,A28,TOTAL!J:J,"X",TOTAL!BO:BO,"&lt;&gt;x",TOTAL!R:R,"&lt;="&amp;OVERVIEW!I39)+COUNTIFS(TOTAL!AN:AN,A28,TOTAL!N:N,"x",TOTAL!BO:BO,"&lt;&gt;x",TOTAL!R:R,"&lt;="&amp;OVERVIEW!I39)+COUNTIFS(TOTAL!AN:AN,A28,TOTAL!L:L,"x",TOTAL!BO:BO,"&lt;&gt;x",TOTAL!R:R,"&lt;="&amp;OVERVIEW!I39)</f>
        <v>15</v>
      </c>
      <c r="I28" s="103"/>
      <c r="J28" s="526">
        <f t="shared" ca="1" si="1"/>
        <v>49</v>
      </c>
      <c r="K28" s="524">
        <f t="shared" si="0"/>
        <v>51</v>
      </c>
    </row>
    <row r="29" spans="1:11" ht="16.5" customHeight="1">
      <c r="A29" s="108" t="s">
        <v>2413</v>
      </c>
      <c r="B29" s="107">
        <f>COUNTIFS(TOTAL!AN:AN,A29,TOTAL!F:F,"x",TOTAL!BO:BO,"&lt;&gt;x")</f>
        <v>16</v>
      </c>
      <c r="C29" s="105">
        <f>COUNTIFS(TOTAL!AN:AN,A29,TOTAL!D:D,"x",TOTAL!BO:BO,"&lt;&gt;x")</f>
        <v>51</v>
      </c>
      <c r="D29" s="106">
        <f>COUNTIFS(TOTAL!AN:AN,A29,TOTAL!J:J,"X",TOTAL!BO:BO,"&lt;&gt;x")+COUNTIFS(TOTAL!AN:AN,A29,TOTAL!N:N,"x",TOTAL!BO:BO,"&lt;&gt;x")+COUNTIFS(TOTAL!AN:AN,A29,TOTAL!L:L,"x",TOTAL!BO:BO,"&lt;&gt;x")</f>
        <v>27</v>
      </c>
      <c r="E29" s="103"/>
      <c r="F29" s="846">
        <f ca="1">COUNTIFS(TOTAL!AN:AN,A29,TOTAL!F:F,"x",TOTAL!BO:BO,"&lt;&gt;x",TOTAL!R:R,"&lt;="&amp;OVERVIEW!I39)</f>
        <v>13</v>
      </c>
      <c r="G29" s="105">
        <f ca="1">COUNTIFS(TOTAL!AN:AN,A29,TOTAL!D:D,"x",TOTAL!BO:BO,"&lt;&gt;x",TOTAL!R:R,"&lt;="&amp;OVERVIEW!I39)</f>
        <v>45</v>
      </c>
      <c r="H29" s="106">
        <f ca="1">COUNTIFS(TOTAL!AN:AN,A29,TOTAL!J:J,"X",TOTAL!BO:BO,"&lt;&gt;x",TOTAL!R:R,"&lt;="&amp;OVERVIEW!I39)+COUNTIFS(TOTAL!AN:AN,A29,TOTAL!N:N,"x",TOTAL!BO:BO,"&lt;&gt;x",TOTAL!R:R,"&lt;="&amp;OVERVIEW!I39)+COUNTIFS(TOTAL!AN:AN,A29,TOTAL!L:L,"x",TOTAL!BO:BO,"&lt;&gt;x",TOTAL!R:R,"&lt;="&amp;OVERVIEW!I39)</f>
        <v>21</v>
      </c>
      <c r="I29" s="103"/>
      <c r="J29" s="526">
        <f t="shared" ca="1" si="1"/>
        <v>79</v>
      </c>
      <c r="K29" s="524">
        <f t="shared" si="0"/>
        <v>94</v>
      </c>
    </row>
    <row r="30" spans="1:11" ht="16.5" customHeight="1">
      <c r="A30" s="108" t="s">
        <v>2144</v>
      </c>
      <c r="B30" s="107">
        <f>COUNTIFS(TOTAL!AN:AN,A30,TOTAL!F:F,"x",TOTAL!BO:BO,"&lt;&gt;x")</f>
        <v>11</v>
      </c>
      <c r="C30" s="105">
        <f>COUNTIFS(TOTAL!AN:AN,A30,TOTAL!D:D,"x",TOTAL!BO:BO,"&lt;&gt;x")</f>
        <v>65</v>
      </c>
      <c r="D30" s="106">
        <f>COUNTIFS(TOTAL!AN:AN,A30,TOTAL!J:J,"X",TOTAL!BO:BO,"&lt;&gt;x")+COUNTIFS(TOTAL!AN:AN,A30,TOTAL!N:N,"x",TOTAL!BO:BO,"&lt;&gt;x")+COUNTIFS(TOTAL!AN:AN,A30,TOTAL!L:L,"x",TOTAL!BO:BO,"&lt;&gt;x")</f>
        <v>25</v>
      </c>
      <c r="E30" s="103"/>
      <c r="F30" s="846">
        <f ca="1">COUNTIFS(TOTAL!AN:AN,A30,TOTAL!F:F,"x",TOTAL!BO:BO,"&lt;&gt;x",TOTAL!R:R,"&lt;="&amp;OVERVIEW!I39)</f>
        <v>9</v>
      </c>
      <c r="G30" s="105">
        <f ca="1">COUNTIFS(TOTAL!AN:AN,A30,TOTAL!D:D,"x",TOTAL!BO:BO,"&lt;&gt;x",TOTAL!R:R,"&lt;="&amp;OVERVIEW!I39)</f>
        <v>50</v>
      </c>
      <c r="H30" s="106">
        <f ca="1">COUNTIFS(TOTAL!AN:AN,A30,TOTAL!J:J,"X",TOTAL!BO:BO,"&lt;&gt;x",TOTAL!R:R,"&lt;="&amp;OVERVIEW!I39)+COUNTIFS(TOTAL!AN:AN,A30,TOTAL!N:N,"x",TOTAL!BO:BO,"&lt;&gt;x",TOTAL!R:R,"&lt;="&amp;OVERVIEW!I39)+COUNTIFS(TOTAL!AN:AN,A30,TOTAL!L:L,"x",TOTAL!BO:BO,"&lt;&gt;x",TOTAL!R:R,"&lt;="&amp;OVERVIEW!I39)</f>
        <v>20</v>
      </c>
      <c r="I30" s="103"/>
      <c r="J30" s="526">
        <f t="shared" ca="1" si="1"/>
        <v>79</v>
      </c>
      <c r="K30" s="524">
        <f t="shared" si="0"/>
        <v>101</v>
      </c>
    </row>
    <row r="31" spans="1:11" ht="16.5" customHeight="1">
      <c r="A31" s="108" t="s">
        <v>2446</v>
      </c>
      <c r="B31" s="107">
        <f>COUNTIFS(TOTAL!AN:AN,A31,TOTAL!F:F,"x",TOTAL!BO:BO,"&lt;&gt;x")</f>
        <v>13</v>
      </c>
      <c r="C31" s="105">
        <f>COUNTIFS(TOTAL!AN:AN,A31,TOTAL!D:D,"x",TOTAL!BO:BO,"&lt;&gt;x")</f>
        <v>33</v>
      </c>
      <c r="D31" s="106">
        <f>COUNTIFS(TOTAL!AN:AN,A31,TOTAL!J:J,"X",TOTAL!BO:BO,"&lt;&gt;x")+COUNTIFS(TOTAL!AN:AN,A31,TOTAL!N:N,"x",TOTAL!BO:BO,"&lt;&gt;x")+COUNTIFS(TOTAL!AN:AN,A31,TOTAL!L:L,"x",TOTAL!BO:BO,"&lt;&gt;x")</f>
        <v>17</v>
      </c>
      <c r="E31" s="103"/>
      <c r="F31" s="846">
        <f ca="1">COUNTIFS(TOTAL!AN:AN,A31,TOTAL!F:F,"x",TOTAL!BO:BO,"&lt;&gt;x",TOTAL!R:R,"&lt;="&amp;OVERVIEW!I39)</f>
        <v>12</v>
      </c>
      <c r="G31" s="105">
        <f ca="1">COUNTIFS(TOTAL!AN:AN,A31,TOTAL!D:D,"x",TOTAL!BO:BO,"&lt;&gt;x",TOTAL!R:R,"&lt;="&amp;OVERVIEW!I39)</f>
        <v>32</v>
      </c>
      <c r="H31" s="106">
        <f ca="1">COUNTIFS(TOTAL!AN:AN,A31,TOTAL!J:J,"X",TOTAL!BO:BO,"&lt;&gt;x",TOTAL!R:R,"&lt;="&amp;OVERVIEW!I39)+COUNTIFS(TOTAL!AN:AN,A31,TOTAL!N:N,"x",TOTAL!BO:BO,"&lt;&gt;x",TOTAL!R:R,"&lt;="&amp;OVERVIEW!I39)+COUNTIFS(TOTAL!AN:AN,A31,TOTAL!L:L,"x",TOTAL!BO:BO,"&lt;&gt;x",TOTAL!R:R,"&lt;="&amp;OVERVIEW!I39)</f>
        <v>14</v>
      </c>
      <c r="I31" s="103"/>
      <c r="J31" s="526">
        <f t="shared" ca="1" si="1"/>
        <v>58</v>
      </c>
      <c r="K31" s="524">
        <f t="shared" si="0"/>
        <v>63</v>
      </c>
    </row>
    <row r="32" spans="1:11" ht="16.5" customHeight="1">
      <c r="A32" s="108" t="s">
        <v>2526</v>
      </c>
      <c r="B32" s="107">
        <f>COUNTIFS(TOTAL!AN:AN,A32,TOTAL!F:F,"x",TOTAL!BO:BO,"&lt;&gt;x")</f>
        <v>1</v>
      </c>
      <c r="C32" s="105">
        <f>COUNTIFS(TOTAL!AN:AN,A32,TOTAL!D:D,"x",TOTAL!BO:BO,"&lt;&gt;x")</f>
        <v>23</v>
      </c>
      <c r="D32" s="106">
        <f>COUNTIFS(TOTAL!AN:AN,A32,TOTAL!J:J,"X",TOTAL!BO:BO,"&lt;&gt;x")+COUNTIFS(TOTAL!AN:AN,A32,TOTAL!N:N,"x",TOTAL!BO:BO,"&lt;&gt;x")+COUNTIFS(TOTAL!AN:AN,A32,TOTAL!L:L,"x",TOTAL!BO:BO,"&lt;&gt;x")</f>
        <v>14</v>
      </c>
      <c r="E32" s="103"/>
      <c r="F32" s="846">
        <f ca="1">COUNTIFS(TOTAL!AN:AN,A32,TOTAL!F:F,"x",TOTAL!BO:BO,"&lt;&gt;x",TOTAL!R:R,"&lt;="&amp;OVERVIEW!I39)</f>
        <v>1</v>
      </c>
      <c r="G32" s="105">
        <f ca="1">COUNTIFS(TOTAL!AN:AN,A32,TOTAL!D:D,"x",TOTAL!BO:BO,"&lt;&gt;x",TOTAL!R:R,"&lt;="&amp;OVERVIEW!I39)</f>
        <v>23</v>
      </c>
      <c r="H32" s="106">
        <f ca="1">COUNTIFS(TOTAL!AN:AN,A32,TOTAL!J:J,"X",TOTAL!BO:BO,"&lt;&gt;x",TOTAL!R:R,"&lt;="&amp;OVERVIEW!I39)+COUNTIFS(TOTAL!AN:AN,A32,TOTAL!N:N,"x",TOTAL!BO:BO,"&lt;&gt;x",TOTAL!R:R,"&lt;="&amp;OVERVIEW!I39)+COUNTIFS(TOTAL!AN:AN,A32,TOTAL!L:L,"x",TOTAL!BO:BO,"&lt;&gt;x",TOTAL!R:R,"&lt;="&amp;OVERVIEW!I39)</f>
        <v>12</v>
      </c>
      <c r="I32" s="103"/>
      <c r="J32" s="526">
        <f t="shared" ca="1" si="1"/>
        <v>36</v>
      </c>
      <c r="K32" s="524">
        <f t="shared" si="0"/>
        <v>38</v>
      </c>
    </row>
    <row r="33" spans="1:11" ht="16.5" customHeight="1">
      <c r="A33" s="108" t="s">
        <v>2675</v>
      </c>
      <c r="B33" s="107">
        <f>COUNTIFS(TOTAL!AN:AN,A33,TOTAL!F:F,"x",TOTAL!BO:BO,"&lt;&gt;x")</f>
        <v>2</v>
      </c>
      <c r="C33" s="105">
        <f>COUNTIFS(TOTAL!AN:AN,A33,TOTAL!D:D,"x",TOTAL!BO:BO,"&lt;&gt;x")</f>
        <v>27</v>
      </c>
      <c r="D33" s="106">
        <f>COUNTIFS(TOTAL!AN:AN,A33,TOTAL!J:J,"X",TOTAL!BO:BO,"&lt;&gt;x")+COUNTIFS(TOTAL!AN:AN,A33,TOTAL!N:N,"x",TOTAL!BO:BO,"&lt;&gt;x")+COUNTIFS(TOTAL!AN:AN,A33,TOTAL!L:L,"x",TOTAL!BO:BO,"&lt;&gt;x")</f>
        <v>10</v>
      </c>
      <c r="E33" s="103"/>
      <c r="F33" s="846">
        <f ca="1">COUNTIFS(TOTAL!AN:AN,A33,TOTAL!F:F,"x",TOTAL!BO:BO,"&lt;&gt;x",TOTAL!R:R,"&lt;="&amp;OVERVIEW!I39)</f>
        <v>2</v>
      </c>
      <c r="G33" s="105">
        <f ca="1">COUNTIFS(TOTAL!AN:AN,A33,TOTAL!D:D,"x",TOTAL!BO:BO,"&lt;&gt;x",TOTAL!R:R,"&lt;="&amp;OVERVIEW!I39)</f>
        <v>22</v>
      </c>
      <c r="H33" s="106">
        <f ca="1">COUNTIFS(TOTAL!AN:AN,A33,TOTAL!J:J,"X",TOTAL!BO:BO,"&lt;&gt;x",TOTAL!R:R,"&lt;="&amp;OVERVIEW!I39)+COUNTIFS(TOTAL!AN:AN,A33,TOTAL!N:N,"x",TOTAL!BO:BO,"&lt;&gt;x",TOTAL!R:R,"&lt;="&amp;OVERVIEW!I39)+COUNTIFS(TOTAL!AN:AN,A33,TOTAL!L:L,"x",TOTAL!BO:BO,"&lt;&gt;x",TOTAL!R:R,"&lt;="&amp;OVERVIEW!I39)</f>
        <v>6</v>
      </c>
      <c r="I33" s="103"/>
      <c r="J33" s="526">
        <f t="shared" ca="1" si="1"/>
        <v>30</v>
      </c>
      <c r="K33" s="524">
        <f t="shared" si="0"/>
        <v>39</v>
      </c>
    </row>
    <row r="34" spans="1:11" ht="16.5" customHeight="1">
      <c r="A34" s="108" t="s">
        <v>2266</v>
      </c>
      <c r="B34" s="107">
        <f>COUNTIFS(TOTAL!AN:AN,A34,TOTAL!F:F,"x",TOTAL!BO:BO,"&lt;&gt;x")</f>
        <v>2</v>
      </c>
      <c r="C34" s="105">
        <f>COUNTIFS(TOTAL!AN:AN,A34,TOTAL!D:D,"x",TOTAL!BO:BO,"&lt;&gt;x")</f>
        <v>14</v>
      </c>
      <c r="D34" s="106">
        <f>COUNTIFS(TOTAL!AN:AN,A34,TOTAL!J:J,"X",TOTAL!BO:BO,"&lt;&gt;x")+COUNTIFS(TOTAL!AN:AN,A34,TOTAL!N:N,"x",TOTAL!BO:BO,"&lt;&gt;x")+COUNTIFS(TOTAL!AN:AN,A34,TOTAL!L:L,"x",TOTAL!BO:BO,"&lt;&gt;x")</f>
        <v>10</v>
      </c>
      <c r="E34" s="103"/>
      <c r="F34" s="846">
        <f ca="1">COUNTIFS(TOTAL!AN:AN,A34,TOTAL!F:F,"x",TOTAL!BO:BO,"&lt;&gt;x",TOTAL!R:R,"&lt;="&amp;OVERVIEW!I39)</f>
        <v>2</v>
      </c>
      <c r="G34" s="105">
        <f ca="1">COUNTIFS(TOTAL!AN:AN,A34,TOTAL!D:D,"x",TOTAL!BO:BO,"&lt;&gt;x",TOTAL!R:R,"&lt;="&amp;OVERVIEW!I39)</f>
        <v>14</v>
      </c>
      <c r="H34" s="106">
        <f ca="1">COUNTIFS(TOTAL!AN:AN,A34,TOTAL!J:J,"X",TOTAL!BO:BO,"&lt;&gt;x",TOTAL!R:R,"&lt;="&amp;OVERVIEW!I39)+COUNTIFS(TOTAL!AN:AN,A34,TOTAL!N:N,"x",TOTAL!BO:BO,"&lt;&gt;x",TOTAL!R:R,"&lt;="&amp;OVERVIEW!I39)+COUNTIFS(TOTAL!AN:AN,A34,TOTAL!L:L,"x",TOTAL!BO:BO,"&lt;&gt;x",TOTAL!R:R,"&lt;="&amp;OVERVIEW!I39)</f>
        <v>8</v>
      </c>
      <c r="I34" s="103"/>
      <c r="J34" s="526">
        <f t="shared" ref="J34:J56" ca="1" si="2">SUM(F34:H34)</f>
        <v>24</v>
      </c>
      <c r="K34" s="524">
        <f t="shared" ref="K34:K56" si="3">SUM(B34:D34)</f>
        <v>26</v>
      </c>
    </row>
    <row r="35" spans="1:11" ht="16.5" customHeight="1">
      <c r="A35" s="108" t="s">
        <v>2219</v>
      </c>
      <c r="B35" s="107">
        <f>COUNTIFS(TOTAL!AN:AN,A35,TOTAL!F:F,"x",TOTAL!BO:BO,"&lt;&gt;x")</f>
        <v>0</v>
      </c>
      <c r="C35" s="105">
        <f>COUNTIFS(TOTAL!AN:AN,A35,TOTAL!D:D,"x",TOTAL!BO:BO,"&lt;&gt;x")</f>
        <v>5</v>
      </c>
      <c r="D35" s="106">
        <f>COUNTIFS(TOTAL!AN:AN,A35,TOTAL!J:J,"X",TOTAL!BO:BO,"&lt;&gt;x")+COUNTIFS(TOTAL!AN:AN,A35,TOTAL!N:N,"x",TOTAL!BO:BO,"&lt;&gt;x")+COUNTIFS(TOTAL!AN:AN,A35,TOTAL!L:L,"x",TOTAL!BO:BO,"&lt;&gt;x")</f>
        <v>12</v>
      </c>
      <c r="E35" s="103"/>
      <c r="F35" s="846">
        <f ca="1">COUNTIFS(TOTAL!AN:AN,A35,TOTAL!F:F,"x",TOTAL!BO:BO,"&lt;&gt;x",TOTAL!R:R,"&lt;="&amp;OVERVIEW!I39)</f>
        <v>0</v>
      </c>
      <c r="G35" s="105">
        <f ca="1">COUNTIFS(TOTAL!AN:AN,A35,TOTAL!D:D,"x",TOTAL!BO:BO,"&lt;&gt;x",TOTAL!R:R,"&lt;="&amp;OVERVIEW!I39)</f>
        <v>4</v>
      </c>
      <c r="H35" s="106">
        <f ca="1">COUNTIFS(TOTAL!AN:AN,A35,TOTAL!J:J,"X",TOTAL!BO:BO,"&lt;&gt;x",TOTAL!R:R,"&lt;="&amp;OVERVIEW!I39)+COUNTIFS(TOTAL!AN:AN,A35,TOTAL!N:N,"x",TOTAL!BO:BO,"&lt;&gt;x",TOTAL!R:R,"&lt;="&amp;OVERVIEW!I39)+COUNTIFS(TOTAL!AN:AN,A35,TOTAL!L:L,"x",TOTAL!BO:BO,"&lt;&gt;x",TOTAL!R:R,"&lt;="&amp;OVERVIEW!I39)</f>
        <v>8</v>
      </c>
      <c r="I35" s="103"/>
      <c r="J35" s="526">
        <f t="shared" ca="1" si="2"/>
        <v>12</v>
      </c>
      <c r="K35" s="524">
        <f t="shared" si="3"/>
        <v>17</v>
      </c>
    </row>
    <row r="36" spans="1:11" ht="16.5" customHeight="1">
      <c r="A36" s="108" t="s">
        <v>2203</v>
      </c>
      <c r="B36" s="107">
        <f>COUNTIFS(TOTAL!AN:AN,A36,TOTAL!F:F,"x",TOTAL!BO:BO,"&lt;&gt;x")</f>
        <v>1</v>
      </c>
      <c r="C36" s="105">
        <f>COUNTIFS(TOTAL!AN:AN,A36,TOTAL!D:D,"x",TOTAL!BO:BO,"&lt;&gt;x")</f>
        <v>16</v>
      </c>
      <c r="D36" s="106">
        <f>COUNTIFS(TOTAL!AN:AN,A36,TOTAL!J:J,"X",TOTAL!BO:BO,"&lt;&gt;x")+COUNTIFS(TOTAL!AN:AN,A36,TOTAL!N:N,"x",TOTAL!BO:BO,"&lt;&gt;x")+COUNTIFS(TOTAL!AN:AN,A36,TOTAL!L:L,"x",TOTAL!BO:BO,"&lt;&gt;x")</f>
        <v>12</v>
      </c>
      <c r="E36" s="103"/>
      <c r="F36" s="846">
        <f ca="1">COUNTIFS(TOTAL!AN:AN,A36,TOTAL!F:F,"x",TOTAL!BO:BO,"&lt;&gt;x",TOTAL!R:R,"&lt;="&amp;OVERVIEW!I39)</f>
        <v>1</v>
      </c>
      <c r="G36" s="105">
        <f ca="1">COUNTIFS(TOTAL!AN:AN,A36,TOTAL!D:D,"x",TOTAL!BO:BO,"&lt;&gt;x",TOTAL!R:R,"&lt;="&amp;OVERVIEW!I39)</f>
        <v>14</v>
      </c>
      <c r="H36" s="106">
        <f ca="1">COUNTIFS(TOTAL!AN:AN,A36,TOTAL!J:J,"X",TOTAL!BO:BO,"&lt;&gt;x",TOTAL!R:R,"&lt;="&amp;OVERVIEW!I39)+COUNTIFS(TOTAL!AN:AN,A36,TOTAL!N:N,"x",TOTAL!BO:BO,"&lt;&gt;x",TOTAL!R:R,"&lt;="&amp;OVERVIEW!I39)+COUNTIFS(TOTAL!AN:AN,A36,TOTAL!L:L,"x",TOTAL!BO:BO,"&lt;&gt;x",TOTAL!R:R,"&lt;="&amp;OVERVIEW!I39)</f>
        <v>10</v>
      </c>
      <c r="I36" s="103"/>
      <c r="J36" s="526">
        <f t="shared" ca="1" si="2"/>
        <v>25</v>
      </c>
      <c r="K36" s="524">
        <f t="shared" si="3"/>
        <v>29</v>
      </c>
    </row>
    <row r="37" spans="1:11" ht="16.5" customHeight="1">
      <c r="A37" s="108" t="s">
        <v>2290</v>
      </c>
      <c r="B37" s="107">
        <f>COUNTIFS(TOTAL!AN:AN,A37,TOTAL!F:F,"x",TOTAL!BO:BO,"&lt;&gt;x")</f>
        <v>3</v>
      </c>
      <c r="C37" s="105">
        <f>COUNTIFS(TOTAL!AN:AN,A37,TOTAL!D:D,"x",TOTAL!BO:BO,"&lt;&gt;x")</f>
        <v>14</v>
      </c>
      <c r="D37" s="106">
        <f>COUNTIFS(TOTAL!AN:AN,A37,TOTAL!J:J,"X",TOTAL!BO:BO,"&lt;&gt;x")+COUNTIFS(TOTAL!AN:AN,A37,TOTAL!N:N,"x",TOTAL!BO:BO,"&lt;&gt;x")+COUNTIFS(TOTAL!AN:AN,A37,TOTAL!L:L,"x",TOTAL!BO:BO,"&lt;&gt;x")</f>
        <v>9</v>
      </c>
      <c r="E37" s="103"/>
      <c r="F37" s="846">
        <f ca="1">COUNTIFS(TOTAL!AN:AN,A37,TOTAL!F:F,"x",TOTAL!BO:BO,"&lt;&gt;x",TOTAL!R:R,"&lt;="&amp;OVERVIEW!I39)</f>
        <v>3</v>
      </c>
      <c r="G37" s="105">
        <f ca="1">COUNTIFS(TOTAL!AN:AN,A37,TOTAL!D:D,"x",TOTAL!BO:BO,"&lt;&gt;x",TOTAL!R:R,"&lt;="&amp;OVERVIEW!I39)</f>
        <v>12</v>
      </c>
      <c r="H37" s="106">
        <f ca="1">COUNTIFS(TOTAL!AN:AN,A37,TOTAL!J:J,"X",TOTAL!BO:BO,"&lt;&gt;x",TOTAL!R:R,"&lt;="&amp;OVERVIEW!I39)+COUNTIFS(TOTAL!AN:AN,A37,TOTAL!N:N,"x",TOTAL!BO:BO,"&lt;&gt;x",TOTAL!R:R,"&lt;="&amp;OVERVIEW!I39)+COUNTIFS(TOTAL!AN:AN,A37,TOTAL!L:L,"x",TOTAL!BO:BO,"&lt;&gt;x",TOTAL!R:R,"&lt;="&amp;OVERVIEW!I39)</f>
        <v>9</v>
      </c>
      <c r="I37" s="103"/>
      <c r="J37" s="526">
        <f t="shared" ca="1" si="2"/>
        <v>24</v>
      </c>
      <c r="K37" s="524">
        <f t="shared" si="3"/>
        <v>26</v>
      </c>
    </row>
    <row r="38" spans="1:11" ht="16.5" customHeight="1">
      <c r="A38" s="108" t="s">
        <v>2419</v>
      </c>
      <c r="B38" s="107">
        <f>COUNTIFS(TOTAL!AN:AN,A38,TOTAL!F:F,"x",TOTAL!BO:BO,"&lt;&gt;x")</f>
        <v>0</v>
      </c>
      <c r="C38" s="105">
        <f>COUNTIFS(TOTAL!AN:AN,A38,TOTAL!D:D,"x",TOTAL!BO:BO,"&lt;&gt;x")</f>
        <v>14</v>
      </c>
      <c r="D38" s="106">
        <f>COUNTIFS(TOTAL!AN:AN,A38,TOTAL!J:J,"X",TOTAL!BO:BO,"&lt;&gt;x")+COUNTIFS(TOTAL!AN:AN,A38,TOTAL!N:N,"x",TOTAL!BO:BO,"&lt;&gt;x")+COUNTIFS(TOTAL!AN:AN,A38,TOTAL!L:L,"x",TOTAL!BO:BO,"&lt;&gt;x")</f>
        <v>5</v>
      </c>
      <c r="E38" s="103"/>
      <c r="F38" s="846">
        <f ca="1">COUNTIFS(TOTAL!AN:AN,A38,TOTAL!F:F,"x",TOTAL!BO:BO,"&lt;&gt;x",TOTAL!R:R,"&lt;="&amp;OVERVIEW!I39)</f>
        <v>0</v>
      </c>
      <c r="G38" s="105">
        <f ca="1">COUNTIFS(TOTAL!AN:AN,A38,TOTAL!D:D,"x",TOTAL!BO:BO,"&lt;&gt;x",TOTAL!R:R,"&lt;="&amp;OVERVIEW!I39)</f>
        <v>9</v>
      </c>
      <c r="H38" s="106">
        <f ca="1">COUNTIFS(TOTAL!AN:AN,A38,TOTAL!J:J,"X",TOTAL!BO:BO,"&lt;&gt;x",TOTAL!R:R,"&lt;="&amp;OVERVIEW!I39)+COUNTIFS(TOTAL!AN:AN,A38,TOTAL!N:N,"x",TOTAL!BO:BO,"&lt;&gt;x",TOTAL!R:R,"&lt;="&amp;OVERVIEW!I39)+COUNTIFS(TOTAL!AN:AN,A38,TOTAL!L:L,"x",TOTAL!BO:BO,"&lt;&gt;x",TOTAL!R:R,"&lt;="&amp;OVERVIEW!I39)</f>
        <v>2</v>
      </c>
      <c r="I38" s="103"/>
      <c r="J38" s="526">
        <f t="shared" ca="1" si="2"/>
        <v>11</v>
      </c>
      <c r="K38" s="524">
        <f t="shared" si="3"/>
        <v>19</v>
      </c>
    </row>
    <row r="39" spans="1:11" ht="16.5" customHeight="1">
      <c r="A39" s="108" t="s">
        <v>2638</v>
      </c>
      <c r="B39" s="107">
        <f>COUNTIFS(TOTAL!AN:AN,A39,TOTAL!F:F,"x",TOTAL!BO:BO,"&lt;&gt;x")</f>
        <v>2</v>
      </c>
      <c r="C39" s="105">
        <f>COUNTIFS(TOTAL!AN:AN,A39,TOTAL!D:D,"x",TOTAL!BO:BO,"&lt;&gt;x")</f>
        <v>30</v>
      </c>
      <c r="D39" s="106">
        <f>COUNTIFS(TOTAL!AN:AN,A39,TOTAL!J:J,"X",TOTAL!BO:BO,"&lt;&gt;x")+COUNTIFS(TOTAL!AN:AN,A39,TOTAL!N:N,"x",TOTAL!BO:BO,"&lt;&gt;x")+COUNTIFS(TOTAL!AN:AN,A39,TOTAL!L:L,"x",TOTAL!BO:BO,"&lt;&gt;x")</f>
        <v>11</v>
      </c>
      <c r="E39" s="103"/>
      <c r="F39" s="846">
        <f ca="1">COUNTIFS(TOTAL!AN:AN,A39,TOTAL!F:F,"x",TOTAL!BO:BO,"&lt;&gt;x",TOTAL!R:R,"&lt;="&amp;OVERVIEW!I39)</f>
        <v>0</v>
      </c>
      <c r="G39" s="105">
        <f ca="1">COUNTIFS(TOTAL!AN:AN,A39,TOTAL!D:D,"x",TOTAL!BO:BO,"&lt;&gt;x",TOTAL!R:R,"&lt;="&amp;OVERVIEW!I39)</f>
        <v>26</v>
      </c>
      <c r="H39" s="106">
        <f ca="1">COUNTIFS(TOTAL!AN:AN,A39,TOTAL!J:J,"X",TOTAL!BO:BO,"&lt;&gt;x",TOTAL!R:R,"&lt;="&amp;OVERVIEW!I39)+COUNTIFS(TOTAL!AN:AN,A39,TOTAL!N:N,"x",TOTAL!BO:BO,"&lt;&gt;x",TOTAL!R:R,"&lt;="&amp;OVERVIEW!I39)+COUNTIFS(TOTAL!AN:AN,A39,TOTAL!L:L,"x",TOTAL!BO:BO,"&lt;&gt;x",TOTAL!R:R,"&lt;="&amp;OVERVIEW!I39)</f>
        <v>9</v>
      </c>
      <c r="I39" s="103"/>
      <c r="J39" s="526">
        <f t="shared" ca="1" si="2"/>
        <v>35</v>
      </c>
      <c r="K39" s="524">
        <f t="shared" si="3"/>
        <v>43</v>
      </c>
    </row>
    <row r="40" spans="1:11" ht="16.5" customHeight="1">
      <c r="A40" s="108" t="s">
        <v>4637</v>
      </c>
      <c r="B40" s="107">
        <f>COUNTIFS(TOTAL!AN:AN,A40,TOTAL!F:F,"x",TOTAL!BO:BO,"&lt;&gt;x")</f>
        <v>1</v>
      </c>
      <c r="C40" s="105">
        <f>COUNTIFS(TOTAL!AN:AN,A40,TOTAL!D:D,"x",TOTAL!BO:BO,"&lt;&gt;x")</f>
        <v>14</v>
      </c>
      <c r="D40" s="106">
        <f>COUNTIFS(TOTAL!AN:AN,A40,TOTAL!J:J,"X",TOTAL!BO:BO,"&lt;&gt;x")+COUNTIFS(TOTAL!AN:AN,A40,TOTAL!N:N,"x",TOTAL!BO:BO,"&lt;&gt;x")+COUNTIFS(TOTAL!AN:AN,A40,TOTAL!L:L,"x",TOTAL!BO:BO,"&lt;&gt;x")</f>
        <v>8</v>
      </c>
      <c r="E40" s="103"/>
      <c r="F40" s="846">
        <f ca="1">COUNTIFS(TOTAL!AN:AN,A40,TOTAL!F:F,"x",TOTAL!BO:BO,"&lt;&gt;x",TOTAL!R:R,"&lt;="&amp;OVERVIEW!I39)</f>
        <v>1</v>
      </c>
      <c r="G40" s="105">
        <f ca="1">COUNTIFS(TOTAL!AN:AN,A40,TOTAL!D:D,"x",TOTAL!BO:BO,"&lt;&gt;x",TOTAL!R:R,"&lt;="&amp;OVERVIEW!I39)</f>
        <v>12</v>
      </c>
      <c r="H40" s="106">
        <f ca="1">COUNTIFS(TOTAL!AN:AN,A40,TOTAL!J:J,"X",TOTAL!BO:BO,"&lt;&gt;x",TOTAL!R:R,"&lt;="&amp;OVERVIEW!I39)+COUNTIFS(TOTAL!AN:AN,A40,TOTAL!N:N,"x",TOTAL!BO:BO,"&lt;&gt;x",TOTAL!R:R,"&lt;="&amp;OVERVIEW!I39)+COUNTIFS(TOTAL!AN:AN,A40,TOTAL!L:L,"x",TOTAL!BO:BO,"&lt;&gt;x",TOTAL!R:R,"&lt;="&amp;OVERVIEW!I39)</f>
        <v>7</v>
      </c>
      <c r="I40" s="103"/>
      <c r="J40" s="526">
        <f t="shared" ca="1" si="2"/>
        <v>20</v>
      </c>
      <c r="K40" s="524">
        <f t="shared" si="3"/>
        <v>23</v>
      </c>
    </row>
    <row r="41" spans="1:11" ht="16.5" customHeight="1">
      <c r="A41" s="108" t="s">
        <v>2139</v>
      </c>
      <c r="B41" s="107">
        <f>COUNTIFS(TOTAL!AN:AN,A41,TOTAL!F:F,"x",TOTAL!BO:BO,"&lt;&gt;x")</f>
        <v>3</v>
      </c>
      <c r="C41" s="105">
        <f>COUNTIFS(TOTAL!AN:AN,A41,TOTAL!D:D,"x",TOTAL!BO:BO,"&lt;&gt;x")</f>
        <v>37</v>
      </c>
      <c r="D41" s="106">
        <f>COUNTIFS(TOTAL!AN:AN,A41,TOTAL!J:J,"X",TOTAL!BO:BO,"&lt;&gt;x")+COUNTIFS(TOTAL!AN:AN,A41,TOTAL!N:N,"x",TOTAL!BO:BO,"&lt;&gt;x")+COUNTIFS(TOTAL!AN:AN,A41,TOTAL!L:L,"x",TOTAL!BO:BO,"&lt;&gt;x")</f>
        <v>6</v>
      </c>
      <c r="E41" s="103"/>
      <c r="F41" s="846">
        <f ca="1">COUNTIFS(TOTAL!AN:AN,A41,TOTAL!F:F,"x",TOTAL!BO:BO,"&lt;&gt;x",TOTAL!R:R,"&lt;="&amp;OVERVIEW!I39)</f>
        <v>3</v>
      </c>
      <c r="G41" s="105">
        <f ca="1">COUNTIFS(TOTAL!AN:AN,A41,TOTAL!D:D,"x",TOTAL!BO:BO,"&lt;&gt;x",TOTAL!R:R,"&lt;="&amp;OVERVIEW!I39)</f>
        <v>31</v>
      </c>
      <c r="H41" s="106">
        <f ca="1">COUNTIFS(TOTAL!AN:AN,A41,TOTAL!J:J,"X",TOTAL!BO:BO,"&lt;&gt;x",TOTAL!R:R,"&lt;="&amp;OVERVIEW!I39)+COUNTIFS(TOTAL!AN:AN,A41,TOTAL!N:N,"x",TOTAL!BO:BO,"&lt;&gt;x",TOTAL!R:R,"&lt;="&amp;OVERVIEW!I39)+COUNTIFS(TOTAL!AN:AN,A41,TOTAL!L:L,"x",TOTAL!BO:BO,"&lt;&gt;x",TOTAL!R:R,"&lt;="&amp;OVERVIEW!I39)</f>
        <v>6</v>
      </c>
      <c r="I41" s="103"/>
      <c r="J41" s="526">
        <f t="shared" ca="1" si="2"/>
        <v>40</v>
      </c>
      <c r="K41" s="524">
        <f t="shared" si="3"/>
        <v>46</v>
      </c>
    </row>
    <row r="42" spans="1:11" ht="16.5" customHeight="1">
      <c r="A42" s="108" t="s">
        <v>2484</v>
      </c>
      <c r="B42" s="107">
        <f>COUNTIFS(TOTAL!AN:AN,A42,TOTAL!F:F,"x",TOTAL!BO:BO,"&lt;&gt;x")</f>
        <v>1</v>
      </c>
      <c r="C42" s="105">
        <f>COUNTIFS(TOTAL!AN:AN,A42,TOTAL!D:D,"x",TOTAL!BO:BO,"&lt;&gt;x")</f>
        <v>24</v>
      </c>
      <c r="D42" s="106">
        <f>COUNTIFS(TOTAL!AN:AN,A42,TOTAL!J:J,"X",TOTAL!BO:BO,"&lt;&gt;x")+COUNTIFS(TOTAL!AN:AN,A42,TOTAL!N:N,"x",TOTAL!BO:BO,"&lt;&gt;x")+COUNTIFS(TOTAL!AN:AN,A42,TOTAL!L:L,"x",TOTAL!BO:BO,"&lt;&gt;x")</f>
        <v>7</v>
      </c>
      <c r="E42" s="103"/>
      <c r="F42" s="846">
        <f ca="1">COUNTIFS(TOTAL!AN:AN,A42,TOTAL!F:F,"x",TOTAL!BO:BO,"&lt;&gt;x",TOTAL!R:R,"&lt;="&amp;OVERVIEW!I39)</f>
        <v>1</v>
      </c>
      <c r="G42" s="105">
        <f ca="1">COUNTIFS(TOTAL!AN:AN,A42,TOTAL!D:D,"x",TOTAL!BO:BO,"&lt;&gt;x",TOTAL!R:R,"&lt;="&amp;OVERVIEW!I39)</f>
        <v>20</v>
      </c>
      <c r="H42" s="106">
        <f ca="1">COUNTIFS(TOTAL!AN:AN,A42,TOTAL!J:J,"X",TOTAL!BO:BO,"&lt;&gt;x",TOTAL!R:R,"&lt;="&amp;OVERVIEW!I39)+COUNTIFS(TOTAL!AN:AN,A42,TOTAL!N:N,"x",TOTAL!BO:BO,"&lt;&gt;x",TOTAL!R:R,"&lt;="&amp;OVERVIEW!I39)+COUNTIFS(TOTAL!AN:AN,A42,TOTAL!L:L,"x",TOTAL!BO:BO,"&lt;&gt;x",TOTAL!R:R,"&lt;="&amp;OVERVIEW!I39)</f>
        <v>5</v>
      </c>
      <c r="I42" s="103"/>
      <c r="J42" s="526">
        <f t="shared" ca="1" si="2"/>
        <v>26</v>
      </c>
      <c r="K42" s="524">
        <f t="shared" si="3"/>
        <v>32</v>
      </c>
    </row>
    <row r="43" spans="1:11" ht="16.5" customHeight="1">
      <c r="A43" s="108" t="s">
        <v>2363</v>
      </c>
      <c r="B43" s="107">
        <f>COUNTIFS(TOTAL!AN:AN,A43,TOTAL!F:F,"x",TOTAL!BO:BO,"&lt;&gt;x")</f>
        <v>3</v>
      </c>
      <c r="C43" s="105">
        <f>COUNTIFS(TOTAL!AN:AN,A43,TOTAL!D:D,"x",TOTAL!BO:BO,"&lt;&gt;x")</f>
        <v>16</v>
      </c>
      <c r="D43" s="106">
        <f>COUNTIFS(TOTAL!AN:AN,A43,TOTAL!J:J,"X",TOTAL!BO:BO,"&lt;&gt;x")+COUNTIFS(TOTAL!AN:AN,A43,TOTAL!N:N,"x",TOTAL!BO:BO,"&lt;&gt;x")+COUNTIFS(TOTAL!AN:AN,A43,TOTAL!L:L,"x",TOTAL!BO:BO,"&lt;&gt;x")</f>
        <v>7</v>
      </c>
      <c r="E43" s="103"/>
      <c r="F43" s="846">
        <f ca="1">COUNTIFS(TOTAL!AN:AN,A43,TOTAL!F:F,"x",TOTAL!BO:BO,"&lt;&gt;x",TOTAL!R:R,"&lt;="&amp;OVERVIEW!I39)</f>
        <v>2</v>
      </c>
      <c r="G43" s="105">
        <f ca="1">COUNTIFS(TOTAL!AN:AN,A43,TOTAL!D:D,"x",TOTAL!BO:BO,"&lt;&gt;x",TOTAL!R:R,"&lt;="&amp;OVERVIEW!I39)</f>
        <v>15</v>
      </c>
      <c r="H43" s="106">
        <f ca="1">COUNTIFS(TOTAL!AN:AN,A43,TOTAL!J:J,"X",TOTAL!BO:BO,"&lt;&gt;x",TOTAL!R:R,"&lt;="&amp;OVERVIEW!I39)+COUNTIFS(TOTAL!AN:AN,A43,TOTAL!N:N,"x",TOTAL!BO:BO,"&lt;&gt;x",TOTAL!R:R,"&lt;="&amp;OVERVIEW!I39)+COUNTIFS(TOTAL!AN:AN,A43,TOTAL!L:L,"x",TOTAL!BO:BO,"&lt;&gt;x",TOTAL!R:R,"&lt;="&amp;OVERVIEW!I39)</f>
        <v>5</v>
      </c>
      <c r="I43" s="103"/>
      <c r="J43" s="526">
        <f t="shared" ca="1" si="2"/>
        <v>22</v>
      </c>
      <c r="K43" s="524">
        <f t="shared" si="3"/>
        <v>26</v>
      </c>
    </row>
    <row r="44" spans="1:11" ht="16.5" customHeight="1">
      <c r="A44" s="108" t="s">
        <v>2465</v>
      </c>
      <c r="B44" s="107">
        <f>COUNTIFS(TOTAL!AN:AN,A44,TOTAL!F:F,"x",TOTAL!BO:BO,"&lt;&gt;x")</f>
        <v>9</v>
      </c>
      <c r="C44" s="105">
        <f>COUNTIFS(TOTAL!AN:AN,A44,TOTAL!D:D,"x",TOTAL!BO:BO,"&lt;&gt;x")</f>
        <v>27</v>
      </c>
      <c r="D44" s="106">
        <f>COUNTIFS(TOTAL!AN:AN,A44,TOTAL!J:J,"X",TOTAL!BO:BO,"&lt;&gt;x")+COUNTIFS(TOTAL!AN:AN,A44,TOTAL!N:N,"x",TOTAL!BO:BO,"&lt;&gt;x")+COUNTIFS(TOTAL!AN:AN,A44,TOTAL!L:L,"x",TOTAL!BO:BO,"&lt;&gt;x")</f>
        <v>9</v>
      </c>
      <c r="E44" s="103"/>
      <c r="F44" s="846">
        <f ca="1">COUNTIFS(TOTAL!AN:AN,A44,TOTAL!F:F,"x",TOTAL!BO:BO,"&lt;&gt;x",TOTAL!R:R,"&lt;="&amp;OVERVIEW!I39)</f>
        <v>8</v>
      </c>
      <c r="G44" s="105">
        <f ca="1">COUNTIFS(TOTAL!AN:AN,A44,TOTAL!D:D,"x",TOTAL!BO:BO,"&lt;&gt;x",TOTAL!R:R,"&lt;="&amp;OVERVIEW!I39)</f>
        <v>24</v>
      </c>
      <c r="H44" s="106">
        <f ca="1">COUNTIFS(TOTAL!AN:AN,A44,TOTAL!J:J,"X",TOTAL!BO:BO,"&lt;&gt;x",TOTAL!R:R,"&lt;="&amp;OVERVIEW!I39)+COUNTIFS(TOTAL!AN:AN,A44,TOTAL!N:N,"x",TOTAL!BO:BO,"&lt;&gt;x",TOTAL!R:R,"&lt;="&amp;OVERVIEW!I39)+COUNTIFS(TOTAL!AN:AN,A44,TOTAL!L:L,"x",TOTAL!BO:BO,"&lt;&gt;x",TOTAL!R:R,"&lt;="&amp;OVERVIEW!I39)</f>
        <v>9</v>
      </c>
      <c r="I44" s="103"/>
      <c r="J44" s="526">
        <f t="shared" ca="1" si="2"/>
        <v>41</v>
      </c>
      <c r="K44" s="524">
        <f t="shared" si="3"/>
        <v>45</v>
      </c>
    </row>
    <row r="45" spans="1:11" ht="16.5" customHeight="1">
      <c r="A45" s="108" t="s">
        <v>2118</v>
      </c>
      <c r="B45" s="107">
        <f>COUNTIFS(TOTAL!AN:AN,A45,TOTAL!F:F,"x",TOTAL!BO:BO,"&lt;&gt;x")</f>
        <v>0</v>
      </c>
      <c r="C45" s="105">
        <f>COUNTIFS(TOTAL!AN:AN,A45,TOTAL!D:D,"x",TOTAL!BO:BO,"&lt;&gt;x")</f>
        <v>17</v>
      </c>
      <c r="D45" s="106">
        <f>COUNTIFS(TOTAL!AN:AN,A45,TOTAL!J:J,"X",TOTAL!BO:BO,"&lt;&gt;x")+COUNTIFS(TOTAL!AN:AN,A45,TOTAL!N:N,"x",TOTAL!BO:BO,"&lt;&gt;x")+COUNTIFS(TOTAL!AN:AN,A45,TOTAL!L:L,"x",TOTAL!BO:BO,"&lt;&gt;x")</f>
        <v>9</v>
      </c>
      <c r="E45" s="103"/>
      <c r="F45" s="846">
        <f ca="1">COUNTIFS(TOTAL!AN:AN,A45,TOTAL!F:F,"x",TOTAL!BO:BO,"&lt;&gt;x",TOTAL!R:R,"&lt;="&amp;OVERVIEW!I39)</f>
        <v>0</v>
      </c>
      <c r="G45" s="105">
        <f ca="1">COUNTIFS(TOTAL!AN:AN,A45,TOTAL!D:D,"x",TOTAL!BO:BO,"&lt;&gt;x",TOTAL!R:R,"&lt;="&amp;OVERVIEW!I39)</f>
        <v>16</v>
      </c>
      <c r="H45" s="106">
        <f ca="1">COUNTIFS(TOTAL!AN:AN,A45,TOTAL!J:J,"X",TOTAL!BO:BO,"&lt;&gt;x",TOTAL!R:R,"&lt;="&amp;OVERVIEW!I39)+COUNTIFS(TOTAL!AN:AN,A45,TOTAL!N:N,"x",TOTAL!BO:BO,"&lt;&gt;x",TOTAL!R:R,"&lt;="&amp;OVERVIEW!I39)+COUNTIFS(TOTAL!AN:AN,A45,TOTAL!L:L,"x",TOTAL!BO:BO,"&lt;&gt;x",TOTAL!R:R,"&lt;="&amp;OVERVIEW!I39)</f>
        <v>6</v>
      </c>
      <c r="I45" s="103"/>
      <c r="J45" s="526">
        <f t="shared" ca="1" si="2"/>
        <v>22</v>
      </c>
      <c r="K45" s="524">
        <f t="shared" si="3"/>
        <v>26</v>
      </c>
    </row>
    <row r="46" spans="1:11" ht="16.5" customHeight="1">
      <c r="A46" s="108" t="s">
        <v>2255</v>
      </c>
      <c r="B46" s="107">
        <f>COUNTIFS(TOTAL!AN:AN,A46,TOTAL!F:F,"x",TOTAL!BO:BO,"&lt;&gt;x")</f>
        <v>2</v>
      </c>
      <c r="C46" s="105">
        <f>COUNTIFS(TOTAL!AN:AN,A46,TOTAL!D:D,"x",TOTAL!BO:BO,"&lt;&gt;x")</f>
        <v>21</v>
      </c>
      <c r="D46" s="106">
        <f>COUNTIFS(TOTAL!AN:AN,A46,TOTAL!J:J,"X",TOTAL!BO:BO,"&lt;&gt;x")+COUNTIFS(TOTAL!AN:AN,A46,TOTAL!N:N,"x",TOTAL!BO:BO,"&lt;&gt;x")+COUNTIFS(TOTAL!AN:AN,A46,TOTAL!L:L,"x",TOTAL!BO:BO,"&lt;&gt;x")</f>
        <v>7</v>
      </c>
      <c r="E46" s="103"/>
      <c r="F46" s="846">
        <f ca="1">COUNTIFS(TOTAL!AN:AN,A46,TOTAL!F:F,"x",TOTAL!BO:BO,"&lt;&gt;x",TOTAL!R:R,"&lt;="&amp;OVERVIEW!I39)</f>
        <v>2</v>
      </c>
      <c r="G46" s="105">
        <f ca="1">COUNTIFS(TOTAL!AN:AN,A46,TOTAL!D:D,"x",TOTAL!BO:BO,"&lt;&gt;x",TOTAL!R:R,"&lt;="&amp;OVERVIEW!I39)</f>
        <v>17</v>
      </c>
      <c r="H46" s="106">
        <f ca="1">COUNTIFS(TOTAL!AN:AN,A46,TOTAL!J:J,"X",TOTAL!BO:BO,"&lt;&gt;x",TOTAL!R:R,"&lt;="&amp;OVERVIEW!I39)+COUNTIFS(TOTAL!AN:AN,A46,TOTAL!N:N,"x",TOTAL!BO:BO,"&lt;&gt;x",TOTAL!R:R,"&lt;="&amp;OVERVIEW!I39)+COUNTIFS(TOTAL!AN:AN,A46,TOTAL!L:L,"x",TOTAL!BO:BO,"&lt;&gt;x",TOTAL!R:R,"&lt;="&amp;OVERVIEW!I39)</f>
        <v>6</v>
      </c>
      <c r="I46" s="103"/>
      <c r="J46" s="526">
        <f t="shared" ca="1" si="2"/>
        <v>25</v>
      </c>
      <c r="K46" s="524">
        <f t="shared" si="3"/>
        <v>30</v>
      </c>
    </row>
    <row r="47" spans="1:11" ht="16.5" customHeight="1">
      <c r="A47" s="108" t="s">
        <v>2077</v>
      </c>
      <c r="B47" s="107">
        <f>COUNTIFS(TOTAL!AN:AN,A47,TOTAL!F:F,"x",TOTAL!BO:BO,"&lt;&gt;x")</f>
        <v>2</v>
      </c>
      <c r="C47" s="105">
        <f>COUNTIFS(TOTAL!AN:AN,A47,TOTAL!D:D,"x",TOTAL!BO:BO,"&lt;&gt;x")</f>
        <v>20</v>
      </c>
      <c r="D47" s="106">
        <f>COUNTIFS(TOTAL!AN:AN,A47,TOTAL!J:J,"X",TOTAL!BO:BO,"&lt;&gt;x")+COUNTIFS(TOTAL!AN:AN,A47,TOTAL!N:N,"x",TOTAL!BO:BO,"&lt;&gt;x")+COUNTIFS(TOTAL!AN:AN,A47,TOTAL!L:L,"x",TOTAL!BO:BO,"&lt;&gt;x")</f>
        <v>12</v>
      </c>
      <c r="E47" s="103"/>
      <c r="F47" s="846">
        <f ca="1">COUNTIFS(TOTAL!AN:AN,A47,TOTAL!F:F,"x",TOTAL!BO:BO,"&lt;&gt;x",TOTAL!R:R,"&lt;="&amp;OVERVIEW!I39)</f>
        <v>2</v>
      </c>
      <c r="G47" s="105">
        <f ca="1">COUNTIFS(TOTAL!AN:AN,A47,TOTAL!D:D,"x",TOTAL!BO:BO,"&lt;&gt;x",TOTAL!R:R,"&lt;="&amp;OVERVIEW!I39)</f>
        <v>16</v>
      </c>
      <c r="H47" s="106">
        <f ca="1">COUNTIFS(TOTAL!AN:AN,A47,TOTAL!J:J,"X",TOTAL!BO:BO,"&lt;&gt;x",TOTAL!R:R,"&lt;="&amp;OVERVIEW!I39)+COUNTIFS(TOTAL!AN:AN,A47,TOTAL!N:N,"x",TOTAL!BO:BO,"&lt;&gt;x",TOTAL!R:R,"&lt;="&amp;OVERVIEW!I39)+COUNTIFS(TOTAL!AN:AN,A47,TOTAL!L:L,"x",TOTAL!BO:BO,"&lt;&gt;x",TOTAL!R:R,"&lt;="&amp;OVERVIEW!I39)</f>
        <v>9</v>
      </c>
      <c r="I47" s="103"/>
      <c r="J47" s="526">
        <f t="shared" ca="1" si="2"/>
        <v>27</v>
      </c>
      <c r="K47" s="524">
        <f t="shared" si="3"/>
        <v>34</v>
      </c>
    </row>
    <row r="48" spans="1:11" ht="16.5" customHeight="1">
      <c r="A48" s="108" t="s">
        <v>4512</v>
      </c>
      <c r="B48" s="107">
        <f>COUNTIFS(TOTAL!AN:AN,A48,TOTAL!F:F,"x",TOTAL!BO:BO,"&lt;&gt;x")</f>
        <v>5</v>
      </c>
      <c r="C48" s="105">
        <f>COUNTIFS(TOTAL!AN:AN,A48,TOTAL!D:D,"x",TOTAL!BO:BO,"&lt;&gt;x")</f>
        <v>15</v>
      </c>
      <c r="D48" s="106">
        <f>COUNTIFS(TOTAL!AN:AN,A48,TOTAL!J:J,"X",TOTAL!BO:BO,"&lt;&gt;x")+COUNTIFS(TOTAL!AN:AN,A48,TOTAL!N:N,"x",TOTAL!BO:BO,"&lt;&gt;x")+COUNTIFS(TOTAL!AN:AN,A48,TOTAL!L:L,"x",TOTAL!BO:BO,"&lt;&gt;x")</f>
        <v>4</v>
      </c>
      <c r="E48" s="103"/>
      <c r="F48" s="846">
        <f ca="1">COUNTIFS(TOTAL!AN:AN,A48,TOTAL!F:F,"x",TOTAL!BO:BO,"&lt;&gt;x",TOTAL!R:R,"&lt;="&amp;OVERVIEW!I39)</f>
        <v>4</v>
      </c>
      <c r="G48" s="105">
        <f ca="1">COUNTIFS(TOTAL!AN:AN,A48,TOTAL!D:D,"x",TOTAL!BO:BO,"&lt;&gt;x",TOTAL!R:R,"&lt;="&amp;OVERVIEW!I39)</f>
        <v>13</v>
      </c>
      <c r="H48" s="106">
        <f ca="1">COUNTIFS(TOTAL!AN:AN,A48,TOTAL!J:J,"X",TOTAL!BO:BO,"&lt;&gt;x",TOTAL!R:R,"&lt;="&amp;OVERVIEW!I39)+COUNTIFS(TOTAL!AN:AN,A48,TOTAL!N:N,"x",TOTAL!BO:BO,"&lt;&gt;x",TOTAL!R:R,"&lt;="&amp;OVERVIEW!I39)+COUNTIFS(TOTAL!AN:AN,A48,TOTAL!L:L,"x",TOTAL!BO:BO,"&lt;&gt;x",TOTAL!R:R,"&lt;="&amp;OVERVIEW!I39)</f>
        <v>4</v>
      </c>
      <c r="I48" s="103"/>
      <c r="J48" s="526">
        <f t="shared" ca="1" si="2"/>
        <v>21</v>
      </c>
      <c r="K48" s="524">
        <f t="shared" si="3"/>
        <v>24</v>
      </c>
    </row>
    <row r="49" spans="1:11" ht="16.5" customHeight="1">
      <c r="A49" s="108" t="s">
        <v>2066</v>
      </c>
      <c r="B49" s="107">
        <f>COUNTIFS(TOTAL!AN:AN,A49,TOTAL!F:F,"x",TOTAL!BO:BO,"&lt;&gt;x")</f>
        <v>0</v>
      </c>
      <c r="C49" s="105">
        <f>COUNTIFS(TOTAL!AN:AN,A49,TOTAL!D:D,"x",TOTAL!BO:BO,"&lt;&gt;x")</f>
        <v>8</v>
      </c>
      <c r="D49" s="106">
        <f>COUNTIFS(TOTAL!AN:AN,A49,TOTAL!J:J,"X",TOTAL!BO:BO,"&lt;&gt;x")+COUNTIFS(TOTAL!AN:AN,A49,TOTAL!N:N,"x",TOTAL!BO:BO,"&lt;&gt;x")+COUNTIFS(TOTAL!AN:AN,A49,TOTAL!L:L,"x",TOTAL!BO:BO,"&lt;&gt;x")</f>
        <v>6</v>
      </c>
      <c r="E49" s="103"/>
      <c r="F49" s="846">
        <f ca="1">COUNTIFS(TOTAL!AN:AN,A49,TOTAL!F:F,"x",TOTAL!BO:BO,"&lt;&gt;x",TOTAL!R:R,"&lt;="&amp;OVERVIEW!I39)</f>
        <v>0</v>
      </c>
      <c r="G49" s="105">
        <f ca="1">COUNTIFS(TOTAL!AN:AN,A49,TOTAL!D:D,"x",TOTAL!BO:BO,"&lt;&gt;x",TOTAL!R:R,"&lt;="&amp;OVERVIEW!I39)</f>
        <v>6</v>
      </c>
      <c r="H49" s="106">
        <f ca="1">COUNTIFS(TOTAL!AN:AN,A49,TOTAL!J:J,"X",TOTAL!BO:BO,"&lt;&gt;x",TOTAL!R:R,"&lt;="&amp;OVERVIEW!I39)+COUNTIFS(TOTAL!AN:AN,A49,TOTAL!N:N,"x",TOTAL!BO:BO,"&lt;&gt;x",TOTAL!R:R,"&lt;="&amp;OVERVIEW!I39)+COUNTIFS(TOTAL!AN:AN,A49,TOTAL!L:L,"x",TOTAL!BO:BO,"&lt;&gt;x",TOTAL!R:R,"&lt;="&amp;OVERVIEW!I39)</f>
        <v>5</v>
      </c>
      <c r="I49" s="103"/>
      <c r="J49" s="526">
        <f t="shared" ca="1" si="2"/>
        <v>11</v>
      </c>
      <c r="K49" s="524">
        <f t="shared" si="3"/>
        <v>14</v>
      </c>
    </row>
    <row r="50" spans="1:11" ht="16.5" customHeight="1">
      <c r="A50" s="108" t="s">
        <v>2206</v>
      </c>
      <c r="B50" s="107">
        <f>COUNTIFS(TOTAL!AN:AN,A50,TOTAL!F:F,"x",TOTAL!BO:BO,"&lt;&gt;x")</f>
        <v>0</v>
      </c>
      <c r="C50" s="105">
        <f>COUNTIFS(TOTAL!AN:AN,A50,TOTAL!D:D,"x",TOTAL!BO:BO,"&lt;&gt;x")</f>
        <v>12</v>
      </c>
      <c r="D50" s="106">
        <f>COUNTIFS(TOTAL!AN:AN,A50,TOTAL!J:J,"X",TOTAL!BO:BO,"&lt;&gt;x")+COUNTIFS(TOTAL!AN:AN,A50,TOTAL!N:N,"x",TOTAL!BO:BO,"&lt;&gt;x")+COUNTIFS(TOTAL!AN:AN,A50,TOTAL!L:L,"x",TOTAL!BO:BO,"&lt;&gt;x")</f>
        <v>4</v>
      </c>
      <c r="E50" s="103"/>
      <c r="F50" s="846">
        <f ca="1">COUNTIFS(TOTAL!AN:AN,A50,TOTAL!F:F,"x",TOTAL!BO:BO,"&lt;&gt;x",TOTAL!R:R,"&lt;="&amp;OVERVIEW!I39)</f>
        <v>0</v>
      </c>
      <c r="G50" s="105">
        <f ca="1">COUNTIFS(TOTAL!AN:AN,A50,TOTAL!D:D,"x",TOTAL!BO:BO,"&lt;&gt;x",TOTAL!R:R,"&lt;="&amp;OVERVIEW!I39)</f>
        <v>11</v>
      </c>
      <c r="H50" s="106">
        <f ca="1">COUNTIFS(TOTAL!AN:AN,A50,TOTAL!J:J,"X",TOTAL!BO:BO,"&lt;&gt;x",TOTAL!R:R,"&lt;="&amp;OVERVIEW!I39)+COUNTIFS(TOTAL!AN:AN,A50,TOTAL!N:N,"x",TOTAL!BO:BO,"&lt;&gt;x",TOTAL!R:R,"&lt;="&amp;OVERVIEW!I39)+COUNTIFS(TOTAL!AN:AN,A50,TOTAL!L:L,"x",TOTAL!BO:BO,"&lt;&gt;x",TOTAL!R:R,"&lt;="&amp;OVERVIEW!I39)</f>
        <v>4</v>
      </c>
      <c r="I50" s="103"/>
      <c r="J50" s="526">
        <f t="shared" ca="1" si="2"/>
        <v>15</v>
      </c>
      <c r="K50" s="524">
        <f t="shared" si="3"/>
        <v>16</v>
      </c>
    </row>
    <row r="51" spans="1:11" ht="16.5" customHeight="1">
      <c r="A51" s="108" t="s">
        <v>2428</v>
      </c>
      <c r="B51" s="107">
        <f>COUNTIFS(TOTAL!AN:AN,A51,TOTAL!F:F,"x",TOTAL!BO:BO,"&lt;&gt;x")</f>
        <v>2</v>
      </c>
      <c r="C51" s="105">
        <f>COUNTIFS(TOTAL!AN:AN,A51,TOTAL!D:D,"x",TOTAL!BO:BO,"&lt;&gt;x")</f>
        <v>4</v>
      </c>
      <c r="D51" s="106">
        <f>COUNTIFS(TOTAL!AN:AN,A51,TOTAL!J:J,"X",TOTAL!BO:BO,"&lt;&gt;x")+COUNTIFS(TOTAL!AN:AN,A51,TOTAL!N:N,"x",TOTAL!BO:BO,"&lt;&gt;x")+COUNTIFS(TOTAL!AN:AN,A51,TOTAL!L:L,"x",TOTAL!BO:BO,"&lt;&gt;x")</f>
        <v>3</v>
      </c>
      <c r="E51" s="103"/>
      <c r="F51" s="846">
        <f ca="1">COUNTIFS(TOTAL!AN:AN,A51,TOTAL!F:F,"x",TOTAL!BO:BO,"&lt;&gt;x",TOTAL!R:R,"&lt;="&amp;OVERVIEW!I39)</f>
        <v>2</v>
      </c>
      <c r="G51" s="105">
        <f ca="1">COUNTIFS(TOTAL!AN:AN,A51,TOTAL!D:D,"x",TOTAL!BO:BO,"&lt;&gt;x",TOTAL!R:R,"&lt;="&amp;OVERVIEW!I39)</f>
        <v>3</v>
      </c>
      <c r="H51" s="106">
        <f ca="1">COUNTIFS(TOTAL!AN:AN,A51,TOTAL!J:J,"X",TOTAL!BO:BO,"&lt;&gt;x",TOTAL!R:R,"&lt;="&amp;OVERVIEW!I39)+COUNTIFS(TOTAL!AN:AN,A51,TOTAL!N:N,"x",TOTAL!BO:BO,"&lt;&gt;x",TOTAL!R:R,"&lt;="&amp;OVERVIEW!I39)+COUNTIFS(TOTAL!AN:AN,A51,TOTAL!L:L,"x",TOTAL!BO:BO,"&lt;&gt;x",TOTAL!R:R,"&lt;="&amp;OVERVIEW!I39)</f>
        <v>2</v>
      </c>
      <c r="I51" s="103"/>
      <c r="J51" s="526">
        <f t="shared" ca="1" si="2"/>
        <v>7</v>
      </c>
      <c r="K51" s="524">
        <f t="shared" si="3"/>
        <v>9</v>
      </c>
    </row>
    <row r="52" spans="1:11" ht="16.5" customHeight="1">
      <c r="A52" s="108" t="s">
        <v>2181</v>
      </c>
      <c r="B52" s="107">
        <f>COUNTIFS(TOTAL!AN:AN,A52,TOTAL!F:F,"x",TOTAL!BO:BO,"&lt;&gt;x")</f>
        <v>1</v>
      </c>
      <c r="C52" s="105">
        <f>COUNTIFS(TOTAL!AN:AN,A52,TOTAL!D:D,"x",TOTAL!BO:BO,"&lt;&gt;x")</f>
        <v>5</v>
      </c>
      <c r="D52" s="106">
        <f>COUNTIFS(TOTAL!AN:AN,A52,TOTAL!J:J,"X",TOTAL!BO:BO,"&lt;&gt;x")+COUNTIFS(TOTAL!AN:AN,A52,TOTAL!N:N,"x",TOTAL!BO:BO,"&lt;&gt;x")+COUNTIFS(TOTAL!AN:AN,A52,TOTAL!L:L,"x",TOTAL!BO:BO,"&lt;&gt;x")</f>
        <v>9</v>
      </c>
      <c r="E52" s="103"/>
      <c r="F52" s="846">
        <f ca="1">COUNTIFS(TOTAL!AN:AN,A52,TOTAL!F:F,"x",TOTAL!BO:BO,"&lt;&gt;x",TOTAL!R:R,"&lt;="&amp;OVERVIEW!I39)</f>
        <v>1</v>
      </c>
      <c r="G52" s="105">
        <f ca="1">COUNTIFS(TOTAL!AN:AN,A52,TOTAL!D:D,"x",TOTAL!BO:BO,"&lt;&gt;x",TOTAL!R:R,"&lt;="&amp;OVERVIEW!I39)</f>
        <v>5</v>
      </c>
      <c r="H52" s="106">
        <f ca="1">COUNTIFS(TOTAL!AN:AN,A52,TOTAL!J:J,"X",TOTAL!BO:BO,"&lt;&gt;x",TOTAL!R:R,"&lt;="&amp;OVERVIEW!I39)+COUNTIFS(TOTAL!AN:AN,A52,TOTAL!N:N,"x",TOTAL!BO:BO,"&lt;&gt;x",TOTAL!R:R,"&lt;="&amp;OVERVIEW!I39)+COUNTIFS(TOTAL!AN:AN,A52,TOTAL!L:L,"x",TOTAL!BO:BO,"&lt;&gt;x",TOTAL!R:R,"&lt;="&amp;OVERVIEW!I39)</f>
        <v>6</v>
      </c>
      <c r="I52" s="103"/>
      <c r="J52" s="526">
        <f t="shared" ca="1" si="2"/>
        <v>12</v>
      </c>
      <c r="K52" s="524">
        <f t="shared" si="3"/>
        <v>15</v>
      </c>
    </row>
    <row r="53" spans="1:11" ht="16.5" customHeight="1">
      <c r="A53" s="108" t="s">
        <v>6952</v>
      </c>
      <c r="B53" s="107">
        <f>COUNTIFS(TOTAL!AN:AN,A53,TOTAL!F:F,"x",TOTAL!BO:BO,"&lt;&gt;x")</f>
        <v>0</v>
      </c>
      <c r="C53" s="105">
        <f>COUNTIFS(TOTAL!AN:AN,A53,TOTAL!D:D,"x",TOTAL!BO:BO,"&lt;&gt;x")</f>
        <v>2</v>
      </c>
      <c r="D53" s="106">
        <f>COUNTIFS(TOTAL!AN:AN,A53,TOTAL!J:J,"X",TOTAL!BO:BO,"&lt;&gt;x")+COUNTIFS(TOTAL!AN:AN,A53,TOTAL!N:N,"x",TOTAL!BO:BO,"&lt;&gt;x")+COUNTIFS(TOTAL!AN:AN,A53,TOTAL!L:L,"x",TOTAL!BO:BO,"&lt;&gt;x")</f>
        <v>1</v>
      </c>
      <c r="E53" s="103"/>
      <c r="F53" s="846">
        <f ca="1">COUNTIFS(TOTAL!AN:AN,A53,TOTAL!F:F,"x",TOTAL!BO:BO,"&lt;&gt;x",TOTAL!R:R,"&lt;="&amp;OVERVIEW!I39)</f>
        <v>0</v>
      </c>
      <c r="G53" s="105">
        <f ca="1">COUNTIFS(TOTAL!AN:AN,A53,TOTAL!D:D,"x",TOTAL!BO:BO,"&lt;&gt;x",TOTAL!R:R,"&lt;="&amp;OVERVIEW!I39)</f>
        <v>1</v>
      </c>
      <c r="H53" s="106">
        <f ca="1">COUNTIFS(TOTAL!AN:AN,A53,TOTAL!J:J,"X",TOTAL!BO:BO,"&lt;&gt;x",TOTAL!R:R,"&lt;="&amp;OVERVIEW!I39)+COUNTIFS(TOTAL!AN:AN,A53,TOTAL!N:N,"x",TOTAL!BO:BO,"&lt;&gt;x",TOTAL!R:R,"&lt;="&amp;OVERVIEW!I39)+COUNTIFS(TOTAL!AN:AN,A53,TOTAL!L:L,"x",TOTAL!BO:BO,"&lt;&gt;x",TOTAL!R:R,"&lt;="&amp;OVERVIEW!I39)</f>
        <v>1</v>
      </c>
      <c r="I53" s="103"/>
      <c r="J53" s="526">
        <f t="shared" ca="1" si="2"/>
        <v>2</v>
      </c>
      <c r="K53" s="524">
        <f t="shared" si="3"/>
        <v>3</v>
      </c>
    </row>
    <row r="54" spans="1:11" ht="16.5" customHeight="1">
      <c r="A54" s="108" t="s">
        <v>2972</v>
      </c>
      <c r="B54" s="107">
        <f>COUNTIFS(TOTAL!AN:AN,A54,TOTAL!F:F,"x",TOTAL!BO:BO,"&lt;&gt;x")</f>
        <v>0</v>
      </c>
      <c r="C54" s="105">
        <f>COUNTIFS(TOTAL!AN:AN,A54,TOTAL!D:D,"x",TOTAL!BO:BO,"&lt;&gt;x")</f>
        <v>10</v>
      </c>
      <c r="D54" s="106">
        <f>COUNTIFS(TOTAL!AN:AN,A54,TOTAL!J:J,"X",TOTAL!BO:BO,"&lt;&gt;x")+COUNTIFS(TOTAL!AN:AN,A54,TOTAL!N:N,"x",TOTAL!BO:BO,"&lt;&gt;x")+COUNTIFS(TOTAL!AN:AN,A54,TOTAL!L:L,"x",TOTAL!BO:BO,"&lt;&gt;x")</f>
        <v>5</v>
      </c>
      <c r="E54" s="103"/>
      <c r="F54" s="846">
        <f ca="1">COUNTIFS(TOTAL!AN:AN,A54,TOTAL!F:F,"x",TOTAL!BO:BO,"&lt;&gt;x",TOTAL!R:R,"&lt;="&amp;OVERVIEW!I39)</f>
        <v>0</v>
      </c>
      <c r="G54" s="105">
        <f ca="1">COUNTIFS(TOTAL!AN:AN,A54,TOTAL!D:D,"x",TOTAL!BO:BO,"&lt;&gt;x",TOTAL!R:R,"&lt;="&amp;OVERVIEW!I39)</f>
        <v>9</v>
      </c>
      <c r="H54" s="106">
        <f ca="1">COUNTIFS(TOTAL!AN:AN,A54,TOTAL!J:J,"X",TOTAL!BO:BO,"&lt;&gt;x",TOTAL!R:R,"&lt;="&amp;OVERVIEW!I39)+COUNTIFS(TOTAL!AN:AN,A54,TOTAL!N:N,"x",TOTAL!BO:BO,"&lt;&gt;x",TOTAL!R:R,"&lt;="&amp;OVERVIEW!I39)+COUNTIFS(TOTAL!AN:AN,A54,TOTAL!L:L,"x",TOTAL!BO:BO,"&lt;&gt;x",TOTAL!R:R,"&lt;="&amp;OVERVIEW!I39)</f>
        <v>5</v>
      </c>
      <c r="I54" s="103"/>
      <c r="J54" s="526">
        <f t="shared" ca="1" si="2"/>
        <v>14</v>
      </c>
      <c r="K54" s="524">
        <f t="shared" si="3"/>
        <v>15</v>
      </c>
    </row>
    <row r="55" spans="1:11" ht="16.5" customHeight="1">
      <c r="A55" s="108" t="s">
        <v>6951</v>
      </c>
      <c r="B55" s="107">
        <f>COUNTIFS(TOTAL!AN:AN,A55,TOTAL!F:F,"x",TOTAL!BO:BO,"&lt;&gt;x")</f>
        <v>0</v>
      </c>
      <c r="C55" s="105">
        <f>COUNTIFS(TOTAL!AN:AN,A55,TOTAL!D:D,"x",TOTAL!BO:BO,"&lt;&gt;x")</f>
        <v>1</v>
      </c>
      <c r="D55" s="106">
        <f>COUNTIFS(TOTAL!AN:AN,A55,TOTAL!J:J,"X",TOTAL!BO:BO,"&lt;&gt;x")+COUNTIFS(TOTAL!AN:AN,A55,TOTAL!N:N,"x",TOTAL!BO:BO,"&lt;&gt;x")+COUNTIFS(TOTAL!AN:AN,A55,TOTAL!L:L,"x",TOTAL!BO:BO,"&lt;&gt;x")</f>
        <v>0</v>
      </c>
      <c r="E55" s="103"/>
      <c r="F55" s="846">
        <f ca="1">COUNTIFS(TOTAL!AN:AN,A55,TOTAL!F:F,"x",TOTAL!BO:BO,"&lt;&gt;x",TOTAL!R:R,"&lt;="&amp;OVERVIEW!I39)</f>
        <v>0</v>
      </c>
      <c r="G55" s="105">
        <f ca="1">COUNTIFS(TOTAL!AN:AN,A55,TOTAL!D:D,"x",TOTAL!BO:BO,"&lt;&gt;x",TOTAL!R:R,"&lt;="&amp;OVERVIEW!I39)</f>
        <v>1</v>
      </c>
      <c r="H55" s="106">
        <f ca="1">COUNTIFS(TOTAL!AN:AN,A55,TOTAL!J:J,"X",TOTAL!BO:BO,"&lt;&gt;x",TOTAL!R:R,"&lt;="&amp;OVERVIEW!I39)+COUNTIFS(TOTAL!AN:AN,A55,TOTAL!N:N,"x",TOTAL!BO:BO,"&lt;&gt;x",TOTAL!R:R,"&lt;="&amp;OVERVIEW!I39)+COUNTIFS(TOTAL!AN:AN,A55,TOTAL!L:L,"x",TOTAL!BO:BO,"&lt;&gt;x",TOTAL!R:R,"&lt;="&amp;OVERVIEW!I39)</f>
        <v>0</v>
      </c>
      <c r="I55" s="103"/>
      <c r="J55" s="526">
        <f t="shared" ca="1" si="2"/>
        <v>1</v>
      </c>
      <c r="K55" s="524">
        <f t="shared" si="3"/>
        <v>1</v>
      </c>
    </row>
    <row r="56" spans="1:11" ht="16.5" customHeight="1">
      <c r="A56" s="108" t="s">
        <v>41076</v>
      </c>
      <c r="B56" s="107">
        <f>COUNTIFS(TOTAL!AN:AN,A56,TOTAL!F:F,"x",TOTAL!BO:BO,"&lt;&gt;x")</f>
        <v>0</v>
      </c>
      <c r="C56" s="105">
        <f>COUNTIFS(TOTAL!AN:AN,A56,TOTAL!D:D,"x",TOTAL!BO:BO,"&lt;&gt;x")</f>
        <v>0</v>
      </c>
      <c r="D56" s="106">
        <f>COUNTIFS(TOTAL!AN:AN,A56,TOTAL!J:J,"X",TOTAL!BO:BO,"&lt;&gt;x")+COUNTIFS(TOTAL!AN:AN,A56,TOTAL!N:N,"x",TOTAL!BO:BO,"&lt;&gt;x")+COUNTIFS(TOTAL!AN:AN,A56,TOTAL!L:L,"x",TOTAL!BO:BO,"&lt;&gt;x")</f>
        <v>0</v>
      </c>
      <c r="E56" s="103"/>
      <c r="F56" s="846">
        <f ca="1">COUNTIFS(TOTAL!AN:AN,A56,TOTAL!F:F,"x",TOTAL!BO:BO,"&lt;&gt;x",TOTAL!R:R,"&lt;="&amp;OVERVIEW!I39)</f>
        <v>0</v>
      </c>
      <c r="G56" s="105">
        <f ca="1">COUNTIFS(TOTAL!AN:AN,A56,TOTAL!D:D,"x",TOTAL!BO:BO,"&lt;&gt;x",TOTAL!R:R,"&lt;="&amp;OVERVIEW!I39)</f>
        <v>0</v>
      </c>
      <c r="H56" s="106">
        <f ca="1">COUNTIFS(TOTAL!AN:AN,A56,TOTAL!J:J,"X",TOTAL!BO:BO,"&lt;&gt;x",TOTAL!R:R,"&lt;="&amp;OVERVIEW!I39)+COUNTIFS(TOTAL!AN:AN,A56,TOTAL!N:N,"x",TOTAL!BO:BO,"&lt;&gt;x",TOTAL!R:R,"&lt;="&amp;OVERVIEW!I39)+COUNTIFS(TOTAL!AN:AN,A56,TOTAL!L:L,"x",TOTAL!BO:BO,"&lt;&gt;x",TOTAL!R:R,"&lt;="&amp;OVERVIEW!I39)</f>
        <v>0</v>
      </c>
      <c r="I56" s="103"/>
      <c r="J56" s="526">
        <f t="shared" ca="1" si="2"/>
        <v>0</v>
      </c>
      <c r="K56" s="524">
        <f t="shared" si="3"/>
        <v>0</v>
      </c>
    </row>
  </sheetData>
  <sortState xmlns:xlrd2="http://schemas.microsoft.com/office/spreadsheetml/2017/richdata2" ref="A2:K56">
    <sortCondition descending="1" ref="D2:D56"/>
  </sortState>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B84605-B2A6-4BAD-AB5D-CBC9F9C1C998}">
  <dimension ref="A1:V75"/>
  <sheetViews>
    <sheetView showGridLines="0" zoomScale="90" zoomScaleNormal="90" workbookViewId="0">
      <selection activeCell="G35" sqref="G35"/>
    </sheetView>
  </sheetViews>
  <sheetFormatPr defaultRowHeight="14.45"/>
  <cols>
    <col min="1" max="1" width="31.5703125" style="22" customWidth="1"/>
    <col min="2" max="2" width="3.42578125" style="22" customWidth="1"/>
    <col min="3" max="3" width="12.7109375" style="48" customWidth="1"/>
    <col min="4" max="4" width="37.7109375" style="22" bestFit="1" customWidth="1"/>
    <col min="5" max="8" width="17.28515625" style="45" customWidth="1"/>
    <col min="9" max="9" width="6.85546875" style="329" customWidth="1"/>
    <col min="10" max="10" width="1.42578125" style="48" customWidth="1"/>
    <col min="11" max="21" width="13.85546875" style="48" customWidth="1"/>
    <col min="22" max="22" width="13.85546875" customWidth="1"/>
  </cols>
  <sheetData>
    <row r="1" spans="1:22" ht="15" thickBot="1">
      <c r="A1" s="30"/>
      <c r="B1" s="30"/>
      <c r="C1" s="31"/>
      <c r="D1" s="30"/>
      <c r="E1" s="42" t="s">
        <v>4</v>
      </c>
      <c r="F1" s="42" t="s">
        <v>3</v>
      </c>
      <c r="G1" s="42" t="s">
        <v>5266</v>
      </c>
      <c r="H1" s="42" t="s">
        <v>5174</v>
      </c>
      <c r="I1" s="42" t="s">
        <v>5175</v>
      </c>
      <c r="J1" s="30"/>
      <c r="K1" s="31" t="s">
        <v>5176</v>
      </c>
      <c r="L1" s="31" t="s">
        <v>5177</v>
      </c>
      <c r="M1" s="31" t="s">
        <v>5178</v>
      </c>
      <c r="N1" s="31" t="s">
        <v>5179</v>
      </c>
      <c r="O1" s="31" t="s">
        <v>5180</v>
      </c>
      <c r="P1" s="31" t="s">
        <v>5181</v>
      </c>
      <c r="Q1" s="31" t="s">
        <v>5182</v>
      </c>
      <c r="R1" s="31" t="s">
        <v>5183</v>
      </c>
      <c r="S1" s="31" t="s">
        <v>5184</v>
      </c>
      <c r="T1" s="31" t="s">
        <v>5185</v>
      </c>
      <c r="U1" s="31" t="s">
        <v>2537</v>
      </c>
      <c r="V1" s="31" t="s">
        <v>3249</v>
      </c>
    </row>
    <row r="2" spans="1:22" ht="15" thickBot="1">
      <c r="C2" s="65" t="s">
        <v>5186</v>
      </c>
      <c r="D2" s="66"/>
      <c r="E2" s="67"/>
      <c r="F2" s="67"/>
      <c r="G2" s="67"/>
      <c r="H2" s="67"/>
      <c r="I2" s="67"/>
      <c r="J2" s="83"/>
      <c r="K2" s="84"/>
      <c r="L2" s="84"/>
      <c r="M2" s="84"/>
      <c r="N2" s="84"/>
      <c r="O2" s="84"/>
      <c r="P2" s="84"/>
      <c r="Q2" s="84"/>
      <c r="R2" s="84"/>
      <c r="S2" s="84"/>
      <c r="T2" s="84"/>
      <c r="U2" s="84"/>
      <c r="V2" s="86"/>
    </row>
    <row r="3" spans="1:22">
      <c r="A3" s="44" t="s">
        <v>5187</v>
      </c>
      <c r="C3" s="54" t="s">
        <v>5188</v>
      </c>
      <c r="D3" s="49"/>
      <c r="E3" s="432">
        <f>SUM(E4:E13)</f>
        <v>2600000</v>
      </c>
      <c r="F3" s="466">
        <f>SUM(F4:F13)</f>
        <v>2600000</v>
      </c>
      <c r="G3" s="625"/>
      <c r="H3" s="623">
        <f>F3-E3</f>
        <v>0</v>
      </c>
      <c r="I3" s="432"/>
      <c r="J3" s="95"/>
      <c r="K3" s="628">
        <f>SUM(K4)+SUM(K6:K13)</f>
        <v>131356.26999999999</v>
      </c>
      <c r="L3" s="628">
        <f t="shared" ref="L3:V3" si="0">SUM(L4)+SUM(L6:L13)</f>
        <v>10000</v>
      </c>
      <c r="M3" s="628">
        <f t="shared" si="0"/>
        <v>10000</v>
      </c>
      <c r="N3" s="628">
        <f t="shared" si="0"/>
        <v>20000</v>
      </c>
      <c r="O3" s="628">
        <f t="shared" si="0"/>
        <v>60000</v>
      </c>
      <c r="P3" s="628">
        <f t="shared" si="0"/>
        <v>1288643.73</v>
      </c>
      <c r="Q3" s="628">
        <f t="shared" si="0"/>
        <v>80000</v>
      </c>
      <c r="R3" s="628">
        <f t="shared" si="0"/>
        <v>30000</v>
      </c>
      <c r="S3" s="628">
        <f t="shared" si="0"/>
        <v>10000</v>
      </c>
      <c r="T3" s="628">
        <f t="shared" si="0"/>
        <v>10000</v>
      </c>
      <c r="U3" s="628">
        <f t="shared" si="0"/>
        <v>0</v>
      </c>
      <c r="V3" s="628">
        <f t="shared" si="0"/>
        <v>950000</v>
      </c>
    </row>
    <row r="4" spans="1:22">
      <c r="A4" s="73">
        <v>1750000</v>
      </c>
      <c r="C4" s="2" t="s">
        <v>5189</v>
      </c>
      <c r="D4" s="22" t="s">
        <v>5190</v>
      </c>
      <c r="E4" s="58">
        <v>2250000</v>
      </c>
      <c r="F4" s="336">
        <f>SUM(K4:V4)</f>
        <v>1900000</v>
      </c>
      <c r="G4" s="626"/>
      <c r="H4" s="624">
        <f>F4-SUM(K4:V4)</f>
        <v>0</v>
      </c>
      <c r="I4" s="58"/>
      <c r="J4" s="95"/>
      <c r="K4" s="228">
        <v>31356.27</v>
      </c>
      <c r="L4" s="229"/>
      <c r="M4" s="222"/>
      <c r="N4" s="229"/>
      <c r="O4" s="222"/>
      <c r="P4" s="229">
        <f>950000-SUM(K4:O4)</f>
        <v>918643.73</v>
      </c>
      <c r="Q4" s="222"/>
      <c r="R4" s="229"/>
      <c r="S4" s="222"/>
      <c r="T4" s="229"/>
      <c r="U4" s="222"/>
      <c r="V4" s="228">
        <f>950000-SUM(Q4:U4)</f>
        <v>950000</v>
      </c>
    </row>
    <row r="5" spans="1:22">
      <c r="A5" s="47" t="s">
        <v>5191</v>
      </c>
      <c r="C5" s="736" t="s">
        <v>33</v>
      </c>
      <c r="D5" s="737" t="s">
        <v>5267</v>
      </c>
      <c r="E5" s="738"/>
      <c r="F5" s="739"/>
      <c r="G5" s="740"/>
      <c r="H5" s="741"/>
      <c r="I5" s="738"/>
      <c r="J5" s="95"/>
      <c r="K5" s="742">
        <v>30000</v>
      </c>
      <c r="L5" s="743">
        <v>50000</v>
      </c>
      <c r="M5" s="744">
        <v>100000</v>
      </c>
      <c r="N5" s="743">
        <v>200000</v>
      </c>
      <c r="O5" s="744">
        <v>50000</v>
      </c>
      <c r="P5" s="743">
        <v>300000</v>
      </c>
      <c r="Q5" s="744">
        <v>270000</v>
      </c>
      <c r="R5" s="743">
        <v>50000</v>
      </c>
      <c r="S5" s="744">
        <v>300000</v>
      </c>
      <c r="T5" s="743">
        <v>250000</v>
      </c>
      <c r="U5" s="744">
        <v>150000</v>
      </c>
      <c r="V5" s="742">
        <v>150000</v>
      </c>
    </row>
    <row r="6" spans="1:22" ht="15" thickBot="1">
      <c r="A6" s="79">
        <f>ESTATES!A8</f>
        <v>8765967.3430000022</v>
      </c>
      <c r="C6" s="2" t="s">
        <v>5192</v>
      </c>
      <c r="D6" s="22" t="s">
        <v>5193</v>
      </c>
      <c r="E6" s="58">
        <v>350000</v>
      </c>
      <c r="F6" s="336">
        <f>SUM(K6:V6)</f>
        <v>400000</v>
      </c>
      <c r="G6" s="626"/>
      <c r="H6" s="624">
        <f>F6-E6</f>
        <v>50000</v>
      </c>
      <c r="I6" s="58"/>
      <c r="J6" s="95"/>
      <c r="K6" s="228"/>
      <c r="L6" s="229">
        <v>10000</v>
      </c>
      <c r="M6" s="222">
        <v>10000</v>
      </c>
      <c r="N6" s="229">
        <v>20000</v>
      </c>
      <c r="O6" s="222">
        <v>10000</v>
      </c>
      <c r="P6" s="229">
        <v>250000</v>
      </c>
      <c r="Q6" s="222">
        <v>50000</v>
      </c>
      <c r="R6" s="229">
        <v>30000</v>
      </c>
      <c r="S6" s="222">
        <v>10000</v>
      </c>
      <c r="T6" s="229">
        <v>10000</v>
      </c>
      <c r="U6" s="222"/>
      <c r="V6" s="228"/>
    </row>
    <row r="7" spans="1:22">
      <c r="C7" s="2" t="s">
        <v>5194</v>
      </c>
      <c r="D7" s="22" t="s">
        <v>5195</v>
      </c>
      <c r="E7" s="58"/>
      <c r="F7" s="336"/>
      <c r="G7" s="626"/>
      <c r="H7" s="624">
        <f>F7-E7</f>
        <v>0</v>
      </c>
      <c r="I7" s="58"/>
      <c r="J7" s="95"/>
      <c r="K7" s="228"/>
      <c r="L7" s="229"/>
      <c r="M7" s="222"/>
      <c r="N7" s="229"/>
      <c r="O7" s="222"/>
      <c r="P7" s="229"/>
      <c r="Q7" s="222"/>
      <c r="R7" s="229"/>
      <c r="S7" s="222"/>
      <c r="T7" s="229"/>
      <c r="U7" s="222"/>
      <c r="V7" s="228"/>
    </row>
    <row r="8" spans="1:22" ht="15" thickBot="1">
      <c r="C8" s="2" t="s">
        <v>5196</v>
      </c>
      <c r="D8" s="22" t="s">
        <v>5197</v>
      </c>
      <c r="E8" s="58">
        <v>0</v>
      </c>
      <c r="F8" s="336">
        <f>SUM(K8:V8)</f>
        <v>200000</v>
      </c>
      <c r="G8" s="626"/>
      <c r="H8" s="624"/>
      <c r="I8" s="58"/>
      <c r="J8" s="95"/>
      <c r="K8" s="228"/>
      <c r="L8" s="229"/>
      <c r="M8" s="222"/>
      <c r="N8" s="229"/>
      <c r="O8" s="222">
        <v>50000</v>
      </c>
      <c r="P8" s="229">
        <v>120000</v>
      </c>
      <c r="Q8" s="222">
        <v>30000</v>
      </c>
      <c r="R8" s="229"/>
      <c r="S8" s="222"/>
      <c r="T8" s="229"/>
      <c r="U8" s="222"/>
      <c r="V8" s="228"/>
    </row>
    <row r="9" spans="1:22">
      <c r="A9" s="44" t="s">
        <v>5200</v>
      </c>
      <c r="C9" s="2" t="s">
        <v>5198</v>
      </c>
      <c r="D9" s="22" t="s">
        <v>5199</v>
      </c>
      <c r="E9" s="58"/>
      <c r="F9" s="336"/>
      <c r="G9" s="626"/>
      <c r="H9" s="624"/>
      <c r="I9" s="58"/>
      <c r="J9" s="95"/>
      <c r="K9" s="228"/>
      <c r="L9" s="229"/>
      <c r="M9" s="222"/>
      <c r="N9" s="229"/>
      <c r="O9" s="222"/>
      <c r="P9" s="229"/>
      <c r="Q9" s="222"/>
      <c r="R9" s="229"/>
      <c r="S9" s="222"/>
      <c r="T9" s="229"/>
      <c r="U9" s="222"/>
      <c r="V9" s="228"/>
    </row>
    <row r="10" spans="1:22">
      <c r="A10" s="73">
        <f>E15</f>
        <v>245878.52000000002</v>
      </c>
      <c r="C10" s="2" t="s">
        <v>5201</v>
      </c>
      <c r="D10" s="22" t="s">
        <v>5202</v>
      </c>
      <c r="E10" s="58"/>
      <c r="F10" s="336"/>
      <c r="G10" s="626"/>
      <c r="H10" s="624"/>
      <c r="I10" s="58"/>
      <c r="J10" s="95"/>
      <c r="K10" s="228"/>
      <c r="L10" s="229"/>
      <c r="M10" s="222"/>
      <c r="N10" s="229"/>
      <c r="O10" s="222"/>
      <c r="P10" s="229"/>
      <c r="Q10" s="222"/>
      <c r="R10" s="229"/>
      <c r="S10" s="222"/>
      <c r="T10" s="229"/>
      <c r="U10" s="222"/>
      <c r="V10" s="228"/>
    </row>
    <row r="11" spans="1:22">
      <c r="A11" s="47" t="s">
        <v>5205</v>
      </c>
      <c r="C11" s="2" t="s">
        <v>5203</v>
      </c>
      <c r="D11" s="22" t="s">
        <v>5204</v>
      </c>
      <c r="E11" s="58"/>
      <c r="F11" s="336"/>
      <c r="G11" s="626"/>
      <c r="H11" s="624"/>
      <c r="I11" s="58"/>
      <c r="J11" s="95"/>
      <c r="K11" s="228"/>
      <c r="L11" s="229"/>
      <c r="M11" s="222"/>
      <c r="N11" s="229"/>
      <c r="O11" s="222"/>
      <c r="P11" s="229"/>
      <c r="Q11" s="222"/>
      <c r="R11" s="229"/>
      <c r="S11" s="222"/>
      <c r="T11" s="229"/>
      <c r="U11" s="222"/>
      <c r="V11" s="228"/>
    </row>
    <row r="12" spans="1:22" ht="15" thickBot="1">
      <c r="A12" s="79">
        <f>H15</f>
        <v>61411.75999999998</v>
      </c>
      <c r="C12" s="2" t="s">
        <v>5206</v>
      </c>
      <c r="D12" s="22" t="s">
        <v>5207</v>
      </c>
      <c r="E12" s="58"/>
      <c r="F12" s="336"/>
      <c r="G12" s="626"/>
      <c r="H12" s="624"/>
      <c r="I12" s="58"/>
      <c r="J12" s="95"/>
      <c r="K12" s="228"/>
      <c r="L12" s="229"/>
      <c r="M12" s="222"/>
      <c r="N12" s="229"/>
      <c r="O12" s="222"/>
      <c r="P12" s="229"/>
      <c r="Q12" s="222"/>
      <c r="R12" s="229"/>
      <c r="S12" s="222"/>
      <c r="T12" s="229"/>
      <c r="U12" s="222"/>
      <c r="V12" s="228"/>
    </row>
    <row r="13" spans="1:22">
      <c r="C13" s="2" t="s">
        <v>5208</v>
      </c>
      <c r="D13" s="22" t="s">
        <v>5209</v>
      </c>
      <c r="E13" s="60">
        <v>0</v>
      </c>
      <c r="F13" s="336">
        <f>SUM(K13:V13)</f>
        <v>100000</v>
      </c>
      <c r="G13" s="627"/>
      <c r="H13" s="624"/>
      <c r="I13" s="58"/>
      <c r="J13" s="95"/>
      <c r="K13" s="228">
        <v>100000</v>
      </c>
      <c r="L13" s="229"/>
      <c r="M13" s="222"/>
      <c r="N13" s="229"/>
      <c r="O13" s="222"/>
      <c r="P13" s="229"/>
      <c r="Q13" s="222"/>
      <c r="R13" s="229"/>
      <c r="S13" s="222"/>
      <c r="T13" s="229"/>
      <c r="U13" s="222"/>
      <c r="V13" s="228"/>
    </row>
    <row r="14" spans="1:22" ht="15" thickBot="1">
      <c r="C14" s="69" t="s">
        <v>5210</v>
      </c>
      <c r="D14" s="70"/>
      <c r="E14" s="71"/>
      <c r="F14" s="71"/>
      <c r="G14" s="71"/>
      <c r="H14" s="71"/>
      <c r="I14" s="71"/>
      <c r="J14" s="32"/>
      <c r="K14" s="82"/>
      <c r="L14" s="82"/>
      <c r="M14" s="82"/>
      <c r="N14" s="82"/>
      <c r="O14" s="82"/>
      <c r="P14" s="82"/>
      <c r="Q14" s="82"/>
      <c r="R14" s="82"/>
      <c r="S14" s="82"/>
      <c r="T14" s="82"/>
      <c r="U14" s="82"/>
      <c r="V14" s="88"/>
    </row>
    <row r="15" spans="1:22">
      <c r="C15" s="55" t="s">
        <v>5188</v>
      </c>
      <c r="D15" s="51"/>
      <c r="E15" s="162">
        <v>245878.52000000002</v>
      </c>
      <c r="F15" s="622">
        <f>SUM(F16:F75)</f>
        <v>208951.52</v>
      </c>
      <c r="G15" s="467">
        <f>SUM(G16:G75)</f>
        <v>147539.76</v>
      </c>
      <c r="H15" s="162">
        <f>F15-G15</f>
        <v>61411.75999999998</v>
      </c>
      <c r="I15" s="162"/>
      <c r="J15" s="95"/>
      <c r="K15" s="628">
        <v>23847.279999999999</v>
      </c>
      <c r="L15" s="629">
        <v>15938</v>
      </c>
      <c r="M15" s="630">
        <v>16786.5</v>
      </c>
      <c r="N15" s="629">
        <v>29784.25</v>
      </c>
      <c r="O15" s="630">
        <v>33396</v>
      </c>
      <c r="P15" s="629">
        <v>13550.5</v>
      </c>
      <c r="Q15" s="630">
        <v>45608.5</v>
      </c>
      <c r="R15" s="629">
        <v>19995.25</v>
      </c>
      <c r="S15" s="630">
        <v>8721</v>
      </c>
      <c r="T15" s="629">
        <v>22625.5</v>
      </c>
      <c r="U15" s="630">
        <v>6218</v>
      </c>
      <c r="V15" s="631">
        <v>4700.5</v>
      </c>
    </row>
    <row r="16" spans="1:22">
      <c r="C16" s="2">
        <v>51000</v>
      </c>
      <c r="D16" s="22" t="s">
        <v>5211</v>
      </c>
      <c r="E16" s="58">
        <v>5435</v>
      </c>
      <c r="F16" s="286">
        <v>5435</v>
      </c>
      <c r="G16" s="286">
        <v>4982</v>
      </c>
      <c r="H16" s="286">
        <f>F16-G16</f>
        <v>453</v>
      </c>
      <c r="I16" s="223"/>
      <c r="J16" s="95"/>
      <c r="K16" s="228">
        <v>900</v>
      </c>
      <c r="L16" s="229"/>
      <c r="M16" s="222"/>
      <c r="N16" s="229">
        <v>900</v>
      </c>
      <c r="O16" s="222"/>
      <c r="P16" s="229">
        <v>1835</v>
      </c>
      <c r="Q16" s="222">
        <v>900</v>
      </c>
      <c r="R16" s="229"/>
      <c r="S16" s="222"/>
      <c r="T16" s="229">
        <v>900</v>
      </c>
      <c r="U16" s="222"/>
      <c r="V16" s="228"/>
    </row>
    <row r="17" spans="3:22">
      <c r="C17" s="2">
        <v>51100</v>
      </c>
      <c r="D17" s="22" t="s">
        <v>5212</v>
      </c>
      <c r="E17" s="58"/>
      <c r="F17" s="286"/>
      <c r="G17" s="286"/>
      <c r="H17" s="286"/>
      <c r="I17" s="223"/>
      <c r="J17" s="95"/>
      <c r="K17" s="228"/>
      <c r="L17" s="229"/>
      <c r="M17" s="222"/>
      <c r="N17" s="229"/>
      <c r="O17" s="222"/>
      <c r="P17" s="229"/>
      <c r="Q17" s="222"/>
      <c r="R17" s="229"/>
      <c r="S17" s="222"/>
      <c r="T17" s="229"/>
      <c r="U17" s="222"/>
      <c r="V17" s="228"/>
    </row>
    <row r="18" spans="3:22">
      <c r="C18" s="2">
        <v>51200</v>
      </c>
      <c r="D18" s="22" t="s">
        <v>5213</v>
      </c>
      <c r="E18" s="58"/>
      <c r="F18" s="286"/>
      <c r="G18" s="286"/>
      <c r="H18" s="286">
        <f t="shared" ref="H18" si="1">F18-G18</f>
        <v>0</v>
      </c>
      <c r="I18" s="223"/>
      <c r="J18" s="95"/>
      <c r="K18" s="228"/>
      <c r="L18" s="229"/>
      <c r="M18" s="222"/>
      <c r="N18" s="229"/>
      <c r="O18" s="222"/>
      <c r="P18" s="229"/>
      <c r="Q18" s="222"/>
      <c r="R18" s="229"/>
      <c r="S18" s="222"/>
      <c r="T18" s="229"/>
      <c r="U18" s="222"/>
      <c r="V18" s="228"/>
    </row>
    <row r="19" spans="3:22">
      <c r="C19" s="2">
        <v>51300</v>
      </c>
      <c r="D19" s="22" t="s">
        <v>5214</v>
      </c>
      <c r="E19" s="58">
        <v>8415</v>
      </c>
      <c r="F19" s="286"/>
      <c r="G19" s="286">
        <v>8993</v>
      </c>
      <c r="H19" s="286">
        <f>F19-G19</f>
        <v>-8993</v>
      </c>
      <c r="I19" s="223"/>
      <c r="J19" s="95"/>
      <c r="K19" s="228"/>
      <c r="L19" s="229"/>
      <c r="M19" s="222">
        <v>2000</v>
      </c>
      <c r="N19" s="229">
        <v>500</v>
      </c>
      <c r="O19" s="222">
        <v>2000</v>
      </c>
      <c r="P19" s="229">
        <v>500</v>
      </c>
      <c r="Q19" s="222">
        <v>200</v>
      </c>
      <c r="R19" s="229">
        <v>2000</v>
      </c>
      <c r="S19" s="222">
        <v>300</v>
      </c>
      <c r="T19" s="229">
        <v>2000</v>
      </c>
      <c r="U19" s="222"/>
      <c r="V19" s="228"/>
    </row>
    <row r="20" spans="3:22">
      <c r="C20" s="2">
        <v>51400</v>
      </c>
      <c r="D20" s="22" t="s">
        <v>5215</v>
      </c>
      <c r="E20" s="58"/>
      <c r="F20" s="286"/>
      <c r="G20" s="286"/>
      <c r="H20" s="286"/>
      <c r="I20" s="223"/>
      <c r="J20" s="95"/>
      <c r="K20" s="228"/>
      <c r="L20" s="229"/>
      <c r="M20" s="222"/>
      <c r="N20" s="229"/>
      <c r="O20" s="222"/>
      <c r="P20" s="229"/>
      <c r="Q20" s="222"/>
      <c r="R20" s="229"/>
      <c r="S20" s="222"/>
      <c r="T20" s="229"/>
      <c r="U20" s="222"/>
      <c r="V20" s="228"/>
    </row>
    <row r="21" spans="3:22">
      <c r="C21" s="2">
        <v>51500</v>
      </c>
      <c r="D21" s="22" t="s">
        <v>5216</v>
      </c>
      <c r="E21" s="58"/>
      <c r="F21" s="286"/>
      <c r="G21" s="286"/>
      <c r="H21" s="286"/>
      <c r="I21" s="223"/>
      <c r="J21" s="95"/>
      <c r="K21" s="228"/>
      <c r="L21" s="229"/>
      <c r="M21" s="222"/>
      <c r="N21" s="229"/>
      <c r="O21" s="222"/>
      <c r="P21" s="229"/>
      <c r="Q21" s="222"/>
      <c r="R21" s="229"/>
      <c r="S21" s="222"/>
      <c r="T21" s="229"/>
      <c r="U21" s="222"/>
      <c r="V21" s="228"/>
    </row>
    <row r="22" spans="3:22">
      <c r="C22" s="2">
        <v>51600</v>
      </c>
      <c r="D22" s="22" t="s">
        <v>5217</v>
      </c>
      <c r="E22" s="58"/>
      <c r="F22" s="286"/>
      <c r="G22" s="286"/>
      <c r="H22" s="286"/>
      <c r="I22" s="223"/>
      <c r="J22" s="95"/>
      <c r="K22" s="228"/>
      <c r="L22" s="229"/>
      <c r="M22" s="222"/>
      <c r="N22" s="229"/>
      <c r="O22" s="222"/>
      <c r="P22" s="229"/>
      <c r="Q22" s="222"/>
      <c r="R22" s="229"/>
      <c r="S22" s="222"/>
      <c r="T22" s="229"/>
      <c r="U22" s="222"/>
      <c r="V22" s="228"/>
    </row>
    <row r="23" spans="3:22">
      <c r="C23" s="2">
        <v>51700</v>
      </c>
      <c r="D23" s="22" t="s">
        <v>5218</v>
      </c>
      <c r="E23" s="58"/>
      <c r="F23" s="286"/>
      <c r="G23" s="286"/>
      <c r="H23" s="286"/>
      <c r="I23" s="223"/>
      <c r="J23" s="95"/>
      <c r="K23" s="228"/>
      <c r="L23" s="229"/>
      <c r="M23" s="222"/>
      <c r="N23" s="229"/>
      <c r="O23" s="222"/>
      <c r="P23" s="229"/>
      <c r="Q23" s="222"/>
      <c r="R23" s="229"/>
      <c r="S23" s="222"/>
      <c r="T23" s="229"/>
      <c r="U23" s="222"/>
      <c r="V23" s="228"/>
    </row>
    <row r="24" spans="3:22">
      <c r="C24" s="2">
        <v>51800</v>
      </c>
      <c r="D24" s="22" t="s">
        <v>5219</v>
      </c>
      <c r="E24" s="58">
        <v>1500</v>
      </c>
      <c r="F24" s="286">
        <v>3000</v>
      </c>
      <c r="G24" s="286">
        <v>4159</v>
      </c>
      <c r="H24" s="286">
        <f>F24-G24</f>
        <v>-1159</v>
      </c>
      <c r="I24" s="223"/>
      <c r="J24" s="95"/>
      <c r="K24" s="228"/>
      <c r="L24" s="229"/>
      <c r="M24" s="222"/>
      <c r="N24" s="229"/>
      <c r="O24" s="222"/>
      <c r="P24" s="229">
        <v>1500</v>
      </c>
      <c r="Q24" s="222"/>
      <c r="R24" s="229"/>
      <c r="S24" s="222"/>
      <c r="T24" s="229">
        <v>2000</v>
      </c>
      <c r="U24" s="222"/>
      <c r="V24" s="228">
        <v>1500</v>
      </c>
    </row>
    <row r="25" spans="3:22">
      <c r="C25" s="2">
        <v>51850</v>
      </c>
      <c r="D25" s="22" t="s">
        <v>5220</v>
      </c>
      <c r="E25" s="58">
        <v>15000</v>
      </c>
      <c r="F25" s="286">
        <v>15000</v>
      </c>
      <c r="G25" s="286"/>
      <c r="H25" s="286">
        <f>F25-G25</f>
        <v>15000</v>
      </c>
      <c r="I25" s="223"/>
      <c r="J25" s="95"/>
      <c r="K25" s="228">
        <v>2437.5</v>
      </c>
      <c r="L25" s="229">
        <v>2437.5</v>
      </c>
      <c r="M25" s="222">
        <v>2437.5</v>
      </c>
      <c r="N25" s="229">
        <v>2437.5</v>
      </c>
      <c r="O25" s="222">
        <v>2437.5</v>
      </c>
      <c r="P25" s="229">
        <v>2437.5</v>
      </c>
      <c r="Q25" s="222">
        <v>2437.5</v>
      </c>
      <c r="R25" s="229">
        <v>2437.5</v>
      </c>
      <c r="S25" s="222">
        <v>2437.5</v>
      </c>
      <c r="T25" s="229">
        <v>2437.5</v>
      </c>
      <c r="U25" s="222">
        <v>2437.5</v>
      </c>
      <c r="V25" s="228">
        <v>2437.5</v>
      </c>
    </row>
    <row r="26" spans="3:22">
      <c r="C26" s="2">
        <v>52000</v>
      </c>
      <c r="D26" s="22" t="s">
        <v>5221</v>
      </c>
      <c r="E26" s="58"/>
      <c r="F26" s="286"/>
      <c r="G26" s="286"/>
      <c r="H26" s="286"/>
      <c r="I26" s="223"/>
      <c r="J26" s="95"/>
      <c r="K26" s="228"/>
      <c r="L26" s="229"/>
      <c r="M26" s="222"/>
      <c r="N26" s="229"/>
      <c r="O26" s="222"/>
      <c r="P26" s="229"/>
      <c r="Q26" s="222"/>
      <c r="R26" s="229"/>
      <c r="S26" s="222"/>
      <c r="T26" s="229"/>
      <c r="U26" s="222"/>
      <c r="V26" s="228"/>
    </row>
    <row r="27" spans="3:22">
      <c r="C27" s="2">
        <v>52100</v>
      </c>
      <c r="D27" s="22" t="s">
        <v>5222</v>
      </c>
      <c r="E27" s="58">
        <v>300</v>
      </c>
      <c r="F27" s="286">
        <v>1565</v>
      </c>
      <c r="G27" s="286"/>
      <c r="H27" s="286">
        <f>F27-G27</f>
        <v>1565</v>
      </c>
      <c r="I27" s="223"/>
      <c r="J27" s="95"/>
      <c r="K27" s="228">
        <v>250</v>
      </c>
      <c r="L27" s="229"/>
      <c r="M27" s="222"/>
      <c r="N27" s="229"/>
      <c r="O27" s="222"/>
      <c r="P27" s="229"/>
      <c r="Q27" s="222">
        <v>250</v>
      </c>
      <c r="R27" s="229"/>
      <c r="S27" s="222"/>
      <c r="T27" s="229"/>
      <c r="U27" s="222"/>
      <c r="V27" s="228"/>
    </row>
    <row r="28" spans="3:22">
      <c r="C28" s="2">
        <v>52200</v>
      </c>
      <c r="D28" s="22" t="s">
        <v>5223</v>
      </c>
      <c r="E28" s="58"/>
      <c r="F28" s="286"/>
      <c r="G28" s="286"/>
      <c r="H28" s="286"/>
      <c r="I28" s="223"/>
      <c r="J28" s="95"/>
      <c r="K28" s="228"/>
      <c r="L28" s="229"/>
      <c r="M28" s="222"/>
      <c r="N28" s="229"/>
      <c r="O28" s="222"/>
      <c r="P28" s="229"/>
      <c r="Q28" s="222"/>
      <c r="R28" s="229"/>
      <c r="S28" s="222"/>
      <c r="T28" s="229"/>
      <c r="U28" s="222"/>
      <c r="V28" s="228"/>
    </row>
    <row r="29" spans="3:22">
      <c r="C29" s="2">
        <v>52300</v>
      </c>
      <c r="D29" s="22" t="s">
        <v>5224</v>
      </c>
      <c r="E29" s="58"/>
      <c r="F29" s="286"/>
      <c r="G29" s="286"/>
      <c r="H29" s="286"/>
      <c r="I29" s="223"/>
      <c r="J29" s="95"/>
      <c r="K29" s="228"/>
      <c r="L29" s="229"/>
      <c r="M29" s="222"/>
      <c r="N29" s="229"/>
      <c r="O29" s="222"/>
      <c r="P29" s="229"/>
      <c r="Q29" s="222"/>
      <c r="R29" s="229"/>
      <c r="S29" s="222"/>
      <c r="T29" s="229"/>
      <c r="U29" s="222"/>
      <c r="V29" s="228"/>
    </row>
    <row r="30" spans="3:22">
      <c r="C30" s="2">
        <v>53000</v>
      </c>
      <c r="D30" s="22" t="s">
        <v>5225</v>
      </c>
      <c r="E30" s="58">
        <v>375</v>
      </c>
      <c r="F30" s="286">
        <v>500</v>
      </c>
      <c r="G30" s="286">
        <v>542</v>
      </c>
      <c r="H30" s="286">
        <f>F30-G30</f>
        <v>-42</v>
      </c>
      <c r="I30" s="223"/>
      <c r="J30" s="95"/>
      <c r="K30" s="228">
        <v>250</v>
      </c>
      <c r="L30" s="229"/>
      <c r="M30" s="222"/>
      <c r="N30" s="229"/>
      <c r="O30" s="222"/>
      <c r="P30" s="229"/>
      <c r="Q30" s="222">
        <v>250</v>
      </c>
      <c r="R30" s="229"/>
      <c r="S30" s="222"/>
      <c r="T30" s="229"/>
      <c r="U30" s="222"/>
      <c r="V30" s="228"/>
    </row>
    <row r="31" spans="3:22">
      <c r="C31" s="2">
        <v>53100</v>
      </c>
      <c r="D31" s="22" t="s">
        <v>5226</v>
      </c>
      <c r="E31" s="58"/>
      <c r="F31" s="286"/>
      <c r="G31" s="286"/>
      <c r="H31" s="286"/>
      <c r="I31" s="223"/>
      <c r="J31" s="95"/>
      <c r="K31" s="228"/>
      <c r="L31" s="229"/>
      <c r="M31" s="222"/>
      <c r="N31" s="229"/>
      <c r="O31" s="222"/>
      <c r="P31" s="229"/>
      <c r="Q31" s="222"/>
      <c r="R31" s="229"/>
      <c r="S31" s="222"/>
      <c r="T31" s="229"/>
      <c r="U31" s="222"/>
      <c r="V31" s="228"/>
    </row>
    <row r="32" spans="3:22">
      <c r="C32" s="2">
        <v>53200</v>
      </c>
      <c r="D32" s="22" t="s">
        <v>5227</v>
      </c>
      <c r="E32" s="58"/>
      <c r="F32" s="286"/>
      <c r="G32" s="286">
        <v>218</v>
      </c>
      <c r="H32" s="286"/>
      <c r="I32" s="223"/>
      <c r="J32" s="95"/>
      <c r="K32" s="228"/>
      <c r="L32" s="229"/>
      <c r="M32" s="222"/>
      <c r="N32" s="229"/>
      <c r="O32" s="222"/>
      <c r="P32" s="229"/>
      <c r="Q32" s="222"/>
      <c r="R32" s="229"/>
      <c r="S32" s="222"/>
      <c r="T32" s="229"/>
      <c r="U32" s="222"/>
      <c r="V32" s="228"/>
    </row>
    <row r="33" spans="1:22">
      <c r="C33" s="2">
        <v>53300</v>
      </c>
      <c r="D33" s="22" t="s">
        <v>5228</v>
      </c>
      <c r="E33" s="58">
        <v>1676.24</v>
      </c>
      <c r="F33" s="286">
        <v>2766.24</v>
      </c>
      <c r="G33" s="286">
        <f>34940+1315</f>
        <v>36255</v>
      </c>
      <c r="H33" s="285">
        <f>F33-G33</f>
        <v>-33488.76</v>
      </c>
      <c r="I33" s="223"/>
      <c r="J33" s="95"/>
      <c r="K33" s="228">
        <v>50</v>
      </c>
      <c r="L33" s="229">
        <v>50</v>
      </c>
      <c r="M33" s="222">
        <v>50</v>
      </c>
      <c r="N33" s="229">
        <v>50</v>
      </c>
      <c r="O33" s="222">
        <v>50</v>
      </c>
      <c r="P33" s="229">
        <v>50</v>
      </c>
      <c r="Q33" s="222">
        <v>50</v>
      </c>
      <c r="R33" s="229">
        <v>50</v>
      </c>
      <c r="S33" s="222">
        <v>50</v>
      </c>
      <c r="T33" s="229">
        <v>50</v>
      </c>
      <c r="U33" s="222">
        <v>50</v>
      </c>
      <c r="V33" s="228">
        <v>50</v>
      </c>
    </row>
    <row r="34" spans="1:22">
      <c r="C34" s="2">
        <v>54000</v>
      </c>
      <c r="D34" s="22" t="s">
        <v>5229</v>
      </c>
      <c r="E34" s="58">
        <v>180.28</v>
      </c>
      <c r="F34" s="286">
        <v>180.28</v>
      </c>
      <c r="G34" s="286">
        <f>159.96+375.8</f>
        <v>535.76</v>
      </c>
      <c r="H34" s="286">
        <f t="shared" ref="H34:H39" si="2">F34-G34</f>
        <v>-355.48</v>
      </c>
      <c r="I34" s="223"/>
      <c r="J34" s="95"/>
      <c r="K34" s="228">
        <v>180.28</v>
      </c>
      <c r="L34" s="229"/>
      <c r="M34" s="222"/>
      <c r="N34" s="229"/>
      <c r="O34" s="222"/>
      <c r="P34" s="229"/>
      <c r="Q34" s="222"/>
      <c r="R34" s="229"/>
      <c r="S34" s="222"/>
      <c r="T34" s="229"/>
      <c r="U34" s="222"/>
      <c r="V34" s="228"/>
    </row>
    <row r="35" spans="1:22">
      <c r="C35" s="2">
        <v>55000</v>
      </c>
      <c r="D35" s="22" t="s">
        <v>5230</v>
      </c>
      <c r="E35" s="58">
        <v>3750</v>
      </c>
      <c r="F35" s="286">
        <v>1150</v>
      </c>
      <c r="G35" s="286">
        <v>1842</v>
      </c>
      <c r="H35" s="286">
        <f t="shared" si="2"/>
        <v>-692</v>
      </c>
      <c r="I35" s="223"/>
      <c r="J35" s="95"/>
      <c r="K35" s="228">
        <v>400</v>
      </c>
      <c r="L35" s="229">
        <v>400</v>
      </c>
      <c r="M35" s="222">
        <v>400</v>
      </c>
      <c r="N35" s="229">
        <v>400</v>
      </c>
      <c r="O35" s="222">
        <v>400</v>
      </c>
      <c r="P35" s="229">
        <v>600</v>
      </c>
      <c r="Q35" s="222">
        <v>400</v>
      </c>
      <c r="R35" s="229">
        <v>400</v>
      </c>
      <c r="S35" s="222">
        <v>400</v>
      </c>
      <c r="T35" s="229">
        <v>400</v>
      </c>
      <c r="U35" s="222">
        <v>400</v>
      </c>
      <c r="V35" s="228">
        <v>400</v>
      </c>
    </row>
    <row r="36" spans="1:22">
      <c r="C36" s="2">
        <v>55100</v>
      </c>
      <c r="D36" s="22" t="s">
        <v>5231</v>
      </c>
      <c r="E36" s="58">
        <v>41000</v>
      </c>
      <c r="F36" s="286">
        <v>31450</v>
      </c>
      <c r="G36" s="286">
        <v>2591</v>
      </c>
      <c r="H36" s="286">
        <f t="shared" si="2"/>
        <v>28859</v>
      </c>
      <c r="I36" s="223"/>
      <c r="J36" s="95"/>
      <c r="K36" s="228">
        <v>2624</v>
      </c>
      <c r="L36" s="229">
        <v>4140</v>
      </c>
      <c r="M36" s="222">
        <v>3624</v>
      </c>
      <c r="N36" s="229">
        <v>850</v>
      </c>
      <c r="O36" s="222">
        <v>7624</v>
      </c>
      <c r="P36" s="229">
        <v>9400</v>
      </c>
      <c r="Q36" s="222">
        <v>1686</v>
      </c>
      <c r="R36" s="229">
        <v>3624</v>
      </c>
      <c r="S36" s="222">
        <v>2000</v>
      </c>
      <c r="T36" s="229">
        <v>3500</v>
      </c>
      <c r="U36" s="222">
        <v>964</v>
      </c>
      <c r="V36" s="228">
        <v>964</v>
      </c>
    </row>
    <row r="37" spans="1:22">
      <c r="C37" s="2">
        <v>55200</v>
      </c>
      <c r="D37" s="22" t="s">
        <v>5232</v>
      </c>
      <c r="E37" s="58">
        <v>10000</v>
      </c>
      <c r="F37" s="286">
        <v>5000</v>
      </c>
      <c r="G37" s="286">
        <v>13542</v>
      </c>
      <c r="H37" s="286">
        <f t="shared" si="2"/>
        <v>-8542</v>
      </c>
      <c r="I37" s="223"/>
      <c r="J37" s="95"/>
      <c r="K37" s="228"/>
      <c r="L37" s="229">
        <v>2000</v>
      </c>
      <c r="M37" s="222">
        <v>500</v>
      </c>
      <c r="N37" s="229">
        <v>2000</v>
      </c>
      <c r="O37" s="222">
        <v>500</v>
      </c>
      <c r="P37" s="229">
        <v>500</v>
      </c>
      <c r="Q37" s="222">
        <v>2000</v>
      </c>
      <c r="R37" s="229">
        <v>500</v>
      </c>
      <c r="S37" s="222">
        <v>1500</v>
      </c>
      <c r="T37" s="229">
        <v>500</v>
      </c>
      <c r="U37" s="222"/>
      <c r="V37" s="228"/>
    </row>
    <row r="38" spans="1:22">
      <c r="C38" s="2">
        <v>55300</v>
      </c>
      <c r="D38" s="22" t="s">
        <v>5233</v>
      </c>
      <c r="E38" s="58">
        <v>750</v>
      </c>
      <c r="F38" s="286">
        <v>1350</v>
      </c>
      <c r="G38" s="286">
        <v>1507</v>
      </c>
      <c r="H38" s="286">
        <f t="shared" si="2"/>
        <v>-157</v>
      </c>
      <c r="I38" s="223"/>
      <c r="J38" s="95"/>
      <c r="K38" s="228">
        <v>80</v>
      </c>
      <c r="L38" s="229">
        <v>80</v>
      </c>
      <c r="M38" s="222">
        <v>80</v>
      </c>
      <c r="N38" s="229">
        <v>80</v>
      </c>
      <c r="O38" s="222">
        <v>80</v>
      </c>
      <c r="P38" s="229">
        <v>120</v>
      </c>
      <c r="Q38" s="222">
        <v>80</v>
      </c>
      <c r="R38" s="229">
        <v>80</v>
      </c>
      <c r="S38" s="222">
        <v>80</v>
      </c>
      <c r="T38" s="229">
        <v>80</v>
      </c>
      <c r="U38" s="222">
        <v>80</v>
      </c>
      <c r="V38" s="228">
        <v>80</v>
      </c>
    </row>
    <row r="39" spans="1:22">
      <c r="C39" s="2">
        <v>56000</v>
      </c>
      <c r="D39" s="22" t="s">
        <v>5234</v>
      </c>
      <c r="E39" s="58">
        <v>79000</v>
      </c>
      <c r="F39" s="286">
        <v>39750</v>
      </c>
      <c r="G39" s="286">
        <v>11987</v>
      </c>
      <c r="H39" s="286">
        <f t="shared" si="2"/>
        <v>27763</v>
      </c>
      <c r="I39" s="223"/>
      <c r="J39" s="95"/>
      <c r="K39" s="228">
        <v>7437</v>
      </c>
      <c r="L39" s="229">
        <v>3375</v>
      </c>
      <c r="M39" s="222">
        <v>7437</v>
      </c>
      <c r="N39" s="229">
        <v>11650</v>
      </c>
      <c r="O39" s="222">
        <v>19812</v>
      </c>
      <c r="P39" s="229">
        <v>1250</v>
      </c>
      <c r="Q39" s="222">
        <v>17227</v>
      </c>
      <c r="R39" s="229">
        <v>7437</v>
      </c>
      <c r="S39" s="222"/>
      <c r="T39" s="229">
        <v>3375</v>
      </c>
      <c r="U39" s="222"/>
      <c r="V39" s="228"/>
    </row>
    <row r="40" spans="1:22">
      <c r="C40" s="2">
        <v>56100</v>
      </c>
      <c r="D40" s="22" t="s">
        <v>5235</v>
      </c>
      <c r="E40" s="58"/>
      <c r="F40" s="286"/>
      <c r="G40" s="286"/>
      <c r="H40" s="286"/>
      <c r="I40" s="223"/>
      <c r="J40" s="95"/>
      <c r="K40" s="228"/>
      <c r="L40" s="229"/>
      <c r="M40" s="222"/>
      <c r="N40" s="229"/>
      <c r="O40" s="222"/>
      <c r="P40" s="229"/>
      <c r="Q40" s="222"/>
      <c r="R40" s="229"/>
      <c r="S40" s="222"/>
      <c r="T40" s="229"/>
      <c r="U40" s="222"/>
      <c r="V40" s="228"/>
    </row>
    <row r="41" spans="1:22">
      <c r="C41" s="2">
        <v>56500</v>
      </c>
      <c r="D41" s="22" t="s">
        <v>5236</v>
      </c>
      <c r="E41" s="58">
        <v>24000</v>
      </c>
      <c r="F41" s="286">
        <v>24000</v>
      </c>
      <c r="G41" s="286">
        <v>24000</v>
      </c>
      <c r="H41" s="286">
        <f>F41-G41</f>
        <v>0</v>
      </c>
      <c r="I41" s="223"/>
      <c r="J41" s="95"/>
      <c r="K41" s="228">
        <v>6000</v>
      </c>
      <c r="L41" s="229"/>
      <c r="M41" s="222"/>
      <c r="N41" s="229">
        <v>6000</v>
      </c>
      <c r="O41" s="222"/>
      <c r="P41" s="229"/>
      <c r="Q41" s="222">
        <v>6000</v>
      </c>
      <c r="R41" s="229"/>
      <c r="S41" s="222"/>
      <c r="T41" s="229">
        <v>6000</v>
      </c>
      <c r="U41" s="222"/>
      <c r="V41" s="228"/>
    </row>
    <row r="42" spans="1:22">
      <c r="C42" s="2">
        <v>57100</v>
      </c>
      <c r="D42" s="22" t="s">
        <v>5237</v>
      </c>
      <c r="E42" s="58"/>
      <c r="F42" s="286">
        <v>8000</v>
      </c>
      <c r="G42" s="286">
        <v>301</v>
      </c>
      <c r="H42" s="286">
        <f>F42-G42</f>
        <v>7699</v>
      </c>
      <c r="I42" s="223"/>
      <c r="J42" s="95"/>
      <c r="K42" s="228"/>
      <c r="L42" s="229"/>
      <c r="M42" s="222"/>
      <c r="N42" s="229"/>
      <c r="O42" s="222"/>
      <c r="P42" s="229"/>
      <c r="Q42" s="222"/>
      <c r="R42" s="229"/>
      <c r="S42" s="222"/>
      <c r="T42" s="229"/>
      <c r="U42" s="222"/>
      <c r="V42" s="228"/>
    </row>
    <row r="43" spans="1:22">
      <c r="C43" s="2">
        <v>57200</v>
      </c>
      <c r="D43" s="22" t="s">
        <v>5238</v>
      </c>
      <c r="E43" s="58">
        <v>1200</v>
      </c>
      <c r="F43" s="286">
        <v>1200</v>
      </c>
      <c r="G43" s="286">
        <v>249</v>
      </c>
      <c r="H43" s="286">
        <f>F43-G43</f>
        <v>951</v>
      </c>
      <c r="I43" s="223"/>
      <c r="J43" s="95"/>
      <c r="K43" s="228"/>
      <c r="L43" s="229"/>
      <c r="M43" s="222"/>
      <c r="N43" s="229">
        <v>1200</v>
      </c>
      <c r="O43" s="222"/>
      <c r="P43" s="229"/>
      <c r="Q43" s="222"/>
      <c r="R43" s="229"/>
      <c r="S43" s="222"/>
      <c r="T43" s="229"/>
      <c r="U43" s="222"/>
      <c r="V43" s="228"/>
    </row>
    <row r="44" spans="1:22">
      <c r="C44" s="2">
        <v>58000</v>
      </c>
      <c r="D44" s="22" t="s">
        <v>5239</v>
      </c>
      <c r="E44" s="58"/>
      <c r="F44" s="286"/>
      <c r="G44" s="286"/>
      <c r="H44" s="286"/>
      <c r="I44" s="223"/>
      <c r="J44" s="95"/>
      <c r="K44" s="228"/>
      <c r="L44" s="229"/>
      <c r="M44" s="222"/>
      <c r="N44" s="229"/>
      <c r="O44" s="222"/>
      <c r="P44" s="229"/>
      <c r="Q44" s="222"/>
      <c r="R44" s="229"/>
      <c r="S44" s="222"/>
      <c r="T44" s="229"/>
      <c r="U44" s="222"/>
      <c r="V44" s="228"/>
    </row>
    <row r="45" spans="1:22">
      <c r="C45" s="2">
        <v>58100</v>
      </c>
      <c r="D45" s="22" t="s">
        <v>5240</v>
      </c>
      <c r="E45" s="58"/>
      <c r="F45" s="286"/>
      <c r="G45" s="286"/>
      <c r="H45" s="286"/>
      <c r="I45" s="223"/>
      <c r="J45" s="95"/>
      <c r="K45" s="228"/>
      <c r="L45" s="229"/>
      <c r="M45" s="222"/>
      <c r="N45" s="229"/>
      <c r="O45" s="222"/>
      <c r="P45" s="229"/>
      <c r="Q45" s="222"/>
      <c r="R45" s="229"/>
      <c r="S45" s="222"/>
      <c r="T45" s="229"/>
      <c r="U45" s="222"/>
      <c r="V45" s="228"/>
    </row>
    <row r="46" spans="1:22">
      <c r="C46" s="2">
        <v>58200</v>
      </c>
      <c r="D46" s="22" t="s">
        <v>5241</v>
      </c>
      <c r="E46" s="58"/>
      <c r="F46" s="286"/>
      <c r="G46" s="286"/>
      <c r="H46" s="286"/>
      <c r="I46" s="223"/>
      <c r="J46" s="95"/>
      <c r="K46" s="228"/>
      <c r="L46" s="229"/>
      <c r="M46" s="222"/>
      <c r="N46" s="229"/>
      <c r="O46" s="222"/>
      <c r="P46" s="229"/>
      <c r="Q46" s="222"/>
      <c r="R46" s="229"/>
      <c r="S46" s="222"/>
      <c r="T46" s="229"/>
      <c r="U46" s="222"/>
      <c r="V46" s="228"/>
    </row>
    <row r="47" spans="1:22">
      <c r="C47" s="2">
        <v>58300</v>
      </c>
      <c r="D47" s="22" t="s">
        <v>5242</v>
      </c>
      <c r="E47" s="58">
        <v>436</v>
      </c>
      <c r="F47" s="286">
        <v>725</v>
      </c>
      <c r="G47" s="286">
        <v>1628</v>
      </c>
      <c r="H47" s="286">
        <f t="shared" ref="H47:H55" si="3">F47-G47</f>
        <v>-903</v>
      </c>
      <c r="I47" s="223"/>
      <c r="J47" s="95"/>
      <c r="K47" s="228"/>
      <c r="L47" s="229"/>
      <c r="M47" s="222"/>
      <c r="N47" s="229"/>
      <c r="O47" s="222"/>
      <c r="P47" s="229"/>
      <c r="Q47" s="222">
        <v>436</v>
      </c>
      <c r="R47" s="229"/>
      <c r="S47" s="222"/>
      <c r="T47" s="229"/>
      <c r="U47" s="222"/>
      <c r="V47" s="228"/>
    </row>
    <row r="48" spans="1:22">
      <c r="A48" s="200"/>
      <c r="B48" s="498" t="s">
        <v>2510</v>
      </c>
      <c r="C48" s="212">
        <v>59110</v>
      </c>
      <c r="D48" s="200" t="s">
        <v>5243</v>
      </c>
      <c r="E48" s="201">
        <v>2475</v>
      </c>
      <c r="F48" s="201">
        <v>4475</v>
      </c>
      <c r="G48" s="468">
        <v>447</v>
      </c>
      <c r="H48" s="468">
        <f t="shared" si="3"/>
        <v>4028</v>
      </c>
      <c r="I48" s="237"/>
      <c r="J48" s="95"/>
      <c r="K48" s="234">
        <v>297.5</v>
      </c>
      <c r="L48" s="235">
        <v>297.5</v>
      </c>
      <c r="M48" s="236">
        <v>75</v>
      </c>
      <c r="N48" s="235">
        <v>321.25</v>
      </c>
      <c r="O48" s="236">
        <v>247.5</v>
      </c>
      <c r="P48" s="235">
        <v>75</v>
      </c>
      <c r="Q48" s="236">
        <v>245</v>
      </c>
      <c r="R48" s="235">
        <v>221.25</v>
      </c>
      <c r="S48" s="236">
        <v>297.5</v>
      </c>
      <c r="T48" s="235">
        <v>50</v>
      </c>
      <c r="U48" s="236">
        <v>297.5</v>
      </c>
      <c r="V48" s="234">
        <v>50</v>
      </c>
    </row>
    <row r="49" spans="1:22" ht="16.5" customHeight="1">
      <c r="C49" s="212">
        <v>59120</v>
      </c>
      <c r="D49" s="200" t="s">
        <v>5244</v>
      </c>
      <c r="E49" s="201">
        <v>2500</v>
      </c>
      <c r="F49" s="201">
        <v>5500</v>
      </c>
      <c r="G49" s="468">
        <v>1515</v>
      </c>
      <c r="H49" s="468">
        <f t="shared" si="3"/>
        <v>3985</v>
      </c>
      <c r="I49" s="237"/>
      <c r="J49" s="95"/>
      <c r="K49" s="234">
        <v>600</v>
      </c>
      <c r="L49" s="235">
        <v>600</v>
      </c>
      <c r="M49" s="236"/>
      <c r="N49" s="235">
        <v>900</v>
      </c>
      <c r="O49" s="236">
        <v>600</v>
      </c>
      <c r="P49" s="235"/>
      <c r="Q49" s="236">
        <v>1200</v>
      </c>
      <c r="R49" s="235">
        <v>900</v>
      </c>
      <c r="S49" s="236">
        <v>600</v>
      </c>
      <c r="T49" s="235"/>
      <c r="U49" s="236">
        <v>600</v>
      </c>
      <c r="V49" s="234"/>
    </row>
    <row r="50" spans="1:22">
      <c r="B50" s="497"/>
      <c r="C50" s="212">
        <v>59130</v>
      </c>
      <c r="D50" s="200" t="s">
        <v>5245</v>
      </c>
      <c r="E50" s="201">
        <v>2500</v>
      </c>
      <c r="F50" s="201">
        <v>4500</v>
      </c>
      <c r="G50" s="468">
        <v>182</v>
      </c>
      <c r="H50" s="468">
        <f t="shared" si="3"/>
        <v>4318</v>
      </c>
      <c r="I50" s="237"/>
      <c r="J50" s="95"/>
      <c r="K50" s="234">
        <v>775</v>
      </c>
      <c r="L50" s="235">
        <v>775</v>
      </c>
      <c r="M50" s="236"/>
      <c r="N50" s="235">
        <v>1162.5</v>
      </c>
      <c r="O50" s="236">
        <v>775</v>
      </c>
      <c r="P50" s="235"/>
      <c r="Q50" s="236">
        <v>1550</v>
      </c>
      <c r="R50" s="235">
        <v>1162.5</v>
      </c>
      <c r="S50" s="236">
        <v>775</v>
      </c>
      <c r="T50" s="235"/>
      <c r="U50" s="236">
        <v>775</v>
      </c>
      <c r="V50" s="234"/>
    </row>
    <row r="51" spans="1:22">
      <c r="C51" s="212">
        <v>59140</v>
      </c>
      <c r="D51" s="200" t="s">
        <v>5246</v>
      </c>
      <c r="E51" s="201">
        <v>500</v>
      </c>
      <c r="F51" s="201">
        <v>4000</v>
      </c>
      <c r="G51" s="468">
        <v>157</v>
      </c>
      <c r="H51" s="468">
        <f t="shared" si="3"/>
        <v>3843</v>
      </c>
      <c r="I51" s="237"/>
      <c r="J51" s="95"/>
      <c r="K51" s="234">
        <v>50</v>
      </c>
      <c r="L51" s="235">
        <v>50</v>
      </c>
      <c r="M51" s="236"/>
      <c r="N51" s="235">
        <v>75</v>
      </c>
      <c r="O51" s="236">
        <v>50</v>
      </c>
      <c r="P51" s="235"/>
      <c r="Q51" s="236">
        <v>100</v>
      </c>
      <c r="R51" s="235">
        <v>75</v>
      </c>
      <c r="S51" s="236">
        <v>50</v>
      </c>
      <c r="T51" s="235"/>
      <c r="U51" s="236">
        <v>50</v>
      </c>
      <c r="V51" s="234"/>
    </row>
    <row r="52" spans="1:22">
      <c r="C52" s="212">
        <v>59150</v>
      </c>
      <c r="D52" s="200" t="s">
        <v>5247</v>
      </c>
      <c r="E52" s="201">
        <v>1750</v>
      </c>
      <c r="F52" s="201">
        <v>2750</v>
      </c>
      <c r="G52" s="468"/>
      <c r="H52" s="468">
        <f t="shared" si="3"/>
        <v>2750</v>
      </c>
      <c r="I52" s="237"/>
      <c r="J52" s="95"/>
      <c r="K52" s="234">
        <v>250</v>
      </c>
      <c r="L52" s="235">
        <v>250</v>
      </c>
      <c r="M52" s="236"/>
      <c r="N52" s="235">
        <v>375</v>
      </c>
      <c r="O52" s="236">
        <v>250</v>
      </c>
      <c r="P52" s="235"/>
      <c r="Q52" s="236">
        <v>500</v>
      </c>
      <c r="R52" s="235">
        <v>375</v>
      </c>
      <c r="S52" s="236">
        <v>250</v>
      </c>
      <c r="T52" s="235"/>
      <c r="U52" s="236">
        <v>250</v>
      </c>
      <c r="V52" s="234"/>
    </row>
    <row r="53" spans="1:22">
      <c r="C53" s="212">
        <v>59160</v>
      </c>
      <c r="D53" s="200" t="s">
        <v>5248</v>
      </c>
      <c r="E53" s="201">
        <v>1000</v>
      </c>
      <c r="F53" s="201">
        <v>1000</v>
      </c>
      <c r="G53" s="468">
        <v>334</v>
      </c>
      <c r="H53" s="468">
        <f t="shared" si="3"/>
        <v>666</v>
      </c>
      <c r="I53" s="237"/>
      <c r="J53" s="95"/>
      <c r="K53" s="234">
        <v>100</v>
      </c>
      <c r="L53" s="235">
        <v>100</v>
      </c>
      <c r="M53" s="236"/>
      <c r="N53" s="235">
        <v>150</v>
      </c>
      <c r="O53" s="236">
        <v>100</v>
      </c>
      <c r="P53" s="235"/>
      <c r="Q53" s="236">
        <v>200</v>
      </c>
      <c r="R53" s="235">
        <v>150</v>
      </c>
      <c r="S53" s="236">
        <v>100</v>
      </c>
      <c r="T53" s="235"/>
      <c r="U53" s="236">
        <v>100</v>
      </c>
      <c r="V53" s="234"/>
    </row>
    <row r="54" spans="1:22">
      <c r="A54" s="490"/>
      <c r="B54" s="499" t="s">
        <v>3071</v>
      </c>
      <c r="C54" s="489">
        <v>59110</v>
      </c>
      <c r="D54" s="490" t="s">
        <v>5243</v>
      </c>
      <c r="E54" s="491">
        <v>1500</v>
      </c>
      <c r="F54" s="491">
        <v>2500</v>
      </c>
      <c r="G54" s="492"/>
      <c r="H54" s="632">
        <f t="shared" si="3"/>
        <v>2500</v>
      </c>
      <c r="I54" s="493"/>
      <c r="J54" s="496"/>
      <c r="K54" s="227">
        <v>150</v>
      </c>
      <c r="L54" s="225">
        <v>100</v>
      </c>
      <c r="M54" s="495">
        <v>150</v>
      </c>
      <c r="N54" s="225">
        <v>100</v>
      </c>
      <c r="O54" s="495">
        <v>150</v>
      </c>
      <c r="P54" s="225">
        <v>200</v>
      </c>
      <c r="Q54" s="495">
        <v>100</v>
      </c>
      <c r="R54" s="225">
        <v>100</v>
      </c>
      <c r="S54" s="495">
        <v>150</v>
      </c>
      <c r="T54" s="225">
        <v>100</v>
      </c>
      <c r="U54" s="495">
        <v>100</v>
      </c>
      <c r="V54" s="227">
        <v>100</v>
      </c>
    </row>
    <row r="55" spans="1:22">
      <c r="C55" s="489">
        <v>59120</v>
      </c>
      <c r="D55" s="490" t="s">
        <v>5244</v>
      </c>
      <c r="E55" s="491">
        <v>569</v>
      </c>
      <c r="F55" s="491">
        <v>569</v>
      </c>
      <c r="G55" s="492"/>
      <c r="H55" s="632">
        <f t="shared" si="3"/>
        <v>569</v>
      </c>
      <c r="I55" s="493"/>
      <c r="J55" s="496"/>
      <c r="K55" s="227">
        <v>200</v>
      </c>
      <c r="L55" s="225"/>
      <c r="M55" s="495"/>
      <c r="N55" s="225"/>
      <c r="O55" s="495">
        <v>200</v>
      </c>
      <c r="P55" s="225"/>
      <c r="Q55" s="495"/>
      <c r="R55" s="225"/>
      <c r="S55" s="495">
        <v>200</v>
      </c>
      <c r="T55" s="225"/>
      <c r="U55" s="495"/>
      <c r="V55" s="227"/>
    </row>
    <row r="56" spans="1:22">
      <c r="B56" s="497"/>
      <c r="C56" s="489">
        <v>59130</v>
      </c>
      <c r="D56" s="490" t="s">
        <v>5245</v>
      </c>
      <c r="E56" s="491"/>
      <c r="F56" s="491"/>
      <c r="G56" s="492"/>
      <c r="H56" s="632"/>
      <c r="I56" s="493"/>
      <c r="J56" s="496"/>
      <c r="K56" s="227"/>
      <c r="L56" s="225"/>
      <c r="M56" s="495"/>
      <c r="N56" s="225"/>
      <c r="O56" s="495">
        <v>500</v>
      </c>
      <c r="P56" s="225"/>
      <c r="Q56" s="495"/>
      <c r="R56" s="225"/>
      <c r="S56" s="495"/>
      <c r="T56" s="225"/>
      <c r="U56" s="495"/>
      <c r="V56" s="227"/>
    </row>
    <row r="57" spans="1:22">
      <c r="C57" s="489">
        <v>59140</v>
      </c>
      <c r="D57" s="490" t="s">
        <v>5246</v>
      </c>
      <c r="E57" s="491"/>
      <c r="F57" s="491"/>
      <c r="G57" s="492"/>
      <c r="H57" s="632"/>
      <c r="I57" s="493"/>
      <c r="J57" s="496"/>
      <c r="K57" s="227"/>
      <c r="L57" s="225"/>
      <c r="M57" s="495"/>
      <c r="N57" s="225"/>
      <c r="O57" s="495">
        <v>250</v>
      </c>
      <c r="P57" s="225"/>
      <c r="Q57" s="495"/>
      <c r="R57" s="225"/>
      <c r="S57" s="495"/>
      <c r="T57" s="225"/>
      <c r="U57" s="495"/>
      <c r="V57" s="227"/>
    </row>
    <row r="58" spans="1:22">
      <c r="C58" s="489">
        <v>59150</v>
      </c>
      <c r="D58" s="490" t="s">
        <v>5247</v>
      </c>
      <c r="E58" s="491">
        <v>1000</v>
      </c>
      <c r="F58" s="491">
        <v>1000</v>
      </c>
      <c r="G58" s="492"/>
      <c r="H58" s="632">
        <f>F58-EG8</f>
        <v>1000</v>
      </c>
      <c r="I58" s="493"/>
      <c r="J58" s="496"/>
      <c r="K58" s="227">
        <v>333</v>
      </c>
      <c r="L58" s="225"/>
      <c r="M58" s="495"/>
      <c r="N58" s="225"/>
      <c r="O58" s="495">
        <v>333</v>
      </c>
      <c r="P58" s="225"/>
      <c r="Q58" s="495"/>
      <c r="R58" s="225"/>
      <c r="S58" s="495">
        <v>334</v>
      </c>
      <c r="T58" s="225"/>
      <c r="U58" s="495"/>
      <c r="V58" s="227"/>
    </row>
    <row r="59" spans="1:22">
      <c r="C59" s="489">
        <v>59160</v>
      </c>
      <c r="D59" s="490" t="s">
        <v>5248</v>
      </c>
      <c r="E59" s="491">
        <v>1000</v>
      </c>
      <c r="F59" s="491">
        <v>2000</v>
      </c>
      <c r="G59" s="492"/>
      <c r="H59" s="632">
        <f>F59-G59</f>
        <v>2000</v>
      </c>
      <c r="I59" s="493"/>
      <c r="J59" s="496"/>
      <c r="K59" s="227">
        <v>83</v>
      </c>
      <c r="L59" s="225">
        <v>83</v>
      </c>
      <c r="M59" s="495">
        <v>83</v>
      </c>
      <c r="N59" s="225">
        <v>83</v>
      </c>
      <c r="O59" s="495">
        <v>87</v>
      </c>
      <c r="P59" s="225">
        <v>83</v>
      </c>
      <c r="Q59" s="495">
        <v>83</v>
      </c>
      <c r="R59" s="225">
        <v>83</v>
      </c>
      <c r="S59" s="495">
        <v>83</v>
      </c>
      <c r="T59" s="225">
        <v>83</v>
      </c>
      <c r="U59" s="495">
        <v>83</v>
      </c>
      <c r="V59" s="227">
        <v>83</v>
      </c>
    </row>
    <row r="60" spans="1:22">
      <c r="C60" s="2">
        <v>59200</v>
      </c>
      <c r="D60" s="22" t="s">
        <v>5250</v>
      </c>
      <c r="E60" s="58">
        <v>848</v>
      </c>
      <c r="F60" s="286">
        <v>3500</v>
      </c>
      <c r="G60" s="286">
        <v>795</v>
      </c>
      <c r="H60" s="286">
        <f>F60-G60</f>
        <v>2705</v>
      </c>
      <c r="I60" s="223"/>
      <c r="J60" s="95"/>
      <c r="K60" s="228"/>
      <c r="L60" s="229"/>
      <c r="M60" s="222"/>
      <c r="N60" s="229"/>
      <c r="O60" s="222"/>
      <c r="P60" s="229"/>
      <c r="Q60" s="222"/>
      <c r="R60" s="229"/>
      <c r="S60" s="222"/>
      <c r="T60" s="229">
        <v>900</v>
      </c>
      <c r="U60" s="222">
        <v>795</v>
      </c>
      <c r="V60" s="228"/>
    </row>
    <row r="61" spans="1:22">
      <c r="C61" s="2">
        <v>59300</v>
      </c>
      <c r="D61" s="22" t="s">
        <v>5251</v>
      </c>
      <c r="E61" s="58"/>
      <c r="F61" s="286">
        <v>4500</v>
      </c>
      <c r="G61" s="286">
        <v>137</v>
      </c>
      <c r="H61" s="286"/>
      <c r="I61" s="223"/>
      <c r="J61" s="95"/>
      <c r="K61" s="228"/>
      <c r="L61" s="229"/>
      <c r="M61" s="222"/>
      <c r="N61" s="229"/>
      <c r="O61" s="222"/>
      <c r="P61" s="229"/>
      <c r="Q61" s="222"/>
      <c r="R61" s="229"/>
      <c r="S61" s="222"/>
      <c r="T61" s="229"/>
      <c r="U61" s="222"/>
      <c r="V61" s="228"/>
    </row>
    <row r="62" spans="1:22">
      <c r="C62" s="2">
        <v>59500</v>
      </c>
      <c r="D62" s="22" t="s">
        <v>5252</v>
      </c>
      <c r="E62" s="58"/>
      <c r="F62" s="286"/>
      <c r="G62" s="286"/>
      <c r="H62" s="286"/>
      <c r="I62" s="223"/>
      <c r="J62" s="95"/>
      <c r="K62" s="228"/>
      <c r="L62" s="229"/>
      <c r="M62" s="222"/>
      <c r="N62" s="229"/>
      <c r="O62" s="222"/>
      <c r="P62" s="229"/>
      <c r="Q62" s="222"/>
      <c r="R62" s="229"/>
      <c r="S62" s="222"/>
      <c r="T62" s="229"/>
      <c r="U62" s="222"/>
      <c r="V62" s="228"/>
    </row>
    <row r="63" spans="1:22">
      <c r="C63" s="2">
        <v>61000</v>
      </c>
      <c r="D63" s="22" t="s">
        <v>5253</v>
      </c>
      <c r="E63" s="58">
        <v>1000</v>
      </c>
      <c r="F63" s="286">
        <v>1000</v>
      </c>
      <c r="G63" s="286">
        <v>1055</v>
      </c>
      <c r="H63" s="286">
        <f>F63-G63</f>
        <v>-55</v>
      </c>
      <c r="I63" s="223"/>
      <c r="J63" s="95"/>
      <c r="K63" s="228"/>
      <c r="L63" s="229">
        <v>1000</v>
      </c>
      <c r="M63" s="222"/>
      <c r="N63" s="229"/>
      <c r="O63" s="222"/>
      <c r="P63" s="229"/>
      <c r="Q63" s="222"/>
      <c r="R63" s="229"/>
      <c r="S63" s="222"/>
      <c r="T63" s="229"/>
      <c r="U63" s="222"/>
      <c r="V63" s="228"/>
    </row>
    <row r="64" spans="1:22">
      <c r="C64" s="2">
        <v>67000</v>
      </c>
      <c r="D64" s="22" t="s">
        <v>5254</v>
      </c>
      <c r="E64" s="58">
        <v>1000</v>
      </c>
      <c r="F64" s="286">
        <v>1000</v>
      </c>
      <c r="G64" s="286"/>
      <c r="H64" s="286">
        <f>F64-G64</f>
        <v>1000</v>
      </c>
      <c r="I64" s="223"/>
      <c r="J64" s="95"/>
      <c r="K64" s="228">
        <v>250</v>
      </c>
      <c r="L64" s="229"/>
      <c r="M64" s="222"/>
      <c r="N64" s="229">
        <v>250</v>
      </c>
      <c r="O64" s="222"/>
      <c r="P64" s="229"/>
      <c r="Q64" s="222">
        <v>250</v>
      </c>
      <c r="R64" s="229"/>
      <c r="S64" s="222"/>
      <c r="T64" s="229">
        <v>250</v>
      </c>
      <c r="U64" s="222"/>
      <c r="V64" s="228"/>
    </row>
    <row r="65" spans="3:22">
      <c r="C65" s="2">
        <v>72000</v>
      </c>
      <c r="D65" s="22" t="s">
        <v>5255</v>
      </c>
      <c r="E65" s="58"/>
      <c r="F65" s="286"/>
      <c r="G65" s="286"/>
      <c r="H65" s="286"/>
      <c r="I65" s="223"/>
      <c r="J65" s="95"/>
      <c r="K65" s="228"/>
      <c r="L65" s="229"/>
      <c r="M65" s="222"/>
      <c r="N65" s="229"/>
      <c r="O65" s="222"/>
      <c r="P65" s="229"/>
      <c r="Q65" s="222"/>
      <c r="R65" s="229"/>
      <c r="S65" s="222"/>
      <c r="T65" s="229"/>
      <c r="U65" s="222"/>
      <c r="V65" s="228"/>
    </row>
    <row r="66" spans="3:22">
      <c r="C66" s="2">
        <v>72100</v>
      </c>
      <c r="D66" s="22" t="s">
        <v>5256</v>
      </c>
      <c r="E66" s="58"/>
      <c r="F66" s="286"/>
      <c r="G66" s="286"/>
      <c r="H66" s="286"/>
      <c r="I66" s="223"/>
      <c r="J66" s="95"/>
      <c r="K66" s="228"/>
      <c r="L66" s="229"/>
      <c r="M66" s="222"/>
      <c r="N66" s="229"/>
      <c r="O66" s="222"/>
      <c r="P66" s="229"/>
      <c r="Q66" s="222"/>
      <c r="R66" s="229"/>
      <c r="S66" s="222"/>
      <c r="T66" s="229"/>
      <c r="U66" s="222"/>
      <c r="V66" s="228"/>
    </row>
    <row r="67" spans="3:22">
      <c r="C67" s="2">
        <v>74000</v>
      </c>
      <c r="D67" s="22" t="s">
        <v>5257</v>
      </c>
      <c r="E67" s="58"/>
      <c r="F67" s="286"/>
      <c r="G67" s="286"/>
      <c r="H67" s="286"/>
      <c r="I67" s="223"/>
      <c r="J67" s="95"/>
      <c r="K67" s="228"/>
      <c r="L67" s="229"/>
      <c r="M67" s="222"/>
      <c r="N67" s="229"/>
      <c r="O67" s="222"/>
      <c r="P67" s="229"/>
      <c r="Q67" s="222"/>
      <c r="R67" s="229"/>
      <c r="S67" s="222"/>
      <c r="T67" s="229"/>
      <c r="U67" s="222"/>
      <c r="V67" s="228"/>
    </row>
    <row r="68" spans="3:22">
      <c r="C68" s="2">
        <v>75000</v>
      </c>
      <c r="D68" s="22" t="s">
        <v>5258</v>
      </c>
      <c r="E68" s="58"/>
      <c r="F68" s="286"/>
      <c r="G68" s="286"/>
      <c r="H68" s="286"/>
      <c r="I68" s="223"/>
      <c r="J68" s="95"/>
      <c r="K68" s="228"/>
      <c r="L68" s="229"/>
      <c r="M68" s="222"/>
      <c r="N68" s="229"/>
      <c r="O68" s="222"/>
      <c r="P68" s="229"/>
      <c r="Q68" s="222"/>
      <c r="R68" s="229"/>
      <c r="S68" s="222"/>
      <c r="T68" s="229"/>
      <c r="U68" s="222"/>
      <c r="V68" s="228"/>
    </row>
    <row r="69" spans="3:22">
      <c r="C69" s="2">
        <v>76000</v>
      </c>
      <c r="D69" s="22" t="s">
        <v>5259</v>
      </c>
      <c r="E69" s="58"/>
      <c r="F69" s="286"/>
      <c r="G69" s="286"/>
      <c r="H69" s="286"/>
      <c r="I69" s="223"/>
      <c r="J69" s="95"/>
      <c r="K69" s="228"/>
      <c r="L69" s="229"/>
      <c r="M69" s="222"/>
      <c r="N69" s="229"/>
      <c r="O69" s="222"/>
      <c r="P69" s="229"/>
      <c r="Q69" s="222"/>
      <c r="R69" s="229"/>
      <c r="S69" s="222"/>
      <c r="T69" s="229"/>
      <c r="U69" s="222"/>
      <c r="V69" s="228"/>
    </row>
    <row r="70" spans="3:22">
      <c r="C70" s="2">
        <v>76100</v>
      </c>
      <c r="D70" s="22" t="s">
        <v>5260</v>
      </c>
      <c r="E70" s="58"/>
      <c r="F70" s="286"/>
      <c r="G70" s="286"/>
      <c r="H70" s="286"/>
      <c r="I70" s="223"/>
      <c r="J70" s="95"/>
      <c r="K70" s="228"/>
      <c r="L70" s="229"/>
      <c r="M70" s="222"/>
      <c r="N70" s="229"/>
      <c r="O70" s="222"/>
      <c r="P70" s="229"/>
      <c r="Q70" s="222"/>
      <c r="R70" s="229"/>
      <c r="S70" s="222"/>
      <c r="T70" s="229"/>
      <c r="U70" s="222"/>
      <c r="V70" s="228"/>
    </row>
    <row r="71" spans="3:22">
      <c r="C71" s="2">
        <v>77000</v>
      </c>
      <c r="D71" s="22" t="s">
        <v>5261</v>
      </c>
      <c r="E71" s="58"/>
      <c r="F71" s="286"/>
      <c r="G71" s="286"/>
      <c r="H71" s="286"/>
      <c r="I71" s="223"/>
      <c r="J71" s="95"/>
      <c r="K71" s="228"/>
      <c r="L71" s="229"/>
      <c r="M71" s="222"/>
      <c r="N71" s="229"/>
      <c r="O71" s="222"/>
      <c r="P71" s="229"/>
      <c r="Q71" s="222"/>
      <c r="R71" s="229"/>
      <c r="S71" s="222"/>
      <c r="T71" s="229"/>
      <c r="U71" s="222"/>
      <c r="V71" s="228"/>
    </row>
    <row r="72" spans="3:22">
      <c r="C72" s="2">
        <v>78000</v>
      </c>
      <c r="D72" s="22" t="s">
        <v>5262</v>
      </c>
      <c r="E72" s="58"/>
      <c r="F72" s="286"/>
      <c r="G72" s="286"/>
      <c r="H72" s="286"/>
      <c r="I72" s="223"/>
      <c r="J72" s="95"/>
      <c r="K72" s="228"/>
      <c r="L72" s="229"/>
      <c r="M72" s="222"/>
      <c r="N72" s="229"/>
      <c r="O72" s="222"/>
      <c r="P72" s="229"/>
      <c r="Q72" s="222"/>
      <c r="R72" s="229"/>
      <c r="S72" s="222"/>
      <c r="T72" s="229"/>
      <c r="U72" s="222"/>
      <c r="V72" s="228"/>
    </row>
    <row r="73" spans="3:22">
      <c r="C73" s="2">
        <v>79000</v>
      </c>
      <c r="D73" s="22" t="s">
        <v>5263</v>
      </c>
      <c r="E73" s="58"/>
      <c r="F73" s="286"/>
      <c r="G73" s="286"/>
      <c r="H73" s="286"/>
      <c r="I73" s="223"/>
      <c r="J73" s="95"/>
      <c r="K73" s="228"/>
      <c r="L73" s="229"/>
      <c r="M73" s="222"/>
      <c r="N73" s="229"/>
      <c r="O73" s="222"/>
      <c r="P73" s="229"/>
      <c r="Q73" s="222"/>
      <c r="R73" s="229"/>
      <c r="S73" s="222"/>
      <c r="T73" s="229"/>
      <c r="U73" s="222"/>
      <c r="V73" s="228"/>
    </row>
    <row r="74" spans="3:22">
      <c r="C74" s="2">
        <v>79100</v>
      </c>
      <c r="D74" s="22" t="s">
        <v>5264</v>
      </c>
      <c r="E74" s="58"/>
      <c r="F74" s="286"/>
      <c r="G74" s="286"/>
      <c r="H74" s="286"/>
      <c r="I74" s="223"/>
      <c r="J74" s="95"/>
      <c r="K74" s="228"/>
      <c r="L74" s="229"/>
      <c r="M74" s="222"/>
      <c r="N74" s="229"/>
      <c r="O74" s="222"/>
      <c r="P74" s="229"/>
      <c r="Q74" s="222"/>
      <c r="R74" s="229"/>
      <c r="S74" s="222"/>
      <c r="T74" s="229"/>
      <c r="U74" s="222"/>
      <c r="V74" s="228"/>
    </row>
    <row r="75" spans="3:22">
      <c r="C75" s="56">
        <v>79900</v>
      </c>
      <c r="D75" s="28" t="s">
        <v>5265</v>
      </c>
      <c r="E75" s="60">
        <v>35219</v>
      </c>
      <c r="F75" s="288">
        <v>29586</v>
      </c>
      <c r="G75" s="288">
        <v>29586</v>
      </c>
      <c r="H75" s="288"/>
      <c r="I75" s="486"/>
      <c r="J75" s="96"/>
      <c r="K75" s="230"/>
      <c r="L75" s="231"/>
      <c r="M75" s="232"/>
      <c r="N75" s="231"/>
      <c r="O75" s="232"/>
      <c r="P75" s="231"/>
      <c r="Q75" s="232"/>
      <c r="R75" s="231"/>
      <c r="S75" s="232"/>
      <c r="T75" s="231"/>
      <c r="U75" s="232"/>
      <c r="V75" s="230"/>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D0A92-38B2-4A67-B770-EEE9270C2CBF}">
  <sheetPr>
    <pageSetUpPr autoPageBreaks="0"/>
  </sheetPr>
  <dimension ref="A1:V75"/>
  <sheetViews>
    <sheetView showGridLines="0" topLeftCell="A52" zoomScaleNormal="100" workbookViewId="0">
      <selection activeCell="G39" sqref="G39"/>
    </sheetView>
  </sheetViews>
  <sheetFormatPr defaultRowHeight="14.45"/>
  <cols>
    <col min="1" max="1" width="31.5703125" style="22" customWidth="1"/>
    <col min="2" max="2" width="3.42578125" style="22" customWidth="1"/>
    <col min="3" max="3" width="12.7109375" style="48" customWidth="1"/>
    <col min="4" max="4" width="37.7109375" style="22" bestFit="1" customWidth="1"/>
    <col min="5" max="8" width="17.28515625" style="45" customWidth="1"/>
    <col min="9" max="9" width="6.85546875" style="329" customWidth="1"/>
    <col min="10" max="10" width="1.42578125" style="48" customWidth="1"/>
    <col min="11" max="21" width="13.85546875" style="48" customWidth="1"/>
    <col min="22" max="22" width="13.85546875" customWidth="1"/>
  </cols>
  <sheetData>
    <row r="1" spans="1:22" ht="15" thickBot="1">
      <c r="A1" s="30"/>
      <c r="B1" s="30"/>
      <c r="C1" s="31"/>
      <c r="D1" s="30"/>
      <c r="E1" s="42" t="s">
        <v>5</v>
      </c>
      <c r="F1" s="42" t="s">
        <v>4</v>
      </c>
      <c r="G1" s="42" t="s">
        <v>5266</v>
      </c>
      <c r="H1" s="42" t="s">
        <v>5174</v>
      </c>
      <c r="I1" s="42" t="s">
        <v>5175</v>
      </c>
      <c r="J1" s="30"/>
      <c r="K1" s="31" t="s">
        <v>5176</v>
      </c>
      <c r="L1" s="31" t="s">
        <v>5177</v>
      </c>
      <c r="M1" s="31" t="s">
        <v>5178</v>
      </c>
      <c r="N1" s="31" t="s">
        <v>5179</v>
      </c>
      <c r="O1" s="31" t="s">
        <v>5180</v>
      </c>
      <c r="P1" s="31" t="s">
        <v>5181</v>
      </c>
      <c r="Q1" s="31" t="s">
        <v>5182</v>
      </c>
      <c r="R1" s="31" t="s">
        <v>5183</v>
      </c>
      <c r="S1" s="31" t="s">
        <v>5184</v>
      </c>
      <c r="T1" s="31" t="s">
        <v>5185</v>
      </c>
      <c r="U1" s="31" t="s">
        <v>2537</v>
      </c>
      <c r="V1" s="31" t="s">
        <v>3249</v>
      </c>
    </row>
    <row r="2" spans="1:22" ht="15" thickBot="1">
      <c r="C2" s="65" t="s">
        <v>5186</v>
      </c>
      <c r="D2" s="66"/>
      <c r="E2" s="67"/>
      <c r="F2" s="67"/>
      <c r="G2" s="67"/>
      <c r="H2" s="67"/>
      <c r="I2" s="67"/>
      <c r="J2" s="83"/>
      <c r="K2" s="84"/>
      <c r="L2" s="84"/>
      <c r="M2" s="84"/>
      <c r="N2" s="84"/>
      <c r="O2" s="84"/>
      <c r="P2" s="84"/>
      <c r="Q2" s="84"/>
      <c r="R2" s="84"/>
      <c r="S2" s="84"/>
      <c r="T2" s="84"/>
      <c r="U2" s="84"/>
      <c r="V2" s="86"/>
    </row>
    <row r="3" spans="1:22">
      <c r="A3" s="44" t="s">
        <v>5187</v>
      </c>
      <c r="C3" s="54" t="s">
        <v>5188</v>
      </c>
      <c r="D3" s="49"/>
      <c r="E3" s="432">
        <f>SUM(E4:E13)</f>
        <v>2600000</v>
      </c>
      <c r="F3" s="466">
        <f>SUM(F4:F13)</f>
        <v>2600000</v>
      </c>
      <c r="G3" s="625"/>
      <c r="H3" s="623">
        <f>F3-E3</f>
        <v>0</v>
      </c>
      <c r="I3" s="432"/>
      <c r="J3" s="95"/>
      <c r="K3" s="628">
        <f>SUM(K4)+SUM(K6:K13)</f>
        <v>131356.26999999999</v>
      </c>
      <c r="L3" s="628">
        <f t="shared" ref="L3:V3" si="0">SUM(L4)+SUM(L6:L13)</f>
        <v>10000</v>
      </c>
      <c r="M3" s="628">
        <f t="shared" si="0"/>
        <v>10000</v>
      </c>
      <c r="N3" s="628">
        <f t="shared" si="0"/>
        <v>20000</v>
      </c>
      <c r="O3" s="628">
        <f t="shared" si="0"/>
        <v>60000</v>
      </c>
      <c r="P3" s="628">
        <f t="shared" si="0"/>
        <v>1288643.73</v>
      </c>
      <c r="Q3" s="628">
        <f t="shared" si="0"/>
        <v>80000</v>
      </c>
      <c r="R3" s="628">
        <f t="shared" si="0"/>
        <v>30000</v>
      </c>
      <c r="S3" s="628">
        <f t="shared" si="0"/>
        <v>10000</v>
      </c>
      <c r="T3" s="628">
        <f t="shared" si="0"/>
        <v>10000</v>
      </c>
      <c r="U3" s="628">
        <f t="shared" si="0"/>
        <v>0</v>
      </c>
      <c r="V3" s="628">
        <f t="shared" si="0"/>
        <v>950000</v>
      </c>
    </row>
    <row r="4" spans="1:22">
      <c r="A4" s="73">
        <v>1750000</v>
      </c>
      <c r="C4" s="2" t="s">
        <v>5189</v>
      </c>
      <c r="D4" s="22" t="s">
        <v>5190</v>
      </c>
      <c r="E4" s="58">
        <v>2250000</v>
      </c>
      <c r="F4" s="336">
        <f>SUM(K4:V4)</f>
        <v>1900000</v>
      </c>
      <c r="G4" s="626"/>
      <c r="H4" s="624">
        <f>F4-SUM(K4:V4)</f>
        <v>0</v>
      </c>
      <c r="I4" s="58"/>
      <c r="J4" s="95"/>
      <c r="K4" s="228">
        <v>31356.27</v>
      </c>
      <c r="L4" s="229"/>
      <c r="M4" s="222"/>
      <c r="N4" s="229"/>
      <c r="O4" s="222"/>
      <c r="P4" s="229">
        <f>950000-SUM(K4:O4)</f>
        <v>918643.73</v>
      </c>
      <c r="Q4" s="222"/>
      <c r="R4" s="229"/>
      <c r="S4" s="222"/>
      <c r="T4" s="229"/>
      <c r="U4" s="222"/>
      <c r="V4" s="228">
        <f>950000-SUM(Q4:U4)</f>
        <v>950000</v>
      </c>
    </row>
    <row r="5" spans="1:22">
      <c r="A5" s="47" t="s">
        <v>5191</v>
      </c>
      <c r="C5" s="736" t="s">
        <v>33</v>
      </c>
      <c r="D5" s="737" t="s">
        <v>5267</v>
      </c>
      <c r="E5" s="738"/>
      <c r="F5" s="739"/>
      <c r="G5" s="740"/>
      <c r="H5" s="741"/>
      <c r="I5" s="738"/>
      <c r="J5" s="95"/>
      <c r="K5" s="742">
        <v>159000</v>
      </c>
      <c r="L5" s="743">
        <v>159000</v>
      </c>
      <c r="M5" s="744">
        <v>159000</v>
      </c>
      <c r="N5" s="743">
        <v>159000</v>
      </c>
      <c r="O5" s="744">
        <v>159000</v>
      </c>
      <c r="P5" s="743">
        <v>159000</v>
      </c>
      <c r="Q5" s="744">
        <v>159000</v>
      </c>
      <c r="R5" s="743">
        <v>159000</v>
      </c>
      <c r="S5" s="744">
        <v>159000</v>
      </c>
      <c r="T5" s="743">
        <v>159000</v>
      </c>
      <c r="U5" s="744">
        <v>159000</v>
      </c>
      <c r="V5" s="742">
        <v>151000</v>
      </c>
    </row>
    <row r="6" spans="1:22">
      <c r="A6" s="79">
        <f>ESTATES!A8</f>
        <v>8765967.3430000022</v>
      </c>
      <c r="C6" s="2" t="s">
        <v>5192</v>
      </c>
      <c r="D6" s="22" t="s">
        <v>5193</v>
      </c>
      <c r="E6" s="58">
        <v>350000</v>
      </c>
      <c r="F6" s="336">
        <f>SUM(K6:V6)</f>
        <v>400000</v>
      </c>
      <c r="G6" s="626"/>
      <c r="H6" s="624">
        <f>F6-E6</f>
        <v>50000</v>
      </c>
      <c r="I6" s="58"/>
      <c r="J6" s="95"/>
      <c r="K6" s="228"/>
      <c r="L6" s="229">
        <v>10000</v>
      </c>
      <c r="M6" s="222">
        <v>10000</v>
      </c>
      <c r="N6" s="229">
        <v>20000</v>
      </c>
      <c r="O6" s="222">
        <v>10000</v>
      </c>
      <c r="P6" s="229">
        <v>250000</v>
      </c>
      <c r="Q6" s="222">
        <v>50000</v>
      </c>
      <c r="R6" s="229">
        <v>30000</v>
      </c>
      <c r="S6" s="222">
        <v>10000</v>
      </c>
      <c r="T6" s="229">
        <v>10000</v>
      </c>
      <c r="U6" s="222"/>
      <c r="V6" s="228"/>
    </row>
    <row r="7" spans="1:22">
      <c r="C7" s="2" t="s">
        <v>5194</v>
      </c>
      <c r="D7" s="22" t="s">
        <v>5195</v>
      </c>
      <c r="E7" s="58"/>
      <c r="F7" s="336"/>
      <c r="G7" s="626"/>
      <c r="H7" s="624">
        <f>F7-E7</f>
        <v>0</v>
      </c>
      <c r="I7" s="58"/>
      <c r="J7" s="95"/>
      <c r="K7" s="228"/>
      <c r="L7" s="229"/>
      <c r="M7" s="222"/>
      <c r="N7" s="229"/>
      <c r="O7" s="222"/>
      <c r="P7" s="229"/>
      <c r="Q7" s="222"/>
      <c r="R7" s="229"/>
      <c r="S7" s="222"/>
      <c r="T7" s="229"/>
      <c r="U7" s="222"/>
      <c r="V7" s="228"/>
    </row>
    <row r="8" spans="1:22">
      <c r="C8" s="2" t="s">
        <v>5196</v>
      </c>
      <c r="D8" s="22" t="s">
        <v>5197</v>
      </c>
      <c r="E8" s="58">
        <v>0</v>
      </c>
      <c r="F8" s="336">
        <f>SUM(K8:V8)</f>
        <v>200000</v>
      </c>
      <c r="G8" s="626"/>
      <c r="H8" s="624"/>
      <c r="I8" s="58"/>
      <c r="J8" s="95"/>
      <c r="K8" s="228"/>
      <c r="L8" s="229"/>
      <c r="M8" s="222"/>
      <c r="N8" s="229"/>
      <c r="O8" s="222">
        <v>50000</v>
      </c>
      <c r="P8" s="229">
        <v>120000</v>
      </c>
      <c r="Q8" s="222">
        <v>30000</v>
      </c>
      <c r="R8" s="229"/>
      <c r="S8" s="222"/>
      <c r="T8" s="229"/>
      <c r="U8" s="222"/>
      <c r="V8" s="228"/>
    </row>
    <row r="9" spans="1:22">
      <c r="A9" s="44" t="s">
        <v>5200</v>
      </c>
      <c r="C9" s="2" t="s">
        <v>5198</v>
      </c>
      <c r="D9" s="22" t="s">
        <v>5199</v>
      </c>
      <c r="E9" s="58"/>
      <c r="F9" s="336"/>
      <c r="G9" s="626"/>
      <c r="H9" s="624"/>
      <c r="I9" s="58"/>
      <c r="J9" s="95"/>
      <c r="K9" s="228"/>
      <c r="L9" s="229"/>
      <c r="M9" s="222"/>
      <c r="N9" s="229"/>
      <c r="O9" s="222"/>
      <c r="P9" s="229"/>
      <c r="Q9" s="222"/>
      <c r="R9" s="229"/>
      <c r="S9" s="222"/>
      <c r="T9" s="229"/>
      <c r="U9" s="222"/>
      <c r="V9" s="228"/>
    </row>
    <row r="10" spans="1:22">
      <c r="A10" s="73">
        <f>E15</f>
        <v>260587</v>
      </c>
      <c r="C10" s="2" t="s">
        <v>5201</v>
      </c>
      <c r="D10" s="22" t="s">
        <v>5202</v>
      </c>
      <c r="E10" s="58"/>
      <c r="F10" s="336"/>
      <c r="G10" s="626"/>
      <c r="H10" s="624"/>
      <c r="I10" s="58"/>
      <c r="J10" s="95"/>
      <c r="K10" s="228"/>
      <c r="L10" s="229"/>
      <c r="M10" s="222"/>
      <c r="N10" s="229"/>
      <c r="O10" s="222"/>
      <c r="P10" s="229"/>
      <c r="Q10" s="222"/>
      <c r="R10" s="229"/>
      <c r="S10" s="222"/>
      <c r="T10" s="229"/>
      <c r="U10" s="222"/>
      <c r="V10" s="228"/>
    </row>
    <row r="11" spans="1:22">
      <c r="A11" s="47" t="s">
        <v>5205</v>
      </c>
      <c r="C11" s="2" t="s">
        <v>5203</v>
      </c>
      <c r="D11" s="22" t="s">
        <v>5204</v>
      </c>
      <c r="E11" s="58"/>
      <c r="F11" s="336"/>
      <c r="G11" s="626"/>
      <c r="H11" s="624"/>
      <c r="I11" s="58"/>
      <c r="J11" s="95"/>
      <c r="K11" s="228"/>
      <c r="L11" s="229"/>
      <c r="M11" s="222"/>
      <c r="N11" s="229"/>
      <c r="O11" s="222"/>
      <c r="P11" s="229"/>
      <c r="Q11" s="222"/>
      <c r="R11" s="229"/>
      <c r="S11" s="222"/>
      <c r="T11" s="229"/>
      <c r="U11" s="222"/>
      <c r="V11" s="228"/>
    </row>
    <row r="12" spans="1:22">
      <c r="A12" s="79">
        <f>H15</f>
        <v>45346.320000000036</v>
      </c>
      <c r="C12" s="2" t="s">
        <v>5206</v>
      </c>
      <c r="D12" s="22" t="s">
        <v>5207</v>
      </c>
      <c r="E12" s="58"/>
      <c r="F12" s="336"/>
      <c r="G12" s="626"/>
      <c r="H12" s="624"/>
      <c r="I12" s="58"/>
      <c r="J12" s="95"/>
      <c r="K12" s="228"/>
      <c r="L12" s="229"/>
      <c r="M12" s="222"/>
      <c r="N12" s="229"/>
      <c r="O12" s="222"/>
      <c r="P12" s="229"/>
      <c r="Q12" s="222"/>
      <c r="R12" s="229"/>
      <c r="S12" s="222"/>
      <c r="T12" s="229"/>
      <c r="U12" s="222"/>
      <c r="V12" s="228"/>
    </row>
    <row r="13" spans="1:22">
      <c r="C13" s="2" t="s">
        <v>5208</v>
      </c>
      <c r="D13" s="22" t="s">
        <v>5209</v>
      </c>
      <c r="E13" s="60">
        <v>0</v>
      </c>
      <c r="F13" s="336">
        <f>SUM(K13:V13)</f>
        <v>100000</v>
      </c>
      <c r="G13" s="627"/>
      <c r="H13" s="624"/>
      <c r="I13" s="58"/>
      <c r="J13" s="95"/>
      <c r="K13" s="228">
        <v>100000</v>
      </c>
      <c r="L13" s="229"/>
      <c r="M13" s="222"/>
      <c r="N13" s="229"/>
      <c r="O13" s="222"/>
      <c r="P13" s="229"/>
      <c r="Q13" s="222"/>
      <c r="R13" s="229"/>
      <c r="S13" s="222"/>
      <c r="T13" s="229"/>
      <c r="U13" s="222"/>
      <c r="V13" s="228"/>
    </row>
    <row r="14" spans="1:22">
      <c r="C14" s="69" t="s">
        <v>5210</v>
      </c>
      <c r="D14" s="70"/>
      <c r="E14" s="71"/>
      <c r="F14" s="71"/>
      <c r="G14" s="71"/>
      <c r="H14" s="71"/>
      <c r="I14" s="71"/>
      <c r="J14" s="32"/>
      <c r="K14" s="82"/>
      <c r="L14" s="82"/>
      <c r="M14" s="82"/>
      <c r="N14" s="82"/>
      <c r="O14" s="82"/>
      <c r="P14" s="82"/>
      <c r="Q14" s="82"/>
      <c r="R14" s="82"/>
      <c r="S14" s="82"/>
      <c r="T14" s="82"/>
      <c r="U14" s="82"/>
      <c r="V14" s="88"/>
    </row>
    <row r="15" spans="1:22">
      <c r="C15" s="55" t="s">
        <v>5188</v>
      </c>
      <c r="D15" s="51"/>
      <c r="E15" s="162">
        <f>SUM(E16:E75)</f>
        <v>260587</v>
      </c>
      <c r="F15" s="622">
        <f>SUM(F16:F75)</f>
        <v>208528.52000000002</v>
      </c>
      <c r="G15" s="467">
        <f>SUM(G16:G75)</f>
        <v>163182.19999999998</v>
      </c>
      <c r="H15" s="162">
        <f>F15-G15</f>
        <v>45346.320000000036</v>
      </c>
      <c r="I15" s="162"/>
      <c r="J15" s="95"/>
      <c r="K15" s="628">
        <v>23847.279999999999</v>
      </c>
      <c r="L15" s="629">
        <v>15938</v>
      </c>
      <c r="M15" s="630">
        <v>16786.5</v>
      </c>
      <c r="N15" s="629">
        <v>29784.25</v>
      </c>
      <c r="O15" s="630">
        <v>33396</v>
      </c>
      <c r="P15" s="629">
        <v>13550.5</v>
      </c>
      <c r="Q15" s="630">
        <v>45608.5</v>
      </c>
      <c r="R15" s="629">
        <v>19995.25</v>
      </c>
      <c r="S15" s="630">
        <v>8721</v>
      </c>
      <c r="T15" s="629">
        <v>22625.5</v>
      </c>
      <c r="U15" s="630">
        <v>6218</v>
      </c>
      <c r="V15" s="631">
        <v>4700.5</v>
      </c>
    </row>
    <row r="16" spans="1:22">
      <c r="C16" s="2">
        <v>51000</v>
      </c>
      <c r="D16" s="22" t="s">
        <v>5211</v>
      </c>
      <c r="E16" s="58">
        <v>3600</v>
      </c>
      <c r="F16" s="286">
        <v>5435</v>
      </c>
      <c r="G16" s="286">
        <v>5435</v>
      </c>
      <c r="H16" s="286">
        <f>F16-G16</f>
        <v>0</v>
      </c>
      <c r="I16" s="223"/>
      <c r="J16" s="95"/>
      <c r="K16" s="228">
        <v>900</v>
      </c>
      <c r="L16" s="229"/>
      <c r="M16" s="222"/>
      <c r="N16" s="229">
        <v>900</v>
      </c>
      <c r="O16" s="222"/>
      <c r="P16" s="229">
        <v>1835</v>
      </c>
      <c r="Q16" s="222">
        <v>900</v>
      </c>
      <c r="R16" s="229"/>
      <c r="S16" s="222"/>
      <c r="T16" s="229">
        <v>900</v>
      </c>
      <c r="U16" s="222"/>
      <c r="V16" s="228"/>
    </row>
    <row r="17" spans="3:22">
      <c r="C17" s="2">
        <v>51100</v>
      </c>
      <c r="D17" s="22" t="s">
        <v>5212</v>
      </c>
      <c r="E17" s="58">
        <v>2000</v>
      </c>
      <c r="F17" s="286"/>
      <c r="G17" s="286"/>
      <c r="H17" s="286"/>
      <c r="I17" s="223"/>
      <c r="J17" s="95"/>
      <c r="K17" s="228"/>
      <c r="L17" s="229"/>
      <c r="M17" s="222"/>
      <c r="N17" s="229"/>
      <c r="O17" s="222"/>
      <c r="P17" s="229"/>
      <c r="Q17" s="222"/>
      <c r="R17" s="229"/>
      <c r="S17" s="222"/>
      <c r="T17" s="229"/>
      <c r="U17" s="222"/>
      <c r="V17" s="228"/>
    </row>
    <row r="18" spans="3:22">
      <c r="C18" s="2">
        <v>51200</v>
      </c>
      <c r="D18" s="22" t="s">
        <v>5213</v>
      </c>
      <c r="E18" s="58"/>
      <c r="F18" s="286"/>
      <c r="G18" s="286">
        <v>550</v>
      </c>
      <c r="H18" s="286">
        <f t="shared" ref="H18" si="1">F18-G18</f>
        <v>-550</v>
      </c>
      <c r="I18" s="223"/>
      <c r="J18" s="95"/>
      <c r="K18" s="228"/>
      <c r="L18" s="229"/>
      <c r="M18" s="222"/>
      <c r="N18" s="229"/>
      <c r="O18" s="222"/>
      <c r="P18" s="229"/>
      <c r="Q18" s="222"/>
      <c r="R18" s="229"/>
      <c r="S18" s="222"/>
      <c r="T18" s="229"/>
      <c r="U18" s="222"/>
      <c r="V18" s="228"/>
    </row>
    <row r="19" spans="3:22">
      <c r="C19" s="2">
        <v>51300</v>
      </c>
      <c r="D19" s="22" t="s">
        <v>5214</v>
      </c>
      <c r="E19" s="58"/>
      <c r="F19" s="286">
        <v>8415</v>
      </c>
      <c r="G19" s="286">
        <f>500+925+13107.6+825</f>
        <v>15357.6</v>
      </c>
      <c r="H19" s="286">
        <f>F19-G19</f>
        <v>-6942.6</v>
      </c>
      <c r="I19" s="223"/>
      <c r="J19" s="95"/>
      <c r="K19" s="228"/>
      <c r="L19" s="229"/>
      <c r="M19" s="222">
        <v>2000</v>
      </c>
      <c r="N19" s="229">
        <v>500</v>
      </c>
      <c r="O19" s="222">
        <v>2000</v>
      </c>
      <c r="P19" s="229">
        <v>500</v>
      </c>
      <c r="Q19" s="222">
        <v>200</v>
      </c>
      <c r="R19" s="229">
        <v>2000</v>
      </c>
      <c r="S19" s="222">
        <v>300</v>
      </c>
      <c r="T19" s="229">
        <v>2000</v>
      </c>
      <c r="U19" s="222"/>
      <c r="V19" s="228"/>
    </row>
    <row r="20" spans="3:22">
      <c r="C20" s="2">
        <v>51400</v>
      </c>
      <c r="D20" s="22" t="s">
        <v>5215</v>
      </c>
      <c r="E20" s="58"/>
      <c r="F20" s="286"/>
      <c r="G20" s="286"/>
      <c r="H20" s="286"/>
      <c r="I20" s="223"/>
      <c r="J20" s="95"/>
      <c r="K20" s="228"/>
      <c r="L20" s="229"/>
      <c r="M20" s="222"/>
      <c r="N20" s="229"/>
      <c r="O20" s="222"/>
      <c r="P20" s="229"/>
      <c r="Q20" s="222"/>
      <c r="R20" s="229"/>
      <c r="S20" s="222"/>
      <c r="T20" s="229"/>
      <c r="U20" s="222"/>
      <c r="V20" s="228"/>
    </row>
    <row r="21" spans="3:22">
      <c r="C21" s="2">
        <v>51500</v>
      </c>
      <c r="D21" s="22" t="s">
        <v>5216</v>
      </c>
      <c r="E21" s="58">
        <v>36960</v>
      </c>
      <c r="F21" s="286"/>
      <c r="G21" s="286"/>
      <c r="H21" s="286"/>
      <c r="I21" s="223"/>
      <c r="J21" s="95"/>
      <c r="K21" s="228"/>
      <c r="L21" s="229"/>
      <c r="M21" s="222"/>
      <c r="N21" s="229"/>
      <c r="O21" s="222"/>
      <c r="P21" s="229"/>
      <c r="Q21" s="222"/>
      <c r="R21" s="229"/>
      <c r="S21" s="222"/>
      <c r="T21" s="229"/>
      <c r="U21" s="222"/>
      <c r="V21" s="228"/>
    </row>
    <row r="22" spans="3:22">
      <c r="C22" s="2">
        <v>51600</v>
      </c>
      <c r="D22" s="22" t="s">
        <v>5217</v>
      </c>
      <c r="E22" s="58"/>
      <c r="F22" s="286"/>
      <c r="G22" s="286"/>
      <c r="H22" s="286"/>
      <c r="I22" s="223"/>
      <c r="J22" s="95"/>
      <c r="K22" s="228"/>
      <c r="L22" s="229"/>
      <c r="M22" s="222"/>
      <c r="N22" s="229"/>
      <c r="O22" s="222"/>
      <c r="P22" s="229"/>
      <c r="Q22" s="222"/>
      <c r="R22" s="229"/>
      <c r="S22" s="222"/>
      <c r="T22" s="229"/>
      <c r="U22" s="222"/>
      <c r="V22" s="228"/>
    </row>
    <row r="23" spans="3:22">
      <c r="C23" s="2">
        <v>51700</v>
      </c>
      <c r="D23" s="22" t="s">
        <v>5218</v>
      </c>
      <c r="E23" s="58"/>
      <c r="F23" s="286"/>
      <c r="G23" s="286"/>
      <c r="H23" s="286"/>
      <c r="I23" s="223"/>
      <c r="J23" s="95"/>
      <c r="K23" s="228"/>
      <c r="L23" s="229"/>
      <c r="M23" s="222"/>
      <c r="N23" s="229"/>
      <c r="O23" s="222"/>
      <c r="P23" s="229"/>
      <c r="Q23" s="222"/>
      <c r="R23" s="229"/>
      <c r="S23" s="222"/>
      <c r="T23" s="229"/>
      <c r="U23" s="222"/>
      <c r="V23" s="228"/>
    </row>
    <row r="24" spans="3:22">
      <c r="C24" s="2">
        <v>51800</v>
      </c>
      <c r="D24" s="22" t="s">
        <v>5219</v>
      </c>
      <c r="E24" s="58">
        <v>3000</v>
      </c>
      <c r="F24" s="286">
        <v>1500</v>
      </c>
      <c r="G24" s="286">
        <v>3446</v>
      </c>
      <c r="H24" s="286">
        <f>F24-G24</f>
        <v>-1946</v>
      </c>
      <c r="I24" s="223"/>
      <c r="J24" s="95"/>
      <c r="K24" s="228"/>
      <c r="L24" s="229"/>
      <c r="M24" s="222"/>
      <c r="N24" s="229"/>
      <c r="O24" s="222"/>
      <c r="P24" s="229">
        <v>1500</v>
      </c>
      <c r="Q24" s="222"/>
      <c r="R24" s="229"/>
      <c r="S24" s="222"/>
      <c r="T24" s="229">
        <v>2000</v>
      </c>
      <c r="U24" s="222"/>
      <c r="V24" s="228">
        <v>1500</v>
      </c>
    </row>
    <row r="25" spans="3:22">
      <c r="C25" s="2">
        <v>51850</v>
      </c>
      <c r="D25" s="22" t="s">
        <v>5220</v>
      </c>
      <c r="E25" s="58">
        <v>20000</v>
      </c>
      <c r="F25" s="286">
        <v>15000</v>
      </c>
      <c r="G25" s="286"/>
      <c r="H25" s="286">
        <f>F25-G25</f>
        <v>15000</v>
      </c>
      <c r="I25" s="223"/>
      <c r="J25" s="95"/>
      <c r="K25" s="228">
        <v>2437.5</v>
      </c>
      <c r="L25" s="229">
        <v>2437.5</v>
      </c>
      <c r="M25" s="222">
        <v>2437.5</v>
      </c>
      <c r="N25" s="229">
        <v>2437.5</v>
      </c>
      <c r="O25" s="222">
        <v>2437.5</v>
      </c>
      <c r="P25" s="229">
        <v>2437.5</v>
      </c>
      <c r="Q25" s="222">
        <v>2437.5</v>
      </c>
      <c r="R25" s="229">
        <v>2437.5</v>
      </c>
      <c r="S25" s="222">
        <v>2437.5</v>
      </c>
      <c r="T25" s="229">
        <v>2437.5</v>
      </c>
      <c r="U25" s="222">
        <v>2437.5</v>
      </c>
      <c r="V25" s="228">
        <v>2437.5</v>
      </c>
    </row>
    <row r="26" spans="3:22">
      <c r="C26" s="2">
        <v>52000</v>
      </c>
      <c r="D26" s="22" t="s">
        <v>5221</v>
      </c>
      <c r="E26" s="58"/>
      <c r="F26" s="286"/>
      <c r="G26" s="286"/>
      <c r="H26" s="286"/>
      <c r="I26" s="223"/>
      <c r="J26" s="95"/>
      <c r="K26" s="228"/>
      <c r="L26" s="229"/>
      <c r="M26" s="222"/>
      <c r="N26" s="229"/>
      <c r="O26" s="222"/>
      <c r="P26" s="229"/>
      <c r="Q26" s="222"/>
      <c r="R26" s="229"/>
      <c r="S26" s="222"/>
      <c r="T26" s="229"/>
      <c r="U26" s="222"/>
      <c r="V26" s="228"/>
    </row>
    <row r="27" spans="3:22">
      <c r="C27" s="2">
        <v>52100</v>
      </c>
      <c r="D27" s="22" t="s">
        <v>5222</v>
      </c>
      <c r="E27" s="58">
        <v>500</v>
      </c>
      <c r="F27" s="286">
        <v>300</v>
      </c>
      <c r="G27" s="286"/>
      <c r="H27" s="286">
        <f>F27-G27</f>
        <v>300</v>
      </c>
      <c r="I27" s="223"/>
      <c r="J27" s="95"/>
      <c r="K27" s="228">
        <v>250</v>
      </c>
      <c r="L27" s="229"/>
      <c r="M27" s="222"/>
      <c r="N27" s="229"/>
      <c r="O27" s="222"/>
      <c r="P27" s="229"/>
      <c r="Q27" s="222">
        <v>250</v>
      </c>
      <c r="R27" s="229"/>
      <c r="S27" s="222"/>
      <c r="T27" s="229"/>
      <c r="U27" s="222"/>
      <c r="V27" s="228"/>
    </row>
    <row r="28" spans="3:22">
      <c r="C28" s="2">
        <v>52200</v>
      </c>
      <c r="D28" s="22" t="s">
        <v>5223</v>
      </c>
      <c r="E28" s="58"/>
      <c r="F28" s="286"/>
      <c r="G28" s="286"/>
      <c r="H28" s="286"/>
      <c r="I28" s="223"/>
      <c r="J28" s="95"/>
      <c r="K28" s="228"/>
      <c r="L28" s="229"/>
      <c r="M28" s="222"/>
      <c r="N28" s="229"/>
      <c r="O28" s="222"/>
      <c r="P28" s="229"/>
      <c r="Q28" s="222"/>
      <c r="R28" s="229"/>
      <c r="S28" s="222"/>
      <c r="T28" s="229"/>
      <c r="U28" s="222"/>
      <c r="V28" s="228"/>
    </row>
    <row r="29" spans="3:22">
      <c r="C29" s="2">
        <v>52300</v>
      </c>
      <c r="D29" s="22" t="s">
        <v>5224</v>
      </c>
      <c r="E29" s="58"/>
      <c r="F29" s="286"/>
      <c r="G29" s="286"/>
      <c r="H29" s="286"/>
      <c r="I29" s="223"/>
      <c r="J29" s="95"/>
      <c r="K29" s="228"/>
      <c r="L29" s="229"/>
      <c r="M29" s="222"/>
      <c r="N29" s="229"/>
      <c r="O29" s="222"/>
      <c r="P29" s="229"/>
      <c r="Q29" s="222"/>
      <c r="R29" s="229"/>
      <c r="S29" s="222"/>
      <c r="T29" s="229"/>
      <c r="U29" s="222"/>
      <c r="V29" s="228"/>
    </row>
    <row r="30" spans="3:22">
      <c r="C30" s="2">
        <v>53000</v>
      </c>
      <c r="D30" s="22" t="s">
        <v>5225</v>
      </c>
      <c r="E30" s="58">
        <v>500</v>
      </c>
      <c r="F30" s="286">
        <v>375</v>
      </c>
      <c r="G30" s="286">
        <f>1357+13.77+73.13+121.61</f>
        <v>1565.51</v>
      </c>
      <c r="H30" s="286">
        <f>F30-G30</f>
        <v>-1190.51</v>
      </c>
      <c r="I30" s="223"/>
      <c r="J30" s="95"/>
      <c r="K30" s="228">
        <v>250</v>
      </c>
      <c r="L30" s="229"/>
      <c r="M30" s="222"/>
      <c r="N30" s="229"/>
      <c r="O30" s="222"/>
      <c r="P30" s="229"/>
      <c r="Q30" s="222">
        <v>250</v>
      </c>
      <c r="R30" s="229"/>
      <c r="S30" s="222"/>
      <c r="T30" s="229"/>
      <c r="U30" s="222"/>
      <c r="V30" s="228"/>
    </row>
    <row r="31" spans="3:22">
      <c r="C31" s="2">
        <v>53100</v>
      </c>
      <c r="D31" s="22" t="s">
        <v>5226</v>
      </c>
      <c r="E31" s="58"/>
      <c r="F31" s="286"/>
      <c r="G31" s="286"/>
      <c r="H31" s="286"/>
      <c r="I31" s="223"/>
      <c r="J31" s="95"/>
      <c r="K31" s="228"/>
      <c r="L31" s="229"/>
      <c r="M31" s="222"/>
      <c r="N31" s="229"/>
      <c r="O31" s="222"/>
      <c r="P31" s="229"/>
      <c r="Q31" s="222"/>
      <c r="R31" s="229"/>
      <c r="S31" s="222"/>
      <c r="T31" s="229"/>
      <c r="U31" s="222"/>
      <c r="V31" s="228"/>
    </row>
    <row r="32" spans="3:22">
      <c r="C32" s="2">
        <v>53200</v>
      </c>
      <c r="D32" s="22" t="s">
        <v>5227</v>
      </c>
      <c r="E32" s="58"/>
      <c r="F32" s="286"/>
      <c r="G32" s="286"/>
      <c r="H32" s="286"/>
      <c r="I32" s="223"/>
      <c r="J32" s="95"/>
      <c r="K32" s="228"/>
      <c r="L32" s="229"/>
      <c r="M32" s="222"/>
      <c r="N32" s="229"/>
      <c r="O32" s="222"/>
      <c r="P32" s="229"/>
      <c r="Q32" s="222"/>
      <c r="R32" s="229"/>
      <c r="S32" s="222"/>
      <c r="T32" s="229"/>
      <c r="U32" s="222"/>
      <c r="V32" s="228"/>
    </row>
    <row r="33" spans="1:22">
      <c r="C33" s="2">
        <v>53300</v>
      </c>
      <c r="D33" s="22" t="s">
        <v>5228</v>
      </c>
      <c r="E33" s="58"/>
      <c r="F33" s="286">
        <v>1676.24</v>
      </c>
      <c r="G33" s="286">
        <f>591.24+1085+1090</f>
        <v>2766.24</v>
      </c>
      <c r="H33" s="764">
        <f>F33-G33</f>
        <v>-1089.9999999999998</v>
      </c>
      <c r="I33" s="223"/>
      <c r="J33" s="95"/>
      <c r="K33" s="228">
        <v>50</v>
      </c>
      <c r="L33" s="229">
        <v>50</v>
      </c>
      <c r="M33" s="222">
        <v>50</v>
      </c>
      <c r="N33" s="229">
        <v>50</v>
      </c>
      <c r="O33" s="222">
        <v>50</v>
      </c>
      <c r="P33" s="229">
        <v>50</v>
      </c>
      <c r="Q33" s="222">
        <v>50</v>
      </c>
      <c r="R33" s="229">
        <v>50</v>
      </c>
      <c r="S33" s="222">
        <v>50</v>
      </c>
      <c r="T33" s="229">
        <v>50</v>
      </c>
      <c r="U33" s="222">
        <v>50</v>
      </c>
      <c r="V33" s="228">
        <v>50</v>
      </c>
    </row>
    <row r="34" spans="1:22">
      <c r="C34" s="2">
        <v>54000</v>
      </c>
      <c r="D34" s="22" t="s">
        <v>5229</v>
      </c>
      <c r="E34" s="58"/>
      <c r="F34" s="286">
        <v>180.28</v>
      </c>
      <c r="G34" s="286">
        <v>180.28</v>
      </c>
      <c r="H34" s="286"/>
      <c r="I34" s="223"/>
      <c r="J34" s="95"/>
      <c r="K34" s="228">
        <v>180.28</v>
      </c>
      <c r="L34" s="229"/>
      <c r="M34" s="222"/>
      <c r="N34" s="229"/>
      <c r="O34" s="222"/>
      <c r="P34" s="229"/>
      <c r="Q34" s="222"/>
      <c r="R34" s="229"/>
      <c r="S34" s="222"/>
      <c r="T34" s="229"/>
      <c r="U34" s="222"/>
      <c r="V34" s="228"/>
    </row>
    <row r="35" spans="1:22">
      <c r="C35" s="2">
        <v>55000</v>
      </c>
      <c r="D35" s="22" t="s">
        <v>5230</v>
      </c>
      <c r="E35" s="58">
        <v>5000</v>
      </c>
      <c r="F35" s="286">
        <v>3750</v>
      </c>
      <c r="G35" s="286">
        <v>1124</v>
      </c>
      <c r="H35" s="286">
        <f t="shared" ref="H35:H39" si="2">F35-G35</f>
        <v>2626</v>
      </c>
      <c r="I35" s="223"/>
      <c r="J35" s="95"/>
      <c r="K35" s="228">
        <v>400</v>
      </c>
      <c r="L35" s="229">
        <v>400</v>
      </c>
      <c r="M35" s="222">
        <v>400</v>
      </c>
      <c r="N35" s="229">
        <v>400</v>
      </c>
      <c r="O35" s="222">
        <v>400</v>
      </c>
      <c r="P35" s="229">
        <v>600</v>
      </c>
      <c r="Q35" s="222">
        <v>400</v>
      </c>
      <c r="R35" s="229">
        <v>400</v>
      </c>
      <c r="S35" s="222">
        <v>400</v>
      </c>
      <c r="T35" s="229">
        <v>400</v>
      </c>
      <c r="U35" s="222">
        <v>400</v>
      </c>
      <c r="V35" s="228">
        <v>400</v>
      </c>
    </row>
    <row r="36" spans="1:22">
      <c r="C36" s="2">
        <v>55100</v>
      </c>
      <c r="D36" s="22" t="s">
        <v>5231</v>
      </c>
      <c r="E36" s="58">
        <v>33000</v>
      </c>
      <c r="F36" s="286">
        <v>41000</v>
      </c>
      <c r="G36" s="286">
        <f>5328+275+608.4+466.8+26.35+684+133.45+34.1+41.85+1000+4.2+9+47.6+8700</f>
        <v>17358.75</v>
      </c>
      <c r="H36" s="286">
        <f t="shared" si="2"/>
        <v>23641.25</v>
      </c>
      <c r="I36" s="223"/>
      <c r="J36" s="95"/>
      <c r="K36" s="228">
        <v>2624</v>
      </c>
      <c r="L36" s="229">
        <v>4140</v>
      </c>
      <c r="M36" s="222">
        <v>3624</v>
      </c>
      <c r="N36" s="229">
        <v>850</v>
      </c>
      <c r="O36" s="222">
        <v>7624</v>
      </c>
      <c r="P36" s="229">
        <v>9400</v>
      </c>
      <c r="Q36" s="222">
        <v>1686</v>
      </c>
      <c r="R36" s="229">
        <v>3624</v>
      </c>
      <c r="S36" s="222">
        <v>2000</v>
      </c>
      <c r="T36" s="229">
        <v>3500</v>
      </c>
      <c r="U36" s="222">
        <v>964</v>
      </c>
      <c r="V36" s="228">
        <v>964</v>
      </c>
    </row>
    <row r="37" spans="1:22">
      <c r="C37" s="2">
        <v>55200</v>
      </c>
      <c r="D37" s="22" t="s">
        <v>5232</v>
      </c>
      <c r="E37" s="58"/>
      <c r="F37" s="286">
        <v>10000</v>
      </c>
      <c r="G37" s="286">
        <v>6809</v>
      </c>
      <c r="H37" s="286">
        <f t="shared" si="2"/>
        <v>3191</v>
      </c>
      <c r="I37" s="223"/>
      <c r="J37" s="95"/>
      <c r="K37" s="228"/>
      <c r="L37" s="229">
        <v>2000</v>
      </c>
      <c r="M37" s="222">
        <v>500</v>
      </c>
      <c r="N37" s="229">
        <v>2000</v>
      </c>
      <c r="O37" s="222">
        <v>500</v>
      </c>
      <c r="P37" s="229">
        <v>500</v>
      </c>
      <c r="Q37" s="222">
        <v>2000</v>
      </c>
      <c r="R37" s="229">
        <v>500</v>
      </c>
      <c r="S37" s="222">
        <v>1500</v>
      </c>
      <c r="T37" s="229">
        <v>500</v>
      </c>
      <c r="U37" s="222"/>
      <c r="V37" s="228"/>
    </row>
    <row r="38" spans="1:22">
      <c r="C38" s="2">
        <v>55300</v>
      </c>
      <c r="D38" s="22" t="s">
        <v>5233</v>
      </c>
      <c r="E38" s="58">
        <v>1000</v>
      </c>
      <c r="F38" s="286">
        <v>750</v>
      </c>
      <c r="G38" s="286">
        <f>1852+17.17</f>
        <v>1869.17</v>
      </c>
      <c r="H38" s="286">
        <f t="shared" si="2"/>
        <v>-1119.17</v>
      </c>
      <c r="I38" s="223"/>
      <c r="J38" s="95"/>
      <c r="K38" s="228">
        <v>80</v>
      </c>
      <c r="L38" s="229">
        <v>80</v>
      </c>
      <c r="M38" s="222">
        <v>80</v>
      </c>
      <c r="N38" s="229">
        <v>80</v>
      </c>
      <c r="O38" s="222">
        <v>80</v>
      </c>
      <c r="P38" s="229">
        <v>120</v>
      </c>
      <c r="Q38" s="222">
        <v>80</v>
      </c>
      <c r="R38" s="229">
        <v>80</v>
      </c>
      <c r="S38" s="222">
        <v>80</v>
      </c>
      <c r="T38" s="229">
        <v>80</v>
      </c>
      <c r="U38" s="222">
        <v>80</v>
      </c>
      <c r="V38" s="228">
        <v>80</v>
      </c>
    </row>
    <row r="39" spans="1:22">
      <c r="C39" s="2">
        <v>56000</v>
      </c>
      <c r="D39" s="22" t="s">
        <v>5234</v>
      </c>
      <c r="E39" s="58">
        <v>66500</v>
      </c>
      <c r="F39" s="286">
        <v>41650</v>
      </c>
      <c r="G39" s="286">
        <f>20338+7.65+53.55+15.3+15475</f>
        <v>35889.5</v>
      </c>
      <c r="H39" s="286">
        <f t="shared" si="2"/>
        <v>5760.5</v>
      </c>
      <c r="I39" s="223"/>
      <c r="J39" s="95"/>
      <c r="K39" s="228">
        <v>7437</v>
      </c>
      <c r="L39" s="229">
        <v>3375</v>
      </c>
      <c r="M39" s="222">
        <v>7437</v>
      </c>
      <c r="N39" s="229">
        <v>11650</v>
      </c>
      <c r="O39" s="222">
        <v>19812</v>
      </c>
      <c r="P39" s="229">
        <v>1250</v>
      </c>
      <c r="Q39" s="222">
        <v>17227</v>
      </c>
      <c r="R39" s="229">
        <v>7437</v>
      </c>
      <c r="S39" s="222"/>
      <c r="T39" s="229">
        <v>3375</v>
      </c>
      <c r="U39" s="222"/>
      <c r="V39" s="228"/>
    </row>
    <row r="40" spans="1:22">
      <c r="C40" s="2">
        <v>56100</v>
      </c>
      <c r="D40" s="22" t="s">
        <v>5235</v>
      </c>
      <c r="E40" s="58"/>
      <c r="F40" s="286"/>
      <c r="G40" s="286"/>
      <c r="H40" s="286"/>
      <c r="I40" s="223"/>
      <c r="J40" s="95"/>
      <c r="K40" s="228"/>
      <c r="L40" s="229"/>
      <c r="M40" s="222"/>
      <c r="N40" s="229"/>
      <c r="O40" s="222"/>
      <c r="P40" s="229"/>
      <c r="Q40" s="222"/>
      <c r="R40" s="229"/>
      <c r="S40" s="222"/>
      <c r="T40" s="229"/>
      <c r="U40" s="222"/>
      <c r="V40" s="228"/>
    </row>
    <row r="41" spans="1:22">
      <c r="C41" s="2">
        <v>56500</v>
      </c>
      <c r="D41" s="22" t="s">
        <v>5236</v>
      </c>
      <c r="E41" s="58">
        <v>24000</v>
      </c>
      <c r="F41" s="286">
        <v>24000</v>
      </c>
      <c r="G41" s="286">
        <v>24000</v>
      </c>
      <c r="H41" s="286">
        <f>F41-G41</f>
        <v>0</v>
      </c>
      <c r="I41" s="223"/>
      <c r="J41" s="95"/>
      <c r="K41" s="228">
        <v>6000</v>
      </c>
      <c r="L41" s="229"/>
      <c r="M41" s="222"/>
      <c r="N41" s="229">
        <v>6000</v>
      </c>
      <c r="O41" s="222"/>
      <c r="P41" s="229"/>
      <c r="Q41" s="222">
        <v>6000</v>
      </c>
      <c r="R41" s="229"/>
      <c r="S41" s="222"/>
      <c r="T41" s="229">
        <v>6000</v>
      </c>
      <c r="U41" s="222"/>
      <c r="V41" s="228"/>
    </row>
    <row r="42" spans="1:22">
      <c r="C42" s="2">
        <v>57100</v>
      </c>
      <c r="D42" s="22" t="s">
        <v>5237</v>
      </c>
      <c r="E42" s="58"/>
      <c r="F42" s="286"/>
      <c r="G42" s="286">
        <f>1857+180+180+225+4500</f>
        <v>6942</v>
      </c>
      <c r="H42" s="286"/>
      <c r="I42" s="223"/>
      <c r="J42" s="95"/>
      <c r="K42" s="228"/>
      <c r="L42" s="229"/>
      <c r="M42" s="222"/>
      <c r="N42" s="229"/>
      <c r="O42" s="222"/>
      <c r="P42" s="229"/>
      <c r="Q42" s="222"/>
      <c r="R42" s="229"/>
      <c r="S42" s="222"/>
      <c r="T42" s="229"/>
      <c r="U42" s="222"/>
      <c r="V42" s="228"/>
    </row>
    <row r="43" spans="1:22">
      <c r="C43" s="2">
        <v>57200</v>
      </c>
      <c r="D43" s="22" t="s">
        <v>5238</v>
      </c>
      <c r="E43" s="58">
        <v>1591</v>
      </c>
      <c r="F43" s="286">
        <v>1200</v>
      </c>
      <c r="G43" s="286">
        <v>1790</v>
      </c>
      <c r="H43" s="286">
        <f>F43-G43</f>
        <v>-590</v>
      </c>
      <c r="I43" s="223"/>
      <c r="J43" s="95"/>
      <c r="K43" s="228"/>
      <c r="L43" s="229"/>
      <c r="M43" s="222"/>
      <c r="N43" s="229">
        <v>1200</v>
      </c>
      <c r="O43" s="222"/>
      <c r="P43" s="229"/>
      <c r="Q43" s="222"/>
      <c r="R43" s="229"/>
      <c r="S43" s="222"/>
      <c r="T43" s="229"/>
      <c r="U43" s="222"/>
      <c r="V43" s="228"/>
    </row>
    <row r="44" spans="1:22">
      <c r="C44" s="2">
        <v>58000</v>
      </c>
      <c r="D44" s="22" t="s">
        <v>5239</v>
      </c>
      <c r="E44" s="58"/>
      <c r="F44" s="286"/>
      <c r="G44" s="286"/>
      <c r="H44" s="286"/>
      <c r="I44" s="223"/>
      <c r="J44" s="95"/>
      <c r="K44" s="228"/>
      <c r="L44" s="229"/>
      <c r="M44" s="222"/>
      <c r="N44" s="229"/>
      <c r="O44" s="222"/>
      <c r="P44" s="229"/>
      <c r="Q44" s="222"/>
      <c r="R44" s="229"/>
      <c r="S44" s="222"/>
      <c r="T44" s="229"/>
      <c r="U44" s="222"/>
      <c r="V44" s="228"/>
    </row>
    <row r="45" spans="1:22">
      <c r="C45" s="2">
        <v>58100</v>
      </c>
      <c r="D45" s="22" t="s">
        <v>5240</v>
      </c>
      <c r="E45" s="58"/>
      <c r="F45" s="286"/>
      <c r="G45" s="286"/>
      <c r="H45" s="286"/>
      <c r="I45" s="223"/>
      <c r="J45" s="95"/>
      <c r="K45" s="228"/>
      <c r="L45" s="229"/>
      <c r="M45" s="222"/>
      <c r="N45" s="229"/>
      <c r="O45" s="222"/>
      <c r="P45" s="229"/>
      <c r="Q45" s="222"/>
      <c r="R45" s="229"/>
      <c r="S45" s="222"/>
      <c r="T45" s="229"/>
      <c r="U45" s="222"/>
      <c r="V45" s="228"/>
    </row>
    <row r="46" spans="1:22">
      <c r="C46" s="2">
        <v>58200</v>
      </c>
      <c r="D46" s="22" t="s">
        <v>5241</v>
      </c>
      <c r="E46" s="58"/>
      <c r="F46" s="286"/>
      <c r="G46" s="286"/>
      <c r="H46" s="286"/>
      <c r="I46" s="223"/>
      <c r="J46" s="95"/>
      <c r="K46" s="228"/>
      <c r="L46" s="229"/>
      <c r="M46" s="222"/>
      <c r="N46" s="229"/>
      <c r="O46" s="222"/>
      <c r="P46" s="229"/>
      <c r="Q46" s="222"/>
      <c r="R46" s="229"/>
      <c r="S46" s="222"/>
      <c r="T46" s="229"/>
      <c r="U46" s="222"/>
      <c r="V46" s="228"/>
    </row>
    <row r="47" spans="1:22">
      <c r="C47" s="2">
        <v>58300</v>
      </c>
      <c r="D47" s="22" t="s">
        <v>5242</v>
      </c>
      <c r="E47" s="58">
        <v>60</v>
      </c>
      <c r="F47" s="286">
        <v>436</v>
      </c>
      <c r="G47" s="286">
        <v>899</v>
      </c>
      <c r="H47" s="286">
        <f>F47-G47</f>
        <v>-463</v>
      </c>
      <c r="I47" s="223"/>
      <c r="J47" s="95"/>
      <c r="K47" s="228"/>
      <c r="L47" s="229"/>
      <c r="M47" s="222"/>
      <c r="N47" s="229"/>
      <c r="O47" s="222"/>
      <c r="P47" s="229"/>
      <c r="Q47" s="222">
        <v>436</v>
      </c>
      <c r="R47" s="229"/>
      <c r="S47" s="222"/>
      <c r="T47" s="229"/>
      <c r="U47" s="222"/>
      <c r="V47" s="228"/>
    </row>
    <row r="48" spans="1:22">
      <c r="A48" s="200"/>
      <c r="B48" s="498" t="s">
        <v>2510</v>
      </c>
      <c r="C48" s="212">
        <v>59110</v>
      </c>
      <c r="D48" s="200" t="s">
        <v>5243</v>
      </c>
      <c r="E48" s="201">
        <v>2475</v>
      </c>
      <c r="F48" s="201">
        <v>2475</v>
      </c>
      <c r="G48" s="468">
        <v>87</v>
      </c>
      <c r="H48" s="468">
        <f t="shared" ref="H48:H53" si="3">F48-E48</f>
        <v>0</v>
      </c>
      <c r="I48" s="237"/>
      <c r="J48" s="95"/>
      <c r="K48" s="234">
        <v>297.5</v>
      </c>
      <c r="L48" s="235">
        <v>297.5</v>
      </c>
      <c r="M48" s="236">
        <v>75</v>
      </c>
      <c r="N48" s="235">
        <v>321.25</v>
      </c>
      <c r="O48" s="236">
        <v>247.5</v>
      </c>
      <c r="P48" s="235">
        <v>75</v>
      </c>
      <c r="Q48" s="236">
        <v>245</v>
      </c>
      <c r="R48" s="235">
        <v>221.25</v>
      </c>
      <c r="S48" s="236">
        <v>297.5</v>
      </c>
      <c r="T48" s="235">
        <v>50</v>
      </c>
      <c r="U48" s="236">
        <v>297.5</v>
      </c>
      <c r="V48" s="234">
        <v>50</v>
      </c>
    </row>
    <row r="49" spans="1:22" ht="16.5" customHeight="1">
      <c r="C49" s="212">
        <v>59120</v>
      </c>
      <c r="D49" s="200" t="s">
        <v>5244</v>
      </c>
      <c r="E49" s="201">
        <v>6000</v>
      </c>
      <c r="F49" s="201">
        <v>2500</v>
      </c>
      <c r="G49" s="468">
        <v>152</v>
      </c>
      <c r="H49" s="468">
        <f>F49-G49</f>
        <v>2348</v>
      </c>
      <c r="I49" s="237"/>
      <c r="J49" s="95"/>
      <c r="K49" s="234">
        <v>600</v>
      </c>
      <c r="L49" s="235">
        <v>600</v>
      </c>
      <c r="M49" s="236"/>
      <c r="N49" s="235">
        <v>900</v>
      </c>
      <c r="O49" s="236">
        <v>600</v>
      </c>
      <c r="P49" s="235"/>
      <c r="Q49" s="236">
        <v>1200</v>
      </c>
      <c r="R49" s="235">
        <v>900</v>
      </c>
      <c r="S49" s="236">
        <v>600</v>
      </c>
      <c r="T49" s="235"/>
      <c r="U49" s="236">
        <v>600</v>
      </c>
      <c r="V49" s="234"/>
    </row>
    <row r="50" spans="1:22">
      <c r="B50" s="497"/>
      <c r="C50" s="212">
        <v>59130</v>
      </c>
      <c r="D50" s="200" t="s">
        <v>5245</v>
      </c>
      <c r="E50" s="201">
        <v>7750</v>
      </c>
      <c r="F50" s="201">
        <v>2500</v>
      </c>
      <c r="G50" s="468"/>
      <c r="H50" s="468">
        <f>F50-G50</f>
        <v>2500</v>
      </c>
      <c r="I50" s="237"/>
      <c r="J50" s="95"/>
      <c r="K50" s="234">
        <v>775</v>
      </c>
      <c r="L50" s="235">
        <v>775</v>
      </c>
      <c r="M50" s="236"/>
      <c r="N50" s="235">
        <v>1162.5</v>
      </c>
      <c r="O50" s="236">
        <v>775</v>
      </c>
      <c r="P50" s="235"/>
      <c r="Q50" s="236">
        <v>1550</v>
      </c>
      <c r="R50" s="235">
        <v>1162.5</v>
      </c>
      <c r="S50" s="236">
        <v>775</v>
      </c>
      <c r="T50" s="235"/>
      <c r="U50" s="236">
        <v>775</v>
      </c>
      <c r="V50" s="234"/>
    </row>
    <row r="51" spans="1:22">
      <c r="C51" s="212">
        <v>59140</v>
      </c>
      <c r="D51" s="200" t="s">
        <v>5246</v>
      </c>
      <c r="E51" s="201">
        <v>500</v>
      </c>
      <c r="F51" s="201">
        <v>500</v>
      </c>
      <c r="G51" s="468">
        <v>129</v>
      </c>
      <c r="H51" s="468">
        <f t="shared" si="3"/>
        <v>0</v>
      </c>
      <c r="I51" s="237"/>
      <c r="J51" s="95"/>
      <c r="K51" s="234">
        <v>50</v>
      </c>
      <c r="L51" s="235">
        <v>50</v>
      </c>
      <c r="M51" s="236"/>
      <c r="N51" s="235">
        <v>75</v>
      </c>
      <c r="O51" s="236">
        <v>50</v>
      </c>
      <c r="P51" s="235"/>
      <c r="Q51" s="236">
        <v>100</v>
      </c>
      <c r="R51" s="235">
        <v>75</v>
      </c>
      <c r="S51" s="236">
        <v>50</v>
      </c>
      <c r="T51" s="235"/>
      <c r="U51" s="236">
        <v>50</v>
      </c>
      <c r="V51" s="234"/>
    </row>
    <row r="52" spans="1:22">
      <c r="C52" s="212">
        <v>59150</v>
      </c>
      <c r="D52" s="200" t="s">
        <v>5247</v>
      </c>
      <c r="E52" s="201">
        <v>2500</v>
      </c>
      <c r="F52" s="201">
        <v>1750</v>
      </c>
      <c r="G52" s="468">
        <v>186</v>
      </c>
      <c r="H52" s="468">
        <f>F52-G52</f>
        <v>1564</v>
      </c>
      <c r="I52" s="237"/>
      <c r="J52" s="95"/>
      <c r="K52" s="234">
        <v>250</v>
      </c>
      <c r="L52" s="235">
        <v>250</v>
      </c>
      <c r="M52" s="236"/>
      <c r="N52" s="235">
        <v>375</v>
      </c>
      <c r="O52" s="236">
        <v>250</v>
      </c>
      <c r="P52" s="235"/>
      <c r="Q52" s="236">
        <v>500</v>
      </c>
      <c r="R52" s="235">
        <v>375</v>
      </c>
      <c r="S52" s="236">
        <v>250</v>
      </c>
      <c r="T52" s="235"/>
      <c r="U52" s="236">
        <v>250</v>
      </c>
      <c r="V52" s="234"/>
    </row>
    <row r="53" spans="1:22">
      <c r="C53" s="212">
        <v>59160</v>
      </c>
      <c r="D53" s="200" t="s">
        <v>5248</v>
      </c>
      <c r="E53" s="201">
        <v>1000</v>
      </c>
      <c r="F53" s="201">
        <v>1000</v>
      </c>
      <c r="G53" s="468">
        <v>263</v>
      </c>
      <c r="H53" s="468">
        <f t="shared" si="3"/>
        <v>0</v>
      </c>
      <c r="I53" s="237"/>
      <c r="J53" s="95"/>
      <c r="K53" s="234">
        <v>100</v>
      </c>
      <c r="L53" s="235">
        <v>100</v>
      </c>
      <c r="M53" s="236"/>
      <c r="N53" s="235">
        <v>150</v>
      </c>
      <c r="O53" s="236">
        <v>100</v>
      </c>
      <c r="P53" s="235"/>
      <c r="Q53" s="236">
        <v>200</v>
      </c>
      <c r="R53" s="235">
        <v>150</v>
      </c>
      <c r="S53" s="236">
        <v>100</v>
      </c>
      <c r="T53" s="235"/>
      <c r="U53" s="236">
        <v>100</v>
      </c>
      <c r="V53" s="234"/>
    </row>
    <row r="54" spans="1:22">
      <c r="A54" s="490"/>
      <c r="B54" s="499" t="s">
        <v>3071</v>
      </c>
      <c r="C54" s="489">
        <v>59110</v>
      </c>
      <c r="D54" s="490" t="s">
        <v>5243</v>
      </c>
      <c r="E54" s="491"/>
      <c r="F54" s="491">
        <v>1500</v>
      </c>
      <c r="G54" s="492"/>
      <c r="H54" s="632">
        <f>F54-G54</f>
        <v>1500</v>
      </c>
      <c r="I54" s="493"/>
      <c r="J54" s="496"/>
      <c r="K54" s="227">
        <v>150</v>
      </c>
      <c r="L54" s="225">
        <v>100</v>
      </c>
      <c r="M54" s="495">
        <v>150</v>
      </c>
      <c r="N54" s="225">
        <v>100</v>
      </c>
      <c r="O54" s="495">
        <v>150</v>
      </c>
      <c r="P54" s="225">
        <v>200</v>
      </c>
      <c r="Q54" s="495">
        <v>100</v>
      </c>
      <c r="R54" s="225">
        <v>100</v>
      </c>
      <c r="S54" s="495">
        <v>150</v>
      </c>
      <c r="T54" s="225">
        <v>100</v>
      </c>
      <c r="U54" s="495">
        <v>100</v>
      </c>
      <c r="V54" s="227">
        <v>100</v>
      </c>
    </row>
    <row r="55" spans="1:22">
      <c r="C55" s="489">
        <v>59120</v>
      </c>
      <c r="D55" s="490" t="s">
        <v>5244</v>
      </c>
      <c r="E55" s="491"/>
      <c r="F55" s="491">
        <v>569</v>
      </c>
      <c r="G55" s="492"/>
      <c r="H55" s="632">
        <f>F55-G55</f>
        <v>569</v>
      </c>
      <c r="I55" s="493"/>
      <c r="J55" s="496"/>
      <c r="K55" s="227">
        <v>200</v>
      </c>
      <c r="L55" s="225"/>
      <c r="M55" s="495"/>
      <c r="N55" s="225"/>
      <c r="O55" s="495">
        <v>200</v>
      </c>
      <c r="P55" s="225"/>
      <c r="Q55" s="495"/>
      <c r="R55" s="225"/>
      <c r="S55" s="495">
        <v>200</v>
      </c>
      <c r="T55" s="225"/>
      <c r="U55" s="495"/>
      <c r="V55" s="227"/>
    </row>
    <row r="56" spans="1:22">
      <c r="B56" s="497"/>
      <c r="C56" s="489">
        <v>59130</v>
      </c>
      <c r="D56" s="490" t="s">
        <v>5245</v>
      </c>
      <c r="E56" s="491"/>
      <c r="F56" s="491"/>
      <c r="G56" s="492"/>
      <c r="H56" s="632"/>
      <c r="I56" s="493"/>
      <c r="J56" s="496"/>
      <c r="K56" s="227"/>
      <c r="L56" s="225"/>
      <c r="M56" s="495"/>
      <c r="N56" s="225"/>
      <c r="O56" s="495">
        <v>500</v>
      </c>
      <c r="P56" s="225"/>
      <c r="Q56" s="495"/>
      <c r="R56" s="225"/>
      <c r="S56" s="495"/>
      <c r="T56" s="225"/>
      <c r="U56" s="495"/>
      <c r="V56" s="227"/>
    </row>
    <row r="57" spans="1:22">
      <c r="C57" s="489">
        <v>59140</v>
      </c>
      <c r="D57" s="490" t="s">
        <v>5246</v>
      </c>
      <c r="E57" s="491"/>
      <c r="F57" s="491"/>
      <c r="G57" s="492"/>
      <c r="H57" s="632"/>
      <c r="I57" s="493"/>
      <c r="J57" s="496"/>
      <c r="K57" s="227"/>
      <c r="L57" s="225"/>
      <c r="M57" s="495"/>
      <c r="N57" s="225"/>
      <c r="O57" s="495">
        <v>250</v>
      </c>
      <c r="P57" s="225"/>
      <c r="Q57" s="495"/>
      <c r="R57" s="225"/>
      <c r="S57" s="495"/>
      <c r="T57" s="225"/>
      <c r="U57" s="495"/>
      <c r="V57" s="227"/>
    </row>
    <row r="58" spans="1:22">
      <c r="C58" s="489">
        <v>59150</v>
      </c>
      <c r="D58" s="490" t="s">
        <v>5247</v>
      </c>
      <c r="E58" s="491"/>
      <c r="F58" s="491">
        <v>1000</v>
      </c>
      <c r="G58" s="492"/>
      <c r="H58" s="632">
        <f>F58-EG8</f>
        <v>1000</v>
      </c>
      <c r="I58" s="493"/>
      <c r="J58" s="496"/>
      <c r="K58" s="227">
        <v>333</v>
      </c>
      <c r="L58" s="225"/>
      <c r="M58" s="495"/>
      <c r="N58" s="225"/>
      <c r="O58" s="495">
        <v>333</v>
      </c>
      <c r="P58" s="225"/>
      <c r="Q58" s="495"/>
      <c r="R58" s="225"/>
      <c r="S58" s="495">
        <v>334</v>
      </c>
      <c r="T58" s="225"/>
      <c r="U58" s="495"/>
      <c r="V58" s="227"/>
    </row>
    <row r="59" spans="1:22">
      <c r="C59" s="489">
        <v>59160</v>
      </c>
      <c r="D59" s="490" t="s">
        <v>5248</v>
      </c>
      <c r="E59" s="491"/>
      <c r="F59" s="491">
        <v>1000</v>
      </c>
      <c r="G59" s="492"/>
      <c r="H59" s="632">
        <f>F59-G59</f>
        <v>1000</v>
      </c>
      <c r="I59" s="493"/>
      <c r="J59" s="496"/>
      <c r="K59" s="227">
        <v>83</v>
      </c>
      <c r="L59" s="225">
        <v>83</v>
      </c>
      <c r="M59" s="495">
        <v>83</v>
      </c>
      <c r="N59" s="225">
        <v>83</v>
      </c>
      <c r="O59" s="495">
        <v>87</v>
      </c>
      <c r="P59" s="225">
        <v>83</v>
      </c>
      <c r="Q59" s="495">
        <v>83</v>
      </c>
      <c r="R59" s="225">
        <v>83</v>
      </c>
      <c r="S59" s="495">
        <v>83</v>
      </c>
      <c r="T59" s="225">
        <v>83</v>
      </c>
      <c r="U59" s="495">
        <v>83</v>
      </c>
      <c r="V59" s="227">
        <v>83</v>
      </c>
    </row>
    <row r="60" spans="1:22">
      <c r="C60" s="2">
        <v>59200</v>
      </c>
      <c r="D60" s="22" t="s">
        <v>5250</v>
      </c>
      <c r="E60" s="58">
        <v>900</v>
      </c>
      <c r="F60" s="286">
        <v>848</v>
      </c>
      <c r="G60" s="286">
        <v>293</v>
      </c>
      <c r="H60" s="286">
        <f>F60-G60</f>
        <v>555</v>
      </c>
      <c r="I60" s="223"/>
      <c r="J60" s="95"/>
      <c r="K60" s="228"/>
      <c r="L60" s="229"/>
      <c r="M60" s="222"/>
      <c r="N60" s="229"/>
      <c r="O60" s="222"/>
      <c r="P60" s="229"/>
      <c r="Q60" s="222"/>
      <c r="R60" s="229"/>
      <c r="S60" s="222"/>
      <c r="T60" s="229">
        <v>900</v>
      </c>
      <c r="U60" s="222">
        <v>795</v>
      </c>
      <c r="V60" s="228"/>
    </row>
    <row r="61" spans="1:22">
      <c r="C61" s="2">
        <v>59300</v>
      </c>
      <c r="D61" s="22" t="s">
        <v>5251</v>
      </c>
      <c r="E61" s="58"/>
      <c r="F61" s="286"/>
      <c r="G61" s="286"/>
      <c r="H61" s="286"/>
      <c r="I61" s="223"/>
      <c r="J61" s="95"/>
      <c r="K61" s="228"/>
      <c r="L61" s="229"/>
      <c r="M61" s="222"/>
      <c r="N61" s="229"/>
      <c r="O61" s="222"/>
      <c r="P61" s="229"/>
      <c r="Q61" s="222"/>
      <c r="R61" s="229"/>
      <c r="S61" s="222"/>
      <c r="T61" s="229"/>
      <c r="U61" s="222"/>
      <c r="V61" s="228"/>
    </row>
    <row r="62" spans="1:22">
      <c r="C62" s="2">
        <v>59500</v>
      </c>
      <c r="D62" s="22" t="s">
        <v>5252</v>
      </c>
      <c r="E62" s="58"/>
      <c r="F62" s="286"/>
      <c r="G62" s="286"/>
      <c r="H62" s="286"/>
      <c r="I62" s="223"/>
      <c r="J62" s="95"/>
      <c r="K62" s="228"/>
      <c r="L62" s="229"/>
      <c r="M62" s="222"/>
      <c r="N62" s="229"/>
      <c r="O62" s="222"/>
      <c r="P62" s="229"/>
      <c r="Q62" s="222"/>
      <c r="R62" s="229"/>
      <c r="S62" s="222"/>
      <c r="T62" s="229"/>
      <c r="U62" s="222"/>
      <c r="V62" s="228"/>
    </row>
    <row r="63" spans="1:22">
      <c r="C63" s="2">
        <v>61000</v>
      </c>
      <c r="D63" s="22" t="s">
        <v>5253</v>
      </c>
      <c r="E63" s="58">
        <v>1000</v>
      </c>
      <c r="F63" s="286">
        <v>1000</v>
      </c>
      <c r="G63" s="286">
        <f>150+169.95</f>
        <v>319.95</v>
      </c>
      <c r="H63" s="286">
        <f>F63-G63</f>
        <v>680.05</v>
      </c>
      <c r="I63" s="223"/>
      <c r="J63" s="95"/>
      <c r="K63" s="228"/>
      <c r="L63" s="229">
        <v>1000</v>
      </c>
      <c r="M63" s="222"/>
      <c r="N63" s="229"/>
      <c r="O63" s="222"/>
      <c r="P63" s="229"/>
      <c r="Q63" s="222"/>
      <c r="R63" s="229"/>
      <c r="S63" s="222"/>
      <c r="T63" s="229"/>
      <c r="U63" s="222"/>
      <c r="V63" s="228"/>
    </row>
    <row r="64" spans="1:22">
      <c r="C64" s="2">
        <v>67000</v>
      </c>
      <c r="D64" s="22" t="s">
        <v>5254</v>
      </c>
      <c r="E64" s="58">
        <v>1000</v>
      </c>
      <c r="F64" s="286">
        <v>1000</v>
      </c>
      <c r="G64" s="286">
        <v>551.20000000000005</v>
      </c>
      <c r="H64" s="286">
        <f>F64-G64</f>
        <v>448.79999999999995</v>
      </c>
      <c r="I64" s="223"/>
      <c r="J64" s="95"/>
      <c r="K64" s="228">
        <v>250</v>
      </c>
      <c r="L64" s="229"/>
      <c r="M64" s="222"/>
      <c r="N64" s="229">
        <v>250</v>
      </c>
      <c r="O64" s="222"/>
      <c r="P64" s="229"/>
      <c r="Q64" s="222">
        <v>250</v>
      </c>
      <c r="R64" s="229"/>
      <c r="S64" s="222"/>
      <c r="T64" s="229">
        <v>250</v>
      </c>
      <c r="U64" s="222"/>
      <c r="V64" s="228"/>
    </row>
    <row r="65" spans="3:22">
      <c r="C65" s="2">
        <v>72000</v>
      </c>
      <c r="D65" s="22" t="s">
        <v>5255</v>
      </c>
      <c r="E65" s="58"/>
      <c r="F65" s="286"/>
      <c r="G65" s="286"/>
      <c r="H65" s="286"/>
      <c r="I65" s="223"/>
      <c r="J65" s="95"/>
      <c r="K65" s="228"/>
      <c r="L65" s="229"/>
      <c r="M65" s="222"/>
      <c r="N65" s="229"/>
      <c r="O65" s="222"/>
      <c r="P65" s="229"/>
      <c r="Q65" s="222"/>
      <c r="R65" s="229"/>
      <c r="S65" s="222"/>
      <c r="T65" s="229"/>
      <c r="U65" s="222"/>
      <c r="V65" s="228"/>
    </row>
    <row r="66" spans="3:22">
      <c r="C66" s="2">
        <v>72100</v>
      </c>
      <c r="D66" s="22" t="s">
        <v>5256</v>
      </c>
      <c r="E66" s="58"/>
      <c r="F66" s="286"/>
      <c r="G66" s="286"/>
      <c r="H66" s="286"/>
      <c r="I66" s="223"/>
      <c r="J66" s="95"/>
      <c r="K66" s="228"/>
      <c r="L66" s="229"/>
      <c r="M66" s="222"/>
      <c r="N66" s="229"/>
      <c r="O66" s="222"/>
      <c r="P66" s="229"/>
      <c r="Q66" s="222"/>
      <c r="R66" s="229"/>
      <c r="S66" s="222"/>
      <c r="T66" s="229"/>
      <c r="U66" s="222"/>
      <c r="V66" s="228"/>
    </row>
    <row r="67" spans="3:22">
      <c r="C67" s="2">
        <v>74000</v>
      </c>
      <c r="D67" s="22" t="s">
        <v>5257</v>
      </c>
      <c r="E67" s="58"/>
      <c r="F67" s="286"/>
      <c r="G67" s="286"/>
      <c r="H67" s="286"/>
      <c r="I67" s="223"/>
      <c r="J67" s="95"/>
      <c r="K67" s="228"/>
      <c r="L67" s="229"/>
      <c r="M67" s="222"/>
      <c r="N67" s="229"/>
      <c r="O67" s="222"/>
      <c r="P67" s="229"/>
      <c r="Q67" s="222"/>
      <c r="R67" s="229"/>
      <c r="S67" s="222"/>
      <c r="T67" s="229"/>
      <c r="U67" s="222"/>
      <c r="V67" s="228"/>
    </row>
    <row r="68" spans="3:22">
      <c r="C68" s="2">
        <v>75000</v>
      </c>
      <c r="D68" s="22" t="s">
        <v>5258</v>
      </c>
      <c r="E68" s="58"/>
      <c r="F68" s="286"/>
      <c r="G68" s="286"/>
      <c r="H68" s="286"/>
      <c r="I68" s="223"/>
      <c r="J68" s="95"/>
      <c r="K68" s="228"/>
      <c r="L68" s="229"/>
      <c r="M68" s="222"/>
      <c r="N68" s="229"/>
      <c r="O68" s="222"/>
      <c r="P68" s="229"/>
      <c r="Q68" s="222"/>
      <c r="R68" s="229"/>
      <c r="S68" s="222"/>
      <c r="T68" s="229"/>
      <c r="U68" s="222"/>
      <c r="V68" s="228"/>
    </row>
    <row r="69" spans="3:22">
      <c r="C69" s="2">
        <v>76000</v>
      </c>
      <c r="D69" s="22" t="s">
        <v>5259</v>
      </c>
      <c r="E69" s="58"/>
      <c r="F69" s="286"/>
      <c r="G69" s="286"/>
      <c r="H69" s="286"/>
      <c r="I69" s="223"/>
      <c r="J69" s="95"/>
      <c r="K69" s="228"/>
      <c r="L69" s="229"/>
      <c r="M69" s="222"/>
      <c r="N69" s="229"/>
      <c r="O69" s="222"/>
      <c r="P69" s="229"/>
      <c r="Q69" s="222"/>
      <c r="R69" s="229"/>
      <c r="S69" s="222"/>
      <c r="T69" s="229"/>
      <c r="U69" s="222"/>
      <c r="V69" s="228"/>
    </row>
    <row r="70" spans="3:22">
      <c r="C70" s="2">
        <v>76100</v>
      </c>
      <c r="D70" s="22" t="s">
        <v>5260</v>
      </c>
      <c r="E70" s="58"/>
      <c r="F70" s="286"/>
      <c r="G70" s="286"/>
      <c r="H70" s="286"/>
      <c r="I70" s="223"/>
      <c r="J70" s="95"/>
      <c r="K70" s="228"/>
      <c r="L70" s="229"/>
      <c r="M70" s="222"/>
      <c r="N70" s="229"/>
      <c r="O70" s="222"/>
      <c r="P70" s="229"/>
      <c r="Q70" s="222"/>
      <c r="R70" s="229"/>
      <c r="S70" s="222"/>
      <c r="T70" s="229"/>
      <c r="U70" s="222"/>
      <c r="V70" s="228"/>
    </row>
    <row r="71" spans="3:22">
      <c r="C71" s="2">
        <v>77000</v>
      </c>
      <c r="D71" s="22" t="s">
        <v>5261</v>
      </c>
      <c r="E71" s="58"/>
      <c r="F71" s="286"/>
      <c r="G71" s="286"/>
      <c r="H71" s="286"/>
      <c r="I71" s="223"/>
      <c r="J71" s="95"/>
      <c r="K71" s="228"/>
      <c r="L71" s="229"/>
      <c r="M71" s="222"/>
      <c r="N71" s="229"/>
      <c r="O71" s="222"/>
      <c r="P71" s="229"/>
      <c r="Q71" s="222"/>
      <c r="R71" s="229"/>
      <c r="S71" s="222"/>
      <c r="T71" s="229"/>
      <c r="U71" s="222"/>
      <c r="V71" s="228"/>
    </row>
    <row r="72" spans="3:22">
      <c r="C72" s="2">
        <v>78000</v>
      </c>
      <c r="D72" s="22" t="s">
        <v>5262</v>
      </c>
      <c r="E72" s="58"/>
      <c r="F72" s="286"/>
      <c r="G72" s="286"/>
      <c r="H72" s="286"/>
      <c r="I72" s="223"/>
      <c r="J72" s="95"/>
      <c r="K72" s="228"/>
      <c r="L72" s="229"/>
      <c r="M72" s="222"/>
      <c r="N72" s="229"/>
      <c r="O72" s="222"/>
      <c r="P72" s="229"/>
      <c r="Q72" s="222"/>
      <c r="R72" s="229"/>
      <c r="S72" s="222"/>
      <c r="T72" s="229"/>
      <c r="U72" s="222"/>
      <c r="V72" s="228"/>
    </row>
    <row r="73" spans="3:22">
      <c r="C73" s="2">
        <v>79000</v>
      </c>
      <c r="D73" s="22" t="s">
        <v>5263</v>
      </c>
      <c r="E73" s="58"/>
      <c r="F73" s="286"/>
      <c r="G73" s="286"/>
      <c r="H73" s="286"/>
      <c r="I73" s="223"/>
      <c r="J73" s="95"/>
      <c r="K73" s="228"/>
      <c r="L73" s="229"/>
      <c r="M73" s="222"/>
      <c r="N73" s="229"/>
      <c r="O73" s="222"/>
      <c r="P73" s="229"/>
      <c r="Q73" s="222"/>
      <c r="R73" s="229"/>
      <c r="S73" s="222"/>
      <c r="T73" s="229"/>
      <c r="U73" s="222"/>
      <c r="V73" s="228"/>
    </row>
    <row r="74" spans="3:22">
      <c r="C74" s="2">
        <v>79100</v>
      </c>
      <c r="D74" s="22" t="s">
        <v>5264</v>
      </c>
      <c r="E74" s="58"/>
      <c r="F74" s="286"/>
      <c r="G74" s="286"/>
      <c r="H74" s="286"/>
      <c r="I74" s="223"/>
      <c r="J74" s="95"/>
      <c r="K74" s="228"/>
      <c r="L74" s="229"/>
      <c r="M74" s="222"/>
      <c r="N74" s="229"/>
      <c r="O74" s="222"/>
      <c r="P74" s="229"/>
      <c r="Q74" s="222"/>
      <c r="R74" s="229"/>
      <c r="S74" s="222"/>
      <c r="T74" s="229"/>
      <c r="U74" s="222"/>
      <c r="V74" s="228"/>
    </row>
    <row r="75" spans="3:22">
      <c r="C75" s="56">
        <v>79900</v>
      </c>
      <c r="D75" s="28" t="s">
        <v>5265</v>
      </c>
      <c r="E75" s="60">
        <v>39751</v>
      </c>
      <c r="F75" s="288">
        <v>35219</v>
      </c>
      <c r="G75" s="288">
        <v>35219</v>
      </c>
      <c r="H75" s="288"/>
      <c r="I75" s="486"/>
      <c r="J75" s="96"/>
      <c r="K75" s="230"/>
      <c r="L75" s="231"/>
      <c r="M75" s="232"/>
      <c r="N75" s="231"/>
      <c r="O75" s="232"/>
      <c r="P75" s="231"/>
      <c r="Q75" s="232"/>
      <c r="R75" s="231"/>
      <c r="S75" s="232"/>
      <c r="T75" s="231"/>
      <c r="U75" s="232"/>
      <c r="V75" s="230"/>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B6CB4-CE46-4139-B0E6-ABCB78C60093}">
  <sheetPr>
    <pageSetUpPr autoPageBreaks="0"/>
  </sheetPr>
  <dimension ref="A1:V158"/>
  <sheetViews>
    <sheetView showGridLines="0" workbookViewId="0">
      <pane ySplit="1" topLeftCell="A50" activePane="bottomLeft" state="frozen"/>
      <selection pane="bottomLeft" activeCell="E58" sqref="E58"/>
      <selection activeCell="X1" sqref="X1"/>
    </sheetView>
  </sheetViews>
  <sheetFormatPr defaultRowHeight="14.45"/>
  <cols>
    <col min="1" max="1" width="31.5703125" style="22" customWidth="1"/>
    <col min="2" max="2" width="3.42578125" style="22" customWidth="1"/>
    <col min="3" max="3" width="12.7109375" style="48" customWidth="1"/>
    <col min="4" max="4" width="37.7109375" style="22" bestFit="1" customWidth="1"/>
    <col min="5" max="8" width="17.28515625" style="45" customWidth="1"/>
    <col min="9" max="9" width="6.85546875" style="329" bestFit="1" customWidth="1"/>
    <col min="10" max="10" width="1.42578125" style="32" customWidth="1"/>
    <col min="11" max="22" width="13.85546875" style="48" customWidth="1"/>
  </cols>
  <sheetData>
    <row r="1" spans="1:22">
      <c r="A1" s="30"/>
      <c r="B1" s="30"/>
      <c r="C1" s="31"/>
      <c r="D1" s="30"/>
      <c r="E1" s="42" t="s">
        <v>6</v>
      </c>
      <c r="F1" s="42" t="s">
        <v>5</v>
      </c>
      <c r="G1" s="42" t="s">
        <v>5266</v>
      </c>
      <c r="H1" s="42" t="s">
        <v>5174</v>
      </c>
      <c r="I1" s="323" t="s">
        <v>5175</v>
      </c>
      <c r="J1" s="30"/>
      <c r="K1" s="31" t="s">
        <v>5176</v>
      </c>
      <c r="L1" s="31" t="s">
        <v>5177</v>
      </c>
      <c r="M1" s="31" t="s">
        <v>5178</v>
      </c>
      <c r="N1" s="31" t="s">
        <v>5179</v>
      </c>
      <c r="O1" s="31" t="s">
        <v>5180</v>
      </c>
      <c r="P1" s="31" t="s">
        <v>5181</v>
      </c>
      <c r="Q1" s="31" t="s">
        <v>5182</v>
      </c>
      <c r="R1" s="31" t="s">
        <v>5183</v>
      </c>
      <c r="S1" s="31" t="s">
        <v>5184</v>
      </c>
      <c r="T1" s="31" t="s">
        <v>5185</v>
      </c>
      <c r="U1" s="31" t="s">
        <v>2537</v>
      </c>
      <c r="V1" s="31" t="s">
        <v>3249</v>
      </c>
    </row>
    <row r="2" spans="1:22" ht="15" thickBot="1">
      <c r="C2" s="65" t="s">
        <v>5186</v>
      </c>
      <c r="D2" s="66"/>
      <c r="E2" s="67"/>
      <c r="F2" s="67"/>
      <c r="G2" s="67"/>
      <c r="H2" s="67"/>
      <c r="I2" s="324"/>
      <c r="J2" s="83"/>
      <c r="K2" s="84"/>
      <c r="L2" s="84"/>
      <c r="M2" s="84"/>
      <c r="N2" s="84"/>
      <c r="O2" s="84"/>
      <c r="P2" s="84"/>
      <c r="Q2" s="84"/>
      <c r="R2" s="84"/>
      <c r="S2" s="84"/>
      <c r="T2" s="84"/>
      <c r="U2" s="84"/>
      <c r="V2" s="86"/>
    </row>
    <row r="3" spans="1:22">
      <c r="A3" s="44" t="s">
        <v>5187</v>
      </c>
      <c r="C3" s="54" t="s">
        <v>5188</v>
      </c>
      <c r="D3" s="49"/>
      <c r="E3" s="432">
        <f>SUM(E4:E5)</f>
        <v>3978258.14</v>
      </c>
      <c r="F3" s="432">
        <f>SUM(F4:F12)</f>
        <v>4070359.88</v>
      </c>
      <c r="G3" s="466">
        <f>SUM(G4:G12)</f>
        <v>9461718.5930000022</v>
      </c>
      <c r="H3" s="432">
        <f t="shared" ref="H3:H12" si="0">F3-E3</f>
        <v>92101.739999999758</v>
      </c>
      <c r="I3" s="325"/>
      <c r="J3" s="95"/>
      <c r="K3" s="224"/>
      <c r="L3" s="225"/>
      <c r="M3" s="226"/>
      <c r="N3" s="225"/>
      <c r="O3" s="226"/>
      <c r="P3" s="225"/>
      <c r="Q3" s="226"/>
      <c r="R3" s="225"/>
      <c r="S3" s="226"/>
      <c r="T3" s="225"/>
      <c r="U3" s="226"/>
      <c r="V3" s="227"/>
    </row>
    <row r="4" spans="1:22">
      <c r="A4" s="73">
        <v>2250000</v>
      </c>
      <c r="C4" s="2" t="s">
        <v>5189</v>
      </c>
      <c r="D4" s="22" t="s">
        <v>41077</v>
      </c>
      <c r="E4" s="58">
        <v>3439909.77</v>
      </c>
      <c r="F4" s="58">
        <f>SUM(K4:V4)</f>
        <v>2970359.88</v>
      </c>
      <c r="G4" s="336">
        <f>ESTATES!A8</f>
        <v>8765967.3430000022</v>
      </c>
      <c r="H4" s="58">
        <f t="shared" si="0"/>
        <v>-469549.89000000013</v>
      </c>
      <c r="I4" s="233"/>
      <c r="J4" s="95"/>
      <c r="K4" s="228">
        <v>297259.09000000003</v>
      </c>
      <c r="L4" s="229">
        <v>39816.26</v>
      </c>
      <c r="M4" s="222">
        <v>163284.53</v>
      </c>
      <c r="N4" s="229">
        <v>55000</v>
      </c>
      <c r="O4" s="222">
        <v>50000</v>
      </c>
      <c r="P4" s="229">
        <v>1620000</v>
      </c>
      <c r="Q4" s="222"/>
      <c r="R4" s="229">
        <v>320000</v>
      </c>
      <c r="S4" s="222">
        <v>45000</v>
      </c>
      <c r="T4" s="229">
        <v>100000</v>
      </c>
      <c r="U4" s="222">
        <v>100000</v>
      </c>
      <c r="V4" s="228">
        <v>180000</v>
      </c>
    </row>
    <row r="5" spans="1:22">
      <c r="A5" s="47" t="s">
        <v>5191</v>
      </c>
      <c r="C5" s="2" t="s">
        <v>5192</v>
      </c>
      <c r="D5" s="22" t="s">
        <v>41078</v>
      </c>
      <c r="E5" s="58">
        <v>538348.37</v>
      </c>
      <c r="F5" s="58">
        <f>SUM(K5:V5)</f>
        <v>400000</v>
      </c>
      <c r="G5" s="504">
        <f>ANNUITIES!A8</f>
        <v>505751.25</v>
      </c>
      <c r="H5" s="58">
        <f t="shared" si="0"/>
        <v>-138348.37</v>
      </c>
      <c r="I5" s="233"/>
      <c r="J5" s="95"/>
      <c r="K5" s="228">
        <v>0</v>
      </c>
      <c r="L5" s="229">
        <v>20000</v>
      </c>
      <c r="M5" s="222">
        <v>15000</v>
      </c>
      <c r="N5" s="229">
        <v>65000</v>
      </c>
      <c r="O5" s="222">
        <v>75000</v>
      </c>
      <c r="P5" s="229">
        <v>75000</v>
      </c>
      <c r="Q5" s="222">
        <v>25000</v>
      </c>
      <c r="R5" s="229">
        <v>25000</v>
      </c>
      <c r="S5" s="222">
        <v>25000</v>
      </c>
      <c r="T5" s="229">
        <v>25000</v>
      </c>
      <c r="U5" s="222">
        <v>25000</v>
      </c>
      <c r="V5" s="228">
        <v>25000</v>
      </c>
    </row>
    <row r="6" spans="1:22" ht="15" thickBot="1">
      <c r="A6" s="79">
        <f>ESTATES!A8</f>
        <v>8765967.3430000022</v>
      </c>
      <c r="C6" s="2" t="s">
        <v>5194</v>
      </c>
      <c r="D6" s="22" t="s">
        <v>5195</v>
      </c>
      <c r="E6" s="58">
        <v>0</v>
      </c>
      <c r="F6" s="58">
        <f>SUM(K6:V6)</f>
        <v>250000</v>
      </c>
      <c r="G6" s="336">
        <v>190000</v>
      </c>
      <c r="H6" s="58">
        <f t="shared" si="0"/>
        <v>250000</v>
      </c>
      <c r="I6" s="233"/>
      <c r="J6" s="95"/>
      <c r="K6" s="228"/>
      <c r="L6" s="229"/>
      <c r="M6" s="222"/>
      <c r="N6" s="229"/>
      <c r="O6" s="222"/>
      <c r="P6" s="229"/>
      <c r="Q6" s="222"/>
      <c r="R6" s="229"/>
      <c r="S6" s="222"/>
      <c r="T6" s="229"/>
      <c r="U6" s="222"/>
      <c r="V6" s="228">
        <v>250000</v>
      </c>
    </row>
    <row r="7" spans="1:22">
      <c r="C7" s="2" t="s">
        <v>5194</v>
      </c>
      <c r="D7" s="22" t="s">
        <v>5197</v>
      </c>
      <c r="E7" s="58">
        <v>0</v>
      </c>
      <c r="F7" s="58">
        <f t="shared" ref="F7:F12" si="1">SUM(K7:V7)</f>
        <v>50000</v>
      </c>
      <c r="G7" s="336"/>
      <c r="H7" s="58">
        <f t="shared" si="0"/>
        <v>50000</v>
      </c>
      <c r="I7" s="233"/>
      <c r="J7" s="95"/>
      <c r="K7" s="228"/>
      <c r="L7" s="229"/>
      <c r="M7" s="222"/>
      <c r="N7" s="229"/>
      <c r="O7" s="222">
        <v>10000</v>
      </c>
      <c r="P7" s="229">
        <v>40000</v>
      </c>
      <c r="Q7" s="222"/>
      <c r="R7" s="229"/>
      <c r="S7" s="222"/>
      <c r="T7" s="229"/>
      <c r="U7" s="222"/>
      <c r="V7" s="228"/>
    </row>
    <row r="8" spans="1:22" ht="15" thickBot="1">
      <c r="C8" s="2" t="s">
        <v>5196</v>
      </c>
      <c r="D8" s="22" t="s">
        <v>5199</v>
      </c>
      <c r="E8" s="58">
        <v>0</v>
      </c>
      <c r="F8" s="58">
        <f t="shared" si="1"/>
        <v>50000</v>
      </c>
      <c r="G8" s="336"/>
      <c r="H8" s="58">
        <f t="shared" si="0"/>
        <v>50000</v>
      </c>
      <c r="I8" s="233"/>
      <c r="J8" s="95"/>
      <c r="K8" s="228"/>
      <c r="L8" s="229"/>
      <c r="M8" s="222"/>
      <c r="N8" s="229"/>
      <c r="O8" s="222"/>
      <c r="P8" s="229"/>
      <c r="Q8" s="222"/>
      <c r="R8" s="229"/>
      <c r="S8" s="222"/>
      <c r="T8" s="229"/>
      <c r="U8" s="222"/>
      <c r="V8" s="228">
        <v>50000</v>
      </c>
    </row>
    <row r="9" spans="1:22">
      <c r="A9" s="44" t="s">
        <v>5200</v>
      </c>
      <c r="C9" s="2" t="s">
        <v>5198</v>
      </c>
      <c r="D9" s="22" t="s">
        <v>5202</v>
      </c>
      <c r="E9" s="58">
        <v>0</v>
      </c>
      <c r="F9" s="58">
        <f t="shared" si="1"/>
        <v>350000</v>
      </c>
      <c r="G9" s="336"/>
      <c r="H9" s="58">
        <f t="shared" si="0"/>
        <v>350000</v>
      </c>
      <c r="I9" s="233"/>
      <c r="J9" s="95"/>
      <c r="K9" s="228"/>
      <c r="L9" s="229"/>
      <c r="M9" s="222"/>
      <c r="N9" s="229"/>
      <c r="O9" s="222"/>
      <c r="P9" s="229"/>
      <c r="Q9" s="222"/>
      <c r="R9" s="229"/>
      <c r="S9" s="222"/>
      <c r="T9" s="229"/>
      <c r="U9" s="222"/>
      <c r="V9" s="228">
        <v>350000</v>
      </c>
    </row>
    <row r="10" spans="1:22">
      <c r="A10" s="73">
        <f>F14</f>
        <v>260594.96</v>
      </c>
      <c r="C10" s="2" t="s">
        <v>5201</v>
      </c>
      <c r="D10" s="22" t="s">
        <v>5204</v>
      </c>
      <c r="E10" s="58">
        <v>0</v>
      </c>
      <c r="F10" s="58">
        <f t="shared" si="1"/>
        <v>0</v>
      </c>
      <c r="G10" s="336"/>
      <c r="H10" s="58">
        <f t="shared" si="0"/>
        <v>0</v>
      </c>
      <c r="I10" s="233"/>
      <c r="J10" s="95"/>
      <c r="K10" s="228"/>
      <c r="L10" s="229"/>
      <c r="M10" s="222"/>
      <c r="N10" s="229"/>
      <c r="O10" s="222"/>
      <c r="P10" s="229"/>
      <c r="Q10" s="222"/>
      <c r="R10" s="229"/>
      <c r="S10" s="222"/>
      <c r="T10" s="229"/>
      <c r="U10" s="222"/>
      <c r="V10" s="228"/>
    </row>
    <row r="11" spans="1:22">
      <c r="A11" s="47" t="s">
        <v>5205</v>
      </c>
      <c r="C11" s="2" t="s">
        <v>5203</v>
      </c>
      <c r="D11" s="22" t="s">
        <v>5207</v>
      </c>
      <c r="E11" s="58">
        <v>0</v>
      </c>
      <c r="F11" s="58">
        <f t="shared" si="1"/>
        <v>0</v>
      </c>
      <c r="G11" s="336"/>
      <c r="H11" s="58">
        <f t="shared" si="0"/>
        <v>0</v>
      </c>
      <c r="I11" s="233"/>
      <c r="J11" s="95"/>
      <c r="K11" s="228"/>
      <c r="L11" s="229"/>
      <c r="M11" s="222"/>
      <c r="N11" s="229"/>
      <c r="O11" s="222"/>
      <c r="P11" s="229"/>
      <c r="Q11" s="222"/>
      <c r="R11" s="229"/>
      <c r="S11" s="222"/>
      <c r="T11" s="229"/>
      <c r="U11" s="222"/>
      <c r="V11" s="228"/>
    </row>
    <row r="12" spans="1:22" ht="15" thickBot="1">
      <c r="A12" s="79">
        <f>G14</f>
        <v>249229.95000000004</v>
      </c>
      <c r="C12" s="2" t="s">
        <v>5206</v>
      </c>
      <c r="D12" s="22" t="s">
        <v>5209</v>
      </c>
      <c r="E12" s="60">
        <v>0</v>
      </c>
      <c r="F12" s="58">
        <f t="shared" si="1"/>
        <v>0</v>
      </c>
      <c r="G12" s="336"/>
      <c r="H12" s="58">
        <f t="shared" si="0"/>
        <v>0</v>
      </c>
      <c r="I12" s="233"/>
      <c r="J12" s="95"/>
      <c r="K12" s="228"/>
      <c r="L12" s="229"/>
      <c r="M12" s="222"/>
      <c r="N12" s="229"/>
      <c r="O12" s="222"/>
      <c r="P12" s="229"/>
      <c r="Q12" s="222"/>
      <c r="R12" s="229"/>
      <c r="S12" s="222"/>
      <c r="T12" s="229"/>
      <c r="U12" s="222"/>
      <c r="V12" s="228"/>
    </row>
    <row r="13" spans="1:22" ht="15" thickBot="1">
      <c r="C13" s="69" t="s">
        <v>5210</v>
      </c>
      <c r="D13" s="70"/>
      <c r="E13" s="71"/>
      <c r="F13" s="71"/>
      <c r="G13" s="71"/>
      <c r="H13" s="71"/>
      <c r="I13" s="326"/>
      <c r="K13" s="82"/>
      <c r="L13" s="82"/>
      <c r="M13" s="82"/>
      <c r="N13" s="82"/>
      <c r="O13" s="82"/>
      <c r="P13" s="82"/>
      <c r="Q13" s="82"/>
      <c r="R13" s="82"/>
      <c r="S13" s="82"/>
      <c r="T13" s="82"/>
      <c r="U13" s="82"/>
      <c r="V13" s="88"/>
    </row>
    <row r="14" spans="1:22">
      <c r="C14" s="55" t="s">
        <v>5188</v>
      </c>
      <c r="D14" s="51"/>
      <c r="E14" s="162">
        <f>SUM(E15:E74)</f>
        <v>223851.24</v>
      </c>
      <c r="F14" s="162">
        <f>SUM(F15:F74)</f>
        <v>260594.96</v>
      </c>
      <c r="G14" s="467">
        <f>SUM(G15:G74)</f>
        <v>249229.95000000004</v>
      </c>
      <c r="H14" s="162">
        <f>F14-G14</f>
        <v>11365.009999999951</v>
      </c>
      <c r="I14" s="322">
        <f>H14/E14</f>
        <v>5.0770368750246597E-2</v>
      </c>
      <c r="J14" s="95"/>
      <c r="K14" s="224"/>
      <c r="L14" s="225"/>
      <c r="M14" s="226"/>
      <c r="N14" s="225"/>
      <c r="O14" s="226"/>
      <c r="P14" s="225"/>
      <c r="Q14" s="226"/>
      <c r="R14" s="225"/>
      <c r="S14" s="226"/>
      <c r="T14" s="225"/>
      <c r="U14" s="226"/>
      <c r="V14" s="227"/>
    </row>
    <row r="15" spans="1:22">
      <c r="C15" s="2">
        <v>51000</v>
      </c>
      <c r="D15" s="22" t="s">
        <v>5211</v>
      </c>
      <c r="E15" s="58">
        <v>14600</v>
      </c>
      <c r="F15" s="58">
        <v>5435</v>
      </c>
      <c r="G15" s="286">
        <f>5435+2300</f>
        <v>7735</v>
      </c>
      <c r="H15" s="223">
        <f>F15-G15</f>
        <v>-2300</v>
      </c>
      <c r="I15" s="233">
        <f>H15/F15</f>
        <v>-0.42318307267709293</v>
      </c>
      <c r="J15" s="95"/>
      <c r="K15" s="228">
        <v>900</v>
      </c>
      <c r="L15" s="229"/>
      <c r="M15" s="222"/>
      <c r="N15" s="229">
        <v>900</v>
      </c>
      <c r="O15" s="222"/>
      <c r="P15" s="229"/>
      <c r="Q15" s="222">
        <v>900</v>
      </c>
      <c r="R15" s="229"/>
      <c r="S15" s="222"/>
      <c r="T15" s="229">
        <v>900</v>
      </c>
      <c r="U15" s="222"/>
      <c r="V15" s="228"/>
    </row>
    <row r="16" spans="1:22">
      <c r="C16" s="2">
        <v>51100</v>
      </c>
      <c r="D16" s="22" t="s">
        <v>5212</v>
      </c>
      <c r="E16" s="58">
        <v>1000</v>
      </c>
      <c r="F16" s="58">
        <v>0</v>
      </c>
      <c r="G16" s="286">
        <v>19</v>
      </c>
      <c r="H16" s="223">
        <f t="shared" ref="H16:H46" si="2">F16-G16</f>
        <v>-19</v>
      </c>
      <c r="I16" s="233"/>
      <c r="J16" s="95"/>
      <c r="K16" s="228">
        <v>1000</v>
      </c>
      <c r="L16" s="229"/>
      <c r="M16" s="222"/>
      <c r="N16" s="229"/>
      <c r="O16" s="222"/>
      <c r="P16" s="229"/>
      <c r="Q16" s="222">
        <v>1000</v>
      </c>
      <c r="R16" s="229"/>
      <c r="S16" s="222"/>
      <c r="T16" s="229"/>
      <c r="U16" s="222"/>
      <c r="V16" s="228"/>
    </row>
    <row r="17" spans="3:22">
      <c r="C17" s="2">
        <v>51200</v>
      </c>
      <c r="D17" s="22" t="s">
        <v>5213</v>
      </c>
      <c r="E17" s="58"/>
      <c r="F17" s="58"/>
      <c r="G17" s="286">
        <v>400</v>
      </c>
      <c r="H17" s="223">
        <f t="shared" si="2"/>
        <v>-400</v>
      </c>
      <c r="I17" s="233"/>
      <c r="J17" s="95"/>
      <c r="K17" s="228"/>
      <c r="L17" s="229"/>
      <c r="M17" s="222"/>
      <c r="N17" s="229"/>
      <c r="O17" s="222"/>
      <c r="P17" s="229"/>
      <c r="Q17" s="222"/>
      <c r="R17" s="229"/>
      <c r="S17" s="222"/>
      <c r="T17" s="229"/>
      <c r="U17" s="222"/>
      <c r="V17" s="228"/>
    </row>
    <row r="18" spans="3:22">
      <c r="C18" s="2">
        <v>51300</v>
      </c>
      <c r="D18" s="22" t="s">
        <v>5214</v>
      </c>
      <c r="E18" s="58">
        <v>0</v>
      </c>
      <c r="F18" s="58">
        <v>8158.44</v>
      </c>
      <c r="G18" s="286"/>
      <c r="H18" s="223">
        <f t="shared" si="2"/>
        <v>8158.44</v>
      </c>
      <c r="I18" s="233"/>
      <c r="J18" s="95"/>
      <c r="K18" s="228"/>
      <c r="L18" s="229"/>
      <c r="M18" s="222"/>
      <c r="N18" s="229"/>
      <c r="O18" s="222"/>
      <c r="P18" s="229"/>
      <c r="Q18" s="222"/>
      <c r="R18" s="229"/>
      <c r="S18" s="222"/>
      <c r="T18" s="229"/>
      <c r="U18" s="222"/>
      <c r="V18" s="228"/>
    </row>
    <row r="19" spans="3:22">
      <c r="C19" s="2">
        <v>51400</v>
      </c>
      <c r="D19" s="22" t="s">
        <v>5215</v>
      </c>
      <c r="E19" s="58"/>
      <c r="F19" s="58">
        <v>0</v>
      </c>
      <c r="G19" s="286"/>
      <c r="H19" s="223">
        <f t="shared" si="2"/>
        <v>0</v>
      </c>
      <c r="I19" s="233"/>
      <c r="J19" s="95"/>
      <c r="K19" s="228"/>
      <c r="L19" s="229"/>
      <c r="M19" s="222"/>
      <c r="N19" s="229"/>
      <c r="O19" s="222"/>
      <c r="P19" s="229"/>
      <c r="Q19" s="222"/>
      <c r="R19" s="229"/>
      <c r="S19" s="222"/>
      <c r="T19" s="229"/>
      <c r="U19" s="222"/>
      <c r="V19" s="228"/>
    </row>
    <row r="20" spans="3:22">
      <c r="C20" s="2">
        <v>51500</v>
      </c>
      <c r="D20" s="22" t="s">
        <v>5216</v>
      </c>
      <c r="E20" s="58">
        <v>35000</v>
      </c>
      <c r="F20" s="58">
        <v>0</v>
      </c>
      <c r="G20" s="286">
        <v>23568</v>
      </c>
      <c r="H20" s="223">
        <f t="shared" si="2"/>
        <v>-23568</v>
      </c>
      <c r="I20" s="233"/>
      <c r="J20" s="95"/>
      <c r="K20" s="228">
        <v>9240</v>
      </c>
      <c r="L20" s="229"/>
      <c r="M20" s="222"/>
      <c r="N20" s="229">
        <v>9240</v>
      </c>
      <c r="O20" s="222"/>
      <c r="P20" s="229"/>
      <c r="Q20" s="222">
        <v>9240</v>
      </c>
      <c r="R20" s="229"/>
      <c r="S20" s="222"/>
      <c r="T20" s="229">
        <v>9240</v>
      </c>
      <c r="U20" s="222"/>
      <c r="V20" s="228"/>
    </row>
    <row r="21" spans="3:22">
      <c r="C21" s="2">
        <v>51600</v>
      </c>
      <c r="D21" s="22" t="s">
        <v>5217</v>
      </c>
      <c r="E21" s="58"/>
      <c r="F21" s="58">
        <v>0</v>
      </c>
      <c r="G21" s="286"/>
      <c r="H21" s="223">
        <f t="shared" si="2"/>
        <v>0</v>
      </c>
      <c r="I21" s="233"/>
      <c r="J21" s="95"/>
      <c r="K21" s="228"/>
      <c r="L21" s="229"/>
      <c r="M21" s="222"/>
      <c r="N21" s="229"/>
      <c r="O21" s="222"/>
      <c r="P21" s="229"/>
      <c r="Q21" s="222"/>
      <c r="R21" s="229"/>
      <c r="S21" s="222"/>
      <c r="T21" s="229"/>
      <c r="U21" s="222"/>
      <c r="V21" s="228"/>
    </row>
    <row r="22" spans="3:22">
      <c r="C22" s="2">
        <v>51700</v>
      </c>
      <c r="D22" s="22" t="s">
        <v>5218</v>
      </c>
      <c r="E22" s="58"/>
      <c r="F22" s="58">
        <v>0</v>
      </c>
      <c r="G22" s="286"/>
      <c r="H22" s="223">
        <f t="shared" si="2"/>
        <v>0</v>
      </c>
      <c r="I22" s="233"/>
      <c r="J22" s="95"/>
      <c r="K22" s="228"/>
      <c r="L22" s="229"/>
      <c r="M22" s="222"/>
      <c r="N22" s="229"/>
      <c r="O22" s="222"/>
      <c r="P22" s="229"/>
      <c r="Q22" s="222"/>
      <c r="R22" s="229"/>
      <c r="S22" s="222"/>
      <c r="T22" s="229"/>
      <c r="U22" s="222"/>
      <c r="V22" s="228"/>
    </row>
    <row r="23" spans="3:22">
      <c r="C23" s="2">
        <v>51800</v>
      </c>
      <c r="D23" s="22" t="s">
        <v>5219</v>
      </c>
      <c r="E23" s="58">
        <v>2550</v>
      </c>
      <c r="F23" s="58">
        <v>6000</v>
      </c>
      <c r="G23" s="286">
        <v>760</v>
      </c>
      <c r="H23" s="223">
        <f t="shared" si="2"/>
        <v>5240</v>
      </c>
      <c r="I23" s="233">
        <f t="shared" ref="I23:I46" si="3">H23/F23</f>
        <v>0.87333333333333329</v>
      </c>
      <c r="J23" s="95"/>
      <c r="K23" s="228">
        <v>1000</v>
      </c>
      <c r="L23" s="229"/>
      <c r="M23" s="222"/>
      <c r="N23" s="229"/>
      <c r="O23" s="222"/>
      <c r="P23" s="229"/>
      <c r="Q23" s="222">
        <v>1000</v>
      </c>
      <c r="R23" s="229"/>
      <c r="S23" s="222"/>
      <c r="T23" s="229"/>
      <c r="U23" s="222"/>
      <c r="V23" s="228"/>
    </row>
    <row r="24" spans="3:22">
      <c r="C24" s="2">
        <v>51850</v>
      </c>
      <c r="D24" s="22" t="s">
        <v>5220</v>
      </c>
      <c r="E24" s="209">
        <v>21788</v>
      </c>
      <c r="F24" s="58">
        <v>21788</v>
      </c>
      <c r="G24" s="286">
        <v>19085.75</v>
      </c>
      <c r="H24" s="223">
        <f t="shared" si="2"/>
        <v>2702.25</v>
      </c>
      <c r="I24" s="233">
        <f t="shared" si="3"/>
        <v>0.12402469249127961</v>
      </c>
      <c r="J24" s="95"/>
      <c r="K24" s="228"/>
      <c r="L24" s="229">
        <v>3247.5</v>
      </c>
      <c r="M24" s="222">
        <v>1631.25</v>
      </c>
      <c r="N24" s="229">
        <v>1631.25</v>
      </c>
      <c r="O24" s="222">
        <v>1631.25</v>
      </c>
      <c r="P24" s="229">
        <v>1631.25</v>
      </c>
      <c r="Q24" s="222"/>
      <c r="R24" s="229"/>
      <c r="S24" s="222"/>
      <c r="T24" s="229"/>
      <c r="U24" s="222"/>
      <c r="V24" s="228"/>
    </row>
    <row r="25" spans="3:22">
      <c r="C25" s="2">
        <v>52000</v>
      </c>
      <c r="D25" s="22" t="s">
        <v>5221</v>
      </c>
      <c r="E25" s="58"/>
      <c r="F25" s="58">
        <v>0</v>
      </c>
      <c r="G25" s="286"/>
      <c r="H25" s="223">
        <f t="shared" si="2"/>
        <v>0</v>
      </c>
      <c r="I25" s="233"/>
      <c r="J25" s="95"/>
      <c r="K25" s="228"/>
      <c r="L25" s="229"/>
      <c r="M25" s="222"/>
      <c r="N25" s="229"/>
      <c r="O25" s="222"/>
      <c r="P25" s="229"/>
      <c r="Q25" s="222"/>
      <c r="R25" s="229"/>
      <c r="S25" s="222"/>
      <c r="T25" s="229"/>
      <c r="U25" s="222"/>
      <c r="V25" s="228"/>
    </row>
    <row r="26" spans="3:22">
      <c r="C26" s="2">
        <v>52100</v>
      </c>
      <c r="D26" s="22" t="s">
        <v>5222</v>
      </c>
      <c r="E26" s="58">
        <v>0</v>
      </c>
      <c r="F26" s="58">
        <v>400</v>
      </c>
      <c r="G26" s="286">
        <v>74</v>
      </c>
      <c r="H26" s="223">
        <f t="shared" si="2"/>
        <v>326</v>
      </c>
      <c r="I26" s="233">
        <f t="shared" si="3"/>
        <v>0.81499999999999995</v>
      </c>
      <c r="J26" s="95"/>
      <c r="K26" s="228">
        <v>250</v>
      </c>
      <c r="L26" s="229"/>
      <c r="M26" s="222"/>
      <c r="N26" s="229"/>
      <c r="O26" s="222"/>
      <c r="P26" s="229"/>
      <c r="Q26" s="222">
        <v>250</v>
      </c>
      <c r="R26" s="229"/>
      <c r="S26" s="222"/>
      <c r="T26" s="229"/>
      <c r="U26" s="222"/>
      <c r="V26" s="228"/>
    </row>
    <row r="27" spans="3:22">
      <c r="C27" s="2">
        <v>52200</v>
      </c>
      <c r="D27" s="22" t="s">
        <v>5223</v>
      </c>
      <c r="E27" s="58"/>
      <c r="F27" s="58">
        <v>0</v>
      </c>
      <c r="G27" s="286"/>
      <c r="H27" s="223">
        <f t="shared" si="2"/>
        <v>0</v>
      </c>
      <c r="I27" s="233"/>
      <c r="J27" s="95"/>
      <c r="K27" s="228"/>
      <c r="L27" s="229"/>
      <c r="M27" s="222"/>
      <c r="N27" s="229"/>
      <c r="O27" s="222"/>
      <c r="P27" s="229"/>
      <c r="Q27" s="222"/>
      <c r="R27" s="229"/>
      <c r="S27" s="222"/>
      <c r="T27" s="229"/>
      <c r="U27" s="222"/>
      <c r="V27" s="228"/>
    </row>
    <row r="28" spans="3:22">
      <c r="C28" s="2">
        <v>52300</v>
      </c>
      <c r="D28" s="22" t="s">
        <v>5224</v>
      </c>
      <c r="E28" s="58"/>
      <c r="F28" s="58">
        <v>0</v>
      </c>
      <c r="G28" s="286"/>
      <c r="H28" s="223">
        <f t="shared" si="2"/>
        <v>0</v>
      </c>
      <c r="I28" s="233"/>
      <c r="J28" s="95"/>
      <c r="K28" s="228"/>
      <c r="L28" s="229"/>
      <c r="M28" s="222"/>
      <c r="N28" s="229"/>
      <c r="O28" s="222"/>
      <c r="P28" s="229"/>
      <c r="Q28" s="222"/>
      <c r="R28" s="229"/>
      <c r="S28" s="222"/>
      <c r="T28" s="229"/>
      <c r="U28" s="222"/>
      <c r="V28" s="228"/>
    </row>
    <row r="29" spans="3:22">
      <c r="C29" s="2">
        <v>53000</v>
      </c>
      <c r="D29" s="22" t="s">
        <v>5225</v>
      </c>
      <c r="E29" s="58">
        <v>300</v>
      </c>
      <c r="F29" s="58">
        <v>500</v>
      </c>
      <c r="G29" s="286">
        <v>135</v>
      </c>
      <c r="H29" s="223">
        <f t="shared" si="2"/>
        <v>365</v>
      </c>
      <c r="I29" s="233">
        <f t="shared" si="3"/>
        <v>0.73</v>
      </c>
      <c r="J29" s="95"/>
      <c r="K29" s="228">
        <v>250</v>
      </c>
      <c r="L29" s="229"/>
      <c r="M29" s="222"/>
      <c r="N29" s="229"/>
      <c r="O29" s="222"/>
      <c r="P29" s="229"/>
      <c r="Q29" s="222">
        <v>250</v>
      </c>
      <c r="R29" s="229"/>
      <c r="S29" s="222"/>
      <c r="T29" s="229"/>
      <c r="U29" s="222"/>
      <c r="V29" s="228"/>
    </row>
    <row r="30" spans="3:22">
      <c r="C30" s="2">
        <v>53100</v>
      </c>
      <c r="D30" s="22" t="s">
        <v>5226</v>
      </c>
      <c r="E30" s="58"/>
      <c r="F30" s="58">
        <v>0</v>
      </c>
      <c r="G30" s="286"/>
      <c r="H30" s="223">
        <f t="shared" si="2"/>
        <v>0</v>
      </c>
      <c r="I30" s="233"/>
      <c r="J30" s="95"/>
      <c r="K30" s="228"/>
      <c r="L30" s="229"/>
      <c r="M30" s="222"/>
      <c r="N30" s="229"/>
      <c r="O30" s="222"/>
      <c r="P30" s="229"/>
      <c r="Q30" s="222"/>
      <c r="R30" s="229"/>
      <c r="S30" s="222"/>
      <c r="T30" s="229"/>
      <c r="U30" s="222"/>
      <c r="V30" s="228"/>
    </row>
    <row r="31" spans="3:22">
      <c r="C31" s="2">
        <v>53200</v>
      </c>
      <c r="D31" s="22" t="s">
        <v>5227</v>
      </c>
      <c r="E31" s="58"/>
      <c r="F31" s="58">
        <v>0</v>
      </c>
      <c r="G31" s="286">
        <v>32</v>
      </c>
      <c r="H31" s="223">
        <f t="shared" si="2"/>
        <v>-32</v>
      </c>
      <c r="I31" s="233"/>
      <c r="J31" s="95"/>
      <c r="K31" s="228"/>
      <c r="L31" s="229"/>
      <c r="M31" s="222"/>
      <c r="N31" s="229"/>
      <c r="O31" s="222"/>
      <c r="P31" s="229"/>
      <c r="Q31" s="222"/>
      <c r="R31" s="229"/>
      <c r="S31" s="222"/>
      <c r="T31" s="229"/>
      <c r="U31" s="222"/>
      <c r="V31" s="228"/>
    </row>
    <row r="32" spans="3:22">
      <c r="C32" s="2">
        <v>53300</v>
      </c>
      <c r="D32" s="22" t="s">
        <v>5228</v>
      </c>
      <c r="E32" s="58">
        <v>591.24</v>
      </c>
      <c r="F32" s="58">
        <v>1676.24</v>
      </c>
      <c r="G32" s="286">
        <v>1676.24</v>
      </c>
      <c r="H32" s="223">
        <f t="shared" si="2"/>
        <v>0</v>
      </c>
      <c r="I32" s="233">
        <f t="shared" si="3"/>
        <v>0</v>
      </c>
      <c r="J32" s="95"/>
      <c r="K32" s="228">
        <v>49.27</v>
      </c>
      <c r="L32" s="229">
        <v>49.27</v>
      </c>
      <c r="M32" s="222">
        <v>15049.27</v>
      </c>
      <c r="N32" s="229">
        <v>49.27</v>
      </c>
      <c r="O32" s="222">
        <v>49.27</v>
      </c>
      <c r="P32" s="229">
        <v>49.27</v>
      </c>
      <c r="Q32" s="222">
        <v>49.27</v>
      </c>
      <c r="R32" s="229">
        <v>49.27</v>
      </c>
      <c r="S32" s="222">
        <v>49.27</v>
      </c>
      <c r="T32" s="229">
        <v>49.27</v>
      </c>
      <c r="U32" s="222">
        <v>49.27</v>
      </c>
      <c r="V32" s="228">
        <v>49.27</v>
      </c>
    </row>
    <row r="33" spans="1:22">
      <c r="C33" s="2">
        <v>54000</v>
      </c>
      <c r="D33" s="22" t="s">
        <v>5229</v>
      </c>
      <c r="E33" s="58"/>
      <c r="F33" s="58">
        <v>180.28</v>
      </c>
      <c r="G33" s="286">
        <v>203</v>
      </c>
      <c r="H33" s="223">
        <f t="shared" si="2"/>
        <v>-22.72</v>
      </c>
      <c r="I33" s="233"/>
      <c r="J33" s="95"/>
      <c r="K33" s="228"/>
      <c r="L33" s="229"/>
      <c r="M33" s="222"/>
      <c r="N33" s="229"/>
      <c r="O33" s="222"/>
      <c r="P33" s="229"/>
      <c r="Q33" s="222"/>
      <c r="R33" s="229"/>
      <c r="S33" s="222"/>
      <c r="T33" s="229"/>
      <c r="U33" s="222"/>
      <c r="V33" s="228"/>
    </row>
    <row r="34" spans="1:22">
      <c r="C34" s="2">
        <v>55000</v>
      </c>
      <c r="D34" s="22" t="s">
        <v>5230</v>
      </c>
      <c r="E34" s="58">
        <v>2500</v>
      </c>
      <c r="F34" s="58">
        <v>5000</v>
      </c>
      <c r="G34" s="286">
        <v>4282</v>
      </c>
      <c r="H34" s="223">
        <f t="shared" si="2"/>
        <v>718</v>
      </c>
      <c r="I34" s="233">
        <f t="shared" si="3"/>
        <v>0.14360000000000001</v>
      </c>
      <c r="J34" s="95"/>
      <c r="K34" s="228">
        <f>H34/12</f>
        <v>59.833333333333336</v>
      </c>
      <c r="L34" s="229">
        <f>H34/12</f>
        <v>59.833333333333336</v>
      </c>
      <c r="M34" s="222">
        <f>H34/12</f>
        <v>59.833333333333336</v>
      </c>
      <c r="N34" s="229">
        <f>H34/12</f>
        <v>59.833333333333336</v>
      </c>
      <c r="O34" s="222">
        <f>H34/12</f>
        <v>59.833333333333336</v>
      </c>
      <c r="P34" s="229">
        <f>H34/12</f>
        <v>59.833333333333336</v>
      </c>
      <c r="Q34" s="222">
        <f>H34/12</f>
        <v>59.833333333333336</v>
      </c>
      <c r="R34" s="229">
        <f>H34/12</f>
        <v>59.833333333333336</v>
      </c>
      <c r="S34" s="222">
        <f>H34/12</f>
        <v>59.833333333333336</v>
      </c>
      <c r="T34" s="229">
        <f>H34/12</f>
        <v>59.833333333333336</v>
      </c>
      <c r="U34" s="222">
        <f>H34/12</f>
        <v>59.833333333333336</v>
      </c>
      <c r="V34" s="228">
        <f>H34/12</f>
        <v>59.833333333333336</v>
      </c>
    </row>
    <row r="35" spans="1:22">
      <c r="C35" s="2">
        <v>55100</v>
      </c>
      <c r="D35" s="22" t="s">
        <v>5231</v>
      </c>
      <c r="E35" s="58">
        <v>24500</v>
      </c>
      <c r="F35" s="58">
        <v>28000</v>
      </c>
      <c r="G35" s="286">
        <v>23652</v>
      </c>
      <c r="H35" s="223">
        <f t="shared" si="2"/>
        <v>4348</v>
      </c>
      <c r="I35" s="233">
        <f t="shared" si="3"/>
        <v>0.15528571428571428</v>
      </c>
      <c r="J35" s="95"/>
      <c r="K35" s="228">
        <v>3624</v>
      </c>
      <c r="L35" s="229">
        <v>5140</v>
      </c>
      <c r="M35" s="222">
        <v>3624</v>
      </c>
      <c r="N35" s="229">
        <v>850</v>
      </c>
      <c r="O35" s="222">
        <v>3624</v>
      </c>
      <c r="P35" s="229">
        <v>6400</v>
      </c>
      <c r="Q35" s="222">
        <v>650</v>
      </c>
      <c r="R35" s="229">
        <v>3624</v>
      </c>
      <c r="S35" s="222">
        <v>964</v>
      </c>
      <c r="T35" s="229">
        <v>4500</v>
      </c>
      <c r="U35" s="222"/>
      <c r="V35" s="228"/>
    </row>
    <row r="36" spans="1:22">
      <c r="C36" s="2">
        <v>55200</v>
      </c>
      <c r="D36" s="22" t="s">
        <v>5232</v>
      </c>
      <c r="E36" s="58"/>
      <c r="F36" s="58">
        <v>10000</v>
      </c>
      <c r="G36" s="286"/>
      <c r="H36" s="223">
        <f t="shared" si="2"/>
        <v>10000</v>
      </c>
      <c r="I36" s="233"/>
      <c r="J36" s="95"/>
      <c r="K36" s="228"/>
      <c r="L36" s="229"/>
      <c r="M36" s="222"/>
      <c r="N36" s="229"/>
      <c r="O36" s="222"/>
      <c r="P36" s="229"/>
      <c r="Q36" s="222"/>
      <c r="R36" s="229"/>
      <c r="S36" s="222"/>
      <c r="T36" s="229"/>
      <c r="U36" s="222"/>
      <c r="V36" s="228"/>
    </row>
    <row r="37" spans="1:22">
      <c r="C37" s="2">
        <v>55300</v>
      </c>
      <c r="D37" s="22" t="s">
        <v>5233</v>
      </c>
      <c r="E37" s="58">
        <v>500</v>
      </c>
      <c r="F37" s="58">
        <v>1000</v>
      </c>
      <c r="G37" s="286">
        <v>1382</v>
      </c>
      <c r="H37" s="223">
        <f t="shared" si="2"/>
        <v>-382</v>
      </c>
      <c r="I37" s="233">
        <f t="shared" si="3"/>
        <v>-0.38200000000000001</v>
      </c>
      <c r="J37" s="95"/>
      <c r="K37" s="228">
        <f>H37/12</f>
        <v>-31.833333333333332</v>
      </c>
      <c r="L37" s="229">
        <f>H37/12</f>
        <v>-31.833333333333332</v>
      </c>
      <c r="M37" s="222">
        <f>H37/12</f>
        <v>-31.833333333333332</v>
      </c>
      <c r="N37" s="229">
        <f>H37/12</f>
        <v>-31.833333333333332</v>
      </c>
      <c r="O37" s="222">
        <f>H37/12</f>
        <v>-31.833333333333332</v>
      </c>
      <c r="P37" s="229">
        <f>H37/12</f>
        <v>-31.833333333333332</v>
      </c>
      <c r="Q37" s="222">
        <f>H37/12</f>
        <v>-31.833333333333332</v>
      </c>
      <c r="R37" s="229">
        <f>H37/12</f>
        <v>-31.833333333333332</v>
      </c>
      <c r="S37" s="222">
        <f>H37/12</f>
        <v>-31.833333333333332</v>
      </c>
      <c r="T37" s="229">
        <f>H37/12</f>
        <v>-31.833333333333332</v>
      </c>
      <c r="U37" s="222">
        <f>H37/12</f>
        <v>-31.833333333333332</v>
      </c>
      <c r="V37" s="228">
        <f>H37/12</f>
        <v>-31.833333333333332</v>
      </c>
    </row>
    <row r="38" spans="1:22">
      <c r="C38" s="2">
        <v>56000</v>
      </c>
      <c r="D38" s="22" t="s">
        <v>5234</v>
      </c>
      <c r="E38" s="58">
        <v>55649</v>
      </c>
      <c r="F38" s="58">
        <v>66500</v>
      </c>
      <c r="G38" s="286">
        <f>7291+1074.19+850+3656.25+1300+1085.04+3856.25+26941.6+9684+5100+778+1328+1592.5+9237-357.5</f>
        <v>73416.33</v>
      </c>
      <c r="H38" s="223">
        <f t="shared" si="2"/>
        <v>-6916.3300000000017</v>
      </c>
      <c r="I38" s="233">
        <f t="shared" si="3"/>
        <v>-0.10400496240601506</v>
      </c>
      <c r="J38" s="95"/>
      <c r="K38" s="228">
        <v>7437</v>
      </c>
      <c r="L38" s="229"/>
      <c r="M38" s="222">
        <v>7437</v>
      </c>
      <c r="N38" s="229">
        <v>11650</v>
      </c>
      <c r="O38" s="222">
        <v>17437</v>
      </c>
      <c r="P38" s="229">
        <v>1250</v>
      </c>
      <c r="Q38" s="222">
        <v>13852</v>
      </c>
      <c r="R38" s="229">
        <v>7437</v>
      </c>
      <c r="S38" s="222"/>
      <c r="T38" s="229"/>
      <c r="U38" s="222"/>
      <c r="V38" s="228"/>
    </row>
    <row r="39" spans="1:22">
      <c r="C39" s="2">
        <v>56100</v>
      </c>
      <c r="D39" s="22" t="s">
        <v>5235</v>
      </c>
      <c r="E39" s="58"/>
      <c r="F39" s="58"/>
      <c r="G39" s="286">
        <v>150</v>
      </c>
      <c r="H39" s="223">
        <f t="shared" si="2"/>
        <v>-150</v>
      </c>
      <c r="I39" s="233"/>
      <c r="J39" s="95"/>
      <c r="K39" s="228"/>
      <c r="L39" s="229"/>
      <c r="M39" s="222"/>
      <c r="N39" s="229"/>
      <c r="O39" s="222"/>
      <c r="P39" s="229"/>
      <c r="Q39" s="222"/>
      <c r="R39" s="229"/>
      <c r="S39" s="222"/>
      <c r="T39" s="229"/>
      <c r="U39" s="222"/>
      <c r="V39" s="228"/>
    </row>
    <row r="40" spans="1:22">
      <c r="C40" s="2">
        <v>56500</v>
      </c>
      <c r="D40" s="22" t="s">
        <v>5236</v>
      </c>
      <c r="E40" s="58">
        <v>24000</v>
      </c>
      <c r="F40" s="58">
        <v>24000</v>
      </c>
      <c r="G40" s="286">
        <v>24000</v>
      </c>
      <c r="H40" s="223">
        <f t="shared" si="2"/>
        <v>0</v>
      </c>
      <c r="I40" s="233">
        <f t="shared" si="3"/>
        <v>0</v>
      </c>
      <c r="J40" s="95"/>
      <c r="K40" s="228">
        <v>6000</v>
      </c>
      <c r="L40" s="229"/>
      <c r="M40" s="222"/>
      <c r="N40" s="229">
        <v>6000</v>
      </c>
      <c r="O40" s="222"/>
      <c r="P40" s="229"/>
      <c r="Q40" s="222">
        <v>6000</v>
      </c>
      <c r="R40" s="229"/>
      <c r="S40" s="222"/>
      <c r="T40" s="229">
        <v>6000</v>
      </c>
      <c r="U40" s="222"/>
      <c r="V40" s="228"/>
    </row>
    <row r="41" spans="1:22">
      <c r="C41" s="2">
        <v>57100</v>
      </c>
      <c r="D41" s="22" t="s">
        <v>41079</v>
      </c>
      <c r="E41" s="58">
        <v>0</v>
      </c>
      <c r="F41" s="58">
        <v>0</v>
      </c>
      <c r="G41" s="286">
        <v>1445</v>
      </c>
      <c r="H41" s="223">
        <f t="shared" si="2"/>
        <v>-1445</v>
      </c>
      <c r="I41" s="233"/>
      <c r="J41" s="95"/>
      <c r="K41" s="228"/>
      <c r="L41" s="229"/>
      <c r="M41" s="222"/>
      <c r="N41" s="229"/>
      <c r="O41" s="222"/>
      <c r="P41" s="229"/>
      <c r="Q41" s="222"/>
      <c r="R41" s="229"/>
      <c r="S41" s="222"/>
      <c r="T41" s="229"/>
      <c r="U41" s="222"/>
      <c r="V41" s="228"/>
    </row>
    <row r="42" spans="1:22">
      <c r="C42" s="2">
        <v>57200</v>
      </c>
      <c r="D42" s="22" t="s">
        <v>5238</v>
      </c>
      <c r="E42" s="58">
        <v>900</v>
      </c>
      <c r="F42" s="58">
        <v>11200</v>
      </c>
      <c r="G42" s="286">
        <v>10833</v>
      </c>
      <c r="H42" s="223">
        <f t="shared" si="2"/>
        <v>367</v>
      </c>
      <c r="I42" s="233">
        <f t="shared" si="3"/>
        <v>3.276785714285714E-2</v>
      </c>
      <c r="J42" s="95"/>
      <c r="K42" s="228"/>
      <c r="L42" s="229">
        <v>1000</v>
      </c>
      <c r="M42" s="222"/>
      <c r="N42" s="229"/>
      <c r="O42" s="222"/>
      <c r="P42" s="229"/>
      <c r="Q42" s="222"/>
      <c r="R42" s="229"/>
      <c r="S42" s="222"/>
      <c r="T42" s="229"/>
      <c r="U42" s="222"/>
      <c r="V42" s="228"/>
    </row>
    <row r="43" spans="1:22">
      <c r="C43" s="2">
        <v>58000</v>
      </c>
      <c r="D43" s="22" t="s">
        <v>5239</v>
      </c>
      <c r="E43" s="58"/>
      <c r="F43" s="58"/>
      <c r="G43" s="286"/>
      <c r="H43" s="223">
        <f t="shared" si="2"/>
        <v>0</v>
      </c>
      <c r="I43" s="233"/>
      <c r="J43" s="95"/>
      <c r="K43" s="228"/>
      <c r="L43" s="229"/>
      <c r="M43" s="222"/>
      <c r="N43" s="229"/>
      <c r="O43" s="222"/>
      <c r="P43" s="229"/>
      <c r="Q43" s="222"/>
      <c r="R43" s="229"/>
      <c r="S43" s="222"/>
      <c r="T43" s="229"/>
      <c r="U43" s="222"/>
      <c r="V43" s="228"/>
    </row>
    <row r="44" spans="1:22">
      <c r="C44" s="2">
        <v>58100</v>
      </c>
      <c r="D44" s="22" t="s">
        <v>5240</v>
      </c>
      <c r="E44" s="58"/>
      <c r="F44" s="58"/>
      <c r="G44" s="286"/>
      <c r="H44" s="223">
        <f t="shared" si="2"/>
        <v>0</v>
      </c>
      <c r="I44" s="233"/>
      <c r="J44" s="95"/>
      <c r="K44" s="228"/>
      <c r="L44" s="229"/>
      <c r="M44" s="222"/>
      <c r="N44" s="229"/>
      <c r="O44" s="222"/>
      <c r="P44" s="229"/>
      <c r="Q44" s="222"/>
      <c r="R44" s="229"/>
      <c r="S44" s="222"/>
      <c r="T44" s="229"/>
      <c r="U44" s="222"/>
      <c r="V44" s="228"/>
    </row>
    <row r="45" spans="1:22">
      <c r="C45" s="2">
        <v>58200</v>
      </c>
      <c r="D45" s="22" t="s">
        <v>5241</v>
      </c>
      <c r="E45" s="58"/>
      <c r="F45" s="58"/>
      <c r="G45" s="286">
        <v>10020</v>
      </c>
      <c r="H45" s="223">
        <f t="shared" si="2"/>
        <v>-10020</v>
      </c>
      <c r="I45" s="233"/>
      <c r="J45" s="95"/>
      <c r="K45" s="228"/>
      <c r="L45" s="229"/>
      <c r="M45" s="222"/>
      <c r="N45" s="229"/>
      <c r="O45" s="222"/>
      <c r="P45" s="229"/>
      <c r="Q45" s="222"/>
      <c r="R45" s="229"/>
      <c r="S45" s="222"/>
      <c r="T45" s="229"/>
      <c r="U45" s="222"/>
      <c r="V45" s="228"/>
    </row>
    <row r="46" spans="1:22">
      <c r="C46" s="2">
        <v>58300</v>
      </c>
      <c r="D46" s="22" t="s">
        <v>5242</v>
      </c>
      <c r="E46" s="58">
        <v>436</v>
      </c>
      <c r="F46" s="58">
        <v>436</v>
      </c>
      <c r="G46" s="286">
        <v>851</v>
      </c>
      <c r="H46" s="223">
        <f t="shared" si="2"/>
        <v>-415</v>
      </c>
      <c r="I46" s="233">
        <f t="shared" si="3"/>
        <v>-0.95183486238532111</v>
      </c>
      <c r="J46" s="95"/>
      <c r="K46" s="228"/>
      <c r="L46" s="229"/>
      <c r="M46" s="222"/>
      <c r="N46" s="229"/>
      <c r="O46" s="222"/>
      <c r="P46" s="229"/>
      <c r="Q46" s="222">
        <v>60</v>
      </c>
      <c r="R46" s="229"/>
      <c r="S46" s="222"/>
      <c r="T46" s="229"/>
      <c r="U46" s="222"/>
      <c r="V46" s="228"/>
    </row>
    <row r="47" spans="1:22">
      <c r="A47" s="200"/>
      <c r="B47" s="498" t="s">
        <v>2510</v>
      </c>
      <c r="C47" s="212">
        <v>59110</v>
      </c>
      <c r="D47" s="200" t="s">
        <v>5243</v>
      </c>
      <c r="E47" s="319">
        <v>500</v>
      </c>
      <c r="F47" s="201">
        <v>4475</v>
      </c>
      <c r="G47" s="468">
        <v>623.70000000000005</v>
      </c>
      <c r="H47" s="237">
        <f t="shared" ref="H47:H52" si="4">F47-G47</f>
        <v>3851.3</v>
      </c>
      <c r="I47" s="327"/>
      <c r="J47" s="95"/>
      <c r="K47" s="234">
        <f t="shared" ref="K47" si="5">H47*0.1</f>
        <v>385.13000000000005</v>
      </c>
      <c r="L47" s="235">
        <f t="shared" ref="L47" si="6">H47*0.1</f>
        <v>385.13000000000005</v>
      </c>
      <c r="M47" s="236"/>
      <c r="N47" s="235">
        <f t="shared" ref="N47" si="7">H47*0.15</f>
        <v>577.69500000000005</v>
      </c>
      <c r="O47" s="236">
        <f t="shared" ref="O47" si="8">H47*0.1</f>
        <v>385.13000000000005</v>
      </c>
      <c r="P47" s="235"/>
      <c r="Q47" s="236">
        <f t="shared" ref="Q47" si="9">H47*0.2</f>
        <v>770.2600000000001</v>
      </c>
      <c r="R47" s="235">
        <f t="shared" ref="R47" si="10">H47*0.15</f>
        <v>577.69500000000005</v>
      </c>
      <c r="S47" s="236">
        <f t="shared" ref="S47" si="11">H47*0.1</f>
        <v>385.13000000000005</v>
      </c>
      <c r="T47" s="235"/>
      <c r="U47" s="236">
        <f t="shared" ref="U47" si="12">H47*0.1</f>
        <v>385.13000000000005</v>
      </c>
      <c r="V47" s="234"/>
    </row>
    <row r="48" spans="1:22">
      <c r="C48" s="212">
        <v>59120</v>
      </c>
      <c r="D48" s="200" t="s">
        <v>5244</v>
      </c>
      <c r="E48" s="319">
        <v>0</v>
      </c>
      <c r="F48" s="201">
        <v>6000</v>
      </c>
      <c r="G48" s="468">
        <v>1346</v>
      </c>
      <c r="H48" s="237">
        <f t="shared" si="4"/>
        <v>4654</v>
      </c>
      <c r="I48" s="327">
        <f t="shared" ref="I48:I52" si="13">H48/F48</f>
        <v>0.77566666666666662</v>
      </c>
      <c r="J48" s="95"/>
      <c r="K48" s="234">
        <f t="shared" ref="K48:K52" si="14">H48*0.1</f>
        <v>465.40000000000003</v>
      </c>
      <c r="L48" s="235">
        <f t="shared" ref="L48:L52" si="15">H48*0.1</f>
        <v>465.40000000000003</v>
      </c>
      <c r="M48" s="236"/>
      <c r="N48" s="235">
        <f t="shared" ref="N48:N52" si="16">H48*0.15</f>
        <v>698.1</v>
      </c>
      <c r="O48" s="236">
        <f t="shared" ref="O48:O52" si="17">H48*0.1</f>
        <v>465.40000000000003</v>
      </c>
      <c r="P48" s="235"/>
      <c r="Q48" s="236">
        <f t="shared" ref="Q48:Q52" si="18">H48*0.2</f>
        <v>930.80000000000007</v>
      </c>
      <c r="R48" s="235">
        <f t="shared" ref="R48:R52" si="19">H48*0.15</f>
        <v>698.1</v>
      </c>
      <c r="S48" s="236">
        <f t="shared" ref="S48:S52" si="20">H48*0.1</f>
        <v>465.40000000000003</v>
      </c>
      <c r="T48" s="235"/>
      <c r="U48" s="236">
        <f t="shared" ref="U48:U52" si="21">H48*0.1</f>
        <v>465.40000000000003</v>
      </c>
      <c r="V48" s="234"/>
    </row>
    <row r="49" spans="1:22" ht="16.5" customHeight="1">
      <c r="B49" s="497"/>
      <c r="C49" s="212">
        <v>59130</v>
      </c>
      <c r="D49" s="200" t="s">
        <v>5245</v>
      </c>
      <c r="E49" s="319">
        <v>0</v>
      </c>
      <c r="F49" s="201">
        <v>7750</v>
      </c>
      <c r="G49" s="468">
        <v>1041.2</v>
      </c>
      <c r="H49" s="237">
        <f t="shared" si="4"/>
        <v>6708.8</v>
      </c>
      <c r="I49" s="327">
        <f t="shared" si="13"/>
        <v>0.86565161290322579</v>
      </c>
      <c r="J49" s="95"/>
      <c r="K49" s="234">
        <f t="shared" si="14"/>
        <v>670.88000000000011</v>
      </c>
      <c r="L49" s="235">
        <f t="shared" si="15"/>
        <v>670.88000000000011</v>
      </c>
      <c r="M49" s="236"/>
      <c r="N49" s="235">
        <f t="shared" si="16"/>
        <v>1006.3199999999999</v>
      </c>
      <c r="O49" s="236">
        <f t="shared" si="17"/>
        <v>670.88000000000011</v>
      </c>
      <c r="P49" s="235"/>
      <c r="Q49" s="236">
        <f t="shared" si="18"/>
        <v>1341.7600000000002</v>
      </c>
      <c r="R49" s="235">
        <f t="shared" si="19"/>
        <v>1006.3199999999999</v>
      </c>
      <c r="S49" s="236">
        <f t="shared" si="20"/>
        <v>670.88000000000011</v>
      </c>
      <c r="T49" s="235"/>
      <c r="U49" s="236">
        <f t="shared" si="21"/>
        <v>670.88000000000011</v>
      </c>
      <c r="V49" s="234"/>
    </row>
    <row r="50" spans="1:22">
      <c r="C50" s="212">
        <v>59140</v>
      </c>
      <c r="D50" s="200" t="s">
        <v>5246</v>
      </c>
      <c r="E50" s="319">
        <v>25</v>
      </c>
      <c r="F50" s="201">
        <v>500</v>
      </c>
      <c r="G50" s="468">
        <v>64.930000000000007</v>
      </c>
      <c r="H50" s="237">
        <f t="shared" si="4"/>
        <v>435.07</v>
      </c>
      <c r="I50" s="327">
        <f t="shared" si="13"/>
        <v>0.87014000000000002</v>
      </c>
      <c r="J50" s="95"/>
      <c r="K50" s="234">
        <f t="shared" si="14"/>
        <v>43.507000000000005</v>
      </c>
      <c r="L50" s="235">
        <f t="shared" si="15"/>
        <v>43.507000000000005</v>
      </c>
      <c r="M50" s="236"/>
      <c r="N50" s="235">
        <f t="shared" si="16"/>
        <v>65.260499999999993</v>
      </c>
      <c r="O50" s="236">
        <f t="shared" si="17"/>
        <v>43.507000000000005</v>
      </c>
      <c r="P50" s="235"/>
      <c r="Q50" s="236">
        <f t="shared" si="18"/>
        <v>87.01400000000001</v>
      </c>
      <c r="R50" s="235">
        <f t="shared" si="19"/>
        <v>65.260499999999993</v>
      </c>
      <c r="S50" s="236">
        <f t="shared" si="20"/>
        <v>43.507000000000005</v>
      </c>
      <c r="T50" s="235"/>
      <c r="U50" s="236">
        <f t="shared" si="21"/>
        <v>43.507000000000005</v>
      </c>
      <c r="V50" s="234"/>
    </row>
    <row r="51" spans="1:22">
      <c r="C51" s="212">
        <v>59150</v>
      </c>
      <c r="D51" s="200" t="s">
        <v>5247</v>
      </c>
      <c r="E51" s="319">
        <v>0</v>
      </c>
      <c r="F51" s="201">
        <v>2500</v>
      </c>
      <c r="G51" s="468">
        <v>420.7</v>
      </c>
      <c r="H51" s="237">
        <f t="shared" si="4"/>
        <v>2079.3000000000002</v>
      </c>
      <c r="I51" s="327">
        <f t="shared" si="13"/>
        <v>0.83172000000000013</v>
      </c>
      <c r="J51" s="95"/>
      <c r="K51" s="234">
        <f t="shared" si="14"/>
        <v>207.93000000000004</v>
      </c>
      <c r="L51" s="235">
        <f t="shared" si="15"/>
        <v>207.93000000000004</v>
      </c>
      <c r="M51" s="236"/>
      <c r="N51" s="235">
        <f t="shared" si="16"/>
        <v>311.89500000000004</v>
      </c>
      <c r="O51" s="236">
        <f t="shared" si="17"/>
        <v>207.93000000000004</v>
      </c>
      <c r="P51" s="235"/>
      <c r="Q51" s="236">
        <f t="shared" si="18"/>
        <v>415.86000000000007</v>
      </c>
      <c r="R51" s="235">
        <f t="shared" si="19"/>
        <v>311.89500000000004</v>
      </c>
      <c r="S51" s="236">
        <f t="shared" si="20"/>
        <v>207.93000000000004</v>
      </c>
      <c r="T51" s="235"/>
      <c r="U51" s="236">
        <f t="shared" si="21"/>
        <v>207.93000000000004</v>
      </c>
      <c r="V51" s="234"/>
    </row>
    <row r="52" spans="1:22">
      <c r="C52" s="212">
        <v>59160</v>
      </c>
      <c r="D52" s="200" t="s">
        <v>5248</v>
      </c>
      <c r="E52" s="319">
        <v>70</v>
      </c>
      <c r="F52" s="201">
        <v>1000</v>
      </c>
      <c r="G52" s="468">
        <f>688.4+15.39+14</f>
        <v>717.79</v>
      </c>
      <c r="H52" s="237">
        <f t="shared" si="4"/>
        <v>282.21000000000004</v>
      </c>
      <c r="I52" s="327">
        <f t="shared" si="13"/>
        <v>0.28221000000000002</v>
      </c>
      <c r="J52" s="95"/>
      <c r="K52" s="234">
        <f t="shared" si="14"/>
        <v>28.221000000000004</v>
      </c>
      <c r="L52" s="235">
        <f t="shared" si="15"/>
        <v>28.221000000000004</v>
      </c>
      <c r="M52" s="236"/>
      <c r="N52" s="235">
        <f t="shared" si="16"/>
        <v>42.331500000000005</v>
      </c>
      <c r="O52" s="236">
        <f t="shared" si="17"/>
        <v>28.221000000000004</v>
      </c>
      <c r="P52" s="235"/>
      <c r="Q52" s="236">
        <f t="shared" si="18"/>
        <v>56.442000000000007</v>
      </c>
      <c r="R52" s="235">
        <f t="shared" si="19"/>
        <v>42.331500000000005</v>
      </c>
      <c r="S52" s="236">
        <f t="shared" si="20"/>
        <v>28.221000000000004</v>
      </c>
      <c r="T52" s="235"/>
      <c r="U52" s="236">
        <f t="shared" si="21"/>
        <v>28.221000000000004</v>
      </c>
      <c r="V52" s="234"/>
    </row>
    <row r="53" spans="1:22">
      <c r="A53" s="490"/>
      <c r="B53" s="499" t="s">
        <v>3071</v>
      </c>
      <c r="C53" s="489">
        <v>59110</v>
      </c>
      <c r="D53" s="490" t="s">
        <v>5243</v>
      </c>
      <c r="E53" s="491"/>
      <c r="F53" s="491">
        <v>1300</v>
      </c>
      <c r="G53" s="492">
        <f>18.8+12.8</f>
        <v>31.6</v>
      </c>
      <c r="H53" s="493">
        <f t="shared" ref="H53:H57" si="22">F53-G53</f>
        <v>1268.4000000000001</v>
      </c>
      <c r="I53" s="494">
        <f t="shared" ref="I53:I58" si="23">H53/F53</f>
        <v>0.97569230769230775</v>
      </c>
      <c r="J53" s="496"/>
      <c r="K53" s="227"/>
      <c r="L53" s="225"/>
      <c r="M53" s="495"/>
      <c r="N53" s="225"/>
      <c r="O53" s="495"/>
      <c r="P53" s="225"/>
      <c r="Q53" s="495"/>
      <c r="R53" s="225"/>
      <c r="S53" s="495"/>
      <c r="T53" s="225"/>
      <c r="U53" s="495"/>
      <c r="V53" s="227"/>
    </row>
    <row r="54" spans="1:22">
      <c r="C54" s="489">
        <v>59120</v>
      </c>
      <c r="D54" s="490" t="s">
        <v>5244</v>
      </c>
      <c r="E54" s="491"/>
      <c r="F54" s="491">
        <v>600</v>
      </c>
      <c r="G54" s="492"/>
      <c r="H54" s="493">
        <f t="shared" si="22"/>
        <v>600</v>
      </c>
      <c r="I54" s="494">
        <f t="shared" si="23"/>
        <v>1</v>
      </c>
      <c r="J54" s="496"/>
      <c r="K54" s="227"/>
      <c r="L54" s="225"/>
      <c r="M54" s="495"/>
      <c r="N54" s="225"/>
      <c r="O54" s="495"/>
      <c r="P54" s="225"/>
      <c r="Q54" s="495"/>
      <c r="R54" s="225"/>
      <c r="S54" s="495"/>
      <c r="T54" s="225"/>
      <c r="U54" s="495"/>
      <c r="V54" s="227"/>
    </row>
    <row r="55" spans="1:22">
      <c r="B55" s="497"/>
      <c r="C55" s="489">
        <v>59130</v>
      </c>
      <c r="D55" s="490" t="s">
        <v>5245</v>
      </c>
      <c r="E55" s="491"/>
      <c r="F55" s="491">
        <v>500</v>
      </c>
      <c r="G55" s="492"/>
      <c r="H55" s="493">
        <f t="shared" si="22"/>
        <v>500</v>
      </c>
      <c r="I55" s="494">
        <f t="shared" si="23"/>
        <v>1</v>
      </c>
      <c r="J55" s="496"/>
      <c r="K55" s="227"/>
      <c r="L55" s="225"/>
      <c r="M55" s="495"/>
      <c r="N55" s="225"/>
      <c r="O55" s="495"/>
      <c r="P55" s="225"/>
      <c r="Q55" s="495"/>
      <c r="R55" s="225"/>
      <c r="S55" s="495"/>
      <c r="T55" s="225"/>
      <c r="U55" s="495"/>
      <c r="V55" s="227"/>
    </row>
    <row r="56" spans="1:22">
      <c r="C56" s="489">
        <v>59140</v>
      </c>
      <c r="D56" s="490" t="s">
        <v>5246</v>
      </c>
      <c r="E56" s="491"/>
      <c r="F56" s="491">
        <v>250</v>
      </c>
      <c r="G56" s="492"/>
      <c r="H56" s="493">
        <f t="shared" si="22"/>
        <v>250</v>
      </c>
      <c r="I56" s="494">
        <f t="shared" si="23"/>
        <v>1</v>
      </c>
      <c r="J56" s="496"/>
      <c r="K56" s="227"/>
      <c r="L56" s="225"/>
      <c r="M56" s="495"/>
      <c r="N56" s="225"/>
      <c r="O56" s="495"/>
      <c r="P56" s="225"/>
      <c r="Q56" s="495"/>
      <c r="R56" s="225"/>
      <c r="S56" s="495"/>
      <c r="T56" s="225"/>
      <c r="U56" s="495"/>
      <c r="V56" s="227"/>
    </row>
    <row r="57" spans="1:22">
      <c r="C57" s="489">
        <v>59150</v>
      </c>
      <c r="D57" s="490" t="s">
        <v>5247</v>
      </c>
      <c r="E57" s="491"/>
      <c r="F57" s="491">
        <v>1000</v>
      </c>
      <c r="G57" s="492">
        <v>199.3</v>
      </c>
      <c r="H57" s="493">
        <f t="shared" si="22"/>
        <v>800.7</v>
      </c>
      <c r="I57" s="494">
        <f t="shared" si="23"/>
        <v>0.80070000000000008</v>
      </c>
      <c r="J57" s="496"/>
      <c r="K57" s="227"/>
      <c r="L57" s="225"/>
      <c r="M57" s="495"/>
      <c r="N57" s="225"/>
      <c r="O57" s="495"/>
      <c r="P57" s="225"/>
      <c r="Q57" s="495"/>
      <c r="R57" s="225"/>
      <c r="S57" s="495"/>
      <c r="T57" s="225"/>
      <c r="U57" s="495"/>
      <c r="V57" s="227"/>
    </row>
    <row r="58" spans="1:22">
      <c r="C58" s="489">
        <v>59160</v>
      </c>
      <c r="D58" s="490" t="s">
        <v>5248</v>
      </c>
      <c r="E58" s="491"/>
      <c r="F58" s="491">
        <v>1000</v>
      </c>
      <c r="G58" s="492">
        <v>141.21</v>
      </c>
      <c r="H58" s="493">
        <v>850</v>
      </c>
      <c r="I58" s="494">
        <f t="shared" si="23"/>
        <v>0.85</v>
      </c>
      <c r="J58" s="496"/>
      <c r="K58" s="227"/>
      <c r="L58" s="225"/>
      <c r="M58" s="495"/>
      <c r="N58" s="225"/>
      <c r="O58" s="495"/>
      <c r="P58" s="225"/>
      <c r="Q58" s="495"/>
      <c r="R58" s="225"/>
      <c r="S58" s="495"/>
      <c r="T58" s="225"/>
      <c r="U58" s="495"/>
      <c r="V58" s="227"/>
    </row>
    <row r="59" spans="1:22">
      <c r="C59" s="2">
        <v>59200</v>
      </c>
      <c r="D59" s="22" t="s">
        <v>5250</v>
      </c>
      <c r="E59" s="58">
        <v>850</v>
      </c>
      <c r="F59" s="58">
        <v>1695</v>
      </c>
      <c r="G59" s="286">
        <v>50</v>
      </c>
      <c r="H59" s="223">
        <f>F59-G59</f>
        <v>1645</v>
      </c>
      <c r="I59" s="233">
        <f>H59/F59</f>
        <v>0.97050147492625372</v>
      </c>
      <c r="J59" s="95"/>
      <c r="K59" s="228"/>
      <c r="L59" s="229"/>
      <c r="M59" s="222"/>
      <c r="N59" s="229"/>
      <c r="O59" s="222"/>
      <c r="P59" s="229"/>
      <c r="Q59" s="222"/>
      <c r="R59" s="229"/>
      <c r="S59" s="222"/>
      <c r="T59" s="229">
        <v>900</v>
      </c>
      <c r="U59" s="222"/>
      <c r="V59" s="228"/>
    </row>
    <row r="60" spans="1:22">
      <c r="C60" s="2">
        <v>59300</v>
      </c>
      <c r="D60" s="22" t="s">
        <v>5251</v>
      </c>
      <c r="E60" s="58"/>
      <c r="F60" s="58">
        <v>0</v>
      </c>
      <c r="G60" s="286"/>
      <c r="H60" s="223">
        <f t="shared" ref="H60:H74" si="24">F60-G60</f>
        <v>0</v>
      </c>
      <c r="I60" s="233"/>
      <c r="J60" s="95"/>
      <c r="K60" s="228"/>
      <c r="L60" s="229"/>
      <c r="M60" s="222"/>
      <c r="N60" s="229"/>
      <c r="O60" s="222"/>
      <c r="P60" s="229"/>
      <c r="Q60" s="222"/>
      <c r="R60" s="229"/>
      <c r="S60" s="222"/>
      <c r="T60" s="229"/>
      <c r="U60" s="222"/>
      <c r="V60" s="228"/>
    </row>
    <row r="61" spans="1:22">
      <c r="C61" s="2">
        <v>59500</v>
      </c>
      <c r="D61" s="22" t="s">
        <v>5252</v>
      </c>
      <c r="E61" s="58"/>
      <c r="F61" s="58">
        <v>0</v>
      </c>
      <c r="G61" s="286"/>
      <c r="H61" s="223">
        <f t="shared" si="24"/>
        <v>0</v>
      </c>
      <c r="I61" s="233"/>
      <c r="J61" s="95"/>
      <c r="K61" s="228"/>
      <c r="L61" s="229"/>
      <c r="M61" s="222"/>
      <c r="N61" s="229"/>
      <c r="O61" s="222"/>
      <c r="P61" s="229"/>
      <c r="Q61" s="222"/>
      <c r="R61" s="229"/>
      <c r="S61" s="222"/>
      <c r="T61" s="229"/>
      <c r="U61" s="222"/>
      <c r="V61" s="228"/>
    </row>
    <row r="62" spans="1:22">
      <c r="C62" s="2">
        <v>61000</v>
      </c>
      <c r="D62" s="22" t="s">
        <v>5253</v>
      </c>
      <c r="E62" s="58">
        <v>1000</v>
      </c>
      <c r="F62" s="58">
        <v>1000</v>
      </c>
      <c r="G62" s="286">
        <f>560+330</f>
        <v>890</v>
      </c>
      <c r="H62" s="223">
        <f t="shared" si="24"/>
        <v>110</v>
      </c>
      <c r="I62" s="233"/>
      <c r="J62" s="95"/>
      <c r="K62" s="228"/>
      <c r="L62" s="229"/>
      <c r="M62" s="222"/>
      <c r="N62" s="229"/>
      <c r="O62" s="222"/>
      <c r="P62" s="229"/>
      <c r="Q62" s="222">
        <v>1000</v>
      </c>
      <c r="R62" s="229"/>
      <c r="S62" s="222"/>
      <c r="T62" s="229"/>
      <c r="U62" s="222"/>
      <c r="V62" s="228"/>
    </row>
    <row r="63" spans="1:22">
      <c r="C63" s="2">
        <v>67000</v>
      </c>
      <c r="D63" s="22" t="s">
        <v>5254</v>
      </c>
      <c r="E63" s="58">
        <v>840</v>
      </c>
      <c r="F63" s="58">
        <v>1000</v>
      </c>
      <c r="G63" s="286">
        <v>233.2</v>
      </c>
      <c r="H63" s="223">
        <f t="shared" si="24"/>
        <v>766.8</v>
      </c>
      <c r="I63" s="233">
        <f>H63/F63</f>
        <v>0.76679999999999993</v>
      </c>
      <c r="J63" s="95"/>
      <c r="K63" s="228">
        <v>250</v>
      </c>
      <c r="L63" s="229"/>
      <c r="M63" s="222"/>
      <c r="N63" s="229">
        <v>250</v>
      </c>
      <c r="O63" s="222"/>
      <c r="P63" s="229"/>
      <c r="Q63" s="222">
        <v>250</v>
      </c>
      <c r="R63" s="229"/>
      <c r="S63" s="222"/>
      <c r="T63" s="229">
        <v>250</v>
      </c>
      <c r="U63" s="222"/>
      <c r="V63" s="228"/>
    </row>
    <row r="64" spans="1:22">
      <c r="C64" s="2">
        <v>72000</v>
      </c>
      <c r="D64" s="22" t="s">
        <v>5255</v>
      </c>
      <c r="E64" s="58"/>
      <c r="F64" s="58"/>
      <c r="G64" s="286"/>
      <c r="H64" s="223">
        <f t="shared" si="24"/>
        <v>0</v>
      </c>
      <c r="I64" s="233"/>
      <c r="J64" s="95"/>
      <c r="K64" s="228"/>
      <c r="L64" s="229"/>
      <c r="M64" s="222"/>
      <c r="N64" s="229"/>
      <c r="O64" s="222"/>
      <c r="P64" s="229"/>
      <c r="Q64" s="222"/>
      <c r="R64" s="229"/>
      <c r="S64" s="222"/>
      <c r="T64" s="229"/>
      <c r="U64" s="222"/>
      <c r="V64" s="228"/>
    </row>
    <row r="65" spans="3:22">
      <c r="C65" s="2">
        <v>72100</v>
      </c>
      <c r="D65" s="22" t="s">
        <v>5256</v>
      </c>
      <c r="E65" s="58"/>
      <c r="F65" s="58"/>
      <c r="G65" s="286"/>
      <c r="H65" s="223">
        <f t="shared" si="24"/>
        <v>0</v>
      </c>
      <c r="I65" s="233"/>
      <c r="J65" s="95"/>
      <c r="K65" s="228"/>
      <c r="L65" s="229"/>
      <c r="M65" s="222"/>
      <c r="N65" s="229"/>
      <c r="O65" s="222"/>
      <c r="P65" s="229"/>
      <c r="Q65" s="222"/>
      <c r="R65" s="229"/>
      <c r="S65" s="222"/>
      <c r="T65" s="229"/>
      <c r="U65" s="222"/>
      <c r="V65" s="228"/>
    </row>
    <row r="66" spans="3:22">
      <c r="C66" s="2">
        <v>74000</v>
      </c>
      <c r="D66" s="22" t="s">
        <v>5257</v>
      </c>
      <c r="E66" s="58"/>
      <c r="F66" s="58"/>
      <c r="G66" s="286"/>
      <c r="H66" s="223">
        <f t="shared" si="24"/>
        <v>0</v>
      </c>
      <c r="I66" s="233"/>
      <c r="J66" s="95"/>
      <c r="K66" s="228"/>
      <c r="L66" s="229"/>
      <c r="M66" s="222"/>
      <c r="N66" s="229"/>
      <c r="O66" s="222"/>
      <c r="P66" s="229"/>
      <c r="Q66" s="222"/>
      <c r="R66" s="229"/>
      <c r="S66" s="222"/>
      <c r="T66" s="229"/>
      <c r="U66" s="222"/>
      <c r="V66" s="228"/>
    </row>
    <row r="67" spans="3:22">
      <c r="C67" s="2">
        <v>75000</v>
      </c>
      <c r="D67" s="22" t="s">
        <v>5258</v>
      </c>
      <c r="E67" s="58"/>
      <c r="F67" s="58"/>
      <c r="G67" s="286"/>
      <c r="H67" s="223">
        <f t="shared" si="24"/>
        <v>0</v>
      </c>
      <c r="I67" s="233"/>
      <c r="J67" s="95"/>
      <c r="K67" s="228"/>
      <c r="L67" s="229"/>
      <c r="M67" s="222"/>
      <c r="N67" s="229"/>
      <c r="O67" s="222"/>
      <c r="P67" s="229"/>
      <c r="Q67" s="222"/>
      <c r="R67" s="229"/>
      <c r="S67" s="222"/>
      <c r="T67" s="229"/>
      <c r="U67" s="222"/>
      <c r="V67" s="228"/>
    </row>
    <row r="68" spans="3:22">
      <c r="C68" s="2">
        <v>76000</v>
      </c>
      <c r="D68" s="22" t="s">
        <v>5259</v>
      </c>
      <c r="E68" s="58"/>
      <c r="F68" s="58"/>
      <c r="G68" s="286"/>
      <c r="H68" s="223">
        <f t="shared" si="24"/>
        <v>0</v>
      </c>
      <c r="I68" s="233"/>
      <c r="J68" s="95"/>
      <c r="K68" s="228"/>
      <c r="L68" s="229"/>
      <c r="M68" s="222"/>
      <c r="N68" s="229"/>
      <c r="O68" s="222"/>
      <c r="P68" s="229"/>
      <c r="Q68" s="222"/>
      <c r="R68" s="229"/>
      <c r="S68" s="222"/>
      <c r="T68" s="229"/>
      <c r="U68" s="222"/>
      <c r="V68" s="228"/>
    </row>
    <row r="69" spans="3:22">
      <c r="C69" s="2">
        <v>76100</v>
      </c>
      <c r="D69" s="22" t="s">
        <v>5260</v>
      </c>
      <c r="E69" s="58"/>
      <c r="F69" s="58"/>
      <c r="G69" s="286"/>
      <c r="H69" s="223">
        <f t="shared" si="24"/>
        <v>0</v>
      </c>
      <c r="I69" s="233"/>
      <c r="J69" s="95"/>
      <c r="K69" s="228"/>
      <c r="L69" s="229"/>
      <c r="M69" s="222"/>
      <c r="N69" s="229"/>
      <c r="O69" s="222"/>
      <c r="P69" s="229"/>
      <c r="Q69" s="222"/>
      <c r="R69" s="229"/>
      <c r="S69" s="222"/>
      <c r="T69" s="229"/>
      <c r="U69" s="222"/>
      <c r="V69" s="228"/>
    </row>
    <row r="70" spans="3:22">
      <c r="C70" s="2">
        <v>77000</v>
      </c>
      <c r="D70" s="22" t="s">
        <v>5261</v>
      </c>
      <c r="E70" s="58"/>
      <c r="F70" s="58"/>
      <c r="G70" s="286"/>
      <c r="H70" s="223">
        <f t="shared" si="24"/>
        <v>0</v>
      </c>
      <c r="I70" s="233"/>
      <c r="J70" s="95"/>
      <c r="K70" s="228"/>
      <c r="L70" s="229"/>
      <c r="M70" s="222"/>
      <c r="N70" s="229"/>
      <c r="O70" s="222"/>
      <c r="P70" s="229"/>
      <c r="Q70" s="222"/>
      <c r="R70" s="229"/>
      <c r="S70" s="222"/>
      <c r="T70" s="229"/>
      <c r="U70" s="222"/>
      <c r="V70" s="228"/>
    </row>
    <row r="71" spans="3:22">
      <c r="C71" s="2">
        <v>78000</v>
      </c>
      <c r="D71" s="22" t="s">
        <v>5262</v>
      </c>
      <c r="E71" s="58"/>
      <c r="F71" s="58"/>
      <c r="G71" s="286"/>
      <c r="H71" s="223">
        <f t="shared" si="24"/>
        <v>0</v>
      </c>
      <c r="I71" s="233"/>
      <c r="J71" s="95"/>
      <c r="K71" s="228"/>
      <c r="L71" s="229"/>
      <c r="M71" s="222"/>
      <c r="N71" s="229"/>
      <c r="O71" s="222"/>
      <c r="P71" s="229"/>
      <c r="Q71" s="222"/>
      <c r="R71" s="229"/>
      <c r="S71" s="222"/>
      <c r="T71" s="229"/>
      <c r="U71" s="222"/>
      <c r="V71" s="228"/>
    </row>
    <row r="72" spans="3:22">
      <c r="C72" s="2">
        <v>79000</v>
      </c>
      <c r="D72" s="22" t="s">
        <v>5263</v>
      </c>
      <c r="E72" s="58"/>
      <c r="F72" s="58"/>
      <c r="G72" s="286"/>
      <c r="H72" s="223">
        <f t="shared" si="24"/>
        <v>0</v>
      </c>
      <c r="I72" s="233"/>
      <c r="J72" s="95"/>
      <c r="K72" s="228"/>
      <c r="L72" s="229"/>
      <c r="M72" s="222"/>
      <c r="N72" s="229"/>
      <c r="O72" s="222"/>
      <c r="P72" s="229"/>
      <c r="Q72" s="222"/>
      <c r="R72" s="229"/>
      <c r="S72" s="222"/>
      <c r="T72" s="229"/>
      <c r="U72" s="222"/>
      <c r="V72" s="228"/>
    </row>
    <row r="73" spans="3:22">
      <c r="C73" s="2">
        <v>79100</v>
      </c>
      <c r="D73" s="22" t="s">
        <v>5264</v>
      </c>
      <c r="E73" s="58"/>
      <c r="F73" s="58"/>
      <c r="G73" s="286"/>
      <c r="H73" s="223">
        <f t="shared" si="24"/>
        <v>0</v>
      </c>
      <c r="I73" s="233"/>
      <c r="J73" s="95"/>
      <c r="K73" s="228"/>
      <c r="L73" s="229"/>
      <c r="M73" s="222"/>
      <c r="N73" s="229"/>
      <c r="O73" s="222"/>
      <c r="P73" s="229"/>
      <c r="Q73" s="222"/>
      <c r="R73" s="229"/>
      <c r="S73" s="222"/>
      <c r="T73" s="229"/>
      <c r="U73" s="222"/>
      <c r="V73" s="228"/>
    </row>
    <row r="74" spans="3:22">
      <c r="C74" s="56">
        <v>79900</v>
      </c>
      <c r="D74" s="28" t="s">
        <v>5265</v>
      </c>
      <c r="E74" s="60">
        <v>36252</v>
      </c>
      <c r="F74" s="60">
        <v>39751</v>
      </c>
      <c r="G74" s="288">
        <v>39751</v>
      </c>
      <c r="H74" s="486">
        <f t="shared" si="24"/>
        <v>0</v>
      </c>
      <c r="I74" s="328"/>
      <c r="J74" s="96"/>
      <c r="K74" s="230"/>
      <c r="L74" s="231"/>
      <c r="M74" s="232"/>
      <c r="N74" s="231"/>
      <c r="O74" s="232"/>
      <c r="P74" s="231"/>
      <c r="Q74" s="232"/>
      <c r="R74" s="231"/>
      <c r="S74" s="232"/>
      <c r="T74" s="231"/>
      <c r="U74" s="232"/>
      <c r="V74" s="230"/>
    </row>
    <row r="75" spans="3:22">
      <c r="F75" s="45">
        <v>260587</v>
      </c>
      <c r="J75" s="22"/>
    </row>
    <row r="76" spans="3:22">
      <c r="J76" s="22"/>
    </row>
    <row r="77" spans="3:22">
      <c r="J77" s="22"/>
    </row>
    <row r="78" spans="3:22">
      <c r="J78" s="22"/>
    </row>
    <row r="79" spans="3:22">
      <c r="J79" s="22"/>
    </row>
    <row r="80" spans="3:22">
      <c r="J80" s="22"/>
    </row>
    <row r="81" spans="10:10">
      <c r="J81" s="22"/>
    </row>
    <row r="82" spans="10:10">
      <c r="J82" s="22"/>
    </row>
    <row r="83" spans="10:10">
      <c r="J83" s="22"/>
    </row>
    <row r="84" spans="10:10">
      <c r="J84" s="22"/>
    </row>
    <row r="85" spans="10:10">
      <c r="J85" s="22"/>
    </row>
    <row r="86" spans="10:10">
      <c r="J86" s="22"/>
    </row>
    <row r="87" spans="10:10">
      <c r="J87" s="22"/>
    </row>
    <row r="88" spans="10:10">
      <c r="J88" s="22"/>
    </row>
    <row r="89" spans="10:10">
      <c r="J89" s="22"/>
    </row>
    <row r="90" spans="10:10">
      <c r="J90" s="22"/>
    </row>
    <row r="91" spans="10:10">
      <c r="J91" s="22"/>
    </row>
    <row r="92" spans="10:10">
      <c r="J92" s="22"/>
    </row>
    <row r="93" spans="10:10">
      <c r="J93" s="22"/>
    </row>
    <row r="94" spans="10:10">
      <c r="J94" s="22"/>
    </row>
    <row r="95" spans="10:10">
      <c r="J95" s="22"/>
    </row>
    <row r="96" spans="10:10">
      <c r="J96" s="22"/>
    </row>
    <row r="97" spans="10:10">
      <c r="J97" s="22"/>
    </row>
    <row r="98" spans="10:10">
      <c r="J98" s="22"/>
    </row>
    <row r="99" spans="10:10">
      <c r="J99" s="22"/>
    </row>
    <row r="100" spans="10:10">
      <c r="J100" s="22"/>
    </row>
    <row r="101" spans="10:10">
      <c r="J101" s="22"/>
    </row>
    <row r="102" spans="10:10">
      <c r="J102" s="22"/>
    </row>
    <row r="103" spans="10:10">
      <c r="J103" s="22"/>
    </row>
    <row r="104" spans="10:10">
      <c r="J104" s="22"/>
    </row>
    <row r="105" spans="10:10">
      <c r="J105" s="22"/>
    </row>
    <row r="106" spans="10:10">
      <c r="J106" s="22"/>
    </row>
    <row r="107" spans="10:10">
      <c r="J107" s="22"/>
    </row>
    <row r="108" spans="10:10">
      <c r="J108" s="22"/>
    </row>
    <row r="109" spans="10:10">
      <c r="J109" s="22"/>
    </row>
    <row r="110" spans="10:10">
      <c r="J110" s="22"/>
    </row>
    <row r="111" spans="10:10">
      <c r="J111" s="22"/>
    </row>
    <row r="112" spans="10:10">
      <c r="J112" s="22"/>
    </row>
    <row r="113" spans="10:10">
      <c r="J113" s="22"/>
    </row>
    <row r="114" spans="10:10">
      <c r="J114" s="22"/>
    </row>
    <row r="115" spans="10:10">
      <c r="J115" s="22"/>
    </row>
    <row r="116" spans="10:10">
      <c r="J116" s="22"/>
    </row>
    <row r="117" spans="10:10">
      <c r="J117" s="22"/>
    </row>
    <row r="118" spans="10:10">
      <c r="J118" s="22"/>
    </row>
    <row r="119" spans="10:10">
      <c r="J119" s="22"/>
    </row>
    <row r="120" spans="10:10">
      <c r="J120" s="22"/>
    </row>
    <row r="121" spans="10:10">
      <c r="J121" s="22"/>
    </row>
    <row r="122" spans="10:10">
      <c r="J122" s="22"/>
    </row>
    <row r="123" spans="10:10">
      <c r="J123" s="22"/>
    </row>
    <row r="124" spans="10:10">
      <c r="J124" s="22"/>
    </row>
    <row r="125" spans="10:10">
      <c r="J125" s="22"/>
    </row>
    <row r="126" spans="10:10">
      <c r="J126" s="22"/>
    </row>
    <row r="127" spans="10:10">
      <c r="J127" s="22"/>
    </row>
    <row r="128" spans="10:10">
      <c r="J128" s="22"/>
    </row>
    <row r="129" spans="10:10">
      <c r="J129" s="22"/>
    </row>
    <row r="130" spans="10:10">
      <c r="J130" s="22"/>
    </row>
    <row r="131" spans="10:10">
      <c r="J131" s="22"/>
    </row>
    <row r="132" spans="10:10">
      <c r="J132" s="22"/>
    </row>
    <row r="133" spans="10:10">
      <c r="J133" s="22"/>
    </row>
    <row r="134" spans="10:10">
      <c r="J134" s="22"/>
    </row>
    <row r="135" spans="10:10">
      <c r="J135" s="22"/>
    </row>
    <row r="136" spans="10:10">
      <c r="J136" s="22"/>
    </row>
    <row r="137" spans="10:10">
      <c r="J137" s="22"/>
    </row>
    <row r="138" spans="10:10">
      <c r="J138" s="22"/>
    </row>
    <row r="139" spans="10:10">
      <c r="J139" s="22"/>
    </row>
    <row r="140" spans="10:10">
      <c r="J140" s="22"/>
    </row>
    <row r="141" spans="10:10">
      <c r="J141" s="22"/>
    </row>
    <row r="142" spans="10:10">
      <c r="J142" s="22"/>
    </row>
    <row r="143" spans="10:10">
      <c r="J143" s="22"/>
    </row>
    <row r="144" spans="10:10">
      <c r="J144" s="22"/>
    </row>
    <row r="145" spans="10:10">
      <c r="J145" s="22"/>
    </row>
    <row r="146" spans="10:10">
      <c r="J146" s="22"/>
    </row>
    <row r="147" spans="10:10">
      <c r="J147" s="22"/>
    </row>
    <row r="148" spans="10:10">
      <c r="J148" s="22"/>
    </row>
    <row r="149" spans="10:10">
      <c r="J149" s="22"/>
    </row>
    <row r="150" spans="10:10">
      <c r="J150" s="22"/>
    </row>
    <row r="151" spans="10:10">
      <c r="J151" s="22"/>
    </row>
    <row r="152" spans="10:10">
      <c r="J152" s="22"/>
    </row>
    <row r="153" spans="10:10">
      <c r="J153" s="22"/>
    </row>
    <row r="154" spans="10:10">
      <c r="J154" s="22"/>
    </row>
    <row r="155" spans="10:10">
      <c r="J155" s="22"/>
    </row>
    <row r="156" spans="10:10">
      <c r="J156" s="22"/>
    </row>
    <row r="157" spans="10:10">
      <c r="J157" s="22"/>
    </row>
    <row r="158" spans="10:10">
      <c r="J158" s="22"/>
    </row>
  </sheetData>
  <pageMargins left="0.7" right="0.7" top="0.75" bottom="0.75" header="0.3" footer="0.3"/>
  <pageSetup fitToHeight="0"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086DF-446A-4BDF-A282-7D42429DE5E1}">
  <sheetPr>
    <pageSetUpPr autoPageBreaks="0"/>
  </sheetPr>
  <dimension ref="A1:W147"/>
  <sheetViews>
    <sheetView showGridLines="0" workbookViewId="0">
      <pane ySplit="1" topLeftCell="A2" activePane="bottomLeft" state="frozen"/>
      <selection pane="bottomLeft" activeCell="X1" sqref="X1"/>
      <selection activeCell="X1" sqref="X1"/>
    </sheetView>
  </sheetViews>
  <sheetFormatPr defaultColWidth="9.140625" defaultRowHeight="17.25" customHeight="1"/>
  <cols>
    <col min="1" max="1" width="31.5703125" style="22" customWidth="1"/>
    <col min="2" max="2" width="3.42578125" style="22" customWidth="1"/>
    <col min="3" max="3" width="12.7109375" style="48" customWidth="1"/>
    <col min="4" max="4" width="37.7109375" style="22" bestFit="1" customWidth="1"/>
    <col min="5" max="9" width="17.28515625" style="45" customWidth="1"/>
    <col min="10" max="10" width="5.7109375" style="46" customWidth="1"/>
    <col min="11" max="11" width="1.42578125" style="32" customWidth="1"/>
    <col min="12" max="23" width="13.85546875" style="48" customWidth="1"/>
    <col min="24" max="16384" width="9.140625" style="22"/>
  </cols>
  <sheetData>
    <row r="1" spans="1:23" s="30" customFormat="1" ht="17.25" customHeight="1" thickBot="1">
      <c r="C1" s="31"/>
      <c r="E1" s="42" t="s">
        <v>41080</v>
      </c>
      <c r="F1" s="42" t="s">
        <v>41081</v>
      </c>
      <c r="G1" s="42" t="s">
        <v>5266</v>
      </c>
      <c r="H1" s="42" t="s">
        <v>41082</v>
      </c>
      <c r="I1" s="42" t="s">
        <v>5174</v>
      </c>
      <c r="J1" s="43" t="s">
        <v>5175</v>
      </c>
      <c r="L1" s="31" t="s">
        <v>5176</v>
      </c>
      <c r="M1" s="31" t="s">
        <v>5177</v>
      </c>
      <c r="N1" s="31" t="s">
        <v>5178</v>
      </c>
      <c r="O1" s="31" t="s">
        <v>5179</v>
      </c>
      <c r="P1" s="31" t="s">
        <v>5180</v>
      </c>
      <c r="Q1" s="31" t="s">
        <v>5181</v>
      </c>
      <c r="R1" s="31" t="s">
        <v>5182</v>
      </c>
      <c r="S1" s="31" t="s">
        <v>5183</v>
      </c>
      <c r="T1" s="31" t="s">
        <v>5184</v>
      </c>
      <c r="U1" s="31" t="s">
        <v>5185</v>
      </c>
      <c r="V1" s="31" t="s">
        <v>2537</v>
      </c>
      <c r="W1" s="31" t="s">
        <v>3249</v>
      </c>
    </row>
    <row r="2" spans="1:23" ht="17.25" customHeight="1" thickBot="1">
      <c r="C2" s="65" t="s">
        <v>5186</v>
      </c>
      <c r="D2" s="66"/>
      <c r="E2" s="67"/>
      <c r="F2" s="67"/>
      <c r="G2" s="67"/>
      <c r="H2" s="67"/>
      <c r="I2" s="67"/>
      <c r="J2" s="68"/>
      <c r="K2" s="83"/>
      <c r="L2" s="84"/>
      <c r="M2" s="84"/>
      <c r="N2" s="84"/>
      <c r="O2" s="84"/>
      <c r="P2" s="84"/>
      <c r="Q2" s="84"/>
      <c r="R2" s="84"/>
      <c r="S2" s="84"/>
      <c r="T2" s="84"/>
      <c r="U2" s="84"/>
      <c r="V2" s="84"/>
      <c r="W2" s="86"/>
    </row>
    <row r="3" spans="1:23" ht="17.25" customHeight="1">
      <c r="A3" s="44" t="s">
        <v>5187</v>
      </c>
      <c r="C3" s="54" t="s">
        <v>5188</v>
      </c>
      <c r="D3" s="49"/>
      <c r="E3" s="81">
        <f>SUM(E4:E6)</f>
        <v>3828000</v>
      </c>
      <c r="F3" s="161"/>
      <c r="G3" s="50">
        <f>SUM(G4:G6)</f>
        <v>9271718.5930000022</v>
      </c>
      <c r="H3" s="57"/>
      <c r="I3" s="50"/>
      <c r="J3" s="61"/>
      <c r="K3" s="95"/>
      <c r="L3" s="91"/>
      <c r="M3" s="92"/>
      <c r="N3" s="93"/>
      <c r="O3" s="92"/>
      <c r="P3" s="93"/>
      <c r="Q3" s="92"/>
      <c r="R3" s="93"/>
      <c r="S3" s="92"/>
      <c r="T3" s="93"/>
      <c r="U3" s="92"/>
      <c r="V3" s="93"/>
      <c r="W3" s="94"/>
    </row>
    <row r="4" spans="1:23" ht="17.25" customHeight="1">
      <c r="A4" s="160">
        <f>E3</f>
        <v>3828000</v>
      </c>
      <c r="C4" s="2" t="s">
        <v>5189</v>
      </c>
      <c r="D4" s="22" t="s">
        <v>41077</v>
      </c>
      <c r="E4" s="80">
        <f>ESTATES!A4</f>
        <v>2828000</v>
      </c>
      <c r="F4" s="80"/>
      <c r="G4" s="45">
        <f>ESTATES!A8</f>
        <v>8765967.3430000022</v>
      </c>
      <c r="H4" s="58"/>
      <c r="J4" s="62"/>
      <c r="K4" s="95"/>
      <c r="L4" s="87"/>
      <c r="N4" s="8"/>
      <c r="P4" s="8"/>
      <c r="R4" s="8"/>
      <c r="T4" s="8"/>
      <c r="V4" s="8"/>
      <c r="W4" s="87"/>
    </row>
    <row r="5" spans="1:23" ht="17.25" customHeight="1">
      <c r="A5" s="47" t="s">
        <v>5191</v>
      </c>
      <c r="C5" s="2" t="s">
        <v>5192</v>
      </c>
      <c r="D5" s="22" t="s">
        <v>41083</v>
      </c>
      <c r="E5" s="80">
        <f>ANNUITIES!A6</f>
        <v>1000000</v>
      </c>
      <c r="F5" s="80"/>
      <c r="G5" s="45">
        <f>ANNUITIES!A8</f>
        <v>505751.25</v>
      </c>
      <c r="H5" s="58"/>
      <c r="J5" s="62"/>
      <c r="K5" s="95"/>
      <c r="L5" s="87"/>
      <c r="N5" s="8"/>
      <c r="P5" s="8"/>
      <c r="R5" s="8"/>
      <c r="T5" s="8"/>
      <c r="V5" s="8"/>
      <c r="W5" s="87"/>
    </row>
    <row r="6" spans="1:23" ht="17.25" customHeight="1" thickBot="1">
      <c r="A6" s="79">
        <f>G3</f>
        <v>9271718.5930000022</v>
      </c>
      <c r="C6" s="2" t="s">
        <v>5194</v>
      </c>
      <c r="D6" s="22" t="s">
        <v>5209</v>
      </c>
      <c r="E6" s="58"/>
      <c r="F6" s="60"/>
      <c r="H6" s="58"/>
      <c r="J6" s="62"/>
      <c r="K6" s="95"/>
      <c r="L6" s="87"/>
      <c r="N6" s="8"/>
      <c r="P6" s="8"/>
      <c r="R6" s="8"/>
      <c r="T6" s="8"/>
      <c r="V6" s="8"/>
      <c r="W6" s="87"/>
    </row>
    <row r="7" spans="1:23" ht="17.25" customHeight="1" thickBot="1">
      <c r="C7" s="69" t="s">
        <v>5210</v>
      </c>
      <c r="D7" s="70"/>
      <c r="E7" s="71"/>
      <c r="F7" s="71"/>
      <c r="G7" s="71"/>
      <c r="H7" s="71"/>
      <c r="I7" s="71"/>
      <c r="J7" s="72"/>
      <c r="L7" s="82"/>
      <c r="M7" s="82"/>
      <c r="N7" s="82"/>
      <c r="O7" s="82"/>
      <c r="P7" s="82"/>
      <c r="Q7" s="82"/>
      <c r="R7" s="82"/>
      <c r="S7" s="82"/>
      <c r="T7" s="82"/>
      <c r="U7" s="82"/>
      <c r="V7" s="82"/>
      <c r="W7" s="88"/>
    </row>
    <row r="8" spans="1:23" ht="17.25" customHeight="1" thickBot="1">
      <c r="C8" s="55" t="s">
        <v>5188</v>
      </c>
      <c r="D8" s="51"/>
      <c r="E8" s="59">
        <f>SUM(E9:E63)</f>
        <v>237652</v>
      </c>
      <c r="F8" s="162">
        <f>SUM(F9:F63)</f>
        <v>226481.24</v>
      </c>
      <c r="G8" s="52">
        <f>SUM(G9:G63)</f>
        <v>203952.10000000003</v>
      </c>
      <c r="H8" s="59">
        <f>SUM(H9:H63)</f>
        <v>0</v>
      </c>
      <c r="I8" s="52">
        <f>F8-G8</f>
        <v>22529.139999999956</v>
      </c>
      <c r="J8" s="63"/>
      <c r="K8" s="95"/>
      <c r="L8" s="91"/>
      <c r="M8" s="92"/>
      <c r="N8" s="93"/>
      <c r="O8" s="92"/>
      <c r="P8" s="93"/>
      <c r="Q8" s="92"/>
      <c r="R8" s="93"/>
      <c r="S8" s="92"/>
      <c r="T8" s="93"/>
      <c r="U8" s="92"/>
      <c r="V8" s="93"/>
      <c r="W8" s="94"/>
    </row>
    <row r="9" spans="1:23" ht="17.25" customHeight="1">
      <c r="A9" s="44" t="s">
        <v>5200</v>
      </c>
      <c r="C9" s="2">
        <v>51000</v>
      </c>
      <c r="D9" s="22" t="s">
        <v>5211</v>
      </c>
      <c r="E9" s="58">
        <v>19000</v>
      </c>
      <c r="F9" s="58">
        <v>14600</v>
      </c>
      <c r="G9" s="45">
        <v>16235</v>
      </c>
      <c r="H9" s="58">
        <v>0</v>
      </c>
      <c r="I9" s="45">
        <f>F9-G9</f>
        <v>-1635</v>
      </c>
      <c r="J9" s="62"/>
      <c r="K9" s="95"/>
      <c r="L9" s="87"/>
      <c r="N9" s="8"/>
      <c r="P9" s="8"/>
      <c r="R9" s="8"/>
      <c r="T9" s="8"/>
      <c r="V9" s="8"/>
      <c r="W9" s="87"/>
    </row>
    <row r="10" spans="1:23" ht="17.25" customHeight="1">
      <c r="A10" s="73">
        <f>E8</f>
        <v>237652</v>
      </c>
      <c r="C10" s="2">
        <v>51100</v>
      </c>
      <c r="D10" s="22" t="s">
        <v>5212</v>
      </c>
      <c r="E10" s="58">
        <v>2000</v>
      </c>
      <c r="F10" s="58">
        <v>1000</v>
      </c>
      <c r="G10" s="45">
        <v>0</v>
      </c>
      <c r="H10" s="58">
        <v>0</v>
      </c>
      <c r="I10" s="45">
        <f>F10-G10</f>
        <v>1000</v>
      </c>
      <c r="J10" s="62"/>
      <c r="K10" s="95"/>
      <c r="L10" s="87"/>
      <c r="N10" s="8"/>
      <c r="P10" s="8"/>
      <c r="R10" s="8"/>
      <c r="T10" s="8"/>
      <c r="V10" s="8"/>
      <c r="W10" s="87"/>
    </row>
    <row r="11" spans="1:23" ht="17.25" customHeight="1">
      <c r="A11" s="47" t="s">
        <v>5205</v>
      </c>
      <c r="C11" s="2">
        <v>51200</v>
      </c>
      <c r="D11" s="22" t="s">
        <v>5213</v>
      </c>
      <c r="E11" s="58"/>
      <c r="F11" s="58">
        <v>1835</v>
      </c>
      <c r="G11" s="45">
        <v>1835</v>
      </c>
      <c r="H11" s="58"/>
      <c r="J11" s="62"/>
      <c r="K11" s="95"/>
      <c r="L11" s="87"/>
      <c r="N11" s="8"/>
      <c r="P11" s="8"/>
      <c r="R11" s="8"/>
      <c r="T11" s="8"/>
      <c r="V11" s="8"/>
      <c r="W11" s="87"/>
    </row>
    <row r="12" spans="1:23" ht="17.25" customHeight="1" thickBot="1">
      <c r="A12" s="79">
        <f>G8</f>
        <v>203952.10000000003</v>
      </c>
      <c r="C12" s="2">
        <v>51300</v>
      </c>
      <c r="D12" s="22" t="s">
        <v>5214</v>
      </c>
      <c r="E12" s="58">
        <v>8000</v>
      </c>
      <c r="F12" s="58">
        <v>0</v>
      </c>
      <c r="G12" s="45">
        <v>0</v>
      </c>
      <c r="H12" s="58">
        <v>0</v>
      </c>
      <c r="I12" s="45">
        <f>F12-G12</f>
        <v>0</v>
      </c>
      <c r="J12" s="62"/>
      <c r="K12" s="95"/>
      <c r="L12" s="87"/>
      <c r="N12" s="8"/>
      <c r="P12" s="8"/>
      <c r="R12" s="8"/>
      <c r="T12" s="8"/>
      <c r="V12" s="8"/>
      <c r="W12" s="87"/>
    </row>
    <row r="13" spans="1:23" ht="17.25" customHeight="1">
      <c r="C13" s="2">
        <v>51400</v>
      </c>
      <c r="D13" s="22" t="s">
        <v>5215</v>
      </c>
      <c r="E13" s="58"/>
      <c r="F13" s="58"/>
      <c r="H13" s="58"/>
      <c r="J13" s="62"/>
      <c r="K13" s="95"/>
      <c r="L13" s="87"/>
      <c r="N13" s="8"/>
      <c r="P13" s="8"/>
      <c r="R13" s="8"/>
      <c r="T13" s="8"/>
      <c r="V13" s="8"/>
      <c r="W13" s="87"/>
    </row>
    <row r="14" spans="1:23" ht="17.25" customHeight="1">
      <c r="C14" s="2">
        <v>51500</v>
      </c>
      <c r="D14" s="22" t="s">
        <v>5216</v>
      </c>
      <c r="E14" s="58">
        <v>0</v>
      </c>
      <c r="F14" s="58">
        <v>35000</v>
      </c>
      <c r="G14" s="45">
        <v>27067.5</v>
      </c>
      <c r="H14" s="58">
        <v>0</v>
      </c>
      <c r="I14" s="45">
        <f>SUM(F14-G14)</f>
        <v>7932.5</v>
      </c>
      <c r="J14" s="62"/>
      <c r="K14" s="95"/>
      <c r="L14" s="87"/>
      <c r="N14" s="8"/>
      <c r="P14" s="8"/>
      <c r="R14" s="8"/>
      <c r="T14" s="8"/>
      <c r="V14" s="8"/>
      <c r="W14" s="87"/>
    </row>
    <row r="15" spans="1:23" ht="17.25" customHeight="1">
      <c r="C15" s="2">
        <v>51600</v>
      </c>
      <c r="D15" s="22" t="s">
        <v>5217</v>
      </c>
      <c r="E15" s="58"/>
      <c r="F15" s="58"/>
      <c r="H15" s="58"/>
      <c r="J15" s="62"/>
      <c r="K15" s="95"/>
      <c r="L15" s="87"/>
      <c r="N15" s="8"/>
      <c r="P15" s="8"/>
      <c r="R15" s="8"/>
      <c r="T15" s="8"/>
      <c r="V15" s="8"/>
      <c r="W15" s="87"/>
    </row>
    <row r="16" spans="1:23" ht="17.25" customHeight="1">
      <c r="C16" s="2">
        <v>51700</v>
      </c>
      <c r="D16" s="22" t="s">
        <v>5218</v>
      </c>
      <c r="E16" s="58"/>
      <c r="F16" s="58"/>
      <c r="H16" s="58"/>
      <c r="J16" s="62"/>
      <c r="K16" s="95"/>
      <c r="L16" s="87"/>
      <c r="N16" s="8"/>
      <c r="P16" s="8"/>
      <c r="R16" s="8"/>
      <c r="T16" s="8"/>
      <c r="V16" s="8"/>
      <c r="W16" s="87"/>
    </row>
    <row r="17" spans="3:23" ht="17.25" customHeight="1">
      <c r="C17" s="2">
        <v>51800</v>
      </c>
      <c r="D17" s="22" t="s">
        <v>5219</v>
      </c>
      <c r="E17" s="58">
        <v>1000</v>
      </c>
      <c r="F17" s="58">
        <v>2550</v>
      </c>
      <c r="G17" s="45">
        <v>3420</v>
      </c>
      <c r="H17" s="58">
        <v>0</v>
      </c>
      <c r="I17" s="45">
        <f>F17-G17</f>
        <v>-870</v>
      </c>
      <c r="J17" s="62"/>
      <c r="K17" s="95"/>
      <c r="L17" s="87"/>
      <c r="N17" s="8"/>
      <c r="P17" s="8"/>
      <c r="R17" s="8"/>
      <c r="T17" s="8"/>
      <c r="V17" s="8"/>
      <c r="W17" s="87"/>
    </row>
    <row r="18" spans="3:23" ht="17.25" customHeight="1">
      <c r="C18" s="2">
        <v>51850</v>
      </c>
      <c r="D18" s="208" t="s">
        <v>41084</v>
      </c>
      <c r="E18" s="209"/>
      <c r="F18" s="209">
        <v>21788</v>
      </c>
      <c r="G18" s="210">
        <v>938</v>
      </c>
      <c r="H18" s="209"/>
      <c r="I18" s="210">
        <f>F18-G18</f>
        <v>20850</v>
      </c>
      <c r="J18" s="62"/>
      <c r="K18" s="95"/>
      <c r="L18" s="87"/>
      <c r="N18" s="8"/>
      <c r="P18" s="8"/>
      <c r="R18" s="8"/>
      <c r="T18" s="8"/>
      <c r="V18" s="8"/>
      <c r="W18" s="87"/>
    </row>
    <row r="19" spans="3:23" ht="17.25" customHeight="1">
      <c r="C19" s="2">
        <v>52000</v>
      </c>
      <c r="D19" s="22" t="s">
        <v>5221</v>
      </c>
      <c r="E19" s="58"/>
      <c r="F19" s="58"/>
      <c r="H19" s="58"/>
      <c r="J19" s="62"/>
      <c r="K19" s="95"/>
      <c r="L19" s="87"/>
      <c r="N19" s="8"/>
      <c r="P19" s="8"/>
      <c r="R19" s="8"/>
      <c r="T19" s="8"/>
      <c r="V19" s="8"/>
      <c r="W19" s="87"/>
    </row>
    <row r="20" spans="3:23" ht="17.25" customHeight="1">
      <c r="C20" s="2">
        <v>52100</v>
      </c>
      <c r="D20" s="22" t="s">
        <v>5222</v>
      </c>
      <c r="E20" s="58">
        <v>500</v>
      </c>
      <c r="F20" s="58">
        <v>0</v>
      </c>
      <c r="G20" s="45">
        <v>0</v>
      </c>
      <c r="H20" s="58">
        <v>0</v>
      </c>
      <c r="I20" s="45">
        <f>F20-G20</f>
        <v>0</v>
      </c>
      <c r="J20" s="62"/>
      <c r="K20" s="95"/>
      <c r="L20" s="87"/>
      <c r="N20" s="8"/>
      <c r="P20" s="8"/>
      <c r="R20" s="8"/>
      <c r="T20" s="8"/>
      <c r="V20" s="8"/>
      <c r="W20" s="87"/>
    </row>
    <row r="21" spans="3:23" ht="17.25" customHeight="1">
      <c r="C21" s="2">
        <v>52200</v>
      </c>
      <c r="D21" s="22" t="s">
        <v>5223</v>
      </c>
      <c r="E21" s="58"/>
      <c r="F21" s="58"/>
      <c r="H21" s="58"/>
      <c r="J21" s="62"/>
      <c r="K21" s="95"/>
      <c r="L21" s="87"/>
      <c r="N21" s="8"/>
      <c r="P21" s="8"/>
      <c r="R21" s="8"/>
      <c r="T21" s="8"/>
      <c r="V21" s="8"/>
      <c r="W21" s="87"/>
    </row>
    <row r="22" spans="3:23" ht="17.25" customHeight="1">
      <c r="C22" s="2">
        <v>52300</v>
      </c>
      <c r="D22" s="22" t="s">
        <v>5224</v>
      </c>
      <c r="E22" s="58"/>
      <c r="F22" s="58"/>
      <c r="H22" s="58"/>
      <c r="J22" s="62"/>
      <c r="K22" s="95"/>
      <c r="L22" s="87"/>
      <c r="N22" s="8"/>
      <c r="P22" s="8"/>
      <c r="R22" s="8"/>
      <c r="T22" s="8"/>
      <c r="V22" s="8"/>
      <c r="W22" s="87"/>
    </row>
    <row r="23" spans="3:23" ht="17.25" customHeight="1">
      <c r="C23" s="2">
        <v>53000</v>
      </c>
      <c r="D23" s="22" t="s">
        <v>5225</v>
      </c>
      <c r="E23" s="58">
        <v>500</v>
      </c>
      <c r="F23" s="58">
        <v>300</v>
      </c>
      <c r="G23" s="45">
        <v>265.11</v>
      </c>
      <c r="H23" s="58">
        <v>0</v>
      </c>
      <c r="I23" s="45">
        <f>F23-G23</f>
        <v>34.889999999999986</v>
      </c>
      <c r="J23" s="62"/>
      <c r="K23" s="95"/>
      <c r="L23" s="87"/>
      <c r="N23" s="8"/>
      <c r="P23" s="8"/>
      <c r="R23" s="8"/>
      <c r="T23" s="8"/>
      <c r="V23" s="8"/>
      <c r="W23" s="87"/>
    </row>
    <row r="24" spans="3:23" ht="17.25" customHeight="1">
      <c r="C24" s="2">
        <v>53100</v>
      </c>
      <c r="D24" s="22" t="s">
        <v>5226</v>
      </c>
      <c r="E24" s="58"/>
      <c r="F24" s="58"/>
      <c r="H24" s="58"/>
      <c r="J24" s="62"/>
      <c r="K24" s="95"/>
      <c r="L24" s="87"/>
      <c r="N24" s="8"/>
      <c r="P24" s="8"/>
      <c r="R24" s="8"/>
      <c r="T24" s="8"/>
      <c r="V24" s="8"/>
      <c r="W24" s="87"/>
    </row>
    <row r="25" spans="3:23" ht="17.25" customHeight="1">
      <c r="C25" s="2">
        <v>53200</v>
      </c>
      <c r="D25" s="22" t="s">
        <v>5227</v>
      </c>
      <c r="E25" s="58"/>
      <c r="F25" s="58"/>
      <c r="G25" s="45">
        <v>33</v>
      </c>
      <c r="H25" s="58">
        <v>0</v>
      </c>
      <c r="I25" s="45">
        <f>F25-G25</f>
        <v>-33</v>
      </c>
      <c r="J25" s="62"/>
      <c r="K25" s="95"/>
      <c r="L25" s="87"/>
      <c r="N25" s="8"/>
      <c r="P25" s="8"/>
      <c r="R25" s="8"/>
      <c r="T25" s="8"/>
      <c r="V25" s="8"/>
      <c r="W25" s="87"/>
    </row>
    <row r="26" spans="3:23" ht="17.25" customHeight="1">
      <c r="C26" s="2">
        <v>53300</v>
      </c>
      <c r="D26" s="22" t="s">
        <v>5228</v>
      </c>
      <c r="E26" s="58"/>
      <c r="F26" s="58">
        <v>591.24</v>
      </c>
      <c r="G26" s="45">
        <v>408</v>
      </c>
      <c r="H26" s="58"/>
      <c r="I26" s="45">
        <f>F26-G26</f>
        <v>183.24</v>
      </c>
      <c r="J26" s="62"/>
      <c r="K26" s="95"/>
      <c r="L26" s="87"/>
      <c r="N26" s="8"/>
      <c r="P26" s="8"/>
      <c r="R26" s="8"/>
      <c r="T26" s="8"/>
      <c r="V26" s="8"/>
      <c r="W26" s="87"/>
    </row>
    <row r="27" spans="3:23" ht="17.25" customHeight="1">
      <c r="C27" s="2">
        <v>54000</v>
      </c>
      <c r="D27" s="22" t="s">
        <v>5229</v>
      </c>
      <c r="E27" s="58"/>
      <c r="F27" s="58"/>
      <c r="H27" s="58"/>
      <c r="J27" s="62"/>
      <c r="K27" s="95"/>
      <c r="L27" s="87"/>
      <c r="N27" s="8"/>
      <c r="P27" s="8"/>
      <c r="R27" s="8"/>
      <c r="T27" s="8"/>
      <c r="V27" s="8"/>
      <c r="W27" s="87"/>
    </row>
    <row r="28" spans="3:23" ht="17.25" customHeight="1">
      <c r="C28" s="2">
        <v>55000</v>
      </c>
      <c r="D28" s="22" t="s">
        <v>5230</v>
      </c>
      <c r="E28" s="58">
        <v>5000</v>
      </c>
      <c r="F28" s="58">
        <v>2500</v>
      </c>
      <c r="G28" s="45">
        <v>2011.91</v>
      </c>
      <c r="H28" s="58">
        <v>0</v>
      </c>
      <c r="I28" s="45">
        <f>F28-G28</f>
        <v>488.08999999999992</v>
      </c>
      <c r="J28" s="62"/>
      <c r="K28" s="95"/>
      <c r="L28" s="87"/>
      <c r="N28" s="8"/>
      <c r="P28" s="8"/>
      <c r="R28" s="8"/>
      <c r="T28" s="8"/>
      <c r="V28" s="8"/>
      <c r="W28" s="87"/>
    </row>
    <row r="29" spans="3:23" ht="17.25" customHeight="1">
      <c r="C29" s="2">
        <v>55100</v>
      </c>
      <c r="D29" s="22" t="s">
        <v>5231</v>
      </c>
      <c r="E29" s="58">
        <v>24000</v>
      </c>
      <c r="F29" s="58">
        <v>24500</v>
      </c>
      <c r="G29" s="45">
        <v>26670.400000000001</v>
      </c>
      <c r="H29" s="58">
        <v>0</v>
      </c>
      <c r="I29" s="45">
        <f>F29-G29</f>
        <v>-2170.4000000000015</v>
      </c>
      <c r="J29" s="62"/>
      <c r="K29" s="95"/>
      <c r="L29" s="87"/>
      <c r="N29" s="8"/>
      <c r="P29" s="8"/>
      <c r="R29" s="8"/>
      <c r="T29" s="8"/>
      <c r="V29" s="8"/>
      <c r="W29" s="87"/>
    </row>
    <row r="30" spans="3:23" ht="17.25" customHeight="1">
      <c r="C30" s="2">
        <v>55200</v>
      </c>
      <c r="D30" s="22" t="s">
        <v>5232</v>
      </c>
      <c r="E30" s="58"/>
      <c r="F30" s="58"/>
      <c r="H30" s="58"/>
      <c r="J30" s="62"/>
      <c r="K30" s="95"/>
      <c r="L30" s="87"/>
      <c r="N30" s="8"/>
      <c r="P30" s="8"/>
      <c r="R30" s="8"/>
      <c r="T30" s="8"/>
      <c r="V30" s="8"/>
      <c r="W30" s="87"/>
    </row>
    <row r="31" spans="3:23" ht="17.25" customHeight="1">
      <c r="C31" s="2">
        <v>55300</v>
      </c>
      <c r="D31" s="22" t="s">
        <v>5233</v>
      </c>
      <c r="E31" s="58">
        <v>500</v>
      </c>
      <c r="F31" s="58">
        <v>500</v>
      </c>
      <c r="G31" s="45">
        <v>627.58000000000004</v>
      </c>
      <c r="H31" s="58">
        <v>0</v>
      </c>
      <c r="I31" s="45">
        <f>F31-G31</f>
        <v>-127.58000000000004</v>
      </c>
      <c r="J31" s="62"/>
      <c r="K31" s="95"/>
      <c r="L31" s="87"/>
      <c r="N31" s="8"/>
      <c r="P31" s="8"/>
      <c r="R31" s="8"/>
      <c r="T31" s="8"/>
      <c r="V31" s="8"/>
      <c r="W31" s="87"/>
    </row>
    <row r="32" spans="3:23" ht="17.25" customHeight="1">
      <c r="C32" s="2">
        <v>56000</v>
      </c>
      <c r="D32" s="22" t="s">
        <v>5234</v>
      </c>
      <c r="E32" s="58">
        <v>85000</v>
      </c>
      <c r="F32" s="58">
        <v>55649</v>
      </c>
      <c r="G32" s="45">
        <v>62100.13</v>
      </c>
      <c r="H32" s="58">
        <v>0</v>
      </c>
      <c r="I32" s="45">
        <f>F32-G32</f>
        <v>-6451.1299999999974</v>
      </c>
      <c r="J32" s="62"/>
      <c r="K32" s="95"/>
      <c r="L32" s="87"/>
      <c r="N32" s="8"/>
      <c r="P32" s="8"/>
      <c r="R32" s="8"/>
      <c r="T32" s="8"/>
      <c r="V32" s="8"/>
      <c r="W32" s="87"/>
    </row>
    <row r="33" spans="3:23" ht="17.25" customHeight="1">
      <c r="C33" s="2">
        <v>56100</v>
      </c>
      <c r="D33" s="22" t="s">
        <v>5235</v>
      </c>
      <c r="E33" s="58"/>
      <c r="F33" s="58"/>
      <c r="G33" s="45">
        <v>450</v>
      </c>
      <c r="H33" s="58"/>
      <c r="J33" s="62"/>
      <c r="K33" s="95"/>
      <c r="L33" s="87"/>
      <c r="N33" s="8"/>
      <c r="P33" s="8"/>
      <c r="R33" s="8"/>
      <c r="T33" s="8"/>
      <c r="V33" s="8"/>
      <c r="W33" s="87"/>
    </row>
    <row r="34" spans="3:23" ht="17.25" customHeight="1">
      <c r="C34" s="2">
        <v>56500</v>
      </c>
      <c r="D34" s="22" t="s">
        <v>5236</v>
      </c>
      <c r="E34" s="58">
        <v>24000</v>
      </c>
      <c r="F34" s="58">
        <v>24000</v>
      </c>
      <c r="G34" s="45">
        <v>24000</v>
      </c>
      <c r="H34" s="58">
        <v>0</v>
      </c>
      <c r="I34" s="45">
        <f>F34-G34</f>
        <v>0</v>
      </c>
      <c r="J34" s="62"/>
      <c r="K34" s="95"/>
      <c r="L34" s="87"/>
      <c r="N34" s="8"/>
      <c r="P34" s="8"/>
      <c r="R34" s="8"/>
      <c r="T34" s="8"/>
      <c r="V34" s="8"/>
      <c r="W34" s="87"/>
    </row>
    <row r="35" spans="3:23" ht="17.25" customHeight="1">
      <c r="C35" s="2">
        <v>57100</v>
      </c>
      <c r="D35" s="22" t="s">
        <v>41079</v>
      </c>
      <c r="E35" s="58">
        <v>20000</v>
      </c>
      <c r="F35" s="58">
        <v>0</v>
      </c>
      <c r="G35" s="45">
        <v>0</v>
      </c>
      <c r="H35" s="58">
        <v>0</v>
      </c>
      <c r="I35" s="45">
        <f>F35-G35</f>
        <v>0</v>
      </c>
      <c r="J35" s="62"/>
      <c r="K35" s="95"/>
      <c r="L35" s="87"/>
      <c r="N35" s="8"/>
      <c r="P35" s="8"/>
      <c r="R35" s="8"/>
      <c r="T35" s="8"/>
      <c r="V35" s="8"/>
      <c r="W35" s="87"/>
    </row>
    <row r="36" spans="3:23" ht="17.25" customHeight="1">
      <c r="C36" s="2">
        <v>57200</v>
      </c>
      <c r="D36" s="22" t="s">
        <v>5238</v>
      </c>
      <c r="E36" s="58">
        <v>1000</v>
      </c>
      <c r="F36" s="58">
        <v>900</v>
      </c>
      <c r="G36" s="45">
        <v>3479.75</v>
      </c>
      <c r="H36" s="58">
        <v>0</v>
      </c>
      <c r="I36" s="45">
        <f>F36-G36</f>
        <v>-2579.75</v>
      </c>
      <c r="J36" s="62"/>
      <c r="K36" s="95"/>
      <c r="L36" s="87"/>
      <c r="N36" s="8"/>
      <c r="P36" s="8"/>
      <c r="R36" s="8"/>
      <c r="T36" s="8"/>
      <c r="V36" s="8"/>
      <c r="W36" s="87"/>
    </row>
    <row r="37" spans="3:23" ht="17.25" customHeight="1">
      <c r="C37" s="2">
        <v>58000</v>
      </c>
      <c r="D37" s="22" t="s">
        <v>5239</v>
      </c>
      <c r="E37" s="58"/>
      <c r="F37" s="58"/>
      <c r="H37" s="58"/>
      <c r="J37" s="62"/>
      <c r="K37" s="95"/>
      <c r="L37" s="87"/>
      <c r="N37" s="8"/>
      <c r="P37" s="8"/>
      <c r="R37" s="8"/>
      <c r="T37" s="8"/>
      <c r="V37" s="8"/>
      <c r="W37" s="87"/>
    </row>
    <row r="38" spans="3:23" ht="17.25" customHeight="1">
      <c r="C38" s="2">
        <v>58100</v>
      </c>
      <c r="D38" s="22" t="s">
        <v>5240</v>
      </c>
      <c r="E38" s="58"/>
      <c r="F38" s="58"/>
      <c r="H38" s="58"/>
      <c r="J38" s="62"/>
      <c r="K38" s="95"/>
      <c r="L38" s="87"/>
      <c r="N38" s="8"/>
      <c r="P38" s="8"/>
      <c r="R38" s="8"/>
      <c r="T38" s="8"/>
      <c r="V38" s="8"/>
      <c r="W38" s="87"/>
    </row>
    <row r="39" spans="3:23" ht="17.25" customHeight="1">
      <c r="C39" s="2">
        <v>58200</v>
      </c>
      <c r="D39" s="22" t="s">
        <v>5241</v>
      </c>
      <c r="E39" s="58"/>
      <c r="F39" s="58"/>
      <c r="H39" s="58"/>
      <c r="J39" s="62"/>
      <c r="K39" s="95"/>
      <c r="L39" s="87"/>
      <c r="N39" s="8"/>
      <c r="P39" s="8"/>
      <c r="R39" s="8"/>
      <c r="T39" s="8"/>
      <c r="V39" s="8"/>
      <c r="W39" s="87"/>
    </row>
    <row r="40" spans="3:23" ht="17.25" customHeight="1">
      <c r="C40" s="2">
        <v>58300</v>
      </c>
      <c r="D40" s="22" t="s">
        <v>5242</v>
      </c>
      <c r="E40" s="58">
        <v>0</v>
      </c>
      <c r="F40" s="58">
        <v>436</v>
      </c>
      <c r="G40" s="45">
        <v>436</v>
      </c>
      <c r="H40" s="58">
        <v>0</v>
      </c>
      <c r="I40" s="45">
        <f t="shared" ref="I40:I47" si="0">F40-G40</f>
        <v>0</v>
      </c>
      <c r="J40" s="62"/>
      <c r="K40" s="95"/>
      <c r="L40" s="87"/>
      <c r="N40" s="8"/>
      <c r="P40" s="8"/>
      <c r="R40" s="8"/>
      <c r="T40" s="8"/>
      <c r="V40" s="8"/>
      <c r="W40" s="87"/>
    </row>
    <row r="41" spans="3:23" ht="17.25" customHeight="1">
      <c r="C41" s="2">
        <v>59100</v>
      </c>
      <c r="D41" s="22" t="s">
        <v>41085</v>
      </c>
      <c r="E41" s="58">
        <v>1100</v>
      </c>
      <c r="F41" s="58">
        <v>500</v>
      </c>
      <c r="G41" s="45">
        <v>0</v>
      </c>
      <c r="H41" s="58">
        <v>0</v>
      </c>
      <c r="I41" s="45">
        <f t="shared" si="0"/>
        <v>500</v>
      </c>
      <c r="J41" s="62"/>
      <c r="K41" s="95"/>
      <c r="L41" s="87"/>
      <c r="N41" s="8"/>
      <c r="P41" s="8"/>
      <c r="R41" s="8"/>
      <c r="T41" s="8"/>
      <c r="V41" s="8"/>
      <c r="W41" s="87"/>
    </row>
    <row r="42" spans="3:23" ht="17.25" customHeight="1">
      <c r="C42" s="2">
        <v>59110</v>
      </c>
      <c r="D42" s="22" t="s">
        <v>41086</v>
      </c>
      <c r="E42" s="58">
        <v>0</v>
      </c>
      <c r="F42" s="58">
        <v>0</v>
      </c>
      <c r="G42" s="45">
        <v>581.23</v>
      </c>
      <c r="H42" s="58">
        <v>0</v>
      </c>
      <c r="J42" s="62"/>
      <c r="K42" s="95"/>
      <c r="L42" s="87"/>
      <c r="N42" s="8"/>
      <c r="P42" s="8"/>
      <c r="R42" s="8"/>
      <c r="T42" s="8"/>
      <c r="V42" s="8"/>
      <c r="W42" s="87"/>
    </row>
    <row r="43" spans="3:23" ht="17.25" customHeight="1">
      <c r="C43" s="2">
        <v>59120</v>
      </c>
      <c r="D43" s="22" t="s">
        <v>5244</v>
      </c>
      <c r="E43" s="58">
        <v>3000</v>
      </c>
      <c r="F43" s="58">
        <v>0</v>
      </c>
      <c r="G43" s="45">
        <v>0</v>
      </c>
      <c r="H43" s="58">
        <v>0</v>
      </c>
      <c r="I43" s="45">
        <f t="shared" si="0"/>
        <v>0</v>
      </c>
      <c r="J43" s="62"/>
      <c r="K43" s="95"/>
      <c r="L43" s="87"/>
      <c r="N43" s="8"/>
      <c r="P43" s="8"/>
      <c r="R43" s="8"/>
      <c r="T43" s="8"/>
      <c r="V43" s="8"/>
      <c r="W43" s="87"/>
    </row>
    <row r="44" spans="3:23" ht="17.25" customHeight="1">
      <c r="C44" s="2">
        <v>59130</v>
      </c>
      <c r="D44" s="22" t="s">
        <v>5245</v>
      </c>
      <c r="E44" s="58">
        <v>3000</v>
      </c>
      <c r="F44" s="58">
        <v>0</v>
      </c>
      <c r="G44" s="45">
        <v>0</v>
      </c>
      <c r="H44" s="58">
        <v>0</v>
      </c>
      <c r="I44" s="45">
        <f t="shared" si="0"/>
        <v>0</v>
      </c>
      <c r="J44" s="62"/>
      <c r="K44" s="95"/>
      <c r="L44" s="87"/>
      <c r="N44" s="8"/>
      <c r="P44" s="8"/>
      <c r="R44" s="8"/>
      <c r="T44" s="8"/>
      <c r="V44" s="8"/>
      <c r="W44" s="87"/>
    </row>
    <row r="45" spans="3:23" ht="17.25" customHeight="1">
      <c r="C45" s="2">
        <v>59140</v>
      </c>
      <c r="D45" s="22" t="s">
        <v>5246</v>
      </c>
      <c r="E45" s="58">
        <v>500</v>
      </c>
      <c r="F45" s="58">
        <v>25</v>
      </c>
      <c r="G45" s="45">
        <v>5</v>
      </c>
      <c r="H45" s="58">
        <v>0</v>
      </c>
      <c r="I45" s="45">
        <f t="shared" si="0"/>
        <v>20</v>
      </c>
      <c r="J45" s="62"/>
      <c r="K45" s="95"/>
      <c r="L45" s="87"/>
      <c r="N45" s="8"/>
      <c r="P45" s="8"/>
      <c r="R45" s="8"/>
      <c r="T45" s="8"/>
      <c r="V45" s="8"/>
      <c r="W45" s="87"/>
    </row>
    <row r="46" spans="3:23" ht="17.25" customHeight="1">
      <c r="C46" s="2">
        <v>59150</v>
      </c>
      <c r="D46" s="22" t="s">
        <v>5247</v>
      </c>
      <c r="E46" s="58">
        <v>1300</v>
      </c>
      <c r="F46" s="58">
        <v>0</v>
      </c>
      <c r="G46" s="45">
        <v>0</v>
      </c>
      <c r="H46" s="58">
        <v>0</v>
      </c>
      <c r="I46" s="45">
        <f t="shared" si="0"/>
        <v>0</v>
      </c>
      <c r="J46" s="62"/>
      <c r="K46" s="95"/>
      <c r="L46" s="87"/>
      <c r="N46" s="8"/>
      <c r="P46" s="8"/>
      <c r="R46" s="8"/>
      <c r="T46" s="8"/>
      <c r="V46" s="8"/>
      <c r="W46" s="87"/>
    </row>
    <row r="47" spans="3:23" ht="17.25" customHeight="1">
      <c r="C47" s="2">
        <v>59160</v>
      </c>
      <c r="D47" s="22" t="s">
        <v>5248</v>
      </c>
      <c r="E47" s="58">
        <v>500</v>
      </c>
      <c r="F47" s="58">
        <v>70</v>
      </c>
      <c r="G47" s="45">
        <v>81.33</v>
      </c>
      <c r="H47" s="58">
        <v>0</v>
      </c>
      <c r="I47" s="45">
        <f t="shared" si="0"/>
        <v>-11.329999999999998</v>
      </c>
      <c r="J47" s="62"/>
      <c r="K47" s="95"/>
      <c r="L47" s="87"/>
      <c r="N47" s="8"/>
      <c r="P47" s="8"/>
      <c r="R47" s="8"/>
      <c r="T47" s="8"/>
      <c r="V47" s="8"/>
      <c r="W47" s="87"/>
    </row>
    <row r="48" spans="3:23" ht="17.25" customHeight="1">
      <c r="C48" s="2">
        <v>59200</v>
      </c>
      <c r="D48" s="22" t="s">
        <v>5250</v>
      </c>
      <c r="E48" s="58"/>
      <c r="F48" s="58">
        <v>1645</v>
      </c>
      <c r="G48" s="45">
        <v>1645</v>
      </c>
      <c r="H48" s="58"/>
      <c r="I48" s="45">
        <f>F48-G48</f>
        <v>0</v>
      </c>
      <c r="J48" s="62"/>
      <c r="K48" s="95"/>
      <c r="L48" s="87"/>
      <c r="N48" s="8"/>
      <c r="P48" s="8"/>
      <c r="R48" s="8"/>
      <c r="T48" s="8"/>
      <c r="V48" s="8"/>
      <c r="W48" s="87"/>
    </row>
    <row r="49" spans="3:23" ht="17.25" customHeight="1">
      <c r="C49" s="2">
        <v>59300</v>
      </c>
      <c r="D49" s="22" t="s">
        <v>5251</v>
      </c>
      <c r="E49" s="58"/>
      <c r="F49" s="58"/>
      <c r="H49" s="58"/>
      <c r="J49" s="62"/>
      <c r="K49" s="95"/>
      <c r="L49" s="87"/>
      <c r="N49" s="8"/>
      <c r="P49" s="8"/>
      <c r="R49" s="8"/>
      <c r="T49" s="8"/>
      <c r="V49" s="8"/>
      <c r="W49" s="87"/>
    </row>
    <row r="50" spans="3:23" ht="17.25" customHeight="1">
      <c r="C50" s="2">
        <v>59500</v>
      </c>
      <c r="D50" s="22" t="s">
        <v>5252</v>
      </c>
      <c r="E50" s="58"/>
      <c r="F50" s="58"/>
      <c r="H50" s="58"/>
      <c r="J50" s="62"/>
      <c r="K50" s="95"/>
      <c r="L50" s="87"/>
      <c r="N50" s="8"/>
      <c r="P50" s="8"/>
      <c r="R50" s="8"/>
      <c r="T50" s="8"/>
      <c r="V50" s="8"/>
      <c r="W50" s="87"/>
    </row>
    <row r="51" spans="3:23" ht="17.25" customHeight="1">
      <c r="C51" s="2">
        <v>61000</v>
      </c>
      <c r="D51" s="22" t="s">
        <v>5253</v>
      </c>
      <c r="E51" s="58">
        <v>1000</v>
      </c>
      <c r="F51" s="58">
        <v>1000</v>
      </c>
      <c r="G51" s="45">
        <v>559.95000000000005</v>
      </c>
      <c r="H51" s="58">
        <v>0</v>
      </c>
      <c r="I51" s="45">
        <f>F51-G51</f>
        <v>440.04999999999995</v>
      </c>
      <c r="J51" s="62"/>
      <c r="K51" s="95"/>
      <c r="L51" s="87"/>
      <c r="N51" s="8"/>
      <c r="P51" s="8"/>
      <c r="R51" s="8"/>
      <c r="T51" s="8"/>
      <c r="V51" s="8"/>
      <c r="W51" s="87"/>
    </row>
    <row r="52" spans="3:23" ht="17.25" customHeight="1">
      <c r="C52" s="2">
        <v>67000</v>
      </c>
      <c r="D52" s="22" t="s">
        <v>5254</v>
      </c>
      <c r="E52" s="58">
        <v>500</v>
      </c>
      <c r="F52" s="58">
        <v>840</v>
      </c>
      <c r="G52" s="45">
        <v>275.82</v>
      </c>
      <c r="H52" s="58">
        <v>0</v>
      </c>
      <c r="I52" s="45">
        <f>F52-G52</f>
        <v>564.18000000000006</v>
      </c>
      <c r="J52" s="62"/>
      <c r="K52" s="95"/>
      <c r="L52" s="87"/>
      <c r="N52" s="8"/>
      <c r="P52" s="8"/>
      <c r="R52" s="8"/>
      <c r="T52" s="8"/>
      <c r="V52" s="8"/>
      <c r="W52" s="87"/>
    </row>
    <row r="53" spans="3:23" ht="17.25" customHeight="1">
      <c r="C53" s="2">
        <v>72000</v>
      </c>
      <c r="D53" s="22" t="s">
        <v>5255</v>
      </c>
      <c r="E53" s="58"/>
      <c r="F53" s="58"/>
      <c r="H53" s="58"/>
      <c r="J53" s="62"/>
      <c r="K53" s="95"/>
      <c r="L53" s="87"/>
      <c r="N53" s="8"/>
      <c r="P53" s="8"/>
      <c r="R53" s="8"/>
      <c r="T53" s="8"/>
      <c r="V53" s="8"/>
      <c r="W53" s="87"/>
    </row>
    <row r="54" spans="3:23" ht="17.25" customHeight="1">
      <c r="C54" s="2">
        <v>72100</v>
      </c>
      <c r="D54" s="22" t="s">
        <v>5256</v>
      </c>
      <c r="E54" s="58"/>
      <c r="F54" s="58"/>
      <c r="H54" s="58"/>
      <c r="J54" s="62"/>
      <c r="K54" s="95"/>
      <c r="L54" s="87"/>
      <c r="N54" s="8"/>
      <c r="P54" s="8"/>
      <c r="R54" s="8"/>
      <c r="T54" s="8"/>
      <c r="V54" s="8"/>
      <c r="W54" s="87"/>
    </row>
    <row r="55" spans="3:23" ht="17.25" customHeight="1">
      <c r="C55" s="2">
        <v>74000</v>
      </c>
      <c r="D55" s="22" t="s">
        <v>5257</v>
      </c>
      <c r="E55" s="58"/>
      <c r="F55" s="58"/>
      <c r="H55" s="58"/>
      <c r="J55" s="62"/>
      <c r="K55" s="95"/>
      <c r="L55" s="87"/>
      <c r="N55" s="8"/>
      <c r="P55" s="8"/>
      <c r="R55" s="8"/>
      <c r="T55" s="8"/>
      <c r="V55" s="8"/>
      <c r="W55" s="87"/>
    </row>
    <row r="56" spans="3:23" ht="17.25" customHeight="1">
      <c r="C56" s="2">
        <v>75000</v>
      </c>
      <c r="D56" s="22" t="s">
        <v>5258</v>
      </c>
      <c r="E56" s="58"/>
      <c r="F56" s="58"/>
      <c r="H56" s="58"/>
      <c r="J56" s="62"/>
      <c r="K56" s="95"/>
      <c r="L56" s="87"/>
      <c r="N56" s="8"/>
      <c r="P56" s="8"/>
      <c r="R56" s="8"/>
      <c r="T56" s="8"/>
      <c r="V56" s="8"/>
      <c r="W56" s="87"/>
    </row>
    <row r="57" spans="3:23" ht="17.25" customHeight="1">
      <c r="C57" s="2">
        <v>76000</v>
      </c>
      <c r="D57" s="22" t="s">
        <v>5259</v>
      </c>
      <c r="E57" s="58"/>
      <c r="F57" s="58"/>
      <c r="H57" s="58"/>
      <c r="J57" s="62"/>
      <c r="K57" s="95"/>
      <c r="L57" s="87"/>
      <c r="N57" s="8"/>
      <c r="P57" s="8"/>
      <c r="R57" s="8"/>
      <c r="T57" s="8"/>
      <c r="V57" s="8"/>
      <c r="W57" s="87"/>
    </row>
    <row r="58" spans="3:23" ht="17.25" customHeight="1">
      <c r="C58" s="2">
        <v>76100</v>
      </c>
      <c r="D58" s="22" t="s">
        <v>5260</v>
      </c>
      <c r="E58" s="58"/>
      <c r="F58" s="58"/>
      <c r="H58" s="58"/>
      <c r="J58" s="62"/>
      <c r="K58" s="95"/>
      <c r="L58" s="87"/>
      <c r="N58" s="8"/>
      <c r="P58" s="8"/>
      <c r="R58" s="8"/>
      <c r="T58" s="8"/>
      <c r="V58" s="8"/>
      <c r="W58" s="87"/>
    </row>
    <row r="59" spans="3:23" ht="17.25" customHeight="1">
      <c r="C59" s="2">
        <v>77000</v>
      </c>
      <c r="D59" s="22" t="s">
        <v>5261</v>
      </c>
      <c r="E59" s="58"/>
      <c r="F59" s="58"/>
      <c r="H59" s="58"/>
      <c r="J59" s="62"/>
      <c r="K59" s="95"/>
      <c r="L59" s="87"/>
      <c r="N59" s="8"/>
      <c r="P59" s="8"/>
      <c r="R59" s="8"/>
      <c r="T59" s="8"/>
      <c r="V59" s="8"/>
      <c r="W59" s="87"/>
    </row>
    <row r="60" spans="3:23" ht="17.25" customHeight="1">
      <c r="C60" s="2">
        <v>78000</v>
      </c>
      <c r="D60" s="22" t="s">
        <v>5262</v>
      </c>
      <c r="E60" s="58"/>
      <c r="F60" s="58"/>
      <c r="H60" s="58"/>
      <c r="J60" s="62"/>
      <c r="K60" s="95"/>
      <c r="L60" s="87"/>
      <c r="N60" s="8"/>
      <c r="P60" s="8"/>
      <c r="R60" s="8"/>
      <c r="T60" s="8"/>
      <c r="V60" s="8"/>
      <c r="W60" s="87"/>
    </row>
    <row r="61" spans="3:23" ht="17.25" customHeight="1">
      <c r="C61" s="2">
        <v>79000</v>
      </c>
      <c r="D61" s="22" t="s">
        <v>5263</v>
      </c>
      <c r="E61" s="58"/>
      <c r="F61" s="58"/>
      <c r="H61" s="58"/>
      <c r="J61" s="62"/>
      <c r="K61" s="95"/>
      <c r="L61" s="87"/>
      <c r="N61" s="8"/>
      <c r="P61" s="8"/>
      <c r="R61" s="8"/>
      <c r="T61" s="8"/>
      <c r="V61" s="8"/>
      <c r="W61" s="87"/>
    </row>
    <row r="62" spans="3:23" ht="17.25" customHeight="1">
      <c r="C62" s="2">
        <v>79100</v>
      </c>
      <c r="D62" s="22" t="s">
        <v>5264</v>
      </c>
      <c r="E62" s="58"/>
      <c r="F62" s="58"/>
      <c r="H62" s="58"/>
      <c r="J62" s="62"/>
      <c r="K62" s="95"/>
      <c r="L62" s="87"/>
      <c r="N62" s="8"/>
      <c r="P62" s="8"/>
      <c r="R62" s="8"/>
      <c r="T62" s="8"/>
      <c r="V62" s="8"/>
      <c r="W62" s="87"/>
    </row>
    <row r="63" spans="3:23" ht="17.25" customHeight="1">
      <c r="C63" s="56">
        <v>79900</v>
      </c>
      <c r="D63" s="28" t="s">
        <v>5265</v>
      </c>
      <c r="E63" s="60">
        <v>36252</v>
      </c>
      <c r="F63" s="60">
        <v>36252</v>
      </c>
      <c r="G63" s="53">
        <v>30826.39</v>
      </c>
      <c r="H63" s="60">
        <v>0</v>
      </c>
      <c r="I63" s="60">
        <f>SUM(F63-G63)</f>
        <v>5425.6100000000006</v>
      </c>
      <c r="J63" s="64"/>
      <c r="K63" s="96"/>
      <c r="L63" s="89"/>
      <c r="M63" s="85"/>
      <c r="N63" s="90"/>
      <c r="O63" s="85"/>
      <c r="P63" s="90"/>
      <c r="Q63" s="85"/>
      <c r="R63" s="90"/>
      <c r="S63" s="85"/>
      <c r="T63" s="90"/>
      <c r="U63" s="85"/>
      <c r="V63" s="90"/>
      <c r="W63" s="89"/>
    </row>
    <row r="64" spans="3:23" ht="17.25" customHeight="1">
      <c r="K64" s="22"/>
    </row>
    <row r="65" spans="11:11" ht="17.25" customHeight="1">
      <c r="K65" s="22"/>
    </row>
    <row r="66" spans="11:11" ht="17.25" customHeight="1">
      <c r="K66" s="22"/>
    </row>
    <row r="67" spans="11:11" ht="17.25" customHeight="1">
      <c r="K67" s="22"/>
    </row>
    <row r="68" spans="11:11" ht="17.25" customHeight="1">
      <c r="K68" s="22"/>
    </row>
    <row r="69" spans="11:11" ht="17.25" customHeight="1">
      <c r="K69" s="22"/>
    </row>
    <row r="70" spans="11:11" ht="17.25" customHeight="1">
      <c r="K70" s="22"/>
    </row>
    <row r="71" spans="11:11" ht="17.25" customHeight="1">
      <c r="K71" s="22"/>
    </row>
    <row r="72" spans="11:11" ht="17.25" customHeight="1">
      <c r="K72" s="22"/>
    </row>
    <row r="73" spans="11:11" ht="17.25" customHeight="1">
      <c r="K73" s="22"/>
    </row>
    <row r="74" spans="11:11" ht="17.25" customHeight="1">
      <c r="K74" s="22"/>
    </row>
    <row r="75" spans="11:11" ht="17.25" customHeight="1">
      <c r="K75" s="22"/>
    </row>
    <row r="76" spans="11:11" ht="17.25" customHeight="1">
      <c r="K76" s="22"/>
    </row>
    <row r="77" spans="11:11" ht="17.25" customHeight="1">
      <c r="K77" s="22"/>
    </row>
    <row r="78" spans="11:11" ht="17.25" customHeight="1">
      <c r="K78" s="22"/>
    </row>
    <row r="79" spans="11:11" ht="17.25" customHeight="1">
      <c r="K79" s="22"/>
    </row>
    <row r="80" spans="11:11" ht="17.25" customHeight="1">
      <c r="K80" s="22"/>
    </row>
    <row r="81" spans="11:11" ht="17.25" customHeight="1">
      <c r="K81" s="22"/>
    </row>
    <row r="82" spans="11:11" ht="17.25" customHeight="1">
      <c r="K82" s="22"/>
    </row>
    <row r="83" spans="11:11" ht="17.25" customHeight="1">
      <c r="K83" s="22"/>
    </row>
    <row r="84" spans="11:11" ht="17.25" customHeight="1">
      <c r="K84" s="22"/>
    </row>
    <row r="85" spans="11:11" ht="17.25" customHeight="1">
      <c r="K85" s="22"/>
    </row>
    <row r="86" spans="11:11" ht="17.25" customHeight="1">
      <c r="K86" s="22"/>
    </row>
    <row r="87" spans="11:11" ht="17.25" customHeight="1">
      <c r="K87" s="22"/>
    </row>
    <row r="88" spans="11:11" ht="17.25" customHeight="1">
      <c r="K88" s="22"/>
    </row>
    <row r="89" spans="11:11" ht="17.25" customHeight="1">
      <c r="K89" s="22"/>
    </row>
    <row r="90" spans="11:11" ht="17.25" customHeight="1">
      <c r="K90" s="22"/>
    </row>
    <row r="91" spans="11:11" ht="17.25" customHeight="1">
      <c r="K91" s="22"/>
    </row>
    <row r="92" spans="11:11" ht="17.25" customHeight="1">
      <c r="K92" s="22"/>
    </row>
    <row r="93" spans="11:11" ht="17.25" customHeight="1">
      <c r="K93" s="22"/>
    </row>
    <row r="94" spans="11:11" ht="17.25" customHeight="1">
      <c r="K94" s="22"/>
    </row>
    <row r="95" spans="11:11" ht="17.25" customHeight="1">
      <c r="K95" s="22"/>
    </row>
    <row r="96" spans="11:11" ht="17.25" customHeight="1">
      <c r="K96" s="22"/>
    </row>
    <row r="97" spans="11:11" ht="17.25" customHeight="1">
      <c r="K97" s="22"/>
    </row>
    <row r="98" spans="11:11" ht="17.25" customHeight="1">
      <c r="K98" s="22"/>
    </row>
    <row r="99" spans="11:11" ht="17.25" customHeight="1">
      <c r="K99" s="22"/>
    </row>
    <row r="100" spans="11:11" ht="17.25" customHeight="1">
      <c r="K100" s="22"/>
    </row>
    <row r="101" spans="11:11" ht="17.25" customHeight="1">
      <c r="K101" s="22"/>
    </row>
    <row r="102" spans="11:11" ht="17.25" customHeight="1">
      <c r="K102" s="22"/>
    </row>
    <row r="103" spans="11:11" ht="17.25" customHeight="1">
      <c r="K103" s="22"/>
    </row>
    <row r="104" spans="11:11" ht="17.25" customHeight="1">
      <c r="K104" s="22"/>
    </row>
    <row r="105" spans="11:11" ht="17.25" customHeight="1">
      <c r="K105" s="22"/>
    </row>
    <row r="106" spans="11:11" ht="17.25" customHeight="1">
      <c r="K106" s="22"/>
    </row>
    <row r="107" spans="11:11" ht="17.25" customHeight="1">
      <c r="K107" s="22"/>
    </row>
    <row r="108" spans="11:11" ht="17.25" customHeight="1">
      <c r="K108" s="22"/>
    </row>
    <row r="109" spans="11:11" ht="17.25" customHeight="1">
      <c r="K109" s="22"/>
    </row>
    <row r="110" spans="11:11" ht="17.25" customHeight="1">
      <c r="K110" s="22"/>
    </row>
    <row r="111" spans="11:11" ht="17.25" customHeight="1">
      <c r="K111" s="22"/>
    </row>
    <row r="112" spans="11:11" ht="17.25" customHeight="1">
      <c r="K112" s="22"/>
    </row>
    <row r="113" spans="11:11" ht="17.25" customHeight="1">
      <c r="K113" s="22"/>
    </row>
    <row r="114" spans="11:11" ht="17.25" customHeight="1">
      <c r="K114" s="22"/>
    </row>
    <row r="115" spans="11:11" ht="17.25" customHeight="1">
      <c r="K115" s="22"/>
    </row>
    <row r="116" spans="11:11" ht="17.25" customHeight="1">
      <c r="K116" s="22"/>
    </row>
    <row r="117" spans="11:11" ht="17.25" customHeight="1">
      <c r="K117" s="22"/>
    </row>
    <row r="118" spans="11:11" ht="17.25" customHeight="1">
      <c r="K118" s="22"/>
    </row>
    <row r="119" spans="11:11" ht="17.25" customHeight="1">
      <c r="K119" s="22"/>
    </row>
    <row r="120" spans="11:11" ht="17.25" customHeight="1">
      <c r="K120" s="22"/>
    </row>
    <row r="121" spans="11:11" ht="17.25" customHeight="1">
      <c r="K121" s="22"/>
    </row>
    <row r="122" spans="11:11" ht="17.25" customHeight="1">
      <c r="K122" s="22"/>
    </row>
    <row r="123" spans="11:11" ht="17.25" customHeight="1">
      <c r="K123" s="22"/>
    </row>
    <row r="124" spans="11:11" ht="17.25" customHeight="1">
      <c r="K124" s="22"/>
    </row>
    <row r="125" spans="11:11" ht="17.25" customHeight="1">
      <c r="K125" s="22"/>
    </row>
    <row r="126" spans="11:11" ht="17.25" customHeight="1">
      <c r="K126" s="22"/>
    </row>
    <row r="127" spans="11:11" ht="17.25" customHeight="1">
      <c r="K127" s="22"/>
    </row>
    <row r="128" spans="11:11" ht="17.25" customHeight="1">
      <c r="K128" s="22"/>
    </row>
    <row r="129" spans="11:11" ht="17.25" customHeight="1">
      <c r="K129" s="22"/>
    </row>
    <row r="130" spans="11:11" ht="17.25" customHeight="1">
      <c r="K130" s="22"/>
    </row>
    <row r="131" spans="11:11" ht="17.25" customHeight="1">
      <c r="K131" s="22"/>
    </row>
    <row r="132" spans="11:11" ht="17.25" customHeight="1">
      <c r="K132" s="22"/>
    </row>
    <row r="133" spans="11:11" ht="17.25" customHeight="1">
      <c r="K133" s="22"/>
    </row>
    <row r="134" spans="11:11" ht="17.25" customHeight="1">
      <c r="K134" s="22"/>
    </row>
    <row r="135" spans="11:11" ht="17.25" customHeight="1">
      <c r="K135" s="22"/>
    </row>
    <row r="136" spans="11:11" ht="17.25" customHeight="1">
      <c r="K136" s="22"/>
    </row>
    <row r="137" spans="11:11" ht="17.25" customHeight="1">
      <c r="K137" s="22"/>
    </row>
    <row r="138" spans="11:11" ht="17.25" customHeight="1">
      <c r="K138" s="22"/>
    </row>
    <row r="139" spans="11:11" ht="17.25" customHeight="1">
      <c r="K139" s="22"/>
    </row>
    <row r="140" spans="11:11" ht="17.25" customHeight="1">
      <c r="K140" s="22"/>
    </row>
    <row r="141" spans="11:11" ht="17.25" customHeight="1">
      <c r="K141" s="22"/>
    </row>
    <row r="142" spans="11:11" ht="17.25" customHeight="1">
      <c r="K142" s="22"/>
    </row>
    <row r="143" spans="11:11" ht="17.25" customHeight="1">
      <c r="K143" s="22"/>
    </row>
    <row r="144" spans="11:11" ht="17.25" customHeight="1">
      <c r="K144" s="22"/>
    </row>
    <row r="145" spans="11:11" ht="17.25" customHeight="1">
      <c r="K145" s="22"/>
    </row>
    <row r="146" spans="11:11" ht="17.25" customHeight="1">
      <c r="K146" s="22"/>
    </row>
    <row r="147" spans="11:11" ht="17.25" customHeight="1">
      <c r="K147" s="22"/>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0</_ip_UnifiedCompliancePolicyUIAction>
    <_ip_UnifiedCompliancePolicyProperties xmlns="http://schemas.microsoft.com/sharepoint/v3" xsi:nil="true"/>
    <SharedWithUsers xmlns="dcb24f1f-1ee9-457d-bd87-2d2904b68192">
      <UserInfo>
        <DisplayName>Bill Clawges</DisplayName>
        <AccountId>20</AccountId>
        <AccountType/>
      </UserInfo>
    </SharedWithUsers>
    <lcf76f155ced4ddcb4097134ff3c332f xmlns="75d1a759-1bce-44c0-8a41-0f1a75bd32d6">
      <Terms xmlns="http://schemas.microsoft.com/office/infopath/2007/PartnerControls"/>
    </lcf76f155ced4ddcb4097134ff3c332f>
    <TaxCatchAll xmlns="dcb24f1f-1ee9-457d-bd87-2d2904b68192"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4F1902E367215F4AA93CB887E3D955FA" ma:contentTypeVersion="19" ma:contentTypeDescription="Create a new document." ma:contentTypeScope="" ma:versionID="d90f353143d682398f4e012bf8ba873b">
  <xsd:schema xmlns:xsd="http://www.w3.org/2001/XMLSchema" xmlns:xs="http://www.w3.org/2001/XMLSchema" xmlns:p="http://schemas.microsoft.com/office/2006/metadata/properties" xmlns:ns1="http://schemas.microsoft.com/sharepoint/v3" xmlns:ns2="75d1a759-1bce-44c0-8a41-0f1a75bd32d6" xmlns:ns3="dcb24f1f-1ee9-457d-bd87-2d2904b68192" targetNamespace="http://schemas.microsoft.com/office/2006/metadata/properties" ma:root="true" ma:fieldsID="679c27d780818dcedf770d98840c72d7" ns1:_="" ns2:_="" ns3:_="">
    <xsd:import namespace="http://schemas.microsoft.com/sharepoint/v3"/>
    <xsd:import namespace="75d1a759-1bce-44c0-8a41-0f1a75bd32d6"/>
    <xsd:import namespace="dcb24f1f-1ee9-457d-bd87-2d2904b68192"/>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element ref="ns2:MediaServiceAutoTags" minOccurs="0"/>
                <xsd:element ref="ns2:MediaLengthInSeconds" minOccurs="0"/>
                <xsd:element ref="ns1:_ip_UnifiedCompliancePolicyProperties" minOccurs="0"/>
                <xsd:element ref="ns1:_ip_UnifiedCompliancePolicyUIAction" minOccurs="0"/>
                <xsd:element ref="ns2:MediaServiceOCR" minOccurs="0"/>
                <xsd:element ref="ns2:MediaServiceGenerationTime" minOccurs="0"/>
                <xsd:element ref="ns2:MediaServiceEventHashCode" minOccurs="0"/>
                <xsd:element ref="ns2:lcf76f155ced4ddcb4097134ff3c332f" minOccurs="0"/>
                <xsd:element ref="ns3:TaxCatchAll"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7" nillable="true" ma:displayName="Unified Compliance Policy Properties" ma:hidden="true" ma:internalName="_ip_UnifiedCompliancePolicyProperties">
      <xsd:simpleType>
        <xsd:restriction base="dms:Note"/>
      </xsd:simpleType>
    </xsd:element>
    <xsd:element name="_ip_UnifiedCompliancePolicyUIAction" ma:index="18"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5d1a759-1bce-44c0-8a41-0f1a75bd32d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element name="MediaServiceOCR" ma:index="19" nillable="true" ma:displayName="Extracted Text" ma:internalName="MediaServiceOCR" ma:readOnly="true">
      <xsd:simpleType>
        <xsd:restriction base="dms:Note">
          <xsd:maxLength value="255"/>
        </xsd:restriction>
      </xsd:simpleType>
    </xsd:element>
    <xsd:element name="MediaServiceGenerationTime" ma:index="20" nillable="true" ma:displayName="MediaServiceGenerationTime" ma:hidden="true" ma:internalName="MediaServiceGenerationTime" ma:readOnly="true">
      <xsd:simpleType>
        <xsd:restriction base="dms:Text"/>
      </xsd:simpleType>
    </xsd:element>
    <xsd:element name="MediaServiceEventHashCode" ma:index="21" nillable="true" ma:displayName="MediaServiceEventHashCode" ma:hidden="true" ma:internalName="MediaServiceEventHashCode" ma:readOnly="true">
      <xsd:simpleType>
        <xsd:restriction base="dms:Text"/>
      </xsd:simpleType>
    </xsd:element>
    <xsd:element name="lcf76f155ced4ddcb4097134ff3c332f" ma:index="23" nillable="true" ma:taxonomy="true" ma:internalName="lcf76f155ced4ddcb4097134ff3c332f" ma:taxonomyFieldName="MediaServiceImageTags" ma:displayName="Image Tags" ma:readOnly="false" ma:fieldId="{5cf76f15-5ced-4ddc-b409-7134ff3c332f}" ma:taxonomyMulti="true" ma:sspId="bb606d6a-c4c1-410c-82f4-10888d076a61"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5" nillable="true" ma:displayName="MediaServiceObjectDetectorVersions" ma:hidden="true" ma:indexed="true" ma:internalName="MediaServiceObjectDetectorVersions" ma:readOnly="true">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cb24f1f-1ee9-457d-bd87-2d2904b68192"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24" nillable="true" ma:displayName="Taxonomy Catch All Column" ma:hidden="true" ma:list="{ff193378-16c5-46c1-b1fa-2842ee12f5a0}" ma:internalName="TaxCatchAll" ma:showField="CatchAllData" ma:web="dcb24f1f-1ee9-457d-bd87-2d2904b6819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D802FF5-A2CA-444C-AFC9-EE245BFD1057}"/>
</file>

<file path=customXml/itemProps2.xml><?xml version="1.0" encoding="utf-8"?>
<ds:datastoreItem xmlns:ds="http://schemas.openxmlformats.org/officeDocument/2006/customXml" ds:itemID="{BCEE751B-B61E-4124-A245-FF1C49CB793D}"/>
</file>

<file path=customXml/itemProps3.xml><?xml version="1.0" encoding="utf-8"?>
<ds:datastoreItem xmlns:ds="http://schemas.openxmlformats.org/officeDocument/2006/customXml" ds:itemID="{E95CB399-9358-47DB-9D0A-06B023F3B531}"/>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West Honeycutt</dc:creator>
  <cp:keywords/>
  <dc:description/>
  <cp:lastModifiedBy>Daina Bouquin</cp:lastModifiedBy>
  <cp:revision/>
  <dcterms:created xsi:type="dcterms:W3CDTF">2018-08-21T17:57:45Z</dcterms:created>
  <dcterms:modified xsi:type="dcterms:W3CDTF">2024-05-15T18:18:32Z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0x0101004F1902E367215F4AA93CB887E3D955FA</vt:lpwstr>
  </property>
  <property fmtid="{D5CDD505-2E9C-101B-9397-08002B2CF9AE}" pid="3" name="AuthorIds_UIVersion_187904">
    <vt:lpwstr>18,15</vt:lpwstr>
  </property>
  <property fmtid="{D5CDD505-2E9C-101B-9397-08002B2CF9AE}" pid="4" name="AuthorIds_UIVersion_425984">
    <vt:lpwstr>20</vt:lpwstr>
  </property>
  <property fmtid="{D5CDD505-2E9C-101B-9397-08002B2CF9AE}" pid="5" name="AuthorIds_UIVersion_526848">
    <vt:lpwstr>15</vt:lpwstr>
  </property>
  <property fmtid="{D5CDD505-2E9C-101B-9397-08002B2CF9AE}" pid="6" name="MediaServiceImageTags">
    <vt:lpwstr/>
  </property>
</Properties>
</file>